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ax\OneDrive - su.edu.ph\Documents\Kunstoff\"/>
    </mc:Choice>
  </mc:AlternateContent>
  <xr:revisionPtr revIDLastSave="0" documentId="13_ncr:1_{B8AC8F72-28A0-494A-ADA2-F8EE96EC6C81}" xr6:coauthVersionLast="47" xr6:coauthVersionMax="47" xr10:uidLastSave="{00000000-0000-0000-0000-000000000000}"/>
  <bookViews>
    <workbookView xWindow="-195" yWindow="990" windowWidth="20040" windowHeight="14985" firstSheet="1" activeTab="2" xr2:uid="{8AA1B497-769A-48CD-AB06-D0BB4A9A0770}"/>
  </bookViews>
  <sheets>
    <sheet name="Design Guide" sheetId="46" r:id="rId1"/>
    <sheet name="Project Details" sheetId="26" r:id="rId2"/>
    <sheet name="Main Cutting List" sheetId="58" r:id="rId3"/>
    <sheet name="Profile Cutting List" sheetId="60" r:id="rId4"/>
    <sheet name="Steel Cutting List" sheetId="52" r:id="rId5"/>
    <sheet name="Glass Order List" sheetId="53" r:id="rId6"/>
    <sheet name="Accessories" sheetId="65" r:id="rId7"/>
    <sheet name="cl_source" sheetId="38" state="hidden" r:id="rId8"/>
    <sheet name="cl_prof_source" sheetId="62" state="hidden" r:id="rId9"/>
    <sheet name="cl_steel_source" sheetId="63" state="hidden" r:id="rId10"/>
    <sheet name="gol_source" sheetId="39" state="hidden" r:id="rId11"/>
    <sheet name="accsry_source" sheetId="49" state="hidden" r:id="rId12"/>
    <sheet name="cl_unmerged" sheetId="29" state="hidden" r:id="rId13"/>
    <sheet name="gl_unmerged" sheetId="40" state="hidden" r:id="rId14"/>
    <sheet name="accsry_unmerged" sheetId="47" state="hidden" r:id="rId15"/>
    <sheet name="calc_s60" sheetId="28" state="hidden" r:id="rId16"/>
    <sheet name="calc_rusacc" sheetId="66" state="hidden" r:id="rId17"/>
    <sheet name="calc_s90&amp;138" sheetId="36" state="hidden" r:id="rId18"/>
    <sheet name="lookups90" sheetId="37" state="hidden" r:id="rId19"/>
    <sheet name="lookups_s60" sheetId="34" state="hidden" r:id="rId20"/>
    <sheet name="SKUs" sheetId="41" state="hidden" r:id="rId21"/>
    <sheet name="dd_accsryclr" sheetId="44" state="hidden" r:id="rId22"/>
    <sheet name="dd_item" sheetId="43" state="hidden" r:id="rId23"/>
    <sheet name="dd_accsrycalc" sheetId="48" state="hidden" r:id="rId24"/>
    <sheet name="dd_design_raw" sheetId="4" state="hidden" r:id="rId25"/>
    <sheet name="dd_color" sheetId="3" state="hidden" r:id="rId26"/>
    <sheet name="dd_glasstype" sheetId="54" state="hidden" r:id="rId27"/>
  </sheets>
  <definedNames>
    <definedName name="_xlnm._FilterDatabase" localSheetId="6" hidden="1">Accessories!$C$14:$J$100</definedName>
    <definedName name="_xlnm._FilterDatabase" localSheetId="8" hidden="1">cl_prof_source!$C$14:$I$730</definedName>
    <definedName name="_xlnm._FilterDatabase" localSheetId="7" hidden="1">cl_source!$A$14:$Q$14</definedName>
    <definedName name="_xlnm._FilterDatabase" localSheetId="9" hidden="1">cl_steel_source!$C$14:$I$730</definedName>
    <definedName name="_xlnm._FilterDatabase" localSheetId="26" hidden="1">dd_glasstype!$D$41:$D$84</definedName>
    <definedName name="_xlnm._FilterDatabase" localSheetId="5" hidden="1">'Glass Order List'!$C$14:$J$60</definedName>
    <definedName name="_xlnm._FilterDatabase" localSheetId="3" hidden="1">'Profile Cutting List'!$E$1:$E$14</definedName>
    <definedName name="_xlnm._FilterDatabase" localSheetId="20" hidden="1">SKUs!$A$1:$N$1662</definedName>
    <definedName name="Annealed">dd_glasstype!$B$2:$B$23</definedName>
    <definedName name="design" localSheetId="6">Accessories!#REF!</definedName>
    <definedName name="design" localSheetId="11">accsry_source!#REF!</definedName>
    <definedName name="design" localSheetId="14">accsry_unmerged!#REF!</definedName>
    <definedName name="design" localSheetId="16">calc_rusacc!$H$16</definedName>
    <definedName name="design" localSheetId="15">calc_s60!$H$16</definedName>
    <definedName name="design" localSheetId="17">'calc_s90&amp;138'!$H$16</definedName>
    <definedName name="design" localSheetId="8">cl_prof_source!#REF!</definedName>
    <definedName name="design" localSheetId="7">cl_source!#REF!</definedName>
    <definedName name="design" localSheetId="9">cl_steel_source!#REF!</definedName>
    <definedName name="design" localSheetId="12">cl_unmerged!#REF!</definedName>
    <definedName name="design" localSheetId="13">gl_unmerged!#REF!</definedName>
    <definedName name="design" localSheetId="5">'Glass Order List'!#REF!</definedName>
    <definedName name="design" localSheetId="10">gol_source!#REF!</definedName>
    <definedName name="design" localSheetId="2">'Main Cutting List'!#REF!</definedName>
    <definedName name="design" localSheetId="3">'Profile Cutting List'!#REF!</definedName>
    <definedName name="design" localSheetId="1">'Project Details'!$I$18</definedName>
    <definedName name="design" localSheetId="4">'Steel Cutting List'!#REF!</definedName>
    <definedName name="design">#REF!</definedName>
    <definedName name="glass" localSheetId="6">Accessories!#REF!</definedName>
    <definedName name="glass" localSheetId="11">accsry_source!#REF!</definedName>
    <definedName name="glass" localSheetId="14">accsry_unmerged!#REF!</definedName>
    <definedName name="glass" localSheetId="16">calc_rusacc!#REF!</definedName>
    <definedName name="glass" localSheetId="15">calc_s60!#REF!</definedName>
    <definedName name="glass" localSheetId="17">'calc_s90&amp;138'!#REF!</definedName>
    <definedName name="glass" localSheetId="8">cl_prof_source!#REF!</definedName>
    <definedName name="glass" localSheetId="7">cl_source!#REF!</definedName>
    <definedName name="glass" localSheetId="9">cl_steel_source!#REF!</definedName>
    <definedName name="glass" localSheetId="12">cl_unmerged!#REF!</definedName>
    <definedName name="glass" localSheetId="13">gl_unmerged!#REF!</definedName>
    <definedName name="glass" localSheetId="5">'Glass Order List'!#REF!</definedName>
    <definedName name="glass" localSheetId="10">gol_source!#REF!</definedName>
    <definedName name="glass" localSheetId="2">'Main Cutting List'!#REF!</definedName>
    <definedName name="glass" localSheetId="3">'Profile Cutting List'!#REF!</definedName>
    <definedName name="glass" localSheetId="1">'Project Details'!#REF!</definedName>
    <definedName name="glass" localSheetId="4">'Steel Cutting List'!#REF!</definedName>
    <definedName name="glass">#REF!</definedName>
    <definedName name="height" localSheetId="6">Accessories!#REF!</definedName>
    <definedName name="height" localSheetId="11">accsry_source!#REF!</definedName>
    <definedName name="height" localSheetId="14">accsry_unmerged!#REF!</definedName>
    <definedName name="height" localSheetId="16">calc_rusacc!#REF!</definedName>
    <definedName name="height" localSheetId="15">calc_s60!#REF!</definedName>
    <definedName name="height" localSheetId="17">'calc_s90&amp;138'!#REF!</definedName>
    <definedName name="height" localSheetId="8">cl_prof_source!#REF!</definedName>
    <definedName name="height" localSheetId="7">cl_source!#REF!</definedName>
    <definedName name="height" localSheetId="9">cl_steel_source!#REF!</definedName>
    <definedName name="height" localSheetId="12">cl_unmerged!#REF!</definedName>
    <definedName name="height" localSheetId="13">gl_unmerged!#REF!</definedName>
    <definedName name="height" localSheetId="5">'Glass Order List'!#REF!</definedName>
    <definedName name="height" localSheetId="10">gol_source!#REF!</definedName>
    <definedName name="height" localSheetId="2">'Main Cutting List'!#REF!</definedName>
    <definedName name="height" localSheetId="3">'Profile Cutting List'!#REF!</definedName>
    <definedName name="height" localSheetId="1">'Project Details'!#REF!</definedName>
    <definedName name="height" localSheetId="4">'Steel Cutting List'!#REF!</definedName>
    <definedName name="height">#REF!</definedName>
    <definedName name="IGU">dd_glasstype!$D$2:$D$31</definedName>
    <definedName name="profile_color" localSheetId="6">Accessories!#REF!</definedName>
    <definedName name="profile_color" localSheetId="11">accsry_source!#REF!</definedName>
    <definedName name="profile_color" localSheetId="14">accsry_unmerged!#REF!</definedName>
    <definedName name="profile_color" localSheetId="16">calc_rusacc!#REF!</definedName>
    <definedName name="profile_color" localSheetId="15">calc_s60!#REF!</definedName>
    <definedName name="profile_color" localSheetId="17">'calc_s90&amp;138'!#REF!</definedName>
    <definedName name="profile_color" localSheetId="8">cl_prof_source!#REF!</definedName>
    <definedName name="profile_color" localSheetId="7">cl_source!#REF!</definedName>
    <definedName name="profile_color" localSheetId="9">cl_steel_source!#REF!</definedName>
    <definedName name="profile_color" localSheetId="12">cl_unmerged!#REF!</definedName>
    <definedName name="profile_color" localSheetId="13">gl_unmerged!#REF!</definedName>
    <definedName name="profile_color" localSheetId="5">'Glass Order List'!#REF!</definedName>
    <definedName name="profile_color" localSheetId="10">gol_source!#REF!</definedName>
    <definedName name="profile_color" localSheetId="2">'Main Cutting List'!#REF!</definedName>
    <definedName name="profile_color" localSheetId="3">'Profile Cutting List'!#REF!</definedName>
    <definedName name="profile_color" localSheetId="1">'Project Details'!#REF!</definedName>
    <definedName name="profile_color" localSheetId="4">'Steel Cutting List'!#REF!</definedName>
    <definedName name="profile_color">#REF!</definedName>
    <definedName name="Tempered">dd_glasstype!$C$2:$C$23</definedName>
    <definedName name="width" localSheetId="6">Accessories!#REF!</definedName>
    <definedName name="width" localSheetId="11">accsry_source!#REF!</definedName>
    <definedName name="width" localSheetId="14">accsry_unmerged!#REF!</definedName>
    <definedName name="width" localSheetId="16">calc_rusacc!#REF!</definedName>
    <definedName name="width" localSheetId="15">calc_s60!#REF!</definedName>
    <definedName name="width" localSheetId="17">'calc_s90&amp;138'!#REF!</definedName>
    <definedName name="width" localSheetId="8">cl_prof_source!#REF!</definedName>
    <definedName name="width" localSheetId="7">cl_source!#REF!</definedName>
    <definedName name="width" localSheetId="9">cl_steel_source!#REF!</definedName>
    <definedName name="width" localSheetId="12">cl_unmerged!#REF!</definedName>
    <definedName name="width" localSheetId="13">gl_unmerged!#REF!</definedName>
    <definedName name="width" localSheetId="5">'Glass Order List'!#REF!</definedName>
    <definedName name="width" localSheetId="10">gol_source!#REF!</definedName>
    <definedName name="width" localSheetId="2">'Main Cutting List'!#REF!</definedName>
    <definedName name="width" localSheetId="3">'Profile Cutting List'!#REF!</definedName>
    <definedName name="width" localSheetId="1">'Project Details'!#REF!</definedName>
    <definedName name="width" localSheetId="4">'Steel Cutting List'!#REF!</definedName>
    <definedName name="wid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513" i="47" l="1"/>
  <c r="J2513" i="47"/>
  <c r="I2513" i="47"/>
  <c r="H2513" i="47" a="1"/>
  <c r="H2513" i="47" s="1"/>
  <c r="G2513" i="47" s="1" a="1"/>
  <c r="G2513" i="47" s="1"/>
  <c r="K2513" i="47" s="1"/>
  <c r="E2513" i="47"/>
  <c r="L2512" i="47"/>
  <c r="J2512" i="47"/>
  <c r="I2512" i="47"/>
  <c r="H2512" i="47" a="1"/>
  <c r="H2512" i="47" s="1"/>
  <c r="G2512" i="47" s="1" a="1"/>
  <c r="G2512" i="47" s="1"/>
  <c r="K2512" i="47" s="1"/>
  <c r="E2512" i="47"/>
  <c r="L2511" i="47"/>
  <c r="J2511" i="47"/>
  <c r="I2511" i="47"/>
  <c r="H2511" i="47" a="1"/>
  <c r="H2511" i="47" s="1"/>
  <c r="G2511" i="47" s="1" a="1"/>
  <c r="G2511" i="47" s="1"/>
  <c r="K2511" i="47" s="1"/>
  <c r="E2511" i="47"/>
  <c r="L2510" i="47"/>
  <c r="J2510" i="47"/>
  <c r="H2510" i="47" s="1" a="1"/>
  <c r="H2510" i="47" s="1"/>
  <c r="G2510" i="47" s="1" a="1"/>
  <c r="G2510" i="47" s="1"/>
  <c r="I2510" i="47"/>
  <c r="E2510" i="47"/>
  <c r="L2509" i="47"/>
  <c r="J2509" i="47"/>
  <c r="H2509" i="47" s="1" a="1"/>
  <c r="H2509" i="47" s="1"/>
  <c r="G2509" i="47" s="1" a="1"/>
  <c r="G2509" i="47" s="1"/>
  <c r="K2509" i="47" s="1"/>
  <c r="I2509" i="47"/>
  <c r="E2509" i="47"/>
  <c r="L2508" i="47"/>
  <c r="J2508" i="47"/>
  <c r="H2508" i="47" s="1" a="1"/>
  <c r="H2508" i="47" s="1"/>
  <c r="I2508" i="47"/>
  <c r="E2508" i="47"/>
  <c r="L2507" i="47"/>
  <c r="J2507" i="47"/>
  <c r="H2507" i="47" s="1" a="1"/>
  <c r="H2507" i="47" s="1"/>
  <c r="G2507" i="47" s="1" a="1"/>
  <c r="G2507" i="47" s="1"/>
  <c r="I2507" i="47"/>
  <c r="E2507" i="47"/>
  <c r="L2506" i="47"/>
  <c r="J2506" i="47"/>
  <c r="H2506" i="47" s="1" a="1"/>
  <c r="H2506" i="47" s="1"/>
  <c r="I2506" i="47"/>
  <c r="E2506" i="47"/>
  <c r="L2505" i="47"/>
  <c r="J2505" i="47"/>
  <c r="H2505" i="47" s="1" a="1"/>
  <c r="H2505" i="47" s="1"/>
  <c r="I2505" i="47"/>
  <c r="G2505" i="47" a="1"/>
  <c r="G2505" i="47" s="1"/>
  <c r="K2505" i="47" s="1"/>
  <c r="E2505" i="47"/>
  <c r="L2504" i="47"/>
  <c r="J2504" i="47"/>
  <c r="H2504" i="47" s="1" a="1"/>
  <c r="H2504" i="47" s="1"/>
  <c r="I2504" i="47"/>
  <c r="G2504" i="47" s="1" a="1"/>
  <c r="G2504" i="47" s="1"/>
  <c r="K2504" i="47" s="1"/>
  <c r="E2504" i="47"/>
  <c r="L2503" i="47"/>
  <c r="J2503" i="47"/>
  <c r="H2503" i="47" s="1" a="1"/>
  <c r="H2503" i="47" s="1"/>
  <c r="G2503" i="47" s="1" a="1"/>
  <c r="G2503" i="47" s="1"/>
  <c r="K2503" i="47" s="1"/>
  <c r="I2503" i="47"/>
  <c r="E2503" i="47"/>
  <c r="L2502" i="47"/>
  <c r="J2502" i="47"/>
  <c r="H2502" i="47" s="1" a="1"/>
  <c r="H2502" i="47" s="1"/>
  <c r="I2502" i="47"/>
  <c r="E2502" i="47"/>
  <c r="L2501" i="47"/>
  <c r="J2501" i="47"/>
  <c r="H2501" i="47" s="1" a="1"/>
  <c r="H2501" i="47" s="1"/>
  <c r="I2501" i="47"/>
  <c r="E2501" i="47"/>
  <c r="L2500" i="47"/>
  <c r="J2500" i="47"/>
  <c r="H2500" i="47" s="1" a="1"/>
  <c r="H2500" i="47" s="1"/>
  <c r="G2500" i="47" s="1" a="1"/>
  <c r="G2500" i="47" s="1"/>
  <c r="K2500" i="47" s="1"/>
  <c r="I2500" i="47"/>
  <c r="E2500" i="47"/>
  <c r="L2499" i="47"/>
  <c r="J2499" i="47"/>
  <c r="I2499" i="47"/>
  <c r="H2499" i="47" a="1"/>
  <c r="H2499" i="47" s="1"/>
  <c r="G2499" i="47" s="1" a="1"/>
  <c r="G2499" i="47" s="1"/>
  <c r="K2499" i="47" s="1"/>
  <c r="E2499" i="47"/>
  <c r="L2498" i="47"/>
  <c r="J2498" i="47"/>
  <c r="H2498" i="47" s="1" a="1"/>
  <c r="H2498" i="47" s="1"/>
  <c r="I2498" i="47"/>
  <c r="E2498" i="47"/>
  <c r="L2497" i="47"/>
  <c r="J2497" i="47"/>
  <c r="H2497" i="47" s="1" a="1"/>
  <c r="H2497" i="47" s="1"/>
  <c r="G2497" i="47" s="1" a="1"/>
  <c r="G2497" i="47" s="1"/>
  <c r="K2497" i="47" s="1"/>
  <c r="I2497" i="47"/>
  <c r="E2497" i="47"/>
  <c r="L2496" i="47"/>
  <c r="J2496" i="47"/>
  <c r="H2496" i="47" s="1" a="1"/>
  <c r="H2496" i="47" s="1"/>
  <c r="I2496" i="47"/>
  <c r="E2496" i="47"/>
  <c r="L2495" i="47"/>
  <c r="J2495" i="47"/>
  <c r="I2495" i="47"/>
  <c r="H2495" i="47" a="1"/>
  <c r="H2495" i="47" s="1"/>
  <c r="G2495" i="47" s="1" a="1"/>
  <c r="G2495" i="47" s="1"/>
  <c r="E2495" i="47"/>
  <c r="L2494" i="47"/>
  <c r="J2494" i="47"/>
  <c r="I2494" i="47"/>
  <c r="H2494" i="47" a="1"/>
  <c r="H2494" i="47" s="1"/>
  <c r="G2494" i="47" s="1" a="1"/>
  <c r="G2494" i="47" s="1"/>
  <c r="E2494" i="47"/>
  <c r="L2493" i="47"/>
  <c r="J2493" i="47"/>
  <c r="H2493" i="47" s="1" a="1"/>
  <c r="H2493" i="47" s="1"/>
  <c r="I2493" i="47"/>
  <c r="E2493" i="47"/>
  <c r="L2492" i="47"/>
  <c r="J2492" i="47"/>
  <c r="H2492" i="47" s="1" a="1"/>
  <c r="H2492" i="47" s="1"/>
  <c r="G2492" i="47" s="1" a="1"/>
  <c r="G2492" i="47" s="1"/>
  <c r="K2492" i="47" s="1"/>
  <c r="I2492" i="47"/>
  <c r="E2492" i="47"/>
  <c r="L2491" i="47"/>
  <c r="J2491" i="47"/>
  <c r="H2491" i="47" s="1" a="1"/>
  <c r="H2491" i="47" s="1"/>
  <c r="G2491" i="47" s="1" a="1"/>
  <c r="G2491" i="47" s="1"/>
  <c r="K2491" i="47" s="1"/>
  <c r="I2491" i="47"/>
  <c r="E2491" i="47"/>
  <c r="L2490" i="47"/>
  <c r="J2490" i="47"/>
  <c r="H2490" i="47" s="1" a="1"/>
  <c r="H2490" i="47" s="1"/>
  <c r="G2490" i="47" s="1" a="1"/>
  <c r="G2490" i="47" s="1"/>
  <c r="K2490" i="47" s="1"/>
  <c r="I2490" i="47"/>
  <c r="E2490" i="47"/>
  <c r="L2489" i="47"/>
  <c r="J2489" i="47"/>
  <c r="H2489" i="47" s="1" a="1"/>
  <c r="H2489" i="47" s="1"/>
  <c r="I2489" i="47"/>
  <c r="E2489" i="47"/>
  <c r="L2488" i="47"/>
  <c r="J2488" i="47"/>
  <c r="H2488" i="47" s="1" a="1"/>
  <c r="H2488" i="47" s="1"/>
  <c r="G2488" i="47" s="1" a="1"/>
  <c r="G2488" i="47" s="1"/>
  <c r="K2488" i="47" s="1"/>
  <c r="I2488" i="47"/>
  <c r="E2488" i="47"/>
  <c r="L2487" i="47"/>
  <c r="J2487" i="47"/>
  <c r="H2487" i="47" s="1" a="1"/>
  <c r="H2487" i="47" s="1"/>
  <c r="G2487" i="47" s="1" a="1"/>
  <c r="G2487" i="47" s="1"/>
  <c r="K2487" i="47" s="1"/>
  <c r="I2487" i="47"/>
  <c r="E2487" i="47"/>
  <c r="L2486" i="47"/>
  <c r="J2486" i="47"/>
  <c r="H2486" i="47" s="1" a="1"/>
  <c r="H2486" i="47" s="1"/>
  <c r="G2486" i="47" s="1" a="1"/>
  <c r="G2486" i="47" s="1"/>
  <c r="I2486" i="47"/>
  <c r="E2486" i="47"/>
  <c r="L2485" i="47"/>
  <c r="J2485" i="47"/>
  <c r="H2485" i="47" s="1" a="1"/>
  <c r="H2485" i="47" s="1"/>
  <c r="I2485" i="47"/>
  <c r="E2485" i="47"/>
  <c r="L2484" i="47"/>
  <c r="J2484" i="47"/>
  <c r="I2484" i="47"/>
  <c r="H2484" i="47" a="1"/>
  <c r="H2484" i="47" s="1"/>
  <c r="E2484" i="47"/>
  <c r="L2483" i="47"/>
  <c r="J2483" i="47"/>
  <c r="H2483" i="47" s="1" a="1"/>
  <c r="H2483" i="47" s="1"/>
  <c r="I2483" i="47"/>
  <c r="E2483" i="47"/>
  <c r="L2482" i="47"/>
  <c r="J2482" i="47"/>
  <c r="I2482" i="47"/>
  <c r="H2482" i="47" a="1"/>
  <c r="H2482" i="47" s="1"/>
  <c r="E2482" i="47"/>
  <c r="L2481" i="47"/>
  <c r="J2481" i="47"/>
  <c r="H2481" i="47" s="1" a="1"/>
  <c r="H2481" i="47" s="1"/>
  <c r="I2481" i="47"/>
  <c r="G2481" i="47" a="1"/>
  <c r="G2481" i="47" s="1"/>
  <c r="K2481" i="47" s="1"/>
  <c r="E2481" i="47"/>
  <c r="L2480" i="47"/>
  <c r="J2480" i="47"/>
  <c r="H2480" i="47" s="1" a="1"/>
  <c r="H2480" i="47" s="1"/>
  <c r="G2480" i="47" s="1" a="1"/>
  <c r="G2480" i="47" s="1"/>
  <c r="K2480" i="47" s="1"/>
  <c r="I2480" i="47"/>
  <c r="E2480" i="47"/>
  <c r="L2479" i="47"/>
  <c r="J2479" i="47"/>
  <c r="H2479" i="47" s="1" a="1"/>
  <c r="H2479" i="47" s="1"/>
  <c r="I2479" i="47"/>
  <c r="E2479" i="47"/>
  <c r="L2478" i="47"/>
  <c r="J2478" i="47"/>
  <c r="H2478" i="47" s="1" a="1"/>
  <c r="H2478" i="47" s="1"/>
  <c r="I2478" i="47"/>
  <c r="E2478" i="47"/>
  <c r="L2477" i="47"/>
  <c r="J2477" i="47"/>
  <c r="H2477" i="47" s="1" a="1"/>
  <c r="H2477" i="47" s="1"/>
  <c r="G2477" i="47" s="1" a="1"/>
  <c r="G2477" i="47" s="1"/>
  <c r="K2477" i="47" s="1"/>
  <c r="I2477" i="47"/>
  <c r="E2477" i="47"/>
  <c r="L2476" i="47"/>
  <c r="J2476" i="47"/>
  <c r="H2476" i="47" s="1" a="1"/>
  <c r="H2476" i="47" s="1"/>
  <c r="G2476" i="47" s="1" a="1"/>
  <c r="G2476" i="47" s="1"/>
  <c r="K2476" i="47" s="1"/>
  <c r="I2476" i="47"/>
  <c r="E2476" i="47"/>
  <c r="L2475" i="47"/>
  <c r="J2475" i="47"/>
  <c r="H2475" i="47" s="1" a="1"/>
  <c r="H2475" i="47" s="1"/>
  <c r="I2475" i="47"/>
  <c r="E2475" i="47"/>
  <c r="L2474" i="47"/>
  <c r="J2474" i="47"/>
  <c r="H2474" i="47" s="1" a="1"/>
  <c r="H2474" i="47" s="1"/>
  <c r="G2474" i="47" s="1" a="1"/>
  <c r="G2474" i="47" s="1"/>
  <c r="I2474" i="47"/>
  <c r="E2474" i="47"/>
  <c r="L2473" i="47"/>
  <c r="J2473" i="47"/>
  <c r="H2473" i="47" s="1" a="1"/>
  <c r="H2473" i="47" s="1"/>
  <c r="I2473" i="47"/>
  <c r="E2473" i="47"/>
  <c r="L2472" i="47"/>
  <c r="J2472" i="47"/>
  <c r="H2472" i="47" s="1" a="1"/>
  <c r="H2472" i="47" s="1"/>
  <c r="G2472" i="47" s="1" a="1"/>
  <c r="G2472" i="47" s="1"/>
  <c r="K2472" i="47" s="1"/>
  <c r="I2472" i="47"/>
  <c r="E2472" i="47"/>
  <c r="L2471" i="47"/>
  <c r="J2471" i="47"/>
  <c r="H2471" i="47" s="1" a="1"/>
  <c r="H2471" i="47" s="1"/>
  <c r="G2471" i="47" s="1" a="1"/>
  <c r="G2471" i="47" s="1"/>
  <c r="I2471" i="47"/>
  <c r="E2471" i="47"/>
  <c r="L2470" i="47"/>
  <c r="J2470" i="47"/>
  <c r="I2470" i="47"/>
  <c r="H2470" i="47" a="1"/>
  <c r="H2470" i="47" s="1"/>
  <c r="E2470" i="47"/>
  <c r="L2469" i="47"/>
  <c r="J2469" i="47"/>
  <c r="H2469" i="47" s="1" a="1"/>
  <c r="H2469" i="47" s="1"/>
  <c r="I2469" i="47"/>
  <c r="E2469" i="47"/>
  <c r="L2468" i="47"/>
  <c r="J2468" i="47"/>
  <c r="H2468" i="47" s="1" a="1"/>
  <c r="H2468" i="47" s="1"/>
  <c r="I2468" i="47"/>
  <c r="E2468" i="47"/>
  <c r="L2467" i="47"/>
  <c r="J2467" i="47"/>
  <c r="H2467" i="47" s="1" a="1"/>
  <c r="H2467" i="47" s="1"/>
  <c r="G2467" i="47" s="1" a="1"/>
  <c r="G2467" i="47" s="1"/>
  <c r="I2467" i="47"/>
  <c r="E2467" i="47"/>
  <c r="L2466" i="47"/>
  <c r="J2466" i="47"/>
  <c r="H2466" i="47" s="1" a="1"/>
  <c r="H2466" i="47" s="1"/>
  <c r="I2466" i="47"/>
  <c r="E2466" i="47"/>
  <c r="L2465" i="47"/>
  <c r="J2465" i="47"/>
  <c r="I2465" i="47"/>
  <c r="F2465" i="47" a="1"/>
  <c r="F2465" i="47" s="1"/>
  <c r="E2465" i="47" s="1"/>
  <c r="L2463" i="47"/>
  <c r="J2463" i="47"/>
  <c r="H2463" i="47" s="1" a="1"/>
  <c r="H2463" i="47" s="1"/>
  <c r="I2463" i="47"/>
  <c r="E2463" i="47"/>
  <c r="L2462" i="47"/>
  <c r="J2462" i="47"/>
  <c r="H2462" i="47" s="1" a="1"/>
  <c r="H2462" i="47" s="1"/>
  <c r="G2462" i="47" s="1" a="1"/>
  <c r="G2462" i="47" s="1"/>
  <c r="K2462" i="47" s="1"/>
  <c r="I2462" i="47"/>
  <c r="E2462" i="47"/>
  <c r="L2461" i="47"/>
  <c r="J2461" i="47"/>
  <c r="H2461" i="47" s="1" a="1"/>
  <c r="H2461" i="47" s="1"/>
  <c r="G2461" i="47" s="1" a="1"/>
  <c r="G2461" i="47" s="1"/>
  <c r="K2461" i="47" s="1"/>
  <c r="I2461" i="47"/>
  <c r="E2461" i="47"/>
  <c r="L2460" i="47"/>
  <c r="J2460" i="47"/>
  <c r="H2460" i="47" s="1" a="1"/>
  <c r="H2460" i="47" s="1"/>
  <c r="G2460" i="47" s="1" a="1"/>
  <c r="G2460" i="47" s="1"/>
  <c r="K2460" i="47" s="1"/>
  <c r="I2460" i="47"/>
  <c r="E2460" i="47"/>
  <c r="L2459" i="47"/>
  <c r="J2459" i="47"/>
  <c r="H2459" i="47" s="1" a="1"/>
  <c r="H2459" i="47" s="1"/>
  <c r="I2459" i="47"/>
  <c r="E2459" i="47"/>
  <c r="L2458" i="47"/>
  <c r="J2458" i="47"/>
  <c r="H2458" i="47" s="1" a="1"/>
  <c r="H2458" i="47" s="1"/>
  <c r="I2458" i="47"/>
  <c r="E2458" i="47"/>
  <c r="L2457" i="47"/>
  <c r="J2457" i="47"/>
  <c r="H2457" i="47" s="1" a="1"/>
  <c r="H2457" i="47" s="1"/>
  <c r="I2457" i="47"/>
  <c r="E2457" i="47"/>
  <c r="L2456" i="47"/>
  <c r="J2456" i="47"/>
  <c r="I2456" i="47"/>
  <c r="H2456" i="47" a="1"/>
  <c r="H2456" i="47" s="1"/>
  <c r="G2456" i="47" s="1" a="1"/>
  <c r="G2456" i="47" s="1"/>
  <c r="K2456" i="47" s="1"/>
  <c r="E2456" i="47"/>
  <c r="L2455" i="47"/>
  <c r="J2455" i="47"/>
  <c r="I2455" i="47"/>
  <c r="H2455" i="47" a="1"/>
  <c r="H2455" i="47" s="1"/>
  <c r="G2455" i="47" s="1" a="1"/>
  <c r="G2455" i="47" s="1"/>
  <c r="E2455" i="47"/>
  <c r="L2454" i="47"/>
  <c r="J2454" i="47"/>
  <c r="H2454" i="47" s="1" a="1"/>
  <c r="H2454" i="47" s="1"/>
  <c r="G2454" i="47" s="1" a="1"/>
  <c r="G2454" i="47" s="1"/>
  <c r="K2454" i="47" s="1"/>
  <c r="I2454" i="47"/>
  <c r="E2454" i="47"/>
  <c r="L2453" i="47"/>
  <c r="J2453" i="47"/>
  <c r="H2453" i="47" s="1" a="1"/>
  <c r="H2453" i="47" s="1"/>
  <c r="G2453" i="47" s="1" a="1"/>
  <c r="G2453" i="47" s="1"/>
  <c r="K2453" i="47" s="1"/>
  <c r="I2453" i="47"/>
  <c r="E2453" i="47"/>
  <c r="L2452" i="47"/>
  <c r="J2452" i="47"/>
  <c r="H2452" i="47" s="1" a="1"/>
  <c r="H2452" i="47" s="1"/>
  <c r="G2452" i="47" s="1" a="1"/>
  <c r="G2452" i="47" s="1"/>
  <c r="I2452" i="47"/>
  <c r="E2452" i="47"/>
  <c r="L2451" i="47"/>
  <c r="J2451" i="47"/>
  <c r="H2451" i="47" s="1" a="1"/>
  <c r="H2451" i="47" s="1"/>
  <c r="G2451" i="47" s="1" a="1"/>
  <c r="G2451" i="47" s="1"/>
  <c r="K2451" i="47" s="1"/>
  <c r="I2451" i="47"/>
  <c r="E2451" i="47"/>
  <c r="L2450" i="47"/>
  <c r="J2450" i="47"/>
  <c r="I2450" i="47"/>
  <c r="H2450" i="47" a="1"/>
  <c r="H2450" i="47" s="1"/>
  <c r="E2450" i="47"/>
  <c r="L2449" i="47"/>
  <c r="J2449" i="47"/>
  <c r="H2449" i="47" s="1" a="1"/>
  <c r="H2449" i="47" s="1"/>
  <c r="G2449" i="47" s="1" a="1"/>
  <c r="G2449" i="47" s="1"/>
  <c r="K2449" i="47" s="1"/>
  <c r="I2449" i="47"/>
  <c r="E2449" i="47"/>
  <c r="L2448" i="47"/>
  <c r="J2448" i="47"/>
  <c r="H2448" i="47" s="1" a="1"/>
  <c r="H2448" i="47" s="1"/>
  <c r="G2448" i="47" s="1" a="1"/>
  <c r="G2448" i="47" s="1"/>
  <c r="K2448" i="47" s="1"/>
  <c r="I2448" i="47"/>
  <c r="E2448" i="47"/>
  <c r="L2447" i="47"/>
  <c r="J2447" i="47"/>
  <c r="H2447" i="47" s="1" a="1"/>
  <c r="H2447" i="47" s="1"/>
  <c r="I2447" i="47"/>
  <c r="E2447" i="47"/>
  <c r="L2446" i="47"/>
  <c r="J2446" i="47"/>
  <c r="H2446" i="47" s="1" a="1"/>
  <c r="H2446" i="47" s="1"/>
  <c r="I2446" i="47"/>
  <c r="E2446" i="47"/>
  <c r="L2445" i="47"/>
  <c r="J2445" i="47"/>
  <c r="H2445" i="47" s="1" a="1"/>
  <c r="H2445" i="47" s="1"/>
  <c r="G2445" i="47" s="1" a="1"/>
  <c r="G2445" i="47" s="1"/>
  <c r="K2445" i="47" s="1"/>
  <c r="I2445" i="47"/>
  <c r="E2445" i="47"/>
  <c r="L2444" i="47"/>
  <c r="J2444" i="47"/>
  <c r="H2444" i="47" s="1" a="1"/>
  <c r="H2444" i="47" s="1"/>
  <c r="G2444" i="47" s="1" a="1"/>
  <c r="G2444" i="47" s="1"/>
  <c r="K2444" i="47" s="1"/>
  <c r="I2444" i="47"/>
  <c r="E2444" i="47"/>
  <c r="L2443" i="47"/>
  <c r="J2443" i="47"/>
  <c r="H2443" i="47" s="1" a="1"/>
  <c r="H2443" i="47" s="1"/>
  <c r="G2443" i="47" s="1" a="1"/>
  <c r="G2443" i="47" s="1"/>
  <c r="I2443" i="47"/>
  <c r="E2443" i="47"/>
  <c r="L2442" i="47"/>
  <c r="J2442" i="47"/>
  <c r="I2442" i="47"/>
  <c r="G2442" i="47" s="1" a="1"/>
  <c r="G2442" i="47" s="1"/>
  <c r="K2442" i="47" s="1"/>
  <c r="H2442" i="47" a="1"/>
  <c r="H2442" i="47" s="1"/>
  <c r="E2442" i="47"/>
  <c r="L2441" i="47"/>
  <c r="J2441" i="47"/>
  <c r="H2441" i="47" s="1" a="1"/>
  <c r="H2441" i="47" s="1"/>
  <c r="G2441" i="47" s="1" a="1"/>
  <c r="G2441" i="47" s="1"/>
  <c r="K2441" i="47" s="1"/>
  <c r="I2441" i="47"/>
  <c r="E2441" i="47"/>
  <c r="L2440" i="47"/>
  <c r="J2440" i="47"/>
  <c r="H2440" i="47" s="1" a="1"/>
  <c r="H2440" i="47" s="1"/>
  <c r="I2440" i="47"/>
  <c r="E2440" i="47"/>
  <c r="L2439" i="47"/>
  <c r="J2439" i="47"/>
  <c r="H2439" i="47" s="1" a="1"/>
  <c r="H2439" i="47" s="1"/>
  <c r="G2439" i="47" s="1" a="1"/>
  <c r="G2439" i="47" s="1"/>
  <c r="K2439" i="47" s="1"/>
  <c r="I2439" i="47"/>
  <c r="E2439" i="47"/>
  <c r="L2438" i="47"/>
  <c r="J2438" i="47"/>
  <c r="H2438" i="47" s="1" a="1"/>
  <c r="H2438" i="47" s="1"/>
  <c r="G2438" i="47" s="1" a="1"/>
  <c r="G2438" i="47" s="1"/>
  <c r="K2438" i="47" s="1"/>
  <c r="I2438" i="47"/>
  <c r="E2438" i="47"/>
  <c r="L2437" i="47"/>
  <c r="J2437" i="47"/>
  <c r="H2437" i="47" s="1" a="1"/>
  <c r="H2437" i="47" s="1"/>
  <c r="I2437" i="47"/>
  <c r="E2437" i="47"/>
  <c r="L2436" i="47"/>
  <c r="J2436" i="47"/>
  <c r="H2436" i="47" s="1" a="1"/>
  <c r="H2436" i="47" s="1"/>
  <c r="G2436" i="47" s="1" a="1"/>
  <c r="G2436" i="47" s="1"/>
  <c r="K2436" i="47" s="1"/>
  <c r="I2436" i="47"/>
  <c r="E2436" i="47"/>
  <c r="L2435" i="47"/>
  <c r="J2435" i="47"/>
  <c r="H2435" i="47" s="1" a="1"/>
  <c r="H2435" i="47" s="1"/>
  <c r="I2435" i="47"/>
  <c r="E2435" i="47"/>
  <c r="L2434" i="47"/>
  <c r="J2434" i="47"/>
  <c r="H2434" i="47" s="1" a="1"/>
  <c r="H2434" i="47" s="1"/>
  <c r="I2434" i="47"/>
  <c r="E2434" i="47"/>
  <c r="L2433" i="47"/>
  <c r="J2433" i="47"/>
  <c r="H2433" i="47" s="1" a="1"/>
  <c r="H2433" i="47" s="1"/>
  <c r="I2433" i="47"/>
  <c r="E2433" i="47"/>
  <c r="L2432" i="47"/>
  <c r="J2432" i="47"/>
  <c r="I2432" i="47"/>
  <c r="H2432" i="47" a="1"/>
  <c r="H2432" i="47" s="1"/>
  <c r="E2432" i="47"/>
  <c r="L2431" i="47"/>
  <c r="J2431" i="47"/>
  <c r="H2431" i="47" s="1" a="1"/>
  <c r="H2431" i="47" s="1"/>
  <c r="G2431" i="47" s="1" a="1"/>
  <c r="G2431" i="47" s="1"/>
  <c r="I2431" i="47"/>
  <c r="E2431" i="47"/>
  <c r="L2430" i="47"/>
  <c r="J2430" i="47"/>
  <c r="H2430" i="47" s="1" a="1"/>
  <c r="H2430" i="47" s="1"/>
  <c r="I2430" i="47"/>
  <c r="E2430" i="47"/>
  <c r="L2429" i="47"/>
  <c r="J2429" i="47"/>
  <c r="H2429" i="47" s="1" a="1"/>
  <c r="H2429" i="47" s="1"/>
  <c r="G2429" i="47" s="1" a="1"/>
  <c r="G2429" i="47" s="1"/>
  <c r="K2429" i="47" s="1"/>
  <c r="I2429" i="47"/>
  <c r="E2429" i="47"/>
  <c r="L2428" i="47"/>
  <c r="J2428" i="47"/>
  <c r="H2428" i="47" s="1" a="1"/>
  <c r="H2428" i="47" s="1"/>
  <c r="G2428" i="47" s="1" a="1"/>
  <c r="G2428" i="47" s="1"/>
  <c r="I2428" i="47"/>
  <c r="E2428" i="47"/>
  <c r="L2427" i="47"/>
  <c r="J2427" i="47"/>
  <c r="H2427" i="47" s="1" a="1"/>
  <c r="H2427" i="47" s="1"/>
  <c r="I2427" i="47"/>
  <c r="E2427" i="47"/>
  <c r="L2426" i="47"/>
  <c r="J2426" i="47"/>
  <c r="H2426" i="47" s="1" a="1"/>
  <c r="H2426" i="47" s="1"/>
  <c r="G2426" i="47" s="1" a="1"/>
  <c r="G2426" i="47" s="1"/>
  <c r="I2426" i="47"/>
  <c r="E2426" i="47"/>
  <c r="L2425" i="47"/>
  <c r="J2425" i="47"/>
  <c r="H2425" i="47" s="1" a="1"/>
  <c r="H2425" i="47" s="1"/>
  <c r="I2425" i="47"/>
  <c r="E2425" i="47"/>
  <c r="L2424" i="47"/>
  <c r="J2424" i="47"/>
  <c r="H2424" i="47" s="1" a="1"/>
  <c r="H2424" i="47" s="1"/>
  <c r="G2424" i="47" s="1" a="1"/>
  <c r="G2424" i="47" s="1"/>
  <c r="K2424" i="47" s="1"/>
  <c r="I2424" i="47"/>
  <c r="E2424" i="47"/>
  <c r="L2423" i="47"/>
  <c r="J2423" i="47"/>
  <c r="H2423" i="47" s="1" a="1"/>
  <c r="H2423" i="47" s="1"/>
  <c r="I2423" i="47"/>
  <c r="E2423" i="47"/>
  <c r="L2422" i="47"/>
  <c r="J2422" i="47"/>
  <c r="H2422" i="47" s="1" a="1"/>
  <c r="H2422" i="47" s="1"/>
  <c r="I2422" i="47"/>
  <c r="E2422" i="47"/>
  <c r="L2421" i="47"/>
  <c r="J2421" i="47"/>
  <c r="H2421" i="47" s="1" a="1"/>
  <c r="H2421" i="47" s="1"/>
  <c r="I2421" i="47"/>
  <c r="E2421" i="47"/>
  <c r="L2420" i="47"/>
  <c r="J2420" i="47"/>
  <c r="I2420" i="47"/>
  <c r="H2420" i="47" a="1"/>
  <c r="H2420" i="47" s="1"/>
  <c r="G2420" i="47" s="1" a="1"/>
  <c r="G2420" i="47" s="1"/>
  <c r="K2420" i="47" s="1"/>
  <c r="E2420" i="47"/>
  <c r="L2419" i="47"/>
  <c r="J2419" i="47"/>
  <c r="I2419" i="47"/>
  <c r="H2419" i="47" a="1"/>
  <c r="H2419" i="47" s="1"/>
  <c r="E2419" i="47"/>
  <c r="L2418" i="47"/>
  <c r="J2418" i="47"/>
  <c r="H2418" i="47" s="1" a="1"/>
  <c r="H2418" i="47" s="1"/>
  <c r="G2418" i="47" s="1" a="1"/>
  <c r="G2418" i="47" s="1"/>
  <c r="K2418" i="47" s="1"/>
  <c r="I2418" i="47"/>
  <c r="E2418" i="47"/>
  <c r="L2417" i="47"/>
  <c r="J2417" i="47"/>
  <c r="I2417" i="47"/>
  <c r="H2417" i="47" a="1"/>
  <c r="H2417" i="47" s="1"/>
  <c r="E2417" i="47"/>
  <c r="L2416" i="47"/>
  <c r="J2416" i="47"/>
  <c r="H2416" i="47" s="1" a="1"/>
  <c r="H2416" i="47" s="1"/>
  <c r="G2416" i="47" s="1" a="1"/>
  <c r="G2416" i="47" s="1"/>
  <c r="I2416" i="47"/>
  <c r="E2416" i="47"/>
  <c r="L2415" i="47"/>
  <c r="J2415" i="47"/>
  <c r="I2415" i="47"/>
  <c r="F2415" i="47"/>
  <c r="F2415" i="47" a="1"/>
  <c r="L2413" i="47"/>
  <c r="J2413" i="47"/>
  <c r="H2413" i="47" s="1" a="1"/>
  <c r="H2413" i="47" s="1"/>
  <c r="G2413" i="47" s="1" a="1"/>
  <c r="G2413" i="47" s="1"/>
  <c r="I2413" i="47"/>
  <c r="E2413" i="47"/>
  <c r="L2412" i="47"/>
  <c r="J2412" i="47"/>
  <c r="I2412" i="47"/>
  <c r="H2412" i="47" a="1"/>
  <c r="H2412" i="47" s="1"/>
  <c r="E2412" i="47"/>
  <c r="L2411" i="47"/>
  <c r="J2411" i="47"/>
  <c r="H2411" i="47" s="1" a="1"/>
  <c r="H2411" i="47" s="1"/>
  <c r="G2411" i="47" s="1" a="1"/>
  <c r="G2411" i="47" s="1"/>
  <c r="K2411" i="47" s="1"/>
  <c r="I2411" i="47"/>
  <c r="E2411" i="47"/>
  <c r="L2410" i="47"/>
  <c r="J2410" i="47"/>
  <c r="H2410" i="47" s="1" a="1"/>
  <c r="H2410" i="47" s="1"/>
  <c r="G2410" i="47" s="1" a="1"/>
  <c r="G2410" i="47" s="1"/>
  <c r="K2410" i="47" s="1"/>
  <c r="I2410" i="47"/>
  <c r="E2410" i="47"/>
  <c r="L2409" i="47"/>
  <c r="J2409" i="47"/>
  <c r="H2409" i="47" s="1" a="1"/>
  <c r="H2409" i="47" s="1"/>
  <c r="I2409" i="47"/>
  <c r="E2409" i="47"/>
  <c r="L2408" i="47"/>
  <c r="J2408" i="47"/>
  <c r="H2408" i="47" s="1" a="1"/>
  <c r="H2408" i="47" s="1"/>
  <c r="I2408" i="47"/>
  <c r="E2408" i="47"/>
  <c r="L2407" i="47"/>
  <c r="J2407" i="47"/>
  <c r="H2407" i="47" s="1" a="1"/>
  <c r="H2407" i="47" s="1"/>
  <c r="I2407" i="47"/>
  <c r="E2407" i="47"/>
  <c r="L2406" i="47"/>
  <c r="J2406" i="47"/>
  <c r="H2406" i="47" s="1" a="1"/>
  <c r="H2406" i="47" s="1"/>
  <c r="I2406" i="47"/>
  <c r="E2406" i="47"/>
  <c r="L2405" i="47"/>
  <c r="J2405" i="47"/>
  <c r="H2405" i="47" s="1" a="1"/>
  <c r="H2405" i="47" s="1"/>
  <c r="G2405" i="47" s="1" a="1"/>
  <c r="G2405" i="47" s="1"/>
  <c r="K2405" i="47" s="1"/>
  <c r="I2405" i="47"/>
  <c r="E2405" i="47"/>
  <c r="L2404" i="47"/>
  <c r="J2404" i="47"/>
  <c r="H2404" i="47" s="1" a="1"/>
  <c r="H2404" i="47" s="1"/>
  <c r="G2404" i="47" s="1" a="1"/>
  <c r="G2404" i="47" s="1"/>
  <c r="I2404" i="47"/>
  <c r="E2404" i="47"/>
  <c r="L2403" i="47"/>
  <c r="J2403" i="47"/>
  <c r="I2403" i="47"/>
  <c r="H2403" i="47" a="1"/>
  <c r="H2403" i="47" s="1"/>
  <c r="G2403" i="47" s="1" a="1"/>
  <c r="G2403" i="47" s="1"/>
  <c r="K2403" i="47" s="1"/>
  <c r="E2403" i="47"/>
  <c r="L2402" i="47"/>
  <c r="J2402" i="47"/>
  <c r="H2402" i="47" s="1" a="1"/>
  <c r="H2402" i="47" s="1"/>
  <c r="G2402" i="47" s="1" a="1"/>
  <c r="G2402" i="47" s="1"/>
  <c r="K2402" i="47" s="1"/>
  <c r="I2402" i="47"/>
  <c r="E2402" i="47"/>
  <c r="L2401" i="47"/>
  <c r="J2401" i="47"/>
  <c r="H2401" i="47" s="1" a="1"/>
  <c r="H2401" i="47" s="1"/>
  <c r="I2401" i="47"/>
  <c r="E2401" i="47"/>
  <c r="L2400" i="47"/>
  <c r="J2400" i="47"/>
  <c r="H2400" i="47" s="1" a="1"/>
  <c r="H2400" i="47" s="1"/>
  <c r="I2400" i="47"/>
  <c r="E2400" i="47"/>
  <c r="L2399" i="47"/>
  <c r="J2399" i="47"/>
  <c r="I2399" i="47"/>
  <c r="H2399" i="47" a="1"/>
  <c r="H2399" i="47" s="1"/>
  <c r="G2399" i="47" s="1" a="1"/>
  <c r="G2399" i="47" s="1"/>
  <c r="E2399" i="47"/>
  <c r="L2398" i="47"/>
  <c r="J2398" i="47"/>
  <c r="H2398" i="47" s="1" a="1"/>
  <c r="H2398" i="47" s="1"/>
  <c r="G2398" i="47" s="1" a="1"/>
  <c r="G2398" i="47" s="1"/>
  <c r="K2398" i="47" s="1"/>
  <c r="I2398" i="47"/>
  <c r="E2398" i="47"/>
  <c r="L2397" i="47"/>
  <c r="J2397" i="47"/>
  <c r="H2397" i="47" s="1" a="1"/>
  <c r="H2397" i="47" s="1"/>
  <c r="G2397" i="47" s="1" a="1"/>
  <c r="G2397" i="47" s="1"/>
  <c r="K2397" i="47" s="1"/>
  <c r="I2397" i="47"/>
  <c r="E2397" i="47"/>
  <c r="L2396" i="47"/>
  <c r="J2396" i="47"/>
  <c r="H2396" i="47" s="1" a="1"/>
  <c r="H2396" i="47" s="1"/>
  <c r="I2396" i="47"/>
  <c r="E2396" i="47"/>
  <c r="L2395" i="47"/>
  <c r="J2395" i="47"/>
  <c r="H2395" i="47" s="1" a="1"/>
  <c r="H2395" i="47" s="1"/>
  <c r="G2395" i="47" s="1" a="1"/>
  <c r="G2395" i="47" s="1"/>
  <c r="K2395" i="47" s="1"/>
  <c r="I2395" i="47"/>
  <c r="E2395" i="47"/>
  <c r="L2394" i="47"/>
  <c r="J2394" i="47"/>
  <c r="H2394" i="47" s="1" a="1"/>
  <c r="H2394" i="47" s="1"/>
  <c r="I2394" i="47"/>
  <c r="E2394" i="47"/>
  <c r="L2393" i="47"/>
  <c r="J2393" i="47"/>
  <c r="I2393" i="47"/>
  <c r="H2393" i="47" a="1"/>
  <c r="H2393" i="47" s="1"/>
  <c r="E2393" i="47"/>
  <c r="L2392" i="47"/>
  <c r="J2392" i="47"/>
  <c r="H2392" i="47" s="1" a="1"/>
  <c r="H2392" i="47" s="1"/>
  <c r="G2392" i="47" s="1" a="1"/>
  <c r="G2392" i="47" s="1"/>
  <c r="I2392" i="47"/>
  <c r="E2392" i="47"/>
  <c r="L2391" i="47"/>
  <c r="J2391" i="47"/>
  <c r="I2391" i="47"/>
  <c r="H2391" i="47" a="1"/>
  <c r="H2391" i="47" s="1"/>
  <c r="E2391" i="47"/>
  <c r="L2390" i="47"/>
  <c r="J2390" i="47"/>
  <c r="I2390" i="47"/>
  <c r="H2390" i="47" a="1"/>
  <c r="H2390" i="47" s="1"/>
  <c r="E2390" i="47"/>
  <c r="L2389" i="47"/>
  <c r="J2389" i="47"/>
  <c r="H2389" i="47" s="1" a="1"/>
  <c r="H2389" i="47" s="1"/>
  <c r="I2389" i="47"/>
  <c r="E2389" i="47"/>
  <c r="L2388" i="47"/>
  <c r="J2388" i="47"/>
  <c r="H2388" i="47" s="1" a="1"/>
  <c r="H2388" i="47" s="1"/>
  <c r="G2388" i="47" s="1" a="1"/>
  <c r="G2388" i="47" s="1"/>
  <c r="K2388" i="47" s="1"/>
  <c r="I2388" i="47"/>
  <c r="E2388" i="47"/>
  <c r="L2387" i="47"/>
  <c r="J2387" i="47"/>
  <c r="I2387" i="47"/>
  <c r="H2387" i="47" a="1"/>
  <c r="H2387" i="47" s="1"/>
  <c r="E2387" i="47"/>
  <c r="L2386" i="47"/>
  <c r="J2386" i="47"/>
  <c r="H2386" i="47" s="1" a="1"/>
  <c r="H2386" i="47" s="1"/>
  <c r="G2386" i="47" s="1" a="1"/>
  <c r="G2386" i="47" s="1"/>
  <c r="I2386" i="47"/>
  <c r="E2386" i="47"/>
  <c r="L2385" i="47"/>
  <c r="J2385" i="47"/>
  <c r="I2385" i="47"/>
  <c r="H2385" i="47" a="1"/>
  <c r="H2385" i="47" s="1"/>
  <c r="G2385" i="47" s="1" a="1"/>
  <c r="G2385" i="47" s="1"/>
  <c r="K2385" i="47" s="1"/>
  <c r="E2385" i="47"/>
  <c r="L2384" i="47"/>
  <c r="J2384" i="47"/>
  <c r="H2384" i="47" s="1" a="1"/>
  <c r="H2384" i="47" s="1"/>
  <c r="G2384" i="47" s="1" a="1"/>
  <c r="G2384" i="47" s="1"/>
  <c r="K2384" i="47" s="1"/>
  <c r="I2384" i="47"/>
  <c r="E2384" i="47"/>
  <c r="L2383" i="47"/>
  <c r="J2383" i="47"/>
  <c r="H2383" i="47" s="1" a="1"/>
  <c r="H2383" i="47" s="1"/>
  <c r="I2383" i="47"/>
  <c r="G2383" i="47" a="1"/>
  <c r="G2383" i="47" s="1"/>
  <c r="K2383" i="47" s="1"/>
  <c r="E2383" i="47"/>
  <c r="L2382" i="47"/>
  <c r="J2382" i="47"/>
  <c r="H2382" i="47" s="1" a="1"/>
  <c r="H2382" i="47" s="1"/>
  <c r="I2382" i="47"/>
  <c r="E2382" i="47"/>
  <c r="L2381" i="47"/>
  <c r="J2381" i="47"/>
  <c r="H2381" i="47" s="1" a="1"/>
  <c r="I2381" i="47"/>
  <c r="H2381" i="47"/>
  <c r="G2381" i="47" s="1" a="1"/>
  <c r="G2381" i="47" s="1"/>
  <c r="E2381" i="47"/>
  <c r="L2380" i="47"/>
  <c r="J2380" i="47"/>
  <c r="H2380" i="47" s="1" a="1"/>
  <c r="H2380" i="47" s="1"/>
  <c r="G2380" i="47" s="1" a="1"/>
  <c r="G2380" i="47" s="1"/>
  <c r="K2380" i="47" s="1"/>
  <c r="I2380" i="47"/>
  <c r="E2380" i="47"/>
  <c r="L2379" i="47"/>
  <c r="J2379" i="47"/>
  <c r="H2379" i="47" s="1" a="1"/>
  <c r="H2379" i="47" s="1"/>
  <c r="I2379" i="47"/>
  <c r="E2379" i="47"/>
  <c r="L2378" i="47"/>
  <c r="J2378" i="47"/>
  <c r="H2378" i="47" s="1" a="1"/>
  <c r="H2378" i="47" s="1"/>
  <c r="G2378" i="47" s="1" a="1"/>
  <c r="G2378" i="47" s="1"/>
  <c r="K2378" i="47" s="1"/>
  <c r="I2378" i="47"/>
  <c r="E2378" i="47"/>
  <c r="L2377" i="47"/>
  <c r="J2377" i="47"/>
  <c r="H2377" i="47" s="1" a="1"/>
  <c r="H2377" i="47" s="1"/>
  <c r="I2377" i="47"/>
  <c r="E2377" i="47"/>
  <c r="L2376" i="47"/>
  <c r="J2376" i="47"/>
  <c r="H2376" i="47" s="1" a="1"/>
  <c r="H2376" i="47" s="1"/>
  <c r="I2376" i="47"/>
  <c r="E2376" i="47"/>
  <c r="L2375" i="47"/>
  <c r="J2375" i="47"/>
  <c r="H2375" i="47" s="1" a="1"/>
  <c r="H2375" i="47" s="1"/>
  <c r="I2375" i="47"/>
  <c r="E2375" i="47"/>
  <c r="L2374" i="47"/>
  <c r="J2374" i="47"/>
  <c r="H2374" i="47" s="1" a="1"/>
  <c r="H2374" i="47" s="1"/>
  <c r="G2374" i="47" s="1" a="1"/>
  <c r="G2374" i="47" s="1"/>
  <c r="K2374" i="47" s="1"/>
  <c r="I2374" i="47"/>
  <c r="E2374" i="47"/>
  <c r="L2373" i="47"/>
  <c r="J2373" i="47"/>
  <c r="I2373" i="47"/>
  <c r="H2373" i="47" a="1"/>
  <c r="H2373" i="47" s="1"/>
  <c r="G2373" i="47" s="1" a="1"/>
  <c r="G2373" i="47" s="1"/>
  <c r="K2373" i="47" s="1"/>
  <c r="E2373" i="47"/>
  <c r="L2372" i="47"/>
  <c r="J2372" i="47"/>
  <c r="H2372" i="47" s="1" a="1"/>
  <c r="H2372" i="47" s="1"/>
  <c r="I2372" i="47"/>
  <c r="E2372" i="47"/>
  <c r="L2371" i="47"/>
  <c r="J2371" i="47"/>
  <c r="H2371" i="47" s="1" a="1"/>
  <c r="H2371" i="47" s="1"/>
  <c r="I2371" i="47"/>
  <c r="E2371" i="47"/>
  <c r="L2370" i="47"/>
  <c r="J2370" i="47"/>
  <c r="H2370" i="47" s="1" a="1"/>
  <c r="H2370" i="47" s="1"/>
  <c r="I2370" i="47"/>
  <c r="E2370" i="47"/>
  <c r="L2369" i="47"/>
  <c r="J2369" i="47"/>
  <c r="H2369" i="47" s="1" a="1"/>
  <c r="I2369" i="47"/>
  <c r="H2369" i="47"/>
  <c r="G2369" i="47" s="1" a="1"/>
  <c r="G2369" i="47" s="1"/>
  <c r="K2369" i="47" s="1"/>
  <c r="E2369" i="47"/>
  <c r="L2368" i="47"/>
  <c r="J2368" i="47"/>
  <c r="H2368" i="47" s="1" a="1"/>
  <c r="H2368" i="47" s="1"/>
  <c r="G2368" i="47" s="1" a="1"/>
  <c r="G2368" i="47" s="1"/>
  <c r="I2368" i="47"/>
  <c r="E2368" i="47"/>
  <c r="L2367" i="47"/>
  <c r="J2367" i="47"/>
  <c r="H2367" i="47" s="1" a="1"/>
  <c r="I2367" i="47"/>
  <c r="H2367" i="47"/>
  <c r="G2367" i="47" s="1" a="1"/>
  <c r="G2367" i="47" s="1"/>
  <c r="K2367" i="47" s="1"/>
  <c r="E2367" i="47"/>
  <c r="L2366" i="47"/>
  <c r="J2366" i="47"/>
  <c r="H2366" i="47" s="1" a="1"/>
  <c r="I2366" i="47"/>
  <c r="H2366" i="47"/>
  <c r="E2366" i="47"/>
  <c r="L2365" i="47"/>
  <c r="J2365" i="47"/>
  <c r="I2365" i="47"/>
  <c r="F2365" i="47" a="1"/>
  <c r="F2365" i="47" s="1"/>
  <c r="E2365" i="47"/>
  <c r="L2363" i="47"/>
  <c r="J2363" i="47"/>
  <c r="I2363" i="47"/>
  <c r="H2363" i="47" a="1"/>
  <c r="H2363" i="47" s="1"/>
  <c r="E2363" i="47"/>
  <c r="L2362" i="47"/>
  <c r="J2362" i="47"/>
  <c r="H2362" i="47" s="1" a="1"/>
  <c r="H2362" i="47" s="1"/>
  <c r="G2362" i="47" s="1" a="1"/>
  <c r="G2362" i="47" s="1"/>
  <c r="I2362" i="47"/>
  <c r="E2362" i="47"/>
  <c r="L2361" i="47"/>
  <c r="J2361" i="47"/>
  <c r="H2361" i="47" s="1" a="1"/>
  <c r="H2361" i="47" s="1"/>
  <c r="I2361" i="47"/>
  <c r="E2361" i="47"/>
  <c r="L2360" i="47"/>
  <c r="J2360" i="47"/>
  <c r="I2360" i="47"/>
  <c r="H2360" i="47" a="1"/>
  <c r="H2360" i="47" s="1"/>
  <c r="E2360" i="47"/>
  <c r="L2359" i="47"/>
  <c r="J2359" i="47"/>
  <c r="H2359" i="47" s="1" a="1"/>
  <c r="H2359" i="47" s="1"/>
  <c r="G2359" i="47" s="1" a="1"/>
  <c r="G2359" i="47" s="1"/>
  <c r="K2359" i="47" s="1"/>
  <c r="I2359" i="47"/>
  <c r="E2359" i="47"/>
  <c r="L2358" i="47"/>
  <c r="J2358" i="47"/>
  <c r="H2358" i="47" s="1" a="1"/>
  <c r="H2358" i="47" s="1"/>
  <c r="I2358" i="47"/>
  <c r="E2358" i="47"/>
  <c r="L2357" i="47"/>
  <c r="J2357" i="47"/>
  <c r="H2357" i="47" s="1" a="1"/>
  <c r="H2357" i="47" s="1"/>
  <c r="I2357" i="47"/>
  <c r="E2357" i="47"/>
  <c r="L2356" i="47"/>
  <c r="J2356" i="47"/>
  <c r="H2356" i="47" s="1" a="1"/>
  <c r="H2356" i="47" s="1"/>
  <c r="G2356" i="47" s="1" a="1"/>
  <c r="G2356" i="47" s="1"/>
  <c r="I2356" i="47"/>
  <c r="E2356" i="47"/>
  <c r="L2355" i="47"/>
  <c r="J2355" i="47"/>
  <c r="I2355" i="47"/>
  <c r="H2355" i="47" a="1"/>
  <c r="H2355" i="47" s="1"/>
  <c r="E2355" i="47"/>
  <c r="L2354" i="47"/>
  <c r="J2354" i="47"/>
  <c r="H2354" i="47" s="1" a="1"/>
  <c r="H2354" i="47" s="1"/>
  <c r="I2354" i="47"/>
  <c r="E2354" i="47"/>
  <c r="L2353" i="47"/>
  <c r="J2353" i="47"/>
  <c r="H2353" i="47" s="1" a="1"/>
  <c r="H2353" i="47" s="1"/>
  <c r="G2353" i="47" s="1" a="1"/>
  <c r="G2353" i="47" s="1"/>
  <c r="K2353" i="47" s="1"/>
  <c r="I2353" i="47"/>
  <c r="E2353" i="47"/>
  <c r="L2352" i="47"/>
  <c r="J2352" i="47"/>
  <c r="H2352" i="47" s="1" a="1"/>
  <c r="I2352" i="47"/>
  <c r="H2352" i="47"/>
  <c r="E2352" i="47"/>
  <c r="L2351" i="47"/>
  <c r="J2351" i="47"/>
  <c r="H2351" i="47" s="1" a="1"/>
  <c r="H2351" i="47" s="1"/>
  <c r="G2351" i="47" s="1" a="1"/>
  <c r="G2351" i="47" s="1"/>
  <c r="I2351" i="47"/>
  <c r="E2351" i="47"/>
  <c r="L2350" i="47"/>
  <c r="J2350" i="47"/>
  <c r="I2350" i="47"/>
  <c r="H2350" i="47" a="1"/>
  <c r="H2350" i="47" s="1"/>
  <c r="G2350" i="47" s="1" a="1"/>
  <c r="G2350" i="47" s="1"/>
  <c r="K2350" i="47" s="1"/>
  <c r="E2350" i="47"/>
  <c r="L2349" i="47"/>
  <c r="J2349" i="47"/>
  <c r="H2349" i="47" s="1" a="1"/>
  <c r="H2349" i="47" s="1"/>
  <c r="G2349" i="47" s="1" a="1"/>
  <c r="G2349" i="47" s="1"/>
  <c r="K2349" i="47" s="1"/>
  <c r="I2349" i="47"/>
  <c r="E2349" i="47"/>
  <c r="L2348" i="47"/>
  <c r="J2348" i="47"/>
  <c r="I2348" i="47"/>
  <c r="H2348" i="47" a="1"/>
  <c r="H2348" i="47" s="1"/>
  <c r="G2348" i="47" s="1" a="1"/>
  <c r="G2348" i="47" s="1"/>
  <c r="K2348" i="47" s="1"/>
  <c r="E2348" i="47"/>
  <c r="L2347" i="47"/>
  <c r="J2347" i="47"/>
  <c r="H2347" i="47" s="1" a="1"/>
  <c r="H2347" i="47" s="1"/>
  <c r="I2347" i="47"/>
  <c r="E2347" i="47"/>
  <c r="L2346" i="47"/>
  <c r="J2346" i="47"/>
  <c r="H2346" i="47" s="1" a="1"/>
  <c r="H2346" i="47" s="1"/>
  <c r="I2346" i="47"/>
  <c r="E2346" i="47"/>
  <c r="L2345" i="47"/>
  <c r="J2345" i="47"/>
  <c r="H2345" i="47" s="1" a="1"/>
  <c r="H2345" i="47" s="1"/>
  <c r="I2345" i="47"/>
  <c r="E2345" i="47"/>
  <c r="L2344" i="47"/>
  <c r="J2344" i="47"/>
  <c r="H2344" i="47" s="1" a="1"/>
  <c r="H2344" i="47" s="1"/>
  <c r="G2344" i="47" s="1" a="1"/>
  <c r="G2344" i="47" s="1"/>
  <c r="K2344" i="47" s="1"/>
  <c r="I2344" i="47"/>
  <c r="E2344" i="47"/>
  <c r="L2343" i="47"/>
  <c r="J2343" i="47"/>
  <c r="H2343" i="47" s="1" a="1"/>
  <c r="H2343" i="47" s="1"/>
  <c r="I2343" i="47"/>
  <c r="E2343" i="47"/>
  <c r="L2342" i="47"/>
  <c r="J2342" i="47"/>
  <c r="H2342" i="47" s="1" a="1"/>
  <c r="H2342" i="47" s="1"/>
  <c r="I2342" i="47"/>
  <c r="E2342" i="47"/>
  <c r="L2341" i="47"/>
  <c r="J2341" i="47"/>
  <c r="H2341" i="47" s="1" a="1"/>
  <c r="H2341" i="47" s="1"/>
  <c r="G2341" i="47" s="1" a="1"/>
  <c r="G2341" i="47" s="1"/>
  <c r="K2341" i="47" s="1"/>
  <c r="I2341" i="47"/>
  <c r="E2341" i="47"/>
  <c r="L2340" i="47"/>
  <c r="J2340" i="47"/>
  <c r="H2340" i="47" s="1" a="1"/>
  <c r="H2340" i="47" s="1"/>
  <c r="I2340" i="47"/>
  <c r="E2340" i="47"/>
  <c r="L2339" i="47"/>
  <c r="J2339" i="47"/>
  <c r="H2339" i="47" s="1" a="1"/>
  <c r="H2339" i="47" s="1"/>
  <c r="I2339" i="47"/>
  <c r="E2339" i="47"/>
  <c r="L2338" i="47"/>
  <c r="J2338" i="47"/>
  <c r="H2338" i="47" s="1" a="1"/>
  <c r="H2338" i="47" s="1"/>
  <c r="I2338" i="47"/>
  <c r="E2338" i="47"/>
  <c r="L2337" i="47"/>
  <c r="J2337" i="47"/>
  <c r="H2337" i="47" s="1" a="1"/>
  <c r="H2337" i="47" s="1"/>
  <c r="G2337" i="47" s="1" a="1"/>
  <c r="G2337" i="47" s="1"/>
  <c r="K2337" i="47" s="1"/>
  <c r="I2337" i="47"/>
  <c r="E2337" i="47"/>
  <c r="L2336" i="47"/>
  <c r="J2336" i="47"/>
  <c r="H2336" i="47" s="1" a="1"/>
  <c r="H2336" i="47" s="1"/>
  <c r="G2336" i="47" s="1" a="1"/>
  <c r="G2336" i="47" s="1"/>
  <c r="K2336" i="47" s="1"/>
  <c r="I2336" i="47"/>
  <c r="E2336" i="47"/>
  <c r="L2335" i="47"/>
  <c r="J2335" i="47"/>
  <c r="I2335" i="47"/>
  <c r="H2335" i="47" a="1"/>
  <c r="H2335" i="47" s="1"/>
  <c r="G2335" i="47" s="1" a="1"/>
  <c r="G2335" i="47" s="1"/>
  <c r="E2335" i="47"/>
  <c r="L2334" i="47"/>
  <c r="J2334" i="47"/>
  <c r="H2334" i="47" s="1" a="1"/>
  <c r="H2334" i="47" s="1"/>
  <c r="G2334" i="47" s="1" a="1"/>
  <c r="G2334" i="47" s="1"/>
  <c r="I2334" i="47"/>
  <c r="E2334" i="47"/>
  <c r="L2333" i="47"/>
  <c r="J2333" i="47"/>
  <c r="H2333" i="47" s="1" a="1"/>
  <c r="H2333" i="47" s="1"/>
  <c r="I2333" i="47"/>
  <c r="E2333" i="47"/>
  <c r="L2332" i="47"/>
  <c r="J2332" i="47"/>
  <c r="H2332" i="47" s="1" a="1"/>
  <c r="H2332" i="47" s="1"/>
  <c r="G2332" i="47" s="1" a="1"/>
  <c r="G2332" i="47" s="1"/>
  <c r="K2332" i="47" s="1"/>
  <c r="I2332" i="47"/>
  <c r="E2332" i="47"/>
  <c r="L2331" i="47"/>
  <c r="J2331" i="47"/>
  <c r="H2331" i="47" s="1" a="1"/>
  <c r="H2331" i="47" s="1"/>
  <c r="I2331" i="47"/>
  <c r="E2331" i="47"/>
  <c r="L2330" i="47"/>
  <c r="J2330" i="47"/>
  <c r="H2330" i="47" s="1" a="1"/>
  <c r="H2330" i="47" s="1"/>
  <c r="I2330" i="47"/>
  <c r="E2330" i="47"/>
  <c r="L2329" i="47"/>
  <c r="J2329" i="47"/>
  <c r="H2329" i="47" s="1" a="1"/>
  <c r="H2329" i="47" s="1"/>
  <c r="I2329" i="47"/>
  <c r="E2329" i="47"/>
  <c r="L2328" i="47"/>
  <c r="J2328" i="47"/>
  <c r="I2328" i="47"/>
  <c r="H2328" i="47" a="1"/>
  <c r="H2328" i="47" s="1"/>
  <c r="E2328" i="47"/>
  <c r="L2327" i="47"/>
  <c r="J2327" i="47"/>
  <c r="H2327" i="47" s="1" a="1"/>
  <c r="H2327" i="47" s="1"/>
  <c r="I2327" i="47"/>
  <c r="E2327" i="47"/>
  <c r="L2326" i="47"/>
  <c r="J2326" i="47"/>
  <c r="H2326" i="47" s="1" a="1"/>
  <c r="H2326" i="47" s="1"/>
  <c r="I2326" i="47"/>
  <c r="E2326" i="47"/>
  <c r="L2325" i="47"/>
  <c r="J2325" i="47"/>
  <c r="H2325" i="47" s="1" a="1"/>
  <c r="H2325" i="47" s="1"/>
  <c r="G2325" i="47" s="1" a="1"/>
  <c r="G2325" i="47" s="1"/>
  <c r="K2325" i="47" s="1"/>
  <c r="I2325" i="47"/>
  <c r="E2325" i="47"/>
  <c r="L2324" i="47"/>
  <c r="J2324" i="47"/>
  <c r="H2324" i="47" s="1" a="1"/>
  <c r="H2324" i="47" s="1"/>
  <c r="I2324" i="47"/>
  <c r="E2324" i="47"/>
  <c r="L2323" i="47"/>
  <c r="J2323" i="47"/>
  <c r="H2323" i="47" s="1" a="1"/>
  <c r="H2323" i="47" s="1"/>
  <c r="G2323" i="47" s="1" a="1"/>
  <c r="G2323" i="47" s="1"/>
  <c r="K2323" i="47" s="1"/>
  <c r="I2323" i="47"/>
  <c r="E2323" i="47"/>
  <c r="L2322" i="47"/>
  <c r="J2322" i="47"/>
  <c r="H2322" i="47" s="1" a="1"/>
  <c r="H2322" i="47" s="1"/>
  <c r="I2322" i="47"/>
  <c r="E2322" i="47"/>
  <c r="L2321" i="47"/>
  <c r="J2321" i="47"/>
  <c r="H2321" i="47" s="1" a="1"/>
  <c r="H2321" i="47" s="1"/>
  <c r="G2321" i="47" s="1" a="1"/>
  <c r="G2321" i="47" s="1"/>
  <c r="I2321" i="47"/>
  <c r="E2321" i="47"/>
  <c r="L2320" i="47"/>
  <c r="J2320" i="47"/>
  <c r="H2320" i="47" s="1" a="1"/>
  <c r="H2320" i="47" s="1"/>
  <c r="I2320" i="47"/>
  <c r="E2320" i="47"/>
  <c r="L2319" i="47"/>
  <c r="J2319" i="47"/>
  <c r="H2319" i="47" s="1" a="1"/>
  <c r="H2319" i="47" s="1"/>
  <c r="G2319" i="47" s="1" a="1"/>
  <c r="G2319" i="47" s="1"/>
  <c r="K2319" i="47" s="1"/>
  <c r="I2319" i="47"/>
  <c r="E2319" i="47"/>
  <c r="L2318" i="47"/>
  <c r="J2318" i="47"/>
  <c r="H2318" i="47" s="1" a="1"/>
  <c r="H2318" i="47" s="1"/>
  <c r="I2318" i="47"/>
  <c r="E2318" i="47"/>
  <c r="L2317" i="47"/>
  <c r="J2317" i="47"/>
  <c r="H2317" i="47" s="1" a="1"/>
  <c r="H2317" i="47" s="1"/>
  <c r="G2317" i="47" s="1" a="1"/>
  <c r="G2317" i="47" s="1"/>
  <c r="K2317" i="47" s="1"/>
  <c r="I2317" i="47"/>
  <c r="E2317" i="47"/>
  <c r="L2316" i="47"/>
  <c r="J2316" i="47"/>
  <c r="H2316" i="47" s="1" a="1"/>
  <c r="H2316" i="47" s="1"/>
  <c r="I2316" i="47"/>
  <c r="E2316" i="47"/>
  <c r="L2315" i="47"/>
  <c r="J2315" i="47"/>
  <c r="I2315" i="47"/>
  <c r="F2315" i="47" a="1"/>
  <c r="F2315" i="47" s="1"/>
  <c r="L2313" i="47"/>
  <c r="J2313" i="47"/>
  <c r="H2313" i="47" s="1" a="1"/>
  <c r="H2313" i="47" s="1"/>
  <c r="G2313" i="47" s="1" a="1"/>
  <c r="G2313" i="47" s="1"/>
  <c r="K2313" i="47" s="1"/>
  <c r="I2313" i="47"/>
  <c r="E2313" i="47"/>
  <c r="L2312" i="47"/>
  <c r="J2312" i="47"/>
  <c r="H2312" i="47" s="1" a="1"/>
  <c r="H2312" i="47" s="1"/>
  <c r="I2312" i="47"/>
  <c r="E2312" i="47"/>
  <c r="L2311" i="47"/>
  <c r="J2311" i="47"/>
  <c r="H2311" i="47" s="1" a="1"/>
  <c r="H2311" i="47" s="1"/>
  <c r="G2311" i="47" s="1" a="1"/>
  <c r="G2311" i="47" s="1"/>
  <c r="K2311" i="47" s="1"/>
  <c r="I2311" i="47"/>
  <c r="E2311" i="47"/>
  <c r="L2310" i="47"/>
  <c r="J2310" i="47"/>
  <c r="H2310" i="47" s="1" a="1"/>
  <c r="H2310" i="47" s="1"/>
  <c r="I2310" i="47"/>
  <c r="E2310" i="47"/>
  <c r="L2309" i="47"/>
  <c r="J2309" i="47"/>
  <c r="H2309" i="47" s="1" a="1"/>
  <c r="H2309" i="47" s="1"/>
  <c r="I2309" i="47"/>
  <c r="E2309" i="47"/>
  <c r="L2308" i="47"/>
  <c r="J2308" i="47"/>
  <c r="H2308" i="47" s="1" a="1"/>
  <c r="H2308" i="47" s="1"/>
  <c r="I2308" i="47"/>
  <c r="E2308" i="47"/>
  <c r="L2307" i="47"/>
  <c r="J2307" i="47"/>
  <c r="H2307" i="47" s="1" a="1"/>
  <c r="H2307" i="47" s="1"/>
  <c r="I2307" i="47"/>
  <c r="E2307" i="47"/>
  <c r="L2306" i="47"/>
  <c r="J2306" i="47"/>
  <c r="H2306" i="47" s="1" a="1"/>
  <c r="H2306" i="47" s="1"/>
  <c r="I2306" i="47"/>
  <c r="E2306" i="47"/>
  <c r="L2305" i="47"/>
  <c r="J2305" i="47"/>
  <c r="I2305" i="47"/>
  <c r="H2305" i="47" a="1"/>
  <c r="H2305" i="47" s="1"/>
  <c r="G2305" i="47" s="1" a="1"/>
  <c r="G2305" i="47" s="1"/>
  <c r="K2305" i="47" s="1"/>
  <c r="E2305" i="47"/>
  <c r="L2304" i="47"/>
  <c r="J2304" i="47"/>
  <c r="H2304" i="47" s="1" a="1"/>
  <c r="H2304" i="47" s="1"/>
  <c r="G2304" i="47" s="1" a="1"/>
  <c r="G2304" i="47" s="1"/>
  <c r="I2304" i="47"/>
  <c r="E2304" i="47"/>
  <c r="L2303" i="47"/>
  <c r="J2303" i="47"/>
  <c r="H2303" i="47" s="1" a="1"/>
  <c r="H2303" i="47" s="1"/>
  <c r="I2303" i="47"/>
  <c r="E2303" i="47"/>
  <c r="L2302" i="47"/>
  <c r="J2302" i="47"/>
  <c r="H2302" i="47" s="1" a="1"/>
  <c r="H2302" i="47" s="1"/>
  <c r="G2302" i="47" s="1" a="1"/>
  <c r="G2302" i="47" s="1"/>
  <c r="I2302" i="47"/>
  <c r="E2302" i="47"/>
  <c r="L2301" i="47"/>
  <c r="J2301" i="47"/>
  <c r="H2301" i="47" s="1" a="1"/>
  <c r="H2301" i="47" s="1"/>
  <c r="I2301" i="47"/>
  <c r="E2301" i="47"/>
  <c r="L2300" i="47"/>
  <c r="J2300" i="47"/>
  <c r="H2300" i="47" s="1" a="1"/>
  <c r="H2300" i="47" s="1"/>
  <c r="I2300" i="47"/>
  <c r="E2300" i="47"/>
  <c r="L2299" i="47"/>
  <c r="J2299" i="47"/>
  <c r="I2299" i="47"/>
  <c r="H2299" i="47" a="1"/>
  <c r="H2299" i="47" s="1"/>
  <c r="G2299" i="47" s="1" a="1"/>
  <c r="G2299" i="47" s="1"/>
  <c r="K2299" i="47" s="1"/>
  <c r="E2299" i="47"/>
  <c r="L2298" i="47"/>
  <c r="J2298" i="47"/>
  <c r="H2298" i="47" s="1" a="1"/>
  <c r="H2298" i="47" s="1"/>
  <c r="I2298" i="47"/>
  <c r="E2298" i="47"/>
  <c r="L2297" i="47"/>
  <c r="J2297" i="47"/>
  <c r="H2297" i="47" s="1" a="1"/>
  <c r="H2297" i="47" s="1"/>
  <c r="I2297" i="47"/>
  <c r="E2297" i="47"/>
  <c r="L2296" i="47"/>
  <c r="J2296" i="47"/>
  <c r="H2296" i="47" s="1" a="1"/>
  <c r="H2296" i="47" s="1"/>
  <c r="I2296" i="47"/>
  <c r="E2296" i="47"/>
  <c r="L2295" i="47"/>
  <c r="J2295" i="47"/>
  <c r="H2295" i="47" s="1" a="1"/>
  <c r="H2295" i="47" s="1"/>
  <c r="G2295" i="47" s="1" a="1"/>
  <c r="G2295" i="47" s="1"/>
  <c r="K2295" i="47" s="1"/>
  <c r="I2295" i="47"/>
  <c r="E2295" i="47"/>
  <c r="L2294" i="47"/>
  <c r="J2294" i="47"/>
  <c r="H2294" i="47" s="1" a="1"/>
  <c r="H2294" i="47" s="1"/>
  <c r="I2294" i="47"/>
  <c r="E2294" i="47"/>
  <c r="L2293" i="47"/>
  <c r="J2293" i="47"/>
  <c r="H2293" i="47" s="1" a="1"/>
  <c r="H2293" i="47" s="1"/>
  <c r="G2293" i="47" s="1" a="1"/>
  <c r="G2293" i="47" s="1"/>
  <c r="K2293" i="47" s="1"/>
  <c r="I2293" i="47"/>
  <c r="E2293" i="47"/>
  <c r="L2292" i="47"/>
  <c r="J2292" i="47"/>
  <c r="H2292" i="47" s="1" a="1"/>
  <c r="I2292" i="47"/>
  <c r="H2292" i="47"/>
  <c r="G2292" i="47" s="1" a="1"/>
  <c r="G2292" i="47" s="1"/>
  <c r="K2292" i="47" s="1"/>
  <c r="E2292" i="47"/>
  <c r="L2291" i="47"/>
  <c r="J2291" i="47"/>
  <c r="H2291" i="47" s="1" a="1"/>
  <c r="H2291" i="47" s="1"/>
  <c r="I2291" i="47"/>
  <c r="E2291" i="47"/>
  <c r="L2290" i="47"/>
  <c r="J2290" i="47"/>
  <c r="H2290" i="47" s="1" a="1"/>
  <c r="H2290" i="47" s="1"/>
  <c r="I2290" i="47"/>
  <c r="E2290" i="47"/>
  <c r="L2289" i="47"/>
  <c r="J2289" i="47"/>
  <c r="H2289" i="47" s="1" a="1"/>
  <c r="H2289" i="47" s="1"/>
  <c r="G2289" i="47" s="1" a="1"/>
  <c r="G2289" i="47" s="1"/>
  <c r="K2289" i="47" s="1"/>
  <c r="I2289" i="47"/>
  <c r="E2289" i="47"/>
  <c r="L2288" i="47"/>
  <c r="J2288" i="47"/>
  <c r="H2288" i="47" s="1" a="1"/>
  <c r="H2288" i="47" s="1"/>
  <c r="I2288" i="47"/>
  <c r="E2288" i="47"/>
  <c r="L2287" i="47"/>
  <c r="J2287" i="47"/>
  <c r="H2287" i="47" s="1" a="1"/>
  <c r="H2287" i="47" s="1"/>
  <c r="I2287" i="47"/>
  <c r="E2287" i="47"/>
  <c r="L2286" i="47"/>
  <c r="J2286" i="47"/>
  <c r="H2286" i="47" s="1" a="1"/>
  <c r="H2286" i="47" s="1"/>
  <c r="I2286" i="47"/>
  <c r="E2286" i="47"/>
  <c r="L2285" i="47"/>
  <c r="J2285" i="47"/>
  <c r="H2285" i="47" s="1" a="1"/>
  <c r="H2285" i="47" s="1"/>
  <c r="G2285" i="47" s="1" a="1"/>
  <c r="G2285" i="47" s="1"/>
  <c r="K2285" i="47" s="1"/>
  <c r="I2285" i="47"/>
  <c r="E2285" i="47"/>
  <c r="L2284" i="47"/>
  <c r="J2284" i="47"/>
  <c r="H2284" i="47" s="1" a="1"/>
  <c r="H2284" i="47" s="1"/>
  <c r="I2284" i="47"/>
  <c r="E2284" i="47"/>
  <c r="L2283" i="47"/>
  <c r="J2283" i="47"/>
  <c r="H2283" i="47" s="1" a="1"/>
  <c r="H2283" i="47" s="1"/>
  <c r="G2283" i="47" s="1" a="1"/>
  <c r="G2283" i="47" s="1"/>
  <c r="K2283" i="47" s="1"/>
  <c r="I2283" i="47"/>
  <c r="E2283" i="47"/>
  <c r="L2282" i="47"/>
  <c r="J2282" i="47"/>
  <c r="H2282" i="47" s="1" a="1"/>
  <c r="H2282" i="47" s="1"/>
  <c r="G2282" i="47" s="1" a="1"/>
  <c r="G2282" i="47" s="1"/>
  <c r="I2282" i="47"/>
  <c r="E2282" i="47"/>
  <c r="L2281" i="47"/>
  <c r="J2281" i="47"/>
  <c r="H2281" i="47" s="1" a="1"/>
  <c r="H2281" i="47" s="1"/>
  <c r="I2281" i="47"/>
  <c r="E2281" i="47"/>
  <c r="L2280" i="47"/>
  <c r="J2280" i="47"/>
  <c r="H2280" i="47" s="1" a="1"/>
  <c r="H2280" i="47" s="1"/>
  <c r="G2280" i="47" s="1" a="1"/>
  <c r="G2280" i="47" s="1"/>
  <c r="I2280" i="47"/>
  <c r="E2280" i="47"/>
  <c r="L2279" i="47"/>
  <c r="J2279" i="47"/>
  <c r="H2279" i="47" s="1" a="1"/>
  <c r="H2279" i="47" s="1"/>
  <c r="I2279" i="47"/>
  <c r="E2279" i="47"/>
  <c r="L2278" i="47"/>
  <c r="J2278" i="47"/>
  <c r="H2278" i="47" s="1" a="1"/>
  <c r="H2278" i="47" s="1"/>
  <c r="I2278" i="47"/>
  <c r="E2278" i="47"/>
  <c r="L2277" i="47"/>
  <c r="J2277" i="47"/>
  <c r="H2277" i="47" s="1" a="1"/>
  <c r="H2277" i="47" s="1"/>
  <c r="G2277" i="47" s="1" a="1"/>
  <c r="G2277" i="47" s="1"/>
  <c r="K2277" i="47" s="1"/>
  <c r="I2277" i="47"/>
  <c r="E2277" i="47"/>
  <c r="L2276" i="47"/>
  <c r="J2276" i="47"/>
  <c r="H2276" i="47" s="1" a="1"/>
  <c r="H2276" i="47" s="1"/>
  <c r="I2276" i="47"/>
  <c r="E2276" i="47"/>
  <c r="L2275" i="47"/>
  <c r="J2275" i="47"/>
  <c r="H2275" i="47" s="1" a="1"/>
  <c r="H2275" i="47" s="1"/>
  <c r="G2275" i="47" s="1" a="1"/>
  <c r="G2275" i="47" s="1"/>
  <c r="K2275" i="47" s="1"/>
  <c r="I2275" i="47"/>
  <c r="E2275" i="47"/>
  <c r="L2274" i="47"/>
  <c r="J2274" i="47"/>
  <c r="I2274" i="47"/>
  <c r="H2274" i="47" a="1"/>
  <c r="H2274" i="47" s="1"/>
  <c r="G2274" i="47" s="1" a="1"/>
  <c r="G2274" i="47" s="1"/>
  <c r="K2274" i="47" s="1"/>
  <c r="E2274" i="47"/>
  <c r="L2273" i="47"/>
  <c r="J2273" i="47"/>
  <c r="H2273" i="47" s="1" a="1"/>
  <c r="H2273" i="47" s="1"/>
  <c r="G2273" i="47" s="1" a="1"/>
  <c r="G2273" i="47" s="1"/>
  <c r="K2273" i="47" s="1"/>
  <c r="I2273" i="47"/>
  <c r="E2273" i="47"/>
  <c r="L2272" i="47"/>
  <c r="J2272" i="47"/>
  <c r="H2272" i="47" s="1" a="1"/>
  <c r="H2272" i="47" s="1"/>
  <c r="G2272" i="47" s="1" a="1"/>
  <c r="G2272" i="47" s="1"/>
  <c r="I2272" i="47"/>
  <c r="E2272" i="47"/>
  <c r="L2271" i="47"/>
  <c r="J2271" i="47"/>
  <c r="H2271" i="47" s="1" a="1"/>
  <c r="H2271" i="47" s="1"/>
  <c r="I2271" i="47"/>
  <c r="E2271" i="47"/>
  <c r="L2270" i="47"/>
  <c r="J2270" i="47"/>
  <c r="H2270" i="47" s="1" a="1"/>
  <c r="H2270" i="47" s="1"/>
  <c r="G2270" i="47" s="1" a="1"/>
  <c r="G2270" i="47" s="1"/>
  <c r="K2270" i="47" s="1"/>
  <c r="I2270" i="47"/>
  <c r="E2270" i="47"/>
  <c r="L2269" i="47"/>
  <c r="J2269" i="47"/>
  <c r="H2269" i="47" s="1" a="1"/>
  <c r="H2269" i="47" s="1"/>
  <c r="I2269" i="47"/>
  <c r="E2269" i="47"/>
  <c r="L2268" i="47"/>
  <c r="J2268" i="47"/>
  <c r="H2268" i="47" s="1" a="1"/>
  <c r="H2268" i="47" s="1"/>
  <c r="I2268" i="47"/>
  <c r="E2268" i="47"/>
  <c r="L2267" i="47"/>
  <c r="J2267" i="47"/>
  <c r="H2267" i="47" s="1" a="1"/>
  <c r="H2267" i="47" s="1"/>
  <c r="G2267" i="47" s="1" a="1"/>
  <c r="G2267" i="47" s="1"/>
  <c r="K2267" i="47" s="1"/>
  <c r="I2267" i="47"/>
  <c r="E2267" i="47"/>
  <c r="L2266" i="47"/>
  <c r="J2266" i="47"/>
  <c r="H2266" i="47" s="1" a="1"/>
  <c r="I2266" i="47"/>
  <c r="H2266" i="47"/>
  <c r="G2266" i="47" s="1" a="1"/>
  <c r="G2266" i="47" s="1"/>
  <c r="K2266" i="47" s="1"/>
  <c r="E2266" i="47"/>
  <c r="L2265" i="47"/>
  <c r="J2265" i="47"/>
  <c r="I2265" i="47"/>
  <c r="F2265" i="47" a="1"/>
  <c r="F2265" i="47" s="1"/>
  <c r="L2263" i="47"/>
  <c r="J2263" i="47"/>
  <c r="H2263" i="47" s="1" a="1"/>
  <c r="H2263" i="47" s="1"/>
  <c r="I2263" i="47"/>
  <c r="E2263" i="47"/>
  <c r="L2262" i="47"/>
  <c r="J2262" i="47"/>
  <c r="I2262" i="47"/>
  <c r="H2262" i="47" a="1"/>
  <c r="H2262" i="47" s="1"/>
  <c r="G2262" i="47" s="1" a="1"/>
  <c r="G2262" i="47" s="1"/>
  <c r="K2262" i="47" s="1"/>
  <c r="E2262" i="47"/>
  <c r="L2261" i="47"/>
  <c r="J2261" i="47"/>
  <c r="H2261" i="47" s="1" a="1"/>
  <c r="H2261" i="47" s="1"/>
  <c r="I2261" i="47"/>
  <c r="E2261" i="47"/>
  <c r="L2260" i="47"/>
  <c r="J2260" i="47"/>
  <c r="H2260" i="47" s="1" a="1"/>
  <c r="H2260" i="47" s="1"/>
  <c r="G2260" i="47" s="1" a="1"/>
  <c r="G2260" i="47" s="1"/>
  <c r="K2260" i="47" s="1"/>
  <c r="I2260" i="47"/>
  <c r="E2260" i="47"/>
  <c r="L2259" i="47"/>
  <c r="J2259" i="47"/>
  <c r="H2259" i="47" s="1" a="1"/>
  <c r="I2259" i="47"/>
  <c r="H2259" i="47"/>
  <c r="E2259" i="47"/>
  <c r="L2258" i="47"/>
  <c r="J2258" i="47"/>
  <c r="H2258" i="47" s="1" a="1"/>
  <c r="H2258" i="47" s="1"/>
  <c r="G2258" i="47" s="1" a="1"/>
  <c r="G2258" i="47" s="1"/>
  <c r="K2258" i="47" s="1"/>
  <c r="I2258" i="47"/>
  <c r="E2258" i="47"/>
  <c r="L2257" i="47"/>
  <c r="J2257" i="47"/>
  <c r="H2257" i="47" s="1" a="1"/>
  <c r="H2257" i="47" s="1"/>
  <c r="I2257" i="47"/>
  <c r="E2257" i="47"/>
  <c r="L2256" i="47"/>
  <c r="J2256" i="47"/>
  <c r="H2256" i="47" s="1" a="1"/>
  <c r="H2256" i="47" s="1"/>
  <c r="I2256" i="47"/>
  <c r="E2256" i="47"/>
  <c r="L2255" i="47"/>
  <c r="J2255" i="47"/>
  <c r="H2255" i="47" s="1" a="1"/>
  <c r="H2255" i="47" s="1"/>
  <c r="I2255" i="47"/>
  <c r="E2255" i="47"/>
  <c r="L2254" i="47"/>
  <c r="J2254" i="47"/>
  <c r="I2254" i="47"/>
  <c r="H2254" i="47" a="1"/>
  <c r="H2254" i="47" s="1"/>
  <c r="G2254" i="47" s="1" a="1"/>
  <c r="G2254" i="47" s="1"/>
  <c r="K2254" i="47" s="1"/>
  <c r="E2254" i="47"/>
  <c r="L2253" i="47"/>
  <c r="J2253" i="47"/>
  <c r="H2253" i="47" s="1" a="1"/>
  <c r="H2253" i="47" s="1"/>
  <c r="G2253" i="47" s="1" a="1"/>
  <c r="G2253" i="47" s="1"/>
  <c r="K2253" i="47" s="1"/>
  <c r="I2253" i="47"/>
  <c r="E2253" i="47"/>
  <c r="L2252" i="47"/>
  <c r="J2252" i="47"/>
  <c r="H2252" i="47" s="1" a="1"/>
  <c r="H2252" i="47" s="1"/>
  <c r="I2252" i="47"/>
  <c r="E2252" i="47"/>
  <c r="L2251" i="47"/>
  <c r="J2251" i="47"/>
  <c r="I2251" i="47"/>
  <c r="H2251" i="47" a="1"/>
  <c r="H2251" i="47" s="1"/>
  <c r="E2251" i="47"/>
  <c r="L2250" i="47"/>
  <c r="J2250" i="47"/>
  <c r="H2250" i="47" s="1" a="1"/>
  <c r="H2250" i="47" s="1"/>
  <c r="I2250" i="47"/>
  <c r="E2250" i="47"/>
  <c r="L2249" i="47"/>
  <c r="J2249" i="47"/>
  <c r="H2249" i="47" s="1" a="1"/>
  <c r="H2249" i="47" s="1"/>
  <c r="I2249" i="47"/>
  <c r="E2249" i="47"/>
  <c r="L2248" i="47"/>
  <c r="J2248" i="47"/>
  <c r="I2248" i="47"/>
  <c r="H2248" i="47" a="1"/>
  <c r="H2248" i="47" s="1"/>
  <c r="G2248" i="47" s="1" a="1"/>
  <c r="G2248" i="47" s="1"/>
  <c r="K2248" i="47" s="1"/>
  <c r="E2248" i="47"/>
  <c r="L2247" i="47"/>
  <c r="J2247" i="47"/>
  <c r="H2247" i="47" s="1" a="1"/>
  <c r="H2247" i="47" s="1"/>
  <c r="I2247" i="47"/>
  <c r="E2247" i="47"/>
  <c r="L2246" i="47"/>
  <c r="J2246" i="47"/>
  <c r="H2246" i="47" s="1" a="1"/>
  <c r="H2246" i="47" s="1"/>
  <c r="I2246" i="47"/>
  <c r="E2246" i="47"/>
  <c r="L2245" i="47"/>
  <c r="J2245" i="47"/>
  <c r="H2245" i="47" s="1" a="1"/>
  <c r="H2245" i="47" s="1"/>
  <c r="G2245" i="47" s="1" a="1"/>
  <c r="G2245" i="47" s="1"/>
  <c r="I2245" i="47"/>
  <c r="E2245" i="47"/>
  <c r="L2244" i="47"/>
  <c r="J2244" i="47"/>
  <c r="H2244" i="47" s="1" a="1"/>
  <c r="H2244" i="47" s="1"/>
  <c r="I2244" i="47"/>
  <c r="E2244" i="47"/>
  <c r="L2243" i="47"/>
  <c r="J2243" i="47"/>
  <c r="H2243" i="47" s="1" a="1"/>
  <c r="H2243" i="47" s="1"/>
  <c r="G2243" i="47" s="1" a="1"/>
  <c r="G2243" i="47" s="1"/>
  <c r="K2243" i="47" s="1"/>
  <c r="I2243" i="47"/>
  <c r="E2243" i="47"/>
  <c r="L2242" i="47"/>
  <c r="J2242" i="47"/>
  <c r="H2242" i="47" s="1" a="1"/>
  <c r="H2242" i="47" s="1"/>
  <c r="G2242" i="47" s="1" a="1"/>
  <c r="G2242" i="47" s="1"/>
  <c r="K2242" i="47" s="1"/>
  <c r="I2242" i="47"/>
  <c r="E2242" i="47"/>
  <c r="L2241" i="47"/>
  <c r="J2241" i="47"/>
  <c r="H2241" i="47" s="1" a="1"/>
  <c r="H2241" i="47" s="1"/>
  <c r="I2241" i="47"/>
  <c r="E2241" i="47"/>
  <c r="L2240" i="47"/>
  <c r="J2240" i="47"/>
  <c r="H2240" i="47" s="1" a="1"/>
  <c r="H2240" i="47" s="1"/>
  <c r="I2240" i="47"/>
  <c r="E2240" i="47"/>
  <c r="L2239" i="47"/>
  <c r="J2239" i="47"/>
  <c r="I2239" i="47"/>
  <c r="H2239" i="47" a="1"/>
  <c r="H2239" i="47" s="1"/>
  <c r="E2239" i="47"/>
  <c r="L2238" i="47"/>
  <c r="J2238" i="47"/>
  <c r="H2238" i="47" s="1" a="1"/>
  <c r="H2238" i="47" s="1"/>
  <c r="G2238" i="47" s="1" a="1"/>
  <c r="G2238" i="47" s="1"/>
  <c r="K2238" i="47" s="1"/>
  <c r="I2238" i="47"/>
  <c r="E2238" i="47"/>
  <c r="L2237" i="47"/>
  <c r="J2237" i="47"/>
  <c r="I2237" i="47"/>
  <c r="H2237" i="47" a="1"/>
  <c r="H2237" i="47" s="1"/>
  <c r="G2237" i="47" s="1" a="1"/>
  <c r="G2237" i="47" s="1"/>
  <c r="E2237" i="47"/>
  <c r="L2236" i="47"/>
  <c r="J2236" i="47"/>
  <c r="H2236" i="47" s="1" a="1"/>
  <c r="H2236" i="47" s="1"/>
  <c r="I2236" i="47"/>
  <c r="E2236" i="47"/>
  <c r="L2235" i="47"/>
  <c r="J2235" i="47"/>
  <c r="I2235" i="47"/>
  <c r="H2235" i="47"/>
  <c r="H2235" i="47" a="1"/>
  <c r="E2235" i="47"/>
  <c r="L2234" i="47"/>
  <c r="J2234" i="47"/>
  <c r="H2234" i="47" s="1" a="1"/>
  <c r="H2234" i="47" s="1"/>
  <c r="I2234" i="47"/>
  <c r="G2234" i="47" a="1"/>
  <c r="G2234" i="47" s="1"/>
  <c r="K2234" i="47" s="1"/>
  <c r="E2234" i="47"/>
  <c r="L2233" i="47"/>
  <c r="J2233" i="47"/>
  <c r="H2233" i="47" s="1" a="1"/>
  <c r="H2233" i="47" s="1"/>
  <c r="G2233" i="47" s="1" a="1"/>
  <c r="G2233" i="47" s="1"/>
  <c r="I2233" i="47"/>
  <c r="E2233" i="47"/>
  <c r="L2232" i="47"/>
  <c r="J2232" i="47"/>
  <c r="H2232" i="47" s="1" a="1"/>
  <c r="H2232" i="47" s="1"/>
  <c r="I2232" i="47"/>
  <c r="E2232" i="47"/>
  <c r="L2231" i="47"/>
  <c r="J2231" i="47"/>
  <c r="H2231" i="47" s="1" a="1"/>
  <c r="H2231" i="47" s="1"/>
  <c r="G2231" i="47" s="1" a="1"/>
  <c r="G2231" i="47" s="1"/>
  <c r="K2231" i="47" s="1"/>
  <c r="I2231" i="47"/>
  <c r="E2231" i="47"/>
  <c r="L2230" i="47"/>
  <c r="J2230" i="47"/>
  <c r="I2230" i="47"/>
  <c r="H2230" i="47" a="1"/>
  <c r="H2230" i="47" s="1"/>
  <c r="E2230" i="47"/>
  <c r="L2229" i="47"/>
  <c r="J2229" i="47"/>
  <c r="H2229" i="47" s="1" a="1"/>
  <c r="H2229" i="47" s="1"/>
  <c r="G2229" i="47" s="1" a="1"/>
  <c r="G2229" i="47" s="1"/>
  <c r="K2229" i="47" s="1"/>
  <c r="I2229" i="47"/>
  <c r="E2229" i="47"/>
  <c r="L2228" i="47"/>
  <c r="J2228" i="47"/>
  <c r="H2228" i="47" s="1" a="1"/>
  <c r="H2228" i="47" s="1"/>
  <c r="G2228" i="47" s="1" a="1"/>
  <c r="G2228" i="47" s="1"/>
  <c r="K2228" i="47" s="1"/>
  <c r="I2228" i="47"/>
  <c r="E2228" i="47"/>
  <c r="L2227" i="47"/>
  <c r="J2227" i="47"/>
  <c r="I2227" i="47"/>
  <c r="H2227" i="47" a="1"/>
  <c r="H2227" i="47" s="1"/>
  <c r="E2227" i="47"/>
  <c r="L2226" i="47"/>
  <c r="J2226" i="47"/>
  <c r="H2226" i="47" s="1" a="1"/>
  <c r="H2226" i="47" s="1"/>
  <c r="I2226" i="47"/>
  <c r="E2226" i="47"/>
  <c r="L2225" i="47"/>
  <c r="J2225" i="47"/>
  <c r="H2225" i="47" s="1" a="1"/>
  <c r="H2225" i="47" s="1"/>
  <c r="I2225" i="47"/>
  <c r="E2225" i="47"/>
  <c r="L2224" i="47"/>
  <c r="J2224" i="47"/>
  <c r="H2224" i="47" s="1" a="1"/>
  <c r="H2224" i="47" s="1"/>
  <c r="I2224" i="47"/>
  <c r="E2224" i="47"/>
  <c r="L2223" i="47"/>
  <c r="J2223" i="47"/>
  <c r="H2223" i="47" s="1" a="1"/>
  <c r="H2223" i="47" s="1"/>
  <c r="G2223" i="47" s="1" a="1"/>
  <c r="G2223" i="47" s="1"/>
  <c r="K2223" i="47" s="1"/>
  <c r="I2223" i="47"/>
  <c r="E2223" i="47"/>
  <c r="L2222" i="47"/>
  <c r="J2222" i="47"/>
  <c r="H2222" i="47" s="1" a="1"/>
  <c r="H2222" i="47" s="1"/>
  <c r="I2222" i="47"/>
  <c r="E2222" i="47"/>
  <c r="L2221" i="47"/>
  <c r="J2221" i="47"/>
  <c r="H2221" i="47" s="1" a="1"/>
  <c r="H2221" i="47" s="1"/>
  <c r="I2221" i="47"/>
  <c r="G2221" i="47" s="1" a="1"/>
  <c r="G2221" i="47" s="1"/>
  <c r="E2221" i="47"/>
  <c r="L2220" i="47"/>
  <c r="J2220" i="47"/>
  <c r="H2220" i="47" s="1" a="1"/>
  <c r="H2220" i="47" s="1"/>
  <c r="I2220" i="47"/>
  <c r="E2220" i="47"/>
  <c r="L2219" i="47"/>
  <c r="J2219" i="47"/>
  <c r="H2219" i="47" s="1" a="1"/>
  <c r="H2219" i="47" s="1"/>
  <c r="G2219" i="47" s="1" a="1"/>
  <c r="G2219" i="47" s="1"/>
  <c r="K2219" i="47" s="1"/>
  <c r="I2219" i="47"/>
  <c r="E2219" i="47"/>
  <c r="L2218" i="47"/>
  <c r="J2218" i="47"/>
  <c r="I2218" i="47"/>
  <c r="H2218" i="47" a="1"/>
  <c r="H2218" i="47" s="1"/>
  <c r="E2218" i="47"/>
  <c r="L2217" i="47"/>
  <c r="J2217" i="47"/>
  <c r="H2217" i="47" s="1" a="1"/>
  <c r="H2217" i="47" s="1"/>
  <c r="G2217" i="47" s="1" a="1"/>
  <c r="G2217" i="47" s="1"/>
  <c r="I2217" i="47"/>
  <c r="E2217" i="47"/>
  <c r="L2216" i="47"/>
  <c r="J2216" i="47"/>
  <c r="H2216" i="47" s="1" a="1"/>
  <c r="H2216" i="47" s="1"/>
  <c r="I2216" i="47"/>
  <c r="E2216" i="47"/>
  <c r="L2215" i="47"/>
  <c r="J2215" i="47"/>
  <c r="I2215" i="47"/>
  <c r="F2215" i="47" a="1"/>
  <c r="F2215" i="47" s="1"/>
  <c r="L2213" i="47"/>
  <c r="J2213" i="47"/>
  <c r="H2213" i="47" s="1" a="1"/>
  <c r="H2213" i="47" s="1"/>
  <c r="I2213" i="47"/>
  <c r="E2213" i="47"/>
  <c r="L2212" i="47"/>
  <c r="J2212" i="47"/>
  <c r="H2212" i="47" s="1" a="1"/>
  <c r="H2212" i="47" s="1"/>
  <c r="I2212" i="47"/>
  <c r="E2212" i="47"/>
  <c r="L2211" i="47"/>
  <c r="J2211" i="47"/>
  <c r="H2211" i="47" s="1" a="1"/>
  <c r="H2211" i="47" s="1"/>
  <c r="I2211" i="47"/>
  <c r="E2211" i="47"/>
  <c r="L2210" i="47"/>
  <c r="J2210" i="47"/>
  <c r="H2210" i="47" s="1" a="1"/>
  <c r="H2210" i="47" s="1"/>
  <c r="I2210" i="47"/>
  <c r="E2210" i="47"/>
  <c r="L2209" i="47"/>
  <c r="J2209" i="47"/>
  <c r="I2209" i="47"/>
  <c r="H2209" i="47" a="1"/>
  <c r="H2209" i="47" s="1"/>
  <c r="G2209" i="47" s="1" a="1"/>
  <c r="G2209" i="47" s="1"/>
  <c r="K2209" i="47" s="1"/>
  <c r="E2209" i="47"/>
  <c r="L2208" i="47"/>
  <c r="J2208" i="47"/>
  <c r="H2208" i="47" s="1" a="1"/>
  <c r="H2208" i="47" s="1"/>
  <c r="I2208" i="47"/>
  <c r="E2208" i="47"/>
  <c r="L2207" i="47"/>
  <c r="J2207" i="47"/>
  <c r="H2207" i="47" s="1" a="1"/>
  <c r="H2207" i="47" s="1"/>
  <c r="G2207" i="47" s="1" a="1"/>
  <c r="G2207" i="47" s="1"/>
  <c r="I2207" i="47"/>
  <c r="E2207" i="47"/>
  <c r="L2206" i="47"/>
  <c r="J2206" i="47"/>
  <c r="I2206" i="47"/>
  <c r="H2206" i="47" a="1"/>
  <c r="H2206" i="47" s="1"/>
  <c r="G2206" i="47" s="1" a="1"/>
  <c r="G2206" i="47" s="1"/>
  <c r="E2206" i="47"/>
  <c r="L2205" i="47"/>
  <c r="J2205" i="47"/>
  <c r="I2205" i="47"/>
  <c r="H2205" i="47" a="1"/>
  <c r="H2205" i="47" s="1"/>
  <c r="G2205" i="47" s="1" a="1"/>
  <c r="G2205" i="47" s="1"/>
  <c r="K2205" i="47" s="1"/>
  <c r="E2205" i="47"/>
  <c r="L2204" i="47"/>
  <c r="J2204" i="47"/>
  <c r="H2204" i="47" s="1" a="1"/>
  <c r="H2204" i="47" s="1"/>
  <c r="G2204" i="47" s="1" a="1"/>
  <c r="G2204" i="47" s="1"/>
  <c r="K2204" i="47" s="1"/>
  <c r="I2204" i="47"/>
  <c r="E2204" i="47"/>
  <c r="L2203" i="47"/>
  <c r="J2203" i="47"/>
  <c r="H2203" i="47" s="1" a="1"/>
  <c r="H2203" i="47" s="1"/>
  <c r="G2203" i="47" s="1" a="1"/>
  <c r="G2203" i="47" s="1"/>
  <c r="K2203" i="47" s="1"/>
  <c r="I2203" i="47"/>
  <c r="E2203" i="47"/>
  <c r="L2202" i="47"/>
  <c r="J2202" i="47"/>
  <c r="H2202" i="47" s="1" a="1"/>
  <c r="H2202" i="47" s="1"/>
  <c r="I2202" i="47"/>
  <c r="E2202" i="47"/>
  <c r="L2201" i="47"/>
  <c r="J2201" i="47"/>
  <c r="H2201" i="47" s="1" a="1"/>
  <c r="H2201" i="47" s="1"/>
  <c r="I2201" i="47"/>
  <c r="E2201" i="47"/>
  <c r="L2200" i="47"/>
  <c r="J2200" i="47"/>
  <c r="H2200" i="47" s="1" a="1"/>
  <c r="H2200" i="47" s="1"/>
  <c r="I2200" i="47"/>
  <c r="E2200" i="47"/>
  <c r="L2199" i="47"/>
  <c r="J2199" i="47"/>
  <c r="H2199" i="47" s="1" a="1"/>
  <c r="H2199" i="47" s="1"/>
  <c r="I2199" i="47"/>
  <c r="E2199" i="47"/>
  <c r="L2198" i="47"/>
  <c r="J2198" i="47"/>
  <c r="H2198" i="47" s="1" a="1"/>
  <c r="H2198" i="47" s="1"/>
  <c r="G2198" i="47" s="1" a="1"/>
  <c r="G2198" i="47" s="1"/>
  <c r="K2198" i="47" s="1"/>
  <c r="I2198" i="47"/>
  <c r="E2198" i="47"/>
  <c r="L2197" i="47"/>
  <c r="J2197" i="47"/>
  <c r="H2197" i="47" s="1" a="1"/>
  <c r="H2197" i="47" s="1"/>
  <c r="I2197" i="47"/>
  <c r="E2197" i="47"/>
  <c r="L2196" i="47"/>
  <c r="J2196" i="47"/>
  <c r="H2196" i="47" s="1" a="1"/>
  <c r="H2196" i="47" s="1"/>
  <c r="I2196" i="47"/>
  <c r="E2196" i="47"/>
  <c r="L2195" i="47"/>
  <c r="J2195" i="47"/>
  <c r="H2195" i="47" s="1" a="1"/>
  <c r="H2195" i="47" s="1"/>
  <c r="I2195" i="47"/>
  <c r="E2195" i="47"/>
  <c r="L2194" i="47"/>
  <c r="J2194" i="47"/>
  <c r="H2194" i="47" s="1" a="1"/>
  <c r="H2194" i="47" s="1"/>
  <c r="I2194" i="47"/>
  <c r="E2194" i="47"/>
  <c r="L2193" i="47"/>
  <c r="J2193" i="47"/>
  <c r="H2193" i="47" s="1" a="1"/>
  <c r="H2193" i="47" s="1"/>
  <c r="G2193" i="47" s="1" a="1"/>
  <c r="G2193" i="47" s="1"/>
  <c r="K2193" i="47" s="1"/>
  <c r="I2193" i="47"/>
  <c r="E2193" i="47"/>
  <c r="L2192" i="47"/>
  <c r="J2192" i="47"/>
  <c r="H2192" i="47" s="1" a="1"/>
  <c r="H2192" i="47" s="1"/>
  <c r="I2192" i="47"/>
  <c r="E2192" i="47"/>
  <c r="L2191" i="47"/>
  <c r="J2191" i="47"/>
  <c r="I2191" i="47"/>
  <c r="H2191" i="47" a="1"/>
  <c r="H2191" i="47" s="1"/>
  <c r="G2191" i="47" s="1" a="1"/>
  <c r="G2191" i="47" s="1"/>
  <c r="K2191" i="47" s="1"/>
  <c r="E2191" i="47"/>
  <c r="L2190" i="47"/>
  <c r="J2190" i="47"/>
  <c r="H2190" i="47" s="1" a="1"/>
  <c r="H2190" i="47" s="1"/>
  <c r="G2190" i="47" s="1" a="1"/>
  <c r="G2190" i="47" s="1"/>
  <c r="I2190" i="47"/>
  <c r="E2190" i="47"/>
  <c r="L2189" i="47"/>
  <c r="J2189" i="47"/>
  <c r="H2189" i="47" s="1" a="1"/>
  <c r="H2189" i="47" s="1"/>
  <c r="I2189" i="47"/>
  <c r="E2189" i="47"/>
  <c r="L2188" i="47"/>
  <c r="J2188" i="47"/>
  <c r="H2188" i="47" s="1" a="1"/>
  <c r="H2188" i="47" s="1"/>
  <c r="I2188" i="47"/>
  <c r="E2188" i="47"/>
  <c r="L2187" i="47"/>
  <c r="J2187" i="47"/>
  <c r="H2187" i="47" s="1" a="1"/>
  <c r="H2187" i="47" s="1"/>
  <c r="I2187" i="47"/>
  <c r="E2187" i="47"/>
  <c r="L2186" i="47"/>
  <c r="J2186" i="47"/>
  <c r="H2186" i="47" s="1" a="1"/>
  <c r="H2186" i="47" s="1"/>
  <c r="I2186" i="47"/>
  <c r="E2186" i="47"/>
  <c r="L2185" i="47"/>
  <c r="J2185" i="47"/>
  <c r="H2185" i="47" s="1" a="1"/>
  <c r="H2185" i="47" s="1"/>
  <c r="G2185" i="47" s="1" a="1"/>
  <c r="G2185" i="47" s="1"/>
  <c r="K2185" i="47" s="1"/>
  <c r="I2185" i="47"/>
  <c r="E2185" i="47"/>
  <c r="L2184" i="47"/>
  <c r="J2184" i="47"/>
  <c r="H2184" i="47" s="1" a="1"/>
  <c r="H2184" i="47" s="1"/>
  <c r="G2184" i="47" s="1" a="1"/>
  <c r="G2184" i="47" s="1"/>
  <c r="I2184" i="47"/>
  <c r="E2184" i="47"/>
  <c r="L2183" i="47"/>
  <c r="J2183" i="47"/>
  <c r="H2183" i="47" s="1" a="1"/>
  <c r="H2183" i="47" s="1"/>
  <c r="G2183" i="47" s="1" a="1"/>
  <c r="G2183" i="47" s="1"/>
  <c r="K2183" i="47" s="1"/>
  <c r="I2183" i="47"/>
  <c r="E2183" i="47"/>
  <c r="L2182" i="47"/>
  <c r="J2182" i="47"/>
  <c r="H2182" i="47" s="1" a="1"/>
  <c r="H2182" i="47" s="1"/>
  <c r="I2182" i="47"/>
  <c r="E2182" i="47"/>
  <c r="L2181" i="47"/>
  <c r="J2181" i="47"/>
  <c r="H2181" i="47" s="1" a="1"/>
  <c r="H2181" i="47" s="1"/>
  <c r="I2181" i="47"/>
  <c r="E2181" i="47"/>
  <c r="L2180" i="47"/>
  <c r="J2180" i="47"/>
  <c r="H2180" i="47" s="1" a="1"/>
  <c r="H2180" i="47" s="1"/>
  <c r="I2180" i="47"/>
  <c r="E2180" i="47"/>
  <c r="L2179" i="47"/>
  <c r="J2179" i="47"/>
  <c r="H2179" i="47" s="1" a="1"/>
  <c r="H2179" i="47" s="1"/>
  <c r="I2179" i="47"/>
  <c r="E2179" i="47"/>
  <c r="L2178" i="47"/>
  <c r="J2178" i="47"/>
  <c r="H2178" i="47" s="1" a="1"/>
  <c r="H2178" i="47" s="1"/>
  <c r="G2178" i="47" s="1" a="1"/>
  <c r="G2178" i="47" s="1"/>
  <c r="K2178" i="47" s="1"/>
  <c r="I2178" i="47"/>
  <c r="E2178" i="47"/>
  <c r="L2177" i="47"/>
  <c r="J2177" i="47"/>
  <c r="H2177" i="47" s="1" a="1"/>
  <c r="H2177" i="47" s="1"/>
  <c r="I2177" i="47"/>
  <c r="E2177" i="47"/>
  <c r="L2176" i="47"/>
  <c r="J2176" i="47"/>
  <c r="H2176" i="47" s="1" a="1"/>
  <c r="H2176" i="47" s="1"/>
  <c r="I2176" i="47"/>
  <c r="E2176" i="47"/>
  <c r="L2175" i="47"/>
  <c r="J2175" i="47"/>
  <c r="H2175" i="47" s="1" a="1"/>
  <c r="H2175" i="47" s="1"/>
  <c r="G2175" i="47" s="1" a="1"/>
  <c r="G2175" i="47" s="1"/>
  <c r="I2175" i="47"/>
  <c r="E2175" i="47"/>
  <c r="L2174" i="47"/>
  <c r="J2174" i="47"/>
  <c r="H2174" i="47" s="1" a="1"/>
  <c r="H2174" i="47" s="1"/>
  <c r="I2174" i="47"/>
  <c r="E2174" i="47"/>
  <c r="L2173" i="47"/>
  <c r="J2173" i="47"/>
  <c r="H2173" i="47" s="1" a="1"/>
  <c r="H2173" i="47" s="1"/>
  <c r="I2173" i="47"/>
  <c r="E2173" i="47"/>
  <c r="L2172" i="47"/>
  <c r="J2172" i="47"/>
  <c r="H2172" i="47" s="1" a="1"/>
  <c r="H2172" i="47" s="1"/>
  <c r="I2172" i="47"/>
  <c r="E2172" i="47"/>
  <c r="L2171" i="47"/>
  <c r="J2171" i="47"/>
  <c r="H2171" i="47" s="1" a="1"/>
  <c r="H2171" i="47" s="1"/>
  <c r="G2171" i="47" s="1" a="1"/>
  <c r="G2171" i="47" s="1"/>
  <c r="K2171" i="47" s="1"/>
  <c r="I2171" i="47"/>
  <c r="E2171" i="47"/>
  <c r="L2170" i="47"/>
  <c r="J2170" i="47"/>
  <c r="I2170" i="47"/>
  <c r="H2170" i="47" a="1"/>
  <c r="H2170" i="47" s="1"/>
  <c r="G2170" i="47" s="1" a="1"/>
  <c r="G2170" i="47" s="1"/>
  <c r="E2170" i="47"/>
  <c r="L2169" i="47"/>
  <c r="J2169" i="47"/>
  <c r="H2169" i="47" s="1" a="1"/>
  <c r="H2169" i="47" s="1"/>
  <c r="G2169" i="47" s="1" a="1"/>
  <c r="G2169" i="47" s="1"/>
  <c r="K2169" i="47" s="1"/>
  <c r="I2169" i="47"/>
  <c r="E2169" i="47"/>
  <c r="L2168" i="47"/>
  <c r="J2168" i="47"/>
  <c r="H2168" i="47" s="1" a="1"/>
  <c r="H2168" i="47" s="1"/>
  <c r="I2168" i="47"/>
  <c r="E2168" i="47"/>
  <c r="L2167" i="47"/>
  <c r="J2167" i="47"/>
  <c r="H2167" i="47" s="1" a="1"/>
  <c r="H2167" i="47" s="1"/>
  <c r="I2167" i="47"/>
  <c r="E2167" i="47"/>
  <c r="L2166" i="47"/>
  <c r="J2166" i="47"/>
  <c r="H2166" i="47" s="1" a="1"/>
  <c r="H2166" i="47" s="1"/>
  <c r="G2166" i="47" s="1" a="1"/>
  <c r="G2166" i="47" s="1"/>
  <c r="K2166" i="47" s="1"/>
  <c r="I2166" i="47"/>
  <c r="E2166" i="47"/>
  <c r="L2165" i="47"/>
  <c r="J2165" i="47"/>
  <c r="I2165" i="47"/>
  <c r="F2165" i="47" a="1"/>
  <c r="F2165" i="47" s="1"/>
  <c r="L2163" i="47"/>
  <c r="J2163" i="47"/>
  <c r="H2163" i="47" s="1" a="1"/>
  <c r="H2163" i="47" s="1"/>
  <c r="I2163" i="47"/>
  <c r="G2163" i="47" s="1" a="1"/>
  <c r="G2163" i="47" s="1"/>
  <c r="K2163" i="47" s="1"/>
  <c r="E2163" i="47"/>
  <c r="L2162" i="47"/>
  <c r="J2162" i="47"/>
  <c r="H2162" i="47" s="1" a="1"/>
  <c r="H2162" i="47" s="1"/>
  <c r="G2162" i="47" s="1" a="1"/>
  <c r="G2162" i="47" s="1"/>
  <c r="K2162" i="47" s="1"/>
  <c r="I2162" i="47"/>
  <c r="E2162" i="47"/>
  <c r="L2161" i="47"/>
  <c r="J2161" i="47"/>
  <c r="H2161" i="47" s="1" a="1"/>
  <c r="H2161" i="47" s="1"/>
  <c r="I2161" i="47"/>
  <c r="E2161" i="47"/>
  <c r="L2160" i="47"/>
  <c r="J2160" i="47"/>
  <c r="H2160" i="47" s="1" a="1"/>
  <c r="H2160" i="47" s="1"/>
  <c r="G2160" i="47" s="1" a="1"/>
  <c r="G2160" i="47" s="1"/>
  <c r="I2160" i="47"/>
  <c r="E2160" i="47"/>
  <c r="L2159" i="47"/>
  <c r="J2159" i="47"/>
  <c r="H2159" i="47" s="1" a="1"/>
  <c r="H2159" i="47" s="1"/>
  <c r="I2159" i="47"/>
  <c r="E2159" i="47"/>
  <c r="L2158" i="47"/>
  <c r="J2158" i="47"/>
  <c r="I2158" i="47"/>
  <c r="H2158" i="47" a="1"/>
  <c r="H2158" i="47" s="1"/>
  <c r="E2158" i="47"/>
  <c r="L2157" i="47"/>
  <c r="J2157" i="47"/>
  <c r="H2157" i="47" s="1" a="1"/>
  <c r="H2157" i="47" s="1"/>
  <c r="I2157" i="47"/>
  <c r="E2157" i="47"/>
  <c r="L2156" i="47"/>
  <c r="J2156" i="47"/>
  <c r="H2156" i="47" s="1" a="1"/>
  <c r="H2156" i="47" s="1"/>
  <c r="I2156" i="47"/>
  <c r="E2156" i="47"/>
  <c r="L2155" i="47"/>
  <c r="J2155" i="47"/>
  <c r="H2155" i="47" s="1" a="1"/>
  <c r="H2155" i="47" s="1"/>
  <c r="I2155" i="47"/>
  <c r="E2155" i="47"/>
  <c r="L2154" i="47"/>
  <c r="J2154" i="47"/>
  <c r="H2154" i="47" s="1" a="1"/>
  <c r="H2154" i="47" s="1"/>
  <c r="I2154" i="47"/>
  <c r="E2154" i="47"/>
  <c r="L2153" i="47"/>
  <c r="J2153" i="47"/>
  <c r="H2153" i="47" s="1" a="1"/>
  <c r="H2153" i="47" s="1"/>
  <c r="G2153" i="47" s="1" a="1"/>
  <c r="G2153" i="47" s="1"/>
  <c r="K2153" i="47" s="1"/>
  <c r="I2153" i="47"/>
  <c r="E2153" i="47"/>
  <c r="L2152" i="47"/>
  <c r="J2152" i="47"/>
  <c r="H2152" i="47" s="1" a="1"/>
  <c r="H2152" i="47" s="1"/>
  <c r="I2152" i="47"/>
  <c r="E2152" i="47"/>
  <c r="L2151" i="47"/>
  <c r="J2151" i="47"/>
  <c r="H2151" i="47" s="1" a="1"/>
  <c r="H2151" i="47" s="1"/>
  <c r="I2151" i="47"/>
  <c r="E2151" i="47"/>
  <c r="L2150" i="47"/>
  <c r="J2150" i="47"/>
  <c r="H2150" i="47" s="1" a="1"/>
  <c r="H2150" i="47" s="1"/>
  <c r="I2150" i="47"/>
  <c r="E2150" i="47"/>
  <c r="L2149" i="47"/>
  <c r="J2149" i="47"/>
  <c r="H2149" i="47" s="1" a="1"/>
  <c r="H2149" i="47" s="1"/>
  <c r="I2149" i="47"/>
  <c r="E2149" i="47"/>
  <c r="L2148" i="47"/>
  <c r="J2148" i="47"/>
  <c r="H2148" i="47" s="1" a="1"/>
  <c r="H2148" i="47" s="1"/>
  <c r="G2148" i="47" s="1" a="1"/>
  <c r="G2148" i="47" s="1"/>
  <c r="K2148" i="47" s="1"/>
  <c r="I2148" i="47"/>
  <c r="E2148" i="47"/>
  <c r="L2147" i="47"/>
  <c r="J2147" i="47"/>
  <c r="H2147" i="47" s="1" a="1"/>
  <c r="H2147" i="47" s="1"/>
  <c r="I2147" i="47"/>
  <c r="E2147" i="47"/>
  <c r="L2146" i="47"/>
  <c r="J2146" i="47"/>
  <c r="H2146" i="47" s="1" a="1"/>
  <c r="H2146" i="47" s="1"/>
  <c r="G2146" i="47" s="1" a="1"/>
  <c r="G2146" i="47" s="1"/>
  <c r="K2146" i="47" s="1"/>
  <c r="I2146" i="47"/>
  <c r="E2146" i="47"/>
  <c r="L2145" i="47"/>
  <c r="J2145" i="47"/>
  <c r="I2145" i="47"/>
  <c r="H2145" i="47" a="1"/>
  <c r="H2145" i="47" s="1"/>
  <c r="G2145" i="47" s="1" a="1"/>
  <c r="G2145" i="47" s="1"/>
  <c r="E2145" i="47"/>
  <c r="L2144" i="47"/>
  <c r="J2144" i="47"/>
  <c r="H2144" i="47" s="1" a="1"/>
  <c r="H2144" i="47" s="1"/>
  <c r="I2144" i="47"/>
  <c r="E2144" i="47"/>
  <c r="L2143" i="47"/>
  <c r="J2143" i="47"/>
  <c r="H2143" i="47" s="1" a="1"/>
  <c r="H2143" i="47" s="1"/>
  <c r="I2143" i="47"/>
  <c r="E2143" i="47"/>
  <c r="L2142" i="47"/>
  <c r="J2142" i="47"/>
  <c r="H2142" i="47" s="1" a="1"/>
  <c r="H2142" i="47" s="1"/>
  <c r="I2142" i="47"/>
  <c r="E2142" i="47"/>
  <c r="L2141" i="47"/>
  <c r="J2141" i="47"/>
  <c r="I2141" i="47"/>
  <c r="H2141" i="47" a="1"/>
  <c r="H2141" i="47" s="1"/>
  <c r="G2141" i="47" s="1" a="1"/>
  <c r="G2141" i="47" s="1"/>
  <c r="K2141" i="47" s="1"/>
  <c r="E2141" i="47"/>
  <c r="L2140" i="47"/>
  <c r="J2140" i="47"/>
  <c r="H2140" i="47" s="1" a="1"/>
  <c r="H2140" i="47" s="1"/>
  <c r="I2140" i="47"/>
  <c r="E2140" i="47"/>
  <c r="L2139" i="47"/>
  <c r="J2139" i="47"/>
  <c r="H2139" i="47" s="1" a="1"/>
  <c r="H2139" i="47" s="1"/>
  <c r="I2139" i="47"/>
  <c r="E2139" i="47"/>
  <c r="L2138" i="47"/>
  <c r="J2138" i="47"/>
  <c r="H2138" i="47" s="1" a="1"/>
  <c r="H2138" i="47" s="1"/>
  <c r="I2138" i="47"/>
  <c r="E2138" i="47"/>
  <c r="L2137" i="47"/>
  <c r="J2137" i="47"/>
  <c r="H2137" i="47" s="1" a="1"/>
  <c r="H2137" i="47" s="1"/>
  <c r="I2137" i="47"/>
  <c r="E2137" i="47"/>
  <c r="L2136" i="47"/>
  <c r="J2136" i="47"/>
  <c r="H2136" i="47" s="1" a="1"/>
  <c r="H2136" i="47" s="1"/>
  <c r="I2136" i="47"/>
  <c r="E2136" i="47"/>
  <c r="L2135" i="47"/>
  <c r="J2135" i="47"/>
  <c r="H2135" i="47" s="1" a="1"/>
  <c r="H2135" i="47" s="1"/>
  <c r="G2135" i="47" s="1" a="1"/>
  <c r="G2135" i="47" s="1"/>
  <c r="K2135" i="47" s="1"/>
  <c r="I2135" i="47"/>
  <c r="E2135" i="47"/>
  <c r="L2134" i="47"/>
  <c r="J2134" i="47"/>
  <c r="H2134" i="47" s="1" a="1"/>
  <c r="H2134" i="47" s="1"/>
  <c r="I2134" i="47"/>
  <c r="E2134" i="47"/>
  <c r="L2133" i="47"/>
  <c r="J2133" i="47"/>
  <c r="H2133" i="47" s="1" a="1"/>
  <c r="H2133" i="47" s="1"/>
  <c r="I2133" i="47"/>
  <c r="E2133" i="47"/>
  <c r="L2132" i="47"/>
  <c r="J2132" i="47"/>
  <c r="H2132" i="47" s="1" a="1"/>
  <c r="I2132" i="47"/>
  <c r="H2132" i="47"/>
  <c r="G2132" i="47" s="1" a="1"/>
  <c r="G2132" i="47" s="1"/>
  <c r="K2132" i="47" s="1"/>
  <c r="E2132" i="47"/>
  <c r="L2131" i="47"/>
  <c r="J2131" i="47"/>
  <c r="H2131" i="47" s="1" a="1"/>
  <c r="H2131" i="47" s="1"/>
  <c r="I2131" i="47"/>
  <c r="E2131" i="47"/>
  <c r="L2130" i="47"/>
  <c r="J2130" i="47"/>
  <c r="H2130" i="47" s="1" a="1"/>
  <c r="H2130" i="47" s="1"/>
  <c r="I2130" i="47"/>
  <c r="E2130" i="47"/>
  <c r="L2129" i="47"/>
  <c r="J2129" i="47"/>
  <c r="H2129" i="47" s="1" a="1"/>
  <c r="H2129" i="47" s="1"/>
  <c r="I2129" i="47"/>
  <c r="E2129" i="47"/>
  <c r="L2128" i="47"/>
  <c r="J2128" i="47"/>
  <c r="H2128" i="47" s="1" a="1"/>
  <c r="H2128" i="47" s="1"/>
  <c r="I2128" i="47"/>
  <c r="E2128" i="47"/>
  <c r="L2127" i="47"/>
  <c r="J2127" i="47"/>
  <c r="H2127" i="47" s="1" a="1"/>
  <c r="I2127" i="47"/>
  <c r="H2127" i="47"/>
  <c r="E2127" i="47"/>
  <c r="L2126" i="47"/>
  <c r="J2126" i="47"/>
  <c r="H2126" i="47" s="1" a="1"/>
  <c r="H2126" i="47" s="1"/>
  <c r="G2126" i="47" s="1" a="1"/>
  <c r="G2126" i="47" s="1"/>
  <c r="K2126" i="47" s="1"/>
  <c r="I2126" i="47"/>
  <c r="E2126" i="47"/>
  <c r="L2125" i="47"/>
  <c r="J2125" i="47"/>
  <c r="I2125" i="47"/>
  <c r="H2125" i="47" a="1"/>
  <c r="H2125" i="47" s="1"/>
  <c r="G2125" i="47" s="1" a="1"/>
  <c r="G2125" i="47" s="1"/>
  <c r="K2125" i="47" s="1"/>
  <c r="E2125" i="47"/>
  <c r="L2124" i="47"/>
  <c r="J2124" i="47"/>
  <c r="H2124" i="47" s="1" a="1"/>
  <c r="H2124" i="47" s="1"/>
  <c r="G2124" i="47" s="1" a="1"/>
  <c r="G2124" i="47" s="1"/>
  <c r="K2124" i="47" s="1"/>
  <c r="I2124" i="47"/>
  <c r="E2124" i="47"/>
  <c r="L2123" i="47"/>
  <c r="J2123" i="47"/>
  <c r="H2123" i="47" s="1" a="1"/>
  <c r="H2123" i="47" s="1"/>
  <c r="I2123" i="47"/>
  <c r="E2123" i="47"/>
  <c r="L2122" i="47"/>
  <c r="J2122" i="47"/>
  <c r="H2122" i="47" s="1" a="1"/>
  <c r="H2122" i="47" s="1"/>
  <c r="I2122" i="47"/>
  <c r="E2122" i="47"/>
  <c r="L2121" i="47"/>
  <c r="J2121" i="47"/>
  <c r="H2121" i="47" s="1" a="1"/>
  <c r="I2121" i="47"/>
  <c r="H2121" i="47"/>
  <c r="G2121" i="47" s="1" a="1"/>
  <c r="G2121" i="47" s="1"/>
  <c r="K2121" i="47" s="1"/>
  <c r="E2121" i="47"/>
  <c r="L2120" i="47"/>
  <c r="J2120" i="47"/>
  <c r="H2120" i="47" s="1" a="1"/>
  <c r="H2120" i="47" s="1"/>
  <c r="I2120" i="47"/>
  <c r="E2120" i="47"/>
  <c r="L2119" i="47"/>
  <c r="J2119" i="47"/>
  <c r="H2119" i="47" s="1" a="1"/>
  <c r="H2119" i="47" s="1"/>
  <c r="I2119" i="47"/>
  <c r="E2119" i="47"/>
  <c r="L2118" i="47"/>
  <c r="J2118" i="47"/>
  <c r="H2118" i="47" s="1" a="1"/>
  <c r="H2118" i="47" s="1"/>
  <c r="G2118" i="47" s="1" a="1"/>
  <c r="G2118" i="47" s="1"/>
  <c r="K2118" i="47" s="1"/>
  <c r="I2118" i="47"/>
  <c r="E2118" i="47"/>
  <c r="L2117" i="47"/>
  <c r="J2117" i="47"/>
  <c r="I2117" i="47"/>
  <c r="H2117" i="47" a="1"/>
  <c r="H2117" i="47" s="1"/>
  <c r="G2117" i="47" s="1" a="1"/>
  <c r="G2117" i="47" s="1"/>
  <c r="K2117" i="47" s="1"/>
  <c r="E2117" i="47"/>
  <c r="L2116" i="47"/>
  <c r="J2116" i="47"/>
  <c r="H2116" i="47" s="1" a="1"/>
  <c r="H2116" i="47" s="1"/>
  <c r="I2116" i="47"/>
  <c r="E2116" i="47"/>
  <c r="L2115" i="47"/>
  <c r="J2115" i="47"/>
  <c r="I2115" i="47"/>
  <c r="F2115" i="47" a="1"/>
  <c r="F2115" i="47" s="1"/>
  <c r="L2113" i="47"/>
  <c r="J2113" i="47"/>
  <c r="H2113" i="47" s="1" a="1"/>
  <c r="H2113" i="47" s="1"/>
  <c r="I2113" i="47"/>
  <c r="E2113" i="47"/>
  <c r="L2112" i="47"/>
  <c r="J2112" i="47"/>
  <c r="H2112" i="47" s="1" a="1"/>
  <c r="H2112" i="47" s="1"/>
  <c r="I2112" i="47"/>
  <c r="E2112" i="47"/>
  <c r="L2111" i="47"/>
  <c r="J2111" i="47"/>
  <c r="H2111" i="47" s="1" a="1"/>
  <c r="H2111" i="47" s="1"/>
  <c r="I2111" i="47"/>
  <c r="E2111" i="47"/>
  <c r="L2110" i="47"/>
  <c r="J2110" i="47"/>
  <c r="H2110" i="47" s="1" a="1"/>
  <c r="H2110" i="47" s="1"/>
  <c r="I2110" i="47"/>
  <c r="E2110" i="47"/>
  <c r="L2109" i="47"/>
  <c r="J2109" i="47"/>
  <c r="H2109" i="47" s="1" a="1"/>
  <c r="H2109" i="47" s="1"/>
  <c r="G2109" i="47" s="1" a="1"/>
  <c r="G2109" i="47" s="1"/>
  <c r="K2109" i="47" s="1"/>
  <c r="I2109" i="47"/>
  <c r="E2109" i="47"/>
  <c r="L2108" i="47"/>
  <c r="J2108" i="47"/>
  <c r="I2108" i="47"/>
  <c r="H2108" i="47" a="1"/>
  <c r="H2108" i="47" s="1"/>
  <c r="E2108" i="47"/>
  <c r="L2107" i="47"/>
  <c r="J2107" i="47"/>
  <c r="H2107" i="47" s="1" a="1"/>
  <c r="H2107" i="47" s="1"/>
  <c r="G2107" i="47" s="1" a="1"/>
  <c r="G2107" i="47" s="1"/>
  <c r="K2107" i="47" s="1"/>
  <c r="I2107" i="47"/>
  <c r="E2107" i="47"/>
  <c r="L2106" i="47"/>
  <c r="J2106" i="47"/>
  <c r="H2106" i="47" s="1" a="1"/>
  <c r="H2106" i="47" s="1"/>
  <c r="I2106" i="47"/>
  <c r="E2106" i="47"/>
  <c r="L2105" i="47"/>
  <c r="J2105" i="47"/>
  <c r="H2105" i="47" s="1" a="1"/>
  <c r="H2105" i="47" s="1"/>
  <c r="G2105" i="47" s="1" a="1"/>
  <c r="G2105" i="47" s="1"/>
  <c r="K2105" i="47" s="1"/>
  <c r="I2105" i="47"/>
  <c r="E2105" i="47"/>
  <c r="L2104" i="47"/>
  <c r="J2104" i="47"/>
  <c r="H2104" i="47" s="1" a="1"/>
  <c r="H2104" i="47" s="1"/>
  <c r="I2104" i="47"/>
  <c r="E2104" i="47"/>
  <c r="L2103" i="47"/>
  <c r="J2103" i="47"/>
  <c r="H2103" i="47" s="1" a="1"/>
  <c r="H2103" i="47" s="1"/>
  <c r="G2103" i="47" s="1" a="1"/>
  <c r="G2103" i="47" s="1"/>
  <c r="K2103" i="47" s="1"/>
  <c r="I2103" i="47"/>
  <c r="E2103" i="47"/>
  <c r="L2102" i="47"/>
  <c r="J2102" i="47"/>
  <c r="H2102" i="47" s="1" a="1"/>
  <c r="I2102" i="47"/>
  <c r="H2102" i="47"/>
  <c r="G2102" i="47" s="1" a="1"/>
  <c r="G2102" i="47" s="1"/>
  <c r="E2102" i="47"/>
  <c r="L2101" i="47"/>
  <c r="J2101" i="47"/>
  <c r="H2101" i="47" s="1" a="1"/>
  <c r="H2101" i="47" s="1"/>
  <c r="I2101" i="47"/>
  <c r="E2101" i="47"/>
  <c r="L2100" i="47"/>
  <c r="J2100" i="47"/>
  <c r="H2100" i="47" s="1" a="1"/>
  <c r="I2100" i="47"/>
  <c r="H2100" i="47"/>
  <c r="G2100" i="47" s="1" a="1"/>
  <c r="G2100" i="47" s="1"/>
  <c r="K2100" i="47" s="1"/>
  <c r="E2100" i="47"/>
  <c r="L2099" i="47"/>
  <c r="J2099" i="47"/>
  <c r="H2099" i="47" s="1" a="1"/>
  <c r="H2099" i="47" s="1"/>
  <c r="G2099" i="47" s="1" a="1"/>
  <c r="G2099" i="47" s="1"/>
  <c r="K2099" i="47" s="1"/>
  <c r="I2099" i="47"/>
  <c r="E2099" i="47"/>
  <c r="L2098" i="47"/>
  <c r="J2098" i="47"/>
  <c r="H2098" i="47" s="1" a="1"/>
  <c r="H2098" i="47" s="1"/>
  <c r="G2098" i="47" s="1" a="1"/>
  <c r="G2098" i="47" s="1"/>
  <c r="I2098" i="47"/>
  <c r="E2098" i="47"/>
  <c r="L2097" i="47"/>
  <c r="J2097" i="47"/>
  <c r="I2097" i="47"/>
  <c r="H2097" i="47" a="1"/>
  <c r="H2097" i="47" s="1"/>
  <c r="E2097" i="47"/>
  <c r="L2096" i="47"/>
  <c r="J2096" i="47"/>
  <c r="H2096" i="47" s="1" a="1"/>
  <c r="H2096" i="47" s="1"/>
  <c r="I2096" i="47"/>
  <c r="E2096" i="47"/>
  <c r="L2095" i="47"/>
  <c r="J2095" i="47"/>
  <c r="I2095" i="47"/>
  <c r="H2095" i="47" a="1"/>
  <c r="H2095" i="47" s="1"/>
  <c r="G2095" i="47" s="1" a="1"/>
  <c r="G2095" i="47" s="1"/>
  <c r="K2095" i="47" s="1"/>
  <c r="E2095" i="47"/>
  <c r="L2094" i="47"/>
  <c r="J2094" i="47"/>
  <c r="H2094" i="47" s="1" a="1"/>
  <c r="H2094" i="47" s="1"/>
  <c r="G2094" i="47" s="1" a="1"/>
  <c r="G2094" i="47" s="1"/>
  <c r="K2094" i="47" s="1"/>
  <c r="I2094" i="47"/>
  <c r="E2094" i="47"/>
  <c r="L2093" i="47"/>
  <c r="J2093" i="47"/>
  <c r="I2093" i="47"/>
  <c r="H2093" i="47"/>
  <c r="G2093" i="47" s="1" a="1"/>
  <c r="G2093" i="47" s="1"/>
  <c r="K2093" i="47" s="1"/>
  <c r="H2093" i="47" a="1"/>
  <c r="E2093" i="47"/>
  <c r="L2092" i="47"/>
  <c r="J2092" i="47"/>
  <c r="H2092" i="47" s="1" a="1"/>
  <c r="H2092" i="47" s="1"/>
  <c r="I2092" i="47"/>
  <c r="E2092" i="47"/>
  <c r="L2091" i="47"/>
  <c r="J2091" i="47"/>
  <c r="H2091" i="47" s="1" a="1"/>
  <c r="H2091" i="47" s="1"/>
  <c r="I2091" i="47"/>
  <c r="E2091" i="47"/>
  <c r="L2090" i="47"/>
  <c r="J2090" i="47"/>
  <c r="H2090" i="47" s="1" a="1"/>
  <c r="H2090" i="47" s="1"/>
  <c r="G2090" i="47" s="1" a="1"/>
  <c r="G2090" i="47" s="1"/>
  <c r="K2090" i="47" s="1"/>
  <c r="I2090" i="47"/>
  <c r="E2090" i="47"/>
  <c r="L2089" i="47"/>
  <c r="J2089" i="47"/>
  <c r="H2089" i="47" s="1" a="1"/>
  <c r="H2089" i="47" s="1"/>
  <c r="I2089" i="47"/>
  <c r="E2089" i="47"/>
  <c r="L2088" i="47"/>
  <c r="J2088" i="47"/>
  <c r="H2088" i="47" s="1" a="1"/>
  <c r="H2088" i="47" s="1"/>
  <c r="I2088" i="47"/>
  <c r="E2088" i="47"/>
  <c r="L2087" i="47"/>
  <c r="J2087" i="47"/>
  <c r="H2087" i="47" s="1" a="1"/>
  <c r="H2087" i="47" s="1"/>
  <c r="I2087" i="47"/>
  <c r="E2087" i="47"/>
  <c r="L2086" i="47"/>
  <c r="J2086" i="47"/>
  <c r="H2086" i="47" s="1" a="1"/>
  <c r="H2086" i="47" s="1"/>
  <c r="I2086" i="47"/>
  <c r="E2086" i="47"/>
  <c r="L2085" i="47"/>
  <c r="J2085" i="47"/>
  <c r="H2085" i="47" s="1" a="1"/>
  <c r="H2085" i="47" s="1"/>
  <c r="G2085" i="47" s="1" a="1"/>
  <c r="G2085" i="47" s="1"/>
  <c r="K2085" i="47" s="1"/>
  <c r="I2085" i="47"/>
  <c r="E2085" i="47"/>
  <c r="L2084" i="47"/>
  <c r="J2084" i="47"/>
  <c r="H2084" i="47" s="1" a="1"/>
  <c r="H2084" i="47" s="1"/>
  <c r="I2084" i="47"/>
  <c r="E2084" i="47"/>
  <c r="L2083" i="47"/>
  <c r="J2083" i="47"/>
  <c r="H2083" i="47" s="1" a="1"/>
  <c r="H2083" i="47" s="1"/>
  <c r="I2083" i="47"/>
  <c r="E2083" i="47"/>
  <c r="L2082" i="47"/>
  <c r="J2082" i="47"/>
  <c r="H2082" i="47" s="1" a="1"/>
  <c r="H2082" i="47" s="1"/>
  <c r="I2082" i="47"/>
  <c r="E2082" i="47"/>
  <c r="L2081" i="47"/>
  <c r="J2081" i="47"/>
  <c r="H2081" i="47" s="1" a="1"/>
  <c r="H2081" i="47" s="1"/>
  <c r="I2081" i="47"/>
  <c r="E2081" i="47"/>
  <c r="L2080" i="47"/>
  <c r="J2080" i="47"/>
  <c r="H2080" i="47" s="1" a="1"/>
  <c r="H2080" i="47" s="1"/>
  <c r="I2080" i="47"/>
  <c r="E2080" i="47"/>
  <c r="L2079" i="47"/>
  <c r="J2079" i="47"/>
  <c r="H2079" i="47" s="1" a="1"/>
  <c r="H2079" i="47" s="1"/>
  <c r="G2079" i="47" s="1" a="1"/>
  <c r="G2079" i="47" s="1"/>
  <c r="K2079" i="47" s="1"/>
  <c r="I2079" i="47"/>
  <c r="E2079" i="47"/>
  <c r="L2078" i="47"/>
  <c r="J2078" i="47"/>
  <c r="H2078" i="47" s="1" a="1"/>
  <c r="H2078" i="47" s="1"/>
  <c r="I2078" i="47"/>
  <c r="E2078" i="47"/>
  <c r="L2077" i="47"/>
  <c r="J2077" i="47"/>
  <c r="H2077" i="47" s="1" a="1"/>
  <c r="H2077" i="47" s="1"/>
  <c r="G2077" i="47" s="1" a="1"/>
  <c r="G2077" i="47" s="1"/>
  <c r="I2077" i="47"/>
  <c r="E2077" i="47"/>
  <c r="L2076" i="47"/>
  <c r="J2076" i="47"/>
  <c r="H2076" i="47" s="1" a="1"/>
  <c r="H2076" i="47" s="1"/>
  <c r="I2076" i="47"/>
  <c r="E2076" i="47"/>
  <c r="L2075" i="47"/>
  <c r="J2075" i="47"/>
  <c r="H2075" i="47" s="1" a="1"/>
  <c r="H2075" i="47" s="1"/>
  <c r="I2075" i="47"/>
  <c r="E2075" i="47"/>
  <c r="L2074" i="47"/>
  <c r="J2074" i="47"/>
  <c r="H2074" i="47" s="1" a="1"/>
  <c r="H2074" i="47" s="1"/>
  <c r="I2074" i="47"/>
  <c r="E2074" i="47"/>
  <c r="L2073" i="47"/>
  <c r="J2073" i="47"/>
  <c r="I2073" i="47"/>
  <c r="H2073" i="47"/>
  <c r="G2073" i="47" s="1" a="1"/>
  <c r="G2073" i="47" s="1"/>
  <c r="K2073" i="47" s="1"/>
  <c r="H2073" i="47" a="1"/>
  <c r="E2073" i="47"/>
  <c r="L2072" i="47"/>
  <c r="J2072" i="47"/>
  <c r="H2072" i="47" s="1" a="1"/>
  <c r="H2072" i="47" s="1"/>
  <c r="I2072" i="47"/>
  <c r="E2072" i="47"/>
  <c r="L2071" i="47"/>
  <c r="J2071" i="47"/>
  <c r="H2071" i="47" s="1" a="1"/>
  <c r="H2071" i="47" s="1"/>
  <c r="I2071" i="47"/>
  <c r="E2071" i="47"/>
  <c r="L2070" i="47"/>
  <c r="J2070" i="47"/>
  <c r="H2070" i="47" s="1" a="1"/>
  <c r="H2070" i="47" s="1"/>
  <c r="G2070" i="47" s="1" a="1"/>
  <c r="G2070" i="47" s="1"/>
  <c r="K2070" i="47" s="1"/>
  <c r="I2070" i="47"/>
  <c r="E2070" i="47"/>
  <c r="L2069" i="47"/>
  <c r="J2069" i="47"/>
  <c r="H2069" i="47" s="1" a="1"/>
  <c r="H2069" i="47" s="1"/>
  <c r="I2069" i="47"/>
  <c r="E2069" i="47"/>
  <c r="L2068" i="47"/>
  <c r="J2068" i="47"/>
  <c r="H2068" i="47" s="1" a="1"/>
  <c r="H2068" i="47" s="1"/>
  <c r="I2068" i="47"/>
  <c r="E2068" i="47"/>
  <c r="L2067" i="47"/>
  <c r="J2067" i="47"/>
  <c r="H2067" i="47" s="1" a="1"/>
  <c r="H2067" i="47" s="1"/>
  <c r="G2067" i="47" s="1" a="1"/>
  <c r="G2067" i="47" s="1"/>
  <c r="K2067" i="47" s="1"/>
  <c r="I2067" i="47"/>
  <c r="E2067" i="47"/>
  <c r="L2066" i="47"/>
  <c r="J2066" i="47"/>
  <c r="H2066" i="47" s="1" a="1"/>
  <c r="H2066" i="47" s="1"/>
  <c r="I2066" i="47"/>
  <c r="E2066" i="47"/>
  <c r="L2065" i="47"/>
  <c r="J2065" i="47"/>
  <c r="I2065" i="47"/>
  <c r="F2065" i="47" a="1"/>
  <c r="F2065" i="47" s="1"/>
  <c r="L2063" i="47"/>
  <c r="J2063" i="47"/>
  <c r="H2063" i="47" s="1" a="1"/>
  <c r="H2063" i="47" s="1"/>
  <c r="I2063" i="47"/>
  <c r="E2063" i="47"/>
  <c r="L2062" i="47"/>
  <c r="J2062" i="47"/>
  <c r="H2062" i="47" s="1" a="1"/>
  <c r="H2062" i="47" s="1"/>
  <c r="I2062" i="47"/>
  <c r="E2062" i="47"/>
  <c r="L2061" i="47"/>
  <c r="J2061" i="47"/>
  <c r="H2061" i="47" s="1" a="1"/>
  <c r="H2061" i="47" s="1"/>
  <c r="I2061" i="47"/>
  <c r="E2061" i="47"/>
  <c r="L2060" i="47"/>
  <c r="J2060" i="47"/>
  <c r="I2060" i="47"/>
  <c r="H2060" i="47" a="1"/>
  <c r="H2060" i="47" s="1"/>
  <c r="G2060" i="47" s="1" a="1"/>
  <c r="G2060" i="47" s="1"/>
  <c r="K2060" i="47" s="1"/>
  <c r="E2060" i="47"/>
  <c r="L2059" i="47"/>
  <c r="J2059" i="47"/>
  <c r="H2059" i="47" s="1" a="1"/>
  <c r="H2059" i="47" s="1"/>
  <c r="G2059" i="47" s="1" a="1"/>
  <c r="G2059" i="47" s="1"/>
  <c r="K2059" i="47" s="1"/>
  <c r="I2059" i="47"/>
  <c r="E2059" i="47"/>
  <c r="L2058" i="47"/>
  <c r="J2058" i="47"/>
  <c r="H2058" i="47" s="1" a="1"/>
  <c r="H2058" i="47" s="1"/>
  <c r="I2058" i="47"/>
  <c r="E2058" i="47"/>
  <c r="L2057" i="47"/>
  <c r="J2057" i="47"/>
  <c r="H2057" i="47" s="1" a="1"/>
  <c r="H2057" i="47" s="1"/>
  <c r="I2057" i="47"/>
  <c r="E2057" i="47"/>
  <c r="L2056" i="47"/>
  <c r="J2056" i="47"/>
  <c r="H2056" i="47" s="1" a="1"/>
  <c r="H2056" i="47" s="1"/>
  <c r="I2056" i="47"/>
  <c r="E2056" i="47"/>
  <c r="L2055" i="47"/>
  <c r="J2055" i="47"/>
  <c r="I2055" i="47"/>
  <c r="H2055" i="47" a="1"/>
  <c r="H2055" i="47" s="1"/>
  <c r="G2055" i="47" s="1" a="1"/>
  <c r="G2055" i="47" s="1"/>
  <c r="E2055" i="47"/>
  <c r="L2054" i="47"/>
  <c r="J2054" i="47"/>
  <c r="H2054" i="47" s="1" a="1"/>
  <c r="H2054" i="47" s="1"/>
  <c r="G2054" i="47" s="1" a="1"/>
  <c r="G2054" i="47" s="1"/>
  <c r="K2054" i="47" s="1"/>
  <c r="I2054" i="47"/>
  <c r="E2054" i="47"/>
  <c r="L2053" i="47"/>
  <c r="J2053" i="47"/>
  <c r="I2053" i="47"/>
  <c r="H2053" i="47" a="1"/>
  <c r="H2053" i="47" s="1"/>
  <c r="G2053" i="47" s="1" a="1"/>
  <c r="G2053" i="47" s="1"/>
  <c r="E2053" i="47"/>
  <c r="L2052" i="47"/>
  <c r="J2052" i="47"/>
  <c r="H2052" i="47" s="1" a="1"/>
  <c r="H2052" i="47" s="1"/>
  <c r="I2052" i="47"/>
  <c r="E2052" i="47"/>
  <c r="L2051" i="47"/>
  <c r="J2051" i="47"/>
  <c r="I2051" i="47"/>
  <c r="H2051" i="47" a="1"/>
  <c r="H2051" i="47" s="1"/>
  <c r="E2051" i="47"/>
  <c r="L2050" i="47"/>
  <c r="J2050" i="47"/>
  <c r="H2050" i="47" s="1" a="1"/>
  <c r="H2050" i="47" s="1"/>
  <c r="G2050" i="47" s="1" a="1"/>
  <c r="G2050" i="47" s="1"/>
  <c r="K2050" i="47" s="1"/>
  <c r="I2050" i="47"/>
  <c r="E2050" i="47"/>
  <c r="L2049" i="47"/>
  <c r="J2049" i="47"/>
  <c r="H2049" i="47" s="1" a="1"/>
  <c r="H2049" i="47" s="1"/>
  <c r="I2049" i="47"/>
  <c r="E2049" i="47"/>
  <c r="L2048" i="47"/>
  <c r="J2048" i="47"/>
  <c r="H2048" i="47" s="1" a="1"/>
  <c r="H2048" i="47" s="1"/>
  <c r="I2048" i="47"/>
  <c r="E2048" i="47"/>
  <c r="L2047" i="47"/>
  <c r="J2047" i="47"/>
  <c r="I2047" i="47"/>
  <c r="H2047" i="47"/>
  <c r="G2047" i="47" s="1" a="1"/>
  <c r="G2047" i="47" s="1"/>
  <c r="K2047" i="47" s="1"/>
  <c r="H2047" i="47" a="1"/>
  <c r="E2047" i="47"/>
  <c r="L2046" i="47"/>
  <c r="J2046" i="47"/>
  <c r="H2046" i="47" s="1" a="1"/>
  <c r="H2046" i="47" s="1"/>
  <c r="I2046" i="47"/>
  <c r="E2046" i="47"/>
  <c r="L2045" i="47"/>
  <c r="J2045" i="47"/>
  <c r="H2045" i="47" s="1" a="1"/>
  <c r="H2045" i="47" s="1"/>
  <c r="I2045" i="47"/>
  <c r="E2045" i="47"/>
  <c r="L2044" i="47"/>
  <c r="J2044" i="47"/>
  <c r="H2044" i="47" s="1" a="1"/>
  <c r="H2044" i="47" s="1"/>
  <c r="G2044" i="47" s="1" a="1"/>
  <c r="G2044" i="47" s="1"/>
  <c r="I2044" i="47"/>
  <c r="E2044" i="47"/>
  <c r="L2043" i="47"/>
  <c r="J2043" i="47"/>
  <c r="H2043" i="47" s="1" a="1"/>
  <c r="H2043" i="47" s="1"/>
  <c r="I2043" i="47"/>
  <c r="E2043" i="47"/>
  <c r="L2042" i="47"/>
  <c r="J2042" i="47"/>
  <c r="H2042" i="47" s="1" a="1"/>
  <c r="H2042" i="47" s="1"/>
  <c r="G2042" i="47" s="1" a="1"/>
  <c r="G2042" i="47" s="1"/>
  <c r="I2042" i="47"/>
  <c r="E2042" i="47"/>
  <c r="L2041" i="47"/>
  <c r="J2041" i="47"/>
  <c r="H2041" i="47" s="1" a="1"/>
  <c r="H2041" i="47" s="1"/>
  <c r="I2041" i="47"/>
  <c r="E2041" i="47"/>
  <c r="L2040" i="47"/>
  <c r="J2040" i="47"/>
  <c r="H2040" i="47" s="1" a="1"/>
  <c r="H2040" i="47" s="1"/>
  <c r="I2040" i="47"/>
  <c r="E2040" i="47"/>
  <c r="L2039" i="47"/>
  <c r="J2039" i="47"/>
  <c r="H2039" i="47" s="1" a="1"/>
  <c r="H2039" i="47" s="1"/>
  <c r="I2039" i="47"/>
  <c r="E2039" i="47"/>
  <c r="L2038" i="47"/>
  <c r="J2038" i="47"/>
  <c r="H2038" i="47" s="1" a="1"/>
  <c r="H2038" i="47" s="1"/>
  <c r="I2038" i="47"/>
  <c r="E2038" i="47"/>
  <c r="L2037" i="47"/>
  <c r="J2037" i="47"/>
  <c r="H2037" i="47" s="1" a="1"/>
  <c r="H2037" i="47" s="1"/>
  <c r="I2037" i="47"/>
  <c r="E2037" i="47"/>
  <c r="L2036" i="47"/>
  <c r="J2036" i="47"/>
  <c r="H2036" i="47" s="1" a="1"/>
  <c r="H2036" i="47" s="1"/>
  <c r="I2036" i="47"/>
  <c r="E2036" i="47"/>
  <c r="L2035" i="47"/>
  <c r="J2035" i="47"/>
  <c r="H2035" i="47" s="1" a="1"/>
  <c r="H2035" i="47" s="1"/>
  <c r="I2035" i="47"/>
  <c r="E2035" i="47"/>
  <c r="L2034" i="47"/>
  <c r="J2034" i="47"/>
  <c r="H2034" i="47" s="1" a="1"/>
  <c r="H2034" i="47" s="1"/>
  <c r="I2034" i="47"/>
  <c r="E2034" i="47"/>
  <c r="L2033" i="47"/>
  <c r="J2033" i="47"/>
  <c r="H2033" i="47" s="1" a="1"/>
  <c r="H2033" i="47" s="1"/>
  <c r="I2033" i="47"/>
  <c r="E2033" i="47"/>
  <c r="L2032" i="47"/>
  <c r="J2032" i="47"/>
  <c r="H2032" i="47" s="1" a="1"/>
  <c r="H2032" i="47" s="1"/>
  <c r="G2032" i="47" s="1" a="1"/>
  <c r="G2032" i="47" s="1"/>
  <c r="I2032" i="47"/>
  <c r="E2032" i="47"/>
  <c r="L2031" i="47"/>
  <c r="J2031" i="47"/>
  <c r="H2031" i="47" s="1" a="1"/>
  <c r="H2031" i="47" s="1"/>
  <c r="I2031" i="47"/>
  <c r="E2031" i="47"/>
  <c r="L2030" i="47"/>
  <c r="J2030" i="47"/>
  <c r="H2030" i="47" s="1" a="1"/>
  <c r="H2030" i="47" s="1"/>
  <c r="I2030" i="47"/>
  <c r="E2030" i="47"/>
  <c r="L2029" i="47"/>
  <c r="J2029" i="47"/>
  <c r="H2029" i="47" s="1" a="1"/>
  <c r="H2029" i="47" s="1"/>
  <c r="I2029" i="47"/>
  <c r="E2029" i="47"/>
  <c r="L2028" i="47"/>
  <c r="J2028" i="47"/>
  <c r="I2028" i="47"/>
  <c r="E2028" i="47"/>
  <c r="L2027" i="47"/>
  <c r="J2027" i="47"/>
  <c r="H2027" i="47" s="1" a="1"/>
  <c r="H2027" i="47" s="1"/>
  <c r="I2027" i="47"/>
  <c r="L2026" i="47"/>
  <c r="J2026" i="47"/>
  <c r="H2026" i="47" s="1" a="1"/>
  <c r="H2026" i="47" s="1"/>
  <c r="G2026" i="47" s="1" a="1"/>
  <c r="G2026" i="47" s="1"/>
  <c r="K2026" i="47" s="1"/>
  <c r="I2026" i="47"/>
  <c r="E2026" i="47"/>
  <c r="L2025" i="47"/>
  <c r="J2025" i="47"/>
  <c r="I2025" i="47"/>
  <c r="H2025" i="47" a="1"/>
  <c r="H2025" i="47" s="1"/>
  <c r="G2025" i="47" s="1" a="1"/>
  <c r="G2025" i="47" s="1"/>
  <c r="K2025" i="47" s="1"/>
  <c r="E2025" i="47"/>
  <c r="L2024" i="47"/>
  <c r="J2024" i="47"/>
  <c r="I2024" i="47"/>
  <c r="E2024" i="47"/>
  <c r="L2023" i="47"/>
  <c r="J2023" i="47"/>
  <c r="I2023" i="47"/>
  <c r="E2023" i="47"/>
  <c r="L2022" i="47"/>
  <c r="J2022" i="47"/>
  <c r="H2022" i="47" s="1" a="1"/>
  <c r="H2022" i="47" s="1"/>
  <c r="I2022" i="47"/>
  <c r="L2021" i="47"/>
  <c r="J2021" i="47"/>
  <c r="H2021" i="47" s="1" a="1"/>
  <c r="H2021" i="47" s="1"/>
  <c r="G2021" i="47" s="1" a="1"/>
  <c r="G2021" i="47" s="1"/>
  <c r="K2021" i="47" s="1"/>
  <c r="I2021" i="47"/>
  <c r="L2020" i="47"/>
  <c r="J2020" i="47"/>
  <c r="I2020" i="47"/>
  <c r="L2019" i="47"/>
  <c r="J2019" i="47"/>
  <c r="H2019" i="47" s="1" a="1"/>
  <c r="H2019" i="47" s="1"/>
  <c r="I2019" i="47"/>
  <c r="L2018" i="47"/>
  <c r="J2018" i="47"/>
  <c r="I2018" i="47"/>
  <c r="E2018" i="47"/>
  <c r="L2017" i="47"/>
  <c r="J2017" i="47"/>
  <c r="H2017" i="47" s="1" a="1"/>
  <c r="H2017" i="47" s="1"/>
  <c r="I2017" i="47"/>
  <c r="L2016" i="47"/>
  <c r="J2016" i="47"/>
  <c r="H2016" i="47" s="1" a="1"/>
  <c r="H2016" i="47" s="1"/>
  <c r="I2016" i="47"/>
  <c r="E2016" i="47"/>
  <c r="L2015" i="47"/>
  <c r="J2015" i="47"/>
  <c r="I2015" i="47"/>
  <c r="F2015" i="47" a="1"/>
  <c r="L2013" i="47"/>
  <c r="J2013" i="47"/>
  <c r="H2013" i="47" s="1" a="1"/>
  <c r="H2013" i="47" s="1"/>
  <c r="I2013" i="47"/>
  <c r="E2013" i="47"/>
  <c r="L2012" i="47"/>
  <c r="J2012" i="47"/>
  <c r="H2012" i="47" s="1" a="1"/>
  <c r="H2012" i="47" s="1"/>
  <c r="I2012" i="47"/>
  <c r="E2012" i="47"/>
  <c r="L2011" i="47"/>
  <c r="J2011" i="47"/>
  <c r="H2011" i="47" s="1" a="1"/>
  <c r="H2011" i="47" s="1"/>
  <c r="I2011" i="47"/>
  <c r="E2011" i="47"/>
  <c r="L2010" i="47"/>
  <c r="J2010" i="47"/>
  <c r="H2010" i="47" s="1" a="1"/>
  <c r="H2010" i="47" s="1"/>
  <c r="I2010" i="47"/>
  <c r="E2010" i="47"/>
  <c r="L2009" i="47"/>
  <c r="J2009" i="47"/>
  <c r="H2009" i="47" s="1" a="1"/>
  <c r="H2009" i="47" s="1"/>
  <c r="I2009" i="47"/>
  <c r="E2009" i="47"/>
  <c r="L2008" i="47"/>
  <c r="J2008" i="47"/>
  <c r="H2008" i="47" s="1" a="1"/>
  <c r="H2008" i="47" s="1"/>
  <c r="G2008" i="47" s="1" a="1"/>
  <c r="G2008" i="47" s="1"/>
  <c r="K2008" i="47" s="1"/>
  <c r="I2008" i="47"/>
  <c r="E2008" i="47"/>
  <c r="L2007" i="47"/>
  <c r="J2007" i="47"/>
  <c r="H2007" i="47" s="1" a="1"/>
  <c r="H2007" i="47" s="1"/>
  <c r="I2007" i="47"/>
  <c r="E2007" i="47"/>
  <c r="L2006" i="47"/>
  <c r="J2006" i="47"/>
  <c r="H2006" i="47" s="1" a="1"/>
  <c r="H2006" i="47" s="1"/>
  <c r="I2006" i="47"/>
  <c r="E2006" i="47"/>
  <c r="L2005" i="47"/>
  <c r="J2005" i="47"/>
  <c r="H2005" i="47" s="1" a="1"/>
  <c r="H2005" i="47" s="1"/>
  <c r="G2005" i="47" s="1" a="1"/>
  <c r="G2005" i="47" s="1"/>
  <c r="K2005" i="47" s="1"/>
  <c r="I2005" i="47"/>
  <c r="E2005" i="47"/>
  <c r="L2004" i="47"/>
  <c r="J2004" i="47"/>
  <c r="H2004" i="47" s="1" a="1"/>
  <c r="H2004" i="47" s="1"/>
  <c r="I2004" i="47"/>
  <c r="E2004" i="47"/>
  <c r="L2003" i="47"/>
  <c r="J2003" i="47"/>
  <c r="H2003" i="47" s="1" a="1"/>
  <c r="H2003" i="47" s="1"/>
  <c r="I2003" i="47"/>
  <c r="E2003" i="47"/>
  <c r="L2002" i="47"/>
  <c r="J2002" i="47"/>
  <c r="H2002" i="47" s="1" a="1"/>
  <c r="H2002" i="47" s="1"/>
  <c r="I2002" i="47"/>
  <c r="E2002" i="47"/>
  <c r="L2001" i="47"/>
  <c r="J2001" i="47"/>
  <c r="H2001" i="47" s="1" a="1"/>
  <c r="H2001" i="47" s="1"/>
  <c r="I2001" i="47"/>
  <c r="E2001" i="47"/>
  <c r="L2000" i="47"/>
  <c r="J2000" i="47"/>
  <c r="H2000" i="47" s="1" a="1"/>
  <c r="H2000" i="47" s="1"/>
  <c r="G2000" i="47" s="1" a="1"/>
  <c r="G2000" i="47" s="1"/>
  <c r="K2000" i="47" s="1"/>
  <c r="I2000" i="47"/>
  <c r="E2000" i="47"/>
  <c r="L1999" i="47"/>
  <c r="J1999" i="47"/>
  <c r="I1999" i="47"/>
  <c r="H1999" i="47" a="1"/>
  <c r="H1999" i="47" s="1"/>
  <c r="E1999" i="47"/>
  <c r="L1998" i="47"/>
  <c r="J1998" i="47"/>
  <c r="H1998" i="47" s="1" a="1"/>
  <c r="H1998" i="47" s="1"/>
  <c r="G1998" i="47" s="1" a="1"/>
  <c r="G1998" i="47" s="1"/>
  <c r="I1998" i="47"/>
  <c r="E1998" i="47"/>
  <c r="L1997" i="47"/>
  <c r="J1997" i="47"/>
  <c r="I1997" i="47"/>
  <c r="H1997" i="47" a="1"/>
  <c r="H1997" i="47" s="1"/>
  <c r="G1997" i="47" s="1" a="1"/>
  <c r="G1997" i="47" s="1"/>
  <c r="K1997" i="47" s="1"/>
  <c r="E1997" i="47"/>
  <c r="L1996" i="47"/>
  <c r="J1996" i="47"/>
  <c r="H1996" i="47" s="1" a="1"/>
  <c r="H1996" i="47" s="1"/>
  <c r="G1996" i="47" s="1" a="1"/>
  <c r="G1996" i="47" s="1"/>
  <c r="K1996" i="47" s="1"/>
  <c r="I1996" i="47"/>
  <c r="E1996" i="47"/>
  <c r="L1995" i="47"/>
  <c r="J1995" i="47"/>
  <c r="H1995" i="47" s="1" a="1"/>
  <c r="H1995" i="47" s="1"/>
  <c r="I1995" i="47"/>
  <c r="E1995" i="47"/>
  <c r="L1994" i="47"/>
  <c r="J1994" i="47"/>
  <c r="H1994" i="47" s="1" a="1"/>
  <c r="H1994" i="47" s="1"/>
  <c r="I1994" i="47"/>
  <c r="E1994" i="47"/>
  <c r="L1993" i="47"/>
  <c r="J1993" i="47"/>
  <c r="H1993" i="47" s="1" a="1"/>
  <c r="H1993" i="47" s="1"/>
  <c r="I1993" i="47"/>
  <c r="E1993" i="47"/>
  <c r="L1992" i="47"/>
  <c r="J1992" i="47"/>
  <c r="H1992" i="47" s="1" a="1"/>
  <c r="H1992" i="47" s="1"/>
  <c r="I1992" i="47"/>
  <c r="E1992" i="47"/>
  <c r="L1991" i="47"/>
  <c r="J1991" i="47"/>
  <c r="H1991" i="47" s="1" a="1"/>
  <c r="H1991" i="47" s="1"/>
  <c r="I1991" i="47"/>
  <c r="E1991" i="47"/>
  <c r="L1990" i="47"/>
  <c r="J1990" i="47"/>
  <c r="H1990" i="47" s="1" a="1"/>
  <c r="H1990" i="47" s="1"/>
  <c r="I1990" i="47"/>
  <c r="E1990" i="47"/>
  <c r="L1989" i="47"/>
  <c r="J1989" i="47"/>
  <c r="H1989" i="47" s="1" a="1"/>
  <c r="H1989" i="47" s="1"/>
  <c r="I1989" i="47"/>
  <c r="E1989" i="47"/>
  <c r="L1988" i="47"/>
  <c r="J1988" i="47"/>
  <c r="H1988" i="47" s="1" a="1"/>
  <c r="H1988" i="47" s="1"/>
  <c r="I1988" i="47"/>
  <c r="E1988" i="47"/>
  <c r="L1987" i="47"/>
  <c r="J1987" i="47"/>
  <c r="H1987" i="47" s="1" a="1"/>
  <c r="H1987" i="47" s="1"/>
  <c r="I1987" i="47"/>
  <c r="E1987" i="47"/>
  <c r="L1986" i="47"/>
  <c r="J1986" i="47"/>
  <c r="H1986" i="47" s="1" a="1"/>
  <c r="H1986" i="47" s="1"/>
  <c r="I1986" i="47"/>
  <c r="E1986" i="47"/>
  <c r="L1985" i="47"/>
  <c r="J1985" i="47"/>
  <c r="H1985" i="47" s="1" a="1"/>
  <c r="H1985" i="47" s="1"/>
  <c r="G1985" i="47" s="1" a="1"/>
  <c r="G1985" i="47" s="1"/>
  <c r="K1985" i="47" s="1"/>
  <c r="I1985" i="47"/>
  <c r="E1985" i="47"/>
  <c r="L1984" i="47"/>
  <c r="J1984" i="47"/>
  <c r="I1984" i="47"/>
  <c r="H1984" i="47" a="1"/>
  <c r="H1984" i="47" s="1"/>
  <c r="G1984" i="47" s="1" a="1"/>
  <c r="G1984" i="47" s="1"/>
  <c r="K1984" i="47" s="1"/>
  <c r="E1984" i="47"/>
  <c r="L1983" i="47"/>
  <c r="J1983" i="47"/>
  <c r="H1983" i="47" s="1" a="1"/>
  <c r="H1983" i="47" s="1"/>
  <c r="G1983" i="47" s="1" a="1"/>
  <c r="G1983" i="47" s="1"/>
  <c r="K1983" i="47" s="1"/>
  <c r="I1983" i="47"/>
  <c r="E1983" i="47"/>
  <c r="L1982" i="47"/>
  <c r="J1982" i="47"/>
  <c r="H1982" i="47" s="1" a="1"/>
  <c r="H1982" i="47" s="1"/>
  <c r="I1982" i="47"/>
  <c r="E1982" i="47"/>
  <c r="L1981" i="47"/>
  <c r="J1981" i="47"/>
  <c r="H1981" i="47" s="1" a="1"/>
  <c r="H1981" i="47" s="1"/>
  <c r="G1981" i="47" s="1" a="1"/>
  <c r="G1981" i="47" s="1"/>
  <c r="K1981" i="47" s="1"/>
  <c r="I1981" i="47"/>
  <c r="E1981" i="47"/>
  <c r="L1980" i="47"/>
  <c r="J1980" i="47"/>
  <c r="H1980" i="47" s="1" a="1"/>
  <c r="H1980" i="47" s="1"/>
  <c r="I1980" i="47"/>
  <c r="E1980" i="47"/>
  <c r="L1979" i="47"/>
  <c r="J1979" i="47"/>
  <c r="H1979" i="47" s="1" a="1"/>
  <c r="H1979" i="47" s="1"/>
  <c r="I1979" i="47"/>
  <c r="E1979" i="47"/>
  <c r="L1978" i="47"/>
  <c r="J1978" i="47"/>
  <c r="H1978" i="47" s="1" a="1"/>
  <c r="H1978" i="47" s="1"/>
  <c r="I1978" i="47"/>
  <c r="E1978" i="47"/>
  <c r="L1977" i="47"/>
  <c r="J1977" i="47"/>
  <c r="H1977" i="47" s="1" a="1"/>
  <c r="H1977" i="47" s="1"/>
  <c r="I1977" i="47"/>
  <c r="E1977" i="47"/>
  <c r="L1976" i="47"/>
  <c r="J1976" i="47"/>
  <c r="H1976" i="47" s="1" a="1"/>
  <c r="H1976" i="47" s="1"/>
  <c r="G1976" i="47" s="1" a="1"/>
  <c r="G1976" i="47" s="1"/>
  <c r="K1976" i="47" s="1"/>
  <c r="I1976" i="47"/>
  <c r="E1976" i="47"/>
  <c r="L1975" i="47"/>
  <c r="J1975" i="47"/>
  <c r="I1975" i="47"/>
  <c r="H1975" i="47" a="1"/>
  <c r="H1975" i="47" s="1"/>
  <c r="G1975" i="47" s="1" a="1"/>
  <c r="G1975" i="47" s="1"/>
  <c r="K1975" i="47" s="1"/>
  <c r="E1975" i="47"/>
  <c r="L1974" i="47"/>
  <c r="J1974" i="47"/>
  <c r="H1974" i="47" s="1" a="1"/>
  <c r="H1974" i="47" s="1"/>
  <c r="G1974" i="47" s="1" a="1"/>
  <c r="G1974" i="47" s="1"/>
  <c r="I1974" i="47"/>
  <c r="E1974" i="47"/>
  <c r="L1973" i="47"/>
  <c r="J1973" i="47"/>
  <c r="I1973" i="47"/>
  <c r="H1973" i="47" a="1"/>
  <c r="H1973" i="47" s="1"/>
  <c r="G1973" i="47" s="1" a="1"/>
  <c r="G1973" i="47" s="1"/>
  <c r="K1973" i="47" s="1"/>
  <c r="E1973" i="47"/>
  <c r="L1972" i="47"/>
  <c r="J1972" i="47"/>
  <c r="H1972" i="47" s="1" a="1"/>
  <c r="H1972" i="47" s="1"/>
  <c r="G1972" i="47" s="1" a="1"/>
  <c r="G1972" i="47" s="1"/>
  <c r="K1972" i="47" s="1"/>
  <c r="I1972" i="47"/>
  <c r="E1972" i="47"/>
  <c r="L1971" i="47"/>
  <c r="J1971" i="47"/>
  <c r="H1971" i="47" s="1" a="1"/>
  <c r="H1971" i="47" s="1"/>
  <c r="I1971" i="47"/>
  <c r="E1971" i="47"/>
  <c r="L1970" i="47"/>
  <c r="J1970" i="47"/>
  <c r="H1970" i="47" s="1" a="1"/>
  <c r="H1970" i="47" s="1"/>
  <c r="I1970" i="47"/>
  <c r="E1970" i="47"/>
  <c r="L1969" i="47"/>
  <c r="J1969" i="47"/>
  <c r="H1969" i="47" s="1" a="1"/>
  <c r="H1969" i="47" s="1"/>
  <c r="I1969" i="47"/>
  <c r="E1969" i="47"/>
  <c r="L1968" i="47"/>
  <c r="J1968" i="47"/>
  <c r="H1968" i="47" s="1" a="1"/>
  <c r="H1968" i="47" s="1"/>
  <c r="I1968" i="47"/>
  <c r="E1968" i="47"/>
  <c r="L1967" i="47"/>
  <c r="J1967" i="47"/>
  <c r="H1967" i="47" s="1" a="1"/>
  <c r="H1967" i="47" s="1"/>
  <c r="G1967" i="47" s="1" a="1"/>
  <c r="G1967" i="47" s="1"/>
  <c r="I1967" i="47"/>
  <c r="E1967" i="47"/>
  <c r="L1966" i="47"/>
  <c r="J1966" i="47"/>
  <c r="H1966" i="47" s="1" a="1"/>
  <c r="H1966" i="47" s="1"/>
  <c r="I1966" i="47"/>
  <c r="E1966" i="47"/>
  <c r="L1965" i="47"/>
  <c r="J1965" i="47"/>
  <c r="I1965" i="47"/>
  <c r="F1965" i="47" a="1"/>
  <c r="F1965" i="47" s="1"/>
  <c r="L1963" i="47"/>
  <c r="J1963" i="47"/>
  <c r="H1963" i="47" s="1" a="1"/>
  <c r="H1963" i="47" s="1"/>
  <c r="I1963" i="47"/>
  <c r="E1963" i="47"/>
  <c r="L1962" i="47"/>
  <c r="J1962" i="47"/>
  <c r="H1962" i="47" s="1" a="1"/>
  <c r="H1962" i="47" s="1"/>
  <c r="I1962" i="47"/>
  <c r="E1962" i="47"/>
  <c r="L1961" i="47"/>
  <c r="J1961" i="47"/>
  <c r="H1961" i="47" s="1" a="1"/>
  <c r="H1961" i="47" s="1"/>
  <c r="G1961" i="47" s="1" a="1"/>
  <c r="G1961" i="47" s="1"/>
  <c r="K1961" i="47" s="1"/>
  <c r="I1961" i="47"/>
  <c r="E1961" i="47"/>
  <c r="L1960" i="47"/>
  <c r="J1960" i="47"/>
  <c r="I1960" i="47"/>
  <c r="H1960" i="47" a="1"/>
  <c r="H1960" i="47" s="1"/>
  <c r="E1960" i="47"/>
  <c r="L1959" i="47"/>
  <c r="J1959" i="47"/>
  <c r="H1959" i="47" s="1" a="1"/>
  <c r="H1959" i="47" s="1"/>
  <c r="I1959" i="47"/>
  <c r="E1959" i="47"/>
  <c r="L1958" i="47"/>
  <c r="J1958" i="47"/>
  <c r="I1958" i="47"/>
  <c r="H1958" i="47" a="1"/>
  <c r="H1958" i="47" s="1"/>
  <c r="G1958" i="47" s="1" a="1"/>
  <c r="G1958" i="47" s="1"/>
  <c r="K1958" i="47" s="1"/>
  <c r="E1958" i="47"/>
  <c r="L1957" i="47"/>
  <c r="J1957" i="47"/>
  <c r="H1957" i="47" s="1" a="1"/>
  <c r="H1957" i="47" s="1"/>
  <c r="I1957" i="47"/>
  <c r="E1957" i="47"/>
  <c r="L1956" i="47"/>
  <c r="J1956" i="47"/>
  <c r="H1956" i="47" s="1" a="1"/>
  <c r="H1956" i="47" s="1"/>
  <c r="I1956" i="47"/>
  <c r="E1956" i="47"/>
  <c r="L1955" i="47"/>
  <c r="J1955" i="47"/>
  <c r="H1955" i="47" s="1" a="1"/>
  <c r="H1955" i="47" s="1"/>
  <c r="I1955" i="47"/>
  <c r="E1955" i="47"/>
  <c r="L1954" i="47"/>
  <c r="J1954" i="47"/>
  <c r="I1954" i="47"/>
  <c r="H1954" i="47" a="1"/>
  <c r="H1954" i="47" s="1"/>
  <c r="G1954" i="47" s="1" a="1"/>
  <c r="G1954" i="47" s="1"/>
  <c r="K1954" i="47" s="1"/>
  <c r="E1954" i="47"/>
  <c r="L1953" i="47"/>
  <c r="J1953" i="47"/>
  <c r="H1953" i="47" s="1" a="1"/>
  <c r="H1953" i="47" s="1"/>
  <c r="G1953" i="47" s="1" a="1"/>
  <c r="G1953" i="47" s="1"/>
  <c r="I1953" i="47"/>
  <c r="E1953" i="47"/>
  <c r="L1952" i="47"/>
  <c r="J1952" i="47"/>
  <c r="H1952" i="47" s="1" a="1"/>
  <c r="H1952" i="47" s="1"/>
  <c r="G1952" i="47" s="1" a="1"/>
  <c r="G1952" i="47" s="1"/>
  <c r="I1952" i="47"/>
  <c r="E1952" i="47"/>
  <c r="L1951" i="47"/>
  <c r="J1951" i="47"/>
  <c r="H1951" i="47" s="1" a="1"/>
  <c r="H1951" i="47" s="1"/>
  <c r="I1951" i="47"/>
  <c r="E1951" i="47"/>
  <c r="L1950" i="47"/>
  <c r="J1950" i="47"/>
  <c r="H1950" i="47" s="1" a="1"/>
  <c r="H1950" i="47" s="1"/>
  <c r="I1950" i="47"/>
  <c r="E1950" i="47"/>
  <c r="L1949" i="47"/>
  <c r="J1949" i="47"/>
  <c r="H1949" i="47" s="1" a="1"/>
  <c r="H1949" i="47" s="1"/>
  <c r="I1949" i="47"/>
  <c r="E1949" i="47"/>
  <c r="L1948" i="47"/>
  <c r="J1948" i="47"/>
  <c r="H1948" i="47" s="1" a="1"/>
  <c r="H1948" i="47" s="1"/>
  <c r="I1948" i="47"/>
  <c r="E1948" i="47"/>
  <c r="L1947" i="47"/>
  <c r="J1947" i="47"/>
  <c r="H1947" i="47" s="1" a="1"/>
  <c r="H1947" i="47" s="1"/>
  <c r="I1947" i="47"/>
  <c r="E1947" i="47"/>
  <c r="L1946" i="47"/>
  <c r="J1946" i="47"/>
  <c r="H1946" i="47" s="1" a="1"/>
  <c r="H1946" i="47" s="1"/>
  <c r="I1946" i="47"/>
  <c r="E1946" i="47"/>
  <c r="L1945" i="47"/>
  <c r="J1945" i="47"/>
  <c r="H1945" i="47" s="1" a="1"/>
  <c r="H1945" i="47" s="1"/>
  <c r="I1945" i="47"/>
  <c r="E1945" i="47"/>
  <c r="L1944" i="47"/>
  <c r="J1944" i="47"/>
  <c r="H1944" i="47" s="1" a="1"/>
  <c r="H1944" i="47" s="1"/>
  <c r="I1944" i="47"/>
  <c r="E1944" i="47"/>
  <c r="L1943" i="47"/>
  <c r="J1943" i="47"/>
  <c r="H1943" i="47" s="1" a="1"/>
  <c r="H1943" i="47" s="1"/>
  <c r="G1943" i="47" s="1" a="1"/>
  <c r="G1943" i="47" s="1"/>
  <c r="I1943" i="47"/>
  <c r="E1943" i="47"/>
  <c r="L1942" i="47"/>
  <c r="J1942" i="47"/>
  <c r="I1942" i="47"/>
  <c r="H1942" i="47" a="1"/>
  <c r="H1942" i="47" s="1"/>
  <c r="G1942" i="47" s="1" a="1"/>
  <c r="G1942" i="47" s="1"/>
  <c r="K1942" i="47" s="1"/>
  <c r="E1942" i="47"/>
  <c r="L1941" i="47"/>
  <c r="J1941" i="47"/>
  <c r="H1941" i="47" s="1" a="1"/>
  <c r="H1941" i="47" s="1"/>
  <c r="G1941" i="47" s="1" a="1"/>
  <c r="G1941" i="47" s="1"/>
  <c r="I1941" i="47"/>
  <c r="E1941" i="47"/>
  <c r="L1940" i="47"/>
  <c r="J1940" i="47"/>
  <c r="H1940" i="47" s="1" a="1"/>
  <c r="H1940" i="47" s="1"/>
  <c r="I1940" i="47"/>
  <c r="E1940" i="47"/>
  <c r="L1939" i="47"/>
  <c r="J1939" i="47"/>
  <c r="H1939" i="47" s="1" a="1"/>
  <c r="H1939" i="47" s="1"/>
  <c r="I1939" i="47"/>
  <c r="E1939" i="47"/>
  <c r="L1938" i="47"/>
  <c r="J1938" i="47"/>
  <c r="H1938" i="47" s="1" a="1"/>
  <c r="H1938" i="47" s="1"/>
  <c r="I1938" i="47"/>
  <c r="E1938" i="47"/>
  <c r="L1937" i="47"/>
  <c r="J1937" i="47"/>
  <c r="H1937" i="47" s="1" a="1"/>
  <c r="H1937" i="47" s="1"/>
  <c r="I1937" i="47"/>
  <c r="E1937" i="47"/>
  <c r="L1936" i="47"/>
  <c r="J1936" i="47"/>
  <c r="H1936" i="47" s="1" a="1"/>
  <c r="H1936" i="47" s="1"/>
  <c r="I1936" i="47"/>
  <c r="E1936" i="47"/>
  <c r="L1935" i="47"/>
  <c r="J1935" i="47"/>
  <c r="H1935" i="47" s="1" a="1"/>
  <c r="H1935" i="47" s="1"/>
  <c r="I1935" i="47"/>
  <c r="E1935" i="47"/>
  <c r="L1934" i="47"/>
  <c r="J1934" i="47"/>
  <c r="H1934" i="47" s="1" a="1"/>
  <c r="H1934" i="47" s="1"/>
  <c r="I1934" i="47"/>
  <c r="E1934" i="47"/>
  <c r="L1933" i="47"/>
  <c r="J1933" i="47"/>
  <c r="H1933" i="47" s="1" a="1"/>
  <c r="H1933" i="47" s="1"/>
  <c r="I1933" i="47"/>
  <c r="E1933" i="47"/>
  <c r="L1932" i="47"/>
  <c r="J1932" i="47"/>
  <c r="H1932" i="47" s="1" a="1"/>
  <c r="H1932" i="47" s="1"/>
  <c r="I1932" i="47"/>
  <c r="E1932" i="47"/>
  <c r="L1931" i="47"/>
  <c r="J1931" i="47"/>
  <c r="H1931" i="47" s="1" a="1"/>
  <c r="H1931" i="47" s="1"/>
  <c r="I1931" i="47"/>
  <c r="E1931" i="47"/>
  <c r="L1930" i="47"/>
  <c r="J1930" i="47"/>
  <c r="H1930" i="47" s="1" a="1"/>
  <c r="H1930" i="47" s="1"/>
  <c r="G1930" i="47" s="1" a="1"/>
  <c r="G1930" i="47" s="1"/>
  <c r="K1930" i="47" s="1"/>
  <c r="I1930" i="47"/>
  <c r="E1930" i="47"/>
  <c r="L1929" i="47"/>
  <c r="J1929" i="47"/>
  <c r="H1929" i="47" s="1" a="1"/>
  <c r="H1929" i="47" s="1"/>
  <c r="G1929" i="47" s="1" a="1"/>
  <c r="G1929" i="47" s="1"/>
  <c r="I1929" i="47"/>
  <c r="E1929" i="47"/>
  <c r="L1928" i="47"/>
  <c r="J1928" i="47"/>
  <c r="H1928" i="47" s="1" a="1"/>
  <c r="H1928" i="47" s="1"/>
  <c r="I1928" i="47"/>
  <c r="E1928" i="47"/>
  <c r="L1927" i="47"/>
  <c r="J1927" i="47"/>
  <c r="H1927" i="47" s="1" a="1"/>
  <c r="H1927" i="47" s="1"/>
  <c r="I1927" i="47"/>
  <c r="E1927" i="47"/>
  <c r="L1926" i="47"/>
  <c r="J1926" i="47"/>
  <c r="H1926" i="47" s="1" a="1"/>
  <c r="H1926" i="47" s="1"/>
  <c r="G1926" i="47" s="1" a="1"/>
  <c r="G1926" i="47" s="1"/>
  <c r="K1926" i="47" s="1"/>
  <c r="I1926" i="47"/>
  <c r="E1926" i="47"/>
  <c r="L1925" i="47"/>
  <c r="J1925" i="47"/>
  <c r="H1925" i="47" s="1" a="1"/>
  <c r="H1925" i="47" s="1"/>
  <c r="I1925" i="47"/>
  <c r="E1925" i="47"/>
  <c r="L1924" i="47"/>
  <c r="J1924" i="47"/>
  <c r="H1924" i="47" s="1" a="1"/>
  <c r="H1924" i="47" s="1"/>
  <c r="I1924" i="47"/>
  <c r="E1924" i="47"/>
  <c r="L1923" i="47"/>
  <c r="J1923" i="47"/>
  <c r="H1923" i="47" s="1" a="1"/>
  <c r="H1923" i="47" s="1"/>
  <c r="I1923" i="47"/>
  <c r="E1923" i="47"/>
  <c r="L1922" i="47"/>
  <c r="J1922" i="47"/>
  <c r="I1922" i="47"/>
  <c r="H1922" i="47" a="1"/>
  <c r="H1922" i="47" s="1"/>
  <c r="G1922" i="47" s="1" a="1"/>
  <c r="G1922" i="47" s="1"/>
  <c r="K1922" i="47" s="1"/>
  <c r="E1922" i="47"/>
  <c r="L1921" i="47"/>
  <c r="J1921" i="47"/>
  <c r="H1921" i="47" s="1" a="1"/>
  <c r="H1921" i="47" s="1"/>
  <c r="I1921" i="47"/>
  <c r="E1921" i="47"/>
  <c r="L1920" i="47"/>
  <c r="J1920" i="47"/>
  <c r="I1920" i="47"/>
  <c r="H1920" i="47" a="1"/>
  <c r="H1920" i="47" s="1"/>
  <c r="E1920" i="47"/>
  <c r="L1919" i="47"/>
  <c r="J1919" i="47"/>
  <c r="H1919" i="47" s="1" a="1"/>
  <c r="H1919" i="47" s="1"/>
  <c r="G1919" i="47" s="1" a="1"/>
  <c r="G1919" i="47" s="1"/>
  <c r="I1919" i="47"/>
  <c r="E1919" i="47"/>
  <c r="L1918" i="47"/>
  <c r="J1918" i="47"/>
  <c r="H1918" i="47" s="1" a="1"/>
  <c r="H1918" i="47" s="1"/>
  <c r="I1918" i="47"/>
  <c r="E1918" i="47"/>
  <c r="L1917" i="47"/>
  <c r="J1917" i="47"/>
  <c r="H1917" i="47" s="1" a="1"/>
  <c r="H1917" i="47" s="1"/>
  <c r="G1917" i="47" s="1" a="1"/>
  <c r="G1917" i="47" s="1"/>
  <c r="I1917" i="47"/>
  <c r="E1917" i="47"/>
  <c r="L1916" i="47"/>
  <c r="J1916" i="47"/>
  <c r="H1916" i="47" s="1" a="1"/>
  <c r="H1916" i="47" s="1"/>
  <c r="I1916" i="47"/>
  <c r="E1916" i="47"/>
  <c r="L1915" i="47"/>
  <c r="J1915" i="47"/>
  <c r="I1915" i="47"/>
  <c r="F1915" i="47" a="1"/>
  <c r="F1915" i="47" s="1"/>
  <c r="L1913" i="47"/>
  <c r="J1913" i="47"/>
  <c r="I1913" i="47"/>
  <c r="H1913" i="47" a="1"/>
  <c r="H1913" i="47" s="1"/>
  <c r="G1913" i="47" s="1" a="1"/>
  <c r="G1913" i="47" s="1"/>
  <c r="E1913" i="47"/>
  <c r="L1912" i="47"/>
  <c r="J1912" i="47"/>
  <c r="H1912" i="47" s="1" a="1"/>
  <c r="H1912" i="47" s="1"/>
  <c r="I1912" i="47"/>
  <c r="E1912" i="47"/>
  <c r="L1911" i="47"/>
  <c r="J1911" i="47"/>
  <c r="H1911" i="47" s="1" a="1"/>
  <c r="H1911" i="47" s="1"/>
  <c r="I1911" i="47"/>
  <c r="E1911" i="47"/>
  <c r="L1910" i="47"/>
  <c r="J1910" i="47"/>
  <c r="H1910" i="47" s="1" a="1"/>
  <c r="H1910" i="47" s="1"/>
  <c r="I1910" i="47"/>
  <c r="E1910" i="47"/>
  <c r="L1909" i="47"/>
  <c r="J1909" i="47"/>
  <c r="H1909" i="47" s="1" a="1"/>
  <c r="H1909" i="47" s="1"/>
  <c r="I1909" i="47"/>
  <c r="E1909" i="47"/>
  <c r="L1908" i="47"/>
  <c r="J1908" i="47"/>
  <c r="H1908" i="47" s="1" a="1"/>
  <c r="H1908" i="47" s="1"/>
  <c r="I1908" i="47"/>
  <c r="E1908" i="47"/>
  <c r="L1907" i="47"/>
  <c r="J1907" i="47"/>
  <c r="H1907" i="47" s="1" a="1"/>
  <c r="H1907" i="47" s="1"/>
  <c r="G1907" i="47" s="1" a="1"/>
  <c r="G1907" i="47" s="1"/>
  <c r="K1907" i="47" s="1"/>
  <c r="I1907" i="47"/>
  <c r="E1907" i="47"/>
  <c r="L1906" i="47"/>
  <c r="J1906" i="47"/>
  <c r="H1906" i="47" s="1" a="1"/>
  <c r="H1906" i="47" s="1"/>
  <c r="I1906" i="47"/>
  <c r="E1906" i="47"/>
  <c r="L1905" i="47"/>
  <c r="J1905" i="47"/>
  <c r="H1905" i="47" s="1" a="1"/>
  <c r="H1905" i="47" s="1"/>
  <c r="I1905" i="47"/>
  <c r="E1905" i="47"/>
  <c r="L1904" i="47"/>
  <c r="J1904" i="47"/>
  <c r="H1904" i="47" s="1" a="1"/>
  <c r="H1904" i="47" s="1"/>
  <c r="G1904" i="47" s="1" a="1"/>
  <c r="G1904" i="47" s="1"/>
  <c r="I1904" i="47"/>
  <c r="E1904" i="47"/>
  <c r="L1903" i="47"/>
  <c r="J1903" i="47"/>
  <c r="I1903" i="47"/>
  <c r="H1903" i="47" a="1"/>
  <c r="H1903" i="47" s="1"/>
  <c r="E1903" i="47"/>
  <c r="L1902" i="47"/>
  <c r="J1902" i="47"/>
  <c r="H1902" i="47" s="1" a="1"/>
  <c r="H1902" i="47" s="1"/>
  <c r="G1902" i="47" s="1" a="1"/>
  <c r="G1902" i="47" s="1"/>
  <c r="K1902" i="47" s="1"/>
  <c r="I1902" i="47"/>
  <c r="E1902" i="47"/>
  <c r="L1901" i="47"/>
  <c r="J1901" i="47"/>
  <c r="H1901" i="47" s="1" a="1"/>
  <c r="H1901" i="47" s="1"/>
  <c r="I1901" i="47"/>
  <c r="E1901" i="47"/>
  <c r="L1900" i="47"/>
  <c r="J1900" i="47"/>
  <c r="H1900" i="47" s="1" a="1"/>
  <c r="H1900" i="47" s="1"/>
  <c r="I1900" i="47"/>
  <c r="E1900" i="47"/>
  <c r="L1899" i="47"/>
  <c r="J1899" i="47"/>
  <c r="H1899" i="47" s="1" a="1"/>
  <c r="H1899" i="47" s="1"/>
  <c r="I1899" i="47"/>
  <c r="E1899" i="47"/>
  <c r="L1898" i="47"/>
  <c r="J1898" i="47"/>
  <c r="H1898" i="47" s="1" a="1"/>
  <c r="H1898" i="47" s="1"/>
  <c r="I1898" i="47"/>
  <c r="E1898" i="47"/>
  <c r="L1897" i="47"/>
  <c r="J1897" i="47"/>
  <c r="H1897" i="47" s="1" a="1"/>
  <c r="H1897" i="47" s="1"/>
  <c r="I1897" i="47"/>
  <c r="E1897" i="47"/>
  <c r="L1896" i="47"/>
  <c r="J1896" i="47"/>
  <c r="H1896" i="47" s="1" a="1"/>
  <c r="H1896" i="47" s="1"/>
  <c r="I1896" i="47"/>
  <c r="E1896" i="47"/>
  <c r="L1895" i="47"/>
  <c r="J1895" i="47"/>
  <c r="H1895" i="47" s="1" a="1"/>
  <c r="H1895" i="47" s="1"/>
  <c r="G1895" i="47" s="1" a="1"/>
  <c r="G1895" i="47" s="1"/>
  <c r="K1895" i="47" s="1"/>
  <c r="I1895" i="47"/>
  <c r="E1895" i="47"/>
  <c r="L1894" i="47"/>
  <c r="J1894" i="47"/>
  <c r="H1894" i="47" s="1" a="1"/>
  <c r="I1894" i="47"/>
  <c r="H1894" i="47"/>
  <c r="E1894" i="47"/>
  <c r="L1893" i="47"/>
  <c r="J1893" i="47"/>
  <c r="H1893" i="47" s="1" a="1"/>
  <c r="H1893" i="47" s="1"/>
  <c r="I1893" i="47"/>
  <c r="E1893" i="47"/>
  <c r="L1892" i="47"/>
  <c r="J1892" i="47"/>
  <c r="H1892" i="47" s="1" a="1"/>
  <c r="H1892" i="47" s="1"/>
  <c r="I1892" i="47"/>
  <c r="E1892" i="47"/>
  <c r="L1891" i="47"/>
  <c r="J1891" i="47"/>
  <c r="H1891" i="47" s="1" a="1"/>
  <c r="H1891" i="47" s="1"/>
  <c r="I1891" i="47"/>
  <c r="E1891" i="47"/>
  <c r="L1890" i="47"/>
  <c r="J1890" i="47"/>
  <c r="I1890" i="47"/>
  <c r="H1890" i="47" a="1"/>
  <c r="H1890" i="47" s="1"/>
  <c r="E1890" i="47"/>
  <c r="L1889" i="47"/>
  <c r="J1889" i="47"/>
  <c r="H1889" i="47" s="1" a="1"/>
  <c r="H1889" i="47" s="1"/>
  <c r="I1889" i="47"/>
  <c r="E1889" i="47"/>
  <c r="L1888" i="47"/>
  <c r="J1888" i="47"/>
  <c r="H1888" i="47" s="1" a="1"/>
  <c r="H1888" i="47" s="1"/>
  <c r="I1888" i="47"/>
  <c r="E1888" i="47"/>
  <c r="L1887" i="47"/>
  <c r="J1887" i="47"/>
  <c r="H1887" i="47" s="1" a="1"/>
  <c r="H1887" i="47" s="1"/>
  <c r="I1887" i="47"/>
  <c r="E1887" i="47"/>
  <c r="L1886" i="47"/>
  <c r="J1886" i="47"/>
  <c r="H1886" i="47" s="1" a="1"/>
  <c r="H1886" i="47" s="1"/>
  <c r="I1886" i="47"/>
  <c r="E1886" i="47"/>
  <c r="L1885" i="47"/>
  <c r="J1885" i="47"/>
  <c r="I1885" i="47"/>
  <c r="H1885" i="47" a="1"/>
  <c r="H1885" i="47" s="1"/>
  <c r="E1885" i="47"/>
  <c r="L1884" i="47"/>
  <c r="J1884" i="47"/>
  <c r="H1884" i="47" s="1" a="1"/>
  <c r="H1884" i="47" s="1"/>
  <c r="G1884" i="47" s="1" a="1"/>
  <c r="G1884" i="47" s="1"/>
  <c r="K1884" i="47" s="1"/>
  <c r="I1884" i="47"/>
  <c r="E1884" i="47"/>
  <c r="L1883" i="47"/>
  <c r="J1883" i="47"/>
  <c r="H1883" i="47" s="1" a="1"/>
  <c r="H1883" i="47" s="1"/>
  <c r="I1883" i="47"/>
  <c r="E1883" i="47"/>
  <c r="L1882" i="47"/>
  <c r="J1882" i="47"/>
  <c r="H1882" i="47" s="1" a="1"/>
  <c r="H1882" i="47" s="1"/>
  <c r="G1882" i="47" s="1" a="1"/>
  <c r="G1882" i="47" s="1"/>
  <c r="K1882" i="47" s="1"/>
  <c r="I1882" i="47"/>
  <c r="E1882" i="47"/>
  <c r="L1881" i="47"/>
  <c r="J1881" i="47"/>
  <c r="H1881" i="47" s="1" a="1"/>
  <c r="H1881" i="47" s="1"/>
  <c r="G1881" i="47" s="1" a="1"/>
  <c r="G1881" i="47" s="1"/>
  <c r="K1881" i="47" s="1"/>
  <c r="I1881" i="47"/>
  <c r="E1881" i="47"/>
  <c r="L1880" i="47"/>
  <c r="J1880" i="47"/>
  <c r="H1880" i="47" s="1" a="1"/>
  <c r="H1880" i="47" s="1"/>
  <c r="I1880" i="47"/>
  <c r="E1880" i="47"/>
  <c r="L1879" i="47"/>
  <c r="J1879" i="47"/>
  <c r="H1879" i="47" s="1" a="1"/>
  <c r="H1879" i="47" s="1"/>
  <c r="G1879" i="47" s="1" a="1"/>
  <c r="G1879" i="47" s="1"/>
  <c r="K1879" i="47" s="1"/>
  <c r="I1879" i="47"/>
  <c r="E1879" i="47"/>
  <c r="L1878" i="47"/>
  <c r="J1878" i="47"/>
  <c r="H1878" i="47" s="1" a="1"/>
  <c r="H1878" i="47" s="1"/>
  <c r="G1878" i="47" s="1" a="1"/>
  <c r="G1878" i="47" s="1"/>
  <c r="K1878" i="47" s="1"/>
  <c r="I1878" i="47"/>
  <c r="E1878" i="47"/>
  <c r="L1877" i="47"/>
  <c r="J1877" i="47"/>
  <c r="H1877" i="47" s="1" a="1"/>
  <c r="H1877" i="47" s="1"/>
  <c r="I1877" i="47"/>
  <c r="E1877" i="47"/>
  <c r="L1876" i="47"/>
  <c r="J1876" i="47"/>
  <c r="H1876" i="47" s="1" a="1"/>
  <c r="H1876" i="47" s="1"/>
  <c r="I1876" i="47"/>
  <c r="E1876" i="47"/>
  <c r="L1875" i="47"/>
  <c r="J1875" i="47"/>
  <c r="H1875" i="47" s="1" a="1"/>
  <c r="H1875" i="47" s="1"/>
  <c r="I1875" i="47"/>
  <c r="E1875" i="47"/>
  <c r="L1874" i="47"/>
  <c r="J1874" i="47"/>
  <c r="H1874" i="47" s="1" a="1"/>
  <c r="H1874" i="47" s="1"/>
  <c r="G1874" i="47" s="1" a="1"/>
  <c r="G1874" i="47" s="1"/>
  <c r="K1874" i="47" s="1"/>
  <c r="I1874" i="47"/>
  <c r="E1874" i="47"/>
  <c r="L1873" i="47"/>
  <c r="J1873" i="47"/>
  <c r="H1873" i="47" s="1" a="1"/>
  <c r="H1873" i="47" s="1"/>
  <c r="I1873" i="47"/>
  <c r="E1873" i="47"/>
  <c r="L1872" i="47"/>
  <c r="J1872" i="47"/>
  <c r="H1872" i="47" s="1" a="1"/>
  <c r="H1872" i="47" s="1"/>
  <c r="I1872" i="47"/>
  <c r="E1872" i="47"/>
  <c r="L1871" i="47"/>
  <c r="J1871" i="47"/>
  <c r="I1871" i="47"/>
  <c r="H1871" i="47" a="1"/>
  <c r="H1871" i="47" s="1"/>
  <c r="E1871" i="47"/>
  <c r="L1870" i="47"/>
  <c r="J1870" i="47"/>
  <c r="H1870" i="47" s="1" a="1"/>
  <c r="H1870" i="47" s="1"/>
  <c r="I1870" i="47"/>
  <c r="E1870" i="47"/>
  <c r="L1869" i="47"/>
  <c r="J1869" i="47"/>
  <c r="I1869" i="47"/>
  <c r="H1869" i="47" a="1"/>
  <c r="H1869" i="47" s="1"/>
  <c r="G1869" i="47" s="1" a="1"/>
  <c r="G1869" i="47" s="1"/>
  <c r="K1869" i="47" s="1"/>
  <c r="E1869" i="47"/>
  <c r="L1868" i="47"/>
  <c r="J1868" i="47"/>
  <c r="H1868" i="47" s="1" a="1"/>
  <c r="H1868" i="47" s="1"/>
  <c r="I1868" i="47"/>
  <c r="E1868" i="47"/>
  <c r="L1867" i="47"/>
  <c r="J1867" i="47"/>
  <c r="H1867" i="47" s="1" a="1"/>
  <c r="H1867" i="47" s="1"/>
  <c r="I1867" i="47"/>
  <c r="E1867" i="47"/>
  <c r="L1866" i="47"/>
  <c r="J1866" i="47"/>
  <c r="H1866" i="47" s="1" a="1"/>
  <c r="H1866" i="47" s="1"/>
  <c r="I1866" i="47"/>
  <c r="E1866" i="47"/>
  <c r="L1865" i="47"/>
  <c r="J1865" i="47"/>
  <c r="I1865" i="47"/>
  <c r="F1865" i="47" a="1"/>
  <c r="F1865" i="47" s="1"/>
  <c r="L1863" i="47"/>
  <c r="J1863" i="47"/>
  <c r="H1863" i="47" s="1" a="1"/>
  <c r="H1863" i="47" s="1"/>
  <c r="I1863" i="47"/>
  <c r="E1863" i="47"/>
  <c r="L1862" i="47"/>
  <c r="J1862" i="47"/>
  <c r="H1862" i="47" s="1" a="1"/>
  <c r="H1862" i="47" s="1"/>
  <c r="I1862" i="47"/>
  <c r="E1862" i="47"/>
  <c r="L1861" i="47"/>
  <c r="J1861" i="47"/>
  <c r="I1861" i="47"/>
  <c r="H1861" i="47" a="1"/>
  <c r="H1861" i="47" s="1"/>
  <c r="G1861" i="47" s="1" a="1"/>
  <c r="G1861" i="47" s="1"/>
  <c r="K1861" i="47" s="1"/>
  <c r="E1861" i="47"/>
  <c r="L1860" i="47"/>
  <c r="J1860" i="47"/>
  <c r="H1860" i="47" s="1" a="1"/>
  <c r="H1860" i="47" s="1"/>
  <c r="I1860" i="47"/>
  <c r="E1860" i="47"/>
  <c r="L1859" i="47"/>
  <c r="J1859" i="47"/>
  <c r="H1859" i="47" s="1" a="1"/>
  <c r="H1859" i="47" s="1"/>
  <c r="I1859" i="47"/>
  <c r="E1859" i="47"/>
  <c r="L1858" i="47"/>
  <c r="J1858" i="47"/>
  <c r="H1858" i="47" s="1" a="1"/>
  <c r="H1858" i="47" s="1"/>
  <c r="I1858" i="47"/>
  <c r="G1858" i="47" s="1" a="1"/>
  <c r="G1858" i="47" s="1"/>
  <c r="K1858" i="47" s="1"/>
  <c r="E1858" i="47"/>
  <c r="L1857" i="47"/>
  <c r="J1857" i="47"/>
  <c r="H1857" i="47" s="1" a="1"/>
  <c r="H1857" i="47" s="1"/>
  <c r="G1857" i="47" s="1" a="1"/>
  <c r="G1857" i="47" s="1"/>
  <c r="K1857" i="47" s="1"/>
  <c r="I1857" i="47"/>
  <c r="E1857" i="47"/>
  <c r="L1856" i="47"/>
  <c r="J1856" i="47"/>
  <c r="H1856" i="47" s="1" a="1"/>
  <c r="H1856" i="47" s="1"/>
  <c r="I1856" i="47"/>
  <c r="E1856" i="47"/>
  <c r="L1855" i="47"/>
  <c r="J1855" i="47"/>
  <c r="I1855" i="47"/>
  <c r="H1855" i="47" a="1"/>
  <c r="H1855" i="47" s="1"/>
  <c r="E1855" i="47"/>
  <c r="L1854" i="47"/>
  <c r="J1854" i="47"/>
  <c r="H1854" i="47" s="1" a="1"/>
  <c r="H1854" i="47" s="1"/>
  <c r="I1854" i="47"/>
  <c r="E1854" i="47"/>
  <c r="L1853" i="47"/>
  <c r="J1853" i="47"/>
  <c r="H1853" i="47" s="1" a="1"/>
  <c r="H1853" i="47" s="1"/>
  <c r="I1853" i="47"/>
  <c r="E1853" i="47"/>
  <c r="L1852" i="47"/>
  <c r="J1852" i="47"/>
  <c r="H1852" i="47" s="1" a="1"/>
  <c r="H1852" i="47" s="1"/>
  <c r="I1852" i="47"/>
  <c r="E1852" i="47"/>
  <c r="L1851" i="47"/>
  <c r="J1851" i="47"/>
  <c r="H1851" i="47" s="1" a="1"/>
  <c r="H1851" i="47" s="1"/>
  <c r="I1851" i="47"/>
  <c r="E1851" i="47"/>
  <c r="L1850" i="47"/>
  <c r="J1850" i="47"/>
  <c r="H1850" i="47" s="1" a="1"/>
  <c r="H1850" i="47" s="1"/>
  <c r="G1850" i="47" s="1" a="1"/>
  <c r="G1850" i="47" s="1"/>
  <c r="I1850" i="47"/>
  <c r="E1850" i="47"/>
  <c r="L1849" i="47"/>
  <c r="J1849" i="47"/>
  <c r="H1849" i="47" s="1" a="1"/>
  <c r="H1849" i="47" s="1"/>
  <c r="I1849" i="47"/>
  <c r="E1849" i="47"/>
  <c r="L1848" i="47"/>
  <c r="J1848" i="47"/>
  <c r="H1848" i="47" s="1" a="1"/>
  <c r="H1848" i="47" s="1"/>
  <c r="I1848" i="47"/>
  <c r="G1848" i="47" s="1" a="1"/>
  <c r="G1848" i="47" s="1"/>
  <c r="K1848" i="47" s="1"/>
  <c r="E1848" i="47"/>
  <c r="L1847" i="47"/>
  <c r="J1847" i="47"/>
  <c r="H1847" i="47" s="1" a="1"/>
  <c r="H1847" i="47" s="1"/>
  <c r="I1847" i="47"/>
  <c r="E1847" i="47"/>
  <c r="L1846" i="47"/>
  <c r="J1846" i="47"/>
  <c r="H1846" i="47" s="1" a="1"/>
  <c r="H1846" i="47" s="1"/>
  <c r="I1846" i="47"/>
  <c r="E1846" i="47"/>
  <c r="L1845" i="47"/>
  <c r="J1845" i="47"/>
  <c r="H1845" i="47" s="1" a="1"/>
  <c r="H1845" i="47" s="1"/>
  <c r="G1845" i="47" s="1" a="1"/>
  <c r="G1845" i="47" s="1"/>
  <c r="I1845" i="47"/>
  <c r="E1845" i="47"/>
  <c r="L1844" i="47"/>
  <c r="J1844" i="47"/>
  <c r="I1844" i="47"/>
  <c r="H1844" i="47" a="1"/>
  <c r="H1844" i="47" s="1"/>
  <c r="G1844" i="47" s="1" a="1"/>
  <c r="G1844" i="47" s="1"/>
  <c r="E1844" i="47"/>
  <c r="L1843" i="47"/>
  <c r="J1843" i="47"/>
  <c r="H1843" i="47" s="1" a="1"/>
  <c r="H1843" i="47" s="1"/>
  <c r="G1843" i="47" s="1" a="1"/>
  <c r="G1843" i="47" s="1"/>
  <c r="K1843" i="47" s="1"/>
  <c r="I1843" i="47"/>
  <c r="E1843" i="47"/>
  <c r="L1842" i="47"/>
  <c r="J1842" i="47"/>
  <c r="H1842" i="47" s="1" a="1"/>
  <c r="H1842" i="47" s="1"/>
  <c r="I1842" i="47"/>
  <c r="E1842" i="47"/>
  <c r="L1841" i="47"/>
  <c r="J1841" i="47"/>
  <c r="H1841" i="47" s="1" a="1"/>
  <c r="H1841" i="47" s="1"/>
  <c r="I1841" i="47"/>
  <c r="E1841" i="47"/>
  <c r="L1840" i="47"/>
  <c r="J1840" i="47"/>
  <c r="H1840" i="47" s="1" a="1"/>
  <c r="H1840" i="47" s="1"/>
  <c r="I1840" i="47"/>
  <c r="E1840" i="47"/>
  <c r="L1839" i="47"/>
  <c r="J1839" i="47"/>
  <c r="H1839" i="47" s="1" a="1"/>
  <c r="H1839" i="47" s="1"/>
  <c r="I1839" i="47"/>
  <c r="E1839" i="47"/>
  <c r="L1838" i="47"/>
  <c r="J1838" i="47"/>
  <c r="I1838" i="47"/>
  <c r="H1838" i="47" a="1"/>
  <c r="H1838" i="47" s="1"/>
  <c r="E1838" i="47"/>
  <c r="L1837" i="47"/>
  <c r="J1837" i="47"/>
  <c r="H1837" i="47" s="1" a="1"/>
  <c r="H1837" i="47" s="1"/>
  <c r="G1837" i="47" s="1" a="1"/>
  <c r="G1837" i="47" s="1"/>
  <c r="I1837" i="47"/>
  <c r="E1837" i="47"/>
  <c r="L1836" i="47"/>
  <c r="J1836" i="47"/>
  <c r="H1836" i="47" s="1" a="1"/>
  <c r="H1836" i="47" s="1"/>
  <c r="I1836" i="47"/>
  <c r="E1836" i="47"/>
  <c r="L1835" i="47"/>
  <c r="J1835" i="47"/>
  <c r="H1835" i="47" s="1" a="1"/>
  <c r="H1835" i="47" s="1"/>
  <c r="I1835" i="47"/>
  <c r="E1835" i="47"/>
  <c r="L1834" i="47"/>
  <c r="J1834" i="47"/>
  <c r="H1834" i="47" s="1" a="1"/>
  <c r="H1834" i="47" s="1"/>
  <c r="G1834" i="47" s="1" a="1"/>
  <c r="G1834" i="47" s="1"/>
  <c r="K1834" i="47" s="1"/>
  <c r="I1834" i="47"/>
  <c r="E1834" i="47"/>
  <c r="L1833" i="47"/>
  <c r="J1833" i="47"/>
  <c r="H1833" i="47" s="1" a="1"/>
  <c r="H1833" i="47" s="1"/>
  <c r="I1833" i="47"/>
  <c r="E1833" i="47"/>
  <c r="L1832" i="47"/>
  <c r="J1832" i="47"/>
  <c r="H1832" i="47" s="1" a="1"/>
  <c r="H1832" i="47" s="1"/>
  <c r="I1832" i="47"/>
  <c r="E1832" i="47"/>
  <c r="L1831" i="47"/>
  <c r="J1831" i="47"/>
  <c r="H1831" i="47" s="1" a="1"/>
  <c r="H1831" i="47" s="1"/>
  <c r="I1831" i="47"/>
  <c r="E1831" i="47"/>
  <c r="L1830" i="47"/>
  <c r="J1830" i="47"/>
  <c r="H1830" i="47" s="1" a="1"/>
  <c r="H1830" i="47" s="1"/>
  <c r="G1830" i="47" s="1" a="1"/>
  <c r="G1830" i="47" s="1"/>
  <c r="K1830" i="47" s="1"/>
  <c r="I1830" i="47"/>
  <c r="E1830" i="47"/>
  <c r="L1829" i="47"/>
  <c r="J1829" i="47"/>
  <c r="H1829" i="47" s="1" a="1"/>
  <c r="H1829" i="47" s="1"/>
  <c r="I1829" i="47"/>
  <c r="E1829" i="47"/>
  <c r="L1828" i="47"/>
  <c r="J1828" i="47"/>
  <c r="H1828" i="47" s="1" a="1"/>
  <c r="H1828" i="47" s="1"/>
  <c r="I1828" i="47"/>
  <c r="E1828" i="47"/>
  <c r="L1827" i="47"/>
  <c r="J1827" i="47"/>
  <c r="H1827" i="47" s="1" a="1"/>
  <c r="H1827" i="47" s="1"/>
  <c r="G1827" i="47" s="1" a="1"/>
  <c r="G1827" i="47" s="1"/>
  <c r="K1827" i="47" s="1"/>
  <c r="I1827" i="47"/>
  <c r="E1827" i="47"/>
  <c r="L1826" i="47"/>
  <c r="J1826" i="47"/>
  <c r="H1826" i="47" s="1" a="1"/>
  <c r="H1826" i="47" s="1"/>
  <c r="I1826" i="47"/>
  <c r="E1826" i="47"/>
  <c r="L1825" i="47"/>
  <c r="J1825" i="47"/>
  <c r="H1825" i="47" s="1" a="1"/>
  <c r="H1825" i="47" s="1"/>
  <c r="G1825" i="47" s="1" a="1"/>
  <c r="G1825" i="47" s="1"/>
  <c r="K1825" i="47" s="1"/>
  <c r="I1825" i="47"/>
  <c r="E1825" i="47"/>
  <c r="L1824" i="47"/>
  <c r="J1824" i="47"/>
  <c r="H1824" i="47" s="1" a="1"/>
  <c r="H1824" i="47" s="1"/>
  <c r="I1824" i="47"/>
  <c r="E1824" i="47"/>
  <c r="L1823" i="47"/>
  <c r="J1823" i="47"/>
  <c r="H1823" i="47" s="1" a="1"/>
  <c r="H1823" i="47" s="1"/>
  <c r="I1823" i="47"/>
  <c r="E1823" i="47"/>
  <c r="L1822" i="47"/>
  <c r="J1822" i="47"/>
  <c r="H1822" i="47" s="1" a="1"/>
  <c r="H1822" i="47" s="1"/>
  <c r="G1822" i="47" s="1" a="1"/>
  <c r="G1822" i="47" s="1"/>
  <c r="I1822" i="47"/>
  <c r="E1822" i="47"/>
  <c r="L1821" i="47"/>
  <c r="J1821" i="47"/>
  <c r="H1821" i="47" s="1" a="1"/>
  <c r="H1821" i="47" s="1"/>
  <c r="I1821" i="47"/>
  <c r="E1821" i="47"/>
  <c r="L1820" i="47"/>
  <c r="J1820" i="47"/>
  <c r="H1820" i="47" s="1" a="1"/>
  <c r="H1820" i="47" s="1"/>
  <c r="I1820" i="47"/>
  <c r="E1820" i="47"/>
  <c r="L1819" i="47"/>
  <c r="J1819" i="47"/>
  <c r="H1819" i="47" s="1" a="1"/>
  <c r="H1819" i="47" s="1"/>
  <c r="I1819" i="47"/>
  <c r="E1819" i="47"/>
  <c r="L1818" i="47"/>
  <c r="J1818" i="47"/>
  <c r="H1818" i="47" s="1" a="1"/>
  <c r="H1818" i="47" s="1"/>
  <c r="I1818" i="47"/>
  <c r="E1818" i="47"/>
  <c r="L1817" i="47"/>
  <c r="J1817" i="47"/>
  <c r="H1817" i="47" s="1" a="1"/>
  <c r="H1817" i="47" s="1"/>
  <c r="G1817" i="47" s="1" a="1"/>
  <c r="G1817" i="47" s="1"/>
  <c r="K1817" i="47" s="1"/>
  <c r="I1817" i="47"/>
  <c r="E1817" i="47"/>
  <c r="L1816" i="47"/>
  <c r="J1816" i="47"/>
  <c r="H1816" i="47" s="1" a="1"/>
  <c r="H1816" i="47" s="1"/>
  <c r="I1816" i="47"/>
  <c r="E1816" i="47"/>
  <c r="L1815" i="47"/>
  <c r="J1815" i="47"/>
  <c r="I1815" i="47"/>
  <c r="F1815" i="47" a="1"/>
  <c r="F1815" i="47" s="1"/>
  <c r="L1813" i="47"/>
  <c r="J1813" i="47"/>
  <c r="H1813" i="47" s="1" a="1"/>
  <c r="H1813" i="47" s="1"/>
  <c r="I1813" i="47"/>
  <c r="E1813" i="47"/>
  <c r="L1812" i="47"/>
  <c r="J1812" i="47"/>
  <c r="H1812" i="47" s="1" a="1"/>
  <c r="H1812" i="47" s="1"/>
  <c r="I1812" i="47"/>
  <c r="E1812" i="47"/>
  <c r="L1811" i="47"/>
  <c r="J1811" i="47"/>
  <c r="H1811" i="47" s="1" a="1"/>
  <c r="H1811" i="47" s="1"/>
  <c r="G1811" i="47" s="1" a="1"/>
  <c r="G1811" i="47" s="1"/>
  <c r="K1811" i="47" s="1"/>
  <c r="I1811" i="47"/>
  <c r="E1811" i="47"/>
  <c r="L1810" i="47"/>
  <c r="J1810" i="47"/>
  <c r="H1810" i="47" s="1" a="1"/>
  <c r="I1810" i="47"/>
  <c r="H1810" i="47"/>
  <c r="E1810" i="47"/>
  <c r="L1809" i="47"/>
  <c r="J1809" i="47"/>
  <c r="H1809" i="47" s="1" a="1"/>
  <c r="H1809" i="47" s="1"/>
  <c r="G1809" i="47" s="1" a="1"/>
  <c r="G1809" i="47" s="1"/>
  <c r="K1809" i="47" s="1"/>
  <c r="I1809" i="47"/>
  <c r="E1809" i="47"/>
  <c r="L1808" i="47"/>
  <c r="J1808" i="47"/>
  <c r="I1808" i="47"/>
  <c r="H1808" i="47" a="1"/>
  <c r="H1808" i="47" s="1"/>
  <c r="E1808" i="47"/>
  <c r="L1807" i="47"/>
  <c r="J1807" i="47"/>
  <c r="H1807" i="47" s="1" a="1"/>
  <c r="H1807" i="47" s="1"/>
  <c r="I1807" i="47"/>
  <c r="E1807" i="47"/>
  <c r="L1806" i="47"/>
  <c r="J1806" i="47"/>
  <c r="H1806" i="47" s="1" a="1"/>
  <c r="H1806" i="47" s="1"/>
  <c r="I1806" i="47"/>
  <c r="E1806" i="47"/>
  <c r="L1805" i="47"/>
  <c r="J1805" i="47"/>
  <c r="H1805" i="47" s="1" a="1"/>
  <c r="H1805" i="47" s="1"/>
  <c r="I1805" i="47"/>
  <c r="E1805" i="47"/>
  <c r="L1804" i="47"/>
  <c r="J1804" i="47"/>
  <c r="H1804" i="47" s="1" a="1"/>
  <c r="H1804" i="47" s="1"/>
  <c r="I1804" i="47"/>
  <c r="E1804" i="47"/>
  <c r="L1803" i="47"/>
  <c r="J1803" i="47"/>
  <c r="H1803" i="47" s="1" a="1"/>
  <c r="H1803" i="47" s="1"/>
  <c r="I1803" i="47"/>
  <c r="E1803" i="47"/>
  <c r="L1802" i="47"/>
  <c r="J1802" i="47"/>
  <c r="H1802" i="47" s="1" a="1"/>
  <c r="H1802" i="47" s="1"/>
  <c r="I1802" i="47"/>
  <c r="E1802" i="47"/>
  <c r="L1801" i="47"/>
  <c r="J1801" i="47"/>
  <c r="I1801" i="47"/>
  <c r="H1801" i="47" a="1"/>
  <c r="H1801" i="47" s="1"/>
  <c r="E1801" i="47"/>
  <c r="L1800" i="47"/>
  <c r="J1800" i="47"/>
  <c r="H1800" i="47" s="1" a="1"/>
  <c r="H1800" i="47" s="1"/>
  <c r="I1800" i="47"/>
  <c r="E1800" i="47"/>
  <c r="L1799" i="47"/>
  <c r="J1799" i="47"/>
  <c r="H1799" i="47" s="1" a="1"/>
  <c r="H1799" i="47" s="1"/>
  <c r="I1799" i="47"/>
  <c r="E1799" i="47"/>
  <c r="L1798" i="47"/>
  <c r="J1798" i="47"/>
  <c r="H1798" i="47" s="1" a="1"/>
  <c r="H1798" i="47" s="1"/>
  <c r="G1798" i="47" s="1" a="1"/>
  <c r="G1798" i="47" s="1"/>
  <c r="K1798" i="47" s="1"/>
  <c r="I1798" i="47"/>
  <c r="E1798" i="47"/>
  <c r="L1797" i="47"/>
  <c r="J1797" i="47"/>
  <c r="H1797" i="47" s="1" a="1"/>
  <c r="H1797" i="47" s="1"/>
  <c r="I1797" i="47"/>
  <c r="E1797" i="47"/>
  <c r="L1796" i="47"/>
  <c r="J1796" i="47"/>
  <c r="H1796" i="47" s="1" a="1"/>
  <c r="H1796" i="47" s="1"/>
  <c r="I1796" i="47"/>
  <c r="E1796" i="47"/>
  <c r="L1795" i="47"/>
  <c r="J1795" i="47"/>
  <c r="H1795" i="47" s="1" a="1"/>
  <c r="H1795" i="47" s="1"/>
  <c r="G1795" i="47" s="1" a="1"/>
  <c r="G1795" i="47" s="1"/>
  <c r="K1795" i="47" s="1"/>
  <c r="I1795" i="47"/>
  <c r="E1795" i="47"/>
  <c r="L1794" i="47"/>
  <c r="J1794" i="47"/>
  <c r="H1794" i="47" s="1" a="1"/>
  <c r="H1794" i="47" s="1"/>
  <c r="I1794" i="47"/>
  <c r="E1794" i="47"/>
  <c r="L1793" i="47"/>
  <c r="J1793" i="47"/>
  <c r="H1793" i="47" s="1" a="1"/>
  <c r="H1793" i="47" s="1"/>
  <c r="G1793" i="47" s="1" a="1"/>
  <c r="G1793" i="47" s="1"/>
  <c r="K1793" i="47" s="1"/>
  <c r="I1793" i="47"/>
  <c r="E1793" i="47"/>
  <c r="L1792" i="47"/>
  <c r="J1792" i="47"/>
  <c r="I1792" i="47"/>
  <c r="H1792" i="47" a="1"/>
  <c r="H1792" i="47" s="1"/>
  <c r="E1792" i="47"/>
  <c r="L1791" i="47"/>
  <c r="J1791" i="47"/>
  <c r="H1791" i="47" s="1" a="1"/>
  <c r="H1791" i="47" s="1"/>
  <c r="I1791" i="47"/>
  <c r="E1791" i="47"/>
  <c r="L1790" i="47"/>
  <c r="J1790" i="47"/>
  <c r="H1790" i="47" s="1" a="1"/>
  <c r="H1790" i="47" s="1"/>
  <c r="I1790" i="47"/>
  <c r="E1790" i="47"/>
  <c r="L1789" i="47"/>
  <c r="J1789" i="47"/>
  <c r="H1789" i="47" s="1" a="1"/>
  <c r="H1789" i="47" s="1"/>
  <c r="I1789" i="47"/>
  <c r="E1789" i="47"/>
  <c r="L1788" i="47"/>
  <c r="J1788" i="47"/>
  <c r="H1788" i="47" s="1" a="1"/>
  <c r="H1788" i="47" s="1"/>
  <c r="G1788" i="47" s="1" a="1"/>
  <c r="G1788" i="47" s="1"/>
  <c r="K1788" i="47" s="1"/>
  <c r="I1788" i="47"/>
  <c r="E1788" i="47"/>
  <c r="L1787" i="47"/>
  <c r="J1787" i="47"/>
  <c r="H1787" i="47" s="1" a="1"/>
  <c r="H1787" i="47" s="1"/>
  <c r="G1787" i="47" s="1" a="1"/>
  <c r="G1787" i="47" s="1"/>
  <c r="K1787" i="47" s="1"/>
  <c r="I1787" i="47"/>
  <c r="E1787" i="47"/>
  <c r="L1786" i="47"/>
  <c r="J1786" i="47"/>
  <c r="I1786" i="47"/>
  <c r="H1786" i="47" a="1"/>
  <c r="H1786" i="47" s="1"/>
  <c r="E1786" i="47"/>
  <c r="L1785" i="47"/>
  <c r="J1785" i="47"/>
  <c r="I1785" i="47"/>
  <c r="H1785" i="47" a="1"/>
  <c r="H1785" i="47" s="1"/>
  <c r="E1785" i="47"/>
  <c r="L1784" i="47"/>
  <c r="J1784" i="47"/>
  <c r="H1784" i="47" s="1" a="1"/>
  <c r="H1784" i="47" s="1"/>
  <c r="I1784" i="47"/>
  <c r="E1784" i="47"/>
  <c r="L1783" i="47"/>
  <c r="J1783" i="47"/>
  <c r="H1783" i="47" s="1" a="1"/>
  <c r="H1783" i="47" s="1"/>
  <c r="I1783" i="47"/>
  <c r="E1783" i="47"/>
  <c r="L1782" i="47"/>
  <c r="J1782" i="47"/>
  <c r="H1782" i="47" s="1" a="1"/>
  <c r="H1782" i="47" s="1"/>
  <c r="I1782" i="47"/>
  <c r="E1782" i="47"/>
  <c r="L1781" i="47"/>
  <c r="J1781" i="47"/>
  <c r="I1781" i="47"/>
  <c r="H1781" i="47" a="1"/>
  <c r="H1781" i="47" s="1"/>
  <c r="E1781" i="47"/>
  <c r="L1780" i="47"/>
  <c r="J1780" i="47"/>
  <c r="H1780" i="47" s="1" a="1"/>
  <c r="H1780" i="47" s="1"/>
  <c r="I1780" i="47"/>
  <c r="E1780" i="47"/>
  <c r="L1779" i="47"/>
  <c r="J1779" i="47"/>
  <c r="H1779" i="47" s="1" a="1"/>
  <c r="H1779" i="47" s="1"/>
  <c r="I1779" i="47"/>
  <c r="E1779" i="47"/>
  <c r="L1778" i="47"/>
  <c r="J1778" i="47"/>
  <c r="H1778" i="47" s="1" a="1"/>
  <c r="H1778" i="47" s="1"/>
  <c r="G1778" i="47" s="1" a="1"/>
  <c r="G1778" i="47" s="1"/>
  <c r="K1778" i="47" s="1"/>
  <c r="I1778" i="47"/>
  <c r="E1778" i="47"/>
  <c r="L1777" i="47"/>
  <c r="J1777" i="47"/>
  <c r="H1777" i="47" s="1" a="1"/>
  <c r="H1777" i="47" s="1"/>
  <c r="I1777" i="47"/>
  <c r="E1777" i="47"/>
  <c r="L1776" i="47"/>
  <c r="J1776" i="47"/>
  <c r="H1776" i="47" s="1" a="1"/>
  <c r="H1776" i="47" s="1"/>
  <c r="I1776" i="47"/>
  <c r="E1776" i="47"/>
  <c r="L1775" i="47"/>
  <c r="J1775" i="47"/>
  <c r="H1775" i="47" s="1" a="1"/>
  <c r="H1775" i="47" s="1"/>
  <c r="G1775" i="47" s="1" a="1"/>
  <c r="G1775" i="47" s="1"/>
  <c r="K1775" i="47" s="1"/>
  <c r="I1775" i="47"/>
  <c r="E1775" i="47"/>
  <c r="L1774" i="47"/>
  <c r="J1774" i="47"/>
  <c r="I1774" i="47"/>
  <c r="H1774" i="47" a="1"/>
  <c r="H1774" i="47" s="1"/>
  <c r="E1774" i="47"/>
  <c r="L1773" i="47"/>
  <c r="J1773" i="47"/>
  <c r="H1773" i="47" s="1" a="1"/>
  <c r="H1773" i="47" s="1"/>
  <c r="G1773" i="47" s="1" a="1"/>
  <c r="G1773" i="47" s="1"/>
  <c r="K1773" i="47" s="1"/>
  <c r="I1773" i="47"/>
  <c r="E1773" i="47"/>
  <c r="L1772" i="47"/>
  <c r="J1772" i="47"/>
  <c r="H1772" i="47" s="1" a="1"/>
  <c r="H1772" i="47" s="1"/>
  <c r="I1772" i="47"/>
  <c r="E1772" i="47"/>
  <c r="L1771" i="47"/>
  <c r="J1771" i="47"/>
  <c r="H1771" i="47" s="1" a="1"/>
  <c r="H1771" i="47" s="1"/>
  <c r="I1771" i="47"/>
  <c r="E1771" i="47"/>
  <c r="L1770" i="47"/>
  <c r="J1770" i="47"/>
  <c r="H1770" i="47" s="1" a="1"/>
  <c r="H1770" i="47" s="1"/>
  <c r="I1770" i="47"/>
  <c r="E1770" i="47"/>
  <c r="L1769" i="47"/>
  <c r="J1769" i="47"/>
  <c r="H1769" i="47" s="1" a="1"/>
  <c r="H1769" i="47" s="1"/>
  <c r="I1769" i="47"/>
  <c r="E1769" i="47"/>
  <c r="L1768" i="47"/>
  <c r="J1768" i="47"/>
  <c r="H1768" i="47" s="1" a="1"/>
  <c r="H1768" i="47" s="1"/>
  <c r="G1768" i="47" s="1" a="1"/>
  <c r="G1768" i="47" s="1"/>
  <c r="K1768" i="47" s="1"/>
  <c r="I1768" i="47"/>
  <c r="E1768" i="47"/>
  <c r="L1767" i="47"/>
  <c r="J1767" i="47"/>
  <c r="H1767" i="47" s="1" a="1"/>
  <c r="H1767" i="47" s="1"/>
  <c r="I1767" i="47"/>
  <c r="E1767" i="47"/>
  <c r="L1766" i="47"/>
  <c r="J1766" i="47"/>
  <c r="H1766" i="47" s="1" a="1"/>
  <c r="H1766" i="47" s="1"/>
  <c r="I1766" i="47"/>
  <c r="E1766" i="47"/>
  <c r="L1765" i="47"/>
  <c r="J1765" i="47"/>
  <c r="I1765" i="47"/>
  <c r="F1765" i="47"/>
  <c r="F1765" i="47" a="1"/>
  <c r="L1763" i="47"/>
  <c r="J1763" i="47"/>
  <c r="H1763" i="47" s="1" a="1"/>
  <c r="H1763" i="47" s="1"/>
  <c r="I1763" i="47"/>
  <c r="E1763" i="47"/>
  <c r="L1762" i="47"/>
  <c r="J1762" i="47"/>
  <c r="H1762" i="47" s="1" a="1"/>
  <c r="H1762" i="47" s="1"/>
  <c r="I1762" i="47"/>
  <c r="E1762" i="47"/>
  <c r="L1761" i="47"/>
  <c r="J1761" i="47"/>
  <c r="H1761" i="47" s="1" a="1"/>
  <c r="H1761" i="47" s="1"/>
  <c r="I1761" i="47"/>
  <c r="E1761" i="47"/>
  <c r="L1760" i="47"/>
  <c r="J1760" i="47"/>
  <c r="H1760" i="47" s="1" a="1"/>
  <c r="H1760" i="47" s="1"/>
  <c r="I1760" i="47"/>
  <c r="E1760" i="47"/>
  <c r="L1759" i="47"/>
  <c r="J1759" i="47"/>
  <c r="H1759" i="47" s="1" a="1"/>
  <c r="H1759" i="47" s="1"/>
  <c r="I1759" i="47"/>
  <c r="E1759" i="47"/>
  <c r="L1758" i="47"/>
  <c r="J1758" i="47"/>
  <c r="H1758" i="47" s="1" a="1"/>
  <c r="H1758" i="47" s="1"/>
  <c r="G1758" i="47" s="1" a="1"/>
  <c r="G1758" i="47" s="1"/>
  <c r="I1758" i="47"/>
  <c r="E1758" i="47"/>
  <c r="L1757" i="47"/>
  <c r="J1757" i="47"/>
  <c r="H1757" i="47" s="1" a="1"/>
  <c r="H1757" i="47" s="1"/>
  <c r="I1757" i="47"/>
  <c r="G1757" i="47" s="1" a="1"/>
  <c r="G1757" i="47" s="1"/>
  <c r="K1757" i="47" s="1"/>
  <c r="E1757" i="47"/>
  <c r="L1756" i="47"/>
  <c r="J1756" i="47"/>
  <c r="H1756" i="47" s="1" a="1"/>
  <c r="H1756" i="47" s="1"/>
  <c r="I1756" i="47"/>
  <c r="E1756" i="47"/>
  <c r="L1755" i="47"/>
  <c r="J1755" i="47"/>
  <c r="H1755" i="47" s="1" a="1"/>
  <c r="H1755" i="47" s="1"/>
  <c r="I1755" i="47"/>
  <c r="E1755" i="47"/>
  <c r="L1754" i="47"/>
  <c r="J1754" i="47"/>
  <c r="H1754" i="47" s="1" a="1"/>
  <c r="H1754" i="47" s="1"/>
  <c r="I1754" i="47"/>
  <c r="E1754" i="47"/>
  <c r="L1753" i="47"/>
  <c r="J1753" i="47"/>
  <c r="H1753" i="47" s="1" a="1"/>
  <c r="H1753" i="47" s="1"/>
  <c r="I1753" i="47"/>
  <c r="E1753" i="47"/>
  <c r="L1752" i="47"/>
  <c r="J1752" i="47"/>
  <c r="I1752" i="47"/>
  <c r="H1752" i="47" a="1"/>
  <c r="H1752" i="47" s="1"/>
  <c r="G1752" i="47" s="1" a="1"/>
  <c r="G1752" i="47" s="1"/>
  <c r="K1752" i="47" s="1"/>
  <c r="E1752" i="47"/>
  <c r="L1751" i="47"/>
  <c r="J1751" i="47"/>
  <c r="H1751" i="47" s="1" a="1"/>
  <c r="H1751" i="47" s="1"/>
  <c r="G1751" i="47" s="1" a="1"/>
  <c r="G1751" i="47" s="1"/>
  <c r="K1751" i="47" s="1"/>
  <c r="I1751" i="47"/>
  <c r="E1751" i="47"/>
  <c r="L1750" i="47"/>
  <c r="J1750" i="47"/>
  <c r="H1750" i="47" s="1" a="1"/>
  <c r="H1750" i="47" s="1"/>
  <c r="I1750" i="47"/>
  <c r="E1750" i="47"/>
  <c r="L1749" i="47"/>
  <c r="J1749" i="47"/>
  <c r="H1749" i="47" s="1" a="1"/>
  <c r="H1749" i="47" s="1"/>
  <c r="I1749" i="47"/>
  <c r="E1749" i="47"/>
  <c r="L1748" i="47"/>
  <c r="J1748" i="47"/>
  <c r="H1748" i="47" s="1" a="1"/>
  <c r="H1748" i="47" s="1"/>
  <c r="I1748" i="47"/>
  <c r="E1748" i="47"/>
  <c r="L1747" i="47"/>
  <c r="J1747" i="47"/>
  <c r="H1747" i="47" s="1" a="1"/>
  <c r="H1747" i="47" s="1"/>
  <c r="I1747" i="47"/>
  <c r="E1747" i="47"/>
  <c r="L1746" i="47"/>
  <c r="J1746" i="47"/>
  <c r="H1746" i="47" s="1" a="1"/>
  <c r="H1746" i="47" s="1"/>
  <c r="I1746" i="47"/>
  <c r="E1746" i="47"/>
  <c r="L1745" i="47"/>
  <c r="J1745" i="47"/>
  <c r="H1745" i="47" s="1" a="1"/>
  <c r="H1745" i="47" s="1"/>
  <c r="G1745" i="47" s="1" a="1"/>
  <c r="G1745" i="47" s="1"/>
  <c r="K1745" i="47" s="1"/>
  <c r="I1745" i="47"/>
  <c r="E1745" i="47"/>
  <c r="L1744" i="47"/>
  <c r="J1744" i="47"/>
  <c r="H1744" i="47" s="1" a="1"/>
  <c r="H1744" i="47" s="1"/>
  <c r="I1744" i="47"/>
  <c r="E1744" i="47"/>
  <c r="L1743" i="47"/>
  <c r="J1743" i="47"/>
  <c r="H1743" i="47" s="1" a="1"/>
  <c r="H1743" i="47" s="1"/>
  <c r="I1743" i="47"/>
  <c r="E1743" i="47"/>
  <c r="L1742" i="47"/>
  <c r="J1742" i="47"/>
  <c r="H1742" i="47" s="1" a="1"/>
  <c r="H1742" i="47" s="1"/>
  <c r="G1742" i="47" s="1" a="1"/>
  <c r="G1742" i="47" s="1"/>
  <c r="K1742" i="47" s="1"/>
  <c r="I1742" i="47"/>
  <c r="E1742" i="47"/>
  <c r="L1741" i="47"/>
  <c r="J1741" i="47"/>
  <c r="H1741" i="47" s="1" a="1"/>
  <c r="H1741" i="47" s="1"/>
  <c r="I1741" i="47"/>
  <c r="E1741" i="47"/>
  <c r="L1740" i="47"/>
  <c r="J1740" i="47"/>
  <c r="H1740" i="47" s="1" a="1"/>
  <c r="H1740" i="47" s="1"/>
  <c r="I1740" i="47"/>
  <c r="E1740" i="47"/>
  <c r="L1739" i="47"/>
  <c r="J1739" i="47"/>
  <c r="H1739" i="47" s="1" a="1"/>
  <c r="H1739" i="47" s="1"/>
  <c r="G1739" i="47" s="1" a="1"/>
  <c r="G1739" i="47" s="1"/>
  <c r="K1739" i="47" s="1"/>
  <c r="I1739" i="47"/>
  <c r="E1739" i="47"/>
  <c r="L1738" i="47"/>
  <c r="J1738" i="47"/>
  <c r="H1738" i="47" s="1" a="1"/>
  <c r="H1738" i="47" s="1"/>
  <c r="I1738" i="47"/>
  <c r="E1738" i="47"/>
  <c r="L1737" i="47"/>
  <c r="J1737" i="47"/>
  <c r="H1737" i="47" s="1" a="1"/>
  <c r="H1737" i="47" s="1"/>
  <c r="G1737" i="47" s="1" a="1"/>
  <c r="G1737" i="47" s="1"/>
  <c r="K1737" i="47" s="1"/>
  <c r="I1737" i="47"/>
  <c r="E1737" i="47"/>
  <c r="L1736" i="47"/>
  <c r="J1736" i="47"/>
  <c r="H1736" i="47" s="1" a="1"/>
  <c r="I1736" i="47"/>
  <c r="H1736" i="47"/>
  <c r="G1736" i="47" s="1" a="1"/>
  <c r="G1736" i="47" s="1"/>
  <c r="K1736" i="47" s="1"/>
  <c r="E1736" i="47"/>
  <c r="L1735" i="47"/>
  <c r="J1735" i="47"/>
  <c r="H1735" i="47" s="1" a="1"/>
  <c r="H1735" i="47" s="1"/>
  <c r="G1735" i="47" s="1" a="1"/>
  <c r="G1735" i="47" s="1"/>
  <c r="K1735" i="47" s="1"/>
  <c r="I1735" i="47"/>
  <c r="E1735" i="47"/>
  <c r="L1734" i="47"/>
  <c r="J1734" i="47"/>
  <c r="H1734" i="47" s="1" a="1"/>
  <c r="H1734" i="47" s="1"/>
  <c r="I1734" i="47"/>
  <c r="E1734" i="47"/>
  <c r="L1733" i="47"/>
  <c r="J1733" i="47"/>
  <c r="H1733" i="47" s="1" a="1"/>
  <c r="H1733" i="47" s="1"/>
  <c r="I1733" i="47"/>
  <c r="E1733" i="47"/>
  <c r="L1732" i="47"/>
  <c r="J1732" i="47"/>
  <c r="H1732" i="47" s="1" a="1"/>
  <c r="H1732" i="47" s="1"/>
  <c r="I1732" i="47"/>
  <c r="E1732" i="47"/>
  <c r="L1731" i="47"/>
  <c r="J1731" i="47"/>
  <c r="H1731" i="47" s="1" a="1"/>
  <c r="H1731" i="47" s="1"/>
  <c r="I1731" i="47"/>
  <c r="E1731" i="47"/>
  <c r="L1730" i="47"/>
  <c r="J1730" i="47"/>
  <c r="H1730" i="47" s="1" a="1"/>
  <c r="H1730" i="47" s="1"/>
  <c r="I1730" i="47"/>
  <c r="E1730" i="47"/>
  <c r="L1729" i="47"/>
  <c r="J1729" i="47"/>
  <c r="H1729" i="47" s="1" a="1"/>
  <c r="H1729" i="47" s="1"/>
  <c r="I1729" i="47"/>
  <c r="E1729" i="47"/>
  <c r="L1728" i="47"/>
  <c r="J1728" i="47"/>
  <c r="H1728" i="47" s="1" a="1"/>
  <c r="H1728" i="47" s="1"/>
  <c r="I1728" i="47"/>
  <c r="E1728" i="47"/>
  <c r="L1727" i="47"/>
  <c r="J1727" i="47"/>
  <c r="H1727" i="47" s="1" a="1"/>
  <c r="H1727" i="47" s="1"/>
  <c r="I1727" i="47"/>
  <c r="E1727" i="47"/>
  <c r="L1726" i="47"/>
  <c r="J1726" i="47"/>
  <c r="H1726" i="47" s="1" a="1"/>
  <c r="H1726" i="47" s="1"/>
  <c r="G1726" i="47" s="1" a="1"/>
  <c r="G1726" i="47" s="1"/>
  <c r="K1726" i="47" s="1"/>
  <c r="I1726" i="47"/>
  <c r="E1726" i="47"/>
  <c r="L1725" i="47"/>
  <c r="J1725" i="47"/>
  <c r="H1725" i="47" s="1" a="1"/>
  <c r="H1725" i="47" s="1"/>
  <c r="I1725" i="47"/>
  <c r="E1725" i="47"/>
  <c r="L1724" i="47"/>
  <c r="J1724" i="47"/>
  <c r="H1724" i="47" s="1" a="1"/>
  <c r="H1724" i="47" s="1"/>
  <c r="I1724" i="47"/>
  <c r="E1724" i="47"/>
  <c r="L1723" i="47"/>
  <c r="J1723" i="47"/>
  <c r="H1723" i="47" s="1" a="1"/>
  <c r="H1723" i="47" s="1"/>
  <c r="G1723" i="47" s="1" a="1"/>
  <c r="G1723" i="47" s="1"/>
  <c r="I1723" i="47"/>
  <c r="E1723" i="47"/>
  <c r="L1722" i="47"/>
  <c r="J1722" i="47"/>
  <c r="H1722" i="47" s="1" a="1"/>
  <c r="H1722" i="47" s="1"/>
  <c r="I1722" i="47"/>
  <c r="E1722" i="47"/>
  <c r="L1721" i="47"/>
  <c r="J1721" i="47"/>
  <c r="H1721" i="47" s="1" a="1"/>
  <c r="H1721" i="47" s="1"/>
  <c r="I1721" i="47"/>
  <c r="E1721" i="47"/>
  <c r="L1720" i="47"/>
  <c r="J1720" i="47"/>
  <c r="H1720" i="47" s="1" a="1"/>
  <c r="H1720" i="47" s="1"/>
  <c r="I1720" i="47"/>
  <c r="E1720" i="47"/>
  <c r="L1719" i="47"/>
  <c r="J1719" i="47"/>
  <c r="H1719" i="47" s="1" a="1"/>
  <c r="I1719" i="47"/>
  <c r="H1719" i="47"/>
  <c r="G1719" i="47" s="1" a="1"/>
  <c r="G1719" i="47" s="1"/>
  <c r="E1719" i="47"/>
  <c r="L1718" i="47"/>
  <c r="J1718" i="47"/>
  <c r="H1718" i="47" s="1" a="1"/>
  <c r="H1718" i="47" s="1"/>
  <c r="G1718" i="47" s="1" a="1"/>
  <c r="G1718" i="47" s="1"/>
  <c r="I1718" i="47"/>
  <c r="E1718" i="47"/>
  <c r="L1717" i="47"/>
  <c r="J1717" i="47"/>
  <c r="H1717" i="47" s="1" a="1"/>
  <c r="H1717" i="47" s="1"/>
  <c r="G1717" i="47" s="1" a="1"/>
  <c r="G1717" i="47" s="1"/>
  <c r="K1717" i="47" s="1"/>
  <c r="I1717" i="47"/>
  <c r="E1717" i="47"/>
  <c r="L1716" i="47"/>
  <c r="J1716" i="47"/>
  <c r="H1716" i="47" s="1" a="1"/>
  <c r="H1716" i="47" s="1"/>
  <c r="I1716" i="47"/>
  <c r="E1716" i="47"/>
  <c r="L1715" i="47"/>
  <c r="J1715" i="47"/>
  <c r="I1715" i="47"/>
  <c r="F1715" i="47" a="1"/>
  <c r="F1715" i="47" s="1"/>
  <c r="L1713" i="47"/>
  <c r="J1713" i="47"/>
  <c r="H1713" i="47" s="1" a="1"/>
  <c r="H1713" i="47" s="1"/>
  <c r="I1713" i="47"/>
  <c r="E1713" i="47"/>
  <c r="L1712" i="47"/>
  <c r="J1712" i="47"/>
  <c r="H1712" i="47" s="1" a="1"/>
  <c r="H1712" i="47" s="1"/>
  <c r="I1712" i="47"/>
  <c r="E1712" i="47"/>
  <c r="L1711" i="47"/>
  <c r="J1711" i="47"/>
  <c r="H1711" i="47" s="1" a="1"/>
  <c r="H1711" i="47" s="1"/>
  <c r="G1711" i="47" s="1" a="1"/>
  <c r="G1711" i="47" s="1"/>
  <c r="K1711" i="47" s="1"/>
  <c r="I1711" i="47"/>
  <c r="E1711" i="47"/>
  <c r="L1710" i="47"/>
  <c r="J1710" i="47"/>
  <c r="H1710" i="47" s="1" a="1"/>
  <c r="H1710" i="47" s="1"/>
  <c r="I1710" i="47"/>
  <c r="E1710" i="47"/>
  <c r="L1709" i="47"/>
  <c r="J1709" i="47"/>
  <c r="H1709" i="47" s="1" a="1"/>
  <c r="H1709" i="47" s="1"/>
  <c r="I1709" i="47"/>
  <c r="E1709" i="47"/>
  <c r="L1708" i="47"/>
  <c r="J1708" i="47"/>
  <c r="H1708" i="47" s="1" a="1"/>
  <c r="H1708" i="47" s="1"/>
  <c r="I1708" i="47"/>
  <c r="E1708" i="47"/>
  <c r="L1707" i="47"/>
  <c r="J1707" i="47"/>
  <c r="I1707" i="47"/>
  <c r="H1707" i="47" a="1"/>
  <c r="H1707" i="47" s="1"/>
  <c r="G1707" i="47" s="1" a="1"/>
  <c r="G1707" i="47" s="1"/>
  <c r="E1707" i="47"/>
  <c r="L1706" i="47"/>
  <c r="J1706" i="47"/>
  <c r="H1706" i="47" s="1" a="1"/>
  <c r="H1706" i="47" s="1"/>
  <c r="G1706" i="47" s="1" a="1"/>
  <c r="G1706" i="47" s="1"/>
  <c r="K1706" i="47" s="1"/>
  <c r="I1706" i="47"/>
  <c r="E1706" i="47"/>
  <c r="L1705" i="47"/>
  <c r="J1705" i="47"/>
  <c r="H1705" i="47" s="1" a="1"/>
  <c r="H1705" i="47" s="1"/>
  <c r="I1705" i="47"/>
  <c r="E1705" i="47"/>
  <c r="L1704" i="47"/>
  <c r="J1704" i="47"/>
  <c r="H1704" i="47" s="1" a="1"/>
  <c r="H1704" i="47" s="1"/>
  <c r="I1704" i="47"/>
  <c r="E1704" i="47"/>
  <c r="L1703" i="47"/>
  <c r="J1703" i="47"/>
  <c r="H1703" i="47" s="1" a="1"/>
  <c r="H1703" i="47" s="1"/>
  <c r="I1703" i="47"/>
  <c r="E1703" i="47"/>
  <c r="L1702" i="47"/>
  <c r="J1702" i="47"/>
  <c r="H1702" i="47" s="1" a="1"/>
  <c r="H1702" i="47" s="1"/>
  <c r="G1702" i="47" s="1" a="1"/>
  <c r="G1702" i="47" s="1"/>
  <c r="K1702" i="47" s="1"/>
  <c r="I1702" i="47"/>
  <c r="E1702" i="47"/>
  <c r="L1701" i="47"/>
  <c r="J1701" i="47"/>
  <c r="H1701" i="47" s="1" a="1"/>
  <c r="H1701" i="47" s="1"/>
  <c r="I1701" i="47"/>
  <c r="G1701" i="47" s="1" a="1"/>
  <c r="G1701" i="47" s="1"/>
  <c r="K1701" i="47" s="1"/>
  <c r="E1701" i="47"/>
  <c r="L1700" i="47"/>
  <c r="J1700" i="47"/>
  <c r="H1700" i="47" s="1" a="1"/>
  <c r="H1700" i="47" s="1"/>
  <c r="I1700" i="47"/>
  <c r="E1700" i="47"/>
  <c r="L1699" i="47"/>
  <c r="J1699" i="47"/>
  <c r="H1699" i="47" s="1" a="1"/>
  <c r="H1699" i="47" s="1"/>
  <c r="I1699" i="47"/>
  <c r="E1699" i="47"/>
  <c r="L1698" i="47"/>
  <c r="J1698" i="47"/>
  <c r="H1698" i="47" s="1" a="1"/>
  <c r="H1698" i="47" s="1"/>
  <c r="I1698" i="47"/>
  <c r="E1698" i="47"/>
  <c r="L1697" i="47"/>
  <c r="J1697" i="47"/>
  <c r="I1697" i="47"/>
  <c r="H1697" i="47" a="1"/>
  <c r="H1697" i="47" s="1"/>
  <c r="G1697" i="47" s="1" a="1"/>
  <c r="G1697" i="47" s="1"/>
  <c r="E1697" i="47"/>
  <c r="L1696" i="47"/>
  <c r="J1696" i="47"/>
  <c r="H1696" i="47" s="1" a="1"/>
  <c r="H1696" i="47" s="1"/>
  <c r="G1696" i="47" s="1" a="1"/>
  <c r="G1696" i="47" s="1"/>
  <c r="K1696" i="47" s="1"/>
  <c r="I1696" i="47"/>
  <c r="E1696" i="47"/>
  <c r="L1695" i="47"/>
  <c r="J1695" i="47"/>
  <c r="H1695" i="47" s="1" a="1"/>
  <c r="H1695" i="47" s="1"/>
  <c r="I1695" i="47"/>
  <c r="E1695" i="47"/>
  <c r="L1694" i="47"/>
  <c r="J1694" i="47"/>
  <c r="H1694" i="47" s="1" a="1"/>
  <c r="H1694" i="47" s="1"/>
  <c r="I1694" i="47"/>
  <c r="E1694" i="47"/>
  <c r="L1693" i="47"/>
  <c r="J1693" i="47"/>
  <c r="H1693" i="47" s="1" a="1"/>
  <c r="H1693" i="47" s="1"/>
  <c r="I1693" i="47"/>
  <c r="E1693" i="47"/>
  <c r="L1692" i="47"/>
  <c r="J1692" i="47"/>
  <c r="H1692" i="47" s="1" a="1"/>
  <c r="H1692" i="47" s="1"/>
  <c r="I1692" i="47"/>
  <c r="E1692" i="47"/>
  <c r="L1691" i="47"/>
  <c r="J1691" i="47"/>
  <c r="H1691" i="47" s="1" a="1"/>
  <c r="H1691" i="47" s="1"/>
  <c r="G1691" i="47" s="1" a="1"/>
  <c r="G1691" i="47" s="1"/>
  <c r="I1691" i="47"/>
  <c r="E1691" i="47"/>
  <c r="L1690" i="47"/>
  <c r="J1690" i="47"/>
  <c r="I1690" i="47"/>
  <c r="H1690" i="47" a="1"/>
  <c r="H1690" i="47" s="1"/>
  <c r="E1690" i="47"/>
  <c r="L1689" i="47"/>
  <c r="J1689" i="47"/>
  <c r="H1689" i="47" s="1" a="1"/>
  <c r="H1689" i="47" s="1"/>
  <c r="I1689" i="47"/>
  <c r="E1689" i="47"/>
  <c r="L1688" i="47"/>
  <c r="J1688" i="47"/>
  <c r="I1688" i="47"/>
  <c r="H1688" i="47" a="1"/>
  <c r="H1688" i="47" s="1"/>
  <c r="E1688" i="47"/>
  <c r="L1687" i="47"/>
  <c r="J1687" i="47"/>
  <c r="H1687" i="47" s="1" a="1"/>
  <c r="H1687" i="47" s="1"/>
  <c r="G1687" i="47" s="1" a="1"/>
  <c r="G1687" i="47" s="1"/>
  <c r="K1687" i="47" s="1"/>
  <c r="I1687" i="47"/>
  <c r="E1687" i="47"/>
  <c r="L1686" i="47"/>
  <c r="J1686" i="47"/>
  <c r="H1686" i="47" s="1" a="1"/>
  <c r="H1686" i="47" s="1"/>
  <c r="I1686" i="47"/>
  <c r="E1686" i="47"/>
  <c r="L1685" i="47"/>
  <c r="J1685" i="47"/>
  <c r="H1685" i="47" s="1" a="1"/>
  <c r="H1685" i="47" s="1"/>
  <c r="G1685" i="47" s="1" a="1"/>
  <c r="G1685" i="47" s="1"/>
  <c r="K1685" i="47" s="1"/>
  <c r="I1685" i="47"/>
  <c r="E1685" i="47"/>
  <c r="L1684" i="47"/>
  <c r="J1684" i="47"/>
  <c r="I1684" i="47"/>
  <c r="H1684" i="47" a="1"/>
  <c r="H1684" i="47" s="1"/>
  <c r="G1684" i="47" s="1" a="1"/>
  <c r="G1684" i="47" s="1"/>
  <c r="K1684" i="47" s="1"/>
  <c r="E1684" i="47"/>
  <c r="L1683" i="47"/>
  <c r="J1683" i="47"/>
  <c r="I1683" i="47"/>
  <c r="H1683" i="47" a="1"/>
  <c r="H1683" i="47" s="1"/>
  <c r="E1683" i="47"/>
  <c r="L1682" i="47"/>
  <c r="J1682" i="47"/>
  <c r="H1682" i="47" s="1" a="1"/>
  <c r="H1682" i="47" s="1"/>
  <c r="G1682" i="47" s="1" a="1"/>
  <c r="G1682" i="47" s="1"/>
  <c r="K1682" i="47" s="1"/>
  <c r="I1682" i="47"/>
  <c r="E1682" i="47"/>
  <c r="L1681" i="47"/>
  <c r="J1681" i="47"/>
  <c r="I1681" i="47"/>
  <c r="H1681" i="47" a="1"/>
  <c r="H1681" i="47" s="1"/>
  <c r="E1681" i="47"/>
  <c r="L1680" i="47"/>
  <c r="J1680" i="47"/>
  <c r="H1680" i="47" s="1" a="1"/>
  <c r="H1680" i="47" s="1"/>
  <c r="G1680" i="47" s="1" a="1"/>
  <c r="G1680" i="47" s="1"/>
  <c r="I1680" i="47"/>
  <c r="E1680" i="47"/>
  <c r="L1679" i="47"/>
  <c r="J1679" i="47"/>
  <c r="H1679" i="47" s="1" a="1"/>
  <c r="H1679" i="47" s="1"/>
  <c r="I1679" i="47"/>
  <c r="E1679" i="47"/>
  <c r="L1678" i="47"/>
  <c r="J1678" i="47"/>
  <c r="H1678" i="47" s="1" a="1"/>
  <c r="H1678" i="47" s="1"/>
  <c r="G1678" i="47" s="1" a="1"/>
  <c r="G1678" i="47" s="1"/>
  <c r="K1678" i="47" s="1"/>
  <c r="I1678" i="47"/>
  <c r="E1678" i="47"/>
  <c r="L1677" i="47"/>
  <c r="J1677" i="47"/>
  <c r="H1677" i="47" s="1" a="1"/>
  <c r="H1677" i="47" s="1"/>
  <c r="G1677" i="47" s="1" a="1"/>
  <c r="G1677" i="47" s="1"/>
  <c r="K1677" i="47" s="1"/>
  <c r="I1677" i="47"/>
  <c r="E1677" i="47"/>
  <c r="L1676" i="47"/>
  <c r="J1676" i="47"/>
  <c r="I1676" i="47"/>
  <c r="H1676" i="47" a="1"/>
  <c r="H1676" i="47" s="1"/>
  <c r="G1676" i="47" s="1" a="1"/>
  <c r="G1676" i="47" s="1"/>
  <c r="K1676" i="47" s="1"/>
  <c r="E1676" i="47"/>
  <c r="L1675" i="47"/>
  <c r="J1675" i="47"/>
  <c r="H1675" i="47" s="1" a="1"/>
  <c r="H1675" i="47" s="1"/>
  <c r="I1675" i="47"/>
  <c r="E1675" i="47"/>
  <c r="L1674" i="47"/>
  <c r="J1674" i="47"/>
  <c r="I1674" i="47"/>
  <c r="H1674" i="47" a="1"/>
  <c r="H1674" i="47" s="1"/>
  <c r="G1674" i="47" s="1" a="1"/>
  <c r="G1674" i="47" s="1"/>
  <c r="E1674" i="47"/>
  <c r="L1673" i="47"/>
  <c r="J1673" i="47"/>
  <c r="I1673" i="47"/>
  <c r="H1673" i="47" a="1"/>
  <c r="H1673" i="47" s="1"/>
  <c r="G1673" i="47" s="1" a="1"/>
  <c r="G1673" i="47" s="1"/>
  <c r="K1673" i="47" s="1"/>
  <c r="E1673" i="47"/>
  <c r="L1672" i="47"/>
  <c r="J1672" i="47"/>
  <c r="H1672" i="47" s="1" a="1"/>
  <c r="H1672" i="47" s="1"/>
  <c r="I1672" i="47"/>
  <c r="E1672" i="47"/>
  <c r="L1671" i="47"/>
  <c r="J1671" i="47"/>
  <c r="H1671" i="47" s="1" a="1"/>
  <c r="H1671" i="47" s="1"/>
  <c r="G1671" i="47" s="1" a="1"/>
  <c r="G1671" i="47" s="1"/>
  <c r="K1671" i="47" s="1"/>
  <c r="I1671" i="47"/>
  <c r="E1671" i="47"/>
  <c r="L1670" i="47"/>
  <c r="J1670" i="47"/>
  <c r="H1670" i="47" s="1" a="1"/>
  <c r="H1670" i="47" s="1"/>
  <c r="I1670" i="47"/>
  <c r="E1670" i="47"/>
  <c r="L1669" i="47"/>
  <c r="J1669" i="47"/>
  <c r="H1669" i="47" s="1" a="1"/>
  <c r="H1669" i="47" s="1"/>
  <c r="G1669" i="47" s="1" a="1"/>
  <c r="G1669" i="47" s="1"/>
  <c r="I1669" i="47"/>
  <c r="E1669" i="47"/>
  <c r="L1668" i="47"/>
  <c r="J1668" i="47"/>
  <c r="H1668" i="47" s="1" a="1"/>
  <c r="H1668" i="47" s="1"/>
  <c r="I1668" i="47"/>
  <c r="E1668" i="47"/>
  <c r="L1667" i="47"/>
  <c r="J1667" i="47"/>
  <c r="H1667" i="47" s="1" a="1"/>
  <c r="H1667" i="47" s="1"/>
  <c r="I1667" i="47"/>
  <c r="E1667" i="47"/>
  <c r="L1666" i="47"/>
  <c r="J1666" i="47"/>
  <c r="H1666" i="47" s="1" a="1"/>
  <c r="H1666" i="47" s="1"/>
  <c r="I1666" i="47"/>
  <c r="E1666" i="47"/>
  <c r="L1665" i="47"/>
  <c r="J1665" i="47"/>
  <c r="I1665" i="47"/>
  <c r="F1665" i="47" a="1"/>
  <c r="F1665" i="47" s="1"/>
  <c r="L1663" i="47"/>
  <c r="J1663" i="47"/>
  <c r="H1663" i="47" s="1" a="1"/>
  <c r="H1663" i="47" s="1"/>
  <c r="G1663" i="47" s="1" a="1"/>
  <c r="G1663" i="47" s="1"/>
  <c r="I1663" i="47"/>
  <c r="E1663" i="47"/>
  <c r="L1662" i="47"/>
  <c r="J1662" i="47"/>
  <c r="H1662" i="47" s="1" a="1"/>
  <c r="H1662" i="47" s="1"/>
  <c r="I1662" i="47"/>
  <c r="E1662" i="47"/>
  <c r="L1661" i="47"/>
  <c r="J1661" i="47"/>
  <c r="H1661" i="47" s="1" a="1"/>
  <c r="H1661" i="47" s="1"/>
  <c r="G1661" i="47" s="1" a="1"/>
  <c r="G1661" i="47" s="1"/>
  <c r="K1661" i="47" s="1"/>
  <c r="I1661" i="47"/>
  <c r="E1661" i="47"/>
  <c r="L1660" i="47"/>
  <c r="J1660" i="47"/>
  <c r="H1660" i="47" s="1" a="1"/>
  <c r="H1660" i="47" s="1"/>
  <c r="I1660" i="47"/>
  <c r="E1660" i="47"/>
  <c r="L1659" i="47"/>
  <c r="J1659" i="47"/>
  <c r="H1659" i="47" s="1" a="1"/>
  <c r="H1659" i="47" s="1"/>
  <c r="I1659" i="47"/>
  <c r="E1659" i="47"/>
  <c r="L1658" i="47"/>
  <c r="J1658" i="47"/>
  <c r="H1658" i="47" s="1" a="1"/>
  <c r="H1658" i="47" s="1"/>
  <c r="I1658" i="47"/>
  <c r="E1658" i="47"/>
  <c r="L1657" i="47"/>
  <c r="J1657" i="47"/>
  <c r="H1657" i="47" s="1" a="1"/>
  <c r="H1657" i="47" s="1"/>
  <c r="G1657" i="47" s="1" a="1"/>
  <c r="G1657" i="47" s="1"/>
  <c r="K1657" i="47" s="1"/>
  <c r="I1657" i="47"/>
  <c r="E1657" i="47"/>
  <c r="L1656" i="47"/>
  <c r="J1656" i="47"/>
  <c r="H1656" i="47" s="1" a="1"/>
  <c r="I1656" i="47"/>
  <c r="H1656" i="47"/>
  <c r="E1656" i="47"/>
  <c r="L1655" i="47"/>
  <c r="J1655" i="47"/>
  <c r="H1655" i="47" s="1" a="1"/>
  <c r="H1655" i="47" s="1"/>
  <c r="I1655" i="47"/>
  <c r="E1655" i="47"/>
  <c r="L1654" i="47"/>
  <c r="J1654" i="47"/>
  <c r="H1654" i="47" s="1" a="1"/>
  <c r="H1654" i="47" s="1"/>
  <c r="I1654" i="47"/>
  <c r="E1654" i="47"/>
  <c r="L1653" i="47"/>
  <c r="J1653" i="47"/>
  <c r="I1653" i="47"/>
  <c r="H1653" i="47" a="1"/>
  <c r="H1653" i="47" s="1"/>
  <c r="G1653" i="47" s="1" a="1"/>
  <c r="G1653" i="47" s="1"/>
  <c r="K1653" i="47" s="1"/>
  <c r="E1653" i="47"/>
  <c r="L1652" i="47"/>
  <c r="J1652" i="47"/>
  <c r="H1652" i="47" s="1" a="1"/>
  <c r="H1652" i="47" s="1"/>
  <c r="I1652" i="47"/>
  <c r="E1652" i="47"/>
  <c r="L1651" i="47"/>
  <c r="J1651" i="47"/>
  <c r="H1651" i="47" s="1" a="1"/>
  <c r="H1651" i="47" s="1"/>
  <c r="G1651" i="47" s="1" a="1"/>
  <c r="G1651" i="47" s="1"/>
  <c r="I1651" i="47"/>
  <c r="E1651" i="47"/>
  <c r="L1650" i="47"/>
  <c r="J1650" i="47"/>
  <c r="I1650" i="47"/>
  <c r="H1650" i="47" a="1"/>
  <c r="H1650" i="47" s="1"/>
  <c r="G1650" i="47" s="1" a="1"/>
  <c r="G1650" i="47" s="1"/>
  <c r="E1650" i="47"/>
  <c r="L1649" i="47"/>
  <c r="J1649" i="47"/>
  <c r="H1649" i="47" s="1" a="1"/>
  <c r="H1649" i="47" s="1"/>
  <c r="I1649" i="47"/>
  <c r="E1649" i="47"/>
  <c r="L1648" i="47"/>
  <c r="J1648" i="47"/>
  <c r="H1648" i="47" s="1" a="1"/>
  <c r="H1648" i="47" s="1"/>
  <c r="I1648" i="47"/>
  <c r="E1648" i="47"/>
  <c r="L1647" i="47"/>
  <c r="J1647" i="47"/>
  <c r="H1647" i="47" s="1" a="1"/>
  <c r="H1647" i="47" s="1"/>
  <c r="I1647" i="47"/>
  <c r="E1647" i="47"/>
  <c r="L1646" i="47"/>
  <c r="J1646" i="47"/>
  <c r="H1646" i="47" s="1" a="1"/>
  <c r="H1646" i="47" s="1"/>
  <c r="I1646" i="47"/>
  <c r="E1646" i="47"/>
  <c r="L1645" i="47"/>
  <c r="J1645" i="47"/>
  <c r="H1645" i="47" s="1" a="1"/>
  <c r="H1645" i="47" s="1"/>
  <c r="I1645" i="47"/>
  <c r="E1645" i="47"/>
  <c r="L1644" i="47"/>
  <c r="J1644" i="47"/>
  <c r="H1644" i="47" s="1" a="1"/>
  <c r="H1644" i="47" s="1"/>
  <c r="G1644" i="47" s="1" a="1"/>
  <c r="G1644" i="47" s="1"/>
  <c r="K1644" i="47" s="1"/>
  <c r="I1644" i="47"/>
  <c r="E1644" i="47"/>
  <c r="L1643" i="47"/>
  <c r="J1643" i="47"/>
  <c r="I1643" i="47"/>
  <c r="H1643" i="47" a="1"/>
  <c r="H1643" i="47" s="1"/>
  <c r="G1643" i="47" s="1" a="1"/>
  <c r="G1643" i="47" s="1"/>
  <c r="K1643" i="47" s="1"/>
  <c r="E1643" i="47"/>
  <c r="L1642" i="47"/>
  <c r="J1642" i="47"/>
  <c r="H1642" i="47" s="1" a="1"/>
  <c r="H1642" i="47" s="1"/>
  <c r="I1642" i="47"/>
  <c r="E1642" i="47"/>
  <c r="L1641" i="47"/>
  <c r="J1641" i="47"/>
  <c r="H1641" i="47" s="1" a="1"/>
  <c r="I1641" i="47"/>
  <c r="H1641" i="47"/>
  <c r="G1641" i="47" s="1" a="1"/>
  <c r="G1641" i="47" s="1"/>
  <c r="K1641" i="47" s="1"/>
  <c r="E1641" i="47"/>
  <c r="L1640" i="47"/>
  <c r="J1640" i="47"/>
  <c r="H1640" i="47" s="1" a="1"/>
  <c r="H1640" i="47" s="1"/>
  <c r="I1640" i="47"/>
  <c r="E1640" i="47"/>
  <c r="L1639" i="47"/>
  <c r="J1639" i="47"/>
  <c r="H1639" i="47" s="1" a="1"/>
  <c r="H1639" i="47" s="1"/>
  <c r="I1639" i="47"/>
  <c r="E1639" i="47"/>
  <c r="L1638" i="47"/>
  <c r="J1638" i="47"/>
  <c r="H1638" i="47" s="1" a="1"/>
  <c r="H1638" i="47" s="1"/>
  <c r="I1638" i="47"/>
  <c r="E1638" i="47"/>
  <c r="L1637" i="47"/>
  <c r="J1637" i="47"/>
  <c r="H1637" i="47" s="1" a="1"/>
  <c r="H1637" i="47" s="1"/>
  <c r="I1637" i="47"/>
  <c r="E1637" i="47"/>
  <c r="L1636" i="47"/>
  <c r="J1636" i="47"/>
  <c r="H1636" i="47" s="1" a="1"/>
  <c r="H1636" i="47" s="1"/>
  <c r="G1636" i="47" s="1" a="1"/>
  <c r="G1636" i="47" s="1"/>
  <c r="K1636" i="47" s="1"/>
  <c r="I1636" i="47"/>
  <c r="E1636" i="47"/>
  <c r="L1635" i="47"/>
  <c r="J1635" i="47"/>
  <c r="H1635" i="47" s="1" a="1"/>
  <c r="H1635" i="47" s="1"/>
  <c r="I1635" i="47"/>
  <c r="E1635" i="47"/>
  <c r="L1634" i="47"/>
  <c r="J1634" i="47"/>
  <c r="I1634" i="47"/>
  <c r="H1634" i="47" a="1"/>
  <c r="H1634" i="47" s="1"/>
  <c r="E1634" i="47"/>
  <c r="L1633" i="47"/>
  <c r="J1633" i="47"/>
  <c r="H1633" i="47" s="1" a="1"/>
  <c r="H1633" i="47" s="1"/>
  <c r="I1633" i="47"/>
  <c r="E1633" i="47"/>
  <c r="L1632" i="47"/>
  <c r="J1632" i="47"/>
  <c r="I1632" i="47"/>
  <c r="H1632" i="47" a="1"/>
  <c r="H1632" i="47" s="1"/>
  <c r="E1632" i="47"/>
  <c r="L1631" i="47"/>
  <c r="J1631" i="47"/>
  <c r="H1631" i="47" s="1" a="1"/>
  <c r="H1631" i="47" s="1"/>
  <c r="G1631" i="47" s="1" a="1"/>
  <c r="G1631" i="47" s="1"/>
  <c r="I1631" i="47"/>
  <c r="E1631" i="47"/>
  <c r="L1630" i="47"/>
  <c r="J1630" i="47"/>
  <c r="H1630" i="47" s="1" a="1"/>
  <c r="H1630" i="47" s="1"/>
  <c r="I1630" i="47"/>
  <c r="E1630" i="47"/>
  <c r="L1629" i="47"/>
  <c r="J1629" i="47"/>
  <c r="H1629" i="47" s="1" a="1"/>
  <c r="H1629" i="47" s="1"/>
  <c r="I1629" i="47"/>
  <c r="E1629" i="47"/>
  <c r="L1628" i="47"/>
  <c r="J1628" i="47"/>
  <c r="H1628" i="47" s="1" a="1"/>
  <c r="H1628" i="47" s="1"/>
  <c r="I1628" i="47"/>
  <c r="E1628" i="47"/>
  <c r="L1627" i="47"/>
  <c r="J1627" i="47"/>
  <c r="H1627" i="47" s="1" a="1"/>
  <c r="H1627" i="47" s="1"/>
  <c r="G1627" i="47" s="1" a="1"/>
  <c r="G1627" i="47" s="1"/>
  <c r="K1627" i="47" s="1"/>
  <c r="I1627" i="47"/>
  <c r="E1627" i="47"/>
  <c r="L1626" i="47"/>
  <c r="J1626" i="47"/>
  <c r="I1626" i="47"/>
  <c r="H1626" i="47" a="1"/>
  <c r="H1626" i="47" s="1"/>
  <c r="E1626" i="47"/>
  <c r="L1625" i="47"/>
  <c r="J1625" i="47"/>
  <c r="H1625" i="47" s="1" a="1"/>
  <c r="H1625" i="47" s="1"/>
  <c r="I1625" i="47"/>
  <c r="E1625" i="47"/>
  <c r="L1624" i="47"/>
  <c r="J1624" i="47"/>
  <c r="H1624" i="47" s="1" a="1"/>
  <c r="H1624" i="47" s="1"/>
  <c r="I1624" i="47"/>
  <c r="E1624" i="47"/>
  <c r="L1623" i="47"/>
  <c r="J1623" i="47"/>
  <c r="H1623" i="47" s="1" a="1"/>
  <c r="H1623" i="47" s="1"/>
  <c r="I1623" i="47"/>
  <c r="E1623" i="47"/>
  <c r="L1622" i="47"/>
  <c r="J1622" i="47"/>
  <c r="H1622" i="47" s="1" a="1"/>
  <c r="H1622" i="47" s="1"/>
  <c r="I1622" i="47"/>
  <c r="E1622" i="47"/>
  <c r="L1621" i="47"/>
  <c r="J1621" i="47"/>
  <c r="H1621" i="47" s="1" a="1"/>
  <c r="H1621" i="47" s="1"/>
  <c r="G1621" i="47" s="1" a="1"/>
  <c r="G1621" i="47" s="1"/>
  <c r="K1621" i="47" s="1"/>
  <c r="I1621" i="47"/>
  <c r="E1621" i="47"/>
  <c r="L1620" i="47"/>
  <c r="J1620" i="47"/>
  <c r="H1620" i="47" s="1" a="1"/>
  <c r="H1620" i="47" s="1"/>
  <c r="I1620" i="47"/>
  <c r="E1620" i="47"/>
  <c r="L1619" i="47"/>
  <c r="J1619" i="47"/>
  <c r="H1619" i="47" s="1" a="1"/>
  <c r="H1619" i="47" s="1"/>
  <c r="I1619" i="47"/>
  <c r="E1619" i="47"/>
  <c r="L1618" i="47"/>
  <c r="J1618" i="47"/>
  <c r="H1618" i="47" s="1" a="1"/>
  <c r="H1618" i="47" s="1"/>
  <c r="G1618" i="47" s="1" a="1"/>
  <c r="G1618" i="47" s="1"/>
  <c r="K1618" i="47" s="1"/>
  <c r="I1618" i="47"/>
  <c r="E1618" i="47"/>
  <c r="L1617" i="47"/>
  <c r="J1617" i="47"/>
  <c r="H1617" i="47" s="1" a="1"/>
  <c r="H1617" i="47" s="1"/>
  <c r="I1617" i="47"/>
  <c r="E1617" i="47"/>
  <c r="L1616" i="47"/>
  <c r="J1616" i="47"/>
  <c r="H1616" i="47" s="1" a="1"/>
  <c r="H1616" i="47" s="1"/>
  <c r="I1616" i="47"/>
  <c r="E1616" i="47"/>
  <c r="L1615" i="47"/>
  <c r="J1615" i="47"/>
  <c r="I1615" i="47"/>
  <c r="F1615" i="47" a="1"/>
  <c r="F1615" i="47" s="1"/>
  <c r="L1613" i="47"/>
  <c r="J1613" i="47"/>
  <c r="H1613" i="47" s="1" a="1"/>
  <c r="H1613" i="47" s="1"/>
  <c r="I1613" i="47"/>
  <c r="E1613" i="47"/>
  <c r="L1612" i="47"/>
  <c r="J1612" i="47"/>
  <c r="H1612" i="47" s="1" a="1"/>
  <c r="H1612" i="47" s="1"/>
  <c r="G1612" i="47" s="1" a="1"/>
  <c r="G1612" i="47" s="1"/>
  <c r="K1612" i="47" s="1"/>
  <c r="I1612" i="47"/>
  <c r="E1612" i="47"/>
  <c r="L1611" i="47"/>
  <c r="J1611" i="47"/>
  <c r="H1611" i="47" s="1" a="1"/>
  <c r="H1611" i="47" s="1"/>
  <c r="I1611" i="47"/>
  <c r="E1611" i="47"/>
  <c r="L1610" i="47"/>
  <c r="J1610" i="47"/>
  <c r="H1610" i="47" s="1" a="1"/>
  <c r="H1610" i="47" s="1"/>
  <c r="I1610" i="47"/>
  <c r="E1610" i="47"/>
  <c r="L1609" i="47"/>
  <c r="J1609" i="47"/>
  <c r="H1609" i="47" s="1" a="1"/>
  <c r="H1609" i="47" s="1"/>
  <c r="G1609" i="47" s="1" a="1"/>
  <c r="G1609" i="47" s="1"/>
  <c r="K1609" i="47" s="1"/>
  <c r="I1609" i="47"/>
  <c r="E1609" i="47"/>
  <c r="L1608" i="47"/>
  <c r="J1608" i="47"/>
  <c r="H1608" i="47" s="1" a="1"/>
  <c r="H1608" i="47" s="1"/>
  <c r="I1608" i="47"/>
  <c r="E1608" i="47"/>
  <c r="L1607" i="47"/>
  <c r="J1607" i="47"/>
  <c r="H1607" i="47" s="1" a="1"/>
  <c r="H1607" i="47" s="1"/>
  <c r="I1607" i="47"/>
  <c r="E1607" i="47"/>
  <c r="L1606" i="47"/>
  <c r="J1606" i="47"/>
  <c r="H1606" i="47" s="1" a="1"/>
  <c r="H1606" i="47" s="1"/>
  <c r="G1606" i="47" s="1" a="1"/>
  <c r="G1606" i="47" s="1"/>
  <c r="K1606" i="47" s="1"/>
  <c r="I1606" i="47"/>
  <c r="E1606" i="47"/>
  <c r="L1605" i="47"/>
  <c r="J1605" i="47"/>
  <c r="H1605" i="47" s="1" a="1"/>
  <c r="H1605" i="47" s="1"/>
  <c r="I1605" i="47"/>
  <c r="E1605" i="47"/>
  <c r="L1604" i="47"/>
  <c r="J1604" i="47"/>
  <c r="H1604" i="47" s="1" a="1"/>
  <c r="H1604" i="47" s="1"/>
  <c r="I1604" i="47"/>
  <c r="E1604" i="47"/>
  <c r="L1603" i="47"/>
  <c r="J1603" i="47"/>
  <c r="H1603" i="47" s="1" a="1"/>
  <c r="H1603" i="47" s="1"/>
  <c r="G1603" i="47" s="1" a="1"/>
  <c r="G1603" i="47" s="1"/>
  <c r="K1603" i="47" s="1"/>
  <c r="I1603" i="47"/>
  <c r="E1603" i="47"/>
  <c r="L1602" i="47"/>
  <c r="J1602" i="47"/>
  <c r="H1602" i="47" s="1" a="1"/>
  <c r="H1602" i="47" s="1"/>
  <c r="I1602" i="47"/>
  <c r="E1602" i="47"/>
  <c r="L1601" i="47"/>
  <c r="J1601" i="47"/>
  <c r="H1601" i="47" s="1" a="1"/>
  <c r="H1601" i="47" s="1"/>
  <c r="I1601" i="47"/>
  <c r="E1601" i="47"/>
  <c r="L1600" i="47"/>
  <c r="J1600" i="47"/>
  <c r="H1600" i="47" s="1" a="1"/>
  <c r="H1600" i="47" s="1"/>
  <c r="G1600" i="47" s="1" a="1"/>
  <c r="G1600" i="47" s="1"/>
  <c r="I1600" i="47"/>
  <c r="E1600" i="47"/>
  <c r="L1599" i="47"/>
  <c r="J1599" i="47"/>
  <c r="H1599" i="47" s="1" a="1"/>
  <c r="H1599" i="47" s="1"/>
  <c r="I1599" i="47"/>
  <c r="E1599" i="47"/>
  <c r="L1598" i="47"/>
  <c r="J1598" i="47"/>
  <c r="H1598" i="47" s="1" a="1"/>
  <c r="H1598" i="47" s="1"/>
  <c r="I1598" i="47"/>
  <c r="G1598" i="47" a="1"/>
  <c r="G1598" i="47" s="1"/>
  <c r="K1598" i="47" s="1"/>
  <c r="E1598" i="47"/>
  <c r="L1597" i="47"/>
  <c r="J1597" i="47"/>
  <c r="H1597" i="47" s="1" a="1"/>
  <c r="H1597" i="47" s="1"/>
  <c r="I1597" i="47"/>
  <c r="E1597" i="47"/>
  <c r="L1596" i="47"/>
  <c r="J1596" i="47"/>
  <c r="H1596" i="47" s="1" a="1"/>
  <c r="H1596" i="47" s="1"/>
  <c r="I1596" i="47"/>
  <c r="E1596" i="47"/>
  <c r="L1595" i="47"/>
  <c r="J1595" i="47"/>
  <c r="H1595" i="47" s="1" a="1"/>
  <c r="H1595" i="47" s="1"/>
  <c r="I1595" i="47"/>
  <c r="E1595" i="47"/>
  <c r="L1594" i="47"/>
  <c r="J1594" i="47"/>
  <c r="H1594" i="47" s="1" a="1"/>
  <c r="H1594" i="47" s="1"/>
  <c r="G1594" i="47" s="1" a="1"/>
  <c r="G1594" i="47" s="1"/>
  <c r="K1594" i="47" s="1"/>
  <c r="I1594" i="47"/>
  <c r="E1594" i="47"/>
  <c r="L1593" i="47"/>
  <c r="J1593" i="47"/>
  <c r="H1593" i="47" s="1" a="1"/>
  <c r="H1593" i="47" s="1"/>
  <c r="I1593" i="47"/>
  <c r="E1593" i="47"/>
  <c r="L1592" i="47"/>
  <c r="J1592" i="47"/>
  <c r="H1592" i="47" s="1" a="1"/>
  <c r="H1592" i="47" s="1"/>
  <c r="I1592" i="47"/>
  <c r="G1592" i="47" s="1" a="1"/>
  <c r="G1592" i="47" s="1"/>
  <c r="K1592" i="47" s="1"/>
  <c r="E1592" i="47"/>
  <c r="L1591" i="47"/>
  <c r="J1591" i="47"/>
  <c r="H1591" i="47" s="1" a="1"/>
  <c r="H1591" i="47" s="1"/>
  <c r="G1591" i="47" s="1" a="1"/>
  <c r="G1591" i="47" s="1"/>
  <c r="K1591" i="47" s="1"/>
  <c r="I1591" i="47"/>
  <c r="E1591" i="47"/>
  <c r="L1590" i="47"/>
  <c r="J1590" i="47"/>
  <c r="H1590" i="47" s="1" a="1"/>
  <c r="H1590" i="47" s="1"/>
  <c r="I1590" i="47"/>
  <c r="E1590" i="47"/>
  <c r="L1589" i="47"/>
  <c r="J1589" i="47"/>
  <c r="H1589" i="47" s="1" a="1"/>
  <c r="H1589" i="47" s="1"/>
  <c r="I1589" i="47"/>
  <c r="E1589" i="47"/>
  <c r="L1588" i="47"/>
  <c r="J1588" i="47"/>
  <c r="H1588" i="47" s="1" a="1"/>
  <c r="H1588" i="47" s="1"/>
  <c r="G1588" i="47" s="1" a="1"/>
  <c r="G1588" i="47" s="1"/>
  <c r="K1588" i="47" s="1"/>
  <c r="I1588" i="47"/>
  <c r="E1588" i="47"/>
  <c r="L1587" i="47"/>
  <c r="J1587" i="47"/>
  <c r="H1587" i="47" s="1" a="1"/>
  <c r="H1587" i="47" s="1"/>
  <c r="I1587" i="47"/>
  <c r="E1587" i="47"/>
  <c r="L1586" i="47"/>
  <c r="J1586" i="47"/>
  <c r="H1586" i="47" s="1" a="1"/>
  <c r="H1586" i="47" s="1"/>
  <c r="G1586" i="47" s="1" a="1"/>
  <c r="G1586" i="47" s="1"/>
  <c r="K1586" i="47" s="1"/>
  <c r="I1586" i="47"/>
  <c r="E1586" i="47"/>
  <c r="L1585" i="47"/>
  <c r="J1585" i="47"/>
  <c r="H1585" i="47" s="1" a="1"/>
  <c r="H1585" i="47" s="1"/>
  <c r="I1585" i="47"/>
  <c r="E1585" i="47"/>
  <c r="L1584" i="47"/>
  <c r="J1584" i="47"/>
  <c r="H1584" i="47" s="1" a="1"/>
  <c r="H1584" i="47" s="1"/>
  <c r="G1584" i="47" s="1" a="1"/>
  <c r="G1584" i="47" s="1"/>
  <c r="K1584" i="47" s="1"/>
  <c r="I1584" i="47"/>
  <c r="E1584" i="47"/>
  <c r="L1583" i="47"/>
  <c r="J1583" i="47"/>
  <c r="H1583" i="47" s="1" a="1"/>
  <c r="H1583" i="47" s="1"/>
  <c r="G1583" i="47" s="1" a="1"/>
  <c r="G1583" i="47" s="1"/>
  <c r="K1583" i="47" s="1"/>
  <c r="I1583" i="47"/>
  <c r="E1583" i="47"/>
  <c r="L1582" i="47"/>
  <c r="J1582" i="47"/>
  <c r="H1582" i="47" s="1" a="1"/>
  <c r="H1582" i="47" s="1"/>
  <c r="I1582" i="47"/>
  <c r="E1582" i="47"/>
  <c r="L1581" i="47"/>
  <c r="J1581" i="47"/>
  <c r="H1581" i="47" s="1" a="1"/>
  <c r="H1581" i="47" s="1"/>
  <c r="I1581" i="47"/>
  <c r="E1581" i="47"/>
  <c r="L1580" i="47"/>
  <c r="J1580" i="47"/>
  <c r="H1580" i="47" s="1" a="1"/>
  <c r="H1580" i="47" s="1"/>
  <c r="I1580" i="47"/>
  <c r="E1580" i="47"/>
  <c r="L1579" i="47"/>
  <c r="J1579" i="47"/>
  <c r="H1579" i="47" s="1" a="1"/>
  <c r="H1579" i="47" s="1"/>
  <c r="I1579" i="47"/>
  <c r="G1579" i="47" a="1"/>
  <c r="G1579" i="47" s="1"/>
  <c r="K1579" i="47" s="1"/>
  <c r="E1579" i="47"/>
  <c r="L1578" i="47"/>
  <c r="J1578" i="47"/>
  <c r="H1578" i="47" s="1" a="1"/>
  <c r="H1578" i="47" s="1"/>
  <c r="G1578" i="47" s="1" a="1"/>
  <c r="G1578" i="47" s="1"/>
  <c r="K1578" i="47" s="1"/>
  <c r="I1578" i="47"/>
  <c r="E1578" i="47"/>
  <c r="L1577" i="47"/>
  <c r="J1577" i="47"/>
  <c r="H1577" i="47" s="1" a="1"/>
  <c r="H1577" i="47" s="1"/>
  <c r="G1577" i="47" s="1" a="1"/>
  <c r="G1577" i="47" s="1"/>
  <c r="K1577" i="47" s="1"/>
  <c r="I1577" i="47"/>
  <c r="E1577" i="47"/>
  <c r="L1576" i="47"/>
  <c r="J1576" i="47"/>
  <c r="H1576" i="47" s="1" a="1"/>
  <c r="H1576" i="47" s="1"/>
  <c r="G1576" i="47" s="1" a="1"/>
  <c r="G1576" i="47" s="1"/>
  <c r="K1576" i="47" s="1"/>
  <c r="I1576" i="47"/>
  <c r="E1576" i="47"/>
  <c r="L1575" i="47"/>
  <c r="J1575" i="47"/>
  <c r="H1575" i="47" s="1" a="1"/>
  <c r="H1575" i="47" s="1"/>
  <c r="I1575" i="47"/>
  <c r="E1575" i="47"/>
  <c r="L1574" i="47"/>
  <c r="J1574" i="47"/>
  <c r="H1574" i="47" s="1" a="1"/>
  <c r="H1574" i="47" s="1"/>
  <c r="G1574" i="47" s="1" a="1"/>
  <c r="G1574" i="47" s="1"/>
  <c r="K1574" i="47" s="1"/>
  <c r="I1574" i="47"/>
  <c r="E1574" i="47"/>
  <c r="L1573" i="47"/>
  <c r="J1573" i="47"/>
  <c r="H1573" i="47" s="1" a="1"/>
  <c r="H1573" i="47" s="1"/>
  <c r="I1573" i="47"/>
  <c r="G1573" i="47" a="1"/>
  <c r="G1573" i="47" s="1"/>
  <c r="K1573" i="47" s="1"/>
  <c r="E1573" i="47"/>
  <c r="L1572" i="47"/>
  <c r="J1572" i="47"/>
  <c r="I1572" i="47"/>
  <c r="H1572" i="47" a="1"/>
  <c r="H1572" i="47" s="1"/>
  <c r="G1572" i="47" s="1" a="1"/>
  <c r="G1572" i="47" s="1"/>
  <c r="K1572" i="47" s="1"/>
  <c r="E1572" i="47"/>
  <c r="L1571" i="47"/>
  <c r="J1571" i="47"/>
  <c r="H1571" i="47" s="1" a="1"/>
  <c r="H1571" i="47" s="1"/>
  <c r="I1571" i="47"/>
  <c r="E1571" i="47"/>
  <c r="L1570" i="47"/>
  <c r="J1570" i="47"/>
  <c r="I1570" i="47"/>
  <c r="H1570" i="47" a="1"/>
  <c r="H1570" i="47" s="1"/>
  <c r="E1570" i="47"/>
  <c r="L1569" i="47"/>
  <c r="J1569" i="47"/>
  <c r="H1569" i="47" s="1" a="1"/>
  <c r="H1569" i="47" s="1"/>
  <c r="I1569" i="47"/>
  <c r="E1569" i="47"/>
  <c r="L1568" i="47"/>
  <c r="J1568" i="47"/>
  <c r="H1568" i="47" s="1" a="1"/>
  <c r="H1568" i="47" s="1"/>
  <c r="I1568" i="47"/>
  <c r="E1568" i="47"/>
  <c r="L1567" i="47"/>
  <c r="J1567" i="47"/>
  <c r="I1567" i="47"/>
  <c r="H1567" i="47" a="1"/>
  <c r="H1567" i="47" s="1"/>
  <c r="E1567" i="47"/>
  <c r="L1566" i="47"/>
  <c r="J1566" i="47"/>
  <c r="H1566" i="47" s="1" a="1"/>
  <c r="H1566" i="47" s="1"/>
  <c r="G1566" i="47" s="1" a="1"/>
  <c r="G1566" i="47" s="1"/>
  <c r="I1566" i="47"/>
  <c r="E1566" i="47"/>
  <c r="L1565" i="47"/>
  <c r="J1565" i="47"/>
  <c r="I1565" i="47"/>
  <c r="F1565" i="47" a="1"/>
  <c r="F1565" i="47" s="1"/>
  <c r="L1563" i="47"/>
  <c r="J1563" i="47"/>
  <c r="H1563" i="47" s="1" a="1"/>
  <c r="H1563" i="47" s="1"/>
  <c r="G1563" i="47" s="1" a="1"/>
  <c r="G1563" i="47" s="1"/>
  <c r="I1563" i="47"/>
  <c r="E1563" i="47"/>
  <c r="L1562" i="47"/>
  <c r="J1562" i="47"/>
  <c r="H1562" i="47" s="1" a="1"/>
  <c r="H1562" i="47" s="1"/>
  <c r="G1562" i="47" s="1" a="1"/>
  <c r="G1562" i="47" s="1"/>
  <c r="K1562" i="47" s="1"/>
  <c r="I1562" i="47"/>
  <c r="E1562" i="47"/>
  <c r="L1561" i="47"/>
  <c r="J1561" i="47"/>
  <c r="I1561" i="47"/>
  <c r="H1561" i="47" a="1"/>
  <c r="H1561" i="47" s="1"/>
  <c r="E1561" i="47"/>
  <c r="L1560" i="47"/>
  <c r="J1560" i="47"/>
  <c r="H1560" i="47" s="1" a="1"/>
  <c r="H1560" i="47" s="1"/>
  <c r="I1560" i="47"/>
  <c r="G1560" i="47" a="1"/>
  <c r="G1560" i="47" s="1"/>
  <c r="K1560" i="47" s="1"/>
  <c r="E1560" i="47"/>
  <c r="L1559" i="47"/>
  <c r="J1559" i="47"/>
  <c r="H1559" i="47" s="1" a="1"/>
  <c r="H1559" i="47" s="1"/>
  <c r="I1559" i="47"/>
  <c r="E1559" i="47"/>
  <c r="L1558" i="47"/>
  <c r="J1558" i="47"/>
  <c r="H1558" i="47" s="1" a="1"/>
  <c r="H1558" i="47" s="1"/>
  <c r="I1558" i="47"/>
  <c r="E1558" i="47"/>
  <c r="L1557" i="47"/>
  <c r="J1557" i="47"/>
  <c r="H1557" i="47" s="1" a="1"/>
  <c r="H1557" i="47" s="1"/>
  <c r="I1557" i="47"/>
  <c r="E1557" i="47"/>
  <c r="L1556" i="47"/>
  <c r="J1556" i="47"/>
  <c r="H1556" i="47" s="1" a="1"/>
  <c r="H1556" i="47" s="1"/>
  <c r="I1556" i="47"/>
  <c r="E1556" i="47"/>
  <c r="L1555" i="47"/>
  <c r="J1555" i="47"/>
  <c r="H1555" i="47" s="1" a="1"/>
  <c r="H1555" i="47" s="1"/>
  <c r="G1555" i="47" s="1" a="1"/>
  <c r="G1555" i="47" s="1"/>
  <c r="K1555" i="47" s="1"/>
  <c r="I1555" i="47"/>
  <c r="E1555" i="47"/>
  <c r="L1554" i="47"/>
  <c r="J1554" i="47"/>
  <c r="H1554" i="47" s="1" a="1"/>
  <c r="H1554" i="47" s="1"/>
  <c r="I1554" i="47"/>
  <c r="E1554" i="47"/>
  <c r="L1553" i="47"/>
  <c r="J1553" i="47"/>
  <c r="H1553" i="47" s="1" a="1"/>
  <c r="H1553" i="47" s="1"/>
  <c r="I1553" i="47"/>
  <c r="E1553" i="47"/>
  <c r="L1552" i="47"/>
  <c r="J1552" i="47"/>
  <c r="H1552" i="47" s="1" a="1"/>
  <c r="H1552" i="47" s="1"/>
  <c r="G1552" i="47" s="1" a="1"/>
  <c r="G1552" i="47" s="1"/>
  <c r="I1552" i="47"/>
  <c r="E1552" i="47"/>
  <c r="L1551" i="47"/>
  <c r="J1551" i="47"/>
  <c r="H1551" i="47" s="1" a="1"/>
  <c r="H1551" i="47" s="1"/>
  <c r="I1551" i="47"/>
  <c r="E1551" i="47"/>
  <c r="L1550" i="47"/>
  <c r="J1550" i="47"/>
  <c r="H1550" i="47" s="1" a="1"/>
  <c r="H1550" i="47" s="1"/>
  <c r="I1550" i="47"/>
  <c r="G1550" i="47" s="1" a="1"/>
  <c r="G1550" i="47" s="1"/>
  <c r="K1550" i="47" s="1"/>
  <c r="E1550" i="47"/>
  <c r="L1549" i="47"/>
  <c r="J1549" i="47"/>
  <c r="I1549" i="47"/>
  <c r="H1549" i="47" a="1"/>
  <c r="H1549" i="47" s="1"/>
  <c r="G1549" i="47" s="1" a="1"/>
  <c r="G1549" i="47" s="1"/>
  <c r="K1549" i="47" s="1"/>
  <c r="E1549" i="47"/>
  <c r="L1548" i="47"/>
  <c r="J1548" i="47"/>
  <c r="H1548" i="47" s="1" a="1"/>
  <c r="H1548" i="47" s="1"/>
  <c r="I1548" i="47"/>
  <c r="E1548" i="47"/>
  <c r="L1547" i="47"/>
  <c r="J1547" i="47"/>
  <c r="H1547" i="47" s="1" a="1"/>
  <c r="H1547" i="47" s="1"/>
  <c r="I1547" i="47"/>
  <c r="E1547" i="47"/>
  <c r="L1546" i="47"/>
  <c r="J1546" i="47"/>
  <c r="H1546" i="47" s="1" a="1"/>
  <c r="H1546" i="47" s="1"/>
  <c r="I1546" i="47"/>
  <c r="E1546" i="47"/>
  <c r="L1545" i="47"/>
  <c r="J1545" i="47"/>
  <c r="H1545" i="47" s="1" a="1"/>
  <c r="H1545" i="47" s="1"/>
  <c r="I1545" i="47"/>
  <c r="E1545" i="47"/>
  <c r="L1544" i="47"/>
  <c r="J1544" i="47"/>
  <c r="H1544" i="47" s="1" a="1"/>
  <c r="H1544" i="47" s="1"/>
  <c r="G1544" i="47" s="1" a="1"/>
  <c r="G1544" i="47" s="1"/>
  <c r="K1544" i="47" s="1"/>
  <c r="I1544" i="47"/>
  <c r="E1544" i="47"/>
  <c r="L1543" i="47"/>
  <c r="J1543" i="47"/>
  <c r="H1543" i="47" s="1" a="1"/>
  <c r="H1543" i="47" s="1"/>
  <c r="G1543" i="47" s="1" a="1"/>
  <c r="G1543" i="47" s="1"/>
  <c r="I1543" i="47"/>
  <c r="E1543" i="47"/>
  <c r="L1542" i="47"/>
  <c r="J1542" i="47"/>
  <c r="H1542" i="47" s="1" a="1"/>
  <c r="H1542" i="47" s="1"/>
  <c r="I1542" i="47"/>
  <c r="E1542" i="47"/>
  <c r="L1541" i="47"/>
  <c r="J1541" i="47"/>
  <c r="H1541" i="47" s="1" a="1"/>
  <c r="H1541" i="47" s="1"/>
  <c r="I1541" i="47"/>
  <c r="E1541" i="47"/>
  <c r="L1540" i="47"/>
  <c r="J1540" i="47"/>
  <c r="H1540" i="47" s="1" a="1"/>
  <c r="H1540" i="47" s="1"/>
  <c r="I1540" i="47"/>
  <c r="E1540" i="47"/>
  <c r="L1539" i="47"/>
  <c r="J1539" i="47"/>
  <c r="I1539" i="47"/>
  <c r="H1539" i="47" a="1"/>
  <c r="H1539" i="47" s="1"/>
  <c r="G1539" i="47" s="1" a="1"/>
  <c r="G1539" i="47" s="1"/>
  <c r="E1539" i="47"/>
  <c r="L1538" i="47"/>
  <c r="J1538" i="47"/>
  <c r="I1538" i="47"/>
  <c r="H1538" i="47" a="1"/>
  <c r="H1538" i="47" s="1"/>
  <c r="E1538" i="47"/>
  <c r="L1537" i="47"/>
  <c r="J1537" i="47"/>
  <c r="H1537" i="47" s="1" a="1"/>
  <c r="H1537" i="47" s="1"/>
  <c r="G1537" i="47" s="1" a="1"/>
  <c r="G1537" i="47" s="1"/>
  <c r="I1537" i="47"/>
  <c r="E1537" i="47"/>
  <c r="L1536" i="47"/>
  <c r="J1536" i="47"/>
  <c r="H1536" i="47" s="1" a="1"/>
  <c r="H1536" i="47" s="1"/>
  <c r="I1536" i="47"/>
  <c r="G1536" i="47" a="1"/>
  <c r="G1536" i="47" s="1"/>
  <c r="K1536" i="47" s="1"/>
  <c r="E1536" i="47"/>
  <c r="L1535" i="47"/>
  <c r="J1535" i="47"/>
  <c r="H1535" i="47" s="1" a="1"/>
  <c r="H1535" i="47" s="1"/>
  <c r="I1535" i="47"/>
  <c r="E1535" i="47"/>
  <c r="L1534" i="47"/>
  <c r="J1534" i="47"/>
  <c r="H1534" i="47" s="1" a="1"/>
  <c r="H1534" i="47" s="1"/>
  <c r="I1534" i="47"/>
  <c r="E1534" i="47"/>
  <c r="L1533" i="47"/>
  <c r="J1533" i="47"/>
  <c r="H1533" i="47" s="1" a="1"/>
  <c r="H1533" i="47" s="1"/>
  <c r="I1533" i="47"/>
  <c r="E1533" i="47"/>
  <c r="L1532" i="47"/>
  <c r="J1532" i="47"/>
  <c r="H1532" i="47" s="1" a="1"/>
  <c r="H1532" i="47" s="1"/>
  <c r="I1532" i="47"/>
  <c r="E1532" i="47"/>
  <c r="L1531" i="47"/>
  <c r="J1531" i="47"/>
  <c r="H1531" i="47" s="1" a="1"/>
  <c r="H1531" i="47" s="1"/>
  <c r="G1531" i="47" s="1" a="1"/>
  <c r="G1531" i="47" s="1"/>
  <c r="K1531" i="47" s="1"/>
  <c r="I1531" i="47"/>
  <c r="E1531" i="47"/>
  <c r="L1530" i="47"/>
  <c r="J1530" i="47"/>
  <c r="H1530" i="47" s="1" a="1"/>
  <c r="H1530" i="47" s="1"/>
  <c r="I1530" i="47"/>
  <c r="E1530" i="47"/>
  <c r="L1529" i="47"/>
  <c r="J1529" i="47"/>
  <c r="I1529" i="47"/>
  <c r="E1529" i="47"/>
  <c r="L1528" i="47"/>
  <c r="J1528" i="47"/>
  <c r="I1528" i="47"/>
  <c r="L1527" i="47"/>
  <c r="J1527" i="47"/>
  <c r="H1527" i="47" s="1" a="1"/>
  <c r="H1527" i="47" s="1"/>
  <c r="I1527" i="47"/>
  <c r="L1526" i="47"/>
  <c r="J1526" i="47"/>
  <c r="I1526" i="47"/>
  <c r="L1525" i="47"/>
  <c r="J1525" i="47"/>
  <c r="I1525" i="47"/>
  <c r="H1525" i="47" a="1"/>
  <c r="H1525" i="47" s="1"/>
  <c r="E1525" i="47"/>
  <c r="L1524" i="47"/>
  <c r="J1524" i="47"/>
  <c r="I1524" i="47"/>
  <c r="E1524" i="47"/>
  <c r="L1523" i="47"/>
  <c r="J1523" i="47"/>
  <c r="I1523" i="47"/>
  <c r="H1523" i="47" a="1"/>
  <c r="H1523" i="47" s="1"/>
  <c r="G1523" i="47" s="1" a="1"/>
  <c r="G1523" i="47" s="1"/>
  <c r="L1522" i="47"/>
  <c r="J1522" i="47"/>
  <c r="I1522" i="47"/>
  <c r="L1521" i="47"/>
  <c r="J1521" i="47"/>
  <c r="H1521" i="47" s="1" a="1"/>
  <c r="H1521" i="47" s="1"/>
  <c r="I1521" i="47"/>
  <c r="E1521" i="47"/>
  <c r="L1520" i="47"/>
  <c r="J1520" i="47"/>
  <c r="H1520" i="47" s="1" a="1"/>
  <c r="H1520" i="47" s="1"/>
  <c r="I1520" i="47"/>
  <c r="E1520" i="47"/>
  <c r="L1519" i="47"/>
  <c r="J1519" i="47"/>
  <c r="I1519" i="47"/>
  <c r="H1519" i="47" a="1"/>
  <c r="H1519" i="47" s="1"/>
  <c r="L1518" i="47"/>
  <c r="J1518" i="47"/>
  <c r="I1518" i="47"/>
  <c r="E1518" i="47"/>
  <c r="L1517" i="47"/>
  <c r="J1517" i="47"/>
  <c r="I1517" i="47"/>
  <c r="L1516" i="47"/>
  <c r="J1516" i="47"/>
  <c r="I1516" i="47"/>
  <c r="H1516" i="47" a="1"/>
  <c r="H1516" i="47" s="1"/>
  <c r="E1516" i="47"/>
  <c r="L1515" i="47"/>
  <c r="J1515" i="47"/>
  <c r="I1515" i="47"/>
  <c r="F1515" i="47"/>
  <c r="E1515" i="47" s="1"/>
  <c r="F1515" i="47" a="1"/>
  <c r="L1513" i="47"/>
  <c r="J1513" i="47"/>
  <c r="H1513" i="47" s="1" a="1"/>
  <c r="H1513" i="47" s="1"/>
  <c r="G1513" i="47" s="1" a="1"/>
  <c r="G1513" i="47" s="1"/>
  <c r="I1513" i="47"/>
  <c r="E1513" i="47"/>
  <c r="L1512" i="47"/>
  <c r="J1512" i="47"/>
  <c r="H1512" i="47" s="1" a="1"/>
  <c r="H1512" i="47" s="1"/>
  <c r="G1512" i="47" s="1" a="1"/>
  <c r="G1512" i="47" s="1"/>
  <c r="K1512" i="47" s="1"/>
  <c r="I1512" i="47"/>
  <c r="E1512" i="47"/>
  <c r="L1511" i="47"/>
  <c r="J1511" i="47"/>
  <c r="H1511" i="47" s="1" a="1"/>
  <c r="H1511" i="47" s="1"/>
  <c r="G1511" i="47" s="1" a="1"/>
  <c r="G1511" i="47" s="1"/>
  <c r="K1511" i="47" s="1"/>
  <c r="I1511" i="47"/>
  <c r="E1511" i="47"/>
  <c r="L1510" i="47"/>
  <c r="J1510" i="47"/>
  <c r="H1510" i="47" s="1" a="1"/>
  <c r="H1510" i="47" s="1"/>
  <c r="I1510" i="47"/>
  <c r="E1510" i="47"/>
  <c r="L1509" i="47"/>
  <c r="J1509" i="47"/>
  <c r="H1509" i="47" s="1" a="1"/>
  <c r="H1509" i="47" s="1"/>
  <c r="G1509" i="47" s="1" a="1"/>
  <c r="G1509" i="47" s="1"/>
  <c r="K1509" i="47" s="1"/>
  <c r="I1509" i="47"/>
  <c r="E1509" i="47"/>
  <c r="L1508" i="47"/>
  <c r="J1508" i="47"/>
  <c r="H1508" i="47" s="1" a="1"/>
  <c r="I1508" i="47"/>
  <c r="H1508" i="47"/>
  <c r="E1508" i="47"/>
  <c r="L1507" i="47"/>
  <c r="J1507" i="47"/>
  <c r="H1507" i="47" s="1" a="1"/>
  <c r="H1507" i="47" s="1"/>
  <c r="G1507" i="47" s="1" a="1"/>
  <c r="G1507" i="47" s="1"/>
  <c r="K1507" i="47" s="1"/>
  <c r="I1507" i="47"/>
  <c r="E1507" i="47"/>
  <c r="L1506" i="47"/>
  <c r="J1506" i="47"/>
  <c r="H1506" i="47" s="1" a="1"/>
  <c r="H1506" i="47" s="1"/>
  <c r="I1506" i="47"/>
  <c r="E1506" i="47"/>
  <c r="L1505" i="47"/>
  <c r="J1505" i="47"/>
  <c r="H1505" i="47" s="1" a="1"/>
  <c r="H1505" i="47" s="1"/>
  <c r="I1505" i="47"/>
  <c r="E1505" i="47"/>
  <c r="L1504" i="47"/>
  <c r="J1504" i="47"/>
  <c r="H1504" i="47" s="1" a="1"/>
  <c r="H1504" i="47" s="1"/>
  <c r="I1504" i="47"/>
  <c r="E1504" i="47"/>
  <c r="L1503" i="47"/>
  <c r="J1503" i="47"/>
  <c r="I1503" i="47"/>
  <c r="H1503" i="47" a="1"/>
  <c r="H1503" i="47" s="1"/>
  <c r="E1503" i="47"/>
  <c r="L1502" i="47"/>
  <c r="J1502" i="47"/>
  <c r="H1502" i="47" s="1" a="1"/>
  <c r="H1502" i="47" s="1"/>
  <c r="I1502" i="47"/>
  <c r="E1502" i="47"/>
  <c r="L1501" i="47"/>
  <c r="J1501" i="47"/>
  <c r="H1501" i="47" s="1" a="1"/>
  <c r="H1501" i="47" s="1"/>
  <c r="I1501" i="47"/>
  <c r="E1501" i="47"/>
  <c r="L1500" i="47"/>
  <c r="J1500" i="47"/>
  <c r="H1500" i="47" s="1" a="1"/>
  <c r="H1500" i="47" s="1"/>
  <c r="I1500" i="47"/>
  <c r="E1500" i="47"/>
  <c r="L1499" i="47"/>
  <c r="J1499" i="47"/>
  <c r="I1499" i="47"/>
  <c r="H1499" i="47" a="1"/>
  <c r="H1499" i="47" s="1"/>
  <c r="E1499" i="47"/>
  <c r="L1498" i="47"/>
  <c r="J1498" i="47"/>
  <c r="H1498" i="47" s="1" a="1"/>
  <c r="H1498" i="47" s="1"/>
  <c r="G1498" i="47" s="1" a="1"/>
  <c r="G1498" i="47" s="1"/>
  <c r="I1498" i="47"/>
  <c r="E1498" i="47"/>
  <c r="L1497" i="47"/>
  <c r="J1497" i="47"/>
  <c r="H1497" i="47" s="1" a="1"/>
  <c r="H1497" i="47" s="1"/>
  <c r="I1497" i="47"/>
  <c r="E1497" i="47"/>
  <c r="L1496" i="47"/>
  <c r="J1496" i="47"/>
  <c r="H1496" i="47" s="1" a="1"/>
  <c r="H1496" i="47" s="1"/>
  <c r="G1496" i="47" s="1" a="1"/>
  <c r="G1496" i="47" s="1"/>
  <c r="K1496" i="47" s="1"/>
  <c r="I1496" i="47"/>
  <c r="E1496" i="47"/>
  <c r="L1495" i="47"/>
  <c r="J1495" i="47"/>
  <c r="H1495" i="47" s="1" a="1"/>
  <c r="H1495" i="47" s="1"/>
  <c r="G1495" i="47" s="1" a="1"/>
  <c r="G1495" i="47" s="1"/>
  <c r="K1495" i="47" s="1"/>
  <c r="I1495" i="47"/>
  <c r="E1495" i="47"/>
  <c r="L1494" i="47"/>
  <c r="J1494" i="47"/>
  <c r="H1494" i="47" s="1" a="1"/>
  <c r="H1494" i="47" s="1"/>
  <c r="I1494" i="47"/>
  <c r="E1494" i="47"/>
  <c r="L1493" i="47"/>
  <c r="J1493" i="47"/>
  <c r="H1493" i="47" s="1" a="1"/>
  <c r="H1493" i="47" s="1"/>
  <c r="I1493" i="47"/>
  <c r="E1493" i="47"/>
  <c r="L1492" i="47"/>
  <c r="J1492" i="47"/>
  <c r="H1492" i="47" s="1" a="1"/>
  <c r="H1492" i="47" s="1"/>
  <c r="G1492" i="47" s="1" a="1"/>
  <c r="G1492" i="47" s="1"/>
  <c r="K1492" i="47" s="1"/>
  <c r="I1492" i="47"/>
  <c r="E1492" i="47"/>
  <c r="L1491" i="47"/>
  <c r="J1491" i="47"/>
  <c r="H1491" i="47" s="1" a="1"/>
  <c r="H1491" i="47" s="1"/>
  <c r="I1491" i="47"/>
  <c r="E1491" i="47"/>
  <c r="L1490" i="47"/>
  <c r="J1490" i="47"/>
  <c r="I1490" i="47"/>
  <c r="H1490" i="47" a="1"/>
  <c r="H1490" i="47" s="1"/>
  <c r="G1490" i="47" s="1" a="1"/>
  <c r="G1490" i="47" s="1"/>
  <c r="E1490" i="47"/>
  <c r="L1489" i="47"/>
  <c r="J1489" i="47"/>
  <c r="H1489" i="47" s="1" a="1"/>
  <c r="H1489" i="47" s="1"/>
  <c r="I1489" i="47"/>
  <c r="E1489" i="47"/>
  <c r="L1488" i="47"/>
  <c r="J1488" i="47"/>
  <c r="H1488" i="47" s="1" a="1"/>
  <c r="H1488" i="47" s="1"/>
  <c r="G1488" i="47" s="1" a="1"/>
  <c r="G1488" i="47" s="1"/>
  <c r="K1488" i="47" s="1"/>
  <c r="I1488" i="47"/>
  <c r="E1488" i="47"/>
  <c r="L1487" i="47"/>
  <c r="J1487" i="47"/>
  <c r="I1487" i="47"/>
  <c r="H1487" i="47" a="1"/>
  <c r="H1487" i="47" s="1"/>
  <c r="E1487" i="47"/>
  <c r="L1486" i="47"/>
  <c r="J1486" i="47"/>
  <c r="H1486" i="47" s="1" a="1"/>
  <c r="H1486" i="47" s="1"/>
  <c r="I1486" i="47"/>
  <c r="E1486" i="47"/>
  <c r="L1485" i="47"/>
  <c r="J1485" i="47"/>
  <c r="I1485" i="47"/>
  <c r="H1485" i="47" a="1"/>
  <c r="H1485" i="47" s="1"/>
  <c r="G1485" i="47" s="1" a="1"/>
  <c r="G1485" i="47" s="1"/>
  <c r="K1485" i="47" s="1"/>
  <c r="E1485" i="47"/>
  <c r="L1484" i="47"/>
  <c r="J1484" i="47"/>
  <c r="H1484" i="47" s="1" a="1"/>
  <c r="H1484" i="47" s="1"/>
  <c r="G1484" i="47" s="1" a="1"/>
  <c r="G1484" i="47" s="1"/>
  <c r="K1484" i="47" s="1"/>
  <c r="I1484" i="47"/>
  <c r="E1484" i="47"/>
  <c r="L1483" i="47"/>
  <c r="J1483" i="47"/>
  <c r="I1483" i="47"/>
  <c r="H1483" i="47" a="1"/>
  <c r="H1483" i="47" s="1"/>
  <c r="G1483" i="47" s="1" a="1"/>
  <c r="G1483" i="47" s="1"/>
  <c r="K1483" i="47" s="1"/>
  <c r="E1483" i="47"/>
  <c r="L1482" i="47"/>
  <c r="J1482" i="47"/>
  <c r="H1482" i="47" s="1" a="1"/>
  <c r="H1482" i="47" s="1"/>
  <c r="G1482" i="47" s="1" a="1"/>
  <c r="G1482" i="47" s="1"/>
  <c r="I1482" i="47"/>
  <c r="E1482" i="47"/>
  <c r="L1481" i="47"/>
  <c r="J1481" i="47"/>
  <c r="H1481" i="47" s="1" a="1"/>
  <c r="H1481" i="47" s="1"/>
  <c r="I1481" i="47"/>
  <c r="E1481" i="47"/>
  <c r="L1480" i="47"/>
  <c r="J1480" i="47"/>
  <c r="H1480" i="47" s="1" a="1"/>
  <c r="H1480" i="47" s="1"/>
  <c r="I1480" i="47"/>
  <c r="E1480" i="47"/>
  <c r="L1479" i="47"/>
  <c r="J1479" i="47"/>
  <c r="H1479" i="47" s="1" a="1"/>
  <c r="H1479" i="47" s="1"/>
  <c r="G1479" i="47" s="1" a="1"/>
  <c r="G1479" i="47" s="1"/>
  <c r="K1479" i="47" s="1"/>
  <c r="I1479" i="47"/>
  <c r="E1479" i="47"/>
  <c r="L1478" i="47"/>
  <c r="J1478" i="47"/>
  <c r="I1478" i="47"/>
  <c r="H1478" i="47" a="1"/>
  <c r="H1478" i="47" s="1"/>
  <c r="E1478" i="47"/>
  <c r="L1477" i="47"/>
  <c r="J1477" i="47"/>
  <c r="H1477" i="47" s="1" a="1"/>
  <c r="H1477" i="47" s="1"/>
  <c r="G1477" i="47" s="1" a="1"/>
  <c r="G1477" i="47" s="1"/>
  <c r="K1477" i="47" s="1"/>
  <c r="I1477" i="47"/>
  <c r="E1477" i="47"/>
  <c r="L1476" i="47"/>
  <c r="J1476" i="47"/>
  <c r="H1476" i="47" s="1" a="1"/>
  <c r="I1476" i="47"/>
  <c r="H1476" i="47"/>
  <c r="E1476" i="47"/>
  <c r="L1475" i="47"/>
  <c r="J1475" i="47"/>
  <c r="H1475" i="47" s="1" a="1"/>
  <c r="H1475" i="47" s="1"/>
  <c r="G1475" i="47" s="1" a="1"/>
  <c r="G1475" i="47" s="1"/>
  <c r="I1475" i="47"/>
  <c r="E1475" i="47"/>
  <c r="L1474" i="47"/>
  <c r="J1474" i="47"/>
  <c r="H1474" i="47" s="1" a="1"/>
  <c r="H1474" i="47" s="1"/>
  <c r="I1474" i="47"/>
  <c r="E1474" i="47"/>
  <c r="L1473" i="47"/>
  <c r="J1473" i="47"/>
  <c r="H1473" i="47" s="1" a="1"/>
  <c r="H1473" i="47" s="1"/>
  <c r="I1473" i="47"/>
  <c r="E1473" i="47"/>
  <c r="L1472" i="47"/>
  <c r="J1472" i="47"/>
  <c r="H1472" i="47" s="1" a="1"/>
  <c r="H1472" i="47" s="1"/>
  <c r="I1472" i="47"/>
  <c r="E1472" i="47"/>
  <c r="L1471" i="47"/>
  <c r="J1471" i="47"/>
  <c r="I1471" i="47"/>
  <c r="H1471" i="47" a="1"/>
  <c r="H1471" i="47" s="1"/>
  <c r="G1471" i="47" s="1" a="1"/>
  <c r="G1471" i="47" s="1"/>
  <c r="K1471" i="47" s="1"/>
  <c r="E1471" i="47"/>
  <c r="L1470" i="47"/>
  <c r="J1470" i="47"/>
  <c r="H1470" i="47" s="1" a="1"/>
  <c r="H1470" i="47" s="1"/>
  <c r="I1470" i="47"/>
  <c r="E1470" i="47"/>
  <c r="L1469" i="47"/>
  <c r="J1469" i="47"/>
  <c r="H1469" i="47" s="1" a="1"/>
  <c r="H1469" i="47" s="1"/>
  <c r="I1469" i="47"/>
  <c r="E1469" i="47"/>
  <c r="L1468" i="47"/>
  <c r="J1468" i="47"/>
  <c r="H1468" i="47" s="1" a="1"/>
  <c r="H1468" i="47" s="1"/>
  <c r="I1468" i="47"/>
  <c r="E1468" i="47"/>
  <c r="L1467" i="47"/>
  <c r="J1467" i="47"/>
  <c r="H1467" i="47" s="1" a="1"/>
  <c r="H1467" i="47" s="1"/>
  <c r="I1467" i="47"/>
  <c r="E1467" i="47"/>
  <c r="L1466" i="47"/>
  <c r="J1466" i="47"/>
  <c r="H1466" i="47" s="1" a="1"/>
  <c r="H1466" i="47" s="1"/>
  <c r="I1466" i="47"/>
  <c r="E1466" i="47"/>
  <c r="L1465" i="47"/>
  <c r="J1465" i="47"/>
  <c r="I1465" i="47"/>
  <c r="F1465" i="47" a="1"/>
  <c r="F1465" i="47" s="1"/>
  <c r="L1463" i="47"/>
  <c r="J1463" i="47"/>
  <c r="H1463" i="47" s="1" a="1"/>
  <c r="H1463" i="47" s="1"/>
  <c r="I1463" i="47"/>
  <c r="E1463" i="47"/>
  <c r="L1462" i="47"/>
  <c r="J1462" i="47"/>
  <c r="H1462" i="47" s="1" a="1"/>
  <c r="H1462" i="47" s="1"/>
  <c r="I1462" i="47"/>
  <c r="E1462" i="47"/>
  <c r="L1461" i="47"/>
  <c r="J1461" i="47"/>
  <c r="H1461" i="47" s="1" a="1"/>
  <c r="H1461" i="47" s="1"/>
  <c r="I1461" i="47"/>
  <c r="E1461" i="47"/>
  <c r="L1460" i="47"/>
  <c r="J1460" i="47"/>
  <c r="H1460" i="47" s="1" a="1"/>
  <c r="H1460" i="47" s="1"/>
  <c r="I1460" i="47"/>
  <c r="E1460" i="47"/>
  <c r="L1459" i="47"/>
  <c r="J1459" i="47"/>
  <c r="H1459" i="47" s="1" a="1"/>
  <c r="H1459" i="47" s="1"/>
  <c r="I1459" i="47"/>
  <c r="E1459" i="47"/>
  <c r="L1458" i="47"/>
  <c r="J1458" i="47"/>
  <c r="H1458" i="47" s="1" a="1"/>
  <c r="H1458" i="47" s="1"/>
  <c r="I1458" i="47"/>
  <c r="E1458" i="47"/>
  <c r="L1457" i="47"/>
  <c r="J1457" i="47"/>
  <c r="H1457" i="47" s="1" a="1"/>
  <c r="H1457" i="47" s="1"/>
  <c r="I1457" i="47"/>
  <c r="E1457" i="47"/>
  <c r="L1456" i="47"/>
  <c r="J1456" i="47"/>
  <c r="I1456" i="47"/>
  <c r="H1456" i="47" a="1"/>
  <c r="H1456" i="47" s="1"/>
  <c r="G1456" i="47" s="1" a="1"/>
  <c r="G1456" i="47" s="1"/>
  <c r="K1456" i="47" s="1"/>
  <c r="E1456" i="47"/>
  <c r="L1455" i="47"/>
  <c r="J1455" i="47"/>
  <c r="H1455" i="47" s="1" a="1"/>
  <c r="H1455" i="47" s="1"/>
  <c r="I1455" i="47"/>
  <c r="E1455" i="47"/>
  <c r="L1454" i="47"/>
  <c r="J1454" i="47"/>
  <c r="H1454" i="47" s="1" a="1"/>
  <c r="H1454" i="47" s="1"/>
  <c r="G1454" i="47" s="1" a="1"/>
  <c r="G1454" i="47" s="1"/>
  <c r="K1454" i="47" s="1"/>
  <c r="I1454" i="47"/>
  <c r="E1454" i="47"/>
  <c r="L1453" i="47"/>
  <c r="J1453" i="47"/>
  <c r="H1453" i="47" s="1" a="1"/>
  <c r="H1453" i="47" s="1"/>
  <c r="I1453" i="47"/>
  <c r="E1453" i="47"/>
  <c r="L1452" i="47"/>
  <c r="J1452" i="47"/>
  <c r="H1452" i="47" s="1" a="1"/>
  <c r="H1452" i="47" s="1"/>
  <c r="G1452" i="47" s="1" a="1"/>
  <c r="G1452" i="47" s="1"/>
  <c r="K1452" i="47" s="1"/>
  <c r="I1452" i="47"/>
  <c r="E1452" i="47"/>
  <c r="L1451" i="47"/>
  <c r="J1451" i="47"/>
  <c r="I1451" i="47"/>
  <c r="H1451" i="47" a="1"/>
  <c r="H1451" i="47" s="1"/>
  <c r="G1451" i="47" s="1" a="1"/>
  <c r="G1451" i="47" s="1"/>
  <c r="K1451" i="47" s="1"/>
  <c r="E1451" i="47"/>
  <c r="L1450" i="47"/>
  <c r="J1450" i="47"/>
  <c r="H1450" i="47" s="1" a="1"/>
  <c r="H1450" i="47" s="1"/>
  <c r="I1450" i="47"/>
  <c r="E1450" i="47"/>
  <c r="L1449" i="47"/>
  <c r="J1449" i="47"/>
  <c r="H1449" i="47" s="1" a="1"/>
  <c r="H1449" i="47" s="1"/>
  <c r="I1449" i="47"/>
  <c r="E1449" i="47"/>
  <c r="L1448" i="47"/>
  <c r="J1448" i="47"/>
  <c r="H1448" i="47" s="1" a="1"/>
  <c r="H1448" i="47" s="1"/>
  <c r="I1448" i="47"/>
  <c r="E1448" i="47"/>
  <c r="L1447" i="47"/>
  <c r="J1447" i="47"/>
  <c r="H1447" i="47" s="1" a="1"/>
  <c r="H1447" i="47" s="1"/>
  <c r="I1447" i="47"/>
  <c r="E1447" i="47"/>
  <c r="L1446" i="47"/>
  <c r="J1446" i="47"/>
  <c r="H1446" i="47" s="1" a="1"/>
  <c r="H1446" i="47" s="1"/>
  <c r="I1446" i="47"/>
  <c r="E1446" i="47"/>
  <c r="L1445" i="47"/>
  <c r="J1445" i="47"/>
  <c r="H1445" i="47" s="1" a="1"/>
  <c r="H1445" i="47" s="1"/>
  <c r="I1445" i="47"/>
  <c r="E1445" i="47"/>
  <c r="L1444" i="47"/>
  <c r="J1444" i="47"/>
  <c r="H1444" i="47" s="1" a="1"/>
  <c r="H1444" i="47" s="1"/>
  <c r="G1444" i="47" s="1" a="1"/>
  <c r="G1444" i="47" s="1"/>
  <c r="K1444" i="47" s="1"/>
  <c r="I1444" i="47"/>
  <c r="E1444" i="47"/>
  <c r="L1443" i="47"/>
  <c r="J1443" i="47"/>
  <c r="H1443" i="47" s="1" a="1"/>
  <c r="H1443" i="47" s="1"/>
  <c r="I1443" i="47"/>
  <c r="E1443" i="47"/>
  <c r="L1442" i="47"/>
  <c r="J1442" i="47"/>
  <c r="H1442" i="47" s="1" a="1"/>
  <c r="H1442" i="47" s="1"/>
  <c r="I1442" i="47"/>
  <c r="G1442" i="47" a="1"/>
  <c r="G1442" i="47" s="1"/>
  <c r="K1442" i="47" s="1"/>
  <c r="E1442" i="47"/>
  <c r="L1441" i="47"/>
  <c r="J1441" i="47"/>
  <c r="I1441" i="47"/>
  <c r="H1441" i="47" a="1"/>
  <c r="H1441" i="47" s="1"/>
  <c r="E1441" i="47"/>
  <c r="L1440" i="47"/>
  <c r="J1440" i="47"/>
  <c r="I1440" i="47"/>
  <c r="H1440" i="47" a="1"/>
  <c r="H1440" i="47" s="1"/>
  <c r="E1440" i="47"/>
  <c r="L1439" i="47"/>
  <c r="J1439" i="47"/>
  <c r="H1439" i="47" s="1" a="1"/>
  <c r="H1439" i="47" s="1"/>
  <c r="I1439" i="47"/>
  <c r="E1439" i="47"/>
  <c r="L1438" i="47"/>
  <c r="J1438" i="47"/>
  <c r="H1438" i="47" s="1" a="1"/>
  <c r="H1438" i="47" s="1"/>
  <c r="I1438" i="47"/>
  <c r="E1438" i="47"/>
  <c r="L1437" i="47"/>
  <c r="J1437" i="47"/>
  <c r="I1437" i="47"/>
  <c r="H1437" i="47" a="1"/>
  <c r="H1437" i="47" s="1"/>
  <c r="E1437" i="47"/>
  <c r="L1436" i="47"/>
  <c r="J1436" i="47"/>
  <c r="I1436" i="47"/>
  <c r="H1436" i="47" a="1"/>
  <c r="H1436" i="47" s="1"/>
  <c r="G1436" i="47" s="1" a="1"/>
  <c r="G1436" i="47" s="1"/>
  <c r="E1436" i="47"/>
  <c r="L1435" i="47"/>
  <c r="J1435" i="47"/>
  <c r="H1435" i="47" s="1" a="1"/>
  <c r="H1435" i="47" s="1"/>
  <c r="I1435" i="47"/>
  <c r="E1435" i="47"/>
  <c r="L1434" i="47"/>
  <c r="J1434" i="47"/>
  <c r="H1434" i="47" s="1" a="1"/>
  <c r="H1434" i="47" s="1"/>
  <c r="I1434" i="47"/>
  <c r="E1434" i="47"/>
  <c r="L1433" i="47"/>
  <c r="J1433" i="47"/>
  <c r="H1433" i="47" s="1" a="1"/>
  <c r="H1433" i="47" s="1"/>
  <c r="G1433" i="47" s="1" a="1"/>
  <c r="G1433" i="47" s="1"/>
  <c r="K1433" i="47" s="1"/>
  <c r="I1433" i="47"/>
  <c r="E1433" i="47"/>
  <c r="L1432" i="47"/>
  <c r="J1432" i="47"/>
  <c r="I1432" i="47"/>
  <c r="H1432" i="47" a="1"/>
  <c r="H1432" i="47" s="1"/>
  <c r="G1432" i="47" s="1" a="1"/>
  <c r="G1432" i="47" s="1"/>
  <c r="K1432" i="47" s="1"/>
  <c r="E1432" i="47"/>
  <c r="L1431" i="47"/>
  <c r="J1431" i="47"/>
  <c r="H1431" i="47" s="1" a="1"/>
  <c r="H1431" i="47" s="1"/>
  <c r="I1431" i="47"/>
  <c r="E1431" i="47"/>
  <c r="L1430" i="47"/>
  <c r="J1430" i="47"/>
  <c r="H1430" i="47" s="1" a="1"/>
  <c r="H1430" i="47" s="1"/>
  <c r="I1430" i="47"/>
  <c r="E1430" i="47"/>
  <c r="L1429" i="47"/>
  <c r="J1429" i="47"/>
  <c r="H1429" i="47" s="1" a="1"/>
  <c r="H1429" i="47" s="1"/>
  <c r="I1429" i="47"/>
  <c r="E1429" i="47"/>
  <c r="L1428" i="47"/>
  <c r="J1428" i="47"/>
  <c r="I1428" i="47"/>
  <c r="H1428" i="47" a="1"/>
  <c r="H1428" i="47" s="1"/>
  <c r="E1428" i="47"/>
  <c r="L1427" i="47"/>
  <c r="J1427" i="47"/>
  <c r="I1427" i="47"/>
  <c r="H1427" i="47" a="1"/>
  <c r="H1427" i="47" s="1"/>
  <c r="E1427" i="47"/>
  <c r="L1426" i="47"/>
  <c r="J1426" i="47"/>
  <c r="H1426" i="47" s="1" a="1"/>
  <c r="H1426" i="47" s="1"/>
  <c r="I1426" i="47"/>
  <c r="E1426" i="47"/>
  <c r="L1425" i="47"/>
  <c r="J1425" i="47"/>
  <c r="H1425" i="47" s="1" a="1"/>
  <c r="H1425" i="47" s="1"/>
  <c r="I1425" i="47"/>
  <c r="E1425" i="47"/>
  <c r="L1424" i="47"/>
  <c r="J1424" i="47"/>
  <c r="H1424" i="47" s="1" a="1"/>
  <c r="H1424" i="47" s="1"/>
  <c r="I1424" i="47"/>
  <c r="E1424" i="47"/>
  <c r="L1423" i="47"/>
  <c r="J1423" i="47"/>
  <c r="H1423" i="47" s="1" a="1"/>
  <c r="H1423" i="47" s="1"/>
  <c r="I1423" i="47"/>
  <c r="E1423" i="47"/>
  <c r="L1422" i="47"/>
  <c r="J1422" i="47"/>
  <c r="H1422" i="47" s="1" a="1"/>
  <c r="H1422" i="47" s="1"/>
  <c r="I1422" i="47"/>
  <c r="E1422" i="47"/>
  <c r="L1421" i="47"/>
  <c r="J1421" i="47"/>
  <c r="H1421" i="47" s="1" a="1"/>
  <c r="H1421" i="47" s="1"/>
  <c r="I1421" i="47"/>
  <c r="E1421" i="47"/>
  <c r="L1420" i="47"/>
  <c r="J1420" i="47"/>
  <c r="H1420" i="47" s="1" a="1"/>
  <c r="H1420" i="47" s="1"/>
  <c r="I1420" i="47"/>
  <c r="E1420" i="47"/>
  <c r="L1419" i="47"/>
  <c r="J1419" i="47"/>
  <c r="H1419" i="47" s="1" a="1"/>
  <c r="I1419" i="47"/>
  <c r="H1419" i="47"/>
  <c r="G1419" i="47" s="1" a="1"/>
  <c r="G1419" i="47" s="1"/>
  <c r="E1419" i="47"/>
  <c r="L1418" i="47"/>
  <c r="J1418" i="47"/>
  <c r="H1418" i="47" s="1" a="1"/>
  <c r="H1418" i="47" s="1"/>
  <c r="I1418" i="47"/>
  <c r="E1418" i="47"/>
  <c r="L1417" i="47"/>
  <c r="J1417" i="47"/>
  <c r="H1417" i="47" s="1" a="1"/>
  <c r="H1417" i="47" s="1"/>
  <c r="I1417" i="47"/>
  <c r="E1417" i="47"/>
  <c r="L1416" i="47"/>
  <c r="J1416" i="47"/>
  <c r="I1416" i="47"/>
  <c r="H1416" i="47" a="1"/>
  <c r="H1416" i="47" s="1"/>
  <c r="E1416" i="47"/>
  <c r="L1415" i="47"/>
  <c r="J1415" i="47"/>
  <c r="I1415" i="47"/>
  <c r="F1415" i="47" a="1"/>
  <c r="F1415" i="47" s="1"/>
  <c r="L1413" i="47"/>
  <c r="J1413" i="47"/>
  <c r="H1413" i="47" s="1" a="1"/>
  <c r="H1413" i="47" s="1"/>
  <c r="G1413" i="47" s="1" a="1"/>
  <c r="G1413" i="47" s="1"/>
  <c r="I1413" i="47"/>
  <c r="E1413" i="47"/>
  <c r="L1412" i="47"/>
  <c r="J1412" i="47"/>
  <c r="H1412" i="47" s="1" a="1"/>
  <c r="H1412" i="47" s="1"/>
  <c r="I1412" i="47"/>
  <c r="E1412" i="47"/>
  <c r="L1411" i="47"/>
  <c r="J1411" i="47"/>
  <c r="H1411" i="47" s="1" a="1"/>
  <c r="H1411" i="47" s="1"/>
  <c r="I1411" i="47"/>
  <c r="E1411" i="47"/>
  <c r="L1410" i="47"/>
  <c r="J1410" i="47"/>
  <c r="H1410" i="47" s="1" a="1"/>
  <c r="H1410" i="47" s="1"/>
  <c r="G1410" i="47" s="1" a="1"/>
  <c r="G1410" i="47" s="1"/>
  <c r="K1410" i="47" s="1"/>
  <c r="I1410" i="47"/>
  <c r="E1410" i="47"/>
  <c r="L1409" i="47"/>
  <c r="J1409" i="47"/>
  <c r="I1409" i="47"/>
  <c r="H1409" i="47" a="1"/>
  <c r="H1409" i="47" s="1"/>
  <c r="E1409" i="47"/>
  <c r="L1408" i="47"/>
  <c r="J1408" i="47"/>
  <c r="H1408" i="47" s="1" a="1"/>
  <c r="H1408" i="47" s="1"/>
  <c r="G1408" i="47" s="1" a="1"/>
  <c r="G1408" i="47" s="1"/>
  <c r="K1408" i="47" s="1"/>
  <c r="I1408" i="47"/>
  <c r="E1408" i="47"/>
  <c r="L1407" i="47"/>
  <c r="J1407" i="47"/>
  <c r="H1407" i="47" s="1" a="1"/>
  <c r="H1407" i="47" s="1"/>
  <c r="I1407" i="47"/>
  <c r="E1407" i="47"/>
  <c r="L1406" i="47"/>
  <c r="J1406" i="47"/>
  <c r="H1406" i="47" s="1" a="1"/>
  <c r="H1406" i="47" s="1"/>
  <c r="I1406" i="47"/>
  <c r="E1406" i="47"/>
  <c r="L1405" i="47"/>
  <c r="J1405" i="47"/>
  <c r="H1405" i="47" s="1" a="1"/>
  <c r="H1405" i="47" s="1"/>
  <c r="G1405" i="47" s="1" a="1"/>
  <c r="G1405" i="47" s="1"/>
  <c r="K1405" i="47" s="1"/>
  <c r="I1405" i="47"/>
  <c r="E1405" i="47"/>
  <c r="L1404" i="47"/>
  <c r="J1404" i="47"/>
  <c r="I1404" i="47"/>
  <c r="H1404" i="47" a="1"/>
  <c r="H1404" i="47" s="1"/>
  <c r="E1404" i="47"/>
  <c r="L1403" i="47"/>
  <c r="J1403" i="47"/>
  <c r="H1403" i="47" s="1" a="1"/>
  <c r="H1403" i="47" s="1"/>
  <c r="I1403" i="47"/>
  <c r="E1403" i="47"/>
  <c r="L1402" i="47"/>
  <c r="J1402" i="47"/>
  <c r="H1402" i="47" s="1" a="1"/>
  <c r="H1402" i="47" s="1"/>
  <c r="I1402" i="47"/>
  <c r="E1402" i="47"/>
  <c r="L1401" i="47"/>
  <c r="J1401" i="47"/>
  <c r="H1401" i="47" s="1" a="1"/>
  <c r="H1401" i="47" s="1"/>
  <c r="G1401" i="47" s="1" a="1"/>
  <c r="G1401" i="47" s="1"/>
  <c r="I1401" i="47"/>
  <c r="E1401" i="47"/>
  <c r="L1400" i="47"/>
  <c r="J1400" i="47"/>
  <c r="I1400" i="47"/>
  <c r="H1400" i="47" a="1"/>
  <c r="H1400" i="47" s="1"/>
  <c r="G1400" i="47" s="1" a="1"/>
  <c r="G1400" i="47" s="1"/>
  <c r="K1400" i="47" s="1"/>
  <c r="E1400" i="47"/>
  <c r="L1399" i="47"/>
  <c r="J1399" i="47"/>
  <c r="H1399" i="47" s="1" a="1"/>
  <c r="H1399" i="47" s="1"/>
  <c r="I1399" i="47"/>
  <c r="E1399" i="47"/>
  <c r="L1398" i="47"/>
  <c r="J1398" i="47"/>
  <c r="H1398" i="47" s="1" a="1"/>
  <c r="H1398" i="47" s="1"/>
  <c r="I1398" i="47"/>
  <c r="E1398" i="47"/>
  <c r="L1397" i="47"/>
  <c r="J1397" i="47"/>
  <c r="H1397" i="47" s="1" a="1"/>
  <c r="H1397" i="47" s="1"/>
  <c r="G1397" i="47" s="1" a="1"/>
  <c r="G1397" i="47" s="1"/>
  <c r="K1397" i="47" s="1"/>
  <c r="I1397" i="47"/>
  <c r="E1397" i="47"/>
  <c r="L1396" i="47"/>
  <c r="J1396" i="47"/>
  <c r="H1396" i="47" s="1" a="1"/>
  <c r="H1396" i="47" s="1"/>
  <c r="I1396" i="47"/>
  <c r="E1396" i="47"/>
  <c r="L1395" i="47"/>
  <c r="J1395" i="47"/>
  <c r="H1395" i="47" s="1" a="1"/>
  <c r="H1395" i="47" s="1"/>
  <c r="I1395" i="47"/>
  <c r="E1395" i="47"/>
  <c r="L1394" i="47"/>
  <c r="J1394" i="47"/>
  <c r="H1394" i="47" s="1" a="1"/>
  <c r="H1394" i="47" s="1"/>
  <c r="G1394" i="47" s="1" a="1"/>
  <c r="G1394" i="47" s="1"/>
  <c r="K1394" i="47" s="1"/>
  <c r="I1394" i="47"/>
  <c r="E1394" i="47"/>
  <c r="L1393" i="47"/>
  <c r="J1393" i="47"/>
  <c r="H1393" i="47" s="1" a="1"/>
  <c r="H1393" i="47" s="1"/>
  <c r="G1393" i="47" s="1" a="1"/>
  <c r="G1393" i="47" s="1"/>
  <c r="K1393" i="47" s="1"/>
  <c r="I1393" i="47"/>
  <c r="E1393" i="47"/>
  <c r="L1392" i="47"/>
  <c r="J1392" i="47"/>
  <c r="H1392" i="47" s="1" a="1"/>
  <c r="H1392" i="47" s="1"/>
  <c r="G1392" i="47" s="1" a="1"/>
  <c r="G1392" i="47" s="1"/>
  <c r="K1392" i="47" s="1"/>
  <c r="I1392" i="47"/>
  <c r="E1392" i="47"/>
  <c r="L1391" i="47"/>
  <c r="J1391" i="47"/>
  <c r="H1391" i="47" s="1" a="1"/>
  <c r="H1391" i="47" s="1"/>
  <c r="I1391" i="47"/>
  <c r="E1391" i="47"/>
  <c r="L1390" i="47"/>
  <c r="J1390" i="47"/>
  <c r="H1390" i="47" s="1" a="1"/>
  <c r="H1390" i="47" s="1"/>
  <c r="I1390" i="47"/>
  <c r="G1390" i="47" a="1"/>
  <c r="G1390" i="47" s="1"/>
  <c r="K1390" i="47" s="1"/>
  <c r="E1390" i="47"/>
  <c r="L1389" i="47"/>
  <c r="J1389" i="47"/>
  <c r="H1389" i="47" s="1" a="1"/>
  <c r="H1389" i="47" s="1"/>
  <c r="I1389" i="47"/>
  <c r="E1389" i="47"/>
  <c r="L1388" i="47"/>
  <c r="J1388" i="47"/>
  <c r="H1388" i="47" s="1" a="1"/>
  <c r="H1388" i="47" s="1"/>
  <c r="I1388" i="47"/>
  <c r="E1388" i="47"/>
  <c r="L1387" i="47"/>
  <c r="J1387" i="47"/>
  <c r="H1387" i="47" s="1" a="1"/>
  <c r="H1387" i="47" s="1"/>
  <c r="I1387" i="47"/>
  <c r="G1387" i="47" a="1"/>
  <c r="G1387" i="47" s="1"/>
  <c r="K1387" i="47" s="1"/>
  <c r="E1387" i="47"/>
  <c r="L1386" i="47"/>
  <c r="J1386" i="47"/>
  <c r="H1386" i="47" s="1" a="1"/>
  <c r="H1386" i="47" s="1"/>
  <c r="I1386" i="47"/>
  <c r="E1386" i="47"/>
  <c r="L1385" i="47"/>
  <c r="J1385" i="47"/>
  <c r="H1385" i="47" s="1" a="1"/>
  <c r="H1385" i="47" s="1"/>
  <c r="I1385" i="47"/>
  <c r="E1385" i="47"/>
  <c r="L1384" i="47"/>
  <c r="J1384" i="47"/>
  <c r="H1384" i="47" s="1" a="1"/>
  <c r="H1384" i="47" s="1"/>
  <c r="I1384" i="47"/>
  <c r="E1384" i="47"/>
  <c r="L1383" i="47"/>
  <c r="J1383" i="47"/>
  <c r="H1383" i="47" s="1" a="1"/>
  <c r="H1383" i="47" s="1"/>
  <c r="I1383" i="47"/>
  <c r="E1383" i="47"/>
  <c r="L1382" i="47"/>
  <c r="J1382" i="47"/>
  <c r="H1382" i="47" s="1" a="1"/>
  <c r="H1382" i="47" s="1"/>
  <c r="I1382" i="47"/>
  <c r="E1382" i="47"/>
  <c r="L1381" i="47"/>
  <c r="J1381" i="47"/>
  <c r="H1381" i="47" s="1" a="1"/>
  <c r="H1381" i="47" s="1"/>
  <c r="I1381" i="47"/>
  <c r="E1381" i="47"/>
  <c r="L1380" i="47"/>
  <c r="J1380" i="47"/>
  <c r="H1380" i="47" s="1" a="1"/>
  <c r="H1380" i="47" s="1"/>
  <c r="I1380" i="47"/>
  <c r="E1380" i="47"/>
  <c r="L1379" i="47"/>
  <c r="J1379" i="47"/>
  <c r="H1379" i="47" s="1" a="1"/>
  <c r="H1379" i="47" s="1"/>
  <c r="I1379" i="47"/>
  <c r="E1379" i="47"/>
  <c r="L1378" i="47"/>
  <c r="J1378" i="47"/>
  <c r="I1378" i="47"/>
  <c r="H1378" i="47" a="1"/>
  <c r="H1378" i="47" s="1"/>
  <c r="G1378" i="47" s="1" a="1"/>
  <c r="G1378" i="47" s="1"/>
  <c r="E1378" i="47"/>
  <c r="L1377" i="47"/>
  <c r="J1377" i="47"/>
  <c r="H1377" i="47" s="1" a="1"/>
  <c r="H1377" i="47" s="1"/>
  <c r="G1377" i="47" s="1" a="1"/>
  <c r="G1377" i="47" s="1"/>
  <c r="I1377" i="47"/>
  <c r="E1377" i="47"/>
  <c r="L1376" i="47"/>
  <c r="J1376" i="47"/>
  <c r="H1376" i="47" s="1" a="1"/>
  <c r="H1376" i="47" s="1"/>
  <c r="I1376" i="47"/>
  <c r="E1376" i="47"/>
  <c r="L1375" i="47"/>
  <c r="J1375" i="47"/>
  <c r="H1375" i="47" s="1" a="1"/>
  <c r="H1375" i="47" s="1"/>
  <c r="I1375" i="47"/>
  <c r="E1375" i="47"/>
  <c r="L1374" i="47"/>
  <c r="J1374" i="47"/>
  <c r="H1374" i="47" s="1" a="1"/>
  <c r="H1374" i="47" s="1"/>
  <c r="G1374" i="47" s="1" a="1"/>
  <c r="G1374" i="47" s="1"/>
  <c r="K1374" i="47" s="1"/>
  <c r="I1374" i="47"/>
  <c r="E1374" i="47"/>
  <c r="L1373" i="47"/>
  <c r="J1373" i="47"/>
  <c r="H1373" i="47" s="1" a="1"/>
  <c r="H1373" i="47" s="1"/>
  <c r="G1373" i="47" s="1" a="1"/>
  <c r="G1373" i="47" s="1"/>
  <c r="K1373" i="47" s="1"/>
  <c r="I1373" i="47"/>
  <c r="E1373" i="47"/>
  <c r="L1372" i="47"/>
  <c r="J1372" i="47"/>
  <c r="H1372" i="47" s="1" a="1"/>
  <c r="H1372" i="47" s="1"/>
  <c r="I1372" i="47"/>
  <c r="E1372" i="47"/>
  <c r="L1371" i="47"/>
  <c r="J1371" i="47"/>
  <c r="H1371" i="47" s="1" a="1"/>
  <c r="H1371" i="47" s="1"/>
  <c r="I1371" i="47"/>
  <c r="E1371" i="47"/>
  <c r="L1370" i="47"/>
  <c r="J1370" i="47"/>
  <c r="H1370" i="47" s="1" a="1"/>
  <c r="H1370" i="47" s="1"/>
  <c r="I1370" i="47"/>
  <c r="E1370" i="47"/>
  <c r="L1369" i="47"/>
  <c r="J1369" i="47"/>
  <c r="H1369" i="47" s="1" a="1"/>
  <c r="H1369" i="47" s="1"/>
  <c r="I1369" i="47"/>
  <c r="E1369" i="47"/>
  <c r="L1368" i="47"/>
  <c r="J1368" i="47"/>
  <c r="H1368" i="47" s="1" a="1"/>
  <c r="H1368" i="47" s="1"/>
  <c r="I1368" i="47"/>
  <c r="E1368" i="47"/>
  <c r="L1367" i="47"/>
  <c r="J1367" i="47"/>
  <c r="I1367" i="47"/>
  <c r="H1367" i="47" a="1"/>
  <c r="H1367" i="47" s="1"/>
  <c r="G1367" i="47" s="1" a="1"/>
  <c r="G1367" i="47" s="1"/>
  <c r="K1367" i="47" s="1"/>
  <c r="E1367" i="47"/>
  <c r="L1366" i="47"/>
  <c r="J1366" i="47"/>
  <c r="H1366" i="47" s="1" a="1"/>
  <c r="H1366" i="47" s="1"/>
  <c r="I1366" i="47"/>
  <c r="E1366" i="47"/>
  <c r="L1365" i="47"/>
  <c r="J1365" i="47"/>
  <c r="I1365" i="47"/>
  <c r="F1365" i="47" a="1"/>
  <c r="F1365" i="47" s="1"/>
  <c r="L1363" i="47"/>
  <c r="J1363" i="47"/>
  <c r="H1363" i="47" s="1" a="1"/>
  <c r="H1363" i="47" s="1"/>
  <c r="I1363" i="47"/>
  <c r="E1363" i="47"/>
  <c r="L1362" i="47"/>
  <c r="J1362" i="47"/>
  <c r="H1362" i="47" s="1" a="1"/>
  <c r="H1362" i="47" s="1"/>
  <c r="I1362" i="47"/>
  <c r="E1362" i="47"/>
  <c r="L1361" i="47"/>
  <c r="J1361" i="47"/>
  <c r="H1361" i="47" s="1" a="1"/>
  <c r="H1361" i="47" s="1"/>
  <c r="G1361" i="47" s="1" a="1"/>
  <c r="G1361" i="47" s="1"/>
  <c r="K1361" i="47" s="1"/>
  <c r="I1361" i="47"/>
  <c r="E1361" i="47"/>
  <c r="L1360" i="47"/>
  <c r="J1360" i="47"/>
  <c r="H1360" i="47" s="1" a="1"/>
  <c r="H1360" i="47" s="1"/>
  <c r="I1360" i="47"/>
  <c r="G1360" i="47" a="1"/>
  <c r="G1360" i="47" s="1"/>
  <c r="E1360" i="47"/>
  <c r="L1359" i="47"/>
  <c r="J1359" i="47"/>
  <c r="H1359" i="47" s="1" a="1"/>
  <c r="H1359" i="47" s="1"/>
  <c r="I1359" i="47"/>
  <c r="E1359" i="47"/>
  <c r="L1358" i="47"/>
  <c r="J1358" i="47"/>
  <c r="I1358" i="47"/>
  <c r="H1358" i="47"/>
  <c r="H1358" i="47" a="1"/>
  <c r="E1358" i="47"/>
  <c r="L1357" i="47"/>
  <c r="J1357" i="47"/>
  <c r="H1357" i="47" s="1" a="1"/>
  <c r="H1357" i="47" s="1"/>
  <c r="I1357" i="47"/>
  <c r="E1357" i="47"/>
  <c r="L1356" i="47"/>
  <c r="J1356" i="47"/>
  <c r="H1356" i="47" s="1" a="1"/>
  <c r="H1356" i="47" s="1"/>
  <c r="I1356" i="47"/>
  <c r="E1356" i="47"/>
  <c r="L1355" i="47"/>
  <c r="J1355" i="47"/>
  <c r="H1355" i="47" s="1" a="1"/>
  <c r="H1355" i="47" s="1"/>
  <c r="I1355" i="47"/>
  <c r="E1355" i="47"/>
  <c r="L1354" i="47"/>
  <c r="J1354" i="47"/>
  <c r="H1354" i="47" s="1" a="1"/>
  <c r="H1354" i="47" s="1"/>
  <c r="I1354" i="47"/>
  <c r="E1354" i="47"/>
  <c r="L1353" i="47"/>
  <c r="J1353" i="47"/>
  <c r="H1353" i="47" s="1" a="1"/>
  <c r="H1353" i="47" s="1"/>
  <c r="G1353" i="47" s="1" a="1"/>
  <c r="G1353" i="47" s="1"/>
  <c r="K1353" i="47" s="1"/>
  <c r="I1353" i="47"/>
  <c r="E1353" i="47"/>
  <c r="L1352" i="47"/>
  <c r="J1352" i="47"/>
  <c r="H1352" i="47" s="1" a="1"/>
  <c r="I1352" i="47"/>
  <c r="H1352" i="47"/>
  <c r="G1352" i="47" a="1"/>
  <c r="G1352" i="47" s="1"/>
  <c r="K1352" i="47" s="1"/>
  <c r="E1352" i="47"/>
  <c r="L1351" i="47"/>
  <c r="J1351" i="47"/>
  <c r="H1351" i="47" s="1" a="1"/>
  <c r="H1351" i="47" s="1"/>
  <c r="I1351" i="47"/>
  <c r="E1351" i="47"/>
  <c r="L1350" i="47"/>
  <c r="J1350" i="47"/>
  <c r="H1350" i="47" s="1" a="1"/>
  <c r="H1350" i="47" s="1"/>
  <c r="I1350" i="47"/>
  <c r="E1350" i="47"/>
  <c r="L1349" i="47"/>
  <c r="J1349" i="47"/>
  <c r="H1349" i="47" s="1" a="1"/>
  <c r="H1349" i="47" s="1"/>
  <c r="I1349" i="47"/>
  <c r="E1349" i="47"/>
  <c r="L1348" i="47"/>
  <c r="J1348" i="47"/>
  <c r="H1348" i="47" s="1" a="1"/>
  <c r="H1348" i="47" s="1"/>
  <c r="I1348" i="47"/>
  <c r="E1348" i="47"/>
  <c r="L1347" i="47"/>
  <c r="J1347" i="47"/>
  <c r="H1347" i="47" s="1" a="1"/>
  <c r="H1347" i="47" s="1"/>
  <c r="I1347" i="47"/>
  <c r="E1347" i="47"/>
  <c r="L1346" i="47"/>
  <c r="J1346" i="47"/>
  <c r="I1346" i="47"/>
  <c r="H1346" i="47" a="1"/>
  <c r="H1346" i="47" s="1"/>
  <c r="G1346" i="47" s="1" a="1"/>
  <c r="G1346" i="47" s="1"/>
  <c r="K1346" i="47" s="1"/>
  <c r="E1346" i="47"/>
  <c r="L1345" i="47"/>
  <c r="J1345" i="47"/>
  <c r="H1345" i="47" s="1" a="1"/>
  <c r="H1345" i="47" s="1"/>
  <c r="G1345" i="47" s="1" a="1"/>
  <c r="G1345" i="47" s="1"/>
  <c r="K1345" i="47" s="1"/>
  <c r="I1345" i="47"/>
  <c r="E1345" i="47"/>
  <c r="L1344" i="47"/>
  <c r="J1344" i="47"/>
  <c r="H1344" i="47" s="1" a="1"/>
  <c r="H1344" i="47" s="1"/>
  <c r="I1344" i="47"/>
  <c r="E1344" i="47"/>
  <c r="L1343" i="47"/>
  <c r="J1343" i="47"/>
  <c r="H1343" i="47" s="1" a="1"/>
  <c r="H1343" i="47" s="1"/>
  <c r="I1343" i="47"/>
  <c r="E1343" i="47"/>
  <c r="L1342" i="47"/>
  <c r="J1342" i="47"/>
  <c r="H1342" i="47" s="1" a="1"/>
  <c r="H1342" i="47" s="1"/>
  <c r="G1342" i="47" s="1" a="1"/>
  <c r="G1342" i="47" s="1"/>
  <c r="K1342" i="47" s="1"/>
  <c r="I1342" i="47"/>
  <c r="E1342" i="47"/>
  <c r="L1341" i="47"/>
  <c r="J1341" i="47"/>
  <c r="H1341" i="47" s="1" a="1"/>
  <c r="H1341" i="47" s="1"/>
  <c r="G1341" i="47" s="1" a="1"/>
  <c r="G1341" i="47" s="1"/>
  <c r="I1341" i="47"/>
  <c r="E1341" i="47"/>
  <c r="L1340" i="47"/>
  <c r="J1340" i="47"/>
  <c r="H1340" i="47" s="1" a="1"/>
  <c r="H1340" i="47" s="1"/>
  <c r="I1340" i="47"/>
  <c r="E1340" i="47"/>
  <c r="L1339" i="47"/>
  <c r="J1339" i="47"/>
  <c r="I1339" i="47"/>
  <c r="H1339" i="47" a="1"/>
  <c r="H1339" i="47" s="1"/>
  <c r="E1339" i="47"/>
  <c r="L1338" i="47"/>
  <c r="J1338" i="47"/>
  <c r="H1338" i="47" s="1" a="1"/>
  <c r="H1338" i="47" s="1"/>
  <c r="G1338" i="47" s="1" a="1"/>
  <c r="G1338" i="47" s="1"/>
  <c r="K1338" i="47" s="1"/>
  <c r="I1338" i="47"/>
  <c r="E1338" i="47"/>
  <c r="L1337" i="47"/>
  <c r="J1337" i="47"/>
  <c r="H1337" i="47" s="1" a="1"/>
  <c r="H1337" i="47" s="1"/>
  <c r="I1337" i="47"/>
  <c r="E1337" i="47"/>
  <c r="L1336" i="47"/>
  <c r="J1336" i="47"/>
  <c r="H1336" i="47" s="1" a="1"/>
  <c r="H1336" i="47" s="1"/>
  <c r="G1336" i="47" s="1" a="1"/>
  <c r="G1336" i="47" s="1"/>
  <c r="K1336" i="47" s="1"/>
  <c r="I1336" i="47"/>
  <c r="E1336" i="47"/>
  <c r="L1335" i="47"/>
  <c r="J1335" i="47"/>
  <c r="H1335" i="47" s="1" a="1"/>
  <c r="I1335" i="47"/>
  <c r="H1335" i="47"/>
  <c r="E1335" i="47"/>
  <c r="L1334" i="47"/>
  <c r="J1334" i="47"/>
  <c r="H1334" i="47" s="1" a="1"/>
  <c r="H1334" i="47" s="1"/>
  <c r="I1334" i="47"/>
  <c r="E1334" i="47"/>
  <c r="L1333" i="47"/>
  <c r="J1333" i="47"/>
  <c r="I1333" i="47"/>
  <c r="H1333" i="47" a="1"/>
  <c r="H1333" i="47" s="1"/>
  <c r="E1333" i="47"/>
  <c r="L1332" i="47"/>
  <c r="J1332" i="47"/>
  <c r="H1332" i="47" s="1" a="1"/>
  <c r="H1332" i="47" s="1"/>
  <c r="I1332" i="47"/>
  <c r="E1332" i="47"/>
  <c r="L1331" i="47"/>
  <c r="J1331" i="47"/>
  <c r="H1331" i="47" s="1" a="1"/>
  <c r="H1331" i="47" s="1"/>
  <c r="I1331" i="47"/>
  <c r="E1331" i="47"/>
  <c r="L1330" i="47"/>
  <c r="J1330" i="47"/>
  <c r="H1330" i="47" s="1" a="1"/>
  <c r="H1330" i="47" s="1"/>
  <c r="G1330" i="47" s="1" a="1"/>
  <c r="G1330" i="47" s="1"/>
  <c r="I1330" i="47"/>
  <c r="E1330" i="47"/>
  <c r="L1329" i="47"/>
  <c r="J1329" i="47"/>
  <c r="H1329" i="47" s="1" a="1"/>
  <c r="H1329" i="47" s="1"/>
  <c r="I1329" i="47"/>
  <c r="E1329" i="47"/>
  <c r="L1328" i="47"/>
  <c r="J1328" i="47"/>
  <c r="H1328" i="47" s="1" a="1"/>
  <c r="H1328" i="47" s="1"/>
  <c r="I1328" i="47"/>
  <c r="E1328" i="47"/>
  <c r="L1327" i="47"/>
  <c r="J1327" i="47"/>
  <c r="H1327" i="47" s="1" a="1"/>
  <c r="H1327" i="47" s="1"/>
  <c r="G1327" i="47" s="1" a="1"/>
  <c r="G1327" i="47" s="1"/>
  <c r="I1327" i="47"/>
  <c r="E1327" i="47"/>
  <c r="L1326" i="47"/>
  <c r="J1326" i="47"/>
  <c r="H1326" i="47" s="1" a="1"/>
  <c r="H1326" i="47" s="1"/>
  <c r="I1326" i="47"/>
  <c r="E1326" i="47"/>
  <c r="L1325" i="47"/>
  <c r="J1325" i="47"/>
  <c r="H1325" i="47" s="1" a="1"/>
  <c r="H1325" i="47" s="1"/>
  <c r="G1325" i="47" s="1" a="1"/>
  <c r="G1325" i="47" s="1"/>
  <c r="I1325" i="47"/>
  <c r="E1325" i="47"/>
  <c r="L1324" i="47"/>
  <c r="J1324" i="47"/>
  <c r="I1324" i="47"/>
  <c r="H1324" i="47" a="1"/>
  <c r="H1324" i="47" s="1"/>
  <c r="G1324" i="47" s="1" a="1"/>
  <c r="G1324" i="47" s="1"/>
  <c r="K1324" i="47" s="1"/>
  <c r="E1324" i="47"/>
  <c r="L1323" i="47"/>
  <c r="J1323" i="47"/>
  <c r="H1323" i="47" s="1" a="1"/>
  <c r="H1323" i="47" s="1"/>
  <c r="I1323" i="47"/>
  <c r="E1323" i="47"/>
  <c r="L1322" i="47"/>
  <c r="J1322" i="47"/>
  <c r="H1322" i="47" s="1" a="1"/>
  <c r="H1322" i="47" s="1"/>
  <c r="I1322" i="47"/>
  <c r="E1322" i="47"/>
  <c r="L1321" i="47"/>
  <c r="J1321" i="47"/>
  <c r="H1321" i="47" s="1" a="1"/>
  <c r="H1321" i="47" s="1"/>
  <c r="I1321" i="47"/>
  <c r="E1321" i="47"/>
  <c r="L1320" i="47"/>
  <c r="J1320" i="47"/>
  <c r="H1320" i="47" s="1" a="1"/>
  <c r="H1320" i="47" s="1"/>
  <c r="I1320" i="47"/>
  <c r="E1320" i="47"/>
  <c r="L1319" i="47"/>
  <c r="J1319" i="47"/>
  <c r="H1319" i="47" s="1" a="1"/>
  <c r="H1319" i="47" s="1"/>
  <c r="I1319" i="47"/>
  <c r="E1319" i="47"/>
  <c r="L1318" i="47"/>
  <c r="J1318" i="47"/>
  <c r="H1318" i="47" s="1" a="1"/>
  <c r="H1318" i="47" s="1"/>
  <c r="I1318" i="47"/>
  <c r="E1318" i="47"/>
  <c r="L1317" i="47"/>
  <c r="J1317" i="47"/>
  <c r="H1317" i="47" s="1" a="1"/>
  <c r="H1317" i="47" s="1"/>
  <c r="I1317" i="47"/>
  <c r="E1317" i="47"/>
  <c r="L1316" i="47"/>
  <c r="J1316" i="47"/>
  <c r="I1316" i="47"/>
  <c r="H1316" i="47" a="1"/>
  <c r="H1316" i="47" s="1"/>
  <c r="E1316" i="47"/>
  <c r="L1315" i="47"/>
  <c r="J1315" i="47"/>
  <c r="I1315" i="47"/>
  <c r="F1315" i="47" a="1"/>
  <c r="F1315" i="47" s="1"/>
  <c r="H1315" i="47" s="1" a="1"/>
  <c r="H1315" i="47" s="1"/>
  <c r="L1313" i="47"/>
  <c r="J1313" i="47"/>
  <c r="H1313" i="47" s="1" a="1"/>
  <c r="H1313" i="47" s="1"/>
  <c r="G1313" i="47" s="1" a="1"/>
  <c r="G1313" i="47" s="1"/>
  <c r="I1313" i="47"/>
  <c r="E1313" i="47"/>
  <c r="L1312" i="47"/>
  <c r="J1312" i="47"/>
  <c r="I1312" i="47"/>
  <c r="H1312" i="47" a="1"/>
  <c r="H1312" i="47" s="1"/>
  <c r="G1312" i="47" s="1" a="1"/>
  <c r="G1312" i="47" s="1"/>
  <c r="K1312" i="47" s="1"/>
  <c r="E1312" i="47"/>
  <c r="L1311" i="47"/>
  <c r="J1311" i="47"/>
  <c r="H1311" i="47" s="1" a="1"/>
  <c r="H1311" i="47" s="1"/>
  <c r="I1311" i="47"/>
  <c r="E1311" i="47"/>
  <c r="L1310" i="47"/>
  <c r="J1310" i="47"/>
  <c r="H1310" i="47" s="1" a="1"/>
  <c r="H1310" i="47" s="1"/>
  <c r="I1310" i="47"/>
  <c r="E1310" i="47"/>
  <c r="L1309" i="47"/>
  <c r="J1309" i="47"/>
  <c r="H1309" i="47" s="1" a="1"/>
  <c r="H1309" i="47" s="1"/>
  <c r="I1309" i="47"/>
  <c r="E1309" i="47"/>
  <c r="L1308" i="47"/>
  <c r="J1308" i="47"/>
  <c r="H1308" i="47" s="1" a="1"/>
  <c r="H1308" i="47" s="1"/>
  <c r="I1308" i="47"/>
  <c r="E1308" i="47"/>
  <c r="L1307" i="47"/>
  <c r="J1307" i="47"/>
  <c r="I1307" i="47"/>
  <c r="H1307" i="47" a="1"/>
  <c r="H1307" i="47" s="1"/>
  <c r="E1307" i="47"/>
  <c r="L1306" i="47"/>
  <c r="J1306" i="47"/>
  <c r="H1306" i="47" s="1" a="1"/>
  <c r="H1306" i="47" s="1"/>
  <c r="G1306" i="47" s="1" a="1"/>
  <c r="G1306" i="47" s="1"/>
  <c r="I1306" i="47"/>
  <c r="E1306" i="47"/>
  <c r="L1305" i="47"/>
  <c r="J1305" i="47"/>
  <c r="H1305" i="47" s="1" a="1"/>
  <c r="H1305" i="47" s="1"/>
  <c r="I1305" i="47"/>
  <c r="E1305" i="47"/>
  <c r="L1304" i="47"/>
  <c r="J1304" i="47"/>
  <c r="H1304" i="47" s="1" a="1"/>
  <c r="H1304" i="47" s="1"/>
  <c r="I1304" i="47"/>
  <c r="E1304" i="47"/>
  <c r="L1303" i="47"/>
  <c r="J1303" i="47"/>
  <c r="H1303" i="47" s="1" a="1"/>
  <c r="H1303" i="47" s="1"/>
  <c r="I1303" i="47"/>
  <c r="E1303" i="47"/>
  <c r="L1302" i="47"/>
  <c r="J1302" i="47"/>
  <c r="H1302" i="47" s="1" a="1"/>
  <c r="H1302" i="47" s="1"/>
  <c r="I1302" i="47"/>
  <c r="E1302" i="47"/>
  <c r="L1301" i="47"/>
  <c r="J1301" i="47"/>
  <c r="H1301" i="47" s="1" a="1"/>
  <c r="H1301" i="47" s="1"/>
  <c r="G1301" i="47" s="1" a="1"/>
  <c r="G1301" i="47" s="1"/>
  <c r="K1301" i="47" s="1"/>
  <c r="I1301" i="47"/>
  <c r="E1301" i="47"/>
  <c r="L1300" i="47"/>
  <c r="J1300" i="47"/>
  <c r="I1300" i="47"/>
  <c r="H1300" i="47" a="1"/>
  <c r="H1300" i="47" s="1"/>
  <c r="E1300" i="47"/>
  <c r="L1299" i="47"/>
  <c r="J1299" i="47"/>
  <c r="H1299" i="47" s="1" a="1"/>
  <c r="H1299" i="47" s="1"/>
  <c r="I1299" i="47"/>
  <c r="E1299" i="47"/>
  <c r="L1298" i="47"/>
  <c r="J1298" i="47"/>
  <c r="H1298" i="47" s="1" a="1"/>
  <c r="H1298" i="47" s="1"/>
  <c r="I1298" i="47"/>
  <c r="E1298" i="47"/>
  <c r="L1297" i="47"/>
  <c r="J1297" i="47"/>
  <c r="H1297" i="47" s="1" a="1"/>
  <c r="H1297" i="47" s="1"/>
  <c r="G1297" i="47" s="1" a="1"/>
  <c r="G1297" i="47" s="1"/>
  <c r="K1297" i="47" s="1"/>
  <c r="I1297" i="47"/>
  <c r="E1297" i="47"/>
  <c r="L1296" i="47"/>
  <c r="J1296" i="47"/>
  <c r="H1296" i="47" s="1" a="1"/>
  <c r="H1296" i="47" s="1"/>
  <c r="I1296" i="47"/>
  <c r="E1296" i="47"/>
  <c r="L1295" i="47"/>
  <c r="J1295" i="47"/>
  <c r="I1295" i="47"/>
  <c r="H1295" i="47"/>
  <c r="G1295" i="47" s="1" a="1"/>
  <c r="G1295" i="47" s="1"/>
  <c r="K1295" i="47" s="1"/>
  <c r="H1295" i="47" a="1"/>
  <c r="E1295" i="47"/>
  <c r="L1294" i="47"/>
  <c r="J1294" i="47"/>
  <c r="I1294" i="47"/>
  <c r="H1294" i="47" a="1"/>
  <c r="H1294" i="47" s="1"/>
  <c r="E1294" i="47"/>
  <c r="L1293" i="47"/>
  <c r="J1293" i="47"/>
  <c r="H1293" i="47" s="1" a="1"/>
  <c r="H1293" i="47" s="1"/>
  <c r="G1293" i="47" s="1" a="1"/>
  <c r="G1293" i="47" s="1"/>
  <c r="K1293" i="47" s="1"/>
  <c r="I1293" i="47"/>
  <c r="E1293" i="47"/>
  <c r="L1292" i="47"/>
  <c r="J1292" i="47"/>
  <c r="H1292" i="47" s="1" a="1"/>
  <c r="H1292" i="47" s="1"/>
  <c r="I1292" i="47"/>
  <c r="E1292" i="47"/>
  <c r="L1291" i="47"/>
  <c r="J1291" i="47"/>
  <c r="H1291" i="47" s="1" a="1"/>
  <c r="H1291" i="47" s="1"/>
  <c r="G1291" i="47" s="1" a="1"/>
  <c r="G1291" i="47" s="1"/>
  <c r="K1291" i="47" s="1"/>
  <c r="I1291" i="47"/>
  <c r="E1291" i="47"/>
  <c r="L1290" i="47"/>
  <c r="J1290" i="47"/>
  <c r="H1290" i="47" s="1" a="1"/>
  <c r="H1290" i="47" s="1"/>
  <c r="G1290" i="47" s="1" a="1"/>
  <c r="G1290" i="47" s="1"/>
  <c r="I1290" i="47"/>
  <c r="E1290" i="47"/>
  <c r="L1289" i="47"/>
  <c r="J1289" i="47"/>
  <c r="H1289" i="47" s="1" a="1"/>
  <c r="H1289" i="47" s="1"/>
  <c r="I1289" i="47"/>
  <c r="E1289" i="47"/>
  <c r="L1288" i="47"/>
  <c r="J1288" i="47"/>
  <c r="I1288" i="47"/>
  <c r="H1288" i="47" a="1"/>
  <c r="H1288" i="47" s="1"/>
  <c r="E1288" i="47"/>
  <c r="L1287" i="47"/>
  <c r="J1287" i="47"/>
  <c r="H1287" i="47" s="1" a="1"/>
  <c r="H1287" i="47" s="1"/>
  <c r="I1287" i="47"/>
  <c r="E1287" i="47"/>
  <c r="L1286" i="47"/>
  <c r="J1286" i="47"/>
  <c r="H1286" i="47" s="1" a="1"/>
  <c r="H1286" i="47" s="1"/>
  <c r="I1286" i="47"/>
  <c r="E1286" i="47"/>
  <c r="L1285" i="47"/>
  <c r="J1285" i="47"/>
  <c r="H1285" i="47" s="1" a="1"/>
  <c r="H1285" i="47" s="1"/>
  <c r="I1285" i="47"/>
  <c r="E1285" i="47"/>
  <c r="L1284" i="47"/>
  <c r="J1284" i="47"/>
  <c r="H1284" i="47" s="1" a="1"/>
  <c r="H1284" i="47" s="1"/>
  <c r="I1284" i="47"/>
  <c r="E1284" i="47"/>
  <c r="L1283" i="47"/>
  <c r="J1283" i="47"/>
  <c r="H1283" i="47" s="1" a="1"/>
  <c r="H1283" i="47" s="1"/>
  <c r="G1283" i="47" s="1" a="1"/>
  <c r="G1283" i="47" s="1"/>
  <c r="K1283" i="47" s="1"/>
  <c r="I1283" i="47"/>
  <c r="E1283" i="47"/>
  <c r="L1282" i="47"/>
  <c r="J1282" i="47"/>
  <c r="I1282" i="47"/>
  <c r="H1282" i="47" a="1"/>
  <c r="H1282" i="47" s="1"/>
  <c r="G1282" i="47" s="1" a="1"/>
  <c r="G1282" i="47" s="1"/>
  <c r="K1282" i="47" s="1"/>
  <c r="E1282" i="47"/>
  <c r="L1281" i="47"/>
  <c r="J1281" i="47"/>
  <c r="H1281" i="47" s="1" a="1"/>
  <c r="H1281" i="47" s="1"/>
  <c r="I1281" i="47"/>
  <c r="E1281" i="47"/>
  <c r="L1280" i="47"/>
  <c r="J1280" i="47"/>
  <c r="H1280" i="47" s="1" a="1"/>
  <c r="H1280" i="47" s="1"/>
  <c r="I1280" i="47"/>
  <c r="E1280" i="47"/>
  <c r="L1279" i="47"/>
  <c r="J1279" i="47"/>
  <c r="H1279" i="47" s="1" a="1"/>
  <c r="H1279" i="47" s="1"/>
  <c r="I1279" i="47"/>
  <c r="E1279" i="47"/>
  <c r="L1278" i="47"/>
  <c r="J1278" i="47"/>
  <c r="H1278" i="47" s="1" a="1"/>
  <c r="H1278" i="47" s="1"/>
  <c r="I1278" i="47"/>
  <c r="E1278" i="47"/>
  <c r="L1277" i="47"/>
  <c r="J1277" i="47"/>
  <c r="H1277" i="47" s="1" a="1"/>
  <c r="H1277" i="47" s="1"/>
  <c r="G1277" i="47" s="1" a="1"/>
  <c r="G1277" i="47" s="1"/>
  <c r="I1277" i="47"/>
  <c r="E1277" i="47"/>
  <c r="L1276" i="47"/>
  <c r="J1276" i="47"/>
  <c r="H1276" i="47" s="1" a="1"/>
  <c r="H1276" i="47" s="1"/>
  <c r="G1276" i="47" s="1" a="1"/>
  <c r="G1276" i="47" s="1"/>
  <c r="I1276" i="47"/>
  <c r="E1276" i="47"/>
  <c r="L1275" i="47"/>
  <c r="J1275" i="47"/>
  <c r="H1275" i="47" s="1" a="1"/>
  <c r="H1275" i="47" s="1"/>
  <c r="G1275" i="47" s="1" a="1"/>
  <c r="G1275" i="47" s="1"/>
  <c r="K1275" i="47" s="1"/>
  <c r="I1275" i="47"/>
  <c r="E1275" i="47"/>
  <c r="L1274" i="47"/>
  <c r="J1274" i="47"/>
  <c r="H1274" i="47" s="1" a="1"/>
  <c r="H1274" i="47" s="1"/>
  <c r="G1274" i="47" s="1" a="1"/>
  <c r="G1274" i="47" s="1"/>
  <c r="I1274" i="47"/>
  <c r="E1274" i="47"/>
  <c r="L1273" i="47"/>
  <c r="J1273" i="47"/>
  <c r="H1273" i="47" s="1" a="1"/>
  <c r="H1273" i="47" s="1"/>
  <c r="I1273" i="47"/>
  <c r="E1273" i="47"/>
  <c r="L1272" i="47"/>
  <c r="J1272" i="47"/>
  <c r="H1272" i="47" s="1" a="1"/>
  <c r="H1272" i="47" s="1"/>
  <c r="I1272" i="47"/>
  <c r="E1272" i="47"/>
  <c r="L1271" i="47"/>
  <c r="J1271" i="47"/>
  <c r="H1271" i="47" s="1" a="1"/>
  <c r="I1271" i="47"/>
  <c r="H1271" i="47"/>
  <c r="G1271" i="47" s="1" a="1"/>
  <c r="G1271" i="47" s="1"/>
  <c r="K1271" i="47" s="1"/>
  <c r="E1271" i="47"/>
  <c r="L1270" i="47"/>
  <c r="J1270" i="47"/>
  <c r="I1270" i="47"/>
  <c r="H1270" i="47" a="1"/>
  <c r="H1270" i="47" s="1"/>
  <c r="E1270" i="47"/>
  <c r="L1269" i="47"/>
  <c r="J1269" i="47"/>
  <c r="H1269" i="47" s="1" a="1"/>
  <c r="H1269" i="47" s="1"/>
  <c r="I1269" i="47"/>
  <c r="E1269" i="47"/>
  <c r="L1268" i="47"/>
  <c r="J1268" i="47"/>
  <c r="H1268" i="47" s="1" a="1"/>
  <c r="H1268" i="47" s="1"/>
  <c r="I1268" i="47"/>
  <c r="E1268" i="47"/>
  <c r="L1267" i="47"/>
  <c r="J1267" i="47"/>
  <c r="H1267" i="47" s="1" a="1"/>
  <c r="H1267" i="47" s="1"/>
  <c r="I1267" i="47"/>
  <c r="E1267" i="47"/>
  <c r="L1266" i="47"/>
  <c r="J1266" i="47"/>
  <c r="H1266" i="47" s="1" a="1"/>
  <c r="I1266" i="47"/>
  <c r="H1266" i="47"/>
  <c r="E1266" i="47"/>
  <c r="L1265" i="47"/>
  <c r="J1265" i="47"/>
  <c r="I1265" i="47"/>
  <c r="F1265" i="47" a="1"/>
  <c r="F1265" i="47" s="1"/>
  <c r="L1263" i="47"/>
  <c r="J1263" i="47"/>
  <c r="H1263" i="47" s="1" a="1"/>
  <c r="H1263" i="47" s="1"/>
  <c r="I1263" i="47"/>
  <c r="E1263" i="47"/>
  <c r="L1262" i="47"/>
  <c r="J1262" i="47"/>
  <c r="H1262" i="47" s="1" a="1"/>
  <c r="H1262" i="47" s="1"/>
  <c r="G1262" i="47" s="1" a="1"/>
  <c r="G1262" i="47" s="1"/>
  <c r="I1262" i="47"/>
  <c r="E1262" i="47"/>
  <c r="L1261" i="47"/>
  <c r="J1261" i="47"/>
  <c r="H1261" i="47" s="1" a="1"/>
  <c r="H1261" i="47" s="1"/>
  <c r="I1261" i="47"/>
  <c r="G1261" i="47" a="1"/>
  <c r="G1261" i="47" s="1"/>
  <c r="K1261" i="47" s="1"/>
  <c r="E1261" i="47"/>
  <c r="L1260" i="47"/>
  <c r="J1260" i="47"/>
  <c r="I1260" i="47"/>
  <c r="H1260" i="47" a="1"/>
  <c r="H1260" i="47" s="1"/>
  <c r="E1260" i="47"/>
  <c r="L1259" i="47"/>
  <c r="J1259" i="47"/>
  <c r="H1259" i="47" s="1" a="1"/>
  <c r="H1259" i="47" s="1"/>
  <c r="I1259" i="47"/>
  <c r="E1259" i="47"/>
  <c r="L1258" i="47"/>
  <c r="J1258" i="47"/>
  <c r="H1258" i="47" s="1" a="1"/>
  <c r="H1258" i="47" s="1"/>
  <c r="G1258" i="47" s="1" a="1"/>
  <c r="G1258" i="47" s="1"/>
  <c r="I1258" i="47"/>
  <c r="E1258" i="47"/>
  <c r="L1257" i="47"/>
  <c r="J1257" i="47"/>
  <c r="H1257" i="47" s="1" a="1"/>
  <c r="H1257" i="47" s="1"/>
  <c r="G1257" i="47" s="1" a="1"/>
  <c r="G1257" i="47" s="1"/>
  <c r="K1257" i="47" s="1"/>
  <c r="I1257" i="47"/>
  <c r="E1257" i="47"/>
  <c r="L1256" i="47"/>
  <c r="J1256" i="47"/>
  <c r="H1256" i="47" s="1" a="1"/>
  <c r="H1256" i="47" s="1"/>
  <c r="I1256" i="47"/>
  <c r="E1256" i="47"/>
  <c r="L1255" i="47"/>
  <c r="J1255" i="47"/>
  <c r="H1255" i="47" s="1" a="1"/>
  <c r="H1255" i="47" s="1"/>
  <c r="I1255" i="47"/>
  <c r="E1255" i="47"/>
  <c r="L1254" i="47"/>
  <c r="J1254" i="47"/>
  <c r="H1254" i="47" s="1" a="1"/>
  <c r="H1254" i="47" s="1"/>
  <c r="I1254" i="47"/>
  <c r="E1254" i="47"/>
  <c r="L1253" i="47"/>
  <c r="J1253" i="47"/>
  <c r="I1253" i="47"/>
  <c r="H1253" i="47" a="1"/>
  <c r="H1253" i="47" s="1"/>
  <c r="G1253" i="47" s="1" a="1"/>
  <c r="G1253" i="47" s="1"/>
  <c r="K1253" i="47" s="1"/>
  <c r="E1253" i="47"/>
  <c r="L1252" i="47"/>
  <c r="J1252" i="47"/>
  <c r="H1252" i="47" s="1" a="1"/>
  <c r="H1252" i="47" s="1"/>
  <c r="I1252" i="47"/>
  <c r="E1252" i="47"/>
  <c r="L1251" i="47"/>
  <c r="J1251" i="47"/>
  <c r="H1251" i="47" s="1" a="1"/>
  <c r="H1251" i="47" s="1"/>
  <c r="I1251" i="47"/>
  <c r="G1251" i="47" s="1" a="1"/>
  <c r="G1251" i="47" s="1"/>
  <c r="K1251" i="47" s="1"/>
  <c r="E1251" i="47"/>
  <c r="L1250" i="47"/>
  <c r="J1250" i="47"/>
  <c r="H1250" i="47" s="1" a="1"/>
  <c r="H1250" i="47" s="1"/>
  <c r="I1250" i="47"/>
  <c r="E1250" i="47"/>
  <c r="L1249" i="47"/>
  <c r="J1249" i="47"/>
  <c r="H1249" i="47" s="1" a="1"/>
  <c r="H1249" i="47" s="1"/>
  <c r="G1249" i="47" s="1" a="1"/>
  <c r="G1249" i="47" s="1"/>
  <c r="K1249" i="47" s="1"/>
  <c r="I1249" i="47"/>
  <c r="E1249" i="47"/>
  <c r="L1248" i="47"/>
  <c r="J1248" i="47"/>
  <c r="H1248" i="47" s="1" a="1"/>
  <c r="H1248" i="47" s="1"/>
  <c r="I1248" i="47"/>
  <c r="E1248" i="47"/>
  <c r="L1247" i="47"/>
  <c r="J1247" i="47"/>
  <c r="H1247" i="47" s="1" a="1"/>
  <c r="H1247" i="47" s="1"/>
  <c r="I1247" i="47"/>
  <c r="E1247" i="47"/>
  <c r="L1246" i="47"/>
  <c r="J1246" i="47"/>
  <c r="H1246" i="47" s="1" a="1"/>
  <c r="I1246" i="47"/>
  <c r="H1246" i="47"/>
  <c r="G1246" i="47" s="1" a="1"/>
  <c r="G1246" i="47" s="1"/>
  <c r="E1246" i="47"/>
  <c r="L1245" i="47"/>
  <c r="J1245" i="47"/>
  <c r="H1245" i="47" s="1" a="1"/>
  <c r="H1245" i="47" s="1"/>
  <c r="I1245" i="47"/>
  <c r="E1245" i="47"/>
  <c r="L1244" i="47"/>
  <c r="J1244" i="47"/>
  <c r="H1244" i="47" s="1" a="1"/>
  <c r="H1244" i="47" s="1"/>
  <c r="I1244" i="47"/>
  <c r="E1244" i="47"/>
  <c r="L1243" i="47"/>
  <c r="J1243" i="47"/>
  <c r="H1243" i="47" s="1" a="1"/>
  <c r="H1243" i="47" s="1"/>
  <c r="I1243" i="47"/>
  <c r="E1243" i="47"/>
  <c r="L1242" i="47"/>
  <c r="J1242" i="47"/>
  <c r="H1242" i="47" s="1" a="1"/>
  <c r="H1242" i="47" s="1"/>
  <c r="I1242" i="47"/>
  <c r="E1242" i="47"/>
  <c r="L1241" i="47"/>
  <c r="J1241" i="47"/>
  <c r="H1241" i="47" s="1" a="1"/>
  <c r="H1241" i="47" s="1"/>
  <c r="I1241" i="47"/>
  <c r="E1241" i="47"/>
  <c r="L1240" i="47"/>
  <c r="J1240" i="47"/>
  <c r="H1240" i="47" s="1" a="1"/>
  <c r="H1240" i="47" s="1"/>
  <c r="I1240" i="47"/>
  <c r="E1240" i="47"/>
  <c r="L1239" i="47"/>
  <c r="J1239" i="47"/>
  <c r="H1239" i="47" s="1" a="1"/>
  <c r="H1239" i="47" s="1"/>
  <c r="I1239" i="47"/>
  <c r="E1239" i="47"/>
  <c r="L1238" i="47"/>
  <c r="J1238" i="47"/>
  <c r="H1238" i="47" s="1" a="1"/>
  <c r="H1238" i="47" s="1"/>
  <c r="I1238" i="47"/>
  <c r="E1238" i="47"/>
  <c r="L1237" i="47"/>
  <c r="J1237" i="47"/>
  <c r="H1237" i="47" s="1" a="1"/>
  <c r="I1237" i="47"/>
  <c r="H1237" i="47"/>
  <c r="E1237" i="47"/>
  <c r="L1236" i="47"/>
  <c r="J1236" i="47"/>
  <c r="H1236" i="47" s="1" a="1"/>
  <c r="H1236" i="47" s="1"/>
  <c r="G1236" i="47" s="1" a="1"/>
  <c r="G1236" i="47" s="1"/>
  <c r="K1236" i="47" s="1"/>
  <c r="I1236" i="47"/>
  <c r="E1236" i="47"/>
  <c r="L1235" i="47"/>
  <c r="J1235" i="47"/>
  <c r="H1235" i="47" s="1" a="1"/>
  <c r="H1235" i="47" s="1"/>
  <c r="I1235" i="47"/>
  <c r="E1235" i="47"/>
  <c r="L1234" i="47"/>
  <c r="J1234" i="47"/>
  <c r="I1234" i="47"/>
  <c r="H1234" i="47"/>
  <c r="G1234" i="47" s="1" a="1"/>
  <c r="G1234" i="47" s="1"/>
  <c r="K1234" i="47" s="1"/>
  <c r="H1234" i="47" a="1"/>
  <c r="E1234" i="47"/>
  <c r="L1233" i="47"/>
  <c r="J1233" i="47"/>
  <c r="H1233" i="47" s="1" a="1"/>
  <c r="H1233" i="47" s="1"/>
  <c r="I1233" i="47"/>
  <c r="E1233" i="47"/>
  <c r="L1232" i="47"/>
  <c r="J1232" i="47"/>
  <c r="H1232" i="47" s="1" a="1"/>
  <c r="H1232" i="47" s="1"/>
  <c r="G1232" i="47" s="1" a="1"/>
  <c r="G1232" i="47" s="1"/>
  <c r="I1232" i="47"/>
  <c r="E1232" i="47"/>
  <c r="L1231" i="47"/>
  <c r="J1231" i="47"/>
  <c r="H1231" i="47" s="1" a="1"/>
  <c r="H1231" i="47" s="1"/>
  <c r="I1231" i="47"/>
  <c r="E1231" i="47"/>
  <c r="L1230" i="47"/>
  <c r="J1230" i="47"/>
  <c r="H1230" i="47" s="1" a="1"/>
  <c r="H1230" i="47" s="1"/>
  <c r="I1230" i="47"/>
  <c r="E1230" i="47"/>
  <c r="L1229" i="47"/>
  <c r="J1229" i="47"/>
  <c r="H1229" i="47" s="1" a="1"/>
  <c r="H1229" i="47" s="1"/>
  <c r="G1229" i="47" s="1" a="1"/>
  <c r="G1229" i="47" s="1"/>
  <c r="K1229" i="47" s="1"/>
  <c r="I1229" i="47"/>
  <c r="E1229" i="47"/>
  <c r="L1228" i="47"/>
  <c r="J1228" i="47"/>
  <c r="H1228" i="47" s="1" a="1"/>
  <c r="H1228" i="47" s="1"/>
  <c r="I1228" i="47"/>
  <c r="E1228" i="47"/>
  <c r="L1227" i="47"/>
  <c r="J1227" i="47"/>
  <c r="H1227" i="47" s="1" a="1"/>
  <c r="H1227" i="47" s="1"/>
  <c r="I1227" i="47"/>
  <c r="E1227" i="47"/>
  <c r="L1226" i="47"/>
  <c r="J1226" i="47"/>
  <c r="I1226" i="47"/>
  <c r="H1226" i="47" a="1"/>
  <c r="H1226" i="47" s="1"/>
  <c r="E1226" i="47"/>
  <c r="L1225" i="47"/>
  <c r="J1225" i="47"/>
  <c r="H1225" i="47" s="1" a="1"/>
  <c r="H1225" i="47" s="1"/>
  <c r="I1225" i="47"/>
  <c r="E1225" i="47"/>
  <c r="L1224" i="47"/>
  <c r="J1224" i="47"/>
  <c r="H1224" i="47" s="1" a="1"/>
  <c r="H1224" i="47" s="1"/>
  <c r="I1224" i="47"/>
  <c r="E1224" i="47"/>
  <c r="L1223" i="47"/>
  <c r="J1223" i="47"/>
  <c r="H1223" i="47" s="1" a="1"/>
  <c r="H1223" i="47" s="1"/>
  <c r="I1223" i="47"/>
  <c r="E1223" i="47"/>
  <c r="L1222" i="47"/>
  <c r="J1222" i="47"/>
  <c r="H1222" i="47" s="1" a="1"/>
  <c r="H1222" i="47" s="1"/>
  <c r="I1222" i="47"/>
  <c r="E1222" i="47"/>
  <c r="L1221" i="47"/>
  <c r="J1221" i="47"/>
  <c r="I1221" i="47"/>
  <c r="H1221" i="47" a="1"/>
  <c r="H1221" i="47" s="1"/>
  <c r="G1221" i="47" s="1" a="1"/>
  <c r="G1221" i="47" s="1"/>
  <c r="K1221" i="47" s="1"/>
  <c r="E1221" i="47"/>
  <c r="L1220" i="47"/>
  <c r="J1220" i="47"/>
  <c r="H1220" i="47" s="1" a="1"/>
  <c r="H1220" i="47" s="1"/>
  <c r="I1220" i="47"/>
  <c r="E1220" i="47"/>
  <c r="L1219" i="47"/>
  <c r="J1219" i="47"/>
  <c r="H1219" i="47" s="1" a="1"/>
  <c r="H1219" i="47" s="1"/>
  <c r="I1219" i="47"/>
  <c r="E1219" i="47"/>
  <c r="L1218" i="47"/>
  <c r="J1218" i="47"/>
  <c r="H1218" i="47" s="1" a="1"/>
  <c r="H1218" i="47" s="1"/>
  <c r="I1218" i="47"/>
  <c r="E1218" i="47"/>
  <c r="L1217" i="47"/>
  <c r="J1217" i="47"/>
  <c r="I1217" i="47"/>
  <c r="H1217" i="47" a="1"/>
  <c r="H1217" i="47" s="1"/>
  <c r="E1217" i="47"/>
  <c r="L1216" i="47"/>
  <c r="J1216" i="47"/>
  <c r="H1216" i="47" s="1" a="1"/>
  <c r="H1216" i="47" s="1"/>
  <c r="I1216" i="47"/>
  <c r="E1216" i="47"/>
  <c r="L1215" i="47"/>
  <c r="J1215" i="47"/>
  <c r="I1215" i="47"/>
  <c r="F1215" i="47" a="1"/>
  <c r="F1215" i="47" s="1"/>
  <c r="E1215" i="47"/>
  <c r="L1213" i="47"/>
  <c r="J1213" i="47"/>
  <c r="H1213" i="47" s="1" a="1"/>
  <c r="H1213" i="47" s="1"/>
  <c r="I1213" i="47"/>
  <c r="E1213" i="47"/>
  <c r="L1212" i="47"/>
  <c r="J1212" i="47"/>
  <c r="I1212" i="47"/>
  <c r="H1212" i="47" a="1"/>
  <c r="H1212" i="47" s="1"/>
  <c r="E1212" i="47"/>
  <c r="L1211" i="47"/>
  <c r="J1211" i="47"/>
  <c r="I1211" i="47"/>
  <c r="H1211" i="47" a="1"/>
  <c r="H1211" i="47" s="1"/>
  <c r="G1211" i="47" s="1" a="1"/>
  <c r="G1211" i="47" s="1"/>
  <c r="K1211" i="47" s="1"/>
  <c r="E1211" i="47"/>
  <c r="L1210" i="47"/>
  <c r="J1210" i="47"/>
  <c r="H1210" i="47" s="1" a="1"/>
  <c r="H1210" i="47" s="1"/>
  <c r="G1210" i="47" s="1" a="1"/>
  <c r="G1210" i="47" s="1"/>
  <c r="K1210" i="47" s="1"/>
  <c r="I1210" i="47"/>
  <c r="E1210" i="47"/>
  <c r="L1209" i="47"/>
  <c r="J1209" i="47"/>
  <c r="I1209" i="47"/>
  <c r="H1209" i="47" a="1"/>
  <c r="H1209" i="47" s="1"/>
  <c r="G1209" i="47" s="1" a="1"/>
  <c r="G1209" i="47" s="1"/>
  <c r="K1209" i="47" s="1"/>
  <c r="E1209" i="47"/>
  <c r="L1208" i="47"/>
  <c r="J1208" i="47"/>
  <c r="H1208" i="47" s="1" a="1"/>
  <c r="H1208" i="47" s="1"/>
  <c r="I1208" i="47"/>
  <c r="E1208" i="47"/>
  <c r="L1207" i="47"/>
  <c r="J1207" i="47"/>
  <c r="H1207" i="47" s="1" a="1"/>
  <c r="H1207" i="47" s="1"/>
  <c r="G1207" i="47" s="1" a="1"/>
  <c r="G1207" i="47" s="1"/>
  <c r="K1207" i="47" s="1"/>
  <c r="I1207" i="47"/>
  <c r="E1207" i="47"/>
  <c r="L1206" i="47"/>
  <c r="J1206" i="47"/>
  <c r="H1206" i="47" s="1" a="1"/>
  <c r="H1206" i="47" s="1"/>
  <c r="I1206" i="47"/>
  <c r="E1206" i="47"/>
  <c r="L1205" i="47"/>
  <c r="J1205" i="47"/>
  <c r="H1205" i="47" s="1" a="1"/>
  <c r="H1205" i="47" s="1"/>
  <c r="I1205" i="47"/>
  <c r="E1205" i="47"/>
  <c r="L1204" i="47"/>
  <c r="J1204" i="47"/>
  <c r="H1204" i="47" s="1" a="1"/>
  <c r="H1204" i="47" s="1"/>
  <c r="I1204" i="47"/>
  <c r="E1204" i="47"/>
  <c r="L1203" i="47"/>
  <c r="J1203" i="47"/>
  <c r="H1203" i="47" s="1" a="1"/>
  <c r="H1203" i="47" s="1"/>
  <c r="I1203" i="47"/>
  <c r="E1203" i="47"/>
  <c r="L1202" i="47"/>
  <c r="J1202" i="47"/>
  <c r="I1202" i="47"/>
  <c r="H1202" i="47" a="1"/>
  <c r="H1202" i="47" s="1"/>
  <c r="G1202" i="47" s="1" a="1"/>
  <c r="G1202" i="47" s="1"/>
  <c r="K1202" i="47" s="1"/>
  <c r="E1202" i="47"/>
  <c r="L1201" i="47"/>
  <c r="J1201" i="47"/>
  <c r="H1201" i="47" s="1" a="1"/>
  <c r="H1201" i="47" s="1"/>
  <c r="I1201" i="47"/>
  <c r="E1201" i="47"/>
  <c r="L1200" i="47"/>
  <c r="J1200" i="47"/>
  <c r="H1200" i="47" s="1" a="1"/>
  <c r="H1200" i="47" s="1"/>
  <c r="I1200" i="47"/>
  <c r="E1200" i="47"/>
  <c r="L1199" i="47"/>
  <c r="J1199" i="47"/>
  <c r="H1199" i="47" s="1" a="1"/>
  <c r="H1199" i="47" s="1"/>
  <c r="I1199" i="47"/>
  <c r="E1199" i="47"/>
  <c r="L1198" i="47"/>
  <c r="J1198" i="47"/>
  <c r="H1198" i="47" s="1" a="1"/>
  <c r="H1198" i="47" s="1"/>
  <c r="I1198" i="47"/>
  <c r="E1198" i="47"/>
  <c r="L1197" i="47"/>
  <c r="J1197" i="47"/>
  <c r="H1197" i="47" s="1" a="1"/>
  <c r="H1197" i="47" s="1"/>
  <c r="G1197" i="47" s="1" a="1"/>
  <c r="G1197" i="47" s="1"/>
  <c r="K1197" i="47" s="1"/>
  <c r="I1197" i="47"/>
  <c r="E1197" i="47"/>
  <c r="L1196" i="47"/>
  <c r="J1196" i="47"/>
  <c r="H1196" i="47" s="1" a="1"/>
  <c r="H1196" i="47" s="1"/>
  <c r="I1196" i="47"/>
  <c r="E1196" i="47"/>
  <c r="L1195" i="47"/>
  <c r="J1195" i="47"/>
  <c r="H1195" i="47" s="1" a="1"/>
  <c r="H1195" i="47" s="1"/>
  <c r="I1195" i="47"/>
  <c r="E1195" i="47"/>
  <c r="L1194" i="47"/>
  <c r="J1194" i="47"/>
  <c r="H1194" i="47" s="1" a="1"/>
  <c r="H1194" i="47" s="1"/>
  <c r="I1194" i="47"/>
  <c r="E1194" i="47"/>
  <c r="L1193" i="47"/>
  <c r="J1193" i="47"/>
  <c r="H1193" i="47" s="1" a="1"/>
  <c r="H1193" i="47" s="1"/>
  <c r="I1193" i="47"/>
  <c r="E1193" i="47"/>
  <c r="L1192" i="47"/>
  <c r="J1192" i="47"/>
  <c r="H1192" i="47" s="1" a="1"/>
  <c r="H1192" i="47" s="1"/>
  <c r="I1192" i="47"/>
  <c r="E1192" i="47"/>
  <c r="L1191" i="47"/>
  <c r="J1191" i="47"/>
  <c r="H1191" i="47" s="1" a="1"/>
  <c r="H1191" i="47" s="1"/>
  <c r="G1191" i="47" s="1" a="1"/>
  <c r="G1191" i="47" s="1"/>
  <c r="K1191" i="47" s="1"/>
  <c r="I1191" i="47"/>
  <c r="E1191" i="47"/>
  <c r="L1190" i="47"/>
  <c r="J1190" i="47"/>
  <c r="I1190" i="47"/>
  <c r="H1190" i="47" a="1"/>
  <c r="H1190" i="47" s="1"/>
  <c r="E1190" i="47"/>
  <c r="L1189" i="47"/>
  <c r="J1189" i="47"/>
  <c r="H1189" i="47" s="1" a="1"/>
  <c r="H1189" i="47" s="1"/>
  <c r="I1189" i="47"/>
  <c r="E1189" i="47"/>
  <c r="L1188" i="47"/>
  <c r="J1188" i="47"/>
  <c r="H1188" i="47" s="1" a="1"/>
  <c r="H1188" i="47" s="1"/>
  <c r="I1188" i="47"/>
  <c r="E1188" i="47"/>
  <c r="L1187" i="47"/>
  <c r="J1187" i="47"/>
  <c r="H1187" i="47" s="1" a="1"/>
  <c r="H1187" i="47" s="1"/>
  <c r="I1187" i="47"/>
  <c r="E1187" i="47"/>
  <c r="L1186" i="47"/>
  <c r="J1186" i="47"/>
  <c r="H1186" i="47" s="1" a="1"/>
  <c r="H1186" i="47" s="1"/>
  <c r="I1186" i="47"/>
  <c r="E1186" i="47"/>
  <c r="L1185" i="47"/>
  <c r="J1185" i="47"/>
  <c r="H1185" i="47" s="1" a="1"/>
  <c r="I1185" i="47"/>
  <c r="H1185" i="47"/>
  <c r="G1185" i="47" s="1" a="1"/>
  <c r="G1185" i="47" s="1"/>
  <c r="E1185" i="47"/>
  <c r="L1184" i="47"/>
  <c r="J1184" i="47"/>
  <c r="H1184" i="47" s="1" a="1"/>
  <c r="H1184" i="47" s="1"/>
  <c r="I1184" i="47"/>
  <c r="E1184" i="47"/>
  <c r="L1183" i="47"/>
  <c r="J1183" i="47"/>
  <c r="H1183" i="47" s="1" a="1"/>
  <c r="H1183" i="47" s="1"/>
  <c r="G1183" i="47" s="1" a="1"/>
  <c r="G1183" i="47" s="1"/>
  <c r="K1183" i="47" s="1"/>
  <c r="I1183" i="47"/>
  <c r="E1183" i="47"/>
  <c r="L1182" i="47"/>
  <c r="J1182" i="47"/>
  <c r="H1182" i="47" s="1" a="1"/>
  <c r="H1182" i="47" s="1"/>
  <c r="I1182" i="47"/>
  <c r="E1182" i="47"/>
  <c r="L1181" i="47"/>
  <c r="J1181" i="47"/>
  <c r="H1181" i="47" s="1" a="1"/>
  <c r="H1181" i="47" s="1"/>
  <c r="G1181" i="47" s="1" a="1"/>
  <c r="G1181" i="47" s="1"/>
  <c r="K1181" i="47" s="1"/>
  <c r="I1181" i="47"/>
  <c r="E1181" i="47"/>
  <c r="L1180" i="47"/>
  <c r="J1180" i="47"/>
  <c r="H1180" i="47" s="1" a="1"/>
  <c r="H1180" i="47" s="1"/>
  <c r="I1180" i="47"/>
  <c r="G1180" i="47" s="1" a="1"/>
  <c r="G1180" i="47" s="1"/>
  <c r="K1180" i="47" s="1"/>
  <c r="E1180" i="47"/>
  <c r="L1179" i="47"/>
  <c r="J1179" i="47"/>
  <c r="I1179" i="47"/>
  <c r="H1179" i="47" a="1"/>
  <c r="H1179" i="47" s="1"/>
  <c r="E1179" i="47"/>
  <c r="L1178" i="47"/>
  <c r="J1178" i="47"/>
  <c r="H1178" i="47" s="1" a="1"/>
  <c r="H1178" i="47" s="1"/>
  <c r="I1178" i="47"/>
  <c r="E1178" i="47"/>
  <c r="L1177" i="47"/>
  <c r="J1177" i="47"/>
  <c r="I1177" i="47"/>
  <c r="H1177" i="47" a="1"/>
  <c r="H1177" i="47" s="1"/>
  <c r="E1177" i="47"/>
  <c r="L1176" i="47"/>
  <c r="J1176" i="47"/>
  <c r="H1176" i="47" s="1" a="1"/>
  <c r="H1176" i="47" s="1"/>
  <c r="I1176" i="47"/>
  <c r="E1176" i="47"/>
  <c r="L1175" i="47"/>
  <c r="J1175" i="47"/>
  <c r="H1175" i="47" s="1" a="1"/>
  <c r="H1175" i="47" s="1"/>
  <c r="I1175" i="47"/>
  <c r="E1175" i="47"/>
  <c r="L1174" i="47"/>
  <c r="J1174" i="47"/>
  <c r="H1174" i="47" s="1" a="1"/>
  <c r="H1174" i="47" s="1"/>
  <c r="G1174" i="47" s="1" a="1"/>
  <c r="G1174" i="47" s="1"/>
  <c r="K1174" i="47" s="1"/>
  <c r="I1174" i="47"/>
  <c r="E1174" i="47"/>
  <c r="L1173" i="47"/>
  <c r="J1173" i="47"/>
  <c r="H1173" i="47" s="1" a="1"/>
  <c r="H1173" i="47" s="1"/>
  <c r="I1173" i="47"/>
  <c r="E1173" i="47"/>
  <c r="L1172" i="47"/>
  <c r="J1172" i="47"/>
  <c r="H1172" i="47" s="1" a="1"/>
  <c r="H1172" i="47" s="1"/>
  <c r="I1172" i="47"/>
  <c r="E1172" i="47"/>
  <c r="L1171" i="47"/>
  <c r="J1171" i="47"/>
  <c r="H1171" i="47" s="1" a="1"/>
  <c r="H1171" i="47" s="1"/>
  <c r="I1171" i="47"/>
  <c r="E1171" i="47"/>
  <c r="L1170" i="47"/>
  <c r="J1170" i="47"/>
  <c r="H1170" i="47" s="1" a="1"/>
  <c r="H1170" i="47" s="1"/>
  <c r="I1170" i="47"/>
  <c r="E1170" i="47"/>
  <c r="L1169" i="47"/>
  <c r="J1169" i="47"/>
  <c r="H1169" i="47" s="1" a="1"/>
  <c r="H1169" i="47" s="1"/>
  <c r="G1169" i="47" s="1" a="1"/>
  <c r="G1169" i="47" s="1"/>
  <c r="K1169" i="47" s="1"/>
  <c r="I1169" i="47"/>
  <c r="E1169" i="47"/>
  <c r="L1168" i="47"/>
  <c r="J1168" i="47"/>
  <c r="H1168" i="47" s="1" a="1"/>
  <c r="H1168" i="47" s="1"/>
  <c r="I1168" i="47"/>
  <c r="L1167" i="47"/>
  <c r="J1167" i="47"/>
  <c r="I1167" i="47"/>
  <c r="L1166" i="47"/>
  <c r="J1166" i="47"/>
  <c r="I1166" i="47"/>
  <c r="E1166" i="47"/>
  <c r="L1165" i="47"/>
  <c r="J1165" i="47"/>
  <c r="I1165" i="47"/>
  <c r="F1165" i="47" a="1"/>
  <c r="L1163" i="47"/>
  <c r="J1163" i="47"/>
  <c r="H1163" i="47" s="1" a="1"/>
  <c r="H1163" i="47" s="1"/>
  <c r="G1163" i="47" s="1" a="1"/>
  <c r="G1163" i="47" s="1"/>
  <c r="K1163" i="47" s="1"/>
  <c r="I1163" i="47"/>
  <c r="E1163" i="47"/>
  <c r="L1162" i="47"/>
  <c r="J1162" i="47"/>
  <c r="H1162" i="47" s="1" a="1"/>
  <c r="H1162" i="47" s="1"/>
  <c r="G1162" i="47" s="1" a="1"/>
  <c r="G1162" i="47" s="1"/>
  <c r="K1162" i="47" s="1"/>
  <c r="I1162" i="47"/>
  <c r="E1162" i="47"/>
  <c r="L1161" i="47"/>
  <c r="J1161" i="47"/>
  <c r="H1161" i="47" s="1" a="1"/>
  <c r="H1161" i="47" s="1"/>
  <c r="I1161" i="47"/>
  <c r="E1161" i="47"/>
  <c r="L1160" i="47"/>
  <c r="J1160" i="47"/>
  <c r="H1160" i="47" s="1" a="1"/>
  <c r="H1160" i="47" s="1"/>
  <c r="G1160" i="47" s="1" a="1"/>
  <c r="G1160" i="47" s="1"/>
  <c r="K1160" i="47" s="1"/>
  <c r="I1160" i="47"/>
  <c r="E1160" i="47"/>
  <c r="L1159" i="47"/>
  <c r="J1159" i="47"/>
  <c r="I1159" i="47"/>
  <c r="H1159" i="47" a="1"/>
  <c r="H1159" i="47" s="1"/>
  <c r="G1159" i="47" s="1" a="1"/>
  <c r="G1159" i="47" s="1"/>
  <c r="K1159" i="47" s="1"/>
  <c r="E1159" i="47"/>
  <c r="L1158" i="47"/>
  <c r="J1158" i="47"/>
  <c r="H1158" i="47" s="1" a="1"/>
  <c r="I1158" i="47"/>
  <c r="H1158" i="47"/>
  <c r="G1158" i="47" s="1" a="1"/>
  <c r="G1158" i="47" s="1"/>
  <c r="K1158" i="47" s="1"/>
  <c r="E1158" i="47"/>
  <c r="L1157" i="47"/>
  <c r="J1157" i="47"/>
  <c r="H1157" i="47" s="1" a="1"/>
  <c r="H1157" i="47" s="1"/>
  <c r="I1157" i="47"/>
  <c r="E1157" i="47"/>
  <c r="L1156" i="47"/>
  <c r="J1156" i="47"/>
  <c r="H1156" i="47" s="1" a="1"/>
  <c r="I1156" i="47"/>
  <c r="H1156" i="47"/>
  <c r="E1156" i="47"/>
  <c r="L1155" i="47"/>
  <c r="J1155" i="47"/>
  <c r="H1155" i="47" s="1" a="1"/>
  <c r="H1155" i="47" s="1"/>
  <c r="I1155" i="47"/>
  <c r="G1155" i="47" a="1"/>
  <c r="G1155" i="47" s="1"/>
  <c r="K1155" i="47" s="1"/>
  <c r="E1155" i="47"/>
  <c r="L1154" i="47"/>
  <c r="J1154" i="47"/>
  <c r="H1154" i="47" s="1" a="1"/>
  <c r="H1154" i="47" s="1"/>
  <c r="I1154" i="47"/>
  <c r="E1154" i="47"/>
  <c r="L1153" i="47"/>
  <c r="J1153" i="47"/>
  <c r="H1153" i="47" s="1" a="1"/>
  <c r="H1153" i="47" s="1"/>
  <c r="I1153" i="47"/>
  <c r="E1153" i="47"/>
  <c r="L1152" i="47"/>
  <c r="J1152" i="47"/>
  <c r="H1152" i="47" s="1" a="1"/>
  <c r="H1152" i="47" s="1"/>
  <c r="I1152" i="47"/>
  <c r="E1152" i="47"/>
  <c r="L1151" i="47"/>
  <c r="J1151" i="47"/>
  <c r="H1151" i="47" s="1" a="1"/>
  <c r="H1151" i="47" s="1"/>
  <c r="I1151" i="47"/>
  <c r="E1151" i="47"/>
  <c r="L1150" i="47"/>
  <c r="J1150" i="47"/>
  <c r="H1150" i="47" s="1" a="1"/>
  <c r="I1150" i="47"/>
  <c r="H1150" i="47"/>
  <c r="E1150" i="47"/>
  <c r="L1149" i="47"/>
  <c r="J1149" i="47"/>
  <c r="H1149" i="47" s="1" a="1"/>
  <c r="H1149" i="47" s="1"/>
  <c r="I1149" i="47"/>
  <c r="E1149" i="47"/>
  <c r="L1148" i="47"/>
  <c r="J1148" i="47"/>
  <c r="I1148" i="47"/>
  <c r="H1148" i="47" a="1"/>
  <c r="H1148" i="47" s="1"/>
  <c r="G1148" i="47" s="1" a="1"/>
  <c r="G1148" i="47" s="1"/>
  <c r="K1148" i="47" s="1"/>
  <c r="E1148" i="47"/>
  <c r="L1147" i="47"/>
  <c r="J1147" i="47"/>
  <c r="H1147" i="47" s="1" a="1"/>
  <c r="H1147" i="47" s="1"/>
  <c r="I1147" i="47"/>
  <c r="E1147" i="47"/>
  <c r="L1146" i="47"/>
  <c r="J1146" i="47"/>
  <c r="I1146" i="47"/>
  <c r="H1146" i="47" a="1"/>
  <c r="H1146" i="47" s="1"/>
  <c r="G1146" i="47" s="1" a="1"/>
  <c r="G1146" i="47" s="1"/>
  <c r="K1146" i="47" s="1"/>
  <c r="E1146" i="47"/>
  <c r="L1145" i="47"/>
  <c r="J1145" i="47"/>
  <c r="H1145" i="47" s="1" a="1"/>
  <c r="H1145" i="47" s="1"/>
  <c r="I1145" i="47"/>
  <c r="E1145" i="47"/>
  <c r="L1144" i="47"/>
  <c r="J1144" i="47"/>
  <c r="H1144" i="47" s="1" a="1"/>
  <c r="H1144" i="47" s="1"/>
  <c r="I1144" i="47"/>
  <c r="E1144" i="47"/>
  <c r="L1143" i="47"/>
  <c r="J1143" i="47"/>
  <c r="H1143" i="47" s="1" a="1"/>
  <c r="H1143" i="47" s="1"/>
  <c r="I1143" i="47"/>
  <c r="E1143" i="47"/>
  <c r="L1142" i="47"/>
  <c r="J1142" i="47"/>
  <c r="H1142" i="47" s="1" a="1"/>
  <c r="H1142" i="47" s="1"/>
  <c r="G1142" i="47" s="1" a="1"/>
  <c r="G1142" i="47" s="1"/>
  <c r="K1142" i="47" s="1"/>
  <c r="I1142" i="47"/>
  <c r="E1142" i="47"/>
  <c r="L1141" i="47"/>
  <c r="J1141" i="47"/>
  <c r="H1141" i="47" s="1" a="1"/>
  <c r="H1141" i="47" s="1"/>
  <c r="G1141" i="47" s="1" a="1"/>
  <c r="G1141" i="47" s="1"/>
  <c r="K1141" i="47" s="1"/>
  <c r="I1141" i="47"/>
  <c r="E1141" i="47"/>
  <c r="L1140" i="47"/>
  <c r="J1140" i="47"/>
  <c r="H1140" i="47" s="1" a="1"/>
  <c r="H1140" i="47" s="1"/>
  <c r="I1140" i="47"/>
  <c r="E1140" i="47"/>
  <c r="L1139" i="47"/>
  <c r="J1139" i="47"/>
  <c r="H1139" i="47" s="1" a="1"/>
  <c r="H1139" i="47" s="1"/>
  <c r="G1139" i="47" s="1" a="1"/>
  <c r="G1139" i="47" s="1"/>
  <c r="K1139" i="47" s="1"/>
  <c r="I1139" i="47"/>
  <c r="E1139" i="47"/>
  <c r="L1138" i="47"/>
  <c r="J1138" i="47"/>
  <c r="H1138" i="47" s="1" a="1"/>
  <c r="H1138" i="47" s="1"/>
  <c r="G1138" i="47" s="1" a="1"/>
  <c r="G1138" i="47" s="1"/>
  <c r="K1138" i="47" s="1"/>
  <c r="I1138" i="47"/>
  <c r="E1138" i="47"/>
  <c r="L1137" i="47"/>
  <c r="J1137" i="47"/>
  <c r="I1137" i="47"/>
  <c r="H1137" i="47" a="1"/>
  <c r="H1137" i="47" s="1"/>
  <c r="G1137" i="47" s="1" a="1"/>
  <c r="G1137" i="47" s="1"/>
  <c r="K1137" i="47" s="1"/>
  <c r="E1137" i="47"/>
  <c r="L1136" i="47"/>
  <c r="J1136" i="47"/>
  <c r="H1136" i="47" s="1" a="1"/>
  <c r="H1136" i="47" s="1"/>
  <c r="I1136" i="47"/>
  <c r="E1136" i="47"/>
  <c r="L1135" i="47"/>
  <c r="J1135" i="47"/>
  <c r="H1135" i="47" s="1" a="1"/>
  <c r="H1135" i="47" s="1"/>
  <c r="I1135" i="47"/>
  <c r="E1135" i="47"/>
  <c r="L1134" i="47"/>
  <c r="J1134" i="47"/>
  <c r="H1134" i="47" s="1" a="1"/>
  <c r="H1134" i="47" s="1"/>
  <c r="I1134" i="47"/>
  <c r="E1134" i="47"/>
  <c r="L1133" i="47"/>
  <c r="J1133" i="47"/>
  <c r="H1133" i="47" s="1" a="1"/>
  <c r="H1133" i="47" s="1"/>
  <c r="I1133" i="47"/>
  <c r="E1133" i="47"/>
  <c r="L1132" i="47"/>
  <c r="J1132" i="47"/>
  <c r="H1132" i="47" s="1" a="1"/>
  <c r="H1132" i="47" s="1"/>
  <c r="G1132" i="47" s="1" a="1"/>
  <c r="G1132" i="47" s="1"/>
  <c r="K1132" i="47" s="1"/>
  <c r="I1132" i="47"/>
  <c r="E1132" i="47"/>
  <c r="L1131" i="47"/>
  <c r="J1131" i="47"/>
  <c r="H1131" i="47" s="1" a="1"/>
  <c r="H1131" i="47" s="1"/>
  <c r="I1131" i="47"/>
  <c r="E1131" i="47"/>
  <c r="L1130" i="47"/>
  <c r="J1130" i="47"/>
  <c r="I1130" i="47"/>
  <c r="H1130" i="47" a="1"/>
  <c r="H1130" i="47" s="1"/>
  <c r="G1130" i="47" s="1" a="1"/>
  <c r="G1130" i="47" s="1"/>
  <c r="K1130" i="47" s="1"/>
  <c r="E1130" i="47"/>
  <c r="L1129" i="47"/>
  <c r="J1129" i="47"/>
  <c r="H1129" i="47" s="1" a="1"/>
  <c r="H1129" i="47" s="1"/>
  <c r="I1129" i="47"/>
  <c r="G1129" i="47" a="1"/>
  <c r="G1129" i="47" s="1"/>
  <c r="K1129" i="47" s="1"/>
  <c r="E1129" i="47"/>
  <c r="L1128" i="47"/>
  <c r="J1128" i="47"/>
  <c r="H1128" i="47" s="1" a="1"/>
  <c r="H1128" i="47" s="1"/>
  <c r="I1128" i="47"/>
  <c r="E1128" i="47"/>
  <c r="L1127" i="47"/>
  <c r="J1127" i="47"/>
  <c r="H1127" i="47" s="1" a="1"/>
  <c r="H1127" i="47" s="1"/>
  <c r="G1127" i="47" s="1" a="1"/>
  <c r="G1127" i="47" s="1"/>
  <c r="K1127" i="47" s="1"/>
  <c r="I1127" i="47"/>
  <c r="E1127" i="47"/>
  <c r="L1126" i="47"/>
  <c r="J1126" i="47"/>
  <c r="H1126" i="47" s="1" a="1"/>
  <c r="H1126" i="47" s="1"/>
  <c r="G1126" i="47" s="1" a="1"/>
  <c r="G1126" i="47" s="1"/>
  <c r="K1126" i="47" s="1"/>
  <c r="I1126" i="47"/>
  <c r="E1126" i="47"/>
  <c r="L1125" i="47"/>
  <c r="J1125" i="47"/>
  <c r="I1125" i="47"/>
  <c r="H1125" i="47" a="1"/>
  <c r="H1125" i="47" s="1"/>
  <c r="G1125" i="47" s="1" a="1"/>
  <c r="G1125" i="47" s="1"/>
  <c r="K1125" i="47" s="1"/>
  <c r="E1125" i="47"/>
  <c r="L1124" i="47"/>
  <c r="J1124" i="47"/>
  <c r="H1124" i="47" s="1" a="1"/>
  <c r="H1124" i="47" s="1"/>
  <c r="G1124" i="47" s="1" a="1"/>
  <c r="G1124" i="47" s="1"/>
  <c r="K1124" i="47" s="1"/>
  <c r="I1124" i="47"/>
  <c r="E1124" i="47"/>
  <c r="L1123" i="47"/>
  <c r="J1123" i="47"/>
  <c r="H1123" i="47" s="1" a="1"/>
  <c r="H1123" i="47" s="1"/>
  <c r="I1123" i="47"/>
  <c r="E1123" i="47"/>
  <c r="L1122" i="47"/>
  <c r="J1122" i="47"/>
  <c r="I1122" i="47"/>
  <c r="H1122" i="47" a="1"/>
  <c r="H1122" i="47" s="1"/>
  <c r="E1122" i="47"/>
  <c r="L1121" i="47"/>
  <c r="J1121" i="47"/>
  <c r="I1121" i="47"/>
  <c r="H1121" i="47" a="1"/>
  <c r="H1121" i="47" s="1"/>
  <c r="E1121" i="47"/>
  <c r="L1120" i="47"/>
  <c r="J1120" i="47"/>
  <c r="H1120" i="47" s="1" a="1"/>
  <c r="H1120" i="47" s="1"/>
  <c r="G1120" i="47" s="1" a="1"/>
  <c r="G1120" i="47" s="1"/>
  <c r="K1120" i="47" s="1"/>
  <c r="I1120" i="47"/>
  <c r="E1120" i="47"/>
  <c r="L1119" i="47"/>
  <c r="J1119" i="47"/>
  <c r="H1119" i="47" s="1" a="1"/>
  <c r="H1119" i="47" s="1"/>
  <c r="G1119" i="47" s="1" a="1"/>
  <c r="G1119" i="47" s="1"/>
  <c r="K1119" i="47" s="1"/>
  <c r="I1119" i="47"/>
  <c r="E1119" i="47"/>
  <c r="L1118" i="47"/>
  <c r="J1118" i="47"/>
  <c r="I1118" i="47"/>
  <c r="L1117" i="47"/>
  <c r="J1117" i="47"/>
  <c r="H1117" i="47" s="1" a="1"/>
  <c r="H1117" i="47" s="1"/>
  <c r="I1117" i="47"/>
  <c r="G1117" i="47" a="1"/>
  <c r="G1117" i="47" s="1"/>
  <c r="K1117" i="47" s="1"/>
  <c r="E1117" i="47"/>
  <c r="L1116" i="47"/>
  <c r="J1116" i="47"/>
  <c r="I1116" i="47"/>
  <c r="H1116" i="47" a="1"/>
  <c r="H1116" i="47" s="1"/>
  <c r="L1115" i="47"/>
  <c r="J1115" i="47"/>
  <c r="I1115" i="47"/>
  <c r="F1115" i="47"/>
  <c r="F1115" i="47" a="1"/>
  <c r="E1116" i="47" s="1"/>
  <c r="E1115" i="47"/>
  <c r="L1113" i="47"/>
  <c r="J1113" i="47"/>
  <c r="H1113" i="47" s="1" a="1"/>
  <c r="I1113" i="47"/>
  <c r="H1113" i="47"/>
  <c r="G1113" i="47" s="1" a="1"/>
  <c r="G1113" i="47" s="1"/>
  <c r="K1113" i="47" s="1"/>
  <c r="E1113" i="47"/>
  <c r="L1112" i="47"/>
  <c r="J1112" i="47"/>
  <c r="H1112" i="47" s="1" a="1"/>
  <c r="H1112" i="47" s="1"/>
  <c r="G1112" i="47" s="1" a="1"/>
  <c r="G1112" i="47" s="1"/>
  <c r="K1112" i="47" s="1"/>
  <c r="I1112" i="47"/>
  <c r="E1112" i="47"/>
  <c r="L1111" i="47"/>
  <c r="J1111" i="47"/>
  <c r="H1111" i="47" s="1" a="1"/>
  <c r="H1111" i="47" s="1"/>
  <c r="I1111" i="47"/>
  <c r="E1111" i="47"/>
  <c r="L1110" i="47"/>
  <c r="J1110" i="47"/>
  <c r="I1110" i="47"/>
  <c r="H1110" i="47" a="1"/>
  <c r="H1110" i="47" s="1"/>
  <c r="E1110" i="47"/>
  <c r="L1109" i="47"/>
  <c r="J1109" i="47"/>
  <c r="H1109" i="47" s="1" a="1"/>
  <c r="H1109" i="47" s="1"/>
  <c r="I1109" i="47"/>
  <c r="E1109" i="47"/>
  <c r="L1108" i="47"/>
  <c r="J1108" i="47"/>
  <c r="H1108" i="47" s="1" a="1"/>
  <c r="H1108" i="47" s="1"/>
  <c r="I1108" i="47"/>
  <c r="E1108" i="47"/>
  <c r="L1107" i="47"/>
  <c r="J1107" i="47"/>
  <c r="H1107" i="47" s="1" a="1"/>
  <c r="H1107" i="47" s="1"/>
  <c r="I1107" i="47"/>
  <c r="E1107" i="47"/>
  <c r="L1106" i="47"/>
  <c r="J1106" i="47"/>
  <c r="I1106" i="47"/>
  <c r="G1106" i="47" s="1" a="1"/>
  <c r="G1106" i="47" s="1"/>
  <c r="K1106" i="47" s="1"/>
  <c r="H1106" i="47" a="1"/>
  <c r="H1106" i="47" s="1"/>
  <c r="E1106" i="47"/>
  <c r="L1105" i="47"/>
  <c r="J1105" i="47"/>
  <c r="H1105" i="47" s="1" a="1"/>
  <c r="H1105" i="47" s="1"/>
  <c r="G1105" i="47" s="1" a="1"/>
  <c r="G1105" i="47" s="1"/>
  <c r="K1105" i="47" s="1"/>
  <c r="I1105" i="47"/>
  <c r="E1105" i="47"/>
  <c r="L1104" i="47"/>
  <c r="J1104" i="47"/>
  <c r="H1104" i="47" s="1" a="1"/>
  <c r="H1104" i="47" s="1"/>
  <c r="G1104" i="47" s="1" a="1"/>
  <c r="G1104" i="47" s="1"/>
  <c r="K1104" i="47" s="1"/>
  <c r="I1104" i="47"/>
  <c r="E1104" i="47"/>
  <c r="L1103" i="47"/>
  <c r="J1103" i="47"/>
  <c r="H1103" i="47" s="1" a="1"/>
  <c r="H1103" i="47" s="1"/>
  <c r="I1103" i="47"/>
  <c r="E1103" i="47"/>
  <c r="L1102" i="47"/>
  <c r="J1102" i="47"/>
  <c r="H1102" i="47" s="1" a="1"/>
  <c r="H1102" i="47" s="1"/>
  <c r="G1102" i="47" s="1" a="1"/>
  <c r="G1102" i="47" s="1"/>
  <c r="K1102" i="47" s="1"/>
  <c r="I1102" i="47"/>
  <c r="E1102" i="47"/>
  <c r="L1101" i="47"/>
  <c r="J1101" i="47"/>
  <c r="H1101" i="47" s="1" a="1"/>
  <c r="H1101" i="47" s="1"/>
  <c r="I1101" i="47"/>
  <c r="E1101" i="47"/>
  <c r="L1100" i="47"/>
  <c r="J1100" i="47"/>
  <c r="H1100" i="47" s="1" a="1"/>
  <c r="H1100" i="47" s="1"/>
  <c r="G1100" i="47" s="1" a="1"/>
  <c r="G1100" i="47" s="1"/>
  <c r="K1100" i="47" s="1"/>
  <c r="I1100" i="47"/>
  <c r="E1100" i="47"/>
  <c r="L1099" i="47"/>
  <c r="J1099" i="47"/>
  <c r="H1099" i="47" s="1" a="1"/>
  <c r="H1099" i="47" s="1"/>
  <c r="G1099" i="47" s="1" a="1"/>
  <c r="G1099" i="47" s="1"/>
  <c r="K1099" i="47" s="1"/>
  <c r="I1099" i="47"/>
  <c r="E1099" i="47"/>
  <c r="L1098" i="47"/>
  <c r="J1098" i="47"/>
  <c r="H1098" i="47" s="1" a="1"/>
  <c r="H1098" i="47" s="1"/>
  <c r="I1098" i="47"/>
  <c r="E1098" i="47"/>
  <c r="L1097" i="47"/>
  <c r="J1097" i="47"/>
  <c r="H1097" i="47" s="1" a="1"/>
  <c r="H1097" i="47" s="1"/>
  <c r="I1097" i="47"/>
  <c r="E1097" i="47"/>
  <c r="L1096" i="47"/>
  <c r="J1096" i="47"/>
  <c r="H1096" i="47" s="1" a="1"/>
  <c r="H1096" i="47" s="1"/>
  <c r="I1096" i="47"/>
  <c r="E1096" i="47"/>
  <c r="L1095" i="47"/>
  <c r="J1095" i="47"/>
  <c r="H1095" i="47" s="1" a="1"/>
  <c r="H1095" i="47" s="1"/>
  <c r="I1095" i="47"/>
  <c r="E1095" i="47"/>
  <c r="L1094" i="47"/>
  <c r="J1094" i="47"/>
  <c r="H1094" i="47" s="1" a="1"/>
  <c r="H1094" i="47" s="1"/>
  <c r="I1094" i="47"/>
  <c r="E1094" i="47"/>
  <c r="L1093" i="47"/>
  <c r="J1093" i="47"/>
  <c r="H1093" i="47" s="1" a="1"/>
  <c r="H1093" i="47" s="1"/>
  <c r="I1093" i="47"/>
  <c r="E1093" i="47"/>
  <c r="L1092" i="47"/>
  <c r="J1092" i="47"/>
  <c r="I1092" i="47"/>
  <c r="H1092" i="47" a="1"/>
  <c r="H1092" i="47" s="1"/>
  <c r="G1092" i="47" s="1" a="1"/>
  <c r="G1092" i="47" s="1"/>
  <c r="E1092" i="47"/>
  <c r="L1091" i="47"/>
  <c r="J1091" i="47"/>
  <c r="H1091" i="47" s="1" a="1"/>
  <c r="H1091" i="47" s="1"/>
  <c r="I1091" i="47"/>
  <c r="E1091" i="47"/>
  <c r="L1090" i="47"/>
  <c r="J1090" i="47"/>
  <c r="H1090" i="47" s="1" a="1"/>
  <c r="H1090" i="47" s="1"/>
  <c r="I1090" i="47"/>
  <c r="E1090" i="47"/>
  <c r="L1089" i="47"/>
  <c r="J1089" i="47"/>
  <c r="H1089" i="47" s="1" a="1"/>
  <c r="H1089" i="47" s="1"/>
  <c r="I1089" i="47"/>
  <c r="E1089" i="47"/>
  <c r="L1088" i="47"/>
  <c r="J1088" i="47"/>
  <c r="H1088" i="47" s="1" a="1"/>
  <c r="H1088" i="47" s="1"/>
  <c r="I1088" i="47"/>
  <c r="E1088" i="47"/>
  <c r="L1087" i="47"/>
  <c r="J1087" i="47"/>
  <c r="H1087" i="47" s="1" a="1"/>
  <c r="H1087" i="47" s="1"/>
  <c r="G1087" i="47" s="1" a="1"/>
  <c r="G1087" i="47" s="1"/>
  <c r="K1087" i="47" s="1"/>
  <c r="I1087" i="47"/>
  <c r="E1087" i="47"/>
  <c r="L1086" i="47"/>
  <c r="J1086" i="47"/>
  <c r="H1086" i="47" s="1" a="1"/>
  <c r="H1086" i="47" s="1"/>
  <c r="I1086" i="47"/>
  <c r="E1086" i="47"/>
  <c r="L1085" i="47"/>
  <c r="J1085" i="47"/>
  <c r="H1085" i="47" s="1" a="1"/>
  <c r="H1085" i="47" s="1"/>
  <c r="G1085" i="47" s="1" a="1"/>
  <c r="G1085" i="47" s="1"/>
  <c r="K1085" i="47" s="1"/>
  <c r="I1085" i="47"/>
  <c r="E1085" i="47"/>
  <c r="L1084" i="47"/>
  <c r="J1084" i="47"/>
  <c r="I1084" i="47"/>
  <c r="H1084" i="47" a="1"/>
  <c r="H1084" i="47" s="1"/>
  <c r="E1084" i="47"/>
  <c r="L1083" i="47"/>
  <c r="J1083" i="47"/>
  <c r="H1083" i="47" s="1" a="1"/>
  <c r="H1083" i="47" s="1"/>
  <c r="I1083" i="47"/>
  <c r="E1083" i="47"/>
  <c r="L1082" i="47"/>
  <c r="J1082" i="47"/>
  <c r="I1082" i="47"/>
  <c r="H1082" i="47" a="1"/>
  <c r="H1082" i="47" s="1"/>
  <c r="G1082" i="47" s="1" a="1"/>
  <c r="G1082" i="47" s="1"/>
  <c r="K1082" i="47" s="1"/>
  <c r="E1082" i="47"/>
  <c r="L1081" i="47"/>
  <c r="J1081" i="47"/>
  <c r="H1081" i="47" s="1" a="1"/>
  <c r="H1081" i="47" s="1"/>
  <c r="I1081" i="47"/>
  <c r="E1081" i="47"/>
  <c r="L1080" i="47"/>
  <c r="J1080" i="47"/>
  <c r="I1080" i="47"/>
  <c r="L1079" i="47"/>
  <c r="J1079" i="47"/>
  <c r="I1079" i="47"/>
  <c r="L1078" i="47"/>
  <c r="J1078" i="47"/>
  <c r="I1078" i="47"/>
  <c r="L1077" i="47"/>
  <c r="J1077" i="47"/>
  <c r="I1077" i="47"/>
  <c r="L1076" i="47"/>
  <c r="J1076" i="47"/>
  <c r="I1076" i="47"/>
  <c r="L1075" i="47"/>
  <c r="J1075" i="47"/>
  <c r="I1075" i="47"/>
  <c r="L1074" i="47"/>
  <c r="J1074" i="47"/>
  <c r="I1074" i="47"/>
  <c r="L1073" i="47"/>
  <c r="J1073" i="47"/>
  <c r="I1073" i="47"/>
  <c r="L1072" i="47"/>
  <c r="J1072" i="47"/>
  <c r="I1072" i="47"/>
  <c r="L1071" i="47"/>
  <c r="J1071" i="47"/>
  <c r="I1071" i="47"/>
  <c r="L1070" i="47"/>
  <c r="J1070" i="47"/>
  <c r="I1070" i="47"/>
  <c r="L1069" i="47"/>
  <c r="J1069" i="47"/>
  <c r="I1069" i="47"/>
  <c r="L1068" i="47"/>
  <c r="J1068" i="47"/>
  <c r="I1068" i="47"/>
  <c r="L1067" i="47"/>
  <c r="J1067" i="47"/>
  <c r="I1067" i="47"/>
  <c r="L1066" i="47"/>
  <c r="J1066" i="47"/>
  <c r="I1066" i="47"/>
  <c r="L1065" i="47"/>
  <c r="J1065" i="47"/>
  <c r="I1065" i="47"/>
  <c r="F1065" i="47" a="1"/>
  <c r="L1063" i="47"/>
  <c r="J1063" i="47"/>
  <c r="H1063" i="47" s="1" a="1"/>
  <c r="H1063" i="47" s="1"/>
  <c r="I1063" i="47"/>
  <c r="E1063" i="47"/>
  <c r="L1062" i="47"/>
  <c r="J1062" i="47"/>
  <c r="H1062" i="47" s="1" a="1"/>
  <c r="H1062" i="47" s="1"/>
  <c r="I1062" i="47"/>
  <c r="E1062" i="47"/>
  <c r="L1061" i="47"/>
  <c r="J1061" i="47"/>
  <c r="H1061" i="47" s="1" a="1"/>
  <c r="H1061" i="47" s="1"/>
  <c r="I1061" i="47"/>
  <c r="E1061" i="47"/>
  <c r="L1060" i="47"/>
  <c r="J1060" i="47"/>
  <c r="I1060" i="47"/>
  <c r="H1060" i="47" a="1"/>
  <c r="H1060" i="47" s="1"/>
  <c r="G1060" i="47" s="1" a="1"/>
  <c r="G1060" i="47" s="1"/>
  <c r="K1060" i="47" s="1"/>
  <c r="E1060" i="47"/>
  <c r="L1059" i="47"/>
  <c r="J1059" i="47"/>
  <c r="H1059" i="47" s="1" a="1"/>
  <c r="H1059" i="47" s="1"/>
  <c r="I1059" i="47"/>
  <c r="E1059" i="47"/>
  <c r="L1058" i="47"/>
  <c r="J1058" i="47"/>
  <c r="H1058" i="47" s="1" a="1"/>
  <c r="H1058" i="47" s="1"/>
  <c r="I1058" i="47"/>
  <c r="E1058" i="47"/>
  <c r="L1057" i="47"/>
  <c r="J1057" i="47"/>
  <c r="H1057" i="47" s="1" a="1"/>
  <c r="H1057" i="47" s="1"/>
  <c r="I1057" i="47"/>
  <c r="E1057" i="47"/>
  <c r="L1056" i="47"/>
  <c r="J1056" i="47"/>
  <c r="H1056" i="47" s="1" a="1"/>
  <c r="H1056" i="47" s="1"/>
  <c r="I1056" i="47"/>
  <c r="E1056" i="47"/>
  <c r="L1055" i="47"/>
  <c r="J1055" i="47"/>
  <c r="I1055" i="47"/>
  <c r="H1055" i="47" a="1"/>
  <c r="H1055" i="47" s="1"/>
  <c r="G1055" i="47" s="1" a="1"/>
  <c r="G1055" i="47" s="1"/>
  <c r="K1055" i="47" s="1"/>
  <c r="E1055" i="47"/>
  <c r="L1054" i="47"/>
  <c r="J1054" i="47"/>
  <c r="H1054" i="47" s="1" a="1"/>
  <c r="H1054" i="47" s="1"/>
  <c r="I1054" i="47"/>
  <c r="E1054" i="47"/>
  <c r="L1053" i="47"/>
  <c r="J1053" i="47"/>
  <c r="H1053" i="47" s="1" a="1"/>
  <c r="H1053" i="47" s="1"/>
  <c r="I1053" i="47"/>
  <c r="E1053" i="47"/>
  <c r="L1052" i="47"/>
  <c r="J1052" i="47"/>
  <c r="H1052" i="47" s="1" a="1"/>
  <c r="H1052" i="47" s="1"/>
  <c r="I1052" i="47"/>
  <c r="E1052" i="47"/>
  <c r="L1051" i="47"/>
  <c r="J1051" i="47"/>
  <c r="H1051" i="47" s="1" a="1"/>
  <c r="H1051" i="47" s="1"/>
  <c r="I1051" i="47"/>
  <c r="E1051" i="47"/>
  <c r="L1050" i="47"/>
  <c r="J1050" i="47"/>
  <c r="H1050" i="47" s="1" a="1"/>
  <c r="H1050" i="47" s="1"/>
  <c r="G1050" i="47" s="1" a="1"/>
  <c r="G1050" i="47" s="1"/>
  <c r="K1050" i="47" s="1"/>
  <c r="I1050" i="47"/>
  <c r="E1050" i="47"/>
  <c r="L1049" i="47"/>
  <c r="J1049" i="47"/>
  <c r="H1049" i="47" s="1" a="1"/>
  <c r="H1049" i="47" s="1"/>
  <c r="I1049" i="47"/>
  <c r="E1049" i="47"/>
  <c r="L1048" i="47"/>
  <c r="J1048" i="47"/>
  <c r="H1048" i="47" s="1" a="1"/>
  <c r="H1048" i="47" s="1"/>
  <c r="I1048" i="47"/>
  <c r="E1048" i="47"/>
  <c r="L1047" i="47"/>
  <c r="J1047" i="47"/>
  <c r="H1047" i="47" s="1" a="1"/>
  <c r="I1047" i="47"/>
  <c r="H1047" i="47"/>
  <c r="E1047" i="47"/>
  <c r="L1046" i="47"/>
  <c r="J1046" i="47"/>
  <c r="H1046" i="47" s="1" a="1"/>
  <c r="H1046" i="47" s="1"/>
  <c r="I1046" i="47"/>
  <c r="E1046" i="47"/>
  <c r="L1045" i="47"/>
  <c r="J1045" i="47"/>
  <c r="I1045" i="47"/>
  <c r="H1045" i="47" a="1"/>
  <c r="H1045" i="47" s="1"/>
  <c r="E1045" i="47"/>
  <c r="L1044" i="47"/>
  <c r="J1044" i="47"/>
  <c r="I1044" i="47"/>
  <c r="H1044" i="47" a="1"/>
  <c r="H1044" i="47" s="1"/>
  <c r="E1044" i="47"/>
  <c r="L1043" i="47"/>
  <c r="J1043" i="47"/>
  <c r="H1043" i="47" s="1" a="1"/>
  <c r="H1043" i="47" s="1"/>
  <c r="G1043" i="47" s="1" a="1"/>
  <c r="G1043" i="47" s="1"/>
  <c r="I1043" i="47"/>
  <c r="E1043" i="47"/>
  <c r="L1042" i="47"/>
  <c r="J1042" i="47"/>
  <c r="H1042" i="47" s="1" a="1"/>
  <c r="H1042" i="47" s="1"/>
  <c r="G1042" i="47" s="1" a="1"/>
  <c r="G1042" i="47" s="1"/>
  <c r="K1042" i="47" s="1"/>
  <c r="I1042" i="47"/>
  <c r="E1042" i="47"/>
  <c r="L1041" i="47"/>
  <c r="J1041" i="47"/>
  <c r="H1041" i="47" s="1" a="1"/>
  <c r="H1041" i="47" s="1"/>
  <c r="I1041" i="47"/>
  <c r="E1041" i="47"/>
  <c r="L1040" i="47"/>
  <c r="J1040" i="47"/>
  <c r="H1040" i="47" s="1" a="1"/>
  <c r="H1040" i="47" s="1"/>
  <c r="G1040" i="47" s="1" a="1"/>
  <c r="G1040" i="47" s="1"/>
  <c r="K1040" i="47" s="1"/>
  <c r="I1040" i="47"/>
  <c r="E1040" i="47"/>
  <c r="L1039" i="47"/>
  <c r="J1039" i="47"/>
  <c r="H1039" i="47" s="1" a="1"/>
  <c r="H1039" i="47" s="1"/>
  <c r="G1039" i="47" s="1" a="1"/>
  <c r="G1039" i="47" s="1"/>
  <c r="I1039" i="47"/>
  <c r="E1039" i="47"/>
  <c r="L1038" i="47"/>
  <c r="J1038" i="47"/>
  <c r="I1038" i="47"/>
  <c r="H1038" i="47" a="1"/>
  <c r="H1038" i="47" s="1"/>
  <c r="E1038" i="47"/>
  <c r="L1037" i="47"/>
  <c r="J1037" i="47"/>
  <c r="H1037" i="47" s="1" a="1"/>
  <c r="H1037" i="47" s="1"/>
  <c r="I1037" i="47"/>
  <c r="E1037" i="47"/>
  <c r="L1036" i="47"/>
  <c r="J1036" i="47"/>
  <c r="H1036" i="47" s="1" a="1"/>
  <c r="H1036" i="47" s="1"/>
  <c r="I1036" i="47"/>
  <c r="E1036" i="47"/>
  <c r="L1035" i="47"/>
  <c r="J1035" i="47"/>
  <c r="H1035" i="47" s="1" a="1"/>
  <c r="H1035" i="47" s="1"/>
  <c r="I1035" i="47"/>
  <c r="E1035" i="47"/>
  <c r="L1034" i="47"/>
  <c r="J1034" i="47"/>
  <c r="H1034" i="47" s="1" a="1"/>
  <c r="H1034" i="47" s="1"/>
  <c r="I1034" i="47"/>
  <c r="E1034" i="47"/>
  <c r="L1033" i="47"/>
  <c r="J1033" i="47"/>
  <c r="H1033" i="47" s="1" a="1"/>
  <c r="H1033" i="47" s="1"/>
  <c r="I1033" i="47"/>
  <c r="E1033" i="47"/>
  <c r="L1032" i="47"/>
  <c r="J1032" i="47"/>
  <c r="H1032" i="47" s="1" a="1"/>
  <c r="H1032" i="47" s="1"/>
  <c r="I1032" i="47"/>
  <c r="E1032" i="47"/>
  <c r="L1031" i="47"/>
  <c r="J1031" i="47"/>
  <c r="H1031" i="47" s="1" a="1"/>
  <c r="H1031" i="47" s="1"/>
  <c r="I1031" i="47"/>
  <c r="E1031" i="47"/>
  <c r="L1030" i="47"/>
  <c r="J1030" i="47"/>
  <c r="I1030" i="47"/>
  <c r="L1029" i="47"/>
  <c r="J1029" i="47"/>
  <c r="I1029" i="47"/>
  <c r="L1028" i="47"/>
  <c r="J1028" i="47"/>
  <c r="I1028" i="47"/>
  <c r="L1027" i="47"/>
  <c r="J1027" i="47"/>
  <c r="I1027" i="47"/>
  <c r="L1026" i="47"/>
  <c r="J1026" i="47"/>
  <c r="I1026" i="47"/>
  <c r="L1025" i="47"/>
  <c r="J1025" i="47"/>
  <c r="I1025" i="47"/>
  <c r="L1024" i="47"/>
  <c r="J1024" i="47"/>
  <c r="I1024" i="47"/>
  <c r="L1023" i="47"/>
  <c r="J1023" i="47"/>
  <c r="I1023" i="47"/>
  <c r="L1022" i="47"/>
  <c r="J1022" i="47"/>
  <c r="I1022" i="47"/>
  <c r="L1021" i="47"/>
  <c r="J1021" i="47"/>
  <c r="I1021" i="47"/>
  <c r="L1020" i="47"/>
  <c r="J1020" i="47"/>
  <c r="I1020" i="47"/>
  <c r="L1019" i="47"/>
  <c r="J1019" i="47"/>
  <c r="I1019" i="47"/>
  <c r="L1018" i="47"/>
  <c r="J1018" i="47"/>
  <c r="I1018" i="47"/>
  <c r="L1017" i="47"/>
  <c r="J1017" i="47"/>
  <c r="I1017" i="47"/>
  <c r="L1016" i="47"/>
  <c r="J1016" i="47"/>
  <c r="I1016" i="47"/>
  <c r="L1015" i="47"/>
  <c r="J1015" i="47"/>
  <c r="I1015" i="47"/>
  <c r="F1015" i="47" a="1"/>
  <c r="E1030" i="47" s="1"/>
  <c r="L1013" i="47"/>
  <c r="J1013" i="47"/>
  <c r="H1013" i="47" s="1" a="1"/>
  <c r="H1013" i="47" s="1"/>
  <c r="I1013" i="47"/>
  <c r="E1013" i="47"/>
  <c r="L1012" i="47"/>
  <c r="J1012" i="47"/>
  <c r="H1012" i="47" s="1" a="1"/>
  <c r="H1012" i="47" s="1"/>
  <c r="I1012" i="47"/>
  <c r="E1012" i="47"/>
  <c r="L1011" i="47"/>
  <c r="J1011" i="47"/>
  <c r="H1011" i="47" s="1" a="1"/>
  <c r="H1011" i="47" s="1"/>
  <c r="I1011" i="47"/>
  <c r="E1011" i="47"/>
  <c r="L1010" i="47"/>
  <c r="J1010" i="47"/>
  <c r="H1010" i="47" s="1" a="1"/>
  <c r="H1010" i="47" s="1"/>
  <c r="I1010" i="47"/>
  <c r="E1010" i="47"/>
  <c r="L1009" i="47"/>
  <c r="J1009" i="47"/>
  <c r="H1009" i="47" s="1" a="1"/>
  <c r="H1009" i="47" s="1"/>
  <c r="I1009" i="47"/>
  <c r="E1009" i="47"/>
  <c r="L1008" i="47"/>
  <c r="J1008" i="47"/>
  <c r="H1008" i="47" s="1" a="1"/>
  <c r="H1008" i="47" s="1"/>
  <c r="G1008" i="47" s="1" a="1"/>
  <c r="G1008" i="47" s="1"/>
  <c r="K1008" i="47" s="1"/>
  <c r="I1008" i="47"/>
  <c r="E1008" i="47"/>
  <c r="L1007" i="47"/>
  <c r="J1007" i="47"/>
  <c r="H1007" i="47" s="1" a="1"/>
  <c r="H1007" i="47" s="1"/>
  <c r="I1007" i="47"/>
  <c r="E1007" i="47"/>
  <c r="L1006" i="47"/>
  <c r="J1006" i="47"/>
  <c r="H1006" i="47" s="1" a="1"/>
  <c r="H1006" i="47" s="1"/>
  <c r="I1006" i="47"/>
  <c r="E1006" i="47"/>
  <c r="L1005" i="47"/>
  <c r="J1005" i="47"/>
  <c r="H1005" i="47" s="1" a="1"/>
  <c r="H1005" i="47" s="1"/>
  <c r="G1005" i="47" s="1" a="1"/>
  <c r="G1005" i="47" s="1"/>
  <c r="K1005" i="47" s="1"/>
  <c r="I1005" i="47"/>
  <c r="E1005" i="47"/>
  <c r="L1004" i="47"/>
  <c r="J1004" i="47"/>
  <c r="H1004" i="47" s="1" a="1"/>
  <c r="H1004" i="47" s="1"/>
  <c r="I1004" i="47"/>
  <c r="E1004" i="47"/>
  <c r="L1003" i="47"/>
  <c r="J1003" i="47"/>
  <c r="H1003" i="47" s="1" a="1"/>
  <c r="H1003" i="47" s="1"/>
  <c r="I1003" i="47"/>
  <c r="E1003" i="47"/>
  <c r="L1002" i="47"/>
  <c r="J1002" i="47"/>
  <c r="H1002" i="47" s="1" a="1"/>
  <c r="H1002" i="47" s="1"/>
  <c r="I1002" i="47"/>
  <c r="E1002" i="47"/>
  <c r="L1001" i="47"/>
  <c r="J1001" i="47"/>
  <c r="H1001" i="47" s="1" a="1"/>
  <c r="H1001" i="47" s="1"/>
  <c r="I1001" i="47"/>
  <c r="E1001" i="47"/>
  <c r="L1000" i="47"/>
  <c r="J1000" i="47"/>
  <c r="H1000" i="47" s="1" a="1"/>
  <c r="H1000" i="47" s="1"/>
  <c r="I1000" i="47"/>
  <c r="E1000" i="47"/>
  <c r="L999" i="47"/>
  <c r="J999" i="47"/>
  <c r="H999" i="47" s="1" a="1"/>
  <c r="H999" i="47" s="1"/>
  <c r="I999" i="47"/>
  <c r="E999" i="47"/>
  <c r="L998" i="47"/>
  <c r="J998" i="47"/>
  <c r="H998" i="47" s="1" a="1"/>
  <c r="H998" i="47" s="1"/>
  <c r="I998" i="47"/>
  <c r="E998" i="47"/>
  <c r="L997" i="47"/>
  <c r="J997" i="47"/>
  <c r="H997" i="47" s="1" a="1"/>
  <c r="H997" i="47" s="1"/>
  <c r="I997" i="47"/>
  <c r="E997" i="47"/>
  <c r="L996" i="47"/>
  <c r="J996" i="47"/>
  <c r="H996" i="47" s="1" a="1"/>
  <c r="H996" i="47" s="1"/>
  <c r="G996" i="47" s="1" a="1"/>
  <c r="G996" i="47" s="1"/>
  <c r="K996" i="47" s="1"/>
  <c r="I996" i="47"/>
  <c r="E996" i="47"/>
  <c r="L995" i="47"/>
  <c r="J995" i="47"/>
  <c r="H995" i="47" s="1" a="1"/>
  <c r="H995" i="47" s="1"/>
  <c r="I995" i="47"/>
  <c r="E995" i="47"/>
  <c r="L994" i="47"/>
  <c r="J994" i="47"/>
  <c r="H994" i="47" s="1" a="1"/>
  <c r="H994" i="47" s="1"/>
  <c r="G994" i="47" s="1" a="1"/>
  <c r="G994" i="47" s="1"/>
  <c r="I994" i="47"/>
  <c r="E994" i="47"/>
  <c r="L993" i="47"/>
  <c r="J993" i="47"/>
  <c r="H993" i="47" s="1" a="1"/>
  <c r="H993" i="47" s="1"/>
  <c r="G993" i="47" s="1" a="1"/>
  <c r="G993" i="47" s="1"/>
  <c r="K993" i="47" s="1"/>
  <c r="I993" i="47"/>
  <c r="E993" i="47"/>
  <c r="L992" i="47"/>
  <c r="J992" i="47"/>
  <c r="H992" i="47" s="1" a="1"/>
  <c r="H992" i="47" s="1"/>
  <c r="I992" i="47"/>
  <c r="E992" i="47"/>
  <c r="L991" i="47"/>
  <c r="J991" i="47"/>
  <c r="I991" i="47"/>
  <c r="H991" i="47" a="1"/>
  <c r="H991" i="47" s="1"/>
  <c r="G991" i="47" s="1" a="1"/>
  <c r="G991" i="47" s="1"/>
  <c r="E991" i="47"/>
  <c r="L990" i="47"/>
  <c r="J990" i="47"/>
  <c r="H990" i="47" s="1" a="1"/>
  <c r="H990" i="47" s="1"/>
  <c r="G990" i="47" s="1" a="1"/>
  <c r="G990" i="47" s="1"/>
  <c r="K990" i="47" s="1"/>
  <c r="I990" i="47"/>
  <c r="E990" i="47"/>
  <c r="L989" i="47"/>
  <c r="J989" i="47"/>
  <c r="H989" i="47" s="1" a="1"/>
  <c r="H989" i="47" s="1"/>
  <c r="G989" i="47" s="1" a="1"/>
  <c r="G989" i="47" s="1"/>
  <c r="K989" i="47" s="1"/>
  <c r="I989" i="47"/>
  <c r="E989" i="47"/>
  <c r="L988" i="47"/>
  <c r="J988" i="47"/>
  <c r="H988" i="47" s="1" a="1"/>
  <c r="H988" i="47" s="1"/>
  <c r="I988" i="47"/>
  <c r="E988" i="47"/>
  <c r="L987" i="47"/>
  <c r="J987" i="47"/>
  <c r="I987" i="47"/>
  <c r="H987" i="47" a="1"/>
  <c r="H987" i="47" s="1"/>
  <c r="G987" i="47" s="1" a="1"/>
  <c r="G987" i="47" s="1"/>
  <c r="K987" i="47" s="1"/>
  <c r="E987" i="47"/>
  <c r="L986" i="47"/>
  <c r="J986" i="47"/>
  <c r="H986" i="47" s="1" a="1"/>
  <c r="H986" i="47" s="1"/>
  <c r="I986" i="47"/>
  <c r="E986" i="47"/>
  <c r="L985" i="47"/>
  <c r="J985" i="47"/>
  <c r="H985" i="47" s="1" a="1"/>
  <c r="H985" i="47" s="1"/>
  <c r="G985" i="47" s="1" a="1"/>
  <c r="G985" i="47" s="1"/>
  <c r="K985" i="47" s="1"/>
  <c r="I985" i="47"/>
  <c r="E985" i="47"/>
  <c r="L984" i="47"/>
  <c r="J984" i="47"/>
  <c r="H984" i="47" s="1" a="1"/>
  <c r="H984" i="47" s="1"/>
  <c r="G984" i="47" s="1" a="1"/>
  <c r="G984" i="47" s="1"/>
  <c r="K984" i="47" s="1"/>
  <c r="I984" i="47"/>
  <c r="E984" i="47"/>
  <c r="L983" i="47"/>
  <c r="J983" i="47"/>
  <c r="H983" i="47" s="1" a="1"/>
  <c r="H983" i="47" s="1"/>
  <c r="G983" i="47" s="1" a="1"/>
  <c r="G983" i="47" s="1"/>
  <c r="I983" i="47"/>
  <c r="E983" i="47"/>
  <c r="L982" i="47"/>
  <c r="J982" i="47"/>
  <c r="H982" i="47" s="1" a="1"/>
  <c r="H982" i="47" s="1"/>
  <c r="I982" i="47"/>
  <c r="E982" i="47"/>
  <c r="L981" i="47"/>
  <c r="J981" i="47"/>
  <c r="H981" i="47" s="1" a="1"/>
  <c r="H981" i="47" s="1"/>
  <c r="G981" i="47" s="1" a="1"/>
  <c r="G981" i="47" s="1"/>
  <c r="K981" i="47" s="1"/>
  <c r="I981" i="47"/>
  <c r="E981" i="47"/>
  <c r="L980" i="47"/>
  <c r="J980" i="47"/>
  <c r="I980" i="47"/>
  <c r="L979" i="47"/>
  <c r="J979" i="47"/>
  <c r="I979" i="47"/>
  <c r="L978" i="47"/>
  <c r="J978" i="47"/>
  <c r="I978" i="47"/>
  <c r="L977" i="47"/>
  <c r="J977" i="47"/>
  <c r="I977" i="47"/>
  <c r="L976" i="47"/>
  <c r="J976" i="47"/>
  <c r="I976" i="47"/>
  <c r="L975" i="47"/>
  <c r="J975" i="47"/>
  <c r="I975" i="47"/>
  <c r="L974" i="47"/>
  <c r="J974" i="47"/>
  <c r="I974" i="47"/>
  <c r="L973" i="47"/>
  <c r="J973" i="47"/>
  <c r="I973" i="47"/>
  <c r="L972" i="47"/>
  <c r="J972" i="47"/>
  <c r="I972" i="47"/>
  <c r="L971" i="47"/>
  <c r="J971" i="47"/>
  <c r="I971" i="47"/>
  <c r="L970" i="47"/>
  <c r="J970" i="47"/>
  <c r="I970" i="47"/>
  <c r="L969" i="47"/>
  <c r="J969" i="47"/>
  <c r="I969" i="47"/>
  <c r="L968" i="47"/>
  <c r="J968" i="47"/>
  <c r="I968" i="47"/>
  <c r="L967" i="47"/>
  <c r="J967" i="47"/>
  <c r="I967" i="47"/>
  <c r="L966" i="47"/>
  <c r="J966" i="47"/>
  <c r="I966" i="47"/>
  <c r="L965" i="47"/>
  <c r="J965" i="47"/>
  <c r="I965" i="47"/>
  <c r="F965" i="47" a="1"/>
  <c r="L963" i="47"/>
  <c r="J963" i="47"/>
  <c r="I963" i="47"/>
  <c r="H963" i="47" a="1"/>
  <c r="H963" i="47" s="1"/>
  <c r="G963" i="47" s="1" a="1"/>
  <c r="G963" i="47" s="1"/>
  <c r="K963" i="47" s="1"/>
  <c r="E963" i="47"/>
  <c r="L962" i="47"/>
  <c r="J962" i="47"/>
  <c r="H962" i="47" s="1" a="1"/>
  <c r="H962" i="47" s="1"/>
  <c r="I962" i="47"/>
  <c r="E962" i="47"/>
  <c r="L961" i="47"/>
  <c r="J961" i="47"/>
  <c r="H961" i="47" s="1" a="1"/>
  <c r="H961" i="47" s="1"/>
  <c r="I961" i="47"/>
  <c r="E961" i="47"/>
  <c r="L960" i="47"/>
  <c r="J960" i="47"/>
  <c r="H960" i="47" s="1" a="1"/>
  <c r="H960" i="47" s="1"/>
  <c r="I960" i="47"/>
  <c r="E960" i="47"/>
  <c r="L959" i="47"/>
  <c r="J959" i="47"/>
  <c r="H959" i="47" s="1" a="1"/>
  <c r="H959" i="47" s="1"/>
  <c r="I959" i="47"/>
  <c r="E959" i="47"/>
  <c r="L958" i="47"/>
  <c r="J958" i="47"/>
  <c r="I958" i="47"/>
  <c r="H958" i="47" a="1"/>
  <c r="H958" i="47" s="1"/>
  <c r="E958" i="47"/>
  <c r="L957" i="47"/>
  <c r="J957" i="47"/>
  <c r="H957" i="47" s="1" a="1"/>
  <c r="H957" i="47" s="1"/>
  <c r="I957" i="47"/>
  <c r="E957" i="47"/>
  <c r="L956" i="47"/>
  <c r="J956" i="47"/>
  <c r="H956" i="47" s="1" a="1"/>
  <c r="H956" i="47" s="1"/>
  <c r="I956" i="47"/>
  <c r="E956" i="47"/>
  <c r="L955" i="47"/>
  <c r="J955" i="47"/>
  <c r="H955" i="47" s="1" a="1"/>
  <c r="H955" i="47" s="1"/>
  <c r="I955" i="47"/>
  <c r="E955" i="47"/>
  <c r="L954" i="47"/>
  <c r="J954" i="47"/>
  <c r="H954" i="47" s="1" a="1"/>
  <c r="H954" i="47" s="1"/>
  <c r="I954" i="47"/>
  <c r="E954" i="47"/>
  <c r="L953" i="47"/>
  <c r="J953" i="47"/>
  <c r="I953" i="47"/>
  <c r="H953" i="47" a="1"/>
  <c r="H953" i="47" s="1"/>
  <c r="G953" i="47" s="1" a="1"/>
  <c r="G953" i="47" s="1"/>
  <c r="K953" i="47" s="1"/>
  <c r="E953" i="47"/>
  <c r="L952" i="47"/>
  <c r="J952" i="47"/>
  <c r="H952" i="47" s="1" a="1"/>
  <c r="H952" i="47" s="1"/>
  <c r="I952" i="47"/>
  <c r="E952" i="47"/>
  <c r="L951" i="47"/>
  <c r="J951" i="47"/>
  <c r="H951" i="47" s="1" a="1"/>
  <c r="H951" i="47" s="1"/>
  <c r="G951" i="47" s="1" a="1"/>
  <c r="G951" i="47" s="1"/>
  <c r="K951" i="47" s="1"/>
  <c r="I951" i="47"/>
  <c r="E951" i="47"/>
  <c r="L950" i="47"/>
  <c r="J950" i="47"/>
  <c r="H950" i="47" s="1" a="1"/>
  <c r="H950" i="47" s="1"/>
  <c r="I950" i="47"/>
  <c r="E950" i="47"/>
  <c r="L949" i="47"/>
  <c r="J949" i="47"/>
  <c r="H949" i="47" s="1" a="1"/>
  <c r="H949" i="47" s="1"/>
  <c r="G949" i="47" s="1" a="1"/>
  <c r="G949" i="47" s="1"/>
  <c r="K949" i="47" s="1"/>
  <c r="I949" i="47"/>
  <c r="E949" i="47"/>
  <c r="L948" i="47"/>
  <c r="J948" i="47"/>
  <c r="H948" i="47" s="1" a="1"/>
  <c r="H948" i="47" s="1"/>
  <c r="G948" i="47" s="1" a="1"/>
  <c r="G948" i="47" s="1"/>
  <c r="I948" i="47"/>
  <c r="E948" i="47"/>
  <c r="L947" i="47"/>
  <c r="J947" i="47"/>
  <c r="H947" i="47" s="1" a="1"/>
  <c r="H947" i="47" s="1"/>
  <c r="G947" i="47" s="1" a="1"/>
  <c r="G947" i="47" s="1"/>
  <c r="K947" i="47" s="1"/>
  <c r="I947" i="47"/>
  <c r="E947" i="47"/>
  <c r="L946" i="47"/>
  <c r="J946" i="47"/>
  <c r="H946" i="47" s="1" a="1"/>
  <c r="H946" i="47" s="1"/>
  <c r="I946" i="47"/>
  <c r="E946" i="47"/>
  <c r="L945" i="47"/>
  <c r="J945" i="47"/>
  <c r="H945" i="47" s="1" a="1"/>
  <c r="H945" i="47" s="1"/>
  <c r="I945" i="47"/>
  <c r="E945" i="47"/>
  <c r="L944" i="47"/>
  <c r="J944" i="47"/>
  <c r="H944" i="47" s="1" a="1"/>
  <c r="H944" i="47" s="1"/>
  <c r="G944" i="47" s="1" a="1"/>
  <c r="G944" i="47" s="1"/>
  <c r="K944" i="47" s="1"/>
  <c r="I944" i="47"/>
  <c r="E944" i="47"/>
  <c r="L943" i="47"/>
  <c r="J943" i="47"/>
  <c r="H943" i="47" s="1" a="1"/>
  <c r="H943" i="47" s="1"/>
  <c r="I943" i="47"/>
  <c r="E943" i="47"/>
  <c r="L942" i="47"/>
  <c r="J942" i="47"/>
  <c r="H942" i="47" s="1" a="1"/>
  <c r="H942" i="47" s="1"/>
  <c r="I942" i="47"/>
  <c r="E942" i="47"/>
  <c r="L941" i="47"/>
  <c r="J941" i="47"/>
  <c r="H941" i="47" s="1" a="1"/>
  <c r="H941" i="47" s="1"/>
  <c r="I941" i="47"/>
  <c r="E941" i="47"/>
  <c r="L940" i="47"/>
  <c r="J940" i="47"/>
  <c r="I940" i="47"/>
  <c r="H940" i="47" a="1"/>
  <c r="H940" i="47" s="1"/>
  <c r="E940" i="47"/>
  <c r="L939" i="47"/>
  <c r="J939" i="47"/>
  <c r="H939" i="47" s="1" a="1"/>
  <c r="H939" i="47" s="1"/>
  <c r="I939" i="47"/>
  <c r="E939" i="47"/>
  <c r="L938" i="47"/>
  <c r="J938" i="47"/>
  <c r="H938" i="47" s="1" a="1"/>
  <c r="H938" i="47" s="1"/>
  <c r="I938" i="47"/>
  <c r="E938" i="47"/>
  <c r="L937" i="47"/>
  <c r="J937" i="47"/>
  <c r="H937" i="47" s="1" a="1"/>
  <c r="H937" i="47" s="1"/>
  <c r="G937" i="47" s="1" a="1"/>
  <c r="G937" i="47" s="1"/>
  <c r="K937" i="47" s="1"/>
  <c r="I937" i="47"/>
  <c r="E937" i="47"/>
  <c r="L936" i="47"/>
  <c r="J936" i="47"/>
  <c r="I936" i="47"/>
  <c r="H936" i="47" a="1"/>
  <c r="H936" i="47" s="1"/>
  <c r="G936" i="47" s="1" a="1"/>
  <c r="G936" i="47" s="1"/>
  <c r="E936" i="47"/>
  <c r="L935" i="47"/>
  <c r="J935" i="47"/>
  <c r="H935" i="47" s="1" a="1"/>
  <c r="H935" i="47" s="1"/>
  <c r="G935" i="47" s="1" a="1"/>
  <c r="G935" i="47" s="1"/>
  <c r="K935" i="47" s="1"/>
  <c r="I935" i="47"/>
  <c r="E935" i="47"/>
  <c r="L934" i="47"/>
  <c r="J934" i="47"/>
  <c r="H934" i="47" s="1" a="1"/>
  <c r="H934" i="47" s="1"/>
  <c r="I934" i="47"/>
  <c r="E934" i="47"/>
  <c r="L933" i="47"/>
  <c r="J933" i="47"/>
  <c r="H933" i="47" s="1" a="1"/>
  <c r="H933" i="47" s="1"/>
  <c r="G933" i="47" s="1" a="1"/>
  <c r="G933" i="47" s="1"/>
  <c r="K933" i="47" s="1"/>
  <c r="I933" i="47"/>
  <c r="E933" i="47"/>
  <c r="L932" i="47"/>
  <c r="J932" i="47"/>
  <c r="H932" i="47" s="1" a="1"/>
  <c r="H932" i="47" s="1"/>
  <c r="G932" i="47" s="1" a="1"/>
  <c r="G932" i="47" s="1"/>
  <c r="K932" i="47" s="1"/>
  <c r="I932" i="47"/>
  <c r="E932" i="47"/>
  <c r="L931" i="47"/>
  <c r="J931" i="47"/>
  <c r="I931" i="47"/>
  <c r="E931" i="47"/>
  <c r="L930" i="47"/>
  <c r="J930" i="47"/>
  <c r="I930" i="47"/>
  <c r="L929" i="47"/>
  <c r="J929" i="47"/>
  <c r="I929" i="47"/>
  <c r="E929" i="47"/>
  <c r="L928" i="47"/>
  <c r="J928" i="47"/>
  <c r="H928" i="47" s="1" a="1"/>
  <c r="H928" i="47" s="1"/>
  <c r="G928" i="47" s="1" a="1"/>
  <c r="G928" i="47" s="1"/>
  <c r="I928" i="47"/>
  <c r="L927" i="47"/>
  <c r="J927" i="47"/>
  <c r="H927" i="47" s="1" a="1"/>
  <c r="H927" i="47" s="1"/>
  <c r="G927" i="47" s="1" a="1"/>
  <c r="G927" i="47" s="1"/>
  <c r="K927" i="47" s="1"/>
  <c r="I927" i="47"/>
  <c r="L926" i="47"/>
  <c r="J926" i="47"/>
  <c r="H926" i="47" s="1" a="1"/>
  <c r="H926" i="47" s="1"/>
  <c r="G926" i="47" s="1" a="1"/>
  <c r="G926" i="47" s="1"/>
  <c r="K926" i="47" s="1"/>
  <c r="I926" i="47"/>
  <c r="E926" i="47"/>
  <c r="L925" i="47"/>
  <c r="J925" i="47"/>
  <c r="I925" i="47"/>
  <c r="L924" i="47"/>
  <c r="J924" i="47"/>
  <c r="I924" i="47"/>
  <c r="E924" i="47"/>
  <c r="L923" i="47"/>
  <c r="J923" i="47"/>
  <c r="H923" i="47" s="1" a="1"/>
  <c r="H923" i="47" s="1"/>
  <c r="G923" i="47" s="1" a="1"/>
  <c r="G923" i="47" s="1"/>
  <c r="K923" i="47" s="1"/>
  <c r="I923" i="47"/>
  <c r="E923" i="47"/>
  <c r="L922" i="47"/>
  <c r="J922" i="47"/>
  <c r="H922" i="47" s="1" a="1"/>
  <c r="H922" i="47" s="1"/>
  <c r="I922" i="47"/>
  <c r="L921" i="47"/>
  <c r="J921" i="47"/>
  <c r="I921" i="47"/>
  <c r="L920" i="47"/>
  <c r="J920" i="47"/>
  <c r="I920" i="47"/>
  <c r="E920" i="47"/>
  <c r="L919" i="47"/>
  <c r="J919" i="47"/>
  <c r="I919" i="47"/>
  <c r="L918" i="47"/>
  <c r="J918" i="47"/>
  <c r="H918" i="47" s="1" a="1"/>
  <c r="H918" i="47" s="1"/>
  <c r="G918" i="47" s="1" a="1"/>
  <c r="G918" i="47" s="1"/>
  <c r="K918" i="47" s="1"/>
  <c r="I918" i="47"/>
  <c r="E918" i="47"/>
  <c r="L917" i="47"/>
  <c r="J917" i="47"/>
  <c r="I917" i="47"/>
  <c r="E917" i="47"/>
  <c r="L916" i="47"/>
  <c r="J916" i="47"/>
  <c r="H916" i="47" s="1" a="1"/>
  <c r="H916" i="47" s="1"/>
  <c r="G916" i="47" s="1" a="1"/>
  <c r="G916" i="47" s="1"/>
  <c r="I916" i="47"/>
  <c r="E916" i="47"/>
  <c r="L915" i="47"/>
  <c r="J915" i="47"/>
  <c r="I915" i="47"/>
  <c r="F915" i="47"/>
  <c r="H915" i="47" s="1" a="1"/>
  <c r="H915" i="47" s="1"/>
  <c r="F915" i="47" a="1"/>
  <c r="L913" i="47"/>
  <c r="J913" i="47"/>
  <c r="H913" i="47" s="1" a="1"/>
  <c r="I913" i="47"/>
  <c r="H913" i="47"/>
  <c r="E913" i="47"/>
  <c r="L912" i="47"/>
  <c r="J912" i="47"/>
  <c r="H912" i="47" s="1" a="1"/>
  <c r="H912" i="47" s="1"/>
  <c r="G912" i="47" s="1" a="1"/>
  <c r="G912" i="47" s="1"/>
  <c r="K912" i="47" s="1"/>
  <c r="I912" i="47"/>
  <c r="E912" i="47"/>
  <c r="L911" i="47"/>
  <c r="J911" i="47"/>
  <c r="H911" i="47" s="1" a="1"/>
  <c r="H911" i="47" s="1"/>
  <c r="I911" i="47"/>
  <c r="E911" i="47"/>
  <c r="L910" i="47"/>
  <c r="J910" i="47"/>
  <c r="H910" i="47" s="1" a="1"/>
  <c r="H910" i="47" s="1"/>
  <c r="I910" i="47"/>
  <c r="E910" i="47"/>
  <c r="L909" i="47"/>
  <c r="J909" i="47"/>
  <c r="H909" i="47" s="1" a="1"/>
  <c r="H909" i="47" s="1"/>
  <c r="I909" i="47"/>
  <c r="E909" i="47"/>
  <c r="L908" i="47"/>
  <c r="J908" i="47"/>
  <c r="H908" i="47" s="1" a="1"/>
  <c r="H908" i="47" s="1"/>
  <c r="I908" i="47"/>
  <c r="E908" i="47"/>
  <c r="L907" i="47"/>
  <c r="J907" i="47"/>
  <c r="H907" i="47" s="1" a="1"/>
  <c r="H907" i="47" s="1"/>
  <c r="I907" i="47"/>
  <c r="E907" i="47"/>
  <c r="L906" i="47"/>
  <c r="J906" i="47"/>
  <c r="H906" i="47" s="1" a="1"/>
  <c r="H906" i="47" s="1"/>
  <c r="I906" i="47"/>
  <c r="E906" i="47"/>
  <c r="L905" i="47"/>
  <c r="J905" i="47"/>
  <c r="H905" i="47" s="1" a="1"/>
  <c r="H905" i="47" s="1"/>
  <c r="G905" i="47" s="1" a="1"/>
  <c r="G905" i="47" s="1"/>
  <c r="K905" i="47" s="1"/>
  <c r="I905" i="47"/>
  <c r="E905" i="47"/>
  <c r="L904" i="47"/>
  <c r="J904" i="47"/>
  <c r="H904" i="47" s="1" a="1"/>
  <c r="H904" i="47" s="1"/>
  <c r="I904" i="47"/>
  <c r="E904" i="47"/>
  <c r="L903" i="47"/>
  <c r="J903" i="47"/>
  <c r="H903" i="47" s="1" a="1"/>
  <c r="H903" i="47" s="1"/>
  <c r="I903" i="47"/>
  <c r="E903" i="47"/>
  <c r="L902" i="47"/>
  <c r="J902" i="47"/>
  <c r="H902" i="47" s="1" a="1"/>
  <c r="H902" i="47" s="1"/>
  <c r="G902" i="47" s="1" a="1"/>
  <c r="G902" i="47" s="1"/>
  <c r="K902" i="47" s="1"/>
  <c r="I902" i="47"/>
  <c r="E902" i="47"/>
  <c r="L901" i="47"/>
  <c r="J901" i="47"/>
  <c r="H901" i="47" s="1" a="1"/>
  <c r="H901" i="47" s="1"/>
  <c r="G901" i="47" s="1" a="1"/>
  <c r="G901" i="47" s="1"/>
  <c r="K901" i="47" s="1"/>
  <c r="I901" i="47"/>
  <c r="E901" i="47"/>
  <c r="L900" i="47"/>
  <c r="J900" i="47"/>
  <c r="H900" i="47" s="1" a="1"/>
  <c r="H900" i="47" s="1"/>
  <c r="I900" i="47"/>
  <c r="E900" i="47"/>
  <c r="L899" i="47"/>
  <c r="J899" i="47"/>
  <c r="H899" i="47" s="1" a="1"/>
  <c r="H899" i="47" s="1"/>
  <c r="I899" i="47"/>
  <c r="E899" i="47"/>
  <c r="L898" i="47"/>
  <c r="J898" i="47"/>
  <c r="H898" i="47" s="1" a="1"/>
  <c r="H898" i="47" s="1"/>
  <c r="G898" i="47" s="1" a="1"/>
  <c r="G898" i="47" s="1"/>
  <c r="K898" i="47" s="1"/>
  <c r="I898" i="47"/>
  <c r="E898" i="47"/>
  <c r="L897" i="47"/>
  <c r="J897" i="47"/>
  <c r="H897" i="47" s="1" a="1"/>
  <c r="H897" i="47" s="1"/>
  <c r="G897" i="47" s="1" a="1"/>
  <c r="G897" i="47" s="1"/>
  <c r="K897" i="47" s="1"/>
  <c r="I897" i="47"/>
  <c r="E897" i="47"/>
  <c r="L896" i="47"/>
  <c r="J896" i="47"/>
  <c r="H896" i="47" s="1" a="1"/>
  <c r="H896" i="47" s="1"/>
  <c r="I896" i="47"/>
  <c r="E896" i="47"/>
  <c r="L895" i="47"/>
  <c r="J895" i="47"/>
  <c r="H895" i="47" s="1" a="1"/>
  <c r="H895" i="47" s="1"/>
  <c r="I895" i="47"/>
  <c r="E895" i="47"/>
  <c r="L894" i="47"/>
  <c r="J894" i="47"/>
  <c r="H894" i="47" s="1" a="1"/>
  <c r="H894" i="47" s="1"/>
  <c r="G894" i="47" s="1" a="1"/>
  <c r="G894" i="47" s="1"/>
  <c r="K894" i="47" s="1"/>
  <c r="I894" i="47"/>
  <c r="E894" i="47"/>
  <c r="L893" i="47"/>
  <c r="J893" i="47"/>
  <c r="H893" i="47" s="1" a="1"/>
  <c r="H893" i="47" s="1"/>
  <c r="I893" i="47"/>
  <c r="E893" i="47"/>
  <c r="L892" i="47"/>
  <c r="J892" i="47"/>
  <c r="I892" i="47"/>
  <c r="H892" i="47" a="1"/>
  <c r="H892" i="47" s="1"/>
  <c r="E892" i="47"/>
  <c r="L891" i="47"/>
  <c r="J891" i="47"/>
  <c r="H891" i="47" s="1" a="1"/>
  <c r="H891" i="47" s="1"/>
  <c r="I891" i="47"/>
  <c r="E891" i="47"/>
  <c r="L890" i="47"/>
  <c r="J890" i="47"/>
  <c r="H890" i="47" s="1" a="1"/>
  <c r="H890" i="47" s="1"/>
  <c r="I890" i="47"/>
  <c r="E890" i="47"/>
  <c r="L889" i="47"/>
  <c r="J889" i="47"/>
  <c r="H889" i="47" s="1" a="1"/>
  <c r="H889" i="47" s="1"/>
  <c r="I889" i="47"/>
  <c r="E889" i="47"/>
  <c r="L888" i="47"/>
  <c r="J888" i="47"/>
  <c r="H888" i="47" s="1" a="1"/>
  <c r="H888" i="47" s="1"/>
  <c r="I888" i="47"/>
  <c r="E888" i="47"/>
  <c r="L887" i="47"/>
  <c r="J887" i="47"/>
  <c r="H887" i="47" s="1" a="1"/>
  <c r="H887" i="47" s="1"/>
  <c r="G887" i="47" s="1" a="1"/>
  <c r="G887" i="47" s="1"/>
  <c r="K887" i="47" s="1"/>
  <c r="I887" i="47"/>
  <c r="E887" i="47"/>
  <c r="L886" i="47"/>
  <c r="J886" i="47"/>
  <c r="H886" i="47" s="1" a="1"/>
  <c r="H886" i="47" s="1"/>
  <c r="G886" i="47" s="1" a="1"/>
  <c r="G886" i="47" s="1"/>
  <c r="K886" i="47" s="1"/>
  <c r="I886" i="47"/>
  <c r="E886" i="47"/>
  <c r="L885" i="47"/>
  <c r="J885" i="47"/>
  <c r="H885" i="47" s="1" a="1"/>
  <c r="H885" i="47" s="1"/>
  <c r="I885" i="47"/>
  <c r="E885" i="47"/>
  <c r="L884" i="47"/>
  <c r="J884" i="47"/>
  <c r="H884" i="47" s="1" a="1"/>
  <c r="H884" i="47" s="1"/>
  <c r="I884" i="47"/>
  <c r="E884" i="47"/>
  <c r="L883" i="47"/>
  <c r="J883" i="47"/>
  <c r="H883" i="47" s="1" a="1"/>
  <c r="H883" i="47" s="1"/>
  <c r="I883" i="47"/>
  <c r="L882" i="47"/>
  <c r="J882" i="47"/>
  <c r="I882" i="47"/>
  <c r="E882" i="47"/>
  <c r="L881" i="47"/>
  <c r="J881" i="47"/>
  <c r="H881" i="47" s="1" a="1"/>
  <c r="H881" i="47" s="1"/>
  <c r="I881" i="47"/>
  <c r="E881" i="47"/>
  <c r="L880" i="47"/>
  <c r="J880" i="47"/>
  <c r="H880" i="47" s="1" a="1"/>
  <c r="H880" i="47" s="1"/>
  <c r="I880" i="47"/>
  <c r="E880" i="47"/>
  <c r="L879" i="47"/>
  <c r="J879" i="47"/>
  <c r="H879" i="47" s="1" a="1"/>
  <c r="H879" i="47" s="1"/>
  <c r="G879" i="47" s="1" a="1"/>
  <c r="G879" i="47" s="1"/>
  <c r="K879" i="47" s="1"/>
  <c r="I879" i="47"/>
  <c r="L878" i="47"/>
  <c r="J878" i="47"/>
  <c r="I878" i="47"/>
  <c r="E878" i="47"/>
  <c r="L877" i="47"/>
  <c r="J877" i="47"/>
  <c r="I877" i="47"/>
  <c r="E877" i="47"/>
  <c r="L876" i="47"/>
  <c r="J876" i="47"/>
  <c r="I876" i="47"/>
  <c r="H876" i="47" a="1"/>
  <c r="H876" i="47" s="1"/>
  <c r="E876" i="47"/>
  <c r="L875" i="47"/>
  <c r="J875" i="47"/>
  <c r="H875" i="47" s="1" a="1"/>
  <c r="H875" i="47" s="1"/>
  <c r="I875" i="47"/>
  <c r="L874" i="47"/>
  <c r="J874" i="47"/>
  <c r="I874" i="47"/>
  <c r="E874" i="47"/>
  <c r="L873" i="47"/>
  <c r="J873" i="47"/>
  <c r="H873" i="47" s="1" a="1"/>
  <c r="H873" i="47" s="1"/>
  <c r="I873" i="47"/>
  <c r="E873" i="47"/>
  <c r="L872" i="47"/>
  <c r="J872" i="47"/>
  <c r="H872" i="47" s="1" a="1"/>
  <c r="H872" i="47" s="1"/>
  <c r="I872" i="47"/>
  <c r="L871" i="47"/>
  <c r="J871" i="47"/>
  <c r="I871" i="47"/>
  <c r="E871" i="47"/>
  <c r="L870" i="47"/>
  <c r="J870" i="47"/>
  <c r="H870" i="47" s="1" a="1"/>
  <c r="H870" i="47" s="1"/>
  <c r="G870" i="47" s="1" a="1"/>
  <c r="G870" i="47" s="1"/>
  <c r="K870" i="47" s="1"/>
  <c r="I870" i="47"/>
  <c r="L869" i="47"/>
  <c r="J869" i="47"/>
  <c r="H869" i="47" s="1" a="1"/>
  <c r="H869" i="47" s="1"/>
  <c r="I869" i="47"/>
  <c r="E869" i="47"/>
  <c r="L868" i="47"/>
  <c r="J868" i="47"/>
  <c r="H868" i="47" s="1" a="1"/>
  <c r="H868" i="47" s="1"/>
  <c r="I868" i="47"/>
  <c r="L867" i="47"/>
  <c r="J867" i="47"/>
  <c r="H867" i="47" s="1" a="1"/>
  <c r="H867" i="47" s="1"/>
  <c r="I867" i="47"/>
  <c r="L866" i="47"/>
  <c r="J866" i="47"/>
  <c r="H866" i="47" s="1" a="1"/>
  <c r="H866" i="47" s="1"/>
  <c r="G866" i="47" s="1" a="1"/>
  <c r="G866" i="47" s="1"/>
  <c r="I866" i="47"/>
  <c r="E866" i="47"/>
  <c r="L865" i="47"/>
  <c r="J865" i="47"/>
  <c r="I865" i="47"/>
  <c r="F865" i="47" a="1"/>
  <c r="L863" i="47"/>
  <c r="J863" i="47"/>
  <c r="H863" i="47" s="1" a="1"/>
  <c r="H863" i="47" s="1"/>
  <c r="I863" i="47"/>
  <c r="E863" i="47"/>
  <c r="L862" i="47"/>
  <c r="J862" i="47"/>
  <c r="H862" i="47" s="1" a="1"/>
  <c r="H862" i="47" s="1"/>
  <c r="G862" i="47" s="1" a="1"/>
  <c r="G862" i="47" s="1"/>
  <c r="K862" i="47" s="1"/>
  <c r="I862" i="47"/>
  <c r="E862" i="47"/>
  <c r="L861" i="47"/>
  <c r="J861" i="47"/>
  <c r="H861" i="47" s="1" a="1"/>
  <c r="H861" i="47" s="1"/>
  <c r="I861" i="47"/>
  <c r="E861" i="47"/>
  <c r="L860" i="47"/>
  <c r="J860" i="47"/>
  <c r="H860" i="47" s="1" a="1"/>
  <c r="H860" i="47" s="1"/>
  <c r="I860" i="47"/>
  <c r="E860" i="47"/>
  <c r="L859" i="47"/>
  <c r="J859" i="47"/>
  <c r="I859" i="47"/>
  <c r="H859" i="47" a="1"/>
  <c r="H859" i="47" s="1"/>
  <c r="E859" i="47"/>
  <c r="L858" i="47"/>
  <c r="J858" i="47"/>
  <c r="H858" i="47" s="1" a="1"/>
  <c r="H858" i="47" s="1"/>
  <c r="I858" i="47"/>
  <c r="E858" i="47"/>
  <c r="L857" i="47"/>
  <c r="J857" i="47"/>
  <c r="H857" i="47" s="1" a="1"/>
  <c r="H857" i="47" s="1"/>
  <c r="I857" i="47"/>
  <c r="E857" i="47"/>
  <c r="L856" i="47"/>
  <c r="J856" i="47"/>
  <c r="I856" i="47"/>
  <c r="H856" i="47" a="1"/>
  <c r="H856" i="47" s="1"/>
  <c r="G856" i="47" s="1" a="1"/>
  <c r="G856" i="47" s="1"/>
  <c r="K856" i="47" s="1"/>
  <c r="E856" i="47"/>
  <c r="L855" i="47"/>
  <c r="J855" i="47"/>
  <c r="H855" i="47" s="1" a="1"/>
  <c r="H855" i="47" s="1"/>
  <c r="I855" i="47"/>
  <c r="E855" i="47"/>
  <c r="L854" i="47"/>
  <c r="J854" i="47"/>
  <c r="H854" i="47" s="1" a="1"/>
  <c r="H854" i="47" s="1"/>
  <c r="G854" i="47" s="1" a="1"/>
  <c r="G854" i="47" s="1"/>
  <c r="K854" i="47" s="1"/>
  <c r="I854" i="47"/>
  <c r="E854" i="47"/>
  <c r="L853" i="47"/>
  <c r="J853" i="47"/>
  <c r="I853" i="47"/>
  <c r="H853" i="47" a="1"/>
  <c r="H853" i="47" s="1"/>
  <c r="E853" i="47"/>
  <c r="L852" i="47"/>
  <c r="J852" i="47"/>
  <c r="H852" i="47" s="1" a="1"/>
  <c r="H852" i="47" s="1"/>
  <c r="G852" i="47" s="1" a="1"/>
  <c r="G852" i="47" s="1"/>
  <c r="K852" i="47" s="1"/>
  <c r="I852" i="47"/>
  <c r="E852" i="47"/>
  <c r="L851" i="47"/>
  <c r="J851" i="47"/>
  <c r="H851" i="47" s="1" a="1"/>
  <c r="H851" i="47" s="1"/>
  <c r="I851" i="47"/>
  <c r="E851" i="47"/>
  <c r="L850" i="47"/>
  <c r="J850" i="47"/>
  <c r="H850" i="47" s="1" a="1"/>
  <c r="H850" i="47" s="1"/>
  <c r="G850" i="47" s="1" a="1"/>
  <c r="G850" i="47" s="1"/>
  <c r="I850" i="47"/>
  <c r="E850" i="47"/>
  <c r="L849" i="47"/>
  <c r="J849" i="47"/>
  <c r="H849" i="47" s="1" a="1"/>
  <c r="H849" i="47" s="1"/>
  <c r="I849" i="47"/>
  <c r="E849" i="47"/>
  <c r="L848" i="47"/>
  <c r="J848" i="47"/>
  <c r="H848" i="47" s="1" a="1"/>
  <c r="H848" i="47" s="1"/>
  <c r="I848" i="47"/>
  <c r="E848" i="47"/>
  <c r="L847" i="47"/>
  <c r="J847" i="47"/>
  <c r="H847" i="47" s="1" a="1"/>
  <c r="H847" i="47" s="1"/>
  <c r="I847" i="47"/>
  <c r="E847" i="47"/>
  <c r="L846" i="47"/>
  <c r="J846" i="47"/>
  <c r="H846" i="47" s="1" a="1"/>
  <c r="H846" i="47" s="1"/>
  <c r="I846" i="47"/>
  <c r="E846" i="47"/>
  <c r="L845" i="47"/>
  <c r="J845" i="47"/>
  <c r="H845" i="47" s="1" a="1"/>
  <c r="H845" i="47" s="1"/>
  <c r="I845" i="47"/>
  <c r="E845" i="47"/>
  <c r="L844" i="47"/>
  <c r="J844" i="47"/>
  <c r="H844" i="47" s="1" a="1"/>
  <c r="H844" i="47" s="1"/>
  <c r="G844" i="47" s="1" a="1"/>
  <c r="G844" i="47" s="1"/>
  <c r="K844" i="47" s="1"/>
  <c r="I844" i="47"/>
  <c r="E844" i="47"/>
  <c r="L843" i="47"/>
  <c r="J843" i="47"/>
  <c r="H843" i="47" s="1" a="1"/>
  <c r="H843" i="47" s="1"/>
  <c r="I843" i="47"/>
  <c r="E843" i="47"/>
  <c r="L842" i="47"/>
  <c r="J842" i="47"/>
  <c r="H842" i="47" s="1" a="1"/>
  <c r="H842" i="47" s="1"/>
  <c r="G842" i="47" s="1" a="1"/>
  <c r="G842" i="47" s="1"/>
  <c r="I842" i="47"/>
  <c r="E842" i="47"/>
  <c r="L841" i="47"/>
  <c r="J841" i="47"/>
  <c r="H841" i="47" s="1" a="1"/>
  <c r="H841" i="47" s="1"/>
  <c r="G841" i="47" s="1" a="1"/>
  <c r="G841" i="47" s="1"/>
  <c r="K841" i="47" s="1"/>
  <c r="I841" i="47"/>
  <c r="E841" i="47"/>
  <c r="L840" i="47"/>
  <c r="J840" i="47"/>
  <c r="H840" i="47" s="1" a="1"/>
  <c r="H840" i="47" s="1"/>
  <c r="G840" i="47" s="1" a="1"/>
  <c r="G840" i="47" s="1"/>
  <c r="K840" i="47" s="1"/>
  <c r="I840" i="47"/>
  <c r="E840" i="47"/>
  <c r="L839" i="47"/>
  <c r="J839" i="47"/>
  <c r="H839" i="47" s="1" a="1"/>
  <c r="H839" i="47" s="1"/>
  <c r="G839" i="47" s="1" a="1"/>
  <c r="G839" i="47" s="1"/>
  <c r="K839" i="47" s="1"/>
  <c r="I839" i="47"/>
  <c r="E839" i="47"/>
  <c r="L838" i="47"/>
  <c r="J838" i="47"/>
  <c r="H838" i="47" s="1" a="1"/>
  <c r="H838" i="47" s="1"/>
  <c r="G838" i="47" s="1" a="1"/>
  <c r="G838" i="47" s="1"/>
  <c r="I838" i="47"/>
  <c r="E838" i="47"/>
  <c r="L837" i="47"/>
  <c r="J837" i="47"/>
  <c r="H837" i="47" s="1" a="1"/>
  <c r="H837" i="47" s="1"/>
  <c r="I837" i="47"/>
  <c r="E837" i="47"/>
  <c r="L836" i="47"/>
  <c r="J836" i="47"/>
  <c r="H836" i="47" s="1" a="1"/>
  <c r="I836" i="47"/>
  <c r="H836" i="47"/>
  <c r="G836" i="47" s="1" a="1"/>
  <c r="G836" i="47" s="1"/>
  <c r="K836" i="47" s="1"/>
  <c r="E836" i="47"/>
  <c r="L835" i="47"/>
  <c r="J835" i="47"/>
  <c r="H835" i="47" s="1" a="1"/>
  <c r="H835" i="47" s="1"/>
  <c r="I835" i="47"/>
  <c r="E835" i="47"/>
  <c r="L834" i="47"/>
  <c r="J834" i="47"/>
  <c r="H834" i="47" s="1" a="1"/>
  <c r="H834" i="47" s="1"/>
  <c r="I834" i="47"/>
  <c r="E834" i="47"/>
  <c r="L833" i="47"/>
  <c r="J833" i="47"/>
  <c r="H833" i="47" s="1" a="1"/>
  <c r="H833" i="47" s="1"/>
  <c r="I833" i="47"/>
  <c r="E833" i="47"/>
  <c r="L832" i="47"/>
  <c r="J832" i="47"/>
  <c r="H832" i="47" s="1" a="1"/>
  <c r="H832" i="47" s="1"/>
  <c r="I832" i="47"/>
  <c r="E832" i="47"/>
  <c r="L831" i="47"/>
  <c r="J831" i="47"/>
  <c r="I831" i="47"/>
  <c r="L830" i="47"/>
  <c r="J830" i="47"/>
  <c r="I830" i="47"/>
  <c r="L829" i="47"/>
  <c r="J829" i="47"/>
  <c r="I829" i="47"/>
  <c r="L828" i="47"/>
  <c r="J828" i="47"/>
  <c r="I828" i="47"/>
  <c r="L827" i="47"/>
  <c r="J827" i="47"/>
  <c r="I827" i="47"/>
  <c r="L826" i="47"/>
  <c r="J826" i="47"/>
  <c r="I826" i="47"/>
  <c r="L825" i="47"/>
  <c r="J825" i="47"/>
  <c r="I825" i="47"/>
  <c r="L824" i="47"/>
  <c r="J824" i="47"/>
  <c r="I824" i="47"/>
  <c r="L823" i="47"/>
  <c r="J823" i="47"/>
  <c r="I823" i="47"/>
  <c r="L822" i="47"/>
  <c r="J822" i="47"/>
  <c r="I822" i="47"/>
  <c r="L821" i="47"/>
  <c r="J821" i="47"/>
  <c r="I821" i="47"/>
  <c r="L820" i="47"/>
  <c r="J820" i="47"/>
  <c r="I820" i="47"/>
  <c r="L819" i="47"/>
  <c r="J819" i="47"/>
  <c r="I819" i="47"/>
  <c r="L818" i="47"/>
  <c r="J818" i="47"/>
  <c r="I818" i="47"/>
  <c r="L817" i="47"/>
  <c r="J817" i="47"/>
  <c r="I817" i="47"/>
  <c r="L816" i="47"/>
  <c r="J816" i="47"/>
  <c r="I816" i="47"/>
  <c r="L815" i="47"/>
  <c r="J815" i="47"/>
  <c r="I815" i="47"/>
  <c r="F815" i="47" a="1"/>
  <c r="L813" i="47"/>
  <c r="J813" i="47"/>
  <c r="H813" i="47" s="1" a="1"/>
  <c r="H813" i="47" s="1"/>
  <c r="I813" i="47"/>
  <c r="E813" i="47"/>
  <c r="L812" i="47"/>
  <c r="J812" i="47"/>
  <c r="H812" i="47" s="1" a="1"/>
  <c r="H812" i="47" s="1"/>
  <c r="I812" i="47"/>
  <c r="E812" i="47"/>
  <c r="L811" i="47"/>
  <c r="J811" i="47"/>
  <c r="H811" i="47" s="1" a="1"/>
  <c r="H811" i="47" s="1"/>
  <c r="G811" i="47" s="1" a="1"/>
  <c r="G811" i="47" s="1"/>
  <c r="I811" i="47"/>
  <c r="E811" i="47"/>
  <c r="L810" i="47"/>
  <c r="J810" i="47"/>
  <c r="H810" i="47" s="1" a="1"/>
  <c r="H810" i="47" s="1"/>
  <c r="I810" i="47"/>
  <c r="E810" i="47"/>
  <c r="L809" i="47"/>
  <c r="J809" i="47"/>
  <c r="H809" i="47" s="1" a="1"/>
  <c r="H809" i="47" s="1"/>
  <c r="I809" i="47"/>
  <c r="E809" i="47"/>
  <c r="L808" i="47"/>
  <c r="J808" i="47"/>
  <c r="H808" i="47" s="1" a="1"/>
  <c r="H808" i="47" s="1"/>
  <c r="I808" i="47"/>
  <c r="E808" i="47"/>
  <c r="L807" i="47"/>
  <c r="J807" i="47"/>
  <c r="H807" i="47" s="1" a="1"/>
  <c r="H807" i="47" s="1"/>
  <c r="I807" i="47"/>
  <c r="E807" i="47"/>
  <c r="L806" i="47"/>
  <c r="J806" i="47"/>
  <c r="H806" i="47" s="1" a="1"/>
  <c r="H806" i="47" s="1"/>
  <c r="I806" i="47"/>
  <c r="E806" i="47"/>
  <c r="L805" i="47"/>
  <c r="J805" i="47"/>
  <c r="H805" i="47" s="1" a="1"/>
  <c r="H805" i="47" s="1"/>
  <c r="G805" i="47" s="1" a="1"/>
  <c r="G805" i="47" s="1"/>
  <c r="I805" i="47"/>
  <c r="E805" i="47"/>
  <c r="L804" i="47"/>
  <c r="J804" i="47"/>
  <c r="H804" i="47" s="1" a="1"/>
  <c r="H804" i="47" s="1"/>
  <c r="I804" i="47"/>
  <c r="E804" i="47"/>
  <c r="L803" i="47"/>
  <c r="J803" i="47"/>
  <c r="H803" i="47" s="1" a="1"/>
  <c r="H803" i="47" s="1"/>
  <c r="I803" i="47"/>
  <c r="E803" i="47"/>
  <c r="L802" i="47"/>
  <c r="J802" i="47"/>
  <c r="H802" i="47" s="1" a="1"/>
  <c r="H802" i="47" s="1"/>
  <c r="I802" i="47"/>
  <c r="E802" i="47"/>
  <c r="L801" i="47"/>
  <c r="J801" i="47"/>
  <c r="H801" i="47" s="1" a="1"/>
  <c r="H801" i="47" s="1"/>
  <c r="I801" i="47"/>
  <c r="E801" i="47"/>
  <c r="L800" i="47"/>
  <c r="J800" i="47"/>
  <c r="H800" i="47" s="1" a="1"/>
  <c r="H800" i="47" s="1"/>
  <c r="I800" i="47"/>
  <c r="E800" i="47"/>
  <c r="L799" i="47"/>
  <c r="J799" i="47"/>
  <c r="H799" i="47" s="1" a="1"/>
  <c r="H799" i="47" s="1"/>
  <c r="G799" i="47" s="1" a="1"/>
  <c r="G799" i="47" s="1"/>
  <c r="I799" i="47"/>
  <c r="E799" i="47"/>
  <c r="L798" i="47"/>
  <c r="J798" i="47"/>
  <c r="I798" i="47"/>
  <c r="H798" i="47" a="1"/>
  <c r="H798" i="47" s="1"/>
  <c r="E798" i="47"/>
  <c r="L797" i="47"/>
  <c r="J797" i="47"/>
  <c r="H797" i="47" s="1" a="1"/>
  <c r="I797" i="47"/>
  <c r="H797" i="47"/>
  <c r="G797" i="47" s="1" a="1"/>
  <c r="G797" i="47" s="1"/>
  <c r="K797" i="47" s="1"/>
  <c r="E797" i="47"/>
  <c r="L796" i="47"/>
  <c r="J796" i="47"/>
  <c r="H796" i="47" s="1" a="1"/>
  <c r="H796" i="47" s="1"/>
  <c r="G796" i="47" s="1" a="1"/>
  <c r="G796" i="47" s="1"/>
  <c r="K796" i="47" s="1"/>
  <c r="I796" i="47"/>
  <c r="E796" i="47"/>
  <c r="L795" i="47"/>
  <c r="J795" i="47"/>
  <c r="H795" i="47" s="1" a="1"/>
  <c r="H795" i="47" s="1"/>
  <c r="G795" i="47" s="1" a="1"/>
  <c r="G795" i="47" s="1"/>
  <c r="K795" i="47" s="1"/>
  <c r="I795" i="47"/>
  <c r="E795" i="47"/>
  <c r="L794" i="47"/>
  <c r="J794" i="47"/>
  <c r="H794" i="47" s="1" a="1"/>
  <c r="H794" i="47" s="1"/>
  <c r="I794" i="47"/>
  <c r="E794" i="47"/>
  <c r="L793" i="47"/>
  <c r="J793" i="47"/>
  <c r="H793" i="47" s="1" a="1"/>
  <c r="H793" i="47" s="1"/>
  <c r="I793" i="47"/>
  <c r="E793" i="47"/>
  <c r="L792" i="47"/>
  <c r="J792" i="47"/>
  <c r="H792" i="47" s="1" a="1"/>
  <c r="H792" i="47" s="1"/>
  <c r="G792" i="47" s="1" a="1"/>
  <c r="G792" i="47" s="1"/>
  <c r="K792" i="47" s="1"/>
  <c r="I792" i="47"/>
  <c r="E792" i="47"/>
  <c r="L791" i="47"/>
  <c r="J791" i="47"/>
  <c r="H791" i="47" s="1" a="1"/>
  <c r="H791" i="47" s="1"/>
  <c r="I791" i="47"/>
  <c r="E791" i="47"/>
  <c r="L790" i="47"/>
  <c r="J790" i="47"/>
  <c r="H790" i="47" s="1" a="1"/>
  <c r="H790" i="47" s="1"/>
  <c r="I790" i="47"/>
  <c r="E790" i="47"/>
  <c r="L789" i="47"/>
  <c r="J789" i="47"/>
  <c r="H789" i="47" s="1" a="1"/>
  <c r="H789" i="47" s="1"/>
  <c r="I789" i="47"/>
  <c r="E789" i="47"/>
  <c r="L788" i="47"/>
  <c r="J788" i="47"/>
  <c r="H788" i="47" s="1" a="1"/>
  <c r="H788" i="47" s="1"/>
  <c r="I788" i="47"/>
  <c r="E788" i="47"/>
  <c r="L787" i="47"/>
  <c r="J787" i="47"/>
  <c r="H787" i="47" s="1" a="1"/>
  <c r="H787" i="47" s="1"/>
  <c r="I787" i="47"/>
  <c r="E787" i="47"/>
  <c r="L786" i="47"/>
  <c r="J786" i="47"/>
  <c r="H786" i="47" s="1" a="1"/>
  <c r="H786" i="47" s="1"/>
  <c r="G786" i="47" s="1" a="1"/>
  <c r="G786" i="47" s="1"/>
  <c r="I786" i="47"/>
  <c r="E786" i="47"/>
  <c r="L785" i="47"/>
  <c r="J785" i="47"/>
  <c r="H785" i="47" s="1" a="1"/>
  <c r="H785" i="47" s="1"/>
  <c r="G785" i="47" s="1" a="1"/>
  <c r="G785" i="47" s="1"/>
  <c r="K785" i="47" s="1"/>
  <c r="I785" i="47"/>
  <c r="E785" i="47"/>
  <c r="L784" i="47"/>
  <c r="J784" i="47"/>
  <c r="H784" i="47" s="1" a="1"/>
  <c r="H784" i="47" s="1"/>
  <c r="G784" i="47" s="1" a="1"/>
  <c r="G784" i="47" s="1"/>
  <c r="K784" i="47" s="1"/>
  <c r="I784" i="47"/>
  <c r="E784" i="47"/>
  <c r="L783" i="47"/>
  <c r="J783" i="47"/>
  <c r="H783" i="47" s="1" a="1"/>
  <c r="H783" i="47" s="1"/>
  <c r="I783" i="47"/>
  <c r="E783" i="47"/>
  <c r="L782" i="47"/>
  <c r="J782" i="47"/>
  <c r="H782" i="47" s="1" a="1"/>
  <c r="H782" i="47" s="1"/>
  <c r="I782" i="47"/>
  <c r="E782" i="47"/>
  <c r="L781" i="47"/>
  <c r="J781" i="47"/>
  <c r="H781" i="47" s="1" a="1"/>
  <c r="H781" i="47" s="1"/>
  <c r="G781" i="47" s="1" a="1"/>
  <c r="G781" i="47" s="1"/>
  <c r="K781" i="47" s="1"/>
  <c r="I781" i="47"/>
  <c r="E781" i="47"/>
  <c r="L780" i="47"/>
  <c r="J780" i="47"/>
  <c r="I780" i="47"/>
  <c r="L779" i="47"/>
  <c r="J779" i="47"/>
  <c r="I779" i="47"/>
  <c r="L778" i="47"/>
  <c r="J778" i="47"/>
  <c r="I778" i="47"/>
  <c r="L777" i="47"/>
  <c r="J777" i="47"/>
  <c r="I777" i="47"/>
  <c r="L776" i="47"/>
  <c r="J776" i="47"/>
  <c r="I776" i="47"/>
  <c r="L775" i="47"/>
  <c r="J775" i="47"/>
  <c r="I775" i="47"/>
  <c r="L774" i="47"/>
  <c r="J774" i="47"/>
  <c r="I774" i="47"/>
  <c r="L773" i="47"/>
  <c r="J773" i="47"/>
  <c r="I773" i="47"/>
  <c r="L772" i="47"/>
  <c r="J772" i="47"/>
  <c r="I772" i="47"/>
  <c r="L771" i="47"/>
  <c r="J771" i="47"/>
  <c r="I771" i="47"/>
  <c r="L770" i="47"/>
  <c r="J770" i="47"/>
  <c r="I770" i="47"/>
  <c r="L769" i="47"/>
  <c r="J769" i="47"/>
  <c r="I769" i="47"/>
  <c r="L768" i="47"/>
  <c r="J768" i="47"/>
  <c r="I768" i="47"/>
  <c r="L767" i="47"/>
  <c r="J767" i="47"/>
  <c r="I767" i="47"/>
  <c r="L766" i="47"/>
  <c r="J766" i="47"/>
  <c r="I766" i="47"/>
  <c r="L765" i="47"/>
  <c r="J765" i="47"/>
  <c r="I765" i="47"/>
  <c r="F765" i="47" a="1"/>
  <c r="L763" i="47"/>
  <c r="J763" i="47"/>
  <c r="I763" i="47"/>
  <c r="H763" i="47" a="1"/>
  <c r="H763" i="47" s="1"/>
  <c r="E763" i="47"/>
  <c r="L762" i="47"/>
  <c r="J762" i="47"/>
  <c r="H762" i="47" s="1" a="1"/>
  <c r="H762" i="47" s="1"/>
  <c r="G762" i="47" s="1" a="1"/>
  <c r="G762" i="47" s="1"/>
  <c r="K762" i="47" s="1"/>
  <c r="I762" i="47"/>
  <c r="E762" i="47"/>
  <c r="L761" i="47"/>
  <c r="J761" i="47"/>
  <c r="H761" i="47" s="1" a="1"/>
  <c r="H761" i="47" s="1"/>
  <c r="I761" i="47"/>
  <c r="E761" i="47"/>
  <c r="L760" i="47"/>
  <c r="J760" i="47"/>
  <c r="H760" i="47" s="1" a="1"/>
  <c r="H760" i="47" s="1"/>
  <c r="G760" i="47" s="1" a="1"/>
  <c r="G760" i="47" s="1"/>
  <c r="K760" i="47" s="1"/>
  <c r="I760" i="47"/>
  <c r="E760" i="47"/>
  <c r="L759" i="47"/>
  <c r="J759" i="47"/>
  <c r="H759" i="47" s="1" a="1"/>
  <c r="H759" i="47" s="1"/>
  <c r="I759" i="47"/>
  <c r="E759" i="47"/>
  <c r="L758" i="47"/>
  <c r="J758" i="47"/>
  <c r="H758" i="47" s="1" a="1"/>
  <c r="H758" i="47" s="1"/>
  <c r="I758" i="47"/>
  <c r="E758" i="47"/>
  <c r="L757" i="47"/>
  <c r="J757" i="47"/>
  <c r="H757" i="47" s="1" a="1"/>
  <c r="H757" i="47" s="1"/>
  <c r="G757" i="47" s="1" a="1"/>
  <c r="G757" i="47" s="1"/>
  <c r="I757" i="47"/>
  <c r="E757" i="47"/>
  <c r="L756" i="47"/>
  <c r="J756" i="47"/>
  <c r="H756" i="47" s="1" a="1"/>
  <c r="H756" i="47" s="1"/>
  <c r="I756" i="47"/>
  <c r="E756" i="47"/>
  <c r="L755" i="47"/>
  <c r="J755" i="47"/>
  <c r="H755" i="47" s="1" a="1"/>
  <c r="H755" i="47" s="1"/>
  <c r="G755" i="47" s="1" a="1"/>
  <c r="G755" i="47" s="1"/>
  <c r="K755" i="47" s="1"/>
  <c r="I755" i="47"/>
  <c r="E755" i="47"/>
  <c r="L754" i="47"/>
  <c r="J754" i="47"/>
  <c r="H754" i="47" s="1" a="1"/>
  <c r="H754" i="47" s="1"/>
  <c r="G754" i="47" s="1" a="1"/>
  <c r="G754" i="47" s="1"/>
  <c r="K754" i="47" s="1"/>
  <c r="I754" i="47"/>
  <c r="E754" i="47"/>
  <c r="L753" i="47"/>
  <c r="J753" i="47"/>
  <c r="H753" i="47" s="1" a="1"/>
  <c r="H753" i="47" s="1"/>
  <c r="I753" i="47"/>
  <c r="E753" i="47"/>
  <c r="L752" i="47"/>
  <c r="J752" i="47"/>
  <c r="H752" i="47" s="1" a="1"/>
  <c r="H752" i="47" s="1"/>
  <c r="I752" i="47"/>
  <c r="E752" i="47"/>
  <c r="L751" i="47"/>
  <c r="J751" i="47"/>
  <c r="H751" i="47" s="1" a="1"/>
  <c r="H751" i="47" s="1"/>
  <c r="I751" i="47"/>
  <c r="E751" i="47"/>
  <c r="L750" i="47"/>
  <c r="J750" i="47"/>
  <c r="I750" i="47"/>
  <c r="H750" i="47" a="1"/>
  <c r="H750" i="47" s="1"/>
  <c r="G750" i="47" s="1" a="1"/>
  <c r="G750" i="47" s="1"/>
  <c r="K750" i="47" s="1"/>
  <c r="E750" i="47"/>
  <c r="L749" i="47"/>
  <c r="J749" i="47"/>
  <c r="H749" i="47" s="1" a="1"/>
  <c r="H749" i="47" s="1"/>
  <c r="G749" i="47" s="1" a="1"/>
  <c r="G749" i="47" s="1"/>
  <c r="K749" i="47" s="1"/>
  <c r="I749" i="47"/>
  <c r="E749" i="47"/>
  <c r="L748" i="47"/>
  <c r="J748" i="47"/>
  <c r="H748" i="47" s="1" a="1"/>
  <c r="H748" i="47" s="1"/>
  <c r="I748" i="47"/>
  <c r="E748" i="47"/>
  <c r="L747" i="47"/>
  <c r="J747" i="47"/>
  <c r="H747" i="47" s="1" a="1"/>
  <c r="H747" i="47" s="1"/>
  <c r="G747" i="47" s="1" a="1"/>
  <c r="G747" i="47" s="1"/>
  <c r="K747" i="47" s="1"/>
  <c r="I747" i="47"/>
  <c r="E747" i="47"/>
  <c r="L746" i="47"/>
  <c r="J746" i="47"/>
  <c r="H746" i="47" s="1" a="1"/>
  <c r="H746" i="47" s="1"/>
  <c r="I746" i="47"/>
  <c r="E746" i="47"/>
  <c r="L745" i="47"/>
  <c r="J745" i="47"/>
  <c r="H745" i="47" s="1" a="1"/>
  <c r="H745" i="47" s="1"/>
  <c r="I745" i="47"/>
  <c r="E745" i="47"/>
  <c r="L744" i="47"/>
  <c r="J744" i="47"/>
  <c r="H744" i="47" s="1" a="1"/>
  <c r="H744" i="47" s="1"/>
  <c r="I744" i="47"/>
  <c r="E744" i="47"/>
  <c r="L743" i="47"/>
  <c r="J743" i="47"/>
  <c r="H743" i="47" s="1" a="1"/>
  <c r="H743" i="47" s="1"/>
  <c r="I743" i="47"/>
  <c r="E743" i="47"/>
  <c r="L742" i="47"/>
  <c r="J742" i="47"/>
  <c r="I742" i="47"/>
  <c r="H742" i="47" a="1"/>
  <c r="H742" i="47" s="1"/>
  <c r="G742" i="47" s="1" a="1"/>
  <c r="G742" i="47" s="1"/>
  <c r="K742" i="47" s="1"/>
  <c r="E742" i="47"/>
  <c r="L741" i="47"/>
  <c r="J741" i="47"/>
  <c r="I741" i="47"/>
  <c r="H741" i="47" a="1"/>
  <c r="H741" i="47" s="1"/>
  <c r="G741" i="47" s="1" a="1"/>
  <c r="G741" i="47" s="1"/>
  <c r="K741" i="47" s="1"/>
  <c r="E741" i="47"/>
  <c r="L740" i="47"/>
  <c r="J740" i="47"/>
  <c r="H740" i="47" s="1" a="1"/>
  <c r="H740" i="47" s="1"/>
  <c r="I740" i="47"/>
  <c r="E740" i="47"/>
  <c r="L739" i="47"/>
  <c r="J739" i="47"/>
  <c r="H739" i="47" s="1" a="1"/>
  <c r="H739" i="47" s="1"/>
  <c r="G739" i="47" s="1" a="1"/>
  <c r="G739" i="47" s="1"/>
  <c r="I739" i="47"/>
  <c r="E739" i="47"/>
  <c r="L738" i="47"/>
  <c r="J738" i="47"/>
  <c r="H738" i="47" s="1" a="1"/>
  <c r="H738" i="47" s="1"/>
  <c r="I738" i="47"/>
  <c r="E738" i="47"/>
  <c r="L737" i="47"/>
  <c r="J737" i="47"/>
  <c r="H737" i="47" s="1" a="1"/>
  <c r="H737" i="47" s="1"/>
  <c r="I737" i="47"/>
  <c r="E737" i="47"/>
  <c r="L736" i="47"/>
  <c r="J736" i="47"/>
  <c r="H736" i="47" s="1" a="1"/>
  <c r="H736" i="47" s="1"/>
  <c r="G736" i="47" s="1" a="1"/>
  <c r="G736" i="47" s="1"/>
  <c r="I736" i="47"/>
  <c r="E736" i="47"/>
  <c r="L735" i="47"/>
  <c r="J735" i="47"/>
  <c r="I735" i="47"/>
  <c r="H735" i="47" a="1"/>
  <c r="H735" i="47" s="1"/>
  <c r="E735" i="47"/>
  <c r="L734" i="47"/>
  <c r="J734" i="47"/>
  <c r="I734" i="47"/>
  <c r="L733" i="47"/>
  <c r="J733" i="47"/>
  <c r="I733" i="47"/>
  <c r="L732" i="47"/>
  <c r="J732" i="47"/>
  <c r="I732" i="47"/>
  <c r="L731" i="47"/>
  <c r="J731" i="47"/>
  <c r="I731" i="47"/>
  <c r="L730" i="47"/>
  <c r="J730" i="47"/>
  <c r="I730" i="47"/>
  <c r="L729" i="47"/>
  <c r="J729" i="47"/>
  <c r="I729" i="47"/>
  <c r="L728" i="47"/>
  <c r="J728" i="47"/>
  <c r="I728" i="47"/>
  <c r="L727" i="47"/>
  <c r="J727" i="47"/>
  <c r="I727" i="47"/>
  <c r="L726" i="47"/>
  <c r="J726" i="47"/>
  <c r="I726" i="47"/>
  <c r="L725" i="47"/>
  <c r="J725" i="47"/>
  <c r="I725" i="47"/>
  <c r="L724" i="47"/>
  <c r="J724" i="47"/>
  <c r="I724" i="47"/>
  <c r="L723" i="47"/>
  <c r="J723" i="47"/>
  <c r="I723" i="47"/>
  <c r="L722" i="47"/>
  <c r="J722" i="47"/>
  <c r="I722" i="47"/>
  <c r="L721" i="47"/>
  <c r="J721" i="47"/>
  <c r="I721" i="47"/>
  <c r="L720" i="47"/>
  <c r="J720" i="47"/>
  <c r="I720" i="47"/>
  <c r="L719" i="47"/>
  <c r="J719" i="47"/>
  <c r="I719" i="47"/>
  <c r="L718" i="47"/>
  <c r="J718" i="47"/>
  <c r="I718" i="47"/>
  <c r="L717" i="47"/>
  <c r="J717" i="47"/>
  <c r="I717" i="47"/>
  <c r="L716" i="47"/>
  <c r="J716" i="47"/>
  <c r="I716" i="47"/>
  <c r="L715" i="47"/>
  <c r="J715" i="47"/>
  <c r="I715" i="47"/>
  <c r="F715" i="47" a="1"/>
  <c r="L713" i="47"/>
  <c r="J713" i="47"/>
  <c r="H713" i="47" s="1" a="1"/>
  <c r="H713" i="47" s="1"/>
  <c r="G713" i="47" s="1" a="1"/>
  <c r="G713" i="47" s="1"/>
  <c r="K713" i="47" s="1"/>
  <c r="I713" i="47"/>
  <c r="E713" i="47"/>
  <c r="L712" i="47"/>
  <c r="J712" i="47"/>
  <c r="H712" i="47" s="1" a="1"/>
  <c r="H712" i="47" s="1"/>
  <c r="G712" i="47" s="1" a="1"/>
  <c r="G712" i="47" s="1"/>
  <c r="K712" i="47" s="1"/>
  <c r="I712" i="47"/>
  <c r="E712" i="47"/>
  <c r="L711" i="47"/>
  <c r="J711" i="47"/>
  <c r="H711" i="47" s="1" a="1"/>
  <c r="H711" i="47" s="1"/>
  <c r="I711" i="47"/>
  <c r="E711" i="47"/>
  <c r="L710" i="47"/>
  <c r="J710" i="47"/>
  <c r="H710" i="47" s="1" a="1"/>
  <c r="H710" i="47" s="1"/>
  <c r="I710" i="47"/>
  <c r="E710" i="47"/>
  <c r="L709" i="47"/>
  <c r="J709" i="47"/>
  <c r="H709" i="47" s="1" a="1"/>
  <c r="H709" i="47" s="1"/>
  <c r="G709" i="47" s="1" a="1"/>
  <c r="G709" i="47" s="1"/>
  <c r="K709" i="47" s="1"/>
  <c r="I709" i="47"/>
  <c r="E709" i="47"/>
  <c r="L708" i="47"/>
  <c r="J708" i="47"/>
  <c r="H708" i="47" s="1" a="1"/>
  <c r="H708" i="47" s="1"/>
  <c r="I708" i="47"/>
  <c r="E708" i="47"/>
  <c r="L707" i="47"/>
  <c r="J707" i="47"/>
  <c r="I707" i="47"/>
  <c r="H707" i="47" a="1"/>
  <c r="H707" i="47" s="1"/>
  <c r="G707" i="47" s="1" a="1"/>
  <c r="G707" i="47" s="1"/>
  <c r="E707" i="47"/>
  <c r="L706" i="47"/>
  <c r="J706" i="47"/>
  <c r="H706" i="47" s="1" a="1"/>
  <c r="I706" i="47"/>
  <c r="H706" i="47"/>
  <c r="G706" i="47" s="1" a="1"/>
  <c r="G706" i="47" s="1"/>
  <c r="K706" i="47" s="1"/>
  <c r="E706" i="47"/>
  <c r="L705" i="47"/>
  <c r="J705" i="47"/>
  <c r="I705" i="47"/>
  <c r="H705" i="47" a="1"/>
  <c r="H705" i="47" s="1"/>
  <c r="E705" i="47"/>
  <c r="L704" i="47"/>
  <c r="J704" i="47"/>
  <c r="H704" i="47" s="1" a="1"/>
  <c r="H704" i="47" s="1"/>
  <c r="I704" i="47"/>
  <c r="E704" i="47"/>
  <c r="L703" i="47"/>
  <c r="J703" i="47"/>
  <c r="H703" i="47" s="1" a="1"/>
  <c r="H703" i="47" s="1"/>
  <c r="G703" i="47" s="1" a="1"/>
  <c r="G703" i="47" s="1"/>
  <c r="K703" i="47" s="1"/>
  <c r="I703" i="47"/>
  <c r="E703" i="47"/>
  <c r="L702" i="47"/>
  <c r="J702" i="47"/>
  <c r="H702" i="47" s="1" a="1"/>
  <c r="H702" i="47" s="1"/>
  <c r="G702" i="47" s="1" a="1"/>
  <c r="G702" i="47" s="1"/>
  <c r="K702" i="47" s="1"/>
  <c r="I702" i="47"/>
  <c r="E702" i="47"/>
  <c r="L701" i="47"/>
  <c r="J701" i="47"/>
  <c r="H701" i="47" s="1" a="1"/>
  <c r="H701" i="47" s="1"/>
  <c r="I701" i="47"/>
  <c r="E701" i="47"/>
  <c r="L700" i="47"/>
  <c r="J700" i="47"/>
  <c r="H700" i="47" s="1" a="1"/>
  <c r="H700" i="47" s="1"/>
  <c r="I700" i="47"/>
  <c r="E700" i="47"/>
  <c r="L699" i="47"/>
  <c r="J699" i="47"/>
  <c r="I699" i="47"/>
  <c r="H699" i="47" a="1"/>
  <c r="H699" i="47" s="1"/>
  <c r="G699" i="47" s="1" a="1"/>
  <c r="G699" i="47" s="1"/>
  <c r="K699" i="47" s="1"/>
  <c r="E699" i="47"/>
  <c r="L698" i="47"/>
  <c r="J698" i="47"/>
  <c r="H698" i="47" s="1" a="1"/>
  <c r="H698" i="47" s="1"/>
  <c r="G698" i="47" s="1" a="1"/>
  <c r="G698" i="47" s="1"/>
  <c r="K698" i="47" s="1"/>
  <c r="I698" i="47"/>
  <c r="E698" i="47"/>
  <c r="L697" i="47"/>
  <c r="J697" i="47"/>
  <c r="H697" i="47" s="1" a="1"/>
  <c r="I697" i="47"/>
  <c r="H697" i="47"/>
  <c r="G697" i="47" s="1" a="1"/>
  <c r="G697" i="47" s="1"/>
  <c r="K697" i="47" s="1"/>
  <c r="E697" i="47"/>
  <c r="L696" i="47"/>
  <c r="J696" i="47"/>
  <c r="I696" i="47"/>
  <c r="H696" i="47" a="1"/>
  <c r="H696" i="47" s="1"/>
  <c r="G696" i="47" s="1" a="1"/>
  <c r="G696" i="47" s="1"/>
  <c r="K696" i="47" s="1"/>
  <c r="E696" i="47"/>
  <c r="L695" i="47"/>
  <c r="J695" i="47"/>
  <c r="H695" i="47" s="1" a="1"/>
  <c r="H695" i="47" s="1"/>
  <c r="G695" i="47" s="1" a="1"/>
  <c r="G695" i="47" s="1"/>
  <c r="K695" i="47" s="1"/>
  <c r="I695" i="47"/>
  <c r="E695" i="47"/>
  <c r="L694" i="47"/>
  <c r="J694" i="47"/>
  <c r="H694" i="47" s="1" a="1"/>
  <c r="H694" i="47" s="1"/>
  <c r="G694" i="47" s="1" a="1"/>
  <c r="G694" i="47" s="1"/>
  <c r="K694" i="47" s="1"/>
  <c r="I694" i="47"/>
  <c r="E694" i="47"/>
  <c r="L693" i="47"/>
  <c r="J693" i="47"/>
  <c r="H693" i="47" s="1" a="1"/>
  <c r="H693" i="47" s="1"/>
  <c r="G693" i="47" s="1" a="1"/>
  <c r="G693" i="47" s="1"/>
  <c r="K693" i="47" s="1"/>
  <c r="I693" i="47"/>
  <c r="E693" i="47"/>
  <c r="L692" i="47"/>
  <c r="J692" i="47"/>
  <c r="H692" i="47" s="1" a="1"/>
  <c r="H692" i="47" s="1"/>
  <c r="G692" i="47" s="1" a="1"/>
  <c r="G692" i="47" s="1"/>
  <c r="K692" i="47" s="1"/>
  <c r="I692" i="47"/>
  <c r="E692" i="47"/>
  <c r="L691" i="47"/>
  <c r="J691" i="47"/>
  <c r="H691" i="47" s="1" a="1"/>
  <c r="H691" i="47" s="1"/>
  <c r="I691" i="47"/>
  <c r="E691" i="47"/>
  <c r="L690" i="47"/>
  <c r="J690" i="47"/>
  <c r="H690" i="47" s="1" a="1"/>
  <c r="H690" i="47" s="1"/>
  <c r="G690" i="47" s="1" a="1"/>
  <c r="G690" i="47" s="1"/>
  <c r="I690" i="47"/>
  <c r="E690" i="47"/>
  <c r="L689" i="47"/>
  <c r="J689" i="47"/>
  <c r="H689" i="47" s="1" a="1"/>
  <c r="I689" i="47"/>
  <c r="H689" i="47"/>
  <c r="E689" i="47"/>
  <c r="L688" i="47"/>
  <c r="J688" i="47"/>
  <c r="I688" i="47"/>
  <c r="H688" i="47" a="1"/>
  <c r="H688" i="47" s="1"/>
  <c r="G688" i="47" s="1" a="1"/>
  <c r="G688" i="47" s="1"/>
  <c r="E688" i="47"/>
  <c r="L687" i="47"/>
  <c r="J687" i="47"/>
  <c r="H687" i="47" s="1" a="1"/>
  <c r="H687" i="47" s="1"/>
  <c r="I687" i="47"/>
  <c r="E687" i="47"/>
  <c r="L686" i="47"/>
  <c r="J686" i="47"/>
  <c r="H686" i="47" s="1" a="1"/>
  <c r="H686" i="47" s="1"/>
  <c r="G686" i="47" s="1" a="1"/>
  <c r="G686" i="47" s="1"/>
  <c r="K686" i="47" s="1"/>
  <c r="I686" i="47"/>
  <c r="E686" i="47"/>
  <c r="L685" i="47"/>
  <c r="J685" i="47"/>
  <c r="H685" i="47" s="1" a="1"/>
  <c r="H685" i="47" s="1"/>
  <c r="G685" i="47" s="1" a="1"/>
  <c r="G685" i="47" s="1"/>
  <c r="K685" i="47" s="1"/>
  <c r="I685" i="47"/>
  <c r="E685" i="47"/>
  <c r="L684" i="47"/>
  <c r="J684" i="47"/>
  <c r="H684" i="47" s="1" a="1"/>
  <c r="I684" i="47"/>
  <c r="H684" i="47"/>
  <c r="E684" i="47"/>
  <c r="L683" i="47"/>
  <c r="J683" i="47"/>
  <c r="H683" i="47" s="1" a="1"/>
  <c r="H683" i="47" s="1"/>
  <c r="I683" i="47"/>
  <c r="E683" i="47"/>
  <c r="L682" i="47"/>
  <c r="J682" i="47"/>
  <c r="I682" i="47"/>
  <c r="H682" i="47" a="1"/>
  <c r="H682" i="47" s="1"/>
  <c r="E682" i="47"/>
  <c r="L681" i="47"/>
  <c r="J681" i="47"/>
  <c r="H681" i="47" s="1" a="1"/>
  <c r="H681" i="47" s="1"/>
  <c r="G681" i="47" s="1" a="1"/>
  <c r="G681" i="47" s="1"/>
  <c r="I681" i="47"/>
  <c r="E681" i="47"/>
  <c r="L680" i="47"/>
  <c r="J680" i="47"/>
  <c r="I680" i="47"/>
  <c r="L679" i="47"/>
  <c r="J679" i="47"/>
  <c r="I679" i="47"/>
  <c r="L678" i="47"/>
  <c r="J678" i="47"/>
  <c r="I678" i="47"/>
  <c r="L677" i="47"/>
  <c r="J677" i="47"/>
  <c r="I677" i="47"/>
  <c r="L676" i="47"/>
  <c r="J676" i="47"/>
  <c r="I676" i="47"/>
  <c r="L675" i="47"/>
  <c r="J675" i="47"/>
  <c r="I675" i="47"/>
  <c r="L674" i="47"/>
  <c r="J674" i="47"/>
  <c r="I674" i="47"/>
  <c r="L673" i="47"/>
  <c r="J673" i="47"/>
  <c r="I673" i="47"/>
  <c r="L672" i="47"/>
  <c r="J672" i="47"/>
  <c r="I672" i="47"/>
  <c r="L671" i="47"/>
  <c r="J671" i="47"/>
  <c r="I671" i="47"/>
  <c r="L670" i="47"/>
  <c r="J670" i="47"/>
  <c r="I670" i="47"/>
  <c r="L669" i="47"/>
  <c r="J669" i="47"/>
  <c r="I669" i="47"/>
  <c r="L668" i="47"/>
  <c r="J668" i="47"/>
  <c r="I668" i="47"/>
  <c r="L667" i="47"/>
  <c r="J667" i="47"/>
  <c r="I667" i="47"/>
  <c r="L666" i="47"/>
  <c r="J666" i="47"/>
  <c r="I666" i="47"/>
  <c r="L665" i="47"/>
  <c r="J665" i="47"/>
  <c r="I665" i="47"/>
  <c r="F665" i="47" a="1"/>
  <c r="L663" i="47"/>
  <c r="J663" i="47"/>
  <c r="H663" i="47" s="1" a="1"/>
  <c r="H663" i="47" s="1"/>
  <c r="I663" i="47"/>
  <c r="E663" i="47"/>
  <c r="L662" i="47"/>
  <c r="J662" i="47"/>
  <c r="H662" i="47" s="1" a="1"/>
  <c r="H662" i="47" s="1"/>
  <c r="I662" i="47"/>
  <c r="E662" i="47"/>
  <c r="L661" i="47"/>
  <c r="J661" i="47"/>
  <c r="I661" i="47"/>
  <c r="H661" i="47" a="1"/>
  <c r="H661" i="47" s="1"/>
  <c r="E661" i="47"/>
  <c r="L660" i="47"/>
  <c r="J660" i="47"/>
  <c r="H660" i="47" s="1" a="1"/>
  <c r="H660" i="47" s="1"/>
  <c r="I660" i="47"/>
  <c r="E660" i="47"/>
  <c r="L659" i="47"/>
  <c r="J659" i="47"/>
  <c r="H659" i="47" s="1" a="1"/>
  <c r="H659" i="47" s="1"/>
  <c r="I659" i="47"/>
  <c r="E659" i="47"/>
  <c r="L658" i="47"/>
  <c r="J658" i="47"/>
  <c r="H658" i="47" s="1" a="1"/>
  <c r="I658" i="47"/>
  <c r="H658" i="47"/>
  <c r="E658" i="47"/>
  <c r="L657" i="47"/>
  <c r="J657" i="47"/>
  <c r="H657" i="47" s="1" a="1"/>
  <c r="H657" i="47" s="1"/>
  <c r="G657" i="47" s="1" a="1"/>
  <c r="G657" i="47" s="1"/>
  <c r="K657" i="47" s="1"/>
  <c r="I657" i="47"/>
  <c r="E657" i="47"/>
  <c r="L656" i="47"/>
  <c r="J656" i="47"/>
  <c r="H656" i="47" s="1" a="1"/>
  <c r="H656" i="47" s="1"/>
  <c r="I656" i="47"/>
  <c r="E656" i="47"/>
  <c r="L655" i="47"/>
  <c r="J655" i="47"/>
  <c r="H655" i="47" s="1" a="1"/>
  <c r="H655" i="47" s="1"/>
  <c r="I655" i="47"/>
  <c r="E655" i="47"/>
  <c r="L654" i="47"/>
  <c r="J654" i="47"/>
  <c r="H654" i="47" s="1" a="1"/>
  <c r="I654" i="47"/>
  <c r="H654" i="47"/>
  <c r="E654" i="47"/>
  <c r="L653" i="47"/>
  <c r="J653" i="47"/>
  <c r="I653" i="47"/>
  <c r="H653" i="47" a="1"/>
  <c r="H653" i="47" s="1"/>
  <c r="G653" i="47" s="1" a="1"/>
  <c r="G653" i="47" s="1"/>
  <c r="K653" i="47" s="1"/>
  <c r="E653" i="47"/>
  <c r="L652" i="47"/>
  <c r="J652" i="47"/>
  <c r="H652" i="47" s="1" a="1"/>
  <c r="H652" i="47" s="1"/>
  <c r="I652" i="47"/>
  <c r="E652" i="47"/>
  <c r="L651" i="47"/>
  <c r="J651" i="47"/>
  <c r="H651" i="47" s="1" a="1"/>
  <c r="H651" i="47" s="1"/>
  <c r="G651" i="47" s="1" a="1"/>
  <c r="G651" i="47" s="1"/>
  <c r="I651" i="47"/>
  <c r="E651" i="47"/>
  <c r="L650" i="47"/>
  <c r="J650" i="47"/>
  <c r="H650" i="47" s="1" a="1"/>
  <c r="H650" i="47" s="1"/>
  <c r="G650" i="47" s="1" a="1"/>
  <c r="G650" i="47" s="1"/>
  <c r="I650" i="47"/>
  <c r="E650" i="47"/>
  <c r="L649" i="47"/>
  <c r="J649" i="47"/>
  <c r="H649" i="47" s="1" a="1"/>
  <c r="H649" i="47" s="1"/>
  <c r="I649" i="47"/>
  <c r="E649" i="47"/>
  <c r="L648" i="47"/>
  <c r="J648" i="47"/>
  <c r="H648" i="47" s="1" a="1"/>
  <c r="H648" i="47" s="1"/>
  <c r="G648" i="47" s="1" a="1"/>
  <c r="G648" i="47" s="1"/>
  <c r="K648" i="47" s="1"/>
  <c r="I648" i="47"/>
  <c r="E648" i="47"/>
  <c r="L647" i="47"/>
  <c r="J647" i="47"/>
  <c r="H647" i="47" s="1" a="1"/>
  <c r="H647" i="47" s="1"/>
  <c r="G647" i="47" s="1" a="1"/>
  <c r="G647" i="47" s="1"/>
  <c r="K647" i="47" s="1"/>
  <c r="I647" i="47"/>
  <c r="E647" i="47"/>
  <c r="L646" i="47"/>
  <c r="J646" i="47"/>
  <c r="H646" i="47" s="1" a="1"/>
  <c r="H646" i="47" s="1"/>
  <c r="G646" i="47" s="1" a="1"/>
  <c r="G646" i="47" s="1"/>
  <c r="I646" i="47"/>
  <c r="E646" i="47"/>
  <c r="L645" i="47"/>
  <c r="J645" i="47"/>
  <c r="I645" i="47"/>
  <c r="H645" i="47" a="1"/>
  <c r="H645" i="47" s="1"/>
  <c r="G645" i="47" s="1" a="1"/>
  <c r="G645" i="47" s="1"/>
  <c r="K645" i="47" s="1"/>
  <c r="E645" i="47"/>
  <c r="L644" i="47"/>
  <c r="J644" i="47"/>
  <c r="H644" i="47" s="1" a="1"/>
  <c r="H644" i="47" s="1"/>
  <c r="G644" i="47" s="1" a="1"/>
  <c r="G644" i="47" s="1"/>
  <c r="K644" i="47" s="1"/>
  <c r="I644" i="47"/>
  <c r="E644" i="47"/>
  <c r="L643" i="47"/>
  <c r="J643" i="47"/>
  <c r="I643" i="47"/>
  <c r="H643" i="47" a="1"/>
  <c r="H643" i="47" s="1"/>
  <c r="E643" i="47"/>
  <c r="L642" i="47"/>
  <c r="J642" i="47"/>
  <c r="H642" i="47" s="1" a="1"/>
  <c r="I642" i="47"/>
  <c r="H642" i="47"/>
  <c r="G642" i="47" s="1" a="1"/>
  <c r="G642" i="47" s="1"/>
  <c r="K642" i="47" s="1"/>
  <c r="E642" i="47"/>
  <c r="L641" i="47"/>
  <c r="J641" i="47"/>
  <c r="H641" i="47" s="1" a="1"/>
  <c r="H641" i="47" s="1"/>
  <c r="G641" i="47" s="1" a="1"/>
  <c r="G641" i="47" s="1"/>
  <c r="K641" i="47" s="1"/>
  <c r="I641" i="47"/>
  <c r="E641" i="47"/>
  <c r="L640" i="47"/>
  <c r="J640" i="47"/>
  <c r="H640" i="47" s="1" a="1"/>
  <c r="H640" i="47" s="1"/>
  <c r="G640" i="47" s="1" a="1"/>
  <c r="G640" i="47" s="1"/>
  <c r="K640" i="47" s="1"/>
  <c r="I640" i="47"/>
  <c r="E640" i="47"/>
  <c r="L639" i="47"/>
  <c r="J639" i="47"/>
  <c r="H639" i="47" s="1" a="1"/>
  <c r="H639" i="47" s="1"/>
  <c r="G639" i="47" s="1" a="1"/>
  <c r="G639" i="47" s="1"/>
  <c r="K639" i="47" s="1"/>
  <c r="I639" i="47"/>
  <c r="E639" i="47"/>
  <c r="L638" i="47"/>
  <c r="J638" i="47"/>
  <c r="H638" i="47" s="1" a="1"/>
  <c r="H638" i="47" s="1"/>
  <c r="I638" i="47"/>
  <c r="E638" i="47"/>
  <c r="L637" i="47"/>
  <c r="J637" i="47"/>
  <c r="H637" i="47" s="1" a="1"/>
  <c r="H637" i="47" s="1"/>
  <c r="I637" i="47"/>
  <c r="E637" i="47"/>
  <c r="L636" i="47"/>
  <c r="J636" i="47"/>
  <c r="H636" i="47" s="1" a="1"/>
  <c r="H636" i="47" s="1"/>
  <c r="G636" i="47" s="1" a="1"/>
  <c r="G636" i="47" s="1"/>
  <c r="K636" i="47" s="1"/>
  <c r="I636" i="47"/>
  <c r="E636" i="47"/>
  <c r="L635" i="47"/>
  <c r="J635" i="47"/>
  <c r="H635" i="47" s="1" a="1"/>
  <c r="H635" i="47" s="1"/>
  <c r="I635" i="47"/>
  <c r="E635" i="47"/>
  <c r="L634" i="47"/>
  <c r="J634" i="47"/>
  <c r="H634" i="47" s="1" a="1"/>
  <c r="I634" i="47"/>
  <c r="H634" i="47"/>
  <c r="G634" i="47" s="1" a="1"/>
  <c r="G634" i="47" s="1"/>
  <c r="K634" i="47" s="1"/>
  <c r="E634" i="47"/>
  <c r="L633" i="47"/>
  <c r="J633" i="47"/>
  <c r="H633" i="47" s="1" a="1"/>
  <c r="H633" i="47" s="1"/>
  <c r="I633" i="47"/>
  <c r="E633" i="47"/>
  <c r="L632" i="47"/>
  <c r="J632" i="47"/>
  <c r="I632" i="47"/>
  <c r="L631" i="47"/>
  <c r="J631" i="47"/>
  <c r="I631" i="47"/>
  <c r="L630" i="47"/>
  <c r="J630" i="47"/>
  <c r="I630" i="47"/>
  <c r="L629" i="47"/>
  <c r="J629" i="47"/>
  <c r="I629" i="47"/>
  <c r="L628" i="47"/>
  <c r="J628" i="47"/>
  <c r="I628" i="47"/>
  <c r="L627" i="47"/>
  <c r="J627" i="47"/>
  <c r="I627" i="47"/>
  <c r="L626" i="47"/>
  <c r="J626" i="47"/>
  <c r="I626" i="47"/>
  <c r="L625" i="47"/>
  <c r="J625" i="47"/>
  <c r="I625" i="47"/>
  <c r="L624" i="47"/>
  <c r="J624" i="47"/>
  <c r="I624" i="47"/>
  <c r="L623" i="47"/>
  <c r="J623" i="47"/>
  <c r="I623" i="47"/>
  <c r="L622" i="47"/>
  <c r="J622" i="47"/>
  <c r="I622" i="47"/>
  <c r="L621" i="47"/>
  <c r="J621" i="47"/>
  <c r="I621" i="47"/>
  <c r="L620" i="47"/>
  <c r="J620" i="47"/>
  <c r="I620" i="47"/>
  <c r="L619" i="47"/>
  <c r="J619" i="47"/>
  <c r="I619" i="47"/>
  <c r="L618" i="47"/>
  <c r="J618" i="47"/>
  <c r="I618" i="47"/>
  <c r="L617" i="47"/>
  <c r="J617" i="47"/>
  <c r="I617" i="47"/>
  <c r="L616" i="47"/>
  <c r="J616" i="47"/>
  <c r="I616" i="47"/>
  <c r="L615" i="47"/>
  <c r="J615" i="47"/>
  <c r="I615" i="47"/>
  <c r="F615" i="47" a="1"/>
  <c r="L613" i="47"/>
  <c r="J613" i="47"/>
  <c r="H613" i="47" s="1" a="1"/>
  <c r="H613" i="47" s="1"/>
  <c r="G613" i="47" s="1" a="1"/>
  <c r="G613" i="47" s="1"/>
  <c r="K613" i="47" s="1"/>
  <c r="I613" i="47"/>
  <c r="E613" i="47"/>
  <c r="L612" i="47"/>
  <c r="J612" i="47"/>
  <c r="H612" i="47" s="1" a="1"/>
  <c r="H612" i="47" s="1"/>
  <c r="G612" i="47" s="1" a="1"/>
  <c r="G612" i="47" s="1"/>
  <c r="K612" i="47" s="1"/>
  <c r="I612" i="47"/>
  <c r="E612" i="47"/>
  <c r="L611" i="47"/>
  <c r="J611" i="47"/>
  <c r="I611" i="47"/>
  <c r="H611" i="47" a="1"/>
  <c r="H611" i="47" s="1"/>
  <c r="G611" i="47" s="1" a="1"/>
  <c r="G611" i="47" s="1"/>
  <c r="K611" i="47" s="1"/>
  <c r="E611" i="47"/>
  <c r="L610" i="47"/>
  <c r="J610" i="47"/>
  <c r="H610" i="47" s="1" a="1"/>
  <c r="H610" i="47" s="1"/>
  <c r="I610" i="47"/>
  <c r="E610" i="47"/>
  <c r="L609" i="47"/>
  <c r="J609" i="47"/>
  <c r="H609" i="47" s="1" a="1"/>
  <c r="H609" i="47" s="1"/>
  <c r="I609" i="47"/>
  <c r="E609" i="47"/>
  <c r="L608" i="47"/>
  <c r="J608" i="47"/>
  <c r="H608" i="47" s="1" a="1"/>
  <c r="H608" i="47" s="1"/>
  <c r="I608" i="47"/>
  <c r="E608" i="47"/>
  <c r="L607" i="47"/>
  <c r="J607" i="47"/>
  <c r="H607" i="47" s="1" a="1"/>
  <c r="H607" i="47" s="1"/>
  <c r="G607" i="47" s="1" a="1"/>
  <c r="G607" i="47" s="1"/>
  <c r="K607" i="47" s="1"/>
  <c r="I607" i="47"/>
  <c r="E607" i="47"/>
  <c r="L606" i="47"/>
  <c r="J606" i="47"/>
  <c r="H606" i="47" s="1" a="1"/>
  <c r="H606" i="47" s="1"/>
  <c r="I606" i="47"/>
  <c r="E606" i="47"/>
  <c r="L605" i="47"/>
  <c r="J605" i="47"/>
  <c r="H605" i="47" s="1" a="1"/>
  <c r="H605" i="47" s="1"/>
  <c r="G605" i="47" s="1" a="1"/>
  <c r="G605" i="47" s="1"/>
  <c r="K605" i="47" s="1"/>
  <c r="I605" i="47"/>
  <c r="E605" i="47"/>
  <c r="L604" i="47"/>
  <c r="J604" i="47"/>
  <c r="I604" i="47"/>
  <c r="H604" i="47" a="1"/>
  <c r="H604" i="47" s="1"/>
  <c r="G604" i="47" s="1" a="1"/>
  <c r="G604" i="47" s="1"/>
  <c r="K604" i="47" s="1"/>
  <c r="E604" i="47"/>
  <c r="L603" i="47"/>
  <c r="J603" i="47"/>
  <c r="H603" i="47" s="1" a="1"/>
  <c r="H603" i="47" s="1"/>
  <c r="G603" i="47" s="1" a="1"/>
  <c r="G603" i="47" s="1"/>
  <c r="I603" i="47"/>
  <c r="E603" i="47"/>
  <c r="L602" i="47"/>
  <c r="J602" i="47"/>
  <c r="H602" i="47" s="1" a="1"/>
  <c r="H602" i="47" s="1"/>
  <c r="I602" i="47"/>
  <c r="E602" i="47"/>
  <c r="L601" i="47"/>
  <c r="J601" i="47"/>
  <c r="H601" i="47" s="1" a="1"/>
  <c r="H601" i="47" s="1"/>
  <c r="I601" i="47"/>
  <c r="E601" i="47"/>
  <c r="L600" i="47"/>
  <c r="J600" i="47"/>
  <c r="H600" i="47" s="1" a="1"/>
  <c r="H600" i="47" s="1"/>
  <c r="G600" i="47" s="1" a="1"/>
  <c r="G600" i="47" s="1"/>
  <c r="K600" i="47" s="1"/>
  <c r="I600" i="47"/>
  <c r="E600" i="47"/>
  <c r="L599" i="47"/>
  <c r="J599" i="47"/>
  <c r="H599" i="47" s="1" a="1"/>
  <c r="H599" i="47" s="1"/>
  <c r="I599" i="47"/>
  <c r="E599" i="47"/>
  <c r="L598" i="47"/>
  <c r="J598" i="47"/>
  <c r="H598" i="47" s="1" a="1"/>
  <c r="H598" i="47" s="1"/>
  <c r="I598" i="47"/>
  <c r="E598" i="47"/>
  <c r="L597" i="47"/>
  <c r="J597" i="47"/>
  <c r="I597" i="47"/>
  <c r="H597" i="47" a="1"/>
  <c r="H597" i="47" s="1"/>
  <c r="G597" i="47" s="1" a="1"/>
  <c r="G597" i="47" s="1"/>
  <c r="K597" i="47" s="1"/>
  <c r="E597" i="47"/>
  <c r="L596" i="47"/>
  <c r="J596" i="47"/>
  <c r="I596" i="47"/>
  <c r="G596" i="47" s="1" a="1"/>
  <c r="G596" i="47" s="1"/>
  <c r="K596" i="47" s="1"/>
  <c r="H596" i="47" a="1"/>
  <c r="H596" i="47" s="1"/>
  <c r="E596" i="47"/>
  <c r="L595" i="47"/>
  <c r="J595" i="47"/>
  <c r="H595" i="47" s="1" a="1"/>
  <c r="H595" i="47" s="1"/>
  <c r="I595" i="47"/>
  <c r="E595" i="47"/>
  <c r="L594" i="47"/>
  <c r="J594" i="47"/>
  <c r="H594" i="47" s="1" a="1"/>
  <c r="H594" i="47" s="1"/>
  <c r="I594" i="47"/>
  <c r="E594" i="47"/>
  <c r="L593" i="47"/>
  <c r="J593" i="47"/>
  <c r="H593" i="47" s="1" a="1"/>
  <c r="H593" i="47" s="1"/>
  <c r="I593" i="47"/>
  <c r="E593" i="47"/>
  <c r="L592" i="47"/>
  <c r="J592" i="47"/>
  <c r="H592" i="47" s="1" a="1"/>
  <c r="H592" i="47" s="1"/>
  <c r="I592" i="47"/>
  <c r="E592" i="47"/>
  <c r="L591" i="47"/>
  <c r="J591" i="47"/>
  <c r="H591" i="47" s="1" a="1"/>
  <c r="H591" i="47" s="1"/>
  <c r="I591" i="47"/>
  <c r="E591" i="47"/>
  <c r="L590" i="47"/>
  <c r="J590" i="47"/>
  <c r="H590" i="47" s="1" a="1"/>
  <c r="H590" i="47" s="1"/>
  <c r="I590" i="47"/>
  <c r="E590" i="47"/>
  <c r="L589" i="47"/>
  <c r="J589" i="47"/>
  <c r="H589" i="47" s="1" a="1"/>
  <c r="H589" i="47" s="1"/>
  <c r="G589" i="47" s="1" a="1"/>
  <c r="G589" i="47" s="1"/>
  <c r="K589" i="47" s="1"/>
  <c r="I589" i="47"/>
  <c r="E589" i="47"/>
  <c r="L588" i="47"/>
  <c r="J588" i="47"/>
  <c r="H588" i="47" s="1" a="1"/>
  <c r="I588" i="47"/>
  <c r="H588" i="47"/>
  <c r="E588" i="47"/>
  <c r="L587" i="47"/>
  <c r="J587" i="47"/>
  <c r="H587" i="47" s="1" a="1"/>
  <c r="H587" i="47" s="1"/>
  <c r="I587" i="47"/>
  <c r="E587" i="47"/>
  <c r="L586" i="47"/>
  <c r="J586" i="47"/>
  <c r="H586" i="47" s="1" a="1"/>
  <c r="I586" i="47"/>
  <c r="H586" i="47"/>
  <c r="E586" i="47"/>
  <c r="L585" i="47"/>
  <c r="J585" i="47"/>
  <c r="H585" i="47" s="1" a="1"/>
  <c r="H585" i="47" s="1"/>
  <c r="G585" i="47" s="1" a="1"/>
  <c r="G585" i="47" s="1"/>
  <c r="I585" i="47"/>
  <c r="E585" i="47"/>
  <c r="L584" i="47"/>
  <c r="J584" i="47"/>
  <c r="H584" i="47" s="1" a="1"/>
  <c r="H584" i="47" s="1"/>
  <c r="I584" i="47"/>
  <c r="E584" i="47"/>
  <c r="L583" i="47"/>
  <c r="J583" i="47"/>
  <c r="H583" i="47" s="1" a="1"/>
  <c r="H583" i="47" s="1"/>
  <c r="I583" i="47"/>
  <c r="E583" i="47"/>
  <c r="L582" i="47"/>
  <c r="J582" i="47"/>
  <c r="H582" i="47" s="1" a="1"/>
  <c r="H582" i="47" s="1"/>
  <c r="G582" i="47" s="1" a="1"/>
  <c r="G582" i="47" s="1"/>
  <c r="K582" i="47" s="1"/>
  <c r="I582" i="47"/>
  <c r="E582" i="47"/>
  <c r="L581" i="47"/>
  <c r="J581" i="47"/>
  <c r="H581" i="47" s="1" a="1"/>
  <c r="H581" i="47" s="1"/>
  <c r="G581" i="47" s="1" a="1"/>
  <c r="G581" i="47" s="1"/>
  <c r="K581" i="47" s="1"/>
  <c r="I581" i="47"/>
  <c r="E581" i="47"/>
  <c r="L580" i="47"/>
  <c r="J580" i="47"/>
  <c r="H580" i="47" s="1" a="1"/>
  <c r="H580" i="47" s="1"/>
  <c r="G580" i="47" s="1" a="1"/>
  <c r="G580" i="47" s="1"/>
  <c r="I580" i="47"/>
  <c r="E580" i="47"/>
  <c r="L579" i="47"/>
  <c r="J579" i="47"/>
  <c r="H579" i="47" s="1" a="1"/>
  <c r="H579" i="47" s="1"/>
  <c r="I579" i="47"/>
  <c r="E579" i="47"/>
  <c r="L578" i="47"/>
  <c r="J578" i="47"/>
  <c r="H578" i="47" s="1" a="1"/>
  <c r="H578" i="47" s="1"/>
  <c r="G578" i="47" s="1" a="1"/>
  <c r="G578" i="47" s="1"/>
  <c r="K578" i="47" s="1"/>
  <c r="I578" i="47"/>
  <c r="E578" i="47"/>
  <c r="L577" i="47"/>
  <c r="J577" i="47"/>
  <c r="H577" i="47" s="1" a="1"/>
  <c r="H577" i="47" s="1"/>
  <c r="I577" i="47"/>
  <c r="E577" i="47"/>
  <c r="L576" i="47"/>
  <c r="J576" i="47"/>
  <c r="H576" i="47" s="1" a="1"/>
  <c r="H576" i="47" s="1"/>
  <c r="G576" i="47" s="1" a="1"/>
  <c r="G576" i="47" s="1"/>
  <c r="K576" i="47" s="1"/>
  <c r="I576" i="47"/>
  <c r="E576" i="47"/>
  <c r="L575" i="47"/>
  <c r="J575" i="47"/>
  <c r="H575" i="47" s="1" a="1"/>
  <c r="H575" i="47" s="1"/>
  <c r="I575" i="47"/>
  <c r="E575" i="47"/>
  <c r="L574" i="47"/>
  <c r="J574" i="47"/>
  <c r="H574" i="47" s="1" a="1"/>
  <c r="H574" i="47" s="1"/>
  <c r="I574" i="47"/>
  <c r="E574" i="47"/>
  <c r="L573" i="47"/>
  <c r="J573" i="47"/>
  <c r="H573" i="47" s="1" a="1"/>
  <c r="H573" i="47" s="1"/>
  <c r="G573" i="47" s="1" a="1"/>
  <c r="G573" i="47" s="1"/>
  <c r="K573" i="47" s="1"/>
  <c r="I573" i="47"/>
  <c r="E573" i="47"/>
  <c r="L572" i="47"/>
  <c r="J572" i="47"/>
  <c r="H572" i="47" s="1" a="1"/>
  <c r="H572" i="47" s="1"/>
  <c r="I572" i="47"/>
  <c r="E572" i="47"/>
  <c r="L571" i="47"/>
  <c r="J571" i="47"/>
  <c r="H571" i="47" s="1" a="1"/>
  <c r="H571" i="47" s="1"/>
  <c r="I571" i="47"/>
  <c r="E571" i="47"/>
  <c r="L570" i="47"/>
  <c r="J570" i="47"/>
  <c r="H570" i="47" s="1" a="1"/>
  <c r="H570" i="47" s="1"/>
  <c r="I570" i="47"/>
  <c r="E570" i="47"/>
  <c r="L569" i="47"/>
  <c r="J569" i="47"/>
  <c r="H569" i="47" s="1" a="1"/>
  <c r="H569" i="47" s="1"/>
  <c r="I569" i="47"/>
  <c r="E569" i="47"/>
  <c r="L568" i="47"/>
  <c r="J568" i="47"/>
  <c r="I568" i="47"/>
  <c r="L567" i="47"/>
  <c r="J567" i="47"/>
  <c r="I567" i="47"/>
  <c r="L566" i="47"/>
  <c r="J566" i="47"/>
  <c r="I566" i="47"/>
  <c r="L565" i="47"/>
  <c r="J565" i="47"/>
  <c r="I565" i="47"/>
  <c r="F565" i="47" a="1"/>
  <c r="L563" i="47"/>
  <c r="J563" i="47"/>
  <c r="H563" i="47" s="1" a="1"/>
  <c r="H563" i="47" s="1"/>
  <c r="I563" i="47"/>
  <c r="E563" i="47"/>
  <c r="L562" i="47"/>
  <c r="J562" i="47"/>
  <c r="H562" i="47" s="1" a="1"/>
  <c r="H562" i="47" s="1"/>
  <c r="I562" i="47"/>
  <c r="E562" i="47"/>
  <c r="L561" i="47"/>
  <c r="J561" i="47"/>
  <c r="H561" i="47" s="1" a="1"/>
  <c r="H561" i="47" s="1"/>
  <c r="G561" i="47" s="1" a="1"/>
  <c r="G561" i="47" s="1"/>
  <c r="K561" i="47" s="1"/>
  <c r="I561" i="47"/>
  <c r="E561" i="47"/>
  <c r="L560" i="47"/>
  <c r="J560" i="47"/>
  <c r="H560" i="47" s="1" a="1"/>
  <c r="H560" i="47" s="1"/>
  <c r="I560" i="47"/>
  <c r="E560" i="47"/>
  <c r="L559" i="47"/>
  <c r="J559" i="47"/>
  <c r="H559" i="47" s="1" a="1"/>
  <c r="H559" i="47" s="1"/>
  <c r="G559" i="47" s="1" a="1"/>
  <c r="G559" i="47" s="1"/>
  <c r="K559" i="47" s="1"/>
  <c r="I559" i="47"/>
  <c r="E559" i="47"/>
  <c r="L558" i="47"/>
  <c r="J558" i="47"/>
  <c r="I558" i="47"/>
  <c r="H558" i="47" a="1"/>
  <c r="H558" i="47" s="1"/>
  <c r="E558" i="47"/>
  <c r="L557" i="47"/>
  <c r="J557" i="47"/>
  <c r="H557" i="47" s="1" a="1"/>
  <c r="H557" i="47" s="1"/>
  <c r="I557" i="47"/>
  <c r="E557" i="47"/>
  <c r="L556" i="47"/>
  <c r="J556" i="47"/>
  <c r="H556" i="47" s="1" a="1"/>
  <c r="H556" i="47" s="1"/>
  <c r="I556" i="47"/>
  <c r="E556" i="47"/>
  <c r="L555" i="47"/>
  <c r="J555" i="47"/>
  <c r="H555" i="47" s="1" a="1"/>
  <c r="H555" i="47" s="1"/>
  <c r="G555" i="47" s="1" a="1"/>
  <c r="G555" i="47" s="1"/>
  <c r="K555" i="47" s="1"/>
  <c r="I555" i="47"/>
  <c r="E555" i="47"/>
  <c r="L554" i="47"/>
  <c r="J554" i="47"/>
  <c r="H554" i="47" s="1" a="1"/>
  <c r="H554" i="47" s="1"/>
  <c r="I554" i="47"/>
  <c r="E554" i="47"/>
  <c r="L553" i="47"/>
  <c r="J553" i="47"/>
  <c r="I553" i="47"/>
  <c r="H553" i="47" a="1"/>
  <c r="H553" i="47" s="1"/>
  <c r="G553" i="47" s="1" a="1"/>
  <c r="G553" i="47" s="1"/>
  <c r="E553" i="47"/>
  <c r="L552" i="47"/>
  <c r="J552" i="47"/>
  <c r="H552" i="47" s="1" a="1"/>
  <c r="H552" i="47" s="1"/>
  <c r="I552" i="47"/>
  <c r="E552" i="47"/>
  <c r="L551" i="47"/>
  <c r="J551" i="47"/>
  <c r="H551" i="47" s="1" a="1"/>
  <c r="H551" i="47" s="1"/>
  <c r="G551" i="47" s="1" a="1"/>
  <c r="G551" i="47" s="1"/>
  <c r="K551" i="47" s="1"/>
  <c r="I551" i="47"/>
  <c r="E551" i="47"/>
  <c r="L550" i="47"/>
  <c r="J550" i="47"/>
  <c r="H550" i="47" s="1" a="1"/>
  <c r="H550" i="47" s="1"/>
  <c r="I550" i="47"/>
  <c r="E550" i="47"/>
  <c r="L549" i="47"/>
  <c r="J549" i="47"/>
  <c r="H549" i="47" s="1" a="1"/>
  <c r="H549" i="47" s="1"/>
  <c r="G549" i="47" s="1" a="1"/>
  <c r="G549" i="47" s="1"/>
  <c r="K549" i="47" s="1"/>
  <c r="I549" i="47"/>
  <c r="E549" i="47"/>
  <c r="L548" i="47"/>
  <c r="J548" i="47"/>
  <c r="H548" i="47" s="1" a="1"/>
  <c r="H548" i="47" s="1"/>
  <c r="G548" i="47" s="1" a="1"/>
  <c r="G548" i="47" s="1"/>
  <c r="K548" i="47" s="1"/>
  <c r="I548" i="47"/>
  <c r="E548" i="47"/>
  <c r="L547" i="47"/>
  <c r="J547" i="47"/>
  <c r="H547" i="47" s="1" a="1"/>
  <c r="H547" i="47" s="1"/>
  <c r="G547" i="47" s="1" a="1"/>
  <c r="G547" i="47" s="1"/>
  <c r="I547" i="47"/>
  <c r="E547" i="47"/>
  <c r="L546" i="47"/>
  <c r="J546" i="47"/>
  <c r="I546" i="47"/>
  <c r="H546" i="47" a="1"/>
  <c r="H546" i="47" s="1"/>
  <c r="E546" i="47"/>
  <c r="L545" i="47"/>
  <c r="J545" i="47"/>
  <c r="H545" i="47" s="1" a="1"/>
  <c r="H545" i="47" s="1"/>
  <c r="G545" i="47" s="1" a="1"/>
  <c r="G545" i="47" s="1"/>
  <c r="K545" i="47" s="1"/>
  <c r="I545" i="47"/>
  <c r="E545" i="47"/>
  <c r="L544" i="47"/>
  <c r="J544" i="47"/>
  <c r="H544" i="47" s="1" a="1"/>
  <c r="H544" i="47" s="1"/>
  <c r="G544" i="47" s="1" a="1"/>
  <c r="G544" i="47" s="1"/>
  <c r="I544" i="47"/>
  <c r="E544" i="47"/>
  <c r="L543" i="47"/>
  <c r="J543" i="47"/>
  <c r="H543" i="47" s="1" a="1"/>
  <c r="I543" i="47"/>
  <c r="H543" i="47"/>
  <c r="G543" i="47" s="1" a="1"/>
  <c r="G543" i="47" s="1"/>
  <c r="K543" i="47" s="1"/>
  <c r="E543" i="47"/>
  <c r="L542" i="47"/>
  <c r="J542" i="47"/>
  <c r="H542" i="47" s="1" a="1"/>
  <c r="H542" i="47" s="1"/>
  <c r="I542" i="47"/>
  <c r="E542" i="47"/>
  <c r="L541" i="47"/>
  <c r="J541" i="47"/>
  <c r="H541" i="47" s="1" a="1"/>
  <c r="H541" i="47" s="1"/>
  <c r="I541" i="47"/>
  <c r="E541" i="47"/>
  <c r="L540" i="47"/>
  <c r="J540" i="47"/>
  <c r="H540" i="47" s="1" a="1"/>
  <c r="H540" i="47" s="1"/>
  <c r="G540" i="47" s="1" a="1"/>
  <c r="G540" i="47" s="1"/>
  <c r="I540" i="47"/>
  <c r="E540" i="47"/>
  <c r="L539" i="47"/>
  <c r="J539" i="47"/>
  <c r="H539" i="47" s="1" a="1"/>
  <c r="H539" i="47" s="1"/>
  <c r="I539" i="47"/>
  <c r="E539" i="47"/>
  <c r="L538" i="47"/>
  <c r="J538" i="47"/>
  <c r="H538" i="47" s="1" a="1"/>
  <c r="H538" i="47" s="1"/>
  <c r="G538" i="47" s="1" a="1"/>
  <c r="G538" i="47" s="1"/>
  <c r="K538" i="47" s="1"/>
  <c r="I538" i="47"/>
  <c r="E538" i="47"/>
  <c r="L537" i="47"/>
  <c r="J537" i="47"/>
  <c r="H537" i="47" s="1" a="1"/>
  <c r="H537" i="47" s="1"/>
  <c r="I537" i="47"/>
  <c r="E537" i="47"/>
  <c r="L536" i="47"/>
  <c r="J536" i="47"/>
  <c r="H536" i="47" s="1" a="1"/>
  <c r="H536" i="47" s="1"/>
  <c r="I536" i="47"/>
  <c r="E536" i="47"/>
  <c r="L535" i="47"/>
  <c r="J535" i="47"/>
  <c r="H535" i="47" s="1" a="1"/>
  <c r="H535" i="47" s="1"/>
  <c r="I535" i="47"/>
  <c r="E535" i="47"/>
  <c r="L534" i="47"/>
  <c r="J534" i="47"/>
  <c r="H534" i="47" s="1" a="1"/>
  <c r="H534" i="47" s="1"/>
  <c r="I534" i="47"/>
  <c r="E534" i="47"/>
  <c r="L533" i="47"/>
  <c r="J533" i="47"/>
  <c r="H533" i="47" s="1" a="1"/>
  <c r="H533" i="47" s="1"/>
  <c r="I533" i="47"/>
  <c r="E533" i="47"/>
  <c r="L532" i="47"/>
  <c r="J532" i="47"/>
  <c r="H532" i="47" s="1" a="1"/>
  <c r="H532" i="47" s="1"/>
  <c r="I532" i="47"/>
  <c r="E532" i="47"/>
  <c r="L531" i="47"/>
  <c r="J531" i="47"/>
  <c r="H531" i="47" s="1" a="1"/>
  <c r="H531" i="47" s="1"/>
  <c r="I531" i="47"/>
  <c r="E531" i="47"/>
  <c r="L530" i="47"/>
  <c r="J530" i="47"/>
  <c r="H530" i="47" s="1" a="1"/>
  <c r="H530" i="47" s="1"/>
  <c r="I530" i="47"/>
  <c r="E530" i="47"/>
  <c r="L529" i="47"/>
  <c r="J529" i="47"/>
  <c r="H529" i="47" s="1" a="1"/>
  <c r="H529" i="47" s="1"/>
  <c r="I529" i="47"/>
  <c r="E529" i="47"/>
  <c r="L528" i="47"/>
  <c r="J528" i="47"/>
  <c r="H528" i="47" s="1" a="1"/>
  <c r="H528" i="47" s="1"/>
  <c r="I528" i="47"/>
  <c r="L527" i="47"/>
  <c r="J527" i="47"/>
  <c r="H527" i="47" s="1" a="1"/>
  <c r="H527" i="47" s="1"/>
  <c r="I527" i="47"/>
  <c r="E527" i="47"/>
  <c r="L526" i="47"/>
  <c r="J526" i="47"/>
  <c r="H526" i="47" s="1" a="1"/>
  <c r="H526" i="47" s="1"/>
  <c r="G526" i="47" s="1" a="1"/>
  <c r="G526" i="47" s="1"/>
  <c r="K526" i="47" s="1"/>
  <c r="I526" i="47"/>
  <c r="E526" i="47"/>
  <c r="L525" i="47"/>
  <c r="J525" i="47"/>
  <c r="H525" i="47" s="1" a="1"/>
  <c r="H525" i="47" s="1"/>
  <c r="I525" i="47"/>
  <c r="E525" i="47"/>
  <c r="L524" i="47"/>
  <c r="J524" i="47"/>
  <c r="H524" i="47" s="1" a="1"/>
  <c r="H524" i="47" s="1"/>
  <c r="I524" i="47"/>
  <c r="E524" i="47"/>
  <c r="L523" i="47"/>
  <c r="J523" i="47"/>
  <c r="I523" i="47"/>
  <c r="H523" i="47" a="1"/>
  <c r="H523" i="47" s="1"/>
  <c r="G523" i="47" s="1" a="1"/>
  <c r="G523" i="47" s="1"/>
  <c r="E523" i="47"/>
  <c r="L522" i="47"/>
  <c r="J522" i="47"/>
  <c r="H522" i="47" s="1" a="1"/>
  <c r="H522" i="47" s="1"/>
  <c r="I522" i="47"/>
  <c r="E522" i="47"/>
  <c r="L521" i="47"/>
  <c r="J521" i="47"/>
  <c r="H521" i="47" s="1" a="1"/>
  <c r="H521" i="47" s="1"/>
  <c r="G521" i="47" s="1" a="1"/>
  <c r="G521" i="47" s="1"/>
  <c r="K521" i="47" s="1"/>
  <c r="I521" i="47"/>
  <c r="E521" i="47"/>
  <c r="L520" i="47"/>
  <c r="J520" i="47"/>
  <c r="H520" i="47" s="1" a="1"/>
  <c r="H520" i="47" s="1"/>
  <c r="I520" i="47"/>
  <c r="E520" i="47"/>
  <c r="L519" i="47"/>
  <c r="J519" i="47"/>
  <c r="I519" i="47"/>
  <c r="E519" i="47"/>
  <c r="L518" i="47"/>
  <c r="J518" i="47"/>
  <c r="I518" i="47"/>
  <c r="L517" i="47"/>
  <c r="J517" i="47"/>
  <c r="I517" i="47"/>
  <c r="L516" i="47"/>
  <c r="J516" i="47"/>
  <c r="I516" i="47"/>
  <c r="L515" i="47"/>
  <c r="J515" i="47"/>
  <c r="I515" i="47"/>
  <c r="F515" i="47" a="1"/>
  <c r="L513" i="47"/>
  <c r="J513" i="47"/>
  <c r="H513" i="47" s="1" a="1"/>
  <c r="H513" i="47" s="1"/>
  <c r="I513" i="47"/>
  <c r="E513" i="47"/>
  <c r="L512" i="47"/>
  <c r="J512" i="47"/>
  <c r="H512" i="47" s="1" a="1"/>
  <c r="H512" i="47" s="1"/>
  <c r="G512" i="47" s="1" a="1"/>
  <c r="G512" i="47" s="1"/>
  <c r="K512" i="47" s="1"/>
  <c r="I512" i="47"/>
  <c r="E512" i="47"/>
  <c r="L511" i="47"/>
  <c r="J511" i="47"/>
  <c r="H511" i="47" s="1" a="1"/>
  <c r="H511" i="47" s="1"/>
  <c r="G511" i="47" s="1" a="1"/>
  <c r="G511" i="47" s="1"/>
  <c r="K511" i="47" s="1"/>
  <c r="I511" i="47"/>
  <c r="E511" i="47"/>
  <c r="L510" i="47"/>
  <c r="J510" i="47"/>
  <c r="H510" i="47" s="1" a="1"/>
  <c r="H510" i="47" s="1"/>
  <c r="I510" i="47"/>
  <c r="E510" i="47"/>
  <c r="L509" i="47"/>
  <c r="J509" i="47"/>
  <c r="H509" i="47" s="1" a="1"/>
  <c r="H509" i="47" s="1"/>
  <c r="G509" i="47" s="1" a="1"/>
  <c r="G509" i="47" s="1"/>
  <c r="K509" i="47" s="1"/>
  <c r="I509" i="47"/>
  <c r="E509" i="47"/>
  <c r="L508" i="47"/>
  <c r="J508" i="47"/>
  <c r="H508" i="47" s="1" a="1"/>
  <c r="I508" i="47"/>
  <c r="H508" i="47"/>
  <c r="G508" i="47" s="1" a="1"/>
  <c r="G508" i="47" s="1"/>
  <c r="K508" i="47" s="1"/>
  <c r="E508" i="47"/>
  <c r="L507" i="47"/>
  <c r="J507" i="47"/>
  <c r="H507" i="47" s="1" a="1"/>
  <c r="H507" i="47" s="1"/>
  <c r="G507" i="47" s="1" a="1"/>
  <c r="G507" i="47" s="1"/>
  <c r="K507" i="47" s="1"/>
  <c r="I507" i="47"/>
  <c r="E507" i="47"/>
  <c r="L506" i="47"/>
  <c r="J506" i="47"/>
  <c r="H506" i="47" s="1" a="1"/>
  <c r="H506" i="47" s="1"/>
  <c r="G506" i="47" s="1" a="1"/>
  <c r="G506" i="47" s="1"/>
  <c r="I506" i="47"/>
  <c r="E506" i="47"/>
  <c r="L505" i="47"/>
  <c r="J505" i="47"/>
  <c r="H505" i="47" s="1" a="1"/>
  <c r="H505" i="47" s="1"/>
  <c r="I505" i="47"/>
  <c r="E505" i="47"/>
  <c r="L504" i="47"/>
  <c r="J504" i="47"/>
  <c r="H504" i="47" s="1" a="1"/>
  <c r="H504" i="47" s="1"/>
  <c r="I504" i="47"/>
  <c r="E504" i="47"/>
  <c r="L503" i="47"/>
  <c r="J503" i="47"/>
  <c r="H503" i="47" s="1" a="1"/>
  <c r="H503" i="47" s="1"/>
  <c r="G503" i="47" s="1" a="1"/>
  <c r="G503" i="47" s="1"/>
  <c r="K503" i="47" s="1"/>
  <c r="I503" i="47"/>
  <c r="E503" i="47"/>
  <c r="L502" i="47"/>
  <c r="J502" i="47"/>
  <c r="H502" i="47" s="1" a="1"/>
  <c r="H502" i="47" s="1"/>
  <c r="G502" i="47" s="1" a="1"/>
  <c r="G502" i="47" s="1"/>
  <c r="I502" i="47"/>
  <c r="E502" i="47"/>
  <c r="L501" i="47"/>
  <c r="J501" i="47"/>
  <c r="H501" i="47" s="1" a="1"/>
  <c r="H501" i="47" s="1"/>
  <c r="I501" i="47"/>
  <c r="E501" i="47"/>
  <c r="L500" i="47"/>
  <c r="J500" i="47"/>
  <c r="H500" i="47" s="1" a="1"/>
  <c r="H500" i="47" s="1"/>
  <c r="G500" i="47" s="1" a="1"/>
  <c r="G500" i="47" s="1"/>
  <c r="K500" i="47" s="1"/>
  <c r="I500" i="47"/>
  <c r="E500" i="47"/>
  <c r="L499" i="47"/>
  <c r="J499" i="47"/>
  <c r="H499" i="47" s="1" a="1"/>
  <c r="H499" i="47" s="1"/>
  <c r="G499" i="47" s="1" a="1"/>
  <c r="G499" i="47" s="1"/>
  <c r="K499" i="47" s="1"/>
  <c r="I499" i="47"/>
  <c r="E499" i="47"/>
  <c r="L498" i="47"/>
  <c r="J498" i="47"/>
  <c r="H498" i="47" s="1" a="1"/>
  <c r="H498" i="47" s="1"/>
  <c r="G498" i="47" s="1" a="1"/>
  <c r="G498" i="47" s="1"/>
  <c r="I498" i="47"/>
  <c r="E498" i="47"/>
  <c r="L497" i="47"/>
  <c r="J497" i="47"/>
  <c r="H497" i="47" s="1" a="1"/>
  <c r="H497" i="47" s="1"/>
  <c r="I497" i="47"/>
  <c r="E497" i="47"/>
  <c r="L496" i="47"/>
  <c r="J496" i="47"/>
  <c r="H496" i="47" s="1" a="1"/>
  <c r="H496" i="47" s="1"/>
  <c r="I496" i="47"/>
  <c r="E496" i="47"/>
  <c r="L495" i="47"/>
  <c r="J495" i="47"/>
  <c r="H495" i="47" s="1" a="1"/>
  <c r="H495" i="47" s="1"/>
  <c r="G495" i="47" s="1" a="1"/>
  <c r="G495" i="47" s="1"/>
  <c r="I495" i="47"/>
  <c r="E495" i="47"/>
  <c r="L494" i="47"/>
  <c r="J494" i="47"/>
  <c r="H494" i="47" s="1" a="1"/>
  <c r="H494" i="47" s="1"/>
  <c r="I494" i="47"/>
  <c r="E494" i="47"/>
  <c r="L493" i="47"/>
  <c r="J493" i="47"/>
  <c r="H493" i="47" s="1" a="1"/>
  <c r="H493" i="47" s="1"/>
  <c r="I493" i="47"/>
  <c r="E493" i="47"/>
  <c r="L492" i="47"/>
  <c r="J492" i="47"/>
  <c r="H492" i="47" s="1" a="1"/>
  <c r="H492" i="47" s="1"/>
  <c r="G492" i="47" s="1" a="1"/>
  <c r="G492" i="47" s="1"/>
  <c r="K492" i="47" s="1"/>
  <c r="I492" i="47"/>
  <c r="E492" i="47"/>
  <c r="L491" i="47"/>
  <c r="J491" i="47"/>
  <c r="H491" i="47" s="1" a="1"/>
  <c r="H491" i="47" s="1"/>
  <c r="G491" i="47" s="1" a="1"/>
  <c r="G491" i="47" s="1"/>
  <c r="K491" i="47" s="1"/>
  <c r="I491" i="47"/>
  <c r="E491" i="47"/>
  <c r="L490" i="47"/>
  <c r="J490" i="47"/>
  <c r="H490" i="47" s="1" a="1"/>
  <c r="H490" i="47" s="1"/>
  <c r="I490" i="47"/>
  <c r="E490" i="47"/>
  <c r="L489" i="47"/>
  <c r="J489" i="47"/>
  <c r="H489" i="47" s="1" a="1"/>
  <c r="H489" i="47" s="1"/>
  <c r="G489" i="47" s="1" a="1"/>
  <c r="G489" i="47" s="1"/>
  <c r="K489" i="47" s="1"/>
  <c r="I489" i="47"/>
  <c r="E489" i="47"/>
  <c r="L488" i="47"/>
  <c r="J488" i="47"/>
  <c r="H488" i="47" s="1" a="1"/>
  <c r="H488" i="47" s="1"/>
  <c r="I488" i="47"/>
  <c r="E488" i="47"/>
  <c r="L487" i="47"/>
  <c r="J487" i="47"/>
  <c r="H487" i="47" s="1" a="1"/>
  <c r="H487" i="47" s="1"/>
  <c r="I487" i="47"/>
  <c r="E487" i="47"/>
  <c r="L486" i="47"/>
  <c r="J486" i="47"/>
  <c r="H486" i="47" s="1" a="1"/>
  <c r="H486" i="47" s="1"/>
  <c r="I486" i="47"/>
  <c r="E486" i="47"/>
  <c r="L485" i="47"/>
  <c r="J485" i="47"/>
  <c r="H485" i="47" s="1" a="1"/>
  <c r="H485" i="47" s="1"/>
  <c r="I485" i="47"/>
  <c r="E485" i="47"/>
  <c r="L484" i="47"/>
  <c r="J484" i="47"/>
  <c r="H484" i="47" s="1" a="1"/>
  <c r="H484" i="47" s="1"/>
  <c r="I484" i="47"/>
  <c r="E484" i="47"/>
  <c r="L483" i="47"/>
  <c r="J483" i="47"/>
  <c r="H483" i="47" s="1" a="1"/>
  <c r="H483" i="47" s="1"/>
  <c r="I483" i="47"/>
  <c r="E483" i="47"/>
  <c r="L482" i="47"/>
  <c r="J482" i="47"/>
  <c r="H482" i="47" s="1" a="1"/>
  <c r="H482" i="47" s="1"/>
  <c r="I482" i="47"/>
  <c r="E482" i="47"/>
  <c r="L481" i="47"/>
  <c r="J481" i="47"/>
  <c r="H481" i="47" s="1" a="1"/>
  <c r="H481" i="47" s="1"/>
  <c r="I481" i="47"/>
  <c r="E481" i="47"/>
  <c r="L480" i="47"/>
  <c r="J480" i="47"/>
  <c r="H480" i="47" s="1" a="1"/>
  <c r="H480" i="47" s="1"/>
  <c r="G480" i="47" s="1" a="1"/>
  <c r="G480" i="47" s="1"/>
  <c r="K480" i="47" s="1"/>
  <c r="I480" i="47"/>
  <c r="E480" i="47"/>
  <c r="L479" i="47"/>
  <c r="J479" i="47"/>
  <c r="I479" i="47"/>
  <c r="L478" i="47"/>
  <c r="J478" i="47"/>
  <c r="I478" i="47"/>
  <c r="L477" i="47"/>
  <c r="J477" i="47"/>
  <c r="I477" i="47"/>
  <c r="L476" i="47"/>
  <c r="J476" i="47"/>
  <c r="I476" i="47"/>
  <c r="L475" i="47"/>
  <c r="J475" i="47"/>
  <c r="I475" i="47"/>
  <c r="L474" i="47"/>
  <c r="J474" i="47"/>
  <c r="I474" i="47"/>
  <c r="L473" i="47"/>
  <c r="J473" i="47"/>
  <c r="I473" i="47"/>
  <c r="L472" i="47"/>
  <c r="J472" i="47"/>
  <c r="I472" i="47"/>
  <c r="L471" i="47"/>
  <c r="J471" i="47"/>
  <c r="I471" i="47"/>
  <c r="L470" i="47"/>
  <c r="J470" i="47"/>
  <c r="I470" i="47"/>
  <c r="L469" i="47"/>
  <c r="J469" i="47"/>
  <c r="I469" i="47"/>
  <c r="L468" i="47"/>
  <c r="J468" i="47"/>
  <c r="I468" i="47"/>
  <c r="L467" i="47"/>
  <c r="J467" i="47"/>
  <c r="I467" i="47"/>
  <c r="L466" i="47"/>
  <c r="J466" i="47"/>
  <c r="I466" i="47"/>
  <c r="L465" i="47"/>
  <c r="J465" i="47"/>
  <c r="I465" i="47"/>
  <c r="F465" i="47" a="1"/>
  <c r="L463" i="47"/>
  <c r="J463" i="47"/>
  <c r="H463" i="47" s="1" a="1"/>
  <c r="H463" i="47" s="1"/>
  <c r="G463" i="47" s="1" a="1"/>
  <c r="G463" i="47" s="1"/>
  <c r="I463" i="47"/>
  <c r="E463" i="47"/>
  <c r="L462" i="47"/>
  <c r="J462" i="47"/>
  <c r="H462" i="47" s="1" a="1"/>
  <c r="H462" i="47" s="1"/>
  <c r="G462" i="47" s="1" a="1"/>
  <c r="G462" i="47" s="1"/>
  <c r="K462" i="47" s="1"/>
  <c r="I462" i="47"/>
  <c r="E462" i="47"/>
  <c r="L461" i="47"/>
  <c r="J461" i="47"/>
  <c r="H461" i="47" s="1" a="1"/>
  <c r="H461" i="47" s="1"/>
  <c r="I461" i="47"/>
  <c r="E461" i="47"/>
  <c r="L460" i="47"/>
  <c r="J460" i="47"/>
  <c r="H460" i="47" s="1" a="1"/>
  <c r="H460" i="47" s="1"/>
  <c r="G460" i="47" s="1" a="1"/>
  <c r="G460" i="47" s="1"/>
  <c r="I460" i="47"/>
  <c r="E460" i="47"/>
  <c r="L459" i="47"/>
  <c r="J459" i="47"/>
  <c r="H459" i="47" s="1" a="1"/>
  <c r="H459" i="47" s="1"/>
  <c r="I459" i="47"/>
  <c r="E459" i="47"/>
  <c r="L458" i="47"/>
  <c r="J458" i="47"/>
  <c r="H458" i="47" s="1" a="1"/>
  <c r="H458" i="47" s="1"/>
  <c r="I458" i="47"/>
  <c r="E458" i="47"/>
  <c r="L457" i="47"/>
  <c r="J457" i="47"/>
  <c r="H457" i="47" s="1" a="1"/>
  <c r="H457" i="47" s="1"/>
  <c r="G457" i="47" s="1" a="1"/>
  <c r="G457" i="47" s="1"/>
  <c r="I457" i="47"/>
  <c r="E457" i="47"/>
  <c r="L456" i="47"/>
  <c r="J456" i="47"/>
  <c r="H456" i="47" s="1" a="1"/>
  <c r="H456" i="47" s="1"/>
  <c r="G456" i="47" s="1" a="1"/>
  <c r="G456" i="47" s="1"/>
  <c r="I456" i="47"/>
  <c r="E456" i="47"/>
  <c r="L455" i="47"/>
  <c r="J455" i="47"/>
  <c r="H455" i="47" s="1" a="1"/>
  <c r="H455" i="47" s="1"/>
  <c r="I455" i="47"/>
  <c r="E455" i="47"/>
  <c r="L454" i="47"/>
  <c r="J454" i="47"/>
  <c r="H454" i="47" s="1" a="1"/>
  <c r="H454" i="47" s="1"/>
  <c r="I454" i="47"/>
  <c r="E454" i="47"/>
  <c r="L453" i="47"/>
  <c r="J453" i="47"/>
  <c r="H453" i="47" s="1" a="1"/>
  <c r="H453" i="47" s="1"/>
  <c r="G453" i="47" s="1" a="1"/>
  <c r="G453" i="47" s="1"/>
  <c r="K453" i="47" s="1"/>
  <c r="I453" i="47"/>
  <c r="E453" i="47"/>
  <c r="L452" i="47"/>
  <c r="J452" i="47"/>
  <c r="H452" i="47" s="1" a="1"/>
  <c r="H452" i="47" s="1"/>
  <c r="I452" i="47"/>
  <c r="E452" i="47"/>
  <c r="L451" i="47"/>
  <c r="J451" i="47"/>
  <c r="H451" i="47" s="1" a="1"/>
  <c r="H451" i="47" s="1"/>
  <c r="I451" i="47"/>
  <c r="E451" i="47"/>
  <c r="L450" i="47"/>
  <c r="J450" i="47"/>
  <c r="H450" i="47" s="1" a="1"/>
  <c r="H450" i="47" s="1"/>
  <c r="G450" i="47" s="1" a="1"/>
  <c r="G450" i="47" s="1"/>
  <c r="K450" i="47" s="1"/>
  <c r="I450" i="47"/>
  <c r="E450" i="47"/>
  <c r="L449" i="47"/>
  <c r="J449" i="47"/>
  <c r="I449" i="47"/>
  <c r="H449" i="47" a="1"/>
  <c r="H449" i="47" s="1"/>
  <c r="E449" i="47"/>
  <c r="L448" i="47"/>
  <c r="J448" i="47"/>
  <c r="H448" i="47" s="1" a="1"/>
  <c r="H448" i="47" s="1"/>
  <c r="I448" i="47"/>
  <c r="E448" i="47"/>
  <c r="L447" i="47"/>
  <c r="J447" i="47"/>
  <c r="I447" i="47"/>
  <c r="H447" i="47" a="1"/>
  <c r="H447" i="47" s="1"/>
  <c r="G447" i="47" s="1" a="1"/>
  <c r="G447" i="47" s="1"/>
  <c r="K447" i="47" s="1"/>
  <c r="E447" i="47"/>
  <c r="L446" i="47"/>
  <c r="J446" i="47"/>
  <c r="H446" i="47" s="1" a="1"/>
  <c r="H446" i="47" s="1"/>
  <c r="G446" i="47" s="1" a="1"/>
  <c r="G446" i="47" s="1"/>
  <c r="K446" i="47" s="1"/>
  <c r="I446" i="47"/>
  <c r="E446" i="47"/>
  <c r="L445" i="47"/>
  <c r="J445" i="47"/>
  <c r="I445" i="47"/>
  <c r="H445" i="47" a="1"/>
  <c r="H445" i="47" s="1"/>
  <c r="E445" i="47"/>
  <c r="L444" i="47"/>
  <c r="J444" i="47"/>
  <c r="H444" i="47" s="1" a="1"/>
  <c r="H444" i="47" s="1"/>
  <c r="G444" i="47" s="1" a="1"/>
  <c r="G444" i="47" s="1"/>
  <c r="I444" i="47"/>
  <c r="E444" i="47"/>
  <c r="L443" i="47"/>
  <c r="J443" i="47"/>
  <c r="H443" i="47" s="1" a="1"/>
  <c r="H443" i="47" s="1"/>
  <c r="I443" i="47"/>
  <c r="E443" i="47"/>
  <c r="L442" i="47"/>
  <c r="J442" i="47"/>
  <c r="H442" i="47" s="1" a="1"/>
  <c r="H442" i="47" s="1"/>
  <c r="I442" i="47"/>
  <c r="E442" i="47"/>
  <c r="L441" i="47"/>
  <c r="J441" i="47"/>
  <c r="H441" i="47" s="1" a="1"/>
  <c r="H441" i="47" s="1"/>
  <c r="G441" i="47" s="1" a="1"/>
  <c r="G441" i="47" s="1"/>
  <c r="K441" i="47" s="1"/>
  <c r="I441" i="47"/>
  <c r="E441" i="47"/>
  <c r="L440" i="47"/>
  <c r="J440" i="47"/>
  <c r="H440" i="47" s="1" a="1"/>
  <c r="H440" i="47" s="1"/>
  <c r="I440" i="47"/>
  <c r="E440" i="47"/>
  <c r="L439" i="47"/>
  <c r="J439" i="47"/>
  <c r="H439" i="47" s="1" a="1"/>
  <c r="H439" i="47" s="1"/>
  <c r="I439" i="47"/>
  <c r="E439" i="47"/>
  <c r="L438" i="47"/>
  <c r="J438" i="47"/>
  <c r="H438" i="47" s="1" a="1"/>
  <c r="H438" i="47" s="1"/>
  <c r="G438" i="47" s="1" a="1"/>
  <c r="G438" i="47" s="1"/>
  <c r="K438" i="47" s="1"/>
  <c r="I438" i="47"/>
  <c r="E438" i="47"/>
  <c r="L437" i="47"/>
  <c r="J437" i="47"/>
  <c r="H437" i="47" s="1" a="1"/>
  <c r="H437" i="47" s="1"/>
  <c r="I437" i="47"/>
  <c r="E437" i="47"/>
  <c r="L436" i="47"/>
  <c r="J436" i="47"/>
  <c r="H436" i="47" s="1" a="1"/>
  <c r="H436" i="47" s="1"/>
  <c r="I436" i="47"/>
  <c r="E436" i="47"/>
  <c r="L435" i="47"/>
  <c r="J435" i="47"/>
  <c r="H435" i="47" s="1" a="1"/>
  <c r="H435" i="47" s="1"/>
  <c r="G435" i="47" s="1" a="1"/>
  <c r="G435" i="47" s="1"/>
  <c r="K435" i="47" s="1"/>
  <c r="I435" i="47"/>
  <c r="E435" i="47"/>
  <c r="L434" i="47"/>
  <c r="J434" i="47"/>
  <c r="H434" i="47" s="1" a="1"/>
  <c r="H434" i="47" s="1"/>
  <c r="I434" i="47"/>
  <c r="E434" i="47"/>
  <c r="L433" i="47"/>
  <c r="J433" i="47"/>
  <c r="I433" i="47"/>
  <c r="L432" i="47"/>
  <c r="J432" i="47"/>
  <c r="I432" i="47"/>
  <c r="L431" i="47"/>
  <c r="J431" i="47"/>
  <c r="I431" i="47"/>
  <c r="L430" i="47"/>
  <c r="J430" i="47"/>
  <c r="I430" i="47"/>
  <c r="L429" i="47"/>
  <c r="J429" i="47"/>
  <c r="I429" i="47"/>
  <c r="L428" i="47"/>
  <c r="J428" i="47"/>
  <c r="I428" i="47"/>
  <c r="L427" i="47"/>
  <c r="J427" i="47"/>
  <c r="I427" i="47"/>
  <c r="L426" i="47"/>
  <c r="J426" i="47"/>
  <c r="I426" i="47"/>
  <c r="L425" i="47"/>
  <c r="J425" i="47"/>
  <c r="I425" i="47"/>
  <c r="L424" i="47"/>
  <c r="J424" i="47"/>
  <c r="I424" i="47"/>
  <c r="L423" i="47"/>
  <c r="J423" i="47"/>
  <c r="I423" i="47"/>
  <c r="L422" i="47"/>
  <c r="J422" i="47"/>
  <c r="I422" i="47"/>
  <c r="L421" i="47"/>
  <c r="J421" i="47"/>
  <c r="I421" i="47"/>
  <c r="L420" i="47"/>
  <c r="J420" i="47"/>
  <c r="I420" i="47"/>
  <c r="L419" i="47"/>
  <c r="J419" i="47"/>
  <c r="I419" i="47"/>
  <c r="L418" i="47"/>
  <c r="J418" i="47"/>
  <c r="I418" i="47"/>
  <c r="L417" i="47"/>
  <c r="J417" i="47"/>
  <c r="I417" i="47"/>
  <c r="L416" i="47"/>
  <c r="J416" i="47"/>
  <c r="I416" i="47"/>
  <c r="L415" i="47"/>
  <c r="J415" i="47"/>
  <c r="I415" i="47"/>
  <c r="F415" i="47" a="1"/>
  <c r="H433" i="47" s="1" a="1"/>
  <c r="H433" i="47" s="1"/>
  <c r="L413" i="47"/>
  <c r="J413" i="47"/>
  <c r="H413" i="47" s="1" a="1"/>
  <c r="H413" i="47" s="1"/>
  <c r="I413" i="47"/>
  <c r="E413" i="47"/>
  <c r="L412" i="47"/>
  <c r="J412" i="47"/>
  <c r="I412" i="47"/>
  <c r="H412" i="47" a="1"/>
  <c r="H412" i="47" s="1"/>
  <c r="E412" i="47"/>
  <c r="L411" i="47"/>
  <c r="J411" i="47"/>
  <c r="H411" i="47" s="1" a="1"/>
  <c r="H411" i="47" s="1"/>
  <c r="I411" i="47"/>
  <c r="E411" i="47"/>
  <c r="L410" i="47"/>
  <c r="J410" i="47"/>
  <c r="H410" i="47" s="1" a="1"/>
  <c r="H410" i="47" s="1"/>
  <c r="G410" i="47" s="1" a="1"/>
  <c r="G410" i="47" s="1"/>
  <c r="I410" i="47"/>
  <c r="E410" i="47"/>
  <c r="L409" i="47"/>
  <c r="J409" i="47"/>
  <c r="H409" i="47" s="1" a="1"/>
  <c r="H409" i="47" s="1"/>
  <c r="I409" i="47"/>
  <c r="E409" i="47"/>
  <c r="L408" i="47"/>
  <c r="J408" i="47"/>
  <c r="I408" i="47"/>
  <c r="H408" i="47" a="1"/>
  <c r="H408" i="47" s="1"/>
  <c r="G408" i="47" s="1" a="1"/>
  <c r="G408" i="47" s="1"/>
  <c r="K408" i="47" s="1"/>
  <c r="E408" i="47"/>
  <c r="L407" i="47"/>
  <c r="J407" i="47"/>
  <c r="H407" i="47" s="1" a="1"/>
  <c r="H407" i="47" s="1"/>
  <c r="G407" i="47" s="1" a="1"/>
  <c r="G407" i="47" s="1"/>
  <c r="I407" i="47"/>
  <c r="E407" i="47"/>
  <c r="L406" i="47"/>
  <c r="J406" i="47"/>
  <c r="H406" i="47" s="1" a="1"/>
  <c r="H406" i="47" s="1"/>
  <c r="G406" i="47" s="1" a="1"/>
  <c r="G406" i="47" s="1"/>
  <c r="K406" i="47" s="1"/>
  <c r="I406" i="47"/>
  <c r="E406" i="47"/>
  <c r="L405" i="47"/>
  <c r="J405" i="47"/>
  <c r="H405" i="47" s="1" a="1"/>
  <c r="H405" i="47" s="1"/>
  <c r="I405" i="47"/>
  <c r="E405" i="47"/>
  <c r="L404" i="47"/>
  <c r="J404" i="47"/>
  <c r="H404" i="47" s="1" a="1"/>
  <c r="H404" i="47" s="1"/>
  <c r="I404" i="47"/>
  <c r="E404" i="47"/>
  <c r="L403" i="47"/>
  <c r="J403" i="47"/>
  <c r="H403" i="47" s="1" a="1"/>
  <c r="H403" i="47" s="1"/>
  <c r="I403" i="47"/>
  <c r="E403" i="47"/>
  <c r="L402" i="47"/>
  <c r="J402" i="47"/>
  <c r="H402" i="47" s="1" a="1"/>
  <c r="H402" i="47" s="1"/>
  <c r="I402" i="47"/>
  <c r="E402" i="47"/>
  <c r="L401" i="47"/>
  <c r="J401" i="47"/>
  <c r="H401" i="47" s="1" a="1"/>
  <c r="H401" i="47" s="1"/>
  <c r="G401" i="47" s="1" a="1"/>
  <c r="G401" i="47" s="1"/>
  <c r="I401" i="47"/>
  <c r="E401" i="47"/>
  <c r="L400" i="47"/>
  <c r="J400" i="47"/>
  <c r="H400" i="47" s="1" a="1"/>
  <c r="H400" i="47" s="1"/>
  <c r="G400" i="47" s="1" a="1"/>
  <c r="G400" i="47" s="1"/>
  <c r="K400" i="47" s="1"/>
  <c r="I400" i="47"/>
  <c r="E400" i="47"/>
  <c r="L399" i="47"/>
  <c r="J399" i="47"/>
  <c r="H399" i="47" s="1" a="1"/>
  <c r="H399" i="47" s="1"/>
  <c r="I399" i="47"/>
  <c r="E399" i="47"/>
  <c r="L398" i="47"/>
  <c r="J398" i="47"/>
  <c r="H398" i="47" s="1" a="1"/>
  <c r="H398" i="47" s="1"/>
  <c r="G398" i="47" s="1" a="1"/>
  <c r="G398" i="47" s="1"/>
  <c r="I398" i="47"/>
  <c r="E398" i="47"/>
  <c r="L397" i="47"/>
  <c r="J397" i="47"/>
  <c r="H397" i="47" s="1" a="1"/>
  <c r="H397" i="47" s="1"/>
  <c r="I397" i="47"/>
  <c r="E397" i="47"/>
  <c r="L396" i="47"/>
  <c r="J396" i="47"/>
  <c r="H396" i="47" s="1" a="1"/>
  <c r="H396" i="47" s="1"/>
  <c r="I396" i="47"/>
  <c r="E396" i="47"/>
  <c r="L395" i="47"/>
  <c r="J395" i="47"/>
  <c r="H395" i="47" s="1" a="1"/>
  <c r="H395" i="47" s="1"/>
  <c r="I395" i="47"/>
  <c r="E395" i="47"/>
  <c r="L394" i="47"/>
  <c r="J394" i="47"/>
  <c r="H394" i="47" s="1" a="1"/>
  <c r="H394" i="47" s="1"/>
  <c r="G394" i="47" s="1" a="1"/>
  <c r="G394" i="47" s="1"/>
  <c r="I394" i="47"/>
  <c r="E394" i="47"/>
  <c r="L393" i="47"/>
  <c r="J393" i="47"/>
  <c r="H393" i="47" s="1" a="1"/>
  <c r="H393" i="47" s="1"/>
  <c r="I393" i="47"/>
  <c r="E393" i="47"/>
  <c r="L392" i="47"/>
  <c r="J392" i="47"/>
  <c r="H392" i="47" s="1" a="1"/>
  <c r="H392" i="47" s="1"/>
  <c r="I392" i="47"/>
  <c r="E392" i="47"/>
  <c r="L391" i="47"/>
  <c r="J391" i="47"/>
  <c r="H391" i="47" s="1" a="1"/>
  <c r="H391" i="47" s="1"/>
  <c r="I391" i="47"/>
  <c r="E391" i="47"/>
  <c r="L390" i="47"/>
  <c r="J390" i="47"/>
  <c r="H390" i="47" s="1" a="1"/>
  <c r="H390" i="47" s="1"/>
  <c r="I390" i="47"/>
  <c r="E390" i="47"/>
  <c r="L389" i="47"/>
  <c r="J389" i="47"/>
  <c r="H389" i="47" s="1" a="1"/>
  <c r="H389" i="47" s="1"/>
  <c r="I389" i="47"/>
  <c r="E389" i="47"/>
  <c r="L388" i="47"/>
  <c r="J388" i="47"/>
  <c r="H388" i="47" s="1" a="1"/>
  <c r="H388" i="47" s="1"/>
  <c r="I388" i="47"/>
  <c r="E388" i="47"/>
  <c r="L387" i="47"/>
  <c r="J387" i="47"/>
  <c r="H387" i="47" s="1" a="1"/>
  <c r="H387" i="47" s="1"/>
  <c r="G387" i="47" s="1" a="1"/>
  <c r="G387" i="47" s="1"/>
  <c r="K387" i="47" s="1"/>
  <c r="I387" i="47"/>
  <c r="E387" i="47"/>
  <c r="L386" i="47"/>
  <c r="J386" i="47"/>
  <c r="H386" i="47" s="1" a="1"/>
  <c r="H386" i="47" s="1"/>
  <c r="I386" i="47"/>
  <c r="E386" i="47"/>
  <c r="L385" i="47"/>
  <c r="J385" i="47"/>
  <c r="H385" i="47" s="1" a="1"/>
  <c r="H385" i="47" s="1"/>
  <c r="I385" i="47"/>
  <c r="E385" i="47"/>
  <c r="L384" i="47"/>
  <c r="J384" i="47"/>
  <c r="I384" i="47"/>
  <c r="H384" i="47" a="1"/>
  <c r="H384" i="47" s="1"/>
  <c r="E384" i="47"/>
  <c r="L383" i="47"/>
  <c r="J383" i="47"/>
  <c r="H383" i="47" s="1" a="1"/>
  <c r="H383" i="47" s="1"/>
  <c r="I383" i="47"/>
  <c r="E383" i="47"/>
  <c r="L382" i="47"/>
  <c r="J382" i="47"/>
  <c r="I382" i="47"/>
  <c r="L381" i="47"/>
  <c r="J381" i="47"/>
  <c r="I381" i="47"/>
  <c r="L380" i="47"/>
  <c r="J380" i="47"/>
  <c r="I380" i="47"/>
  <c r="L379" i="47"/>
  <c r="J379" i="47"/>
  <c r="I379" i="47"/>
  <c r="L378" i="47"/>
  <c r="J378" i="47"/>
  <c r="I378" i="47"/>
  <c r="L377" i="47"/>
  <c r="J377" i="47"/>
  <c r="I377" i="47"/>
  <c r="L376" i="47"/>
  <c r="J376" i="47"/>
  <c r="I376" i="47"/>
  <c r="L375" i="47"/>
  <c r="J375" i="47"/>
  <c r="I375" i="47"/>
  <c r="L374" i="47"/>
  <c r="J374" i="47"/>
  <c r="I374" i="47"/>
  <c r="L373" i="47"/>
  <c r="J373" i="47"/>
  <c r="I373" i="47"/>
  <c r="L372" i="47"/>
  <c r="J372" i="47"/>
  <c r="I372" i="47"/>
  <c r="L371" i="47"/>
  <c r="J371" i="47"/>
  <c r="I371" i="47"/>
  <c r="L370" i="47"/>
  <c r="J370" i="47"/>
  <c r="I370" i="47"/>
  <c r="L369" i="47"/>
  <c r="J369" i="47"/>
  <c r="I369" i="47"/>
  <c r="L368" i="47"/>
  <c r="J368" i="47"/>
  <c r="I368" i="47"/>
  <c r="L367" i="47"/>
  <c r="J367" i="47"/>
  <c r="I367" i="47"/>
  <c r="L366" i="47"/>
  <c r="J366" i="47"/>
  <c r="I366" i="47"/>
  <c r="L365" i="47"/>
  <c r="J365" i="47"/>
  <c r="I365" i="47"/>
  <c r="F365" i="47" a="1"/>
  <c r="L363" i="47"/>
  <c r="J363" i="47"/>
  <c r="H363" i="47" s="1" a="1"/>
  <c r="H363" i="47" s="1"/>
  <c r="I363" i="47"/>
  <c r="E363" i="47"/>
  <c r="L362" i="47"/>
  <c r="J362" i="47"/>
  <c r="H362" i="47" s="1" a="1"/>
  <c r="H362" i="47" s="1"/>
  <c r="I362" i="47"/>
  <c r="E362" i="47"/>
  <c r="L361" i="47"/>
  <c r="J361" i="47"/>
  <c r="H361" i="47" s="1" a="1"/>
  <c r="H361" i="47" s="1"/>
  <c r="I361" i="47"/>
  <c r="E361" i="47"/>
  <c r="L360" i="47"/>
  <c r="J360" i="47"/>
  <c r="H360" i="47" s="1" a="1"/>
  <c r="H360" i="47" s="1"/>
  <c r="G360" i="47" s="1" a="1"/>
  <c r="G360" i="47" s="1"/>
  <c r="I360" i="47"/>
  <c r="E360" i="47"/>
  <c r="L359" i="47"/>
  <c r="J359" i="47"/>
  <c r="H359" i="47" s="1" a="1"/>
  <c r="H359" i="47" s="1"/>
  <c r="I359" i="47"/>
  <c r="E359" i="47"/>
  <c r="L358" i="47"/>
  <c r="J358" i="47"/>
  <c r="H358" i="47" s="1" a="1"/>
  <c r="H358" i="47" s="1"/>
  <c r="I358" i="47"/>
  <c r="E358" i="47"/>
  <c r="L357" i="47"/>
  <c r="J357" i="47"/>
  <c r="H357" i="47" s="1" a="1"/>
  <c r="H357" i="47" s="1"/>
  <c r="G357" i="47" s="1" a="1"/>
  <c r="G357" i="47" s="1"/>
  <c r="I357" i="47"/>
  <c r="E357" i="47"/>
  <c r="L356" i="47"/>
  <c r="J356" i="47"/>
  <c r="H356" i="47" s="1" a="1"/>
  <c r="H356" i="47" s="1"/>
  <c r="I356" i="47"/>
  <c r="E356" i="47"/>
  <c r="L355" i="47"/>
  <c r="J355" i="47"/>
  <c r="H355" i="47" s="1" a="1"/>
  <c r="H355" i="47" s="1"/>
  <c r="I355" i="47"/>
  <c r="E355" i="47"/>
  <c r="L354" i="47"/>
  <c r="J354" i="47"/>
  <c r="H354" i="47" s="1" a="1"/>
  <c r="H354" i="47" s="1"/>
  <c r="I354" i="47"/>
  <c r="E354" i="47"/>
  <c r="L353" i="47"/>
  <c r="J353" i="47"/>
  <c r="H353" i="47" s="1" a="1"/>
  <c r="H353" i="47" s="1"/>
  <c r="I353" i="47"/>
  <c r="E353" i="47"/>
  <c r="L352" i="47"/>
  <c r="J352" i="47"/>
  <c r="H352" i="47" s="1" a="1"/>
  <c r="H352" i="47" s="1"/>
  <c r="I352" i="47"/>
  <c r="E352" i="47"/>
  <c r="L351" i="47"/>
  <c r="J351" i="47"/>
  <c r="H351" i="47" s="1" a="1"/>
  <c r="H351" i="47" s="1"/>
  <c r="I351" i="47"/>
  <c r="E351" i="47"/>
  <c r="L350" i="47"/>
  <c r="J350" i="47"/>
  <c r="H350" i="47" s="1" a="1"/>
  <c r="H350" i="47" s="1"/>
  <c r="I350" i="47"/>
  <c r="E350" i="47"/>
  <c r="L349" i="47"/>
  <c r="J349" i="47"/>
  <c r="H349" i="47" s="1" a="1"/>
  <c r="H349" i="47" s="1"/>
  <c r="I349" i="47"/>
  <c r="E349" i="47"/>
  <c r="L348" i="47"/>
  <c r="J348" i="47"/>
  <c r="H348" i="47" s="1" a="1"/>
  <c r="H348" i="47" s="1"/>
  <c r="I348" i="47"/>
  <c r="E348" i="47"/>
  <c r="L347" i="47"/>
  <c r="J347" i="47"/>
  <c r="H347" i="47" s="1" a="1"/>
  <c r="H347" i="47" s="1"/>
  <c r="G347" i="47" s="1" a="1"/>
  <c r="G347" i="47" s="1"/>
  <c r="K347" i="47" s="1"/>
  <c r="I347" i="47"/>
  <c r="E347" i="47"/>
  <c r="L346" i="47"/>
  <c r="J346" i="47"/>
  <c r="H346" i="47" s="1" a="1"/>
  <c r="H346" i="47" s="1"/>
  <c r="G346" i="47" s="1" a="1"/>
  <c r="G346" i="47" s="1"/>
  <c r="K346" i="47" s="1"/>
  <c r="I346" i="47"/>
  <c r="E346" i="47"/>
  <c r="L345" i="47"/>
  <c r="J345" i="47"/>
  <c r="H345" i="47" s="1" a="1"/>
  <c r="H345" i="47" s="1"/>
  <c r="I345" i="47"/>
  <c r="E345" i="47"/>
  <c r="L344" i="47"/>
  <c r="J344" i="47"/>
  <c r="H344" i="47" s="1" a="1"/>
  <c r="H344" i="47" s="1"/>
  <c r="I344" i="47"/>
  <c r="E344" i="47"/>
  <c r="L343" i="47"/>
  <c r="J343" i="47"/>
  <c r="H343" i="47" s="1" a="1"/>
  <c r="H343" i="47" s="1"/>
  <c r="I343" i="47"/>
  <c r="E343" i="47"/>
  <c r="L342" i="47"/>
  <c r="J342" i="47"/>
  <c r="H342" i="47" s="1" a="1"/>
  <c r="H342" i="47" s="1"/>
  <c r="I342" i="47"/>
  <c r="E342" i="47"/>
  <c r="L341" i="47"/>
  <c r="J341" i="47"/>
  <c r="H341" i="47" s="1" a="1"/>
  <c r="H341" i="47" s="1"/>
  <c r="I341" i="47"/>
  <c r="E341" i="47"/>
  <c r="L340" i="47"/>
  <c r="J340" i="47"/>
  <c r="H340" i="47" s="1" a="1"/>
  <c r="H340" i="47" s="1"/>
  <c r="I340" i="47"/>
  <c r="E340" i="47"/>
  <c r="L339" i="47"/>
  <c r="J339" i="47"/>
  <c r="H339" i="47" s="1" a="1"/>
  <c r="H339" i="47" s="1"/>
  <c r="I339" i="47"/>
  <c r="E339" i="47"/>
  <c r="L338" i="47"/>
  <c r="J338" i="47"/>
  <c r="H338" i="47" s="1" a="1"/>
  <c r="H338" i="47" s="1"/>
  <c r="G338" i="47" s="1" a="1"/>
  <c r="G338" i="47" s="1"/>
  <c r="K338" i="47" s="1"/>
  <c r="I338" i="47"/>
  <c r="E338" i="47"/>
  <c r="L337" i="47"/>
  <c r="J337" i="47"/>
  <c r="H337" i="47" s="1" a="1"/>
  <c r="H337" i="47" s="1"/>
  <c r="I337" i="47"/>
  <c r="E337" i="47"/>
  <c r="L336" i="47"/>
  <c r="J336" i="47"/>
  <c r="H336" i="47" s="1" a="1"/>
  <c r="H336" i="47" s="1"/>
  <c r="G336" i="47" s="1" a="1"/>
  <c r="G336" i="47" s="1"/>
  <c r="I336" i="47"/>
  <c r="E336" i="47"/>
  <c r="L335" i="47"/>
  <c r="J335" i="47"/>
  <c r="H335" i="47" s="1" a="1"/>
  <c r="H335" i="47" s="1"/>
  <c r="I335" i="47"/>
  <c r="E335" i="47"/>
  <c r="L334" i="47"/>
  <c r="J334" i="47"/>
  <c r="H334" i="47" s="1" a="1"/>
  <c r="H334" i="47" s="1"/>
  <c r="I334" i="47"/>
  <c r="E334" i="47"/>
  <c r="L333" i="47"/>
  <c r="J333" i="47"/>
  <c r="H333" i="47" s="1" a="1"/>
  <c r="H333" i="47" s="1"/>
  <c r="G333" i="47" s="1" a="1"/>
  <c r="G333" i="47" s="1"/>
  <c r="I333" i="47"/>
  <c r="E333" i="47"/>
  <c r="L332" i="47"/>
  <c r="J332" i="47"/>
  <c r="H332" i="47" s="1" a="1"/>
  <c r="H332" i="47" s="1"/>
  <c r="I332" i="47"/>
  <c r="E332" i="47"/>
  <c r="L331" i="47"/>
  <c r="J331" i="47"/>
  <c r="H331" i="47" s="1" a="1"/>
  <c r="H331" i="47" s="1"/>
  <c r="I331" i="47"/>
  <c r="E331" i="47"/>
  <c r="L330" i="47"/>
  <c r="J330" i="47"/>
  <c r="H330" i="47" s="1" a="1"/>
  <c r="H330" i="47" s="1"/>
  <c r="I330" i="47"/>
  <c r="E330" i="47"/>
  <c r="L329" i="47"/>
  <c r="J329" i="47"/>
  <c r="I329" i="47"/>
  <c r="L328" i="47"/>
  <c r="J328" i="47"/>
  <c r="I328" i="47"/>
  <c r="L327" i="47"/>
  <c r="J327" i="47"/>
  <c r="I327" i="47"/>
  <c r="L326" i="47"/>
  <c r="J326" i="47"/>
  <c r="I326" i="47"/>
  <c r="L325" i="47"/>
  <c r="J325" i="47"/>
  <c r="I325" i="47"/>
  <c r="L324" i="47"/>
  <c r="J324" i="47"/>
  <c r="I324" i="47"/>
  <c r="L323" i="47"/>
  <c r="J323" i="47"/>
  <c r="I323" i="47"/>
  <c r="L322" i="47"/>
  <c r="J322" i="47"/>
  <c r="I322" i="47"/>
  <c r="L321" i="47"/>
  <c r="J321" i="47"/>
  <c r="I321" i="47"/>
  <c r="L320" i="47"/>
  <c r="J320" i="47"/>
  <c r="I320" i="47"/>
  <c r="L319" i="47"/>
  <c r="J319" i="47"/>
  <c r="I319" i="47"/>
  <c r="L318" i="47"/>
  <c r="J318" i="47"/>
  <c r="I318" i="47"/>
  <c r="L317" i="47"/>
  <c r="J317" i="47"/>
  <c r="I317" i="47"/>
  <c r="L316" i="47"/>
  <c r="J316" i="47"/>
  <c r="I316" i="47"/>
  <c r="L315" i="47"/>
  <c r="J315" i="47"/>
  <c r="I315" i="47"/>
  <c r="F315" i="47" a="1"/>
  <c r="L313" i="47"/>
  <c r="J313" i="47"/>
  <c r="H313" i="47" s="1" a="1"/>
  <c r="H313" i="47" s="1"/>
  <c r="G313" i="47" s="1" a="1"/>
  <c r="G313" i="47" s="1"/>
  <c r="I313" i="47"/>
  <c r="E313" i="47"/>
  <c r="L312" i="47"/>
  <c r="J312" i="47"/>
  <c r="H312" i="47" s="1" a="1"/>
  <c r="H312" i="47" s="1"/>
  <c r="I312" i="47"/>
  <c r="E312" i="47"/>
  <c r="L311" i="47"/>
  <c r="J311" i="47"/>
  <c r="H311" i="47" s="1" a="1"/>
  <c r="H311" i="47" s="1"/>
  <c r="I311" i="47"/>
  <c r="E311" i="47"/>
  <c r="L310" i="47"/>
  <c r="J310" i="47"/>
  <c r="H310" i="47" s="1" a="1"/>
  <c r="H310" i="47" s="1"/>
  <c r="G310" i="47" s="1" a="1"/>
  <c r="G310" i="47" s="1"/>
  <c r="I310" i="47"/>
  <c r="E310" i="47"/>
  <c r="L309" i="47"/>
  <c r="J309" i="47"/>
  <c r="H309" i="47" s="1" a="1"/>
  <c r="H309" i="47" s="1"/>
  <c r="I309" i="47"/>
  <c r="E309" i="47"/>
  <c r="L308" i="47"/>
  <c r="J308" i="47"/>
  <c r="H308" i="47" s="1" a="1"/>
  <c r="H308" i="47" s="1"/>
  <c r="I308" i="47"/>
  <c r="E308" i="47"/>
  <c r="L307" i="47"/>
  <c r="J307" i="47"/>
  <c r="H307" i="47" s="1" a="1"/>
  <c r="I307" i="47"/>
  <c r="H307" i="47"/>
  <c r="G307" i="47" s="1" a="1"/>
  <c r="G307" i="47" s="1"/>
  <c r="K307" i="47" s="1"/>
  <c r="E307" i="47"/>
  <c r="L306" i="47"/>
  <c r="J306" i="47"/>
  <c r="H306" i="47" s="1" a="1"/>
  <c r="H306" i="47" s="1"/>
  <c r="I306" i="47"/>
  <c r="E306" i="47"/>
  <c r="L305" i="47"/>
  <c r="J305" i="47"/>
  <c r="H305" i="47" s="1" a="1"/>
  <c r="H305" i="47" s="1"/>
  <c r="G305" i="47" s="1" a="1"/>
  <c r="G305" i="47" s="1"/>
  <c r="K305" i="47" s="1"/>
  <c r="I305" i="47"/>
  <c r="E305" i="47"/>
  <c r="L304" i="47"/>
  <c r="J304" i="47"/>
  <c r="H304" i="47" s="1" a="1"/>
  <c r="H304" i="47" s="1"/>
  <c r="G304" i="47" s="1" a="1"/>
  <c r="G304" i="47" s="1"/>
  <c r="I304" i="47"/>
  <c r="E304" i="47"/>
  <c r="L303" i="47"/>
  <c r="J303" i="47"/>
  <c r="H303" i="47" s="1" a="1"/>
  <c r="H303" i="47" s="1"/>
  <c r="I303" i="47"/>
  <c r="E303" i="47"/>
  <c r="L302" i="47"/>
  <c r="J302" i="47"/>
  <c r="H302" i="47" s="1" a="1"/>
  <c r="H302" i="47" s="1"/>
  <c r="I302" i="47"/>
  <c r="E302" i="47"/>
  <c r="L301" i="47"/>
  <c r="J301" i="47"/>
  <c r="H301" i="47" s="1" a="1"/>
  <c r="H301" i="47" s="1"/>
  <c r="I301" i="47"/>
  <c r="E301" i="47"/>
  <c r="L300" i="47"/>
  <c r="J300" i="47"/>
  <c r="H300" i="47" s="1" a="1"/>
  <c r="H300" i="47" s="1"/>
  <c r="G300" i="47" s="1" a="1"/>
  <c r="G300" i="47" s="1"/>
  <c r="I300" i="47"/>
  <c r="E300" i="47"/>
  <c r="L299" i="47"/>
  <c r="J299" i="47"/>
  <c r="H299" i="47" s="1" a="1"/>
  <c r="H299" i="47" s="1"/>
  <c r="I299" i="47"/>
  <c r="E299" i="47"/>
  <c r="L298" i="47"/>
  <c r="J298" i="47"/>
  <c r="H298" i="47" s="1" a="1"/>
  <c r="H298" i="47" s="1"/>
  <c r="I298" i="47"/>
  <c r="E298" i="47"/>
  <c r="L297" i="47"/>
  <c r="J297" i="47"/>
  <c r="H297" i="47" s="1" a="1"/>
  <c r="H297" i="47" s="1"/>
  <c r="G297" i="47" s="1" a="1"/>
  <c r="G297" i="47" s="1"/>
  <c r="I297" i="47"/>
  <c r="E297" i="47"/>
  <c r="L296" i="47"/>
  <c r="J296" i="47"/>
  <c r="H296" i="47" s="1" a="1"/>
  <c r="H296" i="47" s="1"/>
  <c r="I296" i="47"/>
  <c r="E296" i="47"/>
  <c r="L295" i="47"/>
  <c r="J295" i="47"/>
  <c r="I295" i="47"/>
  <c r="H295" i="47" a="1"/>
  <c r="H295" i="47" s="1"/>
  <c r="G295" i="47" s="1" a="1"/>
  <c r="G295" i="47" s="1"/>
  <c r="K295" i="47" s="1"/>
  <c r="E295" i="47"/>
  <c r="L294" i="47"/>
  <c r="J294" i="47"/>
  <c r="H294" i="47" s="1" a="1"/>
  <c r="H294" i="47" s="1"/>
  <c r="G294" i="47" s="1" a="1"/>
  <c r="G294" i="47" s="1"/>
  <c r="K294" i="47" s="1"/>
  <c r="I294" i="47"/>
  <c r="E294" i="47"/>
  <c r="L293" i="47"/>
  <c r="J293" i="47"/>
  <c r="H293" i="47" s="1" a="1"/>
  <c r="H293" i="47" s="1"/>
  <c r="G293" i="47" s="1" a="1"/>
  <c r="G293" i="47" s="1"/>
  <c r="K293" i="47" s="1"/>
  <c r="I293" i="47"/>
  <c r="E293" i="47"/>
  <c r="L292" i="47"/>
  <c r="J292" i="47"/>
  <c r="H292" i="47" s="1" a="1"/>
  <c r="H292" i="47" s="1"/>
  <c r="I292" i="47"/>
  <c r="E292" i="47"/>
  <c r="L291" i="47"/>
  <c r="J291" i="47"/>
  <c r="I291" i="47"/>
  <c r="H291" i="47" a="1"/>
  <c r="H291" i="47" s="1"/>
  <c r="G291" i="47" s="1" a="1"/>
  <c r="G291" i="47" s="1"/>
  <c r="K291" i="47" s="1"/>
  <c r="E291" i="47"/>
  <c r="L290" i="47"/>
  <c r="J290" i="47"/>
  <c r="H290" i="47" s="1" a="1"/>
  <c r="H290" i="47" s="1"/>
  <c r="I290" i="47"/>
  <c r="E290" i="47"/>
  <c r="L289" i="47"/>
  <c r="J289" i="47"/>
  <c r="H289" i="47" s="1" a="1"/>
  <c r="H289" i="47" s="1"/>
  <c r="G289" i="47" s="1" a="1"/>
  <c r="G289" i="47" s="1"/>
  <c r="K289" i="47" s="1"/>
  <c r="I289" i="47"/>
  <c r="E289" i="47"/>
  <c r="L288" i="47"/>
  <c r="J288" i="47"/>
  <c r="H288" i="47" s="1" a="1"/>
  <c r="H288" i="47" s="1"/>
  <c r="I288" i="47"/>
  <c r="E288" i="47"/>
  <c r="L287" i="47"/>
  <c r="J287" i="47"/>
  <c r="H287" i="47" s="1" a="1"/>
  <c r="H287" i="47" s="1"/>
  <c r="G287" i="47" s="1" a="1"/>
  <c r="G287" i="47" s="1"/>
  <c r="K287" i="47" s="1"/>
  <c r="I287" i="47"/>
  <c r="E287" i="47"/>
  <c r="L286" i="47"/>
  <c r="J286" i="47"/>
  <c r="I286" i="47"/>
  <c r="H286" i="47" a="1"/>
  <c r="H286" i="47" s="1"/>
  <c r="E286" i="47"/>
  <c r="L285" i="47"/>
  <c r="J285" i="47"/>
  <c r="I285" i="47"/>
  <c r="H285" i="47" a="1"/>
  <c r="H285" i="47" s="1"/>
  <c r="E285" i="47"/>
  <c r="L284" i="47"/>
  <c r="J284" i="47"/>
  <c r="H284" i="47" s="1" a="1"/>
  <c r="H284" i="47" s="1"/>
  <c r="I284" i="47"/>
  <c r="E284" i="47"/>
  <c r="L283" i="47"/>
  <c r="J283" i="47"/>
  <c r="H283" i="47" s="1" a="1"/>
  <c r="H283" i="47" s="1"/>
  <c r="G283" i="47" s="1" a="1"/>
  <c r="G283" i="47" s="1"/>
  <c r="K283" i="47" s="1"/>
  <c r="I283" i="47"/>
  <c r="E283" i="47"/>
  <c r="L282" i="47"/>
  <c r="J282" i="47"/>
  <c r="H282" i="47" s="1" a="1"/>
  <c r="H282" i="47" s="1"/>
  <c r="I282" i="47"/>
  <c r="E282" i="47"/>
  <c r="L281" i="47"/>
  <c r="J281" i="47"/>
  <c r="H281" i="47" s="1" a="1"/>
  <c r="H281" i="47" s="1"/>
  <c r="G281" i="47" s="1" a="1"/>
  <c r="G281" i="47" s="1"/>
  <c r="K281" i="47" s="1"/>
  <c r="I281" i="47"/>
  <c r="E281" i="47"/>
  <c r="L280" i="47"/>
  <c r="J280" i="47"/>
  <c r="H280" i="47" s="1" a="1"/>
  <c r="H280" i="47" s="1"/>
  <c r="I280" i="47"/>
  <c r="E280" i="47"/>
  <c r="L279" i="47"/>
  <c r="J279" i="47"/>
  <c r="I279" i="47"/>
  <c r="L278" i="47"/>
  <c r="J278" i="47"/>
  <c r="I278" i="47"/>
  <c r="L277" i="47"/>
  <c r="J277" i="47"/>
  <c r="I277" i="47"/>
  <c r="L276" i="47"/>
  <c r="J276" i="47"/>
  <c r="I276" i="47"/>
  <c r="L275" i="47"/>
  <c r="J275" i="47"/>
  <c r="I275" i="47"/>
  <c r="L274" i="47"/>
  <c r="J274" i="47"/>
  <c r="I274" i="47"/>
  <c r="L273" i="47"/>
  <c r="J273" i="47"/>
  <c r="I273" i="47"/>
  <c r="L272" i="47"/>
  <c r="J272" i="47"/>
  <c r="I272" i="47"/>
  <c r="L271" i="47"/>
  <c r="J271" i="47"/>
  <c r="I271" i="47"/>
  <c r="L270" i="47"/>
  <c r="J270" i="47"/>
  <c r="I270" i="47"/>
  <c r="L269" i="47"/>
  <c r="J269" i="47"/>
  <c r="I269" i="47"/>
  <c r="L268" i="47"/>
  <c r="J268" i="47"/>
  <c r="I268" i="47"/>
  <c r="L267" i="47"/>
  <c r="J267" i="47"/>
  <c r="I267" i="47"/>
  <c r="L266" i="47"/>
  <c r="J266" i="47"/>
  <c r="I266" i="47"/>
  <c r="L265" i="47"/>
  <c r="J265" i="47"/>
  <c r="I265" i="47"/>
  <c r="F265" i="47" a="1"/>
  <c r="L263" i="47"/>
  <c r="J263" i="47"/>
  <c r="I263" i="47"/>
  <c r="H263" i="47" a="1"/>
  <c r="H263" i="47" s="1"/>
  <c r="E263" i="47"/>
  <c r="L262" i="47"/>
  <c r="J262" i="47"/>
  <c r="H262" i="47" s="1" a="1"/>
  <c r="H262" i="47" s="1"/>
  <c r="G262" i="47" s="1" a="1"/>
  <c r="G262" i="47" s="1"/>
  <c r="K262" i="47" s="1"/>
  <c r="I262" i="47"/>
  <c r="E262" i="47"/>
  <c r="L261" i="47"/>
  <c r="J261" i="47"/>
  <c r="H261" i="47" s="1" a="1"/>
  <c r="H261" i="47" s="1"/>
  <c r="I261" i="47"/>
  <c r="E261" i="47"/>
  <c r="L260" i="47"/>
  <c r="J260" i="47"/>
  <c r="H260" i="47" s="1" a="1"/>
  <c r="H260" i="47" s="1"/>
  <c r="I260" i="47"/>
  <c r="E260" i="47"/>
  <c r="L259" i="47"/>
  <c r="J259" i="47"/>
  <c r="H259" i="47" s="1" a="1"/>
  <c r="H259" i="47" s="1"/>
  <c r="G259" i="47" s="1" a="1"/>
  <c r="G259" i="47" s="1"/>
  <c r="K259" i="47" s="1"/>
  <c r="I259" i="47"/>
  <c r="E259" i="47"/>
  <c r="L258" i="47"/>
  <c r="J258" i="47"/>
  <c r="H258" i="47" s="1" a="1"/>
  <c r="H258" i="47" s="1"/>
  <c r="I258" i="47"/>
  <c r="E258" i="47"/>
  <c r="L257" i="47"/>
  <c r="J257" i="47"/>
  <c r="H257" i="47" s="1" a="1"/>
  <c r="H257" i="47" s="1"/>
  <c r="I257" i="47"/>
  <c r="E257" i="47"/>
  <c r="L256" i="47"/>
  <c r="J256" i="47"/>
  <c r="H256" i="47" s="1" a="1"/>
  <c r="H256" i="47" s="1"/>
  <c r="G256" i="47" s="1" a="1"/>
  <c r="G256" i="47" s="1"/>
  <c r="I256" i="47"/>
  <c r="E256" i="47"/>
  <c r="L255" i="47"/>
  <c r="J255" i="47"/>
  <c r="H255" i="47" s="1" a="1"/>
  <c r="H255" i="47" s="1"/>
  <c r="I255" i="47"/>
  <c r="E255" i="47"/>
  <c r="L254" i="47"/>
  <c r="J254" i="47"/>
  <c r="H254" i="47" s="1" a="1"/>
  <c r="H254" i="47" s="1"/>
  <c r="I254" i="47"/>
  <c r="E254" i="47"/>
  <c r="L253" i="47"/>
  <c r="J253" i="47"/>
  <c r="H253" i="47" s="1" a="1"/>
  <c r="H253" i="47" s="1"/>
  <c r="G253" i="47" s="1" a="1"/>
  <c r="G253" i="47" s="1"/>
  <c r="K253" i="47" s="1"/>
  <c r="I253" i="47"/>
  <c r="E253" i="47"/>
  <c r="L252" i="47"/>
  <c r="J252" i="47"/>
  <c r="H252" i="47" s="1" a="1"/>
  <c r="H252" i="47" s="1"/>
  <c r="I252" i="47"/>
  <c r="E252" i="47"/>
  <c r="L251" i="47"/>
  <c r="J251" i="47"/>
  <c r="H251" i="47" s="1" a="1"/>
  <c r="H251" i="47" s="1"/>
  <c r="I251" i="47"/>
  <c r="E251" i="47"/>
  <c r="L250" i="47"/>
  <c r="J250" i="47"/>
  <c r="H250" i="47" s="1" a="1"/>
  <c r="H250" i="47" s="1"/>
  <c r="I250" i="47"/>
  <c r="E250" i="47"/>
  <c r="L249" i="47"/>
  <c r="J249" i="47"/>
  <c r="H249" i="47" s="1" a="1"/>
  <c r="H249" i="47" s="1"/>
  <c r="I249" i="47"/>
  <c r="E249" i="47"/>
  <c r="L248" i="47"/>
  <c r="J248" i="47"/>
  <c r="H248" i="47" s="1" a="1"/>
  <c r="H248" i="47" s="1"/>
  <c r="I248" i="47"/>
  <c r="E248" i="47"/>
  <c r="L247" i="47"/>
  <c r="J247" i="47"/>
  <c r="H247" i="47" s="1" a="1"/>
  <c r="H247" i="47" s="1"/>
  <c r="I247" i="47"/>
  <c r="E247" i="47"/>
  <c r="L246" i="47"/>
  <c r="J246" i="47"/>
  <c r="H246" i="47" s="1" a="1"/>
  <c r="H246" i="47" s="1"/>
  <c r="I246" i="47"/>
  <c r="E246" i="47"/>
  <c r="L245" i="47"/>
  <c r="J245" i="47"/>
  <c r="H245" i="47" s="1" a="1"/>
  <c r="H245" i="47" s="1"/>
  <c r="G245" i="47" s="1" a="1"/>
  <c r="G245" i="47" s="1"/>
  <c r="K245" i="47" s="1"/>
  <c r="I245" i="47"/>
  <c r="E245" i="47"/>
  <c r="L244" i="47"/>
  <c r="J244" i="47"/>
  <c r="H244" i="47" s="1" a="1"/>
  <c r="H244" i="47" s="1"/>
  <c r="I244" i="47"/>
  <c r="E244" i="47"/>
  <c r="L243" i="47"/>
  <c r="J243" i="47"/>
  <c r="H243" i="47" s="1" a="1"/>
  <c r="H243" i="47" s="1"/>
  <c r="G243" i="47" s="1" a="1"/>
  <c r="G243" i="47" s="1"/>
  <c r="K243" i="47" s="1"/>
  <c r="I243" i="47"/>
  <c r="E243" i="47"/>
  <c r="L242" i="47"/>
  <c r="J242" i="47"/>
  <c r="H242" i="47" s="1" a="1"/>
  <c r="H242" i="47" s="1"/>
  <c r="G242" i="47" s="1" a="1"/>
  <c r="G242" i="47" s="1"/>
  <c r="K242" i="47" s="1"/>
  <c r="I242" i="47"/>
  <c r="E242" i="47"/>
  <c r="L241" i="47"/>
  <c r="J241" i="47"/>
  <c r="I241" i="47"/>
  <c r="H241" i="47" a="1"/>
  <c r="H241" i="47" s="1"/>
  <c r="G241" i="47" s="1" a="1"/>
  <c r="G241" i="47" s="1"/>
  <c r="K241" i="47" s="1"/>
  <c r="E241" i="47"/>
  <c r="L240" i="47"/>
  <c r="J240" i="47"/>
  <c r="H240" i="47" s="1" a="1"/>
  <c r="H240" i="47" s="1"/>
  <c r="I240" i="47"/>
  <c r="E240" i="47"/>
  <c r="L239" i="47"/>
  <c r="J239" i="47"/>
  <c r="H239" i="47" s="1" a="1"/>
  <c r="H239" i="47" s="1"/>
  <c r="I239" i="47"/>
  <c r="E239" i="47"/>
  <c r="L238" i="47"/>
  <c r="J238" i="47"/>
  <c r="H238" i="47" s="1" a="1"/>
  <c r="H238" i="47" s="1"/>
  <c r="I238" i="47"/>
  <c r="E238" i="47"/>
  <c r="L237" i="47"/>
  <c r="J237" i="47"/>
  <c r="I237" i="47"/>
  <c r="H237" i="47" a="1"/>
  <c r="H237" i="47" s="1"/>
  <c r="E237" i="47"/>
  <c r="L236" i="47"/>
  <c r="J236" i="47"/>
  <c r="H236" i="47" s="1" a="1"/>
  <c r="H236" i="47" s="1"/>
  <c r="I236" i="47"/>
  <c r="E236" i="47"/>
  <c r="L235" i="47"/>
  <c r="J235" i="47"/>
  <c r="H235" i="47" s="1" a="1"/>
  <c r="H235" i="47" s="1"/>
  <c r="G235" i="47" s="1" a="1"/>
  <c r="G235" i="47" s="1"/>
  <c r="K235" i="47" s="1"/>
  <c r="I235" i="47"/>
  <c r="E235" i="47"/>
  <c r="L234" i="47"/>
  <c r="J234" i="47"/>
  <c r="H234" i="47" s="1" a="1"/>
  <c r="H234" i="47" s="1"/>
  <c r="I234" i="47"/>
  <c r="E234" i="47"/>
  <c r="L233" i="47"/>
  <c r="J233" i="47"/>
  <c r="H233" i="47" s="1" a="1"/>
  <c r="H233" i="47" s="1"/>
  <c r="I233" i="47"/>
  <c r="E233" i="47"/>
  <c r="L232" i="47"/>
  <c r="J232" i="47"/>
  <c r="H232" i="47" s="1" a="1"/>
  <c r="H232" i="47" s="1"/>
  <c r="G232" i="47" s="1" a="1"/>
  <c r="G232" i="47" s="1"/>
  <c r="I232" i="47"/>
  <c r="E232" i="47"/>
  <c r="L231" i="47"/>
  <c r="J231" i="47"/>
  <c r="H231" i="47" s="1" a="1"/>
  <c r="H231" i="47" s="1"/>
  <c r="G231" i="47" s="1" a="1"/>
  <c r="G231" i="47" s="1"/>
  <c r="K231" i="47" s="1"/>
  <c r="I231" i="47"/>
  <c r="E231" i="47"/>
  <c r="L230" i="47"/>
  <c r="J230" i="47"/>
  <c r="H230" i="47" s="1" a="1"/>
  <c r="H230" i="47" s="1"/>
  <c r="I230" i="47"/>
  <c r="E230" i="47"/>
  <c r="L229" i="47"/>
  <c r="J229" i="47"/>
  <c r="I229" i="47"/>
  <c r="L228" i="47"/>
  <c r="J228" i="47"/>
  <c r="I228" i="47"/>
  <c r="L227" i="47"/>
  <c r="J227" i="47"/>
  <c r="I227" i="47"/>
  <c r="L226" i="47"/>
  <c r="J226" i="47"/>
  <c r="I226" i="47"/>
  <c r="L225" i="47"/>
  <c r="J225" i="47"/>
  <c r="I225" i="47"/>
  <c r="L224" i="47"/>
  <c r="J224" i="47"/>
  <c r="I224" i="47"/>
  <c r="L223" i="47"/>
  <c r="J223" i="47"/>
  <c r="I223" i="47"/>
  <c r="L222" i="47"/>
  <c r="J222" i="47"/>
  <c r="I222" i="47"/>
  <c r="L221" i="47"/>
  <c r="J221" i="47"/>
  <c r="I221" i="47"/>
  <c r="L220" i="47"/>
  <c r="J220" i="47"/>
  <c r="I220" i="47"/>
  <c r="L219" i="47"/>
  <c r="J219" i="47"/>
  <c r="I219" i="47"/>
  <c r="L218" i="47"/>
  <c r="J218" i="47"/>
  <c r="I218" i="47"/>
  <c r="L217" i="47"/>
  <c r="J217" i="47"/>
  <c r="I217" i="47"/>
  <c r="L216" i="47"/>
  <c r="J216" i="47"/>
  <c r="I216" i="47"/>
  <c r="L215" i="47"/>
  <c r="J215" i="47"/>
  <c r="I215" i="47"/>
  <c r="F215" i="47" a="1"/>
  <c r="L213" i="47"/>
  <c r="J213" i="47"/>
  <c r="H213" i="47" s="1" a="1"/>
  <c r="H213" i="47" s="1"/>
  <c r="I213" i="47"/>
  <c r="E213" i="47"/>
  <c r="L212" i="47"/>
  <c r="J212" i="47"/>
  <c r="H212" i="47" s="1" a="1"/>
  <c r="H212" i="47" s="1"/>
  <c r="G212" i="47" s="1" a="1"/>
  <c r="G212" i="47" s="1"/>
  <c r="K212" i="47" s="1"/>
  <c r="I212" i="47"/>
  <c r="E212" i="47"/>
  <c r="L211" i="47"/>
  <c r="J211" i="47"/>
  <c r="H211" i="47" s="1" a="1"/>
  <c r="H211" i="47" s="1"/>
  <c r="G211" i="47" s="1" a="1"/>
  <c r="G211" i="47" s="1"/>
  <c r="K211" i="47" s="1"/>
  <c r="I211" i="47"/>
  <c r="E211" i="47"/>
  <c r="L210" i="47"/>
  <c r="J210" i="47"/>
  <c r="H210" i="47" s="1" a="1"/>
  <c r="H210" i="47" s="1"/>
  <c r="I210" i="47"/>
  <c r="E210" i="47"/>
  <c r="L209" i="47"/>
  <c r="J209" i="47"/>
  <c r="H209" i="47" s="1" a="1"/>
  <c r="H209" i="47" s="1"/>
  <c r="I209" i="47"/>
  <c r="E209" i="47"/>
  <c r="L208" i="47"/>
  <c r="J208" i="47"/>
  <c r="H208" i="47" s="1" a="1"/>
  <c r="H208" i="47" s="1"/>
  <c r="I208" i="47"/>
  <c r="E208" i="47"/>
  <c r="L207" i="47"/>
  <c r="J207" i="47"/>
  <c r="H207" i="47" s="1" a="1"/>
  <c r="H207" i="47" s="1"/>
  <c r="G207" i="47" s="1" a="1"/>
  <c r="G207" i="47" s="1"/>
  <c r="K207" i="47" s="1"/>
  <c r="I207" i="47"/>
  <c r="E207" i="47"/>
  <c r="L206" i="47"/>
  <c r="J206" i="47"/>
  <c r="H206" i="47" s="1" a="1"/>
  <c r="H206" i="47" s="1"/>
  <c r="I206" i="47"/>
  <c r="E206" i="47"/>
  <c r="L205" i="47"/>
  <c r="J205" i="47"/>
  <c r="H205" i="47" s="1" a="1"/>
  <c r="H205" i="47" s="1"/>
  <c r="I205" i="47"/>
  <c r="E205" i="47"/>
  <c r="L204" i="47"/>
  <c r="J204" i="47"/>
  <c r="H204" i="47" s="1" a="1"/>
  <c r="H204" i="47" s="1"/>
  <c r="I204" i="47"/>
  <c r="E204" i="47"/>
  <c r="L203" i="47"/>
  <c r="J203" i="47"/>
  <c r="I203" i="47"/>
  <c r="H203" i="47" a="1"/>
  <c r="H203" i="47" s="1"/>
  <c r="E203" i="47"/>
  <c r="L202" i="47"/>
  <c r="J202" i="47"/>
  <c r="H202" i="47" s="1" a="1"/>
  <c r="H202" i="47" s="1"/>
  <c r="I202" i="47"/>
  <c r="E202" i="47"/>
  <c r="L201" i="47"/>
  <c r="J201" i="47"/>
  <c r="H201" i="47" s="1" a="1"/>
  <c r="H201" i="47" s="1"/>
  <c r="I201" i="47"/>
  <c r="E201" i="47"/>
  <c r="L200" i="47"/>
  <c r="J200" i="47"/>
  <c r="H200" i="47" s="1" a="1"/>
  <c r="H200" i="47" s="1"/>
  <c r="I200" i="47"/>
  <c r="E200" i="47"/>
  <c r="L199" i="47"/>
  <c r="J199" i="47"/>
  <c r="H199" i="47" s="1" a="1"/>
  <c r="H199" i="47" s="1"/>
  <c r="G199" i="47" s="1" a="1"/>
  <c r="G199" i="47" s="1"/>
  <c r="K199" i="47" s="1"/>
  <c r="I199" i="47"/>
  <c r="E199" i="47"/>
  <c r="L198" i="47"/>
  <c r="J198" i="47"/>
  <c r="H198" i="47" s="1" a="1"/>
  <c r="H198" i="47" s="1"/>
  <c r="I198" i="47"/>
  <c r="E198" i="47"/>
  <c r="L197" i="47"/>
  <c r="J197" i="47"/>
  <c r="H197" i="47" s="1" a="1"/>
  <c r="H197" i="47" s="1"/>
  <c r="G197" i="47" s="1" a="1"/>
  <c r="G197" i="47" s="1"/>
  <c r="K197" i="47" s="1"/>
  <c r="I197" i="47"/>
  <c r="E197" i="47"/>
  <c r="L196" i="47"/>
  <c r="J196" i="47"/>
  <c r="H196" i="47" s="1" a="1"/>
  <c r="H196" i="47" s="1"/>
  <c r="I196" i="47"/>
  <c r="E196" i="47"/>
  <c r="L195" i="47"/>
  <c r="J195" i="47"/>
  <c r="H195" i="47" s="1" a="1"/>
  <c r="H195" i="47" s="1"/>
  <c r="G195" i="47" s="1" a="1"/>
  <c r="G195" i="47" s="1"/>
  <c r="K195" i="47" s="1"/>
  <c r="I195" i="47"/>
  <c r="E195" i="47"/>
  <c r="L194" i="47"/>
  <c r="J194" i="47"/>
  <c r="H194" i="47" s="1" a="1"/>
  <c r="H194" i="47" s="1"/>
  <c r="I194" i="47"/>
  <c r="E194" i="47"/>
  <c r="L193" i="47"/>
  <c r="J193" i="47"/>
  <c r="H193" i="47" s="1" a="1"/>
  <c r="H193" i="47" s="1"/>
  <c r="I193" i="47"/>
  <c r="E193" i="47"/>
  <c r="L192" i="47"/>
  <c r="J192" i="47"/>
  <c r="H192" i="47" s="1" a="1"/>
  <c r="H192" i="47" s="1"/>
  <c r="I192" i="47"/>
  <c r="E192" i="47"/>
  <c r="L191" i="47"/>
  <c r="J191" i="47"/>
  <c r="H191" i="47" s="1" a="1"/>
  <c r="H191" i="47" s="1"/>
  <c r="I191" i="47"/>
  <c r="E191" i="47"/>
  <c r="L190" i="47"/>
  <c r="J190" i="47"/>
  <c r="H190" i="47" s="1" a="1"/>
  <c r="H190" i="47" s="1"/>
  <c r="I190" i="47"/>
  <c r="E190" i="47"/>
  <c r="L189" i="47"/>
  <c r="J189" i="47"/>
  <c r="H189" i="47" s="1" a="1"/>
  <c r="H189" i="47" s="1"/>
  <c r="I189" i="47"/>
  <c r="E189" i="47"/>
  <c r="L188" i="47"/>
  <c r="J188" i="47"/>
  <c r="H188" i="47" s="1" a="1"/>
  <c r="H188" i="47" s="1"/>
  <c r="I188" i="47"/>
  <c r="E188" i="47"/>
  <c r="L187" i="47"/>
  <c r="J187" i="47"/>
  <c r="H187" i="47" s="1" a="1"/>
  <c r="H187" i="47" s="1"/>
  <c r="I187" i="47"/>
  <c r="E187" i="47"/>
  <c r="L186" i="47"/>
  <c r="J186" i="47"/>
  <c r="H186" i="47" s="1" a="1"/>
  <c r="H186" i="47" s="1"/>
  <c r="I186" i="47"/>
  <c r="E186" i="47"/>
  <c r="L185" i="47"/>
  <c r="J185" i="47"/>
  <c r="I185" i="47"/>
  <c r="H185" i="47" a="1"/>
  <c r="H185" i="47" s="1"/>
  <c r="G185" i="47" s="1" a="1"/>
  <c r="G185" i="47" s="1"/>
  <c r="K185" i="47" s="1"/>
  <c r="E185" i="47"/>
  <c r="L184" i="47"/>
  <c r="J184" i="47"/>
  <c r="H184" i="47" s="1" a="1"/>
  <c r="H184" i="47" s="1"/>
  <c r="G184" i="47" s="1" a="1"/>
  <c r="G184" i="47" s="1"/>
  <c r="K184" i="47" s="1"/>
  <c r="I184" i="47"/>
  <c r="E184" i="47"/>
  <c r="L183" i="47"/>
  <c r="J183" i="47"/>
  <c r="H183" i="47" s="1" a="1"/>
  <c r="H183" i="47" s="1"/>
  <c r="I183" i="47"/>
  <c r="E183" i="47"/>
  <c r="L182" i="47"/>
  <c r="J182" i="47"/>
  <c r="H182" i="47" s="1" a="1"/>
  <c r="H182" i="47" s="1"/>
  <c r="I182" i="47"/>
  <c r="E182" i="47"/>
  <c r="L181" i="47"/>
  <c r="J181" i="47"/>
  <c r="H181" i="47" s="1" a="1"/>
  <c r="H181" i="47" s="1"/>
  <c r="I181" i="47"/>
  <c r="E181" i="47"/>
  <c r="L180" i="47"/>
  <c r="J180" i="47"/>
  <c r="H180" i="47" s="1" a="1"/>
  <c r="H180" i="47" s="1"/>
  <c r="G180" i="47" s="1" a="1"/>
  <c r="G180" i="47" s="1"/>
  <c r="K180" i="47" s="1"/>
  <c r="I180" i="47"/>
  <c r="E180" i="47"/>
  <c r="L179" i="47"/>
  <c r="J179" i="47"/>
  <c r="I179" i="47"/>
  <c r="L178" i="47"/>
  <c r="J178" i="47"/>
  <c r="I178" i="47"/>
  <c r="L177" i="47"/>
  <c r="J177" i="47"/>
  <c r="I177" i="47"/>
  <c r="L176" i="47"/>
  <c r="J176" i="47"/>
  <c r="I176" i="47"/>
  <c r="L175" i="47"/>
  <c r="J175" i="47"/>
  <c r="I175" i="47"/>
  <c r="L174" i="47"/>
  <c r="J174" i="47"/>
  <c r="I174" i="47"/>
  <c r="L173" i="47"/>
  <c r="J173" i="47"/>
  <c r="I173" i="47"/>
  <c r="L172" i="47"/>
  <c r="J172" i="47"/>
  <c r="I172" i="47"/>
  <c r="L171" i="47"/>
  <c r="J171" i="47"/>
  <c r="I171" i="47"/>
  <c r="L170" i="47"/>
  <c r="J170" i="47"/>
  <c r="I170" i="47"/>
  <c r="L169" i="47"/>
  <c r="J169" i="47"/>
  <c r="I169" i="47"/>
  <c r="L168" i="47"/>
  <c r="J168" i="47"/>
  <c r="I168" i="47"/>
  <c r="L167" i="47"/>
  <c r="J167" i="47"/>
  <c r="I167" i="47"/>
  <c r="L166" i="47"/>
  <c r="J166" i="47"/>
  <c r="I166" i="47"/>
  <c r="L165" i="47"/>
  <c r="J165" i="47"/>
  <c r="I165" i="47"/>
  <c r="F165" i="47" a="1"/>
  <c r="L163" i="47"/>
  <c r="J163" i="47"/>
  <c r="H163" i="47" s="1" a="1"/>
  <c r="H163" i="47" s="1"/>
  <c r="I163" i="47"/>
  <c r="E163" i="47"/>
  <c r="L162" i="47"/>
  <c r="J162" i="47"/>
  <c r="H162" i="47" s="1" a="1"/>
  <c r="H162" i="47" s="1"/>
  <c r="I162" i="47"/>
  <c r="E162" i="47"/>
  <c r="L161" i="47"/>
  <c r="J161" i="47"/>
  <c r="H161" i="47" s="1" a="1"/>
  <c r="H161" i="47" s="1"/>
  <c r="I161" i="47"/>
  <c r="E161" i="47"/>
  <c r="L160" i="47"/>
  <c r="J160" i="47"/>
  <c r="H160" i="47" s="1" a="1"/>
  <c r="H160" i="47" s="1"/>
  <c r="I160" i="47"/>
  <c r="E160" i="47"/>
  <c r="L159" i="47"/>
  <c r="J159" i="47"/>
  <c r="H159" i="47" s="1" a="1"/>
  <c r="H159" i="47" s="1"/>
  <c r="I159" i="47"/>
  <c r="E159" i="47"/>
  <c r="L158" i="47"/>
  <c r="J158" i="47"/>
  <c r="I158" i="47"/>
  <c r="H158" i="47" a="1"/>
  <c r="H158" i="47" s="1"/>
  <c r="E158" i="47"/>
  <c r="L157" i="47"/>
  <c r="J157" i="47"/>
  <c r="H157" i="47" s="1" a="1"/>
  <c r="H157" i="47" s="1"/>
  <c r="I157" i="47"/>
  <c r="E157" i="47"/>
  <c r="L156" i="47"/>
  <c r="J156" i="47"/>
  <c r="H156" i="47" s="1" a="1"/>
  <c r="H156" i="47" s="1"/>
  <c r="G156" i="47" s="1" a="1"/>
  <c r="G156" i="47" s="1"/>
  <c r="I156" i="47"/>
  <c r="E156" i="47"/>
  <c r="L155" i="47"/>
  <c r="J155" i="47"/>
  <c r="H155" i="47" s="1" a="1"/>
  <c r="H155" i="47" s="1"/>
  <c r="G155" i="47" s="1" a="1"/>
  <c r="G155" i="47" s="1"/>
  <c r="K155" i="47" s="1"/>
  <c r="I155" i="47"/>
  <c r="E155" i="47"/>
  <c r="L154" i="47"/>
  <c r="J154" i="47"/>
  <c r="H154" i="47" s="1" a="1"/>
  <c r="H154" i="47" s="1"/>
  <c r="I154" i="47"/>
  <c r="E154" i="47"/>
  <c r="L153" i="47"/>
  <c r="J153" i="47"/>
  <c r="I153" i="47"/>
  <c r="H153" i="47" a="1"/>
  <c r="H153" i="47" s="1"/>
  <c r="G153" i="47" s="1" a="1"/>
  <c r="G153" i="47" s="1"/>
  <c r="K153" i="47" s="1"/>
  <c r="E153" i="47"/>
  <c r="L152" i="47"/>
  <c r="J152" i="47"/>
  <c r="H152" i="47" s="1" a="1"/>
  <c r="H152" i="47" s="1"/>
  <c r="I152" i="47"/>
  <c r="E152" i="47"/>
  <c r="L151" i="47"/>
  <c r="J151" i="47"/>
  <c r="H151" i="47" s="1" a="1"/>
  <c r="H151" i="47" s="1"/>
  <c r="G151" i="47" s="1" a="1"/>
  <c r="G151" i="47" s="1"/>
  <c r="I151" i="47"/>
  <c r="E151" i="47"/>
  <c r="L150" i="47"/>
  <c r="J150" i="47"/>
  <c r="H150" i="47" s="1" a="1"/>
  <c r="H150" i="47" s="1"/>
  <c r="G150" i="47" s="1" a="1"/>
  <c r="G150" i="47" s="1"/>
  <c r="K150" i="47" s="1"/>
  <c r="I150" i="47"/>
  <c r="E150" i="47"/>
  <c r="L149" i="47"/>
  <c r="J149" i="47"/>
  <c r="H149" i="47" s="1" a="1"/>
  <c r="H149" i="47" s="1"/>
  <c r="G149" i="47" s="1" a="1"/>
  <c r="G149" i="47" s="1"/>
  <c r="K149" i="47" s="1"/>
  <c r="I149" i="47"/>
  <c r="E149" i="47"/>
  <c r="L148" i="47"/>
  <c r="J148" i="47"/>
  <c r="H148" i="47" s="1" a="1"/>
  <c r="H148" i="47" s="1"/>
  <c r="I148" i="47"/>
  <c r="E148" i="47"/>
  <c r="L147" i="47"/>
  <c r="J147" i="47"/>
  <c r="H147" i="47" s="1" a="1"/>
  <c r="H147" i="47" s="1"/>
  <c r="G147" i="47" s="1" a="1"/>
  <c r="G147" i="47" s="1"/>
  <c r="K147" i="47" s="1"/>
  <c r="I147" i="47"/>
  <c r="E147" i="47"/>
  <c r="L146" i="47"/>
  <c r="J146" i="47"/>
  <c r="H146" i="47" s="1" a="1"/>
  <c r="H146" i="47" s="1"/>
  <c r="I146" i="47"/>
  <c r="E146" i="47"/>
  <c r="L145" i="47"/>
  <c r="J145" i="47"/>
  <c r="H145" i="47" s="1" a="1"/>
  <c r="H145" i="47" s="1"/>
  <c r="I145" i="47"/>
  <c r="E145" i="47"/>
  <c r="L144" i="47"/>
  <c r="J144" i="47"/>
  <c r="H144" i="47" s="1" a="1"/>
  <c r="H144" i="47" s="1"/>
  <c r="G144" i="47" s="1" a="1"/>
  <c r="G144" i="47" s="1"/>
  <c r="I144" i="47"/>
  <c r="E144" i="47"/>
  <c r="L143" i="47"/>
  <c r="J143" i="47"/>
  <c r="H143" i="47" s="1" a="1"/>
  <c r="H143" i="47" s="1"/>
  <c r="I143" i="47"/>
  <c r="E143" i="47"/>
  <c r="L142" i="47"/>
  <c r="J142" i="47"/>
  <c r="H142" i="47" s="1" a="1"/>
  <c r="H142" i="47" s="1"/>
  <c r="I142" i="47"/>
  <c r="E142" i="47"/>
  <c r="L141" i="47"/>
  <c r="J141" i="47"/>
  <c r="H141" i="47" s="1" a="1"/>
  <c r="H141" i="47" s="1"/>
  <c r="I141" i="47"/>
  <c r="E141" i="47"/>
  <c r="L140" i="47"/>
  <c r="J140" i="47"/>
  <c r="H140" i="47" s="1" a="1"/>
  <c r="H140" i="47" s="1"/>
  <c r="I140" i="47"/>
  <c r="E140" i="47"/>
  <c r="L139" i="47"/>
  <c r="J139" i="47"/>
  <c r="H139" i="47" s="1" a="1"/>
  <c r="H139" i="47" s="1"/>
  <c r="I139" i="47"/>
  <c r="E139" i="47"/>
  <c r="L138" i="47"/>
  <c r="J138" i="47"/>
  <c r="I138" i="47"/>
  <c r="H138" i="47" a="1"/>
  <c r="H138" i="47" s="1"/>
  <c r="E138" i="47"/>
  <c r="L137" i="47"/>
  <c r="J137" i="47"/>
  <c r="H137" i="47" s="1" a="1"/>
  <c r="H137" i="47" s="1"/>
  <c r="I137" i="47"/>
  <c r="E137" i="47"/>
  <c r="L136" i="47"/>
  <c r="J136" i="47"/>
  <c r="H136" i="47" s="1" a="1"/>
  <c r="H136" i="47" s="1"/>
  <c r="I136" i="47"/>
  <c r="E136" i="47"/>
  <c r="L135" i="47"/>
  <c r="J135" i="47"/>
  <c r="H135" i="47" s="1" a="1"/>
  <c r="H135" i="47" s="1"/>
  <c r="I135" i="47"/>
  <c r="E135" i="47"/>
  <c r="L134" i="47"/>
  <c r="J134" i="47"/>
  <c r="H134" i="47" s="1" a="1"/>
  <c r="H134" i="47" s="1"/>
  <c r="I134" i="47"/>
  <c r="E134" i="47"/>
  <c r="L133" i="47"/>
  <c r="J133" i="47"/>
  <c r="H133" i="47" s="1" a="1"/>
  <c r="H133" i="47" s="1"/>
  <c r="I133" i="47"/>
  <c r="E133" i="47"/>
  <c r="L132" i="47"/>
  <c r="J132" i="47"/>
  <c r="I132" i="47"/>
  <c r="H132" i="47" a="1"/>
  <c r="H132" i="47" s="1"/>
  <c r="G132" i="47" s="1" a="1"/>
  <c r="G132" i="47" s="1"/>
  <c r="E132" i="47"/>
  <c r="L131" i="47"/>
  <c r="J131" i="47"/>
  <c r="H131" i="47" s="1" a="1"/>
  <c r="H131" i="47" s="1"/>
  <c r="G131" i="47" s="1" a="1"/>
  <c r="G131" i="47" s="1"/>
  <c r="K131" i="47" s="1"/>
  <c r="I131" i="47"/>
  <c r="E131" i="47"/>
  <c r="L130" i="47"/>
  <c r="J130" i="47"/>
  <c r="H130" i="47" s="1" a="1"/>
  <c r="H130" i="47" s="1"/>
  <c r="I130" i="47"/>
  <c r="E130" i="47"/>
  <c r="L129" i="47"/>
  <c r="J129" i="47"/>
  <c r="I129" i="47"/>
  <c r="L128" i="47"/>
  <c r="J128" i="47"/>
  <c r="I128" i="47"/>
  <c r="L127" i="47"/>
  <c r="J127" i="47"/>
  <c r="I127" i="47"/>
  <c r="L126" i="47"/>
  <c r="J126" i="47"/>
  <c r="I126" i="47"/>
  <c r="L125" i="47"/>
  <c r="J125" i="47"/>
  <c r="I125" i="47"/>
  <c r="L124" i="47"/>
  <c r="J124" i="47"/>
  <c r="I124" i="47"/>
  <c r="L123" i="47"/>
  <c r="J123" i="47"/>
  <c r="I123" i="47"/>
  <c r="L122" i="47"/>
  <c r="J122" i="47"/>
  <c r="I122" i="47"/>
  <c r="L121" i="47"/>
  <c r="J121" i="47"/>
  <c r="I121" i="47"/>
  <c r="L120" i="47"/>
  <c r="J120" i="47"/>
  <c r="I120" i="47"/>
  <c r="L119" i="47"/>
  <c r="J119" i="47"/>
  <c r="I119" i="47"/>
  <c r="L118" i="47"/>
  <c r="J118" i="47"/>
  <c r="I118" i="47"/>
  <c r="L117" i="47"/>
  <c r="J117" i="47"/>
  <c r="I117" i="47"/>
  <c r="L116" i="47"/>
  <c r="J116" i="47"/>
  <c r="I116" i="47"/>
  <c r="L115" i="47"/>
  <c r="J115" i="47"/>
  <c r="I115" i="47"/>
  <c r="F115" i="47" a="1"/>
  <c r="L113" i="47"/>
  <c r="J113" i="47"/>
  <c r="H113" i="47" s="1" a="1"/>
  <c r="H113" i="47" s="1"/>
  <c r="I113" i="47"/>
  <c r="E113" i="47"/>
  <c r="L112" i="47"/>
  <c r="J112" i="47"/>
  <c r="I112" i="47"/>
  <c r="H112" i="47" a="1"/>
  <c r="H112" i="47" s="1"/>
  <c r="E112" i="47"/>
  <c r="L111" i="47"/>
  <c r="J111" i="47"/>
  <c r="I111" i="47"/>
  <c r="H111" i="47" a="1"/>
  <c r="H111" i="47" s="1"/>
  <c r="G111" i="47" s="1" a="1"/>
  <c r="G111" i="47" s="1"/>
  <c r="K111" i="47" s="1"/>
  <c r="E111" i="47"/>
  <c r="L110" i="47"/>
  <c r="J110" i="47"/>
  <c r="H110" i="47" s="1" a="1"/>
  <c r="H110" i="47" s="1"/>
  <c r="I110" i="47"/>
  <c r="E110" i="47"/>
  <c r="L109" i="47"/>
  <c r="J109" i="47"/>
  <c r="H109" i="47" s="1" a="1"/>
  <c r="H109" i="47" s="1"/>
  <c r="G109" i="47" s="1" a="1"/>
  <c r="G109" i="47" s="1"/>
  <c r="K109" i="47" s="1"/>
  <c r="I109" i="47"/>
  <c r="E109" i="47"/>
  <c r="L108" i="47"/>
  <c r="J108" i="47"/>
  <c r="H108" i="47" s="1" a="1"/>
  <c r="H108" i="47" s="1"/>
  <c r="G108" i="47" s="1" a="1"/>
  <c r="G108" i="47" s="1"/>
  <c r="K108" i="47" s="1"/>
  <c r="I108" i="47"/>
  <c r="E108" i="47"/>
  <c r="L107" i="47"/>
  <c r="J107" i="47"/>
  <c r="H107" i="47" s="1" a="1"/>
  <c r="H107" i="47" s="1"/>
  <c r="I107" i="47"/>
  <c r="E107" i="47"/>
  <c r="L106" i="47"/>
  <c r="J106" i="47"/>
  <c r="H106" i="47" s="1" a="1"/>
  <c r="H106" i="47" s="1"/>
  <c r="G106" i="47" s="1" a="1"/>
  <c r="G106" i="47" s="1"/>
  <c r="I106" i="47"/>
  <c r="E106" i="47"/>
  <c r="L105" i="47"/>
  <c r="J105" i="47"/>
  <c r="H105" i="47" s="1" a="1"/>
  <c r="H105" i="47" s="1"/>
  <c r="I105" i="47"/>
  <c r="E105" i="47"/>
  <c r="L104" i="47"/>
  <c r="J104" i="47"/>
  <c r="H104" i="47" s="1" a="1"/>
  <c r="H104" i="47" s="1"/>
  <c r="I104" i="47"/>
  <c r="E104" i="47"/>
  <c r="L103" i="47"/>
  <c r="J103" i="47"/>
  <c r="I103" i="47"/>
  <c r="H103" i="47" a="1"/>
  <c r="H103" i="47" s="1"/>
  <c r="E103" i="47"/>
  <c r="L102" i="47"/>
  <c r="J102" i="47"/>
  <c r="H102" i="47" s="1" a="1"/>
  <c r="H102" i="47" s="1"/>
  <c r="G102" i="47" s="1" a="1"/>
  <c r="G102" i="47" s="1"/>
  <c r="I102" i="47"/>
  <c r="E102" i="47"/>
  <c r="L101" i="47"/>
  <c r="J101" i="47"/>
  <c r="H101" i="47" s="1" a="1"/>
  <c r="H101" i="47" s="1"/>
  <c r="I101" i="47"/>
  <c r="E101" i="47"/>
  <c r="L100" i="47"/>
  <c r="J100" i="47"/>
  <c r="H100" i="47" s="1" a="1"/>
  <c r="H100" i="47" s="1"/>
  <c r="I100" i="47"/>
  <c r="E100" i="47"/>
  <c r="L99" i="47"/>
  <c r="J99" i="47"/>
  <c r="H99" i="47" s="1" a="1"/>
  <c r="H99" i="47" s="1"/>
  <c r="I99" i="47"/>
  <c r="E99" i="47"/>
  <c r="L98" i="47"/>
  <c r="J98" i="47"/>
  <c r="H98" i="47" s="1" a="1"/>
  <c r="H98" i="47" s="1"/>
  <c r="I98" i="47"/>
  <c r="E98" i="47"/>
  <c r="L97" i="47"/>
  <c r="J97" i="47"/>
  <c r="H97" i="47" s="1" a="1"/>
  <c r="H97" i="47" s="1"/>
  <c r="I97" i="47"/>
  <c r="E97" i="47"/>
  <c r="L96" i="47"/>
  <c r="J96" i="47"/>
  <c r="H96" i="47" s="1" a="1"/>
  <c r="H96" i="47" s="1"/>
  <c r="I96" i="47"/>
  <c r="E96" i="47"/>
  <c r="L95" i="47"/>
  <c r="J95" i="47"/>
  <c r="H95" i="47" s="1" a="1"/>
  <c r="H95" i="47" s="1"/>
  <c r="G95" i="47" s="1" a="1"/>
  <c r="G95" i="47" s="1"/>
  <c r="K95" i="47" s="1"/>
  <c r="I95" i="47"/>
  <c r="E95" i="47"/>
  <c r="L94" i="47"/>
  <c r="J94" i="47"/>
  <c r="H94" i="47" s="1" a="1"/>
  <c r="H94" i="47" s="1"/>
  <c r="I94" i="47"/>
  <c r="E94" i="47"/>
  <c r="L93" i="47"/>
  <c r="J93" i="47"/>
  <c r="H93" i="47" s="1" a="1"/>
  <c r="H93" i="47" s="1"/>
  <c r="I93" i="47"/>
  <c r="E93" i="47"/>
  <c r="L92" i="47"/>
  <c r="J92" i="47"/>
  <c r="H92" i="47" s="1" a="1"/>
  <c r="H92" i="47" s="1"/>
  <c r="I92" i="47"/>
  <c r="E92" i="47"/>
  <c r="L91" i="47"/>
  <c r="J91" i="47"/>
  <c r="H91" i="47" s="1" a="1"/>
  <c r="H91" i="47" s="1"/>
  <c r="G91" i="47" s="1" a="1"/>
  <c r="G91" i="47" s="1"/>
  <c r="K91" i="47" s="1"/>
  <c r="I91" i="47"/>
  <c r="E91" i="47"/>
  <c r="L90" i="47"/>
  <c r="J90" i="47"/>
  <c r="H90" i="47" s="1" a="1"/>
  <c r="H90" i="47" s="1"/>
  <c r="I90" i="47"/>
  <c r="E90" i="47"/>
  <c r="L89" i="47"/>
  <c r="J89" i="47"/>
  <c r="H89" i="47" s="1" a="1"/>
  <c r="H89" i="47" s="1"/>
  <c r="G89" i="47" s="1" a="1"/>
  <c r="G89" i="47" s="1"/>
  <c r="I89" i="47"/>
  <c r="E89" i="47"/>
  <c r="L88" i="47"/>
  <c r="J88" i="47"/>
  <c r="H88" i="47" s="1" a="1"/>
  <c r="H88" i="47" s="1"/>
  <c r="G88" i="47" s="1" a="1"/>
  <c r="G88" i="47" s="1"/>
  <c r="K88" i="47" s="1"/>
  <c r="I88" i="47"/>
  <c r="E88" i="47"/>
  <c r="L87" i="47"/>
  <c r="J87" i="47"/>
  <c r="H87" i="47" s="1" a="1"/>
  <c r="H87" i="47" s="1"/>
  <c r="G87" i="47" s="1" a="1"/>
  <c r="G87" i="47" s="1"/>
  <c r="K87" i="47" s="1"/>
  <c r="I87" i="47"/>
  <c r="E87" i="47"/>
  <c r="L86" i="47"/>
  <c r="J86" i="47"/>
  <c r="H86" i="47" s="1" a="1"/>
  <c r="H86" i="47" s="1"/>
  <c r="I86" i="47"/>
  <c r="E86" i="47"/>
  <c r="L85" i="47"/>
  <c r="J85" i="47"/>
  <c r="H85" i="47" s="1" a="1"/>
  <c r="H85" i="47" s="1"/>
  <c r="I85" i="47"/>
  <c r="E85" i="47"/>
  <c r="L84" i="47"/>
  <c r="J84" i="47"/>
  <c r="H84" i="47" s="1" a="1"/>
  <c r="H84" i="47" s="1"/>
  <c r="I84" i="47"/>
  <c r="E84" i="47"/>
  <c r="L83" i="47"/>
  <c r="J83" i="47"/>
  <c r="H83" i="47" s="1" a="1"/>
  <c r="H83" i="47" s="1"/>
  <c r="I83" i="47"/>
  <c r="E83" i="47"/>
  <c r="L82" i="47"/>
  <c r="J82" i="47"/>
  <c r="H82" i="47" s="1" a="1"/>
  <c r="H82" i="47" s="1"/>
  <c r="I82" i="47"/>
  <c r="E82" i="47"/>
  <c r="L81" i="47"/>
  <c r="J81" i="47"/>
  <c r="H81" i="47" s="1" a="1"/>
  <c r="H81" i="47" s="1"/>
  <c r="I81" i="47"/>
  <c r="E81" i="47"/>
  <c r="L80" i="47"/>
  <c r="J80" i="47"/>
  <c r="H80" i="47" s="1" a="1"/>
  <c r="H80" i="47" s="1"/>
  <c r="G80" i="47" s="1" a="1"/>
  <c r="G80" i="47" s="1"/>
  <c r="K80" i="47" s="1"/>
  <c r="I80" i="47"/>
  <c r="E80" i="47"/>
  <c r="L79" i="47"/>
  <c r="J79" i="47"/>
  <c r="I79" i="47"/>
  <c r="L78" i="47"/>
  <c r="J78" i="47"/>
  <c r="I78" i="47"/>
  <c r="L77" i="47"/>
  <c r="J77" i="47"/>
  <c r="I77" i="47"/>
  <c r="L76" i="47"/>
  <c r="J76" i="47"/>
  <c r="I76" i="47"/>
  <c r="L75" i="47"/>
  <c r="J75" i="47"/>
  <c r="I75" i="47"/>
  <c r="L74" i="47"/>
  <c r="J74" i="47"/>
  <c r="I74" i="47"/>
  <c r="L73" i="47"/>
  <c r="J73" i="47"/>
  <c r="I73" i="47"/>
  <c r="L72" i="47"/>
  <c r="J72" i="47"/>
  <c r="I72" i="47"/>
  <c r="L71" i="47"/>
  <c r="J71" i="47"/>
  <c r="I71" i="47"/>
  <c r="L70" i="47"/>
  <c r="J70" i="47"/>
  <c r="I70" i="47"/>
  <c r="L69" i="47"/>
  <c r="J69" i="47"/>
  <c r="I69" i="47"/>
  <c r="L68" i="47"/>
  <c r="J68" i="47"/>
  <c r="I68" i="47"/>
  <c r="L67" i="47"/>
  <c r="J67" i="47"/>
  <c r="I67" i="47"/>
  <c r="L66" i="47"/>
  <c r="J66" i="47"/>
  <c r="I66" i="47"/>
  <c r="L65" i="47"/>
  <c r="J65" i="47"/>
  <c r="I65" i="47"/>
  <c r="F65" i="47" a="1"/>
  <c r="I15" i="47"/>
  <c r="F15" i="47" a="1"/>
  <c r="E16" i="47" s="1"/>
  <c r="L899" i="41"/>
  <c r="K899" i="41"/>
  <c r="J899" i="41"/>
  <c r="F1065" i="47" l="1"/>
  <c r="E1072" i="47"/>
  <c r="E1069" i="47"/>
  <c r="E1071" i="47"/>
  <c r="H1068" i="47" a="1"/>
  <c r="H1068" i="47" s="1"/>
  <c r="E1079" i="47"/>
  <c r="E1076" i="47"/>
  <c r="H1067" i="47" a="1"/>
  <c r="H1067" i="47" s="1"/>
  <c r="G1067" i="47" s="1" a="1"/>
  <c r="G1067" i="47" s="1"/>
  <c r="K1067" i="47" s="1"/>
  <c r="E1080" i="47"/>
  <c r="E1070" i="47"/>
  <c r="E1073" i="47"/>
  <c r="E1066" i="47"/>
  <c r="E1075" i="47"/>
  <c r="E1078" i="47"/>
  <c r="E1068" i="47"/>
  <c r="F565" i="47"/>
  <c r="E566" i="47"/>
  <c r="H568" i="47" a="1"/>
  <c r="H568" i="47" s="1"/>
  <c r="G568" i="47" s="1" a="1"/>
  <c r="G568" i="47" s="1"/>
  <c r="K568" i="47" s="1"/>
  <c r="E568" i="47"/>
  <c r="F965" i="47"/>
  <c r="E973" i="47"/>
  <c r="H972" i="47" a="1"/>
  <c r="H972" i="47" s="1"/>
  <c r="E980" i="47"/>
  <c r="E977" i="47"/>
  <c r="E974" i="47"/>
  <c r="E966" i="47"/>
  <c r="E971" i="47"/>
  <c r="E970" i="47"/>
  <c r="H973" i="47" a="1"/>
  <c r="H973" i="47" s="1"/>
  <c r="E967" i="47"/>
  <c r="E976" i="47"/>
  <c r="E979" i="47"/>
  <c r="E972" i="47"/>
  <c r="E969" i="47"/>
  <c r="H966" i="47" a="1"/>
  <c r="H966" i="47" s="1"/>
  <c r="G966" i="47" s="1" a="1"/>
  <c r="G966" i="47" s="1"/>
  <c r="K966" i="47" s="1"/>
  <c r="E975" i="47"/>
  <c r="E978" i="47"/>
  <c r="E968" i="47"/>
  <c r="E380" i="47"/>
  <c r="H382" i="47" a="1"/>
  <c r="H382" i="47" s="1"/>
  <c r="G382" i="47" s="1" a="1"/>
  <c r="G382" i="47" s="1"/>
  <c r="K382" i="47" s="1"/>
  <c r="E382" i="47"/>
  <c r="E381" i="47"/>
  <c r="F715" i="47"/>
  <c r="H725" i="47" a="1"/>
  <c r="H725" i="47" s="1"/>
  <c r="E717" i="47"/>
  <c r="E726" i="47"/>
  <c r="E723" i="47"/>
  <c r="E734" i="47"/>
  <c r="E731" i="47"/>
  <c r="E720" i="47"/>
  <c r="E728" i="47"/>
  <c r="G725" i="47" a="1"/>
  <c r="G725" i="47" s="1"/>
  <c r="K725" i="47" s="1"/>
  <c r="E725" i="47"/>
  <c r="E722" i="47"/>
  <c r="E733" i="47"/>
  <c r="H730" i="47" a="1"/>
  <c r="H730" i="47" s="1"/>
  <c r="H719" i="47" a="1"/>
  <c r="H719" i="47" s="1"/>
  <c r="E716" i="47"/>
  <c r="E730" i="47"/>
  <c r="E727" i="47"/>
  <c r="E719" i="47"/>
  <c r="E724" i="47"/>
  <c r="E732" i="47"/>
  <c r="E721" i="47"/>
  <c r="E676" i="47"/>
  <c r="E673" i="47"/>
  <c r="F665" i="47"/>
  <c r="E670" i="47"/>
  <c r="E667" i="47"/>
  <c r="H678" i="47" a="1"/>
  <c r="H678" i="47" s="1"/>
  <c r="E675" i="47"/>
  <c r="H672" i="47" a="1"/>
  <c r="H672" i="47" s="1"/>
  <c r="G672" i="47" s="1" a="1"/>
  <c r="G672" i="47" s="1"/>
  <c r="K672" i="47" s="1"/>
  <c r="E678" i="47"/>
  <c r="E672" i="47"/>
  <c r="E669" i="47"/>
  <c r="E680" i="47"/>
  <c r="E666" i="47"/>
  <c r="E674" i="47"/>
  <c r="E677" i="47"/>
  <c r="E671" i="47"/>
  <c r="H668" i="47" a="1"/>
  <c r="H668" i="47" s="1"/>
  <c r="G668" i="47" s="1" a="1"/>
  <c r="G668" i="47" s="1"/>
  <c r="K668" i="47" s="1"/>
  <c r="E668" i="47"/>
  <c r="H679" i="47" a="1"/>
  <c r="H679" i="47" s="1"/>
  <c r="G679" i="47" s="1" a="1"/>
  <c r="G679" i="47" s="1"/>
  <c r="F765" i="47"/>
  <c r="E775" i="47"/>
  <c r="E772" i="47"/>
  <c r="E769" i="47"/>
  <c r="E766" i="47"/>
  <c r="E780" i="47"/>
  <c r="H777" i="47" a="1"/>
  <c r="H777" i="47" s="1"/>
  <c r="E777" i="47"/>
  <c r="E774" i="47"/>
  <c r="E771" i="47"/>
  <c r="E768" i="47"/>
  <c r="F815" i="47"/>
  <c r="E820" i="47"/>
  <c r="E817" i="47"/>
  <c r="E831" i="47"/>
  <c r="E828" i="47"/>
  <c r="E829" i="47"/>
  <c r="E826" i="47"/>
  <c r="E823" i="47"/>
  <c r="E816" i="47"/>
  <c r="E825" i="47"/>
  <c r="E822" i="47"/>
  <c r="E819" i="47"/>
  <c r="H827" i="47" a="1"/>
  <c r="H827" i="47" s="1"/>
  <c r="G827" i="47" s="1" a="1"/>
  <c r="G827" i="47" s="1"/>
  <c r="K827" i="47" s="1"/>
  <c r="E630" i="47"/>
  <c r="E627" i="47"/>
  <c r="E622" i="47"/>
  <c r="E632" i="47"/>
  <c r="E616" i="47"/>
  <c r="H622" i="47" a="1"/>
  <c r="H622" i="47" s="1"/>
  <c r="E619" i="47"/>
  <c r="E624" i="47"/>
  <c r="H626" i="47" a="1"/>
  <c r="H626" i="47" s="1"/>
  <c r="E621" i="47"/>
  <c r="E629" i="47"/>
  <c r="E626" i="47"/>
  <c r="E618" i="47"/>
  <c r="F615" i="47"/>
  <c r="H623" i="47" a="1"/>
  <c r="H623" i="47" s="1"/>
  <c r="G623" i="47" s="1" a="1"/>
  <c r="G623" i="47" s="1"/>
  <c r="K623" i="47" s="1"/>
  <c r="F515" i="47"/>
  <c r="E517" i="47"/>
  <c r="E518" i="47"/>
  <c r="H518" i="47" a="1"/>
  <c r="H518" i="47" s="1"/>
  <c r="E617" i="47"/>
  <c r="H619" i="47" a="1"/>
  <c r="H619" i="47" s="1"/>
  <c r="G619" i="47" s="1" a="1"/>
  <c r="G619" i="47" s="1"/>
  <c r="K619" i="47" s="1"/>
  <c r="E625" i="47"/>
  <c r="H667" i="47" a="1"/>
  <c r="H667" i="47" s="1"/>
  <c r="E679" i="47"/>
  <c r="G85" i="47" a="1"/>
  <c r="G85" i="47" s="1"/>
  <c r="K85" i="47" s="1"/>
  <c r="G138" i="47" a="1"/>
  <c r="G138" i="47" s="1"/>
  <c r="K138" i="47" s="1"/>
  <c r="G158" i="47" a="1"/>
  <c r="G158" i="47" s="1"/>
  <c r="K158" i="47" s="1"/>
  <c r="G200" i="47" a="1"/>
  <c r="G200" i="47" s="1"/>
  <c r="K200" i="47" s="1"/>
  <c r="G237" i="47" a="1"/>
  <c r="G237" i="47" s="1"/>
  <c r="K237" i="47" s="1"/>
  <c r="G254" i="47" a="1"/>
  <c r="G254" i="47" s="1"/>
  <c r="K254" i="47" s="1"/>
  <c r="G257" i="47" a="1"/>
  <c r="G257" i="47" s="1"/>
  <c r="K257" i="47" s="1"/>
  <c r="G263" i="47" a="1"/>
  <c r="G263" i="47" s="1"/>
  <c r="G285" i="47" a="1"/>
  <c r="G285" i="47" s="1"/>
  <c r="G290" i="47" a="1"/>
  <c r="G290" i="47" s="1"/>
  <c r="K290" i="47" s="1"/>
  <c r="G361" i="47" a="1"/>
  <c r="G361" i="47" s="1"/>
  <c r="K361" i="47" s="1"/>
  <c r="G383" i="47" a="1"/>
  <c r="G383" i="47" s="1"/>
  <c r="G411" i="47" a="1"/>
  <c r="G411" i="47" s="1"/>
  <c r="K411" i="47" s="1"/>
  <c r="G436" i="47" a="1"/>
  <c r="G436" i="47" s="1"/>
  <c r="G439" i="47" a="1"/>
  <c r="G439" i="47" s="1"/>
  <c r="K439" i="47" s="1"/>
  <c r="G442" i="47" a="1"/>
  <c r="G442" i="47" s="1"/>
  <c r="K442" i="47" s="1"/>
  <c r="G562" i="47" a="1"/>
  <c r="G562" i="47" s="1"/>
  <c r="K562" i="47" s="1"/>
  <c r="H566" i="47" a="1"/>
  <c r="H566" i="47" s="1"/>
  <c r="G566" i="47" s="1" a="1"/>
  <c r="G566" i="47" s="1"/>
  <c r="K566" i="47" s="1"/>
  <c r="H617" i="47" a="1"/>
  <c r="H617" i="47" s="1"/>
  <c r="G617" i="47" s="1" a="1"/>
  <c r="G617" i="47" s="1"/>
  <c r="E628" i="47"/>
  <c r="E631" i="47"/>
  <c r="G661" i="47" a="1"/>
  <c r="G661" i="47" s="1"/>
  <c r="H676" i="47" a="1"/>
  <c r="H676" i="47" s="1"/>
  <c r="G676" i="47" s="1" a="1"/>
  <c r="G676" i="47" s="1"/>
  <c r="K676" i="47" s="1"/>
  <c r="E718" i="47"/>
  <c r="H723" i="47" a="1"/>
  <c r="H723" i="47" s="1"/>
  <c r="G723" i="47" s="1" a="1"/>
  <c r="G723" i="47" s="1"/>
  <c r="H726" i="47" a="1"/>
  <c r="H726" i="47" s="1"/>
  <c r="G726" i="47" s="1" a="1"/>
  <c r="G726" i="47" s="1"/>
  <c r="E729" i="47"/>
  <c r="G737" i="47" a="1"/>
  <c r="G737" i="47" s="1"/>
  <c r="K737" i="47" s="1"/>
  <c r="G751" i="47" a="1"/>
  <c r="G751" i="47" s="1"/>
  <c r="H766" i="47" a="1"/>
  <c r="H766" i="47" s="1"/>
  <c r="H769" i="47" a="1"/>
  <c r="H769" i="47" s="1"/>
  <c r="H820" i="47" a="1"/>
  <c r="H820" i="47" s="1"/>
  <c r="G820" i="47" s="1" a="1"/>
  <c r="G820" i="47" s="1"/>
  <c r="K820" i="47" s="1"/>
  <c r="G855" i="47" a="1"/>
  <c r="G855" i="47" s="1"/>
  <c r="K855" i="47" s="1"/>
  <c r="F865" i="47"/>
  <c r="E879" i="47"/>
  <c r="E868" i="47"/>
  <c r="G868" i="47" a="1"/>
  <c r="G868" i="47" s="1"/>
  <c r="K868" i="47" s="1"/>
  <c r="H977" i="47" a="1"/>
  <c r="H977" i="47" s="1"/>
  <c r="E1067" i="47"/>
  <c r="E1077" i="47"/>
  <c r="G1091" i="47" a="1"/>
  <c r="G1091" i="47" s="1"/>
  <c r="K1091" i="47" s="1"/>
  <c r="G1108" i="47" a="1"/>
  <c r="G1108" i="47" s="1"/>
  <c r="K1108" i="47" s="1"/>
  <c r="H380" i="47" a="1"/>
  <c r="H380" i="47" s="1"/>
  <c r="G380" i="47" s="1" a="1"/>
  <c r="G380" i="47" s="1"/>
  <c r="E431" i="47"/>
  <c r="G532" i="47" a="1"/>
  <c r="G532" i="47" s="1"/>
  <c r="K532" i="47" s="1"/>
  <c r="E620" i="47"/>
  <c r="H673" i="47" a="1"/>
  <c r="H673" i="47" s="1"/>
  <c r="G673" i="47" s="1" a="1"/>
  <c r="G673" i="47" s="1"/>
  <c r="K673" i="47" s="1"/>
  <c r="H772" i="47" a="1"/>
  <c r="H772" i="47" s="1"/>
  <c r="G772" i="47" s="1" a="1"/>
  <c r="G772" i="47" s="1"/>
  <c r="K772" i="47" s="1"/>
  <c r="H775" i="47" a="1"/>
  <c r="H775" i="47" s="1"/>
  <c r="G775" i="47" s="1" a="1"/>
  <c r="G775" i="47" s="1"/>
  <c r="K775" i="47" s="1"/>
  <c r="E778" i="47"/>
  <c r="H817" i="47" a="1"/>
  <c r="H817" i="47" s="1"/>
  <c r="H829" i="47" a="1"/>
  <c r="H829" i="47" s="1"/>
  <c r="G829" i="47" s="1" a="1"/>
  <c r="G829" i="47" s="1"/>
  <c r="K829" i="47" s="1"/>
  <c r="G961" i="47" a="1"/>
  <c r="G961" i="47" s="1"/>
  <c r="K961" i="47" s="1"/>
  <c r="H974" i="47" a="1"/>
  <c r="H974" i="47" s="1"/>
  <c r="H1070" i="47" a="1"/>
  <c r="H1070" i="47" s="1"/>
  <c r="G1070" i="47" s="1" a="1"/>
  <c r="G1070" i="47" s="1"/>
  <c r="K1070" i="47" s="1"/>
  <c r="E1074" i="47"/>
  <c r="H1080" i="47" a="1"/>
  <c r="H1080" i="47" s="1"/>
  <c r="H1265" i="47" a="1"/>
  <c r="H1265" i="47" s="1"/>
  <c r="G113" i="47" a="1"/>
  <c r="G113" i="47" s="1"/>
  <c r="G161" i="47" a="1"/>
  <c r="G161" i="47" s="1"/>
  <c r="K161" i="47" s="1"/>
  <c r="G186" i="47" a="1"/>
  <c r="G186" i="47" s="1"/>
  <c r="G299" i="47" a="1"/>
  <c r="G299" i="47" s="1"/>
  <c r="K299" i="47" s="1"/>
  <c r="G389" i="47" a="1"/>
  <c r="G389" i="47" s="1"/>
  <c r="G535" i="47" a="1"/>
  <c r="G535" i="47" s="1"/>
  <c r="K535" i="47" s="1"/>
  <c r="G557" i="47" a="1"/>
  <c r="G557" i="47" s="1"/>
  <c r="K557" i="47" s="1"/>
  <c r="E567" i="47"/>
  <c r="G586" i="47" a="1"/>
  <c r="G586" i="47" s="1"/>
  <c r="K586" i="47" s="1"/>
  <c r="G591" i="47" a="1"/>
  <c r="G591" i="47" s="1"/>
  <c r="K591" i="47" s="1"/>
  <c r="E623" i="47"/>
  <c r="H625" i="47" a="1"/>
  <c r="H625" i="47" s="1"/>
  <c r="H628" i="47" a="1"/>
  <c r="H628" i="47" s="1"/>
  <c r="G628" i="47" s="1" a="1"/>
  <c r="G628" i="47" s="1"/>
  <c r="H631" i="47" a="1"/>
  <c r="H631" i="47" s="1"/>
  <c r="G631" i="47" s="1" a="1"/>
  <c r="G631" i="47" s="1"/>
  <c r="K631" i="47" s="1"/>
  <c r="G682" i="47" a="1"/>
  <c r="G682" i="47" s="1"/>
  <c r="K682" i="47" s="1"/>
  <c r="G708" i="47" a="1"/>
  <c r="G708" i="47" s="1"/>
  <c r="G711" i="47" a="1"/>
  <c r="G711" i="47" s="1"/>
  <c r="H718" i="47" a="1"/>
  <c r="H718" i="47" s="1"/>
  <c r="G718" i="47" s="1" a="1"/>
  <c r="G718" i="47" s="1"/>
  <c r="K718" i="47" s="1"/>
  <c r="H729" i="47" a="1"/>
  <c r="H729" i="47" s="1"/>
  <c r="G729" i="47" s="1" a="1"/>
  <c r="G729" i="47" s="1"/>
  <c r="K729" i="47" s="1"/>
  <c r="G735" i="47" a="1"/>
  <c r="G735" i="47" s="1"/>
  <c r="K735" i="47" s="1"/>
  <c r="G746" i="47" a="1"/>
  <c r="G746" i="47" s="1"/>
  <c r="K746" i="47" s="1"/>
  <c r="G763" i="47" a="1"/>
  <c r="G763" i="47" s="1"/>
  <c r="K763" i="47" s="1"/>
  <c r="E767" i="47"/>
  <c r="E770" i="47"/>
  <c r="G810" i="47" a="1"/>
  <c r="G810" i="47" s="1"/>
  <c r="K810" i="47" s="1"/>
  <c r="G813" i="47" a="1"/>
  <c r="G813" i="47" s="1"/>
  <c r="K813" i="47" s="1"/>
  <c r="E821" i="47"/>
  <c r="G847" i="47" a="1"/>
  <c r="G847" i="47" s="1"/>
  <c r="K847" i="47" s="1"/>
  <c r="G853" i="47" a="1"/>
  <c r="G853" i="47" s="1"/>
  <c r="G861" i="47" a="1"/>
  <c r="G861" i="47" s="1"/>
  <c r="G875" i="47" a="1"/>
  <c r="G875" i="47" s="1"/>
  <c r="K875" i="47" s="1"/>
  <c r="G881" i="47" a="1"/>
  <c r="G881" i="47" s="1"/>
  <c r="K881" i="47" s="1"/>
  <c r="H968" i="47" a="1"/>
  <c r="H968" i="47" s="1"/>
  <c r="G992" i="47" a="1"/>
  <c r="G992" i="47" s="1"/>
  <c r="K992" i="47" s="1"/>
  <c r="G1044" i="47" a="1"/>
  <c r="G1044" i="47" s="1"/>
  <c r="K1044" i="47" s="1"/>
  <c r="G1049" i="47" a="1"/>
  <c r="G1049" i="47" s="1"/>
  <c r="K1049" i="47" s="1"/>
  <c r="H1077" i="47" a="1"/>
  <c r="H1077" i="47" s="1"/>
  <c r="G1077" i="47" s="1" a="1"/>
  <c r="G1077" i="47" s="1"/>
  <c r="K1077" i="47" s="1"/>
  <c r="G1233" i="47" a="1"/>
  <c r="G1233" i="47" s="1"/>
  <c r="K1233" i="47" s="1"/>
  <c r="H732" i="47" a="1"/>
  <c r="H732" i="47" s="1"/>
  <c r="G732" i="47" s="1" a="1"/>
  <c r="G732" i="47" s="1"/>
  <c r="K732" i="47" s="1"/>
  <c r="H770" i="47" a="1"/>
  <c r="H770" i="47" s="1"/>
  <c r="G770" i="47" s="1" a="1"/>
  <c r="G770" i="47" s="1"/>
  <c r="K770" i="47" s="1"/>
  <c r="E773" i="47"/>
  <c r="E776" i="47"/>
  <c r="H778" i="47" a="1"/>
  <c r="H778" i="47" s="1"/>
  <c r="H1074" i="47" a="1"/>
  <c r="H1074" i="47" s="1"/>
  <c r="H381" i="47" a="1"/>
  <c r="H381" i="47" s="1"/>
  <c r="H431" i="47" a="1"/>
  <c r="H431" i="47" s="1"/>
  <c r="H620" i="47" a="1"/>
  <c r="H620" i="47" s="1"/>
  <c r="E818" i="47"/>
  <c r="H821" i="47" a="1"/>
  <c r="H821" i="47" s="1"/>
  <c r="G821" i="47" s="1" a="1"/>
  <c r="G821" i="47" s="1"/>
  <c r="K821" i="47" s="1"/>
  <c r="E824" i="47"/>
  <c r="E827" i="47"/>
  <c r="E830" i="47"/>
  <c r="G201" i="47" a="1"/>
  <c r="G201" i="47" s="1"/>
  <c r="K201" i="47" s="1"/>
  <c r="G258" i="47" a="1"/>
  <c r="G258" i="47" s="1"/>
  <c r="K258" i="47" s="1"/>
  <c r="G261" i="47" a="1"/>
  <c r="G261" i="47" s="1"/>
  <c r="K261" i="47" s="1"/>
  <c r="G280" i="47" a="1"/>
  <c r="G280" i="47" s="1"/>
  <c r="G288" i="47" a="1"/>
  <c r="G288" i="47" s="1"/>
  <c r="G350" i="47" a="1"/>
  <c r="G350" i="47" s="1"/>
  <c r="K350" i="47" s="1"/>
  <c r="G353" i="47" a="1"/>
  <c r="G353" i="47" s="1"/>
  <c r="K353" i="47" s="1"/>
  <c r="G356" i="47" a="1"/>
  <c r="G356" i="47" s="1"/>
  <c r="G362" i="47" a="1"/>
  <c r="G362" i="47" s="1"/>
  <c r="K362" i="47" s="1"/>
  <c r="G395" i="47" a="1"/>
  <c r="G395" i="47" s="1"/>
  <c r="G409" i="47" a="1"/>
  <c r="G409" i="47" s="1"/>
  <c r="K409" i="47" s="1"/>
  <c r="G437" i="47" a="1"/>
  <c r="G437" i="47" s="1"/>
  <c r="G530" i="47" a="1"/>
  <c r="G530" i="47" s="1"/>
  <c r="K530" i="47" s="1"/>
  <c r="G541" i="47" a="1"/>
  <c r="G541" i="47" s="1"/>
  <c r="K541" i="47" s="1"/>
  <c r="H567" i="47" a="1"/>
  <c r="H567" i="47" s="1"/>
  <c r="G608" i="47" a="1"/>
  <c r="G608" i="47" s="1"/>
  <c r="K608" i="47" s="1"/>
  <c r="G643" i="47" a="1"/>
  <c r="G643" i="47" s="1"/>
  <c r="K643" i="47" s="1"/>
  <c r="G656" i="47" a="1"/>
  <c r="G656" i="47" s="1"/>
  <c r="K656" i="47" s="1"/>
  <c r="H671" i="47" a="1"/>
  <c r="H671" i="47" s="1"/>
  <c r="H677" i="47" a="1"/>
  <c r="H677" i="47" s="1"/>
  <c r="G677" i="47" s="1" a="1"/>
  <c r="G677" i="47" s="1"/>
  <c r="K677" i="47" s="1"/>
  <c r="H721" i="47" a="1"/>
  <c r="H721" i="47" s="1"/>
  <c r="G721" i="47" s="1" a="1"/>
  <c r="G721" i="47" s="1"/>
  <c r="K721" i="47" s="1"/>
  <c r="H724" i="47" a="1"/>
  <c r="H724" i="47" s="1"/>
  <c r="G738" i="47" a="1"/>
  <c r="G738" i="47" s="1"/>
  <c r="H767" i="47" a="1"/>
  <c r="H767" i="47" s="1"/>
  <c r="G767" i="47" s="1" a="1"/>
  <c r="G767" i="47" s="1"/>
  <c r="H776" i="47" a="1"/>
  <c r="H776" i="47" s="1"/>
  <c r="G776" i="47" s="1" a="1"/>
  <c r="G776" i="47" s="1"/>
  <c r="H978" i="47" a="1"/>
  <c r="H978" i="47" s="1"/>
  <c r="H1071" i="47" a="1"/>
  <c r="H1071" i="47" s="1"/>
  <c r="G1089" i="47" a="1"/>
  <c r="G1089" i="47" s="1"/>
  <c r="K1089" i="47" s="1"/>
  <c r="G1340" i="47" a="1"/>
  <c r="G1340" i="47" s="1"/>
  <c r="K1340" i="47" s="1"/>
  <c r="G286" i="47" a="1"/>
  <c r="G286" i="47" s="1"/>
  <c r="K286" i="47" s="1"/>
  <c r="E432" i="47"/>
  <c r="G449" i="47" a="1"/>
  <c r="G449" i="47" s="1"/>
  <c r="H516" i="47" a="1"/>
  <c r="H516" i="47" s="1"/>
  <c r="G516" i="47" s="1" a="1"/>
  <c r="G516" i="47" s="1"/>
  <c r="K516" i="47" s="1"/>
  <c r="G558" i="47" a="1"/>
  <c r="G558" i="47" s="1"/>
  <c r="H632" i="47" a="1"/>
  <c r="H632" i="47" s="1"/>
  <c r="H674" i="47" a="1"/>
  <c r="H674" i="47" s="1"/>
  <c r="E779" i="47"/>
  <c r="H818" i="47" a="1"/>
  <c r="H818" i="47" s="1"/>
  <c r="H824" i="47" a="1"/>
  <c r="H824" i="47" s="1"/>
  <c r="G824" i="47" s="1" a="1"/>
  <c r="G824" i="47" s="1"/>
  <c r="K824" i="47" s="1"/>
  <c r="H830" i="47" a="1"/>
  <c r="H830" i="47" s="1"/>
  <c r="G830" i="47" s="1" a="1"/>
  <c r="G830" i="47" s="1"/>
  <c r="G876" i="47" a="1"/>
  <c r="G876" i="47" s="1"/>
  <c r="K876" i="47" s="1"/>
  <c r="H975" i="47" a="1"/>
  <c r="H975" i="47" s="1"/>
  <c r="G975" i="47" s="1" a="1"/>
  <c r="G975" i="47" s="1"/>
  <c r="K975" i="47" s="1"/>
  <c r="H1030" i="47" a="1"/>
  <c r="H1030" i="47" s="1"/>
  <c r="G1036" i="47" a="1"/>
  <c r="G1036" i="47" s="1"/>
  <c r="K1036" i="47" s="1"/>
  <c r="G1058" i="47" a="1"/>
  <c r="G1058" i="47" s="1"/>
  <c r="K1058" i="47" s="1"/>
  <c r="G1068" i="47" a="1"/>
  <c r="G1068" i="47" s="1"/>
  <c r="K1068" i="47" s="1"/>
  <c r="G1193" i="47" a="1"/>
  <c r="G1193" i="47" s="1"/>
  <c r="K1193" i="47" s="1"/>
  <c r="G139" i="47" a="1"/>
  <c r="G139" i="47" s="1"/>
  <c r="G162" i="47" a="1"/>
  <c r="G162" i="47" s="1"/>
  <c r="K162" i="47" s="1"/>
  <c r="H629" i="47" a="1"/>
  <c r="H629" i="47" s="1"/>
  <c r="H680" i="47" a="1"/>
  <c r="H680" i="47" s="1"/>
  <c r="G680" i="47" s="1" a="1"/>
  <c r="G680" i="47" s="1"/>
  <c r="K680" i="47" s="1"/>
  <c r="G142" i="47" a="1"/>
  <c r="G142" i="47" s="1"/>
  <c r="K142" i="47" s="1"/>
  <c r="G187" i="47" a="1"/>
  <c r="G187" i="47" s="1"/>
  <c r="K187" i="47" s="1"/>
  <c r="H727" i="47" a="1"/>
  <c r="H727" i="47" s="1"/>
  <c r="G727" i="47" s="1" a="1"/>
  <c r="G727" i="47" s="1"/>
  <c r="K727" i="47" s="1"/>
  <c r="G101" i="47" a="1"/>
  <c r="G101" i="47" s="1"/>
  <c r="G145" i="47" a="1"/>
  <c r="G145" i="47" s="1"/>
  <c r="G148" i="47" a="1"/>
  <c r="G148" i="47" s="1"/>
  <c r="G196" i="47" a="1"/>
  <c r="G196" i="47" s="1"/>
  <c r="K196" i="47" s="1"/>
  <c r="G213" i="47" a="1"/>
  <c r="G213" i="47" s="1"/>
  <c r="G303" i="47" a="1"/>
  <c r="G303" i="47" s="1"/>
  <c r="K303" i="47" s="1"/>
  <c r="G339" i="47" a="1"/>
  <c r="G339" i="47" s="1"/>
  <c r="K339" i="47" s="1"/>
  <c r="G342" i="47" a="1"/>
  <c r="G342" i="47" s="1"/>
  <c r="K342" i="47" s="1"/>
  <c r="G345" i="47" a="1"/>
  <c r="G345" i="47" s="1"/>
  <c r="G393" i="47" a="1"/>
  <c r="G393" i="47" s="1"/>
  <c r="K393" i="47" s="1"/>
  <c r="H432" i="47" a="1"/>
  <c r="H432" i="47" s="1"/>
  <c r="G452" i="47" a="1"/>
  <c r="G452" i="47" s="1"/>
  <c r="G455" i="47" a="1"/>
  <c r="G455" i="47" s="1"/>
  <c r="K455" i="47" s="1"/>
  <c r="G461" i="47" a="1"/>
  <c r="G461" i="47" s="1"/>
  <c r="K461" i="47" s="1"/>
  <c r="G539" i="47" a="1"/>
  <c r="G539" i="47" s="1"/>
  <c r="K539" i="47" s="1"/>
  <c r="G584" i="47" a="1"/>
  <c r="G584" i="47" s="1"/>
  <c r="K584" i="47" s="1"/>
  <c r="H666" i="47" a="1"/>
  <c r="H666" i="47" s="1"/>
  <c r="H716" i="47" a="1"/>
  <c r="H716" i="47" s="1"/>
  <c r="G761" i="47" a="1"/>
  <c r="G761" i="47" s="1"/>
  <c r="K761" i="47" s="1"/>
  <c r="G788" i="47" a="1"/>
  <c r="G788" i="47" s="1"/>
  <c r="K788" i="47" s="1"/>
  <c r="G791" i="47" a="1"/>
  <c r="G791" i="47" s="1"/>
  <c r="G794" i="47" a="1"/>
  <c r="G794" i="47" s="1"/>
  <c r="K794" i="47" s="1"/>
  <c r="E921" i="47"/>
  <c r="E928" i="47"/>
  <c r="H920" i="47" a="1"/>
  <c r="H920" i="47" s="1"/>
  <c r="G920" i="47" s="1" a="1"/>
  <c r="G920" i="47" s="1"/>
  <c r="K920" i="47" s="1"/>
  <c r="G946" i="47" a="1"/>
  <c r="G946" i="47" s="1"/>
  <c r="K946" i="47" s="1"/>
  <c r="H969" i="47" a="1"/>
  <c r="H969" i="47" s="1"/>
  <c r="G969" i="47" s="1" a="1"/>
  <c r="G969" i="47" s="1"/>
  <c r="K969" i="47" s="1"/>
  <c r="G1045" i="47" a="1"/>
  <c r="G1045" i="47" s="1"/>
  <c r="K1045" i="47" s="1"/>
  <c r="H1072" i="47" a="1"/>
  <c r="H1072" i="47" s="1"/>
  <c r="G1318" i="47" a="1"/>
  <c r="G1318" i="47" s="1"/>
  <c r="H621" i="47" a="1"/>
  <c r="H621" i="47" s="1"/>
  <c r="G621" i="47" s="1" a="1"/>
  <c r="G621" i="47" s="1"/>
  <c r="K621" i="47" s="1"/>
  <c r="H669" i="47" a="1"/>
  <c r="H669" i="47" s="1"/>
  <c r="G669" i="47" s="1" a="1"/>
  <c r="G669" i="47" s="1"/>
  <c r="K669" i="47" s="1"/>
  <c r="G1177" i="47" a="1"/>
  <c r="G1177" i="47" s="1"/>
  <c r="G90" i="47" a="1"/>
  <c r="G90" i="47" s="1"/>
  <c r="G134" i="47" a="1"/>
  <c r="G134" i="47" s="1"/>
  <c r="K134" i="47" s="1"/>
  <c r="G154" i="47" a="1"/>
  <c r="G154" i="47" s="1"/>
  <c r="K154" i="47" s="1"/>
  <c r="G205" i="47" a="1"/>
  <c r="G205" i="47" s="1"/>
  <c r="K205" i="47" s="1"/>
  <c r="G233" i="47" a="1"/>
  <c r="G233" i="47" s="1"/>
  <c r="K233" i="47" s="1"/>
  <c r="G284" i="47" a="1"/>
  <c r="G284" i="47" s="1"/>
  <c r="K284" i="47" s="1"/>
  <c r="G331" i="47" a="1"/>
  <c r="G331" i="47" s="1"/>
  <c r="K331" i="47" s="1"/>
  <c r="G399" i="47" a="1"/>
  <c r="G399" i="47" s="1"/>
  <c r="K399" i="47" s="1"/>
  <c r="G405" i="47" a="1"/>
  <c r="G405" i="47" s="1"/>
  <c r="K405" i="47" s="1"/>
  <c r="E430" i="47"/>
  <c r="E433" i="47"/>
  <c r="G490" i="47" a="1"/>
  <c r="G490" i="47" s="1"/>
  <c r="G525" i="47" a="1"/>
  <c r="G525" i="47" s="1"/>
  <c r="K525" i="47" s="1"/>
  <c r="G550" i="47" a="1"/>
  <c r="G550" i="47" s="1"/>
  <c r="K550" i="47" s="1"/>
  <c r="H616" i="47" a="1"/>
  <c r="H616" i="47" s="1"/>
  <c r="G616" i="47" s="1" a="1"/>
  <c r="G616" i="47" s="1"/>
  <c r="K616" i="47" s="1"/>
  <c r="G633" i="47" a="1"/>
  <c r="G633" i="47" s="1"/>
  <c r="K633" i="47" s="1"/>
  <c r="G649" i="47" a="1"/>
  <c r="G649" i="47" s="1"/>
  <c r="K649" i="47" s="1"/>
  <c r="G660" i="47" a="1"/>
  <c r="G660" i="47" s="1"/>
  <c r="K660" i="47" s="1"/>
  <c r="H675" i="47" a="1"/>
  <c r="H675" i="47" s="1"/>
  <c r="G675" i="47" s="1" a="1"/>
  <c r="G675" i="47" s="1"/>
  <c r="H771" i="47" a="1"/>
  <c r="H771" i="47" s="1"/>
  <c r="G771" i="47" s="1" a="1"/>
  <c r="G771" i="47" s="1"/>
  <c r="K771" i="47" s="1"/>
  <c r="H774" i="47" a="1"/>
  <c r="H774" i="47" s="1"/>
  <c r="G800" i="47" a="1"/>
  <c r="G800" i="47" s="1"/>
  <c r="G803" i="47" a="1"/>
  <c r="G803" i="47" s="1"/>
  <c r="H822" i="47" a="1"/>
  <c r="H822" i="47" s="1"/>
  <c r="G822" i="47" s="1" a="1"/>
  <c r="G822" i="47" s="1"/>
  <c r="K822" i="47" s="1"/>
  <c r="H825" i="47" a="1"/>
  <c r="H825" i="47" s="1"/>
  <c r="G843" i="47" a="1"/>
  <c r="G843" i="47" s="1"/>
  <c r="K843" i="47" s="1"/>
  <c r="G867" i="47" a="1"/>
  <c r="G867" i="47" s="1"/>
  <c r="G883" i="47" a="1"/>
  <c r="G883" i="47" s="1"/>
  <c r="K883" i="47" s="1"/>
  <c r="G1037" i="47" a="1"/>
  <c r="G1037" i="47" s="1"/>
  <c r="K1037" i="47" s="1"/>
  <c r="G1059" i="47" a="1"/>
  <c r="G1059" i="47" s="1"/>
  <c r="K1059" i="47" s="1"/>
  <c r="H1069" i="47" a="1"/>
  <c r="H1069" i="47" s="1"/>
  <c r="G1069" i="47" s="1" a="1"/>
  <c r="G1069" i="47" s="1"/>
  <c r="H1079" i="47" a="1"/>
  <c r="H1079" i="47" s="1"/>
  <c r="F1165" i="47"/>
  <c r="E1167" i="47"/>
  <c r="E1168" i="47"/>
  <c r="G1278" i="47" a="1"/>
  <c r="G1278" i="47" s="1"/>
  <c r="K1278" i="47" s="1"/>
  <c r="G104" i="47" a="1"/>
  <c r="G104" i="47" s="1"/>
  <c r="K104" i="47" s="1"/>
  <c r="G157" i="47" a="1"/>
  <c r="G157" i="47" s="1"/>
  <c r="G236" i="47" a="1"/>
  <c r="G236" i="47" s="1"/>
  <c r="G309" i="47" a="1"/>
  <c r="G309" i="47" s="1"/>
  <c r="G385" i="47" a="1"/>
  <c r="G385" i="47" s="1"/>
  <c r="K385" i="47" s="1"/>
  <c r="G402" i="47" a="1"/>
  <c r="G402" i="47" s="1"/>
  <c r="G484" i="47" a="1"/>
  <c r="G484" i="47" s="1"/>
  <c r="G510" i="47" a="1"/>
  <c r="G510" i="47" s="1"/>
  <c r="H517" i="47" a="1"/>
  <c r="H517" i="47" s="1"/>
  <c r="G531" i="47" a="1"/>
  <c r="G531" i="47" s="1"/>
  <c r="K531" i="47" s="1"/>
  <c r="G571" i="47" a="1"/>
  <c r="G571" i="47" s="1"/>
  <c r="G601" i="47" a="1"/>
  <c r="G601" i="47" s="1"/>
  <c r="K601" i="47" s="1"/>
  <c r="G96" i="47" a="1"/>
  <c r="G96" i="47" s="1"/>
  <c r="K96" i="47" s="1"/>
  <c r="G191" i="47" a="1"/>
  <c r="G191" i="47" s="1"/>
  <c r="K191" i="47" s="1"/>
  <c r="G194" i="47" a="1"/>
  <c r="G194" i="47" s="1"/>
  <c r="G208" i="47" a="1"/>
  <c r="G208" i="47" s="1"/>
  <c r="K208" i="47" s="1"/>
  <c r="G298" i="47" a="1"/>
  <c r="G298" i="47" s="1"/>
  <c r="K298" i="47" s="1"/>
  <c r="G337" i="47" a="1"/>
  <c r="G337" i="47" s="1"/>
  <c r="K337" i="47" s="1"/>
  <c r="G388" i="47" a="1"/>
  <c r="G388" i="47" s="1"/>
  <c r="K388" i="47" s="1"/>
  <c r="G496" i="47" a="1"/>
  <c r="G496" i="47" s="1"/>
  <c r="K496" i="47" s="1"/>
  <c r="G520" i="47" a="1"/>
  <c r="G520" i="47" s="1"/>
  <c r="G534" i="47" a="1"/>
  <c r="G534" i="47" s="1"/>
  <c r="K534" i="47" s="1"/>
  <c r="G537" i="47" a="1"/>
  <c r="G537" i="47" s="1"/>
  <c r="K537" i="47" s="1"/>
  <c r="G556" i="47" a="1"/>
  <c r="G556" i="47" s="1"/>
  <c r="K556" i="47" s="1"/>
  <c r="G590" i="47" a="1"/>
  <c r="G590" i="47" s="1"/>
  <c r="K590" i="47" s="1"/>
  <c r="G593" i="47" a="1"/>
  <c r="G593" i="47" s="1"/>
  <c r="K593" i="47" s="1"/>
  <c r="H627" i="47" a="1"/>
  <c r="H627" i="47" s="1"/>
  <c r="H630" i="47" a="1"/>
  <c r="H630" i="47" s="1"/>
  <c r="G630" i="47" s="1" a="1"/>
  <c r="G630" i="47" s="1"/>
  <c r="K630" i="47" s="1"/>
  <c r="G705" i="47" a="1"/>
  <c r="G705" i="47" s="1"/>
  <c r="H717" i="47" a="1"/>
  <c r="H717" i="47" s="1"/>
  <c r="G717" i="47" s="1" a="1"/>
  <c r="G717" i="47" s="1"/>
  <c r="K717" i="47" s="1"/>
  <c r="G745" i="47" a="1"/>
  <c r="G745" i="47" s="1"/>
  <c r="K745" i="47" s="1"/>
  <c r="G756" i="47" a="1"/>
  <c r="G756" i="47" s="1"/>
  <c r="K756" i="47" s="1"/>
  <c r="G860" i="47" a="1"/>
  <c r="G860" i="47" s="1"/>
  <c r="K860" i="47" s="1"/>
  <c r="G863" i="47" a="1"/>
  <c r="G863" i="47" s="1"/>
  <c r="K863" i="47" s="1"/>
  <c r="G880" i="47" a="1"/>
  <c r="G880" i="47" s="1"/>
  <c r="G903" i="47" a="1"/>
  <c r="G903" i="47" s="1"/>
  <c r="K903" i="47" s="1"/>
  <c r="G906" i="47" a="1"/>
  <c r="G906" i="47" s="1"/>
  <c r="K906" i="47" s="1"/>
  <c r="G952" i="47" a="1"/>
  <c r="G952" i="47" s="1"/>
  <c r="G1048" i="47" a="1"/>
  <c r="G1048" i="47" s="1"/>
  <c r="K1048" i="47" s="1"/>
  <c r="H1076" i="47" a="1"/>
  <c r="H1076" i="47" s="1"/>
  <c r="H430" i="47" a="1"/>
  <c r="H430" i="47" s="1"/>
  <c r="G430" i="47" s="1" a="1"/>
  <c r="G430" i="47" s="1"/>
  <c r="K430" i="47" s="1"/>
  <c r="H731" i="47" a="1"/>
  <c r="H731" i="47" s="1"/>
  <c r="H734" i="47" a="1"/>
  <c r="H734" i="47" s="1"/>
  <c r="H780" i="47" a="1"/>
  <c r="H780" i="47" s="1"/>
  <c r="H970" i="47" a="1"/>
  <c r="H970" i="47" s="1"/>
  <c r="H980" i="47" a="1"/>
  <c r="H980" i="47" s="1"/>
  <c r="H1073" i="47" a="1"/>
  <c r="H1073" i="47" s="1"/>
  <c r="G1073" i="47" s="1" a="1"/>
  <c r="G1073" i="47" s="1"/>
  <c r="K1073" i="47" s="1"/>
  <c r="G812" i="47" a="1"/>
  <c r="G812" i="47" s="1"/>
  <c r="K812" i="47" s="1"/>
  <c r="H816" i="47" a="1"/>
  <c r="H816" i="47" s="1"/>
  <c r="G816" i="47" s="1" a="1"/>
  <c r="G816" i="47" s="1"/>
  <c r="K816" i="47" s="1"/>
  <c r="H819" i="47" a="1"/>
  <c r="H819" i="47" s="1"/>
  <c r="G819" i="47" s="1" a="1"/>
  <c r="G819" i="47" s="1"/>
  <c r="K819" i="47" s="1"/>
  <c r="G859" i="47" a="1"/>
  <c r="G859" i="47" s="1"/>
  <c r="K859" i="47" s="1"/>
  <c r="H871" i="47" a="1"/>
  <c r="H871" i="47" s="1"/>
  <c r="G871" i="47" s="1" a="1"/>
  <c r="G871" i="47" s="1"/>
  <c r="K871" i="47" s="1"/>
  <c r="H874" i="47" a="1"/>
  <c r="H874" i="47" s="1"/>
  <c r="H882" i="47" a="1"/>
  <c r="H882" i="47" s="1"/>
  <c r="G907" i="47" a="1"/>
  <c r="G907" i="47" s="1"/>
  <c r="E919" i="47"/>
  <c r="H921" i="47" a="1"/>
  <c r="H921" i="47" s="1"/>
  <c r="G921" i="47" s="1" a="1"/>
  <c r="G921" i="47" s="1"/>
  <c r="K921" i="47" s="1"/>
  <c r="H924" i="47" a="1"/>
  <c r="H924" i="47" s="1"/>
  <c r="E927" i="47"/>
  <c r="H929" i="47" a="1"/>
  <c r="H929" i="47" s="1"/>
  <c r="G929" i="47" s="1" a="1"/>
  <c r="G929" i="47" s="1"/>
  <c r="K929" i="47" s="1"/>
  <c r="G940" i="47" a="1"/>
  <c r="G940" i="47" s="1"/>
  <c r="H976" i="47" a="1"/>
  <c r="H976" i="47" s="1"/>
  <c r="G976" i="47" s="1" a="1"/>
  <c r="G976" i="47" s="1"/>
  <c r="K976" i="47" s="1"/>
  <c r="H979" i="47" a="1"/>
  <c r="H979" i="47" s="1"/>
  <c r="G979" i="47" s="1" a="1"/>
  <c r="G979" i="47" s="1"/>
  <c r="G1047" i="47" a="1"/>
  <c r="G1047" i="47" s="1"/>
  <c r="K1047" i="47" s="1"/>
  <c r="H1075" i="47" a="1"/>
  <c r="H1075" i="47" s="1"/>
  <c r="H1078" i="47" a="1"/>
  <c r="H1078" i="47" s="1"/>
  <c r="E1118" i="47"/>
  <c r="G1123" i="47" a="1"/>
  <c r="G1123" i="47" s="1"/>
  <c r="K1123" i="47" s="1"/>
  <c r="H1167" i="47" a="1"/>
  <c r="H1167" i="47" s="1"/>
  <c r="G1167" i="47" s="1" a="1"/>
  <c r="G1167" i="47" s="1"/>
  <c r="K1167" i="47" s="1"/>
  <c r="G1170" i="47" a="1"/>
  <c r="G1170" i="47" s="1"/>
  <c r="K1170" i="47" s="1"/>
  <c r="G1173" i="47" a="1"/>
  <c r="G1173" i="47" s="1"/>
  <c r="K1173" i="47" s="1"/>
  <c r="G1176" i="47" a="1"/>
  <c r="G1176" i="47" s="1"/>
  <c r="K1176" i="47" s="1"/>
  <c r="G1179" i="47" a="1"/>
  <c r="G1179" i="47" s="1"/>
  <c r="K1179" i="47" s="1"/>
  <c r="G1184" i="47" a="1"/>
  <c r="G1184" i="47" s="1"/>
  <c r="K1184" i="47" s="1"/>
  <c r="G1190" i="47" a="1"/>
  <c r="G1190" i="47" s="1"/>
  <c r="K1190" i="47" s="1"/>
  <c r="G1195" i="47" a="1"/>
  <c r="G1195" i="47" s="1"/>
  <c r="K1195" i="47" s="1"/>
  <c r="G1198" i="47" a="1"/>
  <c r="G1198" i="47" s="1"/>
  <c r="K1198" i="47" s="1"/>
  <c r="G1300" i="47" a="1"/>
  <c r="G1300" i="47" s="1"/>
  <c r="K1300" i="47" s="1"/>
  <c r="G1311" i="47" a="1"/>
  <c r="G1311" i="47" s="1"/>
  <c r="K1311" i="47" s="1"/>
  <c r="G1322" i="47" a="1"/>
  <c r="G1322" i="47" s="1"/>
  <c r="K1322" i="47" s="1"/>
  <c r="G1339" i="47" a="1"/>
  <c r="G1339" i="47" s="1"/>
  <c r="K1339" i="47" s="1"/>
  <c r="G1425" i="47" a="1"/>
  <c r="G1425" i="47" s="1"/>
  <c r="K1425" i="47" s="1"/>
  <c r="G1428" i="47" a="1"/>
  <c r="G1428" i="47" s="1"/>
  <c r="K1428" i="47" s="1"/>
  <c r="G1476" i="47" a="1"/>
  <c r="G1476" i="47" s="1"/>
  <c r="K1476" i="47" s="1"/>
  <c r="G1487" i="47" a="1"/>
  <c r="G1487" i="47" s="1"/>
  <c r="G1501" i="47" a="1"/>
  <c r="G1501" i="47" s="1"/>
  <c r="K1501" i="47" s="1"/>
  <c r="G1569" i="47" a="1"/>
  <c r="G1569" i="47" s="1"/>
  <c r="K1569" i="47" s="1"/>
  <c r="G1774" i="47" a="1"/>
  <c r="G1774" i="47" s="1"/>
  <c r="K1774" i="47" s="1"/>
  <c r="G1991" i="47" a="1"/>
  <c r="G1991" i="47" s="1"/>
  <c r="K1991" i="47" s="1"/>
  <c r="G2113" i="47" a="1"/>
  <c r="G2113" i="47" s="1"/>
  <c r="K2113" i="47" s="1"/>
  <c r="G609" i="47" a="1"/>
  <c r="G609" i="47" s="1"/>
  <c r="H618" i="47" a="1"/>
  <c r="H618" i="47" s="1"/>
  <c r="G618" i="47" s="1" a="1"/>
  <c r="G618" i="47" s="1"/>
  <c r="G637" i="47" a="1"/>
  <c r="G637" i="47" s="1"/>
  <c r="K637" i="47" s="1"/>
  <c r="H670" i="47" a="1"/>
  <c r="H670" i="47" s="1"/>
  <c r="G691" i="47" a="1"/>
  <c r="G691" i="47" s="1"/>
  <c r="K691" i="47" s="1"/>
  <c r="H722" i="47" a="1"/>
  <c r="H722" i="47" s="1"/>
  <c r="G722" i="47" s="1" a="1"/>
  <c r="G722" i="47" s="1"/>
  <c r="K722" i="47" s="1"/>
  <c r="H733" i="47" a="1"/>
  <c r="H733" i="47" s="1"/>
  <c r="G744" i="47" a="1"/>
  <c r="G744" i="47" s="1"/>
  <c r="K744" i="47" s="1"/>
  <c r="H773" i="47" a="1"/>
  <c r="H773" i="47" s="1"/>
  <c r="G773" i="47" s="1" a="1"/>
  <c r="G773" i="47" s="1"/>
  <c r="K773" i="47" s="1"/>
  <c r="G787" i="47" a="1"/>
  <c r="G787" i="47" s="1"/>
  <c r="K787" i="47" s="1"/>
  <c r="G801" i="47" a="1"/>
  <c r="G801" i="47" s="1"/>
  <c r="K801" i="47" s="1"/>
  <c r="G804" i="47" a="1"/>
  <c r="G804" i="47" s="1"/>
  <c r="K804" i="47" s="1"/>
  <c r="H828" i="47" a="1"/>
  <c r="H828" i="47" s="1"/>
  <c r="H831" i="47" a="1"/>
  <c r="H831" i="47" s="1"/>
  <c r="G851" i="47" a="1"/>
  <c r="G851" i="47" s="1"/>
  <c r="K851" i="47" s="1"/>
  <c r="E872" i="47"/>
  <c r="E875" i="47"/>
  <c r="H877" i="47" a="1"/>
  <c r="H877" i="47" s="1"/>
  <c r="G877" i="47" s="1" a="1"/>
  <c r="G877" i="47" s="1"/>
  <c r="K877" i="47" s="1"/>
  <c r="E883" i="47"/>
  <c r="G893" i="47" a="1"/>
  <c r="G893" i="47" s="1"/>
  <c r="K893" i="47" s="1"/>
  <c r="G896" i="47" a="1"/>
  <c r="G896" i="47" s="1"/>
  <c r="K896" i="47" s="1"/>
  <c r="H919" i="47" a="1"/>
  <c r="H919" i="47" s="1"/>
  <c r="E922" i="47"/>
  <c r="E925" i="47"/>
  <c r="E930" i="47"/>
  <c r="G943" i="47" a="1"/>
  <c r="G943" i="47" s="1"/>
  <c r="G959" i="47" a="1"/>
  <c r="G959" i="47" s="1"/>
  <c r="K959" i="47" s="1"/>
  <c r="H971" i="47" a="1"/>
  <c r="H971" i="47" s="1"/>
  <c r="G971" i="47" s="1" a="1"/>
  <c r="G971" i="47" s="1"/>
  <c r="K971" i="47" s="1"/>
  <c r="G1034" i="47" a="1"/>
  <c r="G1034" i="47" s="1"/>
  <c r="K1034" i="47" s="1"/>
  <c r="G1095" i="47" a="1"/>
  <c r="G1095" i="47" s="1"/>
  <c r="K1095" i="47" s="1"/>
  <c r="G1098" i="47" a="1"/>
  <c r="G1098" i="47" s="1"/>
  <c r="H1118" i="47" a="1"/>
  <c r="H1118" i="47" s="1"/>
  <c r="G1161" i="47" a="1"/>
  <c r="G1161" i="47" s="1"/>
  <c r="G1227" i="47" a="1"/>
  <c r="G1227" i="47" s="1"/>
  <c r="K1227" i="47" s="1"/>
  <c r="G1230" i="47" a="1"/>
  <c r="G1230" i="47" s="1"/>
  <c r="G1255" i="47" a="1"/>
  <c r="G1255" i="47" s="1"/>
  <c r="K1255" i="47" s="1"/>
  <c r="G1263" i="47" a="1"/>
  <c r="G1263" i="47" s="1"/>
  <c r="K1263" i="47" s="1"/>
  <c r="G1272" i="47" a="1"/>
  <c r="G1272" i="47" s="1"/>
  <c r="K1272" i="47" s="1"/>
  <c r="G1289" i="47" a="1"/>
  <c r="G1289" i="47" s="1"/>
  <c r="G1499" i="47" a="1"/>
  <c r="G1499" i="47" s="1"/>
  <c r="K1499" i="47" s="1"/>
  <c r="G1510" i="47" a="1"/>
  <c r="G1510" i="47" s="1"/>
  <c r="G1546" i="47" a="1"/>
  <c r="G1546" i="47" s="1"/>
  <c r="K1546" i="47" s="1"/>
  <c r="G1877" i="47" a="1"/>
  <c r="G1877" i="47" s="1"/>
  <c r="G1196" i="47" a="1"/>
  <c r="G1196" i="47" s="1"/>
  <c r="G1238" i="47" a="1"/>
  <c r="G1238" i="47" s="1"/>
  <c r="G1241" i="47" a="1"/>
  <c r="G1241" i="47" s="1"/>
  <c r="G1267" i="47" a="1"/>
  <c r="G1267" i="47" s="1"/>
  <c r="K1267" i="47" s="1"/>
  <c r="G1281" i="47" a="1"/>
  <c r="G1281" i="47" s="1"/>
  <c r="K1281" i="47" s="1"/>
  <c r="G1334" i="47" a="1"/>
  <c r="G1334" i="47" s="1"/>
  <c r="G1348" i="47" a="1"/>
  <c r="G1348" i="47" s="1"/>
  <c r="K1348" i="47" s="1"/>
  <c r="G1351" i="47" a="1"/>
  <c r="G1351" i="47" s="1"/>
  <c r="K1351" i="47" s="1"/>
  <c r="G1461" i="47" a="1"/>
  <c r="G1461" i="47" s="1"/>
  <c r="K1461" i="47" s="1"/>
  <c r="G1759" i="47" a="1"/>
  <c r="G1759" i="47" s="1"/>
  <c r="K1759" i="47" s="1"/>
  <c r="G1862" i="47" a="1"/>
  <c r="G1862" i="47" s="1"/>
  <c r="K1862" i="47" s="1"/>
  <c r="G572" i="47" a="1"/>
  <c r="G572" i="47" s="1"/>
  <c r="K572" i="47" s="1"/>
  <c r="H624" i="47" a="1"/>
  <c r="H624" i="47" s="1"/>
  <c r="G624" i="47" s="1" a="1"/>
  <c r="G624" i="47" s="1"/>
  <c r="K624" i="47" s="1"/>
  <c r="H720" i="47" a="1"/>
  <c r="H720" i="47" s="1"/>
  <c r="G720" i="47" s="1" a="1"/>
  <c r="G720" i="47" s="1"/>
  <c r="H728" i="47" a="1"/>
  <c r="H728" i="47" s="1"/>
  <c r="G728" i="47" s="1" a="1"/>
  <c r="G728" i="47" s="1"/>
  <c r="K728" i="47" s="1"/>
  <c r="H768" i="47" a="1"/>
  <c r="H768" i="47" s="1"/>
  <c r="G768" i="47" s="1" a="1"/>
  <c r="G768" i="47" s="1"/>
  <c r="K768" i="47" s="1"/>
  <c r="H779" i="47" a="1"/>
  <c r="H779" i="47" s="1"/>
  <c r="G782" i="47" a="1"/>
  <c r="G782" i="47" s="1"/>
  <c r="K782" i="47" s="1"/>
  <c r="H823" i="47" a="1"/>
  <c r="H823" i="47" s="1"/>
  <c r="G823" i="47" s="1" a="1"/>
  <c r="G823" i="47" s="1"/>
  <c r="K823" i="47" s="1"/>
  <c r="H826" i="47" a="1"/>
  <c r="H826" i="47" s="1"/>
  <c r="G826" i="47" s="1" a="1"/>
  <c r="G826" i="47" s="1"/>
  <c r="K826" i="47" s="1"/>
  <c r="G857" i="47" a="1"/>
  <c r="G857" i="47" s="1"/>
  <c r="K857" i="47" s="1"/>
  <c r="E867" i="47"/>
  <c r="E870" i="47"/>
  <c r="H878" i="47" a="1"/>
  <c r="H878" i="47" s="1"/>
  <c r="G878" i="47" s="1" a="1"/>
  <c r="G878" i="47" s="1"/>
  <c r="K878" i="47" s="1"/>
  <c r="H917" i="47" a="1"/>
  <c r="H917" i="47" s="1"/>
  <c r="G917" i="47" s="1" a="1"/>
  <c r="G917" i="47" s="1"/>
  <c r="K917" i="47" s="1"/>
  <c r="H925" i="47" a="1"/>
  <c r="H925" i="47" s="1"/>
  <c r="G925" i="47" s="1" a="1"/>
  <c r="G925" i="47" s="1"/>
  <c r="K925" i="47" s="1"/>
  <c r="H930" i="47" a="1"/>
  <c r="H930" i="47" s="1"/>
  <c r="G930" i="47" s="1" a="1"/>
  <c r="G930" i="47" s="1"/>
  <c r="K930" i="47" s="1"/>
  <c r="G938" i="47" a="1"/>
  <c r="G938" i="47" s="1"/>
  <c r="K938" i="47" s="1"/>
  <c r="G954" i="47" a="1"/>
  <c r="G954" i="47" s="1"/>
  <c r="K954" i="47" s="1"/>
  <c r="G986" i="47" a="1"/>
  <c r="G986" i="47" s="1"/>
  <c r="G997" i="47" a="1"/>
  <c r="G997" i="47" s="1"/>
  <c r="K997" i="47" s="1"/>
  <c r="G1000" i="47" a="1"/>
  <c r="G1000" i="47" s="1"/>
  <c r="K1000" i="47" s="1"/>
  <c r="G1003" i="47" a="1"/>
  <c r="G1003" i="47" s="1"/>
  <c r="K1003" i="47" s="1"/>
  <c r="G1006" i="47" a="1"/>
  <c r="G1006" i="47" s="1"/>
  <c r="G1009" i="47" a="1"/>
  <c r="G1009" i="47" s="1"/>
  <c r="K1009" i="47" s="1"/>
  <c r="G1053" i="47" a="1"/>
  <c r="G1053" i="47" s="1"/>
  <c r="G1093" i="47" a="1"/>
  <c r="G1093" i="47" s="1"/>
  <c r="G1188" i="47" a="1"/>
  <c r="G1188" i="47" s="1"/>
  <c r="K1188" i="47" s="1"/>
  <c r="G1222" i="47" a="1"/>
  <c r="G1222" i="47" s="1"/>
  <c r="G1225" i="47" a="1"/>
  <c r="G1225" i="47" s="1"/>
  <c r="K1225" i="47" s="1"/>
  <c r="G1247" i="47" a="1"/>
  <c r="G1247" i="47" s="1"/>
  <c r="K1247" i="47" s="1"/>
  <c r="G1250" i="47" a="1"/>
  <c r="G1250" i="47" s="1"/>
  <c r="K1250" i="47" s="1"/>
  <c r="G1366" i="47" a="1"/>
  <c r="G1366" i="47" s="1"/>
  <c r="G1389" i="47" a="1"/>
  <c r="G1389" i="47" s="1"/>
  <c r="G1474" i="47" a="1"/>
  <c r="G1474" i="47" s="1"/>
  <c r="G1601" i="47" a="1"/>
  <c r="G1601" i="47" s="1"/>
  <c r="K1601" i="47" s="1"/>
  <c r="G1626" i="47" a="1"/>
  <c r="G1626" i="47" s="1"/>
  <c r="K1626" i="47" s="1"/>
  <c r="G1637" i="47" a="1"/>
  <c r="G1637" i="47" s="1"/>
  <c r="K1637" i="47" s="1"/>
  <c r="G1681" i="47" a="1"/>
  <c r="G1681" i="47" s="1"/>
  <c r="K1681" i="47" s="1"/>
  <c r="G1766" i="47" a="1"/>
  <c r="G1766" i="47" s="1"/>
  <c r="G1901" i="47" a="1"/>
  <c r="G1901" i="47" s="1"/>
  <c r="G2030" i="47" a="1"/>
  <c r="G2030" i="47" s="1"/>
  <c r="K2030" i="47" s="1"/>
  <c r="G1326" i="47" a="1"/>
  <c r="G1326" i="47" s="1"/>
  <c r="K1326" i="47" s="1"/>
  <c r="G1329" i="47" a="1"/>
  <c r="G1329" i="47" s="1"/>
  <c r="K1329" i="47" s="1"/>
  <c r="G1332" i="47" a="1"/>
  <c r="G1332" i="47" s="1"/>
  <c r="K1332" i="47" s="1"/>
  <c r="G1418" i="47" a="1"/>
  <c r="G1418" i="47" s="1"/>
  <c r="K1418" i="47" s="1"/>
  <c r="G1667" i="47" a="1"/>
  <c r="G1667" i="47" s="1"/>
  <c r="K1667" i="47" s="1"/>
  <c r="G1239" i="47" a="1"/>
  <c r="G1239" i="47" s="1"/>
  <c r="K1239" i="47" s="1"/>
  <c r="G1259" i="47" a="1"/>
  <c r="G1259" i="47" s="1"/>
  <c r="K1259" i="47" s="1"/>
  <c r="G1279" i="47" a="1"/>
  <c r="G1279" i="47" s="1"/>
  <c r="K1279" i="47" s="1"/>
  <c r="G1321" i="47" a="1"/>
  <c r="G1321" i="47" s="1"/>
  <c r="G1381" i="47" a="1"/>
  <c r="G1381" i="47" s="1"/>
  <c r="K1381" i="47" s="1"/>
  <c r="G1384" i="47" a="1"/>
  <c r="G1384" i="47" s="1"/>
  <c r="K1384" i="47" s="1"/>
  <c r="G1398" i="47" a="1"/>
  <c r="G1398" i="47" s="1"/>
  <c r="K1398" i="47" s="1"/>
  <c r="G1406" i="47" a="1"/>
  <c r="G1406" i="47" s="1"/>
  <c r="K1406" i="47" s="1"/>
  <c r="G1462" i="47" a="1"/>
  <c r="G1462" i="47" s="1"/>
  <c r="K1462" i="47" s="1"/>
  <c r="G1466" i="47" a="1"/>
  <c r="G1466" i="47" s="1"/>
  <c r="K1466" i="47" s="1"/>
  <c r="G1500" i="47" a="1"/>
  <c r="G1500" i="47" s="1"/>
  <c r="K1500" i="47" s="1"/>
  <c r="G1646" i="47" a="1"/>
  <c r="G1646" i="47" s="1"/>
  <c r="G1695" i="47" a="1"/>
  <c r="G1695" i="47" s="1"/>
  <c r="H931" i="47" a="1"/>
  <c r="H931" i="47" s="1"/>
  <c r="H967" i="47" a="1"/>
  <c r="H967" i="47" s="1"/>
  <c r="G967" i="47" s="1" a="1"/>
  <c r="G967" i="47" s="1"/>
  <c r="G998" i="47" a="1"/>
  <c r="G998" i="47" s="1"/>
  <c r="G1004" i="47" a="1"/>
  <c r="G1004" i="47" s="1"/>
  <c r="K1004" i="47" s="1"/>
  <c r="G1010" i="47" a="1"/>
  <c r="G1010" i="47" s="1"/>
  <c r="G1013" i="47" a="1"/>
  <c r="G1013" i="47" s="1"/>
  <c r="G1046" i="47" a="1"/>
  <c r="G1046" i="47" s="1"/>
  <c r="H1066" i="47" a="1"/>
  <c r="H1066" i="47" s="1"/>
  <c r="G1066" i="47" s="1" a="1"/>
  <c r="G1066" i="47" s="1"/>
  <c r="K1066" i="47" s="1"/>
  <c r="G1111" i="47" a="1"/>
  <c r="G1111" i="47" s="1"/>
  <c r="K1111" i="47" s="1"/>
  <c r="G1147" i="47" a="1"/>
  <c r="G1147" i="47" s="1"/>
  <c r="K1147" i="47" s="1"/>
  <c r="G1152" i="47" a="1"/>
  <c r="G1152" i="47" s="1"/>
  <c r="K1152" i="47" s="1"/>
  <c r="G1178" i="47" a="1"/>
  <c r="G1178" i="47" s="1"/>
  <c r="K1178" i="47" s="1"/>
  <c r="G1186" i="47" a="1"/>
  <c r="G1186" i="47" s="1"/>
  <c r="K1186" i="47" s="1"/>
  <c r="G1189" i="47" a="1"/>
  <c r="G1189" i="47" s="1"/>
  <c r="K1189" i="47" s="1"/>
  <c r="G1203" i="47" a="1"/>
  <c r="G1203" i="47" s="1"/>
  <c r="K1203" i="47" s="1"/>
  <c r="G1206" i="47" a="1"/>
  <c r="G1206" i="47" s="1"/>
  <c r="K1206" i="47" s="1"/>
  <c r="G1223" i="47" a="1"/>
  <c r="G1223" i="47" s="1"/>
  <c r="G1248" i="47" a="1"/>
  <c r="G1248" i="47" s="1"/>
  <c r="K1248" i="47" s="1"/>
  <c r="G1294" i="47" a="1"/>
  <c r="G1294" i="47" s="1"/>
  <c r="K1294" i="47" s="1"/>
  <c r="G1299" i="47" a="1"/>
  <c r="G1299" i="47" s="1"/>
  <c r="K1299" i="47" s="1"/>
  <c r="G1363" i="47" a="1"/>
  <c r="G1363" i="47" s="1"/>
  <c r="G1412" i="47" a="1"/>
  <c r="G1412" i="47" s="1"/>
  <c r="K1412" i="47" s="1"/>
  <c r="G1416" i="47" a="1"/>
  <c r="G1416" i="47" s="1"/>
  <c r="G1571" i="47" a="1"/>
  <c r="G1571" i="47" s="1"/>
  <c r="K1571" i="47" s="1"/>
  <c r="G1698" i="47" a="1"/>
  <c r="G1698" i="47" s="1"/>
  <c r="K1698" i="47" s="1"/>
  <c r="G1852" i="47" a="1"/>
  <c r="G1852" i="47" s="1"/>
  <c r="K1852" i="47" s="1"/>
  <c r="G1266" i="47" a="1"/>
  <c r="G1266" i="47" s="1"/>
  <c r="K1266" i="47" s="1"/>
  <c r="G1333" i="47" a="1"/>
  <c r="G1333" i="47" s="1"/>
  <c r="G1358" i="47" a="1"/>
  <c r="G1358" i="47" s="1"/>
  <c r="K1358" i="47" s="1"/>
  <c r="G1404" i="47" a="1"/>
  <c r="G1404" i="47" s="1"/>
  <c r="G1519" i="47" a="1"/>
  <c r="G1519" i="47" s="1"/>
  <c r="G2122" i="47" a="1"/>
  <c r="G2122" i="47" s="1"/>
  <c r="K2122" i="47" s="1"/>
  <c r="G2391" i="47" a="1"/>
  <c r="G2391" i="47" s="1"/>
  <c r="K2391" i="47" s="1"/>
  <c r="G2417" i="47" a="1"/>
  <c r="G2417" i="47" s="1"/>
  <c r="K2417" i="47" s="1"/>
  <c r="G2450" i="47" a="1"/>
  <c r="G2450" i="47" s="1"/>
  <c r="K2450" i="47" s="1"/>
  <c r="G2484" i="47" a="1"/>
  <c r="G2484" i="47" s="1"/>
  <c r="K2484" i="47" s="1"/>
  <c r="G1469" i="47" a="1"/>
  <c r="G1469" i="47" s="1"/>
  <c r="K1469" i="47" s="1"/>
  <c r="G1505" i="47" a="1"/>
  <c r="G1505" i="47" s="1"/>
  <c r="K1505" i="47" s="1"/>
  <c r="G1553" i="47" a="1"/>
  <c r="G1553" i="47" s="1"/>
  <c r="K1553" i="47" s="1"/>
  <c r="G1556" i="47" a="1"/>
  <c r="G1556" i="47" s="1"/>
  <c r="K1556" i="47" s="1"/>
  <c r="G1616" i="47" a="1"/>
  <c r="G1616" i="47" s="1"/>
  <c r="K1616" i="47" s="1"/>
  <c r="G1619" i="47" a="1"/>
  <c r="G1619" i="47" s="1"/>
  <c r="K1619" i="47" s="1"/>
  <c r="G1635" i="47" a="1"/>
  <c r="G1635" i="47" s="1"/>
  <c r="K1635" i="47" s="1"/>
  <c r="G1743" i="47" a="1"/>
  <c r="G1743" i="47" s="1"/>
  <c r="G1746" i="47" a="1"/>
  <c r="G1746" i="47" s="1"/>
  <c r="K1746" i="47" s="1"/>
  <c r="G1749" i="47" a="1"/>
  <c r="G1749" i="47" s="1"/>
  <c r="K1749" i="47" s="1"/>
  <c r="G1812" i="47" a="1"/>
  <c r="G1812" i="47" s="1"/>
  <c r="K1812" i="47" s="1"/>
  <c r="G1833" i="47" a="1"/>
  <c r="G1833" i="47" s="1"/>
  <c r="K1833" i="47" s="1"/>
  <c r="G1855" i="47" a="1"/>
  <c r="G1855" i="47" s="1"/>
  <c r="K1855" i="47" s="1"/>
  <c r="G1910" i="47" a="1"/>
  <c r="G1910" i="47" s="1"/>
  <c r="K1910" i="47" s="1"/>
  <c r="G1971" i="47" a="1"/>
  <c r="G1971" i="47" s="1"/>
  <c r="G2106" i="47" a="1"/>
  <c r="G2106" i="47" s="1"/>
  <c r="G2111" i="47" a="1"/>
  <c r="G2111" i="47" s="1"/>
  <c r="G2176" i="47" a="1"/>
  <c r="G2176" i="47" s="1"/>
  <c r="K2176" i="47" s="1"/>
  <c r="G2197" i="47" a="1"/>
  <c r="G2197" i="47" s="1"/>
  <c r="K2197" i="47" s="1"/>
  <c r="G2216" i="47" a="1"/>
  <c r="G2216" i="47" s="1"/>
  <c r="G2224" i="47" a="1"/>
  <c r="G2224" i="47" s="1"/>
  <c r="K2224" i="47" s="1"/>
  <c r="G2257" i="47" a="1"/>
  <c r="G2257" i="47" s="1"/>
  <c r="K2257" i="47" s="1"/>
  <c r="G2312" i="47" a="1"/>
  <c r="G2312" i="47" s="1"/>
  <c r="K2312" i="47" s="1"/>
  <c r="G1402" i="47" a="1"/>
  <c r="G1402" i="47" s="1"/>
  <c r="K1402" i="47" s="1"/>
  <c r="G1430" i="47" a="1"/>
  <c r="G1430" i="47" s="1"/>
  <c r="K1430" i="47" s="1"/>
  <c r="G1449" i="47" a="1"/>
  <c r="G1449" i="47" s="1"/>
  <c r="K1449" i="47" s="1"/>
  <c r="G1457" i="47" a="1"/>
  <c r="G1457" i="47" s="1"/>
  <c r="K1457" i="47" s="1"/>
  <c r="G1472" i="47" a="1"/>
  <c r="G1472" i="47" s="1"/>
  <c r="K1472" i="47" s="1"/>
  <c r="G1491" i="47" a="1"/>
  <c r="G1491" i="47" s="1"/>
  <c r="K1491" i="47" s="1"/>
  <c r="G1497" i="47" a="1"/>
  <c r="G1497" i="47" s="1"/>
  <c r="K1497" i="47" s="1"/>
  <c r="G1532" i="47" a="1"/>
  <c r="G1532" i="47" s="1"/>
  <c r="K1532" i="47" s="1"/>
  <c r="G1638" i="47" a="1"/>
  <c r="G1638" i="47" s="1"/>
  <c r="G1659" i="47" a="1"/>
  <c r="G1659" i="47" s="1"/>
  <c r="K1659" i="47" s="1"/>
  <c r="G1662" i="47" a="1"/>
  <c r="G1662" i="47" s="1"/>
  <c r="K1662" i="47" s="1"/>
  <c r="G1666" i="47" a="1"/>
  <c r="G1666" i="47" s="1"/>
  <c r="K1666" i="47" s="1"/>
  <c r="G1693" i="47" a="1"/>
  <c r="G1693" i="47" s="1"/>
  <c r="K1693" i="47" s="1"/>
  <c r="G1712" i="47" a="1"/>
  <c r="G1712" i="47" s="1"/>
  <c r="K1712" i="47" s="1"/>
  <c r="G1716" i="47" a="1"/>
  <c r="G1716" i="47" s="1"/>
  <c r="K1716" i="47" s="1"/>
  <c r="G1738" i="47" a="1"/>
  <c r="G1738" i="47" s="1"/>
  <c r="K1738" i="47" s="1"/>
  <c r="G1791" i="47" a="1"/>
  <c r="G1791" i="47" s="1"/>
  <c r="K1791" i="47" s="1"/>
  <c r="G1836" i="47" a="1"/>
  <c r="G1836" i="47" s="1"/>
  <c r="K1836" i="47" s="1"/>
  <c r="G1847" i="47" a="1"/>
  <c r="G1847" i="47" s="1"/>
  <c r="K1847" i="47" s="1"/>
  <c r="G1928" i="47" a="1"/>
  <c r="G1928" i="47" s="1"/>
  <c r="G1948" i="47" a="1"/>
  <c r="G1948" i="47" s="1"/>
  <c r="G1951" i="47" a="1"/>
  <c r="G1951" i="47" s="1"/>
  <c r="K1951" i="47" s="1"/>
  <c r="G1956" i="47" a="1"/>
  <c r="G1956" i="47" s="1"/>
  <c r="K1956" i="47" s="1"/>
  <c r="G1982" i="47" a="1"/>
  <c r="G1982" i="47" s="1"/>
  <c r="G2036" i="47" a="1"/>
  <c r="G2036" i="47" s="1"/>
  <c r="K2036" i="47" s="1"/>
  <c r="G2039" i="47" a="1"/>
  <c r="G2039" i="47" s="1"/>
  <c r="G2058" i="47" a="1"/>
  <c r="G2058" i="47" s="1"/>
  <c r="K2058" i="47" s="1"/>
  <c r="G2139" i="47" a="1"/>
  <c r="G2139" i="47" s="1"/>
  <c r="K2139" i="47" s="1"/>
  <c r="G2187" i="47" a="1"/>
  <c r="G2187" i="47" s="1"/>
  <c r="G2290" i="47" a="1"/>
  <c r="G2290" i="47" s="1"/>
  <c r="K2290" i="47" s="1"/>
  <c r="G2324" i="47" a="1"/>
  <c r="G2324" i="47" s="1"/>
  <c r="K2324" i="47" s="1"/>
  <c r="G2343" i="47" a="1"/>
  <c r="G2343" i="47" s="1"/>
  <c r="G2375" i="47" a="1"/>
  <c r="G2375" i="47" s="1"/>
  <c r="K2375" i="47" s="1"/>
  <c r="G2422" i="47" a="1"/>
  <c r="G2422" i="47" s="1"/>
  <c r="K2422" i="47" s="1"/>
  <c r="G2425" i="47" a="1"/>
  <c r="G2425" i="47" s="1"/>
  <c r="K2425" i="47" s="1"/>
  <c r="G2482" i="47" a="1"/>
  <c r="G2482" i="47" s="1"/>
  <c r="G1613" i="47" a="1"/>
  <c r="G1613" i="47" s="1"/>
  <c r="G1633" i="47" a="1"/>
  <c r="G1633" i="47" s="1"/>
  <c r="K1633" i="47" s="1"/>
  <c r="G1654" i="47" a="1"/>
  <c r="G1654" i="47" s="1"/>
  <c r="K1654" i="47" s="1"/>
  <c r="G1799" i="47" a="1"/>
  <c r="G1799" i="47" s="1"/>
  <c r="K1799" i="47" s="1"/>
  <c r="G1839" i="47" a="1"/>
  <c r="G1839" i="47" s="1"/>
  <c r="G1842" i="47" a="1"/>
  <c r="G1842" i="47" s="1"/>
  <c r="K1842" i="47" s="1"/>
  <c r="G1905" i="47" a="1"/>
  <c r="G1905" i="47" s="1"/>
  <c r="K1905" i="47" s="1"/>
  <c r="G1908" i="47" a="1"/>
  <c r="G1908" i="47" s="1"/>
  <c r="K1908" i="47" s="1"/>
  <c r="G1931" i="47" a="1"/>
  <c r="G1931" i="47" s="1"/>
  <c r="G1934" i="47" a="1"/>
  <c r="G1934" i="47" s="1"/>
  <c r="K1934" i="47" s="1"/>
  <c r="G1940" i="47" a="1"/>
  <c r="G1940" i="47" s="1"/>
  <c r="G2045" i="47" a="1"/>
  <c r="G2045" i="47" s="1"/>
  <c r="K2045" i="47" s="1"/>
  <c r="G2088" i="47" a="1"/>
  <c r="G2088" i="47" s="1"/>
  <c r="K2088" i="47" s="1"/>
  <c r="G2104" i="47" a="1"/>
  <c r="G2104" i="47" s="1"/>
  <c r="K2104" i="47" s="1"/>
  <c r="G2174" i="47" a="1"/>
  <c r="G2174" i="47" s="1"/>
  <c r="G2195" i="47" a="1"/>
  <c r="G2195" i="47" s="1"/>
  <c r="G2210" i="47" a="1"/>
  <c r="G2210" i="47" s="1"/>
  <c r="K2210" i="47" s="1"/>
  <c r="G2213" i="47" a="1"/>
  <c r="G2213" i="47" s="1"/>
  <c r="G2288" i="47" a="1"/>
  <c r="G2288" i="47" s="1"/>
  <c r="K2288" i="47" s="1"/>
  <c r="G2296" i="47" a="1"/>
  <c r="G2296" i="47" s="1"/>
  <c r="K2296" i="47" s="1"/>
  <c r="G2307" i="47" a="1"/>
  <c r="G2307" i="47" s="1"/>
  <c r="G2330" i="47" a="1"/>
  <c r="G2330" i="47" s="1"/>
  <c r="K2330" i="47" s="1"/>
  <c r="G2338" i="47" a="1"/>
  <c r="G2338" i="47" s="1"/>
  <c r="G2346" i="47" a="1"/>
  <c r="G2346" i="47" s="1"/>
  <c r="K2346" i="47" s="1"/>
  <c r="G2389" i="47" a="1"/>
  <c r="G2389" i="47" s="1"/>
  <c r="G2400" i="47" a="1"/>
  <c r="G2400" i="47" s="1"/>
  <c r="K2400" i="47" s="1"/>
  <c r="G2434" i="47" a="1"/>
  <c r="G2434" i="47" s="1"/>
  <c r="K2434" i="47" s="1"/>
  <c r="G1144" i="47" a="1"/>
  <c r="G1144" i="47" s="1"/>
  <c r="K1144" i="47" s="1"/>
  <c r="H1166" i="47" a="1"/>
  <c r="H1166" i="47" s="1"/>
  <c r="G1166" i="47" s="1" a="1"/>
  <c r="G1166" i="47" s="1"/>
  <c r="K1166" i="47" s="1"/>
  <c r="G1231" i="47" a="1"/>
  <c r="G1231" i="47" s="1"/>
  <c r="K1231" i="47" s="1"/>
  <c r="G1256" i="47" a="1"/>
  <c r="G1256" i="47" s="1"/>
  <c r="K1256" i="47" s="1"/>
  <c r="G1284" i="47" a="1"/>
  <c r="G1284" i="47" s="1"/>
  <c r="K1284" i="47" s="1"/>
  <c r="G1287" i="47" a="1"/>
  <c r="G1287" i="47" s="1"/>
  <c r="K1287" i="47" s="1"/>
  <c r="G1320" i="47" a="1"/>
  <c r="G1320" i="47" s="1"/>
  <c r="K1320" i="47" s="1"/>
  <c r="G1323" i="47" a="1"/>
  <c r="G1323" i="47" s="1"/>
  <c r="K1323" i="47" s="1"/>
  <c r="G1426" i="47" a="1"/>
  <c r="G1426" i="47" s="1"/>
  <c r="K1426" i="47" s="1"/>
  <c r="G1455" i="47" a="1"/>
  <c r="G1455" i="47" s="1"/>
  <c r="K1455" i="47" s="1"/>
  <c r="G1506" i="47" a="1"/>
  <c r="G1506" i="47" s="1"/>
  <c r="G1551" i="47" a="1"/>
  <c r="G1551" i="47" s="1"/>
  <c r="K1551" i="47" s="1"/>
  <c r="G1554" i="47" a="1"/>
  <c r="G1554" i="47" s="1"/>
  <c r="K1554" i="47" s="1"/>
  <c r="G1557" i="47" a="1"/>
  <c r="G1557" i="47" s="1"/>
  <c r="K1557" i="47" s="1"/>
  <c r="G1590" i="47" a="1"/>
  <c r="G1590" i="47" s="1"/>
  <c r="G1593" i="47" a="1"/>
  <c r="G1593" i="47" s="1"/>
  <c r="K1593" i="47" s="1"/>
  <c r="G1617" i="47" a="1"/>
  <c r="G1617" i="47" s="1"/>
  <c r="G1699" i="47" a="1"/>
  <c r="G1699" i="47" s="1"/>
  <c r="G1750" i="47" a="1"/>
  <c r="G1750" i="47" s="1"/>
  <c r="K1750" i="47" s="1"/>
  <c r="G1767" i="47" a="1"/>
  <c r="G1767" i="47" s="1"/>
  <c r="K1767" i="47" s="1"/>
  <c r="G1831" i="47" a="1"/>
  <c r="G1831" i="47" s="1"/>
  <c r="G1883" i="47" a="1"/>
  <c r="G1883" i="47" s="1"/>
  <c r="K1883" i="47" s="1"/>
  <c r="G1969" i="47" a="1"/>
  <c r="G1969" i="47" s="1"/>
  <c r="K1969" i="47" s="1"/>
  <c r="G2031" i="47" a="1"/>
  <c r="G2031" i="47" s="1"/>
  <c r="K2031" i="47" s="1"/>
  <c r="G2112" i="47" a="1"/>
  <c r="G2112" i="47" s="1"/>
  <c r="K2112" i="47" s="1"/>
  <c r="G2137" i="47" a="1"/>
  <c r="G2137" i="47" s="1"/>
  <c r="K2137" i="47" s="1"/>
  <c r="G2159" i="47" a="1"/>
  <c r="G2159" i="47" s="1"/>
  <c r="G2263" i="47" a="1"/>
  <c r="G2263" i="47" s="1"/>
  <c r="K2263" i="47" s="1"/>
  <c r="G2310" i="47" a="1"/>
  <c r="G2310" i="47" s="1"/>
  <c r="K2310" i="47" s="1"/>
  <c r="G2322" i="47" a="1"/>
  <c r="G2322" i="47" s="1"/>
  <c r="K2322" i="47" s="1"/>
  <c r="G2409" i="47" a="1"/>
  <c r="G2409" i="47" s="1"/>
  <c r="K2409" i="47" s="1"/>
  <c r="G2437" i="47" a="1"/>
  <c r="G2437" i="47" s="1"/>
  <c r="K2437" i="47" s="1"/>
  <c r="G2459" i="47" a="1"/>
  <c r="G2459" i="47" s="1"/>
  <c r="K2459" i="47" s="1"/>
  <c r="G2468" i="47" a="1"/>
  <c r="G2468" i="47" s="1"/>
  <c r="K2468" i="47" s="1"/>
  <c r="G2352" i="47" a="1"/>
  <c r="G2352" i="47" s="1"/>
  <c r="K2352" i="47" s="1"/>
  <c r="G2387" i="47" a="1"/>
  <c r="G2387" i="47" s="1"/>
  <c r="K2387" i="47" s="1"/>
  <c r="G2412" i="47" a="1"/>
  <c r="G2412" i="47" s="1"/>
  <c r="G1731" i="47" a="1"/>
  <c r="G1731" i="47" s="1"/>
  <c r="K1731" i="47" s="1"/>
  <c r="G1756" i="47" a="1"/>
  <c r="G1756" i="47" s="1"/>
  <c r="G1761" i="47" a="1"/>
  <c r="G1761" i="47" s="1"/>
  <c r="K1761" i="47" s="1"/>
  <c r="G1779" i="47" a="1"/>
  <c r="G1779" i="47" s="1"/>
  <c r="G1784" i="47" a="1"/>
  <c r="G1784" i="47" s="1"/>
  <c r="K1784" i="47" s="1"/>
  <c r="G1789" i="47" a="1"/>
  <c r="G1789" i="47" s="1"/>
  <c r="K1789" i="47" s="1"/>
  <c r="G1805" i="47" a="1"/>
  <c r="G1805" i="47" s="1"/>
  <c r="G1823" i="47" a="1"/>
  <c r="G1823" i="47" s="1"/>
  <c r="G1986" i="47" a="1"/>
  <c r="G1986" i="47" s="1"/>
  <c r="G2009" i="47" a="1"/>
  <c r="G2009" i="47" s="1"/>
  <c r="K2009" i="47" s="1"/>
  <c r="G2012" i="47" a="1"/>
  <c r="G2012" i="47" s="1"/>
  <c r="K2012" i="47" s="1"/>
  <c r="G2062" i="47" a="1"/>
  <c r="G2062" i="47" s="1"/>
  <c r="G2119" i="47" a="1"/>
  <c r="G2119" i="47" s="1"/>
  <c r="K2119" i="47" s="1"/>
  <c r="G2154" i="47" a="1"/>
  <c r="G2154" i="47" s="1"/>
  <c r="G2157" i="47" a="1"/>
  <c r="G2157" i="47" s="1"/>
  <c r="K2157" i="47" s="1"/>
  <c r="G2172" i="47" a="1"/>
  <c r="G2172" i="47" s="1"/>
  <c r="K2172" i="47" s="1"/>
  <c r="G2261" i="47" a="1"/>
  <c r="G2261" i="47" s="1"/>
  <c r="K2261" i="47" s="1"/>
  <c r="G2294" i="47" a="1"/>
  <c r="G2294" i="47" s="1"/>
  <c r="G1547" i="47" a="1"/>
  <c r="G1547" i="47" s="1"/>
  <c r="K1547" i="47" s="1"/>
  <c r="G1585" i="47" a="1"/>
  <c r="G1585" i="47" s="1"/>
  <c r="K1585" i="47" s="1"/>
  <c r="G1608" i="47" a="1"/>
  <c r="G1608" i="47" s="1"/>
  <c r="K1608" i="47" s="1"/>
  <c r="G1611" i="47" a="1"/>
  <c r="G1611" i="47" s="1"/>
  <c r="K1611" i="47" s="1"/>
  <c r="G1647" i="47" a="1"/>
  <c r="G1647" i="47" s="1"/>
  <c r="K1647" i="47" s="1"/>
  <c r="G1670" i="47" a="1"/>
  <c r="G1670" i="47" s="1"/>
  <c r="K1670" i="47" s="1"/>
  <c r="G1734" i="47" a="1"/>
  <c r="G1734" i="47" s="1"/>
  <c r="K1734" i="47" s="1"/>
  <c r="G1840" i="47" a="1"/>
  <c r="G1840" i="47" s="1"/>
  <c r="K1840" i="47" s="1"/>
  <c r="G1892" i="47" a="1"/>
  <c r="G1892" i="47" s="1"/>
  <c r="G1906" i="47" a="1"/>
  <c r="G1906" i="47" s="1"/>
  <c r="K1906" i="47" s="1"/>
  <c r="G1918" i="47" a="1"/>
  <c r="G1918" i="47" s="1"/>
  <c r="K1918" i="47" s="1"/>
  <c r="G1932" i="47" a="1"/>
  <c r="G1932" i="47" s="1"/>
  <c r="K1932" i="47" s="1"/>
  <c r="G1938" i="47" a="1"/>
  <c r="G1938" i="47" s="1"/>
  <c r="K1938" i="47" s="1"/>
  <c r="G1995" i="47" a="1"/>
  <c r="G1995" i="47" s="1"/>
  <c r="K1995" i="47" s="1"/>
  <c r="G2029" i="47" a="1"/>
  <c r="G2029" i="47" s="1"/>
  <c r="G2089" i="47" a="1"/>
  <c r="G2089" i="47" s="1"/>
  <c r="K2089" i="47" s="1"/>
  <c r="G2092" i="47" a="1"/>
  <c r="G2092" i="47" s="1"/>
  <c r="K2092" i="47" s="1"/>
  <c r="G2143" i="47" a="1"/>
  <c r="G2143" i="47" s="1"/>
  <c r="K2143" i="47" s="1"/>
  <c r="G2241" i="47" a="1"/>
  <c r="G2241" i="47" s="1"/>
  <c r="G2246" i="47" a="1"/>
  <c r="G2246" i="47" s="1"/>
  <c r="K2246" i="47" s="1"/>
  <c r="G2256" i="47" a="1"/>
  <c r="G2256" i="47" s="1"/>
  <c r="G2297" i="47" a="1"/>
  <c r="G2297" i="47" s="1"/>
  <c r="K2297" i="47" s="1"/>
  <c r="G2308" i="47" a="1"/>
  <c r="G2308" i="47" s="1"/>
  <c r="K2308" i="47" s="1"/>
  <c r="G2320" i="47" a="1"/>
  <c r="G2320" i="47" s="1"/>
  <c r="G2347" i="47" a="1"/>
  <c r="G2347" i="47" s="1"/>
  <c r="K2347" i="47" s="1"/>
  <c r="G2371" i="47" a="1"/>
  <c r="G2371" i="47" s="1"/>
  <c r="G2379" i="47" a="1"/>
  <c r="G2379" i="47" s="1"/>
  <c r="K2379" i="47" s="1"/>
  <c r="G2401" i="47" a="1"/>
  <c r="G2401" i="47" s="1"/>
  <c r="G2457" i="47" a="1"/>
  <c r="G2457" i="47" s="1"/>
  <c r="K2457" i="47" s="1"/>
  <c r="G2466" i="47" a="1"/>
  <c r="G2466" i="47" s="1"/>
  <c r="G2469" i="47" a="1"/>
  <c r="G2469" i="47" s="1"/>
  <c r="K2469" i="47" s="1"/>
  <c r="G2483" i="47" a="1"/>
  <c r="G2483" i="47" s="1"/>
  <c r="G2502" i="47" a="1"/>
  <c r="G2502" i="47" s="1"/>
  <c r="G1803" i="47" a="1"/>
  <c r="G1803" i="47" s="1"/>
  <c r="K1803" i="47" s="1"/>
  <c r="G1835" i="47" a="1"/>
  <c r="G1835" i="47" s="1"/>
  <c r="G1846" i="47" a="1"/>
  <c r="G1846" i="47" s="1"/>
  <c r="G1924" i="47" a="1"/>
  <c r="G1924" i="47" s="1"/>
  <c r="K1924" i="47" s="1"/>
  <c r="G1947" i="47" a="1"/>
  <c r="G1947" i="47" s="1"/>
  <c r="K1947" i="47" s="1"/>
  <c r="G1955" i="47" a="1"/>
  <c r="G1955" i="47" s="1"/>
  <c r="G2001" i="47" a="1"/>
  <c r="G2001" i="47" s="1"/>
  <c r="K2001" i="47" s="1"/>
  <c r="G2049" i="47" a="1"/>
  <c r="G2049" i="47" s="1"/>
  <c r="K2049" i="47" s="1"/>
  <c r="G2057" i="47" a="1"/>
  <c r="G2057" i="47" s="1"/>
  <c r="K2057" i="47" s="1"/>
  <c r="G2075" i="47" a="1"/>
  <c r="G2075" i="47" s="1"/>
  <c r="K2075" i="47" s="1"/>
  <c r="G2130" i="47" a="1"/>
  <c r="G2130" i="47" s="1"/>
  <c r="K2130" i="47" s="1"/>
  <c r="G2149" i="47" a="1"/>
  <c r="G2149" i="47" s="1"/>
  <c r="K2149" i="47" s="1"/>
  <c r="G2167" i="47" a="1"/>
  <c r="G2167" i="47" s="1"/>
  <c r="K2167" i="47" s="1"/>
  <c r="G2181" i="47" a="1"/>
  <c r="G2181" i="47" s="1"/>
  <c r="K2181" i="47" s="1"/>
  <c r="G2249" i="47" a="1"/>
  <c r="G2249" i="47" s="1"/>
  <c r="K2249" i="47" s="1"/>
  <c r="G2268" i="47" a="1"/>
  <c r="G2268" i="47" s="1"/>
  <c r="K2268" i="47" s="1"/>
  <c r="G2271" i="47" a="1"/>
  <c r="G2271" i="47" s="1"/>
  <c r="G2303" i="47" a="1"/>
  <c r="G2303" i="47" s="1"/>
  <c r="K2303" i="47" s="1"/>
  <c r="G2318" i="47" a="1"/>
  <c r="G2318" i="47" s="1"/>
  <c r="K2318" i="47" s="1"/>
  <c r="G2326" i="47" a="1"/>
  <c r="G2326" i="47" s="1"/>
  <c r="K2326" i="47" s="1"/>
  <c r="G1269" i="47" a="1"/>
  <c r="G1269" i="47" s="1"/>
  <c r="K1269" i="47" s="1"/>
  <c r="G1280" i="47" a="1"/>
  <c r="G1280" i="47" s="1"/>
  <c r="K1280" i="47" s="1"/>
  <c r="G1302" i="47" a="1"/>
  <c r="G1302" i="47" s="1"/>
  <c r="K1302" i="47" s="1"/>
  <c r="G1349" i="47" a="1"/>
  <c r="G1349" i="47" s="1"/>
  <c r="K1349" i="47" s="1"/>
  <c r="G1369" i="47" a="1"/>
  <c r="G1369" i="47" s="1"/>
  <c r="K1369" i="47" s="1"/>
  <c r="G1386" i="47" a="1"/>
  <c r="G1386" i="47" s="1"/>
  <c r="K1386" i="47" s="1"/>
  <c r="G1399" i="47" a="1"/>
  <c r="G1399" i="47" s="1"/>
  <c r="G1407" i="47" a="1"/>
  <c r="G1407" i="47" s="1"/>
  <c r="K1407" i="47" s="1"/>
  <c r="G1459" i="47" a="1"/>
  <c r="G1459" i="47" s="1"/>
  <c r="K1459" i="47" s="1"/>
  <c r="G1534" i="47" a="1"/>
  <c r="G1534" i="47" s="1"/>
  <c r="G1545" i="47" a="1"/>
  <c r="G1545" i="47" s="1"/>
  <c r="K1545" i="47" s="1"/>
  <c r="G1640" i="47" a="1"/>
  <c r="G1640" i="47" s="1"/>
  <c r="K1640" i="47" s="1"/>
  <c r="G1645" i="47" a="1"/>
  <c r="G1645" i="47" s="1"/>
  <c r="K1645" i="47" s="1"/>
  <c r="G1679" i="47" a="1"/>
  <c r="G1679" i="47" s="1"/>
  <c r="K1679" i="47" s="1"/>
  <c r="G1729" i="47" a="1"/>
  <c r="G1729" i="47" s="1"/>
  <c r="G1732" i="47" a="1"/>
  <c r="G1732" i="47" s="1"/>
  <c r="K1732" i="47" s="1"/>
  <c r="G1740" i="47" a="1"/>
  <c r="G1740" i="47" s="1"/>
  <c r="K1740" i="47" s="1"/>
  <c r="G1754" i="47" a="1"/>
  <c r="G1754" i="47" s="1"/>
  <c r="K1754" i="47" s="1"/>
  <c r="G1762" i="47" a="1"/>
  <c r="G1762" i="47" s="1"/>
  <c r="K1762" i="47" s="1"/>
  <c r="G1777" i="47" a="1"/>
  <c r="G1777" i="47" s="1"/>
  <c r="K1777" i="47" s="1"/>
  <c r="G1806" i="47" a="1"/>
  <c r="G1806" i="47" s="1"/>
  <c r="G1821" i="47" a="1"/>
  <c r="G1821" i="47" s="1"/>
  <c r="K1821" i="47" s="1"/>
  <c r="G1987" i="47" a="1"/>
  <c r="G1987" i="47" s="1"/>
  <c r="K1987" i="47" s="1"/>
  <c r="G2013" i="47" a="1"/>
  <c r="G2013" i="47" s="1"/>
  <c r="G2120" i="47" a="1"/>
  <c r="G2120" i="47" s="1"/>
  <c r="K2120" i="47" s="1"/>
  <c r="G2155" i="47" a="1"/>
  <c r="G2155" i="47" s="1"/>
  <c r="K2155" i="47" s="1"/>
  <c r="G2189" i="47" a="1"/>
  <c r="G2189" i="47" s="1"/>
  <c r="K2189" i="47" s="1"/>
  <c r="G2202" i="47" a="1"/>
  <c r="G2202" i="47" s="1"/>
  <c r="K2202" i="47" s="1"/>
  <c r="G2276" i="47" a="1"/>
  <c r="G2276" i="47" s="1"/>
  <c r="G2287" i="47" a="1"/>
  <c r="G2287" i="47" s="1"/>
  <c r="K2287" i="47" s="1"/>
  <c r="G2358" i="47" a="1"/>
  <c r="G2358" i="47" s="1"/>
  <c r="K2358" i="47" s="1"/>
  <c r="G2372" i="47" a="1"/>
  <c r="G2372" i="47" s="1"/>
  <c r="K2372" i="47" s="1"/>
  <c r="G2377" i="47" a="1"/>
  <c r="G2377" i="47" s="1"/>
  <c r="K2377" i="47" s="1"/>
  <c r="G2427" i="47" a="1"/>
  <c r="G2427" i="47" s="1"/>
  <c r="K2427" i="47" s="1"/>
  <c r="G2430" i="47" a="1"/>
  <c r="G2430" i="47" s="1"/>
  <c r="K2430" i="47" s="1"/>
  <c r="G2478" i="47" a="1"/>
  <c r="G2478" i="47" s="1"/>
  <c r="K2478" i="47" s="1"/>
  <c r="G2489" i="47" a="1"/>
  <c r="G2489" i="47" s="1"/>
  <c r="K2489" i="47" s="1"/>
  <c r="G190" i="47" a="1"/>
  <c r="G190" i="47" s="1"/>
  <c r="G193" i="47" a="1"/>
  <c r="G193" i="47" s="1"/>
  <c r="K193" i="47" s="1"/>
  <c r="G204" i="47" a="1"/>
  <c r="G204" i="47" s="1"/>
  <c r="K204" i="47" s="1"/>
  <c r="G234" i="47" a="1"/>
  <c r="G234" i="47" s="1"/>
  <c r="K234" i="47" s="1"/>
  <c r="G292" i="47" a="1"/>
  <c r="G292" i="47" s="1"/>
  <c r="G335" i="47" a="1"/>
  <c r="G335" i="47" s="1"/>
  <c r="K335" i="47" s="1"/>
  <c r="G413" i="47" a="1"/>
  <c r="G413" i="47" s="1"/>
  <c r="G501" i="47" a="1"/>
  <c r="G501" i="47" s="1"/>
  <c r="G504" i="47" a="1"/>
  <c r="G504" i="47" s="1"/>
  <c r="K504" i="47" s="1"/>
  <c r="G536" i="47" a="1"/>
  <c r="G536" i="47" s="1"/>
  <c r="G779" i="47" a="1"/>
  <c r="G779" i="47" s="1"/>
  <c r="K779" i="47" s="1"/>
  <c r="G92" i="47" a="1"/>
  <c r="G92" i="47" s="1"/>
  <c r="K92" i="47" s="1"/>
  <c r="G141" i="47" a="1"/>
  <c r="G141" i="47" s="1"/>
  <c r="K141" i="47" s="1"/>
  <c r="G81" i="47" a="1"/>
  <c r="G81" i="47" s="1"/>
  <c r="G133" i="47" a="1"/>
  <c r="G133" i="47" s="1"/>
  <c r="G152" i="47" a="1"/>
  <c r="G152" i="47" s="1"/>
  <c r="G160" i="47" a="1"/>
  <c r="G160" i="47" s="1"/>
  <c r="G163" i="47" a="1"/>
  <c r="G163" i="47" s="1"/>
  <c r="G182" i="47" a="1"/>
  <c r="G182" i="47" s="1"/>
  <c r="G282" i="47" a="1"/>
  <c r="G282" i="47" s="1"/>
  <c r="G308" i="47" a="1"/>
  <c r="G308" i="47" s="1"/>
  <c r="K308" i="47" s="1"/>
  <c r="G311" i="47" a="1"/>
  <c r="G311" i="47" s="1"/>
  <c r="K311" i="47" s="1"/>
  <c r="G384" i="47" a="1"/>
  <c r="G384" i="47" s="1"/>
  <c r="K384" i="47" s="1"/>
  <c r="G445" i="47" a="1"/>
  <c r="G445" i="47" s="1"/>
  <c r="G487" i="47" a="1"/>
  <c r="G487" i="47" s="1"/>
  <c r="K487" i="47" s="1"/>
  <c r="G528" i="47" a="1"/>
  <c r="G528" i="47" s="1"/>
  <c r="E715" i="47"/>
  <c r="H815" i="47" a="1"/>
  <c r="H815" i="47" s="1"/>
  <c r="E815" i="47"/>
  <c r="G99" i="47" a="1"/>
  <c r="G99" i="47" s="1"/>
  <c r="K99" i="47" s="1"/>
  <c r="G107" i="47" a="1"/>
  <c r="G107" i="47" s="1"/>
  <c r="K107" i="47" s="1"/>
  <c r="G112" i="47" a="1"/>
  <c r="G112" i="47" s="1"/>
  <c r="K112" i="47" s="1"/>
  <c r="G249" i="47" a="1"/>
  <c r="G249" i="47" s="1"/>
  <c r="K249" i="47" s="1"/>
  <c r="G252" i="47" a="1"/>
  <c r="G252" i="47" s="1"/>
  <c r="G301" i="47" a="1"/>
  <c r="G301" i="47" s="1"/>
  <c r="K301" i="47" s="1"/>
  <c r="G306" i="47" a="1"/>
  <c r="G306" i="47" s="1"/>
  <c r="K306" i="47" s="1"/>
  <c r="G513" i="47" a="1"/>
  <c r="G513" i="47" s="1"/>
  <c r="G82" i="47" a="1"/>
  <c r="G82" i="47" s="1"/>
  <c r="G137" i="47" a="1"/>
  <c r="G137" i="47" s="1"/>
  <c r="K137" i="47" s="1"/>
  <c r="G183" i="47" a="1"/>
  <c r="G183" i="47" s="1"/>
  <c r="K183" i="47" s="1"/>
  <c r="G203" i="47" a="1"/>
  <c r="G203" i="47" s="1"/>
  <c r="K203" i="47" s="1"/>
  <c r="G238" i="47" a="1"/>
  <c r="G238" i="47" s="1"/>
  <c r="K238" i="47" s="1"/>
  <c r="G296" i="47" a="1"/>
  <c r="G296" i="47" s="1"/>
  <c r="K296" i="47" s="1"/>
  <c r="G363" i="47" a="1"/>
  <c r="G363" i="47" s="1"/>
  <c r="G412" i="47" a="1"/>
  <c r="G412" i="47" s="1"/>
  <c r="K412" i="47" s="1"/>
  <c r="G431" i="47" a="1"/>
  <c r="G431" i="47" s="1"/>
  <c r="K431" i="47" s="1"/>
  <c r="G488" i="47" a="1"/>
  <c r="G488" i="47" s="1"/>
  <c r="K488" i="47" s="1"/>
  <c r="G518" i="47" a="1"/>
  <c r="G518" i="47" s="1"/>
  <c r="K518" i="47" s="1"/>
  <c r="G592" i="47" a="1"/>
  <c r="G592" i="47" s="1"/>
  <c r="K592" i="47" s="1"/>
  <c r="G189" i="47" a="1"/>
  <c r="G189" i="47" s="1"/>
  <c r="K189" i="47" s="1"/>
  <c r="G247" i="47" a="1"/>
  <c r="G247" i="47" s="1"/>
  <c r="K247" i="47" s="1"/>
  <c r="G250" i="47" a="1"/>
  <c r="G250" i="47" s="1"/>
  <c r="K250" i="47" s="1"/>
  <c r="G312" i="47" a="1"/>
  <c r="G312" i="47" s="1"/>
  <c r="G349" i="47" a="1"/>
  <c r="G349" i="47" s="1"/>
  <c r="K349" i="47" s="1"/>
  <c r="G396" i="47" a="1"/>
  <c r="G396" i="47" s="1"/>
  <c r="K396" i="47" s="1"/>
  <c r="G404" i="47" a="1"/>
  <c r="G404" i="47" s="1"/>
  <c r="G94" i="47" a="1"/>
  <c r="G94" i="47" s="1"/>
  <c r="G110" i="47" a="1"/>
  <c r="G110" i="47" s="1"/>
  <c r="G97" i="47" a="1"/>
  <c r="G97" i="47" s="1"/>
  <c r="K97" i="47" s="1"/>
  <c r="G577" i="47" a="1"/>
  <c r="G577" i="47" s="1"/>
  <c r="K577" i="47" s="1"/>
  <c r="G105" i="47" a="1"/>
  <c r="G105" i="47" s="1"/>
  <c r="K105" i="47" s="1"/>
  <c r="F15" i="47"/>
  <c r="G83" i="47" a="1"/>
  <c r="G83" i="47" s="1"/>
  <c r="G86" i="47" a="1"/>
  <c r="G86" i="47" s="1"/>
  <c r="G100" i="47" a="1"/>
  <c r="G100" i="47" s="1"/>
  <c r="K100" i="47" s="1"/>
  <c r="G103" i="47" a="1"/>
  <c r="G103" i="47" s="1"/>
  <c r="K103" i="47" s="1"/>
  <c r="G135" i="47" a="1"/>
  <c r="G135" i="47" s="1"/>
  <c r="K135" i="47" s="1"/>
  <c r="G159" i="47" a="1"/>
  <c r="G159" i="47" s="1"/>
  <c r="K159" i="47" s="1"/>
  <c r="G198" i="47" a="1"/>
  <c r="G198" i="47" s="1"/>
  <c r="G209" i="47" a="1"/>
  <c r="G209" i="47" s="1"/>
  <c r="K209" i="47" s="1"/>
  <c r="G239" i="47" a="1"/>
  <c r="G239" i="47" s="1"/>
  <c r="K239" i="47" s="1"/>
  <c r="G302" i="47" a="1"/>
  <c r="G302" i="47" s="1"/>
  <c r="K302" i="47" s="1"/>
  <c r="G483" i="47" a="1"/>
  <c r="G483" i="47" s="1"/>
  <c r="E665" i="47"/>
  <c r="G334" i="47" a="1"/>
  <c r="G334" i="47" s="1"/>
  <c r="K334" i="47" s="1"/>
  <c r="G524" i="47" a="1"/>
  <c r="G524" i="47" s="1"/>
  <c r="K524" i="47" s="1"/>
  <c r="G546" i="47" a="1"/>
  <c r="G546" i="47" s="1"/>
  <c r="K546" i="47" s="1"/>
  <c r="G560" i="47" a="1"/>
  <c r="G560" i="47" s="1"/>
  <c r="G583" i="47" a="1"/>
  <c r="G583" i="47" s="1"/>
  <c r="K583" i="47" s="1"/>
  <c r="G774" i="47" a="1"/>
  <c r="G774" i="47" s="1"/>
  <c r="K774" i="47" s="1"/>
  <c r="G818" i="47" a="1"/>
  <c r="G818" i="47" s="1"/>
  <c r="K818" i="47" s="1"/>
  <c r="G942" i="47" a="1"/>
  <c r="G942" i="47" s="1"/>
  <c r="K942" i="47" s="1"/>
  <c r="G950" i="47" a="1"/>
  <c r="G950" i="47" s="1"/>
  <c r="K950" i="47" s="1"/>
  <c r="G999" i="47" a="1"/>
  <c r="G999" i="47" s="1"/>
  <c r="K999" i="47" s="1"/>
  <c r="G1011" i="47" a="1"/>
  <c r="G1011" i="47" s="1"/>
  <c r="K1011" i="47" s="1"/>
  <c r="G1083" i="47" a="1"/>
  <c r="G1083" i="47" s="1"/>
  <c r="K1083" i="47" s="1"/>
  <c r="G359" i="47" a="1"/>
  <c r="G359" i="47" s="1"/>
  <c r="K359" i="47" s="1"/>
  <c r="G482" i="47" a="1"/>
  <c r="G482" i="47" s="1"/>
  <c r="K482" i="47" s="1"/>
  <c r="G181" i="47" a="1"/>
  <c r="G181" i="47" s="1"/>
  <c r="K181" i="47" s="1"/>
  <c r="G192" i="47" a="1"/>
  <c r="G192" i="47" s="1"/>
  <c r="K192" i="47" s="1"/>
  <c r="G206" i="47" a="1"/>
  <c r="G206" i="47" s="1"/>
  <c r="G230" i="47" a="1"/>
  <c r="G230" i="47" s="1"/>
  <c r="K230" i="47" s="1"/>
  <c r="G244" i="47" a="1"/>
  <c r="G244" i="47" s="1"/>
  <c r="G255" i="47" a="1"/>
  <c r="G255" i="47" s="1"/>
  <c r="K255" i="47" s="1"/>
  <c r="G348" i="47" a="1"/>
  <c r="G348" i="47" s="1"/>
  <c r="G381" i="47" a="1"/>
  <c r="G381" i="47" s="1"/>
  <c r="K381" i="47" s="1"/>
  <c r="G386" i="47" a="1"/>
  <c r="G386" i="47" s="1"/>
  <c r="G391" i="47" a="1"/>
  <c r="G391" i="47" s="1"/>
  <c r="G403" i="47" a="1"/>
  <c r="G403" i="47" s="1"/>
  <c r="K403" i="47" s="1"/>
  <c r="G433" i="47" a="1"/>
  <c r="G433" i="47" s="1"/>
  <c r="G522" i="47" a="1"/>
  <c r="G522" i="47" s="1"/>
  <c r="K522" i="47" s="1"/>
  <c r="G527" i="47" a="1"/>
  <c r="G527" i="47" s="1"/>
  <c r="K527" i="47" s="1"/>
  <c r="G595" i="47" a="1"/>
  <c r="G595" i="47" s="1"/>
  <c r="K595" i="47" s="1"/>
  <c r="G629" i="47" a="1"/>
  <c r="G629" i="47" s="1"/>
  <c r="K629" i="47" s="1"/>
  <c r="G730" i="47" a="1"/>
  <c r="G730" i="47" s="1"/>
  <c r="K730" i="47" s="1"/>
  <c r="G753" i="47" a="1"/>
  <c r="G753" i="47" s="1"/>
  <c r="K753" i="47" s="1"/>
  <c r="G858" i="47" a="1"/>
  <c r="G858" i="47" s="1"/>
  <c r="K858" i="47" s="1"/>
  <c r="G890" i="47" a="1"/>
  <c r="G890" i="47" s="1"/>
  <c r="K890" i="47" s="1"/>
  <c r="G945" i="47" a="1"/>
  <c r="G945" i="47" s="1"/>
  <c r="K945" i="47" s="1"/>
  <c r="G972" i="47" a="1"/>
  <c r="G972" i="47" s="1"/>
  <c r="K972" i="47" s="1"/>
  <c r="G1052" i="47" a="1"/>
  <c r="G1052" i="47" s="1"/>
  <c r="G1086" i="47" a="1"/>
  <c r="G1086" i="47" s="1"/>
  <c r="K1086" i="47" s="1"/>
  <c r="G1097" i="47" a="1"/>
  <c r="G1097" i="47" s="1"/>
  <c r="K1097" i="47" s="1"/>
  <c r="G1122" i="47" a="1"/>
  <c r="G1122" i="47" s="1"/>
  <c r="G332" i="47" a="1"/>
  <c r="G332" i="47" s="1"/>
  <c r="G340" i="47" a="1"/>
  <c r="G340" i="47" s="1"/>
  <c r="G343" i="47" a="1"/>
  <c r="G343" i="47" s="1"/>
  <c r="K343" i="47" s="1"/>
  <c r="G351" i="47" a="1"/>
  <c r="G351" i="47" s="1"/>
  <c r="K351" i="47" s="1"/>
  <c r="G354" i="47" a="1"/>
  <c r="G354" i="47" s="1"/>
  <c r="K354" i="47" s="1"/>
  <c r="G458" i="47" a="1"/>
  <c r="G458" i="47" s="1"/>
  <c r="K458" i="47" s="1"/>
  <c r="G485" i="47" a="1"/>
  <c r="G485" i="47" s="1"/>
  <c r="K485" i="47" s="1"/>
  <c r="G493" i="47" a="1"/>
  <c r="G493" i="47" s="1"/>
  <c r="K493" i="47" s="1"/>
  <c r="G563" i="47" a="1"/>
  <c r="G563" i="47" s="1"/>
  <c r="G567" i="47" a="1"/>
  <c r="G567" i="47" s="1"/>
  <c r="K567" i="47" s="1"/>
  <c r="G574" i="47" a="1"/>
  <c r="G574" i="47" s="1"/>
  <c r="K574" i="47" s="1"/>
  <c r="G579" i="47" a="1"/>
  <c r="G579" i="47" s="1"/>
  <c r="G704" i="47" a="1"/>
  <c r="G704" i="47" s="1"/>
  <c r="K704" i="47" s="1"/>
  <c r="G740" i="47" a="1"/>
  <c r="G740" i="47" s="1"/>
  <c r="K740" i="47" s="1"/>
  <c r="G748" i="47" a="1"/>
  <c r="G748" i="47" s="1"/>
  <c r="G835" i="47" a="1"/>
  <c r="G835" i="47" s="1"/>
  <c r="E915" i="47"/>
  <c r="G919" i="47" a="1"/>
  <c r="G919" i="47" s="1"/>
  <c r="G1075" i="47" a="1"/>
  <c r="G1075" i="47" s="1"/>
  <c r="K1075" i="47" s="1"/>
  <c r="H1115" i="47" a="1"/>
  <c r="H1115" i="47" s="1"/>
  <c r="G655" i="47" a="1"/>
  <c r="G655" i="47" s="1"/>
  <c r="K655" i="47" s="1"/>
  <c r="G683" i="47" a="1"/>
  <c r="G683" i="47" s="1"/>
  <c r="G743" i="47" a="1"/>
  <c r="G743" i="47" s="1"/>
  <c r="K743" i="47" s="1"/>
  <c r="G802" i="47" a="1"/>
  <c r="G802" i="47" s="1"/>
  <c r="K802" i="47" s="1"/>
  <c r="G846" i="47" a="1"/>
  <c r="G846" i="47" s="1"/>
  <c r="G909" i="47" a="1"/>
  <c r="G909" i="47" s="1"/>
  <c r="K909" i="47" s="1"/>
  <c r="G995" i="47" a="1"/>
  <c r="G995" i="47" s="1"/>
  <c r="K995" i="47" s="1"/>
  <c r="H1065" i="47" a="1"/>
  <c r="H1065" i="47" s="1"/>
  <c r="E1065" i="47"/>
  <c r="G1226" i="47" a="1"/>
  <c r="G1226" i="47" s="1"/>
  <c r="G140" i="47" a="1"/>
  <c r="G140" i="47" s="1"/>
  <c r="G248" i="47" a="1"/>
  <c r="G248" i="47" s="1"/>
  <c r="G330" i="47" a="1"/>
  <c r="G330" i="47" s="1"/>
  <c r="K330" i="47" s="1"/>
  <c r="G344" i="47" a="1"/>
  <c r="G344" i="47" s="1"/>
  <c r="G355" i="47" a="1"/>
  <c r="G355" i="47" s="1"/>
  <c r="K355" i="47" s="1"/>
  <c r="G397" i="47" a="1"/>
  <c r="G397" i="47" s="1"/>
  <c r="K397" i="47" s="1"/>
  <c r="G459" i="47" a="1"/>
  <c r="G459" i="47" s="1"/>
  <c r="K459" i="47" s="1"/>
  <c r="G494" i="47" a="1"/>
  <c r="G494" i="47" s="1"/>
  <c r="G533" i="47" a="1"/>
  <c r="G533" i="47" s="1"/>
  <c r="K533" i="47" s="1"/>
  <c r="G554" i="47" a="1"/>
  <c r="G554" i="47" s="1"/>
  <c r="K554" i="47" s="1"/>
  <c r="G575" i="47" a="1"/>
  <c r="G575" i="47" s="1"/>
  <c r="G635" i="47" a="1"/>
  <c r="G635" i="47" s="1"/>
  <c r="K635" i="47" s="1"/>
  <c r="G663" i="47" a="1"/>
  <c r="G663" i="47" s="1"/>
  <c r="G671" i="47" a="1"/>
  <c r="G671" i="47" s="1"/>
  <c r="K671" i="47" s="1"/>
  <c r="G716" i="47" a="1"/>
  <c r="G716" i="47" s="1"/>
  <c r="G759" i="47" a="1"/>
  <c r="G759" i="47" s="1"/>
  <c r="K759" i="47" s="1"/>
  <c r="G833" i="47" a="1"/>
  <c r="G833" i="47" s="1"/>
  <c r="K833" i="47" s="1"/>
  <c r="G873" i="47" a="1"/>
  <c r="G873" i="47" s="1"/>
  <c r="K873" i="47" s="1"/>
  <c r="G904" i="47" a="1"/>
  <c r="G904" i="47" s="1"/>
  <c r="G598" i="47" a="1"/>
  <c r="G598" i="47" s="1"/>
  <c r="K598" i="47" s="1"/>
  <c r="G84" i="47" a="1"/>
  <c r="G84" i="47" s="1"/>
  <c r="K84" i="47" s="1"/>
  <c r="G341" i="47" a="1"/>
  <c r="G341" i="47" s="1"/>
  <c r="K341" i="47" s="1"/>
  <c r="G352" i="47" a="1"/>
  <c r="G352" i="47" s="1"/>
  <c r="G392" i="47" a="1"/>
  <c r="G392" i="47" s="1"/>
  <c r="G434" i="47" a="1"/>
  <c r="G434" i="47" s="1"/>
  <c r="K434" i="47" s="1"/>
  <c r="G486" i="47" a="1"/>
  <c r="G486" i="47" s="1"/>
  <c r="G98" i="47" a="1"/>
  <c r="G98" i="47" s="1"/>
  <c r="G130" i="47" a="1"/>
  <c r="G130" i="47" s="1"/>
  <c r="K130" i="47" s="1"/>
  <c r="G143" i="47" a="1"/>
  <c r="G143" i="47" s="1"/>
  <c r="K143" i="47" s="1"/>
  <c r="G188" i="47" a="1"/>
  <c r="G188" i="47" s="1"/>
  <c r="K188" i="47" s="1"/>
  <c r="G202" i="47" a="1"/>
  <c r="G202" i="47" s="1"/>
  <c r="G210" i="47" a="1"/>
  <c r="G210" i="47" s="1"/>
  <c r="G240" i="47" a="1"/>
  <c r="G240" i="47" s="1"/>
  <c r="G251" i="47" a="1"/>
  <c r="G251" i="47" s="1"/>
  <c r="K251" i="47" s="1"/>
  <c r="G358" i="47" a="1"/>
  <c r="G358" i="47" s="1"/>
  <c r="K358" i="47" s="1"/>
  <c r="G448" i="47" a="1"/>
  <c r="G448" i="47" s="1"/>
  <c r="G481" i="47" a="1"/>
  <c r="G481" i="47" s="1"/>
  <c r="K481" i="47" s="1"/>
  <c r="G552" i="47" a="1"/>
  <c r="G552" i="47" s="1"/>
  <c r="G817" i="47" a="1"/>
  <c r="G817" i="47" s="1"/>
  <c r="K817" i="47" s="1"/>
  <c r="G910" i="47" a="1"/>
  <c r="G910" i="47" s="1"/>
  <c r="K910" i="47" s="1"/>
  <c r="G957" i="47" a="1"/>
  <c r="G957" i="47" s="1"/>
  <c r="K957" i="47" s="1"/>
  <c r="G1007" i="47" a="1"/>
  <c r="G1007" i="47" s="1"/>
  <c r="K1007" i="47" s="1"/>
  <c r="G1107" i="47" a="1"/>
  <c r="G1107" i="47" s="1"/>
  <c r="K1107" i="47" s="1"/>
  <c r="G1201" i="47" a="1"/>
  <c r="G1201" i="47" s="1"/>
  <c r="K1201" i="47" s="1"/>
  <c r="G93" i="47" a="1"/>
  <c r="G93" i="47" s="1"/>
  <c r="K93" i="47" s="1"/>
  <c r="G136" i="47" a="1"/>
  <c r="G136" i="47" s="1"/>
  <c r="G146" i="47" a="1"/>
  <c r="G146" i="47" s="1"/>
  <c r="K146" i="47" s="1"/>
  <c r="G246" i="47" a="1"/>
  <c r="G246" i="47" s="1"/>
  <c r="K246" i="47" s="1"/>
  <c r="G260" i="47" a="1"/>
  <c r="G260" i="47" s="1"/>
  <c r="G390" i="47" a="1"/>
  <c r="G390" i="47" s="1"/>
  <c r="G432" i="47" a="1"/>
  <c r="G432" i="47" s="1"/>
  <c r="G440" i="47" a="1"/>
  <c r="G440" i="47" s="1"/>
  <c r="G443" i="47" a="1"/>
  <c r="G443" i="47" s="1"/>
  <c r="K443" i="47" s="1"/>
  <c r="G451" i="47" a="1"/>
  <c r="G451" i="47" s="1"/>
  <c r="K451" i="47" s="1"/>
  <c r="G454" i="47" a="1"/>
  <c r="G454" i="47" s="1"/>
  <c r="K454" i="47" s="1"/>
  <c r="G497" i="47" a="1"/>
  <c r="G497" i="47" s="1"/>
  <c r="K497" i="47" s="1"/>
  <c r="G505" i="47" a="1"/>
  <c r="G505" i="47" s="1"/>
  <c r="K505" i="47" s="1"/>
  <c r="G587" i="47" a="1"/>
  <c r="G587" i="47" s="1"/>
  <c r="G626" i="47" a="1"/>
  <c r="G626" i="47" s="1"/>
  <c r="G638" i="47" a="1"/>
  <c r="G638" i="47" s="1"/>
  <c r="K638" i="47" s="1"/>
  <c r="G674" i="47" a="1"/>
  <c r="G674" i="47" s="1"/>
  <c r="K674" i="47" s="1"/>
  <c r="G689" i="47" a="1"/>
  <c r="G689" i="47" s="1"/>
  <c r="K689" i="47" s="1"/>
  <c r="G806" i="47" a="1"/>
  <c r="G806" i="47" s="1"/>
  <c r="K806" i="47" s="1"/>
  <c r="G889" i="47" a="1"/>
  <c r="G889" i="47" s="1"/>
  <c r="G892" i="47" a="1"/>
  <c r="G892" i="47" s="1"/>
  <c r="G913" i="47" a="1"/>
  <c r="G913" i="47" s="1"/>
  <c r="G1030" i="47" a="1"/>
  <c r="G1030" i="47" s="1"/>
  <c r="G1071" i="47" a="1"/>
  <c r="G1071" i="47" s="1"/>
  <c r="G1110" i="47" a="1"/>
  <c r="G1110" i="47" s="1"/>
  <c r="K1110" i="47" s="1"/>
  <c r="G837" i="47" a="1"/>
  <c r="G837" i="47" s="1"/>
  <c r="G956" i="47" a="1"/>
  <c r="G956" i="47" s="1"/>
  <c r="K956" i="47" s="1"/>
  <c r="G977" i="47" a="1"/>
  <c r="G977" i="47" s="1"/>
  <c r="K977" i="47" s="1"/>
  <c r="G980" i="47" a="1"/>
  <c r="G980" i="47" s="1"/>
  <c r="K980" i="47" s="1"/>
  <c r="G1074" i="47" a="1"/>
  <c r="G1074" i="47" s="1"/>
  <c r="G1143" i="47" a="1"/>
  <c r="G1143" i="47" s="1"/>
  <c r="G1205" i="47" a="1"/>
  <c r="G1205" i="47" s="1"/>
  <c r="K1205" i="47" s="1"/>
  <c r="G1303" i="47" a="1"/>
  <c r="G1303" i="47" s="1"/>
  <c r="K1303" i="47" s="1"/>
  <c r="G1343" i="47" a="1"/>
  <c r="G1343" i="47" s="1"/>
  <c r="K1343" i="47" s="1"/>
  <c r="G1354" i="47" a="1"/>
  <c r="G1354" i="47" s="1"/>
  <c r="G1368" i="47" a="1"/>
  <c r="G1368" i="47" s="1"/>
  <c r="G1395" i="47" a="1"/>
  <c r="G1395" i="47" s="1"/>
  <c r="K1395" i="47" s="1"/>
  <c r="H1415" i="47" a="1"/>
  <c r="H1415" i="47" s="1"/>
  <c r="E1415" i="47"/>
  <c r="G1103" i="47" a="1"/>
  <c r="G1103" i="47" s="1"/>
  <c r="K1103" i="47" s="1"/>
  <c r="G1118" i="47" a="1"/>
  <c r="G1118" i="47" s="1"/>
  <c r="K1118" i="47" s="1"/>
  <c r="G1153" i="47" a="1"/>
  <c r="G1153" i="47" s="1"/>
  <c r="K1153" i="47" s="1"/>
  <c r="G1208" i="47" a="1"/>
  <c r="G1208" i="47" s="1"/>
  <c r="K1208" i="47" s="1"/>
  <c r="G1224" i="47" a="1"/>
  <c r="G1224" i="47" s="1"/>
  <c r="K1224" i="47" s="1"/>
  <c r="G1357" i="47" a="1"/>
  <c r="G1357" i="47" s="1"/>
  <c r="G1385" i="47" a="1"/>
  <c r="G1385" i="47" s="1"/>
  <c r="K1385" i="47" s="1"/>
  <c r="G542" i="47" a="1"/>
  <c r="G542" i="47" s="1"/>
  <c r="K542" i="47" s="1"/>
  <c r="G569" i="47" a="1"/>
  <c r="G569" i="47" s="1"/>
  <c r="G652" i="47" a="1"/>
  <c r="G652" i="47" s="1"/>
  <c r="G687" i="47" a="1"/>
  <c r="G687" i="47" s="1"/>
  <c r="K687" i="47" s="1"/>
  <c r="G719" i="47" a="1"/>
  <c r="G719" i="47" s="1"/>
  <c r="K719" i="47" s="1"/>
  <c r="G724" i="47" a="1"/>
  <c r="G724" i="47" s="1"/>
  <c r="K724" i="47" s="1"/>
  <c r="G758" i="47" a="1"/>
  <c r="G758" i="47" s="1"/>
  <c r="G769" i="47" a="1"/>
  <c r="G769" i="47" s="1"/>
  <c r="K769" i="47" s="1"/>
  <c r="G809" i="47" a="1"/>
  <c r="G809" i="47" s="1"/>
  <c r="K809" i="47" s="1"/>
  <c r="G970" i="47" a="1"/>
  <c r="G970" i="47" s="1"/>
  <c r="G1035" i="47" a="1"/>
  <c r="G1035" i="47" s="1"/>
  <c r="K1035" i="47" s="1"/>
  <c r="G1156" i="47" a="1"/>
  <c r="G1156" i="47" s="1"/>
  <c r="K1156" i="47" s="1"/>
  <c r="H1165" i="47" a="1"/>
  <c r="H1165" i="47" s="1"/>
  <c r="G1288" i="47" a="1"/>
  <c r="G1288" i="47" s="1"/>
  <c r="G1409" i="47" a="1"/>
  <c r="G1409" i="47" s="1"/>
  <c r="K1409" i="47" s="1"/>
  <c r="G670" i="47" a="1"/>
  <c r="G670" i="47" s="1"/>
  <c r="K670" i="47" s="1"/>
  <c r="G701" i="47" a="1"/>
  <c r="G701" i="47" s="1"/>
  <c r="K701" i="47" s="1"/>
  <c r="G825" i="47" a="1"/>
  <c r="G825" i="47" s="1"/>
  <c r="G911" i="47" a="1"/>
  <c r="G911" i="47" s="1"/>
  <c r="K911" i="47" s="1"/>
  <c r="G924" i="47" a="1"/>
  <c r="G924" i="47" s="1"/>
  <c r="G960" i="47" a="1"/>
  <c r="G960" i="47" s="1"/>
  <c r="G962" i="47" a="1"/>
  <c r="G962" i="47" s="1"/>
  <c r="K962" i="47" s="1"/>
  <c r="G968" i="47" a="1"/>
  <c r="G968" i="47" s="1"/>
  <c r="K968" i="47" s="1"/>
  <c r="G1033" i="47" a="1"/>
  <c r="G1033" i="47" s="1"/>
  <c r="K1033" i="47" s="1"/>
  <c r="G1061" i="47" a="1"/>
  <c r="G1061" i="47" s="1"/>
  <c r="K1061" i="47" s="1"/>
  <c r="G1081" i="47" a="1"/>
  <c r="G1081" i="47" s="1"/>
  <c r="K1081" i="47" s="1"/>
  <c r="G1128" i="47" a="1"/>
  <c r="G1128" i="47" s="1"/>
  <c r="K1128" i="47" s="1"/>
  <c r="G1136" i="47" a="1"/>
  <c r="G1136" i="47" s="1"/>
  <c r="K1136" i="47" s="1"/>
  <c r="G1217" i="47" a="1"/>
  <c r="G1217" i="47" s="1"/>
  <c r="G1237" i="47" a="1"/>
  <c r="G1237" i="47" s="1"/>
  <c r="K1237" i="47" s="1"/>
  <c r="G1331" i="47" a="1"/>
  <c r="G1331" i="47" s="1"/>
  <c r="K1331" i="47" s="1"/>
  <c r="G1437" i="47" a="1"/>
  <c r="G1437" i="47" s="1"/>
  <c r="K1437" i="47" s="1"/>
  <c r="G1041" i="47" a="1"/>
  <c r="G1041" i="47" s="1"/>
  <c r="G1054" i="47" a="1"/>
  <c r="G1054" i="47" s="1"/>
  <c r="K1054" i="47" s="1"/>
  <c r="G1094" i="47" a="1"/>
  <c r="G1094" i="47" s="1"/>
  <c r="K1094" i="47" s="1"/>
  <c r="G1131" i="47" a="1"/>
  <c r="G1131" i="47" s="1"/>
  <c r="K1131" i="47" s="1"/>
  <c r="H1215" i="47" a="1"/>
  <c r="H1215" i="47" s="1"/>
  <c r="G1215" i="47" s="1" a="1"/>
  <c r="G1215" i="47" s="1"/>
  <c r="K1215" i="47" s="1"/>
  <c r="G1270" i="47" a="1"/>
  <c r="G1270" i="47" s="1"/>
  <c r="K1270" i="47" s="1"/>
  <c r="G1305" i="47" a="1"/>
  <c r="G1305" i="47" s="1"/>
  <c r="K1305" i="47" s="1"/>
  <c r="G780" i="47" a="1"/>
  <c r="G780" i="47" s="1"/>
  <c r="K780" i="47" s="1"/>
  <c r="G808" i="47" a="1"/>
  <c r="G808" i="47" s="1"/>
  <c r="K808" i="47" s="1"/>
  <c r="G834" i="47" a="1"/>
  <c r="G834" i="47" s="1"/>
  <c r="G885" i="47" a="1"/>
  <c r="G885" i="47" s="1"/>
  <c r="K885" i="47" s="1"/>
  <c r="G922" i="47" a="1"/>
  <c r="G922" i="47" s="1"/>
  <c r="G958" i="47" a="1"/>
  <c r="G958" i="47" s="1"/>
  <c r="K958" i="47" s="1"/>
  <c r="G974" i="47" a="1"/>
  <c r="G974" i="47" s="1"/>
  <c r="G1012" i="47" a="1"/>
  <c r="G1012" i="47" s="1"/>
  <c r="K1012" i="47" s="1"/>
  <c r="G1031" i="47" a="1"/>
  <c r="G1031" i="47" s="1"/>
  <c r="K1031" i="47" s="1"/>
  <c r="G1079" i="47" a="1"/>
  <c r="G1079" i="47" s="1"/>
  <c r="G1145" i="47" a="1"/>
  <c r="G1145" i="47" s="1"/>
  <c r="K1145" i="47" s="1"/>
  <c r="G1157" i="47" a="1"/>
  <c r="G1157" i="47" s="1"/>
  <c r="K1157" i="47" s="1"/>
  <c r="G1194" i="47" a="1"/>
  <c r="G1194" i="47" s="1"/>
  <c r="G1199" i="47" a="1"/>
  <c r="G1199" i="47" s="1"/>
  <c r="K1199" i="47" s="1"/>
  <c r="E1265" i="47"/>
  <c r="G1150" i="47" a="1"/>
  <c r="G1150" i="47" s="1"/>
  <c r="K1150" i="47" s="1"/>
  <c r="G1192" i="47" a="1"/>
  <c r="G1192" i="47" s="1"/>
  <c r="K1192" i="47" s="1"/>
  <c r="G1212" i="47" a="1"/>
  <c r="G1212" i="47" s="1"/>
  <c r="K1212" i="47" s="1"/>
  <c r="G594" i="47" a="1"/>
  <c r="G594" i="47" s="1"/>
  <c r="G620" i="47" a="1"/>
  <c r="G620" i="47" s="1"/>
  <c r="G882" i="47" a="1"/>
  <c r="G882" i="47" s="1"/>
  <c r="K882" i="47" s="1"/>
  <c r="G891" i="47" a="1"/>
  <c r="G891" i="47" s="1"/>
  <c r="K891" i="47" s="1"/>
  <c r="G908" i="47" a="1"/>
  <c r="G908" i="47" s="1"/>
  <c r="K908" i="47" s="1"/>
  <c r="G939" i="47" a="1"/>
  <c r="G939" i="47" s="1"/>
  <c r="G982" i="47" a="1"/>
  <c r="G982" i="47" s="1"/>
  <c r="G1032" i="47" a="1"/>
  <c r="G1032" i="47" s="1"/>
  <c r="K1032" i="47" s="1"/>
  <c r="G1062" i="47" a="1"/>
  <c r="G1062" i="47" s="1"/>
  <c r="G1080" i="47" a="1"/>
  <c r="G1080" i="47" s="1"/>
  <c r="G1109" i="47" a="1"/>
  <c r="G1109" i="47" s="1"/>
  <c r="K1109" i="47" s="1"/>
  <c r="G1140" i="47" a="1"/>
  <c r="G1140" i="47" s="1"/>
  <c r="K1140" i="47" s="1"/>
  <c r="G1175" i="47" a="1"/>
  <c r="G1175" i="47" s="1"/>
  <c r="G1245" i="47" a="1"/>
  <c r="G1245" i="47" s="1"/>
  <c r="G1273" i="47" a="1"/>
  <c r="G1273" i="47" s="1"/>
  <c r="G1440" i="47" a="1"/>
  <c r="G1440" i="47" s="1"/>
  <c r="K1440" i="47" s="1"/>
  <c r="H1515" i="47" a="1"/>
  <c r="H1515" i="47" s="1"/>
  <c r="G1540" i="47" a="1"/>
  <c r="G1540" i="47" s="1"/>
  <c r="G1558" i="47" a="1"/>
  <c r="G1558" i="47" s="1"/>
  <c r="K1558" i="47" s="1"/>
  <c r="G1388" i="47" a="1"/>
  <c r="G1388" i="47" s="1"/>
  <c r="G1420" i="47" a="1"/>
  <c r="G1420" i="47" s="1"/>
  <c r="K1420" i="47" s="1"/>
  <c r="G1423" i="47" a="1"/>
  <c r="G1423" i="47" s="1"/>
  <c r="K1423" i="47" s="1"/>
  <c r="G1448" i="47" a="1"/>
  <c r="G1448" i="47" s="1"/>
  <c r="K1448" i="47" s="1"/>
  <c r="G1463" i="47" a="1"/>
  <c r="G1463" i="47" s="1"/>
  <c r="K1463" i="47" s="1"/>
  <c r="G1493" i="47" a="1"/>
  <c r="G1493" i="47" s="1"/>
  <c r="K1493" i="47" s="1"/>
  <c r="G1538" i="47" a="1"/>
  <c r="G1538" i="47" s="1"/>
  <c r="K1538" i="47" s="1"/>
  <c r="G1595" i="47" a="1"/>
  <c r="G1595" i="47" s="1"/>
  <c r="K1595" i="47" s="1"/>
  <c r="G1744" i="47" a="1"/>
  <c r="G1744" i="47" s="1"/>
  <c r="K1744" i="47" s="1"/>
  <c r="G1876" i="47" a="1"/>
  <c r="G1876" i="47" s="1"/>
  <c r="K1876" i="47" s="1"/>
  <c r="G1187" i="47" a="1"/>
  <c r="G1187" i="47" s="1"/>
  <c r="K1187" i="47" s="1"/>
  <c r="G1292" i="47" a="1"/>
  <c r="G1292" i="47" s="1"/>
  <c r="K1292" i="47" s="1"/>
  <c r="G1337" i="47" a="1"/>
  <c r="G1337" i="47" s="1"/>
  <c r="K1337" i="47" s="1"/>
  <c r="G1375" i="47" a="1"/>
  <c r="G1375" i="47" s="1"/>
  <c r="K1375" i="47" s="1"/>
  <c r="G1380" i="47" a="1"/>
  <c r="G1380" i="47" s="1"/>
  <c r="G1467" i="47" a="1"/>
  <c r="G1467" i="47" s="1"/>
  <c r="K1467" i="47" s="1"/>
  <c r="G1480" i="47" a="1"/>
  <c r="G1480" i="47" s="1"/>
  <c r="K1480" i="47" s="1"/>
  <c r="E1565" i="47"/>
  <c r="G1316" i="47" a="1"/>
  <c r="G1316" i="47" s="1"/>
  <c r="K1316" i="47" s="1"/>
  <c r="G1335" i="47" a="1"/>
  <c r="G1335" i="47" s="1"/>
  <c r="K1335" i="47" s="1"/>
  <c r="G1478" i="47" a="1"/>
  <c r="G1478" i="47" s="1"/>
  <c r="K1478" i="47" s="1"/>
  <c r="H1565" i="47" a="1"/>
  <c r="H1565" i="47" s="1"/>
  <c r="G1604" i="47" a="1"/>
  <c r="G1604" i="47" s="1"/>
  <c r="K1604" i="47" s="1"/>
  <c r="G869" i="47" a="1"/>
  <c r="G869" i="47" s="1"/>
  <c r="K869" i="47" s="1"/>
  <c r="G874" i="47" a="1"/>
  <c r="G874" i="47" s="1"/>
  <c r="G895" i="47" a="1"/>
  <c r="G895" i="47" s="1"/>
  <c r="K895" i="47" s="1"/>
  <c r="G900" i="47" a="1"/>
  <c r="G900" i="47" s="1"/>
  <c r="K900" i="47" s="1"/>
  <c r="G955" i="47" a="1"/>
  <c r="G955" i="47" s="1"/>
  <c r="G1076" i="47" a="1"/>
  <c r="G1076" i="47" s="1"/>
  <c r="K1076" i="47" s="1"/>
  <c r="G1088" i="47" a="1"/>
  <c r="G1088" i="47" s="1"/>
  <c r="G1171" i="47" a="1"/>
  <c r="G1171" i="47" s="1"/>
  <c r="G1204" i="47" a="1"/>
  <c r="G1204" i="47" s="1"/>
  <c r="K1204" i="47" s="1"/>
  <c r="G1424" i="47" a="1"/>
  <c r="G1424" i="47" s="1"/>
  <c r="G1502" i="47" a="1"/>
  <c r="G1502" i="47" s="1"/>
  <c r="K1502" i="47" s="1"/>
  <c r="G1575" i="47" a="1"/>
  <c r="G1575" i="47" s="1"/>
  <c r="K1575" i="47" s="1"/>
  <c r="G1582" i="47" a="1"/>
  <c r="G1582" i="47" s="1"/>
  <c r="K1582" i="47" s="1"/>
  <c r="G1610" i="47" a="1"/>
  <c r="G1610" i="47" s="1"/>
  <c r="K1610" i="47" s="1"/>
  <c r="G1622" i="47" a="1"/>
  <c r="G1622" i="47" s="1"/>
  <c r="K1622" i="47" s="1"/>
  <c r="G1427" i="47" a="1"/>
  <c r="G1427" i="47" s="1"/>
  <c r="G1508" i="47" a="1"/>
  <c r="G1508" i="47" s="1"/>
  <c r="K1508" i="47" s="1"/>
  <c r="G1542" i="47" a="1"/>
  <c r="G1542" i="47" s="1"/>
  <c r="K1542" i="47" s="1"/>
  <c r="G828" i="47" a="1"/>
  <c r="G828" i="47" s="1"/>
  <c r="K828" i="47" s="1"/>
  <c r="G831" i="47" a="1"/>
  <c r="G831" i="47" s="1"/>
  <c r="K831" i="47" s="1"/>
  <c r="G884" i="47" a="1"/>
  <c r="G884" i="47" s="1"/>
  <c r="K884" i="47" s="1"/>
  <c r="G931" i="47" a="1"/>
  <c r="G931" i="47" s="1"/>
  <c r="G1002" i="47" a="1"/>
  <c r="G1002" i="47" s="1"/>
  <c r="K1002" i="47" s="1"/>
  <c r="G1072" i="47" a="1"/>
  <c r="G1072" i="47" s="1"/>
  <c r="G1134" i="47" a="1"/>
  <c r="G1134" i="47" s="1"/>
  <c r="G1151" i="47" a="1"/>
  <c r="G1151" i="47" s="1"/>
  <c r="K1151" i="47" s="1"/>
  <c r="G1220" i="47" a="1"/>
  <c r="G1220" i="47" s="1"/>
  <c r="K1220" i="47" s="1"/>
  <c r="G1298" i="47" a="1"/>
  <c r="G1298" i="47" s="1"/>
  <c r="G1350" i="47" a="1"/>
  <c r="G1350" i="47" s="1"/>
  <c r="K1350" i="47" s="1"/>
  <c r="G1376" i="47" a="1"/>
  <c r="G1376" i="47" s="1"/>
  <c r="K1376" i="47" s="1"/>
  <c r="G1379" i="47" a="1"/>
  <c r="G1379" i="47" s="1"/>
  <c r="K1379" i="47" s="1"/>
  <c r="G1411" i="47" a="1"/>
  <c r="G1411" i="47" s="1"/>
  <c r="G1439" i="47" a="1"/>
  <c r="G1439" i="47" s="1"/>
  <c r="K1439" i="47" s="1"/>
  <c r="G1503" i="47" a="1"/>
  <c r="G1503" i="47" s="1"/>
  <c r="K1503" i="47" s="1"/>
  <c r="G1460" i="47" a="1"/>
  <c r="G1460" i="47" s="1"/>
  <c r="E1615" i="47"/>
  <c r="G1580" i="47" a="1"/>
  <c r="G1580" i="47" s="1"/>
  <c r="K1580" i="47" s="1"/>
  <c r="G1587" i="47" a="1"/>
  <c r="G1587" i="47" s="1"/>
  <c r="K1587" i="47" s="1"/>
  <c r="G1629" i="47" a="1"/>
  <c r="G1629" i="47" s="1"/>
  <c r="K1629" i="47" s="1"/>
  <c r="G1655" i="47" a="1"/>
  <c r="G1655" i="47" s="1"/>
  <c r="G1703" i="47" a="1"/>
  <c r="G1703" i="47" s="1"/>
  <c r="K1703" i="47" s="1"/>
  <c r="G1708" i="47" a="1"/>
  <c r="G1708" i="47" s="1"/>
  <c r="K1708" i="47" s="1"/>
  <c r="G1771" i="47" a="1"/>
  <c r="G1771" i="47" s="1"/>
  <c r="G1786" i="47" a="1"/>
  <c r="G1786" i="47" s="1"/>
  <c r="K1786" i="47" s="1"/>
  <c r="G1868" i="47" a="1"/>
  <c r="G1868" i="47" s="1"/>
  <c r="K1868" i="47" s="1"/>
  <c r="G1871" i="47" a="1"/>
  <c r="G1871" i="47" s="1"/>
  <c r="K1871" i="47" s="1"/>
  <c r="G1891" i="47" a="1"/>
  <c r="G1891" i="47" s="1"/>
  <c r="K1891" i="47" s="1"/>
  <c r="G1899" i="47" a="1"/>
  <c r="G1899" i="47" s="1"/>
  <c r="G1927" i="47" a="1"/>
  <c r="G1927" i="47" s="1"/>
  <c r="K1927" i="47" s="1"/>
  <c r="G1435" i="47" a="1"/>
  <c r="G1435" i="47" s="1"/>
  <c r="K1435" i="47" s="1"/>
  <c r="G1486" i="47" a="1"/>
  <c r="G1486" i="47" s="1"/>
  <c r="G1548" i="47" a="1"/>
  <c r="G1548" i="47" s="1"/>
  <c r="K1548" i="47" s="1"/>
  <c r="G1570" i="47" a="1"/>
  <c r="G1570" i="47" s="1"/>
  <c r="K1570" i="47" s="1"/>
  <c r="G1597" i="47" a="1"/>
  <c r="G1597" i="47" s="1"/>
  <c r="K1597" i="47" s="1"/>
  <c r="G1620" i="47" a="1"/>
  <c r="G1620" i="47" s="1"/>
  <c r="G1625" i="47" a="1"/>
  <c r="G1625" i="47" s="1"/>
  <c r="G1632" i="47" a="1"/>
  <c r="G1632" i="47" s="1"/>
  <c r="G1634" i="47" a="1"/>
  <c r="G1634" i="47" s="1"/>
  <c r="K1634" i="47" s="1"/>
  <c r="G1639" i="47" a="1"/>
  <c r="G1639" i="47" s="1"/>
  <c r="K1639" i="47" s="1"/>
  <c r="G1727" i="47" a="1"/>
  <c r="G1727" i="47" s="1"/>
  <c r="K1727" i="47" s="1"/>
  <c r="G1755" i="47" a="1"/>
  <c r="G1755" i="47" s="1"/>
  <c r="K1755" i="47" s="1"/>
  <c r="G1760" i="47" a="1"/>
  <c r="G1760" i="47" s="1"/>
  <c r="G1801" i="47" a="1"/>
  <c r="G1801" i="47" s="1"/>
  <c r="K1801" i="47" s="1"/>
  <c r="G1818" i="47" a="1"/>
  <c r="G1818" i="47" s="1"/>
  <c r="G1859" i="47" a="1"/>
  <c r="G1859" i="47" s="1"/>
  <c r="G1886" i="47" a="1"/>
  <c r="G1886" i="47" s="1"/>
  <c r="G1889" i="47" a="1"/>
  <c r="G1889" i="47" s="1"/>
  <c r="G1894" i="47" a="1"/>
  <c r="G1894" i="47" s="1"/>
  <c r="K1894" i="47" s="1"/>
  <c r="G2019" i="47" a="1"/>
  <c r="G2019" i="47" s="1"/>
  <c r="G978" i="47" a="1"/>
  <c r="G978" i="47" s="1"/>
  <c r="K978" i="47" s="1"/>
  <c r="G988" i="47" a="1"/>
  <c r="G988" i="47" s="1"/>
  <c r="K988" i="47" s="1"/>
  <c r="G1001" i="47" a="1"/>
  <c r="G1001" i="47" s="1"/>
  <c r="K1001" i="47" s="1"/>
  <c r="G1063" i="47" a="1"/>
  <c r="G1063" i="47" s="1"/>
  <c r="K1063" i="47" s="1"/>
  <c r="G1244" i="47" a="1"/>
  <c r="G1244" i="47" s="1"/>
  <c r="K1244" i="47" s="1"/>
  <c r="G1268" i="47" a="1"/>
  <c r="G1268" i="47" s="1"/>
  <c r="K1268" i="47" s="1"/>
  <c r="G1391" i="47" a="1"/>
  <c r="G1391" i="47" s="1"/>
  <c r="K1391" i="47" s="1"/>
  <c r="G1421" i="47" a="1"/>
  <c r="G1421" i="47" s="1"/>
  <c r="K1421" i="47" s="1"/>
  <c r="G1447" i="47" a="1"/>
  <c r="G1447" i="47" s="1"/>
  <c r="K1447" i="47" s="1"/>
  <c r="G1481" i="47" a="1"/>
  <c r="G1481" i="47" s="1"/>
  <c r="K1481" i="47" s="1"/>
  <c r="G1541" i="47" a="1"/>
  <c r="G1541" i="47" s="1"/>
  <c r="K1541" i="47" s="1"/>
  <c r="G1602" i="47" a="1"/>
  <c r="G1602" i="47" s="1"/>
  <c r="K1602" i="47" s="1"/>
  <c r="G1607" i="47" a="1"/>
  <c r="G1607" i="47" s="1"/>
  <c r="G1656" i="47" a="1"/>
  <c r="G1656" i="47" s="1"/>
  <c r="K1656" i="47" s="1"/>
  <c r="G1658" i="47" a="1"/>
  <c r="G1658" i="47" s="1"/>
  <c r="K1658" i="47" s="1"/>
  <c r="G1720" i="47" a="1"/>
  <c r="G1720" i="47" s="1"/>
  <c r="K1720" i="47" s="1"/>
  <c r="G1733" i="47" a="1"/>
  <c r="G1733" i="47" s="1"/>
  <c r="K1733" i="47" s="1"/>
  <c r="G1747" i="47" a="1"/>
  <c r="G1747" i="47" s="1"/>
  <c r="G1780" i="47" a="1"/>
  <c r="G1780" i="47" s="1"/>
  <c r="K1780" i="47" s="1"/>
  <c r="G1782" i="47" a="1"/>
  <c r="G1782" i="47" s="1"/>
  <c r="K1782" i="47" s="1"/>
  <c r="G1807" i="47" a="1"/>
  <c r="G1807" i="47" s="1"/>
  <c r="K1807" i="47" s="1"/>
  <c r="G1866" i="47" a="1"/>
  <c r="G1866" i="47" s="1"/>
  <c r="G1897" i="47" a="1"/>
  <c r="G1897" i="47" s="1"/>
  <c r="K1897" i="47" s="1"/>
  <c r="G1920" i="47" a="1"/>
  <c r="G1920" i="47" s="1"/>
  <c r="K1920" i="47" s="1"/>
  <c r="G1396" i="47" a="1"/>
  <c r="G1396" i="47" s="1"/>
  <c r="K1396" i="47" s="1"/>
  <c r="G1489" i="47" a="1"/>
  <c r="G1489" i="47" s="1"/>
  <c r="K1489" i="47" s="1"/>
  <c r="G1494" i="47" a="1"/>
  <c r="G1494" i="47" s="1"/>
  <c r="G1504" i="47" a="1"/>
  <c r="G1504" i="47" s="1"/>
  <c r="K1504" i="47" s="1"/>
  <c r="G1568" i="47" a="1"/>
  <c r="G1568" i="47" s="1"/>
  <c r="K1568" i="47" s="1"/>
  <c r="G1605" i="47" a="1"/>
  <c r="G1605" i="47" s="1"/>
  <c r="K1605" i="47" s="1"/>
  <c r="G1623" i="47" a="1"/>
  <c r="G1623" i="47" s="1"/>
  <c r="K1623" i="47" s="1"/>
  <c r="G1630" i="47" a="1"/>
  <c r="G1630" i="47" s="1"/>
  <c r="G1709" i="47" a="1"/>
  <c r="G1709" i="47" s="1"/>
  <c r="K1709" i="47" s="1"/>
  <c r="G1725" i="47" a="1"/>
  <c r="G1725" i="47" s="1"/>
  <c r="K1725" i="47" s="1"/>
  <c r="G1772" i="47" a="1"/>
  <c r="G1772" i="47" s="1"/>
  <c r="K1772" i="47" s="1"/>
  <c r="G1785" i="47" a="1"/>
  <c r="G1785" i="47" s="1"/>
  <c r="K1785" i="47" s="1"/>
  <c r="G1829" i="47" a="1"/>
  <c r="G1829" i="47" s="1"/>
  <c r="K1829" i="47" s="1"/>
  <c r="G1860" i="47" a="1"/>
  <c r="G1860" i="47" s="1"/>
  <c r="K1860" i="47" s="1"/>
  <c r="G1890" i="47" a="1"/>
  <c r="G1890" i="47" s="1"/>
  <c r="K1890" i="47" s="1"/>
  <c r="G1903" i="47" a="1"/>
  <c r="G1903" i="47" s="1"/>
  <c r="K1903" i="47" s="1"/>
  <c r="G1911" i="47" a="1"/>
  <c r="G1911" i="47" s="1"/>
  <c r="K1911" i="47" s="1"/>
  <c r="G1936" i="47" a="1"/>
  <c r="G1936" i="47" s="1"/>
  <c r="G1228" i="47" a="1"/>
  <c r="G1228" i="47" s="1"/>
  <c r="K1228" i="47" s="1"/>
  <c r="G1254" i="47" a="1"/>
  <c r="G1254" i="47" s="1"/>
  <c r="K1254" i="47" s="1"/>
  <c r="G1286" i="47" a="1"/>
  <c r="G1286" i="47" s="1"/>
  <c r="G1372" i="47" a="1"/>
  <c r="G1372" i="47" s="1"/>
  <c r="K1372" i="47" s="1"/>
  <c r="G1431" i="47" a="1"/>
  <c r="G1431" i="47" s="1"/>
  <c r="K1431" i="47" s="1"/>
  <c r="G1438" i="47" a="1"/>
  <c r="G1438" i="47" s="1"/>
  <c r="K1438" i="47" s="1"/>
  <c r="G1445" i="47" a="1"/>
  <c r="G1445" i="47" s="1"/>
  <c r="K1445" i="47" s="1"/>
  <c r="G1690" i="47" a="1"/>
  <c r="G1690" i="47" s="1"/>
  <c r="K1690" i="47" s="1"/>
  <c r="G1705" i="47" a="1"/>
  <c r="G1705" i="47" s="1"/>
  <c r="K1705" i="47" s="1"/>
  <c r="G1561" i="47" a="1"/>
  <c r="G1561" i="47" s="1"/>
  <c r="K1561" i="47" s="1"/>
  <c r="G1683" i="47" a="1"/>
  <c r="G1683" i="47" s="1"/>
  <c r="K1683" i="47" s="1"/>
  <c r="G1800" i="47" a="1"/>
  <c r="G1800" i="47" s="1"/>
  <c r="K1800" i="47" s="1"/>
  <c r="G1832" i="47" a="1"/>
  <c r="G1832" i="47" s="1"/>
  <c r="K1832" i="47" s="1"/>
  <c r="G1838" i="47" a="1"/>
  <c r="G1838" i="47" s="1"/>
  <c r="G1880" i="47" a="1"/>
  <c r="G1880" i="47" s="1"/>
  <c r="K1880" i="47" s="1"/>
  <c r="G1885" i="47" a="1"/>
  <c r="G1885" i="47" s="1"/>
  <c r="G1898" i="47" a="1"/>
  <c r="G1898" i="47" s="1"/>
  <c r="K1898" i="47" s="1"/>
  <c r="G1909" i="47" a="1"/>
  <c r="G1909" i="47" s="1"/>
  <c r="K1909" i="47" s="1"/>
  <c r="G1240" i="47" a="1"/>
  <c r="G1240" i="47" s="1"/>
  <c r="K1240" i="47" s="1"/>
  <c r="G1304" i="47" a="1"/>
  <c r="G1304" i="47" s="1"/>
  <c r="G1309" i="47" a="1"/>
  <c r="G1309" i="47" s="1"/>
  <c r="K1309" i="47" s="1"/>
  <c r="G1317" i="47" a="1"/>
  <c r="G1317" i="47" s="1"/>
  <c r="K1317" i="47" s="1"/>
  <c r="G1344" i="47" a="1"/>
  <c r="G1344" i="47" s="1"/>
  <c r="K1344" i="47" s="1"/>
  <c r="G1355" i="47" a="1"/>
  <c r="G1355" i="47" s="1"/>
  <c r="G1362" i="47" a="1"/>
  <c r="G1362" i="47" s="1"/>
  <c r="K1362" i="47" s="1"/>
  <c r="G1403" i="47" a="1"/>
  <c r="G1403" i="47" s="1"/>
  <c r="K1403" i="47" s="1"/>
  <c r="G1443" i="47" a="1"/>
  <c r="G1443" i="47" s="1"/>
  <c r="G1450" i="47" a="1"/>
  <c r="G1450" i="47" s="1"/>
  <c r="K1450" i="47" s="1"/>
  <c r="G1470" i="47" a="1"/>
  <c r="G1470" i="47" s="1"/>
  <c r="G1652" i="47" a="1"/>
  <c r="G1652" i="47" s="1"/>
  <c r="K1652" i="47" s="1"/>
  <c r="G1668" i="47" a="1"/>
  <c r="G1668" i="47" s="1"/>
  <c r="K1668" i="47" s="1"/>
  <c r="G1675" i="47" a="1"/>
  <c r="G1675" i="47" s="1"/>
  <c r="G1688" i="47" a="1"/>
  <c r="G1688" i="47" s="1"/>
  <c r="G1710" i="47" a="1"/>
  <c r="G1710" i="47" s="1"/>
  <c r="K1710" i="47" s="1"/>
  <c r="G1873" i="47" a="1"/>
  <c r="G1873" i="47" s="1"/>
  <c r="K1873" i="47" s="1"/>
  <c r="G1921" i="47" a="1"/>
  <c r="G1921" i="47" s="1"/>
  <c r="K1921" i="47" s="1"/>
  <c r="G1999" i="47" a="1"/>
  <c r="G1999" i="47" s="1"/>
  <c r="K1999" i="47" s="1"/>
  <c r="G2081" i="47" a="1"/>
  <c r="G2081" i="47" s="1"/>
  <c r="K2081" i="47" s="1"/>
  <c r="G2091" i="47" a="1"/>
  <c r="G2091" i="47" s="1"/>
  <c r="K2091" i="47" s="1"/>
  <c r="G1649" i="47" a="1"/>
  <c r="G1649" i="47" s="1"/>
  <c r="K1649" i="47" s="1"/>
  <c r="E1665" i="47"/>
  <c r="G1672" i="47" a="1"/>
  <c r="G1672" i="47" s="1"/>
  <c r="K1672" i="47" s="1"/>
  <c r="G1686" i="47" a="1"/>
  <c r="G1686" i="47" s="1"/>
  <c r="K1686" i="47" s="1"/>
  <c r="G1722" i="47" a="1"/>
  <c r="G1722" i="47" s="1"/>
  <c r="K1722" i="47" s="1"/>
  <c r="G1944" i="47" a="1"/>
  <c r="G1944" i="47" s="1"/>
  <c r="K1944" i="47" s="1"/>
  <c r="G1957" i="47" a="1"/>
  <c r="G1957" i="47" s="1"/>
  <c r="K1957" i="47" s="1"/>
  <c r="G1960" i="47" a="1"/>
  <c r="G1960" i="47" s="1"/>
  <c r="G1977" i="47" a="1"/>
  <c r="G1977" i="47" s="1"/>
  <c r="K1977" i="47" s="1"/>
  <c r="G2007" i="47" a="1"/>
  <c r="G2007" i="47" s="1"/>
  <c r="K2007" i="47" s="1"/>
  <c r="G2010" i="47" a="1"/>
  <c r="G2010" i="47" s="1"/>
  <c r="G2188" i="47" a="1"/>
  <c r="G2188" i="47" s="1"/>
  <c r="K2188" i="47" s="1"/>
  <c r="G2200" i="47" a="1"/>
  <c r="G2200" i="47" s="1"/>
  <c r="K2200" i="47" s="1"/>
  <c r="G2052" i="47" a="1"/>
  <c r="G2052" i="47" s="1"/>
  <c r="K2052" i="47" s="1"/>
  <c r="G2084" i="47" a="1"/>
  <c r="G2084" i="47" s="1"/>
  <c r="K2084" i="47" s="1"/>
  <c r="G2096" i="47" a="1"/>
  <c r="G2096" i="47" s="1"/>
  <c r="G2108" i="47" a="1"/>
  <c r="G2108" i="47" s="1"/>
  <c r="G2110" i="47" a="1"/>
  <c r="G2110" i="47" s="1"/>
  <c r="K2110" i="47" s="1"/>
  <c r="G1970" i="47" a="1"/>
  <c r="G1970" i="47" s="1"/>
  <c r="G1994" i="47" a="1"/>
  <c r="G1994" i="47" s="1"/>
  <c r="G2002" i="47" a="1"/>
  <c r="G2002" i="47" s="1"/>
  <c r="K2002" i="47" s="1"/>
  <c r="G2037" i="47" a="1"/>
  <c r="G2037" i="47" s="1"/>
  <c r="K2037" i="47" s="1"/>
  <c r="G2236" i="47" a="1"/>
  <c r="G2236" i="47" s="1"/>
  <c r="K2236" i="47" s="1"/>
  <c r="G1689" i="47" a="1"/>
  <c r="G1689" i="47" s="1"/>
  <c r="K1689" i="47" s="1"/>
  <c r="G1770" i="47" a="1"/>
  <c r="G1770" i="47" s="1"/>
  <c r="K1770" i="47" s="1"/>
  <c r="G1841" i="47" a="1"/>
  <c r="G1841" i="47" s="1"/>
  <c r="K1841" i="47" s="1"/>
  <c r="G1887" i="47" a="1"/>
  <c r="G1887" i="47" s="1"/>
  <c r="G1896" i="47" a="1"/>
  <c r="G1896" i="47" s="1"/>
  <c r="K1896" i="47" s="1"/>
  <c r="G1937" i="47" a="1"/>
  <c r="G1937" i="47" s="1"/>
  <c r="K1937" i="47" s="1"/>
  <c r="G1945" i="47" a="1"/>
  <c r="G1945" i="47" s="1"/>
  <c r="K1945" i="47" s="1"/>
  <c r="G2011" i="47" a="1"/>
  <c r="G2011" i="47" s="1"/>
  <c r="K2011" i="47" s="1"/>
  <c r="G2035" i="47" a="1"/>
  <c r="G2035" i="47" s="1"/>
  <c r="G2040" i="47" a="1"/>
  <c r="G2040" i="47" s="1"/>
  <c r="K2040" i="47" s="1"/>
  <c r="G2076" i="47" a="1"/>
  <c r="G2076" i="47" s="1"/>
  <c r="K2076" i="47" s="1"/>
  <c r="G2144" i="47" a="1"/>
  <c r="G2144" i="47" s="1"/>
  <c r="K2144" i="47" s="1"/>
  <c r="G2186" i="47" a="1"/>
  <c r="G2186" i="47" s="1"/>
  <c r="K2186" i="47" s="1"/>
  <c r="G2196" i="47" a="1"/>
  <c r="G2196" i="47" s="1"/>
  <c r="G2212" i="47" a="1"/>
  <c r="G2212" i="47" s="1"/>
  <c r="K2212" i="47" s="1"/>
  <c r="G1989" i="47" a="1"/>
  <c r="G1989" i="47" s="1"/>
  <c r="K1989" i="47" s="1"/>
  <c r="G2043" i="47" a="1"/>
  <c r="G2043" i="47" s="1"/>
  <c r="K2043" i="47" s="1"/>
  <c r="G2074" i="47" a="1"/>
  <c r="G2074" i="47" s="1"/>
  <c r="K2074" i="47" s="1"/>
  <c r="G2134" i="47" a="1"/>
  <c r="G2134" i="47" s="1"/>
  <c r="K2134" i="47" s="1"/>
  <c r="G1783" i="47" a="1"/>
  <c r="G1783" i="47" s="1"/>
  <c r="K1783" i="47" s="1"/>
  <c r="G1792" i="47" a="1"/>
  <c r="G1792" i="47" s="1"/>
  <c r="K1792" i="47" s="1"/>
  <c r="G1796" i="47" a="1"/>
  <c r="G1796" i="47" s="1"/>
  <c r="K1796" i="47" s="1"/>
  <c r="G1808" i="47" a="1"/>
  <c r="G1808" i="47" s="1"/>
  <c r="K1808" i="47" s="1"/>
  <c r="G1816" i="47" a="1"/>
  <c r="G1816" i="47" s="1"/>
  <c r="G1828" i="47" a="1"/>
  <c r="G1828" i="47" s="1"/>
  <c r="K1828" i="47" s="1"/>
  <c r="G1851" i="47" a="1"/>
  <c r="G1851" i="47" s="1"/>
  <c r="K1851" i="47" s="1"/>
  <c r="G1912" i="47" a="1"/>
  <c r="G1912" i="47" s="1"/>
  <c r="K1912" i="47" s="1"/>
  <c r="G1968" i="47" a="1"/>
  <c r="G1968" i="47" s="1"/>
  <c r="G1979" i="47" a="1"/>
  <c r="G1979" i="47" s="1"/>
  <c r="K1979" i="47" s="1"/>
  <c r="G2003" i="47" a="1"/>
  <c r="G2003" i="47" s="1"/>
  <c r="K2003" i="47" s="1"/>
  <c r="G2038" i="47" a="1"/>
  <c r="G2038" i="47" s="1"/>
  <c r="K2038" i="47" s="1"/>
  <c r="G2048" i="47" a="1"/>
  <c r="G2048" i="47" s="1"/>
  <c r="K2048" i="47" s="1"/>
  <c r="G2147" i="47" a="1"/>
  <c r="G2147" i="47" s="1"/>
  <c r="K2147" i="47" s="1"/>
  <c r="G2150" i="47" a="1"/>
  <c r="G2150" i="47" s="1"/>
  <c r="G2180" i="47" a="1"/>
  <c r="G2180" i="47" s="1"/>
  <c r="K2180" i="47" s="1"/>
  <c r="G2244" i="47" a="1"/>
  <c r="G2244" i="47" s="1"/>
  <c r="K2244" i="47" s="1"/>
  <c r="E2265" i="47"/>
  <c r="H2265" i="47" a="1"/>
  <c r="H2265" i="47" s="1"/>
  <c r="G1660" i="47" a="1"/>
  <c r="G1660" i="47" s="1"/>
  <c r="G1776" i="47" a="1"/>
  <c r="G1776" i="47" s="1"/>
  <c r="K1776" i="47" s="1"/>
  <c r="G1863" i="47" a="1"/>
  <c r="G1863" i="47" s="1"/>
  <c r="K1863" i="47" s="1"/>
  <c r="G1888" i="47" a="1"/>
  <c r="G1888" i="47" s="1"/>
  <c r="K1888" i="47" s="1"/>
  <c r="G1923" i="47" a="1"/>
  <c r="G1923" i="47" s="1"/>
  <c r="K1923" i="47" s="1"/>
  <c r="G1959" i="47" a="1"/>
  <c r="G1959" i="47" s="1"/>
  <c r="K1959" i="47" s="1"/>
  <c r="G2033" i="47" a="1"/>
  <c r="G2033" i="47" s="1"/>
  <c r="G2046" i="47" a="1"/>
  <c r="G2046" i="47" s="1"/>
  <c r="K2046" i="47" s="1"/>
  <c r="G2142" i="47" a="1"/>
  <c r="G2142" i="47" s="1"/>
  <c r="K2142" i="47" s="1"/>
  <c r="H2165" i="47" a="1"/>
  <c r="H2165" i="47" s="1"/>
  <c r="G2165" i="47" s="1" a="1"/>
  <c r="G2165" i="47" s="1"/>
  <c r="G2247" i="47" a="1"/>
  <c r="G2247" i="47" s="1"/>
  <c r="K2247" i="47" s="1"/>
  <c r="G2340" i="47" a="1"/>
  <c r="G2340" i="47" s="1"/>
  <c r="K2340" i="47" s="1"/>
  <c r="G1724" i="47" a="1"/>
  <c r="G1724" i="47" s="1"/>
  <c r="K1724" i="47" s="1"/>
  <c r="G1763" i="47" a="1"/>
  <c r="G1763" i="47" s="1"/>
  <c r="K1763" i="47" s="1"/>
  <c r="G1769" i="47" a="1"/>
  <c r="G1769" i="47" s="1"/>
  <c r="K1769" i="47" s="1"/>
  <c r="G1797" i="47" a="1"/>
  <c r="G1797" i="47" s="1"/>
  <c r="K1797" i="47" s="1"/>
  <c r="G1804" i="47" a="1"/>
  <c r="G1804" i="47" s="1"/>
  <c r="G1819" i="47" a="1"/>
  <c r="G1819" i="47" s="1"/>
  <c r="G1849" i="47" a="1"/>
  <c r="G1849" i="47" s="1"/>
  <c r="K1849" i="47" s="1"/>
  <c r="G1854" i="47" a="1"/>
  <c r="G1854" i="47" s="1"/>
  <c r="K1854" i="47" s="1"/>
  <c r="G1867" i="47" a="1"/>
  <c r="G1867" i="47" s="1"/>
  <c r="K1867" i="47" s="1"/>
  <c r="G1872" i="47" a="1"/>
  <c r="G1872" i="47" s="1"/>
  <c r="K1872" i="47" s="1"/>
  <c r="G1916" i="47" a="1"/>
  <c r="G1916" i="47" s="1"/>
  <c r="G1933" i="47" a="1"/>
  <c r="G1933" i="47" s="1"/>
  <c r="K1933" i="47" s="1"/>
  <c r="G1990" i="47" a="1"/>
  <c r="G1990" i="47" s="1"/>
  <c r="K1990" i="47" s="1"/>
  <c r="G2041" i="47" a="1"/>
  <c r="G2041" i="47" s="1"/>
  <c r="G2083" i="47" a="1"/>
  <c r="G2083" i="47" s="1"/>
  <c r="K2083" i="47" s="1"/>
  <c r="G2128" i="47" a="1"/>
  <c r="G2128" i="47" s="1"/>
  <c r="K2128" i="47" s="1"/>
  <c r="G2222" i="47" a="1"/>
  <c r="G2222" i="47" s="1"/>
  <c r="G2250" i="47" a="1"/>
  <c r="G2250" i="47" s="1"/>
  <c r="G2291" i="47" a="1"/>
  <c r="G2291" i="47" s="1"/>
  <c r="K2291" i="47" s="1"/>
  <c r="G2133" i="47" a="1"/>
  <c r="G2133" i="47" s="1"/>
  <c r="K2133" i="47" s="1"/>
  <c r="G2138" i="47" a="1"/>
  <c r="G2138" i="47" s="1"/>
  <c r="K2138" i="47" s="1"/>
  <c r="G2140" i="47" a="1"/>
  <c r="G2140" i="47" s="1"/>
  <c r="K2140" i="47" s="1"/>
  <c r="G2192" i="47" a="1"/>
  <c r="G2192" i="47" s="1"/>
  <c r="K2192" i="47" s="1"/>
  <c r="G2194" i="47" a="1"/>
  <c r="G2194" i="47" s="1"/>
  <c r="G2251" i="47" a="1"/>
  <c r="G2251" i="47" s="1"/>
  <c r="K2251" i="47" s="1"/>
  <c r="G2328" i="47" a="1"/>
  <c r="G2328" i="47" s="1"/>
  <c r="G2333" i="47" a="1"/>
  <c r="G2333" i="47" s="1"/>
  <c r="K2333" i="47" s="1"/>
  <c r="G2361" i="47" a="1"/>
  <c r="G2361" i="47" s="1"/>
  <c r="K2361" i="47" s="1"/>
  <c r="G2363" i="47" a="1"/>
  <c r="G2363" i="47" s="1"/>
  <c r="K2363" i="47" s="1"/>
  <c r="G2366" i="47" a="1"/>
  <c r="G2366" i="47" s="1"/>
  <c r="K2366" i="47" s="1"/>
  <c r="G2393" i="47" a="1"/>
  <c r="G2393" i="47" s="1"/>
  <c r="K2393" i="47" s="1"/>
  <c r="G2432" i="47" a="1"/>
  <c r="G2432" i="47" s="1"/>
  <c r="K2432" i="47" s="1"/>
  <c r="G2458" i="47" a="1"/>
  <c r="G2458" i="47" s="1"/>
  <c r="K2458" i="47" s="1"/>
  <c r="G2463" i="47" a="1"/>
  <c r="G2463" i="47" s="1"/>
  <c r="K2463" i="47" s="1"/>
  <c r="G2479" i="47" a="1"/>
  <c r="G2479" i="47" s="1"/>
  <c r="G2501" i="47" a="1"/>
  <c r="G2501" i="47" s="1"/>
  <c r="K2501" i="47" s="1"/>
  <c r="G1939" i="47" a="1"/>
  <c r="G1939" i="47" s="1"/>
  <c r="K1939" i="47" s="1"/>
  <c r="G1949" i="47" a="1"/>
  <c r="G1949" i="47" s="1"/>
  <c r="K1949" i="47" s="1"/>
  <c r="G1962" i="47" a="1"/>
  <c r="G1962" i="47" s="1"/>
  <c r="K1962" i="47" s="1"/>
  <c r="G1966" i="47" a="1"/>
  <c r="G1966" i="47" s="1"/>
  <c r="K1966" i="47" s="1"/>
  <c r="G1992" i="47" a="1"/>
  <c r="G1992" i="47" s="1"/>
  <c r="G2061" i="47" a="1"/>
  <c r="G2061" i="47" s="1"/>
  <c r="K2061" i="47" s="1"/>
  <c r="G2072" i="47" a="1"/>
  <c r="G2072" i="47" s="1"/>
  <c r="K2072" i="47" s="1"/>
  <c r="G2127" i="47" a="1"/>
  <c r="G2127" i="47" s="1"/>
  <c r="K2127" i="47" s="1"/>
  <c r="G2136" i="47" a="1"/>
  <c r="G2136" i="47" s="1"/>
  <c r="K2136" i="47" s="1"/>
  <c r="G2161" i="47" a="1"/>
  <c r="G2161" i="47" s="1"/>
  <c r="K2161" i="47" s="1"/>
  <c r="G2300" i="47" a="1"/>
  <c r="G2300" i="47" s="1"/>
  <c r="K2300" i="47" s="1"/>
  <c r="G2331" i="47" a="1"/>
  <c r="G2331" i="47" s="1"/>
  <c r="K2331" i="47" s="1"/>
  <c r="G2396" i="47" a="1"/>
  <c r="G2396" i="47" s="1"/>
  <c r="K2396" i="47" s="1"/>
  <c r="G2435" i="47" a="1"/>
  <c r="G2435" i="47" s="1"/>
  <c r="K2435" i="47" s="1"/>
  <c r="G2447" i="47" a="1"/>
  <c r="G2447" i="47" s="1"/>
  <c r="K2447" i="47" s="1"/>
  <c r="G2051" i="47" a="1"/>
  <c r="G2051" i="47" s="1"/>
  <c r="K2051" i="47" s="1"/>
  <c r="G2156" i="47" a="1"/>
  <c r="G2156" i="47" s="1"/>
  <c r="G2286" i="47" a="1"/>
  <c r="G2286" i="47" s="1"/>
  <c r="K2286" i="47" s="1"/>
  <c r="G2298" i="47" a="1"/>
  <c r="G2298" i="47" s="1"/>
  <c r="K2298" i="47" s="1"/>
  <c r="G2354" i="47" a="1"/>
  <c r="G2354" i="47" s="1"/>
  <c r="G2423" i="47" a="1"/>
  <c r="G2423" i="47" s="1"/>
  <c r="K2423" i="47" s="1"/>
  <c r="G2440" i="47" a="1"/>
  <c r="G2440" i="47" s="1"/>
  <c r="K2440" i="47" s="1"/>
  <c r="G2470" i="47" a="1"/>
  <c r="G2470" i="47" s="1"/>
  <c r="G2475" i="47" a="1"/>
  <c r="G2475" i="47" s="1"/>
  <c r="K2475" i="47" s="1"/>
  <c r="G2408" i="47" a="1"/>
  <c r="G2408" i="47" s="1"/>
  <c r="K2408" i="47" s="1"/>
  <c r="G1950" i="47" a="1"/>
  <c r="G1950" i="47" s="1"/>
  <c r="K1950" i="47" s="1"/>
  <c r="G1963" i="47" a="1"/>
  <c r="G1963" i="47" s="1"/>
  <c r="K1963" i="47" s="1"/>
  <c r="G1980" i="47" a="1"/>
  <c r="G1980" i="47" s="1"/>
  <c r="G1993" i="47" a="1"/>
  <c r="G1993" i="47" s="1"/>
  <c r="K1993" i="47" s="1"/>
  <c r="G2006" i="47" a="1"/>
  <c r="G2006" i="47" s="1"/>
  <c r="G2068" i="47" a="1"/>
  <c r="G2068" i="47" s="1"/>
  <c r="K2068" i="47" s="1"/>
  <c r="G2080" i="47" a="1"/>
  <c r="G2080" i="47" s="1"/>
  <c r="K2080" i="47" s="1"/>
  <c r="G2101" i="47" a="1"/>
  <c r="G2101" i="47" s="1"/>
  <c r="K2101" i="47" s="1"/>
  <c r="G2123" i="47" a="1"/>
  <c r="G2123" i="47" s="1"/>
  <c r="K2123" i="47" s="1"/>
  <c r="G2201" i="47" a="1"/>
  <c r="G2201" i="47" s="1"/>
  <c r="K2201" i="47" s="1"/>
  <c r="G2211" i="47" a="1"/>
  <c r="G2211" i="47" s="1"/>
  <c r="K2211" i="47" s="1"/>
  <c r="G2284" i="47" a="1"/>
  <c r="G2284" i="47" s="1"/>
  <c r="K2284" i="47" s="1"/>
  <c r="G2301" i="47" a="1"/>
  <c r="G2301" i="47" s="1"/>
  <c r="K2301" i="47" s="1"/>
  <c r="G2329" i="47" a="1"/>
  <c r="G2329" i="47" s="1"/>
  <c r="K2329" i="47" s="1"/>
  <c r="G2357" i="47" a="1"/>
  <c r="G2357" i="47" s="1"/>
  <c r="K2357" i="47" s="1"/>
  <c r="H2365" i="47" a="1"/>
  <c r="H2365" i="47" s="1"/>
  <c r="G2365" i="47" s="1" a="1"/>
  <c r="G2365" i="47" s="1"/>
  <c r="K2365" i="47" s="1"/>
  <c r="G2433" i="47" a="1"/>
  <c r="G2433" i="47" s="1"/>
  <c r="K2433" i="47" s="1"/>
  <c r="G2235" i="47" a="1"/>
  <c r="G2235" i="47" s="1"/>
  <c r="K2235" i="47" s="1"/>
  <c r="G2327" i="47" a="1"/>
  <c r="G2327" i="47" s="1"/>
  <c r="K2327" i="47" s="1"/>
  <c r="G2355" i="47" a="1"/>
  <c r="G2355" i="47" s="1"/>
  <c r="K2355" i="47" s="1"/>
  <c r="G2360" i="47" a="1"/>
  <c r="G2360" i="47" s="1"/>
  <c r="K2360" i="47" s="1"/>
  <c r="G2376" i="47" a="1"/>
  <c r="G2376" i="47" s="1"/>
  <c r="K2376" i="47" s="1"/>
  <c r="G2390" i="47" a="1"/>
  <c r="G2390" i="47" s="1"/>
  <c r="K2390" i="47" s="1"/>
  <c r="G2419" i="47" a="1"/>
  <c r="G2419" i="47" s="1"/>
  <c r="G2421" i="47" a="1"/>
  <c r="G2421" i="47" s="1"/>
  <c r="K2421" i="47" s="1"/>
  <c r="G2493" i="47" a="1"/>
  <c r="G2493" i="47" s="1"/>
  <c r="K2493" i="47" s="1"/>
  <c r="G1900" i="47" a="1"/>
  <c r="G1900" i="47" s="1"/>
  <c r="G1925" i="47" a="1"/>
  <c r="G1925" i="47" s="1"/>
  <c r="K1925" i="47" s="1"/>
  <c r="G1935" i="47" a="1"/>
  <c r="G1935" i="47" s="1"/>
  <c r="K1935" i="47" s="1"/>
  <c r="G1978" i="47" a="1"/>
  <c r="G1978" i="47" s="1"/>
  <c r="K1978" i="47" s="1"/>
  <c r="G1988" i="47" a="1"/>
  <c r="G1988" i="47" s="1"/>
  <c r="K1988" i="47" s="1"/>
  <c r="G2004" i="47" a="1"/>
  <c r="G2004" i="47" s="1"/>
  <c r="K2004" i="47" s="1"/>
  <c r="G2034" i="47" a="1"/>
  <c r="G2034" i="47" s="1"/>
  <c r="K2034" i="47" s="1"/>
  <c r="G2066" i="47" a="1"/>
  <c r="G2066" i="47" s="1"/>
  <c r="K2066" i="47" s="1"/>
  <c r="G2078" i="47" a="1"/>
  <c r="G2078" i="47" s="1"/>
  <c r="K2078" i="47" s="1"/>
  <c r="G2116" i="47" a="1"/>
  <c r="G2116" i="47" s="1"/>
  <c r="K2116" i="47" s="1"/>
  <c r="G2168" i="47" a="1"/>
  <c r="G2168" i="47" s="1"/>
  <c r="K2168" i="47" s="1"/>
  <c r="G2226" i="47" a="1"/>
  <c r="G2226" i="47" s="1"/>
  <c r="G2278" i="47" a="1"/>
  <c r="G2278" i="47" s="1"/>
  <c r="K2278" i="47" s="1"/>
  <c r="G2309" i="47" a="1"/>
  <c r="G2309" i="47" s="1"/>
  <c r="K2309" i="47" s="1"/>
  <c r="G2406" i="47" a="1"/>
  <c r="G2406" i="47" s="1"/>
  <c r="K2406" i="47" s="1"/>
  <c r="G2498" i="47" a="1"/>
  <c r="G2498" i="47" s="1"/>
  <c r="K2498" i="47" s="1"/>
  <c r="G2508" i="47" a="1"/>
  <c r="G2508" i="47" s="1"/>
  <c r="K2508" i="47" s="1"/>
  <c r="G2173" i="47" a="1"/>
  <c r="G2173" i="47" s="1"/>
  <c r="K2173" i="47" s="1"/>
  <c r="H2215" i="47" a="1"/>
  <c r="H2215" i="47" s="1"/>
  <c r="G2215" i="47" s="1" a="1"/>
  <c r="G2215" i="47" s="1"/>
  <c r="K2215" i="47" s="1"/>
  <c r="G2240" i="47" a="1"/>
  <c r="G2240" i="47" s="1"/>
  <c r="G2255" i="47" a="1"/>
  <c r="G2255" i="47" s="1"/>
  <c r="K2255" i="47" s="1"/>
  <c r="G2506" i="47" a="1"/>
  <c r="G2506" i="47" s="1"/>
  <c r="K2502" i="47"/>
  <c r="K2033" i="47"/>
  <c r="K2053" i="47"/>
  <c r="K2029" i="47"/>
  <c r="K2042" i="47"/>
  <c r="K2039" i="47"/>
  <c r="K2111" i="47"/>
  <c r="K2032" i="47"/>
  <c r="K2096" i="47"/>
  <c r="K2062" i="47"/>
  <c r="K2035" i="47"/>
  <c r="K2055" i="47"/>
  <c r="K2044" i="47"/>
  <c r="K2102" i="47"/>
  <c r="K2159" i="47"/>
  <c r="G2152" i="47" a="1"/>
  <c r="G2152" i="47" s="1"/>
  <c r="K2152" i="47" s="1"/>
  <c r="K2098" i="47"/>
  <c r="G2056" i="47" a="1"/>
  <c r="G2056" i="47" s="1"/>
  <c r="K2056" i="47" s="1"/>
  <c r="E2065" i="47"/>
  <c r="H2065" i="47" a="1"/>
  <c r="H2065" i="47" s="1"/>
  <c r="G2065" i="47" s="1" a="1"/>
  <c r="G2065" i="47" s="1"/>
  <c r="K2065" i="47" s="1"/>
  <c r="K2108" i="47"/>
  <c r="K2160" i="47"/>
  <c r="K2106" i="47"/>
  <c r="E2115" i="47"/>
  <c r="G2115" i="47" a="1"/>
  <c r="G2115" i="47" s="1"/>
  <c r="K2115" i="47" s="1"/>
  <c r="H2115" i="47" a="1"/>
  <c r="H2115" i="47" s="1"/>
  <c r="K2145" i="47"/>
  <c r="K2170" i="47"/>
  <c r="K2175" i="47"/>
  <c r="K2041" i="47"/>
  <c r="K2150" i="47"/>
  <c r="G2069" i="47" a="1"/>
  <c r="G2069" i="47" s="1"/>
  <c r="K2069" i="47" s="1"/>
  <c r="G2087" i="47" a="1"/>
  <c r="G2087" i="47" s="1"/>
  <c r="K2077" i="47"/>
  <c r="G2151" i="47" a="1"/>
  <c r="G2151" i="47" s="1"/>
  <c r="K2151" i="47" s="1"/>
  <c r="K2187" i="47"/>
  <c r="E2027" i="47"/>
  <c r="H2018" i="47" a="1"/>
  <c r="H2018" i="47" s="1"/>
  <c r="G2018" i="47" s="1" a="1"/>
  <c r="G2018" i="47" s="1"/>
  <c r="K2018" i="47" s="1"/>
  <c r="G2016" i="47" a="1"/>
  <c r="G2016" i="47" s="1"/>
  <c r="K2016" i="47" s="1"/>
  <c r="F2015" i="47"/>
  <c r="H2024" i="47" a="1"/>
  <c r="H2024" i="47" s="1"/>
  <c r="G2024" i="47" s="1" a="1"/>
  <c r="G2024" i="47" s="1"/>
  <c r="K2024" i="47" s="1"/>
  <c r="G2022" i="47" a="1"/>
  <c r="G2022" i="47" s="1"/>
  <c r="E2021" i="47"/>
  <c r="H2020" i="47" a="1"/>
  <c r="H2020" i="47" s="1"/>
  <c r="G2020" i="47" s="1" a="1"/>
  <c r="G2020" i="47" s="1"/>
  <c r="E2019" i="47"/>
  <c r="E2020" i="47"/>
  <c r="K2156" i="47"/>
  <c r="G2063" i="47" a="1"/>
  <c r="G2063" i="47" s="1"/>
  <c r="K2063" i="47" s="1"/>
  <c r="K2154" i="47"/>
  <c r="K2196" i="47"/>
  <c r="K2207" i="47"/>
  <c r="K2213" i="47"/>
  <c r="K2240" i="47"/>
  <c r="K2184" i="47"/>
  <c r="K2194" i="47"/>
  <c r="K2174" i="47"/>
  <c r="E2017" i="47"/>
  <c r="H2023" i="47" a="1"/>
  <c r="H2023" i="47" s="1"/>
  <c r="G2023" i="47" s="1" a="1"/>
  <c r="G2023" i="47" s="1"/>
  <c r="K2190" i="47"/>
  <c r="G2225" i="47" a="1"/>
  <c r="G2225" i="47" s="1"/>
  <c r="K2225" i="47" s="1"/>
  <c r="G2017" i="47" a="1"/>
  <c r="G2017" i="47" s="1"/>
  <c r="K2019" i="47"/>
  <c r="E2022" i="47"/>
  <c r="G2027" i="47" a="1"/>
  <c r="G2027" i="47" s="1"/>
  <c r="H2028" i="47" a="1"/>
  <c r="H2028" i="47" s="1"/>
  <c r="G2028" i="47" s="1" a="1"/>
  <c r="G2028" i="47" s="1"/>
  <c r="G2071" i="47" a="1"/>
  <c r="G2071" i="47" s="1"/>
  <c r="K2071" i="47" s="1"/>
  <c r="G2086" i="47" a="1"/>
  <c r="G2086" i="47" s="1"/>
  <c r="K2206" i="47"/>
  <c r="K2217" i="47"/>
  <c r="K2221" i="47"/>
  <c r="K2195" i="47"/>
  <c r="K2237" i="47"/>
  <c r="G2199" i="47" a="1"/>
  <c r="G2199" i="47" s="1"/>
  <c r="K2199" i="47" s="1"/>
  <c r="G2129" i="47" a="1"/>
  <c r="G2129" i="47" s="1"/>
  <c r="K2129" i="47" s="1"/>
  <c r="K2226" i="47"/>
  <c r="K2233" i="47"/>
  <c r="G2082" i="47" a="1"/>
  <c r="G2082" i="47" s="1"/>
  <c r="G2097" i="47" a="1"/>
  <c r="G2097" i="47" s="1"/>
  <c r="K2097" i="47" s="1"/>
  <c r="G2158" i="47" a="1"/>
  <c r="G2158" i="47" s="1"/>
  <c r="K2158" i="47" s="1"/>
  <c r="K2216" i="47"/>
  <c r="E2165" i="47"/>
  <c r="K2165" i="47"/>
  <c r="K2222" i="47"/>
  <c r="K2241" i="47"/>
  <c r="K2245" i="47"/>
  <c r="G2232" i="47" a="1"/>
  <c r="G2232" i="47" s="1"/>
  <c r="K2232" i="47" s="1"/>
  <c r="K2276" i="47"/>
  <c r="K2256" i="47"/>
  <c r="G2131" i="47" a="1"/>
  <c r="G2131" i="47" s="1"/>
  <c r="K2131" i="47" s="1"/>
  <c r="G2177" i="47" a="1"/>
  <c r="G2177" i="47" s="1"/>
  <c r="K2177" i="47" s="1"/>
  <c r="G2227" i="47" a="1"/>
  <c r="G2227" i="47" s="1"/>
  <c r="K2227" i="47" s="1"/>
  <c r="G2252" i="47" a="1"/>
  <c r="G2252" i="47" s="1"/>
  <c r="K2252" i="47" s="1"/>
  <c r="K2272" i="47"/>
  <c r="K2280" i="47"/>
  <c r="K2282" i="47"/>
  <c r="K2304" i="47"/>
  <c r="G2179" i="47" a="1"/>
  <c r="G2179" i="47" s="1"/>
  <c r="K2179" i="47" s="1"/>
  <c r="E2215" i="47"/>
  <c r="G2218" i="47" a="1"/>
  <c r="G2218" i="47" s="1"/>
  <c r="K2294" i="47"/>
  <c r="K2302" i="47"/>
  <c r="G2182" i="47" a="1"/>
  <c r="G2182" i="47" s="1"/>
  <c r="K2182" i="47" s="1"/>
  <c r="G2220" i="47" a="1"/>
  <c r="G2220" i="47" s="1"/>
  <c r="K2220" i="47" s="1"/>
  <c r="K2307" i="47"/>
  <c r="G2281" i="47" a="1"/>
  <c r="G2281" i="47" s="1"/>
  <c r="K2281" i="47" s="1"/>
  <c r="G2230" i="47" a="1"/>
  <c r="G2230" i="47" s="1"/>
  <c r="K2230" i="47" s="1"/>
  <c r="K2271" i="47"/>
  <c r="G2269" i="47" a="1"/>
  <c r="G2269" i="47" s="1"/>
  <c r="K2269" i="47" s="1"/>
  <c r="K2321" i="47"/>
  <c r="K2328" i="47"/>
  <c r="K2335" i="47"/>
  <c r="K2250" i="47"/>
  <c r="G2239" i="47" a="1"/>
  <c r="G2239" i="47" s="1"/>
  <c r="K2239" i="47" s="1"/>
  <c r="K2320" i="47"/>
  <c r="K2338" i="47"/>
  <c r="K2334" i="47"/>
  <c r="G2208" i="47" a="1"/>
  <c r="G2208" i="47" s="1"/>
  <c r="K2208" i="47" s="1"/>
  <c r="G2259" i="47" a="1"/>
  <c r="G2259" i="47" s="1"/>
  <c r="K2259" i="47" s="1"/>
  <c r="G2279" i="47" a="1"/>
  <c r="G2279" i="47" s="1"/>
  <c r="K2279" i="47" s="1"/>
  <c r="K2343" i="47"/>
  <c r="G2345" i="47" a="1"/>
  <c r="G2345" i="47" s="1"/>
  <c r="K2345" i="47" s="1"/>
  <c r="K2368" i="47"/>
  <c r="G2306" i="47" a="1"/>
  <c r="G2306" i="47" s="1"/>
  <c r="K2306" i="47" s="1"/>
  <c r="G2316" i="47" a="1"/>
  <c r="G2316" i="47" s="1"/>
  <c r="K2316" i="47" s="1"/>
  <c r="K2356" i="47"/>
  <c r="K2362" i="47"/>
  <c r="K2371" i="47"/>
  <c r="E2315" i="47"/>
  <c r="H2315" i="47" a="1"/>
  <c r="H2315" i="47" s="1"/>
  <c r="G2315" i="47" s="1" a="1"/>
  <c r="G2315" i="47" s="1"/>
  <c r="K2351" i="47"/>
  <c r="K2354" i="47"/>
  <c r="G2265" i="47" a="1"/>
  <c r="G2265" i="47" s="1"/>
  <c r="K2265" i="47" s="1"/>
  <c r="G2339" i="47" a="1"/>
  <c r="G2339" i="47" s="1"/>
  <c r="K2339" i="47" s="1"/>
  <c r="G2370" i="47" a="1"/>
  <c r="G2370" i="47" s="1"/>
  <c r="K2370" i="47" s="1"/>
  <c r="K2404" i="47"/>
  <c r="K2381" i="47"/>
  <c r="K2389" i="47"/>
  <c r="K2401" i="47"/>
  <c r="K2386" i="47"/>
  <c r="K2392" i="47"/>
  <c r="K2399" i="47"/>
  <c r="G2342" i="47" a="1"/>
  <c r="G2342" i="47" s="1"/>
  <c r="K2342" i="47" s="1"/>
  <c r="K2412" i="47"/>
  <c r="K2443" i="47"/>
  <c r="K2474" i="47"/>
  <c r="K2494" i="47"/>
  <c r="K2506" i="47"/>
  <c r="K2431" i="47"/>
  <c r="K2452" i="47"/>
  <c r="K2482" i="47"/>
  <c r="K2470" i="47"/>
  <c r="K2416" i="47"/>
  <c r="K2507" i="47"/>
  <c r="K2483" i="47"/>
  <c r="G2382" i="47" a="1"/>
  <c r="G2382" i="47" s="1"/>
  <c r="K2382" i="47" s="1"/>
  <c r="G2394" i="47" a="1"/>
  <c r="G2394" i="47" s="1"/>
  <c r="K2394" i="47" s="1"/>
  <c r="K2413" i="47"/>
  <c r="K2471" i="47"/>
  <c r="K2426" i="47"/>
  <c r="K2466" i="47"/>
  <c r="H2415" i="47" a="1"/>
  <c r="H2415" i="47" s="1"/>
  <c r="G2415" i="47" s="1" a="1"/>
  <c r="G2415" i="47" s="1"/>
  <c r="E2415" i="47"/>
  <c r="K2419" i="47"/>
  <c r="G2446" i="47" a="1"/>
  <c r="G2446" i="47" s="1"/>
  <c r="K2446" i="47" s="1"/>
  <c r="G2485" i="47" a="1"/>
  <c r="G2485" i="47" s="1"/>
  <c r="K2485" i="47" s="1"/>
  <c r="G2496" i="47" a="1"/>
  <c r="G2496" i="47" s="1"/>
  <c r="K2496" i="47" s="1"/>
  <c r="K2479" i="47"/>
  <c r="G2407" i="47" a="1"/>
  <c r="G2407" i="47" s="1"/>
  <c r="K2407" i="47" s="1"/>
  <c r="K2455" i="47"/>
  <c r="K2510" i="47"/>
  <c r="K2428" i="47"/>
  <c r="K2486" i="47"/>
  <c r="K2495" i="47"/>
  <c r="G2473" i="47" a="1"/>
  <c r="G2473" i="47" s="1"/>
  <c r="K2473" i="47" s="1"/>
  <c r="H2465" i="47" a="1"/>
  <c r="H2465" i="47" s="1"/>
  <c r="G2465" i="47" s="1" a="1"/>
  <c r="G2465" i="47" s="1"/>
  <c r="K2467" i="47"/>
  <c r="K1607" i="47"/>
  <c r="K1539" i="47"/>
  <c r="K1552" i="47"/>
  <c r="K1534" i="47"/>
  <c r="K1590" i="47"/>
  <c r="K1563" i="47"/>
  <c r="K1519" i="47"/>
  <c r="K1543" i="47"/>
  <c r="K1669" i="47"/>
  <c r="K1620" i="47"/>
  <c r="K1660" i="47"/>
  <c r="K1663" i="47"/>
  <c r="K1697" i="47"/>
  <c r="K1630" i="47"/>
  <c r="K1674" i="47"/>
  <c r="K1566" i="47"/>
  <c r="K1691" i="47"/>
  <c r="G1599" i="47" a="1"/>
  <c r="G1599" i="47" s="1"/>
  <c r="K1599" i="47" s="1"/>
  <c r="K1646" i="47"/>
  <c r="K1650" i="47"/>
  <c r="H1615" i="47" a="1"/>
  <c r="H1615" i="47" s="1"/>
  <c r="G1615" i="47" s="1" a="1"/>
  <c r="G1615" i="47" s="1"/>
  <c r="K1617" i="47"/>
  <c r="K1631" i="47"/>
  <c r="K1680" i="47"/>
  <c r="K1625" i="47"/>
  <c r="K1638" i="47"/>
  <c r="K1613" i="47"/>
  <c r="K1537" i="47"/>
  <c r="K1540" i="47"/>
  <c r="H1529" i="47" a="1"/>
  <c r="H1529" i="47" s="1"/>
  <c r="G1529" i="47" s="1" a="1"/>
  <c r="G1529" i="47" s="1"/>
  <c r="K1529" i="47" s="1"/>
  <c r="G1527" i="47" a="1"/>
  <c r="G1527" i="47" s="1"/>
  <c r="K1527" i="47" s="1"/>
  <c r="E1526" i="47"/>
  <c r="H1517" i="47" a="1"/>
  <c r="H1517" i="47" s="1"/>
  <c r="G1517" i="47" s="1" a="1"/>
  <c r="G1517" i="47" s="1"/>
  <c r="K1517" i="47" s="1"/>
  <c r="H1522" i="47" a="1"/>
  <c r="H1522" i="47" s="1"/>
  <c r="G1522" i="47" s="1" a="1"/>
  <c r="G1522" i="47" s="1"/>
  <c r="K1522" i="47" s="1"/>
  <c r="G1520" i="47" a="1"/>
  <c r="G1520" i="47" s="1"/>
  <c r="K1520" i="47" s="1"/>
  <c r="E1519" i="47"/>
  <c r="H1528" i="47" a="1"/>
  <c r="H1528" i="47" s="1"/>
  <c r="G1528" i="47" s="1" a="1"/>
  <c r="G1528" i="47" s="1"/>
  <c r="K1528" i="47" s="1"/>
  <c r="E1527" i="47"/>
  <c r="E1522" i="47"/>
  <c r="H1518" i="47" a="1"/>
  <c r="H1518" i="47" s="1"/>
  <c r="G1518" i="47" s="1" a="1"/>
  <c r="G1518" i="47" s="1"/>
  <c r="E1517" i="47"/>
  <c r="E1528" i="47"/>
  <c r="H1524" i="47" a="1"/>
  <c r="H1524" i="47" s="1"/>
  <c r="G1524" i="47" s="1" a="1"/>
  <c r="G1524" i="47" s="1"/>
  <c r="K1524" i="47" s="1"/>
  <c r="E1523" i="47"/>
  <c r="H1526" i="47" a="1"/>
  <c r="H1526" i="47" s="1"/>
  <c r="G1526" i="47" s="1" a="1"/>
  <c r="G1526" i="47" s="1"/>
  <c r="G1525" i="47" a="1"/>
  <c r="G1525" i="47" s="1"/>
  <c r="K1525" i="47" s="1"/>
  <c r="K1523" i="47"/>
  <c r="G1521" i="47" a="1"/>
  <c r="G1521" i="47" s="1"/>
  <c r="G1516" i="47" a="1"/>
  <c r="G1516" i="47" s="1"/>
  <c r="K1516" i="47" s="1"/>
  <c r="G1515" i="47" a="1"/>
  <c r="G1515" i="47" s="1"/>
  <c r="K1515" i="47" s="1"/>
  <c r="G1533" i="47" a="1"/>
  <c r="G1533" i="47" s="1"/>
  <c r="G1581" i="47" a="1"/>
  <c r="G1581" i="47" s="1"/>
  <c r="K1581" i="47" s="1"/>
  <c r="G1565" i="47" a="1"/>
  <c r="G1565" i="47" s="1"/>
  <c r="K1565" i="47" s="1"/>
  <c r="K1600" i="47"/>
  <c r="K1651" i="47"/>
  <c r="K1655" i="47"/>
  <c r="G1530" i="47" a="1"/>
  <c r="G1530" i="47" s="1"/>
  <c r="K1530" i="47" s="1"/>
  <c r="G1567" i="47" a="1"/>
  <c r="G1567" i="47" s="1"/>
  <c r="K1567" i="47" s="1"/>
  <c r="G1589" i="47" a="1"/>
  <c r="G1589" i="47" s="1"/>
  <c r="K1589" i="47" s="1"/>
  <c r="K1632" i="47"/>
  <c r="K1707" i="47"/>
  <c r="K1675" i="47"/>
  <c r="H1715" i="47" a="1"/>
  <c r="H1715" i="47" s="1"/>
  <c r="G1715" i="47" s="1" a="1"/>
  <c r="G1715" i="47" s="1"/>
  <c r="K1715" i="47" s="1"/>
  <c r="E1715" i="47"/>
  <c r="K1719" i="47"/>
  <c r="G1535" i="47" a="1"/>
  <c r="G1535" i="47" s="1"/>
  <c r="K1535" i="47" s="1"/>
  <c r="G1648" i="47" a="1"/>
  <c r="G1648" i="47" s="1"/>
  <c r="K1648" i="47" s="1"/>
  <c r="K1729" i="47"/>
  <c r="G1624" i="47" a="1"/>
  <c r="G1624" i="47" s="1"/>
  <c r="K1624" i="47" s="1"/>
  <c r="K1695" i="47"/>
  <c r="K1699" i="47"/>
  <c r="K1743" i="47"/>
  <c r="G1704" i="47" a="1"/>
  <c r="G1704" i="47" s="1"/>
  <c r="K1704" i="47" s="1"/>
  <c r="K1688" i="47"/>
  <c r="G1559" i="47" a="1"/>
  <c r="G1559" i="47" s="1"/>
  <c r="K1559" i="47" s="1"/>
  <c r="K1718" i="47"/>
  <c r="K1723" i="47"/>
  <c r="G1642" i="47" a="1"/>
  <c r="G1642" i="47" s="1"/>
  <c r="G1596" i="47" a="1"/>
  <c r="G1596" i="47" s="1"/>
  <c r="G1628" i="47" a="1"/>
  <c r="G1628" i="47" s="1"/>
  <c r="G1700" i="47" a="1"/>
  <c r="G1700" i="47" s="1"/>
  <c r="K1700" i="47" s="1"/>
  <c r="K1756" i="47"/>
  <c r="G1721" i="47" a="1"/>
  <c r="G1721" i="47" s="1"/>
  <c r="K1721" i="47" s="1"/>
  <c r="K1816" i="47"/>
  <c r="H1665" i="47" a="1"/>
  <c r="H1665" i="47" s="1"/>
  <c r="G1665" i="47" s="1" a="1"/>
  <c r="G1665" i="47" s="1"/>
  <c r="K1665" i="47" s="1"/>
  <c r="K1760" i="47"/>
  <c r="K1779" i="47"/>
  <c r="K1758" i="47"/>
  <c r="K1806" i="47"/>
  <c r="K1804" i="47"/>
  <c r="G1730" i="47" a="1"/>
  <c r="G1730" i="47" s="1"/>
  <c r="G1741" i="47" a="1"/>
  <c r="G1741" i="47" s="1"/>
  <c r="K1741" i="47" s="1"/>
  <c r="K1766" i="47"/>
  <c r="G1692" i="47" a="1"/>
  <c r="G1692" i="47" s="1"/>
  <c r="K1692" i="47" s="1"/>
  <c r="K1747" i="47"/>
  <c r="K1771" i="47"/>
  <c r="G1694" i="47" a="1"/>
  <c r="G1694" i="47" s="1"/>
  <c r="K1694" i="47" s="1"/>
  <c r="G1713" i="47" a="1"/>
  <c r="G1713" i="47" s="1"/>
  <c r="K1713" i="47" s="1"/>
  <c r="E1815" i="47"/>
  <c r="K1837" i="47"/>
  <c r="H1815" i="47" a="1"/>
  <c r="H1815" i="47" s="1"/>
  <c r="G1815" i="47" s="1" a="1"/>
  <c r="G1815" i="47" s="1"/>
  <c r="K1819" i="47"/>
  <c r="G1824" i="47" a="1"/>
  <c r="G1824" i="47" s="1"/>
  <c r="K1824" i="47" s="1"/>
  <c r="K1835" i="47"/>
  <c r="H1765" i="47" a="1"/>
  <c r="H1765" i="47" s="1"/>
  <c r="G1765" i="47" s="1" a="1"/>
  <c r="G1765" i="47" s="1"/>
  <c r="E1765" i="47"/>
  <c r="K1822" i="47"/>
  <c r="K1805" i="47"/>
  <c r="K1818" i="47"/>
  <c r="K1838" i="47"/>
  <c r="G1748" i="47" a="1"/>
  <c r="G1748" i="47" s="1"/>
  <c r="G1753" i="47" a="1"/>
  <c r="G1753" i="47" s="1"/>
  <c r="G1781" i="47" a="1"/>
  <c r="G1781" i="47" s="1"/>
  <c r="K1781" i="47" s="1"/>
  <c r="K1823" i="47"/>
  <c r="G1728" i="47" a="1"/>
  <c r="G1728" i="47" s="1"/>
  <c r="K1728" i="47" s="1"/>
  <c r="K1839" i="47"/>
  <c r="G1810" i="47" a="1"/>
  <c r="G1810" i="47" s="1"/>
  <c r="K1845" i="47"/>
  <c r="G1794" i="47" a="1"/>
  <c r="G1794" i="47" s="1"/>
  <c r="K1794" i="47" s="1"/>
  <c r="G1826" i="47" a="1"/>
  <c r="G1826" i="47" s="1"/>
  <c r="K1826" i="47" s="1"/>
  <c r="K1877" i="47"/>
  <c r="K1859" i="47"/>
  <c r="K1846" i="47"/>
  <c r="K1831" i="47"/>
  <c r="K1850" i="47"/>
  <c r="G1802" i="47" a="1"/>
  <c r="G1802" i="47" s="1"/>
  <c r="K1802" i="47" s="1"/>
  <c r="G1853" i="47" a="1"/>
  <c r="G1853" i="47" s="1"/>
  <c r="K1853" i="47" s="1"/>
  <c r="G1813" i="47" a="1"/>
  <c r="G1813" i="47" s="1"/>
  <c r="K1813" i="47" s="1"/>
  <c r="K1844" i="47"/>
  <c r="K1866" i="47"/>
  <c r="G1875" i="47" a="1"/>
  <c r="G1875" i="47" s="1"/>
  <c r="H1865" i="47" a="1"/>
  <c r="H1865" i="47" s="1"/>
  <c r="G1865" i="47" s="1" a="1"/>
  <c r="G1865" i="47" s="1"/>
  <c r="E1865" i="47"/>
  <c r="K1899" i="47"/>
  <c r="K1917" i="47"/>
  <c r="K1892" i="47"/>
  <c r="G1790" i="47" a="1"/>
  <c r="G1790" i="47" s="1"/>
  <c r="K1790" i="47" s="1"/>
  <c r="G1820" i="47" a="1"/>
  <c r="G1820" i="47" s="1"/>
  <c r="K1820" i="47" s="1"/>
  <c r="K1886" i="47"/>
  <c r="K1904" i="47"/>
  <c r="K1889" i="47"/>
  <c r="K1900" i="47"/>
  <c r="K1916" i="47"/>
  <c r="G1856" i="47" a="1"/>
  <c r="G1856" i="47" s="1"/>
  <c r="K1856" i="47" s="1"/>
  <c r="G1870" i="47" a="1"/>
  <c r="G1870" i="47" s="1"/>
  <c r="K1870" i="47" s="1"/>
  <c r="K1885" i="47"/>
  <c r="K1887" i="47"/>
  <c r="K1931" i="47"/>
  <c r="K1970" i="47"/>
  <c r="K2006" i="47"/>
  <c r="K1929" i="47"/>
  <c r="K1913" i="47"/>
  <c r="K1952" i="47"/>
  <c r="K1901" i="47"/>
  <c r="G1893" i="47" a="1"/>
  <c r="G1893" i="47" s="1"/>
  <c r="K1893" i="47" s="1"/>
  <c r="K1982" i="47"/>
  <c r="K1955" i="47"/>
  <c r="H1915" i="47" a="1"/>
  <c r="H1915" i="47" s="1"/>
  <c r="G1915" i="47" s="1" a="1"/>
  <c r="G1915" i="47" s="1"/>
  <c r="E1915" i="47"/>
  <c r="K1919" i="47"/>
  <c r="K1943" i="47"/>
  <c r="K1936" i="47"/>
  <c r="K1941" i="47"/>
  <c r="H1965" i="47" a="1"/>
  <c r="H1965" i="47" s="1"/>
  <c r="G1965" i="47" s="1" a="1"/>
  <c r="G1965" i="47" s="1"/>
  <c r="E1965" i="47"/>
  <c r="K1992" i="47"/>
  <c r="K1980" i="47"/>
  <c r="K1968" i="47"/>
  <c r="K1953" i="47"/>
  <c r="K1971" i="47"/>
  <c r="K2010" i="47"/>
  <c r="G1946" i="47" a="1"/>
  <c r="G1946" i="47" s="1"/>
  <c r="K1946" i="47" s="1"/>
  <c r="K1948" i="47"/>
  <c r="K1960" i="47"/>
  <c r="K2013" i="47"/>
  <c r="K1998" i="47"/>
  <c r="K1928" i="47"/>
  <c r="K1986" i="47"/>
  <c r="K1940" i="47"/>
  <c r="K1967" i="47"/>
  <c r="K1974" i="47"/>
  <c r="K1994" i="47"/>
  <c r="K1041" i="47"/>
  <c r="K1053" i="47"/>
  <c r="K1071" i="47"/>
  <c r="K1074" i="47"/>
  <c r="K1079" i="47"/>
  <c r="K1039" i="47"/>
  <c r="K1046" i="47"/>
  <c r="K1069" i="47"/>
  <c r="K1072" i="47"/>
  <c r="K1088" i="47"/>
  <c r="K1098" i="47"/>
  <c r="K1052" i="47"/>
  <c r="K1062" i="47"/>
  <c r="K1122" i="47"/>
  <c r="K1043" i="47"/>
  <c r="K1030" i="47"/>
  <c r="K1080" i="47"/>
  <c r="H1022" i="47" a="1"/>
  <c r="H1022" i="47" s="1"/>
  <c r="G1022" i="47" s="1" a="1"/>
  <c r="G1022" i="47" s="1"/>
  <c r="E1019" i="47"/>
  <c r="H1023" i="47" a="1"/>
  <c r="H1023" i="47" s="1"/>
  <c r="G1023" i="47" s="1" a="1"/>
  <c r="G1023" i="47" s="1"/>
  <c r="K1023" i="47" s="1"/>
  <c r="E1020" i="47"/>
  <c r="H1028" i="47" a="1"/>
  <c r="H1028" i="47" s="1"/>
  <c r="G1028" i="47" s="1" a="1"/>
  <c r="G1028" i="47" s="1"/>
  <c r="E1025" i="47"/>
  <c r="H1016" i="47" a="1"/>
  <c r="H1016" i="47" s="1"/>
  <c r="E1027" i="47"/>
  <c r="H1018" i="47" a="1"/>
  <c r="H1018" i="47" s="1"/>
  <c r="G1018" i="47" s="1" a="1"/>
  <c r="G1018" i="47" s="1"/>
  <c r="K1018" i="47" s="1"/>
  <c r="G1016" i="47" a="1"/>
  <c r="G1016" i="47" s="1"/>
  <c r="F1015" i="47"/>
  <c r="E1026" i="47"/>
  <c r="E1028" i="47"/>
  <c r="H1025" i="47" a="1"/>
  <c r="H1025" i="47" s="1"/>
  <c r="G1025" i="47" s="1" a="1"/>
  <c r="G1025" i="47" s="1"/>
  <c r="H1020" i="47" a="1"/>
  <c r="H1020" i="47" s="1"/>
  <c r="G1020" i="47" s="1" a="1"/>
  <c r="G1020" i="47" s="1"/>
  <c r="H1017" i="47" a="1"/>
  <c r="H1017" i="47" s="1"/>
  <c r="G1017" i="47" s="1" a="1"/>
  <c r="G1017" i="47" s="1"/>
  <c r="H1027" i="47" a="1"/>
  <c r="H1027" i="47" s="1"/>
  <c r="E1023" i="47"/>
  <c r="G1027" i="47" a="1"/>
  <c r="G1027" i="47" s="1"/>
  <c r="H1024" i="47" a="1"/>
  <c r="H1024" i="47" s="1"/>
  <c r="G1024" i="47" s="1" a="1"/>
  <c r="G1024" i="47" s="1"/>
  <c r="E1017" i="47"/>
  <c r="H1021" i="47" a="1"/>
  <c r="H1021" i="47" s="1"/>
  <c r="G1021" i="47" s="1" a="1"/>
  <c r="G1021" i="47" s="1"/>
  <c r="E1024" i="47"/>
  <c r="E1021" i="47"/>
  <c r="E1018" i="47"/>
  <c r="K1143" i="47"/>
  <c r="E1016" i="47"/>
  <c r="E1029" i="47"/>
  <c r="K1177" i="47"/>
  <c r="H1019" i="47" a="1"/>
  <c r="H1019" i="47" s="1"/>
  <c r="G1019" i="47" s="1" a="1"/>
  <c r="G1019" i="47" s="1"/>
  <c r="E1022" i="47"/>
  <c r="H1029" i="47" a="1"/>
  <c r="H1029" i="47" s="1"/>
  <c r="G1029" i="47" s="1" a="1"/>
  <c r="G1029" i="47" s="1"/>
  <c r="K1029" i="47" s="1"/>
  <c r="K1175" i="47"/>
  <c r="H1026" i="47" a="1"/>
  <c r="H1026" i="47" s="1"/>
  <c r="G1026" i="47" s="1" a="1"/>
  <c r="G1026" i="47" s="1"/>
  <c r="G1101" i="47" a="1"/>
  <c r="G1101" i="47" s="1"/>
  <c r="K1101" i="47" s="1"/>
  <c r="G1078" i="47" a="1"/>
  <c r="G1078" i="47" s="1"/>
  <c r="K1078" i="47" s="1"/>
  <c r="G1038" i="47" a="1"/>
  <c r="G1038" i="47" s="1"/>
  <c r="K1038" i="47" s="1"/>
  <c r="G1121" i="47" a="1"/>
  <c r="G1121" i="47" s="1"/>
  <c r="K1121" i="47" s="1"/>
  <c r="K1093" i="47"/>
  <c r="G1090" i="47" a="1"/>
  <c r="G1090" i="47" s="1"/>
  <c r="K1090" i="47" s="1"/>
  <c r="G1133" i="47" a="1"/>
  <c r="G1133" i="47" s="1"/>
  <c r="K1133" i="47" s="1"/>
  <c r="G1154" i="47" a="1"/>
  <c r="G1154" i="47" s="1"/>
  <c r="K1154" i="47" s="1"/>
  <c r="E1165" i="47"/>
  <c r="G1056" i="47" a="1"/>
  <c r="G1056" i="47" s="1"/>
  <c r="K1056" i="47" s="1"/>
  <c r="G1116" i="47" a="1"/>
  <c r="G1116" i="47" s="1"/>
  <c r="K1116" i="47" s="1"/>
  <c r="G1135" i="47" a="1"/>
  <c r="G1135" i="47" s="1"/>
  <c r="K1135" i="47" s="1"/>
  <c r="G1165" i="47" a="1"/>
  <c r="G1165" i="47" s="1"/>
  <c r="K1165" i="47" s="1"/>
  <c r="K1092" i="47"/>
  <c r="K1171" i="47"/>
  <c r="K1185" i="47"/>
  <c r="K1196" i="47"/>
  <c r="G1065" i="47" a="1"/>
  <c r="G1065" i="47" s="1"/>
  <c r="K1065" i="47" s="1"/>
  <c r="K1161" i="47"/>
  <c r="G1084" i="47" a="1"/>
  <c r="G1084" i="47" s="1"/>
  <c r="K1084" i="47" s="1"/>
  <c r="K1134" i="47"/>
  <c r="G1051" i="47" a="1"/>
  <c r="G1051" i="47" s="1"/>
  <c r="K1051" i="47" s="1"/>
  <c r="G1096" i="47" a="1"/>
  <c r="G1096" i="47" s="1"/>
  <c r="K1096" i="47" s="1"/>
  <c r="G1057" i="47" a="1"/>
  <c r="G1057" i="47" s="1"/>
  <c r="K1057" i="47" s="1"/>
  <c r="G1172" i="47" a="1"/>
  <c r="G1172" i="47" s="1"/>
  <c r="K1172" i="47" s="1"/>
  <c r="G1235" i="47" a="1"/>
  <c r="G1235" i="47" s="1"/>
  <c r="K1235" i="47" s="1"/>
  <c r="G1115" i="47" a="1"/>
  <c r="G1115" i="47" s="1"/>
  <c r="K1115" i="47" s="1"/>
  <c r="G1149" i="47" a="1"/>
  <c r="G1149" i="47" s="1"/>
  <c r="K1149" i="47" s="1"/>
  <c r="K1194" i="47"/>
  <c r="G1200" i="47" a="1"/>
  <c r="G1200" i="47" s="1"/>
  <c r="K1200" i="47" s="1"/>
  <c r="G1168" i="47" a="1"/>
  <c r="G1168" i="47" s="1"/>
  <c r="K1168" i="47" s="1"/>
  <c r="G1182" i="47" a="1"/>
  <c r="G1182" i="47" s="1"/>
  <c r="K1182" i="47" s="1"/>
  <c r="K1222" i="47"/>
  <c r="K1238" i="47"/>
  <c r="K1245" i="47"/>
  <c r="K1273" i="47"/>
  <c r="K1223" i="47"/>
  <c r="K1230" i="47"/>
  <c r="K1226" i="47"/>
  <c r="K1217" i="47"/>
  <c r="K1246" i="47"/>
  <c r="K1241" i="47"/>
  <c r="K1286" i="47"/>
  <c r="K1313" i="47"/>
  <c r="K1232" i="47"/>
  <c r="K1262" i="47"/>
  <c r="K1276" i="47"/>
  <c r="G1216" i="47" a="1"/>
  <c r="G1216" i="47" s="1"/>
  <c r="K1216" i="47" s="1"/>
  <c r="K1274" i="47"/>
  <c r="K1258" i="47"/>
  <c r="K1277" i="47"/>
  <c r="G1219" i="47" a="1"/>
  <c r="G1219" i="47" s="1"/>
  <c r="K1219" i="47" s="1"/>
  <c r="K1298" i="47"/>
  <c r="K1327" i="47"/>
  <c r="G1218" i="47" a="1"/>
  <c r="G1218" i="47" s="1"/>
  <c r="G1260" i="47" a="1"/>
  <c r="G1260" i="47" s="1"/>
  <c r="K1260" i="47" s="1"/>
  <c r="K1325" i="47"/>
  <c r="K1290" i="47"/>
  <c r="G1213" i="47" a="1"/>
  <c r="G1213" i="47" s="1"/>
  <c r="G1285" i="47" a="1"/>
  <c r="G1285" i="47" s="1"/>
  <c r="K1285" i="47" s="1"/>
  <c r="K1288" i="47"/>
  <c r="K1306" i="47"/>
  <c r="K1304" i="47"/>
  <c r="K1321" i="47"/>
  <c r="G1242" i="47" a="1"/>
  <c r="G1242" i="47" s="1"/>
  <c r="G1307" i="47" a="1"/>
  <c r="G1307" i="47" s="1"/>
  <c r="K1307" i="47" s="1"/>
  <c r="K1341" i="47"/>
  <c r="K1366" i="47"/>
  <c r="K1289" i="47"/>
  <c r="G1252" i="47" a="1"/>
  <c r="G1252" i="47" s="1"/>
  <c r="E1365" i="47"/>
  <c r="H1365" i="47" a="1"/>
  <c r="H1365" i="47" s="1"/>
  <c r="G1365" i="47" s="1" a="1"/>
  <c r="G1365" i="47" s="1"/>
  <c r="K1334" i="47"/>
  <c r="K1318" i="47"/>
  <c r="G1328" i="47" a="1"/>
  <c r="G1328" i="47" s="1"/>
  <c r="K1328" i="47" s="1"/>
  <c r="K1355" i="47"/>
  <c r="G1296" i="47" a="1"/>
  <c r="G1296" i="47" s="1"/>
  <c r="K1296" i="47" s="1"/>
  <c r="K1330" i="47"/>
  <c r="K1360" i="47"/>
  <c r="K1368" i="47"/>
  <c r="K1380" i="47"/>
  <c r="G1243" i="47" a="1"/>
  <c r="G1243" i="47" s="1"/>
  <c r="G1310" i="47" a="1"/>
  <c r="G1310" i="47" s="1"/>
  <c r="K1310" i="47" s="1"/>
  <c r="K1354" i="47"/>
  <c r="K1363" i="47"/>
  <c r="K1378" i="47"/>
  <c r="K1333" i="47"/>
  <c r="K1357" i="47"/>
  <c r="K1401" i="47"/>
  <c r="G1315" i="47" a="1"/>
  <c r="G1315" i="47" s="1"/>
  <c r="K1315" i="47" s="1"/>
  <c r="E1315" i="47"/>
  <c r="G1359" i="47" a="1"/>
  <c r="G1359" i="47" s="1"/>
  <c r="K1359" i="47" s="1"/>
  <c r="G1371" i="47" a="1"/>
  <c r="G1371" i="47" s="1"/>
  <c r="K1371" i="47" s="1"/>
  <c r="K1399" i="47"/>
  <c r="G1356" i="47" a="1"/>
  <c r="G1356" i="47" s="1"/>
  <c r="K1356" i="47" s="1"/>
  <c r="K1427" i="47"/>
  <c r="K1389" i="47"/>
  <c r="G1383" i="47" a="1"/>
  <c r="G1383" i="47" s="1"/>
  <c r="K1383" i="47" s="1"/>
  <c r="K1404" i="47"/>
  <c r="K1416" i="47"/>
  <c r="G1265" i="47" a="1"/>
  <c r="G1265" i="47" s="1"/>
  <c r="K1265" i="47" s="1"/>
  <c r="G1308" i="47" a="1"/>
  <c r="G1308" i="47" s="1"/>
  <c r="K1308" i="47" s="1"/>
  <c r="G1319" i="47" a="1"/>
  <c r="G1319" i="47" s="1"/>
  <c r="K1319" i="47" s="1"/>
  <c r="G1347" i="47" a="1"/>
  <c r="G1347" i="47" s="1"/>
  <c r="K1347" i="47" s="1"/>
  <c r="K1377" i="47"/>
  <c r="K1388" i="47"/>
  <c r="K1411" i="47"/>
  <c r="K1506" i="47"/>
  <c r="K1436" i="47"/>
  <c r="K1474" i="47"/>
  <c r="K1470" i="47"/>
  <c r="K1482" i="47"/>
  <c r="K1490" i="47"/>
  <c r="G1382" i="47" a="1"/>
  <c r="G1382" i="47" s="1"/>
  <c r="K1382" i="47" s="1"/>
  <c r="K1424" i="47"/>
  <c r="G1370" i="47" a="1"/>
  <c r="G1370" i="47" s="1"/>
  <c r="K1370" i="47" s="1"/>
  <c r="G1417" i="47" a="1"/>
  <c r="G1417" i="47" s="1"/>
  <c r="K1417" i="47" s="1"/>
  <c r="K1413" i="47"/>
  <c r="K1419" i="47"/>
  <c r="G1429" i="47" a="1"/>
  <c r="G1429" i="47" s="1"/>
  <c r="K1429" i="47" s="1"/>
  <c r="G1446" i="47" a="1"/>
  <c r="G1446" i="47" s="1"/>
  <c r="K1446" i="47" s="1"/>
  <c r="K1486" i="47"/>
  <c r="G1422" i="47" a="1"/>
  <c r="G1422" i="47" s="1"/>
  <c r="K1422" i="47" s="1"/>
  <c r="G1434" i="47" a="1"/>
  <c r="G1434" i="47" s="1"/>
  <c r="G1468" i="47" a="1"/>
  <c r="G1468" i="47" s="1"/>
  <c r="K1468" i="47" s="1"/>
  <c r="G1473" i="47" a="1"/>
  <c r="G1473" i="47" s="1"/>
  <c r="K1475" i="47"/>
  <c r="K1498" i="47"/>
  <c r="K1510" i="47"/>
  <c r="G1415" i="47" a="1"/>
  <c r="G1415" i="47" s="1"/>
  <c r="G1453" i="47" a="1"/>
  <c r="G1453" i="47" s="1"/>
  <c r="K1453" i="47" s="1"/>
  <c r="H1465" i="47" a="1"/>
  <c r="H1465" i="47" s="1"/>
  <c r="G1465" i="47" a="1"/>
  <c r="G1465" i="47" s="1"/>
  <c r="E1465" i="47"/>
  <c r="K1513" i="47"/>
  <c r="K1487" i="47"/>
  <c r="K1494" i="47"/>
  <c r="G1441" i="47" a="1"/>
  <c r="G1441" i="47" s="1"/>
  <c r="K1441" i="47" s="1"/>
  <c r="G1458" i="47" a="1"/>
  <c r="G1458" i="47" s="1"/>
  <c r="K1443" i="47"/>
  <c r="K1460" i="47"/>
  <c r="K552" i="47"/>
  <c r="E565" i="47"/>
  <c r="H565" i="47" a="1"/>
  <c r="H565" i="47" s="1"/>
  <c r="G565" i="47" s="1" a="1"/>
  <c r="G565" i="47" s="1"/>
  <c r="K618" i="47"/>
  <c r="K575" i="47"/>
  <c r="K651" i="47"/>
  <c r="K580" i="47"/>
  <c r="K571" i="47"/>
  <c r="K661" i="47"/>
  <c r="K558" i="47"/>
  <c r="K560" i="47"/>
  <c r="K585" i="47"/>
  <c r="K617" i="47"/>
  <c r="K587" i="47"/>
  <c r="K540" i="47"/>
  <c r="K547" i="47"/>
  <c r="K563" i="47"/>
  <c r="K569" i="47"/>
  <c r="K652" i="47"/>
  <c r="K528" i="47"/>
  <c r="K603" i="47"/>
  <c r="K579" i="47"/>
  <c r="K620" i="47"/>
  <c r="G529" i="47" a="1"/>
  <c r="G529" i="47" s="1"/>
  <c r="K529" i="47" s="1"/>
  <c r="E528" i="47"/>
  <c r="K523" i="47"/>
  <c r="H519" i="47" a="1"/>
  <c r="H519" i="47" s="1"/>
  <c r="G519" i="47" s="1" a="1"/>
  <c r="G519" i="47" s="1"/>
  <c r="G517" i="47" a="1"/>
  <c r="G517" i="47" s="1"/>
  <c r="K517" i="47" s="1"/>
  <c r="E516" i="47"/>
  <c r="K679" i="47"/>
  <c r="K683" i="47"/>
  <c r="K708" i="47"/>
  <c r="G599" i="47" a="1"/>
  <c r="G599" i="47" s="1"/>
  <c r="K599" i="47" s="1"/>
  <c r="K646" i="47"/>
  <c r="G667" i="47" a="1"/>
  <c r="G667" i="47" s="1"/>
  <c r="K667" i="47" s="1"/>
  <c r="K688" i="47"/>
  <c r="K711" i="47"/>
  <c r="H515" i="47" a="1"/>
  <c r="H515" i="47" s="1"/>
  <c r="G515" i="47" s="1" a="1"/>
  <c r="G515" i="47" s="1"/>
  <c r="K520" i="47"/>
  <c r="K594" i="47"/>
  <c r="G606" i="47" a="1"/>
  <c r="G606" i="47" s="1"/>
  <c r="K609" i="47"/>
  <c r="K628" i="47"/>
  <c r="G632" i="47" a="1"/>
  <c r="G632" i="47" s="1"/>
  <c r="K632" i="47" s="1"/>
  <c r="K681" i="47"/>
  <c r="K748" i="47"/>
  <c r="K650" i="47"/>
  <c r="K553" i="47"/>
  <c r="G570" i="47" a="1"/>
  <c r="G570" i="47" s="1"/>
  <c r="G588" i="47" a="1"/>
  <c r="G588" i="47" s="1"/>
  <c r="K588" i="47" s="1"/>
  <c r="G662" i="47" a="1"/>
  <c r="G662" i="47" s="1"/>
  <c r="K662" i="47" s="1"/>
  <c r="K626" i="47"/>
  <c r="K536" i="47"/>
  <c r="K675" i="47"/>
  <c r="K705" i="47"/>
  <c r="K720" i="47"/>
  <c r="G610" i="47" a="1"/>
  <c r="G610" i="47" s="1"/>
  <c r="K610" i="47" s="1"/>
  <c r="G654" i="47" a="1"/>
  <c r="G654" i="47" s="1"/>
  <c r="K654" i="47" s="1"/>
  <c r="K723" i="47"/>
  <c r="K544" i="47"/>
  <c r="G622" i="47" a="1"/>
  <c r="G622" i="47" s="1"/>
  <c r="K622" i="47" s="1"/>
  <c r="K663" i="47"/>
  <c r="H615" i="47" a="1"/>
  <c r="H615" i="47" s="1"/>
  <c r="G615" i="47" s="1" a="1"/>
  <c r="G615" i="47" s="1"/>
  <c r="E615" i="47"/>
  <c r="G666" i="47" a="1"/>
  <c r="G666" i="47" s="1"/>
  <c r="K666" i="47" s="1"/>
  <c r="E515" i="47"/>
  <c r="G602" i="47" a="1"/>
  <c r="G602" i="47" s="1"/>
  <c r="K602" i="47" s="1"/>
  <c r="G659" i="47" a="1"/>
  <c r="G659" i="47" s="1"/>
  <c r="K659" i="47" s="1"/>
  <c r="G678" i="47" a="1"/>
  <c r="G678" i="47" s="1"/>
  <c r="K678" i="47" s="1"/>
  <c r="K707" i="47"/>
  <c r="K800" i="47"/>
  <c r="K751" i="47"/>
  <c r="K776" i="47"/>
  <c r="E765" i="47"/>
  <c r="H765" i="47" a="1"/>
  <c r="H765" i="47" s="1"/>
  <c r="G765" i="47" s="1" a="1"/>
  <c r="G765" i="47" s="1"/>
  <c r="K765" i="47" s="1"/>
  <c r="K767" i="47"/>
  <c r="K738" i="47"/>
  <c r="G625" i="47" a="1"/>
  <c r="G625" i="47" s="1"/>
  <c r="K625" i="47" s="1"/>
  <c r="G658" i="47" a="1"/>
  <c r="G658" i="47" s="1"/>
  <c r="K658" i="47" s="1"/>
  <c r="K736" i="47"/>
  <c r="G684" i="47" a="1"/>
  <c r="G684" i="47" s="1"/>
  <c r="K684" i="47" s="1"/>
  <c r="K726" i="47"/>
  <c r="K758" i="47"/>
  <c r="G627" i="47" a="1"/>
  <c r="G627" i="47" s="1"/>
  <c r="K627" i="47" s="1"/>
  <c r="K739" i="47"/>
  <c r="K786" i="47"/>
  <c r="K690" i="47"/>
  <c r="K757" i="47"/>
  <c r="K716" i="47"/>
  <c r="K805" i="47"/>
  <c r="K811" i="47"/>
  <c r="H665" i="47" a="1"/>
  <c r="H665" i="47" s="1"/>
  <c r="G665" i="47" s="1" a="1"/>
  <c r="G665" i="47" s="1"/>
  <c r="G731" i="47" a="1"/>
  <c r="G731" i="47" s="1"/>
  <c r="K731" i="47" s="1"/>
  <c r="K834" i="47"/>
  <c r="H715" i="47" a="1"/>
  <c r="H715" i="47" s="1"/>
  <c r="G715" i="47" s="1" a="1"/>
  <c r="G715" i="47" s="1"/>
  <c r="K791" i="47"/>
  <c r="G700" i="47" a="1"/>
  <c r="G700" i="47" s="1"/>
  <c r="K700" i="47" s="1"/>
  <c r="G710" i="47" a="1"/>
  <c r="G710" i="47" s="1"/>
  <c r="K710" i="47" s="1"/>
  <c r="G733" i="47" a="1"/>
  <c r="G733" i="47" s="1"/>
  <c r="K733" i="47" s="1"/>
  <c r="K837" i="47"/>
  <c r="G778" i="47" a="1"/>
  <c r="G778" i="47" s="1"/>
  <c r="K778" i="47" s="1"/>
  <c r="G789" i="47" a="1"/>
  <c r="G789" i="47" s="1"/>
  <c r="K789" i="47" s="1"/>
  <c r="K825" i="47"/>
  <c r="K799" i="47"/>
  <c r="K830" i="47"/>
  <c r="K838" i="47"/>
  <c r="K803" i="47"/>
  <c r="G752" i="47" a="1"/>
  <c r="G752" i="47" s="1"/>
  <c r="K752" i="47" s="1"/>
  <c r="G790" i="47" a="1"/>
  <c r="G790" i="47" s="1"/>
  <c r="K790" i="47" s="1"/>
  <c r="K846" i="47"/>
  <c r="G807" i="47" a="1"/>
  <c r="G807" i="47" s="1"/>
  <c r="K807" i="47" s="1"/>
  <c r="G815" i="47" a="1"/>
  <c r="G815" i="47" s="1"/>
  <c r="K815" i="47" s="1"/>
  <c r="K842" i="47"/>
  <c r="G849" i="47" a="1"/>
  <c r="G849" i="47" s="1"/>
  <c r="K849" i="47" s="1"/>
  <c r="G766" i="47" a="1"/>
  <c r="G766" i="47" s="1"/>
  <c r="K766" i="47" s="1"/>
  <c r="G798" i="47" a="1"/>
  <c r="G798" i="47" s="1"/>
  <c r="K798" i="47" s="1"/>
  <c r="K861" i="47"/>
  <c r="K835" i="47"/>
  <c r="K880" i="47"/>
  <c r="K850" i="47"/>
  <c r="K892" i="47"/>
  <c r="G734" i="47" a="1"/>
  <c r="G734" i="47" s="1"/>
  <c r="K734" i="47" s="1"/>
  <c r="G783" i="47" a="1"/>
  <c r="G783" i="47" s="1"/>
  <c r="K783" i="47" s="1"/>
  <c r="G848" i="47" a="1"/>
  <c r="G848" i="47" s="1"/>
  <c r="K848" i="47" s="1"/>
  <c r="K853" i="47"/>
  <c r="G777" i="47" a="1"/>
  <c r="G777" i="47" s="1"/>
  <c r="K867" i="47"/>
  <c r="K874" i="47"/>
  <c r="G845" i="47" a="1"/>
  <c r="G845" i="47" s="1"/>
  <c r="K845" i="47" s="1"/>
  <c r="K866" i="47"/>
  <c r="K889" i="47"/>
  <c r="E865" i="47"/>
  <c r="G793" i="47" a="1"/>
  <c r="G793" i="47" s="1"/>
  <c r="K793" i="47" s="1"/>
  <c r="G832" i="47" a="1"/>
  <c r="G832" i="47" s="1"/>
  <c r="K832" i="47" s="1"/>
  <c r="H865" i="47" a="1"/>
  <c r="H865" i="47" s="1"/>
  <c r="G865" i="47" s="1" a="1"/>
  <c r="G865" i="47" s="1"/>
  <c r="K904" i="47"/>
  <c r="G872" i="47" a="1"/>
  <c r="G872" i="47" s="1"/>
  <c r="K872" i="47" s="1"/>
  <c r="K916" i="47"/>
  <c r="K907" i="47"/>
  <c r="K919" i="47"/>
  <c r="K913" i="47"/>
  <c r="K940" i="47"/>
  <c r="K922" i="47"/>
  <c r="G899" i="47" a="1"/>
  <c r="G899" i="47" s="1"/>
  <c r="K899" i="47" s="1"/>
  <c r="K936" i="47"/>
  <c r="K931" i="47"/>
  <c r="G888" i="47" a="1"/>
  <c r="G888" i="47" s="1"/>
  <c r="K888" i="47" s="1"/>
  <c r="K986" i="47"/>
  <c r="K979" i="47"/>
  <c r="G934" i="47" a="1"/>
  <c r="G934" i="47" s="1"/>
  <c r="K934" i="47" s="1"/>
  <c r="K948" i="47"/>
  <c r="K970" i="47"/>
  <c r="K939" i="47"/>
  <c r="K943" i="47"/>
  <c r="K924" i="47"/>
  <c r="G915" i="47" a="1"/>
  <c r="G915" i="47" s="1"/>
  <c r="K915" i="47" s="1"/>
  <c r="G973" i="47" a="1"/>
  <c r="G973" i="47" s="1"/>
  <c r="K973" i="47" s="1"/>
  <c r="K983" i="47"/>
  <c r="K928" i="47"/>
  <c r="K955" i="47"/>
  <c r="H965" i="47" a="1"/>
  <c r="H965" i="47" s="1"/>
  <c r="G965" i="47" a="1"/>
  <c r="G965" i="47" s="1"/>
  <c r="E965" i="47"/>
  <c r="K1010" i="47"/>
  <c r="K967" i="47"/>
  <c r="K974" i="47"/>
  <c r="G941" i="47" a="1"/>
  <c r="G941" i="47" s="1"/>
  <c r="K941" i="47" s="1"/>
  <c r="K991" i="47"/>
  <c r="K998" i="47"/>
  <c r="K1013" i="47"/>
  <c r="K1006" i="47"/>
  <c r="K960" i="47"/>
  <c r="K994" i="47"/>
  <c r="K952" i="47"/>
  <c r="K982" i="47"/>
  <c r="K501" i="47"/>
  <c r="K490" i="47"/>
  <c r="H472" i="47" a="1"/>
  <c r="H472" i="47" s="1"/>
  <c r="E469" i="47"/>
  <c r="H473" i="47" a="1"/>
  <c r="H473" i="47" s="1"/>
  <c r="E470" i="47"/>
  <c r="E472" i="47"/>
  <c r="H476" i="47" a="1"/>
  <c r="H476" i="47" s="1"/>
  <c r="H474" i="47" a="1"/>
  <c r="H474" i="47" s="1"/>
  <c r="G474" i="47" s="1" a="1"/>
  <c r="G474" i="47" s="1"/>
  <c r="G472" i="47" a="1"/>
  <c r="G472" i="47" s="1"/>
  <c r="K472" i="47" s="1"/>
  <c r="E471" i="47"/>
  <c r="H475" i="47" a="1"/>
  <c r="H475" i="47" s="1"/>
  <c r="G475" i="47" s="1" a="1"/>
  <c r="G475" i="47" s="1"/>
  <c r="G473" i="47" a="1"/>
  <c r="G473" i="47" s="1"/>
  <c r="K473" i="47" s="1"/>
  <c r="E474" i="47"/>
  <c r="E473" i="47"/>
  <c r="H471" i="47" a="1"/>
  <c r="H471" i="47" s="1"/>
  <c r="G471" i="47" s="1" a="1"/>
  <c r="G471" i="47" s="1"/>
  <c r="K471" i="47" s="1"/>
  <c r="E468" i="47"/>
  <c r="H477" i="47" a="1"/>
  <c r="H477" i="47" s="1"/>
  <c r="G477" i="47" s="1" a="1"/>
  <c r="G477" i="47" s="1"/>
  <c r="K477" i="47" s="1"/>
  <c r="H478" i="47" a="1"/>
  <c r="H478" i="47" s="1"/>
  <c r="G478" i="47" s="1" a="1"/>
  <c r="G478" i="47" s="1"/>
  <c r="G476" i="47" a="1"/>
  <c r="G476" i="47" s="1"/>
  <c r="E475" i="47"/>
  <c r="H466" i="47" a="1"/>
  <c r="H466" i="47" s="1"/>
  <c r="H479" i="47" a="1"/>
  <c r="H479" i="47" s="1"/>
  <c r="G479" i="47" s="1" a="1"/>
  <c r="G479" i="47" s="1"/>
  <c r="K479" i="47" s="1"/>
  <c r="E476" i="47"/>
  <c r="H467" i="47" a="1"/>
  <c r="H467" i="47" s="1"/>
  <c r="G467" i="47" s="1" a="1"/>
  <c r="G467" i="47" s="1"/>
  <c r="K467" i="47" s="1"/>
  <c r="E477" i="47"/>
  <c r="H468" i="47" a="1"/>
  <c r="H468" i="47" s="1"/>
  <c r="G468" i="47" s="1" a="1"/>
  <c r="G468" i="47" s="1"/>
  <c r="K468" i="47" s="1"/>
  <c r="G466" i="47" a="1"/>
  <c r="G466" i="47" s="1"/>
  <c r="K466" i="47" s="1"/>
  <c r="F465" i="47"/>
  <c r="E466" i="47"/>
  <c r="E479" i="47"/>
  <c r="H470" i="47" a="1"/>
  <c r="H470" i="47" s="1"/>
  <c r="G470" i="47" s="1" a="1"/>
  <c r="G470" i="47" s="1"/>
  <c r="E467" i="47"/>
  <c r="E478" i="47"/>
  <c r="H469" i="47" a="1"/>
  <c r="H469" i="47" s="1"/>
  <c r="G469" i="47" s="1" a="1"/>
  <c r="G469" i="47" s="1"/>
  <c r="K483" i="47"/>
  <c r="K498" i="47"/>
  <c r="K486" i="47"/>
  <c r="K494" i="47"/>
  <c r="K510" i="47"/>
  <c r="K513" i="47"/>
  <c r="K506" i="47"/>
  <c r="K484" i="47"/>
  <c r="K495" i="47"/>
  <c r="K502" i="47"/>
  <c r="K445" i="47"/>
  <c r="K456" i="47"/>
  <c r="K437" i="47"/>
  <c r="K448" i="47"/>
  <c r="K436" i="47"/>
  <c r="K457" i="47"/>
  <c r="K449" i="47"/>
  <c r="K460" i="47"/>
  <c r="K440" i="47"/>
  <c r="K463" i="47"/>
  <c r="H422" i="47" a="1"/>
  <c r="H422" i="47" s="1"/>
  <c r="G422" i="47" s="1" a="1"/>
  <c r="G422" i="47" s="1"/>
  <c r="E419" i="47"/>
  <c r="E420" i="47"/>
  <c r="H425" i="47" a="1"/>
  <c r="H425" i="47" s="1"/>
  <c r="G425" i="47" s="1" a="1"/>
  <c r="G425" i="47" s="1"/>
  <c r="E423" i="47"/>
  <c r="E418" i="47"/>
  <c r="H423" i="47" a="1"/>
  <c r="H423" i="47" s="1"/>
  <c r="G423" i="47" s="1" a="1"/>
  <c r="G423" i="47" s="1"/>
  <c r="E422" i="47"/>
  <c r="H424" i="47" a="1"/>
  <c r="H424" i="47" s="1"/>
  <c r="G424" i="47" s="1" a="1"/>
  <c r="G424" i="47" s="1"/>
  <c r="K424" i="47" s="1"/>
  <c r="E421" i="47"/>
  <c r="H426" i="47" a="1"/>
  <c r="H426" i="47" s="1"/>
  <c r="G426" i="47" s="1" a="1"/>
  <c r="G426" i="47" s="1"/>
  <c r="H427" i="47" a="1"/>
  <c r="H427" i="47" s="1"/>
  <c r="E424" i="47"/>
  <c r="E425" i="47"/>
  <c r="H416" i="47" a="1"/>
  <c r="H416" i="47" s="1"/>
  <c r="G416" i="47" s="1" a="1"/>
  <c r="G416" i="47" s="1"/>
  <c r="H421" i="47" a="1"/>
  <c r="H421" i="47" s="1"/>
  <c r="G421" i="47" s="1" a="1"/>
  <c r="G421" i="47" s="1"/>
  <c r="H428" i="47" a="1"/>
  <c r="H428" i="47" s="1"/>
  <c r="G428" i="47" s="1" a="1"/>
  <c r="G428" i="47" s="1"/>
  <c r="H429" i="47" a="1"/>
  <c r="H429" i="47" s="1"/>
  <c r="G429" i="47" s="1" a="1"/>
  <c r="G429" i="47" s="1"/>
  <c r="K429" i="47" s="1"/>
  <c r="G427" i="47" a="1"/>
  <c r="G427" i="47" s="1"/>
  <c r="K427" i="47" s="1"/>
  <c r="E426" i="47"/>
  <c r="H417" i="47" a="1"/>
  <c r="H417" i="47" s="1"/>
  <c r="G417" i="47" s="1" a="1"/>
  <c r="G417" i="47" s="1"/>
  <c r="E427" i="47"/>
  <c r="H418" i="47" a="1"/>
  <c r="H418" i="47" s="1"/>
  <c r="G418" i="47" s="1" a="1"/>
  <c r="G418" i="47" s="1"/>
  <c r="F415" i="47"/>
  <c r="E417" i="47"/>
  <c r="E428" i="47"/>
  <c r="H419" i="47" a="1"/>
  <c r="H419" i="47" s="1"/>
  <c r="G419" i="47" s="1" a="1"/>
  <c r="G419" i="47" s="1"/>
  <c r="E416" i="47"/>
  <c r="K432" i="47"/>
  <c r="K433" i="47"/>
  <c r="K444" i="47"/>
  <c r="K452" i="47"/>
  <c r="H420" i="47" a="1"/>
  <c r="H420" i="47" s="1"/>
  <c r="G420" i="47" s="1" a="1"/>
  <c r="G420" i="47" s="1"/>
  <c r="E429" i="47"/>
  <c r="K386" i="47"/>
  <c r="K389" i="47"/>
  <c r="K407" i="47"/>
  <c r="K394" i="47"/>
  <c r="K404" i="47"/>
  <c r="K380" i="47"/>
  <c r="K392" i="47"/>
  <c r="K402" i="47"/>
  <c r="K395" i="47"/>
  <c r="K410" i="47"/>
  <c r="K390" i="47"/>
  <c r="K413" i="47"/>
  <c r="K398" i="47"/>
  <c r="K383" i="47"/>
  <c r="K401" i="47"/>
  <c r="H372" i="47" a="1"/>
  <c r="H372" i="47" s="1"/>
  <c r="G372" i="47" s="1" a="1"/>
  <c r="G372" i="47" s="1"/>
  <c r="G370" i="47" a="1"/>
  <c r="G370" i="47" s="1"/>
  <c r="E369" i="47"/>
  <c r="E370" i="47"/>
  <c r="H373" i="47" a="1"/>
  <c r="H373" i="47" s="1"/>
  <c r="G373" i="47" s="1" a="1"/>
  <c r="G373" i="47" s="1"/>
  <c r="G371" i="47" a="1"/>
  <c r="G371" i="47" s="1"/>
  <c r="K371" i="47" s="1"/>
  <c r="H374" i="47" a="1"/>
  <c r="H374" i="47" s="1"/>
  <c r="E371" i="47"/>
  <c r="H375" i="47" a="1"/>
  <c r="H375" i="47" s="1"/>
  <c r="G375" i="47" s="1" a="1"/>
  <c r="G375" i="47" s="1"/>
  <c r="E372" i="47"/>
  <c r="H376" i="47" a="1"/>
  <c r="H376" i="47" s="1"/>
  <c r="G376" i="47" s="1" a="1"/>
  <c r="G376" i="47" s="1"/>
  <c r="E373" i="47"/>
  <c r="E379" i="47"/>
  <c r="G368" i="47" a="1"/>
  <c r="G368" i="47" s="1"/>
  <c r="G374" i="47" a="1"/>
  <c r="G374" i="47" s="1"/>
  <c r="K374" i="47" s="1"/>
  <c r="H379" i="47" a="1"/>
  <c r="H379" i="47" s="1"/>
  <c r="G379" i="47" s="1" a="1"/>
  <c r="G379" i="47" s="1"/>
  <c r="K379" i="47" s="1"/>
  <c r="E376" i="47"/>
  <c r="H367" i="47" a="1"/>
  <c r="H367" i="47" s="1"/>
  <c r="H370" i="47" a="1"/>
  <c r="H370" i="47" s="1"/>
  <c r="E367" i="47"/>
  <c r="E368" i="47"/>
  <c r="H377" i="47" a="1"/>
  <c r="H377" i="47" s="1"/>
  <c r="G377" i="47" s="1" a="1"/>
  <c r="G377" i="47" s="1"/>
  <c r="E374" i="47"/>
  <c r="H371" i="47" a="1"/>
  <c r="H371" i="47" s="1"/>
  <c r="H378" i="47" a="1"/>
  <c r="H378" i="47" s="1"/>
  <c r="G378" i="47" s="1" a="1"/>
  <c r="G378" i="47" s="1"/>
  <c r="E375" i="47"/>
  <c r="H366" i="47" a="1"/>
  <c r="H366" i="47" s="1"/>
  <c r="G366" i="47" s="1" a="1"/>
  <c r="G366" i="47" s="1"/>
  <c r="K366" i="47" s="1"/>
  <c r="E377" i="47"/>
  <c r="H368" i="47" a="1"/>
  <c r="H368" i="47" s="1"/>
  <c r="F365" i="47"/>
  <c r="E366" i="47"/>
  <c r="K391" i="47"/>
  <c r="G367" i="47" a="1"/>
  <c r="G367" i="47" s="1"/>
  <c r="H369" i="47" a="1"/>
  <c r="H369" i="47" s="1"/>
  <c r="G369" i="47" s="1" a="1"/>
  <c r="G369" i="47" s="1"/>
  <c r="E378" i="47"/>
  <c r="K345" i="47"/>
  <c r="K356" i="47"/>
  <c r="K336" i="47"/>
  <c r="K348" i="47"/>
  <c r="K357" i="47"/>
  <c r="K340" i="47"/>
  <c r="K360" i="47"/>
  <c r="K363" i="47"/>
  <c r="K332" i="47"/>
  <c r="K333" i="47"/>
  <c r="H322" i="47" a="1"/>
  <c r="H322" i="47" s="1"/>
  <c r="G322" i="47" s="1" a="1"/>
  <c r="G322" i="47" s="1"/>
  <c r="E319" i="47"/>
  <c r="H323" i="47" a="1"/>
  <c r="H323" i="47" s="1"/>
  <c r="G323" i="47" s="1" a="1"/>
  <c r="G323" i="47" s="1"/>
  <c r="E322" i="47"/>
  <c r="H326" i="47" a="1"/>
  <c r="H326" i="47" s="1"/>
  <c r="G326" i="47" s="1" a="1"/>
  <c r="G326" i="47" s="1"/>
  <c r="K326" i="47" s="1"/>
  <c r="E323" i="47"/>
  <c r="E320" i="47"/>
  <c r="H325" i="47" a="1"/>
  <c r="H325" i="47" s="1"/>
  <c r="G325" i="47" s="1" a="1"/>
  <c r="G325" i="47" s="1"/>
  <c r="E318" i="47"/>
  <c r="H324" i="47" a="1"/>
  <c r="H324" i="47" s="1"/>
  <c r="G324" i="47" s="1" a="1"/>
  <c r="G324" i="47" s="1"/>
  <c r="E321" i="47"/>
  <c r="H327" i="47" a="1"/>
  <c r="H327" i="47" s="1"/>
  <c r="G327" i="47" s="1" a="1"/>
  <c r="G327" i="47" s="1"/>
  <c r="K327" i="47" s="1"/>
  <c r="E324" i="47"/>
  <c r="E325" i="47"/>
  <c r="H316" i="47" a="1"/>
  <c r="H316" i="47" s="1"/>
  <c r="H329" i="47" a="1"/>
  <c r="H329" i="47" s="1"/>
  <c r="H328" i="47" a="1"/>
  <c r="H328" i="47" s="1"/>
  <c r="G328" i="47" s="1" a="1"/>
  <c r="G328" i="47" s="1"/>
  <c r="K328" i="47" s="1"/>
  <c r="E326" i="47"/>
  <c r="H317" i="47" a="1"/>
  <c r="H317" i="47" s="1"/>
  <c r="E327" i="47"/>
  <c r="H318" i="47" a="1"/>
  <c r="H318" i="47" s="1"/>
  <c r="G318" i="47" s="1" a="1"/>
  <c r="G318" i="47" s="1"/>
  <c r="G316" i="47" a="1"/>
  <c r="G316" i="47" s="1"/>
  <c r="F315" i="47"/>
  <c r="E329" i="47"/>
  <c r="H320" i="47" a="1"/>
  <c r="H320" i="47" s="1"/>
  <c r="G320" i="47" s="1" a="1"/>
  <c r="G320" i="47" s="1"/>
  <c r="E317" i="47"/>
  <c r="G329" i="47" a="1"/>
  <c r="G329" i="47" s="1"/>
  <c r="E328" i="47"/>
  <c r="H319" i="47" a="1"/>
  <c r="H319" i="47" s="1"/>
  <c r="G319" i="47" s="1" a="1"/>
  <c r="G319" i="47" s="1"/>
  <c r="G317" i="47" a="1"/>
  <c r="G317" i="47" s="1"/>
  <c r="K317" i="47" s="1"/>
  <c r="E316" i="47"/>
  <c r="K344" i="47"/>
  <c r="K352" i="47"/>
  <c r="H321" i="47" a="1"/>
  <c r="H321" i="47" s="1"/>
  <c r="G321" i="47" s="1" a="1"/>
  <c r="G321" i="47" s="1"/>
  <c r="K304" i="47"/>
  <c r="K309" i="47"/>
  <c r="K312" i="47"/>
  <c r="K297" i="47"/>
  <c r="K310" i="47"/>
  <c r="K285" i="47"/>
  <c r="K292" i="47"/>
  <c r="K282" i="47"/>
  <c r="K300" i="47"/>
  <c r="K313" i="47"/>
  <c r="K288" i="47"/>
  <c r="H272" i="47" a="1"/>
  <c r="H272" i="47" s="1"/>
  <c r="G272" i="47" s="1" a="1"/>
  <c r="G272" i="47" s="1"/>
  <c r="E269" i="47"/>
  <c r="H273" i="47" a="1"/>
  <c r="H273" i="47" s="1"/>
  <c r="G273" i="47" s="1" a="1"/>
  <c r="G273" i="47" s="1"/>
  <c r="E270" i="47"/>
  <c r="E278" i="47"/>
  <c r="H269" i="47" a="1"/>
  <c r="H269" i="47" s="1"/>
  <c r="G269" i="47" s="1" a="1"/>
  <c r="G269" i="47" s="1"/>
  <c r="G267" i="47" a="1"/>
  <c r="G267" i="47" s="1"/>
  <c r="H274" i="47" a="1"/>
  <c r="H274" i="47" s="1"/>
  <c r="G274" i="47" s="1" a="1"/>
  <c r="G274" i="47" s="1"/>
  <c r="E271" i="47"/>
  <c r="H275" i="47" a="1"/>
  <c r="H275" i="47" s="1"/>
  <c r="G275" i="47" s="1" a="1"/>
  <c r="G275" i="47" s="1"/>
  <c r="E272" i="47"/>
  <c r="H276" i="47" a="1"/>
  <c r="H276" i="47" s="1"/>
  <c r="G276" i="47" s="1" a="1"/>
  <c r="G276" i="47" s="1"/>
  <c r="E273" i="47"/>
  <c r="H277" i="47" a="1"/>
  <c r="H277" i="47" s="1"/>
  <c r="G277" i="47" s="1" a="1"/>
  <c r="G277" i="47" s="1"/>
  <c r="K277" i="47" s="1"/>
  <c r="E274" i="47"/>
  <c r="H279" i="47" a="1"/>
  <c r="H279" i="47" s="1"/>
  <c r="G279" i="47" s="1" a="1"/>
  <c r="G279" i="47" s="1"/>
  <c r="E276" i="47"/>
  <c r="H267" i="47" a="1"/>
  <c r="H267" i="47" s="1"/>
  <c r="E275" i="47"/>
  <c r="H266" i="47" a="1"/>
  <c r="H266" i="47" s="1"/>
  <c r="G266" i="47" s="1" a="1"/>
  <c r="G266" i="47" s="1"/>
  <c r="H278" i="47" a="1"/>
  <c r="H278" i="47" s="1"/>
  <c r="G278" i="47" a="1"/>
  <c r="G278" i="47" s="1"/>
  <c r="K278" i="47" s="1"/>
  <c r="E277" i="47"/>
  <c r="H268" i="47" a="1"/>
  <c r="H268" i="47" s="1"/>
  <c r="G268" i="47" s="1" a="1"/>
  <c r="G268" i="47" s="1"/>
  <c r="K268" i="47" s="1"/>
  <c r="F265" i="47"/>
  <c r="E279" i="47"/>
  <c r="H270" i="47" a="1"/>
  <c r="H270" i="47" s="1"/>
  <c r="G270" i="47" s="1" a="1"/>
  <c r="G270" i="47" s="1"/>
  <c r="K270" i="47" s="1"/>
  <c r="E267" i="47"/>
  <c r="E268" i="47"/>
  <c r="E266" i="47"/>
  <c r="K280" i="47"/>
  <c r="H271" i="47" a="1"/>
  <c r="H271" i="47" s="1"/>
  <c r="G271" i="47" s="1" a="1"/>
  <c r="G271" i="47" s="1"/>
  <c r="K236" i="47"/>
  <c r="K256" i="47"/>
  <c r="K248" i="47"/>
  <c r="K240" i="47"/>
  <c r="K260" i="47"/>
  <c r="K232" i="47"/>
  <c r="K263" i="47"/>
  <c r="K252" i="47"/>
  <c r="H222" i="47" a="1"/>
  <c r="H222" i="47" s="1"/>
  <c r="G222" i="47" s="1" a="1"/>
  <c r="G222" i="47" s="1"/>
  <c r="K222" i="47" s="1"/>
  <c r="E219" i="47"/>
  <c r="H223" i="47" a="1"/>
  <c r="H223" i="47" s="1"/>
  <c r="G223" i="47" s="1" a="1"/>
  <c r="G223" i="47" s="1"/>
  <c r="K223" i="47" s="1"/>
  <c r="E220" i="47"/>
  <c r="H225" i="47" a="1"/>
  <c r="H225" i="47" s="1"/>
  <c r="E222" i="47"/>
  <c r="H224" i="47" a="1"/>
  <c r="H224" i="47" s="1"/>
  <c r="G224" i="47" s="1" a="1"/>
  <c r="G224" i="47" s="1"/>
  <c r="E221" i="47"/>
  <c r="H226" i="47" a="1"/>
  <c r="H226" i="47" s="1"/>
  <c r="G226" i="47" s="1" a="1"/>
  <c r="G226" i="47" s="1"/>
  <c r="E223" i="47"/>
  <c r="H227" i="47" a="1"/>
  <c r="H227" i="47" s="1"/>
  <c r="G227" i="47" s="1" a="1"/>
  <c r="G227" i="47" s="1"/>
  <c r="G225" i="47" a="1"/>
  <c r="G225" i="47" s="1"/>
  <c r="E224" i="47"/>
  <c r="H228" i="47" a="1"/>
  <c r="H228" i="47" s="1"/>
  <c r="G228" i="47" s="1" a="1"/>
  <c r="G228" i="47" s="1"/>
  <c r="E225" i="47"/>
  <c r="H216" i="47" a="1"/>
  <c r="H216" i="47" s="1"/>
  <c r="G216" i="47" s="1" a="1"/>
  <c r="G216" i="47" s="1"/>
  <c r="K216" i="47" s="1"/>
  <c r="H229" i="47" a="1"/>
  <c r="H229" i="47" s="1"/>
  <c r="G229" i="47" s="1" a="1"/>
  <c r="G229" i="47" s="1"/>
  <c r="E226" i="47"/>
  <c r="H217" i="47" a="1"/>
  <c r="H217" i="47" s="1"/>
  <c r="G217" i="47" s="1" a="1"/>
  <c r="G217" i="47" s="1"/>
  <c r="E227" i="47"/>
  <c r="H218" i="47" a="1"/>
  <c r="H218" i="47" s="1"/>
  <c r="G218" i="47" s="1" a="1"/>
  <c r="G218" i="47" s="1"/>
  <c r="F215" i="47"/>
  <c r="E229" i="47"/>
  <c r="H220" i="47" a="1"/>
  <c r="H220" i="47" s="1"/>
  <c r="G220" i="47" s="1" a="1"/>
  <c r="G220" i="47" s="1"/>
  <c r="E228" i="47"/>
  <c r="H219" i="47" a="1"/>
  <c r="H219" i="47" s="1"/>
  <c r="G219" i="47" s="1" a="1"/>
  <c r="G219" i="47" s="1"/>
  <c r="E216" i="47"/>
  <c r="K244" i="47"/>
  <c r="E218" i="47"/>
  <c r="H221" i="47" a="1"/>
  <c r="H221" i="47" s="1"/>
  <c r="G221" i="47" s="1" a="1"/>
  <c r="G221" i="47" s="1"/>
  <c r="K221" i="47" s="1"/>
  <c r="E217" i="47"/>
  <c r="K206" i="47"/>
  <c r="K198" i="47"/>
  <c r="K190" i="47"/>
  <c r="K182" i="47"/>
  <c r="K202" i="47"/>
  <c r="K210" i="47"/>
  <c r="H172" i="47" a="1"/>
  <c r="H172" i="47" s="1"/>
  <c r="G172" i="47" s="1" a="1"/>
  <c r="G172" i="47" s="1"/>
  <c r="E169" i="47"/>
  <c r="H173" i="47" a="1"/>
  <c r="H173" i="47" s="1"/>
  <c r="G173" i="47" s="1" a="1"/>
  <c r="G173" i="47" s="1"/>
  <c r="K173" i="47" s="1"/>
  <c r="E170" i="47"/>
  <c r="E171" i="47"/>
  <c r="H175" i="47" a="1"/>
  <c r="H175" i="47" s="1"/>
  <c r="G175" i="47" s="1" a="1"/>
  <c r="G175" i="47" s="1"/>
  <c r="K175" i="47" s="1"/>
  <c r="E172" i="47"/>
  <c r="H174" i="47" a="1"/>
  <c r="H174" i="47" s="1"/>
  <c r="G174" i="47" s="1" a="1"/>
  <c r="G174" i="47" s="1"/>
  <c r="K174" i="47" s="1"/>
  <c r="E168" i="47"/>
  <c r="H176" i="47" a="1"/>
  <c r="H176" i="47" s="1"/>
  <c r="G176" i="47" s="1" a="1"/>
  <c r="G176" i="47" s="1"/>
  <c r="E173" i="47"/>
  <c r="E176" i="47"/>
  <c r="H167" i="47" a="1"/>
  <c r="H167" i="47" s="1"/>
  <c r="G167" i="47" s="1" a="1"/>
  <c r="G167" i="47" s="1"/>
  <c r="K167" i="47" s="1"/>
  <c r="H171" i="47" a="1"/>
  <c r="H171" i="47" s="1"/>
  <c r="G171" i="47" s="1" a="1"/>
  <c r="G171" i="47" s="1"/>
  <c r="H177" i="47" a="1"/>
  <c r="H177" i="47" s="1"/>
  <c r="G177" i="47" s="1" a="1"/>
  <c r="G177" i="47" s="1"/>
  <c r="E174" i="47"/>
  <c r="E175" i="47"/>
  <c r="H166" i="47" a="1"/>
  <c r="H166" i="47" s="1"/>
  <c r="G166" i="47" s="1" a="1"/>
  <c r="G166" i="47" s="1"/>
  <c r="H178" i="47" a="1"/>
  <c r="H178" i="47" s="1"/>
  <c r="G178" i="47" s="1" a="1"/>
  <c r="G178" i="47" s="1"/>
  <c r="K178" i="47" s="1"/>
  <c r="H179" i="47" a="1"/>
  <c r="H179" i="47" s="1"/>
  <c r="E177" i="47"/>
  <c r="H168" i="47" a="1"/>
  <c r="H168" i="47" s="1"/>
  <c r="G168" i="47" s="1" a="1"/>
  <c r="G168" i="47" s="1"/>
  <c r="K168" i="47" s="1"/>
  <c r="F165" i="47"/>
  <c r="E166" i="47"/>
  <c r="K194" i="47"/>
  <c r="K213" i="47"/>
  <c r="K186" i="47"/>
  <c r="E167" i="47"/>
  <c r="H170" i="47" a="1"/>
  <c r="H170" i="47" s="1"/>
  <c r="G170" i="47" s="1" a="1"/>
  <c r="G170" i="47" s="1"/>
  <c r="E179" i="47"/>
  <c r="H169" i="47" a="1"/>
  <c r="H169" i="47" s="1"/>
  <c r="G169" i="47" s="1" a="1"/>
  <c r="G169" i="47" s="1"/>
  <c r="E178" i="47"/>
  <c r="G179" i="47" a="1"/>
  <c r="G179" i="47" s="1"/>
  <c r="K136" i="47"/>
  <c r="K139" i="47"/>
  <c r="K144" i="47"/>
  <c r="K157" i="47"/>
  <c r="K151" i="47"/>
  <c r="K132" i="47"/>
  <c r="K152" i="47"/>
  <c r="K160" i="47"/>
  <c r="H122" i="47" a="1"/>
  <c r="H122" i="47" s="1"/>
  <c r="G122" i="47" s="1" a="1"/>
  <c r="G122" i="47" s="1"/>
  <c r="E119" i="47"/>
  <c r="H125" i="47" a="1"/>
  <c r="H125" i="47" s="1"/>
  <c r="E122" i="47"/>
  <c r="H123" i="47" a="1"/>
  <c r="H123" i="47" s="1"/>
  <c r="G123" i="47" s="1" a="1"/>
  <c r="G123" i="47" s="1"/>
  <c r="E120" i="47"/>
  <c r="H126" i="47" a="1"/>
  <c r="H126" i="47" s="1"/>
  <c r="G126" i="47" s="1" a="1"/>
  <c r="G126" i="47" s="1"/>
  <c r="E123" i="47"/>
  <c r="H121" i="47" a="1"/>
  <c r="H121" i="47" s="1"/>
  <c r="G121" i="47" s="1" a="1"/>
  <c r="G121" i="47" s="1"/>
  <c r="E118" i="47"/>
  <c r="H124" i="47" a="1"/>
  <c r="H124" i="47" s="1"/>
  <c r="E121" i="47"/>
  <c r="G124" i="47" a="1"/>
  <c r="G124" i="47" s="1"/>
  <c r="H129" i="47" a="1"/>
  <c r="H129" i="47" s="1"/>
  <c r="G129" i="47" s="1" a="1"/>
  <c r="G129" i="47" s="1"/>
  <c r="E126" i="47"/>
  <c r="H117" i="47" a="1"/>
  <c r="H117" i="47" s="1"/>
  <c r="G117" i="47" s="1" a="1"/>
  <c r="G117" i="47" s="1"/>
  <c r="K117" i="47" s="1"/>
  <c r="E129" i="47"/>
  <c r="H120" i="47" a="1"/>
  <c r="H120" i="47" s="1"/>
  <c r="G120" i="47" s="1" a="1"/>
  <c r="G120" i="47" s="1"/>
  <c r="G118" i="47" a="1"/>
  <c r="G118" i="47" s="1"/>
  <c r="K118" i="47" s="1"/>
  <c r="H127" i="47" a="1"/>
  <c r="H127" i="47" s="1"/>
  <c r="G127" i="47" s="1" a="1"/>
  <c r="G127" i="47" s="1"/>
  <c r="G125" i="47" a="1"/>
  <c r="G125" i="47" s="1"/>
  <c r="E124" i="47"/>
  <c r="H128" i="47" a="1"/>
  <c r="H128" i="47" s="1"/>
  <c r="G128" i="47" s="1" a="1"/>
  <c r="G128" i="47" s="1"/>
  <c r="E125" i="47"/>
  <c r="H116" i="47" a="1"/>
  <c r="H116" i="47" s="1"/>
  <c r="G116" i="47" s="1" a="1"/>
  <c r="G116" i="47" s="1"/>
  <c r="E127" i="47"/>
  <c r="H118" i="47" a="1"/>
  <c r="H118" i="47" s="1"/>
  <c r="F115" i="47"/>
  <c r="E116" i="47"/>
  <c r="K145" i="47"/>
  <c r="K163" i="47"/>
  <c r="K148" i="47"/>
  <c r="K140" i="47"/>
  <c r="K156" i="47"/>
  <c r="K133" i="47"/>
  <c r="E117" i="47"/>
  <c r="H119" i="47" a="1"/>
  <c r="H119" i="47" s="1"/>
  <c r="G119" i="47" s="1" a="1"/>
  <c r="G119" i="47" s="1"/>
  <c r="E128" i="47"/>
  <c r="K86" i="47"/>
  <c r="K82" i="47"/>
  <c r="K101" i="47"/>
  <c r="K81" i="47"/>
  <c r="K98" i="47"/>
  <c r="K102" i="47"/>
  <c r="H72" i="47" a="1"/>
  <c r="H72" i="47" s="1"/>
  <c r="G72" i="47" s="1" a="1"/>
  <c r="G72" i="47" s="1"/>
  <c r="K72" i="47" s="1"/>
  <c r="E69" i="47"/>
  <c r="H73" i="47" a="1"/>
  <c r="H73" i="47" s="1"/>
  <c r="G73" i="47" s="1" a="1"/>
  <c r="G73" i="47" s="1"/>
  <c r="K73" i="47" s="1"/>
  <c r="E71" i="47"/>
  <c r="E70" i="47"/>
  <c r="H74" i="47" a="1"/>
  <c r="H74" i="47" s="1"/>
  <c r="G74" i="47" s="1" a="1"/>
  <c r="G74" i="47" s="1"/>
  <c r="E72" i="47"/>
  <c r="H75" i="47" a="1"/>
  <c r="H75" i="47" s="1"/>
  <c r="G75" i="47" s="1" a="1"/>
  <c r="G75" i="47" s="1"/>
  <c r="E79" i="47"/>
  <c r="G68" i="47" a="1"/>
  <c r="G68" i="47" s="1"/>
  <c r="K68" i="47" s="1"/>
  <c r="H71" i="47" a="1"/>
  <c r="H71" i="47" s="1"/>
  <c r="G71" i="47" s="1" a="1"/>
  <c r="G71" i="47" s="1"/>
  <c r="H76" i="47" a="1"/>
  <c r="H76" i="47" s="1"/>
  <c r="G76" i="47" s="1" a="1"/>
  <c r="G76" i="47" s="1"/>
  <c r="E73" i="47"/>
  <c r="H77" i="47" a="1"/>
  <c r="H77" i="47" s="1"/>
  <c r="G77" i="47" s="1" a="1"/>
  <c r="G77" i="47" s="1"/>
  <c r="E74" i="47"/>
  <c r="H78" i="47" a="1"/>
  <c r="H78" i="47" s="1"/>
  <c r="G78" i="47" s="1" a="1"/>
  <c r="G78" i="47" s="1"/>
  <c r="E75" i="47"/>
  <c r="H66" i="47" a="1"/>
  <c r="H66" i="47" s="1"/>
  <c r="H79" i="47" a="1"/>
  <c r="H79" i="47" s="1"/>
  <c r="G79" i="47" s="1" a="1"/>
  <c r="G79" i="47" s="1"/>
  <c r="K79" i="47" s="1"/>
  <c r="E76" i="47"/>
  <c r="H67" i="47" a="1"/>
  <c r="H67" i="47" s="1"/>
  <c r="G67" i="47" s="1" a="1"/>
  <c r="G67" i="47" s="1"/>
  <c r="G66" i="47" a="1"/>
  <c r="G66" i="47" s="1"/>
  <c r="K66" i="47" s="1"/>
  <c r="H70" i="47" a="1"/>
  <c r="H70" i="47" s="1"/>
  <c r="G70" i="47" s="1" a="1"/>
  <c r="G70" i="47" s="1"/>
  <c r="E67" i="47"/>
  <c r="E68" i="47"/>
  <c r="E77" i="47"/>
  <c r="H68" i="47" a="1"/>
  <c r="H68" i="47" s="1"/>
  <c r="F65" i="47"/>
  <c r="E78" i="47"/>
  <c r="H69" i="47" a="1"/>
  <c r="H69" i="47" s="1"/>
  <c r="G69" i="47" s="1" a="1"/>
  <c r="G69" i="47" s="1"/>
  <c r="E66" i="47"/>
  <c r="K94" i="47"/>
  <c r="K83" i="47"/>
  <c r="K110" i="47"/>
  <c r="K89" i="47"/>
  <c r="K113" i="47"/>
  <c r="K106" i="47"/>
  <c r="K90" i="47"/>
  <c r="A1110" i="29"/>
  <c r="BJ65" i="28"/>
  <c r="BJ64" i="28"/>
  <c r="BJ63" i="28"/>
  <c r="BJ62" i="28"/>
  <c r="BJ61" i="28"/>
  <c r="BJ60" i="28"/>
  <c r="BJ59" i="28"/>
  <c r="BJ58" i="28"/>
  <c r="BJ57" i="28"/>
  <c r="BJ56" i="28"/>
  <c r="BJ55" i="28"/>
  <c r="BJ54" i="28"/>
  <c r="BJ53" i="28"/>
  <c r="BJ52" i="28"/>
  <c r="BJ51" i="28"/>
  <c r="BJ50" i="28"/>
  <c r="BJ49" i="28"/>
  <c r="BJ48" i="28"/>
  <c r="BJ47" i="28"/>
  <c r="BJ46" i="28"/>
  <c r="BJ45" i="28"/>
  <c r="BJ44" i="28"/>
  <c r="BJ43" i="28"/>
  <c r="BJ42" i="28"/>
  <c r="BJ41" i="28"/>
  <c r="BJ40" i="28"/>
  <c r="BJ39" i="28"/>
  <c r="BJ38" i="28"/>
  <c r="BJ37" i="28"/>
  <c r="BJ36" i="28"/>
  <c r="BJ35" i="28"/>
  <c r="BJ34" i="28"/>
  <c r="BJ33" i="28"/>
  <c r="BJ32" i="28"/>
  <c r="BJ31" i="28"/>
  <c r="BJ30" i="28"/>
  <c r="BJ29" i="28"/>
  <c r="BJ28" i="28"/>
  <c r="BJ27" i="28"/>
  <c r="E15" i="47" l="1"/>
  <c r="K2028" i="47"/>
  <c r="K2315" i="47"/>
  <c r="K2415" i="47"/>
  <c r="K2087" i="47"/>
  <c r="K2218" i="47"/>
  <c r="K2017" i="47"/>
  <c r="H2015" i="47" a="1"/>
  <c r="H2015" i="47" s="1"/>
  <c r="G2015" i="47" a="1"/>
  <c r="G2015" i="47" s="1"/>
  <c r="K2015" i="47" s="1"/>
  <c r="E2015" i="47"/>
  <c r="K2023" i="47"/>
  <c r="K2022" i="47"/>
  <c r="K2465" i="47"/>
  <c r="K2086" i="47"/>
  <c r="K2020" i="47"/>
  <c r="K2082" i="47"/>
  <c r="K2027" i="47"/>
  <c r="K1765" i="47"/>
  <c r="K1915" i="47"/>
  <c r="K1526" i="47"/>
  <c r="K1815" i="47"/>
  <c r="K1615" i="47"/>
  <c r="K1518" i="47"/>
  <c r="K1810" i="47"/>
  <c r="K1730" i="47"/>
  <c r="K1642" i="47"/>
  <c r="K1865" i="47"/>
  <c r="K1628" i="47"/>
  <c r="K1533" i="47"/>
  <c r="K1875" i="47"/>
  <c r="K1596" i="47"/>
  <c r="K1965" i="47"/>
  <c r="K1521" i="47"/>
  <c r="K1753" i="47"/>
  <c r="K1748" i="47"/>
  <c r="K1017" i="47"/>
  <c r="K1028" i="47"/>
  <c r="K1020" i="47"/>
  <c r="K1019" i="47"/>
  <c r="K1365" i="47"/>
  <c r="K1021" i="47"/>
  <c r="K1026" i="47"/>
  <c r="K1024" i="47"/>
  <c r="K1242" i="47"/>
  <c r="H1015" i="47" a="1"/>
  <c r="H1015" i="47" s="1"/>
  <c r="G1015" i="47" s="1" a="1"/>
  <c r="G1015" i="47" s="1"/>
  <c r="E1015" i="47"/>
  <c r="K1218" i="47"/>
  <c r="K1458" i="47"/>
  <c r="K1213" i="47"/>
  <c r="K1022" i="47"/>
  <c r="K1025" i="47"/>
  <c r="K1473" i="47"/>
  <c r="K1243" i="47"/>
  <c r="K1027" i="47"/>
  <c r="K1465" i="47"/>
  <c r="K1016" i="47"/>
  <c r="K1434" i="47"/>
  <c r="K1415" i="47"/>
  <c r="K1252" i="47"/>
  <c r="K515" i="47"/>
  <c r="K665" i="47"/>
  <c r="K715" i="47"/>
  <c r="K615" i="47"/>
  <c r="K865" i="47"/>
  <c r="K570" i="47"/>
  <c r="K606" i="47"/>
  <c r="K519" i="47"/>
  <c r="K965" i="47"/>
  <c r="K565" i="47"/>
  <c r="K777" i="47"/>
  <c r="K469" i="47"/>
  <c r="K475" i="47"/>
  <c r="K470" i="47"/>
  <c r="K474" i="47"/>
  <c r="K478" i="47"/>
  <c r="K476" i="47"/>
  <c r="H465" i="47" a="1"/>
  <c r="H465" i="47" s="1"/>
  <c r="G465" i="47" a="1"/>
  <c r="G465" i="47" s="1"/>
  <c r="E465" i="47"/>
  <c r="K422" i="47"/>
  <c r="K426" i="47"/>
  <c r="K428" i="47"/>
  <c r="K420" i="47"/>
  <c r="K423" i="47"/>
  <c r="K421" i="47"/>
  <c r="K416" i="47"/>
  <c r="K419" i="47"/>
  <c r="K425" i="47"/>
  <c r="K418" i="47"/>
  <c r="H415" i="47" a="1"/>
  <c r="H415" i="47" s="1"/>
  <c r="G415" i="47" a="1"/>
  <c r="G415" i="47" s="1"/>
  <c r="E415" i="47"/>
  <c r="K417" i="47"/>
  <c r="K377" i="47"/>
  <c r="K378" i="47"/>
  <c r="K373" i="47"/>
  <c r="K376" i="47"/>
  <c r="K370" i="47"/>
  <c r="E365" i="47"/>
  <c r="H365" i="47" a="1"/>
  <c r="H365" i="47" s="1"/>
  <c r="G365" i="47" s="1" a="1"/>
  <c r="G365" i="47" s="1"/>
  <c r="K368" i="47"/>
  <c r="K372" i="47"/>
  <c r="K375" i="47"/>
  <c r="K367" i="47"/>
  <c r="K369" i="47"/>
  <c r="K324" i="47"/>
  <c r="K319" i="47"/>
  <c r="K318" i="47"/>
  <c r="K320" i="47"/>
  <c r="K321" i="47"/>
  <c r="K322" i="47"/>
  <c r="K325" i="47"/>
  <c r="H315" i="47" a="1"/>
  <c r="H315" i="47" s="1"/>
  <c r="G315" i="47" a="1"/>
  <c r="G315" i="47" s="1"/>
  <c r="E315" i="47"/>
  <c r="K329" i="47"/>
  <c r="K316" i="47"/>
  <c r="K323" i="47"/>
  <c r="K272" i="47"/>
  <c r="K275" i="47"/>
  <c r="K271" i="47"/>
  <c r="K279" i="47"/>
  <c r="K276" i="47"/>
  <c r="K273" i="47"/>
  <c r="K267" i="47"/>
  <c r="K269" i="47"/>
  <c r="K274" i="47"/>
  <c r="H265" i="47" a="1"/>
  <c r="H265" i="47" s="1"/>
  <c r="G265" i="47" a="1"/>
  <c r="G265" i="47" s="1"/>
  <c r="E265" i="47"/>
  <c r="K266" i="47"/>
  <c r="K227" i="47"/>
  <c r="K228" i="47"/>
  <c r="K226" i="47"/>
  <c r="K217" i="47"/>
  <c r="K220" i="47"/>
  <c r="K224" i="47"/>
  <c r="H215" i="47" a="1"/>
  <c r="H215" i="47" s="1"/>
  <c r="G215" i="47" s="1" a="1"/>
  <c r="G215" i="47" s="1"/>
  <c r="E215" i="47"/>
  <c r="K218" i="47"/>
  <c r="K225" i="47"/>
  <c r="K229" i="47"/>
  <c r="K219" i="47"/>
  <c r="K170" i="47"/>
  <c r="K176" i="47"/>
  <c r="K169" i="47"/>
  <c r="K172" i="47"/>
  <c r="H165" i="47" a="1"/>
  <c r="H165" i="47" s="1"/>
  <c r="G165" i="47" a="1"/>
  <c r="G165" i="47" s="1"/>
  <c r="E165" i="47"/>
  <c r="K166" i="47"/>
  <c r="K171" i="47"/>
  <c r="K177" i="47"/>
  <c r="K179" i="47"/>
  <c r="K120" i="47"/>
  <c r="K127" i="47"/>
  <c r="K123" i="47"/>
  <c r="K116" i="47"/>
  <c r="K122" i="47"/>
  <c r="K119" i="47"/>
  <c r="K121" i="47"/>
  <c r="K124" i="47"/>
  <c r="K128" i="47"/>
  <c r="K129" i="47"/>
  <c r="G115" i="47" a="1"/>
  <c r="G115" i="47" s="1"/>
  <c r="H115" i="47" a="1"/>
  <c r="H115" i="47" s="1"/>
  <c r="E115" i="47"/>
  <c r="K126" i="47"/>
  <c r="K125" i="47"/>
  <c r="K76" i="47"/>
  <c r="K69" i="47"/>
  <c r="K67" i="47"/>
  <c r="K75" i="47"/>
  <c r="K71" i="47"/>
  <c r="K74" i="47"/>
  <c r="K78" i="47"/>
  <c r="K77" i="47"/>
  <c r="H65" i="47" a="1"/>
  <c r="H65" i="47" s="1"/>
  <c r="G65" i="47" a="1"/>
  <c r="G65" i="47" s="1"/>
  <c r="E65" i="47"/>
  <c r="K70" i="47"/>
  <c r="C15" i="28" a="1"/>
  <c r="C15" i="28" s="1"/>
  <c r="K1015" i="47" l="1"/>
  <c r="K465" i="47"/>
  <c r="K415" i="47"/>
  <c r="K365" i="47"/>
  <c r="K315" i="47"/>
  <c r="K265" i="47"/>
  <c r="K215" i="47"/>
  <c r="K165" i="47"/>
  <c r="K115" i="47"/>
  <c r="K65" i="47"/>
  <c r="L15" i="47"/>
  <c r="L16" i="47"/>
  <c r="J1619" i="41"/>
  <c r="BF65" i="66" l="1"/>
  <c r="BF64" i="66"/>
  <c r="BF63" i="66"/>
  <c r="BF62" i="66"/>
  <c r="BF61" i="66"/>
  <c r="BF60" i="66"/>
  <c r="BF59" i="66"/>
  <c r="BF58" i="66"/>
  <c r="BF57" i="66"/>
  <c r="BF56" i="66"/>
  <c r="BF55" i="66"/>
  <c r="BF54" i="66"/>
  <c r="BF53" i="66"/>
  <c r="BF52" i="66"/>
  <c r="BF51" i="66"/>
  <c r="BF50" i="66"/>
  <c r="BF49" i="66"/>
  <c r="BF48" i="66"/>
  <c r="BF47" i="66"/>
  <c r="BF46" i="66"/>
  <c r="BF45" i="66"/>
  <c r="BF44" i="66"/>
  <c r="BF43" i="66"/>
  <c r="BF42" i="66"/>
  <c r="BF41" i="66"/>
  <c r="BF40" i="66"/>
  <c r="BF39" i="66"/>
  <c r="BF38" i="66"/>
  <c r="BF37" i="66"/>
  <c r="BF36" i="66"/>
  <c r="BF35" i="66"/>
  <c r="BF34" i="66"/>
  <c r="BF33" i="66"/>
  <c r="BF32" i="66"/>
  <c r="BF31" i="66"/>
  <c r="BF30" i="66"/>
  <c r="BF29" i="66"/>
  <c r="BF28" i="66"/>
  <c r="BF27" i="66"/>
  <c r="BF26" i="66"/>
  <c r="BF25" i="66"/>
  <c r="BF24" i="66"/>
  <c r="BF23" i="66"/>
  <c r="BF22" i="66"/>
  <c r="BF21" i="66"/>
  <c r="BF20" i="66"/>
  <c r="BF19" i="66"/>
  <c r="BJ65" i="66"/>
  <c r="BJ64" i="66"/>
  <c r="BJ63" i="66"/>
  <c r="BJ62" i="66"/>
  <c r="BJ61" i="66"/>
  <c r="BJ60" i="66"/>
  <c r="BJ59" i="66"/>
  <c r="BJ58" i="66"/>
  <c r="BJ57" i="66"/>
  <c r="BJ56" i="66"/>
  <c r="BJ55" i="66"/>
  <c r="BJ54" i="66"/>
  <c r="BJ53" i="66"/>
  <c r="BJ52" i="66"/>
  <c r="BJ51" i="66"/>
  <c r="BJ50" i="66"/>
  <c r="BJ49" i="66"/>
  <c r="BJ48" i="66"/>
  <c r="BJ47" i="66"/>
  <c r="BJ46" i="66"/>
  <c r="BJ45" i="66"/>
  <c r="BJ44" i="66"/>
  <c r="BJ43" i="66"/>
  <c r="BJ42" i="66"/>
  <c r="BJ41" i="66"/>
  <c r="BJ40" i="66"/>
  <c r="BJ39" i="66"/>
  <c r="BJ38" i="66"/>
  <c r="BJ37" i="66"/>
  <c r="BJ36" i="66"/>
  <c r="BJ35" i="66"/>
  <c r="BJ34" i="66"/>
  <c r="BJ33" i="66"/>
  <c r="BJ32" i="66"/>
  <c r="BJ31" i="66"/>
  <c r="BJ30" i="66"/>
  <c r="BJ29" i="66"/>
  <c r="BJ28" i="66"/>
  <c r="BJ27" i="66"/>
  <c r="BJ26" i="66"/>
  <c r="BJ25" i="66"/>
  <c r="BJ24" i="66"/>
  <c r="BJ23" i="66"/>
  <c r="BJ22" i="66"/>
  <c r="BJ21" i="66"/>
  <c r="BJ20" i="66"/>
  <c r="BJ19" i="66"/>
  <c r="BH65" i="66"/>
  <c r="BH64" i="66"/>
  <c r="BH63" i="66"/>
  <c r="BH62" i="66"/>
  <c r="BH61" i="66"/>
  <c r="BH60" i="66"/>
  <c r="BH59" i="66"/>
  <c r="BH58" i="66"/>
  <c r="BH57" i="66"/>
  <c r="BH56" i="66"/>
  <c r="BH55" i="66"/>
  <c r="BH54" i="66"/>
  <c r="BH53" i="66"/>
  <c r="BH52" i="66"/>
  <c r="BH51" i="66"/>
  <c r="BH50" i="66"/>
  <c r="BH49" i="66"/>
  <c r="BH48" i="66"/>
  <c r="BH47" i="66"/>
  <c r="BH46" i="66"/>
  <c r="BH45" i="66"/>
  <c r="BH44" i="66"/>
  <c r="BH43" i="66"/>
  <c r="BH42" i="66"/>
  <c r="BH41" i="66"/>
  <c r="BH40" i="66"/>
  <c r="BH39" i="66"/>
  <c r="BH38" i="66"/>
  <c r="BH37" i="66"/>
  <c r="BH36" i="66"/>
  <c r="BH35" i="66"/>
  <c r="BH34" i="66"/>
  <c r="BH33" i="66"/>
  <c r="BH32" i="66"/>
  <c r="BH31" i="66"/>
  <c r="BH30" i="66"/>
  <c r="BH29" i="66"/>
  <c r="BH28" i="66"/>
  <c r="BH27" i="66"/>
  <c r="BH26" i="66"/>
  <c r="BH25" i="66"/>
  <c r="BH24" i="66"/>
  <c r="BH23" i="66"/>
  <c r="BH22" i="66"/>
  <c r="BH21" i="66"/>
  <c r="BH20" i="66"/>
  <c r="BH19" i="66"/>
  <c r="AF65" i="66"/>
  <c r="AF64" i="66"/>
  <c r="AF63" i="66"/>
  <c r="AF62" i="66"/>
  <c r="AF61" i="66"/>
  <c r="AF60" i="66"/>
  <c r="AF59" i="66"/>
  <c r="AF58" i="66"/>
  <c r="AF57" i="66"/>
  <c r="AF56" i="66"/>
  <c r="AF55" i="66"/>
  <c r="AF54" i="66"/>
  <c r="AF53" i="66"/>
  <c r="AF52" i="66"/>
  <c r="AF51" i="66"/>
  <c r="AF50" i="66"/>
  <c r="AF49" i="66"/>
  <c r="AF48" i="66"/>
  <c r="AF47" i="66"/>
  <c r="AF46" i="66"/>
  <c r="AF45" i="66"/>
  <c r="AF44" i="66"/>
  <c r="AF43" i="66"/>
  <c r="AF42" i="66"/>
  <c r="AF41" i="66"/>
  <c r="AF40" i="66"/>
  <c r="AF39" i="66"/>
  <c r="AF38" i="66"/>
  <c r="AF37" i="66"/>
  <c r="AF36" i="66"/>
  <c r="AF35" i="66"/>
  <c r="AF34" i="66"/>
  <c r="AF33" i="66"/>
  <c r="AF32" i="66"/>
  <c r="AF31" i="66"/>
  <c r="AF30" i="66"/>
  <c r="AF29" i="66"/>
  <c r="AF28" i="66"/>
  <c r="AF27" i="66"/>
  <c r="AF26" i="66"/>
  <c r="AF25" i="66"/>
  <c r="AF24" i="66"/>
  <c r="AF23" i="66"/>
  <c r="AF22" i="66"/>
  <c r="AF21" i="66"/>
  <c r="AF20" i="66"/>
  <c r="AF19" i="66"/>
  <c r="AD65" i="66"/>
  <c r="AD64" i="66"/>
  <c r="AD63" i="66"/>
  <c r="AD62" i="66"/>
  <c r="AD61" i="66"/>
  <c r="AD60" i="66"/>
  <c r="AD59" i="66"/>
  <c r="AD58" i="66"/>
  <c r="AD57" i="66"/>
  <c r="AD56" i="66"/>
  <c r="AD55" i="66"/>
  <c r="AD54" i="66"/>
  <c r="AD53" i="66"/>
  <c r="AD52" i="66"/>
  <c r="AD51" i="66"/>
  <c r="AD50" i="66"/>
  <c r="AD49" i="66"/>
  <c r="AD48" i="66"/>
  <c r="AD47" i="66"/>
  <c r="AD46" i="66"/>
  <c r="AD45" i="66"/>
  <c r="AD44" i="66"/>
  <c r="AD43" i="66"/>
  <c r="AD42" i="66"/>
  <c r="AD41" i="66"/>
  <c r="AD40" i="66"/>
  <c r="AD39" i="66"/>
  <c r="AD38" i="66"/>
  <c r="AD37" i="66"/>
  <c r="AD36" i="66"/>
  <c r="AD35" i="66"/>
  <c r="AD34" i="66"/>
  <c r="AD33" i="66"/>
  <c r="AD32" i="66"/>
  <c r="AD31" i="66"/>
  <c r="AD30" i="66"/>
  <c r="AD29" i="66"/>
  <c r="AD28" i="66"/>
  <c r="AD27" i="66"/>
  <c r="AD26" i="66"/>
  <c r="AD25" i="66"/>
  <c r="AD24" i="66"/>
  <c r="AD23" i="66"/>
  <c r="AD22" i="66"/>
  <c r="AD21" i="66"/>
  <c r="AD20" i="66"/>
  <c r="AD19" i="66"/>
  <c r="AH19" i="66"/>
  <c r="AI19" i="66"/>
  <c r="AH20" i="66"/>
  <c r="AI20" i="66"/>
  <c r="AH21" i="66"/>
  <c r="AI21" i="66"/>
  <c r="AH22" i="66"/>
  <c r="AI22" i="66"/>
  <c r="AH23" i="66"/>
  <c r="AI23" i="66"/>
  <c r="AH24" i="66"/>
  <c r="AI24" i="66"/>
  <c r="AH25" i="66"/>
  <c r="AI25" i="66"/>
  <c r="AH26" i="66"/>
  <c r="AI26" i="66"/>
  <c r="AH27" i="66"/>
  <c r="AI27" i="66"/>
  <c r="AH28" i="66"/>
  <c r="AI28" i="66"/>
  <c r="AH29" i="66"/>
  <c r="AI29" i="66"/>
  <c r="AH30" i="66"/>
  <c r="AI30" i="66"/>
  <c r="AH31" i="66"/>
  <c r="AI31" i="66"/>
  <c r="AH32" i="66"/>
  <c r="AI32" i="66"/>
  <c r="AH33" i="66"/>
  <c r="AI33" i="66"/>
  <c r="AH34" i="66"/>
  <c r="AI34" i="66"/>
  <c r="AH35" i="66"/>
  <c r="AI35" i="66"/>
  <c r="AH36" i="66"/>
  <c r="AI36" i="66"/>
  <c r="AH37" i="66"/>
  <c r="AI37" i="66"/>
  <c r="AH38" i="66"/>
  <c r="AI38" i="66"/>
  <c r="AH39" i="66"/>
  <c r="AI39" i="66"/>
  <c r="AH40" i="66"/>
  <c r="AI40" i="66"/>
  <c r="AH41" i="66"/>
  <c r="AI41" i="66"/>
  <c r="AH42" i="66"/>
  <c r="AI42" i="66"/>
  <c r="AH43" i="66"/>
  <c r="AI43" i="66"/>
  <c r="AH44" i="66"/>
  <c r="AI44" i="66"/>
  <c r="AH45" i="66"/>
  <c r="AI45" i="66"/>
  <c r="AH46" i="66"/>
  <c r="AI46" i="66"/>
  <c r="AH47" i="66"/>
  <c r="AI47" i="66"/>
  <c r="AH48" i="66"/>
  <c r="AI48" i="66"/>
  <c r="AH49" i="66"/>
  <c r="AI49" i="66"/>
  <c r="AH50" i="66"/>
  <c r="AI50" i="66"/>
  <c r="AH51" i="66"/>
  <c r="AI51" i="66"/>
  <c r="AH52" i="66"/>
  <c r="AI52" i="66"/>
  <c r="AH53" i="66"/>
  <c r="AI53" i="66"/>
  <c r="AH54" i="66"/>
  <c r="AI54" i="66"/>
  <c r="AH55" i="66"/>
  <c r="AI55" i="66"/>
  <c r="AH56" i="66"/>
  <c r="AI56" i="66"/>
  <c r="AH57" i="66"/>
  <c r="AI57" i="66"/>
  <c r="AH58" i="66"/>
  <c r="AI58" i="66"/>
  <c r="AH59" i="66"/>
  <c r="AI59" i="66"/>
  <c r="AH60" i="66"/>
  <c r="AI60" i="66"/>
  <c r="AH61" i="66"/>
  <c r="AI61" i="66"/>
  <c r="AH62" i="66"/>
  <c r="AI62" i="66"/>
  <c r="AH63" i="66"/>
  <c r="AI63" i="66"/>
  <c r="AH64" i="66"/>
  <c r="AI64" i="66"/>
  <c r="AH65" i="66"/>
  <c r="AI65" i="66"/>
  <c r="H15" i="38" l="1" a="1"/>
  <c r="H15" i="38" s="1"/>
  <c r="A1272" i="29"/>
  <c r="B1272" i="29"/>
  <c r="E1272" i="29" a="1"/>
  <c r="E1272" i="29" s="1"/>
  <c r="A1273" i="29"/>
  <c r="B1273" i="29"/>
  <c r="E1273" i="29" a="1"/>
  <c r="E1273" i="29" s="1"/>
  <c r="A1274" i="29"/>
  <c r="B1274" i="29"/>
  <c r="E1274" i="29" a="1"/>
  <c r="E1274" i="29" s="1"/>
  <c r="A1275" i="29"/>
  <c r="B1275" i="29"/>
  <c r="E1275" i="29" a="1"/>
  <c r="E1275" i="29" s="1"/>
  <c r="A1276" i="29"/>
  <c r="B1276" i="29"/>
  <c r="E1276" i="29" a="1"/>
  <c r="E1276" i="29" s="1"/>
  <c r="A1277" i="29"/>
  <c r="B1277" i="29"/>
  <c r="E1277" i="29" a="1"/>
  <c r="E1277" i="29" s="1"/>
  <c r="A1278" i="29"/>
  <c r="B1278" i="29"/>
  <c r="E1278" i="29" a="1"/>
  <c r="E1278" i="29" s="1"/>
  <c r="A1279" i="29"/>
  <c r="B1279" i="29"/>
  <c r="E1279" i="29" a="1"/>
  <c r="E1279" i="29" s="1"/>
  <c r="A1280" i="29"/>
  <c r="B1280" i="29"/>
  <c r="E1280" i="29" a="1"/>
  <c r="E1280" i="29" s="1"/>
  <c r="A1281" i="29"/>
  <c r="B1281" i="29"/>
  <c r="E1281" i="29" a="1"/>
  <c r="E1281" i="29" s="1"/>
  <c r="A1282" i="29"/>
  <c r="B1282" i="29"/>
  <c r="E1282" i="29" a="1"/>
  <c r="E1282" i="29" s="1"/>
  <c r="A1283" i="29"/>
  <c r="B1283" i="29"/>
  <c r="E1283" i="29" a="1"/>
  <c r="E1283" i="29" s="1"/>
  <c r="A1284" i="29"/>
  <c r="B1284" i="29"/>
  <c r="E1284" i="29" a="1"/>
  <c r="E1284" i="29" s="1"/>
  <c r="A1285" i="29"/>
  <c r="B1285" i="29"/>
  <c r="E1285" i="29" a="1"/>
  <c r="E1285" i="29" s="1"/>
  <c r="A1286" i="29"/>
  <c r="B1286" i="29"/>
  <c r="E1286" i="29" a="1"/>
  <c r="E1286" i="29" s="1"/>
  <c r="A1287" i="29"/>
  <c r="B1287" i="29"/>
  <c r="E1287" i="29" a="1"/>
  <c r="E1287" i="29" s="1"/>
  <c r="A1288" i="29"/>
  <c r="B1288" i="29"/>
  <c r="E1288" i="29" a="1"/>
  <c r="E1288" i="29" s="1"/>
  <c r="A1289" i="29"/>
  <c r="B1289" i="29"/>
  <c r="E1289" i="29" a="1"/>
  <c r="E1289" i="29" s="1"/>
  <c r="A1290" i="29"/>
  <c r="B1290" i="29"/>
  <c r="E1290" i="29" a="1"/>
  <c r="E1290" i="29" s="1"/>
  <c r="A1291" i="29"/>
  <c r="B1291" i="29"/>
  <c r="E1291" i="29" a="1"/>
  <c r="E1291" i="29" s="1"/>
  <c r="A1292" i="29"/>
  <c r="B1292" i="29"/>
  <c r="E1292" i="29" a="1"/>
  <c r="E1292" i="29" s="1"/>
  <c r="A1293" i="29"/>
  <c r="B1293" i="29"/>
  <c r="E1293" i="29" a="1"/>
  <c r="E1293" i="29" s="1"/>
  <c r="A1294" i="29"/>
  <c r="B1294" i="29"/>
  <c r="E1294" i="29" a="1"/>
  <c r="E1294" i="29" s="1"/>
  <c r="A1295" i="29"/>
  <c r="B1295" i="29"/>
  <c r="E1295" i="29" a="1"/>
  <c r="E1295" i="29" s="1"/>
  <c r="A1296" i="29"/>
  <c r="B1296" i="29"/>
  <c r="E1296" i="29" a="1"/>
  <c r="E1296" i="29" s="1"/>
  <c r="A1297" i="29"/>
  <c r="B1297" i="29"/>
  <c r="E1297" i="29" a="1"/>
  <c r="E1297" i="29" s="1"/>
  <c r="A1298" i="29"/>
  <c r="B1298" i="29"/>
  <c r="E1298" i="29" a="1"/>
  <c r="E1298" i="29" s="1"/>
  <c r="A1299" i="29"/>
  <c r="B1299" i="29"/>
  <c r="E1299" i="29" a="1"/>
  <c r="E1299" i="29" s="1"/>
  <c r="A1300" i="29"/>
  <c r="B1300" i="29"/>
  <c r="E1300" i="29" a="1"/>
  <c r="E1300" i="29" s="1"/>
  <c r="A1301" i="29"/>
  <c r="B1301" i="29"/>
  <c r="E1301" i="29" a="1"/>
  <c r="E1301" i="29" s="1"/>
  <c r="A1302" i="29"/>
  <c r="B1302" i="29"/>
  <c r="E1302" i="29" a="1"/>
  <c r="E1302" i="29" s="1"/>
  <c r="A1303" i="29"/>
  <c r="B1303" i="29"/>
  <c r="E1303" i="29" a="1"/>
  <c r="E1303" i="29" s="1"/>
  <c r="A1304" i="29"/>
  <c r="B1304" i="29"/>
  <c r="E1304" i="29" a="1"/>
  <c r="E1304" i="29" s="1"/>
  <c r="A1305" i="29"/>
  <c r="B1305" i="29"/>
  <c r="E1305" i="29" a="1"/>
  <c r="E1305" i="29" s="1"/>
  <c r="A1306" i="29"/>
  <c r="B1306" i="29"/>
  <c r="E1306" i="29" a="1"/>
  <c r="E1306" i="29" s="1"/>
  <c r="A1307" i="29"/>
  <c r="B1307" i="29"/>
  <c r="E1307" i="29" a="1"/>
  <c r="E1307" i="29" s="1"/>
  <c r="A1308" i="29"/>
  <c r="B1308" i="29"/>
  <c r="E1308" i="29" a="1"/>
  <c r="E1308" i="29" s="1"/>
  <c r="A1309" i="29"/>
  <c r="B1309" i="29"/>
  <c r="E1309" i="29" a="1"/>
  <c r="E1309" i="29" s="1"/>
  <c r="A1310" i="29"/>
  <c r="B1310" i="29"/>
  <c r="E1310" i="29" a="1"/>
  <c r="E1310" i="29" s="1"/>
  <c r="A1311" i="29"/>
  <c r="B1311" i="29"/>
  <c r="E1311" i="29" a="1"/>
  <c r="E1311" i="29" s="1"/>
  <c r="A1312" i="29"/>
  <c r="B1312" i="29"/>
  <c r="E1312" i="29" a="1"/>
  <c r="E1312" i="29" s="1"/>
  <c r="A1313" i="29"/>
  <c r="B1313" i="29"/>
  <c r="E1313" i="29" a="1"/>
  <c r="E1313" i="29" s="1"/>
  <c r="A1314" i="29"/>
  <c r="B1314" i="29"/>
  <c r="E1314" i="29" a="1"/>
  <c r="E1314" i="29" s="1"/>
  <c r="A1315" i="29"/>
  <c r="B1315" i="29"/>
  <c r="E1315" i="29" a="1"/>
  <c r="E1315" i="29" s="1"/>
  <c r="A1316" i="29"/>
  <c r="B1316" i="29"/>
  <c r="E1316" i="29" a="1"/>
  <c r="E1316" i="29" s="1"/>
  <c r="A1317" i="29"/>
  <c r="B1317" i="29"/>
  <c r="E1317" i="29" a="1"/>
  <c r="E1317" i="29" s="1"/>
  <c r="A1318" i="29"/>
  <c r="B1318" i="29"/>
  <c r="E1318" i="29" a="1"/>
  <c r="E1318" i="29" s="1"/>
  <c r="A1319" i="29"/>
  <c r="B1319" i="29"/>
  <c r="E1319" i="29" a="1"/>
  <c r="E1319" i="29" s="1"/>
  <c r="A1320" i="29"/>
  <c r="B1320" i="29"/>
  <c r="E1320" i="29" a="1"/>
  <c r="E1320" i="29" s="1"/>
  <c r="A1324" i="29"/>
  <c r="B1324" i="29"/>
  <c r="E1324" i="29" a="1"/>
  <c r="E1324" i="29" s="1"/>
  <c r="A1325" i="29"/>
  <c r="B1325" i="29"/>
  <c r="E1325" i="29" a="1"/>
  <c r="E1325" i="29" s="1"/>
  <c r="A1326" i="29"/>
  <c r="B1326" i="29"/>
  <c r="E1326" i="29" a="1"/>
  <c r="E1326" i="29" s="1"/>
  <c r="A1327" i="29"/>
  <c r="B1327" i="29"/>
  <c r="E1327" i="29" a="1"/>
  <c r="E1327" i="29" s="1"/>
  <c r="A1328" i="29"/>
  <c r="B1328" i="29"/>
  <c r="E1328" i="29" a="1"/>
  <c r="E1328" i="29" s="1"/>
  <c r="A1329" i="29"/>
  <c r="B1329" i="29"/>
  <c r="E1329" i="29" a="1"/>
  <c r="E1329" i="29" s="1"/>
  <c r="A1330" i="29"/>
  <c r="B1330" i="29"/>
  <c r="E1330" i="29" a="1"/>
  <c r="E1330" i="29" s="1"/>
  <c r="A1331" i="29"/>
  <c r="B1331" i="29"/>
  <c r="E1331" i="29" a="1"/>
  <c r="E1331" i="29" s="1"/>
  <c r="A1332" i="29"/>
  <c r="B1332" i="29"/>
  <c r="E1332" i="29" a="1"/>
  <c r="E1332" i="29" s="1"/>
  <c r="A1333" i="29"/>
  <c r="B1333" i="29"/>
  <c r="E1333" i="29" a="1"/>
  <c r="E1333" i="29" s="1"/>
  <c r="A1334" i="29"/>
  <c r="B1334" i="29"/>
  <c r="E1334" i="29" a="1"/>
  <c r="E1334" i="29" s="1"/>
  <c r="A1335" i="29"/>
  <c r="B1335" i="29"/>
  <c r="E1335" i="29" a="1"/>
  <c r="E1335" i="29" s="1"/>
  <c r="A1336" i="29"/>
  <c r="B1336" i="29"/>
  <c r="E1336" i="29" a="1"/>
  <c r="E1336" i="29" s="1"/>
  <c r="A1337" i="29"/>
  <c r="B1337" i="29"/>
  <c r="E1337" i="29" a="1"/>
  <c r="E1337" i="29" s="1"/>
  <c r="A1338" i="29"/>
  <c r="B1338" i="29"/>
  <c r="E1338" i="29" a="1"/>
  <c r="E1338" i="29" s="1"/>
  <c r="A1339" i="29"/>
  <c r="B1339" i="29"/>
  <c r="E1339" i="29" a="1"/>
  <c r="E1339" i="29" s="1"/>
  <c r="A1340" i="29"/>
  <c r="B1340" i="29"/>
  <c r="E1340" i="29" a="1"/>
  <c r="E1340" i="29" s="1"/>
  <c r="A1341" i="29"/>
  <c r="B1341" i="29"/>
  <c r="E1341" i="29" a="1"/>
  <c r="E1341" i="29" s="1"/>
  <c r="A1342" i="29"/>
  <c r="B1342" i="29"/>
  <c r="E1342" i="29" a="1"/>
  <c r="E1342" i="29" s="1"/>
  <c r="A1343" i="29"/>
  <c r="B1343" i="29"/>
  <c r="E1343" i="29" a="1"/>
  <c r="E1343" i="29" s="1"/>
  <c r="A1344" i="29"/>
  <c r="B1344" i="29"/>
  <c r="E1344" i="29" a="1"/>
  <c r="E1344" i="29" s="1"/>
  <c r="A1345" i="29"/>
  <c r="B1345" i="29"/>
  <c r="E1345" i="29" a="1"/>
  <c r="E1345" i="29" s="1"/>
  <c r="A1346" i="29"/>
  <c r="B1346" i="29"/>
  <c r="E1346" i="29" a="1"/>
  <c r="E1346" i="29" s="1"/>
  <c r="A1347" i="29"/>
  <c r="B1347" i="29"/>
  <c r="E1347" i="29" a="1"/>
  <c r="E1347" i="29" s="1"/>
  <c r="A1348" i="29"/>
  <c r="B1348" i="29"/>
  <c r="E1348" i="29" a="1"/>
  <c r="E1348" i="29" s="1"/>
  <c r="A1349" i="29"/>
  <c r="B1349" i="29"/>
  <c r="E1349" i="29" a="1"/>
  <c r="E1349" i="29" s="1"/>
  <c r="A1350" i="29"/>
  <c r="B1350" i="29"/>
  <c r="E1350" i="29" a="1"/>
  <c r="E1350" i="29" s="1"/>
  <c r="A1351" i="29"/>
  <c r="B1351" i="29"/>
  <c r="E1351" i="29" a="1"/>
  <c r="E1351" i="29" s="1"/>
  <c r="A1352" i="29"/>
  <c r="B1352" i="29"/>
  <c r="E1352" i="29" a="1"/>
  <c r="E1352" i="29" s="1"/>
  <c r="A1353" i="29"/>
  <c r="B1353" i="29"/>
  <c r="E1353" i="29" a="1"/>
  <c r="E1353" i="29" s="1"/>
  <c r="A1354" i="29"/>
  <c r="B1354" i="29"/>
  <c r="E1354" i="29" a="1"/>
  <c r="E1354" i="29" s="1"/>
  <c r="A1355" i="29"/>
  <c r="B1355" i="29"/>
  <c r="E1355" i="29" a="1"/>
  <c r="E1355" i="29" s="1"/>
  <c r="A1356" i="29"/>
  <c r="B1356" i="29"/>
  <c r="E1356" i="29" a="1"/>
  <c r="E1356" i="29" s="1"/>
  <c r="A1357" i="29"/>
  <c r="B1357" i="29"/>
  <c r="E1357" i="29" a="1"/>
  <c r="E1357" i="29" s="1"/>
  <c r="A1358" i="29"/>
  <c r="B1358" i="29"/>
  <c r="E1358" i="29" a="1"/>
  <c r="E1358" i="29" s="1"/>
  <c r="A1359" i="29"/>
  <c r="B1359" i="29"/>
  <c r="E1359" i="29" a="1"/>
  <c r="E1359" i="29" s="1"/>
  <c r="A1360" i="29"/>
  <c r="B1360" i="29"/>
  <c r="E1360" i="29" a="1"/>
  <c r="E1360" i="29" s="1"/>
  <c r="A1361" i="29"/>
  <c r="B1361" i="29"/>
  <c r="E1361" i="29" a="1"/>
  <c r="E1361" i="29" s="1"/>
  <c r="A1362" i="29"/>
  <c r="B1362" i="29"/>
  <c r="E1362" i="29" a="1"/>
  <c r="E1362" i="29" s="1"/>
  <c r="A1363" i="29"/>
  <c r="B1363" i="29"/>
  <c r="E1363" i="29" a="1"/>
  <c r="E1363" i="29" s="1"/>
  <c r="A1364" i="29"/>
  <c r="B1364" i="29"/>
  <c r="E1364" i="29" a="1"/>
  <c r="E1364" i="29" s="1"/>
  <c r="A1365" i="29"/>
  <c r="B1365" i="29"/>
  <c r="E1365" i="29" a="1"/>
  <c r="E1365" i="29" s="1"/>
  <c r="A1366" i="29"/>
  <c r="B1366" i="29"/>
  <c r="E1366" i="29" a="1"/>
  <c r="E1366" i="29" s="1"/>
  <c r="A1367" i="29"/>
  <c r="B1367" i="29"/>
  <c r="E1367" i="29" a="1"/>
  <c r="E1367" i="29" s="1"/>
  <c r="A1368" i="29"/>
  <c r="B1368" i="29"/>
  <c r="E1368" i="29" a="1"/>
  <c r="E1368" i="29" s="1"/>
  <c r="A1369" i="29"/>
  <c r="B1369" i="29"/>
  <c r="E1369" i="29" a="1"/>
  <c r="E1369" i="29" s="1"/>
  <c r="A1370" i="29"/>
  <c r="B1370" i="29"/>
  <c r="E1370" i="29" a="1"/>
  <c r="E1370" i="29" s="1"/>
  <c r="A1371" i="29"/>
  <c r="B1371" i="29"/>
  <c r="E1371" i="29" a="1"/>
  <c r="E1371" i="29" s="1"/>
  <c r="A1372" i="29"/>
  <c r="B1372" i="29"/>
  <c r="E1372" i="29" a="1"/>
  <c r="E1372" i="29" s="1"/>
  <c r="A1373" i="29"/>
  <c r="B1373" i="29"/>
  <c r="E1373" i="29" a="1"/>
  <c r="E1373" i="29" s="1"/>
  <c r="A1374" i="29"/>
  <c r="B1374" i="29"/>
  <c r="E1374" i="29" a="1"/>
  <c r="E1374" i="29" s="1"/>
  <c r="A1375" i="29"/>
  <c r="B1375" i="29"/>
  <c r="E1375" i="29" a="1"/>
  <c r="E1375" i="29" s="1"/>
  <c r="A1376" i="29"/>
  <c r="B1376" i="29"/>
  <c r="E1376" i="29" a="1"/>
  <c r="E1376" i="29" s="1"/>
  <c r="A1377" i="29"/>
  <c r="B1377" i="29"/>
  <c r="E1377" i="29" a="1"/>
  <c r="E1377" i="29" s="1"/>
  <c r="A1378" i="29"/>
  <c r="B1378" i="29"/>
  <c r="E1378" i="29" a="1"/>
  <c r="E1378" i="29" s="1"/>
  <c r="A1379" i="29"/>
  <c r="B1379" i="29"/>
  <c r="E1379" i="29" a="1"/>
  <c r="E1379" i="29" s="1"/>
  <c r="A1380" i="29"/>
  <c r="B1380" i="29"/>
  <c r="E1380" i="29" a="1"/>
  <c r="E1380" i="29" s="1"/>
  <c r="A1381" i="29"/>
  <c r="B1381" i="29"/>
  <c r="E1381" i="29" a="1"/>
  <c r="E1381" i="29" s="1"/>
  <c r="A1385" i="29"/>
  <c r="B1385" i="29"/>
  <c r="E1385" i="29" a="1"/>
  <c r="E1385" i="29" s="1"/>
  <c r="A1386" i="29"/>
  <c r="B1386" i="29"/>
  <c r="E1386" i="29" a="1"/>
  <c r="E1386" i="29" s="1"/>
  <c r="A1387" i="29"/>
  <c r="B1387" i="29"/>
  <c r="E1387" i="29" a="1"/>
  <c r="E1387" i="29" s="1"/>
  <c r="A1388" i="29"/>
  <c r="B1388" i="29"/>
  <c r="E1388" i="29" a="1"/>
  <c r="E1388" i="29" s="1"/>
  <c r="A1389" i="29"/>
  <c r="B1389" i="29"/>
  <c r="E1389" i="29" a="1"/>
  <c r="E1389" i="29" s="1"/>
  <c r="A1390" i="29"/>
  <c r="B1390" i="29"/>
  <c r="E1390" i="29" a="1"/>
  <c r="E1390" i="29" s="1"/>
  <c r="A1391" i="29"/>
  <c r="B1391" i="29"/>
  <c r="E1391" i="29" a="1"/>
  <c r="E1391" i="29" s="1"/>
  <c r="A1392" i="29"/>
  <c r="B1392" i="29"/>
  <c r="E1392" i="29" a="1"/>
  <c r="E1392" i="29" s="1"/>
  <c r="A1393" i="29"/>
  <c r="B1393" i="29"/>
  <c r="E1393" i="29" a="1"/>
  <c r="E1393" i="29" s="1"/>
  <c r="A1394" i="29"/>
  <c r="B1394" i="29"/>
  <c r="E1394" i="29" a="1"/>
  <c r="E1394" i="29" s="1"/>
  <c r="A1395" i="29"/>
  <c r="B1395" i="29"/>
  <c r="E1395" i="29" a="1"/>
  <c r="E1395" i="29" s="1"/>
  <c r="A1396" i="29"/>
  <c r="B1396" i="29"/>
  <c r="E1396" i="29" a="1"/>
  <c r="E1396" i="29" s="1"/>
  <c r="A1397" i="29"/>
  <c r="B1397" i="29"/>
  <c r="E1397" i="29" a="1"/>
  <c r="E1397" i="29" s="1"/>
  <c r="A1398" i="29"/>
  <c r="B1398" i="29"/>
  <c r="E1398" i="29" a="1"/>
  <c r="E1398" i="29" s="1"/>
  <c r="A1399" i="29"/>
  <c r="B1399" i="29"/>
  <c r="E1399" i="29" a="1"/>
  <c r="E1399" i="29" s="1"/>
  <c r="A1400" i="29"/>
  <c r="B1400" i="29"/>
  <c r="E1400" i="29" a="1"/>
  <c r="E1400" i="29" s="1"/>
  <c r="A1401" i="29"/>
  <c r="B1401" i="29"/>
  <c r="E1401" i="29" a="1"/>
  <c r="E1401" i="29" s="1"/>
  <c r="A1402" i="29"/>
  <c r="B1402" i="29"/>
  <c r="E1402" i="29" a="1"/>
  <c r="E1402" i="29" s="1"/>
  <c r="A1403" i="29"/>
  <c r="B1403" i="29"/>
  <c r="E1403" i="29" a="1"/>
  <c r="E1403" i="29" s="1"/>
  <c r="A1404" i="29"/>
  <c r="B1404" i="29"/>
  <c r="E1404" i="29" a="1"/>
  <c r="E1404" i="29" s="1"/>
  <c r="A1405" i="29"/>
  <c r="B1405" i="29"/>
  <c r="E1405" i="29" a="1"/>
  <c r="E1405" i="29" s="1"/>
  <c r="A1406" i="29"/>
  <c r="B1406" i="29"/>
  <c r="E1406" i="29" a="1"/>
  <c r="E1406" i="29" s="1"/>
  <c r="A1407" i="29"/>
  <c r="B1407" i="29"/>
  <c r="E1407" i="29" a="1"/>
  <c r="E1407" i="29" s="1"/>
  <c r="A1408" i="29"/>
  <c r="B1408" i="29"/>
  <c r="E1408" i="29" a="1"/>
  <c r="E1408" i="29" s="1"/>
  <c r="A1409" i="29"/>
  <c r="B1409" i="29"/>
  <c r="E1409" i="29" a="1"/>
  <c r="E1409" i="29" s="1"/>
  <c r="A1410" i="29"/>
  <c r="B1410" i="29"/>
  <c r="E1410" i="29" a="1"/>
  <c r="E1410" i="29" s="1"/>
  <c r="A1411" i="29"/>
  <c r="B1411" i="29"/>
  <c r="E1411" i="29" a="1"/>
  <c r="E1411" i="29" s="1"/>
  <c r="A1412" i="29"/>
  <c r="B1412" i="29"/>
  <c r="E1412" i="29" a="1"/>
  <c r="E1412" i="29" s="1"/>
  <c r="A1413" i="29"/>
  <c r="B1413" i="29"/>
  <c r="E1413" i="29" a="1"/>
  <c r="E1413" i="29" s="1"/>
  <c r="A1414" i="29"/>
  <c r="B1414" i="29"/>
  <c r="E1414" i="29" a="1"/>
  <c r="E1414" i="29" s="1"/>
  <c r="A1415" i="29"/>
  <c r="B1415" i="29"/>
  <c r="E1415" i="29" a="1"/>
  <c r="E1415" i="29" s="1"/>
  <c r="A1416" i="29"/>
  <c r="B1416" i="29"/>
  <c r="E1416" i="29" a="1"/>
  <c r="E1416" i="29" s="1"/>
  <c r="A1417" i="29"/>
  <c r="B1417" i="29"/>
  <c r="E1417" i="29" a="1"/>
  <c r="E1417" i="29" s="1"/>
  <c r="A1418" i="29"/>
  <c r="B1418" i="29"/>
  <c r="E1418" i="29" a="1"/>
  <c r="E1418" i="29" s="1"/>
  <c r="A1419" i="29"/>
  <c r="B1419" i="29"/>
  <c r="E1419" i="29" a="1"/>
  <c r="E1419" i="29" s="1"/>
  <c r="A1420" i="29"/>
  <c r="B1420" i="29"/>
  <c r="E1420" i="29" a="1"/>
  <c r="E1420" i="29" s="1"/>
  <c r="A1421" i="29"/>
  <c r="B1421" i="29"/>
  <c r="E1421" i="29" a="1"/>
  <c r="E1421" i="29" s="1"/>
  <c r="A1422" i="29"/>
  <c r="B1422" i="29"/>
  <c r="E1422" i="29" a="1"/>
  <c r="E1422" i="29" s="1"/>
  <c r="A1423" i="29"/>
  <c r="B1423" i="29"/>
  <c r="E1423" i="29" a="1"/>
  <c r="E1423" i="29" s="1"/>
  <c r="A1424" i="29"/>
  <c r="B1424" i="29"/>
  <c r="E1424" i="29" a="1"/>
  <c r="E1424" i="29" s="1"/>
  <c r="A1425" i="29"/>
  <c r="B1425" i="29"/>
  <c r="E1425" i="29" a="1"/>
  <c r="E1425" i="29" s="1"/>
  <c r="A1426" i="29"/>
  <c r="B1426" i="29"/>
  <c r="E1426" i="29" a="1"/>
  <c r="E1426" i="29" s="1"/>
  <c r="A1427" i="29"/>
  <c r="B1427" i="29"/>
  <c r="E1427" i="29" a="1"/>
  <c r="E1427" i="29" s="1"/>
  <c r="A1428" i="29"/>
  <c r="B1428" i="29"/>
  <c r="E1428" i="29" a="1"/>
  <c r="E1428" i="29" s="1"/>
  <c r="A1429" i="29"/>
  <c r="B1429" i="29"/>
  <c r="E1429" i="29" a="1"/>
  <c r="E1429" i="29" s="1"/>
  <c r="A1430" i="29"/>
  <c r="B1430" i="29"/>
  <c r="E1430" i="29" a="1"/>
  <c r="E1430" i="29" s="1"/>
  <c r="A1431" i="29"/>
  <c r="B1431" i="29"/>
  <c r="E1431" i="29" a="1"/>
  <c r="E1431" i="29" s="1"/>
  <c r="A1432" i="29"/>
  <c r="B1432" i="29"/>
  <c r="E1432" i="29" a="1"/>
  <c r="E1432" i="29" s="1"/>
  <c r="A1433" i="29"/>
  <c r="B1433" i="29"/>
  <c r="E1433" i="29" a="1"/>
  <c r="E1433" i="29" s="1"/>
  <c r="A1434" i="29"/>
  <c r="B1434" i="29"/>
  <c r="E1434" i="29" a="1"/>
  <c r="E1434" i="29" s="1"/>
  <c r="A1435" i="29"/>
  <c r="B1435" i="29"/>
  <c r="E1435" i="29" a="1"/>
  <c r="E1435" i="29" s="1"/>
  <c r="A1436" i="29"/>
  <c r="B1436" i="29"/>
  <c r="E1436" i="29" a="1"/>
  <c r="E1436" i="29" s="1"/>
  <c r="A1437" i="29"/>
  <c r="B1437" i="29"/>
  <c r="E1437" i="29" a="1"/>
  <c r="E1437" i="29" s="1"/>
  <c r="A1438" i="29"/>
  <c r="B1438" i="29"/>
  <c r="E1438" i="29" a="1"/>
  <c r="E1438" i="29" s="1"/>
  <c r="A1439" i="29"/>
  <c r="B1439" i="29"/>
  <c r="E1439" i="29" a="1"/>
  <c r="E1439" i="29" s="1"/>
  <c r="A1440" i="29"/>
  <c r="B1440" i="29"/>
  <c r="E1440" i="29" a="1"/>
  <c r="E1440" i="29" s="1"/>
  <c r="A1441" i="29"/>
  <c r="B1441" i="29"/>
  <c r="E1441" i="29" a="1"/>
  <c r="E1441" i="29" s="1"/>
  <c r="A1442" i="29"/>
  <c r="B1442" i="29"/>
  <c r="E1442" i="29" a="1"/>
  <c r="E1442" i="29" s="1"/>
  <c r="A1444" i="29"/>
  <c r="A1445" i="29"/>
  <c r="A1446" i="29"/>
  <c r="B1446" i="29"/>
  <c r="E1446" i="29" a="1"/>
  <c r="E1446" i="29" s="1"/>
  <c r="A1447" i="29"/>
  <c r="B1447" i="29"/>
  <c r="E1447" i="29" a="1"/>
  <c r="E1447" i="29" s="1"/>
  <c r="A1448" i="29"/>
  <c r="B1448" i="29"/>
  <c r="E1448" i="29" a="1"/>
  <c r="E1448" i="29" s="1"/>
  <c r="A1449" i="29"/>
  <c r="B1449" i="29"/>
  <c r="E1449" i="29" a="1"/>
  <c r="E1449" i="29" s="1"/>
  <c r="A1450" i="29"/>
  <c r="B1450" i="29"/>
  <c r="E1450" i="29" a="1"/>
  <c r="E1450" i="29" s="1"/>
  <c r="A1451" i="29"/>
  <c r="B1451" i="29"/>
  <c r="E1451" i="29" a="1"/>
  <c r="E1451" i="29" s="1"/>
  <c r="A1452" i="29"/>
  <c r="B1452" i="29"/>
  <c r="E1452" i="29" a="1"/>
  <c r="E1452" i="29" s="1"/>
  <c r="A1453" i="29"/>
  <c r="B1453" i="29"/>
  <c r="E1453" i="29" a="1"/>
  <c r="E1453" i="29" s="1"/>
  <c r="A1454" i="29"/>
  <c r="B1454" i="29"/>
  <c r="E1454" i="29" a="1"/>
  <c r="E1454" i="29" s="1"/>
  <c r="A1455" i="29"/>
  <c r="B1455" i="29"/>
  <c r="E1455" i="29" a="1"/>
  <c r="E1455" i="29" s="1"/>
  <c r="A1456" i="29"/>
  <c r="B1456" i="29"/>
  <c r="E1456" i="29" a="1"/>
  <c r="E1456" i="29" s="1"/>
  <c r="A1457" i="29"/>
  <c r="B1457" i="29"/>
  <c r="E1457" i="29" a="1"/>
  <c r="E1457" i="29" s="1"/>
  <c r="A1458" i="29"/>
  <c r="B1458" i="29"/>
  <c r="E1458" i="29" a="1"/>
  <c r="E1458" i="29" s="1"/>
  <c r="A1459" i="29"/>
  <c r="B1459" i="29"/>
  <c r="E1459" i="29" a="1"/>
  <c r="E1459" i="29" s="1"/>
  <c r="A1460" i="29"/>
  <c r="B1460" i="29"/>
  <c r="E1460" i="29" a="1"/>
  <c r="E1460" i="29" s="1"/>
  <c r="A1461" i="29"/>
  <c r="B1461" i="29"/>
  <c r="E1461" i="29" a="1"/>
  <c r="E1461" i="29" s="1"/>
  <c r="A1462" i="29"/>
  <c r="B1462" i="29"/>
  <c r="E1462" i="29" a="1"/>
  <c r="E1462" i="29" s="1"/>
  <c r="A1463" i="29"/>
  <c r="B1463" i="29"/>
  <c r="E1463" i="29" a="1"/>
  <c r="E1463" i="29" s="1"/>
  <c r="A1464" i="29"/>
  <c r="B1464" i="29"/>
  <c r="E1464" i="29" a="1"/>
  <c r="E1464" i="29" s="1"/>
  <c r="A1465" i="29"/>
  <c r="B1465" i="29"/>
  <c r="E1465" i="29" a="1"/>
  <c r="E1465" i="29" s="1"/>
  <c r="A1466" i="29"/>
  <c r="B1466" i="29"/>
  <c r="E1466" i="29" a="1"/>
  <c r="E1466" i="29" s="1"/>
  <c r="A1467" i="29"/>
  <c r="B1467" i="29"/>
  <c r="E1467" i="29" a="1"/>
  <c r="E1467" i="29" s="1"/>
  <c r="A1468" i="29"/>
  <c r="B1468" i="29"/>
  <c r="E1468" i="29" a="1"/>
  <c r="E1468" i="29" s="1"/>
  <c r="A1469" i="29"/>
  <c r="B1469" i="29"/>
  <c r="E1469" i="29" a="1"/>
  <c r="E1469" i="29" s="1"/>
  <c r="A1470" i="29"/>
  <c r="B1470" i="29"/>
  <c r="E1470" i="29" a="1"/>
  <c r="E1470" i="29" s="1"/>
  <c r="A1471" i="29"/>
  <c r="B1471" i="29"/>
  <c r="E1471" i="29" a="1"/>
  <c r="E1471" i="29" s="1"/>
  <c r="A1472" i="29"/>
  <c r="B1472" i="29"/>
  <c r="E1472" i="29" a="1"/>
  <c r="E1472" i="29" s="1"/>
  <c r="A1473" i="29"/>
  <c r="B1473" i="29"/>
  <c r="E1473" i="29" a="1"/>
  <c r="E1473" i="29" s="1"/>
  <c r="A1474" i="29"/>
  <c r="B1474" i="29"/>
  <c r="E1474" i="29" a="1"/>
  <c r="E1474" i="29" s="1"/>
  <c r="A1475" i="29"/>
  <c r="B1475" i="29"/>
  <c r="E1475" i="29" a="1"/>
  <c r="E1475" i="29" s="1"/>
  <c r="A1476" i="29"/>
  <c r="B1476" i="29"/>
  <c r="E1476" i="29" a="1"/>
  <c r="E1476" i="29" s="1"/>
  <c r="A1477" i="29"/>
  <c r="B1477" i="29"/>
  <c r="E1477" i="29" a="1"/>
  <c r="E1477" i="29" s="1"/>
  <c r="A1478" i="29"/>
  <c r="B1478" i="29"/>
  <c r="E1478" i="29" a="1"/>
  <c r="E1478" i="29" s="1"/>
  <c r="A1479" i="29"/>
  <c r="B1479" i="29"/>
  <c r="E1479" i="29" a="1"/>
  <c r="E1479" i="29" s="1"/>
  <c r="A1480" i="29"/>
  <c r="B1480" i="29"/>
  <c r="E1480" i="29" a="1"/>
  <c r="E1480" i="29" s="1"/>
  <c r="A1481" i="29"/>
  <c r="B1481" i="29"/>
  <c r="E1481" i="29" a="1"/>
  <c r="E1481" i="29" s="1"/>
  <c r="A1482" i="29"/>
  <c r="B1482" i="29"/>
  <c r="E1482" i="29" a="1"/>
  <c r="E1482" i="29" s="1"/>
  <c r="A1483" i="29"/>
  <c r="B1483" i="29"/>
  <c r="E1483" i="29" a="1"/>
  <c r="E1483" i="29" s="1"/>
  <c r="A1484" i="29"/>
  <c r="B1484" i="29"/>
  <c r="E1484" i="29" a="1"/>
  <c r="E1484" i="29" s="1"/>
  <c r="A1485" i="29"/>
  <c r="B1485" i="29"/>
  <c r="E1485" i="29" a="1"/>
  <c r="E1485" i="29" s="1"/>
  <c r="A1486" i="29"/>
  <c r="B1486" i="29"/>
  <c r="E1486" i="29" a="1"/>
  <c r="E1486" i="29" s="1"/>
  <c r="A1487" i="29"/>
  <c r="B1487" i="29"/>
  <c r="E1487" i="29" a="1"/>
  <c r="E1487" i="29" s="1"/>
  <c r="A1488" i="29"/>
  <c r="B1488" i="29"/>
  <c r="E1488" i="29" a="1"/>
  <c r="E1488" i="29" s="1"/>
  <c r="A1489" i="29"/>
  <c r="B1489" i="29"/>
  <c r="E1489" i="29" a="1"/>
  <c r="E1489" i="29" s="1"/>
  <c r="A1490" i="29"/>
  <c r="B1490" i="29"/>
  <c r="E1490" i="29" a="1"/>
  <c r="E1490" i="29" s="1"/>
  <c r="A1491" i="29"/>
  <c r="B1491" i="29"/>
  <c r="E1491" i="29" a="1"/>
  <c r="E1491" i="29" s="1"/>
  <c r="A1492" i="29"/>
  <c r="B1492" i="29"/>
  <c r="E1492" i="29" a="1"/>
  <c r="E1492" i="29" s="1"/>
  <c r="A1493" i="29"/>
  <c r="B1493" i="29"/>
  <c r="E1493" i="29" a="1"/>
  <c r="E1493" i="29" s="1"/>
  <c r="A1494" i="29"/>
  <c r="B1494" i="29"/>
  <c r="E1494" i="29" a="1"/>
  <c r="E1494" i="29" s="1"/>
  <c r="A1495" i="29"/>
  <c r="B1495" i="29"/>
  <c r="E1495" i="29" a="1"/>
  <c r="E1495" i="29" s="1"/>
  <c r="A1496" i="29"/>
  <c r="B1496" i="29"/>
  <c r="E1496" i="29" a="1"/>
  <c r="E1496" i="29" s="1"/>
  <c r="A1497" i="29"/>
  <c r="B1497" i="29"/>
  <c r="E1497" i="29" a="1"/>
  <c r="E1497" i="29" s="1"/>
  <c r="A1498" i="29"/>
  <c r="B1498" i="29"/>
  <c r="E1498" i="29" a="1"/>
  <c r="E1498" i="29" s="1"/>
  <c r="A1499" i="29"/>
  <c r="B1499" i="29"/>
  <c r="E1499" i="29" a="1"/>
  <c r="E1499" i="29" s="1"/>
  <c r="A1500" i="29"/>
  <c r="B1500" i="29"/>
  <c r="E1500" i="29" a="1"/>
  <c r="E1500" i="29" s="1"/>
  <c r="A1501" i="29"/>
  <c r="B1501" i="29"/>
  <c r="E1501" i="29" a="1"/>
  <c r="E1501" i="29" s="1"/>
  <c r="A1502" i="29"/>
  <c r="B1502" i="29"/>
  <c r="E1502" i="29" a="1"/>
  <c r="E1502" i="29" s="1"/>
  <c r="A1503" i="29"/>
  <c r="B1503" i="29"/>
  <c r="E1503" i="29" a="1"/>
  <c r="E1503" i="29" s="1"/>
  <c r="A1505" i="29"/>
  <c r="A1506" i="29"/>
  <c r="A1507" i="29"/>
  <c r="B1507" i="29"/>
  <c r="E1507" i="29" a="1"/>
  <c r="E1507" i="29" s="1"/>
  <c r="A1508" i="29"/>
  <c r="B1508" i="29"/>
  <c r="E1508" i="29" a="1"/>
  <c r="E1508" i="29" s="1"/>
  <c r="A1509" i="29"/>
  <c r="B1509" i="29"/>
  <c r="E1509" i="29" a="1"/>
  <c r="E1509" i="29" s="1"/>
  <c r="A1510" i="29"/>
  <c r="B1510" i="29"/>
  <c r="E1510" i="29" a="1"/>
  <c r="E1510" i="29" s="1"/>
  <c r="A1511" i="29"/>
  <c r="B1511" i="29"/>
  <c r="E1511" i="29" a="1"/>
  <c r="E1511" i="29" s="1"/>
  <c r="A1512" i="29"/>
  <c r="B1512" i="29"/>
  <c r="E1512" i="29" a="1"/>
  <c r="E1512" i="29" s="1"/>
  <c r="A1513" i="29"/>
  <c r="B1513" i="29"/>
  <c r="E1513" i="29" a="1"/>
  <c r="E1513" i="29" s="1"/>
  <c r="A1514" i="29"/>
  <c r="B1514" i="29"/>
  <c r="E1514" i="29" a="1"/>
  <c r="E1514" i="29" s="1"/>
  <c r="A1515" i="29"/>
  <c r="B1515" i="29"/>
  <c r="E1515" i="29" a="1"/>
  <c r="E1515" i="29" s="1"/>
  <c r="A1516" i="29"/>
  <c r="B1516" i="29"/>
  <c r="E1516" i="29" a="1"/>
  <c r="E1516" i="29" s="1"/>
  <c r="A1517" i="29"/>
  <c r="B1517" i="29"/>
  <c r="E1517" i="29" a="1"/>
  <c r="E1517" i="29" s="1"/>
  <c r="A1518" i="29"/>
  <c r="B1518" i="29"/>
  <c r="E1518" i="29" a="1"/>
  <c r="E1518" i="29" s="1"/>
  <c r="A1519" i="29"/>
  <c r="B1519" i="29"/>
  <c r="E1519" i="29" a="1"/>
  <c r="E1519" i="29" s="1"/>
  <c r="A1520" i="29"/>
  <c r="B1520" i="29"/>
  <c r="E1520" i="29" a="1"/>
  <c r="E1520" i="29" s="1"/>
  <c r="A1521" i="29"/>
  <c r="B1521" i="29"/>
  <c r="E1521" i="29" a="1"/>
  <c r="E1521" i="29" s="1"/>
  <c r="A1522" i="29"/>
  <c r="B1522" i="29"/>
  <c r="E1522" i="29" a="1"/>
  <c r="E1522" i="29" s="1"/>
  <c r="A1523" i="29"/>
  <c r="B1523" i="29"/>
  <c r="E1523" i="29" a="1"/>
  <c r="E1523" i="29" s="1"/>
  <c r="A1524" i="29"/>
  <c r="B1524" i="29"/>
  <c r="E1524" i="29" a="1"/>
  <c r="E1524" i="29" s="1"/>
  <c r="A1525" i="29"/>
  <c r="B1525" i="29"/>
  <c r="E1525" i="29" a="1"/>
  <c r="E1525" i="29" s="1"/>
  <c r="A1526" i="29"/>
  <c r="B1526" i="29"/>
  <c r="E1526" i="29" a="1"/>
  <c r="E1526" i="29" s="1"/>
  <c r="A1527" i="29"/>
  <c r="B1527" i="29"/>
  <c r="E1527" i="29" a="1"/>
  <c r="E1527" i="29" s="1"/>
  <c r="A1528" i="29"/>
  <c r="B1528" i="29"/>
  <c r="E1528" i="29" a="1"/>
  <c r="E1528" i="29" s="1"/>
  <c r="A1529" i="29"/>
  <c r="B1529" i="29"/>
  <c r="E1529" i="29" a="1"/>
  <c r="E1529" i="29" s="1"/>
  <c r="A1530" i="29"/>
  <c r="B1530" i="29"/>
  <c r="E1530" i="29" a="1"/>
  <c r="E1530" i="29" s="1"/>
  <c r="A1531" i="29"/>
  <c r="B1531" i="29"/>
  <c r="E1531" i="29" a="1"/>
  <c r="E1531" i="29" s="1"/>
  <c r="A1532" i="29"/>
  <c r="B1532" i="29"/>
  <c r="E1532" i="29" a="1"/>
  <c r="E1532" i="29" s="1"/>
  <c r="A1533" i="29"/>
  <c r="B1533" i="29"/>
  <c r="E1533" i="29" a="1"/>
  <c r="E1533" i="29" s="1"/>
  <c r="A1534" i="29"/>
  <c r="B1534" i="29"/>
  <c r="E1534" i="29" a="1"/>
  <c r="E1534" i="29" s="1"/>
  <c r="A1535" i="29"/>
  <c r="B1535" i="29"/>
  <c r="E1535" i="29" a="1"/>
  <c r="E1535" i="29" s="1"/>
  <c r="A1536" i="29"/>
  <c r="B1536" i="29"/>
  <c r="E1536" i="29" a="1"/>
  <c r="E1536" i="29" s="1"/>
  <c r="A1537" i="29"/>
  <c r="B1537" i="29"/>
  <c r="E1537" i="29" a="1"/>
  <c r="E1537" i="29" s="1"/>
  <c r="A1538" i="29"/>
  <c r="B1538" i="29"/>
  <c r="E1538" i="29" a="1"/>
  <c r="E1538" i="29" s="1"/>
  <c r="A1539" i="29"/>
  <c r="B1539" i="29"/>
  <c r="E1539" i="29" a="1"/>
  <c r="E1539" i="29" s="1"/>
  <c r="A1540" i="29"/>
  <c r="B1540" i="29"/>
  <c r="E1540" i="29" a="1"/>
  <c r="E1540" i="29" s="1"/>
  <c r="A1541" i="29"/>
  <c r="B1541" i="29"/>
  <c r="E1541" i="29" a="1"/>
  <c r="E1541" i="29" s="1"/>
  <c r="A1542" i="29"/>
  <c r="B1542" i="29"/>
  <c r="E1542" i="29" a="1"/>
  <c r="E1542" i="29" s="1"/>
  <c r="A1543" i="29"/>
  <c r="B1543" i="29"/>
  <c r="E1543" i="29" a="1"/>
  <c r="E1543" i="29" s="1"/>
  <c r="A1544" i="29"/>
  <c r="B1544" i="29"/>
  <c r="E1544" i="29" a="1"/>
  <c r="E1544" i="29" s="1"/>
  <c r="A1545" i="29"/>
  <c r="B1545" i="29"/>
  <c r="E1545" i="29" a="1"/>
  <c r="E1545" i="29" s="1"/>
  <c r="A1546" i="29"/>
  <c r="B1546" i="29"/>
  <c r="E1546" i="29" a="1"/>
  <c r="E1546" i="29" s="1"/>
  <c r="A1547" i="29"/>
  <c r="B1547" i="29"/>
  <c r="E1547" i="29" a="1"/>
  <c r="E1547" i="29" s="1"/>
  <c r="A1548" i="29"/>
  <c r="B1548" i="29"/>
  <c r="E1548" i="29" a="1"/>
  <c r="E1548" i="29" s="1"/>
  <c r="A1549" i="29"/>
  <c r="B1549" i="29"/>
  <c r="E1549" i="29" a="1"/>
  <c r="E1549" i="29" s="1"/>
  <c r="A1550" i="29"/>
  <c r="B1550" i="29"/>
  <c r="E1550" i="29" a="1"/>
  <c r="E1550" i="29" s="1"/>
  <c r="A1551" i="29"/>
  <c r="B1551" i="29"/>
  <c r="E1551" i="29" a="1"/>
  <c r="E1551" i="29" s="1"/>
  <c r="A1552" i="29"/>
  <c r="B1552" i="29"/>
  <c r="E1552" i="29" a="1"/>
  <c r="E1552" i="29" s="1"/>
  <c r="A1553" i="29"/>
  <c r="B1553" i="29"/>
  <c r="E1553" i="29" a="1"/>
  <c r="E1553" i="29" s="1"/>
  <c r="A1554" i="29"/>
  <c r="B1554" i="29"/>
  <c r="E1554" i="29" a="1"/>
  <c r="E1554" i="29" s="1"/>
  <c r="A1555" i="29"/>
  <c r="B1555" i="29"/>
  <c r="E1555" i="29" a="1"/>
  <c r="E1555" i="29" s="1"/>
  <c r="A1556" i="29"/>
  <c r="B1556" i="29"/>
  <c r="E1556" i="29" a="1"/>
  <c r="E1556" i="29" s="1"/>
  <c r="A1557" i="29"/>
  <c r="B1557" i="29"/>
  <c r="E1557" i="29" a="1"/>
  <c r="E1557" i="29" s="1"/>
  <c r="A1558" i="29"/>
  <c r="B1558" i="29"/>
  <c r="E1558" i="29" a="1"/>
  <c r="E1558" i="29" s="1"/>
  <c r="A1559" i="29"/>
  <c r="B1559" i="29"/>
  <c r="E1559" i="29" a="1"/>
  <c r="E1559" i="29" s="1"/>
  <c r="A1560" i="29"/>
  <c r="B1560" i="29"/>
  <c r="E1560" i="29" a="1"/>
  <c r="E1560" i="29" s="1"/>
  <c r="A1561" i="29"/>
  <c r="B1561" i="29"/>
  <c r="E1561" i="29" a="1"/>
  <c r="E1561" i="29" s="1"/>
  <c r="A1562" i="29"/>
  <c r="B1562" i="29"/>
  <c r="E1562" i="29" a="1"/>
  <c r="E1562" i="29" s="1"/>
  <c r="A1563" i="29"/>
  <c r="B1563" i="29"/>
  <c r="E1563" i="29" a="1"/>
  <c r="E1563" i="29" s="1"/>
  <c r="A1564" i="29"/>
  <c r="B1564" i="29"/>
  <c r="E1564" i="29" a="1"/>
  <c r="E1564" i="29" s="1"/>
  <c r="A1570" i="29"/>
  <c r="B1570" i="29"/>
  <c r="E1570" i="29" a="1"/>
  <c r="E1570" i="29" s="1"/>
  <c r="A1571" i="29"/>
  <c r="B1571" i="29"/>
  <c r="E1571" i="29" a="1"/>
  <c r="E1571" i="29" s="1"/>
  <c r="A1572" i="29"/>
  <c r="B1572" i="29"/>
  <c r="E1572" i="29" a="1"/>
  <c r="E1572" i="29" s="1"/>
  <c r="A1573" i="29"/>
  <c r="B1573" i="29"/>
  <c r="E1573" i="29" a="1"/>
  <c r="E1573" i="29" s="1"/>
  <c r="A1574" i="29"/>
  <c r="B1574" i="29"/>
  <c r="E1574" i="29" a="1"/>
  <c r="E1574" i="29" s="1"/>
  <c r="A1575" i="29"/>
  <c r="B1575" i="29"/>
  <c r="E1575" i="29" a="1"/>
  <c r="E1575" i="29" s="1"/>
  <c r="A1576" i="29"/>
  <c r="B1576" i="29"/>
  <c r="E1576" i="29" a="1"/>
  <c r="E1576" i="29" s="1"/>
  <c r="A1577" i="29"/>
  <c r="B1577" i="29"/>
  <c r="E1577" i="29" a="1"/>
  <c r="E1577" i="29" s="1"/>
  <c r="A1578" i="29"/>
  <c r="B1578" i="29"/>
  <c r="E1578" i="29" a="1"/>
  <c r="E1578" i="29" s="1"/>
  <c r="A1579" i="29"/>
  <c r="B1579" i="29"/>
  <c r="E1579" i="29" a="1"/>
  <c r="E1579" i="29" s="1"/>
  <c r="A1580" i="29"/>
  <c r="B1580" i="29"/>
  <c r="E1580" i="29" a="1"/>
  <c r="E1580" i="29" s="1"/>
  <c r="A1581" i="29"/>
  <c r="B1581" i="29"/>
  <c r="E1581" i="29" a="1"/>
  <c r="E1581" i="29" s="1"/>
  <c r="A1582" i="29"/>
  <c r="B1582" i="29"/>
  <c r="E1582" i="29" a="1"/>
  <c r="E1582" i="29" s="1"/>
  <c r="A1583" i="29"/>
  <c r="B1583" i="29"/>
  <c r="E1583" i="29" a="1"/>
  <c r="E1583" i="29" s="1"/>
  <c r="A1584" i="29"/>
  <c r="B1584" i="29"/>
  <c r="E1584" i="29" a="1"/>
  <c r="E1584" i="29" s="1"/>
  <c r="A1585" i="29"/>
  <c r="B1585" i="29"/>
  <c r="E1585" i="29" a="1"/>
  <c r="E1585" i="29" s="1"/>
  <c r="A1586" i="29"/>
  <c r="B1586" i="29"/>
  <c r="E1586" i="29" a="1"/>
  <c r="E1586" i="29" s="1"/>
  <c r="A1587" i="29"/>
  <c r="B1587" i="29"/>
  <c r="E1587" i="29" a="1"/>
  <c r="E1587" i="29" s="1"/>
  <c r="A1588" i="29"/>
  <c r="B1588" i="29"/>
  <c r="E1588" i="29" a="1"/>
  <c r="E1588" i="29" s="1"/>
  <c r="A1589" i="29"/>
  <c r="B1589" i="29"/>
  <c r="E1589" i="29" a="1"/>
  <c r="E1589" i="29" s="1"/>
  <c r="A1590" i="29"/>
  <c r="B1590" i="29"/>
  <c r="E1590" i="29" a="1"/>
  <c r="E1590" i="29" s="1"/>
  <c r="A1591" i="29"/>
  <c r="B1591" i="29"/>
  <c r="E1591" i="29" a="1"/>
  <c r="E1591" i="29" s="1"/>
  <c r="A1592" i="29"/>
  <c r="B1592" i="29"/>
  <c r="E1592" i="29" a="1"/>
  <c r="E1592" i="29" s="1"/>
  <c r="A1593" i="29"/>
  <c r="B1593" i="29"/>
  <c r="E1593" i="29" a="1"/>
  <c r="E1593" i="29" s="1"/>
  <c r="A1594" i="29"/>
  <c r="B1594" i="29"/>
  <c r="E1594" i="29" a="1"/>
  <c r="E1594" i="29" s="1"/>
  <c r="A1595" i="29"/>
  <c r="B1595" i="29"/>
  <c r="E1595" i="29" a="1"/>
  <c r="E1595" i="29" s="1"/>
  <c r="A1596" i="29"/>
  <c r="B1596" i="29"/>
  <c r="E1596" i="29" a="1"/>
  <c r="E1596" i="29" s="1"/>
  <c r="A1597" i="29"/>
  <c r="B1597" i="29"/>
  <c r="E1597" i="29" a="1"/>
  <c r="E1597" i="29" s="1"/>
  <c r="A1598" i="29"/>
  <c r="B1598" i="29"/>
  <c r="E1598" i="29" a="1"/>
  <c r="E1598" i="29" s="1"/>
  <c r="A1599" i="29"/>
  <c r="B1599" i="29"/>
  <c r="E1599" i="29" a="1"/>
  <c r="E1599" i="29" s="1"/>
  <c r="A1600" i="29"/>
  <c r="B1600" i="29"/>
  <c r="E1600" i="29" a="1"/>
  <c r="E1600" i="29" s="1"/>
  <c r="A1601" i="29"/>
  <c r="B1601" i="29"/>
  <c r="E1601" i="29" a="1"/>
  <c r="E1601" i="29" s="1"/>
  <c r="A1602" i="29"/>
  <c r="B1602" i="29"/>
  <c r="E1602" i="29" a="1"/>
  <c r="E1602" i="29" s="1"/>
  <c r="A1603" i="29"/>
  <c r="B1603" i="29"/>
  <c r="E1603" i="29" a="1"/>
  <c r="E1603" i="29" s="1"/>
  <c r="A1604" i="29"/>
  <c r="B1604" i="29"/>
  <c r="E1604" i="29" a="1"/>
  <c r="E1604" i="29" s="1"/>
  <c r="A1605" i="29"/>
  <c r="B1605" i="29"/>
  <c r="E1605" i="29" a="1"/>
  <c r="E1605" i="29" s="1"/>
  <c r="A1606" i="29"/>
  <c r="B1606" i="29"/>
  <c r="E1606" i="29" a="1"/>
  <c r="E1606" i="29" s="1"/>
  <c r="A1607" i="29"/>
  <c r="B1607" i="29"/>
  <c r="E1607" i="29" a="1"/>
  <c r="E1607" i="29" s="1"/>
  <c r="A1608" i="29"/>
  <c r="B1608" i="29"/>
  <c r="E1608" i="29" a="1"/>
  <c r="E1608" i="29" s="1"/>
  <c r="A1609" i="29"/>
  <c r="B1609" i="29"/>
  <c r="E1609" i="29" a="1"/>
  <c r="E1609" i="29" s="1"/>
  <c r="A1610" i="29"/>
  <c r="B1610" i="29"/>
  <c r="E1610" i="29" a="1"/>
  <c r="E1610" i="29" s="1"/>
  <c r="A1611" i="29"/>
  <c r="B1611" i="29"/>
  <c r="E1611" i="29" a="1"/>
  <c r="E1611" i="29" s="1"/>
  <c r="A1612" i="29"/>
  <c r="B1612" i="29"/>
  <c r="E1612" i="29" a="1"/>
  <c r="E1612" i="29" s="1"/>
  <c r="A1613" i="29"/>
  <c r="B1613" i="29"/>
  <c r="E1613" i="29" a="1"/>
  <c r="E1613" i="29" s="1"/>
  <c r="A1614" i="29"/>
  <c r="B1614" i="29"/>
  <c r="E1614" i="29" a="1"/>
  <c r="E1614" i="29" s="1"/>
  <c r="A1615" i="29"/>
  <c r="B1615" i="29"/>
  <c r="E1615" i="29" a="1"/>
  <c r="E1615" i="29" s="1"/>
  <c r="A1616" i="29"/>
  <c r="B1616" i="29"/>
  <c r="E1616" i="29" a="1"/>
  <c r="E1616" i="29" s="1"/>
  <c r="A1617" i="29"/>
  <c r="B1617" i="29"/>
  <c r="E1617" i="29" a="1"/>
  <c r="E1617" i="29" s="1"/>
  <c r="A1618" i="29"/>
  <c r="B1618" i="29"/>
  <c r="E1618" i="29" a="1"/>
  <c r="E1618" i="29" s="1"/>
  <c r="A1619" i="29"/>
  <c r="B1619" i="29"/>
  <c r="E1619" i="29" a="1"/>
  <c r="E1619" i="29" s="1"/>
  <c r="A1620" i="29"/>
  <c r="B1620" i="29"/>
  <c r="E1620" i="29" a="1"/>
  <c r="E1620" i="29" s="1"/>
  <c r="A1621" i="29"/>
  <c r="B1621" i="29"/>
  <c r="E1621" i="29" a="1"/>
  <c r="E1621" i="29" s="1"/>
  <c r="A1622" i="29"/>
  <c r="B1622" i="29"/>
  <c r="E1622" i="29" a="1"/>
  <c r="E1622" i="29" s="1"/>
  <c r="A1623" i="29"/>
  <c r="B1623" i="29"/>
  <c r="E1623" i="29" a="1"/>
  <c r="E1623" i="29" s="1"/>
  <c r="A1624" i="29"/>
  <c r="B1624" i="29"/>
  <c r="E1624" i="29" a="1"/>
  <c r="E1624" i="29" s="1"/>
  <c r="A1625" i="29"/>
  <c r="B1625" i="29"/>
  <c r="E1625" i="29" a="1"/>
  <c r="E1625" i="29" s="1"/>
  <c r="A1626" i="29"/>
  <c r="B1626" i="29"/>
  <c r="E1626" i="29" a="1"/>
  <c r="E1626" i="29" s="1"/>
  <c r="A1627" i="29"/>
  <c r="B1627" i="29"/>
  <c r="E1627" i="29" a="1"/>
  <c r="E1627" i="29" s="1"/>
  <c r="A1631" i="29"/>
  <c r="B1631" i="29"/>
  <c r="E1631" i="29" a="1"/>
  <c r="E1631" i="29" s="1"/>
  <c r="A1632" i="29"/>
  <c r="B1632" i="29"/>
  <c r="E1632" i="29" a="1"/>
  <c r="E1632" i="29" s="1"/>
  <c r="A1633" i="29"/>
  <c r="B1633" i="29"/>
  <c r="E1633" i="29" a="1"/>
  <c r="E1633" i="29" s="1"/>
  <c r="A1634" i="29"/>
  <c r="B1634" i="29"/>
  <c r="E1634" i="29" a="1"/>
  <c r="E1634" i="29" s="1"/>
  <c r="A1635" i="29"/>
  <c r="B1635" i="29"/>
  <c r="E1635" i="29" a="1"/>
  <c r="E1635" i="29" s="1"/>
  <c r="A1636" i="29"/>
  <c r="B1636" i="29"/>
  <c r="E1636" i="29" a="1"/>
  <c r="E1636" i="29" s="1"/>
  <c r="A1637" i="29"/>
  <c r="B1637" i="29"/>
  <c r="E1637" i="29" a="1"/>
  <c r="E1637" i="29" s="1"/>
  <c r="A1638" i="29"/>
  <c r="B1638" i="29"/>
  <c r="E1638" i="29" a="1"/>
  <c r="E1638" i="29" s="1"/>
  <c r="A1639" i="29"/>
  <c r="B1639" i="29"/>
  <c r="E1639" i="29" a="1"/>
  <c r="E1639" i="29" s="1"/>
  <c r="A1640" i="29"/>
  <c r="B1640" i="29"/>
  <c r="E1640" i="29" a="1"/>
  <c r="E1640" i="29" s="1"/>
  <c r="A1641" i="29"/>
  <c r="B1641" i="29"/>
  <c r="E1641" i="29" a="1"/>
  <c r="E1641" i="29" s="1"/>
  <c r="A1642" i="29"/>
  <c r="B1642" i="29"/>
  <c r="E1642" i="29" a="1"/>
  <c r="E1642" i="29" s="1"/>
  <c r="A1643" i="29"/>
  <c r="B1643" i="29"/>
  <c r="E1643" i="29" a="1"/>
  <c r="E1643" i="29" s="1"/>
  <c r="A1644" i="29"/>
  <c r="B1644" i="29"/>
  <c r="E1644" i="29" a="1"/>
  <c r="E1644" i="29" s="1"/>
  <c r="A1645" i="29"/>
  <c r="B1645" i="29"/>
  <c r="E1645" i="29" a="1"/>
  <c r="E1645" i="29" s="1"/>
  <c r="A1646" i="29"/>
  <c r="B1646" i="29"/>
  <c r="E1646" i="29" a="1"/>
  <c r="E1646" i="29" s="1"/>
  <c r="A1647" i="29"/>
  <c r="B1647" i="29"/>
  <c r="E1647" i="29" a="1"/>
  <c r="E1647" i="29" s="1"/>
  <c r="A1648" i="29"/>
  <c r="B1648" i="29"/>
  <c r="E1648" i="29" a="1"/>
  <c r="E1648" i="29" s="1"/>
  <c r="A1649" i="29"/>
  <c r="B1649" i="29"/>
  <c r="E1649" i="29" a="1"/>
  <c r="E1649" i="29" s="1"/>
  <c r="A1650" i="29"/>
  <c r="B1650" i="29"/>
  <c r="E1650" i="29" a="1"/>
  <c r="E1650" i="29" s="1"/>
  <c r="A1651" i="29"/>
  <c r="B1651" i="29"/>
  <c r="E1651" i="29" a="1"/>
  <c r="E1651" i="29" s="1"/>
  <c r="A1652" i="29"/>
  <c r="B1652" i="29"/>
  <c r="E1652" i="29" a="1"/>
  <c r="E1652" i="29" s="1"/>
  <c r="A1653" i="29"/>
  <c r="B1653" i="29"/>
  <c r="E1653" i="29" a="1"/>
  <c r="E1653" i="29" s="1"/>
  <c r="A1654" i="29"/>
  <c r="B1654" i="29"/>
  <c r="E1654" i="29" a="1"/>
  <c r="E1654" i="29" s="1"/>
  <c r="A1655" i="29"/>
  <c r="B1655" i="29"/>
  <c r="E1655" i="29" a="1"/>
  <c r="E1655" i="29" s="1"/>
  <c r="A1656" i="29"/>
  <c r="B1656" i="29"/>
  <c r="E1656" i="29" a="1"/>
  <c r="E1656" i="29" s="1"/>
  <c r="A1657" i="29"/>
  <c r="B1657" i="29"/>
  <c r="E1657" i="29" a="1"/>
  <c r="E1657" i="29" s="1"/>
  <c r="A1658" i="29"/>
  <c r="B1658" i="29"/>
  <c r="E1658" i="29" a="1"/>
  <c r="E1658" i="29" s="1"/>
  <c r="A1659" i="29"/>
  <c r="B1659" i="29"/>
  <c r="E1659" i="29" a="1"/>
  <c r="E1659" i="29" s="1"/>
  <c r="A1660" i="29"/>
  <c r="B1660" i="29"/>
  <c r="E1660" i="29" a="1"/>
  <c r="E1660" i="29" s="1"/>
  <c r="A1661" i="29"/>
  <c r="B1661" i="29"/>
  <c r="E1661" i="29" a="1"/>
  <c r="E1661" i="29" s="1"/>
  <c r="A1662" i="29"/>
  <c r="B1662" i="29"/>
  <c r="E1662" i="29" a="1"/>
  <c r="E1662" i="29" s="1"/>
  <c r="A1663" i="29"/>
  <c r="B1663" i="29"/>
  <c r="E1663" i="29" a="1"/>
  <c r="E1663" i="29" s="1"/>
  <c r="A1664" i="29"/>
  <c r="B1664" i="29"/>
  <c r="E1664" i="29" a="1"/>
  <c r="E1664" i="29" s="1"/>
  <c r="A1665" i="29"/>
  <c r="B1665" i="29"/>
  <c r="E1665" i="29" a="1"/>
  <c r="E1665" i="29" s="1"/>
  <c r="A1666" i="29"/>
  <c r="B1666" i="29"/>
  <c r="E1666" i="29" a="1"/>
  <c r="E1666" i="29" s="1"/>
  <c r="A1667" i="29"/>
  <c r="B1667" i="29"/>
  <c r="E1667" i="29" a="1"/>
  <c r="E1667" i="29" s="1"/>
  <c r="A1668" i="29"/>
  <c r="B1668" i="29"/>
  <c r="E1668" i="29" a="1"/>
  <c r="E1668" i="29" s="1"/>
  <c r="A1669" i="29"/>
  <c r="B1669" i="29"/>
  <c r="E1669" i="29" a="1"/>
  <c r="E1669" i="29" s="1"/>
  <c r="A1670" i="29"/>
  <c r="B1670" i="29"/>
  <c r="E1670" i="29" a="1"/>
  <c r="E1670" i="29" s="1"/>
  <c r="A1671" i="29"/>
  <c r="B1671" i="29"/>
  <c r="E1671" i="29" a="1"/>
  <c r="E1671" i="29" s="1"/>
  <c r="A1672" i="29"/>
  <c r="B1672" i="29"/>
  <c r="E1672" i="29" a="1"/>
  <c r="E1672" i="29" s="1"/>
  <c r="A1673" i="29"/>
  <c r="B1673" i="29"/>
  <c r="E1673" i="29" a="1"/>
  <c r="E1673" i="29" s="1"/>
  <c r="A1674" i="29"/>
  <c r="B1674" i="29"/>
  <c r="E1674" i="29" a="1"/>
  <c r="E1674" i="29" s="1"/>
  <c r="A1675" i="29"/>
  <c r="B1675" i="29"/>
  <c r="E1675" i="29" a="1"/>
  <c r="E1675" i="29" s="1"/>
  <c r="A1676" i="29"/>
  <c r="B1676" i="29"/>
  <c r="E1676" i="29" a="1"/>
  <c r="E1676" i="29" s="1"/>
  <c r="A1677" i="29"/>
  <c r="B1677" i="29"/>
  <c r="E1677" i="29" a="1"/>
  <c r="E1677" i="29" s="1"/>
  <c r="A1678" i="29"/>
  <c r="B1678" i="29"/>
  <c r="E1678" i="29" a="1"/>
  <c r="E1678" i="29" s="1"/>
  <c r="A1679" i="29"/>
  <c r="B1679" i="29"/>
  <c r="E1679" i="29" a="1"/>
  <c r="E1679" i="29" s="1"/>
  <c r="A1680" i="29"/>
  <c r="B1680" i="29"/>
  <c r="E1680" i="29" a="1"/>
  <c r="E1680" i="29" s="1"/>
  <c r="A1681" i="29"/>
  <c r="B1681" i="29"/>
  <c r="E1681" i="29" a="1"/>
  <c r="E1681" i="29" s="1"/>
  <c r="A1682" i="29"/>
  <c r="B1682" i="29"/>
  <c r="E1682" i="29" a="1"/>
  <c r="E1682" i="29" s="1"/>
  <c r="A1683" i="29"/>
  <c r="B1683" i="29"/>
  <c r="E1683" i="29" a="1"/>
  <c r="E1683" i="29" s="1"/>
  <c r="A1684" i="29"/>
  <c r="B1684" i="29"/>
  <c r="E1684" i="29" a="1"/>
  <c r="E1684" i="29" s="1"/>
  <c r="A1685" i="29"/>
  <c r="B1685" i="29"/>
  <c r="E1685" i="29" a="1"/>
  <c r="E1685" i="29" s="1"/>
  <c r="A1686" i="29"/>
  <c r="B1686" i="29"/>
  <c r="E1686" i="29" a="1"/>
  <c r="E1686" i="29" s="1"/>
  <c r="A1687" i="29"/>
  <c r="B1687" i="29"/>
  <c r="E1687" i="29" a="1"/>
  <c r="E1687" i="29" s="1"/>
  <c r="A1688" i="29"/>
  <c r="B1688" i="29"/>
  <c r="E1688" i="29" a="1"/>
  <c r="E1688" i="29" s="1"/>
  <c r="A1692" i="29"/>
  <c r="B1692" i="29"/>
  <c r="E1692" i="29" a="1"/>
  <c r="E1692" i="29" s="1"/>
  <c r="A1693" i="29"/>
  <c r="B1693" i="29"/>
  <c r="E1693" i="29" a="1"/>
  <c r="E1693" i="29" s="1"/>
  <c r="A1694" i="29"/>
  <c r="B1694" i="29"/>
  <c r="E1694" i="29" a="1"/>
  <c r="E1694" i="29" s="1"/>
  <c r="A1695" i="29"/>
  <c r="B1695" i="29"/>
  <c r="E1695" i="29" a="1"/>
  <c r="E1695" i="29" s="1"/>
  <c r="A1696" i="29"/>
  <c r="B1696" i="29"/>
  <c r="E1696" i="29" a="1"/>
  <c r="E1696" i="29" s="1"/>
  <c r="A1697" i="29"/>
  <c r="B1697" i="29"/>
  <c r="E1697" i="29" a="1"/>
  <c r="E1697" i="29" s="1"/>
  <c r="A1698" i="29"/>
  <c r="B1698" i="29"/>
  <c r="E1698" i="29" a="1"/>
  <c r="E1698" i="29" s="1"/>
  <c r="A1699" i="29"/>
  <c r="B1699" i="29"/>
  <c r="E1699" i="29" a="1"/>
  <c r="E1699" i="29" s="1"/>
  <c r="A1700" i="29"/>
  <c r="B1700" i="29"/>
  <c r="E1700" i="29" a="1"/>
  <c r="E1700" i="29" s="1"/>
  <c r="A1701" i="29"/>
  <c r="B1701" i="29"/>
  <c r="E1701" i="29" a="1"/>
  <c r="E1701" i="29" s="1"/>
  <c r="A1702" i="29"/>
  <c r="B1702" i="29"/>
  <c r="E1702" i="29" a="1"/>
  <c r="E1702" i="29" s="1"/>
  <c r="A1703" i="29"/>
  <c r="B1703" i="29"/>
  <c r="E1703" i="29" a="1"/>
  <c r="E1703" i="29" s="1"/>
  <c r="A1704" i="29"/>
  <c r="B1704" i="29"/>
  <c r="E1704" i="29" a="1"/>
  <c r="E1704" i="29" s="1"/>
  <c r="A1705" i="29"/>
  <c r="B1705" i="29"/>
  <c r="E1705" i="29" a="1"/>
  <c r="E1705" i="29" s="1"/>
  <c r="A1706" i="29"/>
  <c r="B1706" i="29"/>
  <c r="E1706" i="29" a="1"/>
  <c r="E1706" i="29" s="1"/>
  <c r="A1707" i="29"/>
  <c r="B1707" i="29"/>
  <c r="E1707" i="29" a="1"/>
  <c r="E1707" i="29" s="1"/>
  <c r="A1708" i="29"/>
  <c r="B1708" i="29"/>
  <c r="E1708" i="29" a="1"/>
  <c r="E1708" i="29" s="1"/>
  <c r="A1709" i="29"/>
  <c r="B1709" i="29"/>
  <c r="E1709" i="29" a="1"/>
  <c r="E1709" i="29" s="1"/>
  <c r="A1710" i="29"/>
  <c r="B1710" i="29"/>
  <c r="E1710" i="29" a="1"/>
  <c r="E1710" i="29" s="1"/>
  <c r="A1711" i="29"/>
  <c r="B1711" i="29"/>
  <c r="E1711" i="29" a="1"/>
  <c r="E1711" i="29" s="1"/>
  <c r="A1712" i="29"/>
  <c r="B1712" i="29"/>
  <c r="E1712" i="29" a="1"/>
  <c r="E1712" i="29" s="1"/>
  <c r="A1713" i="29"/>
  <c r="B1713" i="29"/>
  <c r="E1713" i="29" a="1"/>
  <c r="E1713" i="29" s="1"/>
  <c r="A1714" i="29"/>
  <c r="B1714" i="29"/>
  <c r="E1714" i="29" a="1"/>
  <c r="E1714" i="29" s="1"/>
  <c r="A1715" i="29"/>
  <c r="B1715" i="29"/>
  <c r="E1715" i="29" a="1"/>
  <c r="E1715" i="29" s="1"/>
  <c r="A1716" i="29"/>
  <c r="B1716" i="29"/>
  <c r="E1716" i="29" a="1"/>
  <c r="E1716" i="29" s="1"/>
  <c r="A1717" i="29"/>
  <c r="B1717" i="29"/>
  <c r="E1717" i="29" a="1"/>
  <c r="E1717" i="29" s="1"/>
  <c r="A1718" i="29"/>
  <c r="B1718" i="29"/>
  <c r="E1718" i="29" a="1"/>
  <c r="E1718" i="29" s="1"/>
  <c r="A1719" i="29"/>
  <c r="B1719" i="29"/>
  <c r="E1719" i="29" a="1"/>
  <c r="E1719" i="29" s="1"/>
  <c r="A1720" i="29"/>
  <c r="B1720" i="29"/>
  <c r="E1720" i="29" a="1"/>
  <c r="E1720" i="29" s="1"/>
  <c r="A1721" i="29"/>
  <c r="B1721" i="29"/>
  <c r="E1721" i="29" a="1"/>
  <c r="E1721" i="29" s="1"/>
  <c r="A1722" i="29"/>
  <c r="B1722" i="29"/>
  <c r="E1722" i="29" a="1"/>
  <c r="E1722" i="29" s="1"/>
  <c r="A1723" i="29"/>
  <c r="B1723" i="29"/>
  <c r="E1723" i="29" a="1"/>
  <c r="E1723" i="29" s="1"/>
  <c r="A1724" i="29"/>
  <c r="B1724" i="29"/>
  <c r="E1724" i="29" a="1"/>
  <c r="E1724" i="29" s="1"/>
  <c r="A1725" i="29"/>
  <c r="B1725" i="29"/>
  <c r="E1725" i="29" a="1"/>
  <c r="E1725" i="29" s="1"/>
  <c r="A1726" i="29"/>
  <c r="B1726" i="29"/>
  <c r="E1726" i="29" a="1"/>
  <c r="E1726" i="29" s="1"/>
  <c r="A1727" i="29"/>
  <c r="B1727" i="29"/>
  <c r="E1727" i="29" a="1"/>
  <c r="E1727" i="29" s="1"/>
  <c r="A1728" i="29"/>
  <c r="B1728" i="29"/>
  <c r="E1728" i="29" a="1"/>
  <c r="E1728" i="29" s="1"/>
  <c r="A1729" i="29"/>
  <c r="B1729" i="29"/>
  <c r="E1729" i="29" a="1"/>
  <c r="E1729" i="29" s="1"/>
  <c r="A1730" i="29"/>
  <c r="B1730" i="29"/>
  <c r="E1730" i="29" a="1"/>
  <c r="E1730" i="29" s="1"/>
  <c r="A1731" i="29"/>
  <c r="B1731" i="29"/>
  <c r="E1731" i="29" a="1"/>
  <c r="E1731" i="29" s="1"/>
  <c r="A1732" i="29"/>
  <c r="B1732" i="29"/>
  <c r="E1732" i="29" a="1"/>
  <c r="E1732" i="29" s="1"/>
  <c r="A1733" i="29"/>
  <c r="B1733" i="29"/>
  <c r="E1733" i="29" a="1"/>
  <c r="E1733" i="29" s="1"/>
  <c r="A1734" i="29"/>
  <c r="B1734" i="29"/>
  <c r="E1734" i="29" a="1"/>
  <c r="E1734" i="29" s="1"/>
  <c r="A1735" i="29"/>
  <c r="B1735" i="29"/>
  <c r="E1735" i="29" a="1"/>
  <c r="E1735" i="29" s="1"/>
  <c r="A1736" i="29"/>
  <c r="B1736" i="29"/>
  <c r="E1736" i="29" a="1"/>
  <c r="E1736" i="29" s="1"/>
  <c r="A1737" i="29"/>
  <c r="B1737" i="29"/>
  <c r="E1737" i="29" a="1"/>
  <c r="E1737" i="29" s="1"/>
  <c r="A1738" i="29"/>
  <c r="B1738" i="29"/>
  <c r="E1738" i="29" a="1"/>
  <c r="E1738" i="29" s="1"/>
  <c r="A1739" i="29"/>
  <c r="B1739" i="29"/>
  <c r="E1739" i="29" a="1"/>
  <c r="E1739" i="29" s="1"/>
  <c r="A1740" i="29"/>
  <c r="B1740" i="29"/>
  <c r="E1740" i="29" a="1"/>
  <c r="E1740" i="29" s="1"/>
  <c r="A1741" i="29"/>
  <c r="B1741" i="29"/>
  <c r="E1741" i="29" a="1"/>
  <c r="E1741" i="29" s="1"/>
  <c r="A1742" i="29"/>
  <c r="B1742" i="29"/>
  <c r="E1742" i="29" a="1"/>
  <c r="E1742" i="29" s="1"/>
  <c r="A1743" i="29"/>
  <c r="B1743" i="29"/>
  <c r="E1743" i="29" a="1"/>
  <c r="E1743" i="29" s="1"/>
  <c r="A1744" i="29"/>
  <c r="B1744" i="29"/>
  <c r="E1744" i="29" a="1"/>
  <c r="E1744" i="29" s="1"/>
  <c r="A1745" i="29"/>
  <c r="B1745" i="29"/>
  <c r="E1745" i="29" a="1"/>
  <c r="E1745" i="29" s="1"/>
  <c r="A1746" i="29"/>
  <c r="B1746" i="29"/>
  <c r="E1746" i="29" a="1"/>
  <c r="E1746" i="29" s="1"/>
  <c r="A1747" i="29"/>
  <c r="B1747" i="29"/>
  <c r="E1747" i="29" a="1"/>
  <c r="E1747" i="29" s="1"/>
  <c r="A1748" i="29"/>
  <c r="B1748" i="29"/>
  <c r="E1748" i="29" a="1"/>
  <c r="E1748" i="29" s="1"/>
  <c r="A1749" i="29"/>
  <c r="B1749" i="29"/>
  <c r="E1749" i="29" a="1"/>
  <c r="E1749" i="29" s="1"/>
  <c r="A1753" i="29"/>
  <c r="B1753" i="29"/>
  <c r="E1753" i="29" a="1"/>
  <c r="E1753" i="29" s="1"/>
  <c r="A1754" i="29"/>
  <c r="B1754" i="29"/>
  <c r="E1754" i="29" a="1"/>
  <c r="E1754" i="29" s="1"/>
  <c r="A1755" i="29"/>
  <c r="B1755" i="29"/>
  <c r="E1755" i="29" a="1"/>
  <c r="E1755" i="29" s="1"/>
  <c r="A1756" i="29"/>
  <c r="B1756" i="29"/>
  <c r="E1756" i="29" a="1"/>
  <c r="E1756" i="29" s="1"/>
  <c r="A1757" i="29"/>
  <c r="B1757" i="29"/>
  <c r="E1757" i="29" a="1"/>
  <c r="E1757" i="29" s="1"/>
  <c r="A1758" i="29"/>
  <c r="B1758" i="29"/>
  <c r="E1758" i="29" a="1"/>
  <c r="E1758" i="29" s="1"/>
  <c r="A1759" i="29"/>
  <c r="B1759" i="29"/>
  <c r="E1759" i="29" a="1"/>
  <c r="E1759" i="29" s="1"/>
  <c r="A1760" i="29"/>
  <c r="B1760" i="29"/>
  <c r="E1760" i="29" a="1"/>
  <c r="E1760" i="29" s="1"/>
  <c r="A1761" i="29"/>
  <c r="B1761" i="29"/>
  <c r="E1761" i="29" a="1"/>
  <c r="E1761" i="29" s="1"/>
  <c r="A1762" i="29"/>
  <c r="B1762" i="29"/>
  <c r="E1762" i="29" a="1"/>
  <c r="E1762" i="29" s="1"/>
  <c r="A1763" i="29"/>
  <c r="B1763" i="29"/>
  <c r="E1763" i="29" a="1"/>
  <c r="E1763" i="29" s="1"/>
  <c r="A1764" i="29"/>
  <c r="B1764" i="29"/>
  <c r="E1764" i="29" a="1"/>
  <c r="E1764" i="29" s="1"/>
  <c r="A1765" i="29"/>
  <c r="B1765" i="29"/>
  <c r="E1765" i="29" a="1"/>
  <c r="E1765" i="29" s="1"/>
  <c r="A1766" i="29"/>
  <c r="B1766" i="29"/>
  <c r="E1766" i="29" a="1"/>
  <c r="E1766" i="29" s="1"/>
  <c r="A1767" i="29"/>
  <c r="B1767" i="29"/>
  <c r="E1767" i="29" a="1"/>
  <c r="E1767" i="29" s="1"/>
  <c r="A1768" i="29"/>
  <c r="B1768" i="29"/>
  <c r="E1768" i="29" a="1"/>
  <c r="E1768" i="29" s="1"/>
  <c r="A1769" i="29"/>
  <c r="B1769" i="29"/>
  <c r="E1769" i="29" a="1"/>
  <c r="E1769" i="29" s="1"/>
  <c r="A1770" i="29"/>
  <c r="B1770" i="29"/>
  <c r="E1770" i="29" a="1"/>
  <c r="E1770" i="29" s="1"/>
  <c r="A1771" i="29"/>
  <c r="B1771" i="29"/>
  <c r="E1771" i="29" a="1"/>
  <c r="E1771" i="29" s="1"/>
  <c r="A1772" i="29"/>
  <c r="B1772" i="29"/>
  <c r="E1772" i="29" a="1"/>
  <c r="E1772" i="29" s="1"/>
  <c r="A1773" i="29"/>
  <c r="B1773" i="29"/>
  <c r="E1773" i="29" a="1"/>
  <c r="E1773" i="29" s="1"/>
  <c r="A1774" i="29"/>
  <c r="B1774" i="29"/>
  <c r="E1774" i="29" a="1"/>
  <c r="E1774" i="29" s="1"/>
  <c r="A1775" i="29"/>
  <c r="B1775" i="29"/>
  <c r="E1775" i="29" a="1"/>
  <c r="E1775" i="29" s="1"/>
  <c r="A1776" i="29"/>
  <c r="B1776" i="29"/>
  <c r="E1776" i="29" a="1"/>
  <c r="E1776" i="29" s="1"/>
  <c r="A1777" i="29"/>
  <c r="B1777" i="29"/>
  <c r="E1777" i="29" a="1"/>
  <c r="E1777" i="29" s="1"/>
  <c r="A1778" i="29"/>
  <c r="B1778" i="29"/>
  <c r="E1778" i="29" a="1"/>
  <c r="E1778" i="29" s="1"/>
  <c r="A1779" i="29"/>
  <c r="B1779" i="29"/>
  <c r="E1779" i="29" a="1"/>
  <c r="E1779" i="29" s="1"/>
  <c r="A1780" i="29"/>
  <c r="B1780" i="29"/>
  <c r="E1780" i="29" a="1"/>
  <c r="E1780" i="29" s="1"/>
  <c r="A1781" i="29"/>
  <c r="B1781" i="29"/>
  <c r="E1781" i="29" a="1"/>
  <c r="E1781" i="29" s="1"/>
  <c r="A1782" i="29"/>
  <c r="B1782" i="29"/>
  <c r="E1782" i="29" a="1"/>
  <c r="E1782" i="29" s="1"/>
  <c r="A1783" i="29"/>
  <c r="B1783" i="29"/>
  <c r="E1783" i="29" a="1"/>
  <c r="E1783" i="29" s="1"/>
  <c r="A1784" i="29"/>
  <c r="B1784" i="29"/>
  <c r="E1784" i="29" a="1"/>
  <c r="E1784" i="29" s="1"/>
  <c r="A1785" i="29"/>
  <c r="B1785" i="29"/>
  <c r="E1785" i="29" a="1"/>
  <c r="E1785" i="29" s="1"/>
  <c r="A1786" i="29"/>
  <c r="B1786" i="29"/>
  <c r="E1786" i="29" a="1"/>
  <c r="E1786" i="29" s="1"/>
  <c r="A1787" i="29"/>
  <c r="B1787" i="29"/>
  <c r="E1787" i="29" a="1"/>
  <c r="E1787" i="29" s="1"/>
  <c r="A1788" i="29"/>
  <c r="B1788" i="29"/>
  <c r="E1788" i="29" a="1"/>
  <c r="E1788" i="29" s="1"/>
  <c r="A1789" i="29"/>
  <c r="B1789" i="29"/>
  <c r="E1789" i="29" a="1"/>
  <c r="E1789" i="29" s="1"/>
  <c r="A1790" i="29"/>
  <c r="B1790" i="29"/>
  <c r="E1790" i="29" a="1"/>
  <c r="E1790" i="29" s="1"/>
  <c r="A1791" i="29"/>
  <c r="B1791" i="29"/>
  <c r="E1791" i="29" a="1"/>
  <c r="E1791" i="29" s="1"/>
  <c r="A1792" i="29"/>
  <c r="B1792" i="29"/>
  <c r="E1792" i="29" a="1"/>
  <c r="E1792" i="29" s="1"/>
  <c r="A1793" i="29"/>
  <c r="B1793" i="29"/>
  <c r="E1793" i="29" a="1"/>
  <c r="E1793" i="29" s="1"/>
  <c r="A1794" i="29"/>
  <c r="B1794" i="29"/>
  <c r="E1794" i="29" a="1"/>
  <c r="E1794" i="29" s="1"/>
  <c r="A1795" i="29"/>
  <c r="B1795" i="29"/>
  <c r="E1795" i="29" a="1"/>
  <c r="E1795" i="29" s="1"/>
  <c r="A1796" i="29"/>
  <c r="B1796" i="29"/>
  <c r="E1796" i="29" a="1"/>
  <c r="E1796" i="29" s="1"/>
  <c r="A1797" i="29"/>
  <c r="B1797" i="29"/>
  <c r="E1797" i="29" a="1"/>
  <c r="E1797" i="29" s="1"/>
  <c r="A1798" i="29"/>
  <c r="B1798" i="29"/>
  <c r="E1798" i="29" a="1"/>
  <c r="E1798" i="29" s="1"/>
  <c r="A1799" i="29"/>
  <c r="B1799" i="29"/>
  <c r="E1799" i="29" a="1"/>
  <c r="E1799" i="29" s="1"/>
  <c r="A1800" i="29"/>
  <c r="B1800" i="29"/>
  <c r="E1800" i="29" a="1"/>
  <c r="E1800" i="29" s="1"/>
  <c r="A1801" i="29"/>
  <c r="B1801" i="29"/>
  <c r="E1801" i="29" a="1"/>
  <c r="E1801" i="29" s="1"/>
  <c r="A1802" i="29"/>
  <c r="B1802" i="29"/>
  <c r="E1802" i="29" a="1"/>
  <c r="E1802" i="29" s="1"/>
  <c r="A1803" i="29"/>
  <c r="B1803" i="29"/>
  <c r="E1803" i="29" a="1"/>
  <c r="E1803" i="29" s="1"/>
  <c r="A1804" i="29"/>
  <c r="B1804" i="29"/>
  <c r="E1804" i="29" a="1"/>
  <c r="E1804" i="29" s="1"/>
  <c r="A1805" i="29"/>
  <c r="B1805" i="29"/>
  <c r="E1805" i="29" a="1"/>
  <c r="E1805" i="29" s="1"/>
  <c r="A1806" i="29"/>
  <c r="B1806" i="29"/>
  <c r="E1806" i="29" a="1"/>
  <c r="E1806" i="29" s="1"/>
  <c r="A1807" i="29"/>
  <c r="B1807" i="29"/>
  <c r="E1807" i="29" a="1"/>
  <c r="E1807" i="29" s="1"/>
  <c r="A1808" i="29"/>
  <c r="B1808" i="29"/>
  <c r="E1808" i="29" a="1"/>
  <c r="E1808" i="29" s="1"/>
  <c r="A1809" i="29"/>
  <c r="B1809" i="29"/>
  <c r="E1809" i="29" a="1"/>
  <c r="E1809" i="29" s="1"/>
  <c r="A1810" i="29"/>
  <c r="B1810" i="29"/>
  <c r="E1810" i="29" a="1"/>
  <c r="E1810" i="29" s="1"/>
  <c r="A1812" i="29"/>
  <c r="A1813" i="29"/>
  <c r="A1814" i="29"/>
  <c r="B1814" i="29"/>
  <c r="E1814" i="29" a="1"/>
  <c r="E1814" i="29" s="1"/>
  <c r="A1815" i="29"/>
  <c r="B1815" i="29"/>
  <c r="E1815" i="29" a="1"/>
  <c r="E1815" i="29" s="1"/>
  <c r="A1816" i="29"/>
  <c r="B1816" i="29"/>
  <c r="E1816" i="29" a="1"/>
  <c r="E1816" i="29" s="1"/>
  <c r="A1817" i="29"/>
  <c r="B1817" i="29"/>
  <c r="E1817" i="29" a="1"/>
  <c r="E1817" i="29" s="1"/>
  <c r="A1818" i="29"/>
  <c r="B1818" i="29"/>
  <c r="E1818" i="29" a="1"/>
  <c r="E1818" i="29" s="1"/>
  <c r="A1819" i="29"/>
  <c r="B1819" i="29"/>
  <c r="E1819" i="29" a="1"/>
  <c r="E1819" i="29" s="1"/>
  <c r="A1820" i="29"/>
  <c r="B1820" i="29"/>
  <c r="E1820" i="29" a="1"/>
  <c r="E1820" i="29" s="1"/>
  <c r="A1821" i="29"/>
  <c r="B1821" i="29"/>
  <c r="E1821" i="29" a="1"/>
  <c r="E1821" i="29" s="1"/>
  <c r="A1822" i="29"/>
  <c r="B1822" i="29"/>
  <c r="E1822" i="29" a="1"/>
  <c r="E1822" i="29" s="1"/>
  <c r="A1823" i="29"/>
  <c r="B1823" i="29"/>
  <c r="E1823" i="29" a="1"/>
  <c r="E1823" i="29" s="1"/>
  <c r="A1824" i="29"/>
  <c r="B1824" i="29"/>
  <c r="E1824" i="29" a="1"/>
  <c r="E1824" i="29" s="1"/>
  <c r="A1825" i="29"/>
  <c r="B1825" i="29"/>
  <c r="E1825" i="29" a="1"/>
  <c r="E1825" i="29" s="1"/>
  <c r="A1826" i="29"/>
  <c r="B1826" i="29"/>
  <c r="E1826" i="29" a="1"/>
  <c r="E1826" i="29" s="1"/>
  <c r="A1827" i="29"/>
  <c r="B1827" i="29"/>
  <c r="E1827" i="29" a="1"/>
  <c r="E1827" i="29" s="1"/>
  <c r="A1828" i="29"/>
  <c r="B1828" i="29"/>
  <c r="E1828" i="29" a="1"/>
  <c r="E1828" i="29" s="1"/>
  <c r="A1829" i="29"/>
  <c r="B1829" i="29"/>
  <c r="E1829" i="29" a="1"/>
  <c r="E1829" i="29" s="1"/>
  <c r="A1830" i="29"/>
  <c r="B1830" i="29"/>
  <c r="E1830" i="29" a="1"/>
  <c r="E1830" i="29" s="1"/>
  <c r="A1831" i="29"/>
  <c r="B1831" i="29"/>
  <c r="E1831" i="29" a="1"/>
  <c r="E1831" i="29" s="1"/>
  <c r="A1832" i="29"/>
  <c r="B1832" i="29"/>
  <c r="E1832" i="29" a="1"/>
  <c r="E1832" i="29" s="1"/>
  <c r="A1833" i="29"/>
  <c r="B1833" i="29"/>
  <c r="E1833" i="29" a="1"/>
  <c r="E1833" i="29" s="1"/>
  <c r="A1834" i="29"/>
  <c r="B1834" i="29"/>
  <c r="E1834" i="29" a="1"/>
  <c r="E1834" i="29" s="1"/>
  <c r="A1835" i="29"/>
  <c r="B1835" i="29"/>
  <c r="E1835" i="29" a="1"/>
  <c r="E1835" i="29" s="1"/>
  <c r="A1836" i="29"/>
  <c r="B1836" i="29"/>
  <c r="E1836" i="29" a="1"/>
  <c r="E1836" i="29" s="1"/>
  <c r="A1837" i="29"/>
  <c r="B1837" i="29"/>
  <c r="E1837" i="29" a="1"/>
  <c r="E1837" i="29" s="1"/>
  <c r="A1838" i="29"/>
  <c r="B1838" i="29"/>
  <c r="E1838" i="29" a="1"/>
  <c r="E1838" i="29" s="1"/>
  <c r="A1839" i="29"/>
  <c r="B1839" i="29"/>
  <c r="E1839" i="29" a="1"/>
  <c r="E1839" i="29" s="1"/>
  <c r="A1840" i="29"/>
  <c r="B1840" i="29"/>
  <c r="E1840" i="29" a="1"/>
  <c r="E1840" i="29" s="1"/>
  <c r="A1841" i="29"/>
  <c r="B1841" i="29"/>
  <c r="E1841" i="29" a="1"/>
  <c r="E1841" i="29" s="1"/>
  <c r="A1842" i="29"/>
  <c r="B1842" i="29"/>
  <c r="E1842" i="29" a="1"/>
  <c r="E1842" i="29" s="1"/>
  <c r="A1843" i="29"/>
  <c r="B1843" i="29"/>
  <c r="E1843" i="29" a="1"/>
  <c r="E1843" i="29" s="1"/>
  <c r="A1844" i="29"/>
  <c r="B1844" i="29"/>
  <c r="E1844" i="29" a="1"/>
  <c r="E1844" i="29" s="1"/>
  <c r="A1845" i="29"/>
  <c r="B1845" i="29"/>
  <c r="E1845" i="29" a="1"/>
  <c r="E1845" i="29" s="1"/>
  <c r="A1846" i="29"/>
  <c r="B1846" i="29"/>
  <c r="E1846" i="29" a="1"/>
  <c r="E1846" i="29" s="1"/>
  <c r="A1847" i="29"/>
  <c r="B1847" i="29"/>
  <c r="E1847" i="29" a="1"/>
  <c r="E1847" i="29" s="1"/>
  <c r="A1848" i="29"/>
  <c r="B1848" i="29"/>
  <c r="E1848" i="29" a="1"/>
  <c r="E1848" i="29" s="1"/>
  <c r="A1849" i="29"/>
  <c r="B1849" i="29"/>
  <c r="E1849" i="29" a="1"/>
  <c r="E1849" i="29" s="1"/>
  <c r="A1850" i="29"/>
  <c r="B1850" i="29"/>
  <c r="E1850" i="29" a="1"/>
  <c r="E1850" i="29" s="1"/>
  <c r="A1851" i="29"/>
  <c r="B1851" i="29"/>
  <c r="E1851" i="29" a="1"/>
  <c r="E1851" i="29" s="1"/>
  <c r="A1852" i="29"/>
  <c r="B1852" i="29"/>
  <c r="E1852" i="29" a="1"/>
  <c r="E1852" i="29" s="1"/>
  <c r="A1853" i="29"/>
  <c r="B1853" i="29"/>
  <c r="E1853" i="29" a="1"/>
  <c r="E1853" i="29" s="1"/>
  <c r="A1854" i="29"/>
  <c r="B1854" i="29"/>
  <c r="E1854" i="29" a="1"/>
  <c r="E1854" i="29" s="1"/>
  <c r="A1855" i="29"/>
  <c r="B1855" i="29"/>
  <c r="E1855" i="29" a="1"/>
  <c r="E1855" i="29" s="1"/>
  <c r="A1856" i="29"/>
  <c r="B1856" i="29"/>
  <c r="E1856" i="29" a="1"/>
  <c r="E1856" i="29" s="1"/>
  <c r="A1857" i="29"/>
  <c r="B1857" i="29"/>
  <c r="E1857" i="29" a="1"/>
  <c r="E1857" i="29" s="1"/>
  <c r="A1858" i="29"/>
  <c r="B1858" i="29"/>
  <c r="E1858" i="29" a="1"/>
  <c r="E1858" i="29" s="1"/>
  <c r="A1859" i="29"/>
  <c r="B1859" i="29"/>
  <c r="E1859" i="29" a="1"/>
  <c r="E1859" i="29" s="1"/>
  <c r="A1860" i="29"/>
  <c r="B1860" i="29"/>
  <c r="E1860" i="29" a="1"/>
  <c r="E1860" i="29" s="1"/>
  <c r="A1861" i="29"/>
  <c r="B1861" i="29"/>
  <c r="E1861" i="29" a="1"/>
  <c r="E1861" i="29" s="1"/>
  <c r="A1862" i="29"/>
  <c r="B1862" i="29"/>
  <c r="E1862" i="29" a="1"/>
  <c r="E1862" i="29" s="1"/>
  <c r="A1863" i="29"/>
  <c r="B1863" i="29"/>
  <c r="E1863" i="29" a="1"/>
  <c r="E1863" i="29" s="1"/>
  <c r="A1864" i="29"/>
  <c r="B1864" i="29"/>
  <c r="E1864" i="29" a="1"/>
  <c r="E1864" i="29" s="1"/>
  <c r="A1865" i="29"/>
  <c r="B1865" i="29"/>
  <c r="E1865" i="29" a="1"/>
  <c r="E1865" i="29" s="1"/>
  <c r="A1866" i="29"/>
  <c r="B1866" i="29"/>
  <c r="E1866" i="29" a="1"/>
  <c r="E1866" i="29" s="1"/>
  <c r="A1867" i="29"/>
  <c r="B1867" i="29"/>
  <c r="E1867" i="29" a="1"/>
  <c r="E1867" i="29" s="1"/>
  <c r="A1868" i="29"/>
  <c r="B1868" i="29"/>
  <c r="E1868" i="29" a="1"/>
  <c r="E1868" i="29" s="1"/>
  <c r="A1869" i="29"/>
  <c r="B1869" i="29"/>
  <c r="E1869" i="29" a="1"/>
  <c r="E1869" i="29" s="1"/>
  <c r="A1870" i="29"/>
  <c r="B1870" i="29"/>
  <c r="E1870" i="29" a="1"/>
  <c r="E1870" i="29" s="1"/>
  <c r="A1871" i="29"/>
  <c r="B1871" i="29"/>
  <c r="E1871" i="29" a="1"/>
  <c r="E1871" i="29" s="1"/>
  <c r="A1873" i="29"/>
  <c r="A1874" i="29"/>
  <c r="A1875" i="29"/>
  <c r="B1875" i="29"/>
  <c r="E1875" i="29" a="1"/>
  <c r="E1875" i="29" s="1"/>
  <c r="A1876" i="29"/>
  <c r="B1876" i="29"/>
  <c r="E1876" i="29" a="1"/>
  <c r="E1876" i="29" s="1"/>
  <c r="A1877" i="29"/>
  <c r="B1877" i="29"/>
  <c r="E1877" i="29" a="1"/>
  <c r="E1877" i="29" s="1"/>
  <c r="A1878" i="29"/>
  <c r="B1878" i="29"/>
  <c r="E1878" i="29" a="1"/>
  <c r="E1878" i="29" s="1"/>
  <c r="A1879" i="29"/>
  <c r="B1879" i="29"/>
  <c r="E1879" i="29" a="1"/>
  <c r="E1879" i="29" s="1"/>
  <c r="A1880" i="29"/>
  <c r="B1880" i="29"/>
  <c r="E1880" i="29" a="1"/>
  <c r="E1880" i="29" s="1"/>
  <c r="A1881" i="29"/>
  <c r="B1881" i="29"/>
  <c r="E1881" i="29" a="1"/>
  <c r="E1881" i="29" s="1"/>
  <c r="A1882" i="29"/>
  <c r="B1882" i="29"/>
  <c r="E1882" i="29" a="1"/>
  <c r="E1882" i="29" s="1"/>
  <c r="A1883" i="29"/>
  <c r="B1883" i="29"/>
  <c r="E1883" i="29" a="1"/>
  <c r="E1883" i="29" s="1"/>
  <c r="A1884" i="29"/>
  <c r="B1884" i="29"/>
  <c r="E1884" i="29" a="1"/>
  <c r="E1884" i="29" s="1"/>
  <c r="A1885" i="29"/>
  <c r="B1885" i="29"/>
  <c r="E1885" i="29" a="1"/>
  <c r="E1885" i="29" s="1"/>
  <c r="A1886" i="29"/>
  <c r="B1886" i="29"/>
  <c r="E1886" i="29" a="1"/>
  <c r="E1886" i="29" s="1"/>
  <c r="A1887" i="29"/>
  <c r="B1887" i="29"/>
  <c r="E1887" i="29" a="1"/>
  <c r="E1887" i="29" s="1"/>
  <c r="A1888" i="29"/>
  <c r="B1888" i="29"/>
  <c r="E1888" i="29" a="1"/>
  <c r="E1888" i="29" s="1"/>
  <c r="A1889" i="29"/>
  <c r="B1889" i="29"/>
  <c r="E1889" i="29" a="1"/>
  <c r="E1889" i="29" s="1"/>
  <c r="A1890" i="29"/>
  <c r="B1890" i="29"/>
  <c r="E1890" i="29" a="1"/>
  <c r="E1890" i="29" s="1"/>
  <c r="A1891" i="29"/>
  <c r="B1891" i="29"/>
  <c r="E1891" i="29" a="1"/>
  <c r="E1891" i="29" s="1"/>
  <c r="A1892" i="29"/>
  <c r="B1892" i="29"/>
  <c r="E1892" i="29" a="1"/>
  <c r="E1892" i="29" s="1"/>
  <c r="A1893" i="29"/>
  <c r="B1893" i="29"/>
  <c r="E1893" i="29" a="1"/>
  <c r="E1893" i="29" s="1"/>
  <c r="A1894" i="29"/>
  <c r="B1894" i="29"/>
  <c r="E1894" i="29" a="1"/>
  <c r="E1894" i="29" s="1"/>
  <c r="A1895" i="29"/>
  <c r="B1895" i="29"/>
  <c r="E1895" i="29" a="1"/>
  <c r="E1895" i="29" s="1"/>
  <c r="A1896" i="29"/>
  <c r="B1896" i="29"/>
  <c r="E1896" i="29" a="1"/>
  <c r="E1896" i="29" s="1"/>
  <c r="A1897" i="29"/>
  <c r="B1897" i="29"/>
  <c r="E1897" i="29" a="1"/>
  <c r="E1897" i="29" s="1"/>
  <c r="A1898" i="29"/>
  <c r="B1898" i="29"/>
  <c r="E1898" i="29" a="1"/>
  <c r="E1898" i="29" s="1"/>
  <c r="A1899" i="29"/>
  <c r="B1899" i="29"/>
  <c r="E1899" i="29" a="1"/>
  <c r="E1899" i="29" s="1"/>
  <c r="A1900" i="29"/>
  <c r="B1900" i="29"/>
  <c r="E1900" i="29" a="1"/>
  <c r="E1900" i="29" s="1"/>
  <c r="A1901" i="29"/>
  <c r="B1901" i="29"/>
  <c r="E1901" i="29" a="1"/>
  <c r="E1901" i="29" s="1"/>
  <c r="A1902" i="29"/>
  <c r="B1902" i="29"/>
  <c r="E1902" i="29" a="1"/>
  <c r="E1902" i="29" s="1"/>
  <c r="A1903" i="29"/>
  <c r="B1903" i="29"/>
  <c r="E1903" i="29" a="1"/>
  <c r="E1903" i="29" s="1"/>
  <c r="A1904" i="29"/>
  <c r="B1904" i="29"/>
  <c r="E1904" i="29" a="1"/>
  <c r="E1904" i="29" s="1"/>
  <c r="A1905" i="29"/>
  <c r="B1905" i="29"/>
  <c r="E1905" i="29" a="1"/>
  <c r="E1905" i="29" s="1"/>
  <c r="A1906" i="29"/>
  <c r="B1906" i="29"/>
  <c r="E1906" i="29" a="1"/>
  <c r="E1906" i="29" s="1"/>
  <c r="A1907" i="29"/>
  <c r="B1907" i="29"/>
  <c r="E1907" i="29" a="1"/>
  <c r="E1907" i="29" s="1"/>
  <c r="A1908" i="29"/>
  <c r="B1908" i="29"/>
  <c r="E1908" i="29" a="1"/>
  <c r="E1908" i="29" s="1"/>
  <c r="A1909" i="29"/>
  <c r="B1909" i="29"/>
  <c r="E1909" i="29" a="1"/>
  <c r="E1909" i="29" s="1"/>
  <c r="A1910" i="29"/>
  <c r="B1910" i="29"/>
  <c r="E1910" i="29" a="1"/>
  <c r="E1910" i="29" s="1"/>
  <c r="A1911" i="29"/>
  <c r="B1911" i="29"/>
  <c r="E1911" i="29" a="1"/>
  <c r="E1911" i="29" s="1"/>
  <c r="A1912" i="29"/>
  <c r="B1912" i="29"/>
  <c r="E1912" i="29" a="1"/>
  <c r="E1912" i="29" s="1"/>
  <c r="A1913" i="29"/>
  <c r="B1913" i="29"/>
  <c r="E1913" i="29" a="1"/>
  <c r="E1913" i="29" s="1"/>
  <c r="A1914" i="29"/>
  <c r="B1914" i="29"/>
  <c r="E1914" i="29" a="1"/>
  <c r="E1914" i="29" s="1"/>
  <c r="A1915" i="29"/>
  <c r="B1915" i="29"/>
  <c r="E1915" i="29" a="1"/>
  <c r="E1915" i="29" s="1"/>
  <c r="A1916" i="29"/>
  <c r="B1916" i="29"/>
  <c r="E1916" i="29" a="1"/>
  <c r="E1916" i="29" s="1"/>
  <c r="A1917" i="29"/>
  <c r="B1917" i="29"/>
  <c r="E1917" i="29" a="1"/>
  <c r="E1917" i="29" s="1"/>
  <c r="A1918" i="29"/>
  <c r="B1918" i="29"/>
  <c r="E1918" i="29" a="1"/>
  <c r="E1918" i="29" s="1"/>
  <c r="A1919" i="29"/>
  <c r="B1919" i="29"/>
  <c r="E1919" i="29" a="1"/>
  <c r="E1919" i="29" s="1"/>
  <c r="A1920" i="29"/>
  <c r="B1920" i="29"/>
  <c r="E1920" i="29" a="1"/>
  <c r="E1920" i="29" s="1"/>
  <c r="A1921" i="29"/>
  <c r="B1921" i="29"/>
  <c r="E1921" i="29" a="1"/>
  <c r="E1921" i="29" s="1"/>
  <c r="A1922" i="29"/>
  <c r="B1922" i="29"/>
  <c r="E1922" i="29" a="1"/>
  <c r="E1922" i="29" s="1"/>
  <c r="A1923" i="29"/>
  <c r="B1923" i="29"/>
  <c r="E1923" i="29" a="1"/>
  <c r="E1923" i="29" s="1"/>
  <c r="A1924" i="29"/>
  <c r="B1924" i="29"/>
  <c r="E1924" i="29" a="1"/>
  <c r="E1924" i="29" s="1"/>
  <c r="A1925" i="29"/>
  <c r="B1925" i="29"/>
  <c r="E1925" i="29" a="1"/>
  <c r="E1925" i="29" s="1"/>
  <c r="A1926" i="29"/>
  <c r="B1926" i="29"/>
  <c r="E1926" i="29" a="1"/>
  <c r="E1926" i="29" s="1"/>
  <c r="A1927" i="29"/>
  <c r="B1927" i="29"/>
  <c r="E1927" i="29" a="1"/>
  <c r="E1927" i="29" s="1"/>
  <c r="A1928" i="29"/>
  <c r="B1928" i="29"/>
  <c r="E1928" i="29" a="1"/>
  <c r="E1928" i="29" s="1"/>
  <c r="A1929" i="29"/>
  <c r="B1929" i="29"/>
  <c r="E1929" i="29" a="1"/>
  <c r="E1929" i="29" s="1"/>
  <c r="A1930" i="29"/>
  <c r="B1930" i="29"/>
  <c r="E1930" i="29" a="1"/>
  <c r="E1930" i="29" s="1"/>
  <c r="A1931" i="29"/>
  <c r="B1931" i="29"/>
  <c r="E1931" i="29" a="1"/>
  <c r="E1931" i="29" s="1"/>
  <c r="A1932" i="29"/>
  <c r="B1932" i="29"/>
  <c r="E1932" i="29" a="1"/>
  <c r="E1932" i="29" s="1"/>
  <c r="A1934" i="29"/>
  <c r="A1935" i="29"/>
  <c r="A1936" i="29"/>
  <c r="B1936" i="29"/>
  <c r="E1936" i="29" a="1"/>
  <c r="E1936" i="29" s="1"/>
  <c r="A1937" i="29"/>
  <c r="B1937" i="29"/>
  <c r="E1937" i="29" a="1"/>
  <c r="E1937" i="29" s="1"/>
  <c r="A1938" i="29"/>
  <c r="B1938" i="29"/>
  <c r="E1938" i="29" a="1"/>
  <c r="E1938" i="29" s="1"/>
  <c r="A1939" i="29"/>
  <c r="B1939" i="29"/>
  <c r="E1939" i="29" a="1"/>
  <c r="E1939" i="29" s="1"/>
  <c r="A1940" i="29"/>
  <c r="B1940" i="29"/>
  <c r="E1940" i="29" a="1"/>
  <c r="E1940" i="29" s="1"/>
  <c r="A1941" i="29"/>
  <c r="B1941" i="29"/>
  <c r="E1941" i="29" a="1"/>
  <c r="E1941" i="29" s="1"/>
  <c r="A1942" i="29"/>
  <c r="B1942" i="29"/>
  <c r="E1942" i="29" a="1"/>
  <c r="E1942" i="29" s="1"/>
  <c r="A1943" i="29"/>
  <c r="B1943" i="29"/>
  <c r="E1943" i="29" a="1"/>
  <c r="E1943" i="29" s="1"/>
  <c r="A1944" i="29"/>
  <c r="B1944" i="29"/>
  <c r="E1944" i="29" a="1"/>
  <c r="E1944" i="29" s="1"/>
  <c r="A1945" i="29"/>
  <c r="B1945" i="29"/>
  <c r="E1945" i="29" a="1"/>
  <c r="E1945" i="29" s="1"/>
  <c r="A1946" i="29"/>
  <c r="B1946" i="29"/>
  <c r="E1946" i="29" a="1"/>
  <c r="E1946" i="29" s="1"/>
  <c r="A1947" i="29"/>
  <c r="B1947" i="29"/>
  <c r="E1947" i="29" a="1"/>
  <c r="E1947" i="29" s="1"/>
  <c r="A1948" i="29"/>
  <c r="B1948" i="29"/>
  <c r="E1948" i="29" a="1"/>
  <c r="E1948" i="29" s="1"/>
  <c r="A1949" i="29"/>
  <c r="B1949" i="29"/>
  <c r="E1949" i="29" a="1"/>
  <c r="E1949" i="29" s="1"/>
  <c r="A1950" i="29"/>
  <c r="B1950" i="29"/>
  <c r="E1950" i="29" a="1"/>
  <c r="E1950" i="29" s="1"/>
  <c r="A1951" i="29"/>
  <c r="B1951" i="29"/>
  <c r="E1951" i="29" a="1"/>
  <c r="E1951" i="29" s="1"/>
  <c r="A1952" i="29"/>
  <c r="B1952" i="29"/>
  <c r="E1952" i="29" a="1"/>
  <c r="E1952" i="29" s="1"/>
  <c r="A1953" i="29"/>
  <c r="B1953" i="29"/>
  <c r="E1953" i="29" a="1"/>
  <c r="E1953" i="29" s="1"/>
  <c r="A1954" i="29"/>
  <c r="B1954" i="29"/>
  <c r="E1954" i="29" a="1"/>
  <c r="E1954" i="29" s="1"/>
  <c r="A1955" i="29"/>
  <c r="B1955" i="29"/>
  <c r="E1955" i="29" a="1"/>
  <c r="E1955" i="29" s="1"/>
  <c r="A1956" i="29"/>
  <c r="B1956" i="29"/>
  <c r="E1956" i="29" a="1"/>
  <c r="E1956" i="29" s="1"/>
  <c r="A1957" i="29"/>
  <c r="B1957" i="29"/>
  <c r="E1957" i="29" a="1"/>
  <c r="E1957" i="29" s="1"/>
  <c r="A1958" i="29"/>
  <c r="B1958" i="29"/>
  <c r="E1958" i="29" a="1"/>
  <c r="E1958" i="29" s="1"/>
  <c r="A1959" i="29"/>
  <c r="B1959" i="29"/>
  <c r="E1959" i="29" a="1"/>
  <c r="E1959" i="29" s="1"/>
  <c r="A1960" i="29"/>
  <c r="B1960" i="29"/>
  <c r="E1960" i="29" a="1"/>
  <c r="E1960" i="29" s="1"/>
  <c r="A1961" i="29"/>
  <c r="B1961" i="29"/>
  <c r="E1961" i="29" a="1"/>
  <c r="E1961" i="29" s="1"/>
  <c r="A1962" i="29"/>
  <c r="B1962" i="29"/>
  <c r="E1962" i="29" a="1"/>
  <c r="E1962" i="29" s="1"/>
  <c r="A1963" i="29"/>
  <c r="B1963" i="29"/>
  <c r="E1963" i="29" a="1"/>
  <c r="E1963" i="29" s="1"/>
  <c r="A1964" i="29"/>
  <c r="B1964" i="29"/>
  <c r="E1964" i="29" a="1"/>
  <c r="E1964" i="29" s="1"/>
  <c r="A1965" i="29"/>
  <c r="B1965" i="29"/>
  <c r="E1965" i="29" a="1"/>
  <c r="E1965" i="29" s="1"/>
  <c r="A1966" i="29"/>
  <c r="B1966" i="29"/>
  <c r="E1966" i="29" a="1"/>
  <c r="E1966" i="29" s="1"/>
  <c r="A1967" i="29"/>
  <c r="B1967" i="29"/>
  <c r="E1967" i="29" a="1"/>
  <c r="E1967" i="29" s="1"/>
  <c r="A1968" i="29"/>
  <c r="B1968" i="29"/>
  <c r="E1968" i="29" a="1"/>
  <c r="E1968" i="29" s="1"/>
  <c r="A1969" i="29"/>
  <c r="B1969" i="29"/>
  <c r="E1969" i="29" a="1"/>
  <c r="E1969" i="29" s="1"/>
  <c r="A1970" i="29"/>
  <c r="B1970" i="29"/>
  <c r="E1970" i="29" a="1"/>
  <c r="E1970" i="29" s="1"/>
  <c r="A1971" i="29"/>
  <c r="B1971" i="29"/>
  <c r="E1971" i="29" a="1"/>
  <c r="E1971" i="29" s="1"/>
  <c r="A1972" i="29"/>
  <c r="B1972" i="29"/>
  <c r="E1972" i="29" a="1"/>
  <c r="E1972" i="29" s="1"/>
  <c r="A1973" i="29"/>
  <c r="B1973" i="29"/>
  <c r="E1973" i="29" a="1"/>
  <c r="E1973" i="29" s="1"/>
  <c r="A1974" i="29"/>
  <c r="B1974" i="29"/>
  <c r="E1974" i="29" a="1"/>
  <c r="E1974" i="29" s="1"/>
  <c r="A1975" i="29"/>
  <c r="B1975" i="29"/>
  <c r="E1975" i="29" a="1"/>
  <c r="E1975" i="29" s="1"/>
  <c r="A1976" i="29"/>
  <c r="B1976" i="29"/>
  <c r="E1976" i="29" a="1"/>
  <c r="E1976" i="29" s="1"/>
  <c r="A1977" i="29"/>
  <c r="B1977" i="29"/>
  <c r="E1977" i="29" a="1"/>
  <c r="E1977" i="29" s="1"/>
  <c r="A1978" i="29"/>
  <c r="B1978" i="29"/>
  <c r="E1978" i="29" a="1"/>
  <c r="E1978" i="29" s="1"/>
  <c r="A1979" i="29"/>
  <c r="B1979" i="29"/>
  <c r="E1979" i="29" a="1"/>
  <c r="E1979" i="29" s="1"/>
  <c r="A1980" i="29"/>
  <c r="B1980" i="29"/>
  <c r="E1980" i="29" a="1"/>
  <c r="E1980" i="29" s="1"/>
  <c r="A1981" i="29"/>
  <c r="B1981" i="29"/>
  <c r="E1981" i="29" a="1"/>
  <c r="E1981" i="29" s="1"/>
  <c r="A1982" i="29"/>
  <c r="B1982" i="29"/>
  <c r="E1982" i="29" a="1"/>
  <c r="E1982" i="29" s="1"/>
  <c r="A1983" i="29"/>
  <c r="B1983" i="29"/>
  <c r="E1983" i="29" a="1"/>
  <c r="E1983" i="29" s="1"/>
  <c r="A1984" i="29"/>
  <c r="B1984" i="29"/>
  <c r="E1984" i="29" a="1"/>
  <c r="E1984" i="29" s="1"/>
  <c r="A1985" i="29"/>
  <c r="B1985" i="29"/>
  <c r="E1985" i="29" a="1"/>
  <c r="E1985" i="29" s="1"/>
  <c r="A1986" i="29"/>
  <c r="B1986" i="29"/>
  <c r="E1986" i="29" a="1"/>
  <c r="E1986" i="29" s="1"/>
  <c r="A1987" i="29"/>
  <c r="B1987" i="29"/>
  <c r="E1987" i="29" a="1"/>
  <c r="E1987" i="29" s="1"/>
  <c r="A1988" i="29"/>
  <c r="B1988" i="29"/>
  <c r="E1988" i="29" a="1"/>
  <c r="E1988" i="29" s="1"/>
  <c r="A1989" i="29"/>
  <c r="B1989" i="29"/>
  <c r="E1989" i="29" a="1"/>
  <c r="E1989" i="29" s="1"/>
  <c r="A1990" i="29"/>
  <c r="B1990" i="29"/>
  <c r="E1990" i="29" a="1"/>
  <c r="E1990" i="29" s="1"/>
  <c r="A1991" i="29"/>
  <c r="B1991" i="29"/>
  <c r="E1991" i="29" a="1"/>
  <c r="E1991" i="29" s="1"/>
  <c r="A1992" i="29"/>
  <c r="B1992" i="29"/>
  <c r="E1992" i="29" a="1"/>
  <c r="E1992" i="29" s="1"/>
  <c r="A1993" i="29"/>
  <c r="B1993" i="29"/>
  <c r="E1993" i="29" a="1"/>
  <c r="E1993" i="29" s="1"/>
  <c r="A1995" i="29"/>
  <c r="A1996" i="29"/>
  <c r="A1997" i="29"/>
  <c r="B1997" i="29"/>
  <c r="E1997" i="29" a="1"/>
  <c r="E1997" i="29" s="1"/>
  <c r="A1998" i="29"/>
  <c r="B1998" i="29"/>
  <c r="E1998" i="29" a="1"/>
  <c r="E1998" i="29" s="1"/>
  <c r="A1999" i="29"/>
  <c r="B1999" i="29"/>
  <c r="E1999" i="29" a="1"/>
  <c r="E1999" i="29" s="1"/>
  <c r="A2000" i="29"/>
  <c r="B2000" i="29"/>
  <c r="E2000" i="29" a="1"/>
  <c r="E2000" i="29" s="1"/>
  <c r="A2001" i="29"/>
  <c r="B2001" i="29"/>
  <c r="E2001" i="29" a="1"/>
  <c r="E2001" i="29" s="1"/>
  <c r="A2002" i="29"/>
  <c r="B2002" i="29"/>
  <c r="E2002" i="29" a="1"/>
  <c r="E2002" i="29" s="1"/>
  <c r="A2003" i="29"/>
  <c r="B2003" i="29"/>
  <c r="E2003" i="29" a="1"/>
  <c r="E2003" i="29" s="1"/>
  <c r="A2004" i="29"/>
  <c r="B2004" i="29"/>
  <c r="E2004" i="29" a="1"/>
  <c r="E2004" i="29" s="1"/>
  <c r="A2005" i="29"/>
  <c r="B2005" i="29"/>
  <c r="E2005" i="29" a="1"/>
  <c r="E2005" i="29" s="1"/>
  <c r="A2006" i="29"/>
  <c r="B2006" i="29"/>
  <c r="E2006" i="29" a="1"/>
  <c r="E2006" i="29" s="1"/>
  <c r="A2007" i="29"/>
  <c r="B2007" i="29"/>
  <c r="E2007" i="29" a="1"/>
  <c r="E2007" i="29" s="1"/>
  <c r="A2008" i="29"/>
  <c r="B2008" i="29"/>
  <c r="E2008" i="29" a="1"/>
  <c r="E2008" i="29" s="1"/>
  <c r="A2009" i="29"/>
  <c r="B2009" i="29"/>
  <c r="E2009" i="29" a="1"/>
  <c r="E2009" i="29" s="1"/>
  <c r="A2010" i="29"/>
  <c r="B2010" i="29"/>
  <c r="E2010" i="29" a="1"/>
  <c r="E2010" i="29" s="1"/>
  <c r="A2011" i="29"/>
  <c r="B2011" i="29"/>
  <c r="E2011" i="29" a="1"/>
  <c r="E2011" i="29" s="1"/>
  <c r="A2012" i="29"/>
  <c r="B2012" i="29"/>
  <c r="E2012" i="29" a="1"/>
  <c r="E2012" i="29" s="1"/>
  <c r="A2013" i="29"/>
  <c r="B2013" i="29"/>
  <c r="E2013" i="29" a="1"/>
  <c r="E2013" i="29" s="1"/>
  <c r="A2014" i="29"/>
  <c r="B2014" i="29"/>
  <c r="E2014" i="29" a="1"/>
  <c r="E2014" i="29" s="1"/>
  <c r="A2015" i="29"/>
  <c r="B2015" i="29"/>
  <c r="E2015" i="29" a="1"/>
  <c r="E2015" i="29" s="1"/>
  <c r="A2016" i="29"/>
  <c r="B2016" i="29"/>
  <c r="E2016" i="29" a="1"/>
  <c r="E2016" i="29" s="1"/>
  <c r="A2017" i="29"/>
  <c r="B2017" i="29"/>
  <c r="E2017" i="29" a="1"/>
  <c r="E2017" i="29" s="1"/>
  <c r="A2018" i="29"/>
  <c r="B2018" i="29"/>
  <c r="E2018" i="29" a="1"/>
  <c r="E2018" i="29" s="1"/>
  <c r="A2019" i="29"/>
  <c r="B2019" i="29"/>
  <c r="E2019" i="29" a="1"/>
  <c r="E2019" i="29" s="1"/>
  <c r="A2020" i="29"/>
  <c r="B2020" i="29"/>
  <c r="E2020" i="29" a="1"/>
  <c r="E2020" i="29" s="1"/>
  <c r="A2021" i="29"/>
  <c r="B2021" i="29"/>
  <c r="E2021" i="29" a="1"/>
  <c r="E2021" i="29" s="1"/>
  <c r="A2022" i="29"/>
  <c r="B2022" i="29"/>
  <c r="E2022" i="29" a="1"/>
  <c r="E2022" i="29" s="1"/>
  <c r="A2023" i="29"/>
  <c r="B2023" i="29"/>
  <c r="E2023" i="29" a="1"/>
  <c r="E2023" i="29" s="1"/>
  <c r="A2024" i="29"/>
  <c r="B2024" i="29"/>
  <c r="E2024" i="29" a="1"/>
  <c r="E2024" i="29" s="1"/>
  <c r="A2025" i="29"/>
  <c r="B2025" i="29"/>
  <c r="E2025" i="29" a="1"/>
  <c r="E2025" i="29" s="1"/>
  <c r="A2026" i="29"/>
  <c r="B2026" i="29"/>
  <c r="E2026" i="29" a="1"/>
  <c r="E2026" i="29" s="1"/>
  <c r="A2027" i="29"/>
  <c r="B2027" i="29"/>
  <c r="E2027" i="29" a="1"/>
  <c r="E2027" i="29" s="1"/>
  <c r="A2028" i="29"/>
  <c r="B2028" i="29"/>
  <c r="E2028" i="29" a="1"/>
  <c r="E2028" i="29" s="1"/>
  <c r="A2029" i="29"/>
  <c r="B2029" i="29"/>
  <c r="E2029" i="29" a="1"/>
  <c r="E2029" i="29" s="1"/>
  <c r="A2030" i="29"/>
  <c r="B2030" i="29"/>
  <c r="E2030" i="29" a="1"/>
  <c r="E2030" i="29" s="1"/>
  <c r="A2031" i="29"/>
  <c r="B2031" i="29"/>
  <c r="E2031" i="29" a="1"/>
  <c r="E2031" i="29" s="1"/>
  <c r="A2032" i="29"/>
  <c r="B2032" i="29"/>
  <c r="E2032" i="29" a="1"/>
  <c r="E2032" i="29" s="1"/>
  <c r="A2033" i="29"/>
  <c r="B2033" i="29"/>
  <c r="E2033" i="29" a="1"/>
  <c r="E2033" i="29" s="1"/>
  <c r="A2034" i="29"/>
  <c r="B2034" i="29"/>
  <c r="E2034" i="29" a="1"/>
  <c r="E2034" i="29" s="1"/>
  <c r="A2035" i="29"/>
  <c r="B2035" i="29"/>
  <c r="E2035" i="29" a="1"/>
  <c r="E2035" i="29" s="1"/>
  <c r="A2036" i="29"/>
  <c r="B2036" i="29"/>
  <c r="E2036" i="29" a="1"/>
  <c r="E2036" i="29" s="1"/>
  <c r="A2037" i="29"/>
  <c r="B2037" i="29"/>
  <c r="E2037" i="29" a="1"/>
  <c r="E2037" i="29" s="1"/>
  <c r="A2038" i="29"/>
  <c r="B2038" i="29"/>
  <c r="E2038" i="29" a="1"/>
  <c r="E2038" i="29" s="1"/>
  <c r="A2039" i="29"/>
  <c r="B2039" i="29"/>
  <c r="E2039" i="29" a="1"/>
  <c r="E2039" i="29" s="1"/>
  <c r="A2040" i="29"/>
  <c r="B2040" i="29"/>
  <c r="E2040" i="29" a="1"/>
  <c r="E2040" i="29" s="1"/>
  <c r="A2041" i="29"/>
  <c r="B2041" i="29"/>
  <c r="E2041" i="29" a="1"/>
  <c r="E2041" i="29" s="1"/>
  <c r="A2042" i="29"/>
  <c r="B2042" i="29"/>
  <c r="E2042" i="29" a="1"/>
  <c r="E2042" i="29" s="1"/>
  <c r="A2043" i="29"/>
  <c r="B2043" i="29"/>
  <c r="E2043" i="29" a="1"/>
  <c r="E2043" i="29" s="1"/>
  <c r="A2044" i="29"/>
  <c r="B2044" i="29"/>
  <c r="E2044" i="29" a="1"/>
  <c r="E2044" i="29" s="1"/>
  <c r="A2045" i="29"/>
  <c r="B2045" i="29"/>
  <c r="E2045" i="29" a="1"/>
  <c r="E2045" i="29" s="1"/>
  <c r="A2046" i="29"/>
  <c r="B2046" i="29"/>
  <c r="E2046" i="29" a="1"/>
  <c r="E2046" i="29" s="1"/>
  <c r="A2047" i="29"/>
  <c r="B2047" i="29"/>
  <c r="E2047" i="29" a="1"/>
  <c r="E2047" i="29" s="1"/>
  <c r="A2048" i="29"/>
  <c r="B2048" i="29"/>
  <c r="E2048" i="29" a="1"/>
  <c r="E2048" i="29" s="1"/>
  <c r="A2049" i="29"/>
  <c r="B2049" i="29"/>
  <c r="E2049" i="29" a="1"/>
  <c r="E2049" i="29" s="1"/>
  <c r="A2050" i="29"/>
  <c r="B2050" i="29"/>
  <c r="E2050" i="29" a="1"/>
  <c r="E2050" i="29" s="1"/>
  <c r="A2051" i="29"/>
  <c r="B2051" i="29"/>
  <c r="E2051" i="29" a="1"/>
  <c r="E2051" i="29" s="1"/>
  <c r="A2052" i="29"/>
  <c r="B2052" i="29"/>
  <c r="E2052" i="29" a="1"/>
  <c r="E2052" i="29" s="1"/>
  <c r="A2053" i="29"/>
  <c r="B2053" i="29"/>
  <c r="E2053" i="29" a="1"/>
  <c r="E2053" i="29" s="1"/>
  <c r="A2054" i="29"/>
  <c r="B2054" i="29"/>
  <c r="E2054" i="29" a="1"/>
  <c r="E2054" i="29" s="1"/>
  <c r="J1645" i="41"/>
  <c r="J1626" i="41"/>
  <c r="BD65" i="66"/>
  <c r="BD64" i="66"/>
  <c r="BD63" i="66"/>
  <c r="BD62" i="66"/>
  <c r="BD61" i="66"/>
  <c r="BD60" i="66"/>
  <c r="BD59" i="66"/>
  <c r="BD58" i="66"/>
  <c r="BD57" i="66"/>
  <c r="BD56" i="66"/>
  <c r="BD55" i="66"/>
  <c r="BD54" i="66"/>
  <c r="BD53" i="66"/>
  <c r="BD52" i="66"/>
  <c r="BD51" i="66"/>
  <c r="BD50" i="66"/>
  <c r="BD49" i="66"/>
  <c r="BD48" i="66"/>
  <c r="BD47" i="66"/>
  <c r="BD46" i="66"/>
  <c r="BD45" i="66"/>
  <c r="BD44" i="66"/>
  <c r="BD43" i="66"/>
  <c r="BD42" i="66"/>
  <c r="BD41" i="66"/>
  <c r="BD40" i="66"/>
  <c r="BD39" i="66"/>
  <c r="BD38" i="66"/>
  <c r="BD37" i="66"/>
  <c r="BD36" i="66"/>
  <c r="BD35" i="66"/>
  <c r="BD34" i="66"/>
  <c r="BD33" i="66"/>
  <c r="BD32" i="66"/>
  <c r="BD31" i="66"/>
  <c r="BD30" i="66"/>
  <c r="BD29" i="66"/>
  <c r="BD28" i="66"/>
  <c r="BD27" i="66"/>
  <c r="BD26" i="66"/>
  <c r="BD25" i="66"/>
  <c r="BD24" i="66"/>
  <c r="BD23" i="66"/>
  <c r="BD22" i="66"/>
  <c r="BD21" i="66"/>
  <c r="BD20" i="66"/>
  <c r="BD19" i="66"/>
  <c r="BA65" i="66"/>
  <c r="BA64" i="66"/>
  <c r="BA63" i="66"/>
  <c r="BA62" i="66"/>
  <c r="BA61" i="66"/>
  <c r="BA60" i="66"/>
  <c r="BA59" i="66"/>
  <c r="BA58" i="66"/>
  <c r="BA57" i="66"/>
  <c r="BA56" i="66"/>
  <c r="BA55" i="66"/>
  <c r="BA54" i="66"/>
  <c r="BA53" i="66"/>
  <c r="BA52" i="66"/>
  <c r="BA51" i="66"/>
  <c r="BA50" i="66"/>
  <c r="BA49" i="66"/>
  <c r="BA48" i="66"/>
  <c r="BA47" i="66"/>
  <c r="BA46" i="66"/>
  <c r="BA45" i="66"/>
  <c r="BA44" i="66"/>
  <c r="BA43" i="66"/>
  <c r="BA42" i="66"/>
  <c r="BA41" i="66"/>
  <c r="BA40" i="66"/>
  <c r="BA39" i="66"/>
  <c r="BA38" i="66"/>
  <c r="BA37" i="66"/>
  <c r="BA36" i="66"/>
  <c r="BA35" i="66"/>
  <c r="BA34" i="66"/>
  <c r="BA33" i="66"/>
  <c r="BA32" i="66"/>
  <c r="BA31" i="66"/>
  <c r="BA30" i="66"/>
  <c r="BA29" i="66"/>
  <c r="BA28" i="66"/>
  <c r="BA27" i="66"/>
  <c r="BA26" i="66"/>
  <c r="BA25" i="66"/>
  <c r="BA24" i="66"/>
  <c r="BA23" i="66"/>
  <c r="BA22" i="66"/>
  <c r="BA21" i="66"/>
  <c r="BA20" i="66"/>
  <c r="BA19" i="66"/>
  <c r="AX65" i="66"/>
  <c r="AX64" i="66"/>
  <c r="AX63" i="66"/>
  <c r="AX62" i="66"/>
  <c r="AX61" i="66"/>
  <c r="AX60" i="66"/>
  <c r="AX59" i="66"/>
  <c r="AX58" i="66"/>
  <c r="AX57" i="66"/>
  <c r="AX56" i="66"/>
  <c r="AX55" i="66"/>
  <c r="AX54" i="66"/>
  <c r="AX53" i="66"/>
  <c r="AX52" i="66"/>
  <c r="AX51" i="66"/>
  <c r="AX50" i="66"/>
  <c r="AX49" i="66"/>
  <c r="AX48" i="66"/>
  <c r="AX47" i="66"/>
  <c r="AX46" i="66"/>
  <c r="AX45" i="66"/>
  <c r="AX44" i="66"/>
  <c r="AX43" i="66"/>
  <c r="AX42" i="66"/>
  <c r="AX41" i="66"/>
  <c r="AX40" i="66"/>
  <c r="AX39" i="66"/>
  <c r="AX38" i="66"/>
  <c r="AX37" i="66"/>
  <c r="AX36" i="66"/>
  <c r="AX35" i="66"/>
  <c r="AX34" i="66"/>
  <c r="AX33" i="66"/>
  <c r="AX32" i="66"/>
  <c r="AX31" i="66"/>
  <c r="AX30" i="66"/>
  <c r="AX29" i="66"/>
  <c r="AX28" i="66"/>
  <c r="AX27" i="66"/>
  <c r="AX26" i="66"/>
  <c r="AX25" i="66"/>
  <c r="AX24" i="66"/>
  <c r="AX23" i="66"/>
  <c r="AX22" i="66"/>
  <c r="AX21" i="66"/>
  <c r="AX20" i="66"/>
  <c r="AX19" i="66"/>
  <c r="AO65" i="66"/>
  <c r="AO64" i="66"/>
  <c r="AO63" i="66"/>
  <c r="AO62" i="66"/>
  <c r="AO61" i="66"/>
  <c r="AO60" i="66"/>
  <c r="AO59" i="66"/>
  <c r="AO58" i="66"/>
  <c r="AO57" i="66"/>
  <c r="AO56" i="66"/>
  <c r="AO55" i="66"/>
  <c r="AO54" i="66"/>
  <c r="AO53" i="66"/>
  <c r="AO52" i="66"/>
  <c r="AO51" i="66"/>
  <c r="AO50" i="66"/>
  <c r="AO49" i="66"/>
  <c r="AO48" i="66"/>
  <c r="AO47" i="66"/>
  <c r="AO46" i="66"/>
  <c r="AO45" i="66"/>
  <c r="AO44" i="66"/>
  <c r="AO43" i="66"/>
  <c r="AO42" i="66"/>
  <c r="AO41" i="66"/>
  <c r="AO40" i="66"/>
  <c r="AO39" i="66"/>
  <c r="AO38" i="66"/>
  <c r="AO37" i="66"/>
  <c r="AO36" i="66"/>
  <c r="AO35" i="66"/>
  <c r="AO34" i="66"/>
  <c r="AO33" i="66"/>
  <c r="AO32" i="66"/>
  <c r="AO31" i="66"/>
  <c r="AO30" i="66"/>
  <c r="AO29" i="66"/>
  <c r="AO28" i="66"/>
  <c r="AO27" i="66"/>
  <c r="AO26" i="66"/>
  <c r="AO25" i="66"/>
  <c r="AO24" i="66"/>
  <c r="AO23" i="66"/>
  <c r="AO22" i="66"/>
  <c r="AO21" i="66"/>
  <c r="AO20" i="66"/>
  <c r="AO19" i="66"/>
  <c r="AL65" i="66"/>
  <c r="AL64" i="66"/>
  <c r="AL63" i="66"/>
  <c r="AL62" i="66"/>
  <c r="AL61" i="66"/>
  <c r="AL60" i="66"/>
  <c r="AL59" i="66"/>
  <c r="AL58" i="66"/>
  <c r="AL57" i="66"/>
  <c r="AL56" i="66"/>
  <c r="AL55" i="66"/>
  <c r="AL54" i="66"/>
  <c r="AL53" i="66"/>
  <c r="AL52" i="66"/>
  <c r="AL51" i="66"/>
  <c r="AL50" i="66"/>
  <c r="AL49" i="66"/>
  <c r="AL48" i="66"/>
  <c r="AL47" i="66"/>
  <c r="AL46" i="66"/>
  <c r="AL45" i="66"/>
  <c r="AL44" i="66"/>
  <c r="AL43" i="66"/>
  <c r="AL42" i="66"/>
  <c r="AL41" i="66"/>
  <c r="AL40" i="66"/>
  <c r="AL39" i="66"/>
  <c r="AL38" i="66"/>
  <c r="AL37" i="66"/>
  <c r="AL36" i="66"/>
  <c r="AL35" i="66"/>
  <c r="AL34" i="66"/>
  <c r="AL33" i="66"/>
  <c r="AL32" i="66"/>
  <c r="AL31" i="66"/>
  <c r="AL30" i="66"/>
  <c r="AL29" i="66"/>
  <c r="AL28" i="66"/>
  <c r="AL27" i="66"/>
  <c r="AL26" i="66"/>
  <c r="AL25" i="66"/>
  <c r="AL24" i="66"/>
  <c r="AL23" i="66"/>
  <c r="AL22" i="66"/>
  <c r="AL21" i="66"/>
  <c r="AL20" i="66"/>
  <c r="AL19" i="66"/>
  <c r="U65" i="66"/>
  <c r="U64" i="66"/>
  <c r="U63" i="66"/>
  <c r="U62" i="66"/>
  <c r="U61" i="66"/>
  <c r="U60" i="66"/>
  <c r="U59" i="66"/>
  <c r="U58" i="66"/>
  <c r="U57" i="66"/>
  <c r="U56" i="66"/>
  <c r="U55" i="66"/>
  <c r="U54" i="66"/>
  <c r="U53" i="66"/>
  <c r="U52" i="66"/>
  <c r="U51" i="66"/>
  <c r="U50" i="66"/>
  <c r="U49" i="66"/>
  <c r="U48" i="66"/>
  <c r="U47" i="66"/>
  <c r="U46" i="66"/>
  <c r="U45" i="66"/>
  <c r="U44" i="66"/>
  <c r="U43" i="66"/>
  <c r="U42" i="66"/>
  <c r="U41" i="66"/>
  <c r="U40" i="66"/>
  <c r="U39" i="66"/>
  <c r="U38" i="66"/>
  <c r="U37" i="66"/>
  <c r="U36" i="66"/>
  <c r="U35" i="66"/>
  <c r="U34" i="66"/>
  <c r="U33" i="66"/>
  <c r="U32" i="66"/>
  <c r="U31" i="66"/>
  <c r="U30" i="66"/>
  <c r="U29" i="66"/>
  <c r="U28" i="66"/>
  <c r="U27" i="66"/>
  <c r="U26" i="66"/>
  <c r="U25" i="66"/>
  <c r="U24" i="66"/>
  <c r="U23" i="66"/>
  <c r="U22" i="66"/>
  <c r="U21" i="66"/>
  <c r="U20" i="66"/>
  <c r="U19" i="66"/>
  <c r="K1626" i="41" l="1"/>
  <c r="K1627" i="41"/>
  <c r="K1628" i="41"/>
  <c r="K1629" i="41"/>
  <c r="K1630" i="41"/>
  <c r="K1631" i="41"/>
  <c r="K1632" i="41"/>
  <c r="K1633" i="41"/>
  <c r="K1634" i="41"/>
  <c r="K1635" i="41"/>
  <c r="K1636" i="41"/>
  <c r="K1637" i="41"/>
  <c r="K1638" i="41"/>
  <c r="K1639" i="41"/>
  <c r="K1640" i="41"/>
  <c r="K1641" i="41"/>
  <c r="K1642" i="41"/>
  <c r="K1643" i="41"/>
  <c r="K1644" i="41"/>
  <c r="K1645" i="41"/>
  <c r="K1646" i="41"/>
  <c r="K1647" i="41"/>
  <c r="K1648" i="41"/>
  <c r="K1649" i="41"/>
  <c r="K1650" i="41"/>
  <c r="K1651" i="41"/>
  <c r="K1652" i="41"/>
  <c r="K1653" i="41"/>
  <c r="K1654" i="41"/>
  <c r="K1655" i="41"/>
  <c r="K1656" i="41"/>
  <c r="K1657" i="41"/>
  <c r="K1658" i="41"/>
  <c r="K1659" i="41"/>
  <c r="K1660" i="41"/>
  <c r="K1661" i="41"/>
  <c r="K1662" i="41"/>
  <c r="J1612" i="41"/>
  <c r="J1613" i="41"/>
  <c r="J1614" i="41"/>
  <c r="J1615" i="41"/>
  <c r="J1616" i="41"/>
  <c r="J1617" i="41"/>
  <c r="J1618" i="41"/>
  <c r="J1620" i="41"/>
  <c r="J1621" i="41"/>
  <c r="J1622" i="41"/>
  <c r="J1623" i="41"/>
  <c r="J1624" i="41"/>
  <c r="J1625" i="41"/>
  <c r="J1627" i="41"/>
  <c r="J1628" i="41"/>
  <c r="J1629" i="41"/>
  <c r="J1630" i="41"/>
  <c r="J1631" i="41"/>
  <c r="J1632" i="41"/>
  <c r="J1633" i="41"/>
  <c r="J1634" i="41"/>
  <c r="J1635" i="41"/>
  <c r="J1636" i="41"/>
  <c r="J1637" i="41"/>
  <c r="J1638" i="41"/>
  <c r="J1639" i="41"/>
  <c r="J1640" i="41"/>
  <c r="J1641" i="41"/>
  <c r="J1642" i="41"/>
  <c r="J1643" i="41"/>
  <c r="J1644" i="41"/>
  <c r="J1646" i="41"/>
  <c r="J1647" i="41"/>
  <c r="J1648" i="41"/>
  <c r="J1649" i="41"/>
  <c r="J1650" i="41"/>
  <c r="J1651" i="41"/>
  <c r="J1652" i="41"/>
  <c r="J1653" i="41"/>
  <c r="J1654" i="41"/>
  <c r="J1655" i="41"/>
  <c r="J1656" i="41"/>
  <c r="J1657" i="41"/>
  <c r="J1658" i="41"/>
  <c r="J1659" i="41"/>
  <c r="J1660" i="41"/>
  <c r="J1661" i="41"/>
  <c r="J1662" i="41"/>
  <c r="J1594" i="41"/>
  <c r="J1595" i="41"/>
  <c r="J1596" i="41"/>
  <c r="J1597" i="41"/>
  <c r="J1598" i="41"/>
  <c r="J1599" i="41"/>
  <c r="J1600" i="41"/>
  <c r="J1601" i="41"/>
  <c r="J1602" i="41"/>
  <c r="J1603" i="41"/>
  <c r="J1604" i="41"/>
  <c r="J1605" i="41"/>
  <c r="J1606" i="41"/>
  <c r="J1607" i="41"/>
  <c r="J1608" i="41"/>
  <c r="J1609" i="41"/>
  <c r="J1610" i="41"/>
  <c r="J1611" i="41"/>
  <c r="K1594" i="41"/>
  <c r="K1595" i="41"/>
  <c r="K1596" i="41"/>
  <c r="K1597" i="41"/>
  <c r="K1598" i="41"/>
  <c r="K1599" i="41"/>
  <c r="K1600" i="41"/>
  <c r="K1601" i="41"/>
  <c r="K1602" i="41"/>
  <c r="K1603" i="41"/>
  <c r="K1604" i="41"/>
  <c r="K1605" i="41"/>
  <c r="K1606" i="41"/>
  <c r="K1607" i="41"/>
  <c r="K1608" i="41"/>
  <c r="K1609" i="41"/>
  <c r="K1610" i="41"/>
  <c r="K1611" i="41"/>
  <c r="K1612" i="41"/>
  <c r="K1613" i="41"/>
  <c r="K1614" i="41"/>
  <c r="K1615" i="41"/>
  <c r="K1616" i="41"/>
  <c r="K1617" i="41"/>
  <c r="K1618" i="41"/>
  <c r="K1619" i="41"/>
  <c r="K1620" i="41"/>
  <c r="K1621" i="41"/>
  <c r="K1622" i="41"/>
  <c r="K1623" i="41"/>
  <c r="K1624" i="41"/>
  <c r="K1625" i="41"/>
  <c r="BC65" i="66"/>
  <c r="BC64" i="66"/>
  <c r="BC63" i="66"/>
  <c r="BC62" i="66"/>
  <c r="BC61" i="66"/>
  <c r="BC60" i="66"/>
  <c r="BC59" i="66"/>
  <c r="BC58" i="66"/>
  <c r="BC57" i="66"/>
  <c r="BC56" i="66"/>
  <c r="BC55" i="66"/>
  <c r="BC54" i="66"/>
  <c r="BC53" i="66"/>
  <c r="BC52" i="66"/>
  <c r="BC51" i="66"/>
  <c r="BC50" i="66"/>
  <c r="BC49" i="66"/>
  <c r="BC48" i="66"/>
  <c r="BC47" i="66"/>
  <c r="BC46" i="66"/>
  <c r="BC45" i="66"/>
  <c r="BC44" i="66"/>
  <c r="BC43" i="66"/>
  <c r="BC42" i="66"/>
  <c r="BC41" i="66"/>
  <c r="BC40" i="66"/>
  <c r="BC39" i="66"/>
  <c r="BC38" i="66"/>
  <c r="BC37" i="66"/>
  <c r="BC36" i="66"/>
  <c r="BC35" i="66"/>
  <c r="BC34" i="66"/>
  <c r="BC33" i="66"/>
  <c r="BC32" i="66"/>
  <c r="BC31" i="66"/>
  <c r="BC30" i="66"/>
  <c r="BC29" i="66"/>
  <c r="BC28" i="66"/>
  <c r="BC27" i="66"/>
  <c r="BC26" i="66"/>
  <c r="BC25" i="66"/>
  <c r="BC24" i="66"/>
  <c r="BC23" i="66"/>
  <c r="BC22" i="66"/>
  <c r="BC21" i="66"/>
  <c r="BC20" i="66"/>
  <c r="BC19" i="66"/>
  <c r="AZ65" i="66"/>
  <c r="AZ64" i="66"/>
  <c r="AZ63" i="66"/>
  <c r="AZ62" i="66"/>
  <c r="AZ61" i="66"/>
  <c r="AZ60" i="66"/>
  <c r="AZ59" i="66"/>
  <c r="AZ58" i="66"/>
  <c r="AZ57" i="66"/>
  <c r="AZ56" i="66"/>
  <c r="AZ55" i="66"/>
  <c r="AZ54" i="66"/>
  <c r="AZ53" i="66"/>
  <c r="AZ52" i="66"/>
  <c r="AZ51" i="66"/>
  <c r="AZ50" i="66"/>
  <c r="AZ49" i="66"/>
  <c r="AZ48" i="66"/>
  <c r="AZ47" i="66"/>
  <c r="AZ46" i="66"/>
  <c r="AZ45" i="66"/>
  <c r="AZ44" i="66"/>
  <c r="AZ43" i="66"/>
  <c r="AZ42" i="66"/>
  <c r="AZ41" i="66"/>
  <c r="AZ40" i="66"/>
  <c r="AZ39" i="66"/>
  <c r="AZ38" i="66"/>
  <c r="AZ37" i="66"/>
  <c r="AZ36" i="66"/>
  <c r="AZ35" i="66"/>
  <c r="AZ34" i="66"/>
  <c r="AZ33" i="66"/>
  <c r="AZ32" i="66"/>
  <c r="AZ31" i="66"/>
  <c r="AZ30" i="66"/>
  <c r="AZ29" i="66"/>
  <c r="AZ28" i="66"/>
  <c r="AZ27" i="66"/>
  <c r="AZ26" i="66"/>
  <c r="AZ25" i="66"/>
  <c r="AZ24" i="66"/>
  <c r="AZ23" i="66"/>
  <c r="AZ22" i="66"/>
  <c r="AZ21" i="66"/>
  <c r="AZ20" i="66"/>
  <c r="AZ19" i="66"/>
  <c r="AW65" i="66"/>
  <c r="AW64" i="66"/>
  <c r="AW63" i="66"/>
  <c r="AW62" i="66"/>
  <c r="AW61" i="66"/>
  <c r="AW60" i="66"/>
  <c r="AW59" i="66"/>
  <c r="AW58" i="66"/>
  <c r="AW57" i="66"/>
  <c r="AW56" i="66"/>
  <c r="AW55" i="66"/>
  <c r="AW54" i="66"/>
  <c r="AW53" i="66"/>
  <c r="AW52" i="66"/>
  <c r="AW51" i="66"/>
  <c r="AW50" i="66"/>
  <c r="AW49" i="66"/>
  <c r="AW48" i="66"/>
  <c r="AW47" i="66"/>
  <c r="AW46" i="66"/>
  <c r="AW45" i="66"/>
  <c r="AW44" i="66"/>
  <c r="AW43" i="66"/>
  <c r="AW42" i="66"/>
  <c r="AW41" i="66"/>
  <c r="AW40" i="66"/>
  <c r="AW39" i="66"/>
  <c r="AW38" i="66"/>
  <c r="AW37" i="66"/>
  <c r="AW36" i="66"/>
  <c r="AW35" i="66"/>
  <c r="AW34" i="66"/>
  <c r="AW33" i="66"/>
  <c r="AW32" i="66"/>
  <c r="AW31" i="66"/>
  <c r="AW30" i="66"/>
  <c r="AW29" i="66"/>
  <c r="AW28" i="66"/>
  <c r="AW27" i="66"/>
  <c r="AW26" i="66"/>
  <c r="AW25" i="66"/>
  <c r="AW24" i="66"/>
  <c r="AW23" i="66"/>
  <c r="AW22" i="66"/>
  <c r="AW21" i="66"/>
  <c r="AW20" i="66"/>
  <c r="AW19" i="66"/>
  <c r="AT65" i="66"/>
  <c r="AT64" i="66"/>
  <c r="AT63" i="66"/>
  <c r="AT62" i="66"/>
  <c r="AT61" i="66"/>
  <c r="AT60" i="66"/>
  <c r="AT59" i="66"/>
  <c r="AT58" i="66"/>
  <c r="AT57" i="66"/>
  <c r="AT56" i="66"/>
  <c r="AT55" i="66"/>
  <c r="AT54" i="66"/>
  <c r="AT53" i="66"/>
  <c r="AT52" i="66"/>
  <c r="AT51" i="66"/>
  <c r="AT50" i="66"/>
  <c r="AT49" i="66"/>
  <c r="AT48" i="66"/>
  <c r="AT47" i="66"/>
  <c r="AT46" i="66"/>
  <c r="AT45" i="66"/>
  <c r="AT44" i="66"/>
  <c r="AT43" i="66"/>
  <c r="AT42" i="66"/>
  <c r="AT41" i="66"/>
  <c r="AT40" i="66"/>
  <c r="AT39" i="66"/>
  <c r="AT38" i="66"/>
  <c r="AT37" i="66"/>
  <c r="AT36" i="66"/>
  <c r="AT35" i="66"/>
  <c r="AT34" i="66"/>
  <c r="AT33" i="66"/>
  <c r="AT32" i="66"/>
  <c r="AT31" i="66"/>
  <c r="AT30" i="66"/>
  <c r="AT29" i="66"/>
  <c r="AT28" i="66"/>
  <c r="AT27" i="66"/>
  <c r="AT26" i="66"/>
  <c r="AT25" i="66"/>
  <c r="AT24" i="66"/>
  <c r="AT23" i="66"/>
  <c r="AT22" i="66"/>
  <c r="AT21" i="66"/>
  <c r="AT20" i="66"/>
  <c r="AT19" i="66"/>
  <c r="AQ65" i="66"/>
  <c r="AQ64" i="66"/>
  <c r="AQ63" i="66"/>
  <c r="AQ62" i="66"/>
  <c r="AQ61" i="66"/>
  <c r="AQ60" i="66"/>
  <c r="AQ59" i="66"/>
  <c r="AQ58" i="66"/>
  <c r="AQ57" i="66"/>
  <c r="AQ56" i="66"/>
  <c r="AQ55" i="66"/>
  <c r="AQ54" i="66"/>
  <c r="AQ53" i="66"/>
  <c r="AQ52" i="66"/>
  <c r="AQ51" i="66"/>
  <c r="AQ50" i="66"/>
  <c r="AQ49" i="66"/>
  <c r="AQ48" i="66"/>
  <c r="AQ47" i="66"/>
  <c r="AQ46" i="66"/>
  <c r="AQ45" i="66"/>
  <c r="AQ44" i="66"/>
  <c r="AQ43" i="66"/>
  <c r="AQ42" i="66"/>
  <c r="AQ41" i="66"/>
  <c r="AQ40" i="66"/>
  <c r="AQ39" i="66"/>
  <c r="AQ38" i="66"/>
  <c r="AQ37" i="66"/>
  <c r="AQ36" i="66"/>
  <c r="AQ35" i="66"/>
  <c r="AQ34" i="66"/>
  <c r="AQ33" i="66"/>
  <c r="AQ32" i="66"/>
  <c r="AQ31" i="66"/>
  <c r="AQ30" i="66"/>
  <c r="AQ29" i="66"/>
  <c r="AQ28" i="66"/>
  <c r="AQ27" i="66"/>
  <c r="AQ26" i="66"/>
  <c r="AQ25" i="66"/>
  <c r="AQ24" i="66"/>
  <c r="AQ23" i="66"/>
  <c r="AQ22" i="66"/>
  <c r="AQ21" i="66"/>
  <c r="AQ20" i="66"/>
  <c r="AQ19" i="66"/>
  <c r="AN65" i="66"/>
  <c r="AN64" i="66"/>
  <c r="AN63" i="66"/>
  <c r="AN62" i="66"/>
  <c r="AN61" i="66"/>
  <c r="AN60" i="66"/>
  <c r="AN59" i="66"/>
  <c r="AN58" i="66"/>
  <c r="AN57" i="66"/>
  <c r="AN56" i="66"/>
  <c r="AN55" i="66"/>
  <c r="AN54" i="66"/>
  <c r="AN53" i="66"/>
  <c r="AN52" i="66"/>
  <c r="AN51" i="66"/>
  <c r="AN50" i="66"/>
  <c r="AN49" i="66"/>
  <c r="AN48" i="66"/>
  <c r="AN47" i="66"/>
  <c r="AN46" i="66"/>
  <c r="AN45" i="66"/>
  <c r="AN44" i="66"/>
  <c r="AN43" i="66"/>
  <c r="AN42" i="66"/>
  <c r="AN41" i="66"/>
  <c r="AN40" i="66"/>
  <c r="AN39" i="66"/>
  <c r="AN38" i="66"/>
  <c r="AN37" i="66"/>
  <c r="AN36" i="66"/>
  <c r="AN35" i="66"/>
  <c r="AN34" i="66"/>
  <c r="AN33" i="66"/>
  <c r="AN32" i="66"/>
  <c r="AN31" i="66"/>
  <c r="AN30" i="66"/>
  <c r="AN29" i="66"/>
  <c r="AN28" i="66"/>
  <c r="AN27" i="66"/>
  <c r="AN26" i="66"/>
  <c r="AN25" i="66"/>
  <c r="AN24" i="66"/>
  <c r="AN23" i="66"/>
  <c r="AN22" i="66"/>
  <c r="AN21" i="66"/>
  <c r="AN20" i="66"/>
  <c r="AN19" i="66"/>
  <c r="AK65" i="66"/>
  <c r="AK64" i="66"/>
  <c r="AK63" i="66"/>
  <c r="AK62" i="66"/>
  <c r="AK61" i="66"/>
  <c r="AK60" i="66"/>
  <c r="AK59" i="66"/>
  <c r="AK58" i="66"/>
  <c r="AK57" i="66"/>
  <c r="AK56" i="66"/>
  <c r="AK55" i="66"/>
  <c r="AK54" i="66"/>
  <c r="AK53" i="66"/>
  <c r="AK52" i="66"/>
  <c r="AK51" i="66"/>
  <c r="AK50" i="66"/>
  <c r="AK49" i="66"/>
  <c r="AK48" i="66"/>
  <c r="AK47" i="66"/>
  <c r="AK46" i="66"/>
  <c r="AK45" i="66"/>
  <c r="AK44" i="66"/>
  <c r="AK43" i="66"/>
  <c r="AK42" i="66"/>
  <c r="AK41" i="66"/>
  <c r="AK40" i="66"/>
  <c r="AK39" i="66"/>
  <c r="AK38" i="66"/>
  <c r="AK37" i="66"/>
  <c r="AK36" i="66"/>
  <c r="AK35" i="66"/>
  <c r="AK34" i="66"/>
  <c r="AK33" i="66"/>
  <c r="AK32" i="66"/>
  <c r="AK31" i="66"/>
  <c r="AK30" i="66"/>
  <c r="AK29" i="66"/>
  <c r="AK28" i="66"/>
  <c r="AK27" i="66"/>
  <c r="AK26" i="66"/>
  <c r="AK25" i="66"/>
  <c r="AK24" i="66"/>
  <c r="AK23" i="66"/>
  <c r="AK22" i="66"/>
  <c r="AK21" i="66"/>
  <c r="AK20" i="66"/>
  <c r="AK19" i="66"/>
  <c r="AB65" i="66"/>
  <c r="AA65" i="66"/>
  <c r="Y65" i="66"/>
  <c r="X65" i="66"/>
  <c r="AB64" i="66"/>
  <c r="AA64" i="66"/>
  <c r="Y64" i="66"/>
  <c r="X64" i="66"/>
  <c r="AB63" i="66"/>
  <c r="AA63" i="66"/>
  <c r="Y63" i="66"/>
  <c r="X63" i="66"/>
  <c r="AB62" i="66"/>
  <c r="AA62" i="66"/>
  <c r="Y62" i="66"/>
  <c r="X62" i="66"/>
  <c r="AB61" i="66"/>
  <c r="AA61" i="66"/>
  <c r="Y61" i="66"/>
  <c r="X61" i="66"/>
  <c r="AB60" i="66"/>
  <c r="AA60" i="66"/>
  <c r="Y60" i="66"/>
  <c r="X60" i="66"/>
  <c r="AB59" i="66"/>
  <c r="AA59" i="66"/>
  <c r="Y59" i="66"/>
  <c r="X59" i="66"/>
  <c r="AB58" i="66"/>
  <c r="AA58" i="66"/>
  <c r="Y58" i="66"/>
  <c r="X58" i="66"/>
  <c r="AB57" i="66"/>
  <c r="AA57" i="66"/>
  <c r="Y57" i="66"/>
  <c r="X57" i="66"/>
  <c r="AB56" i="66"/>
  <c r="AA56" i="66"/>
  <c r="Y56" i="66"/>
  <c r="X56" i="66"/>
  <c r="AB55" i="66"/>
  <c r="AA55" i="66"/>
  <c r="Y55" i="66"/>
  <c r="X55" i="66"/>
  <c r="AB54" i="66"/>
  <c r="AA54" i="66"/>
  <c r="Y54" i="66"/>
  <c r="X54" i="66"/>
  <c r="AB53" i="66"/>
  <c r="AA53" i="66"/>
  <c r="Y53" i="66"/>
  <c r="X53" i="66"/>
  <c r="AB52" i="66"/>
  <c r="AA52" i="66"/>
  <c r="Y52" i="66"/>
  <c r="X52" i="66"/>
  <c r="AB51" i="66"/>
  <c r="AA51" i="66"/>
  <c r="Y51" i="66"/>
  <c r="X51" i="66"/>
  <c r="AB50" i="66"/>
  <c r="AA50" i="66"/>
  <c r="Y50" i="66"/>
  <c r="X50" i="66"/>
  <c r="AB49" i="66"/>
  <c r="AA49" i="66"/>
  <c r="Y49" i="66"/>
  <c r="X49" i="66"/>
  <c r="AB48" i="66"/>
  <c r="AA48" i="66"/>
  <c r="Y48" i="66"/>
  <c r="X48" i="66"/>
  <c r="AB47" i="66"/>
  <c r="AA47" i="66"/>
  <c r="Y47" i="66"/>
  <c r="X47" i="66"/>
  <c r="AB46" i="66"/>
  <c r="AA46" i="66"/>
  <c r="Y46" i="66"/>
  <c r="X46" i="66"/>
  <c r="AB45" i="66"/>
  <c r="AA45" i="66"/>
  <c r="Y45" i="66"/>
  <c r="X45" i="66"/>
  <c r="AB44" i="66"/>
  <c r="AA44" i="66"/>
  <c r="Y44" i="66"/>
  <c r="X44" i="66"/>
  <c r="AB43" i="66"/>
  <c r="AA43" i="66"/>
  <c r="Y43" i="66"/>
  <c r="X43" i="66"/>
  <c r="AB42" i="66"/>
  <c r="AA42" i="66"/>
  <c r="Y42" i="66"/>
  <c r="X42" i="66"/>
  <c r="AB41" i="66"/>
  <c r="AA41" i="66"/>
  <c r="Y41" i="66"/>
  <c r="X41" i="66"/>
  <c r="AB40" i="66"/>
  <c r="AA40" i="66"/>
  <c r="Y40" i="66"/>
  <c r="X40" i="66"/>
  <c r="AB39" i="66"/>
  <c r="AA39" i="66"/>
  <c r="Y39" i="66"/>
  <c r="X39" i="66"/>
  <c r="AB38" i="66"/>
  <c r="AA38" i="66"/>
  <c r="Y38" i="66"/>
  <c r="X38" i="66"/>
  <c r="AB37" i="66"/>
  <c r="AA37" i="66"/>
  <c r="Y37" i="66"/>
  <c r="X37" i="66"/>
  <c r="AB36" i="66"/>
  <c r="AA36" i="66"/>
  <c r="Y36" i="66"/>
  <c r="X36" i="66"/>
  <c r="AB35" i="66"/>
  <c r="AA35" i="66"/>
  <c r="Y35" i="66"/>
  <c r="X35" i="66"/>
  <c r="AB34" i="66"/>
  <c r="AA34" i="66"/>
  <c r="Y34" i="66"/>
  <c r="X34" i="66"/>
  <c r="AB33" i="66"/>
  <c r="AA33" i="66"/>
  <c r="Y33" i="66"/>
  <c r="X33" i="66"/>
  <c r="AB32" i="66"/>
  <c r="AA32" i="66"/>
  <c r="Y32" i="66"/>
  <c r="X32" i="66"/>
  <c r="AB31" i="66"/>
  <c r="AA31" i="66"/>
  <c r="Y31" i="66"/>
  <c r="X31" i="66"/>
  <c r="AB30" i="66"/>
  <c r="AA30" i="66"/>
  <c r="Y30" i="66"/>
  <c r="X30" i="66"/>
  <c r="AB29" i="66"/>
  <c r="AA29" i="66"/>
  <c r="Y29" i="66"/>
  <c r="X29" i="66"/>
  <c r="AB28" i="66"/>
  <c r="AA28" i="66"/>
  <c r="Y28" i="66"/>
  <c r="X28" i="66"/>
  <c r="AB27" i="66"/>
  <c r="AA27" i="66"/>
  <c r="Y27" i="66"/>
  <c r="X27" i="66"/>
  <c r="AB26" i="66"/>
  <c r="AA26" i="66"/>
  <c r="Y26" i="66"/>
  <c r="X26" i="66"/>
  <c r="AB25" i="66"/>
  <c r="AA25" i="66"/>
  <c r="Y25" i="66"/>
  <c r="X25" i="66"/>
  <c r="AB24" i="66"/>
  <c r="AA24" i="66"/>
  <c r="Y24" i="66"/>
  <c r="X24" i="66"/>
  <c r="AB23" i="66"/>
  <c r="AA23" i="66"/>
  <c r="Y23" i="66"/>
  <c r="X23" i="66"/>
  <c r="AB22" i="66"/>
  <c r="AA22" i="66"/>
  <c r="Y22" i="66"/>
  <c r="X22" i="66"/>
  <c r="AB21" i="66"/>
  <c r="AA21" i="66"/>
  <c r="Y21" i="66"/>
  <c r="X21" i="66"/>
  <c r="AB20" i="66"/>
  <c r="AA20" i="66"/>
  <c r="Y20" i="66"/>
  <c r="X20" i="66"/>
  <c r="AB19" i="66"/>
  <c r="AA19" i="66"/>
  <c r="Y19" i="66"/>
  <c r="X19" i="66"/>
  <c r="R65" i="66"/>
  <c r="R64" i="66"/>
  <c r="R63" i="66"/>
  <c r="R62" i="66"/>
  <c r="R61" i="66"/>
  <c r="R60" i="66"/>
  <c r="R59" i="66"/>
  <c r="R58" i="66"/>
  <c r="R57" i="66"/>
  <c r="R56" i="66"/>
  <c r="R55" i="66"/>
  <c r="R54" i="66"/>
  <c r="R53" i="66"/>
  <c r="R52" i="66"/>
  <c r="R51" i="66"/>
  <c r="R50" i="66"/>
  <c r="R49" i="66"/>
  <c r="R48" i="66"/>
  <c r="R47" i="66"/>
  <c r="R46" i="66"/>
  <c r="R45" i="66"/>
  <c r="R44" i="66"/>
  <c r="R43" i="66"/>
  <c r="R42" i="66"/>
  <c r="R41" i="66"/>
  <c r="R40" i="66"/>
  <c r="R39" i="66"/>
  <c r="R38" i="66"/>
  <c r="R37" i="66"/>
  <c r="R36" i="66"/>
  <c r="R35" i="66"/>
  <c r="R34" i="66"/>
  <c r="R33" i="66"/>
  <c r="R32" i="66"/>
  <c r="R31" i="66"/>
  <c r="R30" i="66"/>
  <c r="R29" i="66"/>
  <c r="R28" i="66"/>
  <c r="R27" i="66"/>
  <c r="R26" i="66"/>
  <c r="R25" i="66"/>
  <c r="R24" i="66"/>
  <c r="R23" i="66"/>
  <c r="R22" i="66"/>
  <c r="R21" i="66"/>
  <c r="R20" i="66"/>
  <c r="R19" i="66"/>
  <c r="O65" i="66"/>
  <c r="O64" i="66"/>
  <c r="O63" i="66"/>
  <c r="O62" i="66"/>
  <c r="O61" i="66"/>
  <c r="O60" i="66"/>
  <c r="O59" i="66"/>
  <c r="O58" i="66"/>
  <c r="O57" i="66"/>
  <c r="O56" i="66"/>
  <c r="O55" i="66"/>
  <c r="O54" i="66"/>
  <c r="O53" i="66"/>
  <c r="O52" i="66"/>
  <c r="O51" i="66"/>
  <c r="O50" i="66"/>
  <c r="O49" i="66"/>
  <c r="O48" i="66"/>
  <c r="O47" i="66"/>
  <c r="O46" i="66"/>
  <c r="O45" i="66"/>
  <c r="O44" i="66"/>
  <c r="O43" i="66"/>
  <c r="O42" i="66"/>
  <c r="O41" i="66"/>
  <c r="O40" i="66"/>
  <c r="O39" i="66"/>
  <c r="O38" i="66"/>
  <c r="O37" i="66"/>
  <c r="O36" i="66"/>
  <c r="O35" i="66"/>
  <c r="O34" i="66"/>
  <c r="O33" i="66"/>
  <c r="O32" i="66"/>
  <c r="O31" i="66"/>
  <c r="O30" i="66"/>
  <c r="O29" i="66"/>
  <c r="O28" i="66"/>
  <c r="O27" i="66"/>
  <c r="O26" i="66"/>
  <c r="O25" i="66"/>
  <c r="O24" i="66"/>
  <c r="O23" i="66"/>
  <c r="O22" i="66"/>
  <c r="O21" i="66"/>
  <c r="O20" i="66"/>
  <c r="O19" i="66"/>
  <c r="AU65" i="66"/>
  <c r="AU64" i="66"/>
  <c r="AU63" i="66"/>
  <c r="AU62" i="66"/>
  <c r="AU61" i="66"/>
  <c r="AU60" i="66"/>
  <c r="AU59" i="66"/>
  <c r="AU58" i="66"/>
  <c r="AU57" i="66"/>
  <c r="AU56" i="66"/>
  <c r="AU55" i="66"/>
  <c r="AU54" i="66"/>
  <c r="AU53" i="66"/>
  <c r="AU52" i="66"/>
  <c r="AU51" i="66"/>
  <c r="AU50" i="66"/>
  <c r="AU49" i="66"/>
  <c r="AU48" i="66"/>
  <c r="AU47" i="66"/>
  <c r="AU46" i="66"/>
  <c r="AU45" i="66"/>
  <c r="AU44" i="66"/>
  <c r="AU43" i="66"/>
  <c r="AU42" i="66"/>
  <c r="AU41" i="66"/>
  <c r="AU40" i="66"/>
  <c r="AU39" i="66"/>
  <c r="AU38" i="66"/>
  <c r="AU37" i="66"/>
  <c r="AU36" i="66"/>
  <c r="AU35" i="66"/>
  <c r="AU34" i="66"/>
  <c r="AU33" i="66"/>
  <c r="AU32" i="66"/>
  <c r="AU31" i="66"/>
  <c r="AU30" i="66"/>
  <c r="AU29" i="66"/>
  <c r="AU28" i="66"/>
  <c r="AU27" i="66"/>
  <c r="AU26" i="66"/>
  <c r="AU25" i="66"/>
  <c r="AU24" i="66"/>
  <c r="AU23" i="66"/>
  <c r="AU22" i="66"/>
  <c r="AU21" i="66"/>
  <c r="AU20" i="66"/>
  <c r="AU19" i="66"/>
  <c r="AR65" i="66"/>
  <c r="AR64" i="66"/>
  <c r="AR63" i="66"/>
  <c r="AR62" i="66"/>
  <c r="AR61" i="66"/>
  <c r="AR60" i="66"/>
  <c r="AR59" i="66"/>
  <c r="AR58" i="66"/>
  <c r="AR57" i="66"/>
  <c r="AR56" i="66"/>
  <c r="AR55" i="66"/>
  <c r="AR54" i="66"/>
  <c r="AR53" i="66"/>
  <c r="AR52" i="66"/>
  <c r="AR51" i="66"/>
  <c r="AR50" i="66"/>
  <c r="AR49" i="66"/>
  <c r="AR48" i="66"/>
  <c r="AR47" i="66"/>
  <c r="AR46" i="66"/>
  <c r="AR45" i="66"/>
  <c r="AR44" i="66"/>
  <c r="AR43" i="66"/>
  <c r="AR42" i="66"/>
  <c r="AR41" i="66"/>
  <c r="AR40" i="66"/>
  <c r="AR39" i="66"/>
  <c r="AR38" i="66"/>
  <c r="AR37" i="66"/>
  <c r="AR36" i="66"/>
  <c r="AR35" i="66"/>
  <c r="AR34" i="66"/>
  <c r="AR33" i="66"/>
  <c r="AR32" i="66"/>
  <c r="AR31" i="66"/>
  <c r="AR30" i="66"/>
  <c r="AR29" i="66"/>
  <c r="AR28" i="66"/>
  <c r="AR27" i="66"/>
  <c r="AR26" i="66"/>
  <c r="AR25" i="66"/>
  <c r="AR24" i="66"/>
  <c r="AR23" i="66"/>
  <c r="AR22" i="66"/>
  <c r="AR21" i="66"/>
  <c r="AR20" i="66"/>
  <c r="AR19" i="66"/>
  <c r="V65" i="66" l="1"/>
  <c r="V64" i="66"/>
  <c r="V63" i="66"/>
  <c r="V62" i="66"/>
  <c r="V61" i="66"/>
  <c r="V60" i="66"/>
  <c r="V59" i="66"/>
  <c r="V58" i="66"/>
  <c r="V57" i="66"/>
  <c r="V56" i="66"/>
  <c r="V55" i="66"/>
  <c r="V54" i="66"/>
  <c r="V53" i="66"/>
  <c r="V52" i="66"/>
  <c r="V51" i="66"/>
  <c r="V50" i="66"/>
  <c r="V49" i="66"/>
  <c r="V48" i="66"/>
  <c r="V47" i="66"/>
  <c r="V46" i="66"/>
  <c r="V45" i="66"/>
  <c r="V44" i="66"/>
  <c r="V43" i="66"/>
  <c r="V42" i="66"/>
  <c r="V41" i="66"/>
  <c r="V40" i="66"/>
  <c r="V39" i="66"/>
  <c r="V38" i="66"/>
  <c r="V37" i="66"/>
  <c r="V36" i="66"/>
  <c r="V35" i="66"/>
  <c r="V34" i="66"/>
  <c r="V33" i="66"/>
  <c r="V32" i="66"/>
  <c r="V31" i="66"/>
  <c r="V30" i="66"/>
  <c r="V29" i="66"/>
  <c r="V28" i="66"/>
  <c r="V27" i="66"/>
  <c r="V26" i="66"/>
  <c r="V25" i="66"/>
  <c r="V24" i="66"/>
  <c r="V23" i="66"/>
  <c r="V22" i="66"/>
  <c r="V21" i="66"/>
  <c r="V20" i="66"/>
  <c r="V19" i="66"/>
  <c r="S65" i="66"/>
  <c r="S64" i="66"/>
  <c r="S63" i="66"/>
  <c r="S62" i="66"/>
  <c r="S61" i="66"/>
  <c r="S60" i="66"/>
  <c r="S59" i="66"/>
  <c r="S58" i="66"/>
  <c r="S57" i="66"/>
  <c r="S56" i="66"/>
  <c r="S55" i="66"/>
  <c r="S54" i="66"/>
  <c r="S53" i="66"/>
  <c r="S52" i="66"/>
  <c r="S51" i="66"/>
  <c r="S50" i="66"/>
  <c r="S49" i="66"/>
  <c r="S48" i="66"/>
  <c r="S47" i="66"/>
  <c r="S46" i="66"/>
  <c r="S45" i="66"/>
  <c r="S44" i="66"/>
  <c r="S43" i="66"/>
  <c r="S42" i="66"/>
  <c r="S41" i="66"/>
  <c r="S40" i="66"/>
  <c r="S39" i="66"/>
  <c r="S38" i="66"/>
  <c r="S37" i="66"/>
  <c r="S36" i="66"/>
  <c r="S35" i="66"/>
  <c r="S34" i="66"/>
  <c r="S33" i="66"/>
  <c r="S32" i="66"/>
  <c r="S31" i="66"/>
  <c r="S30" i="66"/>
  <c r="S29" i="66"/>
  <c r="S28" i="66"/>
  <c r="S27" i="66"/>
  <c r="S26" i="66"/>
  <c r="S25" i="66"/>
  <c r="S24" i="66"/>
  <c r="S23" i="66"/>
  <c r="S22" i="66"/>
  <c r="S21" i="66"/>
  <c r="S20" i="66"/>
  <c r="S19" i="66"/>
  <c r="P65" i="66"/>
  <c r="P64" i="66"/>
  <c r="P63" i="66"/>
  <c r="P62" i="66"/>
  <c r="P61" i="66"/>
  <c r="P60" i="66"/>
  <c r="P59" i="66"/>
  <c r="P58" i="66"/>
  <c r="P57" i="66"/>
  <c r="P56" i="66"/>
  <c r="P55" i="66"/>
  <c r="P54" i="66"/>
  <c r="P53" i="66"/>
  <c r="P52" i="66"/>
  <c r="P51" i="66"/>
  <c r="P50" i="66"/>
  <c r="P49" i="66"/>
  <c r="P48" i="66"/>
  <c r="P47" i="66"/>
  <c r="P46" i="66"/>
  <c r="P45" i="66"/>
  <c r="P44" i="66"/>
  <c r="P43" i="66"/>
  <c r="P42" i="66"/>
  <c r="P41" i="66"/>
  <c r="P40" i="66"/>
  <c r="P39" i="66"/>
  <c r="P38" i="66"/>
  <c r="P37" i="66"/>
  <c r="P36" i="66"/>
  <c r="P35" i="66"/>
  <c r="P34" i="66"/>
  <c r="P33" i="66"/>
  <c r="P32" i="66"/>
  <c r="P31" i="66"/>
  <c r="P30" i="66"/>
  <c r="P29" i="66"/>
  <c r="P28" i="66"/>
  <c r="P27" i="66"/>
  <c r="P26" i="66"/>
  <c r="P25" i="66"/>
  <c r="P24" i="66"/>
  <c r="P23" i="66"/>
  <c r="P22" i="66"/>
  <c r="P21" i="66"/>
  <c r="P20" i="66"/>
  <c r="P19" i="66"/>
  <c r="K15" i="66" l="1" a="1"/>
  <c r="J15" i="66" a="1"/>
  <c r="I15" i="66" a="1"/>
  <c r="H15" i="66" a="1"/>
  <c r="H15" i="66" s="1"/>
  <c r="G15" i="66" a="1"/>
  <c r="F15" i="66" a="1"/>
  <c r="E15" i="66" a="1"/>
  <c r="E15" i="66" s="1"/>
  <c r="D15" i="66" a="1"/>
  <c r="C15" i="66" a="1"/>
  <c r="K15" i="28" a="1"/>
  <c r="J15" i="28" a="1"/>
  <c r="J15" i="28" s="1"/>
  <c r="I15" i="28" a="1"/>
  <c r="I15" i="28" s="1"/>
  <c r="H15" i="28" a="1"/>
  <c r="H15" i="28" s="1"/>
  <c r="G15" i="28" a="1"/>
  <c r="G15" i="28" s="1"/>
  <c r="F15" i="28" a="1"/>
  <c r="F15" i="28" s="1"/>
  <c r="E15" i="28" a="1"/>
  <c r="E15" i="28" s="1"/>
  <c r="D15" i="28" a="1"/>
  <c r="D15" i="28" s="1"/>
  <c r="M65" i="66"/>
  <c r="M64" i="66"/>
  <c r="M63" i="66"/>
  <c r="M62" i="66"/>
  <c r="M61" i="66"/>
  <c r="M60" i="66"/>
  <c r="M59" i="66"/>
  <c r="M58" i="66"/>
  <c r="M57" i="66"/>
  <c r="M56" i="66"/>
  <c r="M55" i="66"/>
  <c r="M54" i="66"/>
  <c r="M53" i="66"/>
  <c r="M52" i="66"/>
  <c r="M51" i="66"/>
  <c r="M50" i="66"/>
  <c r="M49" i="66"/>
  <c r="M48" i="66"/>
  <c r="M47" i="66"/>
  <c r="M46" i="66"/>
  <c r="M45" i="66"/>
  <c r="M44" i="66"/>
  <c r="M43" i="66"/>
  <c r="M42" i="66"/>
  <c r="M41" i="66"/>
  <c r="M40" i="66"/>
  <c r="M39" i="66"/>
  <c r="M38" i="66"/>
  <c r="M37" i="66"/>
  <c r="M36" i="66"/>
  <c r="M35" i="66"/>
  <c r="M34" i="66"/>
  <c r="M33" i="66"/>
  <c r="M32" i="66"/>
  <c r="M31" i="66"/>
  <c r="M30" i="66"/>
  <c r="M29" i="66"/>
  <c r="M28" i="66"/>
  <c r="M27" i="66"/>
  <c r="M26" i="66"/>
  <c r="M25" i="66"/>
  <c r="M24" i="66"/>
  <c r="M23" i="66"/>
  <c r="M22" i="66"/>
  <c r="M21" i="66"/>
  <c r="M20" i="66"/>
  <c r="M19" i="66"/>
  <c r="J211" i="40"/>
  <c r="J210" i="40"/>
  <c r="J209" i="40"/>
  <c r="J208" i="40"/>
  <c r="J207" i="40"/>
  <c r="J206" i="40"/>
  <c r="J205" i="40"/>
  <c r="J204" i="40"/>
  <c r="J203" i="40"/>
  <c r="J202" i="40"/>
  <c r="J201" i="40"/>
  <c r="J200" i="40"/>
  <c r="J199" i="40"/>
  <c r="J198" i="40"/>
  <c r="J197" i="40"/>
  <c r="J196" i="40"/>
  <c r="J195" i="40"/>
  <c r="J194" i="40"/>
  <c r="J193" i="40"/>
  <c r="J192" i="40"/>
  <c r="J191" i="40"/>
  <c r="J190" i="40"/>
  <c r="J189" i="40"/>
  <c r="J188" i="40"/>
  <c r="J187" i="40"/>
  <c r="J186" i="40"/>
  <c r="J185" i="40"/>
  <c r="J184" i="40"/>
  <c r="J183" i="40"/>
  <c r="J182" i="40"/>
  <c r="J181" i="40"/>
  <c r="J180" i="40"/>
  <c r="J179" i="40"/>
  <c r="J178" i="40"/>
  <c r="J177" i="40"/>
  <c r="J176" i="40"/>
  <c r="J175" i="40"/>
  <c r="J174" i="40"/>
  <c r="J173" i="40"/>
  <c r="J172" i="40"/>
  <c r="J171" i="40"/>
  <c r="J170" i="40"/>
  <c r="J169" i="40"/>
  <c r="J168" i="40"/>
  <c r="J167" i="40"/>
  <c r="J166" i="40"/>
  <c r="J165" i="40"/>
  <c r="J164" i="40"/>
  <c r="J163" i="40"/>
  <c r="J162" i="40"/>
  <c r="J161" i="40"/>
  <c r="J160" i="40"/>
  <c r="J159" i="40"/>
  <c r="J158" i="40"/>
  <c r="J157" i="40"/>
  <c r="J156" i="40"/>
  <c r="J155" i="40"/>
  <c r="J154" i="40"/>
  <c r="J153" i="40"/>
  <c r="J152" i="40"/>
  <c r="J151" i="40"/>
  <c r="J150" i="40"/>
  <c r="J149" i="40"/>
  <c r="J148" i="40"/>
  <c r="J147" i="40"/>
  <c r="J146" i="40"/>
  <c r="J145" i="40"/>
  <c r="J144" i="40"/>
  <c r="D144" i="40" a="1"/>
  <c r="D144" i="40" s="1"/>
  <c r="D145" i="40" a="1"/>
  <c r="D145" i="40" s="1"/>
  <c r="D146" i="40" a="1"/>
  <c r="D146" i="40" s="1"/>
  <c r="D147" i="40" a="1"/>
  <c r="D147" i="40" s="1"/>
  <c r="D148" i="40" a="1"/>
  <c r="D148" i="40" s="1"/>
  <c r="D149" i="40" a="1"/>
  <c r="D149" i="40" s="1"/>
  <c r="D150" i="40" a="1"/>
  <c r="D150" i="40" s="1"/>
  <c r="D151" i="40" a="1"/>
  <c r="D151" i="40" s="1"/>
  <c r="D152" i="40" a="1"/>
  <c r="D152" i="40" s="1"/>
  <c r="D153" i="40" a="1"/>
  <c r="D153" i="40" s="1"/>
  <c r="D154" i="40" a="1"/>
  <c r="D154" i="40" s="1"/>
  <c r="D155" i="40" a="1"/>
  <c r="D155" i="40" s="1"/>
  <c r="D156" i="40" a="1"/>
  <c r="D156" i="40" s="1"/>
  <c r="D157" i="40" a="1"/>
  <c r="D157" i="40" s="1"/>
  <c r="D158" i="40" a="1"/>
  <c r="D158" i="40" s="1"/>
  <c r="D159" i="40" a="1"/>
  <c r="D159" i="40" s="1"/>
  <c r="D160" i="40" a="1"/>
  <c r="D160" i="40" s="1"/>
  <c r="D161" i="40" a="1"/>
  <c r="D161" i="40" s="1"/>
  <c r="D162" i="40" a="1"/>
  <c r="D162" i="40" s="1"/>
  <c r="D163" i="40" a="1"/>
  <c r="D163" i="40" s="1"/>
  <c r="D164" i="40" a="1"/>
  <c r="D164" i="40" s="1"/>
  <c r="D165" i="40" a="1"/>
  <c r="D165" i="40" s="1"/>
  <c r="D166" i="40" a="1"/>
  <c r="D166" i="40" s="1"/>
  <c r="D167" i="40" a="1"/>
  <c r="D167" i="40" s="1"/>
  <c r="D168" i="40" a="1"/>
  <c r="D168" i="40" s="1"/>
  <c r="D169" i="40" a="1"/>
  <c r="D169" i="40" s="1"/>
  <c r="D170" i="40" a="1"/>
  <c r="D170" i="40" s="1"/>
  <c r="J76" i="40"/>
  <c r="J77" i="40"/>
  <c r="J78" i="40"/>
  <c r="J79" i="40"/>
  <c r="J80" i="40"/>
  <c r="J81" i="40"/>
  <c r="J82" i="40"/>
  <c r="J83" i="40"/>
  <c r="J84" i="40"/>
  <c r="J85" i="40"/>
  <c r="J86" i="40"/>
  <c r="J87" i="40"/>
  <c r="J88" i="40"/>
  <c r="J89" i="40"/>
  <c r="J90" i="40"/>
  <c r="J91" i="40"/>
  <c r="J92" i="40"/>
  <c r="J93" i="40"/>
  <c r="J94" i="40"/>
  <c r="J95" i="40"/>
  <c r="J96" i="40"/>
  <c r="J97" i="40"/>
  <c r="J98" i="40"/>
  <c r="J99" i="40"/>
  <c r="J100" i="40"/>
  <c r="J101" i="40"/>
  <c r="J102" i="40"/>
  <c r="J103" i="40"/>
  <c r="J104" i="40"/>
  <c r="J105" i="40"/>
  <c r="J106" i="40"/>
  <c r="J107" i="40"/>
  <c r="J108" i="40"/>
  <c r="J109" i="40"/>
  <c r="J110" i="40"/>
  <c r="J111" i="40"/>
  <c r="J112" i="40"/>
  <c r="J113" i="40"/>
  <c r="J114" i="40"/>
  <c r="J115" i="40"/>
  <c r="J116" i="40"/>
  <c r="J117" i="40"/>
  <c r="J118" i="40"/>
  <c r="J21" i="40"/>
  <c r="J22" i="40"/>
  <c r="J23" i="40"/>
  <c r="J24" i="40"/>
  <c r="J25" i="40"/>
  <c r="J26" i="40"/>
  <c r="J27" i="40"/>
  <c r="J28" i="40"/>
  <c r="J29" i="40"/>
  <c r="J30" i="40"/>
  <c r="J31" i="40"/>
  <c r="J32" i="40"/>
  <c r="J33" i="40"/>
  <c r="J34" i="40"/>
  <c r="J35" i="40"/>
  <c r="J36" i="40"/>
  <c r="J37" i="40"/>
  <c r="J38" i="40"/>
  <c r="J39" i="40"/>
  <c r="J40" i="40"/>
  <c r="J41" i="40"/>
  <c r="J42" i="40"/>
  <c r="J43" i="40"/>
  <c r="J44" i="40"/>
  <c r="J45" i="40"/>
  <c r="J46" i="40"/>
  <c r="J47" i="40"/>
  <c r="J48" i="40"/>
  <c r="J49" i="40"/>
  <c r="J50" i="40"/>
  <c r="J51" i="40"/>
  <c r="J52" i="40"/>
  <c r="J53" i="40"/>
  <c r="J54" i="40"/>
  <c r="J55" i="40"/>
  <c r="J56" i="40"/>
  <c r="J57" i="40"/>
  <c r="J58" i="40"/>
  <c r="J59" i="40"/>
  <c r="J60" i="40"/>
  <c r="J61" i="40"/>
  <c r="J62" i="40"/>
  <c r="J63" i="40"/>
  <c r="J64" i="40"/>
  <c r="J65" i="40"/>
  <c r="J66" i="40"/>
  <c r="BF27" i="36"/>
  <c r="BF28" i="36"/>
  <c r="BF29" i="36"/>
  <c r="BF30" i="36"/>
  <c r="BF31" i="36"/>
  <c r="BF32" i="36"/>
  <c r="BF33" i="36"/>
  <c r="BF34" i="36"/>
  <c r="BF35" i="36"/>
  <c r="BF36" i="36"/>
  <c r="BF37" i="36"/>
  <c r="BF38" i="36"/>
  <c r="BF39" i="36"/>
  <c r="BF40" i="36"/>
  <c r="BF41" i="36"/>
  <c r="BF42" i="36"/>
  <c r="BF43" i="36"/>
  <c r="BF44" i="36"/>
  <c r="BF45" i="36"/>
  <c r="BF46" i="36"/>
  <c r="BF47" i="36"/>
  <c r="BF48" i="36"/>
  <c r="BF49" i="36"/>
  <c r="BF50" i="36"/>
  <c r="BF51" i="36"/>
  <c r="BF52" i="36"/>
  <c r="BF53" i="36"/>
  <c r="BF54" i="36"/>
  <c r="BF55" i="36"/>
  <c r="BF56" i="36"/>
  <c r="BF57" i="36"/>
  <c r="BF58" i="36"/>
  <c r="BF59" i="36"/>
  <c r="BF60" i="36"/>
  <c r="BF61" i="36"/>
  <c r="BF62" i="36"/>
  <c r="BF63" i="36"/>
  <c r="BF64" i="36"/>
  <c r="BF65" i="36"/>
  <c r="BD27" i="36"/>
  <c r="BD28" i="36"/>
  <c r="BD29" i="36"/>
  <c r="BD30" i="36"/>
  <c r="BD31" i="36"/>
  <c r="BD32" i="36"/>
  <c r="BD33" i="36"/>
  <c r="BD34" i="36"/>
  <c r="BD35" i="36"/>
  <c r="BD36" i="36"/>
  <c r="BD37" i="36"/>
  <c r="BD38" i="36"/>
  <c r="BD39" i="36"/>
  <c r="BD40" i="36"/>
  <c r="BD41" i="36"/>
  <c r="BD42" i="36"/>
  <c r="BD43" i="36"/>
  <c r="BD44" i="36"/>
  <c r="BD45" i="36"/>
  <c r="BD46" i="36"/>
  <c r="BD47" i="36"/>
  <c r="BD48" i="36"/>
  <c r="BD49" i="36"/>
  <c r="BD50" i="36"/>
  <c r="BD51" i="36"/>
  <c r="BD52" i="36"/>
  <c r="BD53" i="36"/>
  <c r="BD54" i="36"/>
  <c r="BD55" i="36"/>
  <c r="BD56" i="36"/>
  <c r="BD57" i="36"/>
  <c r="BD58" i="36"/>
  <c r="BD59" i="36"/>
  <c r="BD60" i="36"/>
  <c r="BD61" i="36"/>
  <c r="BD62" i="36"/>
  <c r="BD63" i="36"/>
  <c r="BD64" i="36"/>
  <c r="BD65" i="36"/>
  <c r="K15" i="28" l="1"/>
  <c r="BJ22" i="28"/>
  <c r="BJ21" i="28"/>
  <c r="BJ18" i="28"/>
  <c r="BJ20" i="28"/>
  <c r="BJ19" i="28"/>
  <c r="BJ24" i="28"/>
  <c r="BJ17" i="28"/>
  <c r="BJ16" i="28"/>
  <c r="BJ26" i="28"/>
  <c r="BJ25" i="28"/>
  <c r="BJ23" i="28"/>
  <c r="BG15" i="28"/>
  <c r="BJ15" i="28"/>
  <c r="Z15" i="28"/>
  <c r="X15" i="28"/>
  <c r="Y15" i="28" a="1"/>
  <c r="Y15" i="28" s="1"/>
  <c r="V15" i="28"/>
  <c r="W15" i="28" s="1" a="1"/>
  <c r="W15" i="28" s="1"/>
  <c r="S15" i="28" a="1"/>
  <c r="S15" i="28" s="1"/>
  <c r="T15" i="28" s="1"/>
  <c r="AW15" i="28"/>
  <c r="O15" i="28"/>
  <c r="AT15" i="28"/>
  <c r="BK15" i="28"/>
  <c r="BI15" i="28"/>
  <c r="BF17" i="66"/>
  <c r="BF16" i="66"/>
  <c r="BF18" i="66"/>
  <c r="BJ18" i="66"/>
  <c r="BJ17" i="66"/>
  <c r="BJ16" i="66"/>
  <c r="BH18" i="66"/>
  <c r="BH17" i="66"/>
  <c r="BH16" i="66"/>
  <c r="AF16" i="66"/>
  <c r="AF17" i="66"/>
  <c r="AF18" i="66"/>
  <c r="J15" i="66"/>
  <c r="AD18" i="66"/>
  <c r="AD17" i="66"/>
  <c r="AD16" i="66"/>
  <c r="M18" i="66"/>
  <c r="AH18" i="66"/>
  <c r="AI18" i="66"/>
  <c r="AH16" i="66"/>
  <c r="AH17" i="66"/>
  <c r="AI17" i="66"/>
  <c r="AI16" i="66"/>
  <c r="BA17" i="66"/>
  <c r="AX17" i="66"/>
  <c r="BA16" i="66"/>
  <c r="AX18" i="66"/>
  <c r="U18" i="66"/>
  <c r="AL18" i="66"/>
  <c r="AL17" i="66"/>
  <c r="BD17" i="66"/>
  <c r="AL16" i="66"/>
  <c r="AX16" i="66"/>
  <c r="AO18" i="66"/>
  <c r="AO17" i="66"/>
  <c r="BA18" i="66"/>
  <c r="AO16" i="66"/>
  <c r="BD18" i="66"/>
  <c r="BD16" i="66"/>
  <c r="AZ18" i="66"/>
  <c r="AN18" i="66"/>
  <c r="AT18" i="66" s="1"/>
  <c r="AR18" i="66"/>
  <c r="Y18" i="66"/>
  <c r="AB18" i="66"/>
  <c r="BC18" i="66"/>
  <c r="AQ18" i="66"/>
  <c r="AA18" i="66"/>
  <c r="AW18" i="66"/>
  <c r="AK18" i="66"/>
  <c r="R18" i="66"/>
  <c r="O18" i="66"/>
  <c r="AU18" i="66"/>
  <c r="X18" i="66"/>
  <c r="V18" i="66"/>
  <c r="S18" i="66"/>
  <c r="P18" i="66"/>
  <c r="M17" i="66"/>
  <c r="U17" i="66"/>
  <c r="U16" i="66"/>
  <c r="AK17" i="66"/>
  <c r="AR17" i="66"/>
  <c r="AZ17" i="66"/>
  <c r="Y17" i="66"/>
  <c r="AQ17" i="66"/>
  <c r="AN17" i="66"/>
  <c r="AT17" i="66" s="1"/>
  <c r="AU17" i="66"/>
  <c r="BC17" i="66"/>
  <c r="AB17" i="66"/>
  <c r="AW17" i="66"/>
  <c r="V17" i="66"/>
  <c r="S17" i="66"/>
  <c r="P17" i="66"/>
  <c r="K15" i="66"/>
  <c r="AA17" i="66"/>
  <c r="X17" i="66"/>
  <c r="R17" i="66"/>
  <c r="O17" i="66"/>
  <c r="BC16" i="66"/>
  <c r="AW16" i="66"/>
  <c r="AZ16" i="66"/>
  <c r="AQ16" i="66"/>
  <c r="AN16" i="66"/>
  <c r="AT16" i="66" s="1"/>
  <c r="AK16" i="66"/>
  <c r="G15" i="66"/>
  <c r="Y16" i="66"/>
  <c r="AB16" i="66"/>
  <c r="X16" i="66"/>
  <c r="AA16" i="66"/>
  <c r="I15" i="66"/>
  <c r="F15" i="66"/>
  <c r="O16" i="66"/>
  <c r="R16" i="66"/>
  <c r="C15" i="66"/>
  <c r="AR16" i="66"/>
  <c r="AU16" i="66"/>
  <c r="D15" i="66"/>
  <c r="G1270" i="29" s="1" a="1"/>
  <c r="S16" i="66"/>
  <c r="P16" i="66"/>
  <c r="V16" i="66"/>
  <c r="M16" i="66"/>
  <c r="D565" i="47" l="1" a="1"/>
  <c r="D565" i="47" s="1"/>
  <c r="D257" i="47" a="1"/>
  <c r="D257" i="47" s="1"/>
  <c r="D560" i="47" a="1"/>
  <c r="D560" i="47" s="1"/>
  <c r="D308" i="47" a="1"/>
  <c r="D308" i="47" s="1"/>
  <c r="D144" i="47" a="1"/>
  <c r="D144" i="47" s="1"/>
  <c r="D456" i="47" a="1"/>
  <c r="D456" i="47" s="1"/>
  <c r="D93" i="47" a="1"/>
  <c r="D93" i="47" s="1"/>
  <c r="D815" i="47" a="1"/>
  <c r="D815" i="47" s="1"/>
  <c r="D139" i="47" a="1"/>
  <c r="D139" i="47" s="1"/>
  <c r="D345" i="47" a="1"/>
  <c r="D345" i="47" s="1"/>
  <c r="D92" i="47" a="1"/>
  <c r="D92" i="47" s="1"/>
  <c r="D148" i="47" a="1"/>
  <c r="D148" i="47" s="1"/>
  <c r="D283" i="47" a="1"/>
  <c r="D283" i="47" s="1"/>
  <c r="D434" i="47" a="1"/>
  <c r="D434" i="47" s="1"/>
  <c r="D324" i="47" a="1"/>
  <c r="D324" i="47" s="1"/>
  <c r="D247" i="47" a="1"/>
  <c r="D247" i="47" s="1"/>
  <c r="D259" i="47" a="1"/>
  <c r="D259" i="47" s="1"/>
  <c r="D500" i="47" a="1"/>
  <c r="D500" i="47" s="1"/>
  <c r="D129" i="47" a="1"/>
  <c r="D129" i="47" s="1"/>
  <c r="D483" i="47" a="1"/>
  <c r="D483" i="47" s="1"/>
  <c r="D159" i="47" a="1"/>
  <c r="D159" i="47" s="1"/>
  <c r="D89" i="47" a="1"/>
  <c r="D89" i="47" s="1"/>
  <c r="D495" i="47" a="1"/>
  <c r="D495" i="47" s="1"/>
  <c r="D809" i="47" a="1"/>
  <c r="D809" i="47" s="1"/>
  <c r="D1011" i="47" a="1"/>
  <c r="D1011" i="47" s="1"/>
  <c r="D604" i="47" a="1"/>
  <c r="D604" i="47" s="1"/>
  <c r="D853" i="47" a="1"/>
  <c r="D853" i="47" s="1"/>
  <c r="D980" i="47" a="1"/>
  <c r="D980" i="47" s="1"/>
  <c r="D157" i="47" a="1"/>
  <c r="D157" i="47" s="1"/>
  <c r="D233" i="47" a="1"/>
  <c r="D233" i="47" s="1"/>
  <c r="D337" i="47" a="1"/>
  <c r="D337" i="47" s="1"/>
  <c r="D411" i="47" a="1"/>
  <c r="D411" i="47" s="1"/>
  <c r="D506" i="47" a="1"/>
  <c r="D506" i="47" s="1"/>
  <c r="D641" i="47" a="1"/>
  <c r="D641" i="47" s="1"/>
  <c r="D911" i="47" a="1"/>
  <c r="D911" i="47" s="1"/>
  <c r="D1103" i="47" a="1"/>
  <c r="D1103" i="47" s="1"/>
  <c r="D579" i="47" a="1"/>
  <c r="D579" i="47" s="1"/>
  <c r="D753" i="47" a="1"/>
  <c r="D753" i="47" s="1"/>
  <c r="D1034" i="47" a="1"/>
  <c r="D1034" i="47" s="1"/>
  <c r="D357" i="47" a="1"/>
  <c r="D357" i="47" s="1"/>
  <c r="D480" i="47" a="1"/>
  <c r="D480" i="47" s="1"/>
  <c r="D600" i="47" a="1"/>
  <c r="D600" i="47" s="1"/>
  <c r="D1012" i="47" a="1"/>
  <c r="D1012" i="47" s="1"/>
  <c r="D743" i="47" a="1"/>
  <c r="D743" i="47" s="1"/>
  <c r="D1175" i="47" a="1"/>
  <c r="D1175" i="47" s="1"/>
  <c r="D702" i="47" a="1"/>
  <c r="D702" i="47" s="1"/>
  <c r="D841" i="47" a="1"/>
  <c r="D841" i="47" s="1"/>
  <c r="D540" i="47" a="1"/>
  <c r="D540" i="47" s="1"/>
  <c r="D143" i="47" a="1"/>
  <c r="D143" i="47" s="1"/>
  <c r="D523" i="47" a="1"/>
  <c r="D523" i="47" s="1"/>
  <c r="D817" i="47" a="1"/>
  <c r="D817" i="47" s="1"/>
  <c r="D1131" i="47" a="1"/>
  <c r="D1131" i="47" s="1"/>
  <c r="D191" i="47" a="1"/>
  <c r="D191" i="47" s="1"/>
  <c r="D361" i="47" a="1"/>
  <c r="D361" i="47" s="1"/>
  <c r="D724" i="47" a="1"/>
  <c r="D724" i="47" s="1"/>
  <c r="D952" i="47" a="1"/>
  <c r="D952" i="47" s="1"/>
  <c r="D803" i="47" a="1"/>
  <c r="D803" i="47" s="1"/>
  <c r="D1150" i="47" a="1"/>
  <c r="D1150" i="47" s="1"/>
  <c r="D454" i="47" a="1"/>
  <c r="D454" i="47" s="1"/>
  <c r="D76" i="47" a="1"/>
  <c r="D76" i="47" s="1"/>
  <c r="D186" i="47" a="1"/>
  <c r="D186" i="47" s="1"/>
  <c r="D339" i="47" a="1"/>
  <c r="D339" i="47" s="1"/>
  <c r="D398" i="47" a="1"/>
  <c r="D398" i="47" s="1"/>
  <c r="D619" i="47" a="1"/>
  <c r="D619" i="47" s="1"/>
  <c r="D696" i="47" a="1"/>
  <c r="D696" i="47" s="1"/>
  <c r="D831" i="47" a="1"/>
  <c r="D831" i="47" s="1"/>
  <c r="D883" i="47" a="1"/>
  <c r="D883" i="47" s="1"/>
  <c r="D1063" i="47" a="1"/>
  <c r="D1063" i="47" s="1"/>
  <c r="D1262" i="47" a="1"/>
  <c r="D1262" i="47" s="1"/>
  <c r="D1153" i="47" a="1"/>
  <c r="D1153" i="47" s="1"/>
  <c r="D1165" i="47" a="1"/>
  <c r="D1165" i="47" s="1"/>
  <c r="D682" i="47" a="1"/>
  <c r="D682" i="47" s="1"/>
  <c r="D763" i="47" a="1"/>
  <c r="D763" i="47" s="1"/>
  <c r="D881" i="47" a="1"/>
  <c r="D881" i="47" s="1"/>
  <c r="D1108" i="47" a="1"/>
  <c r="D1108" i="47" s="1"/>
  <c r="D1213" i="47" a="1"/>
  <c r="D1213" i="47" s="1"/>
  <c r="D1188" i="47" a="1"/>
  <c r="D1188" i="47" s="1"/>
  <c r="D692" i="47" a="1"/>
  <c r="D692" i="47" s="1"/>
  <c r="D851" i="47" a="1"/>
  <c r="D851" i="47" s="1"/>
  <c r="D997" i="47" a="1"/>
  <c r="D997" i="47" s="1"/>
  <c r="D1144" i="47" a="1"/>
  <c r="D1144" i="47" s="1"/>
  <c r="D1336" i="47" a="1"/>
  <c r="D1336" i="47" s="1"/>
  <c r="D1109" i="47" a="1"/>
  <c r="D1109" i="47" s="1"/>
  <c r="D1157" i="47" a="1"/>
  <c r="D1157" i="47" s="1"/>
  <c r="D796" i="47" a="1"/>
  <c r="D796" i="47" s="1"/>
  <c r="D887" i="47" a="1"/>
  <c r="D887" i="47" s="1"/>
  <c r="D990" i="47" a="1"/>
  <c r="D990" i="47" s="1"/>
  <c r="D1145" i="47" a="1"/>
  <c r="D1145" i="47" s="1"/>
  <c r="D1292" i="47" a="1"/>
  <c r="D1292" i="47" s="1"/>
  <c r="D1896" i="47" a="1"/>
  <c r="D1896" i="47" s="1"/>
  <c r="D791" i="47" a="1"/>
  <c r="D791" i="47" s="1"/>
  <c r="D901" i="47" a="1"/>
  <c r="D901" i="47" s="1"/>
  <c r="D1000" i="47" a="1"/>
  <c r="D1000" i="47" s="1"/>
  <c r="D1121" i="47" a="1"/>
  <c r="D1121" i="47" s="1"/>
  <c r="D1255" i="47" a="1"/>
  <c r="D1255" i="47" s="1"/>
  <c r="D1363" i="47" a="1"/>
  <c r="D1363" i="47" s="1"/>
  <c r="D1493" i="47" a="1"/>
  <c r="D1493" i="47" s="1"/>
  <c r="D1356" i="47" a="1"/>
  <c r="D1356" i="47" s="1"/>
  <c r="D1483" i="47" a="1"/>
  <c r="D1483" i="47" s="1"/>
  <c r="D1629" i="47" a="1"/>
  <c r="D1629" i="47" s="1"/>
  <c r="D1410" i="47" a="1"/>
  <c r="D1410" i="47" s="1"/>
  <c r="D943" i="47" a="1"/>
  <c r="D943" i="47" s="1"/>
  <c r="D1093" i="47" a="1"/>
  <c r="D1093" i="47" s="1"/>
  <c r="D1236" i="47" a="1"/>
  <c r="D1236" i="47" s="1"/>
  <c r="D1384" i="47" a="1"/>
  <c r="D1384" i="47" s="1"/>
  <c r="D1549" i="47" a="1"/>
  <c r="D1549" i="47" s="1"/>
  <c r="D1439" i="47" a="1"/>
  <c r="D1439" i="47" s="1"/>
  <c r="D644" i="47" a="1"/>
  <c r="D644" i="47" s="1"/>
  <c r="D784" i="47" a="1"/>
  <c r="D784" i="47" s="1"/>
  <c r="D896" i="47" a="1"/>
  <c r="D896" i="47" s="1"/>
  <c r="D1039" i="47" a="1"/>
  <c r="D1039" i="47" s="1"/>
  <c r="D1158" i="47" a="1"/>
  <c r="D1158" i="47" s="1"/>
  <c r="D1578" i="47" a="1"/>
  <c r="D1578" i="47" s="1"/>
  <c r="D1927" i="47" a="1"/>
  <c r="D1927" i="47" s="1"/>
  <c r="D1643" i="47" a="1"/>
  <c r="D1643" i="47" s="1"/>
  <c r="D212" i="47" a="1"/>
  <c r="D212" i="47" s="1"/>
  <c r="D260" i="47" a="1"/>
  <c r="D260" i="47" s="1"/>
  <c r="D583" i="47" a="1"/>
  <c r="D583" i="47" s="1"/>
  <c r="D152" i="47" a="1"/>
  <c r="D152" i="47" s="1"/>
  <c r="D459" i="47" a="1"/>
  <c r="D459" i="47" s="1"/>
  <c r="D163" i="47" a="1"/>
  <c r="D163" i="47" s="1"/>
  <c r="D142" i="47" a="1"/>
  <c r="D142" i="47" s="1"/>
  <c r="D387" i="47" a="1"/>
  <c r="D387" i="47" s="1"/>
  <c r="D82" i="47" a="1"/>
  <c r="D82" i="47" s="1"/>
  <c r="D467" i="47" a="1"/>
  <c r="D467" i="47" s="1"/>
  <c r="D288" i="47" a="1"/>
  <c r="D288" i="47" s="1"/>
  <c r="D328" i="47" a="1"/>
  <c r="D328" i="47" s="1"/>
  <c r="D250" i="47" a="1"/>
  <c r="D250" i="47" s="1"/>
  <c r="D299" i="47" a="1"/>
  <c r="D299" i="47" s="1"/>
  <c r="D535" i="47" a="1"/>
  <c r="D535" i="47" s="1"/>
  <c r="D181" i="47" a="1"/>
  <c r="D181" i="47" s="1"/>
  <c r="D242" i="47" a="1"/>
  <c r="D242" i="47" s="1"/>
  <c r="D509" i="47" a="1"/>
  <c r="D509" i="47" s="1"/>
  <c r="D818" i="47" a="1"/>
  <c r="D818" i="47" s="1"/>
  <c r="D1041" i="47" a="1"/>
  <c r="D1041" i="47" s="1"/>
  <c r="D449" i="47" a="1"/>
  <c r="D449" i="47" s="1"/>
  <c r="D645" i="47" a="1"/>
  <c r="D645" i="47" s="1"/>
  <c r="D858" i="47" a="1"/>
  <c r="D858" i="47" s="1"/>
  <c r="D988" i="47" a="1"/>
  <c r="D988" i="47" s="1"/>
  <c r="D508" i="47" a="1"/>
  <c r="D508" i="47" s="1"/>
  <c r="D162" i="47" a="1"/>
  <c r="D162" i="47" s="1"/>
  <c r="D430" i="47" a="1"/>
  <c r="D430" i="47" s="1"/>
  <c r="D511" i="47" a="1"/>
  <c r="D511" i="47" s="1"/>
  <c r="D643" i="47" a="1"/>
  <c r="D643" i="47" s="1"/>
  <c r="D932" i="47" a="1"/>
  <c r="D932" i="47" s="1"/>
  <c r="D588" i="47" a="1"/>
  <c r="D588" i="47" s="1"/>
  <c r="D758" i="47" a="1"/>
  <c r="D758" i="47" s="1"/>
  <c r="D1052" i="47" a="1"/>
  <c r="D1052" i="47" s="1"/>
  <c r="D360" i="47" a="1"/>
  <c r="D360" i="47" s="1"/>
  <c r="D607" i="47" a="1"/>
  <c r="D607" i="47" s="1"/>
  <c r="D838" i="47" a="1"/>
  <c r="D838" i="47" s="1"/>
  <c r="D1037" i="47" a="1"/>
  <c r="D1037" i="47" s="1"/>
  <c r="D785" i="47" a="1"/>
  <c r="D785" i="47" s="1"/>
  <c r="D1217" i="47" a="1"/>
  <c r="D1217" i="47" s="1"/>
  <c r="D712" i="47" a="1"/>
  <c r="D712" i="47" s="1"/>
  <c r="D591" i="47" a="1"/>
  <c r="D591" i="47" s="1"/>
  <c r="D158" i="47" a="1"/>
  <c r="D158" i="47" s="1"/>
  <c r="D333" i="47" a="1"/>
  <c r="D333" i="47" s="1"/>
  <c r="D1134" i="47" a="1"/>
  <c r="D1134" i="47" s="1"/>
  <c r="D635" i="47" a="1"/>
  <c r="D635" i="47" s="1"/>
  <c r="D172" i="47" a="1"/>
  <c r="D172" i="47" s="1"/>
  <c r="D448" i="47" a="1"/>
  <c r="D448" i="47" s="1"/>
  <c r="D194" i="47" a="1"/>
  <c r="D194" i="47" s="1"/>
  <c r="D254" i="47" a="1"/>
  <c r="D254" i="47" s="1"/>
  <c r="D474" i="47" a="1"/>
  <c r="D474" i="47" s="1"/>
  <c r="D594" i="47" a="1"/>
  <c r="D594" i="47" s="1"/>
  <c r="D773" i="47" a="1"/>
  <c r="D773" i="47" s="1"/>
  <c r="D889" i="47" a="1"/>
  <c r="D889" i="47" s="1"/>
  <c r="D489" i="47" a="1"/>
  <c r="D489" i="47" s="1"/>
  <c r="D85" i="47" a="1"/>
  <c r="D85" i="47" s="1"/>
  <c r="D197" i="47" a="1"/>
  <c r="D197" i="47" s="1"/>
  <c r="D342" i="47" a="1"/>
  <c r="D342" i="47" s="1"/>
  <c r="D541" i="47" a="1"/>
  <c r="D541" i="47" s="1"/>
  <c r="D719" i="47" a="1"/>
  <c r="D719" i="47" s="1"/>
  <c r="D834" i="47" a="1"/>
  <c r="D834" i="47" s="1"/>
  <c r="D923" i="47" a="1"/>
  <c r="D923" i="47" s="1"/>
  <c r="D1279" i="47" a="1"/>
  <c r="D1279" i="47" s="1"/>
  <c r="D1200" i="47" a="1"/>
  <c r="D1200" i="47" s="1"/>
  <c r="D549" i="47" a="1"/>
  <c r="D549" i="47" s="1"/>
  <c r="D891" i="47" a="1"/>
  <c r="D891" i="47" s="1"/>
  <c r="D1113" i="47" a="1"/>
  <c r="D1113" i="47" s="1"/>
  <c r="D1234" i="47" a="1"/>
  <c r="D1234" i="47" s="1"/>
  <c r="D1242" i="47" a="1"/>
  <c r="D1242" i="47" s="1"/>
  <c r="D694" i="47" a="1"/>
  <c r="D694" i="47" s="1"/>
  <c r="D856" i="47" a="1"/>
  <c r="D856" i="47" s="1"/>
  <c r="D1003" i="47" a="1"/>
  <c r="D1003" i="47" s="1"/>
  <c r="D1149" i="47" a="1"/>
  <c r="D1149" i="47" s="1"/>
  <c r="D1350" i="47" a="1"/>
  <c r="D1350" i="47" s="1"/>
  <c r="D1126" i="47" a="1"/>
  <c r="D1126" i="47" s="1"/>
  <c r="D1256" i="47" a="1"/>
  <c r="D1256" i="47" s="1"/>
  <c r="D1194" i="47" a="1"/>
  <c r="D1194" i="47" s="1"/>
  <c r="D805" i="47" a="1"/>
  <c r="D805" i="47" s="1"/>
  <c r="D895" i="47" a="1"/>
  <c r="D895" i="47" s="1"/>
  <c r="D998" i="47" a="1"/>
  <c r="D998" i="47" s="1"/>
  <c r="D1152" i="47" a="1"/>
  <c r="D1152" i="47" s="1"/>
  <c r="D1297" i="47" a="1"/>
  <c r="D1297" i="47" s="1"/>
  <c r="D216" i="47" a="1"/>
  <c r="D216" i="47" s="1"/>
  <c r="D765" i="47" a="1"/>
  <c r="D765" i="47" s="1"/>
  <c r="D322" i="47" a="1"/>
  <c r="D322" i="47" s="1"/>
  <c r="D108" i="47" a="1"/>
  <c r="D108" i="47" s="1"/>
  <c r="D160" i="47" a="1"/>
  <c r="D160" i="47" s="1"/>
  <c r="D155" i="47" a="1"/>
  <c r="D155" i="47" s="1"/>
  <c r="D330" i="47" a="1"/>
  <c r="D330" i="47" s="1"/>
  <c r="D246" i="47" a="1"/>
  <c r="D246" i="47" s="1"/>
  <c r="D150" i="47" a="1"/>
  <c r="D150" i="47" s="1"/>
  <c r="D471" i="47" a="1"/>
  <c r="D471" i="47" s="1"/>
  <c r="D200" i="47" a="1"/>
  <c r="D200" i="47" s="1"/>
  <c r="D515" i="47" a="1"/>
  <c r="D515" i="47" s="1"/>
  <c r="D334" i="47" a="1"/>
  <c r="D334" i="47" s="1"/>
  <c r="D140" i="47" a="1"/>
  <c r="D140" i="47" s="1"/>
  <c r="D577" i="47" a="1"/>
  <c r="D577" i="47" s="1"/>
  <c r="D100" i="47" a="1"/>
  <c r="D100" i="47" s="1"/>
  <c r="D107" i="47" a="1"/>
  <c r="D107" i="47" s="1"/>
  <c r="D198" i="47" a="1"/>
  <c r="D198" i="47" s="1"/>
  <c r="D289" i="47" a="1"/>
  <c r="D289" i="47" s="1"/>
  <c r="D524" i="47" a="1"/>
  <c r="D524" i="47" s="1"/>
  <c r="D837" i="47" a="1"/>
  <c r="D837" i="47" s="1"/>
  <c r="D1054" i="47" a="1"/>
  <c r="D1054" i="47" s="1"/>
  <c r="D652" i="47" a="1"/>
  <c r="D652" i="47" s="1"/>
  <c r="D869" i="47" a="1"/>
  <c r="D869" i="47" s="1"/>
  <c r="D166" i="47" a="1"/>
  <c r="D166" i="47" s="1"/>
  <c r="D362" i="47" a="1"/>
  <c r="D362" i="47" s="1"/>
  <c r="D699" i="47" a="1"/>
  <c r="D699" i="47" s="1"/>
  <c r="D1205" i="47" a="1"/>
  <c r="D1205" i="47" s="1"/>
  <c r="D602" i="47" a="1"/>
  <c r="D602" i="47" s="1"/>
  <c r="D832" i="47" a="1"/>
  <c r="D832" i="47" s="1"/>
  <c r="D394" i="47" a="1"/>
  <c r="D394" i="47" s="1"/>
  <c r="D632" i="47" a="1"/>
  <c r="D632" i="47" s="1"/>
  <c r="D861" i="47" a="1"/>
  <c r="D861" i="47" s="1"/>
  <c r="D802" i="47" a="1"/>
  <c r="D802" i="47" s="1"/>
  <c r="D1220" i="47" a="1"/>
  <c r="D1220" i="47" s="1"/>
  <c r="D888" i="47" a="1"/>
  <c r="D888" i="47" s="1"/>
  <c r="D1065" i="47" a="1"/>
  <c r="D1065" i="47" s="1"/>
  <c r="D663" i="47" a="1"/>
  <c r="D663" i="47" s="1"/>
  <c r="D1226" i="47" a="1"/>
  <c r="D1226" i="47" s="1"/>
  <c r="D543" i="47" a="1"/>
  <c r="D543" i="47" s="1"/>
  <c r="D681" i="47" a="1"/>
  <c r="D681" i="47" s="1"/>
  <c r="D1192" i="47" a="1"/>
  <c r="D1192" i="47" s="1"/>
  <c r="D671" i="47" a="1"/>
  <c r="D671" i="47" s="1"/>
  <c r="D176" i="47" a="1"/>
  <c r="D176" i="47" s="1"/>
  <c r="D284" i="47" a="1"/>
  <c r="D284" i="47" s="1"/>
  <c r="D385" i="47" a="1"/>
  <c r="D385" i="47" s="1"/>
  <c r="D478" i="47" a="1"/>
  <c r="D478" i="47" s="1"/>
  <c r="D606" i="47" a="1"/>
  <c r="D606" i="47" s="1"/>
  <c r="D781" i="47" a="1"/>
  <c r="D781" i="47" s="1"/>
  <c r="D910" i="47" a="1"/>
  <c r="D910" i="47" s="1"/>
  <c r="D1237" i="47" a="1"/>
  <c r="D1237" i="47" s="1"/>
  <c r="D497" i="47" a="1"/>
  <c r="D497" i="47" s="1"/>
  <c r="D213" i="47" a="1"/>
  <c r="D213" i="47" s="1"/>
  <c r="D350" i="47" a="1"/>
  <c r="D350" i="47" s="1"/>
  <c r="D548" i="47" a="1"/>
  <c r="D548" i="47" s="1"/>
  <c r="D636" i="47" a="1"/>
  <c r="D636" i="47" s="1"/>
  <c r="D747" i="47" a="1"/>
  <c r="D747" i="47" s="1"/>
  <c r="D866" i="47" a="1"/>
  <c r="D866" i="47" s="1"/>
  <c r="D938" i="47" a="1"/>
  <c r="D938" i="47" s="1"/>
  <c r="D1077" i="47" a="1"/>
  <c r="D1077" i="47" s="1"/>
  <c r="D1290" i="47" a="1"/>
  <c r="D1290" i="47" s="1"/>
  <c r="D1224" i="47" a="1"/>
  <c r="D1224" i="47" s="1"/>
  <c r="D1018" i="47" a="1"/>
  <c r="D1018" i="47" s="1"/>
  <c r="D1190" i="47" a="1"/>
  <c r="D1190" i="47" s="1"/>
  <c r="D551" i="47" a="1"/>
  <c r="D551" i="47" s="1"/>
  <c r="D703" i="47" a="1"/>
  <c r="D703" i="47" s="1"/>
  <c r="D788" i="47" a="1"/>
  <c r="D788" i="47" s="1"/>
  <c r="D916" i="47" a="1"/>
  <c r="D916" i="47" s="1"/>
  <c r="D1125" i="47" a="1"/>
  <c r="D1125" i="47" s="1"/>
  <c r="D1266" i="47" a="1"/>
  <c r="D1266" i="47" s="1"/>
  <c r="D1245" i="47" a="1"/>
  <c r="D1245" i="47" s="1"/>
  <c r="D871" i="47" a="1"/>
  <c r="D871" i="47" s="1"/>
  <c r="D1181" i="47" a="1"/>
  <c r="D1181" i="47" s="1"/>
  <c r="D1360" i="47" a="1"/>
  <c r="D1360" i="47" s="1"/>
  <c r="D313" i="47" a="1"/>
  <c r="D313" i="47" s="1"/>
  <c r="D326" i="47" a="1"/>
  <c r="D326" i="47" s="1"/>
  <c r="D167" i="47" a="1"/>
  <c r="D167" i="47" s="1"/>
  <c r="D359" i="47" a="1"/>
  <c r="D359" i="47" s="1"/>
  <c r="D493" i="47" a="1"/>
  <c r="D493" i="47" s="1"/>
  <c r="D249" i="47" a="1"/>
  <c r="D249" i="47" s="1"/>
  <c r="D234" i="47" a="1"/>
  <c r="D234" i="47" s="1"/>
  <c r="D584" i="47" a="1"/>
  <c r="D584" i="47" s="1"/>
  <c r="D222" i="47" a="1"/>
  <c r="D222" i="47" s="1"/>
  <c r="D363" i="47" a="1"/>
  <c r="D363" i="47" s="1"/>
  <c r="D340" i="47" a="1"/>
  <c r="D340" i="47" s="1"/>
  <c r="D137" i="47" a="1"/>
  <c r="D137" i="47" s="1"/>
  <c r="D132" i="47" a="1"/>
  <c r="D132" i="47" s="1"/>
  <c r="D112" i="47" a="1"/>
  <c r="D112" i="47" s="1"/>
  <c r="D209" i="47" a="1"/>
  <c r="D209" i="47" s="1"/>
  <c r="D113" i="47" a="1"/>
  <c r="D113" i="47" s="1"/>
  <c r="D1083" i="47" a="1"/>
  <c r="D1083" i="47" s="1"/>
  <c r="D527" i="47" a="1"/>
  <c r="D527" i="47" s="1"/>
  <c r="D654" i="47" a="1"/>
  <c r="D654" i="47" s="1"/>
  <c r="D617" i="47" a="1"/>
  <c r="D617" i="47" s="1"/>
  <c r="D258" i="47" a="1"/>
  <c r="D258" i="47" s="1"/>
  <c r="D366" i="47" a="1"/>
  <c r="D366" i="47" s="1"/>
  <c r="D438" i="47" a="1"/>
  <c r="D438" i="47" s="1"/>
  <c r="D701" i="47" a="1"/>
  <c r="D701" i="47" s="1"/>
  <c r="D1303" i="47" a="1"/>
  <c r="D1303" i="47" s="1"/>
  <c r="D615" i="47" a="1"/>
  <c r="D615" i="47" s="1"/>
  <c r="D835" i="47" a="1"/>
  <c r="D835" i="47" s="1"/>
  <c r="D1078" i="47" a="1"/>
  <c r="D1078" i="47" s="1"/>
  <c r="D399" i="47" a="1"/>
  <c r="D399" i="47" s="1"/>
  <c r="D520" i="47" a="1"/>
  <c r="D520" i="47" s="1"/>
  <c r="D697" i="47" a="1"/>
  <c r="D697" i="47" s="1"/>
  <c r="D867" i="47" a="1"/>
  <c r="D867" i="47" s="1"/>
  <c r="D1136" i="47" a="1"/>
  <c r="D1136" i="47" s="1"/>
  <c r="D810" i="47" a="1"/>
  <c r="D810" i="47" s="1"/>
  <c r="D598" i="47" a="1"/>
  <c r="D598" i="47" s="1"/>
  <c r="D738" i="47" a="1"/>
  <c r="D738" i="47" s="1"/>
  <c r="D688" i="47" a="1"/>
  <c r="D688" i="47" s="1"/>
  <c r="D507" i="47" a="1"/>
  <c r="D507" i="47" s="1"/>
  <c r="D251" i="47" a="1"/>
  <c r="D251" i="47" s="1"/>
  <c r="D545" i="47" a="1"/>
  <c r="D545" i="47" s="1"/>
  <c r="D686" i="47" a="1"/>
  <c r="D686" i="47" s="1"/>
  <c r="D876" i="47" a="1"/>
  <c r="D876" i="47" s="1"/>
  <c r="D486" i="47" a="1"/>
  <c r="D486" i="47" s="1"/>
  <c r="D188" i="47" a="1"/>
  <c r="D188" i="47" s="1"/>
  <c r="D90" i="47" a="1"/>
  <c r="D90" i="47" s="1"/>
  <c r="D205" i="47" a="1"/>
  <c r="D205" i="47" s="1"/>
  <c r="D294" i="47" a="1"/>
  <c r="D294" i="47" s="1"/>
  <c r="D395" i="47" a="1"/>
  <c r="D395" i="47" s="1"/>
  <c r="D610" i="47" a="1"/>
  <c r="D610" i="47" s="1"/>
  <c r="D798" i="47" a="1"/>
  <c r="D798" i="47" s="1"/>
  <c r="D960" i="47" a="1"/>
  <c r="D960" i="47" s="1"/>
  <c r="D390" i="47" a="1"/>
  <c r="D390" i="47" s="1"/>
  <c r="D519" i="47" a="1"/>
  <c r="D519" i="47" s="1"/>
  <c r="D104" i="47" a="1"/>
  <c r="D104" i="47" s="1"/>
  <c r="D235" i="47" a="1"/>
  <c r="D235" i="47" s="1"/>
  <c r="D353" i="47" a="1"/>
  <c r="D353" i="47" s="1"/>
  <c r="D562" i="47" a="1"/>
  <c r="D562" i="47" s="1"/>
  <c r="D757" i="47" a="1"/>
  <c r="D757" i="47" s="1"/>
  <c r="D1110" i="47" a="1"/>
  <c r="D1110" i="47" s="1"/>
  <c r="D946" i="47" a="1"/>
  <c r="D946" i="47" s="1"/>
  <c r="D1080" i="47" a="1"/>
  <c r="D1080" i="47" s="1"/>
  <c r="D224" i="47" a="1"/>
  <c r="D224" i="47" s="1"/>
  <c r="D122" i="47" a="1"/>
  <c r="D122" i="47" s="1"/>
  <c r="D397" i="47" a="1"/>
  <c r="D397" i="47" s="1"/>
  <c r="D141" i="47" a="1"/>
  <c r="D141" i="47" s="1"/>
  <c r="D171" i="47" a="1"/>
  <c r="D171" i="47" s="1"/>
  <c r="D525" i="47" a="1"/>
  <c r="D525" i="47" s="1"/>
  <c r="D252" i="47" a="1"/>
  <c r="D252" i="47" s="1"/>
  <c r="D306" i="47" a="1"/>
  <c r="D306" i="47" s="1"/>
  <c r="D99" i="47" a="1"/>
  <c r="D99" i="47" s="1"/>
  <c r="D226" i="47" a="1"/>
  <c r="D226" i="47" s="1"/>
  <c r="D479" i="47" a="1"/>
  <c r="D479" i="47" s="1"/>
  <c r="D211" i="47" a="1"/>
  <c r="D211" i="47" s="1"/>
  <c r="D382" i="47" a="1"/>
  <c r="D382" i="47" s="1"/>
  <c r="D556" i="47" a="1"/>
  <c r="D556" i="47" s="1"/>
  <c r="D404" i="47" a="1"/>
  <c r="D404" i="47" s="1"/>
  <c r="D343" i="47" a="1"/>
  <c r="D343" i="47" s="1"/>
  <c r="D189" i="47" a="1"/>
  <c r="D189" i="47" s="1"/>
  <c r="D135" i="47" a="1"/>
  <c r="D135" i="47" s="1"/>
  <c r="D116" i="47" a="1"/>
  <c r="D116" i="47" s="1"/>
  <c r="D317" i="47" a="1"/>
  <c r="D317" i="47" s="1"/>
  <c r="D665" i="47" a="1"/>
  <c r="D665" i="47" s="1"/>
  <c r="D892" i="47" a="1"/>
  <c r="D892" i="47" s="1"/>
  <c r="D1143" i="47" a="1"/>
  <c r="D1143" i="47" s="1"/>
  <c r="D534" i="47" a="1"/>
  <c r="D534" i="47" s="1"/>
  <c r="D672" i="47" a="1"/>
  <c r="D672" i="47" s="1"/>
  <c r="D885" i="47" a="1"/>
  <c r="D885" i="47" s="1"/>
  <c r="D629" i="47" a="1"/>
  <c r="D629" i="47" s="1"/>
  <c r="D174" i="47" a="1"/>
  <c r="D174" i="47" s="1"/>
  <c r="D441" i="47" a="1"/>
  <c r="D441" i="47" s="1"/>
  <c r="D539" i="47" a="1"/>
  <c r="D539" i="47" s="1"/>
  <c r="D983" i="47" a="1"/>
  <c r="D983" i="47" s="1"/>
  <c r="D1417" i="47" a="1"/>
  <c r="D1417" i="47" s="1"/>
  <c r="D890" i="47" a="1"/>
  <c r="D890" i="47" s="1"/>
  <c r="D1081" i="47" a="1"/>
  <c r="D1081" i="47" s="1"/>
  <c r="D401" i="47" a="1"/>
  <c r="D401" i="47" s="1"/>
  <c r="D530" i="47" a="1"/>
  <c r="D530" i="47" s="1"/>
  <c r="D880" i="47" a="1"/>
  <c r="D880" i="47" s="1"/>
  <c r="D1376" i="47" a="1"/>
  <c r="D1376" i="47" s="1"/>
  <c r="D846" i="47" a="1"/>
  <c r="D846" i="47" s="1"/>
  <c r="D612" i="47" a="1"/>
  <c r="D612" i="47" s="1"/>
  <c r="D1090" i="47" a="1"/>
  <c r="D1090" i="47" s="1"/>
  <c r="D707" i="47" a="1"/>
  <c r="D707" i="47" s="1"/>
  <c r="D512" i="47" a="1"/>
  <c r="D512" i="47" s="1"/>
  <c r="D262" i="47" a="1"/>
  <c r="D262" i="47" s="1"/>
  <c r="D358" i="47" a="1"/>
  <c r="D358" i="47" s="1"/>
  <c r="D552" i="47" a="1"/>
  <c r="D552" i="47" s="1"/>
  <c r="D705" i="47" a="1"/>
  <c r="D705" i="47" s="1"/>
  <c r="D491" i="47" a="1"/>
  <c r="D491" i="47" s="1"/>
  <c r="D87" i="47" a="1"/>
  <c r="D87" i="47" s="1"/>
  <c r="D199" i="47" a="1"/>
  <c r="D199" i="47" s="1"/>
  <c r="D304" i="47" a="1"/>
  <c r="D304" i="47" s="1"/>
  <c r="D400" i="47" a="1"/>
  <c r="D400" i="47" s="1"/>
  <c r="D502" i="47" a="1"/>
  <c r="D502" i="47" s="1"/>
  <c r="D628" i="47" a="1"/>
  <c r="D628" i="47" s="1"/>
  <c r="D1038" i="47" a="1"/>
  <c r="D1038" i="47" s="1"/>
  <c r="D982" i="47" a="1"/>
  <c r="D982" i="47" s="1"/>
  <c r="D417" i="47" a="1"/>
  <c r="D417" i="47" s="1"/>
  <c r="D521" i="47" a="1"/>
  <c r="D521" i="47" s="1"/>
  <c r="D109" i="47" a="1"/>
  <c r="D109" i="47" s="1"/>
  <c r="D356" i="47" a="1"/>
  <c r="D356" i="47" s="1"/>
  <c r="D446" i="47" a="1"/>
  <c r="D446" i="47" s="1"/>
  <c r="D649" i="47" a="1"/>
  <c r="D649" i="47" s="1"/>
  <c r="D760" i="47" a="1"/>
  <c r="D760" i="47" s="1"/>
  <c r="D1212" i="47" a="1"/>
  <c r="D1212" i="47" s="1"/>
  <c r="D1105" i="47" a="1"/>
  <c r="D1105" i="47" s="1"/>
  <c r="D1309" i="47" a="1"/>
  <c r="D1309" i="47" s="1"/>
  <c r="D1208" i="47" a="1"/>
  <c r="D1208" i="47" s="1"/>
  <c r="D581" i="47" a="1"/>
  <c r="D581" i="47" s="1"/>
  <c r="D713" i="47" a="1"/>
  <c r="D713" i="47" s="1"/>
  <c r="D797" i="47" a="1"/>
  <c r="D797" i="47" s="1"/>
  <c r="D944" i="47" a="1"/>
  <c r="D944" i="47" s="1"/>
  <c r="D1141" i="47" a="1"/>
  <c r="D1141" i="47" s="1"/>
  <c r="D1285" i="47" a="1"/>
  <c r="D1285" i="47" s="1"/>
  <c r="D1331" i="47" a="1"/>
  <c r="D1331" i="47" s="1"/>
  <c r="D727" i="47" a="1"/>
  <c r="D727" i="47" s="1"/>
  <c r="D894" i="47" a="1"/>
  <c r="D894" i="47" s="1"/>
  <c r="D1027" i="47" a="1"/>
  <c r="D1027" i="47" s="1"/>
  <c r="D1211" i="47" a="1"/>
  <c r="D1211" i="47" s="1"/>
  <c r="D1159" i="47" a="1"/>
  <c r="D1159" i="47" s="1"/>
  <c r="D1286" i="47" a="1"/>
  <c r="D1286" i="47" s="1"/>
  <c r="D1240" i="47" a="1"/>
  <c r="D1240" i="47" s="1"/>
  <c r="D912" i="47" a="1"/>
  <c r="D912" i="47" s="1"/>
  <c r="D1425" i="47" a="1"/>
  <c r="D1425" i="47" s="1"/>
  <c r="D1254" i="47" a="1"/>
  <c r="D1254" i="47" s="1"/>
  <c r="D725" i="47" a="1"/>
  <c r="D725" i="47" s="1"/>
  <c r="D819" i="47" a="1"/>
  <c r="D819" i="47" s="1"/>
  <c r="D228" i="47" a="1"/>
  <c r="D228" i="47" s="1"/>
  <c r="D338" i="47" a="1"/>
  <c r="D338" i="47" s="1"/>
  <c r="D126" i="47" a="1"/>
  <c r="D126" i="47" s="1"/>
  <c r="D487" i="47" a="1"/>
  <c r="D487" i="47" s="1"/>
  <c r="D389" i="47" a="1"/>
  <c r="D389" i="47" s="1"/>
  <c r="D384" i="47" a="1"/>
  <c r="D384" i="47" s="1"/>
  <c r="D311" i="47" a="1"/>
  <c r="D311" i="47" s="1"/>
  <c r="D255" i="47" a="1"/>
  <c r="D255" i="47" s="1"/>
  <c r="D183" i="47" a="1"/>
  <c r="D183" i="47" s="1"/>
  <c r="D238" i="47" a="1"/>
  <c r="D238" i="47" s="1"/>
  <c r="D482" i="47" a="1"/>
  <c r="D482" i="47" s="1"/>
  <c r="D230" i="47" a="1"/>
  <c r="D230" i="47" s="1"/>
  <c r="D409" i="47" a="1"/>
  <c r="D409" i="47" s="1"/>
  <c r="D412" i="47" a="1"/>
  <c r="D412" i="47" s="1"/>
  <c r="D223" i="47" a="1"/>
  <c r="D223" i="47" s="1"/>
  <c r="D192" i="47" a="1"/>
  <c r="D192" i="47" s="1"/>
  <c r="D239" i="47" a="1"/>
  <c r="D239" i="47" s="1"/>
  <c r="D146" i="47" a="1"/>
  <c r="D146" i="47" s="1"/>
  <c r="D321" i="47" a="1"/>
  <c r="D321" i="47" s="1"/>
  <c r="D913" i="47" a="1"/>
  <c r="D913" i="47" s="1"/>
  <c r="D1156" i="47" a="1"/>
  <c r="D1156" i="47" s="1"/>
  <c r="D742" i="47" a="1"/>
  <c r="D742" i="47" s="1"/>
  <c r="D908" i="47" a="1"/>
  <c r="D908" i="47" s="1"/>
  <c r="D1086" i="47" a="1"/>
  <c r="D1086" i="47" s="1"/>
  <c r="D69" i="47" a="1"/>
  <c r="D69" i="47" s="1"/>
  <c r="D178" i="47" a="1"/>
  <c r="D178" i="47" s="1"/>
  <c r="D272" i="47" a="1"/>
  <c r="D272" i="47" s="1"/>
  <c r="D374" i="47" a="1"/>
  <c r="D374" i="47" s="1"/>
  <c r="D444" i="47" a="1"/>
  <c r="D444" i="47" s="1"/>
  <c r="D544" i="47" a="1"/>
  <c r="D544" i="47" s="1"/>
  <c r="D745" i="47" a="1"/>
  <c r="D745" i="47" s="1"/>
  <c r="D1031" i="47" a="1"/>
  <c r="D1031" i="47" s="1"/>
  <c r="D522" i="47" a="1"/>
  <c r="D522" i="47" s="1"/>
  <c r="D662" i="47" a="1"/>
  <c r="D662" i="47" s="1"/>
  <c r="D919" i="47" a="1"/>
  <c r="D919" i="47" s="1"/>
  <c r="D1122" i="47" a="1"/>
  <c r="D1122" i="47" s="1"/>
  <c r="D419" i="47" a="1"/>
  <c r="D419" i="47" s="1"/>
  <c r="D537" i="47" a="1"/>
  <c r="D537" i="47" s="1"/>
  <c r="D915" i="47" a="1"/>
  <c r="D915" i="47" s="1"/>
  <c r="D1395" i="47" a="1"/>
  <c r="D1395" i="47" s="1"/>
  <c r="D865" i="47" a="1"/>
  <c r="D865" i="47" s="1"/>
  <c r="D618" i="47" a="1"/>
  <c r="D618" i="47" s="1"/>
  <c r="D746" i="47" a="1"/>
  <c r="D746" i="47" s="1"/>
  <c r="D970" i="47" a="1"/>
  <c r="D970" i="47" s="1"/>
  <c r="D1106" i="47" a="1"/>
  <c r="D1106" i="47" s="1"/>
  <c r="D716" i="47" a="1"/>
  <c r="D716" i="47" s="1"/>
  <c r="D582" i="47" a="1"/>
  <c r="D582" i="47" s="1"/>
  <c r="D266" i="47" a="1"/>
  <c r="D266" i="47" s="1"/>
  <c r="D368" i="47" a="1"/>
  <c r="D368" i="47" s="1"/>
  <c r="D941" i="47" a="1"/>
  <c r="D941" i="47" s="1"/>
  <c r="D494" i="47" a="1"/>
  <c r="D494" i="47" s="1"/>
  <c r="D95" i="47" a="1"/>
  <c r="D95" i="47" s="1"/>
  <c r="D202" i="47" a="1"/>
  <c r="D202" i="47" s="1"/>
  <c r="D101" i="47" a="1"/>
  <c r="D101" i="47" s="1"/>
  <c r="D217" i="47" a="1"/>
  <c r="D217" i="47" s="1"/>
  <c r="D309" i="47" a="1"/>
  <c r="D309" i="47" s="1"/>
  <c r="D402" i="47" a="1"/>
  <c r="D402" i="47" s="1"/>
  <c r="D510" i="47" a="1"/>
  <c r="D510" i="47" s="1"/>
  <c r="D633" i="47" a="1"/>
  <c r="D633" i="47" s="1"/>
  <c r="D847" i="47" a="1"/>
  <c r="D847" i="47" s="1"/>
  <c r="D1201" i="47" a="1"/>
  <c r="D1201" i="47" s="1"/>
  <c r="D993" i="47" a="1"/>
  <c r="D993" i="47" s="1"/>
  <c r="D538" i="47" a="1"/>
  <c r="D538" i="47" s="1"/>
  <c r="D369" i="47" a="1"/>
  <c r="D369" i="47" s="1"/>
  <c r="D571" i="47" a="1"/>
  <c r="D571" i="47" s="1"/>
  <c r="D659" i="47" a="1"/>
  <c r="D659" i="47" s="1"/>
  <c r="D771" i="47" a="1"/>
  <c r="D771" i="47" s="1"/>
  <c r="D902" i="47" a="1"/>
  <c r="D902" i="47" s="1"/>
  <c r="D965" i="47" a="1"/>
  <c r="D965" i="47" s="1"/>
  <c r="D1120" i="47" a="1"/>
  <c r="D1120" i="47" s="1"/>
  <c r="D1354" i="47" a="1"/>
  <c r="D1354" i="47" s="1"/>
  <c r="D1335" i="47" a="1"/>
  <c r="D1335" i="47" s="1"/>
  <c r="D1035" i="47" a="1"/>
  <c r="D1035" i="47" s="1"/>
  <c r="D1219" i="47" a="1"/>
  <c r="D1219" i="47" s="1"/>
  <c r="D601" i="47" a="1"/>
  <c r="D601" i="47" s="1"/>
  <c r="D1151" i="47" a="1"/>
  <c r="D1151" i="47" s="1"/>
  <c r="D1409" i="47" a="1"/>
  <c r="D1409" i="47" s="1"/>
  <c r="D752" i="47" a="1"/>
  <c r="D752" i="47" s="1"/>
  <c r="D899" i="47" a="1"/>
  <c r="D899" i="47" s="1"/>
  <c r="D1162" i="47" a="1"/>
  <c r="D1162" i="47" s="1"/>
  <c r="D1251" i="47" a="1"/>
  <c r="D1251" i="47" s="1"/>
  <c r="D1044" i="47" a="1"/>
  <c r="D1044" i="47" s="1"/>
  <c r="D1112" i="47" a="1"/>
  <c r="D1112" i="47" s="1"/>
  <c r="D1446" i="47" a="1"/>
  <c r="D1446" i="47" s="1"/>
  <c r="D732" i="47" a="1"/>
  <c r="D732" i="47" s="1"/>
  <c r="D824" i="47" a="1"/>
  <c r="D824" i="47" s="1"/>
  <c r="D947" i="47" a="1"/>
  <c r="D947" i="47" s="1"/>
  <c r="D1066" i="47" a="1"/>
  <c r="D1066" i="47" s="1"/>
  <c r="D1154" i="47" a="1"/>
  <c r="D1154" i="47" s="1"/>
  <c r="D1294" i="47" a="1"/>
  <c r="D1294" i="47" s="1"/>
  <c r="D1435" i="47" a="1"/>
  <c r="D1435" i="47" s="1"/>
  <c r="D1657" i="47" a="1"/>
  <c r="D1657" i="47" s="1"/>
  <c r="D1383" i="47" a="1"/>
  <c r="D1383" i="47" s="1"/>
  <c r="D1480" i="47" a="1"/>
  <c r="D1480" i="47" s="1"/>
  <c r="D1189" i="47" a="1"/>
  <c r="D1189" i="47" s="1"/>
  <c r="D1361" i="47" a="1"/>
  <c r="D1361" i="47" s="1"/>
  <c r="D1559" i="47" a="1"/>
  <c r="D1559" i="47" s="1"/>
  <c r="D341" i="47" a="1"/>
  <c r="D341" i="47" s="1"/>
  <c r="D245" i="47" a="1"/>
  <c r="D245" i="47" s="1"/>
  <c r="D70" i="47" a="1"/>
  <c r="D70" i="47" s="1"/>
  <c r="D179" i="47" a="1"/>
  <c r="D179" i="47" s="1"/>
  <c r="D185" i="47" a="1"/>
  <c r="D185" i="47" s="1"/>
  <c r="D433" i="47" a="1"/>
  <c r="D433" i="47" s="1"/>
  <c r="D555" i="47" a="1"/>
  <c r="D555" i="47" s="1"/>
  <c r="D445" i="47" a="1"/>
  <c r="D445" i="47" s="1"/>
  <c r="D392" i="47" a="1"/>
  <c r="D392" i="47" s="1"/>
  <c r="D261" i="47" a="1"/>
  <c r="D261" i="47" s="1"/>
  <c r="D208" i="47" a="1"/>
  <c r="D208" i="47" s="1"/>
  <c r="D351" i="47" a="1"/>
  <c r="D351" i="47" s="1"/>
  <c r="D485" i="47" a="1"/>
  <c r="D485" i="47" s="1"/>
  <c r="D94" i="47" a="1"/>
  <c r="D94" i="47" s="1"/>
  <c r="D227" i="47" a="1"/>
  <c r="D227" i="47" s="1"/>
  <c r="D302" i="47" a="1"/>
  <c r="D302" i="47" s="1"/>
  <c r="D124" i="47" a="1"/>
  <c r="D124" i="47" s="1"/>
  <c r="D154" i="47" a="1"/>
  <c r="D154" i="47" s="1"/>
  <c r="D204" i="47" a="1"/>
  <c r="D204" i="47" s="1"/>
  <c r="D942" i="47" a="1"/>
  <c r="D942" i="47" s="1"/>
  <c r="D546" i="47" a="1"/>
  <c r="D546" i="47" s="1"/>
  <c r="D750" i="47" a="1"/>
  <c r="D750" i="47" s="1"/>
  <c r="D921" i="47" a="1"/>
  <c r="D921" i="47" s="1"/>
  <c r="D1094" i="47" a="1"/>
  <c r="D1094" i="47" s="1"/>
  <c r="D73" i="47" a="1"/>
  <c r="D73" i="47" s="1"/>
  <c r="D276" i="47" a="1"/>
  <c r="D276" i="47" s="1"/>
  <c r="D378" i="47" a="1"/>
  <c r="D378" i="47" s="1"/>
  <c r="D452" i="47" a="1"/>
  <c r="D452" i="47" s="1"/>
  <c r="D558" i="47" a="1"/>
  <c r="D558" i="47" s="1"/>
  <c r="D532" i="47" a="1"/>
  <c r="D532" i="47" s="1"/>
  <c r="D670" i="47" a="1"/>
  <c r="D670" i="47" s="1"/>
  <c r="D937" i="47" a="1"/>
  <c r="D937" i="47" s="1"/>
  <c r="D423" i="47" a="1"/>
  <c r="D423" i="47" s="1"/>
  <c r="D639" i="47" a="1"/>
  <c r="D639" i="47" s="1"/>
  <c r="D909" i="47" a="1"/>
  <c r="D909" i="47" s="1"/>
  <c r="D770" i="47" a="1"/>
  <c r="D770" i="47" s="1"/>
  <c r="D984" i="47" a="1"/>
  <c r="D984" i="47" s="1"/>
  <c r="D1128" i="47" a="1"/>
  <c r="D1128" i="47" s="1"/>
  <c r="D759" i="47" a="1"/>
  <c r="D759" i="47" s="1"/>
  <c r="D731" i="47" a="1"/>
  <c r="D731" i="47" s="1"/>
  <c r="D372" i="47" a="1"/>
  <c r="D372" i="47" s="1"/>
  <c r="D559" i="47" a="1"/>
  <c r="D559" i="47" s="1"/>
  <c r="D721" i="47" a="1"/>
  <c r="D721" i="47" s="1"/>
  <c r="D949" i="47" a="1"/>
  <c r="D949" i="47" s="1"/>
  <c r="D499" i="47" a="1"/>
  <c r="D499" i="47" s="1"/>
  <c r="D98" i="47" a="1"/>
  <c r="D98" i="47" s="1"/>
  <c r="D210" i="47" a="1"/>
  <c r="D210" i="47" s="1"/>
  <c r="D221" i="47" a="1"/>
  <c r="D221" i="47" s="1"/>
  <c r="D405" i="47" a="1"/>
  <c r="D405" i="47" s="1"/>
  <c r="D640" i="47" a="1"/>
  <c r="D640" i="47" s="1"/>
  <c r="D857" i="47" a="1"/>
  <c r="D857" i="47" s="1"/>
  <c r="D1343" i="47" a="1"/>
  <c r="D1343" i="47" s="1"/>
  <c r="D1030" i="47" a="1"/>
  <c r="D1030" i="47" s="1"/>
  <c r="D425" i="47" a="1"/>
  <c r="D425" i="47" s="1"/>
  <c r="D550" i="47" a="1"/>
  <c r="D550" i="47" s="1"/>
  <c r="D267" i="47" a="1"/>
  <c r="D267" i="47" s="1"/>
  <c r="D373" i="47" a="1"/>
  <c r="D373" i="47" s="1"/>
  <c r="D573" i="47" a="1"/>
  <c r="D573" i="47" s="1"/>
  <c r="D667" i="47" a="1"/>
  <c r="D667" i="47" s="1"/>
  <c r="D842" i="47" a="1"/>
  <c r="D842" i="47" s="1"/>
  <c r="D1127" i="47" a="1"/>
  <c r="D1127" i="47" s="1"/>
  <c r="D1357" i="47" a="1"/>
  <c r="D1357" i="47" s="1"/>
  <c r="D1045" i="47" a="1"/>
  <c r="D1045" i="47" s="1"/>
  <c r="D616" i="47" a="1"/>
  <c r="D616" i="47" s="1"/>
  <c r="D978" i="47" a="1"/>
  <c r="D978" i="47" s="1"/>
  <c r="D1301" i="47" a="1"/>
  <c r="D1301" i="47" s="1"/>
  <c r="D1421" i="47" a="1"/>
  <c r="D1421" i="47" s="1"/>
  <c r="D767" i="47" a="1"/>
  <c r="D767" i="47" s="1"/>
  <c r="D906" i="47" a="1"/>
  <c r="D906" i="47" s="1"/>
  <c r="D1048" i="47" a="1"/>
  <c r="D1048" i="47" s="1"/>
  <c r="D1222" i="47" a="1"/>
  <c r="D1222" i="47" s="1"/>
  <c r="D344" i="47" a="1"/>
  <c r="D344" i="47" s="1"/>
  <c r="D248" i="47" a="1"/>
  <c r="D248" i="47" s="1"/>
  <c r="D74" i="47" a="1"/>
  <c r="D74" i="47" s="1"/>
  <c r="D182" i="47" a="1"/>
  <c r="D182" i="47" s="1"/>
  <c r="D263" i="47" a="1"/>
  <c r="D263" i="47" s="1"/>
  <c r="D439" i="47" a="1"/>
  <c r="D439" i="47" s="1"/>
  <c r="D570" i="47" a="1"/>
  <c r="D570" i="47" s="1"/>
  <c r="D496" i="47" a="1"/>
  <c r="D496" i="47" s="1"/>
  <c r="D96" i="47" a="1"/>
  <c r="D96" i="47" s="1"/>
  <c r="D280" i="47" a="1"/>
  <c r="D280" i="47" s="1"/>
  <c r="D296" i="47" a="1"/>
  <c r="D296" i="47" s="1"/>
  <c r="D354" i="47" a="1"/>
  <c r="D354" i="47" s="1"/>
  <c r="D488" i="47" a="1"/>
  <c r="D488" i="47" s="1"/>
  <c r="D241" i="47" a="1"/>
  <c r="D241" i="47" s="1"/>
  <c r="D416" i="47" a="1"/>
  <c r="D416" i="47" s="1"/>
  <c r="D105" i="47" a="1"/>
  <c r="D105" i="47" s="1"/>
  <c r="D647" i="47" a="1"/>
  <c r="D647" i="47" s="1"/>
  <c r="D236" i="47" a="1"/>
  <c r="D236" i="47" s="1"/>
  <c r="D97" i="47" a="1"/>
  <c r="D97" i="47" s="1"/>
  <c r="D307" i="47" a="1"/>
  <c r="D307" i="47" s="1"/>
  <c r="D128" i="47" a="1"/>
  <c r="D128" i="47" s="1"/>
  <c r="D329" i="47" a="1"/>
  <c r="D329" i="47" s="1"/>
  <c r="D335" i="47" a="1"/>
  <c r="D335" i="47" s="1"/>
  <c r="D950" i="47" a="1"/>
  <c r="D950" i="47" s="1"/>
  <c r="D348" i="47" a="1"/>
  <c r="D348" i="47" s="1"/>
  <c r="D924" i="47" a="1"/>
  <c r="D924" i="47" s="1"/>
  <c r="D1097" i="47" a="1"/>
  <c r="D1097" i="47" s="1"/>
  <c r="D77" i="47" a="1"/>
  <c r="D77" i="47" s="1"/>
  <c r="D184" i="47" a="1"/>
  <c r="D184" i="47" s="1"/>
  <c r="D285" i="47" a="1"/>
  <c r="D285" i="47" s="1"/>
  <c r="D455" i="47" a="1"/>
  <c r="D455" i="47" s="1"/>
  <c r="D590" i="47" a="1"/>
  <c r="D590" i="47" s="1"/>
  <c r="D792" i="47" a="1"/>
  <c r="D792" i="47" s="1"/>
  <c r="D1057" i="47" a="1"/>
  <c r="D1057" i="47" s="1"/>
  <c r="D542" i="47" a="1"/>
  <c r="D542" i="47" s="1"/>
  <c r="D704" i="47" a="1"/>
  <c r="D704" i="47" s="1"/>
  <c r="D972" i="47" a="1"/>
  <c r="D972" i="47" s="1"/>
  <c r="D761" i="47" a="1"/>
  <c r="D761" i="47" s="1"/>
  <c r="D655" i="47" a="1"/>
  <c r="D655" i="47" s="1"/>
  <c r="D922" i="47" a="1"/>
  <c r="D922" i="47" s="1"/>
  <c r="D783" i="47" a="1"/>
  <c r="D783" i="47" s="1"/>
  <c r="D992" i="47" a="1"/>
  <c r="D992" i="47" s="1"/>
  <c r="D1186" i="47" a="1"/>
  <c r="D1186" i="47" s="1"/>
  <c r="D833" i="47" a="1"/>
  <c r="D833" i="47" s="1"/>
  <c r="D274" i="47" a="1"/>
  <c r="D274" i="47" s="1"/>
  <c r="D726" i="47" a="1"/>
  <c r="D726" i="47" s="1"/>
  <c r="D957" i="47" a="1"/>
  <c r="D957" i="47" s="1"/>
  <c r="D547" i="47" a="1"/>
  <c r="D547" i="47" s="1"/>
  <c r="D106" i="47" a="1"/>
  <c r="D106" i="47" s="1"/>
  <c r="D237" i="47" a="1"/>
  <c r="D237" i="47" s="1"/>
  <c r="D323" i="47" a="1"/>
  <c r="D323" i="47" s="1"/>
  <c r="D410" i="47" a="1"/>
  <c r="D410" i="47" s="1"/>
  <c r="D526" i="47" a="1"/>
  <c r="D526" i="47" s="1"/>
  <c r="D651" i="47" a="1"/>
  <c r="D651" i="47" s="1"/>
  <c r="D884" i="47" a="1"/>
  <c r="D884" i="47" s="1"/>
  <c r="D505" i="47" a="1"/>
  <c r="D505" i="47" s="1"/>
  <c r="D1033" i="47" a="1"/>
  <c r="D1033" i="47" s="1"/>
  <c r="D429" i="47" a="1"/>
  <c r="D429" i="47" s="1"/>
  <c r="D656" i="47" a="1"/>
  <c r="D656" i="47" s="1"/>
  <c r="D149" i="47" a="1"/>
  <c r="D149" i="47" s="1"/>
  <c r="D271" i="47" a="1"/>
  <c r="D271" i="47" s="1"/>
  <c r="D457" i="47" a="1"/>
  <c r="D457" i="47" s="1"/>
  <c r="D578" i="47" a="1"/>
  <c r="D578" i="47" s="1"/>
  <c r="D794" i="47" a="1"/>
  <c r="D794" i="47" s="1"/>
  <c r="D918" i="47" a="1"/>
  <c r="D918" i="47" s="1"/>
  <c r="D850" i="47" a="1"/>
  <c r="D850" i="47" s="1"/>
  <c r="D1362" i="47" a="1"/>
  <c r="D1362" i="47" s="1"/>
  <c r="D1072" i="47" a="1"/>
  <c r="D1072" i="47" s="1"/>
  <c r="D621" i="47" a="1"/>
  <c r="D621" i="47" s="1"/>
  <c r="D986" i="47" a="1"/>
  <c r="D986" i="47" s="1"/>
  <c r="D1161" i="47" a="1"/>
  <c r="D1161" i="47" s="1"/>
  <c r="D1304" i="47" a="1"/>
  <c r="D1304" i="47" s="1"/>
  <c r="D1424" i="47" a="1"/>
  <c r="D1424" i="47" s="1"/>
  <c r="D786" i="47" a="1"/>
  <c r="D786" i="47" s="1"/>
  <c r="D1059" i="47" a="1"/>
  <c r="D1059" i="47" s="1"/>
  <c r="D1174" i="47" a="1"/>
  <c r="D1174" i="47" s="1"/>
  <c r="D1329" i="47" a="1"/>
  <c r="D1329" i="47" s="1"/>
  <c r="D1305" i="47" a="1"/>
  <c r="D1305" i="47" s="1"/>
  <c r="D852" i="47" a="1"/>
  <c r="D852" i="47" s="1"/>
  <c r="D935" i="47" a="1"/>
  <c r="D935" i="47" s="1"/>
  <c r="D1084" i="47" a="1"/>
  <c r="D1084" i="47" s="1"/>
  <c r="D1246" i="47" a="1"/>
  <c r="D1246" i="47" s="1"/>
  <c r="D1140" i="47" a="1"/>
  <c r="D1140" i="47" s="1"/>
  <c r="D1535" i="47" a="1"/>
  <c r="D1535" i="47" s="1"/>
  <c r="D653" i="47" a="1"/>
  <c r="D653" i="47" s="1"/>
  <c r="D739" i="47" a="1"/>
  <c r="D739" i="47" s="1"/>
  <c r="D839" i="47" a="1"/>
  <c r="D839" i="47" s="1"/>
  <c r="D959" i="47" a="1"/>
  <c r="D959" i="47" s="1"/>
  <c r="D1177" i="47" a="1"/>
  <c r="D1177" i="47" s="1"/>
  <c r="D1327" i="47" a="1"/>
  <c r="D1327" i="47" s="1"/>
  <c r="D1450" i="47" a="1"/>
  <c r="D1450" i="47" s="1"/>
  <c r="D1606" i="47" a="1"/>
  <c r="D1606" i="47" s="1"/>
  <c r="D1744" i="47" a="1"/>
  <c r="D1744" i="47" s="1"/>
  <c r="D1393" i="47" a="1"/>
  <c r="D1393" i="47" s="1"/>
  <c r="D1504" i="47" a="1"/>
  <c r="D1504" i="47" s="1"/>
  <c r="D1216" i="47" a="1"/>
  <c r="D1216" i="47" s="1"/>
  <c r="D1565" i="47" a="1"/>
  <c r="D1565" i="47" s="1"/>
  <c r="D1347" i="47" a="1"/>
  <c r="D1347" i="47" s="1"/>
  <c r="D1536" i="47" a="1"/>
  <c r="D1536" i="47" s="1"/>
  <c r="D1058" i="47" a="1"/>
  <c r="D1058" i="47" s="1"/>
  <c r="D1176" i="47" a="1"/>
  <c r="D1176" i="47" s="1"/>
  <c r="D1311" i="47" a="1"/>
  <c r="D1311" i="47" s="1"/>
  <c r="D1468" i="47" a="1"/>
  <c r="D1468" i="47" s="1"/>
  <c r="D1846" i="47" a="1"/>
  <c r="D1846" i="47" s="1"/>
  <c r="D609" i="47" a="1"/>
  <c r="D609" i="47" s="1"/>
  <c r="D722" i="47" a="1"/>
  <c r="D722" i="47" s="1"/>
  <c r="D860" i="47" a="1"/>
  <c r="D860" i="47" s="1"/>
  <c r="D1104" i="47" a="1"/>
  <c r="D1104" i="47" s="1"/>
  <c r="D1227" i="47" a="1"/>
  <c r="D1227" i="47" s="1"/>
  <c r="D1500" i="47" a="1"/>
  <c r="D1500" i="47" s="1"/>
  <c r="D1498" i="47" a="1"/>
  <c r="D1498" i="47" s="1"/>
  <c r="D1594" i="47" a="1"/>
  <c r="D1594" i="47" s="1"/>
  <c r="D1713" i="47" a="1"/>
  <c r="D1713" i="47" s="1"/>
  <c r="D1883" i="47" a="1"/>
  <c r="D1883" i="47" s="1"/>
  <c r="D1771" i="47" a="1"/>
  <c r="D1771" i="47" s="1"/>
  <c r="D2096" i="47" a="1"/>
  <c r="D2096" i="47" s="1"/>
  <c r="D1522" i="47" a="1"/>
  <c r="D1522" i="47" s="1"/>
  <c r="D1627" i="47" a="1"/>
  <c r="D1627" i="47" s="1"/>
  <c r="D1796" i="47" a="1"/>
  <c r="D1796" i="47" s="1"/>
  <c r="D1560" i="47" a="1"/>
  <c r="D1560" i="47" s="1"/>
  <c r="D1704" i="47" a="1"/>
  <c r="D1704" i="47" s="1"/>
  <c r="D1989" i="47" a="1"/>
  <c r="D1989" i="47" s="1"/>
  <c r="D991" i="47" a="1"/>
  <c r="D991" i="47" s="1"/>
  <c r="D1139" i="47" a="1"/>
  <c r="D1139" i="47" s="1"/>
  <c r="D1258" i="47" a="1"/>
  <c r="D1258" i="47" s="1"/>
  <c r="D1382" i="47" a="1"/>
  <c r="D1382" i="47" s="1"/>
  <c r="D1474" i="47" a="1"/>
  <c r="D1474" i="47" s="1"/>
  <c r="D196" i="47" a="1"/>
  <c r="D196" i="47" s="1"/>
  <c r="D391" i="47" a="1"/>
  <c r="D391" i="47" s="1"/>
  <c r="D528" i="47" a="1"/>
  <c r="D528" i="47" s="1"/>
  <c r="D78" i="47" a="1"/>
  <c r="D78" i="47" s="1"/>
  <c r="D442" i="47" a="1"/>
  <c r="D442" i="47" s="1"/>
  <c r="D187" i="47" a="1"/>
  <c r="D187" i="47" s="1"/>
  <c r="D513" i="47" a="1"/>
  <c r="D513" i="47" s="1"/>
  <c r="D293" i="47" a="1"/>
  <c r="D293" i="47" s="1"/>
  <c r="D301" i="47" a="1"/>
  <c r="D301" i="47" s="1"/>
  <c r="D367" i="47" a="1"/>
  <c r="D367" i="47" s="1"/>
  <c r="D244" i="47" a="1"/>
  <c r="D244" i="47" s="1"/>
  <c r="D420" i="47" a="1"/>
  <c r="D420" i="47" s="1"/>
  <c r="D110" i="47" a="1"/>
  <c r="D110" i="47" s="1"/>
  <c r="D789" i="47" a="1"/>
  <c r="D789" i="47" s="1"/>
  <c r="D407" i="47" a="1"/>
  <c r="D407" i="47" s="1"/>
  <c r="D349" i="47" a="1"/>
  <c r="D349" i="47" s="1"/>
  <c r="D332" i="47" a="1"/>
  <c r="D332" i="47" s="1"/>
  <c r="D413" i="47" a="1"/>
  <c r="D413" i="47" s="1"/>
  <c r="D955" i="47" a="1"/>
  <c r="D955" i="47" s="1"/>
  <c r="D403" i="47" a="1"/>
  <c r="D403" i="47" s="1"/>
  <c r="D569" i="47" a="1"/>
  <c r="D569" i="47" s="1"/>
  <c r="D91" i="47" a="1"/>
  <c r="D91" i="47" s="1"/>
  <c r="D295" i="47" a="1"/>
  <c r="D295" i="47" s="1"/>
  <c r="D463" i="47" a="1"/>
  <c r="D463" i="47" s="1"/>
  <c r="D812" i="47" a="1"/>
  <c r="D812" i="47" s="1"/>
  <c r="D553" i="47" a="1"/>
  <c r="D553" i="47" s="1"/>
  <c r="D1016" i="47" a="1"/>
  <c r="D1016" i="47" s="1"/>
  <c r="D436" i="47" a="1"/>
  <c r="D436" i="47" s="1"/>
  <c r="D572" i="47" a="1"/>
  <c r="D572" i="47" s="1"/>
  <c r="D772" i="47" a="1"/>
  <c r="D772" i="47" s="1"/>
  <c r="D940" i="47" a="1"/>
  <c r="D940" i="47" s="1"/>
  <c r="D683" i="47" a="1"/>
  <c r="D683" i="47" s="1"/>
  <c r="D1095" i="47" a="1"/>
  <c r="D1095" i="47" s="1"/>
  <c r="D678" i="47" a="1"/>
  <c r="D678" i="47" s="1"/>
  <c r="D800" i="47" a="1"/>
  <c r="D800" i="47" s="1"/>
  <c r="D873" i="47" a="1"/>
  <c r="D873" i="47" s="1"/>
  <c r="D71" i="47" a="1"/>
  <c r="D71" i="47" s="1"/>
  <c r="D278" i="47" a="1"/>
  <c r="D278" i="47" s="1"/>
  <c r="D580" i="47" a="1"/>
  <c r="D580" i="47" s="1"/>
  <c r="D736" i="47" a="1"/>
  <c r="D736" i="47" s="1"/>
  <c r="D962" i="47" a="1"/>
  <c r="D962" i="47" s="1"/>
  <c r="D554" i="47" a="1"/>
  <c r="D554" i="47" s="1"/>
  <c r="D111" i="47" a="1"/>
  <c r="D111" i="47" s="1"/>
  <c r="D240" i="47" a="1"/>
  <c r="D240" i="47" s="1"/>
  <c r="D156" i="47" a="1"/>
  <c r="D156" i="47" s="1"/>
  <c r="D229" i="47" a="1"/>
  <c r="D229" i="47" s="1"/>
  <c r="D327" i="47" a="1"/>
  <c r="D327" i="47" s="1"/>
  <c r="D437" i="47" a="1"/>
  <c r="D437" i="47" s="1"/>
  <c r="D529" i="47" a="1"/>
  <c r="D529" i="47" s="1"/>
  <c r="D897" i="47" a="1"/>
  <c r="D897" i="47" s="1"/>
  <c r="D587" i="47" a="1"/>
  <c r="D587" i="47" s="1"/>
  <c r="D1068" i="47" a="1"/>
  <c r="D1068" i="47" s="1"/>
  <c r="D432" i="47" a="1"/>
  <c r="D432" i="47" s="1"/>
  <c r="D661" i="47" a="1"/>
  <c r="D661" i="47" s="1"/>
  <c r="D151" i="47" a="1"/>
  <c r="D151" i="47" s="1"/>
  <c r="D383" i="47" a="1"/>
  <c r="D383" i="47" s="1"/>
  <c r="D460" i="47" a="1"/>
  <c r="D460" i="47" s="1"/>
  <c r="D585" i="47" a="1"/>
  <c r="D585" i="47" s="1"/>
  <c r="D939" i="47" a="1"/>
  <c r="D939" i="47" s="1"/>
  <c r="D855" i="47" a="1"/>
  <c r="D855" i="47" s="1"/>
  <c r="D1032" i="47" a="1"/>
  <c r="D1032" i="47" s="1"/>
  <c r="D1371" i="47" a="1"/>
  <c r="D1371" i="47" s="1"/>
  <c r="D501" i="47" a="1"/>
  <c r="D501" i="47" s="1"/>
  <c r="D133" i="47" a="1"/>
  <c r="D133" i="47" s="1"/>
  <c r="D81" i="47" a="1"/>
  <c r="D81" i="47" s="1"/>
  <c r="D287" i="47" a="1"/>
  <c r="D287" i="47" s="1"/>
  <c r="D190" i="47" a="1"/>
  <c r="D190" i="47" s="1"/>
  <c r="D687" i="47" a="1"/>
  <c r="D687" i="47" s="1"/>
  <c r="D298" i="47" a="1"/>
  <c r="D298" i="47" s="1"/>
  <c r="D561" i="47" a="1"/>
  <c r="D561" i="47" s="1"/>
  <c r="D371" i="47" a="1"/>
  <c r="D371" i="47" s="1"/>
  <c r="D88" i="47" a="1"/>
  <c r="D88" i="47" s="1"/>
  <c r="D424" i="47" a="1"/>
  <c r="D424" i="47" s="1"/>
  <c r="D312" i="47" a="1"/>
  <c r="D312" i="47" s="1"/>
  <c r="D103" i="47" a="1"/>
  <c r="D103" i="47" s="1"/>
  <c r="D117" i="47" a="1"/>
  <c r="D117" i="47" s="1"/>
  <c r="D352" i="47" a="1"/>
  <c r="D352" i="47" s="1"/>
  <c r="D80" i="47" a="1"/>
  <c r="D80" i="47" s="1"/>
  <c r="D201" i="47" a="1"/>
  <c r="D201" i="47" s="1"/>
  <c r="D435" i="47" a="1"/>
  <c r="D435" i="47" s="1"/>
  <c r="D408" i="47" a="1"/>
  <c r="D408" i="47" s="1"/>
  <c r="D576" i="47" a="1"/>
  <c r="D576" i="47" s="1"/>
  <c r="D945" i="47" a="1"/>
  <c r="D945" i="47" s="1"/>
  <c r="D102" i="47" a="1"/>
  <c r="D102" i="47" s="1"/>
  <c r="D195" i="47" a="1"/>
  <c r="D195" i="47" s="1"/>
  <c r="D300" i="47" a="1"/>
  <c r="D300" i="47" s="1"/>
  <c r="D207" i="47" a="1"/>
  <c r="D207" i="47" s="1"/>
  <c r="D504" i="47" a="1"/>
  <c r="D504" i="47" s="1"/>
  <c r="D136" i="47" a="1"/>
  <c r="D136" i="47" s="1"/>
  <c r="D586" i="47" a="1"/>
  <c r="D586" i="47" s="1"/>
  <c r="D84" i="47" a="1"/>
  <c r="D84" i="47" s="1"/>
  <c r="D123" i="47" a="1"/>
  <c r="D123" i="47" s="1"/>
  <c r="D290" i="47" a="1"/>
  <c r="D290" i="47" s="1"/>
  <c r="D450" i="47" a="1"/>
  <c r="D450" i="47" s="1"/>
  <c r="D193" i="47" a="1"/>
  <c r="D193" i="47" s="1"/>
  <c r="D592" i="47" a="1"/>
  <c r="D592" i="47" s="1"/>
  <c r="D273" i="47" a="1"/>
  <c r="D273" i="47" s="1"/>
  <c r="D316" i="47" a="1"/>
  <c r="D316" i="47" s="1"/>
  <c r="D203" i="47" a="1"/>
  <c r="D203" i="47" s="1"/>
  <c r="D253" i="47" a="1"/>
  <c r="D253" i="47" s="1"/>
  <c r="D472" i="47" a="1"/>
  <c r="D472" i="47" s="1"/>
  <c r="D121" i="47" a="1"/>
  <c r="D121" i="47" s="1"/>
  <c r="D355" i="47" a="1"/>
  <c r="D355" i="47" s="1"/>
  <c r="D83" i="47" a="1"/>
  <c r="D83" i="47" s="1"/>
  <c r="D458" i="47" a="1"/>
  <c r="D458" i="47" s="1"/>
  <c r="D473" i="47" a="1"/>
  <c r="D473" i="47" s="1"/>
  <c r="D999" i="47" a="1"/>
  <c r="D999" i="47" s="1"/>
  <c r="D418" i="47" a="1"/>
  <c r="D418" i="47" s="1"/>
  <c r="D381" i="47" a="1"/>
  <c r="D381" i="47" s="1"/>
  <c r="D134" i="47" a="1"/>
  <c r="D134" i="47" s="1"/>
  <c r="D305" i="47" a="1"/>
  <c r="D305" i="47" s="1"/>
  <c r="D498" i="47" a="1"/>
  <c r="D498" i="47" s="1"/>
  <c r="D611" i="47" a="1"/>
  <c r="D611" i="47" s="1"/>
  <c r="D863" i="47" a="1"/>
  <c r="D863" i="47" s="1"/>
  <c r="D740" i="47" a="1"/>
  <c r="D740" i="47" s="1"/>
  <c r="D780" i="47" a="1"/>
  <c r="D780" i="47" s="1"/>
  <c r="D690" i="47" a="1"/>
  <c r="D690" i="47" s="1"/>
  <c r="D813" i="47" a="1"/>
  <c r="D813" i="47" s="1"/>
  <c r="D1021" i="47" a="1"/>
  <c r="D1021" i="47" s="1"/>
  <c r="D1368" i="47" a="1"/>
  <c r="D1368" i="47" s="1"/>
  <c r="D995" i="47" a="1"/>
  <c r="D995" i="47" s="1"/>
  <c r="D79" i="47" a="1"/>
  <c r="D79" i="47" s="1"/>
  <c r="D286" i="47" a="1"/>
  <c r="D286" i="47" s="1"/>
  <c r="D481" i="47" a="1"/>
  <c r="D481" i="47" s="1"/>
  <c r="D596" i="47" a="1"/>
  <c r="D596" i="47" s="1"/>
  <c r="D778" i="47" a="1"/>
  <c r="D778" i="47" s="1"/>
  <c r="D1007" i="47" a="1"/>
  <c r="D1007" i="47" s="1"/>
  <c r="D138" i="47" a="1"/>
  <c r="D138" i="47" s="1"/>
  <c r="D180" i="47" a="1"/>
  <c r="D180" i="47" s="1"/>
  <c r="D347" i="47" a="1"/>
  <c r="D347" i="47" s="1"/>
  <c r="D462" i="47" a="1"/>
  <c r="D462" i="47" s="1"/>
  <c r="D700" i="47" a="1"/>
  <c r="D700" i="47" s="1"/>
  <c r="D928" i="47" a="1"/>
  <c r="D928" i="47" s="1"/>
  <c r="D638" i="47" a="1"/>
  <c r="D638" i="47" s="1"/>
  <c r="D1107" i="47" a="1"/>
  <c r="D1107" i="47" s="1"/>
  <c r="D443" i="47" a="1"/>
  <c r="D443" i="47" s="1"/>
  <c r="D173" i="47" a="1"/>
  <c r="D173" i="47" s="1"/>
  <c r="D297" i="47" a="1"/>
  <c r="D297" i="47" s="1"/>
  <c r="D492" i="47" a="1"/>
  <c r="D492" i="47" s="1"/>
  <c r="D599" i="47" a="1"/>
  <c r="D599" i="47" s="1"/>
  <c r="D823" i="47" a="1"/>
  <c r="D823" i="47" s="1"/>
  <c r="D870" i="47" a="1"/>
  <c r="D870" i="47" s="1"/>
  <c r="D1047" i="47" a="1"/>
  <c r="D1047" i="47" s="1"/>
  <c r="D1241" i="47" a="1"/>
  <c r="D1241" i="47" s="1"/>
  <c r="D1423" i="47" a="1"/>
  <c r="D1423" i="47" s="1"/>
  <c r="D1385" i="47" a="1"/>
  <c r="D1385" i="47" s="1"/>
  <c r="D1138" i="47" a="1"/>
  <c r="D1138" i="47" s="1"/>
  <c r="D1460" i="47" a="1"/>
  <c r="D1460" i="47" s="1"/>
  <c r="D657" i="47" a="1"/>
  <c r="D657" i="47" s="1"/>
  <c r="D756" i="47" a="1"/>
  <c r="D756" i="47" s="1"/>
  <c r="D848" i="47" a="1"/>
  <c r="D848" i="47" s="1"/>
  <c r="D1040" i="47" a="1"/>
  <c r="D1040" i="47" s="1"/>
  <c r="D1178" i="47" a="1"/>
  <c r="D1178" i="47" s="1"/>
  <c r="D1478" i="47" a="1"/>
  <c r="D1478" i="47" s="1"/>
  <c r="D680" i="47" a="1"/>
  <c r="D680" i="47" s="1"/>
  <c r="D536" i="47" a="1"/>
  <c r="D536" i="47" s="1"/>
  <c r="D282" i="47" a="1"/>
  <c r="D282" i="47" s="1"/>
  <c r="D689" i="47" a="1"/>
  <c r="D689" i="47" s="1"/>
  <c r="D127" i="47" a="1"/>
  <c r="D127" i="47" s="1"/>
  <c r="D303" i="47" a="1"/>
  <c r="D303" i="47" s="1"/>
  <c r="D453" i="47" a="1"/>
  <c r="D453" i="47" s="1"/>
  <c r="D292" i="47" a="1"/>
  <c r="D292" i="47" s="1"/>
  <c r="D715" i="47" a="1"/>
  <c r="D715" i="47" s="1"/>
  <c r="D131" i="47" a="1"/>
  <c r="D131" i="47" s="1"/>
  <c r="D766" i="47" a="1"/>
  <c r="D766" i="47" s="1"/>
  <c r="D379" i="47" a="1"/>
  <c r="D379" i="47" s="1"/>
  <c r="D145" i="47" a="1"/>
  <c r="D145" i="47" s="1"/>
  <c r="D277" i="47" a="1"/>
  <c r="D277" i="47" s="1"/>
  <c r="D206" i="47" a="1"/>
  <c r="D206" i="47" s="1"/>
  <c r="D256" i="47" a="1"/>
  <c r="D256" i="47" s="1"/>
  <c r="D476" i="47" a="1"/>
  <c r="D476" i="47" s="1"/>
  <c r="D396" i="47" a="1"/>
  <c r="D396" i="47" s="1"/>
  <c r="D86" i="47" a="1"/>
  <c r="D86" i="47" s="1"/>
  <c r="D231" i="47" a="1"/>
  <c r="D231" i="47" s="1"/>
  <c r="D477" i="47" a="1"/>
  <c r="D477" i="47" s="1"/>
  <c r="D1002" i="47" a="1"/>
  <c r="D1002" i="47" s="1"/>
  <c r="D422" i="47" a="1"/>
  <c r="D422" i="47" s="1"/>
  <c r="D595" i="47" a="1"/>
  <c r="D595" i="47" s="1"/>
  <c r="D845" i="47" a="1"/>
  <c r="D845" i="47" s="1"/>
  <c r="D977" i="47" a="1"/>
  <c r="D977" i="47" s="1"/>
  <c r="D386" i="47" a="1"/>
  <c r="D386" i="47" s="1"/>
  <c r="D147" i="47" a="1"/>
  <c r="D147" i="47" s="1"/>
  <c r="D310" i="47" a="1"/>
  <c r="D310" i="47" s="1"/>
  <c r="D406" i="47" a="1"/>
  <c r="D406" i="47" s="1"/>
  <c r="D503" i="47" a="1"/>
  <c r="D503" i="47" s="1"/>
  <c r="D1100" i="47" a="1"/>
  <c r="D1100" i="47" s="1"/>
  <c r="D574" i="47" a="1"/>
  <c r="D574" i="47" s="1"/>
  <c r="D748" i="47" a="1"/>
  <c r="D748" i="47" s="1"/>
  <c r="D1028" i="47" a="1"/>
  <c r="D1028" i="47" s="1"/>
  <c r="D461" i="47" a="1"/>
  <c r="D461" i="47" s="1"/>
  <c r="D593" i="47" a="1"/>
  <c r="D593" i="47" s="1"/>
  <c r="D790" i="47" a="1"/>
  <c r="D790" i="47" s="1"/>
  <c r="D1006" i="47" a="1"/>
  <c r="D1006" i="47" s="1"/>
  <c r="D1172" i="47" a="1"/>
  <c r="D1172" i="47" s="1"/>
  <c r="D695" i="47" a="1"/>
  <c r="D695" i="47" s="1"/>
  <c r="D822" i="47" a="1"/>
  <c r="D822" i="47" s="1"/>
  <c r="D533" i="47" a="1"/>
  <c r="D533" i="47" s="1"/>
  <c r="D1061" i="47" a="1"/>
  <c r="D1061" i="47" s="1"/>
  <c r="D291" i="47" a="1"/>
  <c r="D291" i="47" s="1"/>
  <c r="D808" i="47" a="1"/>
  <c r="D808" i="47" s="1"/>
  <c r="D623" i="47" a="1"/>
  <c r="D623" i="47" s="1"/>
  <c r="D153" i="47" a="1"/>
  <c r="D153" i="47" s="1"/>
  <c r="D243" i="47" a="1"/>
  <c r="D243" i="47" s="1"/>
  <c r="D466" i="47" a="1"/>
  <c r="D466" i="47" s="1"/>
  <c r="D557" i="47" a="1"/>
  <c r="D557" i="47" s="1"/>
  <c r="D710" i="47" a="1"/>
  <c r="D710" i="47" s="1"/>
  <c r="D936" i="47" a="1"/>
  <c r="D936" i="47" s="1"/>
  <c r="D684" i="47" a="1"/>
  <c r="D684" i="47" s="1"/>
  <c r="D451" i="47" a="1"/>
  <c r="D451" i="47" s="1"/>
  <c r="D72" i="47" a="1"/>
  <c r="D72" i="47" s="1"/>
  <c r="D177" i="47" a="1"/>
  <c r="D177" i="47" s="1"/>
  <c r="D331" i="47" a="1"/>
  <c r="D331" i="47" s="1"/>
  <c r="D393" i="47" a="1"/>
  <c r="D393" i="47" s="1"/>
  <c r="D613" i="47" a="1"/>
  <c r="D613" i="47" s="1"/>
  <c r="D691" i="47" a="1"/>
  <c r="D691" i="47" s="1"/>
  <c r="D828" i="47" a="1"/>
  <c r="D828" i="47" s="1"/>
  <c r="D1062" i="47" a="1"/>
  <c r="D1062" i="47" s="1"/>
  <c r="D1060" i="47" a="1"/>
  <c r="D1060" i="47" s="1"/>
  <c r="D1244" i="47" a="1"/>
  <c r="D1244" i="47" s="1"/>
  <c r="D1494" i="47" a="1"/>
  <c r="D1494" i="47" s="1"/>
  <c r="D1415" i="47" a="1"/>
  <c r="D1415" i="47" s="1"/>
  <c r="D1610" i="47" a="1"/>
  <c r="D1610" i="47" s="1"/>
  <c r="D677" i="47" a="1"/>
  <c r="D677" i="47" s="1"/>
  <c r="D868" i="47" a="1"/>
  <c r="D868" i="47" s="1"/>
  <c r="D1088" i="47" a="1"/>
  <c r="D1088" i="47" s="1"/>
  <c r="D1203" i="47" a="1"/>
  <c r="D1203" i="47" s="1"/>
  <c r="D1596" i="47" a="1"/>
  <c r="D1596" i="47" s="1"/>
  <c r="D685" i="47" a="1"/>
  <c r="D685" i="47" s="1"/>
  <c r="D843" i="47" a="1"/>
  <c r="D843" i="47" s="1"/>
  <c r="D1099" i="47" a="1"/>
  <c r="D1099" i="47" s="1"/>
  <c r="D1215" i="47" a="1"/>
  <c r="D1215" i="47" s="1"/>
  <c r="D1528" i="47" a="1"/>
  <c r="D1528" i="47" s="1"/>
  <c r="D787" i="47" a="1"/>
  <c r="D787" i="47" s="1"/>
  <c r="D1268" i="47" a="1"/>
  <c r="D1268" i="47" s="1"/>
  <c r="D968" i="47" a="1"/>
  <c r="D968" i="47" s="1"/>
  <c r="D531" i="47" a="1"/>
  <c r="D531" i="47" s="1"/>
  <c r="D1420" i="47" a="1"/>
  <c r="D1420" i="47" s="1"/>
  <c r="D1283" i="47" a="1"/>
  <c r="D1283" i="47" s="1"/>
  <c r="D948" i="47" a="1"/>
  <c r="D948" i="47" s="1"/>
  <c r="D1623" i="47" a="1"/>
  <c r="D1623" i="47" s="1"/>
  <c r="D720" i="47" a="1"/>
  <c r="D720" i="47" s="1"/>
  <c r="D1334" i="47" a="1"/>
  <c r="D1334" i="47" s="1"/>
  <c r="D1530" i="47" a="1"/>
  <c r="D1530" i="47" s="1"/>
  <c r="D1538" i="47" a="1"/>
  <c r="D1538" i="47" s="1"/>
  <c r="D1263" i="47" a="1"/>
  <c r="D1263" i="47" s="1"/>
  <c r="D1488" i="47" a="1"/>
  <c r="D1488" i="47" s="1"/>
  <c r="D1868" i="47" a="1"/>
  <c r="D1868" i="47" s="1"/>
  <c r="D1510" i="47" a="1"/>
  <c r="D1510" i="47" s="1"/>
  <c r="D1229" i="47" a="1"/>
  <c r="D1229" i="47" s="1"/>
  <c r="D1405" i="47" a="1"/>
  <c r="D1405" i="47" s="1"/>
  <c r="D1622" i="47" a="1"/>
  <c r="D1622" i="47" s="1"/>
  <c r="D605" i="47" a="1"/>
  <c r="D605" i="47" s="1"/>
  <c r="D741" i="47" a="1"/>
  <c r="D741" i="47" s="1"/>
  <c r="D893" i="47" a="1"/>
  <c r="D893" i="47" s="1"/>
  <c r="D1051" i="47" a="1"/>
  <c r="D1051" i="47" s="1"/>
  <c r="D1207" i="47" a="1"/>
  <c r="D1207" i="47" s="1"/>
  <c r="D1355" i="47" a="1"/>
  <c r="D1355" i="47" s="1"/>
  <c r="D1462" i="47" a="1"/>
  <c r="D1462" i="47" s="1"/>
  <c r="D1503" i="47" a="1"/>
  <c r="D1503" i="47" s="1"/>
  <c r="D1946" i="47" a="1"/>
  <c r="D1946" i="47" s="1"/>
  <c r="D1889" i="47" a="1"/>
  <c r="D1889" i="47" s="1"/>
  <c r="D1471" i="47" a="1"/>
  <c r="D1471" i="47" s="1"/>
  <c r="D1612" i="47" a="1"/>
  <c r="D1612" i="47" s="1"/>
  <c r="D1755" i="47" a="1"/>
  <c r="D1755" i="47" s="1"/>
  <c r="D1715" i="47" a="1"/>
  <c r="D1715" i="47" s="1"/>
  <c r="D1004" i="47" a="1"/>
  <c r="D1004" i="47" s="1"/>
  <c r="D1180" i="47" a="1"/>
  <c r="D1180" i="47" s="1"/>
  <c r="D1321" i="47" a="1"/>
  <c r="D1321" i="47" s="1"/>
  <c r="D1426" i="47" a="1"/>
  <c r="D1426" i="47" s="1"/>
  <c r="D1509" i="47" a="1"/>
  <c r="D1509" i="47" s="1"/>
  <c r="D1672" i="47" a="1"/>
  <c r="D1672" i="47" s="1"/>
  <c r="D1807" i="47" a="1"/>
  <c r="D1807" i="47" s="1"/>
  <c r="D1917" i="47" a="1"/>
  <c r="D1917" i="47" s="1"/>
  <c r="D1725" i="47" a="1"/>
  <c r="D1725" i="47" s="1"/>
  <c r="D1936" i="47" a="1"/>
  <c r="D1936" i="47" s="1"/>
  <c r="D1456" i="47" a="1"/>
  <c r="D1456" i="47" s="1"/>
  <c r="D1581" i="47" a="1"/>
  <c r="D1581" i="47" s="1"/>
  <c r="D1697" i="47" a="1"/>
  <c r="D1697" i="47" s="1"/>
  <c r="D1845" i="47" a="1"/>
  <c r="D1845" i="47" s="1"/>
  <c r="D1269" i="47" a="1"/>
  <c r="D1269" i="47" s="1"/>
  <c r="D1359" i="47" a="1"/>
  <c r="D1359" i="47" s="1"/>
  <c r="D1482" i="47" a="1"/>
  <c r="D1482" i="47" s="1"/>
  <c r="D1600" i="47" a="1"/>
  <c r="D1600" i="47" s="1"/>
  <c r="D1785" i="47" a="1"/>
  <c r="D1785" i="47" s="1"/>
  <c r="D1571" i="47" a="1"/>
  <c r="D1571" i="47" s="1"/>
  <c r="D1748" i="47" a="1"/>
  <c r="D1748" i="47" s="1"/>
  <c r="D1675" i="47" a="1"/>
  <c r="D1675" i="47" s="1"/>
  <c r="D1901" i="47" a="1"/>
  <c r="D1901" i="47" s="1"/>
  <c r="D1250" i="47" a="1"/>
  <c r="D1250" i="47" s="1"/>
  <c r="D1495" i="47" a="1"/>
  <c r="D1495" i="47" s="1"/>
  <c r="D1633" i="47" a="1"/>
  <c r="D1633" i="47" s="1"/>
  <c r="D1746" i="47" a="1"/>
  <c r="D1746" i="47" s="1"/>
  <c r="D1878" i="47" a="1"/>
  <c r="D1878" i="47" s="1"/>
  <c r="D2023" i="47" a="1"/>
  <c r="D2023" i="47" s="1"/>
  <c r="D2230" i="47" a="1"/>
  <c r="D2230" i="47" s="1"/>
  <c r="D1817" i="47" a="1"/>
  <c r="D1817" i="47" s="1"/>
  <c r="D1980" i="47" a="1"/>
  <c r="D1980" i="47" s="1"/>
  <c r="D2245" i="47" a="1"/>
  <c r="D2245" i="47" s="1"/>
  <c r="D2223" i="47" a="1"/>
  <c r="D2223" i="47" s="1"/>
  <c r="D2018" i="47" a="1"/>
  <c r="D2018" i="47" s="1"/>
  <c r="D2226" i="47" a="1"/>
  <c r="D2226" i="47" s="1"/>
  <c r="D2079" i="47" a="1"/>
  <c r="D2079" i="47" s="1"/>
  <c r="D2201" i="47" a="1"/>
  <c r="D2201" i="47" s="1"/>
  <c r="D2053" i="47" a="1"/>
  <c r="D2053" i="47" s="1"/>
  <c r="D2184" i="47" a="1"/>
  <c r="D2184" i="47" s="1"/>
  <c r="D1842" i="47" a="1"/>
  <c r="D1842" i="47" s="1"/>
  <c r="D2117" i="47" a="1"/>
  <c r="D2117" i="47" s="1"/>
  <c r="D2227" i="47" a="1"/>
  <c r="D2227" i="47" s="1"/>
  <c r="D1824" i="47" a="1"/>
  <c r="D1824" i="47" s="1"/>
  <c r="D2095" i="47" a="1"/>
  <c r="D2095" i="47" s="1"/>
  <c r="D2321" i="47" a="1"/>
  <c r="D2321" i="47" s="1"/>
  <c r="D1769" i="47" a="1"/>
  <c r="D1769" i="47" s="1"/>
  <c r="D1833" i="47" a="1"/>
  <c r="D1833" i="47" s="1"/>
  <c r="D2343" i="47" a="1"/>
  <c r="D2343" i="47" s="1"/>
  <c r="D2427" i="47" a="1"/>
  <c r="D2427" i="47" s="1"/>
  <c r="D2145" i="47" a="1"/>
  <c r="D2145" i="47" s="1"/>
  <c r="D2238" i="47" a="1"/>
  <c r="D2238" i="47" s="1"/>
  <c r="D2407" i="47" a="1"/>
  <c r="D2407" i="47" s="1"/>
  <c r="D2496" i="47" a="1"/>
  <c r="D2496" i="47" s="1"/>
  <c r="D2151" i="47" a="1"/>
  <c r="D2151" i="47" s="1"/>
  <c r="D2418" i="47" a="1"/>
  <c r="D2418" i="47" s="1"/>
  <c r="D1969" i="47" a="1"/>
  <c r="D1969" i="47" s="1"/>
  <c r="D2082" i="47" a="1"/>
  <c r="D2082" i="47" s="1"/>
  <c r="D2258" i="47" a="1"/>
  <c r="D2258" i="47" s="1"/>
  <c r="D2410" i="47" a="1"/>
  <c r="D2410" i="47" s="1"/>
  <c r="D2401" i="47" a="1"/>
  <c r="D2401" i="47" s="1"/>
  <c r="D2352" i="47" a="1"/>
  <c r="D2352" i="47" s="1"/>
  <c r="D2475" i="47" a="1"/>
  <c r="D2475" i="47" s="1"/>
  <c r="D2026" i="47" a="1"/>
  <c r="D2026" i="47" s="1"/>
  <c r="D2357" i="47" a="1"/>
  <c r="D2357" i="47" s="1"/>
  <c r="D2448" i="47" a="1"/>
  <c r="D2448" i="47" s="1"/>
  <c r="D2346" i="47" a="1"/>
  <c r="D2346" i="47" s="1"/>
  <c r="D2443" i="47" a="1"/>
  <c r="D2443" i="47" s="1"/>
  <c r="D2372" i="47" a="1"/>
  <c r="D2372" i="47" s="1"/>
  <c r="D2503" i="47" a="1"/>
  <c r="D2503" i="47" s="1"/>
  <c r="D2088" i="47" a="1"/>
  <c r="D2088" i="47" s="1"/>
  <c r="D2322" i="47" a="1"/>
  <c r="D2322" i="47" s="1"/>
  <c r="D2460" i="47" a="1"/>
  <c r="D2460" i="47" s="1"/>
  <c r="D2231" i="47" a="1"/>
  <c r="D2231" i="47" s="1"/>
  <c r="D2384" i="47" a="1"/>
  <c r="D2384" i="47" s="1"/>
  <c r="D904" i="47" a="1"/>
  <c r="D904" i="47" s="1"/>
  <c r="D575" i="47" a="1"/>
  <c r="D575" i="47" s="1"/>
  <c r="D161" i="47" a="1"/>
  <c r="D161" i="47" s="1"/>
  <c r="D806" i="47" a="1"/>
  <c r="D806" i="47" s="1"/>
  <c r="D1298" i="47" a="1"/>
  <c r="D1298" i="47" s="1"/>
  <c r="D1388" i="47" a="1"/>
  <c r="D1388" i="47" s="1"/>
  <c r="D1170" i="47" a="1"/>
  <c r="D1170" i="47" s="1"/>
  <c r="D874" i="47" a="1"/>
  <c r="D874" i="47" s="1"/>
  <c r="D1073" i="47" a="1"/>
  <c r="D1073" i="47" s="1"/>
  <c r="D816" i="47" a="1"/>
  <c r="D816" i="47" s="1"/>
  <c r="D1169" i="47" a="1"/>
  <c r="D1169" i="47" s="1"/>
  <c r="D1899" i="47" a="1"/>
  <c r="D1899" i="47" s="1"/>
  <c r="D737" i="47" a="1"/>
  <c r="D737" i="47" s="1"/>
  <c r="D1049" i="47" a="1"/>
  <c r="D1049" i="47" s="1"/>
  <c r="D1346" i="47" a="1"/>
  <c r="D1346" i="47" s="1"/>
  <c r="D1595" i="47" a="1"/>
  <c r="D1595" i="47" s="1"/>
  <c r="D1404" i="47" a="1"/>
  <c r="D1404" i="47" s="1"/>
  <c r="D1521" i="47" a="1"/>
  <c r="D1521" i="47" s="1"/>
  <c r="D1551" i="47" a="1"/>
  <c r="D1551" i="47" s="1"/>
  <c r="D1259" i="47" a="1"/>
  <c r="D1259" i="47" s="1"/>
  <c r="D1408" i="47" a="1"/>
  <c r="D1408" i="47" s="1"/>
  <c r="D1645" i="47" a="1"/>
  <c r="D1645" i="47" s="1"/>
  <c r="D1625" i="47" a="1"/>
  <c r="D1625" i="47" s="1"/>
  <c r="D622" i="47" a="1"/>
  <c r="D622" i="47" s="1"/>
  <c r="D751" i="47" a="1"/>
  <c r="D751" i="47" s="1"/>
  <c r="D898" i="47" a="1"/>
  <c r="D898" i="47" s="1"/>
  <c r="D1056" i="47" a="1"/>
  <c r="D1056" i="47" s="1"/>
  <c r="D1366" i="47" a="1"/>
  <c r="D1366" i="47" s="1"/>
  <c r="D1492" i="47" a="1"/>
  <c r="D1492" i="47" s="1"/>
  <c r="D1545" i="47" a="1"/>
  <c r="D1545" i="47" s="1"/>
  <c r="D1636" i="47" a="1"/>
  <c r="D1636" i="47" s="1"/>
  <c r="D1798" i="47" a="1"/>
  <c r="D1798" i="47" s="1"/>
  <c r="D1994" i="47" a="1"/>
  <c r="D1994" i="47" s="1"/>
  <c r="D1891" i="47" a="1"/>
  <c r="D1891" i="47" s="1"/>
  <c r="D1570" i="47" a="1"/>
  <c r="D1570" i="47" s="1"/>
  <c r="D1737" i="47" a="1"/>
  <c r="D1737" i="47" s="1"/>
  <c r="D1009" i="47" a="1"/>
  <c r="D1009" i="47" s="1"/>
  <c r="D1191" i="47" a="1"/>
  <c r="D1191" i="47" s="1"/>
  <c r="D1323" i="47" a="1"/>
  <c r="D1323" i="47" s="1"/>
  <c r="D1433" i="47" a="1"/>
  <c r="D1433" i="47" s="1"/>
  <c r="D1517" i="47" a="1"/>
  <c r="D1517" i="47" s="1"/>
  <c r="D1812" i="47" a="1"/>
  <c r="D1812" i="47" s="1"/>
  <c r="D1733" i="47" a="1"/>
  <c r="D1733" i="47" s="1"/>
  <c r="D1939" i="47" a="1"/>
  <c r="D1939" i="47" s="1"/>
  <c r="D1487" i="47" a="1"/>
  <c r="D1487" i="47" s="1"/>
  <c r="D1583" i="47" a="1"/>
  <c r="D1583" i="47" s="1"/>
  <c r="D1850" i="47" a="1"/>
  <c r="D1850" i="47" s="1"/>
  <c r="D1271" i="47" a="1"/>
  <c r="D1271" i="47" s="1"/>
  <c r="D1497" i="47" a="1"/>
  <c r="D1497" i="47" s="1"/>
  <c r="D1608" i="47" a="1"/>
  <c r="D1608" i="47" s="1"/>
  <c r="D1797" i="47" a="1"/>
  <c r="D1797" i="47" s="1"/>
  <c r="D1577" i="47" a="1"/>
  <c r="D1577" i="47" s="1"/>
  <c r="D1751" i="47" a="1"/>
  <c r="D1751" i="47" s="1"/>
  <c r="D1882" i="47" a="1"/>
  <c r="D1882" i="47" s="1"/>
  <c r="D1683" i="47" a="1"/>
  <c r="D1683" i="47" s="1"/>
  <c r="D1909" i="47" a="1"/>
  <c r="D1909" i="47" s="1"/>
  <c r="D1274" i="47" a="1"/>
  <c r="D1274" i="47" s="1"/>
  <c r="D1505" i="47" a="1"/>
  <c r="D1505" i="47" s="1"/>
  <c r="D1638" i="47" a="1"/>
  <c r="D1638" i="47" s="1"/>
  <c r="D1759" i="47" a="1"/>
  <c r="D1759" i="47" s="1"/>
  <c r="D1893" i="47" a="1"/>
  <c r="D1893" i="47" s="1"/>
  <c r="D2044" i="47" a="1"/>
  <c r="D2044" i="47" s="1"/>
  <c r="D2235" i="47" a="1"/>
  <c r="D2235" i="47" s="1"/>
  <c r="D1822" i="47" a="1"/>
  <c r="D1822" i="47" s="1"/>
  <c r="D2255" i="47" a="1"/>
  <c r="D2255" i="47" s="1"/>
  <c r="D2243" i="47" a="1"/>
  <c r="D2243" i="47" s="1"/>
  <c r="D2021" i="47" a="1"/>
  <c r="D2021" i="47" s="1"/>
  <c r="D2236" i="47" a="1"/>
  <c r="D2236" i="47" s="1"/>
  <c r="D1775" i="47" a="1"/>
  <c r="D1775" i="47" s="1"/>
  <c r="D1953" i="47" a="1"/>
  <c r="D1953" i="47" s="1"/>
  <c r="D2099" i="47" a="1"/>
  <c r="D2099" i="47" s="1"/>
  <c r="D2241" i="47" a="1"/>
  <c r="D2241" i="47" s="1"/>
  <c r="D2256" i="47" a="1"/>
  <c r="D2256" i="47" s="1"/>
  <c r="D2063" i="47" a="1"/>
  <c r="D2063" i="47" s="1"/>
  <c r="D2244" i="47" a="1"/>
  <c r="D2244" i="47" s="1"/>
  <c r="D2006" i="47" a="1"/>
  <c r="D2006" i="47" s="1"/>
  <c r="D2122" i="47" a="1"/>
  <c r="D2122" i="47" s="1"/>
  <c r="D2254" i="47" a="1"/>
  <c r="D2254" i="47" s="1"/>
  <c r="D2247" i="47" a="1"/>
  <c r="D2247" i="47" s="1"/>
  <c r="D1663" i="47" a="1"/>
  <c r="D1663" i="47" s="1"/>
  <c r="D1849" i="47" a="1"/>
  <c r="D1849" i="47" s="1"/>
  <c r="D1933" i="47" a="1"/>
  <c r="D1933" i="47" s="1"/>
  <c r="D2100" i="47" a="1"/>
  <c r="D2100" i="47" s="1"/>
  <c r="D2340" i="47" a="1"/>
  <c r="D2340" i="47" s="1"/>
  <c r="D1779" i="47" a="1"/>
  <c r="D1779" i="47" s="1"/>
  <c r="D1840" i="47" a="1"/>
  <c r="D1840" i="47" s="1"/>
  <c r="D1926" i="47" a="1"/>
  <c r="D1926" i="47" s="1"/>
  <c r="D2130" i="47" a="1"/>
  <c r="D2130" i="47" s="1"/>
  <c r="D2361" i="47" a="1"/>
  <c r="D2361" i="47" s="1"/>
  <c r="D2437" i="47" a="1"/>
  <c r="D2437" i="47" s="1"/>
  <c r="D2158" i="47" a="1"/>
  <c r="D2158" i="47" s="1"/>
  <c r="D2425" i="47" a="1"/>
  <c r="D2425" i="47" s="1"/>
  <c r="D2156" i="47" a="1"/>
  <c r="D2156" i="47" s="1"/>
  <c r="D2305" i="47" a="1"/>
  <c r="D2305" i="47" s="1"/>
  <c r="D2420" i="47" a="1"/>
  <c r="D2420" i="47" s="1"/>
  <c r="D1974" i="47" a="1"/>
  <c r="D1974" i="47" s="1"/>
  <c r="D2089" i="47" a="1"/>
  <c r="D2089" i="47" s="1"/>
  <c r="D2270" i="47" a="1"/>
  <c r="D2270" i="47" s="1"/>
  <c r="D2416" i="47" a="1"/>
  <c r="D2416" i="47" s="1"/>
  <c r="D2405" i="47" a="1"/>
  <c r="D2405" i="47" s="1"/>
  <c r="D2365" i="47" a="1"/>
  <c r="D2365" i="47" s="1"/>
  <c r="D2485" i="47" a="1"/>
  <c r="D2485" i="47" s="1"/>
  <c r="D2031" i="47" a="1"/>
  <c r="D2031" i="47" s="1"/>
  <c r="D2139" i="47" a="1"/>
  <c r="D2139" i="47" s="1"/>
  <c r="D2219" i="47" a="1"/>
  <c r="D2219" i="47" s="1"/>
  <c r="D2289" i="47" a="1"/>
  <c r="D2289" i="47" s="1"/>
  <c r="D2450" i="47" a="1"/>
  <c r="D2450" i="47" s="1"/>
  <c r="D2348" i="47" a="1"/>
  <c r="D2348" i="47" s="1"/>
  <c r="D2457" i="47" a="1"/>
  <c r="D2457" i="47" s="1"/>
  <c r="D2376" i="47" a="1"/>
  <c r="D2376" i="47" s="1"/>
  <c r="D2508" i="47" a="1"/>
  <c r="D2508" i="47" s="1"/>
  <c r="D1981" i="47" a="1"/>
  <c r="D1981" i="47" s="1"/>
  <c r="D2090" i="47" a="1"/>
  <c r="D2090" i="47" s="1"/>
  <c r="D2233" i="47" a="1"/>
  <c r="D2233" i="47" s="1"/>
  <c r="D2330" i="47" a="1"/>
  <c r="D2330" i="47" s="1"/>
  <c r="D2481" i="47" a="1"/>
  <c r="D2481" i="47" s="1"/>
  <c r="D2402" i="47" a="1"/>
  <c r="D2402" i="47" s="1"/>
  <c r="D346" i="47" a="1"/>
  <c r="D346" i="47" s="1"/>
  <c r="D75" i="47" a="1"/>
  <c r="D75" i="47" s="1"/>
  <c r="D698" i="47" a="1"/>
  <c r="D698" i="47" s="1"/>
  <c r="D1042" i="47" a="1"/>
  <c r="D1042" i="47" s="1"/>
  <c r="D1379" i="47" a="1"/>
  <c r="D1379" i="47" s="1"/>
  <c r="D795" i="47" a="1"/>
  <c r="D795" i="47" s="1"/>
  <c r="D1277" i="47" a="1"/>
  <c r="D1277" i="47" s="1"/>
  <c r="D1196" i="47" a="1"/>
  <c r="D1196" i="47" s="1"/>
  <c r="D1089" i="47" a="1"/>
  <c r="D1089" i="47" s="1"/>
  <c r="D1316" i="47" a="1"/>
  <c r="D1316" i="47" s="1"/>
  <c r="D958" i="47" a="1"/>
  <c r="D958" i="47" s="1"/>
  <c r="D1182" i="47" a="1"/>
  <c r="D1182" i="47" s="1"/>
  <c r="D749" i="47" a="1"/>
  <c r="D749" i="47" s="1"/>
  <c r="D903" i="47" a="1"/>
  <c r="D903" i="47" s="1"/>
  <c r="D1193" i="47" a="1"/>
  <c r="D1193" i="47" s="1"/>
  <c r="D1353" i="47" a="1"/>
  <c r="D1353" i="47" s="1"/>
  <c r="D1543" i="47" a="1"/>
  <c r="D1543" i="47" s="1"/>
  <c r="D1618" i="47" a="1"/>
  <c r="D1618" i="47" s="1"/>
  <c r="D1686" i="47" a="1"/>
  <c r="D1686" i="47" s="1"/>
  <c r="D1302" i="47" a="1"/>
  <c r="D1302" i="47" s="1"/>
  <c r="D1533" i="47" a="1"/>
  <c r="D1533" i="47" s="1"/>
  <c r="D1091" i="47" a="1"/>
  <c r="D1091" i="47" s="1"/>
  <c r="D1267" i="47" a="1"/>
  <c r="D1267" i="47" s="1"/>
  <c r="D1413" i="47" a="1"/>
  <c r="D1413" i="47" s="1"/>
  <c r="D1416" i="47" a="1"/>
  <c r="D1416" i="47" s="1"/>
  <c r="D1630" i="47" a="1"/>
  <c r="D1630" i="47" s="1"/>
  <c r="D624" i="47" a="1"/>
  <c r="D624" i="47" s="1"/>
  <c r="D755" i="47" a="1"/>
  <c r="D755" i="47" s="1"/>
  <c r="D905" i="47" a="1"/>
  <c r="D905" i="47" s="1"/>
  <c r="D1225" i="47" a="1"/>
  <c r="D1225" i="47" s="1"/>
  <c r="D1650" i="47" a="1"/>
  <c r="D1650" i="47" s="1"/>
  <c r="D1823" i="47" a="1"/>
  <c r="D1823" i="47" s="1"/>
  <c r="D2073" i="47" a="1"/>
  <c r="D2073" i="47" s="1"/>
  <c r="D1935" i="47" a="1"/>
  <c r="D1935" i="47" s="1"/>
  <c r="D1496" i="47" a="1"/>
  <c r="D1496" i="47" s="1"/>
  <c r="D1592" i="47" a="1"/>
  <c r="D1592" i="47" s="1"/>
  <c r="D1747" i="47" a="1"/>
  <c r="D1747" i="47" s="1"/>
  <c r="D929" i="47" a="1"/>
  <c r="D929" i="47" s="1"/>
  <c r="D1043" i="47" a="1"/>
  <c r="D1043" i="47" s="1"/>
  <c r="D1198" i="47" a="1"/>
  <c r="D1198" i="47" s="1"/>
  <c r="D1330" i="47" a="1"/>
  <c r="D1330" i="47" s="1"/>
  <c r="D1442" i="47" a="1"/>
  <c r="D1442" i="47" s="1"/>
  <c r="D1534" i="47" a="1"/>
  <c r="D1534" i="47" s="1"/>
  <c r="D1730" i="47" a="1"/>
  <c r="D1730" i="47" s="1"/>
  <c r="D1816" i="47" a="1"/>
  <c r="D1816" i="47" s="1"/>
  <c r="D1944" i="47" a="1"/>
  <c r="D1944" i="47" s="1"/>
  <c r="D1772" i="47" a="1"/>
  <c r="D1772" i="47" s="1"/>
  <c r="D2046" i="47" a="1"/>
  <c r="D2046" i="47" s="1"/>
  <c r="D1588" i="47" a="1"/>
  <c r="D1588" i="47" s="1"/>
  <c r="D1276" i="47" a="1"/>
  <c r="D1276" i="47" s="1"/>
  <c r="D1392" i="47" a="1"/>
  <c r="D1392" i="47" s="1"/>
  <c r="D1507" i="47" a="1"/>
  <c r="D1507" i="47" s="1"/>
  <c r="D1613" i="47" a="1"/>
  <c r="D1613" i="47" s="1"/>
  <c r="D1810" i="47" a="1"/>
  <c r="D1810" i="47" s="1"/>
  <c r="D1593" i="47" a="1"/>
  <c r="D1593" i="47" s="1"/>
  <c r="D1767" i="47" a="1"/>
  <c r="D1767" i="47" s="1"/>
  <c r="D1710" i="47" a="1"/>
  <c r="D1710" i="47" s="1"/>
  <c r="D1912" i="47" a="1"/>
  <c r="D1912" i="47" s="1"/>
  <c r="D1284" i="47" a="1"/>
  <c r="D1284" i="47" s="1"/>
  <c r="D1370" i="47" a="1"/>
  <c r="D1370" i="47" s="1"/>
  <c r="D1524" i="47" a="1"/>
  <c r="D1524" i="47" s="1"/>
  <c r="D1773" i="47" a="1"/>
  <c r="D1773" i="47" s="1"/>
  <c r="D2068" i="47" a="1"/>
  <c r="D2068" i="47" s="1"/>
  <c r="D2250" i="47" a="1"/>
  <c r="D2250" i="47" s="1"/>
  <c r="D1729" i="47" a="1"/>
  <c r="D1729" i="47" s="1"/>
  <c r="D1836" i="47" a="1"/>
  <c r="D1836" i="47" s="1"/>
  <c r="D2276" i="47" a="1"/>
  <c r="D2276" i="47" s="1"/>
  <c r="D2269" i="47" a="1"/>
  <c r="D2269" i="47" s="1"/>
  <c r="D2024" i="47" a="1"/>
  <c r="D2024" i="47" s="1"/>
  <c r="D1793" i="47" a="1"/>
  <c r="D1793" i="47" s="1"/>
  <c r="D1958" i="47" a="1"/>
  <c r="D1958" i="47" s="1"/>
  <c r="D2119" i="47" a="1"/>
  <c r="D2119" i="47" s="1"/>
  <c r="D2246" i="47" a="1"/>
  <c r="D2246" i="47" s="1"/>
  <c r="D2334" i="47" a="1"/>
  <c r="D2334" i="47" s="1"/>
  <c r="D2072" i="47" a="1"/>
  <c r="D2072" i="47" s="1"/>
  <c r="D2301" i="47" a="1"/>
  <c r="D2301" i="47" s="1"/>
  <c r="D1892" i="47" a="1"/>
  <c r="D1892" i="47" s="1"/>
  <c r="D2009" i="47" a="1"/>
  <c r="D2009" i="47" s="1"/>
  <c r="D2137" i="47" a="1"/>
  <c r="D2137" i="47" s="1"/>
  <c r="D2265" i="47" a="1"/>
  <c r="D2265" i="47" s="1"/>
  <c r="D2259" i="47" a="1"/>
  <c r="D2259" i="47" s="1"/>
  <c r="D1669" i="47" a="1"/>
  <c r="D1669" i="47" s="1"/>
  <c r="D1854" i="47" a="1"/>
  <c r="D1854" i="47" s="1"/>
  <c r="D1949" i="47" a="1"/>
  <c r="D1949" i="47" s="1"/>
  <c r="D2115" i="47" a="1"/>
  <c r="D2115" i="47" s="1"/>
  <c r="D1790" i="47" a="1"/>
  <c r="D1790" i="47" s="1"/>
  <c r="D1847" i="47" a="1"/>
  <c r="D1847" i="47" s="1"/>
  <c r="D2140" i="47" a="1"/>
  <c r="D2140" i="47" s="1"/>
  <c r="D2380" i="47" a="1"/>
  <c r="D2380" i="47" s="1"/>
  <c r="D2451" i="47" a="1"/>
  <c r="D2451" i="47" s="1"/>
  <c r="D2171" i="47" a="1"/>
  <c r="D2171" i="47" s="1"/>
  <c r="D2253" i="47" a="1"/>
  <c r="D2253" i="47" s="1"/>
  <c r="D2347" i="47" a="1"/>
  <c r="D2347" i="47" s="1"/>
  <c r="D2509" i="47" a="1"/>
  <c r="D2509" i="47" s="1"/>
  <c r="D1952" i="47" a="1"/>
  <c r="D1952" i="47" s="1"/>
  <c r="D2093" i="47" a="1"/>
  <c r="D2093" i="47" s="1"/>
  <c r="D2316" i="47" a="1"/>
  <c r="D2316" i="47" s="1"/>
  <c r="D2423" i="47" a="1"/>
  <c r="D2423" i="47" s="1"/>
  <c r="D1987" i="47" a="1"/>
  <c r="D1987" i="47" s="1"/>
  <c r="D2103" i="47" a="1"/>
  <c r="D2103" i="47" s="1"/>
  <c r="D2408" i="47" a="1"/>
  <c r="D2408" i="47" s="1"/>
  <c r="D2378" i="47" a="1"/>
  <c r="D2378" i="47" s="1"/>
  <c r="D2057" i="47" a="1"/>
  <c r="D2057" i="47" s="1"/>
  <c r="D2149" i="47" a="1"/>
  <c r="D2149" i="47" s="1"/>
  <c r="D2221" i="47" a="1"/>
  <c r="D2221" i="47" s="1"/>
  <c r="D2296" i="47" a="1"/>
  <c r="D2296" i="47" s="1"/>
  <c r="D2367" i="47" a="1"/>
  <c r="D2367" i="47" s="1"/>
  <c r="D2493" i="47" a="1"/>
  <c r="D2493" i="47" s="1"/>
  <c r="D2468" i="47" a="1"/>
  <c r="D2468" i="47" s="1"/>
  <c r="D2390" i="47" a="1"/>
  <c r="D2390" i="47" s="1"/>
  <c r="D2097" i="47" a="1"/>
  <c r="D2097" i="47" s="1"/>
  <c r="D2242" i="47" a="1"/>
  <c r="D2242" i="47" s="1"/>
  <c r="D2344" i="47" a="1"/>
  <c r="D2344" i="47" s="1"/>
  <c r="D2486" i="47" a="1"/>
  <c r="D2486" i="47" s="1"/>
  <c r="D2409" i="47" a="1"/>
  <c r="D2409" i="47" s="1"/>
  <c r="D589" i="47" a="1"/>
  <c r="D589" i="47" s="1"/>
  <c r="D484" i="47" a="1"/>
  <c r="D484" i="47" s="1"/>
  <c r="D1345" i="47" a="1"/>
  <c r="D1345" i="47" s="1"/>
  <c r="D844" i="47" a="1"/>
  <c r="D844" i="47" s="1"/>
  <c r="D1187" i="47" a="1"/>
  <c r="D1187" i="47" s="1"/>
  <c r="D603" i="47" a="1"/>
  <c r="D603" i="47" s="1"/>
  <c r="D768" i="47" a="1"/>
  <c r="D768" i="47" s="1"/>
  <c r="D1070" i="47" a="1"/>
  <c r="D1070" i="47" s="1"/>
  <c r="D1218" i="47" a="1"/>
  <c r="D1218" i="47" s="1"/>
  <c r="D1377" i="47" a="1"/>
  <c r="D1377" i="47" s="1"/>
  <c r="D1548" i="47" a="1"/>
  <c r="D1548" i="47" s="1"/>
  <c r="D1660" i="47" a="1"/>
  <c r="D1660" i="47" s="1"/>
  <c r="D1318" i="47" a="1"/>
  <c r="D1318" i="47" s="1"/>
  <c r="D1541" i="47" a="1"/>
  <c r="D1541" i="47" s="1"/>
  <c r="D1349" i="47" a="1"/>
  <c r="D1349" i="47" s="1"/>
  <c r="D1567" i="47" a="1"/>
  <c r="D1567" i="47" s="1"/>
  <c r="D1098" i="47" a="1"/>
  <c r="D1098" i="47" s="1"/>
  <c r="D1282" i="47" a="1"/>
  <c r="D1282" i="47" s="1"/>
  <c r="D1411" i="47" a="1"/>
  <c r="D1411" i="47" s="1"/>
  <c r="D631" i="47" a="1"/>
  <c r="D631" i="47" s="1"/>
  <c r="D799" i="47" a="1"/>
  <c r="D799" i="47" s="1"/>
  <c r="D917" i="47" a="1"/>
  <c r="D917" i="47" s="1"/>
  <c r="D1082" i="47" a="1"/>
  <c r="D1082" i="47" s="1"/>
  <c r="D1232" i="47" a="1"/>
  <c r="D1232" i="47" s="1"/>
  <c r="D1511" i="47" a="1"/>
  <c r="D1511" i="47" s="1"/>
  <c r="D1615" i="47" a="1"/>
  <c r="D1615" i="47" s="1"/>
  <c r="D1828" i="47" a="1"/>
  <c r="D1828" i="47" s="1"/>
  <c r="D1708" i="47" a="1"/>
  <c r="D1708" i="47" s="1"/>
  <c r="D1957" i="47" a="1"/>
  <c r="D1957" i="47" s="1"/>
  <c r="D1506" i="47" a="1"/>
  <c r="D1506" i="47" s="1"/>
  <c r="D1801" i="47" a="1"/>
  <c r="D1801" i="47" s="1"/>
  <c r="D1602" i="47" a="1"/>
  <c r="D1602" i="47" s="1"/>
  <c r="D1760" i="47" a="1"/>
  <c r="D1760" i="47" s="1"/>
  <c r="D934" i="47" a="1"/>
  <c r="D934" i="47" s="1"/>
  <c r="D1050" i="47" a="1"/>
  <c r="D1050" i="47" s="1"/>
  <c r="D1210" i="47" a="1"/>
  <c r="D1210" i="47" s="1"/>
  <c r="D1339" i="47" a="1"/>
  <c r="D1339" i="47" s="1"/>
  <c r="D1834" i="47" a="1"/>
  <c r="D1834" i="47" s="1"/>
  <c r="D1950" i="47" a="1"/>
  <c r="D1950" i="47" s="1"/>
  <c r="D1780" i="47" a="1"/>
  <c r="D1780" i="47" s="1"/>
  <c r="D2080" i="47" a="1"/>
  <c r="D2080" i="47" s="1"/>
  <c r="D1728" i="47" a="1"/>
  <c r="D1728" i="47" s="1"/>
  <c r="D1394" i="47" a="1"/>
  <c r="D1394" i="47" s="1"/>
  <c r="D1512" i="47" a="1"/>
  <c r="D1512" i="47" s="1"/>
  <c r="D1621" i="47" a="1"/>
  <c r="D1621" i="47" s="1"/>
  <c r="D1832" i="47" a="1"/>
  <c r="D1832" i="47" s="1"/>
  <c r="D1598" i="47" a="1"/>
  <c r="D1598" i="47" s="1"/>
  <c r="D1770" i="47" a="1"/>
  <c r="D1770" i="47" s="1"/>
  <c r="D1741" i="47" a="1"/>
  <c r="D1741" i="47" s="1"/>
  <c r="D1921" i="47" a="1"/>
  <c r="D1921" i="47" s="1"/>
  <c r="D1287" i="47" a="1"/>
  <c r="D1287" i="47" s="1"/>
  <c r="D1378" i="47" a="1"/>
  <c r="D1378" i="47" s="1"/>
  <c r="D1527" i="47" a="1"/>
  <c r="D1527" i="47" s="1"/>
  <c r="D1662" i="47" a="1"/>
  <c r="D1662" i="47" s="1"/>
  <c r="D1783" i="47" a="1"/>
  <c r="D1783" i="47" s="1"/>
  <c r="D1924" i="47" a="1"/>
  <c r="D1924" i="47" s="1"/>
  <c r="D2078" i="47" a="1"/>
  <c r="D2078" i="47" s="1"/>
  <c r="D1736" i="47" a="1"/>
  <c r="D1736" i="47" s="1"/>
  <c r="D1843" i="47" a="1"/>
  <c r="D1843" i="47" s="1"/>
  <c r="D2029" i="47" a="1"/>
  <c r="D2029" i="47" s="1"/>
  <c r="D2279" i="47" a="1"/>
  <c r="D2279" i="47" s="1"/>
  <c r="D2116" i="47" a="1"/>
  <c r="D2116" i="47" s="1"/>
  <c r="D2300" i="47" a="1"/>
  <c r="D2300" i="47" s="1"/>
  <c r="D2315" i="47" a="1"/>
  <c r="D2315" i="47" s="1"/>
  <c r="D1825" i="47" a="1"/>
  <c r="D1825" i="47" s="1"/>
  <c r="D1965" i="47" a="1"/>
  <c r="D1965" i="47" s="1"/>
  <c r="D2124" i="47" a="1"/>
  <c r="D2124" i="47" s="1"/>
  <c r="D2251" i="47" a="1"/>
  <c r="D2251" i="47" s="1"/>
  <c r="D1968" i="47" a="1"/>
  <c r="D1968" i="47" s="1"/>
  <c r="D2366" i="47" a="1"/>
  <c r="D2366" i="47" s="1"/>
  <c r="D1904" i="47" a="1"/>
  <c r="D1904" i="47" s="1"/>
  <c r="D2012" i="47" a="1"/>
  <c r="D2012" i="47" s="1"/>
  <c r="D2278" i="47" a="1"/>
  <c r="D2278" i="47" s="1"/>
  <c r="D1676" i="47" a="1"/>
  <c r="D1676" i="47" s="1"/>
  <c r="D1856" i="47" a="1"/>
  <c r="D1856" i="47" s="1"/>
  <c r="D1954" i="47" a="1"/>
  <c r="D1954" i="47" s="1"/>
  <c r="D2125" i="47" a="1"/>
  <c r="D2125" i="47" s="1"/>
  <c r="D1717" i="47" a="1"/>
  <c r="D1717" i="47" s="1"/>
  <c r="D1794" i="47" a="1"/>
  <c r="D1794" i="47" s="1"/>
  <c r="D1941" i="47" a="1"/>
  <c r="D1941" i="47" s="1"/>
  <c r="D2159" i="47" a="1"/>
  <c r="D2159" i="47" s="1"/>
  <c r="D2333" i="47" a="1"/>
  <c r="D2333" i="47" s="1"/>
  <c r="D2458" i="47" a="1"/>
  <c r="D2458" i="47" s="1"/>
  <c r="D2176" i="47" a="1"/>
  <c r="D2176" i="47" s="1"/>
  <c r="D2260" i="47" a="1"/>
  <c r="D2260" i="47" s="1"/>
  <c r="D2349" i="47" a="1"/>
  <c r="D2349" i="47" s="1"/>
  <c r="D2444" i="47" a="1"/>
  <c r="D2444" i="47" s="1"/>
  <c r="D2393" i="47" a="1"/>
  <c r="D2393" i="47" s="1"/>
  <c r="D2098" i="47" a="1"/>
  <c r="D2098" i="47" s="1"/>
  <c r="D2183" i="47" a="1"/>
  <c r="D2183" i="47" s="1"/>
  <c r="D2323" i="47" a="1"/>
  <c r="D2323" i="47" s="1"/>
  <c r="D1995" i="47" a="1"/>
  <c r="D1995" i="47" s="1"/>
  <c r="D2143" i="47" a="1"/>
  <c r="D2143" i="47" s="1"/>
  <c r="D2428" i="47" a="1"/>
  <c r="D2428" i="47" s="1"/>
  <c r="D2385" i="47" a="1"/>
  <c r="D2385" i="47" s="1"/>
  <c r="D1955" i="47" a="1"/>
  <c r="D1955" i="47" s="1"/>
  <c r="D2062" i="47" a="1"/>
  <c r="D2062" i="47" s="1"/>
  <c r="D2154" i="47" a="1"/>
  <c r="D2154" i="47" s="1"/>
  <c r="D2228" i="47" a="1"/>
  <c r="D2228" i="47" s="1"/>
  <c r="D2369" i="47" a="1"/>
  <c r="D2369" i="47" s="1"/>
  <c r="D2495" i="47" a="1"/>
  <c r="D2495" i="47" s="1"/>
  <c r="D2478" i="47" a="1"/>
  <c r="D2478" i="47" s="1"/>
  <c r="D2392" i="47" a="1"/>
  <c r="D2392" i="47" s="1"/>
  <c r="D1907" i="47" a="1"/>
  <c r="D1907" i="47" s="1"/>
  <c r="D1991" i="47" a="1"/>
  <c r="D1991" i="47" s="1"/>
  <c r="D2104" i="47" a="1"/>
  <c r="D2104" i="47" s="1"/>
  <c r="D2248" i="47" a="1"/>
  <c r="D2248" i="47" s="1"/>
  <c r="D2353" i="47" a="1"/>
  <c r="D2353" i="47" s="1"/>
  <c r="D2491" i="47" a="1"/>
  <c r="D2491" i="47" s="1"/>
  <c r="D2267" i="47" a="1"/>
  <c r="D2267" i="47" s="1"/>
  <c r="D2415" i="47" a="1"/>
  <c r="D2415" i="47" s="1"/>
  <c r="D490" i="47" a="1"/>
  <c r="D490" i="47" s="1"/>
  <c r="D777" i="47" a="1"/>
  <c r="D777" i="47" s="1"/>
  <c r="D130" i="47" a="1"/>
  <c r="D130" i="47" s="1"/>
  <c r="D637" i="47" a="1"/>
  <c r="D637" i="47" s="1"/>
  <c r="D1406" i="47" a="1"/>
  <c r="D1406" i="47" s="1"/>
  <c r="D1432" i="47" a="1"/>
  <c r="D1432" i="47" s="1"/>
  <c r="D859" i="47" a="1"/>
  <c r="D859" i="47" s="1"/>
  <c r="D1001" i="47" a="1"/>
  <c r="D1001" i="47" s="1"/>
  <c r="D1233" i="47" a="1"/>
  <c r="D1233" i="47" s="1"/>
  <c r="D1235" i="47" a="1"/>
  <c r="D1235" i="47" s="1"/>
  <c r="D1390" i="47" a="1"/>
  <c r="D1390" i="47" s="1"/>
  <c r="D1550" i="47" a="1"/>
  <c r="D1550" i="47" s="1"/>
  <c r="D1307" i="47" a="1"/>
  <c r="D1307" i="47" s="1"/>
  <c r="D1428" i="47" a="1"/>
  <c r="D1428" i="47" s="1"/>
  <c r="D1876" i="47" a="1"/>
  <c r="D1876" i="47" s="1"/>
  <c r="D1325" i="47" a="1"/>
  <c r="D1325" i="47" s="1"/>
  <c r="D1561" i="47" a="1"/>
  <c r="D1561" i="47" s="1"/>
  <c r="D1375" i="47" a="1"/>
  <c r="D1375" i="47" s="1"/>
  <c r="D1604" i="47" a="1"/>
  <c r="D1604" i="47" s="1"/>
  <c r="D933" i="47" a="1"/>
  <c r="D933" i="47" s="1"/>
  <c r="D1124" i="47" a="1"/>
  <c r="D1124" i="47" s="1"/>
  <c r="D1295" i="47" a="1"/>
  <c r="D1295" i="47" s="1"/>
  <c r="D1441" i="47" a="1"/>
  <c r="D1441" i="47" s="1"/>
  <c r="D1489" i="47" a="1"/>
  <c r="D1489" i="47" s="1"/>
  <c r="D1427" i="47" a="1"/>
  <c r="D1427" i="47" s="1"/>
  <c r="D642" i="47" a="1"/>
  <c r="D642" i="47" s="1"/>
  <c r="D801" i="47" a="1"/>
  <c r="D801" i="47" s="1"/>
  <c r="D1096" i="47" a="1"/>
  <c r="D1096" i="47" s="1"/>
  <c r="D1252" i="47" a="1"/>
  <c r="D1252" i="47" s="1"/>
  <c r="D1387" i="47" a="1"/>
  <c r="D1387" i="47" s="1"/>
  <c r="D1529" i="47" a="1"/>
  <c r="D1529" i="47" s="1"/>
  <c r="D1977" i="47" a="1"/>
  <c r="D1977" i="47" s="1"/>
  <c r="D1681" i="47" a="1"/>
  <c r="D1681" i="47" s="1"/>
  <c r="D1841" i="47" a="1"/>
  <c r="D1841" i="47" s="1"/>
  <c r="D1727" i="47" a="1"/>
  <c r="D1727" i="47" s="1"/>
  <c r="D1983" i="47" a="1"/>
  <c r="D1983" i="47" s="1"/>
  <c r="D1531" i="47" a="1"/>
  <c r="D1531" i="47" s="1"/>
  <c r="D1809" i="47" a="1"/>
  <c r="D1809" i="47" s="1"/>
  <c r="D1607" i="47" a="1"/>
  <c r="D1607" i="47" s="1"/>
  <c r="D1804" i="47" a="1"/>
  <c r="D1804" i="47" s="1"/>
  <c r="D951" i="47" a="1"/>
  <c r="D951" i="47" s="1"/>
  <c r="D1055" i="47" a="1"/>
  <c r="D1055" i="47" s="1"/>
  <c r="D1223" i="47" a="1"/>
  <c r="D1223" i="47" s="1"/>
  <c r="D1341" i="47" a="1"/>
  <c r="D1341" i="47" s="1"/>
  <c r="D1449" i="47" a="1"/>
  <c r="D1449" i="47" s="1"/>
  <c r="D1590" i="47" a="1"/>
  <c r="D1590" i="47" s="1"/>
  <c r="D1735" i="47" a="1"/>
  <c r="D1735" i="47" s="1"/>
  <c r="D1837" i="47" a="1"/>
  <c r="D1837" i="47" s="1"/>
  <c r="D1970" i="47" a="1"/>
  <c r="D1970" i="47" s="1"/>
  <c r="D1782" i="47" a="1"/>
  <c r="D1782" i="47" s="1"/>
  <c r="D2188" i="47" a="1"/>
  <c r="D2188" i="47" s="1"/>
  <c r="D1616" i="47" a="1"/>
  <c r="D1616" i="47" s="1"/>
  <c r="D1743" i="47" a="1"/>
  <c r="D1743" i="47" s="1"/>
  <c r="D1291" i="47" a="1"/>
  <c r="D1291" i="47" s="1"/>
  <c r="D1520" i="47" a="1"/>
  <c r="D1520" i="47" s="1"/>
  <c r="D1640" i="47" a="1"/>
  <c r="D1640" i="47" s="1"/>
  <c r="D1853" i="47" a="1"/>
  <c r="D1853" i="47" s="1"/>
  <c r="D1603" i="47" a="1"/>
  <c r="D1603" i="47" s="1"/>
  <c r="D1778" i="47" a="1"/>
  <c r="D1778" i="47" s="1"/>
  <c r="D1906" i="47" a="1"/>
  <c r="D1906" i="47" s="1"/>
  <c r="D1765" i="47" a="1"/>
  <c r="D1765" i="47" s="1"/>
  <c r="D1929" i="47" a="1"/>
  <c r="D1929" i="47" s="1"/>
  <c r="D1299" i="47" a="1"/>
  <c r="D1299" i="47" s="1"/>
  <c r="D1397" i="47" a="1"/>
  <c r="D1397" i="47" s="1"/>
  <c r="D1547" i="47" a="1"/>
  <c r="D1547" i="47" s="1"/>
  <c r="D1795" i="47" a="1"/>
  <c r="D1795" i="47" s="1"/>
  <c r="D1959" i="47" a="1"/>
  <c r="D1959" i="47" s="1"/>
  <c r="D2086" i="47" a="1"/>
  <c r="D2086" i="47" s="1"/>
  <c r="D1649" i="47" a="1"/>
  <c r="D1649" i="47" s="1"/>
  <c r="D1738" i="47" a="1"/>
  <c r="D1738" i="47" s="1"/>
  <c r="D1852" i="47" a="1"/>
  <c r="D1852" i="47" s="1"/>
  <c r="D2034" i="47" a="1"/>
  <c r="D2034" i="47" s="1"/>
  <c r="D2308" i="47" a="1"/>
  <c r="D2308" i="47" s="1"/>
  <c r="D2121" i="47" a="1"/>
  <c r="D2121" i="47" s="1"/>
  <c r="D2303" i="47" a="1"/>
  <c r="D2303" i="47" s="1"/>
  <c r="D2050" i="47" a="1"/>
  <c r="D2050" i="47" s="1"/>
  <c r="D1839" i="47" a="1"/>
  <c r="D1839" i="47" s="1"/>
  <c r="D1986" i="47" a="1"/>
  <c r="D1986" i="47" s="1"/>
  <c r="D2129" i="47" a="1"/>
  <c r="D2129" i="47" s="1"/>
  <c r="D2277" i="47" a="1"/>
  <c r="D2277" i="47" s="1"/>
  <c r="D1973" i="47" a="1"/>
  <c r="D1973" i="47" s="1"/>
  <c r="D2085" i="47" a="1"/>
  <c r="D2085" i="47" s="1"/>
  <c r="D2022" i="47" a="1"/>
  <c r="D2022" i="47" s="1"/>
  <c r="D2329" i="47" a="1"/>
  <c r="D2329" i="47" s="1"/>
  <c r="D1706" i="47" a="1"/>
  <c r="D1706" i="47" s="1"/>
  <c r="D2132" i="47" a="1"/>
  <c r="D2132" i="47" s="1"/>
  <c r="D2170" i="47" a="1"/>
  <c r="D2170" i="47" s="1"/>
  <c r="D2342" i="47" a="1"/>
  <c r="D2342" i="47" s="1"/>
  <c r="D2466" i="47" a="1"/>
  <c r="D2466" i="47" s="1"/>
  <c r="D2187" i="47" a="1"/>
  <c r="D2187" i="47" s="1"/>
  <c r="D2272" i="47" a="1"/>
  <c r="D2272" i="47" s="1"/>
  <c r="D2351" i="47" a="1"/>
  <c r="D2351" i="47" s="1"/>
  <c r="D2449" i="47" a="1"/>
  <c r="D2449" i="47" s="1"/>
  <c r="D2396" i="47" a="1"/>
  <c r="D2396" i="47" s="1"/>
  <c r="D2105" i="47" a="1"/>
  <c r="D2105" i="47" s="1"/>
  <c r="D2185" i="47" a="1"/>
  <c r="D2185" i="47" s="1"/>
  <c r="D2440" i="47" a="1"/>
  <c r="D2440" i="47" s="1"/>
  <c r="D2000" i="47" a="1"/>
  <c r="D2000" i="47" s="1"/>
  <c r="D2310" i="47" a="1"/>
  <c r="D2310" i="47" s="1"/>
  <c r="D2430" i="47" a="1"/>
  <c r="D2430" i="47" s="1"/>
  <c r="D2472" i="47" a="1"/>
  <c r="D2472" i="47" s="1"/>
  <c r="D2394" i="47" a="1"/>
  <c r="D2394" i="47" s="1"/>
  <c r="D2157" i="47" a="1"/>
  <c r="D2157" i="47" s="1"/>
  <c r="D2237" i="47" a="1"/>
  <c r="D2237" i="47" s="1"/>
  <c r="D2306" i="47" a="1"/>
  <c r="D2306" i="47" s="1"/>
  <c r="D2383" i="47" a="1"/>
  <c r="D2383" i="47" s="1"/>
  <c r="D2505" i="47" a="1"/>
  <c r="D2505" i="47" s="1"/>
  <c r="D2362" i="47" a="1"/>
  <c r="D2362" i="47" s="1"/>
  <c r="D2483" i="47" a="1"/>
  <c r="D2483" i="47" s="1"/>
  <c r="D2406" i="47" a="1"/>
  <c r="D2406" i="47" s="1"/>
  <c r="D1996" i="47" a="1"/>
  <c r="D1996" i="47" s="1"/>
  <c r="D2106" i="47" a="1"/>
  <c r="D2106" i="47" s="1"/>
  <c r="D2257" i="47" a="1"/>
  <c r="D2257" i="47" s="1"/>
  <c r="D2381" i="47" a="1"/>
  <c r="D2381" i="47" s="1"/>
  <c r="D2285" i="47" a="1"/>
  <c r="D2285" i="47" s="1"/>
  <c r="D2422" i="47" a="1"/>
  <c r="D2422" i="47" s="1"/>
  <c r="D447" i="47" a="1"/>
  <c r="D447" i="47" s="1"/>
  <c r="D281" i="47" a="1"/>
  <c r="D281" i="47" s="1"/>
  <c r="D232" i="47" a="1"/>
  <c r="D232" i="47" s="1"/>
  <c r="D985" i="47" a="1"/>
  <c r="D985" i="47" s="1"/>
  <c r="D1022" i="47" a="1"/>
  <c r="D1022" i="47" s="1"/>
  <c r="D840" i="47" a="1"/>
  <c r="D840" i="47" s="1"/>
  <c r="D1253" i="47" a="1"/>
  <c r="D1253" i="47" s="1"/>
  <c r="D1147" i="47" a="1"/>
  <c r="D1147" i="47" s="1"/>
  <c r="D1437" i="47" a="1"/>
  <c r="D1437" i="47" s="1"/>
  <c r="D1265" i="47" a="1"/>
  <c r="D1265" i="47" s="1"/>
  <c r="D634" i="47" a="1"/>
  <c r="D634" i="47" s="1"/>
  <c r="D782" i="47" a="1"/>
  <c r="D782" i="47" s="1"/>
  <c r="D1092" i="47" a="1"/>
  <c r="D1092" i="47" s="1"/>
  <c r="D1412" i="47" a="1"/>
  <c r="D1412" i="47" s="1"/>
  <c r="D1310" i="47" a="1"/>
  <c r="D1310" i="47" s="1"/>
  <c r="D1386" i="47" a="1"/>
  <c r="D1386" i="47" s="1"/>
  <c r="D1146" i="47" a="1"/>
  <c r="D1146" i="47" s="1"/>
  <c r="D1300" i="47" a="1"/>
  <c r="D1300" i="47" s="1"/>
  <c r="D1481" i="47" a="1"/>
  <c r="D1481" i="47" s="1"/>
  <c r="D1429" i="47" a="1"/>
  <c r="D1429" i="47" s="1"/>
  <c r="D646" i="47" a="1"/>
  <c r="D646" i="47" s="1"/>
  <c r="D821" i="47" a="1"/>
  <c r="D821" i="47" s="1"/>
  <c r="D963" i="47" a="1"/>
  <c r="D963" i="47" s="1"/>
  <c r="D1257" i="47" a="1"/>
  <c r="D1257" i="47" s="1"/>
  <c r="D1401" i="47" a="1"/>
  <c r="D1401" i="47" s="1"/>
  <c r="D1537" i="47" a="1"/>
  <c r="D1537" i="47" s="1"/>
  <c r="D1988" i="47" a="1"/>
  <c r="D1988" i="47" s="1"/>
  <c r="D1691" i="47" a="1"/>
  <c r="D1691" i="47" s="1"/>
  <c r="D1757" i="47" a="1"/>
  <c r="D1757" i="47" s="1"/>
  <c r="D2101" i="47" a="1"/>
  <c r="D2101" i="47" s="1"/>
  <c r="D1632" i="47" a="1"/>
  <c r="D1632" i="47" s="1"/>
  <c r="D1866" i="47" a="1"/>
  <c r="D1866" i="47" s="1"/>
  <c r="D953" i="47" a="1"/>
  <c r="D953" i="47" s="1"/>
  <c r="D1230" i="47" a="1"/>
  <c r="D1230" i="47" s="1"/>
  <c r="D1369" i="47" a="1"/>
  <c r="D1369" i="47" s="1"/>
  <c r="D1469" i="47" a="1"/>
  <c r="D1469" i="47" s="1"/>
  <c r="D1857" i="47" a="1"/>
  <c r="D1857" i="47" s="1"/>
  <c r="D2016" i="47" a="1"/>
  <c r="D2016" i="47" s="1"/>
  <c r="D1829" i="47" a="1"/>
  <c r="D1829" i="47" s="1"/>
  <c r="D1523" i="47" a="1"/>
  <c r="D1523" i="47" s="1"/>
  <c r="D1753" i="47" a="1"/>
  <c r="D1753" i="47" s="1"/>
  <c r="D1296" i="47" a="1"/>
  <c r="D1296" i="47" s="1"/>
  <c r="D1532" i="47" a="1"/>
  <c r="D1532" i="47" s="1"/>
  <c r="D1654" i="47" a="1"/>
  <c r="D1654" i="47" s="1"/>
  <c r="D1863" i="47" a="1"/>
  <c r="D1863" i="47" s="1"/>
  <c r="D1647" i="47" a="1"/>
  <c r="D1647" i="47" s="1"/>
  <c r="D1800" i="47" a="1"/>
  <c r="D1800" i="47" s="1"/>
  <c r="D1934" i="47" a="1"/>
  <c r="D1934" i="47" s="1"/>
  <c r="D1399" i="47" a="1"/>
  <c r="D1399" i="47" s="1"/>
  <c r="D1554" i="47" a="1"/>
  <c r="D1554" i="47" s="1"/>
  <c r="D1671" i="47" a="1"/>
  <c r="D1671" i="47" s="1"/>
  <c r="D1803" i="47" a="1"/>
  <c r="D1803" i="47" s="1"/>
  <c r="D1661" i="47" a="1"/>
  <c r="D1661" i="47" s="1"/>
  <c r="D1745" i="47" a="1"/>
  <c r="D1745" i="47" s="1"/>
  <c r="D1913" i="47" a="1"/>
  <c r="D1913" i="47" s="1"/>
  <c r="D2039" i="47" a="1"/>
  <c r="D2039" i="47" s="1"/>
  <c r="D2313" i="47" a="1"/>
  <c r="D2313" i="47" s="1"/>
  <c r="D2133" i="47" a="1"/>
  <c r="D2133" i="47" s="1"/>
  <c r="D2076" i="47" a="1"/>
  <c r="D2076" i="47" s="1"/>
  <c r="D1696" i="47" a="1"/>
  <c r="D1696" i="47" s="1"/>
  <c r="D2141" i="47" a="1"/>
  <c r="D2141" i="47" s="1"/>
  <c r="D2328" i="47" a="1"/>
  <c r="D2328" i="47" s="1"/>
  <c r="D2102" i="47" a="1"/>
  <c r="D2102" i="47" s="1"/>
  <c r="D1787" i="47" a="1"/>
  <c r="D1787" i="47" s="1"/>
  <c r="D1943" i="47" a="1"/>
  <c r="D1943" i="47" s="1"/>
  <c r="D2153" i="47" a="1"/>
  <c r="D2153" i="47" s="1"/>
  <c r="D2293" i="47" a="1"/>
  <c r="D2293" i="47" s="1"/>
  <c r="D2363" i="47" a="1"/>
  <c r="D2363" i="47" s="1"/>
  <c r="D1711" i="47" a="1"/>
  <c r="D1711" i="47" s="1"/>
  <c r="D1867" i="47" a="1"/>
  <c r="D1867" i="47" s="1"/>
  <c r="D1962" i="47" a="1"/>
  <c r="D1962" i="47" s="1"/>
  <c r="D1724" i="47" a="1"/>
  <c r="D1724" i="47" s="1"/>
  <c r="D1799" i="47" a="1"/>
  <c r="D1799" i="47" s="1"/>
  <c r="D1993" i="47" a="1"/>
  <c r="D1993" i="47" s="1"/>
  <c r="D2197" i="47" a="1"/>
  <c r="D2197" i="47" s="1"/>
  <c r="D2358" i="47" a="1"/>
  <c r="D2358" i="47" s="1"/>
  <c r="D2476" i="47" a="1"/>
  <c r="D2476" i="47" s="1"/>
  <c r="D2274" i="47" a="1"/>
  <c r="D2274" i="47" s="1"/>
  <c r="D2432" i="47" a="1"/>
  <c r="D2432" i="47" s="1"/>
  <c r="D1982" i="47" a="1"/>
  <c r="D1982" i="47" s="1"/>
  <c r="D2107" i="47" a="1"/>
  <c r="D2107" i="47" s="1"/>
  <c r="D2218" i="47" a="1"/>
  <c r="D2218" i="47" s="1"/>
  <c r="D2345" i="47" a="1"/>
  <c r="D2345" i="47" s="1"/>
  <c r="D2008" i="47" a="1"/>
  <c r="D2008" i="47" s="1"/>
  <c r="D2167" i="47" a="1"/>
  <c r="D2167" i="47" s="1"/>
  <c r="D2326" i="47" a="1"/>
  <c r="D2326" i="47" s="1"/>
  <c r="D2403" i="47" a="1"/>
  <c r="D2403" i="47" s="1"/>
  <c r="D1967" i="47" a="1"/>
  <c r="D1967" i="47" s="1"/>
  <c r="D2075" i="47" a="1"/>
  <c r="D2075" i="47" s="1"/>
  <c r="D2162" i="47" a="1"/>
  <c r="D2162" i="47" s="1"/>
  <c r="D2239" i="47" a="1"/>
  <c r="D2239" i="47" s="1"/>
  <c r="D2317" i="47" a="1"/>
  <c r="D2317" i="47" s="1"/>
  <c r="D2387" i="47" a="1"/>
  <c r="D2387" i="47" s="1"/>
  <c r="D2419" i="47" a="1"/>
  <c r="D2419" i="47" s="1"/>
  <c r="D1928" i="47" a="1"/>
  <c r="D1928" i="47" s="1"/>
  <c r="D2395" i="47" a="1"/>
  <c r="D2395" i="47" s="1"/>
  <c r="D2297" i="47" a="1"/>
  <c r="D2297" i="47" s="1"/>
  <c r="D2439" i="47" a="1"/>
  <c r="D2439" i="47" s="1"/>
  <c r="D1221" i="47" a="1"/>
  <c r="D1221" i="47" s="1"/>
  <c r="D931" i="47" a="1"/>
  <c r="D931" i="47" s="1"/>
  <c r="D1288" i="47" a="1"/>
  <c r="D1288" i="47" s="1"/>
  <c r="D1272" i="47" a="1"/>
  <c r="D1272" i="47" s="1"/>
  <c r="D1171" i="47" a="1"/>
  <c r="D1171" i="47" s="1"/>
  <c r="D1199" i="47" a="1"/>
  <c r="D1199" i="47" s="1"/>
  <c r="D875" i="47" a="1"/>
  <c r="D875" i="47" s="1"/>
  <c r="D1238" i="47" a="1"/>
  <c r="D1238" i="47" s="1"/>
  <c r="D658" i="47" a="1"/>
  <c r="D658" i="47" s="1"/>
  <c r="D793" i="47" a="1"/>
  <c r="D793" i="47" s="1"/>
  <c r="D954" i="47" a="1"/>
  <c r="D954" i="47" s="1"/>
  <c r="D1102" i="47" a="1"/>
  <c r="D1102" i="47" s="1"/>
  <c r="D1260" i="47" a="1"/>
  <c r="D1260" i="47" s="1"/>
  <c r="D1430" i="47" a="1"/>
  <c r="D1430" i="47" s="1"/>
  <c r="D1589" i="47" a="1"/>
  <c r="D1589" i="47" s="1"/>
  <c r="D1337" i="47" a="1"/>
  <c r="D1337" i="47" s="1"/>
  <c r="D1458" i="47" a="1"/>
  <c r="D1458" i="47" s="1"/>
  <c r="D1185" i="47" a="1"/>
  <c r="D1185" i="47" s="1"/>
  <c r="D1572" i="47" a="1"/>
  <c r="D1572" i="47" s="1"/>
  <c r="D1391" i="47" a="1"/>
  <c r="D1391" i="47" s="1"/>
  <c r="D1637" i="47" a="1"/>
  <c r="D1637" i="47" s="1"/>
  <c r="D966" i="47" a="1"/>
  <c r="D966" i="47" s="1"/>
  <c r="D1160" i="47" a="1"/>
  <c r="D1160" i="47" s="1"/>
  <c r="D1308" i="47" a="1"/>
  <c r="D1308" i="47" s="1"/>
  <c r="D1513" i="47" a="1"/>
  <c r="D1513" i="47" s="1"/>
  <c r="D1434" i="47" a="1"/>
  <c r="D1434" i="47" s="1"/>
  <c r="D648" i="47" a="1"/>
  <c r="D648" i="47" s="1"/>
  <c r="D1275" i="47" a="1"/>
  <c r="D1275" i="47" s="1"/>
  <c r="D1403" i="47" a="1"/>
  <c r="D1403" i="47" s="1"/>
  <c r="D1597" i="47" a="1"/>
  <c r="D1597" i="47" s="1"/>
  <c r="D1999" i="47" a="1"/>
  <c r="D1999" i="47" s="1"/>
  <c r="D1786" i="47" a="1"/>
  <c r="D1786" i="47" s="1"/>
  <c r="D2200" i="47" a="1"/>
  <c r="D2200" i="47" s="1"/>
  <c r="D1552" i="47" a="1"/>
  <c r="D1552" i="47" s="1"/>
  <c r="D1641" i="47" a="1"/>
  <c r="D1641" i="47" s="1"/>
  <c r="D1831" i="47" a="1"/>
  <c r="D1831" i="47" s="1"/>
  <c r="D1634" i="47" a="1"/>
  <c r="D1634" i="47" s="1"/>
  <c r="D1894" i="47" a="1"/>
  <c r="D1894" i="47" s="1"/>
  <c r="D971" i="47" a="1"/>
  <c r="D971" i="47" s="1"/>
  <c r="D1085" i="47" a="1"/>
  <c r="D1085" i="47" s="1"/>
  <c r="D1239" i="47" a="1"/>
  <c r="D1239" i="47" s="1"/>
  <c r="D1374" i="47" a="1"/>
  <c r="D1374" i="47" s="1"/>
  <c r="D1476" i="47" a="1"/>
  <c r="D1476" i="47" s="1"/>
  <c r="D1750" i="47" a="1"/>
  <c r="D1750" i="47" s="1"/>
  <c r="D2040" i="47" a="1"/>
  <c r="D2040" i="47" s="1"/>
  <c r="D1855" i="47" a="1"/>
  <c r="D1855" i="47" s="1"/>
  <c r="D1398" i="47" a="1"/>
  <c r="D1398" i="47" s="1"/>
  <c r="D1526" i="47" a="1"/>
  <c r="D1526" i="47" s="1"/>
  <c r="D1626" i="47" a="1"/>
  <c r="D1626" i="47" s="1"/>
  <c r="D1758" i="47" a="1"/>
  <c r="D1758" i="47" s="1"/>
  <c r="D1923" i="47" a="1"/>
  <c r="D1923" i="47" s="1"/>
  <c r="D1306" i="47" a="1"/>
  <c r="D1306" i="47" s="1"/>
  <c r="D1544" i="47" a="1"/>
  <c r="D1544" i="47" s="1"/>
  <c r="D1680" i="47" a="1"/>
  <c r="D1680" i="47" s="1"/>
  <c r="D1880" i="47" a="1"/>
  <c r="D1880" i="47" s="1"/>
  <c r="D1659" i="47" a="1"/>
  <c r="D1659" i="47" s="1"/>
  <c r="D1805" i="47" a="1"/>
  <c r="D1805" i="47" s="1"/>
  <c r="D1918" i="47" a="1"/>
  <c r="D1918" i="47" s="1"/>
  <c r="D1838" i="47" a="1"/>
  <c r="D1838" i="47" s="1"/>
  <c r="D1937" i="47" a="1"/>
  <c r="D1937" i="47" s="1"/>
  <c r="D1569" i="47" a="1"/>
  <c r="D1569" i="47" s="1"/>
  <c r="D1808" i="47" a="1"/>
  <c r="D1808" i="47" s="1"/>
  <c r="D2033" i="47" a="1"/>
  <c r="D2033" i="47" s="1"/>
  <c r="D2091" i="47" a="1"/>
  <c r="D2091" i="47" s="1"/>
  <c r="D1752" i="47" a="1"/>
  <c r="D1752" i="47" s="1"/>
  <c r="D1931" i="47" a="1"/>
  <c r="D1931" i="47" s="1"/>
  <c r="D2138" i="47" a="1"/>
  <c r="D2138" i="47" s="1"/>
  <c r="D2037" i="47" a="1"/>
  <c r="D2037" i="47" s="1"/>
  <c r="D2136" i="47" a="1"/>
  <c r="D2136" i="47" s="1"/>
  <c r="D1975" i="47" a="1"/>
  <c r="D1975" i="47" s="1"/>
  <c r="D2087" i="47" a="1"/>
  <c r="D2087" i="47" s="1"/>
  <c r="D1698" i="47" a="1"/>
  <c r="D1698" i="47" s="1"/>
  <c r="D1862" i="47" a="1"/>
  <c r="D1862" i="47" s="1"/>
  <c r="D2027" i="47" a="1"/>
  <c r="D2027" i="47" s="1"/>
  <c r="D2331" i="47" a="1"/>
  <c r="D2331" i="47" s="1"/>
  <c r="D1992" i="47" a="1"/>
  <c r="D1992" i="47" s="1"/>
  <c r="D2113" i="47" a="1"/>
  <c r="D2113" i="47" s="1"/>
  <c r="D1956" i="47" a="1"/>
  <c r="D1956" i="47" s="1"/>
  <c r="D2161" i="47" a="1"/>
  <c r="D2161" i="47" s="1"/>
  <c r="D2382" i="47" a="1"/>
  <c r="D2382" i="47" s="1"/>
  <c r="D1601" i="47" a="1"/>
  <c r="D1601" i="47" s="1"/>
  <c r="D1719" i="47" a="1"/>
  <c r="D1719" i="47" s="1"/>
  <c r="D1872" i="47" a="1"/>
  <c r="D1872" i="47" s="1"/>
  <c r="D1966" i="47" a="1"/>
  <c r="D1966" i="47" s="1"/>
  <c r="D1731" i="47" a="1"/>
  <c r="D1731" i="47" s="1"/>
  <c r="D2001" i="47" a="1"/>
  <c r="D2001" i="47" s="1"/>
  <c r="D2206" i="47" a="1"/>
  <c r="D2206" i="47" s="1"/>
  <c r="D2370" i="47" a="1"/>
  <c r="D2370" i="47" s="1"/>
  <c r="D2479" i="47" a="1"/>
  <c r="D2479" i="47" s="1"/>
  <c r="D2281" i="47" a="1"/>
  <c r="D2281" i="47" s="1"/>
  <c r="D2435" i="47" a="1"/>
  <c r="D2435" i="47" s="1"/>
  <c r="D2109" i="47" a="1"/>
  <c r="D2109" i="47" s="1"/>
  <c r="D2234" i="47" a="1"/>
  <c r="D2234" i="47" s="1"/>
  <c r="D2354" i="47" a="1"/>
  <c r="D2354" i="47" s="1"/>
  <c r="D2461" i="47" a="1"/>
  <c r="D2461" i="47" s="1"/>
  <c r="D2013" i="47" a="1"/>
  <c r="D2013" i="47" s="1"/>
  <c r="D2169" i="47" a="1"/>
  <c r="D2169" i="47" s="1"/>
  <c r="D2338" i="47" a="1"/>
  <c r="D2338" i="47" s="1"/>
  <c r="D2452" i="47" a="1"/>
  <c r="D2452" i="47" s="1"/>
  <c r="D2480" i="47" a="1"/>
  <c r="D2480" i="47" s="1"/>
  <c r="D1972" i="47" a="1"/>
  <c r="D1972" i="47" s="1"/>
  <c r="D2172" i="47" a="1"/>
  <c r="D2172" i="47" s="1"/>
  <c r="D2252" i="47" a="1"/>
  <c r="D2252" i="47" s="1"/>
  <c r="D2319" i="47" a="1"/>
  <c r="D2319" i="47" s="1"/>
  <c r="D2399" i="47" a="1"/>
  <c r="D2399" i="47" s="1"/>
  <c r="D2261" i="47" a="1"/>
  <c r="D2261" i="47" s="1"/>
  <c r="D2500" i="47" a="1"/>
  <c r="D2500" i="47" s="1"/>
  <c r="D2429" i="47" a="1"/>
  <c r="D2429" i="47" s="1"/>
  <c r="D1930" i="47" a="1"/>
  <c r="D1930" i="47" s="1"/>
  <c r="D2126" i="47" a="1"/>
  <c r="D2126" i="47" s="1"/>
  <c r="D2292" i="47" a="1"/>
  <c r="D2292" i="47" s="1"/>
  <c r="D2511" i="47" a="1"/>
  <c r="D2511" i="47" s="1"/>
  <c r="D2302" i="47" a="1"/>
  <c r="D2302" i="47" s="1"/>
  <c r="D2453" i="47" a="1"/>
  <c r="D2453" i="47" s="1"/>
  <c r="D608" i="47" a="1"/>
  <c r="D608" i="47" s="1"/>
  <c r="D279" i="47" a="1"/>
  <c r="D279" i="47" s="1"/>
  <c r="D708" i="47" a="1"/>
  <c r="D708" i="47" s="1"/>
  <c r="D1473" i="47" a="1"/>
  <c r="D1473" i="47" s="1"/>
  <c r="D1023" i="47" a="1"/>
  <c r="D1023" i="47" s="1"/>
  <c r="D1326" i="47" a="1"/>
  <c r="D1326" i="47" s="1"/>
  <c r="D1184" i="47" a="1"/>
  <c r="D1184" i="47" s="1"/>
  <c r="D1228" i="47" a="1"/>
  <c r="D1228" i="47" s="1"/>
  <c r="D1273" i="47" a="1"/>
  <c r="D1273" i="47" s="1"/>
  <c r="D1249" i="47" a="1"/>
  <c r="D1249" i="47" s="1"/>
  <c r="D666" i="47" a="1"/>
  <c r="D666" i="47" s="1"/>
  <c r="D804" i="47" a="1"/>
  <c r="D804" i="47" s="1"/>
  <c r="D961" i="47" a="1"/>
  <c r="D961" i="47" s="1"/>
  <c r="D1688" i="47" a="1"/>
  <c r="D1688" i="47" s="1"/>
  <c r="D1344" i="47" a="1"/>
  <c r="D1344" i="47" s="1"/>
  <c r="D1587" i="47" a="1"/>
  <c r="D1587" i="47" s="1"/>
  <c r="D1418" i="47" a="1"/>
  <c r="D1418" i="47" s="1"/>
  <c r="D1673" i="47" a="1"/>
  <c r="D1673" i="47" s="1"/>
  <c r="D973" i="47" a="1"/>
  <c r="D973" i="47" s="1"/>
  <c r="D1163" i="47" a="1"/>
  <c r="D1163" i="47" s="1"/>
  <c r="D1338" i="47" a="1"/>
  <c r="D1338" i="47" s="1"/>
  <c r="D1516" i="47" a="1"/>
  <c r="D1516" i="47" s="1"/>
  <c r="D1525" i="47" a="1"/>
  <c r="D1525" i="47" s="1"/>
  <c r="D1508" i="47" a="1"/>
  <c r="D1508" i="47" s="1"/>
  <c r="D650" i="47" a="1"/>
  <c r="D650" i="47" s="1"/>
  <c r="D989" i="47" a="1"/>
  <c r="D989" i="47" s="1"/>
  <c r="D1142" i="47" a="1"/>
  <c r="D1142" i="47" s="1"/>
  <c r="D1620" i="47" a="1"/>
  <c r="D1620" i="47" s="1"/>
  <c r="D2002" i="47" a="1"/>
  <c r="D2002" i="47" s="1"/>
  <c r="D1791" i="47" a="1"/>
  <c r="D1791" i="47" s="1"/>
  <c r="D1555" i="47" a="1"/>
  <c r="D1555" i="47" s="1"/>
  <c r="D1679" i="47" a="1"/>
  <c r="D1679" i="47" s="1"/>
  <c r="D1844" i="47" a="1"/>
  <c r="D1844" i="47" s="1"/>
  <c r="D1639" i="47" a="1"/>
  <c r="D1639" i="47" s="1"/>
  <c r="D1897" i="47" a="1"/>
  <c r="D1897" i="47" s="1"/>
  <c r="D1087" i="47" a="1"/>
  <c r="D1087" i="47" s="1"/>
  <c r="D1389" i="47" a="1"/>
  <c r="D1389" i="47" s="1"/>
  <c r="D1646" i="47" a="1"/>
  <c r="D1646" i="47" s="1"/>
  <c r="D1766" i="47" a="1"/>
  <c r="D1766" i="47" s="1"/>
  <c r="D1869" i="47" a="1"/>
  <c r="D1869" i="47" s="1"/>
  <c r="D2043" i="47" a="1"/>
  <c r="D2043" i="47" s="1"/>
  <c r="D1860" i="47" a="1"/>
  <c r="D1860" i="47" s="1"/>
  <c r="D1419" i="47" a="1"/>
  <c r="D1419" i="47" s="1"/>
  <c r="D1539" i="47" a="1"/>
  <c r="D1539" i="47" s="1"/>
  <c r="D1319" i="47" a="1"/>
  <c r="D1319" i="47" s="1"/>
  <c r="D1454" i="47" a="1"/>
  <c r="D1454" i="47" s="1"/>
  <c r="D1556" i="47" a="1"/>
  <c r="D1556" i="47" s="1"/>
  <c r="D1890" i="47" a="1"/>
  <c r="D1890" i="47" s="1"/>
  <c r="D1827" i="47" a="1"/>
  <c r="D1827" i="47" s="1"/>
  <c r="D1942" i="47" a="1"/>
  <c r="D1942" i="47" s="1"/>
  <c r="D1848" i="47" a="1"/>
  <c r="D1848" i="47" s="1"/>
  <c r="D2052" i="47" a="1"/>
  <c r="D2052" i="47" s="1"/>
  <c r="D1312" i="47" a="1"/>
  <c r="D1312" i="47" s="1"/>
  <c r="D1574" i="47" a="1"/>
  <c r="D1574" i="47" s="1"/>
  <c r="D1678" i="47" a="1"/>
  <c r="D1678" i="47" s="1"/>
  <c r="D1830" i="47" a="1"/>
  <c r="D1830" i="47" s="1"/>
  <c r="D2123" i="47" a="1"/>
  <c r="D2123" i="47" s="1"/>
  <c r="D1665" i="47" a="1"/>
  <c r="D1665" i="47" s="1"/>
  <c r="D1761" i="47" a="1"/>
  <c r="D1761" i="47" s="1"/>
  <c r="D2168" i="47" a="1"/>
  <c r="D2168" i="47" s="1"/>
  <c r="D2047" i="47" a="1"/>
  <c r="D2047" i="47" s="1"/>
  <c r="D2146" i="47" a="1"/>
  <c r="D2146" i="47" s="1"/>
  <c r="D1978" i="47" a="1"/>
  <c r="D1978" i="47" s="1"/>
  <c r="D2108" i="47" a="1"/>
  <c r="D2108" i="47" s="1"/>
  <c r="D1712" i="47" a="1"/>
  <c r="D1712" i="47" s="1"/>
  <c r="D2032" i="47" a="1"/>
  <c r="D2032" i="47" s="1"/>
  <c r="D2144" i="47" a="1"/>
  <c r="D2144" i="47" s="1"/>
  <c r="D2336" i="47" a="1"/>
  <c r="D2336" i="47" s="1"/>
  <c r="D2003" i="47" a="1"/>
  <c r="D2003" i="47" s="1"/>
  <c r="D2056" i="47" a="1"/>
  <c r="D2056" i="47" s="1"/>
  <c r="D2142" i="47" a="1"/>
  <c r="D2142" i="47" s="1"/>
  <c r="D1619" i="47" a="1"/>
  <c r="D1619" i="47" s="1"/>
  <c r="D1726" i="47" a="1"/>
  <c r="D1726" i="47" s="1"/>
  <c r="D1877" i="47" a="1"/>
  <c r="D1877" i="47" s="1"/>
  <c r="D1990" i="47" a="1"/>
  <c r="D1990" i="47" s="1"/>
  <c r="D2175" i="47" a="1"/>
  <c r="D2175" i="47" s="1"/>
  <c r="D1740" i="47" a="1"/>
  <c r="D1740" i="47" s="1"/>
  <c r="D1806" i="47" a="1"/>
  <c r="D1806" i="47" s="1"/>
  <c r="D1875" i="47" a="1"/>
  <c r="D1875" i="47" s="1"/>
  <c r="D2004" i="47" a="1"/>
  <c r="D2004" i="47" s="1"/>
  <c r="D2222" i="47" a="1"/>
  <c r="D2222" i="47" s="1"/>
  <c r="D2379" i="47" a="1"/>
  <c r="D2379" i="47" s="1"/>
  <c r="D2501" i="47" a="1"/>
  <c r="D2501" i="47" s="1"/>
  <c r="D2198" i="47" a="1"/>
  <c r="D2198" i="47" s="1"/>
  <c r="D2288" i="47" a="1"/>
  <c r="D2288" i="47" s="1"/>
  <c r="D2469" i="47" a="1"/>
  <c r="D2469" i="47" s="1"/>
  <c r="D2442" i="47" a="1"/>
  <c r="D2442" i="47" s="1"/>
  <c r="D1997" i="47" a="1"/>
  <c r="D1997" i="47" s="1"/>
  <c r="D2120" i="47" a="1"/>
  <c r="D2120" i="47" s="1"/>
  <c r="D2249" i="47" a="1"/>
  <c r="D2249" i="47" s="1"/>
  <c r="D2356" i="47" a="1"/>
  <c r="D2356" i="47" s="1"/>
  <c r="D2482" i="47" a="1"/>
  <c r="D2482" i="47" s="1"/>
  <c r="D2174" i="47" a="1"/>
  <c r="D2174" i="47" s="1"/>
  <c r="D2454" i="47" a="1"/>
  <c r="D2454" i="47" s="1"/>
  <c r="D2490" i="47" a="1"/>
  <c r="D2490" i="47" s="1"/>
  <c r="D2433" i="47" a="1"/>
  <c r="D2433" i="47" s="1"/>
  <c r="D2092" i="47" a="1"/>
  <c r="D2092" i="47" s="1"/>
  <c r="D2177" i="47" a="1"/>
  <c r="D2177" i="47" s="1"/>
  <c r="D2266" i="47" a="1"/>
  <c r="D2266" i="47" s="1"/>
  <c r="D2324" i="47" a="1"/>
  <c r="D2324" i="47" s="1"/>
  <c r="D2413" i="47" a="1"/>
  <c r="D2413" i="47" s="1"/>
  <c r="D2263" i="47" a="1"/>
  <c r="D2263" i="47" s="1"/>
  <c r="D2397" i="47" a="1"/>
  <c r="D2397" i="47" s="1"/>
  <c r="D2513" i="47" a="1"/>
  <c r="D2513" i="47" s="1"/>
  <c r="D2431" i="47" a="1"/>
  <c r="D2431" i="47" s="1"/>
  <c r="D2055" i="47" a="1"/>
  <c r="D2055" i="47" s="1"/>
  <c r="D2135" i="47" a="1"/>
  <c r="D2135" i="47" s="1"/>
  <c r="D2294" i="47" a="1"/>
  <c r="D2294" i="47" s="1"/>
  <c r="D2411" i="47" a="1"/>
  <c r="D2411" i="47" s="1"/>
  <c r="D2307" i="47" a="1"/>
  <c r="D2307" i="47" s="1"/>
  <c r="D2471" i="47" a="1"/>
  <c r="D2471" i="47" s="1"/>
  <c r="D597" i="47" a="1"/>
  <c r="D597" i="47" s="1"/>
  <c r="D563" i="47" a="1"/>
  <c r="D563" i="47" s="1"/>
  <c r="D956" i="47" a="1"/>
  <c r="D956" i="47" s="1"/>
  <c r="D1017" i="47" a="1"/>
  <c r="D1017" i="47" s="1"/>
  <c r="D336" i="47" a="1"/>
  <c r="D336" i="47" s="1"/>
  <c r="D1071" i="47" a="1"/>
  <c r="D1071" i="47" s="1"/>
  <c r="D388" i="47" a="1"/>
  <c r="D388" i="47" s="1"/>
  <c r="D1008" i="47" a="1"/>
  <c r="D1008" i="47" s="1"/>
  <c r="D1204" i="47" a="1"/>
  <c r="D1204" i="47" s="1"/>
  <c r="D1270" i="47" a="1"/>
  <c r="D1270" i="47" s="1"/>
  <c r="D900" i="47" a="1"/>
  <c r="D900" i="47" s="1"/>
  <c r="D1281" i="47" a="1"/>
  <c r="D1281" i="47" s="1"/>
  <c r="D1502" i="47" a="1"/>
  <c r="D1502" i="47" s="1"/>
  <c r="D668" i="47" a="1"/>
  <c r="D668" i="47" s="1"/>
  <c r="D811" i="47" a="1"/>
  <c r="D811" i="47" s="1"/>
  <c r="D967" i="47" a="1"/>
  <c r="D967" i="47" s="1"/>
  <c r="D1119" i="47" a="1"/>
  <c r="D1119" i="47" s="1"/>
  <c r="D1278" i="47" a="1"/>
  <c r="D1278" i="47" s="1"/>
  <c r="D1455" i="47" a="1"/>
  <c r="D1455" i="47" s="1"/>
  <c r="D1440" i="47" a="1"/>
  <c r="D1440" i="47" s="1"/>
  <c r="D1358" i="47" a="1"/>
  <c r="D1358" i="47" s="1"/>
  <c r="D1467" i="47" a="1"/>
  <c r="D1467" i="47" s="1"/>
  <c r="D1206" i="47" a="1"/>
  <c r="D1206" i="47" s="1"/>
  <c r="D1400" i="47" a="1"/>
  <c r="D1400" i="47" s="1"/>
  <c r="D1624" i="47" a="1"/>
  <c r="D1624" i="47" s="1"/>
  <c r="D1443" i="47" a="1"/>
  <c r="D1443" i="47" s="1"/>
  <c r="D1734" i="47" a="1"/>
  <c r="D1734" i="47" s="1"/>
  <c r="D994" i="47" a="1"/>
  <c r="D994" i="47" s="1"/>
  <c r="D1340" i="47" a="1"/>
  <c r="D1340" i="47" s="1"/>
  <c r="D1519" i="47" a="1"/>
  <c r="D1519" i="47" s="1"/>
  <c r="D1568" i="47" a="1"/>
  <c r="D1568" i="47" s="1"/>
  <c r="D660" i="47" a="1"/>
  <c r="D660" i="47" s="1"/>
  <c r="D836" i="47" a="1"/>
  <c r="D836" i="47" s="1"/>
  <c r="D1315" i="47" a="1"/>
  <c r="D1315" i="47" s="1"/>
  <c r="D1422" i="47" a="1"/>
  <c r="D1422" i="47" s="1"/>
  <c r="D1656" i="47" a="1"/>
  <c r="D1656" i="47" s="1"/>
  <c r="D1732" i="47" a="1"/>
  <c r="D1732" i="47" s="1"/>
  <c r="D1818" i="47" a="1"/>
  <c r="D1818" i="47" s="1"/>
  <c r="D1444" i="47" a="1"/>
  <c r="D1444" i="47" s="1"/>
  <c r="D1562" i="47" a="1"/>
  <c r="D1562" i="47" s="1"/>
  <c r="D1722" i="47" a="1"/>
  <c r="D1722" i="47" s="1"/>
  <c r="D1658" i="47" a="1"/>
  <c r="D1658" i="47" s="1"/>
  <c r="D1925" i="47" a="1"/>
  <c r="D1925" i="47" s="1"/>
  <c r="D981" i="47" a="1"/>
  <c r="D981" i="47" s="1"/>
  <c r="D1111" i="47" a="1"/>
  <c r="D1111" i="47" s="1"/>
  <c r="D1484" i="47" a="1"/>
  <c r="D1484" i="47" s="1"/>
  <c r="D1651" i="47" a="1"/>
  <c r="D1651" i="47" s="1"/>
  <c r="D1884" i="47" a="1"/>
  <c r="D1884" i="47" s="1"/>
  <c r="D1692" i="47" a="1"/>
  <c r="D1692" i="47" s="1"/>
  <c r="D1887" i="47" a="1"/>
  <c r="D1887" i="47" s="1"/>
  <c r="D1431" i="47" a="1"/>
  <c r="D1431" i="47" s="1"/>
  <c r="D1546" i="47" a="1"/>
  <c r="D1546" i="47" s="1"/>
  <c r="D1642" i="47" a="1"/>
  <c r="D1642" i="47" s="1"/>
  <c r="D1328" i="47" a="1"/>
  <c r="D1328" i="47" s="1"/>
  <c r="D1459" i="47" a="1"/>
  <c r="D1459" i="47" s="1"/>
  <c r="D1563" i="47" a="1"/>
  <c r="D1563" i="47" s="1"/>
  <c r="D1695" i="47" a="1"/>
  <c r="D1695" i="47" s="1"/>
  <c r="D1898" i="47" a="1"/>
  <c r="D1898" i="47" s="1"/>
  <c r="D1685" i="47" a="1"/>
  <c r="D1685" i="47" s="1"/>
  <c r="D1945" i="47" a="1"/>
  <c r="D1945" i="47" s="1"/>
  <c r="D1858" i="47" a="1"/>
  <c r="D1858" i="47" s="1"/>
  <c r="D2081" i="47" a="1"/>
  <c r="D2081" i="47" s="1"/>
  <c r="D1584" i="47" a="1"/>
  <c r="D1584" i="47" s="1"/>
  <c r="D1851" i="47" a="1"/>
  <c r="D1851" i="47" s="1"/>
  <c r="D2007" i="47" a="1"/>
  <c r="D2007" i="47" s="1"/>
  <c r="D2128" i="47" a="1"/>
  <c r="D2128" i="47" s="1"/>
  <c r="D1774" i="47" a="1"/>
  <c r="D1774" i="47" s="1"/>
  <c r="D1947" i="47" a="1"/>
  <c r="D1947" i="47" s="1"/>
  <c r="D2173" i="47" a="1"/>
  <c r="D2173" i="47" s="1"/>
  <c r="D2152" i="47" a="1"/>
  <c r="D2152" i="47" s="1"/>
  <c r="D2110" i="47" a="1"/>
  <c r="D2110" i="47" s="1"/>
  <c r="D1716" i="47" a="1"/>
  <c r="D1716" i="47" s="1"/>
  <c r="D2155" i="47" a="1"/>
  <c r="D2155" i="47" s="1"/>
  <c r="D2058" i="47" a="1"/>
  <c r="D2058" i="47" s="1"/>
  <c r="D2030" i="47" a="1"/>
  <c r="D2030" i="47" s="1"/>
  <c r="D2134" i="47" a="1"/>
  <c r="D2134" i="47" s="1"/>
  <c r="D1971" i="47" a="1"/>
  <c r="D1971" i="47" s="1"/>
  <c r="D2061" i="47" a="1"/>
  <c r="D2061" i="47" s="1"/>
  <c r="D2192" i="47" a="1"/>
  <c r="D2192" i="47" s="1"/>
  <c r="D2165" i="47" a="1"/>
  <c r="D2165" i="47" s="1"/>
  <c r="D1628" i="47" a="1"/>
  <c r="D1628" i="47" s="1"/>
  <c r="D1763" i="47" a="1"/>
  <c r="D1763" i="47" s="1"/>
  <c r="D1881" i="47" a="1"/>
  <c r="D1881" i="47" s="1"/>
  <c r="D2204" i="47" a="1"/>
  <c r="D2204" i="47" s="1"/>
  <c r="D1749" i="47" a="1"/>
  <c r="D1749" i="47" s="1"/>
  <c r="D1811" i="47" a="1"/>
  <c r="D1811" i="47" s="1"/>
  <c r="D1879" i="47" a="1"/>
  <c r="D1879" i="47" s="1"/>
  <c r="D2036" i="47" a="1"/>
  <c r="D2036" i="47" s="1"/>
  <c r="D2386" i="47" a="1"/>
  <c r="D2386" i="47" s="1"/>
  <c r="D2506" i="47" a="1"/>
  <c r="D2506" i="47" s="1"/>
  <c r="D2202" i="47" a="1"/>
  <c r="D2202" i="47" s="1"/>
  <c r="D2290" i="47" a="1"/>
  <c r="D2290" i="47" s="1"/>
  <c r="D2368" i="47" a="1"/>
  <c r="D2368" i="47" s="1"/>
  <c r="D2474" i="47" a="1"/>
  <c r="D2474" i="47" s="1"/>
  <c r="D2447" i="47" a="1"/>
  <c r="D2447" i="47" s="1"/>
  <c r="D2025" i="47" a="1"/>
  <c r="D2025" i="47" s="1"/>
  <c r="D2262" i="47" a="1"/>
  <c r="D2262" i="47" s="1"/>
  <c r="D2373" i="47" a="1"/>
  <c r="D2373" i="47" s="1"/>
  <c r="D2487" i="47" a="1"/>
  <c r="D2487" i="47" s="1"/>
  <c r="D2051" i="47" a="1"/>
  <c r="D2051" i="47" s="1"/>
  <c r="D2179" i="47" a="1"/>
  <c r="D2179" i="47" s="1"/>
  <c r="D2359" i="47" a="1"/>
  <c r="D2359" i="47" s="1"/>
  <c r="D2456" i="47" a="1"/>
  <c r="D2456" i="47" s="1"/>
  <c r="D2497" i="47" a="1"/>
  <c r="D2497" i="47" s="1"/>
  <c r="D2438" i="47" a="1"/>
  <c r="D2438" i="47" s="1"/>
  <c r="D1985" i="47" a="1"/>
  <c r="D1985" i="47" s="1"/>
  <c r="D2094" i="47" a="1"/>
  <c r="D2094" i="47" s="1"/>
  <c r="D2195" i="47" a="1"/>
  <c r="D2195" i="47" s="1"/>
  <c r="D2273" i="47" a="1"/>
  <c r="D2273" i="47" s="1"/>
  <c r="D2421" i="47" a="1"/>
  <c r="D2421" i="47" s="1"/>
  <c r="D2271" i="47" a="1"/>
  <c r="D2271" i="47" s="1"/>
  <c r="D2327" i="47" a="1"/>
  <c r="D2327" i="47" s="1"/>
  <c r="D2462" i="47" a="1"/>
  <c r="D2462" i="47" s="1"/>
  <c r="D1938" i="47" a="1"/>
  <c r="D1938" i="47" s="1"/>
  <c r="D2160" i="47" a="1"/>
  <c r="D2160" i="47" s="1"/>
  <c r="D2299" i="47" a="1"/>
  <c r="D2299" i="47" s="1"/>
  <c r="D2417" i="47" a="1"/>
  <c r="D2417" i="47" s="1"/>
  <c r="D2178" i="47" a="1"/>
  <c r="D2178" i="47" s="1"/>
  <c r="D2325" i="47" a="1"/>
  <c r="D2325" i="47" s="1"/>
  <c r="D735" i="47" a="1"/>
  <c r="D735" i="47" s="1"/>
  <c r="D1582" i="47" a="1"/>
  <c r="D1582" i="47" s="1"/>
  <c r="D1209" i="47" a="1"/>
  <c r="D1209" i="47" s="1"/>
  <c r="D1575" i="47" a="1"/>
  <c r="D1575" i="47" s="1"/>
  <c r="D907" i="47" a="1"/>
  <c r="D907" i="47" s="1"/>
  <c r="D1129" i="47" a="1"/>
  <c r="D1129" i="47" s="1"/>
  <c r="D1351" i="47" a="1"/>
  <c r="D1351" i="47" s="1"/>
  <c r="D1540" i="47" a="1"/>
  <c r="D1540" i="47" s="1"/>
  <c r="D673" i="47" a="1"/>
  <c r="D673" i="47" s="1"/>
  <c r="D829" i="47" a="1"/>
  <c r="D829" i="47" s="1"/>
  <c r="D1123" i="47" a="1"/>
  <c r="D1123" i="47" s="1"/>
  <c r="D1289" i="47" a="1"/>
  <c r="D1289" i="47" s="1"/>
  <c r="D1477" i="47" a="1"/>
  <c r="D1477" i="47" s="1"/>
  <c r="D1448" i="47" a="1"/>
  <c r="D1448" i="47" s="1"/>
  <c r="D1367" i="47" a="1"/>
  <c r="D1367" i="47" s="1"/>
  <c r="D1475" i="47" a="1"/>
  <c r="D1475" i="47" s="1"/>
  <c r="D1231" i="47" a="1"/>
  <c r="D1231" i="47" s="1"/>
  <c r="D1655" i="47" a="1"/>
  <c r="D1655" i="47" s="1"/>
  <c r="D1465" i="47" a="1"/>
  <c r="D1465" i="47" s="1"/>
  <c r="D1815" i="47" a="1"/>
  <c r="D1815" i="47" s="1"/>
  <c r="D1036" i="47" a="1"/>
  <c r="D1036" i="47" s="1"/>
  <c r="D1183" i="47" a="1"/>
  <c r="D1183" i="47" s="1"/>
  <c r="D1373" i="47" a="1"/>
  <c r="D1373" i="47" s="1"/>
  <c r="D1542" i="47" a="1"/>
  <c r="D1542" i="47" s="1"/>
  <c r="D1580" i="47" a="1"/>
  <c r="D1580" i="47" s="1"/>
  <c r="D711" i="47" a="1"/>
  <c r="D711" i="47" s="1"/>
  <c r="D1005" i="47" a="1"/>
  <c r="D1005" i="47" s="1"/>
  <c r="D1179" i="47" a="1"/>
  <c r="D1179" i="47" s="1"/>
  <c r="D1317" i="47" a="1"/>
  <c r="D1317" i="47" s="1"/>
  <c r="D1666" i="47" a="1"/>
  <c r="D1666" i="47" s="1"/>
  <c r="D1739" i="47" a="1"/>
  <c r="D1739" i="47" s="1"/>
  <c r="D1919" i="47" a="1"/>
  <c r="D1919" i="47" s="1"/>
  <c r="D1859" i="47" a="1"/>
  <c r="D1859" i="47" s="1"/>
  <c r="D1451" i="47" a="1"/>
  <c r="D1451" i="47" s="1"/>
  <c r="D1874" i="47" a="1"/>
  <c r="D1874" i="47" s="1"/>
  <c r="D1689" i="47" a="1"/>
  <c r="D1689" i="47" s="1"/>
  <c r="D1960" i="47" a="1"/>
  <c r="D1960" i="47" s="1"/>
  <c r="D1148" i="47" a="1"/>
  <c r="D1148" i="47" s="1"/>
  <c r="D1280" i="47" a="1"/>
  <c r="D1280" i="47" s="1"/>
  <c r="D1402" i="47" a="1"/>
  <c r="D1402" i="47" s="1"/>
  <c r="D1491" i="47" a="1"/>
  <c r="D1491" i="47" s="1"/>
  <c r="D1699" i="47" a="1"/>
  <c r="D1699" i="47" s="1"/>
  <c r="D1911" i="47" a="1"/>
  <c r="D1911" i="47" s="1"/>
  <c r="D1436" i="47" a="1"/>
  <c r="D1436" i="47" s="1"/>
  <c r="D1553" i="47" a="1"/>
  <c r="D1553" i="47" s="1"/>
  <c r="D1670" i="47" a="1"/>
  <c r="D1670" i="47" s="1"/>
  <c r="D1792" i="47" a="1"/>
  <c r="D1792" i="47" s="1"/>
  <c r="D1247" i="47" a="1"/>
  <c r="D1247" i="47" s="1"/>
  <c r="D1333" i="47" a="1"/>
  <c r="D1333" i="47" s="1"/>
  <c r="D1461" i="47" a="1"/>
  <c r="D1461" i="47" s="1"/>
  <c r="D1566" i="47" a="1"/>
  <c r="D1566" i="47" s="1"/>
  <c r="D1702" i="47" a="1"/>
  <c r="D1702" i="47" s="1"/>
  <c r="D1903" i="47" a="1"/>
  <c r="D1903" i="47" s="1"/>
  <c r="D1690" i="47" a="1"/>
  <c r="D1690" i="47" s="1"/>
  <c r="D1835" i="47" a="1"/>
  <c r="D1835" i="47" s="1"/>
  <c r="D1979" i="47" a="1"/>
  <c r="D1979" i="47" s="1"/>
  <c r="D1873" i="47" a="1"/>
  <c r="D1873" i="47" s="1"/>
  <c r="D2084" i="47" a="1"/>
  <c r="D2084" i="47" s="1"/>
  <c r="D1322" i="47" a="1"/>
  <c r="D1322" i="47" s="1"/>
  <c r="D1457" i="47" a="1"/>
  <c r="D1457" i="47" s="1"/>
  <c r="D1591" i="47" a="1"/>
  <c r="D1591" i="47" s="1"/>
  <c r="D1700" i="47" a="1"/>
  <c r="D1700" i="47" s="1"/>
  <c r="D1861" i="47" a="1"/>
  <c r="D1861" i="47" s="1"/>
  <c r="D2010" i="47" a="1"/>
  <c r="D2010" i="47" s="1"/>
  <c r="D2211" i="47" a="1"/>
  <c r="D2211" i="47" s="1"/>
  <c r="D1674" i="47" a="1"/>
  <c r="D1674" i="47" s="1"/>
  <c r="D1777" i="47" a="1"/>
  <c r="D1777" i="47" s="1"/>
  <c r="D2060" i="47" a="1"/>
  <c r="D2060" i="47" s="1"/>
  <c r="D2191" i="47" a="1"/>
  <c r="D2191" i="47" s="1"/>
  <c r="D2131" i="47" a="1"/>
  <c r="D2131" i="47" s="1"/>
  <c r="D1718" i="47" a="1"/>
  <c r="D1718" i="47" s="1"/>
  <c r="D1922" i="47" a="1"/>
  <c r="D1922" i="47" s="1"/>
  <c r="D2074" i="47" a="1"/>
  <c r="D2074" i="47" s="1"/>
  <c r="D2038" i="47" a="1"/>
  <c r="D2038" i="47" s="1"/>
  <c r="D2147" i="47" a="1"/>
  <c r="D2147" i="47" s="1"/>
  <c r="D1976" i="47" a="1"/>
  <c r="D1976" i="47" s="1"/>
  <c r="D2067" i="47" a="1"/>
  <c r="D2067" i="47" s="1"/>
  <c r="D2194" i="47" a="1"/>
  <c r="D2194" i="47" s="1"/>
  <c r="D2180" i="47" a="1"/>
  <c r="D2180" i="47" s="1"/>
  <c r="D1635" i="47" a="1"/>
  <c r="D1635" i="47" s="1"/>
  <c r="D2041" i="47" a="1"/>
  <c r="D2041" i="47" s="1"/>
  <c r="D1754" i="47" a="1"/>
  <c r="D1754" i="47" s="1"/>
  <c r="D1813" i="47" a="1"/>
  <c r="D1813" i="47" s="1"/>
  <c r="D1895" i="47" a="1"/>
  <c r="D1895" i="47" s="1"/>
  <c r="D2388" i="47" a="1"/>
  <c r="D2388" i="47" s="1"/>
  <c r="D2210" i="47" a="1"/>
  <c r="D2210" i="47" s="1"/>
  <c r="D2312" i="47" a="1"/>
  <c r="D2312" i="47" s="1"/>
  <c r="D2377" i="47" a="1"/>
  <c r="D2377" i="47" s="1"/>
  <c r="D2463" i="47" a="1"/>
  <c r="D2463" i="47" s="1"/>
  <c r="D2028" i="47" a="1"/>
  <c r="D2028" i="47" s="1"/>
  <c r="D2127" i="47" a="1"/>
  <c r="D2127" i="47" s="1"/>
  <c r="D2286" i="47" a="1"/>
  <c r="D2286" i="47" s="1"/>
  <c r="D2391" i="47" a="1"/>
  <c r="D2391" i="47" s="1"/>
  <c r="D2492" i="47" a="1"/>
  <c r="D2492" i="47" s="1"/>
  <c r="D2059" i="47" a="1"/>
  <c r="D2059" i="47" s="1"/>
  <c r="D2181" i="47" a="1"/>
  <c r="D2181" i="47" s="1"/>
  <c r="D2371" i="47" a="1"/>
  <c r="D2371" i="47" s="1"/>
  <c r="D2459" i="47" a="1"/>
  <c r="D2459" i="47" s="1"/>
  <c r="D2507" i="47" a="1"/>
  <c r="D2507" i="47" s="1"/>
  <c r="D2445" i="47" a="1"/>
  <c r="D2445" i="47" s="1"/>
  <c r="D2275" i="47" a="1"/>
  <c r="D2275" i="47" s="1"/>
  <c r="D2332" i="47" a="1"/>
  <c r="D2332" i="47" s="1"/>
  <c r="D2426" i="47" a="1"/>
  <c r="D2426" i="47" s="1"/>
  <c r="D2287" i="47" a="1"/>
  <c r="D2287" i="47" s="1"/>
  <c r="D2339" i="47" a="1"/>
  <c r="D2339" i="47" s="1"/>
  <c r="D2473" i="47" a="1"/>
  <c r="D2473" i="47" s="1"/>
  <c r="D1948" i="47" a="1"/>
  <c r="D1948" i="47" s="1"/>
  <c r="D2069" i="47" a="1"/>
  <c r="D2069" i="47" s="1"/>
  <c r="D2166" i="47" a="1"/>
  <c r="D2166" i="47" s="1"/>
  <c r="D2304" i="47" a="1"/>
  <c r="D2304" i="47" s="1"/>
  <c r="D2434" i="47" a="1"/>
  <c r="D2434" i="47" s="1"/>
  <c r="D2189" i="47" a="1"/>
  <c r="D2189" i="47" s="1"/>
  <c r="D2335" i="47" a="1"/>
  <c r="D2335" i="47" s="1"/>
  <c r="D1020" i="47" a="1"/>
  <c r="D1020" i="47" s="1"/>
  <c r="D718" i="47" a="1"/>
  <c r="D718" i="47" s="1"/>
  <c r="D862" i="47" a="1"/>
  <c r="D862" i="47" s="1"/>
  <c r="D744" i="47" a="1"/>
  <c r="D744" i="47" s="1"/>
  <c r="D1133" i="47" a="1"/>
  <c r="D1133" i="47" s="1"/>
  <c r="D706" i="47" a="1"/>
  <c r="D706" i="47" s="1"/>
  <c r="D762" i="47" a="1"/>
  <c r="D762" i="47" s="1"/>
  <c r="D1137" i="47" a="1"/>
  <c r="D1137" i="47" s="1"/>
  <c r="D1365" i="47" a="1"/>
  <c r="D1365" i="47" s="1"/>
  <c r="D1558" i="47" a="1"/>
  <c r="D1558" i="47" s="1"/>
  <c r="D693" i="47" a="1"/>
  <c r="D693" i="47" s="1"/>
  <c r="D849" i="47" a="1"/>
  <c r="D849" i="47" s="1"/>
  <c r="D987" i="47" a="1"/>
  <c r="D987" i="47" s="1"/>
  <c r="D1130" i="47" a="1"/>
  <c r="D1130" i="47" s="1"/>
  <c r="D1320" i="47" a="1"/>
  <c r="D1320" i="47" s="1"/>
  <c r="D1485" i="47" a="1"/>
  <c r="D1485" i="47" s="1"/>
  <c r="D1463" i="47" a="1"/>
  <c r="D1463" i="47" s="1"/>
  <c r="D1372" i="47" a="1"/>
  <c r="D1372" i="47" s="1"/>
  <c r="D1243" i="47" a="1"/>
  <c r="D1243" i="47" s="1"/>
  <c r="D1470" i="47" a="1"/>
  <c r="D1470" i="47" s="1"/>
  <c r="D1776" i="47" a="1"/>
  <c r="D1776" i="47" s="1"/>
  <c r="D1703" i="47" a="1"/>
  <c r="D1703" i="47" s="1"/>
  <c r="D1053" i="47" a="1"/>
  <c r="D1053" i="47" s="1"/>
  <c r="D1197" i="47" a="1"/>
  <c r="D1197" i="47" s="1"/>
  <c r="D1381" i="47" a="1"/>
  <c r="D1381" i="47" s="1"/>
  <c r="D1557" i="47" a="1"/>
  <c r="D1557" i="47" s="1"/>
  <c r="D1605" i="47" a="1"/>
  <c r="D1605" i="47" s="1"/>
  <c r="D717" i="47" a="1"/>
  <c r="D717" i="47" s="1"/>
  <c r="D1010" i="47" a="1"/>
  <c r="D1010" i="47" s="1"/>
  <c r="D1195" i="47" a="1"/>
  <c r="D1195" i="47" s="1"/>
  <c r="D1324" i="47" a="1"/>
  <c r="D1324" i="47" s="1"/>
  <c r="D1447" i="47" a="1"/>
  <c r="D1447" i="47" s="1"/>
  <c r="D1693" i="47" a="1"/>
  <c r="D1693" i="47" s="1"/>
  <c r="D1609" i="47" a="1"/>
  <c r="D1609" i="47" s="1"/>
  <c r="D1768" i="47" a="1"/>
  <c r="D1768" i="47" s="1"/>
  <c r="D1871" i="47" a="1"/>
  <c r="D1871" i="47" s="1"/>
  <c r="D1453" i="47" a="1"/>
  <c r="D1453" i="47" s="1"/>
  <c r="D1585" i="47" a="1"/>
  <c r="D1585" i="47" s="1"/>
  <c r="D1742" i="47" a="1"/>
  <c r="D1742" i="47" s="1"/>
  <c r="D1694" i="47" a="1"/>
  <c r="D1694" i="47" s="1"/>
  <c r="D1963" i="47" a="1"/>
  <c r="D1963" i="47" s="1"/>
  <c r="D996" i="47" a="1"/>
  <c r="D996" i="47" s="1"/>
  <c r="D1155" i="47" a="1"/>
  <c r="D1155" i="47" s="1"/>
  <c r="D1293" i="47" a="1"/>
  <c r="D1293" i="47" s="1"/>
  <c r="D1407" i="47" a="1"/>
  <c r="D1407" i="47" s="1"/>
  <c r="D1499" i="47" a="1"/>
  <c r="D1499" i="47" s="1"/>
  <c r="D1789" i="47" a="1"/>
  <c r="D1789" i="47" s="1"/>
  <c r="D1905" i="47" a="1"/>
  <c r="D1905" i="47" s="1"/>
  <c r="D1709" i="47" a="1"/>
  <c r="D1709" i="47" s="1"/>
  <c r="D1915" i="47" a="1"/>
  <c r="D1915" i="47" s="1"/>
  <c r="D1438" i="47" a="1"/>
  <c r="D1438" i="47" s="1"/>
  <c r="D1677" i="47" a="1"/>
  <c r="D1677" i="47" s="1"/>
  <c r="D1802" i="47" a="1"/>
  <c r="D1802" i="47" s="1"/>
  <c r="D1348" i="47" a="1"/>
  <c r="D1348" i="47" s="1"/>
  <c r="D1472" i="47" a="1"/>
  <c r="D1472" i="47" s="1"/>
  <c r="D1579" i="47" a="1"/>
  <c r="D1579" i="47" s="1"/>
  <c r="D2035" i="47" a="1"/>
  <c r="D2035" i="47" s="1"/>
  <c r="D1705" i="47" a="1"/>
  <c r="D1705" i="47" s="1"/>
  <c r="D1652" i="47" a="1"/>
  <c r="D1652" i="47" s="1"/>
  <c r="D1885" i="47" a="1"/>
  <c r="D1885" i="47" s="1"/>
  <c r="D2284" i="47" a="1"/>
  <c r="D2284" i="47" s="1"/>
  <c r="D1342" i="47" a="1"/>
  <c r="D1342" i="47" s="1"/>
  <c r="D1611" i="47" a="1"/>
  <c r="D1611" i="47" s="1"/>
  <c r="D1865" i="47" a="1"/>
  <c r="D1865" i="47" s="1"/>
  <c r="D2017" i="47" a="1"/>
  <c r="D2017" i="47" s="1"/>
  <c r="D2215" i="47" a="1"/>
  <c r="D2215" i="47" s="1"/>
  <c r="D1682" i="47" a="1"/>
  <c r="D1682" i="47" s="1"/>
  <c r="D1784" i="47" a="1"/>
  <c r="D1784" i="47" s="1"/>
  <c r="D2066" i="47" a="1"/>
  <c r="D2066" i="47" s="1"/>
  <c r="D2193" i="47" a="1"/>
  <c r="D2193" i="47" s="1"/>
  <c r="D2005" i="47" a="1"/>
  <c r="D2005" i="47" s="1"/>
  <c r="D2186" i="47" a="1"/>
  <c r="D2186" i="47" s="1"/>
  <c r="D1723" i="47" a="1"/>
  <c r="D1723" i="47" s="1"/>
  <c r="D2045" i="47" a="1"/>
  <c r="D2045" i="47" s="1"/>
  <c r="D2163" i="47" a="1"/>
  <c r="D2163" i="47" s="1"/>
  <c r="D2150" i="47" a="1"/>
  <c r="D2150" i="47" s="1"/>
  <c r="D1821" i="47" a="1"/>
  <c r="D1821" i="47" s="1"/>
  <c r="D2077" i="47" a="1"/>
  <c r="D2077" i="47" s="1"/>
  <c r="D2213" i="47" a="1"/>
  <c r="D2213" i="47" s="1"/>
  <c r="D2199" i="47" a="1"/>
  <c r="D2199" i="47" s="1"/>
  <c r="D1644" i="47" a="1"/>
  <c r="D1644" i="47" s="1"/>
  <c r="D1781" i="47" a="1"/>
  <c r="D1781" i="47" s="1"/>
  <c r="D1900" i="47" a="1"/>
  <c r="D1900" i="47" s="1"/>
  <c r="D2283" i="47" a="1"/>
  <c r="D2283" i="47" s="1"/>
  <c r="D1902" i="47" a="1"/>
  <c r="D1902" i="47" s="1"/>
  <c r="D2054" i="47" a="1"/>
  <c r="D2054" i="47" s="1"/>
  <c r="D2268" i="47" a="1"/>
  <c r="D2268" i="47" s="1"/>
  <c r="D2400" i="47" a="1"/>
  <c r="D2400" i="47" s="1"/>
  <c r="D2220" i="47" a="1"/>
  <c r="D2220" i="47" s="1"/>
  <c r="D2318" i="47" a="1"/>
  <c r="D2318" i="47" s="1"/>
  <c r="D2489" i="47" a="1"/>
  <c r="D2489" i="47" s="1"/>
  <c r="D2484" i="47" a="1"/>
  <c r="D2484" i="47" s="1"/>
  <c r="D2042" i="47" a="1"/>
  <c r="D2042" i="47" s="1"/>
  <c r="D2295" i="47" a="1"/>
  <c r="D2295" i="47" s="1"/>
  <c r="D2499" i="47" a="1"/>
  <c r="D2499" i="47" s="1"/>
  <c r="D2065" i="47" a="1"/>
  <c r="D2065" i="47" s="1"/>
  <c r="D2190" i="47" a="1"/>
  <c r="D2190" i="47" s="1"/>
  <c r="D2375" i="47" a="1"/>
  <c r="D2375" i="47" s="1"/>
  <c r="D2467" i="47" a="1"/>
  <c r="D2467" i="47" s="1"/>
  <c r="D2510" i="47" a="1"/>
  <c r="D2510" i="47" s="1"/>
  <c r="D2465" i="47" a="1"/>
  <c r="D2465" i="47" s="1"/>
  <c r="D1998" i="47" a="1"/>
  <c r="D1998" i="47" s="1"/>
  <c r="D2112" i="47" a="1"/>
  <c r="D2112" i="47" s="1"/>
  <c r="D2205" i="47" a="1"/>
  <c r="D2205" i="47" s="1"/>
  <c r="D2280" i="47" a="1"/>
  <c r="D2280" i="47" s="1"/>
  <c r="D2341" i="47" a="1"/>
  <c r="D2341" i="47" s="1"/>
  <c r="D2311" i="47" a="1"/>
  <c r="D2311" i="47" s="1"/>
  <c r="D2424" i="47" a="1"/>
  <c r="D2424" i="47" s="1"/>
  <c r="D2355" i="47" a="1"/>
  <c r="D2355" i="47" s="1"/>
  <c r="D2488" i="47" a="1"/>
  <c r="D2488" i="47" s="1"/>
  <c r="D1951" i="47" a="1"/>
  <c r="D1951" i="47" s="1"/>
  <c r="D2071" i="47" a="1"/>
  <c r="D2071" i="47" s="1"/>
  <c r="D2446" i="47" a="1"/>
  <c r="D2446" i="47" s="1"/>
  <c r="D2337" i="47" a="1"/>
  <c r="D2337" i="47" s="1"/>
  <c r="D2502" i="47" a="1"/>
  <c r="D2502" i="47" s="1"/>
  <c r="D1115" i="47" a="1"/>
  <c r="D1115" i="47" s="1"/>
  <c r="D440" i="47" a="1"/>
  <c r="D440" i="47" s="1"/>
  <c r="D754" i="47" a="1"/>
  <c r="D754" i="47" s="1"/>
  <c r="D807" i="47" a="1"/>
  <c r="D807" i="47" s="1"/>
  <c r="D1101" i="47" a="1"/>
  <c r="D1101" i="47" s="1"/>
  <c r="D1132" i="47" a="1"/>
  <c r="D1132" i="47" s="1"/>
  <c r="D1576" i="47" a="1"/>
  <c r="D1576" i="47" s="1"/>
  <c r="D709" i="47" a="1"/>
  <c r="D709" i="47" s="1"/>
  <c r="D854" i="47" a="1"/>
  <c r="D854" i="47" s="1"/>
  <c r="D1013" i="47" a="1"/>
  <c r="D1013" i="47" s="1"/>
  <c r="D1135" i="47" a="1"/>
  <c r="D1135" i="47" s="1"/>
  <c r="D1332" i="47" a="1"/>
  <c r="D1332" i="47" s="1"/>
  <c r="D1515" i="47" a="1"/>
  <c r="D1515" i="47" s="1"/>
  <c r="D1518" i="47" a="1"/>
  <c r="D1518" i="47" s="1"/>
  <c r="D1380" i="47" a="1"/>
  <c r="D1380" i="47" s="1"/>
  <c r="D1248" i="47" a="1"/>
  <c r="D1248" i="47" s="1"/>
  <c r="D1820" i="47" a="1"/>
  <c r="D1820" i="47" s="1"/>
  <c r="D1486" i="47" a="1"/>
  <c r="D1486" i="47" s="1"/>
  <c r="D1067" i="47" a="1"/>
  <c r="D1067" i="47" s="1"/>
  <c r="D1396" i="47" a="1"/>
  <c r="D1396" i="47" s="1"/>
  <c r="D1599" i="47" a="1"/>
  <c r="D1599" i="47" s="1"/>
  <c r="D1648" i="47" a="1"/>
  <c r="D1648" i="47" s="1"/>
  <c r="D734" i="47" a="1"/>
  <c r="D734" i="47" s="1"/>
  <c r="D886" i="47" a="1"/>
  <c r="D886" i="47" s="1"/>
  <c r="D1046" i="47" a="1"/>
  <c r="D1046" i="47" s="1"/>
  <c r="D1202" i="47" a="1"/>
  <c r="D1202" i="47" s="1"/>
  <c r="D1452" i="47" a="1"/>
  <c r="D1452" i="47" s="1"/>
  <c r="D1617" i="47" a="1"/>
  <c r="D1617" i="47" s="1"/>
  <c r="D1932" i="47" a="1"/>
  <c r="D1932" i="47" s="1"/>
  <c r="D1886" i="47" a="1"/>
  <c r="D1886" i="47" s="1"/>
  <c r="D1466" i="47" a="1"/>
  <c r="D1466" i="47" s="1"/>
  <c r="D1701" i="47" a="1"/>
  <c r="D1701" i="47" s="1"/>
  <c r="D2019" i="47" a="1"/>
  <c r="D2019" i="47" s="1"/>
  <c r="D1173" i="47" a="1"/>
  <c r="D1173" i="47" s="1"/>
  <c r="D1313" i="47" a="1"/>
  <c r="D1313" i="47" s="1"/>
  <c r="D1501" i="47" a="1"/>
  <c r="D1501" i="47" s="1"/>
  <c r="D1667" i="47" a="1"/>
  <c r="D1667" i="47" s="1"/>
  <c r="D1908" i="47" a="1"/>
  <c r="D1908" i="47" s="1"/>
  <c r="D1720" i="47" a="1"/>
  <c r="D1720" i="47" s="1"/>
  <c r="D1920" i="47" a="1"/>
  <c r="D1920" i="47" s="1"/>
  <c r="D1445" i="47" a="1"/>
  <c r="D1445" i="47" s="1"/>
  <c r="D1573" i="47" a="1"/>
  <c r="D1573" i="47" s="1"/>
  <c r="D1687" i="47" a="1"/>
  <c r="D1687" i="47" s="1"/>
  <c r="D1261" i="47" a="1"/>
  <c r="D1261" i="47" s="1"/>
  <c r="D1352" i="47" a="1"/>
  <c r="D1352" i="47" s="1"/>
  <c r="D1479" i="47" a="1"/>
  <c r="D1479" i="47" s="1"/>
  <c r="D1586" i="47" a="1"/>
  <c r="D1586" i="47" s="1"/>
  <c r="D1756" i="47" a="1"/>
  <c r="D1756" i="47" s="1"/>
  <c r="D1707" i="47" a="1"/>
  <c r="D1707" i="47" s="1"/>
  <c r="D1870" i="47" a="1"/>
  <c r="D1870" i="47" s="1"/>
  <c r="D1668" i="47" a="1"/>
  <c r="D1668" i="47" s="1"/>
  <c r="D1888" i="47" a="1"/>
  <c r="D1888" i="47" s="1"/>
  <c r="D1490" i="47" a="1"/>
  <c r="D1490" i="47" s="1"/>
  <c r="D1631" i="47" a="1"/>
  <c r="D1631" i="47" s="1"/>
  <c r="D1721" i="47" a="1"/>
  <c r="D1721" i="47" s="1"/>
  <c r="D2020" i="47" a="1"/>
  <c r="D2020" i="47" s="1"/>
  <c r="D2225" i="47" a="1"/>
  <c r="D2225" i="47" s="1"/>
  <c r="D1684" i="47" a="1"/>
  <c r="D1684" i="47" s="1"/>
  <c r="D1788" i="47" a="1"/>
  <c r="D1788" i="47" s="1"/>
  <c r="D2240" i="47" a="1"/>
  <c r="D2240" i="47" s="1"/>
  <c r="D2209" i="47" a="1"/>
  <c r="D2209" i="47" s="1"/>
  <c r="D2011" i="47" a="1"/>
  <c r="D2011" i="47" s="1"/>
  <c r="D2212" i="47" a="1"/>
  <c r="D2212" i="47" s="1"/>
  <c r="D1762" i="47" a="1"/>
  <c r="D1762" i="47" s="1"/>
  <c r="D1940" i="47" a="1"/>
  <c r="D1940" i="47" s="1"/>
  <c r="D2203" i="47" a="1"/>
  <c r="D2203" i="47" s="1"/>
  <c r="D2196" i="47" a="1"/>
  <c r="D2196" i="47" s="1"/>
  <c r="D2048" i="47" a="1"/>
  <c r="D2048" i="47" s="1"/>
  <c r="D2182" i="47" a="1"/>
  <c r="D2182" i="47" s="1"/>
  <c r="D1984" i="47" a="1"/>
  <c r="D1984" i="47" s="1"/>
  <c r="D2111" i="47" a="1"/>
  <c r="D2111" i="47" s="1"/>
  <c r="D2232" i="47" a="1"/>
  <c r="D2232" i="47" s="1"/>
  <c r="D2208" i="47" a="1"/>
  <c r="D2208" i="47" s="1"/>
  <c r="D1653" i="47" a="1"/>
  <c r="D1653" i="47" s="1"/>
  <c r="D1819" i="47" a="1"/>
  <c r="D1819" i="47" s="1"/>
  <c r="D1916" i="47" a="1"/>
  <c r="D1916" i="47" s="1"/>
  <c r="D2083" i="47" a="1"/>
  <c r="D2083" i="47" s="1"/>
  <c r="D2291" i="47" a="1"/>
  <c r="D2291" i="47" s="1"/>
  <c r="D1826" i="47" a="1"/>
  <c r="D1826" i="47" s="1"/>
  <c r="D1910" i="47" a="1"/>
  <c r="D1910" i="47" s="1"/>
  <c r="D2404" i="47" a="1"/>
  <c r="D2404" i="47" s="1"/>
  <c r="D2229" i="47" a="1"/>
  <c r="D2229" i="47" s="1"/>
  <c r="D2320" i="47" a="1"/>
  <c r="D2320" i="47" s="1"/>
  <c r="D2398" i="47" a="1"/>
  <c r="D2398" i="47" s="1"/>
  <c r="D2494" i="47" a="1"/>
  <c r="D2494" i="47" s="1"/>
  <c r="D2504" i="47" a="1"/>
  <c r="D2504" i="47" s="1"/>
  <c r="D2049" i="47" a="1"/>
  <c r="D2049" i="47" s="1"/>
  <c r="D2148" i="47" a="1"/>
  <c r="D2148" i="47" s="1"/>
  <c r="D2298" i="47" a="1"/>
  <c r="D2298" i="47" s="1"/>
  <c r="D2412" i="47" a="1"/>
  <c r="D2412" i="47" s="1"/>
  <c r="D2512" i="47" a="1"/>
  <c r="D2512" i="47" s="1"/>
  <c r="D2070" i="47" a="1"/>
  <c r="D2070" i="47" s="1"/>
  <c r="D2216" i="47" a="1"/>
  <c r="D2216" i="47" s="1"/>
  <c r="D2389" i="47" a="1"/>
  <c r="D2389" i="47" s="1"/>
  <c r="D2477" i="47" a="1"/>
  <c r="D2477" i="47" s="1"/>
  <c r="D2350" i="47" a="1"/>
  <c r="D2350" i="47" s="1"/>
  <c r="D2470" i="47" a="1"/>
  <c r="D2470" i="47" s="1"/>
  <c r="D2118" i="47" a="1"/>
  <c r="D2118" i="47" s="1"/>
  <c r="D2207" i="47" a="1"/>
  <c r="D2207" i="47" s="1"/>
  <c r="D2282" i="47" a="1"/>
  <c r="D2282" i="47" s="1"/>
  <c r="D2436" i="47" a="1"/>
  <c r="D2436" i="47" s="1"/>
  <c r="D2441" i="47" a="1"/>
  <c r="D2441" i="47" s="1"/>
  <c r="D2360" i="47" a="1"/>
  <c r="D2360" i="47" s="1"/>
  <c r="D2498" i="47" a="1"/>
  <c r="D2498" i="47" s="1"/>
  <c r="D1961" i="47" a="1"/>
  <c r="D1961" i="47" s="1"/>
  <c r="D2217" i="47" a="1"/>
  <c r="D2217" i="47" s="1"/>
  <c r="D2309" i="47" a="1"/>
  <c r="D2309" i="47" s="1"/>
  <c r="D2455" i="47" a="1"/>
  <c r="D2455" i="47" s="1"/>
  <c r="D2224" i="47" a="1"/>
  <c r="D2224" i="47" s="1"/>
  <c r="D2374" i="47" a="1"/>
  <c r="D2374" i="47" s="1"/>
  <c r="D165" i="47" a="1"/>
  <c r="D165" i="47" s="1"/>
  <c r="D215" i="47" a="1"/>
  <c r="D215" i="47" s="1"/>
  <c r="D465" i="47" a="1"/>
  <c r="D465" i="47" s="1"/>
  <c r="D1015" i="47" a="1"/>
  <c r="D1015" i="47" s="1"/>
  <c r="D2015" i="47" a="1"/>
  <c r="D2015" i="47" s="1"/>
  <c r="D365" i="47" a="1"/>
  <c r="D365" i="47" s="1"/>
  <c r="D265" i="47" a="1"/>
  <c r="D265" i="47" s="1"/>
  <c r="D65" i="47" a="1"/>
  <c r="D65" i="47" s="1"/>
  <c r="D115" i="47" a="1"/>
  <c r="D115" i="47" s="1"/>
  <c r="D415" i="47" a="1"/>
  <c r="D415" i="47" s="1"/>
  <c r="D315" i="47" a="1"/>
  <c r="D315" i="47" s="1"/>
  <c r="BH15" i="28"/>
  <c r="BF15" i="66"/>
  <c r="BH15" i="66"/>
  <c r="BJ15" i="66"/>
  <c r="BD15" i="66"/>
  <c r="AF15" i="66"/>
  <c r="AD15" i="66"/>
  <c r="AB15" i="66"/>
  <c r="G1383" i="29" a="1"/>
  <c r="G1383" i="29" s="1"/>
  <c r="A1383" i="29" s="1"/>
  <c r="C1629" i="29" a="1"/>
  <c r="C1629" i="29" s="1"/>
  <c r="D1995" i="29" a="1"/>
  <c r="D1995" i="29" s="1"/>
  <c r="C1505" i="29" a="1"/>
  <c r="B1506" i="29" s="1"/>
  <c r="C1383" i="29" a="1"/>
  <c r="B1384" i="29" s="1"/>
  <c r="C1751" i="29" a="1"/>
  <c r="C1751" i="29" s="1"/>
  <c r="C1568" i="29" a="1"/>
  <c r="C1995" i="29" a="1"/>
  <c r="C1322" i="29" a="1"/>
  <c r="G1322" i="29" a="1"/>
  <c r="C1934" i="29" a="1"/>
  <c r="C1690" i="29" a="1"/>
  <c r="G1629" i="29" a="1"/>
  <c r="C1873" i="29" a="1"/>
  <c r="D1568" i="29" a="1"/>
  <c r="D1568" i="29" s="1"/>
  <c r="G1751" i="29" a="1"/>
  <c r="A1271" i="29"/>
  <c r="G1270" i="29"/>
  <c r="A1270" i="29" s="1"/>
  <c r="C1270" i="29" a="1"/>
  <c r="C1444" i="29" a="1"/>
  <c r="C1812" i="29" a="1"/>
  <c r="G1568" i="29" a="1"/>
  <c r="AH15" i="66"/>
  <c r="H1568" i="29" s="1" a="1"/>
  <c r="H1568" i="29" s="1"/>
  <c r="AI15" i="66"/>
  <c r="S15" i="66"/>
  <c r="D1322" i="29" s="1" a="1"/>
  <c r="D1322" i="29" s="1"/>
  <c r="P15" i="66"/>
  <c r="D1270" i="29" s="1" a="1"/>
  <c r="D1270" i="29" s="1"/>
  <c r="AO15" i="66"/>
  <c r="D1690" i="29" s="1" a="1"/>
  <c r="D1690" i="29" s="1"/>
  <c r="AL15" i="66"/>
  <c r="D1629" i="29" s="1" a="1"/>
  <c r="D1629" i="29" s="1"/>
  <c r="AX15" i="66"/>
  <c r="D1873" i="29" s="1" a="1"/>
  <c r="D1873" i="29" s="1"/>
  <c r="BA15" i="66"/>
  <c r="D1934" i="29" s="1" a="1"/>
  <c r="D1934" i="29" s="1"/>
  <c r="V15" i="66"/>
  <c r="D1383" i="29" s="1" a="1"/>
  <c r="D1383" i="29" s="1"/>
  <c r="G1690" i="29" a="1"/>
  <c r="BC15" i="66"/>
  <c r="H1995" i="29" s="1" a="1"/>
  <c r="H1995" i="29" s="1"/>
  <c r="AZ15" i="66"/>
  <c r="H1934" i="29" s="1" a="1"/>
  <c r="H1934" i="29" s="1"/>
  <c r="AW15" i="66"/>
  <c r="H1873" i="29" s="1" a="1"/>
  <c r="H1873" i="29" s="1"/>
  <c r="AQ15" i="66"/>
  <c r="H1751" i="29" s="1" a="1"/>
  <c r="H1751" i="29" s="1"/>
  <c r="AN15" i="66"/>
  <c r="H1690" i="29" s="1" a="1"/>
  <c r="H1690" i="29" s="1"/>
  <c r="AK15" i="66"/>
  <c r="H1629" i="29" s="1" a="1"/>
  <c r="H1629" i="29" s="1"/>
  <c r="M15" i="66"/>
  <c r="AA15" i="66"/>
  <c r="H1505" i="29" s="1" a="1"/>
  <c r="H1505" i="29" s="1"/>
  <c r="X15" i="66"/>
  <c r="H1444" i="29" s="1" a="1"/>
  <c r="H1444" i="29" s="1"/>
  <c r="R15" i="66"/>
  <c r="H1322" i="29" s="1" a="1"/>
  <c r="H1322" i="29" s="1"/>
  <c r="U15" i="66"/>
  <c r="H1383" i="29" s="1" a="1"/>
  <c r="H1383" i="29" s="1"/>
  <c r="O15" i="66"/>
  <c r="H1270" i="29" s="1" a="1"/>
  <c r="H1270" i="29" s="1"/>
  <c r="AU15" i="66"/>
  <c r="D1812" i="29" s="1" a="1"/>
  <c r="D1812" i="29" s="1"/>
  <c r="D1505" i="29" a="1"/>
  <c r="D1505" i="29" s="1"/>
  <c r="AR15" i="66"/>
  <c r="D1751" i="29" s="1" a="1"/>
  <c r="D1751" i="29" s="1"/>
  <c r="Y15" i="66"/>
  <c r="D1444" i="29" s="1" a="1"/>
  <c r="D1444" i="29" s="1"/>
  <c r="I40" i="29"/>
  <c r="I41" i="29"/>
  <c r="I42" i="29"/>
  <c r="I43" i="29"/>
  <c r="I44" i="29"/>
  <c r="I45" i="29"/>
  <c r="I46" i="29"/>
  <c r="I47" i="29"/>
  <c r="I48" i="29"/>
  <c r="I49" i="29"/>
  <c r="I50" i="29"/>
  <c r="I51" i="29"/>
  <c r="I52" i="29"/>
  <c r="I53" i="29"/>
  <c r="I54" i="29"/>
  <c r="I55" i="29"/>
  <c r="I56" i="29"/>
  <c r="I57" i="29"/>
  <c r="I58" i="29"/>
  <c r="I59" i="29"/>
  <c r="I60" i="29"/>
  <c r="I61" i="29"/>
  <c r="I62" i="29"/>
  <c r="I63" i="29"/>
  <c r="I64" i="29"/>
  <c r="I65" i="29"/>
  <c r="I66" i="29"/>
  <c r="I92" i="29"/>
  <c r="I93" i="29"/>
  <c r="I94" i="29"/>
  <c r="I95" i="29"/>
  <c r="I96" i="29"/>
  <c r="I97" i="29"/>
  <c r="I98" i="29"/>
  <c r="I99" i="29"/>
  <c r="I100" i="29"/>
  <c r="I101" i="29"/>
  <c r="I102" i="29"/>
  <c r="I103" i="29"/>
  <c r="I104" i="29"/>
  <c r="I105" i="29"/>
  <c r="I106" i="29"/>
  <c r="I107" i="29"/>
  <c r="I108" i="29"/>
  <c r="I109" i="29"/>
  <c r="I110" i="29"/>
  <c r="I111" i="29"/>
  <c r="I112" i="29"/>
  <c r="I113" i="29"/>
  <c r="I114" i="29"/>
  <c r="I115" i="29"/>
  <c r="I116" i="29"/>
  <c r="I117" i="29"/>
  <c r="I118" i="29"/>
  <c r="I119" i="29"/>
  <c r="I120" i="29"/>
  <c r="I121" i="29"/>
  <c r="I122" i="29"/>
  <c r="I123" i="29"/>
  <c r="I124" i="29"/>
  <c r="I125" i="29"/>
  <c r="I126" i="29"/>
  <c r="I127" i="29"/>
  <c r="I655" i="29"/>
  <c r="I656" i="29"/>
  <c r="I657" i="29"/>
  <c r="I658" i="29"/>
  <c r="I659" i="29"/>
  <c r="I660" i="29"/>
  <c r="I661" i="29"/>
  <c r="I662" i="29"/>
  <c r="I663" i="29"/>
  <c r="I664" i="29"/>
  <c r="I665" i="29"/>
  <c r="I666" i="29"/>
  <c r="I667" i="29"/>
  <c r="I668" i="29"/>
  <c r="I669" i="29"/>
  <c r="I670" i="29"/>
  <c r="I671" i="29"/>
  <c r="I672" i="29"/>
  <c r="I673" i="29"/>
  <c r="I674" i="29"/>
  <c r="I675" i="29"/>
  <c r="I676" i="29"/>
  <c r="I677" i="29"/>
  <c r="I678" i="29"/>
  <c r="I679" i="29"/>
  <c r="I680" i="29"/>
  <c r="I681" i="29"/>
  <c r="I682" i="29"/>
  <c r="I683" i="29"/>
  <c r="I684" i="29"/>
  <c r="I685" i="29"/>
  <c r="I686" i="29"/>
  <c r="I687" i="29"/>
  <c r="I688" i="29"/>
  <c r="I689" i="29"/>
  <c r="I690" i="29"/>
  <c r="I147" i="29"/>
  <c r="I148" i="29"/>
  <c r="I149" i="29"/>
  <c r="I150" i="29"/>
  <c r="I151" i="29"/>
  <c r="I152" i="29"/>
  <c r="I153" i="29"/>
  <c r="I154" i="29"/>
  <c r="I155" i="29"/>
  <c r="I156" i="29"/>
  <c r="I157" i="29"/>
  <c r="I158" i="29"/>
  <c r="I159" i="29"/>
  <c r="I160" i="29"/>
  <c r="I161" i="29"/>
  <c r="I162" i="29"/>
  <c r="I163" i="29"/>
  <c r="I164" i="29"/>
  <c r="I165" i="29"/>
  <c r="I166" i="29"/>
  <c r="I167" i="29"/>
  <c r="I168" i="29"/>
  <c r="I169" i="29"/>
  <c r="I170" i="29"/>
  <c r="I171" i="29"/>
  <c r="I172" i="29"/>
  <c r="I173" i="29"/>
  <c r="I174" i="29"/>
  <c r="I175" i="29"/>
  <c r="I176" i="29"/>
  <c r="I177" i="29"/>
  <c r="I178" i="29"/>
  <c r="I179" i="29"/>
  <c r="I180" i="29"/>
  <c r="I181" i="29"/>
  <c r="I219" i="29"/>
  <c r="I220" i="29"/>
  <c r="I221" i="29"/>
  <c r="I222" i="29"/>
  <c r="I223" i="29"/>
  <c r="I224" i="29"/>
  <c r="I225" i="29"/>
  <c r="I226" i="29"/>
  <c r="I227" i="29"/>
  <c r="I228" i="29"/>
  <c r="I229" i="29"/>
  <c r="I230" i="29"/>
  <c r="I231" i="29"/>
  <c r="I232" i="29"/>
  <c r="I233" i="29"/>
  <c r="I234" i="29"/>
  <c r="I235" i="29"/>
  <c r="I236" i="29"/>
  <c r="I237" i="29"/>
  <c r="I238" i="29"/>
  <c r="I239" i="29"/>
  <c r="I240" i="29"/>
  <c r="I241" i="29"/>
  <c r="I242" i="29"/>
  <c r="I243" i="29"/>
  <c r="I244" i="29"/>
  <c r="I245" i="29"/>
  <c r="I246" i="29"/>
  <c r="I247" i="29"/>
  <c r="I248" i="29"/>
  <c r="I249" i="29"/>
  <c r="I250" i="29"/>
  <c r="I251" i="29"/>
  <c r="I252" i="29"/>
  <c r="I253" i="29"/>
  <c r="I254" i="29"/>
  <c r="I255" i="29"/>
  <c r="I256" i="29"/>
  <c r="I257" i="29"/>
  <c r="I258" i="29"/>
  <c r="I259" i="29"/>
  <c r="I260" i="29"/>
  <c r="I261" i="29"/>
  <c r="I262" i="29"/>
  <c r="I263" i="29"/>
  <c r="I264" i="29"/>
  <c r="I265" i="29"/>
  <c r="I266" i="29"/>
  <c r="I267" i="29"/>
  <c r="I268" i="29"/>
  <c r="I269" i="29"/>
  <c r="I270" i="29"/>
  <c r="I271" i="29"/>
  <c r="I272" i="29"/>
  <c r="I290" i="29"/>
  <c r="I291" i="29"/>
  <c r="I292" i="29"/>
  <c r="I293" i="29"/>
  <c r="I294" i="29"/>
  <c r="I295" i="29"/>
  <c r="I296" i="29"/>
  <c r="I297" i="29"/>
  <c r="I298" i="29"/>
  <c r="I299" i="29"/>
  <c r="I300" i="29"/>
  <c r="I301" i="29"/>
  <c r="I302" i="29"/>
  <c r="I303" i="29"/>
  <c r="I304" i="29"/>
  <c r="I305" i="29"/>
  <c r="I306" i="29"/>
  <c r="I307" i="29"/>
  <c r="I308" i="29"/>
  <c r="I309" i="29"/>
  <c r="I310" i="29"/>
  <c r="I311" i="29"/>
  <c r="I312" i="29"/>
  <c r="I313" i="29"/>
  <c r="I314" i="29"/>
  <c r="I315" i="29"/>
  <c r="I316" i="29"/>
  <c r="I317" i="29"/>
  <c r="I318" i="29"/>
  <c r="I319" i="29"/>
  <c r="I320" i="29"/>
  <c r="I321" i="29"/>
  <c r="I322" i="29"/>
  <c r="I323" i="29"/>
  <c r="I324" i="29"/>
  <c r="I754" i="29"/>
  <c r="I755" i="29"/>
  <c r="I756" i="29"/>
  <c r="I757" i="29"/>
  <c r="I758" i="29"/>
  <c r="I759" i="29"/>
  <c r="I760" i="29"/>
  <c r="I761" i="29"/>
  <c r="I762" i="29"/>
  <c r="I763" i="29"/>
  <c r="I764" i="29"/>
  <c r="I765" i="29"/>
  <c r="I766" i="29"/>
  <c r="I767" i="29"/>
  <c r="I768" i="29"/>
  <c r="I769" i="29"/>
  <c r="I770" i="29"/>
  <c r="I771" i="29"/>
  <c r="I772" i="29"/>
  <c r="I773" i="29"/>
  <c r="I774" i="29"/>
  <c r="I775" i="29"/>
  <c r="I776" i="29"/>
  <c r="I777" i="29"/>
  <c r="I778" i="29"/>
  <c r="I779" i="29"/>
  <c r="I780" i="29"/>
  <c r="I781" i="29"/>
  <c r="I782" i="29"/>
  <c r="I783" i="29"/>
  <c r="I784" i="29"/>
  <c r="I785" i="29"/>
  <c r="I786" i="29"/>
  <c r="I787" i="29"/>
  <c r="I788" i="29"/>
  <c r="I789" i="29"/>
  <c r="I790" i="29"/>
  <c r="I791" i="29"/>
  <c r="I792" i="29"/>
  <c r="I793" i="29"/>
  <c r="I794" i="29"/>
  <c r="I795" i="29"/>
  <c r="I796" i="29"/>
  <c r="I797" i="29"/>
  <c r="I798" i="29"/>
  <c r="I444" i="29"/>
  <c r="I445" i="29"/>
  <c r="I446" i="29"/>
  <c r="I447" i="29"/>
  <c r="I448" i="29"/>
  <c r="I449" i="29"/>
  <c r="I450" i="29"/>
  <c r="I451" i="29"/>
  <c r="I452" i="29"/>
  <c r="I453" i="29"/>
  <c r="I454" i="29"/>
  <c r="I455" i="29"/>
  <c r="I456" i="29"/>
  <c r="I457" i="29"/>
  <c r="I458" i="29"/>
  <c r="I459" i="29"/>
  <c r="I460" i="29"/>
  <c r="I461" i="29"/>
  <c r="I462" i="29"/>
  <c r="I463" i="29"/>
  <c r="I464" i="29"/>
  <c r="I465" i="29"/>
  <c r="I466" i="29"/>
  <c r="I467" i="29"/>
  <c r="I468" i="29"/>
  <c r="I469" i="29"/>
  <c r="I470" i="29"/>
  <c r="I471" i="29"/>
  <c r="I472" i="29"/>
  <c r="I473" i="29"/>
  <c r="I474" i="29"/>
  <c r="I475" i="29"/>
  <c r="I476" i="29"/>
  <c r="I477" i="29"/>
  <c r="I478" i="29"/>
  <c r="I479" i="29"/>
  <c r="I480" i="29"/>
  <c r="I481" i="29"/>
  <c r="I482" i="29"/>
  <c r="I483" i="29"/>
  <c r="I484" i="29"/>
  <c r="I502" i="29"/>
  <c r="I503" i="29"/>
  <c r="I504" i="29"/>
  <c r="I505" i="29"/>
  <c r="I506" i="29"/>
  <c r="I507" i="29"/>
  <c r="I508" i="29"/>
  <c r="I509" i="29"/>
  <c r="I510" i="29"/>
  <c r="I511" i="29"/>
  <c r="I512" i="29"/>
  <c r="I513" i="29"/>
  <c r="I514" i="29"/>
  <c r="I515" i="29"/>
  <c r="I516" i="29"/>
  <c r="I517" i="29"/>
  <c r="I518" i="29"/>
  <c r="I519" i="29"/>
  <c r="I520" i="29"/>
  <c r="I521" i="29"/>
  <c r="I522" i="29"/>
  <c r="I523" i="29"/>
  <c r="I524" i="29"/>
  <c r="I525" i="29"/>
  <c r="I526" i="29"/>
  <c r="I527" i="29"/>
  <c r="I528" i="29"/>
  <c r="I529" i="29"/>
  <c r="I530" i="29"/>
  <c r="I531" i="29"/>
  <c r="I532" i="29"/>
  <c r="I533" i="29"/>
  <c r="I534" i="29"/>
  <c r="I535" i="29"/>
  <c r="I536" i="29"/>
  <c r="I574" i="29"/>
  <c r="I575" i="29"/>
  <c r="I576" i="29"/>
  <c r="I577" i="29"/>
  <c r="I578" i="29"/>
  <c r="I579" i="29"/>
  <c r="I580" i="29"/>
  <c r="I581" i="29"/>
  <c r="I582" i="29"/>
  <c r="I583" i="29"/>
  <c r="I584" i="29"/>
  <c r="I585" i="29"/>
  <c r="I586" i="29"/>
  <c r="I587" i="29"/>
  <c r="I588" i="29"/>
  <c r="I589" i="29"/>
  <c r="I590" i="29"/>
  <c r="I591" i="29"/>
  <c r="I592" i="29"/>
  <c r="I593" i="29"/>
  <c r="I594" i="29"/>
  <c r="I595" i="29"/>
  <c r="I596" i="29"/>
  <c r="I597" i="29"/>
  <c r="I598" i="29"/>
  <c r="I599" i="29"/>
  <c r="I600" i="29"/>
  <c r="I601" i="29"/>
  <c r="I602" i="29"/>
  <c r="I603" i="29"/>
  <c r="I604" i="29"/>
  <c r="I605" i="29"/>
  <c r="I606" i="29"/>
  <c r="I607" i="29"/>
  <c r="I608" i="29"/>
  <c r="I609" i="29"/>
  <c r="I610" i="29"/>
  <c r="I611" i="29"/>
  <c r="I612" i="29"/>
  <c r="I613" i="29"/>
  <c r="I614" i="29"/>
  <c r="I615" i="29"/>
  <c r="I616" i="29"/>
  <c r="I617" i="29"/>
  <c r="I618" i="29"/>
  <c r="I619" i="29"/>
  <c r="I620" i="29"/>
  <c r="I621" i="29"/>
  <c r="I622" i="29"/>
  <c r="I623" i="29"/>
  <c r="I624" i="29"/>
  <c r="I625" i="29"/>
  <c r="I626" i="29"/>
  <c r="I627" i="29"/>
  <c r="I852" i="29"/>
  <c r="I826" i="29"/>
  <c r="I827" i="29"/>
  <c r="I828" i="29"/>
  <c r="I829" i="29"/>
  <c r="I830" i="29"/>
  <c r="I831" i="29"/>
  <c r="I832" i="29"/>
  <c r="I833" i="29"/>
  <c r="I834" i="29"/>
  <c r="I835" i="29"/>
  <c r="I836" i="29"/>
  <c r="I837" i="29"/>
  <c r="I838" i="29"/>
  <c r="I839" i="29"/>
  <c r="I840" i="29"/>
  <c r="I841" i="29"/>
  <c r="I842" i="29"/>
  <c r="I843" i="29"/>
  <c r="I844" i="29"/>
  <c r="I845" i="29"/>
  <c r="I846" i="29"/>
  <c r="I847" i="29"/>
  <c r="I848" i="29"/>
  <c r="I849" i="29"/>
  <c r="I850" i="29"/>
  <c r="I851" i="29"/>
  <c r="I931" i="29"/>
  <c r="I932" i="29"/>
  <c r="I933" i="29"/>
  <c r="I934" i="29"/>
  <c r="I935" i="29"/>
  <c r="I936" i="29"/>
  <c r="I937" i="29"/>
  <c r="I938" i="29"/>
  <c r="I939" i="29"/>
  <c r="I940" i="29"/>
  <c r="I941" i="29"/>
  <c r="I942" i="29"/>
  <c r="I943" i="29"/>
  <c r="I944" i="29"/>
  <c r="I945" i="29"/>
  <c r="I946" i="29"/>
  <c r="I947" i="29"/>
  <c r="I948" i="29"/>
  <c r="I949" i="29"/>
  <c r="I950" i="29"/>
  <c r="I951" i="29"/>
  <c r="I952" i="29"/>
  <c r="I953" i="29"/>
  <c r="I954" i="29"/>
  <c r="I955" i="29"/>
  <c r="I956" i="29"/>
  <c r="I957" i="29"/>
  <c r="I958" i="29"/>
  <c r="I959" i="29"/>
  <c r="I960" i="29"/>
  <c r="I961" i="29"/>
  <c r="I962" i="29"/>
  <c r="I963" i="29"/>
  <c r="I964" i="29"/>
  <c r="I965" i="29"/>
  <c r="I878" i="29"/>
  <c r="I879" i="29"/>
  <c r="I880" i="29"/>
  <c r="I881" i="29"/>
  <c r="I882" i="29"/>
  <c r="I883" i="29"/>
  <c r="I884" i="29"/>
  <c r="I885" i="29"/>
  <c r="I886" i="29"/>
  <c r="I887" i="29"/>
  <c r="I888" i="29"/>
  <c r="I889" i="29"/>
  <c r="I890" i="29"/>
  <c r="I891" i="29"/>
  <c r="I892" i="29"/>
  <c r="I893" i="29"/>
  <c r="I894" i="29"/>
  <c r="I895" i="29"/>
  <c r="I896" i="29"/>
  <c r="I897" i="29"/>
  <c r="I898" i="29"/>
  <c r="I899" i="29"/>
  <c r="I900" i="29"/>
  <c r="I901" i="29"/>
  <c r="I902" i="29"/>
  <c r="I903" i="29"/>
  <c r="I904" i="29"/>
  <c r="I905" i="29"/>
  <c r="I906" i="29"/>
  <c r="I907" i="29"/>
  <c r="I908" i="29"/>
  <c r="I909" i="29"/>
  <c r="I910" i="29"/>
  <c r="I911" i="29"/>
  <c r="I912" i="29"/>
  <c r="I913" i="29"/>
  <c r="I1003" i="29"/>
  <c r="I1004" i="29"/>
  <c r="I1005" i="29"/>
  <c r="I1006" i="29"/>
  <c r="I1007" i="29"/>
  <c r="I1008" i="29"/>
  <c r="I1009" i="29"/>
  <c r="I1010" i="29"/>
  <c r="I1011" i="29"/>
  <c r="I1012" i="29"/>
  <c r="I1013" i="29"/>
  <c r="I1014" i="29"/>
  <c r="I1015" i="29"/>
  <c r="I1016" i="29"/>
  <c r="I1017" i="29"/>
  <c r="I1018" i="29"/>
  <c r="I1019" i="29"/>
  <c r="I1020" i="29"/>
  <c r="I1021" i="29"/>
  <c r="I1022" i="29"/>
  <c r="I1023" i="29"/>
  <c r="I1024" i="29"/>
  <c r="I1025" i="29"/>
  <c r="I1026" i="29"/>
  <c r="I1027" i="29"/>
  <c r="I1028" i="29"/>
  <c r="I1029" i="29"/>
  <c r="I1030" i="29"/>
  <c r="I1031" i="29"/>
  <c r="I1032" i="29"/>
  <c r="I1033" i="29"/>
  <c r="I1034" i="29"/>
  <c r="I1035" i="29"/>
  <c r="I1036" i="29"/>
  <c r="I1037" i="29"/>
  <c r="I1038" i="29"/>
  <c r="I1039" i="29"/>
  <c r="I1040" i="29"/>
  <c r="I1041" i="29"/>
  <c r="I1042" i="29"/>
  <c r="I1043" i="29"/>
  <c r="I1044" i="29"/>
  <c r="I1045" i="29"/>
  <c r="I1046" i="29"/>
  <c r="I1047" i="29"/>
  <c r="I1048" i="29"/>
  <c r="I1049" i="29"/>
  <c r="I1050" i="29"/>
  <c r="I1051" i="29"/>
  <c r="I1052" i="29"/>
  <c r="I1053" i="29"/>
  <c r="I1054" i="29"/>
  <c r="I1055" i="29"/>
  <c r="I1056" i="29"/>
  <c r="I1074" i="29"/>
  <c r="I1075" i="29"/>
  <c r="I1076" i="29"/>
  <c r="I1077" i="29"/>
  <c r="I1078" i="29"/>
  <c r="I1079" i="29"/>
  <c r="I1080" i="29"/>
  <c r="I1081" i="29"/>
  <c r="I1082" i="29"/>
  <c r="I1083" i="29"/>
  <c r="I1084" i="29"/>
  <c r="I1085" i="29"/>
  <c r="I1086" i="29"/>
  <c r="I1087" i="29"/>
  <c r="I1088" i="29"/>
  <c r="I1089" i="29"/>
  <c r="I1090" i="29"/>
  <c r="I1091" i="29"/>
  <c r="I1092" i="29"/>
  <c r="I1093" i="29"/>
  <c r="I1094" i="29"/>
  <c r="I1095" i="29"/>
  <c r="I1096" i="29"/>
  <c r="I1097" i="29"/>
  <c r="I1098" i="29"/>
  <c r="I1099" i="29"/>
  <c r="I1100" i="29"/>
  <c r="I1101" i="29"/>
  <c r="I1102" i="29"/>
  <c r="I1103" i="29"/>
  <c r="I1104" i="29"/>
  <c r="I1105" i="29"/>
  <c r="I1106" i="29"/>
  <c r="I1107" i="29"/>
  <c r="I1108" i="29"/>
  <c r="I1220" i="29"/>
  <c r="I1221" i="29"/>
  <c r="I1222" i="29"/>
  <c r="I1223" i="29"/>
  <c r="I1224" i="29"/>
  <c r="I1225" i="29"/>
  <c r="I1226" i="29"/>
  <c r="I1227" i="29"/>
  <c r="I1228" i="29"/>
  <c r="I1229" i="29"/>
  <c r="I1230" i="29"/>
  <c r="I1231" i="29"/>
  <c r="I1232" i="29"/>
  <c r="I1233" i="29"/>
  <c r="I1234" i="29"/>
  <c r="I1235" i="29"/>
  <c r="I1236" i="29"/>
  <c r="I1237" i="29"/>
  <c r="I1238" i="29"/>
  <c r="I1239" i="29"/>
  <c r="I1240" i="29"/>
  <c r="I1241" i="29"/>
  <c r="I1242" i="29"/>
  <c r="I1243" i="29"/>
  <c r="I1244" i="29"/>
  <c r="I1245" i="29"/>
  <c r="I1246" i="29"/>
  <c r="I1247" i="29"/>
  <c r="I1248" i="29"/>
  <c r="I1249" i="29"/>
  <c r="I1250" i="29"/>
  <c r="I1251" i="29"/>
  <c r="I1252" i="29"/>
  <c r="I1253" i="29"/>
  <c r="I1254" i="29"/>
  <c r="I1255" i="29"/>
  <c r="I1256" i="29"/>
  <c r="I1257" i="29"/>
  <c r="I1258" i="29"/>
  <c r="I1259" i="29"/>
  <c r="I1260" i="29"/>
  <c r="I1261" i="29"/>
  <c r="I1262" i="29"/>
  <c r="I1263" i="29"/>
  <c r="I1264" i="29"/>
  <c r="AT15" i="66" l="1"/>
  <c r="H1812" i="29" s="1" a="1"/>
  <c r="H1812" i="29" s="1"/>
  <c r="A1384" i="29"/>
  <c r="B1630" i="29"/>
  <c r="B1752" i="29"/>
  <c r="C1505" i="29"/>
  <c r="C1383" i="29"/>
  <c r="B1383" i="29" s="1"/>
  <c r="B1751" i="29"/>
  <c r="G1690" i="29"/>
  <c r="A1690" i="29" s="1"/>
  <c r="A1691" i="29"/>
  <c r="G1751" i="29"/>
  <c r="A1751" i="29" s="1"/>
  <c r="A1752" i="29"/>
  <c r="C1873" i="29"/>
  <c r="B1874" i="29"/>
  <c r="G1629" i="29"/>
  <c r="A1629" i="29" s="1"/>
  <c r="A1630" i="29"/>
  <c r="C1322" i="29"/>
  <c r="B1323" i="29"/>
  <c r="C1690" i="29"/>
  <c r="B1691" i="29"/>
  <c r="G1322" i="29"/>
  <c r="A1322" i="29" s="1"/>
  <c r="A1323" i="29"/>
  <c r="B1629" i="29"/>
  <c r="C1995" i="29"/>
  <c r="B1996" i="29"/>
  <c r="C1934" i="29"/>
  <c r="B1935" i="29"/>
  <c r="G1568" i="29"/>
  <c r="A1568" i="29" s="1"/>
  <c r="A1569" i="29"/>
  <c r="B1569" i="29"/>
  <c r="C1568" i="29"/>
  <c r="C1812" i="29"/>
  <c r="B1813" i="29"/>
  <c r="B1505" i="29"/>
  <c r="C1270" i="29"/>
  <c r="B1271" i="29"/>
  <c r="C1444" i="29"/>
  <c r="B1445" i="29"/>
  <c r="C19" i="26"/>
  <c r="C20" i="26" s="1"/>
  <c r="C18" i="26"/>
  <c r="I10" i="65"/>
  <c r="D10" i="65"/>
  <c r="I9" i="65"/>
  <c r="D9" i="65"/>
  <c r="I8" i="65"/>
  <c r="D8" i="65"/>
  <c r="I7" i="65"/>
  <c r="D7" i="65"/>
  <c r="I6" i="65"/>
  <c r="D6" i="65"/>
  <c r="J1593" i="41"/>
  <c r="J1592" i="41"/>
  <c r="J1591" i="41"/>
  <c r="J1590" i="41"/>
  <c r="J1589" i="41"/>
  <c r="J1588" i="41"/>
  <c r="J1587" i="41"/>
  <c r="J1586" i="41"/>
  <c r="J1585" i="41"/>
  <c r="J1584" i="41"/>
  <c r="J1583" i="41"/>
  <c r="J1582" i="41"/>
  <c r="J1581" i="41"/>
  <c r="J1580" i="41"/>
  <c r="J1579" i="41"/>
  <c r="J1578" i="41"/>
  <c r="J1577" i="41"/>
  <c r="J1576" i="41"/>
  <c r="J1575" i="41"/>
  <c r="J1574" i="41"/>
  <c r="J1573" i="41"/>
  <c r="J1572" i="41"/>
  <c r="J1571" i="41"/>
  <c r="J1570" i="41"/>
  <c r="J1569" i="41"/>
  <c r="J1568" i="41"/>
  <c r="J1567" i="41"/>
  <c r="J1566" i="41"/>
  <c r="J1565" i="41"/>
  <c r="J1564" i="41"/>
  <c r="J1563" i="41"/>
  <c r="J1562" i="41"/>
  <c r="J1561" i="41"/>
  <c r="J1560" i="41"/>
  <c r="J1559" i="41"/>
  <c r="J1558" i="41"/>
  <c r="J1557" i="41"/>
  <c r="J1556" i="41"/>
  <c r="J1555" i="41"/>
  <c r="J1554" i="41"/>
  <c r="J1553" i="41"/>
  <c r="J1552" i="41"/>
  <c r="J1551" i="41"/>
  <c r="J1550" i="41"/>
  <c r="J1549" i="41"/>
  <c r="J1548" i="41"/>
  <c r="J1547" i="41"/>
  <c r="J1546" i="41"/>
  <c r="J1545" i="41"/>
  <c r="J1544" i="41"/>
  <c r="J1543" i="41"/>
  <c r="J1542" i="41"/>
  <c r="J1541" i="41"/>
  <c r="J1540" i="41"/>
  <c r="J1539" i="41"/>
  <c r="J1538" i="41"/>
  <c r="J1537" i="41"/>
  <c r="J1536" i="41"/>
  <c r="J1535" i="41"/>
  <c r="J1534" i="41"/>
  <c r="J1533" i="41"/>
  <c r="J1532" i="41"/>
  <c r="J1531" i="41"/>
  <c r="J1530" i="41"/>
  <c r="J1529" i="41"/>
  <c r="J1528" i="41"/>
  <c r="J1527" i="41"/>
  <c r="J1526" i="41"/>
  <c r="J1525" i="41"/>
  <c r="J1524" i="41"/>
  <c r="J1523" i="41"/>
  <c r="J1522" i="41"/>
  <c r="J1521" i="41"/>
  <c r="J1520" i="41"/>
  <c r="J1519" i="41"/>
  <c r="J1518" i="41"/>
  <c r="J1517" i="41"/>
  <c r="J1516" i="41"/>
  <c r="J1515" i="41"/>
  <c r="J1514" i="41"/>
  <c r="J1513" i="41"/>
  <c r="J1512" i="41"/>
  <c r="J1511" i="41"/>
  <c r="J1510" i="41"/>
  <c r="J1509" i="41"/>
  <c r="J1508" i="41"/>
  <c r="J1507" i="41"/>
  <c r="J1506" i="41"/>
  <c r="J1505" i="41"/>
  <c r="J1504" i="41"/>
  <c r="J1503" i="41"/>
  <c r="J1502" i="41"/>
  <c r="J1501" i="41"/>
  <c r="J1500" i="41"/>
  <c r="J1499" i="41"/>
  <c r="J1498" i="41"/>
  <c r="J1497" i="41"/>
  <c r="J1496" i="41"/>
  <c r="J1495" i="41"/>
  <c r="J1494" i="41"/>
  <c r="J1493" i="41"/>
  <c r="J1492" i="41"/>
  <c r="J1491" i="41"/>
  <c r="J1490" i="41"/>
  <c r="J1489" i="41"/>
  <c r="J1488" i="41"/>
  <c r="J1487" i="41"/>
  <c r="J1486" i="41"/>
  <c r="J1485" i="41"/>
  <c r="J1484" i="41"/>
  <c r="J1483" i="41"/>
  <c r="J1482" i="41"/>
  <c r="J1481" i="41"/>
  <c r="J1480" i="41"/>
  <c r="J1479" i="41"/>
  <c r="J1478" i="41"/>
  <c r="J1477" i="41"/>
  <c r="J1476" i="41"/>
  <c r="J1475" i="41"/>
  <c r="J1474" i="41"/>
  <c r="J1473" i="41"/>
  <c r="J1472" i="41"/>
  <c r="J1471" i="41"/>
  <c r="J1470" i="41"/>
  <c r="J1469" i="41"/>
  <c r="J1468" i="41"/>
  <c r="J1467" i="41"/>
  <c r="J1466" i="41"/>
  <c r="J1465" i="41"/>
  <c r="J1464" i="41"/>
  <c r="J1463" i="41"/>
  <c r="J1462" i="41"/>
  <c r="J1461" i="41"/>
  <c r="J1460" i="41"/>
  <c r="J1459" i="41"/>
  <c r="J1458" i="41"/>
  <c r="J1457" i="41"/>
  <c r="J1456" i="41"/>
  <c r="J1455" i="41"/>
  <c r="J1454" i="41"/>
  <c r="J1453" i="41"/>
  <c r="J1452" i="41"/>
  <c r="J1451" i="41"/>
  <c r="J1450" i="41"/>
  <c r="J1449" i="41"/>
  <c r="J1448" i="41"/>
  <c r="J1447" i="41"/>
  <c r="J1446" i="41"/>
  <c r="J1445" i="41"/>
  <c r="J1444" i="41"/>
  <c r="J1443" i="41"/>
  <c r="J1442" i="41"/>
  <c r="J1441" i="41"/>
  <c r="J1440" i="41"/>
  <c r="J1439" i="41"/>
  <c r="J1438" i="41"/>
  <c r="J1437" i="41"/>
  <c r="J1436" i="41"/>
  <c r="J1435" i="41"/>
  <c r="J1434" i="41"/>
  <c r="J1433" i="41"/>
  <c r="J1432" i="41"/>
  <c r="J1431" i="41"/>
  <c r="J1430" i="41"/>
  <c r="J1429" i="41"/>
  <c r="J1428" i="41"/>
  <c r="J1427" i="41"/>
  <c r="J1426" i="41"/>
  <c r="J1425" i="41"/>
  <c r="J1424" i="41"/>
  <c r="J1423" i="41"/>
  <c r="J1422" i="41"/>
  <c r="J1421" i="41"/>
  <c r="J1420" i="41"/>
  <c r="J1419" i="41"/>
  <c r="J1418" i="41"/>
  <c r="J1417" i="41"/>
  <c r="J1416" i="41"/>
  <c r="J1415" i="41"/>
  <c r="J1414" i="41"/>
  <c r="J1413" i="41"/>
  <c r="J1412" i="41"/>
  <c r="J1411" i="41"/>
  <c r="J1410" i="41"/>
  <c r="J1409" i="41"/>
  <c r="J1408" i="41"/>
  <c r="J1407" i="41"/>
  <c r="J1406" i="41"/>
  <c r="J1405" i="41"/>
  <c r="J1404" i="41"/>
  <c r="J1403" i="41"/>
  <c r="J1402" i="41"/>
  <c r="J1401" i="41"/>
  <c r="J1400" i="41"/>
  <c r="J1399" i="41"/>
  <c r="J1398" i="41"/>
  <c r="J1397" i="41"/>
  <c r="J1396" i="41"/>
  <c r="J1395" i="41"/>
  <c r="J1394" i="41"/>
  <c r="J1393" i="41"/>
  <c r="J1392" i="41"/>
  <c r="J1391" i="41"/>
  <c r="J1390" i="41"/>
  <c r="J1389" i="41"/>
  <c r="J1388" i="41"/>
  <c r="J1387" i="41"/>
  <c r="J1386" i="41"/>
  <c r="J1385" i="41"/>
  <c r="J1384" i="41"/>
  <c r="J1383" i="41"/>
  <c r="J1382" i="41"/>
  <c r="J1381" i="41"/>
  <c r="J1380" i="41"/>
  <c r="J1379" i="41"/>
  <c r="J1378" i="41"/>
  <c r="J1377" i="41"/>
  <c r="J1376" i="41"/>
  <c r="J1375" i="41"/>
  <c r="J1374" i="41"/>
  <c r="J1373" i="41"/>
  <c r="J1372" i="41"/>
  <c r="J1371" i="41"/>
  <c r="J1370" i="41"/>
  <c r="J1369" i="41"/>
  <c r="J1368" i="41"/>
  <c r="J1367" i="41"/>
  <c r="J1366" i="41"/>
  <c r="J1365" i="41"/>
  <c r="J1364" i="41"/>
  <c r="J1363" i="41"/>
  <c r="J1362" i="41"/>
  <c r="J1361" i="41"/>
  <c r="J1360" i="41"/>
  <c r="J1359" i="41"/>
  <c r="J1358" i="41"/>
  <c r="J1357" i="41"/>
  <c r="J1356" i="41"/>
  <c r="J1355" i="41"/>
  <c r="J1354" i="41"/>
  <c r="J1353" i="41"/>
  <c r="J1352" i="41"/>
  <c r="J1351" i="41"/>
  <c r="J1350" i="41"/>
  <c r="J1349" i="41"/>
  <c r="J1348" i="41"/>
  <c r="J1347" i="41"/>
  <c r="J1346" i="41"/>
  <c r="J1345" i="41"/>
  <c r="J1344" i="41"/>
  <c r="J1343" i="41"/>
  <c r="J1342" i="41"/>
  <c r="J1341" i="41"/>
  <c r="J1340" i="41"/>
  <c r="J1339" i="41"/>
  <c r="J1338" i="41"/>
  <c r="J1337" i="41"/>
  <c r="J1336" i="41"/>
  <c r="J1335" i="41"/>
  <c r="J1334" i="41"/>
  <c r="J1333" i="41"/>
  <c r="J1332" i="41"/>
  <c r="J1331" i="41"/>
  <c r="J1330" i="41"/>
  <c r="J1329" i="41"/>
  <c r="J1328" i="41"/>
  <c r="J1327" i="41"/>
  <c r="J1326" i="41"/>
  <c r="J1325" i="41"/>
  <c r="J1324" i="41"/>
  <c r="J1323" i="41"/>
  <c r="J1322" i="41"/>
  <c r="J1321" i="41"/>
  <c r="J1320" i="41"/>
  <c r="J1319" i="41"/>
  <c r="J1318" i="41"/>
  <c r="J1317" i="41"/>
  <c r="J1316" i="41"/>
  <c r="J1315" i="41"/>
  <c r="J1314" i="41"/>
  <c r="J1313" i="41"/>
  <c r="J1312" i="41"/>
  <c r="J1311" i="41"/>
  <c r="J1310" i="41"/>
  <c r="J1309" i="41"/>
  <c r="J1308" i="41"/>
  <c r="J1307" i="41"/>
  <c r="J1306" i="41"/>
  <c r="J1305" i="41"/>
  <c r="J1304" i="41"/>
  <c r="J1303" i="41"/>
  <c r="J1302" i="41"/>
  <c r="J1301" i="41"/>
  <c r="J1300" i="41"/>
  <c r="J1299" i="41"/>
  <c r="J1298" i="41"/>
  <c r="J1297" i="41"/>
  <c r="J1296" i="41"/>
  <c r="J1295" i="41"/>
  <c r="J1294" i="41"/>
  <c r="J1293" i="41"/>
  <c r="J1292" i="41"/>
  <c r="J1291" i="41"/>
  <c r="J1290" i="41"/>
  <c r="J1289" i="41"/>
  <c r="J1288" i="41"/>
  <c r="J1287" i="41"/>
  <c r="J1286" i="41"/>
  <c r="J1285" i="41"/>
  <c r="J1284" i="41"/>
  <c r="J1283" i="41"/>
  <c r="J1282" i="41"/>
  <c r="J1281" i="41"/>
  <c r="J1280" i="41"/>
  <c r="J1279" i="41"/>
  <c r="J1278" i="41"/>
  <c r="J1277" i="41"/>
  <c r="J1276" i="41"/>
  <c r="J1275" i="41"/>
  <c r="J1274" i="41"/>
  <c r="J1273" i="41"/>
  <c r="J1272" i="41"/>
  <c r="J1271" i="41"/>
  <c r="J1270" i="41"/>
  <c r="J1269" i="41"/>
  <c r="J1268" i="41"/>
  <c r="J1267" i="41"/>
  <c r="J1266" i="41"/>
  <c r="J1265" i="41"/>
  <c r="J1264" i="41"/>
  <c r="J1263" i="41"/>
  <c r="J1262" i="41"/>
  <c r="J1261" i="41"/>
  <c r="J1260" i="41"/>
  <c r="J1259" i="41"/>
  <c r="J1258" i="41"/>
  <c r="J1257" i="41"/>
  <c r="J1256" i="41"/>
  <c r="J1255" i="41"/>
  <c r="J1254" i="41"/>
  <c r="J1253" i="41"/>
  <c r="J1252" i="41"/>
  <c r="J1251" i="41"/>
  <c r="J1250" i="41"/>
  <c r="J1249" i="41"/>
  <c r="J1248" i="41"/>
  <c r="J1247" i="41"/>
  <c r="J1246" i="41"/>
  <c r="J1245" i="41"/>
  <c r="J1244" i="41"/>
  <c r="J1243" i="41"/>
  <c r="J1242" i="41"/>
  <c r="J1241" i="41"/>
  <c r="J1240" i="41"/>
  <c r="J1239" i="41"/>
  <c r="J1238" i="41"/>
  <c r="J1237" i="41"/>
  <c r="J1236" i="41"/>
  <c r="J1235" i="41"/>
  <c r="J1234" i="41"/>
  <c r="J1233" i="41"/>
  <c r="J1232" i="41"/>
  <c r="J1231" i="41"/>
  <c r="J1230" i="41"/>
  <c r="J1229" i="41"/>
  <c r="J1228" i="41"/>
  <c r="J1227" i="41"/>
  <c r="J1226" i="41"/>
  <c r="J1225" i="41"/>
  <c r="J1224" i="41"/>
  <c r="J1223" i="41"/>
  <c r="J1222" i="41"/>
  <c r="J1221" i="41"/>
  <c r="J1220" i="41"/>
  <c r="J1219" i="41"/>
  <c r="J1218" i="41"/>
  <c r="J1217" i="41"/>
  <c r="J1216" i="41"/>
  <c r="J1215" i="41"/>
  <c r="J1214" i="41"/>
  <c r="J1213" i="41"/>
  <c r="J1212" i="41"/>
  <c r="J1211" i="41"/>
  <c r="J1210" i="41"/>
  <c r="J1209" i="41"/>
  <c r="J1208" i="41"/>
  <c r="J1207" i="41"/>
  <c r="J1206" i="41"/>
  <c r="J1205" i="41"/>
  <c r="J1204" i="41"/>
  <c r="J1203" i="41"/>
  <c r="J1202" i="41"/>
  <c r="J1201" i="41"/>
  <c r="J1200" i="41"/>
  <c r="J1199" i="41"/>
  <c r="J1198" i="41"/>
  <c r="J1197" i="41"/>
  <c r="J1196" i="41"/>
  <c r="J1195" i="41"/>
  <c r="J1194" i="41"/>
  <c r="J1193" i="41"/>
  <c r="J1192" i="41"/>
  <c r="J1191" i="41"/>
  <c r="J1190" i="41"/>
  <c r="J1189" i="41"/>
  <c r="J1188" i="41"/>
  <c r="J1187" i="41"/>
  <c r="J1186" i="41"/>
  <c r="J1185" i="41"/>
  <c r="J1184" i="41"/>
  <c r="J1183" i="41"/>
  <c r="J1182" i="41"/>
  <c r="J1181" i="41"/>
  <c r="J1180" i="41"/>
  <c r="J1179" i="41"/>
  <c r="J1178" i="41"/>
  <c r="J1177" i="41"/>
  <c r="J1176" i="41"/>
  <c r="J1175" i="41"/>
  <c r="J1174" i="41"/>
  <c r="J1173" i="41"/>
  <c r="J1172" i="41"/>
  <c r="J1171" i="41"/>
  <c r="J1170" i="41"/>
  <c r="J1169" i="41"/>
  <c r="J1168" i="41"/>
  <c r="J1167" i="41"/>
  <c r="J1166" i="41"/>
  <c r="J1165" i="41"/>
  <c r="J1164" i="41"/>
  <c r="J1163" i="41"/>
  <c r="J1162" i="41"/>
  <c r="J1161" i="41"/>
  <c r="J1160" i="41"/>
  <c r="J1159" i="41"/>
  <c r="J1158" i="41"/>
  <c r="J1157" i="41"/>
  <c r="J1156" i="41"/>
  <c r="J1155" i="41"/>
  <c r="J1154" i="41"/>
  <c r="J1153" i="41"/>
  <c r="J1152" i="41"/>
  <c r="J1151" i="41"/>
  <c r="J1150" i="41"/>
  <c r="J1149" i="41"/>
  <c r="J1148" i="41"/>
  <c r="J1147" i="41"/>
  <c r="J1146" i="41"/>
  <c r="J1145" i="41"/>
  <c r="J1144" i="41"/>
  <c r="J1143" i="41"/>
  <c r="J1142" i="41"/>
  <c r="J1141" i="41"/>
  <c r="J1140" i="41"/>
  <c r="J1139" i="41"/>
  <c r="J1138" i="41"/>
  <c r="J1137" i="41"/>
  <c r="J1136" i="41"/>
  <c r="J1135" i="41"/>
  <c r="J1134" i="41"/>
  <c r="J1133" i="41"/>
  <c r="J1132" i="41"/>
  <c r="J1131" i="41"/>
  <c r="J1130" i="41"/>
  <c r="J1129" i="41"/>
  <c r="J1128" i="41"/>
  <c r="J1127" i="41"/>
  <c r="J1126" i="41"/>
  <c r="J1125" i="41"/>
  <c r="J1124" i="41"/>
  <c r="J1123" i="41"/>
  <c r="J1122" i="41"/>
  <c r="J1121" i="41"/>
  <c r="J1120" i="41"/>
  <c r="J1119" i="41"/>
  <c r="J1118" i="41"/>
  <c r="J1117" i="41"/>
  <c r="J1116" i="41"/>
  <c r="J1115" i="41"/>
  <c r="J1114" i="41"/>
  <c r="J1113" i="41"/>
  <c r="J1112" i="41"/>
  <c r="J1111" i="41"/>
  <c r="J1110" i="41"/>
  <c r="J1109" i="41"/>
  <c r="J1108" i="41"/>
  <c r="J1107" i="41"/>
  <c r="J1106" i="41"/>
  <c r="J1105" i="41"/>
  <c r="J1104" i="41"/>
  <c r="J1103" i="41"/>
  <c r="J1102" i="41"/>
  <c r="J1101" i="41"/>
  <c r="J1100" i="41"/>
  <c r="J1099" i="41"/>
  <c r="J1098" i="41"/>
  <c r="J1097" i="41"/>
  <c r="J1096" i="41"/>
  <c r="J1095" i="41"/>
  <c r="J1094" i="41"/>
  <c r="J1093" i="41"/>
  <c r="J1092" i="41"/>
  <c r="J1091" i="41"/>
  <c r="J1090" i="41"/>
  <c r="J1089" i="41"/>
  <c r="J1088" i="41"/>
  <c r="J1087" i="41"/>
  <c r="J1086" i="41"/>
  <c r="J1085" i="41"/>
  <c r="J1084" i="41"/>
  <c r="J1083" i="41"/>
  <c r="J1082" i="41"/>
  <c r="J1081" i="41"/>
  <c r="J1080" i="41"/>
  <c r="J1079" i="41"/>
  <c r="J1078" i="41"/>
  <c r="J1077" i="41"/>
  <c r="J1076" i="41"/>
  <c r="J1075" i="41"/>
  <c r="J1074" i="41"/>
  <c r="J1073" i="41"/>
  <c r="J1072" i="41"/>
  <c r="J1071" i="41"/>
  <c r="J1070" i="41"/>
  <c r="J1069" i="41"/>
  <c r="J1068" i="41"/>
  <c r="J1067" i="41"/>
  <c r="J1066" i="41"/>
  <c r="J1065" i="41"/>
  <c r="J1064" i="41"/>
  <c r="J1063" i="41"/>
  <c r="J1062" i="41"/>
  <c r="J1061" i="41"/>
  <c r="J1060" i="41"/>
  <c r="J1059" i="41"/>
  <c r="J1058" i="41"/>
  <c r="J1057" i="41"/>
  <c r="J1056" i="41"/>
  <c r="J1055" i="41"/>
  <c r="J1054" i="41"/>
  <c r="J1053" i="41"/>
  <c r="J1052" i="41"/>
  <c r="J1051" i="41"/>
  <c r="J1050" i="41"/>
  <c r="J1049" i="41"/>
  <c r="J1048" i="41"/>
  <c r="J1047" i="41"/>
  <c r="J1046" i="41"/>
  <c r="J1045" i="41"/>
  <c r="J1044" i="41"/>
  <c r="J1043" i="41"/>
  <c r="J1042" i="41"/>
  <c r="J1041" i="41"/>
  <c r="J1040" i="41"/>
  <c r="J1039" i="41"/>
  <c r="J1038" i="41"/>
  <c r="J1037" i="41"/>
  <c r="J1036" i="41"/>
  <c r="J1035" i="41"/>
  <c r="J1034" i="41"/>
  <c r="J1033" i="41"/>
  <c r="J1032" i="41"/>
  <c r="J1031" i="41"/>
  <c r="J1030" i="41"/>
  <c r="J1029" i="41"/>
  <c r="J1028" i="41"/>
  <c r="J1027" i="41"/>
  <c r="J1026" i="41"/>
  <c r="J1025" i="41"/>
  <c r="J1024" i="41"/>
  <c r="J1023" i="41"/>
  <c r="J1022" i="41"/>
  <c r="J1021" i="41"/>
  <c r="J1020" i="41"/>
  <c r="J1019" i="41"/>
  <c r="J1018" i="41"/>
  <c r="J1017" i="41"/>
  <c r="J1016" i="41"/>
  <c r="J1015" i="41"/>
  <c r="J1014" i="41"/>
  <c r="J1013" i="41"/>
  <c r="J1012" i="41"/>
  <c r="J1011" i="41"/>
  <c r="J1010" i="41"/>
  <c r="J1009" i="41"/>
  <c r="J1008" i="41"/>
  <c r="J1007" i="41"/>
  <c r="J1006" i="41"/>
  <c r="J1005" i="41"/>
  <c r="J1004" i="41"/>
  <c r="J1003" i="41"/>
  <c r="J1002" i="41"/>
  <c r="J1001" i="41"/>
  <c r="J1000" i="41"/>
  <c r="J999" i="41"/>
  <c r="J998" i="41"/>
  <c r="J997" i="41"/>
  <c r="J996" i="41"/>
  <c r="J995" i="41"/>
  <c r="J994" i="41"/>
  <c r="J993" i="41"/>
  <c r="J992" i="41"/>
  <c r="J991" i="41"/>
  <c r="J990" i="41"/>
  <c r="J989" i="41"/>
  <c r="J988" i="41"/>
  <c r="J987" i="41"/>
  <c r="J986" i="41"/>
  <c r="J985" i="41"/>
  <c r="J984" i="41"/>
  <c r="J983" i="41"/>
  <c r="J982" i="41"/>
  <c r="J981" i="41"/>
  <c r="J980" i="41"/>
  <c r="J979" i="41"/>
  <c r="J978" i="41"/>
  <c r="J977" i="41"/>
  <c r="J976" i="41"/>
  <c r="J975" i="41"/>
  <c r="J974" i="41"/>
  <c r="J973" i="41"/>
  <c r="J972" i="41"/>
  <c r="J971" i="41"/>
  <c r="J970" i="41"/>
  <c r="J969" i="41"/>
  <c r="J968" i="41"/>
  <c r="J967" i="41"/>
  <c r="J966" i="41"/>
  <c r="J965" i="41"/>
  <c r="J964" i="41"/>
  <c r="J963" i="41"/>
  <c r="J962" i="41"/>
  <c r="J961" i="41"/>
  <c r="J960" i="41"/>
  <c r="J959" i="41"/>
  <c r="J958" i="41"/>
  <c r="J957" i="41"/>
  <c r="J956" i="41"/>
  <c r="J955" i="41"/>
  <c r="J954" i="41"/>
  <c r="J953" i="41"/>
  <c r="J952" i="41"/>
  <c r="J951" i="41"/>
  <c r="J950" i="41"/>
  <c r="J949" i="41"/>
  <c r="J948" i="41"/>
  <c r="J947" i="41"/>
  <c r="J946" i="41"/>
  <c r="J945" i="41"/>
  <c r="J944" i="41"/>
  <c r="J943" i="41"/>
  <c r="J942" i="41"/>
  <c r="J941" i="41"/>
  <c r="J940" i="41"/>
  <c r="J939" i="41"/>
  <c r="J938" i="41"/>
  <c r="J937" i="41"/>
  <c r="J936" i="41"/>
  <c r="J935" i="41"/>
  <c r="J934" i="41"/>
  <c r="J933" i="41"/>
  <c r="J932" i="41"/>
  <c r="J931" i="41"/>
  <c r="J930" i="41"/>
  <c r="J929" i="41"/>
  <c r="J928" i="41"/>
  <c r="J927" i="41"/>
  <c r="J926" i="41"/>
  <c r="J925" i="41"/>
  <c r="J924" i="41"/>
  <c r="J923" i="41"/>
  <c r="J922" i="41"/>
  <c r="J921" i="41"/>
  <c r="J920" i="41"/>
  <c r="J919" i="41"/>
  <c r="J918" i="41"/>
  <c r="J917" i="41"/>
  <c r="J916" i="41"/>
  <c r="J915" i="41"/>
  <c r="J914" i="41"/>
  <c r="J913" i="41"/>
  <c r="J912" i="41"/>
  <c r="J911" i="41"/>
  <c r="J910" i="41"/>
  <c r="J909" i="41"/>
  <c r="J908" i="41"/>
  <c r="J907" i="41"/>
  <c r="J906" i="41"/>
  <c r="J905" i="41"/>
  <c r="J904" i="41"/>
  <c r="J903" i="41"/>
  <c r="J902" i="41"/>
  <c r="J901" i="41"/>
  <c r="J900" i="41"/>
  <c r="J898" i="41"/>
  <c r="J897" i="41"/>
  <c r="J896" i="41"/>
  <c r="J895" i="41"/>
  <c r="J894" i="41"/>
  <c r="J893" i="41"/>
  <c r="J892" i="41"/>
  <c r="J891" i="41"/>
  <c r="J890" i="41"/>
  <c r="J889" i="41"/>
  <c r="J888" i="41"/>
  <c r="J887" i="41"/>
  <c r="J886" i="41"/>
  <c r="J885" i="41"/>
  <c r="J884" i="41"/>
  <c r="J883" i="41"/>
  <c r="J882" i="41"/>
  <c r="J881" i="41"/>
  <c r="J880" i="41"/>
  <c r="J879" i="41"/>
  <c r="J878" i="41"/>
  <c r="J877" i="41"/>
  <c r="J876" i="41"/>
  <c r="J875" i="41"/>
  <c r="J874" i="41"/>
  <c r="J873" i="41"/>
  <c r="J872" i="41"/>
  <c r="J871" i="41"/>
  <c r="J870" i="41"/>
  <c r="J869" i="41"/>
  <c r="J868" i="41"/>
  <c r="J867" i="41"/>
  <c r="J866" i="41"/>
  <c r="J865" i="41"/>
  <c r="J864" i="41"/>
  <c r="J863" i="41"/>
  <c r="J862" i="41"/>
  <c r="J861" i="41"/>
  <c r="J860" i="41"/>
  <c r="J859" i="41"/>
  <c r="J858" i="41"/>
  <c r="J857" i="41"/>
  <c r="J856" i="41"/>
  <c r="J855" i="41"/>
  <c r="J854" i="41"/>
  <c r="J853" i="41"/>
  <c r="J852" i="41"/>
  <c r="J851" i="41"/>
  <c r="J850" i="41"/>
  <c r="J849" i="41"/>
  <c r="J848" i="41"/>
  <c r="J847" i="41"/>
  <c r="J846" i="41"/>
  <c r="J845" i="41"/>
  <c r="J844" i="41"/>
  <c r="J843" i="41"/>
  <c r="J842" i="41"/>
  <c r="J841" i="41"/>
  <c r="J840" i="41"/>
  <c r="J839" i="41"/>
  <c r="J838" i="41"/>
  <c r="J837" i="41"/>
  <c r="J836" i="41"/>
  <c r="J835" i="41"/>
  <c r="J834" i="41"/>
  <c r="J833" i="41"/>
  <c r="J832" i="41"/>
  <c r="J831" i="41"/>
  <c r="J830" i="41"/>
  <c r="J829" i="41"/>
  <c r="J828" i="41"/>
  <c r="J827" i="41"/>
  <c r="J826" i="41"/>
  <c r="J825" i="41"/>
  <c r="J824" i="41"/>
  <c r="J823" i="41"/>
  <c r="J822" i="41"/>
  <c r="J821" i="41"/>
  <c r="J820" i="41"/>
  <c r="J819" i="41"/>
  <c r="J818" i="41"/>
  <c r="J817" i="41"/>
  <c r="J816" i="41"/>
  <c r="J815" i="41"/>
  <c r="J814" i="41"/>
  <c r="J813" i="41"/>
  <c r="J812" i="41"/>
  <c r="J811" i="41"/>
  <c r="J810" i="41"/>
  <c r="J809" i="41"/>
  <c r="J808" i="41"/>
  <c r="J807" i="41"/>
  <c r="J806" i="41"/>
  <c r="J805" i="41"/>
  <c r="J804" i="41"/>
  <c r="J803" i="41"/>
  <c r="J802" i="41"/>
  <c r="J801" i="41"/>
  <c r="J800" i="41"/>
  <c r="J799" i="41"/>
  <c r="J798" i="41"/>
  <c r="J797" i="41"/>
  <c r="J796" i="41"/>
  <c r="J795" i="41"/>
  <c r="J794" i="41"/>
  <c r="J793" i="41"/>
  <c r="J792" i="41"/>
  <c r="J791" i="41"/>
  <c r="J790" i="41"/>
  <c r="J789" i="41"/>
  <c r="J788" i="41"/>
  <c r="J787" i="41"/>
  <c r="J786" i="41"/>
  <c r="J785" i="41"/>
  <c r="J784" i="41"/>
  <c r="J783" i="41"/>
  <c r="J782" i="41"/>
  <c r="J781" i="41"/>
  <c r="J780" i="41"/>
  <c r="J779" i="41"/>
  <c r="J778" i="41"/>
  <c r="J777" i="41"/>
  <c r="J776" i="41"/>
  <c r="J775" i="41"/>
  <c r="J774" i="41"/>
  <c r="J773" i="41"/>
  <c r="J772" i="41"/>
  <c r="J771" i="41"/>
  <c r="J770" i="41"/>
  <c r="J769" i="41"/>
  <c r="J768" i="41"/>
  <c r="J767" i="41"/>
  <c r="J766" i="41"/>
  <c r="J765" i="41"/>
  <c r="J764" i="41"/>
  <c r="J763" i="41"/>
  <c r="J762" i="41"/>
  <c r="J761" i="41"/>
  <c r="J760" i="41"/>
  <c r="J759" i="41"/>
  <c r="J758" i="41"/>
  <c r="J757" i="41"/>
  <c r="J756" i="41"/>
  <c r="J755" i="41"/>
  <c r="J754" i="41"/>
  <c r="J753" i="41"/>
  <c r="J752" i="41"/>
  <c r="J751" i="41"/>
  <c r="J750" i="41"/>
  <c r="J749" i="41"/>
  <c r="J748" i="41"/>
  <c r="J747" i="41"/>
  <c r="J746" i="41"/>
  <c r="J745" i="41"/>
  <c r="J744" i="41"/>
  <c r="J743" i="41"/>
  <c r="J742" i="41"/>
  <c r="J741" i="41"/>
  <c r="J740" i="41"/>
  <c r="J739" i="41"/>
  <c r="J738" i="41"/>
  <c r="J737" i="41"/>
  <c r="J736" i="41"/>
  <c r="J735" i="41"/>
  <c r="J734" i="41"/>
  <c r="J733" i="41"/>
  <c r="J732" i="41"/>
  <c r="J731" i="41"/>
  <c r="J730" i="41"/>
  <c r="J729" i="41"/>
  <c r="J728" i="41"/>
  <c r="J727" i="41"/>
  <c r="J726" i="41"/>
  <c r="J725" i="41"/>
  <c r="J724" i="41"/>
  <c r="J723" i="41"/>
  <c r="J722" i="41"/>
  <c r="J721" i="41"/>
  <c r="J720" i="41"/>
  <c r="J719" i="41"/>
  <c r="J718" i="41"/>
  <c r="J717" i="41"/>
  <c r="J716" i="41"/>
  <c r="J715" i="41"/>
  <c r="J714" i="41"/>
  <c r="J713" i="41"/>
  <c r="J712" i="41"/>
  <c r="J711" i="41"/>
  <c r="J710" i="41"/>
  <c r="J709" i="41"/>
  <c r="J708" i="41"/>
  <c r="J707" i="41"/>
  <c r="J706" i="41"/>
  <c r="J705" i="41"/>
  <c r="J704" i="41"/>
  <c r="J703" i="41"/>
  <c r="J702" i="41"/>
  <c r="J701" i="41"/>
  <c r="J700" i="41"/>
  <c r="J699" i="41"/>
  <c r="J698" i="41"/>
  <c r="J697" i="41"/>
  <c r="J696" i="41"/>
  <c r="J695" i="41"/>
  <c r="J694" i="41"/>
  <c r="J693" i="41"/>
  <c r="J692" i="41"/>
  <c r="J691" i="41"/>
  <c r="J690" i="41"/>
  <c r="J689" i="41"/>
  <c r="J688" i="41"/>
  <c r="J687" i="41"/>
  <c r="J686" i="41"/>
  <c r="J685" i="41"/>
  <c r="J684" i="41"/>
  <c r="J683" i="41"/>
  <c r="J682" i="41"/>
  <c r="J681" i="41"/>
  <c r="J680" i="41"/>
  <c r="J679" i="41"/>
  <c r="J678" i="41"/>
  <c r="J677" i="41"/>
  <c r="J676" i="41"/>
  <c r="J675" i="41"/>
  <c r="J674" i="41"/>
  <c r="J673" i="41"/>
  <c r="J672" i="41"/>
  <c r="J671" i="41"/>
  <c r="J670" i="41"/>
  <c r="J669" i="41"/>
  <c r="J668" i="41"/>
  <c r="J667" i="41"/>
  <c r="J666" i="41"/>
  <c r="J665" i="41"/>
  <c r="J664" i="41"/>
  <c r="J663" i="41"/>
  <c r="J662" i="41"/>
  <c r="J661" i="41"/>
  <c r="J660" i="41"/>
  <c r="J659" i="41"/>
  <c r="J658" i="41"/>
  <c r="J657" i="41"/>
  <c r="J656" i="41"/>
  <c r="J655" i="41"/>
  <c r="J654" i="41"/>
  <c r="J653" i="41"/>
  <c r="J652" i="41"/>
  <c r="J651" i="41"/>
  <c r="J650" i="41"/>
  <c r="J649" i="41"/>
  <c r="J648" i="41"/>
  <c r="J647" i="41"/>
  <c r="J646" i="41"/>
  <c r="J645" i="41"/>
  <c r="J644" i="41"/>
  <c r="J643" i="41"/>
  <c r="J642" i="41"/>
  <c r="J641" i="41"/>
  <c r="J640" i="41"/>
  <c r="J639" i="41"/>
  <c r="J638" i="41"/>
  <c r="J637" i="41"/>
  <c r="J636" i="41"/>
  <c r="J635" i="41"/>
  <c r="J634" i="41"/>
  <c r="J633" i="41"/>
  <c r="J632" i="41"/>
  <c r="J631" i="41"/>
  <c r="J630" i="41"/>
  <c r="J629" i="41"/>
  <c r="J628" i="41"/>
  <c r="J627" i="41"/>
  <c r="J626" i="41"/>
  <c r="J625" i="41"/>
  <c r="J624" i="41"/>
  <c r="J623" i="41"/>
  <c r="J622" i="41"/>
  <c r="J621" i="41"/>
  <c r="J620" i="41"/>
  <c r="J619" i="41"/>
  <c r="J618" i="41"/>
  <c r="J617" i="41"/>
  <c r="J616" i="41"/>
  <c r="J615" i="41"/>
  <c r="J614" i="41"/>
  <c r="J613" i="41"/>
  <c r="J612" i="41"/>
  <c r="J611" i="41"/>
  <c r="J610" i="41"/>
  <c r="J609" i="41"/>
  <c r="J608" i="41"/>
  <c r="J607" i="41"/>
  <c r="J606" i="41"/>
  <c r="J605" i="41"/>
  <c r="J604" i="41"/>
  <c r="J603" i="41"/>
  <c r="J602" i="41"/>
  <c r="J601" i="41"/>
  <c r="J600" i="41"/>
  <c r="J599" i="41"/>
  <c r="J598" i="41"/>
  <c r="J597" i="41"/>
  <c r="J596" i="41"/>
  <c r="J595" i="41"/>
  <c r="J594" i="41"/>
  <c r="J593" i="41"/>
  <c r="J592" i="41"/>
  <c r="J591" i="41"/>
  <c r="J590" i="41"/>
  <c r="J589" i="41"/>
  <c r="J588" i="41"/>
  <c r="J587" i="41"/>
  <c r="J586" i="41"/>
  <c r="J585" i="41"/>
  <c r="J584" i="41"/>
  <c r="J583" i="41"/>
  <c r="J582" i="41"/>
  <c r="J581" i="41"/>
  <c r="J580" i="41"/>
  <c r="J579" i="41"/>
  <c r="J578" i="41"/>
  <c r="J577" i="41"/>
  <c r="J576" i="41"/>
  <c r="J575" i="41"/>
  <c r="J574" i="41"/>
  <c r="J573" i="41"/>
  <c r="J572" i="41"/>
  <c r="J571" i="41"/>
  <c r="J570" i="41"/>
  <c r="J569" i="41"/>
  <c r="J568" i="41"/>
  <c r="J567" i="41"/>
  <c r="J566" i="41"/>
  <c r="J565" i="41"/>
  <c r="J564" i="41"/>
  <c r="J563" i="41"/>
  <c r="J562" i="41"/>
  <c r="J561" i="41"/>
  <c r="J560" i="41"/>
  <c r="J559" i="41"/>
  <c r="J558" i="41"/>
  <c r="J557" i="41"/>
  <c r="J556" i="41"/>
  <c r="J555" i="41"/>
  <c r="J554" i="41"/>
  <c r="J553" i="41"/>
  <c r="J552" i="41"/>
  <c r="J551" i="41"/>
  <c r="J550" i="41"/>
  <c r="J549" i="41"/>
  <c r="J548" i="41"/>
  <c r="J547" i="41"/>
  <c r="J546" i="41"/>
  <c r="J545" i="41"/>
  <c r="J544" i="41"/>
  <c r="J543" i="41"/>
  <c r="J542" i="41"/>
  <c r="J541" i="41"/>
  <c r="J540" i="41"/>
  <c r="J539" i="41"/>
  <c r="J538" i="41"/>
  <c r="J537" i="41"/>
  <c r="J536" i="41"/>
  <c r="J535" i="41"/>
  <c r="J534" i="41"/>
  <c r="J533" i="41"/>
  <c r="J532" i="41"/>
  <c r="J531" i="41"/>
  <c r="J530" i="41"/>
  <c r="J529" i="41"/>
  <c r="J528" i="41"/>
  <c r="J527" i="41"/>
  <c r="J526" i="41"/>
  <c r="J525" i="41"/>
  <c r="J524" i="41"/>
  <c r="J523" i="41"/>
  <c r="J522" i="41"/>
  <c r="J521" i="41"/>
  <c r="J520" i="41"/>
  <c r="J519" i="41"/>
  <c r="J518" i="41"/>
  <c r="J517" i="41"/>
  <c r="J516" i="41"/>
  <c r="J515" i="41"/>
  <c r="J514" i="41"/>
  <c r="J513" i="41"/>
  <c r="J512" i="41"/>
  <c r="J511" i="41"/>
  <c r="J510" i="41"/>
  <c r="J509" i="41"/>
  <c r="J508" i="41"/>
  <c r="J507" i="41"/>
  <c r="J506" i="41"/>
  <c r="J505" i="41"/>
  <c r="J504" i="41"/>
  <c r="J503" i="41"/>
  <c r="J502" i="41"/>
  <c r="J501" i="41"/>
  <c r="J500" i="41"/>
  <c r="J499" i="41"/>
  <c r="J498" i="41"/>
  <c r="J497" i="41"/>
  <c r="J496" i="41"/>
  <c r="J495" i="41"/>
  <c r="J494" i="41"/>
  <c r="J493" i="41"/>
  <c r="J492" i="41"/>
  <c r="J491" i="41"/>
  <c r="J490" i="41"/>
  <c r="J489" i="41"/>
  <c r="J488" i="41"/>
  <c r="J487" i="41"/>
  <c r="J486" i="41"/>
  <c r="J485" i="41"/>
  <c r="J484" i="41"/>
  <c r="J483" i="41"/>
  <c r="J482" i="41"/>
  <c r="J481" i="41"/>
  <c r="J480" i="41"/>
  <c r="J479" i="41"/>
  <c r="J478" i="41"/>
  <c r="J477" i="41"/>
  <c r="J476" i="41"/>
  <c r="J475" i="41"/>
  <c r="J474" i="41"/>
  <c r="J473" i="41"/>
  <c r="J472" i="41"/>
  <c r="J471" i="41"/>
  <c r="J470" i="41"/>
  <c r="J469" i="41"/>
  <c r="J468" i="41"/>
  <c r="J467" i="41"/>
  <c r="J466" i="41"/>
  <c r="J465" i="41"/>
  <c r="J464" i="41"/>
  <c r="J463" i="41"/>
  <c r="J462" i="41"/>
  <c r="J461" i="41"/>
  <c r="J460" i="41"/>
  <c r="J459" i="41"/>
  <c r="J458" i="41"/>
  <c r="J457" i="41"/>
  <c r="J456" i="41"/>
  <c r="J455" i="41"/>
  <c r="J454" i="41"/>
  <c r="J453" i="41"/>
  <c r="J452" i="41"/>
  <c r="J451" i="41"/>
  <c r="J450" i="41"/>
  <c r="J449" i="41"/>
  <c r="J448" i="41"/>
  <c r="J447" i="41"/>
  <c r="J446" i="41"/>
  <c r="J445" i="41"/>
  <c r="J444" i="41"/>
  <c r="J443" i="41"/>
  <c r="J442" i="41"/>
  <c r="J441" i="41"/>
  <c r="J440" i="41"/>
  <c r="J439" i="41"/>
  <c r="J438" i="41"/>
  <c r="J437" i="41"/>
  <c r="J436" i="41"/>
  <c r="J435" i="41"/>
  <c r="J434" i="41"/>
  <c r="J433" i="41"/>
  <c r="J432" i="41"/>
  <c r="J431" i="41"/>
  <c r="J430" i="41"/>
  <c r="J429" i="41"/>
  <c r="J428" i="41"/>
  <c r="J427" i="41"/>
  <c r="J426" i="41"/>
  <c r="J425" i="41"/>
  <c r="J424" i="41"/>
  <c r="J423" i="41"/>
  <c r="J422" i="41"/>
  <c r="J421" i="41"/>
  <c r="J420" i="41"/>
  <c r="J419" i="41"/>
  <c r="J418" i="41"/>
  <c r="J417" i="41"/>
  <c r="J416" i="41"/>
  <c r="J415" i="41"/>
  <c r="J414" i="41"/>
  <c r="J413" i="41"/>
  <c r="J412" i="41"/>
  <c r="J411" i="41"/>
  <c r="J410" i="41"/>
  <c r="J409" i="41"/>
  <c r="J408" i="41"/>
  <c r="J407" i="41"/>
  <c r="J406" i="41"/>
  <c r="J405" i="41"/>
  <c r="J404" i="41"/>
  <c r="J403" i="41"/>
  <c r="J402" i="41"/>
  <c r="J401" i="41"/>
  <c r="J400" i="41"/>
  <c r="J399" i="41"/>
  <c r="J398" i="41"/>
  <c r="J397" i="41"/>
  <c r="J396" i="41"/>
  <c r="J395" i="41"/>
  <c r="J394" i="41"/>
  <c r="J393" i="41"/>
  <c r="J392" i="41"/>
  <c r="J391" i="41"/>
  <c r="J390" i="41"/>
  <c r="J389" i="41"/>
  <c r="J388" i="41"/>
  <c r="J387" i="41"/>
  <c r="J386" i="41"/>
  <c r="J385" i="41"/>
  <c r="J384" i="41"/>
  <c r="J383" i="41"/>
  <c r="J382" i="41"/>
  <c r="J381" i="41"/>
  <c r="J380" i="41"/>
  <c r="J379" i="41"/>
  <c r="J378" i="41"/>
  <c r="J377" i="41"/>
  <c r="J376" i="41"/>
  <c r="J375" i="41"/>
  <c r="J374" i="41"/>
  <c r="J373" i="41"/>
  <c r="J372" i="41"/>
  <c r="J371" i="41"/>
  <c r="J370" i="41"/>
  <c r="J369" i="41"/>
  <c r="J368" i="41"/>
  <c r="J367" i="41"/>
  <c r="J366" i="41"/>
  <c r="J365" i="41"/>
  <c r="J364" i="41"/>
  <c r="J363" i="41"/>
  <c r="J362" i="41"/>
  <c r="J361" i="41"/>
  <c r="J360" i="41"/>
  <c r="J359" i="41"/>
  <c r="J358" i="41"/>
  <c r="J357" i="41"/>
  <c r="J356" i="41"/>
  <c r="J355" i="41"/>
  <c r="J354" i="41"/>
  <c r="J353" i="41"/>
  <c r="J352" i="41"/>
  <c r="J351" i="41"/>
  <c r="J350" i="41"/>
  <c r="J349" i="41"/>
  <c r="J348" i="41"/>
  <c r="J347" i="41"/>
  <c r="J346" i="41"/>
  <c r="J345" i="41"/>
  <c r="J344" i="41"/>
  <c r="J343" i="41"/>
  <c r="J342" i="41"/>
  <c r="J341" i="41"/>
  <c r="J340" i="41"/>
  <c r="J339" i="41"/>
  <c r="J338" i="41"/>
  <c r="J337" i="41"/>
  <c r="J336" i="41"/>
  <c r="J335" i="41"/>
  <c r="J334" i="41"/>
  <c r="J333" i="41"/>
  <c r="J332" i="41"/>
  <c r="J331" i="41"/>
  <c r="J330" i="41"/>
  <c r="J329" i="41"/>
  <c r="J328" i="41"/>
  <c r="J327" i="41"/>
  <c r="J326" i="41"/>
  <c r="J325" i="41"/>
  <c r="J324" i="41"/>
  <c r="J323" i="41"/>
  <c r="J322" i="41"/>
  <c r="J321" i="41"/>
  <c r="J320" i="41"/>
  <c r="J319" i="41"/>
  <c r="J318" i="41"/>
  <c r="J317" i="41"/>
  <c r="J316" i="41"/>
  <c r="J315" i="41"/>
  <c r="J314" i="41"/>
  <c r="J313" i="41"/>
  <c r="J312" i="41"/>
  <c r="J311" i="41"/>
  <c r="J310" i="41"/>
  <c r="J309" i="41"/>
  <c r="J308" i="41"/>
  <c r="J307" i="41"/>
  <c r="J306" i="41"/>
  <c r="J305" i="41"/>
  <c r="J304" i="41"/>
  <c r="J303" i="41"/>
  <c r="J302" i="41"/>
  <c r="J301" i="41"/>
  <c r="J300" i="41"/>
  <c r="J299" i="41"/>
  <c r="J298" i="41"/>
  <c r="J297" i="41"/>
  <c r="J296" i="41"/>
  <c r="J295" i="41"/>
  <c r="J294" i="41"/>
  <c r="J293" i="41"/>
  <c r="J292" i="41"/>
  <c r="J291" i="41"/>
  <c r="J290" i="41"/>
  <c r="J289" i="41"/>
  <c r="J288" i="41"/>
  <c r="J287" i="41"/>
  <c r="J286" i="41"/>
  <c r="J285" i="41"/>
  <c r="J284" i="41"/>
  <c r="J283" i="41"/>
  <c r="J282" i="41"/>
  <c r="J281" i="41"/>
  <c r="J280" i="41"/>
  <c r="J279" i="41"/>
  <c r="J278" i="41"/>
  <c r="J277" i="41"/>
  <c r="J276" i="41"/>
  <c r="J275" i="41"/>
  <c r="J274" i="41"/>
  <c r="J273" i="41"/>
  <c r="J272" i="41"/>
  <c r="J271" i="41"/>
  <c r="J270" i="41"/>
  <c r="J269" i="41"/>
  <c r="J268" i="41"/>
  <c r="J267" i="41"/>
  <c r="J266" i="41"/>
  <c r="J265" i="41"/>
  <c r="J264" i="41"/>
  <c r="J263" i="41"/>
  <c r="J262" i="41"/>
  <c r="J261" i="41"/>
  <c r="J260" i="41"/>
  <c r="J259" i="41"/>
  <c r="J258" i="41"/>
  <c r="J257" i="41"/>
  <c r="J256" i="41"/>
  <c r="J255" i="41"/>
  <c r="J254" i="41"/>
  <c r="J253" i="41"/>
  <c r="J252" i="41"/>
  <c r="J251" i="41"/>
  <c r="J250" i="41"/>
  <c r="J249" i="41"/>
  <c r="J248" i="41"/>
  <c r="J247" i="41"/>
  <c r="J246" i="41"/>
  <c r="J245" i="41"/>
  <c r="J244" i="41"/>
  <c r="J243" i="41"/>
  <c r="J242" i="41"/>
  <c r="J241" i="41"/>
  <c r="J240" i="41"/>
  <c r="J239" i="41"/>
  <c r="J238" i="41"/>
  <c r="J237" i="41"/>
  <c r="J236" i="41"/>
  <c r="J235" i="41"/>
  <c r="J234" i="41"/>
  <c r="J233" i="41"/>
  <c r="J232" i="41"/>
  <c r="J231" i="41"/>
  <c r="J230" i="41"/>
  <c r="J229" i="41"/>
  <c r="J228" i="41"/>
  <c r="J227" i="41"/>
  <c r="J226" i="41"/>
  <c r="J225" i="41"/>
  <c r="J224" i="41"/>
  <c r="J223" i="41"/>
  <c r="J222" i="41"/>
  <c r="J221" i="41"/>
  <c r="J220" i="41"/>
  <c r="J219" i="41"/>
  <c r="J218" i="41"/>
  <c r="J217" i="41"/>
  <c r="J216" i="41"/>
  <c r="J215" i="41"/>
  <c r="J214" i="41"/>
  <c r="J213" i="41"/>
  <c r="J212" i="41"/>
  <c r="J211" i="41"/>
  <c r="J210" i="41"/>
  <c r="J209" i="41"/>
  <c r="J208" i="41"/>
  <c r="J207" i="41"/>
  <c r="J206" i="41"/>
  <c r="J205" i="41"/>
  <c r="J204" i="41"/>
  <c r="J203" i="41"/>
  <c r="J202" i="41"/>
  <c r="J201" i="41"/>
  <c r="J200" i="41"/>
  <c r="J199" i="41"/>
  <c r="J198" i="41"/>
  <c r="J197" i="41"/>
  <c r="J196" i="41"/>
  <c r="J195" i="41"/>
  <c r="J194" i="41"/>
  <c r="J193" i="41"/>
  <c r="J192" i="41"/>
  <c r="J191" i="41"/>
  <c r="J190" i="41"/>
  <c r="J189" i="41"/>
  <c r="J188" i="41"/>
  <c r="J187" i="41"/>
  <c r="J186" i="41"/>
  <c r="J185" i="41"/>
  <c r="J184" i="41"/>
  <c r="J183" i="41"/>
  <c r="J182" i="41"/>
  <c r="J181" i="41"/>
  <c r="J180" i="41"/>
  <c r="J179" i="41"/>
  <c r="J178" i="41"/>
  <c r="J177" i="41"/>
  <c r="J176" i="41"/>
  <c r="J175" i="41"/>
  <c r="J174" i="41"/>
  <c r="J173" i="41"/>
  <c r="J172" i="41"/>
  <c r="J171" i="41"/>
  <c r="J170" i="41"/>
  <c r="J169" i="41"/>
  <c r="J168" i="41"/>
  <c r="J167" i="41"/>
  <c r="J166" i="41"/>
  <c r="J165" i="41"/>
  <c r="J164" i="41"/>
  <c r="J163" i="41"/>
  <c r="J162" i="41"/>
  <c r="J161" i="41"/>
  <c r="J160" i="41"/>
  <c r="J159" i="41"/>
  <c r="J158" i="41"/>
  <c r="J157" i="41"/>
  <c r="J156" i="41"/>
  <c r="J155" i="41"/>
  <c r="J154" i="41"/>
  <c r="J153" i="41"/>
  <c r="J152" i="41"/>
  <c r="J151" i="41"/>
  <c r="J150" i="41"/>
  <c r="J149" i="41"/>
  <c r="J148" i="41"/>
  <c r="J147" i="41"/>
  <c r="J146" i="41"/>
  <c r="J145" i="41"/>
  <c r="J144" i="41"/>
  <c r="J143" i="41"/>
  <c r="J142" i="41"/>
  <c r="J141" i="41"/>
  <c r="J140" i="41"/>
  <c r="J139" i="41"/>
  <c r="J138" i="41"/>
  <c r="J137" i="41"/>
  <c r="J136" i="41"/>
  <c r="J135" i="41"/>
  <c r="J134" i="41"/>
  <c r="J133" i="41"/>
  <c r="J132" i="41"/>
  <c r="J131" i="41"/>
  <c r="J130" i="41"/>
  <c r="J129" i="41"/>
  <c r="J128" i="41"/>
  <c r="J127" i="41"/>
  <c r="J126" i="41"/>
  <c r="J125" i="41"/>
  <c r="J124" i="41"/>
  <c r="J123" i="41"/>
  <c r="J122" i="41"/>
  <c r="J121" i="41"/>
  <c r="J120" i="41"/>
  <c r="J119" i="41"/>
  <c r="J118" i="41"/>
  <c r="J117" i="41"/>
  <c r="J116" i="41"/>
  <c r="J115" i="41"/>
  <c r="J114" i="41"/>
  <c r="J113" i="41"/>
  <c r="J112" i="41"/>
  <c r="J111" i="41"/>
  <c r="J110" i="41"/>
  <c r="J109" i="41"/>
  <c r="J108" i="41"/>
  <c r="J107" i="41"/>
  <c r="J106" i="41"/>
  <c r="J105" i="41"/>
  <c r="J104" i="41"/>
  <c r="J103" i="41"/>
  <c r="J102" i="41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J30" i="41"/>
  <c r="J29" i="41"/>
  <c r="J28" i="41"/>
  <c r="J27" i="41"/>
  <c r="J26" i="41"/>
  <c r="J25" i="41"/>
  <c r="J24" i="41"/>
  <c r="J23" i="41"/>
  <c r="J22" i="41"/>
  <c r="J21" i="41"/>
  <c r="J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F1752" i="29" l="1" a="1"/>
  <c r="F1752" i="29" s="1"/>
  <c r="F1505" i="29" a="1"/>
  <c r="F1505" i="29" s="1"/>
  <c r="F1813" i="29" a="1"/>
  <c r="F1813" i="29" s="1"/>
  <c r="F1691" i="29" a="1"/>
  <c r="F1691" i="29" s="1"/>
  <c r="E1751" i="29" a="1"/>
  <c r="E1751" i="29" s="1"/>
  <c r="F1751" i="29" a="1"/>
  <c r="F1751" i="29" s="1"/>
  <c r="E1323" i="29" a="1"/>
  <c r="E1323" i="29" s="1"/>
  <c r="F1630" i="29" a="1"/>
  <c r="F1630" i="29" s="1"/>
  <c r="F1275" i="29" a="1"/>
  <c r="F1275" i="29" s="1"/>
  <c r="F1327" i="29" a="1"/>
  <c r="F1327" i="29" s="1"/>
  <c r="F1867" i="29" a="1"/>
  <c r="F1867" i="29" s="1"/>
  <c r="F1819" i="29" a="1"/>
  <c r="F1819" i="29" s="1"/>
  <c r="F1882" i="29" a="1"/>
  <c r="F1882" i="29" s="1"/>
  <c r="F1522" i="29" a="1"/>
  <c r="F1522" i="29" s="1"/>
  <c r="F1546" i="29" a="1"/>
  <c r="F1546" i="29" s="1"/>
  <c r="F2005" i="29" a="1"/>
  <c r="F2005" i="29" s="1"/>
  <c r="F1448" i="29" a="1"/>
  <c r="F1448" i="29" s="1"/>
  <c r="F1719" i="29" a="1"/>
  <c r="F1719" i="29" s="1"/>
  <c r="F1663" i="29" a="1"/>
  <c r="F1663" i="29" s="1"/>
  <c r="F1678" i="29" a="1"/>
  <c r="F1678" i="29" s="1"/>
  <c r="F1656" i="29" a="1"/>
  <c r="F1656" i="29" s="1"/>
  <c r="F1763" i="29" a="1"/>
  <c r="F1763" i="29" s="1"/>
  <c r="F1612" i="29" a="1"/>
  <c r="F1612" i="29" s="1"/>
  <c r="F1834" i="29" a="1"/>
  <c r="F1834" i="29" s="1"/>
  <c r="F1655" i="29" a="1"/>
  <c r="F1655" i="29" s="1"/>
  <c r="F1721" i="29" a="1"/>
  <c r="F1721" i="29" s="1"/>
  <c r="F1578" i="29" a="1"/>
  <c r="F1578" i="29" s="1"/>
  <c r="F1367" i="29" a="1"/>
  <c r="F1367" i="29" s="1"/>
  <c r="F1281" i="29" a="1"/>
  <c r="F1281" i="29" s="1"/>
  <c r="F1563" i="29" a="1"/>
  <c r="F1563" i="29" s="1"/>
  <c r="F1577" i="29" a="1"/>
  <c r="F1577" i="29" s="1"/>
  <c r="F1316" i="29" a="1"/>
  <c r="F1316" i="29" s="1"/>
  <c r="F1294" i="29" a="1"/>
  <c r="F1294" i="29" s="1"/>
  <c r="F1412" i="29" a="1"/>
  <c r="F1412" i="29" s="1"/>
  <c r="F1962" i="29" a="1"/>
  <c r="F1962" i="29" s="1"/>
  <c r="F1726" i="29" a="1"/>
  <c r="F1726" i="29" s="1"/>
  <c r="F1990" i="29" a="1"/>
  <c r="F1990" i="29" s="1"/>
  <c r="F1879" i="29" a="1"/>
  <c r="F1879" i="29" s="1"/>
  <c r="F1713" i="29" a="1"/>
  <c r="F1713" i="29" s="1"/>
  <c r="F1547" i="29" a="1"/>
  <c r="F1547" i="29" s="1"/>
  <c r="F1334" i="29" a="1"/>
  <c r="F1334" i="29" s="1"/>
  <c r="F1301" i="29" a="1"/>
  <c r="F1301" i="29" s="1"/>
  <c r="F1366" i="29" a="1"/>
  <c r="F1366" i="29" s="1"/>
  <c r="F1856" i="29" a="1"/>
  <c r="F1856" i="29" s="1"/>
  <c r="F2014" i="29" a="1"/>
  <c r="F2014" i="29" s="1"/>
  <c r="F1496" i="29" a="1"/>
  <c r="F1496" i="29" s="1"/>
  <c r="F1828" i="29" a="1"/>
  <c r="F1828" i="29" s="1"/>
  <c r="F1808" i="29" a="1"/>
  <c r="F1808" i="29" s="1"/>
  <c r="F1749" i="29" a="1"/>
  <c r="F1749" i="29" s="1"/>
  <c r="F1775" i="29" a="1"/>
  <c r="F1775" i="29" s="1"/>
  <c r="F1730" i="29" a="1"/>
  <c r="F1730" i="29" s="1"/>
  <c r="F1857" i="29" a="1"/>
  <c r="F1857" i="29" s="1"/>
  <c r="F1781" i="29" a="1"/>
  <c r="F1781" i="29" s="1"/>
  <c r="F1855" i="29" a="1"/>
  <c r="F1855" i="29" s="1"/>
  <c r="F1386" i="29" a="1"/>
  <c r="F1386" i="29" s="1"/>
  <c r="F1954" i="29" a="1"/>
  <c r="F1954" i="29" s="1"/>
  <c r="F1889" i="29" a="1"/>
  <c r="F1889" i="29" s="1"/>
  <c r="F1843" i="29" a="1"/>
  <c r="F1843" i="29" s="1"/>
  <c r="F1459" i="29" a="1"/>
  <c r="F1459" i="29" s="1"/>
  <c r="F1368" i="29" a="1"/>
  <c r="F1368" i="29" s="1"/>
  <c r="F1326" i="29" a="1"/>
  <c r="F1326" i="29" s="1"/>
  <c r="F1299" i="29" a="1"/>
  <c r="F1299" i="29" s="1"/>
  <c r="F1727" i="29" a="1"/>
  <c r="F1727" i="29" s="1"/>
  <c r="F1953" i="29" a="1"/>
  <c r="F1953" i="29" s="1"/>
  <c r="F1745" i="29" a="1"/>
  <c r="F1745" i="29" s="1"/>
  <c r="F1518" i="29" a="1"/>
  <c r="F1518" i="29" s="1"/>
  <c r="F1295" i="29" a="1"/>
  <c r="F1295" i="29" s="1"/>
  <c r="F1943" i="29" a="1"/>
  <c r="F1943" i="29" s="1"/>
  <c r="F1625" i="29" a="1"/>
  <c r="F1625" i="29" s="1"/>
  <c r="F1794" i="29" a="1"/>
  <c r="F1794" i="29" s="1"/>
  <c r="F1553" i="29" a="1"/>
  <c r="F1553" i="29" s="1"/>
  <c r="F1338" i="29" a="1"/>
  <c r="F1338" i="29" s="1"/>
  <c r="F1731" i="29" a="1"/>
  <c r="F1731" i="29" s="1"/>
  <c r="F1501" i="29" a="1"/>
  <c r="F1501" i="29" s="1"/>
  <c r="F1405" i="29" a="1"/>
  <c r="F1405" i="29" s="1"/>
  <c r="F1831" i="29" a="1"/>
  <c r="F1831" i="29" s="1"/>
  <c r="F1706" i="29" a="1"/>
  <c r="F1706" i="29" s="1"/>
  <c r="F1789" i="29" a="1"/>
  <c r="F1789" i="29" s="1"/>
  <c r="F1469" i="29" a="1"/>
  <c r="F1469" i="29" s="1"/>
  <c r="F2037" i="29" a="1"/>
  <c r="F2037" i="29" s="1"/>
  <c r="F1572" i="29" a="1"/>
  <c r="F1572" i="29" s="1"/>
  <c r="F1617" i="29" a="1"/>
  <c r="F1617" i="29" s="1"/>
  <c r="F1771" i="29" a="1"/>
  <c r="F1771" i="29" s="1"/>
  <c r="F1451" i="29" a="1"/>
  <c r="F1451" i="29" s="1"/>
  <c r="F1273" i="29" a="1"/>
  <c r="F1273" i="29" s="1"/>
  <c r="F1423" i="29" a="1"/>
  <c r="F1423" i="29" s="1"/>
  <c r="F2053" i="29" a="1"/>
  <c r="F2053" i="29" s="1"/>
  <c r="F1988" i="29" a="1"/>
  <c r="F1988" i="29" s="1"/>
  <c r="F1642" i="29" a="1"/>
  <c r="F1642" i="29" s="1"/>
  <c r="F1955" i="29" a="1"/>
  <c r="F1955" i="29" s="1"/>
  <c r="F1476" i="29" a="1"/>
  <c r="F1476" i="29" s="1"/>
  <c r="F1374" i="29" a="1"/>
  <c r="F1374" i="29" s="1"/>
  <c r="F1371" i="29" a="1"/>
  <c r="F1371" i="29" s="1"/>
  <c r="F1516" i="29" a="1"/>
  <c r="F1516" i="29" s="1"/>
  <c r="F1937" i="29" a="1"/>
  <c r="F1937" i="29" s="1"/>
  <c r="F1433" i="29" a="1"/>
  <c r="F1433" i="29" s="1"/>
  <c r="F1739" i="29" a="1"/>
  <c r="F1739" i="29" s="1"/>
  <c r="F1822" i="29" a="1"/>
  <c r="F1822" i="29" s="1"/>
  <c r="F2012" i="29" a="1"/>
  <c r="F2012" i="29" s="1"/>
  <c r="F1438" i="29" a="1"/>
  <c r="F1438" i="29" s="1"/>
  <c r="F2034" i="29" a="1"/>
  <c r="F2034" i="29" s="1"/>
  <c r="F1892" i="29" a="1"/>
  <c r="F1892" i="29" s="1"/>
  <c r="F1941" i="29" a="1"/>
  <c r="F1941" i="29" s="1"/>
  <c r="F1479" i="29" a="1"/>
  <c r="F1479" i="29" s="1"/>
  <c r="F1802" i="29" a="1"/>
  <c r="F1802" i="29" s="1"/>
  <c r="F1378" i="29" a="1"/>
  <c r="F1378" i="29" s="1"/>
  <c r="F1985" i="29" a="1"/>
  <c r="F1985" i="29" s="1"/>
  <c r="F1636" i="29" a="1"/>
  <c r="F1636" i="29" s="1"/>
  <c r="F1507" i="29" a="1"/>
  <c r="F1507" i="29" s="1"/>
  <c r="F1952" i="29" a="1"/>
  <c r="F1952" i="29" s="1"/>
  <c r="F1675" i="29" a="1"/>
  <c r="F1675" i="29" s="1"/>
  <c r="F1897" i="29" a="1"/>
  <c r="F1897" i="29" s="1"/>
  <c r="F1582" i="29" a="1"/>
  <c r="F1582" i="29" s="1"/>
  <c r="F1646" i="29" a="1"/>
  <c r="F1646" i="29" s="1"/>
  <c r="F1942" i="29" a="1"/>
  <c r="F1942" i="29" s="1"/>
  <c r="F1274" i="29" a="1"/>
  <c r="F1274" i="29" s="1"/>
  <c r="F1345" i="29" a="1"/>
  <c r="F1345" i="29" s="1"/>
  <c r="F2001" i="29" a="1"/>
  <c r="F2001" i="29" s="1"/>
  <c r="F1426" i="29" a="1"/>
  <c r="F1426" i="29" s="1"/>
  <c r="F1639" i="29" a="1"/>
  <c r="F1639" i="29" s="1"/>
  <c r="F1361" i="29" a="1"/>
  <c r="F1361" i="29" s="1"/>
  <c r="F1986" i="29" a="1"/>
  <c r="F1986" i="29" s="1"/>
  <c r="F1492" i="29" a="1"/>
  <c r="F1492" i="29" s="1"/>
  <c r="F1766" i="29" a="1"/>
  <c r="F1766" i="29" s="1"/>
  <c r="F1712" i="29" a="1"/>
  <c r="F1712" i="29" s="1"/>
  <c r="F1310" i="29" a="1"/>
  <c r="F1310" i="29" s="1"/>
  <c r="F1699" i="29" a="1"/>
  <c r="F1699" i="29" s="1"/>
  <c r="F1944" i="29" a="1"/>
  <c r="F1944" i="29" s="1"/>
  <c r="F1939" i="29" a="1"/>
  <c r="F1939" i="29" s="1"/>
  <c r="F1272" i="29" a="1"/>
  <c r="F1272" i="29" s="1"/>
  <c r="F1724" i="29" a="1"/>
  <c r="F1724" i="29" s="1"/>
  <c r="F1375" i="29" a="1"/>
  <c r="F1375" i="29" s="1"/>
  <c r="F1931" i="29" a="1"/>
  <c r="F1931" i="29" s="1"/>
  <c r="F1414" i="29" a="1"/>
  <c r="F1414" i="29" s="1"/>
  <c r="F1402" i="29" a="1"/>
  <c r="F1402" i="29" s="1"/>
  <c r="F1774" i="29" a="1"/>
  <c r="F1774" i="29" s="1"/>
  <c r="F1543" i="29" a="1"/>
  <c r="F1543" i="29" s="1"/>
  <c r="F1891" i="29" a="1"/>
  <c r="F1891" i="29" s="1"/>
  <c r="F1641" i="29" a="1"/>
  <c r="F1641" i="29" s="1"/>
  <c r="F1614" i="29" a="1"/>
  <c r="F1614" i="29" s="1"/>
  <c r="F1682" i="29" a="1"/>
  <c r="F1682" i="29" s="1"/>
  <c r="F1289" i="29" a="1"/>
  <c r="F1289" i="29" s="1"/>
  <c r="F1320" i="29" a="1"/>
  <c r="F1320" i="29" s="1"/>
  <c r="F1454" i="29" a="1"/>
  <c r="F1454" i="29" s="1"/>
  <c r="F1680" i="29" a="1"/>
  <c r="F1680" i="29" s="1"/>
  <c r="F1715" i="29" a="1"/>
  <c r="F1715" i="29" s="1"/>
  <c r="F1400" i="29" a="1"/>
  <c r="F1400" i="29" s="1"/>
  <c r="F1925" i="29" a="1"/>
  <c r="F1925" i="29" s="1"/>
  <c r="F1854" i="29" a="1"/>
  <c r="F1854" i="29" s="1"/>
  <c r="F1584" i="29" a="1"/>
  <c r="F1584" i="29" s="1"/>
  <c r="F1606" i="29" a="1"/>
  <c r="F1606" i="29" s="1"/>
  <c r="F1665" i="29" a="1"/>
  <c r="F1665" i="29" s="1"/>
  <c r="F1666" i="29" a="1"/>
  <c r="F1666" i="29" s="1"/>
  <c r="F1360" i="29" a="1"/>
  <c r="F1360" i="29" s="1"/>
  <c r="F1607" i="29" a="1"/>
  <c r="F1607" i="29" s="1"/>
  <c r="F1513" i="29" a="1"/>
  <c r="F1513" i="29" s="1"/>
  <c r="F1740" i="29" a="1"/>
  <c r="F1740" i="29" s="1"/>
  <c r="F1525" i="29" a="1"/>
  <c r="F1525" i="29" s="1"/>
  <c r="F1370" i="29" a="1"/>
  <c r="F1370" i="29" s="1"/>
  <c r="F1913" i="29" a="1"/>
  <c r="F1913" i="29" s="1"/>
  <c r="F1923" i="29" a="1"/>
  <c r="F1923" i="29" s="1"/>
  <c r="F1581" i="29" a="1"/>
  <c r="F1581" i="29" s="1"/>
  <c r="F1940" i="29" a="1"/>
  <c r="F1940" i="29" s="1"/>
  <c r="F1824" i="29" a="1"/>
  <c r="F1824" i="29" s="1"/>
  <c r="F1772" i="29" a="1"/>
  <c r="F1772" i="29" s="1"/>
  <c r="F1926" i="29" a="1"/>
  <c r="F1926" i="29" s="1"/>
  <c r="F1754" i="29" a="1"/>
  <c r="F1754" i="29" s="1"/>
  <c r="F1907" i="29" a="1"/>
  <c r="F1907" i="29" s="1"/>
  <c r="F1827" i="29" a="1"/>
  <c r="F1827" i="29" s="1"/>
  <c r="F1865" i="29" a="1"/>
  <c r="F1865" i="29" s="1"/>
  <c r="F1456" i="29" a="1"/>
  <c r="F1456" i="29" s="1"/>
  <c r="F1610" i="29" a="1"/>
  <c r="F1610" i="29" s="1"/>
  <c r="F1868" i="29" a="1"/>
  <c r="F1868" i="29" s="1"/>
  <c r="F1950" i="29" a="1"/>
  <c r="F1950" i="29" s="1"/>
  <c r="F1947" i="29" a="1"/>
  <c r="F1947" i="29" s="1"/>
  <c r="F1291" i="29" a="1"/>
  <c r="F1291" i="29" s="1"/>
  <c r="F1616" i="29" a="1"/>
  <c r="F1616" i="29" s="1"/>
  <c r="F1623" i="29" a="1"/>
  <c r="F1623" i="29" s="1"/>
  <c r="F1835" i="29" a="1"/>
  <c r="F1835" i="29" s="1"/>
  <c r="F1517" i="29" a="1"/>
  <c r="F1517" i="29" s="1"/>
  <c r="F1960" i="29" a="1"/>
  <c r="F1960" i="29" s="1"/>
  <c r="F1807" i="29" a="1"/>
  <c r="F1807" i="29" s="1"/>
  <c r="F1647" i="29" a="1"/>
  <c r="F1647" i="29" s="1"/>
  <c r="F1589" i="29" a="1"/>
  <c r="F1589" i="29" s="1"/>
  <c r="F1558" i="29" a="1"/>
  <c r="F1558" i="29" s="1"/>
  <c r="F1728" i="29" a="1"/>
  <c r="F1728" i="29" s="1"/>
  <c r="F1773" i="29" a="1"/>
  <c r="F1773" i="29" s="1"/>
  <c r="F1621" i="29" a="1"/>
  <c r="F1621" i="29" s="1"/>
  <c r="F1395" i="29" a="1"/>
  <c r="F1395" i="29" s="1"/>
  <c r="F1313" i="29" a="1"/>
  <c r="F1313" i="29" s="1"/>
  <c r="F1521" i="29" a="1"/>
  <c r="F1521" i="29" s="1"/>
  <c r="F1987" i="29" a="1"/>
  <c r="F1987" i="29" s="1"/>
  <c r="F2045" i="29" a="1"/>
  <c r="F2045" i="29" s="1"/>
  <c r="F1826" i="29" a="1"/>
  <c r="F1826" i="29" s="1"/>
  <c r="F1790" i="29" a="1"/>
  <c r="F1790" i="29" s="1"/>
  <c r="F1277" i="29" a="1"/>
  <c r="F1277" i="29" s="1"/>
  <c r="F1980" i="29" a="1"/>
  <c r="F1980" i="29" s="1"/>
  <c r="F1863" i="29" a="1"/>
  <c r="F1863" i="29" s="1"/>
  <c r="F1769" i="29" a="1"/>
  <c r="F1769" i="29" s="1"/>
  <c r="F1559" i="29" a="1"/>
  <c r="F1559" i="29" s="1"/>
  <c r="F2043" i="29" a="1"/>
  <c r="F2043" i="29" s="1"/>
  <c r="F1290" i="29" a="1"/>
  <c r="F1290" i="29" s="1"/>
  <c r="F1512" i="29" a="1"/>
  <c r="F1512" i="29" s="1"/>
  <c r="F1898" i="29" a="1"/>
  <c r="F1898" i="29" s="1"/>
  <c r="F1613" i="29" a="1"/>
  <c r="F1613" i="29" s="1"/>
  <c r="F1407" i="29" a="1"/>
  <c r="F1407" i="29" s="1"/>
  <c r="F1340" i="29" a="1"/>
  <c r="F1340" i="29" s="1"/>
  <c r="F1463" i="29" a="1"/>
  <c r="F1463" i="29" s="1"/>
  <c r="F1520" i="29" a="1"/>
  <c r="F1520" i="29" s="1"/>
  <c r="F1735" i="29" a="1"/>
  <c r="F1735" i="29" s="1"/>
  <c r="F1910" i="29" a="1"/>
  <c r="F1910" i="29" s="1"/>
  <c r="F1951" i="29" a="1"/>
  <c r="F1951" i="29" s="1"/>
  <c r="F1544" i="29" a="1"/>
  <c r="F1544" i="29" s="1"/>
  <c r="F2026" i="29" a="1"/>
  <c r="F2026" i="29" s="1"/>
  <c r="F1396" i="29" a="1"/>
  <c r="F1396" i="29" s="1"/>
  <c r="F2040" i="29" a="1"/>
  <c r="F2040" i="29" s="1"/>
  <c r="F1668" i="29" a="1"/>
  <c r="F1668" i="29" s="1"/>
  <c r="F1354" i="29" a="1"/>
  <c r="F1354" i="29" s="1"/>
  <c r="F1292" i="29" a="1"/>
  <c r="F1292" i="29" s="1"/>
  <c r="F1840" i="29" a="1"/>
  <c r="F1840" i="29" s="1"/>
  <c r="F2019" i="29" a="1"/>
  <c r="F2019" i="29" s="1"/>
  <c r="F2044" i="29" a="1"/>
  <c r="F2044" i="29" s="1"/>
  <c r="F1929" i="29" a="1"/>
  <c r="F1929" i="29" s="1"/>
  <c r="F1890" i="29" a="1"/>
  <c r="F1890" i="29" s="1"/>
  <c r="F1576" i="29" a="1"/>
  <c r="F1576" i="29" s="1"/>
  <c r="F1692" i="29" a="1"/>
  <c r="F1692" i="29" s="1"/>
  <c r="F1981" i="29" a="1"/>
  <c r="F1981" i="29" s="1"/>
  <c r="F1593" i="29" a="1"/>
  <c r="F1593" i="29" s="1"/>
  <c r="F1677" i="29" a="1"/>
  <c r="F1677" i="29" s="1"/>
  <c r="F1328" i="29" a="1"/>
  <c r="F1328" i="29" s="1"/>
  <c r="F1285" i="29" a="1"/>
  <c r="F1285" i="29" s="1"/>
  <c r="F1376" i="29" a="1"/>
  <c r="F1376" i="29" s="1"/>
  <c r="F1363" i="29" a="1"/>
  <c r="F1363" i="29" s="1"/>
  <c r="F1787" i="29" a="1"/>
  <c r="F1787" i="29" s="1"/>
  <c r="F1693" i="29" a="1"/>
  <c r="F1693" i="29" s="1"/>
  <c r="F1398" i="29" a="1"/>
  <c r="F1398" i="29" s="1"/>
  <c r="F1297" i="29" a="1"/>
  <c r="F1297" i="29" s="1"/>
  <c r="F1570" i="29" a="1"/>
  <c r="F1570" i="29" s="1"/>
  <c r="F1783" i="29" a="1"/>
  <c r="F1783" i="29" s="1"/>
  <c r="F1556" i="29" a="1"/>
  <c r="F1556" i="29" s="1"/>
  <c r="F1815" i="29" a="1"/>
  <c r="F1815" i="29" s="1"/>
  <c r="F1303" i="29" a="1"/>
  <c r="F1303" i="29" s="1"/>
  <c r="F1669" i="29" a="1"/>
  <c r="F1669" i="29" s="1"/>
  <c r="F1878" i="29" a="1"/>
  <c r="F1878" i="29" s="1"/>
  <c r="F1524" i="29" a="1"/>
  <c r="F1524" i="29" s="1"/>
  <c r="F1900" i="29" a="1"/>
  <c r="F1900" i="29" s="1"/>
  <c r="F1651" i="29" a="1"/>
  <c r="F1651" i="29" s="1"/>
  <c r="F1635" i="29" a="1"/>
  <c r="F1635" i="29" s="1"/>
  <c r="F1592" i="29" a="1"/>
  <c r="F1592" i="29" s="1"/>
  <c r="F1978" i="29" a="1"/>
  <c r="F1978" i="29" s="1"/>
  <c r="F2047" i="29" a="1"/>
  <c r="F2047" i="29" s="1"/>
  <c r="F1359" i="29" a="1"/>
  <c r="F1359" i="29" s="1"/>
  <c r="F2003" i="29" a="1"/>
  <c r="F2003" i="29" s="1"/>
  <c r="F1909" i="29" a="1"/>
  <c r="F1909" i="29" s="1"/>
  <c r="F1287" i="29" a="1"/>
  <c r="F1287" i="29" s="1"/>
  <c r="F1685" i="29" a="1"/>
  <c r="F1685" i="29" s="1"/>
  <c r="F2030" i="29" a="1"/>
  <c r="F2030" i="29" s="1"/>
  <c r="F1481" i="29" a="1"/>
  <c r="F1481" i="29" s="1"/>
  <c r="F1979" i="29" a="1"/>
  <c r="F1979" i="29" s="1"/>
  <c r="F1830" i="29" a="1"/>
  <c r="F1830" i="29" s="1"/>
  <c r="F1760" i="29" a="1"/>
  <c r="F1760" i="29" s="1"/>
  <c r="F1851" i="29" a="1"/>
  <c r="F1851" i="29" s="1"/>
  <c r="F1687" i="29" a="1"/>
  <c r="F1687" i="29" s="1"/>
  <c r="F1560" i="29" a="1"/>
  <c r="F1560" i="29" s="1"/>
  <c r="F2052" i="29" a="1"/>
  <c r="F2052" i="29" s="1"/>
  <c r="F1435" i="29" a="1"/>
  <c r="F1435" i="29" s="1"/>
  <c r="F1688" i="29" a="1"/>
  <c r="F1688" i="29" s="1"/>
  <c r="F1657" i="29" a="1"/>
  <c r="F1657" i="29" s="1"/>
  <c r="F1626" i="29" a="1"/>
  <c r="F1626" i="29" s="1"/>
  <c r="F1648" i="29" a="1"/>
  <c r="F1648" i="29" s="1"/>
  <c r="F1441" i="29" a="1"/>
  <c r="F1441" i="29" s="1"/>
  <c r="F1965" i="29" a="1"/>
  <c r="F1965" i="29" s="1"/>
  <c r="F1823" i="29" a="1"/>
  <c r="F1823" i="29" s="1"/>
  <c r="F1440" i="29" a="1"/>
  <c r="F1440" i="29" s="1"/>
  <c r="F1674" i="29" a="1"/>
  <c r="F1674" i="29" s="1"/>
  <c r="F1394" i="29" a="1"/>
  <c r="F1394" i="29" s="1"/>
  <c r="F1877" i="29" a="1"/>
  <c r="F1877" i="29" s="1"/>
  <c r="F1548" i="29" a="1"/>
  <c r="F1548" i="29" s="1"/>
  <c r="F1482" i="29" a="1"/>
  <c r="F1482" i="29" s="1"/>
  <c r="F1564" i="29" a="1"/>
  <c r="F1564" i="29" s="1"/>
  <c r="F1967" i="29" a="1"/>
  <c r="F1967" i="29" s="1"/>
  <c r="F1365" i="29" a="1"/>
  <c r="F1365" i="29" s="1"/>
  <c r="F1279" i="29" a="1"/>
  <c r="F1279" i="29" s="1"/>
  <c r="F1949" i="29" a="1"/>
  <c r="F1949" i="29" s="1"/>
  <c r="F1778" i="29" a="1"/>
  <c r="F1778" i="29" s="1"/>
  <c r="F1992" i="29" a="1"/>
  <c r="F1992" i="29" s="1"/>
  <c r="F1841" i="29" a="1"/>
  <c r="F1841" i="29" s="1"/>
  <c r="F1883" i="29" a="1"/>
  <c r="F1883" i="29" s="1"/>
  <c r="F1468" i="29" a="1"/>
  <c r="F1468" i="29" s="1"/>
  <c r="F1450" i="29" a="1"/>
  <c r="F1450" i="29" s="1"/>
  <c r="F1903" i="29" a="1"/>
  <c r="F1903" i="29" s="1"/>
  <c r="F2023" i="29" a="1"/>
  <c r="F2023" i="29" s="1"/>
  <c r="F1876" i="29" a="1"/>
  <c r="F1876" i="29" s="1"/>
  <c r="F1362" i="29" a="1"/>
  <c r="F1362" i="29" s="1"/>
  <c r="F1526" i="29" a="1"/>
  <c r="F1526" i="29" s="1"/>
  <c r="F1307" i="29" a="1"/>
  <c r="F1307" i="29" s="1"/>
  <c r="F2025" i="29" a="1"/>
  <c r="F2025" i="29" s="1"/>
  <c r="F1502" i="29" a="1"/>
  <c r="F1502" i="29" s="1"/>
  <c r="F1392" i="29" a="1"/>
  <c r="F1392" i="29" s="1"/>
  <c r="F1474" i="29" a="1"/>
  <c r="F1474" i="29" s="1"/>
  <c r="F2049" i="29" a="1"/>
  <c r="F2049" i="29" s="1"/>
  <c r="F2017" i="29" a="1"/>
  <c r="F2017" i="29" s="1"/>
  <c r="F1920" i="29" a="1"/>
  <c r="F1920" i="29" s="1"/>
  <c r="F1836" i="29" a="1"/>
  <c r="F1836" i="29" s="1"/>
  <c r="F1579" i="29" a="1"/>
  <c r="F1579" i="29" s="1"/>
  <c r="F1737" i="29" a="1"/>
  <c r="F1737" i="29" s="1"/>
  <c r="F1839" i="29" a="1"/>
  <c r="F1839" i="29" s="1"/>
  <c r="F1676" i="29" a="1"/>
  <c r="F1676" i="29" s="1"/>
  <c r="F1738" i="29" a="1"/>
  <c r="F1738" i="29" s="1"/>
  <c r="F1419" i="29" a="1"/>
  <c r="F1419" i="29" s="1"/>
  <c r="F1703" i="29" a="1"/>
  <c r="F1703" i="29" s="1"/>
  <c r="F1470" i="29" a="1"/>
  <c r="F1470" i="29" s="1"/>
  <c r="F1932" i="29" a="1"/>
  <c r="F1932" i="29" s="1"/>
  <c r="F1704" i="29" a="1"/>
  <c r="F1704" i="29" s="1"/>
  <c r="F1917" i="29" a="1"/>
  <c r="F1917" i="29" s="1"/>
  <c r="F1927" i="29" a="1"/>
  <c r="F1927" i="29" s="1"/>
  <c r="F1971" i="29" a="1"/>
  <c r="F1971" i="29" s="1"/>
  <c r="F1399" i="29" a="1"/>
  <c r="F1399" i="29" s="1"/>
  <c r="F1620" i="29" a="1"/>
  <c r="F1620" i="29" s="1"/>
  <c r="F1427" i="29" a="1"/>
  <c r="F1427" i="29" s="1"/>
  <c r="F1902" i="29" a="1"/>
  <c r="F1902" i="29" s="1"/>
  <c r="F1679" i="29" a="1"/>
  <c r="F1679" i="29" s="1"/>
  <c r="F1420" i="29" a="1"/>
  <c r="F1420" i="29" s="1"/>
  <c r="F1976" i="29" a="1"/>
  <c r="F1976" i="29" s="1"/>
  <c r="F1539" i="29" a="1"/>
  <c r="F1539" i="29" s="1"/>
  <c r="F1598" i="29" a="1"/>
  <c r="F1598" i="29" s="1"/>
  <c r="F1393" i="29" a="1"/>
  <c r="F1393" i="29" s="1"/>
  <c r="F1455" i="29" a="1"/>
  <c r="F1455" i="29" s="1"/>
  <c r="F1958" i="29" a="1"/>
  <c r="F1958" i="29" s="1"/>
  <c r="F1389" i="29" a="1"/>
  <c r="F1389" i="29" s="1"/>
  <c r="F2020" i="29" a="1"/>
  <c r="F2020" i="29" s="1"/>
  <c r="F1928" i="29" a="1"/>
  <c r="F1928" i="29" s="1"/>
  <c r="F1788" i="29" a="1"/>
  <c r="F1788" i="29" s="1"/>
  <c r="F1869" i="29" a="1"/>
  <c r="F1869" i="29" s="1"/>
  <c r="F2035" i="29" a="1"/>
  <c r="F2035" i="29" s="1"/>
  <c r="F1608" i="29" a="1"/>
  <c r="F1608" i="29" s="1"/>
  <c r="F1406" i="29" a="1"/>
  <c r="F1406" i="29" s="1"/>
  <c r="F2000" i="29" a="1"/>
  <c r="F2000" i="29" s="1"/>
  <c r="F1717" i="29" a="1"/>
  <c r="F1717" i="29" s="1"/>
  <c r="F1352" i="29" a="1"/>
  <c r="F1352" i="29" s="1"/>
  <c r="F1336" i="29" a="1"/>
  <c r="F1336" i="29" s="1"/>
  <c r="F1733" i="29" a="1"/>
  <c r="F1733" i="29" s="1"/>
  <c r="F1982" i="29" a="1"/>
  <c r="F1982" i="29" s="1"/>
  <c r="F1487" i="29" a="1"/>
  <c r="F1487" i="29" s="1"/>
  <c r="F1304" i="29" a="1"/>
  <c r="F1304" i="29" s="1"/>
  <c r="F1276" i="29" a="1"/>
  <c r="F1276" i="29" s="1"/>
  <c r="F1381" i="29" a="1"/>
  <c r="F1381" i="29" s="1"/>
  <c r="F1888" i="29" a="1"/>
  <c r="F1888" i="29" s="1"/>
  <c r="F1537" i="29" a="1"/>
  <c r="F1537" i="29" s="1"/>
  <c r="F1467" i="29" a="1"/>
  <c r="F1467" i="29" s="1"/>
  <c r="F1312" i="29" a="1"/>
  <c r="F1312" i="29" s="1"/>
  <c r="F1574" i="29" a="1"/>
  <c r="F1574" i="29" s="1"/>
  <c r="F1846" i="29" a="1"/>
  <c r="F1846" i="29" s="1"/>
  <c r="F1333" i="29" a="1"/>
  <c r="F1333" i="29" s="1"/>
  <c r="F1845" i="29" a="1"/>
  <c r="F1845" i="29" s="1"/>
  <c r="F1701" i="29" a="1"/>
  <c r="F1701" i="29" s="1"/>
  <c r="F1503" i="29" a="1"/>
  <c r="F1503" i="29" s="1"/>
  <c r="F1911" i="29" a="1"/>
  <c r="F1911" i="29" s="1"/>
  <c r="F1684" i="29" a="1"/>
  <c r="F1684" i="29" s="1"/>
  <c r="F1385" i="29" a="1"/>
  <c r="F1385" i="29" s="1"/>
  <c r="F1490" i="29" a="1"/>
  <c r="F1490" i="29" s="1"/>
  <c r="F1428" i="29" a="1"/>
  <c r="F1428" i="29" s="1"/>
  <c r="F1573" i="29" a="1"/>
  <c r="F1573" i="29" s="1"/>
  <c r="F1755" i="29" a="1"/>
  <c r="F1755" i="29" s="1"/>
  <c r="F1711" i="29" a="1"/>
  <c r="F1711" i="29" s="1"/>
  <c r="F1777" i="29" a="1"/>
  <c r="F1777" i="29" s="1"/>
  <c r="F1852" i="29" a="1"/>
  <c r="F1852" i="29" s="1"/>
  <c r="F1408" i="29" a="1"/>
  <c r="F1408" i="29" s="1"/>
  <c r="F1315" i="29" a="1"/>
  <c r="F1315" i="29" s="1"/>
  <c r="F1761" i="29" a="1"/>
  <c r="F1761" i="29" s="1"/>
  <c r="F1341" i="29" a="1"/>
  <c r="F1341" i="29" s="1"/>
  <c r="F1716" i="29" a="1"/>
  <c r="F1716" i="29" s="1"/>
  <c r="F1786" i="29" a="1"/>
  <c r="F1786" i="29" s="1"/>
  <c r="F1799" i="29" a="1"/>
  <c r="F1799" i="29" s="1"/>
  <c r="F1550" i="29" a="1"/>
  <c r="F1550" i="29" s="1"/>
  <c r="F1509" i="29" a="1"/>
  <c r="F1509" i="29" s="1"/>
  <c r="F1480" i="29" a="1"/>
  <c r="F1480" i="29" s="1"/>
  <c r="F1325" i="29" a="1"/>
  <c r="F1325" i="29" s="1"/>
  <c r="F1844" i="29" a="1"/>
  <c r="F1844" i="29" s="1"/>
  <c r="F1798" i="29" a="1"/>
  <c r="F1798" i="29" s="1"/>
  <c r="F1308" i="29" a="1"/>
  <c r="F1308" i="29" s="1"/>
  <c r="F1377" i="29" a="1"/>
  <c r="F1377" i="29" s="1"/>
  <c r="F1533" i="29" a="1"/>
  <c r="F1533" i="29" s="1"/>
  <c r="F1634" i="29" a="1"/>
  <c r="F1634" i="29" s="1"/>
  <c r="F1373" i="29" a="1"/>
  <c r="F1373" i="29" s="1"/>
  <c r="F1795" i="29" a="1"/>
  <c r="F1795" i="29" s="1"/>
  <c r="F1424" i="29" a="1"/>
  <c r="F1424" i="29" s="1"/>
  <c r="F1489" i="29" a="1"/>
  <c r="F1489" i="29" s="1"/>
  <c r="F1465" i="29" a="1"/>
  <c r="F1465" i="29" s="1"/>
  <c r="F1551" i="29" a="1"/>
  <c r="F1551" i="29" s="1"/>
  <c r="F1545" i="29" a="1"/>
  <c r="F1545" i="29" s="1"/>
  <c r="F1306" i="29" a="1"/>
  <c r="F1306" i="29" s="1"/>
  <c r="F1904" i="29" a="1"/>
  <c r="F1904" i="29" s="1"/>
  <c r="F1403" i="29" a="1"/>
  <c r="F1403" i="29" s="1"/>
  <c r="F1498" i="29" a="1"/>
  <c r="F1498" i="29" s="1"/>
  <c r="F1439" i="29" a="1"/>
  <c r="F1439" i="29" s="1"/>
  <c r="F1508" i="29" a="1"/>
  <c r="F1508" i="29" s="1"/>
  <c r="F1884" i="29" a="1"/>
  <c r="F1884" i="29" s="1"/>
  <c r="F1622" i="29" a="1"/>
  <c r="F1622" i="29" s="1"/>
  <c r="F1597" i="29" a="1"/>
  <c r="F1597" i="29" s="1"/>
  <c r="F1601" i="29" a="1"/>
  <c r="F1601" i="29" s="1"/>
  <c r="F2051" i="29" a="1"/>
  <c r="F2051" i="29" s="1"/>
  <c r="F1413" i="29" a="1"/>
  <c r="F1413" i="29" s="1"/>
  <c r="F1302" i="29" a="1"/>
  <c r="F1302" i="29" s="1"/>
  <c r="F1829" i="29" a="1"/>
  <c r="F1829" i="29" s="1"/>
  <c r="F1434" i="29" a="1"/>
  <c r="F1434" i="29" s="1"/>
  <c r="F1924" i="29" a="1"/>
  <c r="F1924" i="29" s="1"/>
  <c r="F1429" i="29" a="1"/>
  <c r="F1429" i="29" s="1"/>
  <c r="F1720" i="29" a="1"/>
  <c r="F1720" i="29" s="1"/>
  <c r="F1756" i="29" a="1"/>
  <c r="F1756" i="29" s="1"/>
  <c r="F1549" i="29" a="1"/>
  <c r="F1549" i="29" s="1"/>
  <c r="F1718" i="29" a="1"/>
  <c r="F1718" i="29" s="1"/>
  <c r="F2004" i="29" a="1"/>
  <c r="F2004" i="29" s="1"/>
  <c r="F1885" i="29" a="1"/>
  <c r="F1885" i="29" s="1"/>
  <c r="F1906" i="29" a="1"/>
  <c r="F1906" i="29" s="1"/>
  <c r="F1472" i="29" a="1"/>
  <c r="F1472" i="29" s="1"/>
  <c r="F1536" i="29" a="1"/>
  <c r="F1536" i="29" s="1"/>
  <c r="F1946" i="29" a="1"/>
  <c r="F1946" i="29" s="1"/>
  <c r="F2027" i="29" a="1"/>
  <c r="F2027" i="29" s="1"/>
  <c r="F1886" i="29" a="1"/>
  <c r="F1886" i="29" s="1"/>
  <c r="F1380" i="29" a="1"/>
  <c r="F1380" i="29" s="1"/>
  <c r="F1554" i="29" a="1"/>
  <c r="F1554" i="29" s="1"/>
  <c r="F1324" i="29" a="1"/>
  <c r="F1324" i="29" s="1"/>
  <c r="F1993" i="29" a="1"/>
  <c r="F1993" i="29" s="1"/>
  <c r="F1983" i="29" a="1"/>
  <c r="F1983" i="29" s="1"/>
  <c r="F1417" i="29" a="1"/>
  <c r="F1417" i="29" s="1"/>
  <c r="F1797" i="29" a="1"/>
  <c r="F1797" i="29" s="1"/>
  <c r="F1803" i="29" a="1"/>
  <c r="F1803" i="29" s="1"/>
  <c r="F1319" i="29" a="1"/>
  <c r="F1319" i="29" s="1"/>
  <c r="F1653" i="29" a="1"/>
  <c r="F1653" i="29" s="1"/>
  <c r="F2010" i="29" a="1"/>
  <c r="F2010" i="29" s="1"/>
  <c r="F2042" i="29" a="1"/>
  <c r="F2042" i="29" s="1"/>
  <c r="F1832" i="29" a="1"/>
  <c r="F1832" i="29" s="1"/>
  <c r="F1973" i="29" a="1"/>
  <c r="F1973" i="29" s="1"/>
  <c r="F1964" i="29" a="1"/>
  <c r="F1964" i="29" s="1"/>
  <c r="F1784" i="29" a="1"/>
  <c r="F1784" i="29" s="1"/>
  <c r="F1780" i="29" a="1"/>
  <c r="F1780" i="29" s="1"/>
  <c r="F1765" i="29" a="1"/>
  <c r="F1765" i="29" s="1"/>
  <c r="F1477" i="29" a="1"/>
  <c r="F1477" i="29" s="1"/>
  <c r="F2018" i="29" a="1"/>
  <c r="F2018" i="29" s="1"/>
  <c r="F2032" i="29" a="1"/>
  <c r="F2032" i="29" s="1"/>
  <c r="F1475" i="29" a="1"/>
  <c r="F1475" i="29" s="1"/>
  <c r="F1736" i="29" a="1"/>
  <c r="F1736" i="29" s="1"/>
  <c r="F1605" i="29" a="1"/>
  <c r="F1605" i="29" s="1"/>
  <c r="F1379" i="29" a="1"/>
  <c r="F1379" i="29" s="1"/>
  <c r="F1314" i="29" a="1"/>
  <c r="F1314" i="29" s="1"/>
  <c r="F1351" i="29" a="1"/>
  <c r="F1351" i="29" s="1"/>
  <c r="F1535" i="29" a="1"/>
  <c r="F1535" i="29" s="1"/>
  <c r="F1686" i="29" a="1"/>
  <c r="F1686" i="29" s="1"/>
  <c r="F1309" i="29" a="1"/>
  <c r="F1309" i="29" s="1"/>
  <c r="F1446" i="29" a="1"/>
  <c r="F1446" i="29" s="1"/>
  <c r="F2024" i="29" a="1"/>
  <c r="F2024" i="29" s="1"/>
  <c r="F2016" i="29" a="1"/>
  <c r="F2016" i="29" s="1"/>
  <c r="F1282" i="29" a="1"/>
  <c r="F1282" i="29" s="1"/>
  <c r="F1999" i="29" a="1"/>
  <c r="F1999" i="29" s="1"/>
  <c r="F1743" i="29" a="1"/>
  <c r="F1743" i="29" s="1"/>
  <c r="F1561" i="29" a="1"/>
  <c r="F1561" i="29" s="1"/>
  <c r="F1818" i="29" a="1"/>
  <c r="F1818" i="29" s="1"/>
  <c r="F1708" i="29" a="1"/>
  <c r="F1708" i="29" s="1"/>
  <c r="F1662" i="29" a="1"/>
  <c r="F1662" i="29" s="1"/>
  <c r="F1356" i="29" a="1"/>
  <c r="F1356" i="29" s="1"/>
  <c r="F1585" i="29" a="1"/>
  <c r="F1585" i="29" s="1"/>
  <c r="F1887" i="29" a="1"/>
  <c r="F1887" i="29" s="1"/>
  <c r="F1349" i="29" a="1"/>
  <c r="F1349" i="29" s="1"/>
  <c r="F2029" i="29" a="1"/>
  <c r="F2029" i="29" s="1"/>
  <c r="F1757" i="29" a="1"/>
  <c r="F1757" i="29" s="1"/>
  <c r="F1519" i="29" a="1"/>
  <c r="F1519" i="29" s="1"/>
  <c r="F1914" i="29" a="1"/>
  <c r="F1914" i="29" s="1"/>
  <c r="F1837" i="29" a="1"/>
  <c r="F1837" i="29" s="1"/>
  <c r="F1397" i="29" a="1"/>
  <c r="F1397" i="29" s="1"/>
  <c r="F1430" i="29" a="1"/>
  <c r="F1430" i="29" s="1"/>
  <c r="F1529" i="29" a="1"/>
  <c r="F1529" i="29" s="1"/>
  <c r="F1645" i="29" a="1"/>
  <c r="F1645" i="29" s="1"/>
  <c r="F1908" i="29" a="1"/>
  <c r="F1908" i="29" s="1"/>
  <c r="F1850" i="29" a="1"/>
  <c r="F1850" i="29" s="1"/>
  <c r="F1531" i="29" a="1"/>
  <c r="F1531" i="29" s="1"/>
  <c r="F1968" i="29" a="1"/>
  <c r="F1968" i="29" s="1"/>
  <c r="F1806" i="29" a="1"/>
  <c r="F1806" i="29" s="1"/>
  <c r="F1725" i="29" a="1"/>
  <c r="F1725" i="29" s="1"/>
  <c r="F1853" i="29" a="1"/>
  <c r="F1853" i="29" s="1"/>
  <c r="F1969" i="29" a="1"/>
  <c r="F1969" i="29" s="1"/>
  <c r="F1800" i="29" a="1"/>
  <c r="F1800" i="29" s="1"/>
  <c r="F1936" i="29" a="1"/>
  <c r="F1936" i="29" s="1"/>
  <c r="F1759" i="29" a="1"/>
  <c r="F1759" i="29" s="1"/>
  <c r="F1478" i="29" a="1"/>
  <c r="F1478" i="29" s="1"/>
  <c r="F1453" i="29" a="1"/>
  <c r="F1453" i="29" s="1"/>
  <c r="F1644" i="29" a="1"/>
  <c r="F1644" i="29" s="1"/>
  <c r="F1609" i="29" a="1"/>
  <c r="F1609" i="29" s="1"/>
  <c r="F1575" i="29" a="1"/>
  <c r="F1575" i="29" s="1"/>
  <c r="F1643" i="29" a="1"/>
  <c r="F1643" i="29" s="1"/>
  <c r="F1817" i="29" a="1"/>
  <c r="F1817" i="29" s="1"/>
  <c r="F1615" i="29" a="1"/>
  <c r="F1615" i="29" s="1"/>
  <c r="F2008" i="29" a="1"/>
  <c r="F2008" i="29" s="1"/>
  <c r="F1916" i="29" a="1"/>
  <c r="F1916" i="29" s="1"/>
  <c r="F1318" i="29" a="1"/>
  <c r="F1318" i="29" s="1"/>
  <c r="F1816" i="29" a="1"/>
  <c r="F1816" i="29" s="1"/>
  <c r="F1899" i="29" a="1"/>
  <c r="F1899" i="29" s="1"/>
  <c r="F1762" i="29" a="1"/>
  <c r="F1762" i="29" s="1"/>
  <c r="F1838" i="29" a="1"/>
  <c r="F1838" i="29" s="1"/>
  <c r="F1753" i="29" a="1"/>
  <c r="F1753" i="29" s="1"/>
  <c r="F1495" i="29" a="1"/>
  <c r="F1495" i="29" s="1"/>
  <c r="F1588" i="29" a="1"/>
  <c r="F1588" i="29" s="1"/>
  <c r="F1722" i="29" a="1"/>
  <c r="F1722" i="29" s="1"/>
  <c r="F1595" i="29" a="1"/>
  <c r="F1595" i="29" s="1"/>
  <c r="F1796" i="29" a="1"/>
  <c r="F1796" i="29" s="1"/>
  <c r="F1989" i="29" a="1"/>
  <c r="F1989" i="29" s="1"/>
  <c r="F1809" i="29" a="1"/>
  <c r="F1809" i="29" s="1"/>
  <c r="F1632" i="29" a="1"/>
  <c r="F1632" i="29" s="1"/>
  <c r="F1842" i="29" a="1"/>
  <c r="F1842" i="29" s="1"/>
  <c r="F1664" i="29" a="1"/>
  <c r="F1664" i="29" s="1"/>
  <c r="F1814" i="29" a="1"/>
  <c r="F1814" i="29" s="1"/>
  <c r="F1515" i="29" a="1"/>
  <c r="F1515" i="29" s="1"/>
  <c r="F1747" i="29" a="1"/>
  <c r="F1747" i="29" s="1"/>
  <c r="F1848" i="29" a="1"/>
  <c r="F1848" i="29" s="1"/>
  <c r="F1659" i="29" a="1"/>
  <c r="F1659" i="29" s="1"/>
  <c r="F1499" i="29" a="1"/>
  <c r="F1499" i="29" s="1"/>
  <c r="F2048" i="29" a="1"/>
  <c r="F2048" i="29" s="1"/>
  <c r="F1896" i="29" a="1"/>
  <c r="F1896" i="29" s="1"/>
  <c r="F1948" i="29" a="1"/>
  <c r="F1948" i="29" s="1"/>
  <c r="F1461" i="29" a="1"/>
  <c r="F1461" i="29" s="1"/>
  <c r="F2002" i="29" a="1"/>
  <c r="F2002" i="29" s="1"/>
  <c r="F1388" i="29" a="1"/>
  <c r="F1388" i="29" s="1"/>
  <c r="F2022" i="29" a="1"/>
  <c r="F2022" i="29" s="1"/>
  <c r="F1661" i="29" a="1"/>
  <c r="F1661" i="29" s="1"/>
  <c r="F1317" i="29" a="1"/>
  <c r="F1317" i="29" s="1"/>
  <c r="F1415" i="29" a="1"/>
  <c r="F1415" i="29" s="1"/>
  <c r="F1652" i="29" a="1"/>
  <c r="F1652" i="29" s="1"/>
  <c r="F1864" i="29" a="1"/>
  <c r="F1864" i="29" s="1"/>
  <c r="F2054" i="29" a="1"/>
  <c r="F2054" i="29" s="1"/>
  <c r="F1919" i="29" a="1"/>
  <c r="F1919" i="29" s="1"/>
  <c r="F1432" i="29" a="1"/>
  <c r="F1432" i="29" s="1"/>
  <c r="F1500" i="29" a="1"/>
  <c r="F1500" i="29" s="1"/>
  <c r="F1344" i="29" a="1"/>
  <c r="F1344" i="29" s="1"/>
  <c r="F1311" i="29" a="1"/>
  <c r="F1311" i="29" s="1"/>
  <c r="F1977" i="29" a="1"/>
  <c r="F1977" i="29" s="1"/>
  <c r="F1466" i="29" a="1"/>
  <c r="F1466" i="29" s="1"/>
  <c r="F1901" i="29" a="1"/>
  <c r="F1901" i="29" s="1"/>
  <c r="F1801" i="29" a="1"/>
  <c r="F1801" i="29" s="1"/>
  <c r="F2046" i="29" a="1"/>
  <c r="F2046" i="29" s="1"/>
  <c r="F1471" i="29" a="1"/>
  <c r="F1471" i="29" s="1"/>
  <c r="F1527" i="29" a="1"/>
  <c r="F1527" i="29" s="1"/>
  <c r="F1342" i="29" a="1"/>
  <c r="F1342" i="29" s="1"/>
  <c r="F1339" i="29" a="1"/>
  <c r="F1339" i="29" s="1"/>
  <c r="F1660" i="29" a="1"/>
  <c r="F1660" i="29" s="1"/>
  <c r="F1619" i="29" a="1"/>
  <c r="F1619" i="29" s="1"/>
  <c r="F1460" i="29" a="1"/>
  <c r="F1460" i="29" s="1"/>
  <c r="F1654" i="29" a="1"/>
  <c r="F1654" i="29" s="1"/>
  <c r="F1767" i="29" a="1"/>
  <c r="F1767" i="29" s="1"/>
  <c r="F1583" i="29" a="1"/>
  <c r="F1583" i="29" s="1"/>
  <c r="F1488" i="29" a="1"/>
  <c r="F1488" i="29" s="1"/>
  <c r="F1355" i="29" a="1"/>
  <c r="F1355" i="29" s="1"/>
  <c r="F2033" i="29" a="1"/>
  <c r="F2033" i="29" s="1"/>
  <c r="F1861" i="29" a="1"/>
  <c r="F1861" i="29" s="1"/>
  <c r="F1918" i="29" a="1"/>
  <c r="F1918" i="29" s="1"/>
  <c r="F1603" i="29" a="1"/>
  <c r="F1603" i="29" s="1"/>
  <c r="F1457" i="29" a="1"/>
  <c r="F1457" i="29" s="1"/>
  <c r="F1288" i="29" a="1"/>
  <c r="F1288" i="29" s="1"/>
  <c r="F1530" i="29" a="1"/>
  <c r="F1530" i="29" s="1"/>
  <c r="F1305" i="29" a="1"/>
  <c r="F1305" i="29" s="1"/>
  <c r="F1709" i="29" a="1"/>
  <c r="F1709" i="29" s="1"/>
  <c r="F1702" i="29" a="1"/>
  <c r="F1702" i="29" s="1"/>
  <c r="F1497" i="29" a="1"/>
  <c r="F1497" i="29" s="1"/>
  <c r="F1922" i="29" a="1"/>
  <c r="F1922" i="29" s="1"/>
  <c r="F2009" i="29" a="1"/>
  <c r="F2009" i="29" s="1"/>
  <c r="F1486" i="29" a="1"/>
  <c r="F1486" i="29" s="1"/>
  <c r="F1673" i="29" a="1"/>
  <c r="F1673" i="29" s="1"/>
  <c r="F1436" i="29" a="1"/>
  <c r="F1436" i="29" s="1"/>
  <c r="F1748" i="29" a="1"/>
  <c r="F1748" i="29" s="1"/>
  <c r="F2013" i="29" a="1"/>
  <c r="F2013" i="29" s="1"/>
  <c r="F1280" i="29" a="1"/>
  <c r="F1280" i="29" s="1"/>
  <c r="F1431" i="29" a="1"/>
  <c r="F1431" i="29" s="1"/>
  <c r="F1298" i="29" a="1"/>
  <c r="F1298" i="29" s="1"/>
  <c r="F1696" i="29" a="1"/>
  <c r="F1696" i="29" s="1"/>
  <c r="F1694" i="29" a="1"/>
  <c r="F1694" i="29" s="1"/>
  <c r="F1387" i="29" a="1"/>
  <c r="F1387" i="29" s="1"/>
  <c r="F1484" i="29" a="1"/>
  <c r="F1484" i="29" s="1"/>
  <c r="F1401" i="29" a="1"/>
  <c r="F1401" i="29" s="1"/>
  <c r="F1409" i="29" a="1"/>
  <c r="F1409" i="29" s="1"/>
  <c r="F1534" i="29" a="1"/>
  <c r="F1534" i="29" s="1"/>
  <c r="F1956" i="29" a="1"/>
  <c r="F1956" i="29" s="1"/>
  <c r="F1957" i="29" a="1"/>
  <c r="F1957" i="29" s="1"/>
  <c r="F2041" i="29" a="1"/>
  <c r="F2041" i="29" s="1"/>
  <c r="F1591" i="29" a="1"/>
  <c r="F1591" i="29" s="1"/>
  <c r="F1331" i="29" a="1"/>
  <c r="F1331" i="29" s="1"/>
  <c r="F1511" i="29" a="1"/>
  <c r="F1511" i="29" s="1"/>
  <c r="F1707" i="29" a="1"/>
  <c r="F1707" i="29" s="1"/>
  <c r="F1404" i="29" a="1"/>
  <c r="F1404" i="29" s="1"/>
  <c r="F1611" i="29" a="1"/>
  <c r="F1611" i="29" s="1"/>
  <c r="F1494" i="29" a="1"/>
  <c r="F1494" i="29" s="1"/>
  <c r="F1734" i="29" a="1"/>
  <c r="F1734" i="29" s="1"/>
  <c r="F1599" i="29" a="1"/>
  <c r="F1599" i="29" s="1"/>
  <c r="F1437" i="29" a="1"/>
  <c r="F1437" i="29" s="1"/>
  <c r="F1945" i="29" a="1"/>
  <c r="F1945" i="29" s="1"/>
  <c r="F2038" i="29" a="1"/>
  <c r="F2038" i="29" s="1"/>
  <c r="F1970" i="29" a="1"/>
  <c r="F1970" i="29" s="1"/>
  <c r="F1391" i="29" a="1"/>
  <c r="F1391" i="29" s="1"/>
  <c r="F1390" i="29" a="1"/>
  <c r="F1390" i="29" s="1"/>
  <c r="F1776" i="29" a="1"/>
  <c r="F1776" i="29" s="1"/>
  <c r="F1523" i="29" a="1"/>
  <c r="F1523" i="29" s="1"/>
  <c r="F1966" i="29" a="1"/>
  <c r="F1966" i="29" s="1"/>
  <c r="F1624" i="29" a="1"/>
  <c r="F1624" i="29" s="1"/>
  <c r="F1421" i="29" a="1"/>
  <c r="F1421" i="29" s="1"/>
  <c r="F1552" i="29" a="1"/>
  <c r="F1552" i="29" s="1"/>
  <c r="F1710" i="29" a="1"/>
  <c r="F1710" i="29" s="1"/>
  <c r="F1681" i="29" a="1"/>
  <c r="F1681" i="29" s="1"/>
  <c r="F2050" i="29" a="1"/>
  <c r="F2050" i="29" s="1"/>
  <c r="F1871" i="29" a="1"/>
  <c r="F1871" i="29" s="1"/>
  <c r="F1510" i="29" a="1"/>
  <c r="F1510" i="29" s="1"/>
  <c r="F1984" i="29" a="1"/>
  <c r="F1984" i="29" s="1"/>
  <c r="F1860" i="29" a="1"/>
  <c r="F1860" i="29" s="1"/>
  <c r="F1667" i="29" a="1"/>
  <c r="F1667" i="29" s="1"/>
  <c r="F1870" i="29" a="1"/>
  <c r="F1870" i="29" s="1"/>
  <c r="F1991" i="29" a="1"/>
  <c r="F1991" i="29" s="1"/>
  <c r="F1847" i="29" a="1"/>
  <c r="F1847" i="29" s="1"/>
  <c r="F1742" i="29" a="1"/>
  <c r="F1742" i="29" s="1"/>
  <c r="F2007" i="29" a="1"/>
  <c r="F2007" i="29" s="1"/>
  <c r="F1596" i="29" a="1"/>
  <c r="F1596" i="29" s="1"/>
  <c r="F1640" i="29" a="1"/>
  <c r="F1640" i="29" s="1"/>
  <c r="F1746" i="29" a="1"/>
  <c r="F1746" i="29" s="1"/>
  <c r="F1330" i="29" a="1"/>
  <c r="F1330" i="29" s="1"/>
  <c r="F1514" i="29" a="1"/>
  <c r="F1514" i="29" s="1"/>
  <c r="F1278" i="29" a="1"/>
  <c r="F1278" i="29" s="1"/>
  <c r="F1695" i="29" a="1"/>
  <c r="F1695" i="29" s="1"/>
  <c r="F1895" i="29" a="1"/>
  <c r="F1895" i="29" s="1"/>
  <c r="F1670" i="29" a="1"/>
  <c r="F1670" i="29" s="1"/>
  <c r="F1820" i="29" a="1"/>
  <c r="F1820" i="29" s="1"/>
  <c r="F1732" i="29" a="1"/>
  <c r="F1732" i="29" s="1"/>
  <c r="F1791" i="29" a="1"/>
  <c r="F1791" i="29" s="1"/>
  <c r="F1353" i="29" a="1"/>
  <c r="F1353" i="29" s="1"/>
  <c r="F1485" i="29" a="1"/>
  <c r="F1485" i="29" s="1"/>
  <c r="F1741" i="29" a="1"/>
  <c r="F1741" i="29" s="1"/>
  <c r="F1768" i="29" a="1"/>
  <c r="F1768" i="29" s="1"/>
  <c r="F1416" i="29" a="1"/>
  <c r="F1416" i="29" s="1"/>
  <c r="F1283" i="29" a="1"/>
  <c r="F1283" i="29" s="1"/>
  <c r="F1698" i="29" a="1"/>
  <c r="F1698" i="29" s="1"/>
  <c r="F1372" i="29" a="1"/>
  <c r="F1372" i="29" s="1"/>
  <c r="F1473" i="29" a="1"/>
  <c r="F1473" i="29" s="1"/>
  <c r="F1462" i="29" a="1"/>
  <c r="F1462" i="29" s="1"/>
  <c r="F2039" i="29" a="1"/>
  <c r="F2039" i="29" s="1"/>
  <c r="F1293" i="29" a="1"/>
  <c r="F1293" i="29" s="1"/>
  <c r="F1974" i="29" a="1"/>
  <c r="F1974" i="29" s="1"/>
  <c r="F1604" i="29" a="1"/>
  <c r="F1604" i="29" s="1"/>
  <c r="F1602" i="29" a="1"/>
  <c r="F1602" i="29" s="1"/>
  <c r="F1700" i="29" a="1"/>
  <c r="F1700" i="29" s="1"/>
  <c r="F2021" i="29" a="1"/>
  <c r="F2021" i="29" s="1"/>
  <c r="F1600" i="29" a="1"/>
  <c r="F1600" i="29" s="1"/>
  <c r="F1770" i="29" a="1"/>
  <c r="F1770" i="29" s="1"/>
  <c r="F1594" i="29" a="1"/>
  <c r="F1594" i="29" s="1"/>
  <c r="F1637" i="29" a="1"/>
  <c r="F1637" i="29" s="1"/>
  <c r="F1348" i="29" a="1"/>
  <c r="F1348" i="29" s="1"/>
  <c r="F1332" i="29" a="1"/>
  <c r="F1332" i="29" s="1"/>
  <c r="F1418" i="29" a="1"/>
  <c r="F1418" i="29" s="1"/>
  <c r="F1528" i="29" a="1"/>
  <c r="F1528" i="29" s="1"/>
  <c r="F1866" i="29" a="1"/>
  <c r="F1866" i="29" s="1"/>
  <c r="F1805" i="29" a="1"/>
  <c r="F1805" i="29" s="1"/>
  <c r="F1683" i="29" a="1"/>
  <c r="F1683" i="29" s="1"/>
  <c r="F1532" i="29" a="1"/>
  <c r="F1532" i="29" s="1"/>
  <c r="F1300" i="29" a="1"/>
  <c r="F1300" i="29" s="1"/>
  <c r="F1350" i="29" a="1"/>
  <c r="F1350" i="29" s="1"/>
  <c r="F1358" i="29" a="1"/>
  <c r="F1358" i="29" s="1"/>
  <c r="F1821" i="29" a="1"/>
  <c r="F1821" i="29" s="1"/>
  <c r="F1633" i="29" a="1"/>
  <c r="F1633" i="29" s="1"/>
  <c r="F1493" i="29" a="1"/>
  <c r="F1493" i="29" s="1"/>
  <c r="F1915" i="29" a="1"/>
  <c r="F1915" i="29" s="1"/>
  <c r="F1714" i="29" a="1"/>
  <c r="F1714" i="29" s="1"/>
  <c r="F1859" i="29" a="1"/>
  <c r="F1859" i="29" s="1"/>
  <c r="F1758" i="29" a="1"/>
  <c r="F1758" i="29" s="1"/>
  <c r="F1972" i="29" a="1"/>
  <c r="F1972" i="29" s="1"/>
  <c r="F1672" i="29" a="1"/>
  <c r="F1672" i="29" s="1"/>
  <c r="F1364" i="29" a="1"/>
  <c r="F1364" i="29" s="1"/>
  <c r="F1296" i="29" a="1"/>
  <c r="F1296" i="29" s="1"/>
  <c r="F1658" i="29" a="1"/>
  <c r="F1658" i="29" s="1"/>
  <c r="F1792" i="29" a="1"/>
  <c r="F1792" i="29" s="1"/>
  <c r="F1542" i="29" a="1"/>
  <c r="F1542" i="29" s="1"/>
  <c r="F1959" i="29" a="1"/>
  <c r="F1959" i="29" s="1"/>
  <c r="F1452" i="29" a="1"/>
  <c r="F1452" i="29" s="1"/>
  <c r="F1335" i="29" a="1"/>
  <c r="F1335" i="29" s="1"/>
  <c r="F1562" i="29" a="1"/>
  <c r="F1562" i="29" s="1"/>
  <c r="F1650" i="29" a="1"/>
  <c r="F1650" i="29" s="1"/>
  <c r="F1442" i="29" a="1"/>
  <c r="F1442" i="29" s="1"/>
  <c r="F1449" i="29" a="1"/>
  <c r="F1449" i="29" s="1"/>
  <c r="F1631" i="29" a="1"/>
  <c r="F1631" i="29" s="1"/>
  <c r="F1586" i="29" a="1"/>
  <c r="F1586" i="29" s="1"/>
  <c r="F1833" i="29" a="1"/>
  <c r="F1833" i="29" s="1"/>
  <c r="F1587" i="29" a="1"/>
  <c r="F1587" i="29" s="1"/>
  <c r="F1464" i="29" a="1"/>
  <c r="F1464" i="29" s="1"/>
  <c r="F1343" i="29" a="1"/>
  <c r="F1343" i="29" s="1"/>
  <c r="F1284" i="29" a="1"/>
  <c r="F1284" i="29" s="1"/>
  <c r="F1963" i="29" a="1"/>
  <c r="F1963" i="29" s="1"/>
  <c r="F1975" i="29" a="1"/>
  <c r="F1975" i="29" s="1"/>
  <c r="F1638" i="29" a="1"/>
  <c r="F1638" i="29" s="1"/>
  <c r="F1411" i="29" a="1"/>
  <c r="F1411" i="29" s="1"/>
  <c r="F1337" i="29" a="1"/>
  <c r="F1337" i="29" s="1"/>
  <c r="F1627" i="29" a="1"/>
  <c r="F1627" i="29" s="1"/>
  <c r="F1538" i="29" a="1"/>
  <c r="F1538" i="29" s="1"/>
  <c r="F1997" i="29" a="1"/>
  <c r="F1997" i="29" s="1"/>
  <c r="F1921" i="29" a="1"/>
  <c r="F1921" i="29" s="1"/>
  <c r="F1961" i="29" a="1"/>
  <c r="F1961" i="29" s="1"/>
  <c r="F1557" i="29" a="1"/>
  <c r="F1557" i="29" s="1"/>
  <c r="F1782" i="29" a="1"/>
  <c r="F1782" i="29" s="1"/>
  <c r="F1541" i="29" a="1"/>
  <c r="F1541" i="29" s="1"/>
  <c r="F1458" i="29" a="1"/>
  <c r="F1458" i="29" s="1"/>
  <c r="F2011" i="29" a="1"/>
  <c r="F2011" i="29" s="1"/>
  <c r="F1858" i="29" a="1"/>
  <c r="F1858" i="29" s="1"/>
  <c r="F1329" i="29" a="1"/>
  <c r="F1329" i="29" s="1"/>
  <c r="F1810" i="29" a="1"/>
  <c r="F1810" i="29" s="1"/>
  <c r="F1410" i="29" a="1"/>
  <c r="F1410" i="29" s="1"/>
  <c r="F1881" i="29" a="1"/>
  <c r="F1881" i="29" s="1"/>
  <c r="F1618" i="29" a="1"/>
  <c r="F1618" i="29" s="1"/>
  <c r="F1912" i="29" a="1"/>
  <c r="F1912" i="29" s="1"/>
  <c r="F1764" i="29" a="1"/>
  <c r="F1764" i="29" s="1"/>
  <c r="F2031" i="29" a="1"/>
  <c r="F2031" i="29" s="1"/>
  <c r="F1369" i="29" a="1"/>
  <c r="F1369" i="29" s="1"/>
  <c r="F1286" i="29" a="1"/>
  <c r="F1286" i="29" s="1"/>
  <c r="F1998" i="29" a="1"/>
  <c r="F1998" i="29" s="1"/>
  <c r="F1346" i="29" a="1"/>
  <c r="F1346" i="29" s="1"/>
  <c r="F1875" i="29" a="1"/>
  <c r="F1875" i="29" s="1"/>
  <c r="F1425" i="29" a="1"/>
  <c r="F1425" i="29" s="1"/>
  <c r="F1649" i="29" a="1"/>
  <c r="F1649" i="29" s="1"/>
  <c r="F1729" i="29" a="1"/>
  <c r="F1729" i="29" s="1"/>
  <c r="F1697" i="29" a="1"/>
  <c r="F1697" i="29" s="1"/>
  <c r="F2028" i="29" a="1"/>
  <c r="F2028" i="29" s="1"/>
  <c r="F1894" i="29" a="1"/>
  <c r="F1894" i="29" s="1"/>
  <c r="F1590" i="29" a="1"/>
  <c r="F1590" i="29" s="1"/>
  <c r="F1483" i="29" a="1"/>
  <c r="F1483" i="29" s="1"/>
  <c r="F1930" i="29" a="1"/>
  <c r="F1930" i="29" s="1"/>
  <c r="F1671" i="29" a="1"/>
  <c r="F1671" i="29" s="1"/>
  <c r="F1893" i="29" a="1"/>
  <c r="F1893" i="29" s="1"/>
  <c r="F1571" i="29" a="1"/>
  <c r="F1571" i="29" s="1"/>
  <c r="F1880" i="29" a="1"/>
  <c r="F1880" i="29" s="1"/>
  <c r="F2006" i="29" a="1"/>
  <c r="F2006" i="29" s="1"/>
  <c r="F2036" i="29" a="1"/>
  <c r="F2036" i="29" s="1"/>
  <c r="F1849" i="29" a="1"/>
  <c r="F1849" i="29" s="1"/>
  <c r="F1555" i="29" a="1"/>
  <c r="F1555" i="29" s="1"/>
  <c r="F1422" i="29" a="1"/>
  <c r="F1422" i="29" s="1"/>
  <c r="F1705" i="29" a="1"/>
  <c r="F1705" i="29" s="1"/>
  <c r="F1825" i="29" a="1"/>
  <c r="F1825" i="29" s="1"/>
  <c r="F1793" i="29" a="1"/>
  <c r="F1793" i="29" s="1"/>
  <c r="F2015" i="29" a="1"/>
  <c r="F2015" i="29" s="1"/>
  <c r="F1491" i="29" a="1"/>
  <c r="F1491" i="29" s="1"/>
  <c r="F1862" i="29" a="1"/>
  <c r="F1862" i="29" s="1"/>
  <c r="F1779" i="29" a="1"/>
  <c r="F1779" i="29" s="1"/>
  <c r="F1447" i="29" a="1"/>
  <c r="F1447" i="29" s="1"/>
  <c r="F1357" i="29" a="1"/>
  <c r="F1357" i="29" s="1"/>
  <c r="F1540" i="29" a="1"/>
  <c r="F1540" i="29" s="1"/>
  <c r="F1347" i="29" a="1"/>
  <c r="F1347" i="29" s="1"/>
  <c r="F1938" i="29" a="1"/>
  <c r="F1938" i="29" s="1"/>
  <c r="F1905" i="29" a="1"/>
  <c r="F1905" i="29" s="1"/>
  <c r="F1580" i="29" a="1"/>
  <c r="F1580" i="29" s="1"/>
  <c r="F1785" i="29" a="1"/>
  <c r="F1785" i="29" s="1"/>
  <c r="F1744" i="29" a="1"/>
  <c r="F1744" i="29" s="1"/>
  <c r="F1723" i="29" a="1"/>
  <c r="F1723" i="29" s="1"/>
  <c r="F1804" i="29" a="1"/>
  <c r="F1804" i="29" s="1"/>
  <c r="E1630" i="29" a="1"/>
  <c r="E1630" i="29" s="1"/>
  <c r="E1445" i="29" a="1"/>
  <c r="E1445" i="29" s="1"/>
  <c r="F1935" i="29" a="1"/>
  <c r="F1935" i="29" s="1"/>
  <c r="E1569" i="29" a="1"/>
  <c r="E1569" i="29" s="1"/>
  <c r="F1874" i="29" a="1"/>
  <c r="F1874" i="29" s="1"/>
  <c r="E1752" i="29" a="1"/>
  <c r="E1752" i="29" s="1"/>
  <c r="F1383" i="29" a="1"/>
  <c r="F1383" i="29" s="1"/>
  <c r="F1996" i="29" a="1"/>
  <c r="F1996" i="29" s="1"/>
  <c r="F1271" i="29" a="1"/>
  <c r="F1271" i="29" s="1"/>
  <c r="F1629" i="29" a="1"/>
  <c r="F1629" i="29" s="1"/>
  <c r="F1506" i="29" a="1"/>
  <c r="F1506" i="29" s="1"/>
  <c r="F1384" i="29" a="1"/>
  <c r="F1384" i="29" s="1"/>
  <c r="E1629" i="29" a="1"/>
  <c r="E1629" i="29" s="1"/>
  <c r="E1271" i="29" a="1"/>
  <c r="E1271" i="29" s="1"/>
  <c r="E1996" i="29" a="1"/>
  <c r="E1996" i="29" s="1"/>
  <c r="E1691" i="29" a="1"/>
  <c r="E1691" i="29" s="1"/>
  <c r="E1813" i="29" a="1"/>
  <c r="E1813" i="29" s="1"/>
  <c r="E1874" i="29" a="1"/>
  <c r="E1874" i="29" s="1"/>
  <c r="B1322" i="29"/>
  <c r="E1322" i="29" s="1" a="1"/>
  <c r="E1322" i="29" s="1"/>
  <c r="B1568" i="29"/>
  <c r="F1568" i="29" s="1" a="1"/>
  <c r="F1568" i="29" s="1"/>
  <c r="F1445" i="29" a="1"/>
  <c r="F1445" i="29" s="1"/>
  <c r="E1506" i="29" a="1"/>
  <c r="E1506" i="29" s="1"/>
  <c r="F1569" i="29" a="1"/>
  <c r="F1569" i="29" s="1"/>
  <c r="B1873" i="29"/>
  <c r="F1873" i="29" s="1" a="1"/>
  <c r="F1873" i="29" s="1"/>
  <c r="B1444" i="29"/>
  <c r="E1444" i="29" a="1"/>
  <c r="E1444" i="29" s="1"/>
  <c r="E1935" i="29" a="1"/>
  <c r="E1935" i="29" s="1"/>
  <c r="B1690" i="29"/>
  <c r="F1690" i="29" s="1" a="1"/>
  <c r="F1690" i="29" s="1"/>
  <c r="B1812" i="29"/>
  <c r="F1812" i="29" s="1" a="1"/>
  <c r="F1812" i="29" s="1"/>
  <c r="B1270" i="29"/>
  <c r="F1270" i="29" s="1" a="1"/>
  <c r="F1270" i="29" s="1"/>
  <c r="B1934" i="29"/>
  <c r="F1934" i="29" s="1" a="1"/>
  <c r="F1934" i="29" s="1"/>
  <c r="F1323" i="29" a="1"/>
  <c r="F1323" i="29" s="1"/>
  <c r="E1384" i="29" a="1"/>
  <c r="E1384" i="29" s="1"/>
  <c r="B1995" i="29"/>
  <c r="F1995" i="29" s="1" a="1"/>
  <c r="F1995" i="29" s="1"/>
  <c r="C21" i="26"/>
  <c r="C22" i="26" s="1"/>
  <c r="C23" i="26" s="1"/>
  <c r="C24" i="26" s="1"/>
  <c r="C25" i="26" s="1"/>
  <c r="C26" i="26" s="1"/>
  <c r="C27" i="26" s="1"/>
  <c r="C28" i="26" s="1"/>
  <c r="C29" i="26" s="1"/>
  <c r="C30" i="26" s="1"/>
  <c r="C31" i="26" s="1"/>
  <c r="C32" i="26" s="1"/>
  <c r="C33" i="26" s="1"/>
  <c r="C34" i="26" s="1"/>
  <c r="C35" i="26" s="1"/>
  <c r="C36" i="26" s="1"/>
  <c r="C37" i="26" s="1"/>
  <c r="C38" i="26" s="1"/>
  <c r="C39" i="26" s="1"/>
  <c r="C40" i="26" s="1"/>
  <c r="C41" i="26" s="1"/>
  <c r="C42" i="26" s="1"/>
  <c r="C43" i="26" s="1"/>
  <c r="C44" i="26" s="1"/>
  <c r="C45" i="26" s="1"/>
  <c r="C46" i="26" s="1"/>
  <c r="C47" i="26" s="1"/>
  <c r="C48" i="26" s="1"/>
  <c r="C49" i="26" s="1"/>
  <c r="C50" i="26" s="1"/>
  <c r="C51" i="26" s="1"/>
  <c r="C52" i="26" s="1"/>
  <c r="C53" i="26" s="1"/>
  <c r="C54" i="26" s="1"/>
  <c r="C55" i="26" s="1"/>
  <c r="C56" i="26" s="1"/>
  <c r="C57" i="26" s="1"/>
  <c r="C58" i="26" s="1"/>
  <c r="C59" i="26" s="1"/>
  <c r="C60" i="26" s="1"/>
  <c r="C61" i="26" s="1"/>
  <c r="C62" i="26" s="1"/>
  <c r="C63" i="26" s="1"/>
  <c r="C64" i="26" s="1"/>
  <c r="C65" i="26" s="1"/>
  <c r="C66" i="26" s="1"/>
  <c r="I15" i="36" a="1"/>
  <c r="I15" i="36" s="1"/>
  <c r="H10" i="63"/>
  <c r="D10" i="63"/>
  <c r="H9" i="63"/>
  <c r="D9" i="63"/>
  <c r="H8" i="63"/>
  <c r="D8" i="63"/>
  <c r="H7" i="63"/>
  <c r="D7" i="63"/>
  <c r="H6" i="63"/>
  <c r="D6" i="63"/>
  <c r="H10" i="62"/>
  <c r="D10" i="62"/>
  <c r="H9" i="62"/>
  <c r="D9" i="62"/>
  <c r="H8" i="62"/>
  <c r="D8" i="62"/>
  <c r="H7" i="62"/>
  <c r="D7" i="62"/>
  <c r="H6" i="62"/>
  <c r="D6" i="62"/>
  <c r="H10" i="60"/>
  <c r="D10" i="60"/>
  <c r="H9" i="60"/>
  <c r="D9" i="60"/>
  <c r="H8" i="60"/>
  <c r="D8" i="60"/>
  <c r="H7" i="60"/>
  <c r="D7" i="60"/>
  <c r="H6" i="60"/>
  <c r="D6" i="60"/>
  <c r="H10" i="58"/>
  <c r="D10" i="58"/>
  <c r="H9" i="58"/>
  <c r="D9" i="58"/>
  <c r="H8" i="58"/>
  <c r="D8" i="58"/>
  <c r="H7" i="58"/>
  <c r="D7" i="58"/>
  <c r="H6" i="58"/>
  <c r="D6" i="58"/>
  <c r="E1212" i="29" a="1"/>
  <c r="E1212" i="29" s="1"/>
  <c r="E1211" i="29" a="1"/>
  <c r="E1211" i="29" s="1"/>
  <c r="E1210" i="29" a="1"/>
  <c r="E1210" i="29" s="1"/>
  <c r="E1209" i="29" a="1"/>
  <c r="E1209" i="29" s="1"/>
  <c r="E1208" i="29" a="1"/>
  <c r="E1208" i="29" s="1"/>
  <c r="E1207" i="29" a="1"/>
  <c r="E1207" i="29" s="1"/>
  <c r="E1206" i="29" a="1"/>
  <c r="E1206" i="29" s="1"/>
  <c r="E1205" i="29" a="1"/>
  <c r="E1205" i="29" s="1"/>
  <c r="E1204" i="29" a="1"/>
  <c r="E1204" i="29" s="1"/>
  <c r="E1203" i="29" a="1"/>
  <c r="E1203" i="29" s="1"/>
  <c r="E1202" i="29" a="1"/>
  <c r="E1202" i="29" s="1"/>
  <c r="E1201" i="29" a="1"/>
  <c r="E1201" i="29" s="1"/>
  <c r="E1200" i="29" a="1"/>
  <c r="E1200" i="29" s="1"/>
  <c r="E1199" i="29" a="1"/>
  <c r="E1199" i="29" s="1"/>
  <c r="E1198" i="29" a="1"/>
  <c r="E1198" i="29" s="1"/>
  <c r="E1197" i="29" a="1"/>
  <c r="E1197" i="29" s="1"/>
  <c r="E1196" i="29" a="1"/>
  <c r="E1196" i="29" s="1"/>
  <c r="E1195" i="29" a="1"/>
  <c r="E1195" i="29" s="1"/>
  <c r="E1194" i="29" a="1"/>
  <c r="E1194" i="29" s="1"/>
  <c r="E1193" i="29" a="1"/>
  <c r="E1193" i="29" s="1"/>
  <c r="E1192" i="29" a="1"/>
  <c r="E1192" i="29" s="1"/>
  <c r="E1191" i="29" a="1"/>
  <c r="E1191" i="29" s="1"/>
  <c r="E1190" i="29" a="1"/>
  <c r="E1190" i="29" s="1"/>
  <c r="E1189" i="29" a="1"/>
  <c r="E1189" i="29" s="1"/>
  <c r="E1188" i="29" a="1"/>
  <c r="E1188" i="29" s="1"/>
  <c r="E1187" i="29" a="1"/>
  <c r="E1187" i="29" s="1"/>
  <c r="E1186" i="29" a="1"/>
  <c r="E1186" i="29" s="1"/>
  <c r="E1185" i="29" a="1"/>
  <c r="E1185" i="29" s="1"/>
  <c r="E1184" i="29" a="1"/>
  <c r="E1184" i="29" s="1"/>
  <c r="E1183" i="29" a="1"/>
  <c r="E1183" i="29" s="1"/>
  <c r="E1182" i="29" a="1"/>
  <c r="E1182" i="29" s="1"/>
  <c r="E1181" i="29" a="1"/>
  <c r="E1181" i="29" s="1"/>
  <c r="E1180" i="29" a="1"/>
  <c r="E1180" i="29" s="1"/>
  <c r="E1179" i="29" a="1"/>
  <c r="E1179" i="29" s="1"/>
  <c r="E1178" i="29" a="1"/>
  <c r="E1178" i="29" s="1"/>
  <c r="E1177" i="29" a="1"/>
  <c r="E1177" i="29" s="1"/>
  <c r="E1176" i="29" a="1"/>
  <c r="E1176" i="29" s="1"/>
  <c r="E1175" i="29" a="1"/>
  <c r="E1175" i="29" s="1"/>
  <c r="E1174" i="29" a="1"/>
  <c r="E1174" i="29" s="1"/>
  <c r="E1173" i="29" a="1"/>
  <c r="E1173" i="29" s="1"/>
  <c r="A1264" i="29"/>
  <c r="A1263" i="29"/>
  <c r="A1262" i="29"/>
  <c r="A1261" i="29"/>
  <c r="A1260" i="29"/>
  <c r="A1259" i="29"/>
  <c r="A1258" i="29"/>
  <c r="A1257" i="29"/>
  <c r="A1256" i="29"/>
  <c r="A1255" i="29"/>
  <c r="A1254" i="29"/>
  <c r="A1253" i="29"/>
  <c r="A1252" i="29"/>
  <c r="A1251" i="29"/>
  <c r="A1250" i="29"/>
  <c r="A1249" i="29"/>
  <c r="A1248" i="29"/>
  <c r="A1247" i="29"/>
  <c r="A1246" i="29"/>
  <c r="A1245" i="29"/>
  <c r="A1244" i="29"/>
  <c r="A1243" i="29"/>
  <c r="A1242" i="29"/>
  <c r="A1241" i="29"/>
  <c r="A1240" i="29"/>
  <c r="A1239" i="29"/>
  <c r="A1238" i="29"/>
  <c r="A1237" i="29"/>
  <c r="A1236" i="29"/>
  <c r="A1235" i="29"/>
  <c r="A1234" i="29"/>
  <c r="A1233" i="29"/>
  <c r="A1232" i="29"/>
  <c r="A1231" i="29"/>
  <c r="A1230" i="29"/>
  <c r="A1229" i="29"/>
  <c r="A1228" i="29"/>
  <c r="A1227" i="29"/>
  <c r="A1226" i="29"/>
  <c r="D1264" i="29" a="1"/>
  <c r="D1264" i="29" s="1"/>
  <c r="D1263" i="29" a="1"/>
  <c r="D1263" i="29" s="1"/>
  <c r="D1262" i="29" a="1"/>
  <c r="D1262" i="29" s="1"/>
  <c r="D1261" i="29" a="1"/>
  <c r="D1261" i="29" s="1"/>
  <c r="D1260" i="29" a="1"/>
  <c r="D1260" i="29" s="1"/>
  <c r="D1259" i="29" a="1"/>
  <c r="D1259" i="29" s="1"/>
  <c r="D1258" i="29" a="1"/>
  <c r="D1258" i="29" s="1"/>
  <c r="D1257" i="29" a="1"/>
  <c r="D1257" i="29" s="1"/>
  <c r="D1256" i="29" a="1"/>
  <c r="D1256" i="29" s="1"/>
  <c r="D1255" i="29" a="1"/>
  <c r="D1255" i="29" s="1"/>
  <c r="D1254" i="29" a="1"/>
  <c r="D1254" i="29" s="1"/>
  <c r="D1253" i="29" a="1"/>
  <c r="D1253" i="29" s="1"/>
  <c r="D1252" i="29" a="1"/>
  <c r="D1252" i="29" s="1"/>
  <c r="D1251" i="29" a="1"/>
  <c r="D1251" i="29" s="1"/>
  <c r="D1250" i="29" a="1"/>
  <c r="D1250" i="29" s="1"/>
  <c r="D1249" i="29" a="1"/>
  <c r="D1249" i="29" s="1"/>
  <c r="D1248" i="29" a="1"/>
  <c r="D1248" i="29" s="1"/>
  <c r="D1247" i="29" a="1"/>
  <c r="D1247" i="29" s="1"/>
  <c r="D1246" i="29" a="1"/>
  <c r="D1246" i="29" s="1"/>
  <c r="D1245" i="29" a="1"/>
  <c r="D1245" i="29" s="1"/>
  <c r="D1244" i="29" a="1"/>
  <c r="D1244" i="29" s="1"/>
  <c r="D1243" i="29" a="1"/>
  <c r="D1243" i="29" s="1"/>
  <c r="D1242" i="29" a="1"/>
  <c r="D1242" i="29" s="1"/>
  <c r="D1241" i="29" a="1"/>
  <c r="D1241" i="29" s="1"/>
  <c r="D1240" i="29" a="1"/>
  <c r="D1240" i="29" s="1"/>
  <c r="D1239" i="29" a="1"/>
  <c r="D1239" i="29" s="1"/>
  <c r="D1238" i="29" a="1"/>
  <c r="D1238" i="29" s="1"/>
  <c r="D1237" i="29" a="1"/>
  <c r="D1237" i="29" s="1"/>
  <c r="D1236" i="29" a="1"/>
  <c r="D1236" i="29" s="1"/>
  <c r="D1235" i="29" a="1"/>
  <c r="D1235" i="29" s="1"/>
  <c r="D1234" i="29" a="1"/>
  <c r="D1234" i="29" s="1"/>
  <c r="D1233" i="29" a="1"/>
  <c r="D1233" i="29" s="1"/>
  <c r="D1232" i="29" a="1"/>
  <c r="D1232" i="29" s="1"/>
  <c r="D1231" i="29" a="1"/>
  <c r="D1231" i="29" s="1"/>
  <c r="D1230" i="29" a="1"/>
  <c r="D1230" i="29" s="1"/>
  <c r="D1229" i="29" a="1"/>
  <c r="D1229" i="29" s="1"/>
  <c r="D1228" i="29" a="1"/>
  <c r="D1228" i="29" s="1"/>
  <c r="D1227" i="29" a="1"/>
  <c r="D1227" i="29" s="1"/>
  <c r="D1226" i="29" a="1"/>
  <c r="D1226" i="29" s="1"/>
  <c r="E1264" i="29" a="1"/>
  <c r="E1264" i="29" s="1"/>
  <c r="H1264" i="29" a="1"/>
  <c r="H1264" i="29" s="1"/>
  <c r="E1263" i="29" a="1"/>
  <c r="E1263" i="29" s="1"/>
  <c r="H1263" i="29" a="1"/>
  <c r="H1263" i="29" s="1"/>
  <c r="E1262" i="29" a="1"/>
  <c r="E1262" i="29" s="1"/>
  <c r="H1262" i="29" a="1"/>
  <c r="H1262" i="29" s="1"/>
  <c r="E1261" i="29" a="1"/>
  <c r="E1261" i="29" s="1"/>
  <c r="H1261" i="29" a="1"/>
  <c r="H1261" i="29" s="1"/>
  <c r="E1260" i="29" a="1"/>
  <c r="E1260" i="29" s="1"/>
  <c r="H1260" i="29" a="1"/>
  <c r="H1260" i="29" s="1"/>
  <c r="E1259" i="29" a="1"/>
  <c r="E1259" i="29" s="1"/>
  <c r="H1259" i="29" a="1"/>
  <c r="H1259" i="29" s="1"/>
  <c r="E1258" i="29" a="1"/>
  <c r="E1258" i="29" s="1"/>
  <c r="H1258" i="29" a="1"/>
  <c r="H1258" i="29" s="1"/>
  <c r="E1257" i="29" a="1"/>
  <c r="E1257" i="29" s="1"/>
  <c r="H1257" i="29" a="1"/>
  <c r="H1257" i="29" s="1"/>
  <c r="E1256" i="29" a="1"/>
  <c r="E1256" i="29" s="1"/>
  <c r="H1256" i="29" a="1"/>
  <c r="H1256" i="29" s="1"/>
  <c r="E1255" i="29" a="1"/>
  <c r="E1255" i="29" s="1"/>
  <c r="H1255" i="29" a="1"/>
  <c r="H1255" i="29" s="1"/>
  <c r="E1254" i="29" a="1"/>
  <c r="E1254" i="29" s="1"/>
  <c r="H1254" i="29" a="1"/>
  <c r="H1254" i="29" s="1"/>
  <c r="H1253" i="29" a="1"/>
  <c r="H1253" i="29" s="1"/>
  <c r="E1253" i="29" a="1"/>
  <c r="E1253" i="29" s="1"/>
  <c r="E1252" i="29" a="1"/>
  <c r="E1252" i="29" s="1"/>
  <c r="H1252" i="29" a="1"/>
  <c r="H1252" i="29" s="1"/>
  <c r="H1251" i="29" a="1"/>
  <c r="H1251" i="29" s="1"/>
  <c r="E1251" i="29" a="1"/>
  <c r="E1251" i="29" s="1"/>
  <c r="E1250" i="29" a="1"/>
  <c r="E1250" i="29" s="1"/>
  <c r="H1250" i="29" a="1"/>
  <c r="H1250" i="29" s="1"/>
  <c r="H1249" i="29" a="1"/>
  <c r="H1249" i="29" s="1"/>
  <c r="E1249" i="29" a="1"/>
  <c r="E1249" i="29" s="1"/>
  <c r="E1248" i="29" a="1"/>
  <c r="E1248" i="29" s="1"/>
  <c r="H1248" i="29" a="1"/>
  <c r="H1248" i="29" s="1"/>
  <c r="E1247" i="29" a="1"/>
  <c r="E1247" i="29" s="1"/>
  <c r="H1247" i="29" a="1"/>
  <c r="H1247" i="29" s="1"/>
  <c r="H1246" i="29" a="1"/>
  <c r="H1246" i="29" s="1"/>
  <c r="E1246" i="29" a="1"/>
  <c r="E1246" i="29" s="1"/>
  <c r="E1245" i="29" a="1"/>
  <c r="E1245" i="29" s="1"/>
  <c r="H1245" i="29" a="1"/>
  <c r="H1245" i="29" s="1"/>
  <c r="E1244" i="29" a="1"/>
  <c r="E1244" i="29" s="1"/>
  <c r="H1244" i="29" a="1"/>
  <c r="H1244" i="29" s="1"/>
  <c r="E1243" i="29" a="1"/>
  <c r="E1243" i="29" s="1"/>
  <c r="H1243" i="29" a="1"/>
  <c r="H1243" i="29" s="1"/>
  <c r="E1242" i="29" a="1"/>
  <c r="E1242" i="29" s="1"/>
  <c r="H1242" i="29" a="1"/>
  <c r="H1242" i="29" s="1"/>
  <c r="H1241" i="29" a="1"/>
  <c r="H1241" i="29" s="1"/>
  <c r="E1241" i="29" a="1"/>
  <c r="E1241" i="29" s="1"/>
  <c r="E1240" i="29" a="1"/>
  <c r="E1240" i="29" s="1"/>
  <c r="H1240" i="29" a="1"/>
  <c r="H1240" i="29" s="1"/>
  <c r="E1239" i="29" a="1"/>
  <c r="E1239" i="29" s="1"/>
  <c r="H1239" i="29" a="1"/>
  <c r="H1239" i="29" s="1"/>
  <c r="E1238" i="29" a="1"/>
  <c r="E1238" i="29" s="1"/>
  <c r="H1238" i="29" a="1"/>
  <c r="H1238" i="29" s="1"/>
  <c r="H1237" i="29" a="1"/>
  <c r="H1237" i="29" s="1"/>
  <c r="E1237" i="29" a="1"/>
  <c r="E1237" i="29" s="1"/>
  <c r="E1236" i="29" a="1"/>
  <c r="E1236" i="29" s="1"/>
  <c r="H1236" i="29" a="1"/>
  <c r="H1236" i="29" s="1"/>
  <c r="E1235" i="29" a="1"/>
  <c r="E1235" i="29" s="1"/>
  <c r="H1235" i="29" a="1"/>
  <c r="H1235" i="29" s="1"/>
  <c r="H1234" i="29" a="1"/>
  <c r="H1234" i="29" s="1"/>
  <c r="E1234" i="29" a="1"/>
  <c r="E1234" i="29" s="1"/>
  <c r="E1233" i="29" a="1"/>
  <c r="E1233" i="29" s="1"/>
  <c r="H1233" i="29" a="1"/>
  <c r="H1233" i="29" s="1"/>
  <c r="E1232" i="29" a="1"/>
  <c r="E1232" i="29" s="1"/>
  <c r="H1232" i="29" a="1"/>
  <c r="H1232" i="29" s="1"/>
  <c r="E1231" i="29" a="1"/>
  <c r="E1231" i="29" s="1"/>
  <c r="H1231" i="29" a="1"/>
  <c r="H1231" i="29" s="1"/>
  <c r="E1230" i="29" a="1"/>
  <c r="E1230" i="29" s="1"/>
  <c r="H1230" i="29" a="1"/>
  <c r="H1230" i="29" s="1"/>
  <c r="H1229" i="29" a="1"/>
  <c r="H1229" i="29" s="1"/>
  <c r="E1229" i="29" a="1"/>
  <c r="E1229" i="29" s="1"/>
  <c r="E1228" i="29" a="1"/>
  <c r="E1228" i="29" s="1"/>
  <c r="H1228" i="29" a="1"/>
  <c r="H1228" i="29" s="1"/>
  <c r="H1227" i="29" a="1"/>
  <c r="H1227" i="29" s="1"/>
  <c r="E1227" i="29" a="1"/>
  <c r="E1227" i="29" s="1"/>
  <c r="E1226" i="29" a="1"/>
  <c r="E1226" i="29" s="1"/>
  <c r="H1226" i="29" a="1"/>
  <c r="H1226" i="29" s="1"/>
  <c r="H1108" i="29" a="1"/>
  <c r="H1108" i="29" s="1"/>
  <c r="H1107" i="29" a="1"/>
  <c r="H1107" i="29" s="1"/>
  <c r="H1106" i="29" a="1"/>
  <c r="H1106" i="29" s="1"/>
  <c r="E1105" i="29" a="1"/>
  <c r="E1105" i="29" s="1"/>
  <c r="H1105" i="29" a="1"/>
  <c r="H1105" i="29" s="1"/>
  <c r="H1104" i="29" a="1"/>
  <c r="H1104" i="29" s="1"/>
  <c r="H1103" i="29" a="1"/>
  <c r="H1103" i="29" s="1"/>
  <c r="H1102" i="29" a="1"/>
  <c r="H1102" i="29" s="1"/>
  <c r="E1101" i="29" a="1"/>
  <c r="E1101" i="29" s="1"/>
  <c r="H1101" i="29" a="1"/>
  <c r="H1101" i="29" s="1"/>
  <c r="H1100" i="29" a="1"/>
  <c r="H1100" i="29" s="1"/>
  <c r="H1099" i="29" a="1"/>
  <c r="H1099" i="29" s="1"/>
  <c r="H1098" i="29" a="1"/>
  <c r="H1098" i="29" s="1"/>
  <c r="E1097" i="29" a="1"/>
  <c r="E1097" i="29" s="1"/>
  <c r="H1097" i="29" a="1"/>
  <c r="H1097" i="29" s="1"/>
  <c r="H1096" i="29" a="1"/>
  <c r="H1096" i="29" s="1"/>
  <c r="H1095" i="29" a="1"/>
  <c r="H1095" i="29" s="1"/>
  <c r="H1094" i="29" a="1"/>
  <c r="H1094" i="29" s="1"/>
  <c r="E1093" i="29" a="1"/>
  <c r="E1093" i="29" s="1"/>
  <c r="H1093" i="29" a="1"/>
  <c r="H1093" i="29" s="1"/>
  <c r="H1092" i="29" a="1"/>
  <c r="H1092" i="29" s="1"/>
  <c r="H1091" i="29" a="1"/>
  <c r="H1091" i="29" s="1"/>
  <c r="H1090" i="29" a="1"/>
  <c r="H1090" i="29" s="1"/>
  <c r="E1089" i="29" a="1"/>
  <c r="E1089" i="29" s="1"/>
  <c r="H1089" i="29" a="1"/>
  <c r="H1089" i="29" s="1"/>
  <c r="H1088" i="29" a="1"/>
  <c r="H1088" i="29" s="1"/>
  <c r="H1087" i="29" a="1"/>
  <c r="H1087" i="29" s="1"/>
  <c r="H1086" i="29" a="1"/>
  <c r="H1086" i="29" s="1"/>
  <c r="E1085" i="29" a="1"/>
  <c r="E1085" i="29" s="1"/>
  <c r="H1085" i="29" a="1"/>
  <c r="H1085" i="29" s="1"/>
  <c r="H1084" i="29" a="1"/>
  <c r="H1084" i="29" s="1"/>
  <c r="H1083" i="29" a="1"/>
  <c r="H1083" i="29" s="1"/>
  <c r="H1082" i="29" a="1"/>
  <c r="H1082" i="29" s="1"/>
  <c r="E1081" i="29" a="1"/>
  <c r="E1081" i="29" s="1"/>
  <c r="H1081" i="29" a="1"/>
  <c r="H1081" i="29" s="1"/>
  <c r="H1080" i="29" a="1"/>
  <c r="H1080" i="29" s="1"/>
  <c r="H1079" i="29" a="1"/>
  <c r="H1079" i="29" s="1"/>
  <c r="H1078" i="29" a="1"/>
  <c r="H1078" i="29" s="1"/>
  <c r="E1077" i="29" a="1"/>
  <c r="E1077" i="29" s="1"/>
  <c r="H1077" i="29" a="1"/>
  <c r="H1077" i="29" s="1"/>
  <c r="H1076" i="29" a="1"/>
  <c r="H1076" i="29" s="1"/>
  <c r="H1075" i="29" a="1"/>
  <c r="H1075" i="29" s="1"/>
  <c r="H1074" i="29" a="1"/>
  <c r="H1074" i="29" s="1"/>
  <c r="E1108" i="29" a="1"/>
  <c r="E1108" i="29" s="1"/>
  <c r="D1108" i="29" a="1"/>
  <c r="D1108" i="29" s="1"/>
  <c r="E1107" i="29" a="1"/>
  <c r="E1107" i="29" s="1"/>
  <c r="D1107" i="29" a="1"/>
  <c r="D1107" i="29" s="1"/>
  <c r="E1106" i="29" a="1"/>
  <c r="E1106" i="29" s="1"/>
  <c r="D1106" i="29" a="1"/>
  <c r="D1106" i="29" s="1"/>
  <c r="D1105" i="29" a="1"/>
  <c r="D1105" i="29" s="1"/>
  <c r="E1104" i="29" a="1"/>
  <c r="E1104" i="29" s="1"/>
  <c r="D1104" i="29" a="1"/>
  <c r="D1104" i="29" s="1"/>
  <c r="E1103" i="29" a="1"/>
  <c r="E1103" i="29" s="1"/>
  <c r="D1103" i="29" a="1"/>
  <c r="D1103" i="29" s="1"/>
  <c r="E1102" i="29" a="1"/>
  <c r="E1102" i="29" s="1"/>
  <c r="D1102" i="29" a="1"/>
  <c r="D1102" i="29" s="1"/>
  <c r="D1101" i="29" a="1"/>
  <c r="D1101" i="29" s="1"/>
  <c r="E1100" i="29" a="1"/>
  <c r="E1100" i="29" s="1"/>
  <c r="D1100" i="29" a="1"/>
  <c r="D1100" i="29" s="1"/>
  <c r="E1099" i="29" a="1"/>
  <c r="E1099" i="29" s="1"/>
  <c r="D1099" i="29" a="1"/>
  <c r="D1099" i="29" s="1"/>
  <c r="E1098" i="29" a="1"/>
  <c r="E1098" i="29" s="1"/>
  <c r="D1098" i="29" a="1"/>
  <c r="D1098" i="29" s="1"/>
  <c r="D1097" i="29" a="1"/>
  <c r="D1097" i="29" s="1"/>
  <c r="E1096" i="29" a="1"/>
  <c r="E1096" i="29" s="1"/>
  <c r="D1096" i="29" a="1"/>
  <c r="D1096" i="29" s="1"/>
  <c r="E1095" i="29" a="1"/>
  <c r="E1095" i="29" s="1"/>
  <c r="D1095" i="29" a="1"/>
  <c r="D1095" i="29" s="1"/>
  <c r="E1094" i="29" a="1"/>
  <c r="E1094" i="29" s="1"/>
  <c r="D1094" i="29" a="1"/>
  <c r="D1094" i="29" s="1"/>
  <c r="D1093" i="29" a="1"/>
  <c r="D1093" i="29" s="1"/>
  <c r="E1092" i="29" a="1"/>
  <c r="E1092" i="29" s="1"/>
  <c r="D1092" i="29" a="1"/>
  <c r="D1092" i="29" s="1"/>
  <c r="E1091" i="29" a="1"/>
  <c r="E1091" i="29" s="1"/>
  <c r="D1091" i="29" a="1"/>
  <c r="D1091" i="29" s="1"/>
  <c r="E1090" i="29" a="1"/>
  <c r="E1090" i="29" s="1"/>
  <c r="D1090" i="29" a="1"/>
  <c r="D1090" i="29" s="1"/>
  <c r="D1089" i="29" a="1"/>
  <c r="D1089" i="29" s="1"/>
  <c r="E1088" i="29" a="1"/>
  <c r="E1088" i="29" s="1"/>
  <c r="D1088" i="29" a="1"/>
  <c r="D1088" i="29" s="1"/>
  <c r="E1087" i="29" a="1"/>
  <c r="E1087" i="29" s="1"/>
  <c r="D1087" i="29" a="1"/>
  <c r="D1087" i="29" s="1"/>
  <c r="E1086" i="29" a="1"/>
  <c r="E1086" i="29" s="1"/>
  <c r="D1086" i="29" a="1"/>
  <c r="D1086" i="29" s="1"/>
  <c r="D1085" i="29" a="1"/>
  <c r="D1085" i="29" s="1"/>
  <c r="E1084" i="29" a="1"/>
  <c r="E1084" i="29" s="1"/>
  <c r="D1084" i="29" a="1"/>
  <c r="D1084" i="29" s="1"/>
  <c r="E1083" i="29" a="1"/>
  <c r="E1083" i="29" s="1"/>
  <c r="D1083" i="29" a="1"/>
  <c r="D1083" i="29" s="1"/>
  <c r="E1082" i="29" a="1"/>
  <c r="E1082" i="29" s="1"/>
  <c r="D1082" i="29" a="1"/>
  <c r="D1082" i="29" s="1"/>
  <c r="D1081" i="29" a="1"/>
  <c r="D1081" i="29" s="1"/>
  <c r="E1080" i="29" a="1"/>
  <c r="E1080" i="29" s="1"/>
  <c r="D1080" i="29" a="1"/>
  <c r="D1080" i="29" s="1"/>
  <c r="E1079" i="29" a="1"/>
  <c r="E1079" i="29" s="1"/>
  <c r="D1079" i="29" a="1"/>
  <c r="D1079" i="29" s="1"/>
  <c r="E1078" i="29" a="1"/>
  <c r="E1078" i="29" s="1"/>
  <c r="D1078" i="29" a="1"/>
  <c r="D1078" i="29" s="1"/>
  <c r="D1077" i="29" a="1"/>
  <c r="D1077" i="29" s="1"/>
  <c r="E1076" i="29" a="1"/>
  <c r="E1076" i="29" s="1"/>
  <c r="D1076" i="29" a="1"/>
  <c r="D1076" i="29" s="1"/>
  <c r="E1075" i="29" a="1"/>
  <c r="E1075" i="29" s="1"/>
  <c r="D1075" i="29" a="1"/>
  <c r="D1075" i="29" s="1"/>
  <c r="E1074" i="29" a="1"/>
  <c r="E1074" i="29" s="1"/>
  <c r="D1074" i="29" a="1"/>
  <c r="D1074" i="29" s="1"/>
  <c r="A1024" i="29"/>
  <c r="A1023" i="29"/>
  <c r="A1022" i="29"/>
  <c r="A1021" i="29"/>
  <c r="A1020" i="29"/>
  <c r="A1019" i="29"/>
  <c r="A1018" i="29"/>
  <c r="A1017" i="29"/>
  <c r="A1016" i="29"/>
  <c r="A1015" i="29"/>
  <c r="A1014" i="29"/>
  <c r="A1013" i="29"/>
  <c r="A1012" i="29"/>
  <c r="A1011" i="29"/>
  <c r="A1010" i="29"/>
  <c r="A1009" i="29"/>
  <c r="A1008" i="29"/>
  <c r="A1007" i="29"/>
  <c r="A1006" i="29"/>
  <c r="A1005" i="29"/>
  <c r="A1004" i="29"/>
  <c r="A1003" i="29"/>
  <c r="A1002" i="29"/>
  <c r="A1001" i="29"/>
  <c r="A1000" i="29"/>
  <c r="A999" i="29"/>
  <c r="A998" i="29"/>
  <c r="A997" i="29"/>
  <c r="A996" i="29"/>
  <c r="A995" i="29"/>
  <c r="A994" i="29"/>
  <c r="A993" i="29"/>
  <c r="A992" i="29"/>
  <c r="A991" i="29"/>
  <c r="A990" i="29"/>
  <c r="A989" i="29"/>
  <c r="A988" i="29"/>
  <c r="A987" i="29"/>
  <c r="A986" i="29"/>
  <c r="A985" i="29"/>
  <c r="A984" i="29"/>
  <c r="A983" i="29"/>
  <c r="A982" i="29"/>
  <c r="A981" i="29"/>
  <c r="A980" i="29"/>
  <c r="A979" i="29"/>
  <c r="A978" i="29"/>
  <c r="A869" i="29"/>
  <c r="A868" i="29"/>
  <c r="A867" i="29"/>
  <c r="A866" i="29"/>
  <c r="A865" i="29"/>
  <c r="A864" i="29"/>
  <c r="A863" i="29"/>
  <c r="A862" i="29"/>
  <c r="A861" i="29"/>
  <c r="A860" i="29"/>
  <c r="A859" i="29"/>
  <c r="A858" i="29"/>
  <c r="A857" i="29"/>
  <c r="E1120" i="29" a="1"/>
  <c r="E1120" i="29" s="1"/>
  <c r="E1121" i="29" a="1"/>
  <c r="E1121" i="29" s="1"/>
  <c r="E1122" i="29" a="1"/>
  <c r="E1122" i="29" s="1"/>
  <c r="E1123" i="29" a="1"/>
  <c r="E1123" i="29" s="1"/>
  <c r="E1124" i="29" a="1"/>
  <c r="E1124" i="29" s="1"/>
  <c r="E1125" i="29" a="1"/>
  <c r="E1125" i="29" s="1"/>
  <c r="E1126" i="29" a="1"/>
  <c r="E1126" i="29" s="1"/>
  <c r="E1127" i="29" a="1"/>
  <c r="E1127" i="29" s="1"/>
  <c r="E1128" i="29" a="1"/>
  <c r="E1128" i="29" s="1"/>
  <c r="E1129" i="29" a="1"/>
  <c r="E1129" i="29" s="1"/>
  <c r="E1130" i="29" a="1"/>
  <c r="E1130" i="29" s="1"/>
  <c r="E1131" i="29" a="1"/>
  <c r="E1131" i="29" s="1"/>
  <c r="E1132" i="29" a="1"/>
  <c r="E1132" i="29" s="1"/>
  <c r="E1133" i="29" a="1"/>
  <c r="E1133" i="29" s="1"/>
  <c r="E1134" i="29" a="1"/>
  <c r="E1134" i="29" s="1"/>
  <c r="E1135" i="29" a="1"/>
  <c r="E1135" i="29" s="1"/>
  <c r="E1136" i="29" a="1"/>
  <c r="E1136" i="29" s="1"/>
  <c r="E1137" i="29" a="1"/>
  <c r="E1137" i="29" s="1"/>
  <c r="E1138" i="29" a="1"/>
  <c r="E1138" i="29" s="1"/>
  <c r="E1139" i="29" a="1"/>
  <c r="E1139" i="29" s="1"/>
  <c r="E1140" i="29" a="1"/>
  <c r="E1140" i="29" s="1"/>
  <c r="E1141" i="29" a="1"/>
  <c r="E1141" i="29" s="1"/>
  <c r="E1142" i="29" a="1"/>
  <c r="E1142" i="29" s="1"/>
  <c r="E1143" i="29" a="1"/>
  <c r="E1143" i="29" s="1"/>
  <c r="E1144" i="29" a="1"/>
  <c r="E1144" i="29" s="1"/>
  <c r="E1145" i="29" a="1"/>
  <c r="E1145" i="29" s="1"/>
  <c r="E1146" i="29" a="1"/>
  <c r="E1146" i="29" s="1"/>
  <c r="E1147" i="29" a="1"/>
  <c r="E1147" i="29" s="1"/>
  <c r="E1148" i="29" a="1"/>
  <c r="E1148" i="29" s="1"/>
  <c r="E1149" i="29" a="1"/>
  <c r="E1149" i="29" s="1"/>
  <c r="E1150" i="29" a="1"/>
  <c r="E1150" i="29" s="1"/>
  <c r="E1151" i="29" a="1"/>
  <c r="E1151" i="29" s="1"/>
  <c r="E1152" i="29" a="1"/>
  <c r="E1152" i="29" s="1"/>
  <c r="E1153" i="29" a="1"/>
  <c r="E1153" i="29" s="1"/>
  <c r="E1154" i="29" a="1"/>
  <c r="E1154" i="29" s="1"/>
  <c r="E1155" i="29" a="1"/>
  <c r="E1155" i="29" s="1"/>
  <c r="E1156" i="29" a="1"/>
  <c r="E1156" i="29" s="1"/>
  <c r="E1157" i="29" a="1"/>
  <c r="E1157" i="29" s="1"/>
  <c r="E1158" i="29" a="1"/>
  <c r="E1158" i="29" s="1"/>
  <c r="E1159" i="29" a="1"/>
  <c r="E1159" i="29" s="1"/>
  <c r="E1160" i="29" a="1"/>
  <c r="E1160" i="29" s="1"/>
  <c r="E391" i="29"/>
  <c r="E392" i="29"/>
  <c r="E393" i="29"/>
  <c r="E394" i="29"/>
  <c r="E395" i="29"/>
  <c r="E396" i="29"/>
  <c r="E397" i="29"/>
  <c r="E398" i="29"/>
  <c r="E399" i="29"/>
  <c r="E400" i="29"/>
  <c r="E401" i="29"/>
  <c r="E402" i="29"/>
  <c r="E403" i="29"/>
  <c r="E404" i="29"/>
  <c r="E405" i="29"/>
  <c r="E406" i="29"/>
  <c r="E407" i="29"/>
  <c r="E408" i="29"/>
  <c r="E409" i="29"/>
  <c r="E410" i="29"/>
  <c r="E411" i="29"/>
  <c r="E412" i="29"/>
  <c r="E413" i="29"/>
  <c r="E414" i="29"/>
  <c r="E415" i="29"/>
  <c r="E416" i="29"/>
  <c r="E417" i="29"/>
  <c r="E418" i="29"/>
  <c r="E419" i="29"/>
  <c r="E420" i="29"/>
  <c r="E421" i="29"/>
  <c r="E422" i="29"/>
  <c r="E423" i="29"/>
  <c r="E424" i="29"/>
  <c r="E425" i="29"/>
  <c r="E426" i="29"/>
  <c r="E427" i="29"/>
  <c r="E428" i="29"/>
  <c r="E429" i="29"/>
  <c r="E430" i="29"/>
  <c r="E378" i="29" a="1"/>
  <c r="E378" i="29" s="1"/>
  <c r="E377" i="29" a="1"/>
  <c r="E377" i="29" s="1"/>
  <c r="E376" i="29" a="1"/>
  <c r="E376" i="29" s="1"/>
  <c r="E375" i="29" a="1"/>
  <c r="E375" i="29" s="1"/>
  <c r="E374" i="29" a="1"/>
  <c r="E374" i="29" s="1"/>
  <c r="E373" i="29" a="1"/>
  <c r="E373" i="29" s="1"/>
  <c r="E372" i="29" a="1"/>
  <c r="E372" i="29" s="1"/>
  <c r="E371" i="29" a="1"/>
  <c r="E371" i="29" s="1"/>
  <c r="E370" i="29" a="1"/>
  <c r="E370" i="29" s="1"/>
  <c r="E369" i="29" a="1"/>
  <c r="E369" i="29" s="1"/>
  <c r="E368" i="29" a="1"/>
  <c r="E368" i="29" s="1"/>
  <c r="E367" i="29" a="1"/>
  <c r="E367" i="29" s="1"/>
  <c r="E366" i="29" a="1"/>
  <c r="E366" i="29" s="1"/>
  <c r="E365" i="29" a="1"/>
  <c r="E365" i="29" s="1"/>
  <c r="E364" i="29" a="1"/>
  <c r="E364" i="29" s="1"/>
  <c r="E363" i="29" a="1"/>
  <c r="E363" i="29" s="1"/>
  <c r="E362" i="29" a="1"/>
  <c r="E362" i="29" s="1"/>
  <c r="E361" i="29" a="1"/>
  <c r="E361" i="29" s="1"/>
  <c r="E360" i="29" a="1"/>
  <c r="E360" i="29" s="1"/>
  <c r="E359" i="29" a="1"/>
  <c r="E359" i="29" s="1"/>
  <c r="E358" i="29" a="1"/>
  <c r="E358" i="29" s="1"/>
  <c r="E357" i="29" a="1"/>
  <c r="E357" i="29" s="1"/>
  <c r="E356" i="29" a="1"/>
  <c r="E356" i="29" s="1"/>
  <c r="E355" i="29" a="1"/>
  <c r="E355" i="29" s="1"/>
  <c r="E354" i="29" a="1"/>
  <c r="E354" i="29" s="1"/>
  <c r="E353" i="29" a="1"/>
  <c r="E353" i="29" s="1"/>
  <c r="E352" i="29" a="1"/>
  <c r="E352" i="29" s="1"/>
  <c r="E351" i="29" a="1"/>
  <c r="E351" i="29" s="1"/>
  <c r="E350" i="29" a="1"/>
  <c r="E350" i="29" s="1"/>
  <c r="E349" i="29" a="1"/>
  <c r="E349" i="29" s="1"/>
  <c r="E348" i="29" a="1"/>
  <c r="E348" i="29" s="1"/>
  <c r="E347" i="29" a="1"/>
  <c r="E347" i="29" s="1"/>
  <c r="E346" i="29" a="1"/>
  <c r="E346" i="29" s="1"/>
  <c r="E345" i="29" a="1"/>
  <c r="E345" i="29" s="1"/>
  <c r="E344" i="29" a="1"/>
  <c r="E344" i="29" s="1"/>
  <c r="E343" i="29" a="1"/>
  <c r="E343" i="29" s="1"/>
  <c r="E342" i="29" a="1"/>
  <c r="E342" i="29" s="1"/>
  <c r="E341" i="29" a="1"/>
  <c r="E341" i="29" s="1"/>
  <c r="E340" i="29" a="1"/>
  <c r="E340" i="29" s="1"/>
  <c r="E339" i="29" a="1"/>
  <c r="E339" i="29" s="1"/>
  <c r="E338" i="29" a="1"/>
  <c r="E338" i="29" s="1"/>
  <c r="H66" i="29"/>
  <c r="H65" i="29"/>
  <c r="H64" i="29"/>
  <c r="H63" i="29"/>
  <c r="H62" i="29"/>
  <c r="H61" i="29"/>
  <c r="H60" i="29"/>
  <c r="H59" i="29"/>
  <c r="H58" i="29"/>
  <c r="H57" i="29"/>
  <c r="H56" i="29"/>
  <c r="E56" i="29" a="1"/>
  <c r="E56" i="29" s="1"/>
  <c r="E66" i="29" a="1"/>
  <c r="E66" i="29" s="1"/>
  <c r="E65" i="29" a="1"/>
  <c r="E65" i="29" s="1"/>
  <c r="E64" i="29" a="1"/>
  <c r="E64" i="29" s="1"/>
  <c r="E63" i="29" a="1"/>
  <c r="E63" i="29" s="1"/>
  <c r="E62" i="29" a="1"/>
  <c r="E62" i="29" s="1"/>
  <c r="E61" i="29" a="1"/>
  <c r="E61" i="29" s="1"/>
  <c r="E60" i="29" a="1"/>
  <c r="E60" i="29" s="1"/>
  <c r="E59" i="29" a="1"/>
  <c r="E59" i="29" s="1"/>
  <c r="E58" i="29" a="1"/>
  <c r="E58" i="29" s="1"/>
  <c r="E57" i="29" a="1"/>
  <c r="E57" i="29" s="1"/>
  <c r="L1593" i="41"/>
  <c r="K1593" i="41"/>
  <c r="L1592" i="41"/>
  <c r="K1592" i="41"/>
  <c r="L1591" i="41"/>
  <c r="K1591" i="41"/>
  <c r="L1590" i="41"/>
  <c r="K1590" i="41"/>
  <c r="L1589" i="41"/>
  <c r="K1589" i="41"/>
  <c r="L1588" i="41"/>
  <c r="K1588" i="41"/>
  <c r="L1587" i="41"/>
  <c r="K1587" i="41"/>
  <c r="L1586" i="41"/>
  <c r="K1586" i="41"/>
  <c r="L1585" i="41"/>
  <c r="K1585" i="41"/>
  <c r="L1584" i="41"/>
  <c r="K1584" i="41"/>
  <c r="L1583" i="41"/>
  <c r="K1583" i="41"/>
  <c r="L1582" i="41"/>
  <c r="K1582" i="41"/>
  <c r="L1581" i="41"/>
  <c r="K1581" i="41"/>
  <c r="L1580" i="41"/>
  <c r="K1580" i="41"/>
  <c r="L1579" i="41"/>
  <c r="K1579" i="41"/>
  <c r="L1578" i="41"/>
  <c r="K1578" i="41"/>
  <c r="L1577" i="41"/>
  <c r="K1577" i="41"/>
  <c r="L1576" i="41"/>
  <c r="K1576" i="41"/>
  <c r="L1575" i="41"/>
  <c r="K1575" i="41"/>
  <c r="L1574" i="41"/>
  <c r="K1574" i="41"/>
  <c r="L1573" i="41"/>
  <c r="K1573" i="41"/>
  <c r="L1572" i="41"/>
  <c r="K1572" i="41"/>
  <c r="L1571" i="41"/>
  <c r="K1571" i="41"/>
  <c r="L1570" i="41"/>
  <c r="K1570" i="41"/>
  <c r="L1569" i="41"/>
  <c r="K1569" i="41"/>
  <c r="L1568" i="41"/>
  <c r="K1568" i="41"/>
  <c r="L1567" i="41"/>
  <c r="K1567" i="41"/>
  <c r="L1566" i="41"/>
  <c r="K1566" i="41"/>
  <c r="L1565" i="41"/>
  <c r="K1565" i="41"/>
  <c r="L1564" i="41"/>
  <c r="K1564" i="41"/>
  <c r="L1563" i="41"/>
  <c r="K1563" i="41"/>
  <c r="L1562" i="41"/>
  <c r="K1562" i="41"/>
  <c r="L1561" i="41"/>
  <c r="K1561" i="41"/>
  <c r="L1560" i="41"/>
  <c r="K1560" i="41"/>
  <c r="L1559" i="41"/>
  <c r="K1559" i="41"/>
  <c r="L1558" i="41"/>
  <c r="K1558" i="41"/>
  <c r="L1557" i="41"/>
  <c r="K1557" i="41"/>
  <c r="L1556" i="41"/>
  <c r="K1556" i="41"/>
  <c r="L1555" i="41"/>
  <c r="K1555" i="41"/>
  <c r="L1554" i="41"/>
  <c r="K1554" i="41"/>
  <c r="L1553" i="41"/>
  <c r="K1553" i="41"/>
  <c r="L1552" i="41"/>
  <c r="K1552" i="41"/>
  <c r="L1551" i="41"/>
  <c r="K1551" i="41"/>
  <c r="L1550" i="41"/>
  <c r="K1550" i="41"/>
  <c r="L1549" i="41"/>
  <c r="K1549" i="41"/>
  <c r="L1548" i="41"/>
  <c r="K1548" i="41"/>
  <c r="L1547" i="41"/>
  <c r="K1547" i="41"/>
  <c r="L1546" i="41"/>
  <c r="K1546" i="41"/>
  <c r="L1545" i="41"/>
  <c r="K1545" i="41"/>
  <c r="L1544" i="41"/>
  <c r="K1544" i="41"/>
  <c r="L1543" i="41"/>
  <c r="K1543" i="41"/>
  <c r="L1542" i="41"/>
  <c r="K1542" i="41"/>
  <c r="L1541" i="41"/>
  <c r="K1541" i="41"/>
  <c r="L1540" i="41"/>
  <c r="K1540" i="41"/>
  <c r="L1539" i="41"/>
  <c r="K1539" i="41"/>
  <c r="L1538" i="41"/>
  <c r="K1538" i="41"/>
  <c r="L1537" i="41"/>
  <c r="K1537" i="41"/>
  <c r="L1536" i="41"/>
  <c r="K1536" i="41"/>
  <c r="L1535" i="41"/>
  <c r="K1535" i="41"/>
  <c r="L1534" i="41"/>
  <c r="K1534" i="41"/>
  <c r="L1533" i="41"/>
  <c r="K1533" i="41"/>
  <c r="L1532" i="41"/>
  <c r="K1532" i="41"/>
  <c r="L1531" i="41"/>
  <c r="K1531" i="41"/>
  <c r="L1530" i="41"/>
  <c r="K1530" i="41"/>
  <c r="L1529" i="41"/>
  <c r="K1529" i="41"/>
  <c r="L1528" i="41"/>
  <c r="K1528" i="41"/>
  <c r="L1527" i="41"/>
  <c r="K1527" i="41"/>
  <c r="L1526" i="41"/>
  <c r="K1526" i="41"/>
  <c r="L1525" i="41"/>
  <c r="K1525" i="41"/>
  <c r="L1524" i="41"/>
  <c r="K1524" i="41"/>
  <c r="L1523" i="41"/>
  <c r="K1523" i="41"/>
  <c r="L1522" i="41"/>
  <c r="K1522" i="41"/>
  <c r="L1521" i="41"/>
  <c r="K1521" i="41"/>
  <c r="L1520" i="41"/>
  <c r="K1520" i="41"/>
  <c r="L1519" i="41"/>
  <c r="K1519" i="41"/>
  <c r="L1518" i="41"/>
  <c r="K1518" i="41"/>
  <c r="L1517" i="41"/>
  <c r="K1517" i="41"/>
  <c r="L1516" i="41"/>
  <c r="K1516" i="41"/>
  <c r="L1515" i="41"/>
  <c r="K1515" i="41"/>
  <c r="L1514" i="41"/>
  <c r="K1514" i="41"/>
  <c r="L1513" i="41"/>
  <c r="K1513" i="41"/>
  <c r="L1512" i="41"/>
  <c r="K1512" i="41"/>
  <c r="L1511" i="41"/>
  <c r="K1511" i="41"/>
  <c r="L1510" i="41"/>
  <c r="K1510" i="41"/>
  <c r="L1509" i="41"/>
  <c r="K1509" i="41"/>
  <c r="L1508" i="41"/>
  <c r="K1508" i="41"/>
  <c r="L1507" i="41"/>
  <c r="K1507" i="41"/>
  <c r="L1506" i="41"/>
  <c r="K1506" i="41"/>
  <c r="L1505" i="41"/>
  <c r="K1505" i="41"/>
  <c r="L1504" i="41"/>
  <c r="K1504" i="41"/>
  <c r="L1503" i="41"/>
  <c r="K1503" i="41"/>
  <c r="L1502" i="41"/>
  <c r="K1502" i="41"/>
  <c r="L1501" i="41"/>
  <c r="K1501" i="41"/>
  <c r="L1500" i="41"/>
  <c r="K1500" i="41"/>
  <c r="L1499" i="41"/>
  <c r="K1499" i="41"/>
  <c r="L1498" i="41"/>
  <c r="K1498" i="41"/>
  <c r="L1497" i="41"/>
  <c r="K1497" i="41"/>
  <c r="L1496" i="41"/>
  <c r="K1496" i="41"/>
  <c r="L1495" i="41"/>
  <c r="K1495" i="41"/>
  <c r="L1494" i="41"/>
  <c r="K1494" i="41"/>
  <c r="L1493" i="41"/>
  <c r="K1493" i="41"/>
  <c r="L1492" i="41"/>
  <c r="K1492" i="41"/>
  <c r="L1491" i="41"/>
  <c r="K1491" i="41"/>
  <c r="L1490" i="41"/>
  <c r="K1490" i="41"/>
  <c r="L1489" i="41"/>
  <c r="K1489" i="41"/>
  <c r="L1488" i="41"/>
  <c r="K1488" i="41"/>
  <c r="L1487" i="41"/>
  <c r="K1487" i="41"/>
  <c r="L1486" i="41"/>
  <c r="K1486" i="41"/>
  <c r="L1485" i="41"/>
  <c r="K1485" i="41"/>
  <c r="L1484" i="41"/>
  <c r="K1484" i="41"/>
  <c r="L1483" i="41"/>
  <c r="K1483" i="41"/>
  <c r="L1482" i="41"/>
  <c r="K1482" i="41"/>
  <c r="L1481" i="41"/>
  <c r="K1481" i="41"/>
  <c r="L1480" i="41"/>
  <c r="K1480" i="41"/>
  <c r="L1479" i="41"/>
  <c r="K1479" i="41"/>
  <c r="L1478" i="41"/>
  <c r="K1478" i="41"/>
  <c r="L1477" i="41"/>
  <c r="K1477" i="41"/>
  <c r="L1476" i="41"/>
  <c r="K1476" i="41"/>
  <c r="L1475" i="41"/>
  <c r="K1475" i="41"/>
  <c r="L1474" i="41"/>
  <c r="K1474" i="41"/>
  <c r="L1473" i="41"/>
  <c r="K1473" i="41"/>
  <c r="L1472" i="41"/>
  <c r="K1472" i="41"/>
  <c r="L1471" i="41"/>
  <c r="K1471" i="41"/>
  <c r="L1470" i="41"/>
  <c r="K1470" i="41"/>
  <c r="L1469" i="41"/>
  <c r="K1469" i="41"/>
  <c r="L1468" i="41"/>
  <c r="K1468" i="41"/>
  <c r="L1467" i="41"/>
  <c r="K1467" i="41"/>
  <c r="L1466" i="41"/>
  <c r="K1466" i="41"/>
  <c r="L1465" i="41"/>
  <c r="K1465" i="41"/>
  <c r="L1464" i="41"/>
  <c r="K1464" i="41"/>
  <c r="L1463" i="41"/>
  <c r="K1463" i="41"/>
  <c r="L1462" i="41"/>
  <c r="K1462" i="41"/>
  <c r="L1461" i="41"/>
  <c r="K1461" i="41"/>
  <c r="L1460" i="41"/>
  <c r="K1460" i="41"/>
  <c r="L1459" i="41"/>
  <c r="K1459" i="41"/>
  <c r="L1458" i="41"/>
  <c r="K1458" i="41"/>
  <c r="L1457" i="41"/>
  <c r="K1457" i="41"/>
  <c r="L1456" i="41"/>
  <c r="K1456" i="41"/>
  <c r="L1455" i="41"/>
  <c r="K1455" i="41"/>
  <c r="L1454" i="41"/>
  <c r="K1454" i="41"/>
  <c r="L1453" i="41"/>
  <c r="K1453" i="41"/>
  <c r="L1452" i="41"/>
  <c r="K1452" i="41"/>
  <c r="L1451" i="41"/>
  <c r="K1451" i="41"/>
  <c r="L1450" i="41"/>
  <c r="K1450" i="41"/>
  <c r="L1449" i="41"/>
  <c r="K1449" i="41"/>
  <c r="L1448" i="41"/>
  <c r="K1448" i="41"/>
  <c r="L1447" i="41"/>
  <c r="K1447" i="41"/>
  <c r="L1446" i="41"/>
  <c r="K1446" i="41"/>
  <c r="L1445" i="41"/>
  <c r="K1445" i="41"/>
  <c r="L1444" i="41"/>
  <c r="K1444" i="41"/>
  <c r="L1443" i="41"/>
  <c r="K1443" i="41"/>
  <c r="L1442" i="41"/>
  <c r="K1442" i="41"/>
  <c r="L1441" i="41"/>
  <c r="K1441" i="41"/>
  <c r="L1440" i="41"/>
  <c r="K1440" i="41"/>
  <c r="L1439" i="41"/>
  <c r="K1439" i="41"/>
  <c r="L1438" i="41"/>
  <c r="K1438" i="41"/>
  <c r="L1437" i="41"/>
  <c r="K1437" i="41"/>
  <c r="L1436" i="41"/>
  <c r="K1436" i="41"/>
  <c r="L1435" i="41"/>
  <c r="K1435" i="41"/>
  <c r="L1434" i="41"/>
  <c r="K1434" i="41"/>
  <c r="L1433" i="41"/>
  <c r="K1433" i="41"/>
  <c r="L1432" i="41"/>
  <c r="K1432" i="41"/>
  <c r="L1431" i="41"/>
  <c r="K1431" i="41"/>
  <c r="L1430" i="41"/>
  <c r="K1430" i="41"/>
  <c r="L1429" i="41"/>
  <c r="K1429" i="41"/>
  <c r="L1428" i="41"/>
  <c r="K1428" i="41"/>
  <c r="L1427" i="41"/>
  <c r="K1427" i="41"/>
  <c r="L1426" i="41"/>
  <c r="K1426" i="41"/>
  <c r="L1425" i="41"/>
  <c r="K1425" i="41"/>
  <c r="L1424" i="41"/>
  <c r="K1424" i="41"/>
  <c r="L1423" i="41"/>
  <c r="K1423" i="41"/>
  <c r="L1422" i="41"/>
  <c r="K1422" i="41"/>
  <c r="L1421" i="41"/>
  <c r="K1421" i="41"/>
  <c r="L1420" i="41"/>
  <c r="K1420" i="41"/>
  <c r="L1419" i="41"/>
  <c r="K1419" i="41"/>
  <c r="L1418" i="41"/>
  <c r="K1418" i="41"/>
  <c r="L1417" i="41"/>
  <c r="K1417" i="41"/>
  <c r="L1416" i="41"/>
  <c r="K1416" i="41"/>
  <c r="L1415" i="41"/>
  <c r="K1415" i="41"/>
  <c r="L1414" i="41"/>
  <c r="K1414" i="41"/>
  <c r="L1413" i="41"/>
  <c r="K1413" i="41"/>
  <c r="L1412" i="41"/>
  <c r="K1412" i="41"/>
  <c r="L1411" i="41"/>
  <c r="K1411" i="41"/>
  <c r="L1410" i="41"/>
  <c r="K1410" i="41"/>
  <c r="L1409" i="41"/>
  <c r="K1409" i="41"/>
  <c r="L1408" i="41"/>
  <c r="K1408" i="41"/>
  <c r="L1407" i="41"/>
  <c r="K1407" i="41"/>
  <c r="L1406" i="41"/>
  <c r="K1406" i="41"/>
  <c r="L1405" i="41"/>
  <c r="K1405" i="41"/>
  <c r="L1404" i="41"/>
  <c r="K1404" i="41"/>
  <c r="L1403" i="41"/>
  <c r="K1403" i="41"/>
  <c r="L1402" i="41"/>
  <c r="K1402" i="41"/>
  <c r="L1401" i="41"/>
  <c r="K1401" i="41"/>
  <c r="L1400" i="41"/>
  <c r="K1400" i="41"/>
  <c r="L1399" i="41"/>
  <c r="K1399" i="41"/>
  <c r="L1398" i="41"/>
  <c r="K1398" i="41"/>
  <c r="L1397" i="41"/>
  <c r="K1397" i="41"/>
  <c r="L1396" i="41"/>
  <c r="K1396" i="41"/>
  <c r="L1395" i="41"/>
  <c r="K1395" i="41"/>
  <c r="L1394" i="41"/>
  <c r="K1394" i="41"/>
  <c r="L1393" i="41"/>
  <c r="K1393" i="41"/>
  <c r="L1392" i="41"/>
  <c r="K1392" i="41"/>
  <c r="L1391" i="41"/>
  <c r="K1391" i="41"/>
  <c r="L1390" i="41"/>
  <c r="K1390" i="41"/>
  <c r="L1389" i="41"/>
  <c r="K1389" i="41"/>
  <c r="L1388" i="41"/>
  <c r="K1388" i="41"/>
  <c r="L1387" i="41"/>
  <c r="K1387" i="41"/>
  <c r="L1386" i="41"/>
  <c r="K1386" i="41"/>
  <c r="L1385" i="41"/>
  <c r="K1385" i="41"/>
  <c r="L1384" i="41"/>
  <c r="K1384" i="41"/>
  <c r="L1383" i="41"/>
  <c r="K1383" i="41"/>
  <c r="L1382" i="41"/>
  <c r="K1382" i="41"/>
  <c r="L1381" i="41"/>
  <c r="K1381" i="41"/>
  <c r="L1380" i="41"/>
  <c r="K1380" i="41"/>
  <c r="L1379" i="41"/>
  <c r="K1379" i="41"/>
  <c r="L1378" i="41"/>
  <c r="K1378" i="41"/>
  <c r="L1377" i="41"/>
  <c r="K1377" i="41"/>
  <c r="L1376" i="41"/>
  <c r="K1376" i="41"/>
  <c r="L1375" i="41"/>
  <c r="K1375" i="41"/>
  <c r="L1374" i="41"/>
  <c r="K1374" i="41"/>
  <c r="L1373" i="41"/>
  <c r="K1373" i="41"/>
  <c r="L1372" i="41"/>
  <c r="K1372" i="41"/>
  <c r="L1371" i="41"/>
  <c r="K1371" i="41"/>
  <c r="L1370" i="41"/>
  <c r="K1370" i="41"/>
  <c r="L1369" i="41"/>
  <c r="K1369" i="41"/>
  <c r="L1368" i="41"/>
  <c r="K1368" i="41"/>
  <c r="L1367" i="41"/>
  <c r="K1367" i="41"/>
  <c r="L1366" i="41"/>
  <c r="K1366" i="41"/>
  <c r="L1365" i="41"/>
  <c r="K1365" i="41"/>
  <c r="L1364" i="41"/>
  <c r="K1364" i="41"/>
  <c r="L1363" i="41"/>
  <c r="K1363" i="41"/>
  <c r="L1362" i="41"/>
  <c r="K1362" i="41"/>
  <c r="L1361" i="41"/>
  <c r="K1361" i="41"/>
  <c r="L1360" i="41"/>
  <c r="K1360" i="41"/>
  <c r="L1359" i="41"/>
  <c r="K1359" i="41"/>
  <c r="L1358" i="41"/>
  <c r="K1358" i="41"/>
  <c r="L1357" i="41"/>
  <c r="K1357" i="41"/>
  <c r="L1356" i="41"/>
  <c r="K1356" i="41"/>
  <c r="L1355" i="41"/>
  <c r="K1355" i="41"/>
  <c r="L1354" i="41"/>
  <c r="K1354" i="41"/>
  <c r="L1353" i="41"/>
  <c r="K1353" i="41"/>
  <c r="L1352" i="41"/>
  <c r="K1352" i="41"/>
  <c r="L1351" i="41"/>
  <c r="K1351" i="41"/>
  <c r="L1350" i="41"/>
  <c r="K1350" i="41"/>
  <c r="L1349" i="41"/>
  <c r="K1349" i="41"/>
  <c r="L1348" i="41"/>
  <c r="K1348" i="41"/>
  <c r="L1347" i="41"/>
  <c r="K1347" i="41"/>
  <c r="L1346" i="41"/>
  <c r="K1346" i="41"/>
  <c r="L1345" i="41"/>
  <c r="K1345" i="41"/>
  <c r="L1344" i="41"/>
  <c r="K1344" i="41"/>
  <c r="L1343" i="41"/>
  <c r="K1343" i="41"/>
  <c r="L1342" i="41"/>
  <c r="K1342" i="41"/>
  <c r="L1341" i="41"/>
  <c r="K1341" i="41"/>
  <c r="L1340" i="41"/>
  <c r="K1340" i="41"/>
  <c r="L1339" i="41"/>
  <c r="K1339" i="41"/>
  <c r="L1338" i="41"/>
  <c r="K1338" i="41"/>
  <c r="L1337" i="41"/>
  <c r="K1337" i="41"/>
  <c r="L1336" i="41"/>
  <c r="K1336" i="41"/>
  <c r="L1335" i="41"/>
  <c r="K1335" i="41"/>
  <c r="L1334" i="41"/>
  <c r="K1334" i="41"/>
  <c r="L1333" i="41"/>
  <c r="K1333" i="41"/>
  <c r="L1332" i="41"/>
  <c r="K1332" i="41"/>
  <c r="L1331" i="41"/>
  <c r="K1331" i="41"/>
  <c r="L1330" i="41"/>
  <c r="K1330" i="41"/>
  <c r="L1329" i="41"/>
  <c r="K1329" i="41"/>
  <c r="L1328" i="41"/>
  <c r="K1328" i="41"/>
  <c r="L1327" i="41"/>
  <c r="K1327" i="41"/>
  <c r="L1326" i="41"/>
  <c r="K1326" i="41"/>
  <c r="L1325" i="41"/>
  <c r="K1325" i="41"/>
  <c r="L1324" i="41"/>
  <c r="K1324" i="41"/>
  <c r="L1323" i="41"/>
  <c r="K1323" i="41"/>
  <c r="L1322" i="41"/>
  <c r="K1322" i="41"/>
  <c r="L1321" i="41"/>
  <c r="K1321" i="41"/>
  <c r="L1320" i="41"/>
  <c r="K1320" i="41"/>
  <c r="L1319" i="41"/>
  <c r="K1319" i="41"/>
  <c r="L1318" i="41"/>
  <c r="K1318" i="41"/>
  <c r="L1317" i="41"/>
  <c r="K1317" i="41"/>
  <c r="L1316" i="41"/>
  <c r="K1316" i="41"/>
  <c r="L1315" i="41"/>
  <c r="K1315" i="41"/>
  <c r="L1314" i="41"/>
  <c r="K1314" i="41"/>
  <c r="L1313" i="41"/>
  <c r="K1313" i="41"/>
  <c r="L1312" i="41"/>
  <c r="K1312" i="41"/>
  <c r="L1311" i="41"/>
  <c r="K1311" i="41"/>
  <c r="L1310" i="41"/>
  <c r="K1310" i="41"/>
  <c r="L1309" i="41"/>
  <c r="K1309" i="41"/>
  <c r="L1308" i="41"/>
  <c r="K1308" i="41"/>
  <c r="L1307" i="41"/>
  <c r="K1307" i="41"/>
  <c r="L1306" i="41"/>
  <c r="K1306" i="41"/>
  <c r="L1305" i="41"/>
  <c r="K1305" i="41"/>
  <c r="L1304" i="41"/>
  <c r="K1304" i="41"/>
  <c r="L1303" i="41"/>
  <c r="K1303" i="41"/>
  <c r="L1302" i="41"/>
  <c r="K1302" i="41"/>
  <c r="L1301" i="41"/>
  <c r="K1301" i="41"/>
  <c r="L1300" i="41"/>
  <c r="K1300" i="41"/>
  <c r="L1299" i="41"/>
  <c r="K1299" i="41"/>
  <c r="L1298" i="41"/>
  <c r="K1298" i="41"/>
  <c r="L1297" i="41"/>
  <c r="K1297" i="41"/>
  <c r="L1296" i="41"/>
  <c r="K1296" i="41"/>
  <c r="L1295" i="41"/>
  <c r="K1295" i="41"/>
  <c r="L1294" i="41"/>
  <c r="K1294" i="41"/>
  <c r="L1293" i="41"/>
  <c r="K1293" i="41"/>
  <c r="L1292" i="41"/>
  <c r="K1292" i="41"/>
  <c r="L1291" i="41"/>
  <c r="K1291" i="41"/>
  <c r="L1290" i="41"/>
  <c r="K1290" i="41"/>
  <c r="L1289" i="41"/>
  <c r="K1289" i="41"/>
  <c r="L1288" i="41"/>
  <c r="K1288" i="41"/>
  <c r="L1287" i="41"/>
  <c r="K1287" i="41"/>
  <c r="L1286" i="41"/>
  <c r="K1286" i="41"/>
  <c r="L1285" i="41"/>
  <c r="K1285" i="41"/>
  <c r="L1284" i="41"/>
  <c r="K1284" i="41"/>
  <c r="L1283" i="41"/>
  <c r="K1283" i="41"/>
  <c r="L1282" i="41"/>
  <c r="K1282" i="41"/>
  <c r="L1281" i="41"/>
  <c r="K1281" i="41"/>
  <c r="L1280" i="41"/>
  <c r="K1280" i="41"/>
  <c r="L1279" i="41"/>
  <c r="K1279" i="41"/>
  <c r="L1278" i="41"/>
  <c r="K1278" i="41"/>
  <c r="L1277" i="41"/>
  <c r="K1277" i="41"/>
  <c r="L1276" i="41"/>
  <c r="K1276" i="41"/>
  <c r="L1275" i="41"/>
  <c r="K1275" i="41"/>
  <c r="L1274" i="41"/>
  <c r="K1274" i="41"/>
  <c r="L1273" i="41"/>
  <c r="K1273" i="41"/>
  <c r="L1272" i="41"/>
  <c r="K1272" i="41"/>
  <c r="L1271" i="41"/>
  <c r="K1271" i="41"/>
  <c r="L1270" i="41"/>
  <c r="K1270" i="41"/>
  <c r="L1269" i="41"/>
  <c r="K1269" i="41"/>
  <c r="L1268" i="41"/>
  <c r="K1268" i="41"/>
  <c r="L1267" i="41"/>
  <c r="K1267" i="41"/>
  <c r="L1266" i="41"/>
  <c r="K1266" i="41"/>
  <c r="L1265" i="41"/>
  <c r="K1265" i="41"/>
  <c r="L1264" i="41"/>
  <c r="K1264" i="41"/>
  <c r="L1263" i="41"/>
  <c r="K1263" i="41"/>
  <c r="L1262" i="41"/>
  <c r="K1262" i="41"/>
  <c r="L1261" i="41"/>
  <c r="K1261" i="41"/>
  <c r="L1260" i="41"/>
  <c r="K1260" i="41"/>
  <c r="L1259" i="41"/>
  <c r="K1259" i="41"/>
  <c r="L1258" i="41"/>
  <c r="K1258" i="41"/>
  <c r="L1257" i="41"/>
  <c r="K1257" i="41"/>
  <c r="L1256" i="41"/>
  <c r="K1256" i="41"/>
  <c r="L1255" i="41"/>
  <c r="K1255" i="41"/>
  <c r="L1254" i="41"/>
  <c r="K1254" i="41"/>
  <c r="L1253" i="41"/>
  <c r="K1253" i="41"/>
  <c r="L1252" i="41"/>
  <c r="K1252" i="41"/>
  <c r="L1251" i="41"/>
  <c r="K1251" i="41"/>
  <c r="L1250" i="41"/>
  <c r="K1250" i="41"/>
  <c r="L1249" i="41"/>
  <c r="K1249" i="41"/>
  <c r="L1248" i="41"/>
  <c r="K1248" i="41"/>
  <c r="L1247" i="41"/>
  <c r="K1247" i="41"/>
  <c r="L1246" i="41"/>
  <c r="K1246" i="41"/>
  <c r="L1245" i="41"/>
  <c r="K1245" i="41"/>
  <c r="L1244" i="41"/>
  <c r="K1244" i="41"/>
  <c r="L1243" i="41"/>
  <c r="K1243" i="41"/>
  <c r="L1242" i="41"/>
  <c r="K1242" i="41"/>
  <c r="L1241" i="41"/>
  <c r="K1241" i="41"/>
  <c r="L1240" i="41"/>
  <c r="K1240" i="41"/>
  <c r="L1239" i="41"/>
  <c r="K1239" i="41"/>
  <c r="L1238" i="41"/>
  <c r="K1238" i="41"/>
  <c r="L1237" i="41"/>
  <c r="K1237" i="41"/>
  <c r="L1236" i="41"/>
  <c r="K1236" i="41"/>
  <c r="L1235" i="41"/>
  <c r="K1235" i="41"/>
  <c r="L1234" i="41"/>
  <c r="K1234" i="41"/>
  <c r="L1233" i="41"/>
  <c r="K1233" i="41"/>
  <c r="L1232" i="41"/>
  <c r="K1232" i="41"/>
  <c r="L1231" i="41"/>
  <c r="K1231" i="41"/>
  <c r="L1230" i="41"/>
  <c r="K1230" i="41"/>
  <c r="L1229" i="41"/>
  <c r="K1229" i="41"/>
  <c r="L1228" i="41"/>
  <c r="K1228" i="41"/>
  <c r="L1227" i="41"/>
  <c r="K1227" i="41"/>
  <c r="L1226" i="41"/>
  <c r="K1226" i="41"/>
  <c r="L1225" i="41"/>
  <c r="K1225" i="41"/>
  <c r="L1224" i="41"/>
  <c r="K1224" i="41"/>
  <c r="L1223" i="41"/>
  <c r="K1223" i="41"/>
  <c r="L1222" i="41"/>
  <c r="K1222" i="41"/>
  <c r="L1221" i="41"/>
  <c r="K1221" i="41"/>
  <c r="L1220" i="41"/>
  <c r="K1220" i="41"/>
  <c r="L1219" i="41"/>
  <c r="K1219" i="41"/>
  <c r="L1218" i="41"/>
  <c r="K1218" i="41"/>
  <c r="L1217" i="41"/>
  <c r="K1217" i="41"/>
  <c r="L1216" i="41"/>
  <c r="K1216" i="41"/>
  <c r="L1215" i="41"/>
  <c r="K1215" i="41"/>
  <c r="L1214" i="41"/>
  <c r="K1214" i="41"/>
  <c r="L1213" i="41"/>
  <c r="K1213" i="41"/>
  <c r="L1212" i="41"/>
  <c r="K1212" i="41"/>
  <c r="L1211" i="41"/>
  <c r="K1211" i="41"/>
  <c r="L1210" i="41"/>
  <c r="K1210" i="41"/>
  <c r="L1209" i="41"/>
  <c r="K1209" i="41"/>
  <c r="L1208" i="41"/>
  <c r="K1208" i="41"/>
  <c r="L1207" i="41"/>
  <c r="K1207" i="41"/>
  <c r="L1206" i="41"/>
  <c r="K1206" i="41"/>
  <c r="L1205" i="41"/>
  <c r="K1205" i="41"/>
  <c r="L1204" i="41"/>
  <c r="K1204" i="41"/>
  <c r="L1203" i="41"/>
  <c r="K1203" i="41"/>
  <c r="L1202" i="41"/>
  <c r="K1202" i="41"/>
  <c r="L1201" i="41"/>
  <c r="K1201" i="41"/>
  <c r="L1200" i="41"/>
  <c r="K1200" i="41"/>
  <c r="L1199" i="41"/>
  <c r="K1199" i="41"/>
  <c r="L1198" i="41"/>
  <c r="K1198" i="41"/>
  <c r="L1197" i="41"/>
  <c r="K1197" i="41"/>
  <c r="L1196" i="41"/>
  <c r="K1196" i="41"/>
  <c r="L1195" i="41"/>
  <c r="K1195" i="41"/>
  <c r="L1194" i="41"/>
  <c r="K1194" i="41"/>
  <c r="L1193" i="41"/>
  <c r="K1193" i="41"/>
  <c r="L1192" i="41"/>
  <c r="K1192" i="41"/>
  <c r="L1191" i="41"/>
  <c r="K1191" i="41"/>
  <c r="L1190" i="41"/>
  <c r="K1190" i="41"/>
  <c r="L1189" i="41"/>
  <c r="K1189" i="41"/>
  <c r="L1188" i="41"/>
  <c r="K1188" i="41"/>
  <c r="L1187" i="41"/>
  <c r="K1187" i="41"/>
  <c r="L1186" i="41"/>
  <c r="K1186" i="41"/>
  <c r="L1185" i="41"/>
  <c r="K1185" i="41"/>
  <c r="L1184" i="41"/>
  <c r="K1184" i="41"/>
  <c r="L1183" i="41"/>
  <c r="K1183" i="41"/>
  <c r="L1182" i="41"/>
  <c r="K1182" i="41"/>
  <c r="L1181" i="41"/>
  <c r="K1181" i="41"/>
  <c r="L1180" i="41"/>
  <c r="K1180" i="41"/>
  <c r="L1179" i="41"/>
  <c r="K1179" i="41"/>
  <c r="L1178" i="41"/>
  <c r="K1178" i="41"/>
  <c r="L1177" i="41"/>
  <c r="K1177" i="41"/>
  <c r="L1176" i="41"/>
  <c r="K1176" i="41"/>
  <c r="L1175" i="41"/>
  <c r="K1175" i="41"/>
  <c r="L1174" i="41"/>
  <c r="K1174" i="41"/>
  <c r="L1173" i="41"/>
  <c r="K1173" i="41"/>
  <c r="L1172" i="41"/>
  <c r="K1172" i="41"/>
  <c r="L1171" i="41"/>
  <c r="K1171" i="41"/>
  <c r="L1170" i="41"/>
  <c r="K1170" i="41"/>
  <c r="L1169" i="41"/>
  <c r="K1169" i="41"/>
  <c r="L1168" i="41"/>
  <c r="K1168" i="41"/>
  <c r="L1167" i="41"/>
  <c r="K1167" i="41"/>
  <c r="L1166" i="41"/>
  <c r="K1166" i="41"/>
  <c r="L1165" i="41"/>
  <c r="K1165" i="41"/>
  <c r="L1164" i="41"/>
  <c r="K1164" i="41"/>
  <c r="L1163" i="41"/>
  <c r="K1163" i="41"/>
  <c r="L1162" i="41"/>
  <c r="K1162" i="41"/>
  <c r="L1161" i="41"/>
  <c r="K1161" i="41"/>
  <c r="L1160" i="41"/>
  <c r="K1160" i="41"/>
  <c r="L1159" i="41"/>
  <c r="K1159" i="41"/>
  <c r="L1158" i="41"/>
  <c r="K1158" i="41"/>
  <c r="L1157" i="41"/>
  <c r="K1157" i="41"/>
  <c r="L1156" i="41"/>
  <c r="K1156" i="41"/>
  <c r="L1155" i="41"/>
  <c r="K1155" i="41"/>
  <c r="L1154" i="41"/>
  <c r="K1154" i="41"/>
  <c r="L1153" i="41"/>
  <c r="K1153" i="41"/>
  <c r="L1152" i="41"/>
  <c r="K1152" i="41"/>
  <c r="L1151" i="41"/>
  <c r="K1151" i="41"/>
  <c r="L1150" i="41"/>
  <c r="K1150" i="41"/>
  <c r="L1149" i="41"/>
  <c r="K1149" i="41"/>
  <c r="L1148" i="41"/>
  <c r="K1148" i="41"/>
  <c r="L1147" i="41"/>
  <c r="K1147" i="41"/>
  <c r="L1146" i="41"/>
  <c r="K1146" i="41"/>
  <c r="L1145" i="41"/>
  <c r="K1145" i="41"/>
  <c r="L1144" i="41"/>
  <c r="K1144" i="41"/>
  <c r="L1143" i="41"/>
  <c r="K1143" i="41"/>
  <c r="L1142" i="41"/>
  <c r="K1142" i="41"/>
  <c r="L1141" i="41"/>
  <c r="K1141" i="41"/>
  <c r="L1140" i="41"/>
  <c r="K1140" i="41"/>
  <c r="L1139" i="41"/>
  <c r="K1139" i="41"/>
  <c r="L1138" i="41"/>
  <c r="K1138" i="41"/>
  <c r="L1137" i="41"/>
  <c r="K1137" i="41"/>
  <c r="L1136" i="41"/>
  <c r="K1136" i="41"/>
  <c r="L1135" i="41"/>
  <c r="K1135" i="41"/>
  <c r="L1134" i="41"/>
  <c r="K1134" i="41"/>
  <c r="L1133" i="41"/>
  <c r="K1133" i="41"/>
  <c r="L1132" i="41"/>
  <c r="K1132" i="41"/>
  <c r="L1131" i="41"/>
  <c r="K1131" i="41"/>
  <c r="L1130" i="41"/>
  <c r="K1130" i="41"/>
  <c r="L1129" i="41"/>
  <c r="K1129" i="41"/>
  <c r="L1128" i="41"/>
  <c r="K1128" i="41"/>
  <c r="L1127" i="41"/>
  <c r="K1127" i="41"/>
  <c r="L1126" i="41"/>
  <c r="K1126" i="41"/>
  <c r="L1125" i="41"/>
  <c r="K1125" i="41"/>
  <c r="L1124" i="41"/>
  <c r="K1124" i="41"/>
  <c r="L1123" i="41"/>
  <c r="K1123" i="41"/>
  <c r="L1122" i="41"/>
  <c r="K1122" i="41"/>
  <c r="L1121" i="41"/>
  <c r="K1121" i="41"/>
  <c r="L1120" i="41"/>
  <c r="K1120" i="41"/>
  <c r="L1119" i="41"/>
  <c r="K1119" i="41"/>
  <c r="L1118" i="41"/>
  <c r="K1118" i="41"/>
  <c r="L1117" i="41"/>
  <c r="K1117" i="41"/>
  <c r="L1116" i="41"/>
  <c r="K1116" i="41"/>
  <c r="L1115" i="41"/>
  <c r="K1115" i="41"/>
  <c r="L1114" i="41"/>
  <c r="K1114" i="41"/>
  <c r="L1113" i="41"/>
  <c r="K1113" i="41"/>
  <c r="L1112" i="41"/>
  <c r="K1112" i="41"/>
  <c r="L1111" i="41"/>
  <c r="K1111" i="41"/>
  <c r="L1110" i="41"/>
  <c r="K1110" i="41"/>
  <c r="L1109" i="41"/>
  <c r="K1109" i="41"/>
  <c r="L1108" i="41"/>
  <c r="K1108" i="41"/>
  <c r="L1107" i="41"/>
  <c r="K1107" i="41"/>
  <c r="L1106" i="41"/>
  <c r="K1106" i="41"/>
  <c r="L1105" i="41"/>
  <c r="K1105" i="41"/>
  <c r="L1104" i="41"/>
  <c r="K1104" i="41"/>
  <c r="L1103" i="41"/>
  <c r="K1103" i="41"/>
  <c r="L1102" i="41"/>
  <c r="K1102" i="41"/>
  <c r="L1101" i="41"/>
  <c r="K1101" i="41"/>
  <c r="L1100" i="41"/>
  <c r="K1100" i="41"/>
  <c r="L1099" i="41"/>
  <c r="K1099" i="41"/>
  <c r="L1098" i="41"/>
  <c r="K1098" i="41"/>
  <c r="L1097" i="41"/>
  <c r="K1097" i="41"/>
  <c r="L1096" i="41"/>
  <c r="K1096" i="41"/>
  <c r="L1095" i="41"/>
  <c r="K1095" i="41"/>
  <c r="L1094" i="41"/>
  <c r="K1094" i="41"/>
  <c r="L1093" i="41"/>
  <c r="K1093" i="41"/>
  <c r="L1092" i="41"/>
  <c r="K1092" i="41"/>
  <c r="L1091" i="41"/>
  <c r="K1091" i="41"/>
  <c r="L1090" i="41"/>
  <c r="K1090" i="41"/>
  <c r="L1089" i="41"/>
  <c r="K1089" i="41"/>
  <c r="L1088" i="41"/>
  <c r="K1088" i="41"/>
  <c r="L1087" i="41"/>
  <c r="K1087" i="41"/>
  <c r="L1086" i="41"/>
  <c r="K1086" i="41"/>
  <c r="L1085" i="41"/>
  <c r="K1085" i="41"/>
  <c r="L1084" i="41"/>
  <c r="K1084" i="41"/>
  <c r="L1083" i="41"/>
  <c r="K1083" i="41"/>
  <c r="L1082" i="41"/>
  <c r="K1082" i="41"/>
  <c r="L1081" i="41"/>
  <c r="K1081" i="41"/>
  <c r="L1080" i="41"/>
  <c r="K1080" i="41"/>
  <c r="L1079" i="41"/>
  <c r="K1079" i="41"/>
  <c r="L1078" i="41"/>
  <c r="K1078" i="41"/>
  <c r="L1077" i="41"/>
  <c r="K1077" i="41"/>
  <c r="L1076" i="41"/>
  <c r="K1076" i="41"/>
  <c r="L1075" i="41"/>
  <c r="K1075" i="41"/>
  <c r="L1074" i="41"/>
  <c r="K1074" i="41"/>
  <c r="L1073" i="41"/>
  <c r="K1073" i="41"/>
  <c r="L1072" i="41"/>
  <c r="K1072" i="41"/>
  <c r="L1071" i="41"/>
  <c r="K1071" i="41"/>
  <c r="L1070" i="41"/>
  <c r="K1070" i="41"/>
  <c r="L1069" i="41"/>
  <c r="K1069" i="41"/>
  <c r="L1068" i="41"/>
  <c r="K1068" i="41"/>
  <c r="L1067" i="41"/>
  <c r="K1067" i="41"/>
  <c r="L1066" i="41"/>
  <c r="K1066" i="41"/>
  <c r="L1065" i="41"/>
  <c r="K1065" i="41"/>
  <c r="L1064" i="41"/>
  <c r="K1064" i="41"/>
  <c r="L1063" i="41"/>
  <c r="K1063" i="41"/>
  <c r="L1062" i="41"/>
  <c r="K1062" i="41"/>
  <c r="L1061" i="41"/>
  <c r="K1061" i="41"/>
  <c r="L1060" i="41"/>
  <c r="K1060" i="41"/>
  <c r="L1059" i="41"/>
  <c r="K1059" i="41"/>
  <c r="L1058" i="41"/>
  <c r="K1058" i="41"/>
  <c r="L1057" i="41"/>
  <c r="K1057" i="41"/>
  <c r="L1056" i="41"/>
  <c r="K1056" i="41"/>
  <c r="L1055" i="41"/>
  <c r="K1055" i="41"/>
  <c r="L1054" i="41"/>
  <c r="K1054" i="41"/>
  <c r="L1053" i="41"/>
  <c r="K1053" i="41"/>
  <c r="L1052" i="41"/>
  <c r="K1052" i="41"/>
  <c r="L1051" i="41"/>
  <c r="K1051" i="41"/>
  <c r="L1050" i="41"/>
  <c r="K1050" i="41"/>
  <c r="L1049" i="41"/>
  <c r="K1049" i="41"/>
  <c r="L1048" i="41"/>
  <c r="K1048" i="41"/>
  <c r="L1047" i="41"/>
  <c r="K1047" i="41"/>
  <c r="L1046" i="41"/>
  <c r="K1046" i="41"/>
  <c r="L1045" i="41"/>
  <c r="K1045" i="41"/>
  <c r="L1044" i="41"/>
  <c r="K1044" i="41"/>
  <c r="L1043" i="41"/>
  <c r="K1043" i="41"/>
  <c r="L1042" i="41"/>
  <c r="K1042" i="41"/>
  <c r="L1041" i="41"/>
  <c r="K1041" i="41"/>
  <c r="L1040" i="41"/>
  <c r="K1040" i="41"/>
  <c r="L1039" i="41"/>
  <c r="K1039" i="41"/>
  <c r="L1038" i="41"/>
  <c r="K1038" i="41"/>
  <c r="L1037" i="41"/>
  <c r="K1037" i="41"/>
  <c r="L1036" i="41"/>
  <c r="K1036" i="41"/>
  <c r="L1035" i="41"/>
  <c r="K1035" i="41"/>
  <c r="L1034" i="41"/>
  <c r="K1034" i="41"/>
  <c r="L1033" i="41"/>
  <c r="K1033" i="41"/>
  <c r="L1032" i="41"/>
  <c r="K1032" i="41"/>
  <c r="L1031" i="41"/>
  <c r="K1031" i="41"/>
  <c r="L1030" i="41"/>
  <c r="K1030" i="41"/>
  <c r="L1029" i="41"/>
  <c r="K1029" i="41"/>
  <c r="L1028" i="41"/>
  <c r="K1028" i="41"/>
  <c r="L1027" i="41"/>
  <c r="K1027" i="41"/>
  <c r="L1026" i="41"/>
  <c r="K1026" i="41"/>
  <c r="L1025" i="41"/>
  <c r="K1025" i="41"/>
  <c r="L1024" i="41"/>
  <c r="K1024" i="41"/>
  <c r="L1023" i="41"/>
  <c r="K1023" i="41"/>
  <c r="L1022" i="41"/>
  <c r="K1022" i="41"/>
  <c r="L1021" i="41"/>
  <c r="K1021" i="41"/>
  <c r="L1020" i="41"/>
  <c r="K1020" i="41"/>
  <c r="L1019" i="41"/>
  <c r="K1019" i="41"/>
  <c r="L1018" i="41"/>
  <c r="K1018" i="41"/>
  <c r="L1017" i="41"/>
  <c r="K1017" i="41"/>
  <c r="L1016" i="41"/>
  <c r="K1016" i="41"/>
  <c r="L1015" i="41"/>
  <c r="K1015" i="41"/>
  <c r="L1014" i="41"/>
  <c r="K1014" i="41"/>
  <c r="L1013" i="41"/>
  <c r="K1013" i="41"/>
  <c r="L1012" i="41"/>
  <c r="K1012" i="41"/>
  <c r="L1011" i="41"/>
  <c r="K1011" i="41"/>
  <c r="L1010" i="41"/>
  <c r="K1010" i="41"/>
  <c r="L1009" i="41"/>
  <c r="K1009" i="41"/>
  <c r="L1008" i="41"/>
  <c r="K1008" i="41"/>
  <c r="L1007" i="41"/>
  <c r="K1007" i="41"/>
  <c r="L1006" i="41"/>
  <c r="K1006" i="41"/>
  <c r="L1005" i="41"/>
  <c r="K1005" i="41"/>
  <c r="L1004" i="41"/>
  <c r="K1004" i="41"/>
  <c r="L1003" i="41"/>
  <c r="K1003" i="41"/>
  <c r="L1002" i="41"/>
  <c r="K1002" i="41"/>
  <c r="L1001" i="41"/>
  <c r="K1001" i="41"/>
  <c r="L1000" i="41"/>
  <c r="K1000" i="41"/>
  <c r="L999" i="41"/>
  <c r="K999" i="41"/>
  <c r="L998" i="41"/>
  <c r="K998" i="41"/>
  <c r="L997" i="41"/>
  <c r="K997" i="41"/>
  <c r="L996" i="41"/>
  <c r="K996" i="41"/>
  <c r="L995" i="41"/>
  <c r="K995" i="41"/>
  <c r="L994" i="41"/>
  <c r="K994" i="41"/>
  <c r="L993" i="41"/>
  <c r="K993" i="41"/>
  <c r="L992" i="41"/>
  <c r="K992" i="41"/>
  <c r="L991" i="41"/>
  <c r="K991" i="41"/>
  <c r="L990" i="41"/>
  <c r="K990" i="41"/>
  <c r="L989" i="41"/>
  <c r="K989" i="41"/>
  <c r="L988" i="41"/>
  <c r="K988" i="41"/>
  <c r="L987" i="41"/>
  <c r="K987" i="41"/>
  <c r="L986" i="41"/>
  <c r="K986" i="41"/>
  <c r="L985" i="41"/>
  <c r="K985" i="41"/>
  <c r="L984" i="41"/>
  <c r="K984" i="41"/>
  <c r="L983" i="41"/>
  <c r="K983" i="41"/>
  <c r="L982" i="41"/>
  <c r="K982" i="41"/>
  <c r="L981" i="41"/>
  <c r="K981" i="41"/>
  <c r="L980" i="41"/>
  <c r="K980" i="41"/>
  <c r="L979" i="41"/>
  <c r="K979" i="41"/>
  <c r="L978" i="41"/>
  <c r="K978" i="41"/>
  <c r="L977" i="41"/>
  <c r="K977" i="41"/>
  <c r="L976" i="41"/>
  <c r="K976" i="41"/>
  <c r="L975" i="41"/>
  <c r="K975" i="41"/>
  <c r="L974" i="41"/>
  <c r="K974" i="41"/>
  <c r="L973" i="41"/>
  <c r="K973" i="41"/>
  <c r="L972" i="41"/>
  <c r="K972" i="41"/>
  <c r="L971" i="41"/>
  <c r="K971" i="41"/>
  <c r="L970" i="41"/>
  <c r="K970" i="41"/>
  <c r="L969" i="41"/>
  <c r="K969" i="41"/>
  <c r="L968" i="41"/>
  <c r="K968" i="41"/>
  <c r="L967" i="41"/>
  <c r="K967" i="41"/>
  <c r="L966" i="41"/>
  <c r="K966" i="41"/>
  <c r="L965" i="41"/>
  <c r="K965" i="41"/>
  <c r="L964" i="41"/>
  <c r="K964" i="41"/>
  <c r="L963" i="41"/>
  <c r="K963" i="41"/>
  <c r="L962" i="41"/>
  <c r="K962" i="41"/>
  <c r="L961" i="41"/>
  <c r="K961" i="41"/>
  <c r="L960" i="41"/>
  <c r="K960" i="41"/>
  <c r="L959" i="41"/>
  <c r="K959" i="41"/>
  <c r="L958" i="41"/>
  <c r="K958" i="41"/>
  <c r="L957" i="41"/>
  <c r="K957" i="41"/>
  <c r="L956" i="41"/>
  <c r="K956" i="41"/>
  <c r="L955" i="41"/>
  <c r="K955" i="41"/>
  <c r="L954" i="41"/>
  <c r="K954" i="41"/>
  <c r="L953" i="41"/>
  <c r="K953" i="41"/>
  <c r="L952" i="41"/>
  <c r="K952" i="41"/>
  <c r="L951" i="41"/>
  <c r="K951" i="41"/>
  <c r="L950" i="41"/>
  <c r="K950" i="41"/>
  <c r="L949" i="41"/>
  <c r="K949" i="41"/>
  <c r="L948" i="41"/>
  <c r="K948" i="41"/>
  <c r="L947" i="41"/>
  <c r="K947" i="41"/>
  <c r="L946" i="41"/>
  <c r="K946" i="41"/>
  <c r="L945" i="41"/>
  <c r="K945" i="41"/>
  <c r="L944" i="41"/>
  <c r="K944" i="41"/>
  <c r="L943" i="41"/>
  <c r="K943" i="41"/>
  <c r="L942" i="41"/>
  <c r="K942" i="41"/>
  <c r="L941" i="41"/>
  <c r="K941" i="41"/>
  <c r="L940" i="41"/>
  <c r="K940" i="41"/>
  <c r="L939" i="41"/>
  <c r="K939" i="41"/>
  <c r="L938" i="41"/>
  <c r="K938" i="41"/>
  <c r="L937" i="41"/>
  <c r="K937" i="41"/>
  <c r="L936" i="41"/>
  <c r="K936" i="41"/>
  <c r="L935" i="41"/>
  <c r="K935" i="41"/>
  <c r="L934" i="41"/>
  <c r="K934" i="41"/>
  <c r="L933" i="41"/>
  <c r="K933" i="41"/>
  <c r="L932" i="41"/>
  <c r="K932" i="41"/>
  <c r="L931" i="41"/>
  <c r="K931" i="41"/>
  <c r="L930" i="41"/>
  <c r="K930" i="41"/>
  <c r="L929" i="41"/>
  <c r="K929" i="41"/>
  <c r="L928" i="41"/>
  <c r="K928" i="41"/>
  <c r="L927" i="41"/>
  <c r="K927" i="41"/>
  <c r="L926" i="41"/>
  <c r="K926" i="41"/>
  <c r="L925" i="41"/>
  <c r="K925" i="41"/>
  <c r="L924" i="41"/>
  <c r="K924" i="41"/>
  <c r="L923" i="41"/>
  <c r="K923" i="41"/>
  <c r="L922" i="41"/>
  <c r="K922" i="41"/>
  <c r="L921" i="41"/>
  <c r="K921" i="41"/>
  <c r="L920" i="41"/>
  <c r="K920" i="41"/>
  <c r="L919" i="41"/>
  <c r="K919" i="41"/>
  <c r="L918" i="41"/>
  <c r="K918" i="41"/>
  <c r="L917" i="41"/>
  <c r="K917" i="41"/>
  <c r="L916" i="41"/>
  <c r="K916" i="41"/>
  <c r="L915" i="41"/>
  <c r="K915" i="41"/>
  <c r="L914" i="41"/>
  <c r="K914" i="41"/>
  <c r="L913" i="41"/>
  <c r="K913" i="41"/>
  <c r="L912" i="41"/>
  <c r="K912" i="41"/>
  <c r="L911" i="41"/>
  <c r="K911" i="41"/>
  <c r="L910" i="41"/>
  <c r="K910" i="41"/>
  <c r="L909" i="41"/>
  <c r="K909" i="41"/>
  <c r="L908" i="41"/>
  <c r="K908" i="41"/>
  <c r="L907" i="41"/>
  <c r="K907" i="41"/>
  <c r="L906" i="41"/>
  <c r="K906" i="41"/>
  <c r="L905" i="41"/>
  <c r="K905" i="41"/>
  <c r="L904" i="41"/>
  <c r="K904" i="41"/>
  <c r="L903" i="41"/>
  <c r="K903" i="41"/>
  <c r="L902" i="41"/>
  <c r="K902" i="41"/>
  <c r="L901" i="41"/>
  <c r="K901" i="41"/>
  <c r="L900" i="41"/>
  <c r="K900" i="41"/>
  <c r="L898" i="41"/>
  <c r="K898" i="41"/>
  <c r="L897" i="41"/>
  <c r="K897" i="41"/>
  <c r="L896" i="41"/>
  <c r="K896" i="41"/>
  <c r="L895" i="41"/>
  <c r="K895" i="41"/>
  <c r="L894" i="41"/>
  <c r="K894" i="41"/>
  <c r="L893" i="41"/>
  <c r="K893" i="41"/>
  <c r="L892" i="41"/>
  <c r="K892" i="41"/>
  <c r="L891" i="41"/>
  <c r="K891" i="41"/>
  <c r="L890" i="41"/>
  <c r="K890" i="41"/>
  <c r="L889" i="41"/>
  <c r="K889" i="41"/>
  <c r="L888" i="41"/>
  <c r="K888" i="41"/>
  <c r="L887" i="41"/>
  <c r="K887" i="41"/>
  <c r="L886" i="41"/>
  <c r="K886" i="41"/>
  <c r="L885" i="41"/>
  <c r="K885" i="41"/>
  <c r="L884" i="41"/>
  <c r="K884" i="41"/>
  <c r="L883" i="41"/>
  <c r="K883" i="41"/>
  <c r="L882" i="41"/>
  <c r="K882" i="41"/>
  <c r="L881" i="41"/>
  <c r="K881" i="41"/>
  <c r="L880" i="41"/>
  <c r="K880" i="41"/>
  <c r="L879" i="41"/>
  <c r="K879" i="41"/>
  <c r="L878" i="41"/>
  <c r="K878" i="41"/>
  <c r="L877" i="41"/>
  <c r="K877" i="41"/>
  <c r="L876" i="41"/>
  <c r="K876" i="41"/>
  <c r="L875" i="41"/>
  <c r="K875" i="41"/>
  <c r="L874" i="41"/>
  <c r="K874" i="41"/>
  <c r="L873" i="41"/>
  <c r="K873" i="41"/>
  <c r="L872" i="41"/>
  <c r="K872" i="41"/>
  <c r="L871" i="41"/>
  <c r="K871" i="41"/>
  <c r="L870" i="41"/>
  <c r="K870" i="41"/>
  <c r="L869" i="41"/>
  <c r="K869" i="41"/>
  <c r="L868" i="41"/>
  <c r="K868" i="41"/>
  <c r="L867" i="41"/>
  <c r="K867" i="41"/>
  <c r="L866" i="41"/>
  <c r="K866" i="41"/>
  <c r="L865" i="41"/>
  <c r="K865" i="41"/>
  <c r="L864" i="41"/>
  <c r="K864" i="41"/>
  <c r="L863" i="41"/>
  <c r="K863" i="41"/>
  <c r="L862" i="41"/>
  <c r="K862" i="41"/>
  <c r="L861" i="41"/>
  <c r="K861" i="41"/>
  <c r="L860" i="41"/>
  <c r="K860" i="41"/>
  <c r="L859" i="41"/>
  <c r="K859" i="41"/>
  <c r="L858" i="41"/>
  <c r="K858" i="41"/>
  <c r="L857" i="41"/>
  <c r="K857" i="41"/>
  <c r="L856" i="41"/>
  <c r="K856" i="41"/>
  <c r="L855" i="41"/>
  <c r="K855" i="41"/>
  <c r="L854" i="41"/>
  <c r="K854" i="41"/>
  <c r="L853" i="41"/>
  <c r="K853" i="41"/>
  <c r="L852" i="41"/>
  <c r="K852" i="41"/>
  <c r="L851" i="41"/>
  <c r="K851" i="41"/>
  <c r="L850" i="41"/>
  <c r="K850" i="41"/>
  <c r="L849" i="41"/>
  <c r="K849" i="41"/>
  <c r="L848" i="41"/>
  <c r="K848" i="41"/>
  <c r="L847" i="41"/>
  <c r="K847" i="41"/>
  <c r="L846" i="41"/>
  <c r="K846" i="41"/>
  <c r="L845" i="41"/>
  <c r="K845" i="41"/>
  <c r="L844" i="41"/>
  <c r="K844" i="41"/>
  <c r="L843" i="41"/>
  <c r="K843" i="41"/>
  <c r="L842" i="41"/>
  <c r="K842" i="41"/>
  <c r="L841" i="41"/>
  <c r="K841" i="41"/>
  <c r="L840" i="41"/>
  <c r="K840" i="41"/>
  <c r="L839" i="41"/>
  <c r="K839" i="41"/>
  <c r="L838" i="41"/>
  <c r="K838" i="41"/>
  <c r="L837" i="41"/>
  <c r="K837" i="41"/>
  <c r="L836" i="41"/>
  <c r="K836" i="41"/>
  <c r="L835" i="41"/>
  <c r="K835" i="41"/>
  <c r="L834" i="41"/>
  <c r="K834" i="41"/>
  <c r="L833" i="41"/>
  <c r="K833" i="41"/>
  <c r="L832" i="41"/>
  <c r="K832" i="41"/>
  <c r="L831" i="41"/>
  <c r="K831" i="41"/>
  <c r="L830" i="41"/>
  <c r="K830" i="41"/>
  <c r="L829" i="41"/>
  <c r="K829" i="41"/>
  <c r="L828" i="41"/>
  <c r="K828" i="41"/>
  <c r="L827" i="41"/>
  <c r="K827" i="41"/>
  <c r="L826" i="41"/>
  <c r="K826" i="41"/>
  <c r="L825" i="41"/>
  <c r="K825" i="41"/>
  <c r="L824" i="41"/>
  <c r="K824" i="41"/>
  <c r="L823" i="41"/>
  <c r="K823" i="41"/>
  <c r="L822" i="41"/>
  <c r="K822" i="41"/>
  <c r="L821" i="41"/>
  <c r="K821" i="41"/>
  <c r="L820" i="41"/>
  <c r="K820" i="41"/>
  <c r="L819" i="41"/>
  <c r="K819" i="41"/>
  <c r="L818" i="41"/>
  <c r="K818" i="41"/>
  <c r="L817" i="41"/>
  <c r="K817" i="41"/>
  <c r="L816" i="41"/>
  <c r="K816" i="41"/>
  <c r="L815" i="41"/>
  <c r="K815" i="41"/>
  <c r="L814" i="41"/>
  <c r="K814" i="41"/>
  <c r="L813" i="41"/>
  <c r="K813" i="41"/>
  <c r="L812" i="41"/>
  <c r="K812" i="41"/>
  <c r="L811" i="41"/>
  <c r="K811" i="41"/>
  <c r="L810" i="41"/>
  <c r="K810" i="41"/>
  <c r="L809" i="41"/>
  <c r="K809" i="41"/>
  <c r="L808" i="41"/>
  <c r="K808" i="41"/>
  <c r="L807" i="41"/>
  <c r="K807" i="41"/>
  <c r="L806" i="41"/>
  <c r="K806" i="41"/>
  <c r="L805" i="41"/>
  <c r="K805" i="41"/>
  <c r="L804" i="41"/>
  <c r="K804" i="41"/>
  <c r="L803" i="41"/>
  <c r="K803" i="41"/>
  <c r="L802" i="41"/>
  <c r="K802" i="41"/>
  <c r="L801" i="41"/>
  <c r="K801" i="41"/>
  <c r="L800" i="41"/>
  <c r="K800" i="41"/>
  <c r="L799" i="41"/>
  <c r="K799" i="41"/>
  <c r="L798" i="41"/>
  <c r="K798" i="41"/>
  <c r="L797" i="41"/>
  <c r="K797" i="41"/>
  <c r="L796" i="41"/>
  <c r="K796" i="41"/>
  <c r="L795" i="41"/>
  <c r="K795" i="41"/>
  <c r="L794" i="41"/>
  <c r="K794" i="41"/>
  <c r="L793" i="41"/>
  <c r="K793" i="41"/>
  <c r="L792" i="41"/>
  <c r="K792" i="41"/>
  <c r="L791" i="41"/>
  <c r="K791" i="41"/>
  <c r="L790" i="41"/>
  <c r="K790" i="41"/>
  <c r="L789" i="41"/>
  <c r="K789" i="41"/>
  <c r="L788" i="41"/>
  <c r="K788" i="41"/>
  <c r="L787" i="41"/>
  <c r="K787" i="41"/>
  <c r="L786" i="41"/>
  <c r="K786" i="41"/>
  <c r="L785" i="41"/>
  <c r="K785" i="41"/>
  <c r="L784" i="41"/>
  <c r="K784" i="41"/>
  <c r="L783" i="41"/>
  <c r="K783" i="41"/>
  <c r="L782" i="41"/>
  <c r="K782" i="41"/>
  <c r="L781" i="41"/>
  <c r="K781" i="41"/>
  <c r="L780" i="41"/>
  <c r="K780" i="41"/>
  <c r="L779" i="41"/>
  <c r="K779" i="41"/>
  <c r="L778" i="41"/>
  <c r="K778" i="41"/>
  <c r="L777" i="41"/>
  <c r="K777" i="41"/>
  <c r="L776" i="41"/>
  <c r="K776" i="41"/>
  <c r="L775" i="41"/>
  <c r="K775" i="41"/>
  <c r="L774" i="41"/>
  <c r="K774" i="41"/>
  <c r="L773" i="41"/>
  <c r="K773" i="41"/>
  <c r="L772" i="41"/>
  <c r="K772" i="41"/>
  <c r="L771" i="41"/>
  <c r="K771" i="41"/>
  <c r="L770" i="41"/>
  <c r="K770" i="41"/>
  <c r="L769" i="41"/>
  <c r="K769" i="41"/>
  <c r="L768" i="41"/>
  <c r="K768" i="41"/>
  <c r="L767" i="41"/>
  <c r="K767" i="41"/>
  <c r="L766" i="41"/>
  <c r="K766" i="41"/>
  <c r="L765" i="41"/>
  <c r="K765" i="41"/>
  <c r="L764" i="41"/>
  <c r="K764" i="41"/>
  <c r="L763" i="41"/>
  <c r="K763" i="41"/>
  <c r="L762" i="41"/>
  <c r="K762" i="41"/>
  <c r="L761" i="41"/>
  <c r="K761" i="41"/>
  <c r="L760" i="41"/>
  <c r="K760" i="41"/>
  <c r="L759" i="41"/>
  <c r="K759" i="41"/>
  <c r="L758" i="41"/>
  <c r="K758" i="41"/>
  <c r="L757" i="41"/>
  <c r="K757" i="41"/>
  <c r="L756" i="41"/>
  <c r="K756" i="41"/>
  <c r="L755" i="41"/>
  <c r="K755" i="41"/>
  <c r="L754" i="41"/>
  <c r="K754" i="41"/>
  <c r="L753" i="41"/>
  <c r="K753" i="41"/>
  <c r="L752" i="41"/>
  <c r="K752" i="41"/>
  <c r="L751" i="41"/>
  <c r="K751" i="41"/>
  <c r="L750" i="41"/>
  <c r="K750" i="41"/>
  <c r="L749" i="41"/>
  <c r="K749" i="41"/>
  <c r="L748" i="41"/>
  <c r="K748" i="41"/>
  <c r="L747" i="41"/>
  <c r="K747" i="41"/>
  <c r="L746" i="41"/>
  <c r="K746" i="41"/>
  <c r="L745" i="41"/>
  <c r="K745" i="41"/>
  <c r="L744" i="41"/>
  <c r="K744" i="41"/>
  <c r="L743" i="41"/>
  <c r="K743" i="41"/>
  <c r="L742" i="41"/>
  <c r="K742" i="41"/>
  <c r="L741" i="41"/>
  <c r="K741" i="41"/>
  <c r="L740" i="41"/>
  <c r="K740" i="41"/>
  <c r="L739" i="41"/>
  <c r="K739" i="41"/>
  <c r="L738" i="41"/>
  <c r="K738" i="41"/>
  <c r="L737" i="41"/>
  <c r="K737" i="41"/>
  <c r="L736" i="41"/>
  <c r="K736" i="41"/>
  <c r="L735" i="41"/>
  <c r="K735" i="41"/>
  <c r="L734" i="41"/>
  <c r="K734" i="41"/>
  <c r="L733" i="41"/>
  <c r="K733" i="41"/>
  <c r="L732" i="41"/>
  <c r="K732" i="41"/>
  <c r="L731" i="41"/>
  <c r="K731" i="41"/>
  <c r="L730" i="41"/>
  <c r="K730" i="41"/>
  <c r="L729" i="41"/>
  <c r="K729" i="41"/>
  <c r="L728" i="41"/>
  <c r="K728" i="41"/>
  <c r="L727" i="41"/>
  <c r="K727" i="41"/>
  <c r="L726" i="41"/>
  <c r="K726" i="41"/>
  <c r="L725" i="41"/>
  <c r="K725" i="41"/>
  <c r="L724" i="41"/>
  <c r="K724" i="41"/>
  <c r="L723" i="41"/>
  <c r="K723" i="41"/>
  <c r="L722" i="41"/>
  <c r="K722" i="41"/>
  <c r="L721" i="41"/>
  <c r="K721" i="41"/>
  <c r="L720" i="41"/>
  <c r="K720" i="41"/>
  <c r="L719" i="41"/>
  <c r="K719" i="41"/>
  <c r="L718" i="41"/>
  <c r="K718" i="41"/>
  <c r="L717" i="41"/>
  <c r="K717" i="41"/>
  <c r="L716" i="41"/>
  <c r="K716" i="41"/>
  <c r="L715" i="41"/>
  <c r="K715" i="41"/>
  <c r="L714" i="41"/>
  <c r="K714" i="41"/>
  <c r="L713" i="41"/>
  <c r="K713" i="41"/>
  <c r="L712" i="41"/>
  <c r="K712" i="41"/>
  <c r="L711" i="41"/>
  <c r="K711" i="41"/>
  <c r="L710" i="41"/>
  <c r="K710" i="41"/>
  <c r="L709" i="41"/>
  <c r="K709" i="41"/>
  <c r="L708" i="41"/>
  <c r="K708" i="41"/>
  <c r="L707" i="41"/>
  <c r="K707" i="41"/>
  <c r="L706" i="41"/>
  <c r="K706" i="41"/>
  <c r="L705" i="41"/>
  <c r="K705" i="41"/>
  <c r="L704" i="41"/>
  <c r="K704" i="41"/>
  <c r="L703" i="41"/>
  <c r="K703" i="41"/>
  <c r="L702" i="41"/>
  <c r="K702" i="41"/>
  <c r="L701" i="41"/>
  <c r="K701" i="41"/>
  <c r="L700" i="41"/>
  <c r="K700" i="41"/>
  <c r="L699" i="41"/>
  <c r="K699" i="41"/>
  <c r="L698" i="41"/>
  <c r="K698" i="41"/>
  <c r="L697" i="41"/>
  <c r="K697" i="41"/>
  <c r="L696" i="41"/>
  <c r="K696" i="41"/>
  <c r="L695" i="41"/>
  <c r="K695" i="41"/>
  <c r="L694" i="41"/>
  <c r="K694" i="41"/>
  <c r="L693" i="41"/>
  <c r="K693" i="41"/>
  <c r="L692" i="41"/>
  <c r="K692" i="41"/>
  <c r="L691" i="41"/>
  <c r="K691" i="41"/>
  <c r="L690" i="41"/>
  <c r="K690" i="41"/>
  <c r="L689" i="41"/>
  <c r="K689" i="41"/>
  <c r="L688" i="41"/>
  <c r="K688" i="41"/>
  <c r="L687" i="41"/>
  <c r="K687" i="41"/>
  <c r="L686" i="41"/>
  <c r="K686" i="41"/>
  <c r="L685" i="41"/>
  <c r="K685" i="41"/>
  <c r="L684" i="41"/>
  <c r="K684" i="41"/>
  <c r="L683" i="41"/>
  <c r="K683" i="41"/>
  <c r="L682" i="41"/>
  <c r="K682" i="41"/>
  <c r="L681" i="41"/>
  <c r="K681" i="41"/>
  <c r="L680" i="41"/>
  <c r="K680" i="41"/>
  <c r="L679" i="41"/>
  <c r="K679" i="41"/>
  <c r="L678" i="41"/>
  <c r="K678" i="41"/>
  <c r="L677" i="41"/>
  <c r="K677" i="41"/>
  <c r="L676" i="41"/>
  <c r="K676" i="41"/>
  <c r="L675" i="41"/>
  <c r="K675" i="41"/>
  <c r="L674" i="41"/>
  <c r="K674" i="41"/>
  <c r="L673" i="41"/>
  <c r="K673" i="41"/>
  <c r="L672" i="41"/>
  <c r="K672" i="41"/>
  <c r="L671" i="41"/>
  <c r="K671" i="41"/>
  <c r="L670" i="41"/>
  <c r="K670" i="41"/>
  <c r="L669" i="41"/>
  <c r="K669" i="41"/>
  <c r="L668" i="41"/>
  <c r="K668" i="41"/>
  <c r="L667" i="41"/>
  <c r="K667" i="41"/>
  <c r="L666" i="41"/>
  <c r="K666" i="41"/>
  <c r="L665" i="41"/>
  <c r="K665" i="41"/>
  <c r="L664" i="41"/>
  <c r="K664" i="41"/>
  <c r="L663" i="41"/>
  <c r="K663" i="41"/>
  <c r="L662" i="41"/>
  <c r="K662" i="41"/>
  <c r="L661" i="41"/>
  <c r="K661" i="41"/>
  <c r="L660" i="41"/>
  <c r="K660" i="41"/>
  <c r="L659" i="41"/>
  <c r="K659" i="41"/>
  <c r="L658" i="41"/>
  <c r="K658" i="41"/>
  <c r="L657" i="41"/>
  <c r="K657" i="41"/>
  <c r="L656" i="41"/>
  <c r="K656" i="41"/>
  <c r="L655" i="41"/>
  <c r="K655" i="41"/>
  <c r="L654" i="41"/>
  <c r="K654" i="41"/>
  <c r="L653" i="41"/>
  <c r="K653" i="41"/>
  <c r="L652" i="41"/>
  <c r="K652" i="41"/>
  <c r="L651" i="41"/>
  <c r="K651" i="41"/>
  <c r="L650" i="41"/>
  <c r="K650" i="41"/>
  <c r="L649" i="41"/>
  <c r="K649" i="41"/>
  <c r="L648" i="41"/>
  <c r="K648" i="41"/>
  <c r="L647" i="41"/>
  <c r="K647" i="41"/>
  <c r="L646" i="41"/>
  <c r="K646" i="41"/>
  <c r="L645" i="41"/>
  <c r="K645" i="41"/>
  <c r="L644" i="41"/>
  <c r="K644" i="41"/>
  <c r="L643" i="41"/>
  <c r="K643" i="41"/>
  <c r="L642" i="41"/>
  <c r="K642" i="41"/>
  <c r="L641" i="41"/>
  <c r="K641" i="41"/>
  <c r="L640" i="41"/>
  <c r="K640" i="41"/>
  <c r="L639" i="41"/>
  <c r="K639" i="41"/>
  <c r="L638" i="41"/>
  <c r="K638" i="41"/>
  <c r="L637" i="41"/>
  <c r="K637" i="41"/>
  <c r="L636" i="41"/>
  <c r="K636" i="41"/>
  <c r="L635" i="41"/>
  <c r="K635" i="41"/>
  <c r="L634" i="41"/>
  <c r="K634" i="41"/>
  <c r="L633" i="41"/>
  <c r="K633" i="41"/>
  <c r="L632" i="41"/>
  <c r="K632" i="41"/>
  <c r="L631" i="41"/>
  <c r="K631" i="41"/>
  <c r="L630" i="41"/>
  <c r="K630" i="41"/>
  <c r="L629" i="41"/>
  <c r="K629" i="41"/>
  <c r="L628" i="41"/>
  <c r="K628" i="41"/>
  <c r="L627" i="41"/>
  <c r="K627" i="41"/>
  <c r="L626" i="41"/>
  <c r="K626" i="41"/>
  <c r="L625" i="41"/>
  <c r="K625" i="41"/>
  <c r="L624" i="41"/>
  <c r="K624" i="41"/>
  <c r="L623" i="41"/>
  <c r="K623" i="41"/>
  <c r="L622" i="41"/>
  <c r="K622" i="41"/>
  <c r="L621" i="41"/>
  <c r="K621" i="41"/>
  <c r="L620" i="41"/>
  <c r="K620" i="41"/>
  <c r="L619" i="41"/>
  <c r="K619" i="41"/>
  <c r="L618" i="41"/>
  <c r="K618" i="41"/>
  <c r="L617" i="41"/>
  <c r="K617" i="41"/>
  <c r="L616" i="41"/>
  <c r="K616" i="41"/>
  <c r="L615" i="41"/>
  <c r="K615" i="41"/>
  <c r="L614" i="41"/>
  <c r="K614" i="41"/>
  <c r="L613" i="41"/>
  <c r="K613" i="41"/>
  <c r="L612" i="41"/>
  <c r="K612" i="41"/>
  <c r="L611" i="41"/>
  <c r="K611" i="41"/>
  <c r="L610" i="41"/>
  <c r="K610" i="41"/>
  <c r="L609" i="41"/>
  <c r="K609" i="41"/>
  <c r="L608" i="41"/>
  <c r="K608" i="41"/>
  <c r="L607" i="41"/>
  <c r="K607" i="41"/>
  <c r="L606" i="41"/>
  <c r="K606" i="41"/>
  <c r="L605" i="41"/>
  <c r="K605" i="41"/>
  <c r="L604" i="41"/>
  <c r="K604" i="41"/>
  <c r="L603" i="41"/>
  <c r="K603" i="41"/>
  <c r="L602" i="41"/>
  <c r="K602" i="41"/>
  <c r="L601" i="41"/>
  <c r="K601" i="41"/>
  <c r="L600" i="41"/>
  <c r="K600" i="41"/>
  <c r="L599" i="41"/>
  <c r="K599" i="41"/>
  <c r="L598" i="41"/>
  <c r="K598" i="41"/>
  <c r="L597" i="41"/>
  <c r="K597" i="41"/>
  <c r="L596" i="41"/>
  <c r="K596" i="41"/>
  <c r="L595" i="41"/>
  <c r="K595" i="41"/>
  <c r="L594" i="41"/>
  <c r="K594" i="41"/>
  <c r="L593" i="41"/>
  <c r="K593" i="41"/>
  <c r="L592" i="41"/>
  <c r="K592" i="41"/>
  <c r="L591" i="41"/>
  <c r="K591" i="41"/>
  <c r="L590" i="41"/>
  <c r="K590" i="41"/>
  <c r="L589" i="41"/>
  <c r="K589" i="41"/>
  <c r="L588" i="41"/>
  <c r="K588" i="41"/>
  <c r="L587" i="41"/>
  <c r="K587" i="41"/>
  <c r="L586" i="41"/>
  <c r="K586" i="41"/>
  <c r="L585" i="41"/>
  <c r="K585" i="41"/>
  <c r="L584" i="41"/>
  <c r="K584" i="41"/>
  <c r="L583" i="41"/>
  <c r="K583" i="41"/>
  <c r="L582" i="41"/>
  <c r="K582" i="41"/>
  <c r="L581" i="41"/>
  <c r="K581" i="41"/>
  <c r="L580" i="41"/>
  <c r="K580" i="41"/>
  <c r="L579" i="41"/>
  <c r="K579" i="41"/>
  <c r="L578" i="41"/>
  <c r="K578" i="41"/>
  <c r="L577" i="41"/>
  <c r="K577" i="41"/>
  <c r="L576" i="41"/>
  <c r="K576" i="41"/>
  <c r="L575" i="41"/>
  <c r="K575" i="41"/>
  <c r="L574" i="41"/>
  <c r="K574" i="41"/>
  <c r="L573" i="41"/>
  <c r="K573" i="41"/>
  <c r="L572" i="41"/>
  <c r="K572" i="41"/>
  <c r="L571" i="41"/>
  <c r="K571" i="41"/>
  <c r="L570" i="41"/>
  <c r="K570" i="41"/>
  <c r="L569" i="41"/>
  <c r="K569" i="41"/>
  <c r="L568" i="41"/>
  <c r="K568" i="41"/>
  <c r="L567" i="41"/>
  <c r="K567" i="41"/>
  <c r="L566" i="41"/>
  <c r="K566" i="41"/>
  <c r="L565" i="41"/>
  <c r="K565" i="41"/>
  <c r="L564" i="41"/>
  <c r="K564" i="41"/>
  <c r="L563" i="41"/>
  <c r="K563" i="41"/>
  <c r="L562" i="41"/>
  <c r="K562" i="41"/>
  <c r="L561" i="41"/>
  <c r="K561" i="41"/>
  <c r="L560" i="41"/>
  <c r="K560" i="41"/>
  <c r="L559" i="41"/>
  <c r="K559" i="41"/>
  <c r="L558" i="41"/>
  <c r="K558" i="41"/>
  <c r="L557" i="41"/>
  <c r="K557" i="41"/>
  <c r="L556" i="41"/>
  <c r="K556" i="41"/>
  <c r="L555" i="41"/>
  <c r="K555" i="41"/>
  <c r="L554" i="41"/>
  <c r="K554" i="41"/>
  <c r="L553" i="41"/>
  <c r="K553" i="41"/>
  <c r="L552" i="41"/>
  <c r="K552" i="41"/>
  <c r="L551" i="41"/>
  <c r="K551" i="41"/>
  <c r="L550" i="41"/>
  <c r="K550" i="41"/>
  <c r="L549" i="41"/>
  <c r="K549" i="41"/>
  <c r="L548" i="41"/>
  <c r="K548" i="41"/>
  <c r="L547" i="41"/>
  <c r="K547" i="41"/>
  <c r="L546" i="41"/>
  <c r="K546" i="41"/>
  <c r="L545" i="41"/>
  <c r="K545" i="41"/>
  <c r="L544" i="41"/>
  <c r="K544" i="41"/>
  <c r="L543" i="41"/>
  <c r="K543" i="41"/>
  <c r="L542" i="41"/>
  <c r="K542" i="41"/>
  <c r="L541" i="41"/>
  <c r="K541" i="41"/>
  <c r="L540" i="41"/>
  <c r="K540" i="41"/>
  <c r="L539" i="41"/>
  <c r="K539" i="41"/>
  <c r="L538" i="41"/>
  <c r="K538" i="41"/>
  <c r="L537" i="41"/>
  <c r="K537" i="41"/>
  <c r="L536" i="41"/>
  <c r="K536" i="41"/>
  <c r="L535" i="41"/>
  <c r="K535" i="41"/>
  <c r="L534" i="41"/>
  <c r="K534" i="41"/>
  <c r="L533" i="41"/>
  <c r="K533" i="41"/>
  <c r="L532" i="41"/>
  <c r="K532" i="41"/>
  <c r="L531" i="41"/>
  <c r="K531" i="41"/>
  <c r="L530" i="41"/>
  <c r="K530" i="41"/>
  <c r="L529" i="41"/>
  <c r="K529" i="41"/>
  <c r="L528" i="41"/>
  <c r="K528" i="41"/>
  <c r="L527" i="41"/>
  <c r="K527" i="41"/>
  <c r="L526" i="41"/>
  <c r="K526" i="41"/>
  <c r="L525" i="41"/>
  <c r="K525" i="41"/>
  <c r="L524" i="41"/>
  <c r="K524" i="41"/>
  <c r="L523" i="41"/>
  <c r="K523" i="41"/>
  <c r="L522" i="41"/>
  <c r="K522" i="41"/>
  <c r="L521" i="41"/>
  <c r="K521" i="41"/>
  <c r="L520" i="41"/>
  <c r="K520" i="41"/>
  <c r="L519" i="41"/>
  <c r="K519" i="41"/>
  <c r="L518" i="41"/>
  <c r="K518" i="41"/>
  <c r="L517" i="41"/>
  <c r="K517" i="41"/>
  <c r="L516" i="41"/>
  <c r="K516" i="41"/>
  <c r="L515" i="41"/>
  <c r="K515" i="41"/>
  <c r="L514" i="41"/>
  <c r="K514" i="41"/>
  <c r="L513" i="41"/>
  <c r="K513" i="41"/>
  <c r="L512" i="41"/>
  <c r="K512" i="41"/>
  <c r="L511" i="41"/>
  <c r="K511" i="41"/>
  <c r="L510" i="41"/>
  <c r="K510" i="41"/>
  <c r="L509" i="41"/>
  <c r="K509" i="41"/>
  <c r="L508" i="41"/>
  <c r="K508" i="41"/>
  <c r="L507" i="41"/>
  <c r="K507" i="41"/>
  <c r="L506" i="41"/>
  <c r="K506" i="41"/>
  <c r="L505" i="41"/>
  <c r="K505" i="41"/>
  <c r="L504" i="41"/>
  <c r="K504" i="41"/>
  <c r="L503" i="41"/>
  <c r="K503" i="41"/>
  <c r="L502" i="41"/>
  <c r="K502" i="41"/>
  <c r="L501" i="41"/>
  <c r="K501" i="41"/>
  <c r="L500" i="41"/>
  <c r="K500" i="41"/>
  <c r="L499" i="41"/>
  <c r="K499" i="41"/>
  <c r="L498" i="41"/>
  <c r="K498" i="41"/>
  <c r="L497" i="41"/>
  <c r="K497" i="41"/>
  <c r="L496" i="41"/>
  <c r="K496" i="41"/>
  <c r="L495" i="41"/>
  <c r="K495" i="41"/>
  <c r="L494" i="41"/>
  <c r="K494" i="41"/>
  <c r="L493" i="41"/>
  <c r="K493" i="41"/>
  <c r="L492" i="41"/>
  <c r="K492" i="41"/>
  <c r="L491" i="41"/>
  <c r="K491" i="41"/>
  <c r="L490" i="41"/>
  <c r="K490" i="41"/>
  <c r="L489" i="41"/>
  <c r="K489" i="41"/>
  <c r="L488" i="41"/>
  <c r="K488" i="41"/>
  <c r="L487" i="41"/>
  <c r="K487" i="41"/>
  <c r="L486" i="41"/>
  <c r="K486" i="41"/>
  <c r="L485" i="41"/>
  <c r="K485" i="41"/>
  <c r="L484" i="41"/>
  <c r="K484" i="41"/>
  <c r="L483" i="41"/>
  <c r="K483" i="41"/>
  <c r="L482" i="41"/>
  <c r="K482" i="41"/>
  <c r="L481" i="41"/>
  <c r="K481" i="41"/>
  <c r="L480" i="41"/>
  <c r="K480" i="41"/>
  <c r="L479" i="41"/>
  <c r="K479" i="41"/>
  <c r="L478" i="41"/>
  <c r="K478" i="41"/>
  <c r="L477" i="41"/>
  <c r="K477" i="41"/>
  <c r="L476" i="41"/>
  <c r="K476" i="41"/>
  <c r="L475" i="41"/>
  <c r="K475" i="41"/>
  <c r="L474" i="41"/>
  <c r="K474" i="41"/>
  <c r="L473" i="41"/>
  <c r="K473" i="41"/>
  <c r="L472" i="41"/>
  <c r="K472" i="41"/>
  <c r="L471" i="41"/>
  <c r="K471" i="41"/>
  <c r="L470" i="41"/>
  <c r="K470" i="41"/>
  <c r="L469" i="41"/>
  <c r="K469" i="41"/>
  <c r="L468" i="41"/>
  <c r="K468" i="41"/>
  <c r="L467" i="41"/>
  <c r="K467" i="41"/>
  <c r="L466" i="41"/>
  <c r="K466" i="41"/>
  <c r="L465" i="41"/>
  <c r="K465" i="41"/>
  <c r="L464" i="41"/>
  <c r="K464" i="41"/>
  <c r="L463" i="41"/>
  <c r="K463" i="41"/>
  <c r="L462" i="41"/>
  <c r="K462" i="41"/>
  <c r="L461" i="41"/>
  <c r="K461" i="41"/>
  <c r="L460" i="41"/>
  <c r="K460" i="41"/>
  <c r="L459" i="41"/>
  <c r="K459" i="41"/>
  <c r="L458" i="41"/>
  <c r="K458" i="41"/>
  <c r="L457" i="41"/>
  <c r="K457" i="41"/>
  <c r="L456" i="41"/>
  <c r="K456" i="41"/>
  <c r="L455" i="41"/>
  <c r="K455" i="41"/>
  <c r="L454" i="41"/>
  <c r="K454" i="41"/>
  <c r="L453" i="41"/>
  <c r="K453" i="41"/>
  <c r="L452" i="41"/>
  <c r="K452" i="41"/>
  <c r="L451" i="41"/>
  <c r="K451" i="41"/>
  <c r="L450" i="41"/>
  <c r="K450" i="41"/>
  <c r="L449" i="41"/>
  <c r="K449" i="41"/>
  <c r="L448" i="41"/>
  <c r="K448" i="41"/>
  <c r="L447" i="41"/>
  <c r="K447" i="41"/>
  <c r="L446" i="41"/>
  <c r="K446" i="41"/>
  <c r="L445" i="41"/>
  <c r="K445" i="41"/>
  <c r="L444" i="41"/>
  <c r="K444" i="41"/>
  <c r="L443" i="41"/>
  <c r="K443" i="41"/>
  <c r="L442" i="41"/>
  <c r="K442" i="41"/>
  <c r="L441" i="41"/>
  <c r="K441" i="41"/>
  <c r="L440" i="41"/>
  <c r="K440" i="41"/>
  <c r="L439" i="41"/>
  <c r="K439" i="41"/>
  <c r="L438" i="41"/>
  <c r="K438" i="41"/>
  <c r="L437" i="41"/>
  <c r="K437" i="41"/>
  <c r="L436" i="41"/>
  <c r="K436" i="41"/>
  <c r="L435" i="41"/>
  <c r="K435" i="41"/>
  <c r="L434" i="41"/>
  <c r="K434" i="41"/>
  <c r="L433" i="41"/>
  <c r="K433" i="41"/>
  <c r="L432" i="41"/>
  <c r="K432" i="41"/>
  <c r="L431" i="41"/>
  <c r="K431" i="41"/>
  <c r="L430" i="41"/>
  <c r="K430" i="41"/>
  <c r="L429" i="41"/>
  <c r="K429" i="41"/>
  <c r="L428" i="41"/>
  <c r="K428" i="41"/>
  <c r="L427" i="41"/>
  <c r="K427" i="41"/>
  <c r="L426" i="41"/>
  <c r="K426" i="41"/>
  <c r="L425" i="41"/>
  <c r="K425" i="41"/>
  <c r="L424" i="41"/>
  <c r="K424" i="41"/>
  <c r="L423" i="41"/>
  <c r="K423" i="41"/>
  <c r="L422" i="41"/>
  <c r="K422" i="41"/>
  <c r="L421" i="41"/>
  <c r="K421" i="41"/>
  <c r="L420" i="41"/>
  <c r="K420" i="41"/>
  <c r="L419" i="41"/>
  <c r="K419" i="41"/>
  <c r="L418" i="41"/>
  <c r="K418" i="41"/>
  <c r="L417" i="41"/>
  <c r="K417" i="41"/>
  <c r="L416" i="41"/>
  <c r="K416" i="41"/>
  <c r="L415" i="41"/>
  <c r="K415" i="41"/>
  <c r="L414" i="41"/>
  <c r="K414" i="41"/>
  <c r="L413" i="41"/>
  <c r="K413" i="41"/>
  <c r="L412" i="41"/>
  <c r="K412" i="41"/>
  <c r="L411" i="41"/>
  <c r="K411" i="41"/>
  <c r="L410" i="41"/>
  <c r="K410" i="41"/>
  <c r="L409" i="41"/>
  <c r="K409" i="41"/>
  <c r="L408" i="41"/>
  <c r="K408" i="41"/>
  <c r="L407" i="41"/>
  <c r="K407" i="41"/>
  <c r="L406" i="41"/>
  <c r="K406" i="41"/>
  <c r="L405" i="41"/>
  <c r="K405" i="41"/>
  <c r="L404" i="41"/>
  <c r="K404" i="41"/>
  <c r="L403" i="41"/>
  <c r="K403" i="41"/>
  <c r="L402" i="41"/>
  <c r="K402" i="41"/>
  <c r="L401" i="41"/>
  <c r="K401" i="41"/>
  <c r="L400" i="41"/>
  <c r="K400" i="41"/>
  <c r="L399" i="41"/>
  <c r="K399" i="41"/>
  <c r="L398" i="41"/>
  <c r="K398" i="41"/>
  <c r="L397" i="41"/>
  <c r="K397" i="41"/>
  <c r="L396" i="41"/>
  <c r="K396" i="41"/>
  <c r="L395" i="41"/>
  <c r="K395" i="41"/>
  <c r="L394" i="41"/>
  <c r="K394" i="41"/>
  <c r="L393" i="41"/>
  <c r="K393" i="41"/>
  <c r="L392" i="41"/>
  <c r="K392" i="41"/>
  <c r="L391" i="41"/>
  <c r="K391" i="41"/>
  <c r="L390" i="41"/>
  <c r="K390" i="41"/>
  <c r="L389" i="41"/>
  <c r="K389" i="41"/>
  <c r="L388" i="41"/>
  <c r="K388" i="41"/>
  <c r="L387" i="41"/>
  <c r="K387" i="41"/>
  <c r="L386" i="41"/>
  <c r="K386" i="41"/>
  <c r="L385" i="41"/>
  <c r="K385" i="41"/>
  <c r="L384" i="41"/>
  <c r="K384" i="41"/>
  <c r="L383" i="41"/>
  <c r="K383" i="41"/>
  <c r="L382" i="41"/>
  <c r="K382" i="41"/>
  <c r="L381" i="41"/>
  <c r="K381" i="41"/>
  <c r="L380" i="41"/>
  <c r="K380" i="41"/>
  <c r="L379" i="41"/>
  <c r="K379" i="41"/>
  <c r="L378" i="41"/>
  <c r="K378" i="41"/>
  <c r="L377" i="41"/>
  <c r="K377" i="41"/>
  <c r="L376" i="41"/>
  <c r="K376" i="41"/>
  <c r="L375" i="41"/>
  <c r="K375" i="41"/>
  <c r="L374" i="41"/>
  <c r="K374" i="41"/>
  <c r="L373" i="41"/>
  <c r="K373" i="41"/>
  <c r="L372" i="41"/>
  <c r="K372" i="41"/>
  <c r="L371" i="41"/>
  <c r="K371" i="41"/>
  <c r="L370" i="41"/>
  <c r="K370" i="41"/>
  <c r="L369" i="41"/>
  <c r="K369" i="41"/>
  <c r="L368" i="41"/>
  <c r="K368" i="41"/>
  <c r="L367" i="41"/>
  <c r="K367" i="41"/>
  <c r="L366" i="41"/>
  <c r="K366" i="41"/>
  <c r="L365" i="41"/>
  <c r="K365" i="41"/>
  <c r="L364" i="41"/>
  <c r="K364" i="41"/>
  <c r="L363" i="41"/>
  <c r="K363" i="41"/>
  <c r="L362" i="41"/>
  <c r="K362" i="41"/>
  <c r="L361" i="41"/>
  <c r="K361" i="41"/>
  <c r="L360" i="41"/>
  <c r="K360" i="41"/>
  <c r="L359" i="41"/>
  <c r="K359" i="41"/>
  <c r="L358" i="41"/>
  <c r="K358" i="41"/>
  <c r="L357" i="41"/>
  <c r="K357" i="41"/>
  <c r="L356" i="41"/>
  <c r="K356" i="41"/>
  <c r="L355" i="41"/>
  <c r="K355" i="41"/>
  <c r="L354" i="41"/>
  <c r="K354" i="41"/>
  <c r="L353" i="41"/>
  <c r="K353" i="41"/>
  <c r="L352" i="41"/>
  <c r="K352" i="41"/>
  <c r="L351" i="41"/>
  <c r="K351" i="41"/>
  <c r="L350" i="41"/>
  <c r="K350" i="41"/>
  <c r="L349" i="41"/>
  <c r="K349" i="41"/>
  <c r="L348" i="41"/>
  <c r="K348" i="41"/>
  <c r="L347" i="41"/>
  <c r="K347" i="41"/>
  <c r="L346" i="41"/>
  <c r="K346" i="41"/>
  <c r="L345" i="41"/>
  <c r="K345" i="41"/>
  <c r="L344" i="41"/>
  <c r="K344" i="41"/>
  <c r="L343" i="41"/>
  <c r="K343" i="41"/>
  <c r="L342" i="41"/>
  <c r="K342" i="41"/>
  <c r="L341" i="41"/>
  <c r="K341" i="41"/>
  <c r="L340" i="41"/>
  <c r="K340" i="41"/>
  <c r="L339" i="41"/>
  <c r="K339" i="41"/>
  <c r="L338" i="41"/>
  <c r="K338" i="41"/>
  <c r="L337" i="41"/>
  <c r="K337" i="41"/>
  <c r="L336" i="41"/>
  <c r="K336" i="41"/>
  <c r="L335" i="41"/>
  <c r="K335" i="41"/>
  <c r="L334" i="41"/>
  <c r="K334" i="41"/>
  <c r="L333" i="41"/>
  <c r="K333" i="41"/>
  <c r="L332" i="41"/>
  <c r="K332" i="41"/>
  <c r="L331" i="41"/>
  <c r="K331" i="41"/>
  <c r="L330" i="41"/>
  <c r="K330" i="41"/>
  <c r="L329" i="41"/>
  <c r="K329" i="41"/>
  <c r="L328" i="41"/>
  <c r="K328" i="41"/>
  <c r="L327" i="41"/>
  <c r="K327" i="41"/>
  <c r="L326" i="41"/>
  <c r="K326" i="41"/>
  <c r="L325" i="41"/>
  <c r="K325" i="41"/>
  <c r="L324" i="41"/>
  <c r="K324" i="41"/>
  <c r="L323" i="41"/>
  <c r="K323" i="41"/>
  <c r="L322" i="41"/>
  <c r="K322" i="41"/>
  <c r="L321" i="41"/>
  <c r="K321" i="41"/>
  <c r="L320" i="41"/>
  <c r="K320" i="41"/>
  <c r="L319" i="41"/>
  <c r="K319" i="41"/>
  <c r="L318" i="41"/>
  <c r="K318" i="41"/>
  <c r="L317" i="41"/>
  <c r="K317" i="41"/>
  <c r="L316" i="41"/>
  <c r="K316" i="41"/>
  <c r="L315" i="41"/>
  <c r="K315" i="41"/>
  <c r="L314" i="41"/>
  <c r="K314" i="41"/>
  <c r="L313" i="41"/>
  <c r="K313" i="41"/>
  <c r="L312" i="41"/>
  <c r="K312" i="41"/>
  <c r="L311" i="41"/>
  <c r="K311" i="41"/>
  <c r="L310" i="41"/>
  <c r="K310" i="41"/>
  <c r="L309" i="41"/>
  <c r="K309" i="41"/>
  <c r="L308" i="41"/>
  <c r="K308" i="41"/>
  <c r="L307" i="41"/>
  <c r="K307" i="41"/>
  <c r="L306" i="41"/>
  <c r="K306" i="41"/>
  <c r="L305" i="41"/>
  <c r="K305" i="41"/>
  <c r="L304" i="41"/>
  <c r="K304" i="41"/>
  <c r="L303" i="41"/>
  <c r="K303" i="41"/>
  <c r="L302" i="41"/>
  <c r="K302" i="41"/>
  <c r="L301" i="41"/>
  <c r="K301" i="41"/>
  <c r="L300" i="41"/>
  <c r="K300" i="41"/>
  <c r="L299" i="41"/>
  <c r="K299" i="41"/>
  <c r="L298" i="41"/>
  <c r="K298" i="41"/>
  <c r="L297" i="41"/>
  <c r="K297" i="41"/>
  <c r="L296" i="41"/>
  <c r="K296" i="41"/>
  <c r="L295" i="41"/>
  <c r="K295" i="41"/>
  <c r="L294" i="41"/>
  <c r="K294" i="41"/>
  <c r="L293" i="41"/>
  <c r="K293" i="41"/>
  <c r="L292" i="41"/>
  <c r="K292" i="41"/>
  <c r="L291" i="41"/>
  <c r="K291" i="41"/>
  <c r="L290" i="41"/>
  <c r="K290" i="41"/>
  <c r="L289" i="41"/>
  <c r="K289" i="41"/>
  <c r="L288" i="41"/>
  <c r="K288" i="41"/>
  <c r="L287" i="41"/>
  <c r="K287" i="41"/>
  <c r="L286" i="41"/>
  <c r="K286" i="41"/>
  <c r="L285" i="41"/>
  <c r="K285" i="41"/>
  <c r="L284" i="41"/>
  <c r="K284" i="41"/>
  <c r="L283" i="41"/>
  <c r="K283" i="41"/>
  <c r="L282" i="41"/>
  <c r="K282" i="41"/>
  <c r="L281" i="41"/>
  <c r="K281" i="41"/>
  <c r="L280" i="41"/>
  <c r="K280" i="41"/>
  <c r="L279" i="41"/>
  <c r="K279" i="41"/>
  <c r="L278" i="41"/>
  <c r="K278" i="41"/>
  <c r="L277" i="41"/>
  <c r="K277" i="41"/>
  <c r="L276" i="41"/>
  <c r="K276" i="41"/>
  <c r="L275" i="41"/>
  <c r="K275" i="41"/>
  <c r="L274" i="41"/>
  <c r="K274" i="41"/>
  <c r="L273" i="41"/>
  <c r="K273" i="41"/>
  <c r="L272" i="41"/>
  <c r="K272" i="41"/>
  <c r="L271" i="41"/>
  <c r="K271" i="41"/>
  <c r="L270" i="41"/>
  <c r="K270" i="41"/>
  <c r="L269" i="41"/>
  <c r="K269" i="41"/>
  <c r="L268" i="41"/>
  <c r="K268" i="41"/>
  <c r="L267" i="41"/>
  <c r="K267" i="41"/>
  <c r="L266" i="41"/>
  <c r="K266" i="41"/>
  <c r="L265" i="41"/>
  <c r="K265" i="41"/>
  <c r="L264" i="41"/>
  <c r="K264" i="41"/>
  <c r="L263" i="41"/>
  <c r="K263" i="41"/>
  <c r="L262" i="41"/>
  <c r="K262" i="41"/>
  <c r="L261" i="41"/>
  <c r="K261" i="41"/>
  <c r="L260" i="41"/>
  <c r="K260" i="41"/>
  <c r="L259" i="41"/>
  <c r="K259" i="41"/>
  <c r="L258" i="41"/>
  <c r="K258" i="41"/>
  <c r="L257" i="41"/>
  <c r="K257" i="41"/>
  <c r="L256" i="41"/>
  <c r="K256" i="41"/>
  <c r="L255" i="41"/>
  <c r="K255" i="41"/>
  <c r="L254" i="41"/>
  <c r="K254" i="41"/>
  <c r="L253" i="41"/>
  <c r="K253" i="41"/>
  <c r="L252" i="41"/>
  <c r="K252" i="41"/>
  <c r="L251" i="41"/>
  <c r="K251" i="41"/>
  <c r="L250" i="41"/>
  <c r="K250" i="41"/>
  <c r="L249" i="41"/>
  <c r="K249" i="41"/>
  <c r="L248" i="41"/>
  <c r="K248" i="41"/>
  <c r="L247" i="41"/>
  <c r="K247" i="41"/>
  <c r="L246" i="41"/>
  <c r="K246" i="41"/>
  <c r="L245" i="41"/>
  <c r="K245" i="41"/>
  <c r="L244" i="41"/>
  <c r="K244" i="41"/>
  <c r="L243" i="41"/>
  <c r="K243" i="41"/>
  <c r="L242" i="41"/>
  <c r="K242" i="41"/>
  <c r="L241" i="41"/>
  <c r="K241" i="41"/>
  <c r="L240" i="41"/>
  <c r="K240" i="41"/>
  <c r="L239" i="41"/>
  <c r="K239" i="41"/>
  <c r="L238" i="41"/>
  <c r="K238" i="41"/>
  <c r="L237" i="41"/>
  <c r="K237" i="41"/>
  <c r="L236" i="41"/>
  <c r="K236" i="41"/>
  <c r="L235" i="41"/>
  <c r="K235" i="41"/>
  <c r="L234" i="41"/>
  <c r="K234" i="41"/>
  <c r="L233" i="41"/>
  <c r="K233" i="41"/>
  <c r="L232" i="41"/>
  <c r="K232" i="41"/>
  <c r="L231" i="41"/>
  <c r="K231" i="41"/>
  <c r="L230" i="41"/>
  <c r="K230" i="41"/>
  <c r="L229" i="41"/>
  <c r="K229" i="41"/>
  <c r="L228" i="41"/>
  <c r="K228" i="41"/>
  <c r="L227" i="41"/>
  <c r="K227" i="41"/>
  <c r="L226" i="41"/>
  <c r="K226" i="41"/>
  <c r="L225" i="41"/>
  <c r="K225" i="41"/>
  <c r="L224" i="41"/>
  <c r="K224" i="41"/>
  <c r="L223" i="41"/>
  <c r="K223" i="41"/>
  <c r="L222" i="41"/>
  <c r="K222" i="41"/>
  <c r="L221" i="41"/>
  <c r="K221" i="41"/>
  <c r="L220" i="41"/>
  <c r="K220" i="41"/>
  <c r="L219" i="41"/>
  <c r="K219" i="41"/>
  <c r="L218" i="41"/>
  <c r="K218" i="41"/>
  <c r="L217" i="41"/>
  <c r="K217" i="41"/>
  <c r="L216" i="41"/>
  <c r="K216" i="41"/>
  <c r="L215" i="41"/>
  <c r="K215" i="41"/>
  <c r="L214" i="41"/>
  <c r="K214" i="41"/>
  <c r="L213" i="41"/>
  <c r="K213" i="41"/>
  <c r="L212" i="41"/>
  <c r="K212" i="41"/>
  <c r="L211" i="41"/>
  <c r="K211" i="41"/>
  <c r="L210" i="41"/>
  <c r="K210" i="41"/>
  <c r="L209" i="41"/>
  <c r="K209" i="41"/>
  <c r="L208" i="41"/>
  <c r="K208" i="41"/>
  <c r="L207" i="41"/>
  <c r="K207" i="41"/>
  <c r="L206" i="41"/>
  <c r="K206" i="41"/>
  <c r="L205" i="41"/>
  <c r="K205" i="41"/>
  <c r="L204" i="41"/>
  <c r="K204" i="41"/>
  <c r="L203" i="41"/>
  <c r="K203" i="41"/>
  <c r="L202" i="41"/>
  <c r="K202" i="41"/>
  <c r="L201" i="41"/>
  <c r="K201" i="41"/>
  <c r="L200" i="41"/>
  <c r="K200" i="41"/>
  <c r="L199" i="41"/>
  <c r="K199" i="41"/>
  <c r="L198" i="41"/>
  <c r="K198" i="41"/>
  <c r="L197" i="41"/>
  <c r="K197" i="41"/>
  <c r="L196" i="41"/>
  <c r="K196" i="41"/>
  <c r="L195" i="41"/>
  <c r="K195" i="41"/>
  <c r="L194" i="41"/>
  <c r="K194" i="41"/>
  <c r="L193" i="41"/>
  <c r="K193" i="41"/>
  <c r="L192" i="41"/>
  <c r="K192" i="41"/>
  <c r="L191" i="41"/>
  <c r="K191" i="41"/>
  <c r="L190" i="41"/>
  <c r="K190" i="41"/>
  <c r="L189" i="41"/>
  <c r="K189" i="41"/>
  <c r="L188" i="41"/>
  <c r="K188" i="41"/>
  <c r="L187" i="41"/>
  <c r="K187" i="41"/>
  <c r="L186" i="41"/>
  <c r="K186" i="41"/>
  <c r="L185" i="41"/>
  <c r="K185" i="41"/>
  <c r="L184" i="41"/>
  <c r="K184" i="41"/>
  <c r="L183" i="41"/>
  <c r="K183" i="41"/>
  <c r="L182" i="41"/>
  <c r="K182" i="41"/>
  <c r="L181" i="41"/>
  <c r="K181" i="41"/>
  <c r="L180" i="41"/>
  <c r="K180" i="41"/>
  <c r="L179" i="41"/>
  <c r="K179" i="41"/>
  <c r="L178" i="41"/>
  <c r="K178" i="41"/>
  <c r="L177" i="41"/>
  <c r="K177" i="41"/>
  <c r="L176" i="41"/>
  <c r="K176" i="41"/>
  <c r="L175" i="41"/>
  <c r="K175" i="41"/>
  <c r="L174" i="41"/>
  <c r="K174" i="41"/>
  <c r="L173" i="41"/>
  <c r="K173" i="41"/>
  <c r="L172" i="41"/>
  <c r="K172" i="41"/>
  <c r="L171" i="41"/>
  <c r="K171" i="41"/>
  <c r="L170" i="41"/>
  <c r="K170" i="41"/>
  <c r="L169" i="41"/>
  <c r="K169" i="41"/>
  <c r="L168" i="41"/>
  <c r="K168" i="41"/>
  <c r="L167" i="41"/>
  <c r="K167" i="41"/>
  <c r="L166" i="41"/>
  <c r="K166" i="41"/>
  <c r="L165" i="41"/>
  <c r="K165" i="41"/>
  <c r="L164" i="41"/>
  <c r="K164" i="41"/>
  <c r="L163" i="41"/>
  <c r="K163" i="41"/>
  <c r="L162" i="41"/>
  <c r="K162" i="41"/>
  <c r="L161" i="41"/>
  <c r="K161" i="41"/>
  <c r="L160" i="41"/>
  <c r="K160" i="41"/>
  <c r="L159" i="41"/>
  <c r="K159" i="41"/>
  <c r="L158" i="41"/>
  <c r="K158" i="41"/>
  <c r="L157" i="41"/>
  <c r="K157" i="41"/>
  <c r="L156" i="41"/>
  <c r="K156" i="41"/>
  <c r="L155" i="41"/>
  <c r="K155" i="41"/>
  <c r="L154" i="41"/>
  <c r="K154" i="41"/>
  <c r="L153" i="41"/>
  <c r="K153" i="41"/>
  <c r="L152" i="41"/>
  <c r="K152" i="41"/>
  <c r="L151" i="41"/>
  <c r="K151" i="41"/>
  <c r="L150" i="41"/>
  <c r="K150" i="41"/>
  <c r="L149" i="41"/>
  <c r="K149" i="41"/>
  <c r="L148" i="41"/>
  <c r="K148" i="41"/>
  <c r="L147" i="41"/>
  <c r="K147" i="41"/>
  <c r="L146" i="41"/>
  <c r="K146" i="41"/>
  <c r="L145" i="41"/>
  <c r="K145" i="41"/>
  <c r="L144" i="41"/>
  <c r="K144" i="41"/>
  <c r="L143" i="41"/>
  <c r="K143" i="41"/>
  <c r="L142" i="41"/>
  <c r="K142" i="41"/>
  <c r="L141" i="41"/>
  <c r="K141" i="41"/>
  <c r="L140" i="41"/>
  <c r="K140" i="41"/>
  <c r="L139" i="41"/>
  <c r="K139" i="41"/>
  <c r="L138" i="41"/>
  <c r="K138" i="41"/>
  <c r="L137" i="41"/>
  <c r="K137" i="41"/>
  <c r="L136" i="41"/>
  <c r="K136" i="41"/>
  <c r="L135" i="41"/>
  <c r="K135" i="41"/>
  <c r="L134" i="41"/>
  <c r="K134" i="41"/>
  <c r="L133" i="41"/>
  <c r="K133" i="41"/>
  <c r="L132" i="41"/>
  <c r="K132" i="41"/>
  <c r="L131" i="41"/>
  <c r="K131" i="41"/>
  <c r="L130" i="41"/>
  <c r="K130" i="41"/>
  <c r="L129" i="41"/>
  <c r="K129" i="41"/>
  <c r="L128" i="41"/>
  <c r="K128" i="41"/>
  <c r="L127" i="41"/>
  <c r="K127" i="41"/>
  <c r="L126" i="41"/>
  <c r="K126" i="41"/>
  <c r="L125" i="41"/>
  <c r="K125" i="41"/>
  <c r="L124" i="41"/>
  <c r="K124" i="41"/>
  <c r="L123" i="41"/>
  <c r="K123" i="41"/>
  <c r="L122" i="41"/>
  <c r="K122" i="41"/>
  <c r="L121" i="41"/>
  <c r="K121" i="41"/>
  <c r="L120" i="41"/>
  <c r="K120" i="41"/>
  <c r="L119" i="41"/>
  <c r="K119" i="41"/>
  <c r="L118" i="41"/>
  <c r="K118" i="41"/>
  <c r="L117" i="41"/>
  <c r="K117" i="41"/>
  <c r="L116" i="41"/>
  <c r="K116" i="41"/>
  <c r="L115" i="41"/>
  <c r="K115" i="41"/>
  <c r="L114" i="41"/>
  <c r="K114" i="41"/>
  <c r="L113" i="41"/>
  <c r="K113" i="41"/>
  <c r="L112" i="41"/>
  <c r="K112" i="41"/>
  <c r="L111" i="41"/>
  <c r="K111" i="41"/>
  <c r="L110" i="41"/>
  <c r="K110" i="41"/>
  <c r="L109" i="41"/>
  <c r="K109" i="41"/>
  <c r="L108" i="41"/>
  <c r="K108" i="41"/>
  <c r="L107" i="41"/>
  <c r="K107" i="41"/>
  <c r="L106" i="41"/>
  <c r="K106" i="41"/>
  <c r="L105" i="41"/>
  <c r="K105" i="41"/>
  <c r="L104" i="41"/>
  <c r="K104" i="41"/>
  <c r="L103" i="41"/>
  <c r="K103" i="41"/>
  <c r="L102" i="41"/>
  <c r="K102" i="41"/>
  <c r="L101" i="41"/>
  <c r="K101" i="41"/>
  <c r="L100" i="41"/>
  <c r="K100" i="41"/>
  <c r="L99" i="41"/>
  <c r="K99" i="41"/>
  <c r="L98" i="41"/>
  <c r="K98" i="41"/>
  <c r="L97" i="41"/>
  <c r="K97" i="41"/>
  <c r="L96" i="41"/>
  <c r="K96" i="41"/>
  <c r="L95" i="41"/>
  <c r="K95" i="41"/>
  <c r="L94" i="41"/>
  <c r="K94" i="41"/>
  <c r="L93" i="41"/>
  <c r="K93" i="41"/>
  <c r="L92" i="41"/>
  <c r="K92" i="41"/>
  <c r="L91" i="41"/>
  <c r="K91" i="41"/>
  <c r="L90" i="41"/>
  <c r="K90" i="41"/>
  <c r="L89" i="41"/>
  <c r="K89" i="41"/>
  <c r="L88" i="41"/>
  <c r="K88" i="41"/>
  <c r="L87" i="41"/>
  <c r="K87" i="41"/>
  <c r="L86" i="41"/>
  <c r="K86" i="41"/>
  <c r="L85" i="41"/>
  <c r="K85" i="41"/>
  <c r="L84" i="41"/>
  <c r="K84" i="41"/>
  <c r="L83" i="41"/>
  <c r="K83" i="41"/>
  <c r="L82" i="41"/>
  <c r="K82" i="41"/>
  <c r="L81" i="41"/>
  <c r="K81" i="41"/>
  <c r="L80" i="41"/>
  <c r="K80" i="41"/>
  <c r="L79" i="41"/>
  <c r="K79" i="41"/>
  <c r="L78" i="41"/>
  <c r="K78" i="41"/>
  <c r="L77" i="41"/>
  <c r="K77" i="41"/>
  <c r="L76" i="41"/>
  <c r="K76" i="41"/>
  <c r="L75" i="41"/>
  <c r="K75" i="41"/>
  <c r="L74" i="41"/>
  <c r="K74" i="41"/>
  <c r="L73" i="41"/>
  <c r="K73" i="41"/>
  <c r="L72" i="41"/>
  <c r="K72" i="41"/>
  <c r="L71" i="41"/>
  <c r="K71" i="41"/>
  <c r="L70" i="41"/>
  <c r="K70" i="41"/>
  <c r="L69" i="41"/>
  <c r="K69" i="41"/>
  <c r="L68" i="41"/>
  <c r="K68" i="41"/>
  <c r="L67" i="41"/>
  <c r="K67" i="41"/>
  <c r="L66" i="41"/>
  <c r="K66" i="41"/>
  <c r="L65" i="41"/>
  <c r="K65" i="41"/>
  <c r="L64" i="41"/>
  <c r="K64" i="41"/>
  <c r="L63" i="41"/>
  <c r="K63" i="41"/>
  <c r="L62" i="41"/>
  <c r="K62" i="41"/>
  <c r="L61" i="41"/>
  <c r="K61" i="41"/>
  <c r="L60" i="41"/>
  <c r="K60" i="41"/>
  <c r="L59" i="41"/>
  <c r="K59" i="41"/>
  <c r="L58" i="41"/>
  <c r="K58" i="41"/>
  <c r="L57" i="41"/>
  <c r="K57" i="41"/>
  <c r="L56" i="41"/>
  <c r="K56" i="41"/>
  <c r="L55" i="41"/>
  <c r="K55" i="41"/>
  <c r="L54" i="41"/>
  <c r="K54" i="41"/>
  <c r="L53" i="41"/>
  <c r="K53" i="41"/>
  <c r="L52" i="41"/>
  <c r="K52" i="41"/>
  <c r="L51" i="41"/>
  <c r="K51" i="41"/>
  <c r="L50" i="41"/>
  <c r="K50" i="41"/>
  <c r="L49" i="41"/>
  <c r="K49" i="41"/>
  <c r="L48" i="41"/>
  <c r="K48" i="41"/>
  <c r="L47" i="41"/>
  <c r="K47" i="41"/>
  <c r="L46" i="41"/>
  <c r="K46" i="41"/>
  <c r="L45" i="41"/>
  <c r="K45" i="41"/>
  <c r="L44" i="41"/>
  <c r="K44" i="41"/>
  <c r="L43" i="41"/>
  <c r="K43" i="41"/>
  <c r="L42" i="41"/>
  <c r="K42" i="41"/>
  <c r="L41" i="41"/>
  <c r="K41" i="41"/>
  <c r="L40" i="41"/>
  <c r="K40" i="41"/>
  <c r="L39" i="41"/>
  <c r="K39" i="41"/>
  <c r="L38" i="41"/>
  <c r="K38" i="41"/>
  <c r="L37" i="41"/>
  <c r="K37" i="41"/>
  <c r="L36" i="41"/>
  <c r="K36" i="41"/>
  <c r="L35" i="41"/>
  <c r="K35" i="41"/>
  <c r="L34" i="41"/>
  <c r="K34" i="41"/>
  <c r="L33" i="41"/>
  <c r="K33" i="41"/>
  <c r="L32" i="41"/>
  <c r="K32" i="41"/>
  <c r="L31" i="41"/>
  <c r="K31" i="41"/>
  <c r="L30" i="41"/>
  <c r="K30" i="41"/>
  <c r="L29" i="41"/>
  <c r="K29" i="41"/>
  <c r="L28" i="41"/>
  <c r="K28" i="41"/>
  <c r="L27" i="41"/>
  <c r="K27" i="41"/>
  <c r="L26" i="41"/>
  <c r="K26" i="41"/>
  <c r="L25" i="41"/>
  <c r="K25" i="41"/>
  <c r="L24" i="41"/>
  <c r="K24" i="41"/>
  <c r="L23" i="41"/>
  <c r="K23" i="41"/>
  <c r="L22" i="41"/>
  <c r="K22" i="41"/>
  <c r="L21" i="41"/>
  <c r="K21" i="41"/>
  <c r="L20" i="41"/>
  <c r="K20" i="41"/>
  <c r="L19" i="41"/>
  <c r="K19" i="41"/>
  <c r="L18" i="41"/>
  <c r="K18" i="41"/>
  <c r="L17" i="41"/>
  <c r="K17" i="41"/>
  <c r="L16" i="41"/>
  <c r="K16" i="41"/>
  <c r="L15" i="41"/>
  <c r="K15" i="41"/>
  <c r="L14" i="41"/>
  <c r="K14" i="41"/>
  <c r="L13" i="41"/>
  <c r="K13" i="41"/>
  <c r="L12" i="41"/>
  <c r="K12" i="41"/>
  <c r="L11" i="41"/>
  <c r="K11" i="41"/>
  <c r="L10" i="41"/>
  <c r="K10" i="41"/>
  <c r="L9" i="41"/>
  <c r="K9" i="41"/>
  <c r="L8" i="41"/>
  <c r="K8" i="41"/>
  <c r="L7" i="41"/>
  <c r="K7" i="41"/>
  <c r="L6" i="41"/>
  <c r="K6" i="41"/>
  <c r="L5" i="41"/>
  <c r="K5" i="41"/>
  <c r="L4" i="41"/>
  <c r="K4" i="41"/>
  <c r="L3" i="41"/>
  <c r="K3" i="41"/>
  <c r="E1995" i="29" l="1" a="1"/>
  <c r="E1995" i="29" s="1"/>
  <c r="E1568" i="29" a="1"/>
  <c r="E1568" i="29" s="1"/>
  <c r="E1690" i="29" a="1"/>
  <c r="E1690" i="29" s="1"/>
  <c r="E1873" i="29" a="1"/>
  <c r="E1873" i="29" s="1"/>
  <c r="E1934" i="29" a="1"/>
  <c r="E1934" i="29" s="1"/>
  <c r="F1444" i="29" a="1"/>
  <c r="F1444" i="29" s="1"/>
  <c r="E1505" i="29" a="1"/>
  <c r="E1505" i="29" s="1"/>
  <c r="E1270" i="29" a="1"/>
  <c r="E1270" i="29" s="1"/>
  <c r="E1812" i="29" a="1"/>
  <c r="E1812" i="29" s="1"/>
  <c r="F1322" i="29" a="1"/>
  <c r="F1322" i="29" s="1"/>
  <c r="E1383" i="29" a="1"/>
  <c r="E1383" i="29" s="1"/>
  <c r="I10" i="53"/>
  <c r="D10" i="53"/>
  <c r="I9" i="53"/>
  <c r="D9" i="53"/>
  <c r="I8" i="53"/>
  <c r="D8" i="53"/>
  <c r="I7" i="53"/>
  <c r="D7" i="53"/>
  <c r="I6" i="53"/>
  <c r="D6" i="53"/>
  <c r="H10" i="52"/>
  <c r="D10" i="52"/>
  <c r="H9" i="52"/>
  <c r="D9" i="52"/>
  <c r="H8" i="52"/>
  <c r="D8" i="52"/>
  <c r="H7" i="52"/>
  <c r="D7" i="52"/>
  <c r="H6" i="52"/>
  <c r="D6" i="52"/>
  <c r="I10" i="49"/>
  <c r="D10" i="49"/>
  <c r="I9" i="49"/>
  <c r="D9" i="49"/>
  <c r="I8" i="49"/>
  <c r="D8" i="49"/>
  <c r="I7" i="49"/>
  <c r="D7" i="49"/>
  <c r="I6" i="49"/>
  <c r="D6" i="49"/>
  <c r="J15" i="47"/>
  <c r="H15" i="47" s="1" a="1"/>
  <c r="H15" i="47" s="1"/>
  <c r="G15" i="47" s="1" a="1"/>
  <c r="G15" i="47" s="1"/>
  <c r="D15" i="47" s="1" a="1"/>
  <c r="D15" i="47" s="1"/>
  <c r="E63" i="47"/>
  <c r="E62" i="47"/>
  <c r="E61" i="47"/>
  <c r="E60" i="47"/>
  <c r="E59" i="47"/>
  <c r="E58" i="47"/>
  <c r="E57" i="47"/>
  <c r="E56" i="47"/>
  <c r="E55" i="47"/>
  <c r="E54" i="47"/>
  <c r="E53" i="47"/>
  <c r="E52" i="47"/>
  <c r="E51" i="47"/>
  <c r="E50" i="47"/>
  <c r="E49" i="47"/>
  <c r="E48" i="47"/>
  <c r="E47" i="47"/>
  <c r="E46" i="47"/>
  <c r="E45" i="47"/>
  <c r="E44" i="47"/>
  <c r="E43" i="47"/>
  <c r="E42" i="47"/>
  <c r="E41" i="47"/>
  <c r="E40" i="47"/>
  <c r="E39" i="47"/>
  <c r="E38" i="47"/>
  <c r="E37" i="47"/>
  <c r="E36" i="47"/>
  <c r="E35" i="47"/>
  <c r="E34" i="47"/>
  <c r="E33" i="47"/>
  <c r="E32" i="47"/>
  <c r="E31" i="47"/>
  <c r="E30" i="47"/>
  <c r="E29" i="47"/>
  <c r="E28" i="47"/>
  <c r="E27" i="47"/>
  <c r="E26" i="47"/>
  <c r="E25" i="47"/>
  <c r="E24" i="47"/>
  <c r="E23" i="47"/>
  <c r="E22" i="47"/>
  <c r="E21" i="47"/>
  <c r="E20" i="47"/>
  <c r="E19" i="47"/>
  <c r="I16" i="47"/>
  <c r="J16" i="47"/>
  <c r="H16" i="47" s="1" a="1"/>
  <c r="H16" i="47" s="1"/>
  <c r="G16" i="47" s="1" a="1"/>
  <c r="G16" i="47" s="1"/>
  <c r="I17" i="47"/>
  <c r="J17" i="47"/>
  <c r="H17" i="47" s="1" a="1"/>
  <c r="H17" i="47" s="1"/>
  <c r="I18" i="47"/>
  <c r="J18" i="47"/>
  <c r="H18" i="47" s="1" a="1"/>
  <c r="H18" i="47" s="1"/>
  <c r="G18" i="47" s="1" a="1"/>
  <c r="G18" i="47" s="1"/>
  <c r="I19" i="47"/>
  <c r="J19" i="47"/>
  <c r="H19" i="47" s="1" a="1"/>
  <c r="H19" i="47" s="1"/>
  <c r="I20" i="47"/>
  <c r="J20" i="47"/>
  <c r="H20" i="47" s="1" a="1"/>
  <c r="H20" i="47" s="1"/>
  <c r="I21" i="47"/>
  <c r="J21" i="47"/>
  <c r="H21" i="47" s="1" a="1"/>
  <c r="H21" i="47" s="1"/>
  <c r="G21" i="47" s="1" a="1"/>
  <c r="G21" i="47" s="1"/>
  <c r="I22" i="47"/>
  <c r="J22" i="47"/>
  <c r="H22" i="47" s="1" a="1"/>
  <c r="H22" i="47" s="1"/>
  <c r="G22" i="47" s="1" a="1"/>
  <c r="G22" i="47" s="1"/>
  <c r="I23" i="47"/>
  <c r="J23" i="47"/>
  <c r="H23" i="47" s="1" a="1"/>
  <c r="H23" i="47" s="1"/>
  <c r="I24" i="47"/>
  <c r="J24" i="47"/>
  <c r="H24" i="47" s="1" a="1"/>
  <c r="H24" i="47" s="1"/>
  <c r="G24" i="47" s="1" a="1"/>
  <c r="G24" i="47" s="1"/>
  <c r="I25" i="47"/>
  <c r="J25" i="47"/>
  <c r="H25" i="47" s="1" a="1"/>
  <c r="H25" i="47" s="1"/>
  <c r="I26" i="47"/>
  <c r="J26" i="47"/>
  <c r="H26" i="47" s="1" a="1"/>
  <c r="H26" i="47" s="1"/>
  <c r="I27" i="47"/>
  <c r="J27" i="47"/>
  <c r="H27" i="47" s="1" a="1"/>
  <c r="H27" i="47" s="1"/>
  <c r="G27" i="47" s="1" a="1"/>
  <c r="G27" i="47" s="1"/>
  <c r="I28" i="47"/>
  <c r="J28" i="47"/>
  <c r="H28" i="47" s="1" a="1"/>
  <c r="H28" i="47" s="1"/>
  <c r="G28" i="47" s="1" a="1"/>
  <c r="G28" i="47" s="1"/>
  <c r="I29" i="47"/>
  <c r="J29" i="47"/>
  <c r="H29" i="47" s="1" a="1"/>
  <c r="H29" i="47" s="1"/>
  <c r="I30" i="47"/>
  <c r="J30" i="47"/>
  <c r="H30" i="47" s="1" a="1"/>
  <c r="H30" i="47" s="1"/>
  <c r="G30" i="47" s="1" a="1"/>
  <c r="G30" i="47" s="1"/>
  <c r="I31" i="47"/>
  <c r="J31" i="47"/>
  <c r="H31" i="47" s="1" a="1"/>
  <c r="H31" i="47" s="1"/>
  <c r="I32" i="47"/>
  <c r="J32" i="47"/>
  <c r="H32" i="47" s="1" a="1"/>
  <c r="H32" i="47" s="1"/>
  <c r="I33" i="47"/>
  <c r="J33" i="47"/>
  <c r="H33" i="47" s="1" a="1"/>
  <c r="H33" i="47" s="1"/>
  <c r="G33" i="47" s="1" a="1"/>
  <c r="G33" i="47" s="1"/>
  <c r="I34" i="47"/>
  <c r="J34" i="47"/>
  <c r="H34" i="47" s="1" a="1"/>
  <c r="H34" i="47" s="1"/>
  <c r="G34" i="47" s="1" a="1"/>
  <c r="G34" i="47" s="1"/>
  <c r="I35" i="47"/>
  <c r="J35" i="47"/>
  <c r="H35" i="47" s="1" a="1"/>
  <c r="H35" i="47" s="1"/>
  <c r="I36" i="47"/>
  <c r="J36" i="47"/>
  <c r="H36" i="47" s="1" a="1"/>
  <c r="H36" i="47" s="1"/>
  <c r="G36" i="47" s="1" a="1"/>
  <c r="G36" i="47" s="1"/>
  <c r="I37" i="47"/>
  <c r="J37" i="47"/>
  <c r="H37" i="47" s="1" a="1"/>
  <c r="H37" i="47" s="1"/>
  <c r="I38" i="47"/>
  <c r="J38" i="47"/>
  <c r="H38" i="47" s="1" a="1"/>
  <c r="H38" i="47" s="1"/>
  <c r="I39" i="47"/>
  <c r="J39" i="47"/>
  <c r="H39" i="47" s="1" a="1"/>
  <c r="H39" i="47" s="1"/>
  <c r="G39" i="47" s="1" a="1"/>
  <c r="G39" i="47" s="1"/>
  <c r="I40" i="47"/>
  <c r="J40" i="47"/>
  <c r="H40" i="47" s="1" a="1"/>
  <c r="H40" i="47" s="1"/>
  <c r="G40" i="47" s="1" a="1"/>
  <c r="G40" i="47" s="1"/>
  <c r="I41" i="47"/>
  <c r="J41" i="47"/>
  <c r="H41" i="47" s="1" a="1"/>
  <c r="H41" i="47" s="1"/>
  <c r="I42" i="47"/>
  <c r="J42" i="47"/>
  <c r="H42" i="47" s="1" a="1"/>
  <c r="H42" i="47" s="1"/>
  <c r="G42" i="47" s="1" a="1"/>
  <c r="G42" i="47" s="1"/>
  <c r="I43" i="47"/>
  <c r="J43" i="47"/>
  <c r="H43" i="47" s="1" a="1"/>
  <c r="H43" i="47" s="1"/>
  <c r="G43" i="47" s="1" a="1"/>
  <c r="G43" i="47" s="1"/>
  <c r="I44" i="47"/>
  <c r="J44" i="47"/>
  <c r="H44" i="47" s="1" a="1"/>
  <c r="H44" i="47" s="1"/>
  <c r="I45" i="47"/>
  <c r="J45" i="47"/>
  <c r="H45" i="47" s="1" a="1"/>
  <c r="H45" i="47" s="1"/>
  <c r="G45" i="47" s="1" a="1"/>
  <c r="G45" i="47" s="1"/>
  <c r="I46" i="47"/>
  <c r="J46" i="47"/>
  <c r="H46" i="47" s="1" a="1"/>
  <c r="H46" i="47" s="1"/>
  <c r="G46" i="47" s="1" a="1"/>
  <c r="G46" i="47" s="1"/>
  <c r="I47" i="47"/>
  <c r="J47" i="47"/>
  <c r="H47" i="47" s="1" a="1"/>
  <c r="H47" i="47" s="1"/>
  <c r="I48" i="47"/>
  <c r="J48" i="47"/>
  <c r="H48" i="47" s="1" a="1"/>
  <c r="H48" i="47" s="1"/>
  <c r="G48" i="47" s="1" a="1"/>
  <c r="G48" i="47" s="1"/>
  <c r="I49" i="47"/>
  <c r="J49" i="47"/>
  <c r="H49" i="47" s="1" a="1"/>
  <c r="H49" i="47" s="1"/>
  <c r="G49" i="47" s="1" a="1"/>
  <c r="G49" i="47" s="1"/>
  <c r="I50" i="47"/>
  <c r="J50" i="47"/>
  <c r="H50" i="47" s="1" a="1"/>
  <c r="H50" i="47" s="1"/>
  <c r="I51" i="47"/>
  <c r="J51" i="47"/>
  <c r="H51" i="47" s="1" a="1"/>
  <c r="H51" i="47" s="1"/>
  <c r="G51" i="47" s="1" a="1"/>
  <c r="G51" i="47" s="1"/>
  <c r="I52" i="47"/>
  <c r="J52" i="47"/>
  <c r="H52" i="47" s="1" a="1"/>
  <c r="H52" i="47" s="1"/>
  <c r="G52" i="47" s="1" a="1"/>
  <c r="G52" i="47" s="1"/>
  <c r="I53" i="47"/>
  <c r="J53" i="47"/>
  <c r="H53" i="47" s="1" a="1"/>
  <c r="H53" i="47" s="1"/>
  <c r="I54" i="47"/>
  <c r="J54" i="47"/>
  <c r="H54" i="47" s="1" a="1"/>
  <c r="H54" i="47" s="1"/>
  <c r="G54" i="47" s="1" a="1"/>
  <c r="G54" i="47" s="1"/>
  <c r="I55" i="47"/>
  <c r="J55" i="47"/>
  <c r="H55" i="47" s="1" a="1"/>
  <c r="H55" i="47" s="1"/>
  <c r="G55" i="47" s="1" a="1"/>
  <c r="G55" i="47" s="1"/>
  <c r="I56" i="47"/>
  <c r="J56" i="47"/>
  <c r="H56" i="47" s="1" a="1"/>
  <c r="H56" i="47" s="1"/>
  <c r="G56" i="47" s="1" a="1"/>
  <c r="G56" i="47" s="1"/>
  <c r="I57" i="47"/>
  <c r="J57" i="47"/>
  <c r="H57" i="47" s="1" a="1"/>
  <c r="H57" i="47" s="1"/>
  <c r="G57" i="47" s="1" a="1"/>
  <c r="G57" i="47" s="1"/>
  <c r="I58" i="47"/>
  <c r="J58" i="47"/>
  <c r="H58" i="47" s="1" a="1"/>
  <c r="H58" i="47" s="1"/>
  <c r="G58" i="47" s="1" a="1"/>
  <c r="G58" i="47" s="1"/>
  <c r="I59" i="47"/>
  <c r="J59" i="47"/>
  <c r="H59" i="47" s="1" a="1"/>
  <c r="H59" i="47" s="1"/>
  <c r="I60" i="47"/>
  <c r="J60" i="47"/>
  <c r="H60" i="47" s="1" a="1"/>
  <c r="H60" i="47" s="1"/>
  <c r="G60" i="47" s="1" a="1"/>
  <c r="G60" i="47" s="1"/>
  <c r="I61" i="47"/>
  <c r="J61" i="47"/>
  <c r="H61" i="47" s="1" a="1"/>
  <c r="H61" i="47" s="1"/>
  <c r="G61" i="47" s="1" a="1"/>
  <c r="G61" i="47" s="1"/>
  <c r="I62" i="47"/>
  <c r="J62" i="47"/>
  <c r="H62" i="47" s="1" a="1"/>
  <c r="H62" i="47" s="1"/>
  <c r="G62" i="47" s="1" a="1"/>
  <c r="G62" i="47" s="1"/>
  <c r="I63" i="47"/>
  <c r="J63" i="47"/>
  <c r="H63" i="47" s="1" a="1"/>
  <c r="H63" i="47" s="1"/>
  <c r="G63" i="47" s="1" a="1"/>
  <c r="G63" i="47" s="1"/>
  <c r="G37" i="47" l="1" a="1"/>
  <c r="G37" i="47" s="1"/>
  <c r="G31" i="47" a="1"/>
  <c r="G31" i="47" s="1"/>
  <c r="G25" i="47" a="1"/>
  <c r="G25" i="47" s="1"/>
  <c r="G59" i="47" a="1"/>
  <c r="G59" i="47" s="1"/>
  <c r="G19" i="47" a="1"/>
  <c r="G19" i="47" s="1"/>
  <c r="G53" i="47" a="1"/>
  <c r="G53" i="47" s="1"/>
  <c r="G47" i="47" a="1"/>
  <c r="G47" i="47" s="1"/>
  <c r="G41" i="47" a="1"/>
  <c r="G41" i="47" s="1"/>
  <c r="G35" i="47" a="1"/>
  <c r="G35" i="47" s="1"/>
  <c r="G29" i="47" a="1"/>
  <c r="G29" i="47" s="1"/>
  <c r="G23" i="47" a="1"/>
  <c r="G23" i="47" s="1"/>
  <c r="G17" i="47" a="1"/>
  <c r="G17" i="47" s="1"/>
  <c r="G50" i="47" a="1"/>
  <c r="G50" i="47" s="1"/>
  <c r="G44" i="47" a="1"/>
  <c r="G44" i="47" s="1"/>
  <c r="G38" i="47" a="1"/>
  <c r="G38" i="47" s="1"/>
  <c r="G32" i="47" a="1"/>
  <c r="G32" i="47" s="1"/>
  <c r="G26" i="47" a="1"/>
  <c r="G26" i="47" s="1"/>
  <c r="G20" i="47" a="1"/>
  <c r="G20" i="47" s="1"/>
  <c r="CO65" i="36"/>
  <c r="CO64" i="36"/>
  <c r="CO63" i="36"/>
  <c r="CO62" i="36"/>
  <c r="CO61" i="36"/>
  <c r="CO60" i="36"/>
  <c r="CO59" i="36"/>
  <c r="CO58" i="36"/>
  <c r="CO57" i="36"/>
  <c r="CO56" i="36"/>
  <c r="CO55" i="36"/>
  <c r="CO54" i="36"/>
  <c r="CO53" i="36"/>
  <c r="CO52" i="36"/>
  <c r="CO51" i="36"/>
  <c r="CO50" i="36"/>
  <c r="CO49" i="36"/>
  <c r="CO48" i="36"/>
  <c r="CO47" i="36"/>
  <c r="CO46" i="36"/>
  <c r="CO45" i="36"/>
  <c r="CP65" i="36"/>
  <c r="CP64" i="36"/>
  <c r="CP63" i="36"/>
  <c r="CP62" i="36"/>
  <c r="CP61" i="36"/>
  <c r="CP60" i="36"/>
  <c r="CP59" i="36"/>
  <c r="CP58" i="36"/>
  <c r="CP57" i="36"/>
  <c r="CP56" i="36"/>
  <c r="CP55" i="36"/>
  <c r="CP54" i="36"/>
  <c r="CP53" i="36"/>
  <c r="CP52" i="36"/>
  <c r="CP51" i="36"/>
  <c r="CP50" i="36"/>
  <c r="CP49" i="36"/>
  <c r="CP48" i="36"/>
  <c r="CP47" i="36"/>
  <c r="CP46" i="36"/>
  <c r="CP45" i="36"/>
  <c r="CN65" i="36"/>
  <c r="CN64" i="36"/>
  <c r="CN63" i="36"/>
  <c r="CN62" i="36"/>
  <c r="CN61" i="36"/>
  <c r="CN60" i="36"/>
  <c r="CN59" i="36"/>
  <c r="CN58" i="36"/>
  <c r="CN57" i="36"/>
  <c r="CN56" i="36"/>
  <c r="CN55" i="36"/>
  <c r="CN54" i="36"/>
  <c r="CN53" i="36"/>
  <c r="CN52" i="36"/>
  <c r="CN51" i="36"/>
  <c r="CN50" i="36"/>
  <c r="CN49" i="36"/>
  <c r="CN48" i="36"/>
  <c r="CN47" i="36"/>
  <c r="CN46" i="36"/>
  <c r="CN45" i="36"/>
  <c r="CM65" i="36"/>
  <c r="CM64" i="36"/>
  <c r="CM63" i="36"/>
  <c r="CM62" i="36"/>
  <c r="CM61" i="36"/>
  <c r="CM60" i="36"/>
  <c r="CM59" i="36"/>
  <c r="CM58" i="36"/>
  <c r="CM57" i="36"/>
  <c r="CM56" i="36"/>
  <c r="CM55" i="36"/>
  <c r="CM54" i="36"/>
  <c r="CM53" i="36"/>
  <c r="CM52" i="36"/>
  <c r="CM51" i="36"/>
  <c r="CM50" i="36"/>
  <c r="CM49" i="36"/>
  <c r="CM48" i="36"/>
  <c r="CM47" i="36"/>
  <c r="CM46" i="36"/>
  <c r="CM45" i="36"/>
  <c r="CL65" i="36" a="1"/>
  <c r="CL65" i="36" s="1"/>
  <c r="CL64" i="36" a="1"/>
  <c r="CL64" i="36" s="1"/>
  <c r="CL63" i="36" a="1"/>
  <c r="CL63" i="36" s="1"/>
  <c r="CL62" i="36" a="1"/>
  <c r="CL62" i="36" s="1"/>
  <c r="CL61" i="36" a="1"/>
  <c r="CL61" i="36" s="1"/>
  <c r="CL60" i="36" a="1"/>
  <c r="CL60" i="36" s="1"/>
  <c r="CL59" i="36" a="1"/>
  <c r="CL59" i="36" s="1"/>
  <c r="CL58" i="36" a="1"/>
  <c r="CL58" i="36" s="1"/>
  <c r="CL57" i="36" a="1"/>
  <c r="CL57" i="36" s="1"/>
  <c r="CL56" i="36" a="1"/>
  <c r="CL56" i="36" s="1"/>
  <c r="CL55" i="36" a="1"/>
  <c r="CL55" i="36" s="1"/>
  <c r="CL54" i="36" a="1"/>
  <c r="CL54" i="36" s="1"/>
  <c r="CL53" i="36" a="1"/>
  <c r="CL53" i="36" s="1"/>
  <c r="CL52" i="36" a="1"/>
  <c r="CL52" i="36" s="1"/>
  <c r="CL51" i="36" a="1"/>
  <c r="CL51" i="36" s="1"/>
  <c r="CL50" i="36" a="1"/>
  <c r="CL50" i="36" s="1"/>
  <c r="CL49" i="36" a="1"/>
  <c r="CL49" i="36" s="1"/>
  <c r="CL48" i="36" a="1"/>
  <c r="CL48" i="36" s="1"/>
  <c r="CL47" i="36" a="1"/>
  <c r="CL47" i="36" s="1"/>
  <c r="CL46" i="36" a="1"/>
  <c r="CL46" i="36" s="1"/>
  <c r="CL45" i="36" a="1"/>
  <c r="CL45" i="36" s="1"/>
  <c r="CJ65" i="36"/>
  <c r="CJ64" i="36"/>
  <c r="CJ63" i="36"/>
  <c r="CJ62" i="36"/>
  <c r="CJ61" i="36"/>
  <c r="CJ60" i="36"/>
  <c r="CJ59" i="36"/>
  <c r="CJ58" i="36"/>
  <c r="CJ57" i="36"/>
  <c r="CJ56" i="36"/>
  <c r="CJ55" i="36"/>
  <c r="CJ54" i="36"/>
  <c r="CJ53" i="36"/>
  <c r="CJ52" i="36"/>
  <c r="CJ51" i="36"/>
  <c r="CJ50" i="36"/>
  <c r="CJ49" i="36"/>
  <c r="CJ48" i="36"/>
  <c r="CJ47" i="36"/>
  <c r="CJ46" i="36"/>
  <c r="CJ45" i="36"/>
  <c r="BK65" i="28"/>
  <c r="BK64" i="28"/>
  <c r="BK63" i="28"/>
  <c r="BK62" i="28"/>
  <c r="BK61" i="28"/>
  <c r="BK60" i="28"/>
  <c r="BK59" i="28"/>
  <c r="BK58" i="28"/>
  <c r="BK57" i="28"/>
  <c r="BK56" i="28"/>
  <c r="BK55" i="28"/>
  <c r="BK54" i="28"/>
  <c r="BK53" i="28"/>
  <c r="BK52" i="28"/>
  <c r="BK51" i="28"/>
  <c r="BK50" i="28"/>
  <c r="BK49" i="28"/>
  <c r="BK48" i="28"/>
  <c r="BK47" i="28"/>
  <c r="BK46" i="28"/>
  <c r="BK45" i="28"/>
  <c r="BK44" i="28"/>
  <c r="BK43" i="28"/>
  <c r="BK42" i="28"/>
  <c r="BK41" i="28"/>
  <c r="BK40" i="28"/>
  <c r="BK39" i="28"/>
  <c r="BK38" i="28"/>
  <c r="BK37" i="28"/>
  <c r="BK36" i="28"/>
  <c r="BK35" i="28"/>
  <c r="BI64" i="28"/>
  <c r="BH65" i="28"/>
  <c r="BH64" i="28"/>
  <c r="BH63" i="28"/>
  <c r="BH62" i="28"/>
  <c r="BH61" i="28"/>
  <c r="BH60" i="28"/>
  <c r="BH59" i="28"/>
  <c r="BH58" i="28"/>
  <c r="BH57" i="28"/>
  <c r="BH56" i="28"/>
  <c r="BH55" i="28"/>
  <c r="BH54" i="28"/>
  <c r="BH53" i="28"/>
  <c r="BH52" i="28"/>
  <c r="BH51" i="28"/>
  <c r="BH50" i="28"/>
  <c r="BH49" i="28"/>
  <c r="BH48" i="28"/>
  <c r="BH47" i="28"/>
  <c r="BH46" i="28"/>
  <c r="BH45" i="28"/>
  <c r="BH44" i="28"/>
  <c r="BH43" i="28"/>
  <c r="BH42" i="28"/>
  <c r="BH41" i="28"/>
  <c r="BH40" i="28"/>
  <c r="BH39" i="28"/>
  <c r="BH38" i="28"/>
  <c r="BH37" i="28"/>
  <c r="BH36" i="28"/>
  <c r="BH35" i="28"/>
  <c r="BG65" i="28"/>
  <c r="BI65" i="28" s="1"/>
  <c r="BG64" i="28"/>
  <c r="BG63" i="28"/>
  <c r="BI63" i="28" s="1"/>
  <c r="BG62" i="28"/>
  <c r="BI62" i="28" s="1"/>
  <c r="BG61" i="28"/>
  <c r="BI61" i="28" s="1"/>
  <c r="BG60" i="28"/>
  <c r="BI60" i="28" s="1"/>
  <c r="BG59" i="28"/>
  <c r="BI59" i="28" s="1"/>
  <c r="BG58" i="28"/>
  <c r="BI58" i="28" s="1"/>
  <c r="BG57" i="28"/>
  <c r="BI57" i="28" s="1"/>
  <c r="BG56" i="28"/>
  <c r="BI56" i="28" s="1"/>
  <c r="BG55" i="28"/>
  <c r="BI55" i="28" s="1"/>
  <c r="BG54" i="28"/>
  <c r="BI54" i="28" s="1"/>
  <c r="BG53" i="28"/>
  <c r="BI53" i="28" s="1"/>
  <c r="BG52" i="28"/>
  <c r="BI52" i="28" s="1"/>
  <c r="BG51" i="28"/>
  <c r="BI51" i="28" s="1"/>
  <c r="BG50" i="28"/>
  <c r="BI50" i="28" s="1"/>
  <c r="BG49" i="28"/>
  <c r="BI49" i="28" s="1"/>
  <c r="BG48" i="28"/>
  <c r="BI48" i="28" s="1"/>
  <c r="BG47" i="28"/>
  <c r="BI47" i="28" s="1"/>
  <c r="BG46" i="28"/>
  <c r="BI46" i="28" s="1"/>
  <c r="BG45" i="28"/>
  <c r="BI45" i="28" s="1"/>
  <c r="BG44" i="28"/>
  <c r="BI44" i="28" s="1"/>
  <c r="BG43" i="28"/>
  <c r="BI43" i="28" s="1"/>
  <c r="BG42" i="28"/>
  <c r="BI42" i="28" s="1"/>
  <c r="BG41" i="28"/>
  <c r="BI41" i="28" s="1"/>
  <c r="BG40" i="28"/>
  <c r="BI40" i="28" s="1"/>
  <c r="BG39" i="28"/>
  <c r="BI39" i="28" s="1"/>
  <c r="BG38" i="28"/>
  <c r="BI38" i="28" s="1"/>
  <c r="BG37" i="28"/>
  <c r="BI37" i="28" s="1"/>
  <c r="BG36" i="28"/>
  <c r="BI36" i="28" s="1"/>
  <c r="BG35" i="28"/>
  <c r="BI35" i="28" s="1"/>
  <c r="C65" i="47" l="1"/>
  <c r="L63" i="47"/>
  <c r="D63" i="47" s="1" a="1"/>
  <c r="D63" i="47" s="1"/>
  <c r="L62" i="47"/>
  <c r="D62" i="47" s="1" a="1"/>
  <c r="D62" i="47" s="1"/>
  <c r="L61" i="47"/>
  <c r="D61" i="47" s="1" a="1"/>
  <c r="D61" i="47" s="1"/>
  <c r="L60" i="47"/>
  <c r="D60" i="47" s="1" a="1"/>
  <c r="D60" i="47" s="1"/>
  <c r="L59" i="47"/>
  <c r="D59" i="47" s="1" a="1"/>
  <c r="D59" i="47" s="1"/>
  <c r="L58" i="47"/>
  <c r="D58" i="47" s="1" a="1"/>
  <c r="D58" i="47" s="1"/>
  <c r="L57" i="47"/>
  <c r="D57" i="47" s="1" a="1"/>
  <c r="D57" i="47" s="1"/>
  <c r="L56" i="47"/>
  <c r="D56" i="47" s="1" a="1"/>
  <c r="D56" i="47" s="1"/>
  <c r="L55" i="47"/>
  <c r="D55" i="47" s="1" a="1"/>
  <c r="D55" i="47" s="1"/>
  <c r="L54" i="47"/>
  <c r="D54" i="47" s="1" a="1"/>
  <c r="D54" i="47" s="1"/>
  <c r="L53" i="47"/>
  <c r="D53" i="47" s="1" a="1"/>
  <c r="D53" i="47" s="1"/>
  <c r="L52" i="47"/>
  <c r="D52" i="47" s="1" a="1"/>
  <c r="D52" i="47" s="1"/>
  <c r="L51" i="47"/>
  <c r="D51" i="47" s="1" a="1"/>
  <c r="D51" i="47" s="1"/>
  <c r="L50" i="47"/>
  <c r="D50" i="47" s="1" a="1"/>
  <c r="D50" i="47" s="1"/>
  <c r="L49" i="47"/>
  <c r="D49" i="47" s="1" a="1"/>
  <c r="D49" i="47" s="1"/>
  <c r="L48" i="47"/>
  <c r="D48" i="47" s="1" a="1"/>
  <c r="D48" i="47" s="1"/>
  <c r="L47" i="47"/>
  <c r="D47" i="47" s="1" a="1"/>
  <c r="D47" i="47" s="1"/>
  <c r="L46" i="47"/>
  <c r="D46" i="47" s="1" a="1"/>
  <c r="D46" i="47" s="1"/>
  <c r="L45" i="47"/>
  <c r="D45" i="47" s="1" a="1"/>
  <c r="D45" i="47" s="1"/>
  <c r="L44" i="47"/>
  <c r="D44" i="47" s="1" a="1"/>
  <c r="D44" i="47" s="1"/>
  <c r="L43" i="47"/>
  <c r="D43" i="47" s="1" a="1"/>
  <c r="D43" i="47" s="1"/>
  <c r="L42" i="47"/>
  <c r="D42" i="47" s="1" a="1"/>
  <c r="D42" i="47" s="1"/>
  <c r="L41" i="47"/>
  <c r="D41" i="47" s="1" a="1"/>
  <c r="D41" i="47" s="1"/>
  <c r="L40" i="47"/>
  <c r="D40" i="47" s="1" a="1"/>
  <c r="D40" i="47" s="1"/>
  <c r="L39" i="47"/>
  <c r="D39" i="47" s="1" a="1"/>
  <c r="D39" i="47" s="1"/>
  <c r="L38" i="47"/>
  <c r="D38" i="47" s="1" a="1"/>
  <c r="D38" i="47" s="1"/>
  <c r="L37" i="47"/>
  <c r="D37" i="47" s="1" a="1"/>
  <c r="D37" i="47" s="1"/>
  <c r="L36" i="47"/>
  <c r="D36" i="47" s="1" a="1"/>
  <c r="D36" i="47" s="1"/>
  <c r="L35" i="47"/>
  <c r="D35" i="47" s="1" a="1"/>
  <c r="D35" i="47" s="1"/>
  <c r="L34" i="47"/>
  <c r="D34" i="47" s="1" a="1"/>
  <c r="D34" i="47" s="1"/>
  <c r="L33" i="47"/>
  <c r="D33" i="47" s="1" a="1"/>
  <c r="D33" i="47" s="1"/>
  <c r="L32" i="47"/>
  <c r="D32" i="47" s="1" a="1"/>
  <c r="D32" i="47" s="1"/>
  <c r="L31" i="47"/>
  <c r="D31" i="47" s="1" a="1"/>
  <c r="D31" i="47" s="1"/>
  <c r="L30" i="47"/>
  <c r="D30" i="47" s="1" a="1"/>
  <c r="D30" i="47" s="1"/>
  <c r="L29" i="47"/>
  <c r="D29" i="47" s="1" a="1"/>
  <c r="D29" i="47" s="1"/>
  <c r="L28" i="47"/>
  <c r="D28" i="47" s="1" a="1"/>
  <c r="D28" i="47" s="1"/>
  <c r="L27" i="47"/>
  <c r="D27" i="47" s="1" a="1"/>
  <c r="D27" i="47" s="1"/>
  <c r="L26" i="47"/>
  <c r="D26" i="47" s="1" a="1"/>
  <c r="D26" i="47" s="1"/>
  <c r="L25" i="47"/>
  <c r="D25" i="47" s="1" a="1"/>
  <c r="D25" i="47" s="1"/>
  <c r="L24" i="47"/>
  <c r="D24" i="47" s="1" a="1"/>
  <c r="D24" i="47" s="1"/>
  <c r="L23" i="47"/>
  <c r="D23" i="47" s="1" a="1"/>
  <c r="D23" i="47" s="1"/>
  <c r="L22" i="47"/>
  <c r="D22" i="47" s="1" a="1"/>
  <c r="D22" i="47" s="1"/>
  <c r="L21" i="47"/>
  <c r="D21" i="47" s="1" a="1"/>
  <c r="D21" i="47" s="1"/>
  <c r="L20" i="47"/>
  <c r="D20" i="47" s="1" a="1"/>
  <c r="D20" i="47" s="1"/>
  <c r="L19" i="47"/>
  <c r="D19" i="47" s="1" a="1"/>
  <c r="D19" i="47" s="1"/>
  <c r="L18" i="47"/>
  <c r="L17" i="47"/>
  <c r="I10" i="47"/>
  <c r="D10" i="47"/>
  <c r="I9" i="47"/>
  <c r="D9" i="47"/>
  <c r="I8" i="47"/>
  <c r="D8" i="47"/>
  <c r="I7" i="47"/>
  <c r="D7" i="47"/>
  <c r="I6" i="47"/>
  <c r="D6" i="47"/>
  <c r="L2" i="41"/>
  <c r="K2" i="41"/>
  <c r="C66" i="47" l="1"/>
  <c r="K24" i="47" l="1"/>
  <c r="K19" i="47"/>
  <c r="K23" i="47"/>
  <c r="K22" i="47"/>
  <c r="K26" i="47"/>
  <c r="K25" i="47"/>
  <c r="K21" i="47"/>
  <c r="K20" i="47"/>
  <c r="K57" i="47"/>
  <c r="K36" i="47"/>
  <c r="K61" i="47"/>
  <c r="K56" i="47"/>
  <c r="K42" i="47"/>
  <c r="K58" i="47"/>
  <c r="K27" i="47"/>
  <c r="K54" i="47"/>
  <c r="K32" i="47"/>
  <c r="K34" i="47"/>
  <c r="K37" i="47"/>
  <c r="K62" i="47"/>
  <c r="K44" i="47"/>
  <c r="K40" i="47"/>
  <c r="K38" i="47"/>
  <c r="K28" i="47"/>
  <c r="K63" i="47"/>
  <c r="K59" i="47"/>
  <c r="K30" i="47"/>
  <c r="K31" i="47"/>
  <c r="K29" i="47"/>
  <c r="K48" i="47"/>
  <c r="K49" i="47"/>
  <c r="K55" i="47"/>
  <c r="K51" i="47"/>
  <c r="K35" i="47"/>
  <c r="K60" i="47"/>
  <c r="K52" i="47"/>
  <c r="K33" i="47"/>
  <c r="K41" i="47"/>
  <c r="K43" i="47"/>
  <c r="K39" i="47"/>
  <c r="K47" i="47"/>
  <c r="K50" i="47"/>
  <c r="K45" i="47"/>
  <c r="K53" i="47"/>
  <c r="K46" i="47"/>
  <c r="K16" i="47"/>
  <c r="K15" i="47"/>
  <c r="E18" i="47"/>
  <c r="E17" i="47"/>
  <c r="C67" i="47"/>
  <c r="D947" i="29" a="1"/>
  <c r="D947" i="29" s="1"/>
  <c r="H947" i="29" a="1"/>
  <c r="H947" i="29" s="1"/>
  <c r="E947" i="29" a="1"/>
  <c r="E947" i="29" s="1"/>
  <c r="D948" i="29" a="1"/>
  <c r="D948" i="29" s="1"/>
  <c r="H948" i="29" a="1"/>
  <c r="H948" i="29" s="1"/>
  <c r="E948" i="29" a="1"/>
  <c r="E948" i="29" s="1"/>
  <c r="D949" i="29" a="1"/>
  <c r="D949" i="29" s="1"/>
  <c r="H949" i="29" a="1"/>
  <c r="H949" i="29" s="1"/>
  <c r="E949" i="29" a="1"/>
  <c r="E949" i="29" s="1"/>
  <c r="D950" i="29" a="1"/>
  <c r="D950" i="29" s="1"/>
  <c r="H950" i="29" a="1"/>
  <c r="H950" i="29" s="1"/>
  <c r="E950" i="29" a="1"/>
  <c r="E950" i="29" s="1"/>
  <c r="D951" i="29" a="1"/>
  <c r="D951" i="29" s="1"/>
  <c r="H951" i="29" a="1"/>
  <c r="H951" i="29" s="1"/>
  <c r="E951" i="29" a="1"/>
  <c r="E951" i="29" s="1"/>
  <c r="D952" i="29" a="1"/>
  <c r="D952" i="29" s="1"/>
  <c r="H952" i="29" a="1"/>
  <c r="H952" i="29" s="1"/>
  <c r="E952" i="29" a="1"/>
  <c r="E952" i="29" s="1"/>
  <c r="D953" i="29" a="1"/>
  <c r="D953" i="29" s="1"/>
  <c r="H953" i="29" a="1"/>
  <c r="H953" i="29" s="1"/>
  <c r="E953" i="29" a="1"/>
  <c r="E953" i="29" s="1"/>
  <c r="D954" i="29" a="1"/>
  <c r="D954" i="29" s="1"/>
  <c r="H954" i="29" a="1"/>
  <c r="H954" i="29" s="1"/>
  <c r="E954" i="29" a="1"/>
  <c r="E954" i="29" s="1"/>
  <c r="D955" i="29" a="1"/>
  <c r="D955" i="29" s="1"/>
  <c r="H955" i="29" a="1"/>
  <c r="H955" i="29" s="1"/>
  <c r="E955" i="29" a="1"/>
  <c r="E955" i="29" s="1"/>
  <c r="D956" i="29" a="1"/>
  <c r="D956" i="29" s="1"/>
  <c r="H956" i="29" a="1"/>
  <c r="H956" i="29" s="1"/>
  <c r="E956" i="29" a="1"/>
  <c r="E956" i="29" s="1"/>
  <c r="D957" i="29" a="1"/>
  <c r="D957" i="29" s="1"/>
  <c r="H957" i="29" a="1"/>
  <c r="H957" i="29" s="1"/>
  <c r="E957" i="29" a="1"/>
  <c r="E957" i="29" s="1"/>
  <c r="D958" i="29" a="1"/>
  <c r="D958" i="29" s="1"/>
  <c r="H958" i="29" a="1"/>
  <c r="H958" i="29" s="1"/>
  <c r="E958" i="29" a="1"/>
  <c r="E958" i="29" s="1"/>
  <c r="D959" i="29" a="1"/>
  <c r="D959" i="29" s="1"/>
  <c r="H959" i="29" a="1"/>
  <c r="H959" i="29" s="1"/>
  <c r="E959" i="29" a="1"/>
  <c r="E959" i="29" s="1"/>
  <c r="D960" i="29" a="1"/>
  <c r="D960" i="29" s="1"/>
  <c r="H960" i="29" a="1"/>
  <c r="H960" i="29" s="1"/>
  <c r="E960" i="29" a="1"/>
  <c r="E960" i="29" s="1"/>
  <c r="D961" i="29" a="1"/>
  <c r="D961" i="29" s="1"/>
  <c r="H961" i="29" a="1"/>
  <c r="H961" i="29" s="1"/>
  <c r="E961" i="29" a="1"/>
  <c r="E961" i="29" s="1"/>
  <c r="D962" i="29" a="1"/>
  <c r="D962" i="29" s="1"/>
  <c r="H962" i="29" a="1"/>
  <c r="H962" i="29" s="1"/>
  <c r="E962" i="29" a="1"/>
  <c r="E962" i="29" s="1"/>
  <c r="D963" i="29" a="1"/>
  <c r="D963" i="29" s="1"/>
  <c r="H963" i="29" a="1"/>
  <c r="H963" i="29" s="1"/>
  <c r="E963" i="29" a="1"/>
  <c r="E963" i="29" s="1"/>
  <c r="D964" i="29" a="1"/>
  <c r="D964" i="29" s="1"/>
  <c r="H964" i="29" a="1"/>
  <c r="H964" i="29" s="1"/>
  <c r="E964" i="29" a="1"/>
  <c r="E964" i="29" s="1"/>
  <c r="D965" i="29" a="1"/>
  <c r="D965" i="29" s="1"/>
  <c r="H965" i="29" a="1"/>
  <c r="H965" i="29" s="1"/>
  <c r="E965" i="29" a="1"/>
  <c r="E965" i="29" s="1"/>
  <c r="D842" i="29" a="1"/>
  <c r="D842" i="29" s="1"/>
  <c r="H842" i="29" a="1"/>
  <c r="H842" i="29" s="1"/>
  <c r="E842" i="29" a="1"/>
  <c r="E842" i="29" s="1"/>
  <c r="D843" i="29" a="1"/>
  <c r="D843" i="29" s="1"/>
  <c r="H843" i="29" a="1"/>
  <c r="H843" i="29" s="1"/>
  <c r="E843" i="29" a="1"/>
  <c r="E843" i="29" s="1"/>
  <c r="D844" i="29" a="1"/>
  <c r="D844" i="29" s="1"/>
  <c r="H844" i="29" a="1"/>
  <c r="H844" i="29" s="1"/>
  <c r="E844" i="29" a="1"/>
  <c r="E844" i="29" s="1"/>
  <c r="D845" i="29" a="1"/>
  <c r="D845" i="29" s="1"/>
  <c r="H845" i="29" a="1"/>
  <c r="H845" i="29" s="1"/>
  <c r="E845" i="29" a="1"/>
  <c r="E845" i="29" s="1"/>
  <c r="D846" i="29" a="1"/>
  <c r="D846" i="29" s="1"/>
  <c r="H846" i="29" a="1"/>
  <c r="H846" i="29" s="1"/>
  <c r="E846" i="29" a="1"/>
  <c r="E846" i="29" s="1"/>
  <c r="D847" i="29" a="1"/>
  <c r="D847" i="29" s="1"/>
  <c r="H847" i="29" a="1"/>
  <c r="H847" i="29" s="1"/>
  <c r="E847" i="29" a="1"/>
  <c r="E847" i="29" s="1"/>
  <c r="D848" i="29" a="1"/>
  <c r="D848" i="29" s="1"/>
  <c r="H848" i="29" a="1"/>
  <c r="H848" i="29" s="1"/>
  <c r="E848" i="29" a="1"/>
  <c r="E848" i="29" s="1"/>
  <c r="D849" i="29" a="1"/>
  <c r="D849" i="29" s="1"/>
  <c r="H849" i="29" a="1"/>
  <c r="H849" i="29" s="1"/>
  <c r="E849" i="29" a="1"/>
  <c r="E849" i="29" s="1"/>
  <c r="D850" i="29" a="1"/>
  <c r="D850" i="29" s="1"/>
  <c r="H850" i="29" a="1"/>
  <c r="H850" i="29" s="1"/>
  <c r="E850" i="29" a="1"/>
  <c r="E850" i="29" s="1"/>
  <c r="D851" i="29" a="1"/>
  <c r="D851" i="29" s="1"/>
  <c r="H851" i="29" a="1"/>
  <c r="H851" i="29" s="1"/>
  <c r="E851" i="29" a="1"/>
  <c r="E851" i="29" s="1"/>
  <c r="D852" i="29" a="1"/>
  <c r="D852" i="29" s="1"/>
  <c r="H852" i="29" a="1"/>
  <c r="H852" i="29" s="1"/>
  <c r="E852" i="29" a="1"/>
  <c r="E852" i="29" s="1"/>
  <c r="D518" i="29" a="1"/>
  <c r="D518" i="29" s="1"/>
  <c r="H518" i="29" a="1"/>
  <c r="H518" i="29" s="1"/>
  <c r="E518" i="29" a="1"/>
  <c r="E518" i="29" s="1"/>
  <c r="D519" i="29" a="1"/>
  <c r="D519" i="29" s="1"/>
  <c r="H519" i="29" a="1"/>
  <c r="H519" i="29" s="1"/>
  <c r="E519" i="29" a="1"/>
  <c r="E519" i="29" s="1"/>
  <c r="D520" i="29" a="1"/>
  <c r="D520" i="29" s="1"/>
  <c r="H520" i="29" a="1"/>
  <c r="H520" i="29" s="1"/>
  <c r="E520" i="29" a="1"/>
  <c r="E520" i="29" s="1"/>
  <c r="D521" i="29" a="1"/>
  <c r="D521" i="29" s="1"/>
  <c r="H521" i="29" a="1"/>
  <c r="H521" i="29" s="1"/>
  <c r="E521" i="29" a="1"/>
  <c r="E521" i="29" s="1"/>
  <c r="D522" i="29" a="1"/>
  <c r="D522" i="29" s="1"/>
  <c r="H522" i="29" a="1"/>
  <c r="H522" i="29" s="1"/>
  <c r="E522" i="29" a="1"/>
  <c r="E522" i="29" s="1"/>
  <c r="D523" i="29" a="1"/>
  <c r="D523" i="29" s="1"/>
  <c r="H523" i="29" a="1"/>
  <c r="H523" i="29" s="1"/>
  <c r="E523" i="29" a="1"/>
  <c r="E523" i="29" s="1"/>
  <c r="D524" i="29" a="1"/>
  <c r="D524" i="29" s="1"/>
  <c r="H524" i="29" a="1"/>
  <c r="H524" i="29" s="1"/>
  <c r="E524" i="29" a="1"/>
  <c r="E524" i="29" s="1"/>
  <c r="D525" i="29" a="1"/>
  <c r="D525" i="29" s="1"/>
  <c r="H525" i="29" a="1"/>
  <c r="H525" i="29" s="1"/>
  <c r="E525" i="29" a="1"/>
  <c r="E525" i="29" s="1"/>
  <c r="D526" i="29" a="1"/>
  <c r="D526" i="29" s="1"/>
  <c r="H526" i="29" a="1"/>
  <c r="H526" i="29" s="1"/>
  <c r="E526" i="29" a="1"/>
  <c r="E526" i="29" s="1"/>
  <c r="D527" i="29" a="1"/>
  <c r="D527" i="29" s="1"/>
  <c r="H527" i="29" a="1"/>
  <c r="H527" i="29" s="1"/>
  <c r="E527" i="29" a="1"/>
  <c r="E527" i="29" s="1"/>
  <c r="D528" i="29" a="1"/>
  <c r="D528" i="29" s="1"/>
  <c r="H528" i="29" a="1"/>
  <c r="H528" i="29" s="1"/>
  <c r="E528" i="29" a="1"/>
  <c r="E528" i="29" s="1"/>
  <c r="D529" i="29" a="1"/>
  <c r="D529" i="29" s="1"/>
  <c r="H529" i="29" a="1"/>
  <c r="H529" i="29" s="1"/>
  <c r="E529" i="29" a="1"/>
  <c r="E529" i="29" s="1"/>
  <c r="D530" i="29" a="1"/>
  <c r="D530" i="29" s="1"/>
  <c r="H530" i="29" a="1"/>
  <c r="H530" i="29" s="1"/>
  <c r="E530" i="29" a="1"/>
  <c r="E530" i="29" s="1"/>
  <c r="D531" i="29" a="1"/>
  <c r="D531" i="29" s="1"/>
  <c r="H531" i="29" a="1"/>
  <c r="H531" i="29" s="1"/>
  <c r="E531" i="29" a="1"/>
  <c r="E531" i="29" s="1"/>
  <c r="D532" i="29" a="1"/>
  <c r="D532" i="29" s="1"/>
  <c r="H532" i="29" a="1"/>
  <c r="H532" i="29" s="1"/>
  <c r="E532" i="29" a="1"/>
  <c r="E532" i="29" s="1"/>
  <c r="D533" i="29" a="1"/>
  <c r="D533" i="29" s="1"/>
  <c r="H533" i="29" a="1"/>
  <c r="H533" i="29" s="1"/>
  <c r="E533" i="29" a="1"/>
  <c r="E533" i="29" s="1"/>
  <c r="D534" i="29" a="1"/>
  <c r="D534" i="29" s="1"/>
  <c r="H534" i="29" a="1"/>
  <c r="H534" i="29" s="1"/>
  <c r="E534" i="29" a="1"/>
  <c r="E534" i="29" s="1"/>
  <c r="D535" i="29" a="1"/>
  <c r="D535" i="29" s="1"/>
  <c r="H535" i="29" a="1"/>
  <c r="H535" i="29" s="1"/>
  <c r="E535" i="29" a="1"/>
  <c r="E535" i="29" s="1"/>
  <c r="D536" i="29" a="1"/>
  <c r="D536" i="29" s="1"/>
  <c r="H536" i="29" a="1"/>
  <c r="H536" i="29" s="1"/>
  <c r="E536" i="29" a="1"/>
  <c r="E536" i="29" s="1"/>
  <c r="D446" i="29" a="1"/>
  <c r="D446" i="29" s="1"/>
  <c r="H446" i="29" a="1"/>
  <c r="H446" i="29" s="1"/>
  <c r="E446" i="29" a="1"/>
  <c r="E446" i="29" s="1"/>
  <c r="D447" i="29" a="1"/>
  <c r="D447" i="29" s="1"/>
  <c r="H447" i="29" a="1"/>
  <c r="H447" i="29" s="1"/>
  <c r="E447" i="29" a="1"/>
  <c r="E447" i="29" s="1"/>
  <c r="D448" i="29" a="1"/>
  <c r="D448" i="29" s="1"/>
  <c r="H448" i="29" a="1"/>
  <c r="H448" i="29" s="1"/>
  <c r="E448" i="29" a="1"/>
  <c r="E448" i="29" s="1"/>
  <c r="D449" i="29" a="1"/>
  <c r="D449" i="29" s="1"/>
  <c r="H449" i="29" a="1"/>
  <c r="H449" i="29" s="1"/>
  <c r="E449" i="29" a="1"/>
  <c r="E449" i="29" s="1"/>
  <c r="D450" i="29" a="1"/>
  <c r="D450" i="29" s="1"/>
  <c r="H450" i="29" a="1"/>
  <c r="H450" i="29" s="1"/>
  <c r="E450" i="29" a="1"/>
  <c r="E450" i="29" s="1"/>
  <c r="D451" i="29" a="1"/>
  <c r="D451" i="29" s="1"/>
  <c r="H451" i="29" a="1"/>
  <c r="H451" i="29" s="1"/>
  <c r="E451" i="29" a="1"/>
  <c r="E451" i="29" s="1"/>
  <c r="D452" i="29" a="1"/>
  <c r="D452" i="29" s="1"/>
  <c r="H452" i="29" a="1"/>
  <c r="H452" i="29" s="1"/>
  <c r="E452" i="29" a="1"/>
  <c r="E452" i="29" s="1"/>
  <c r="D453" i="29" a="1"/>
  <c r="D453" i="29" s="1"/>
  <c r="H453" i="29" a="1"/>
  <c r="H453" i="29" s="1"/>
  <c r="E453" i="29" a="1"/>
  <c r="E453" i="29" s="1"/>
  <c r="D454" i="29" a="1"/>
  <c r="D454" i="29" s="1"/>
  <c r="H454" i="29" a="1"/>
  <c r="H454" i="29" s="1"/>
  <c r="E454" i="29" a="1"/>
  <c r="E454" i="29" s="1"/>
  <c r="D455" i="29" a="1"/>
  <c r="D455" i="29" s="1"/>
  <c r="H455" i="29" a="1"/>
  <c r="H455" i="29" s="1"/>
  <c r="E455" i="29" a="1"/>
  <c r="E455" i="29" s="1"/>
  <c r="D456" i="29" a="1"/>
  <c r="D456" i="29" s="1"/>
  <c r="H456" i="29" a="1"/>
  <c r="H456" i="29" s="1"/>
  <c r="E456" i="29" a="1"/>
  <c r="E456" i="29" s="1"/>
  <c r="D457" i="29" a="1"/>
  <c r="D457" i="29" s="1"/>
  <c r="H457" i="29" a="1"/>
  <c r="H457" i="29" s="1"/>
  <c r="E457" i="29" a="1"/>
  <c r="E457" i="29" s="1"/>
  <c r="D458" i="29" a="1"/>
  <c r="D458" i="29" s="1"/>
  <c r="H458" i="29" a="1"/>
  <c r="H458" i="29" s="1"/>
  <c r="E458" i="29" a="1"/>
  <c r="E458" i="29" s="1"/>
  <c r="D459" i="29" a="1"/>
  <c r="D459" i="29" s="1"/>
  <c r="H459" i="29" a="1"/>
  <c r="H459" i="29" s="1"/>
  <c r="E459" i="29" a="1"/>
  <c r="E459" i="29" s="1"/>
  <c r="D460" i="29" a="1"/>
  <c r="D460" i="29" s="1"/>
  <c r="H460" i="29" a="1"/>
  <c r="H460" i="29" s="1"/>
  <c r="E460" i="29" a="1"/>
  <c r="E460" i="29" s="1"/>
  <c r="D461" i="29" a="1"/>
  <c r="D461" i="29" s="1"/>
  <c r="H461" i="29" a="1"/>
  <c r="H461" i="29" s="1"/>
  <c r="E461" i="29" a="1"/>
  <c r="E461" i="29" s="1"/>
  <c r="D462" i="29" a="1"/>
  <c r="D462" i="29" s="1"/>
  <c r="H462" i="29" a="1"/>
  <c r="H462" i="29" s="1"/>
  <c r="E462" i="29" a="1"/>
  <c r="E462" i="29" s="1"/>
  <c r="D463" i="29" a="1"/>
  <c r="D463" i="29" s="1"/>
  <c r="H463" i="29" a="1"/>
  <c r="H463" i="29" s="1"/>
  <c r="E463" i="29" a="1"/>
  <c r="E463" i="29" s="1"/>
  <c r="D464" i="29" a="1"/>
  <c r="D464" i="29" s="1"/>
  <c r="H464" i="29" a="1"/>
  <c r="H464" i="29" s="1"/>
  <c r="E464" i="29" a="1"/>
  <c r="E464" i="29" s="1"/>
  <c r="D465" i="29" a="1"/>
  <c r="D465" i="29" s="1"/>
  <c r="H465" i="29" a="1"/>
  <c r="H465" i="29" s="1"/>
  <c r="E465" i="29" a="1"/>
  <c r="E465" i="29" s="1"/>
  <c r="D466" i="29" a="1"/>
  <c r="D466" i="29" s="1"/>
  <c r="H466" i="29" a="1"/>
  <c r="H466" i="29" s="1"/>
  <c r="E466" i="29" a="1"/>
  <c r="E466" i="29" s="1"/>
  <c r="D467" i="29" a="1"/>
  <c r="D467" i="29" s="1"/>
  <c r="H467" i="29" a="1"/>
  <c r="H467" i="29" s="1"/>
  <c r="E467" i="29" a="1"/>
  <c r="E467" i="29" s="1"/>
  <c r="D468" i="29" a="1"/>
  <c r="D468" i="29" s="1"/>
  <c r="H468" i="29" a="1"/>
  <c r="H468" i="29" s="1"/>
  <c r="E468" i="29" a="1"/>
  <c r="E468" i="29" s="1"/>
  <c r="D469" i="29" a="1"/>
  <c r="D469" i="29" s="1"/>
  <c r="H469" i="29" a="1"/>
  <c r="H469" i="29" s="1"/>
  <c r="E469" i="29" a="1"/>
  <c r="E469" i="29" s="1"/>
  <c r="D470" i="29" a="1"/>
  <c r="D470" i="29" s="1"/>
  <c r="H470" i="29" a="1"/>
  <c r="H470" i="29" s="1"/>
  <c r="E470" i="29" a="1"/>
  <c r="E470" i="29" s="1"/>
  <c r="D471" i="29" a="1"/>
  <c r="D471" i="29" s="1"/>
  <c r="H471" i="29" a="1"/>
  <c r="H471" i="29" s="1"/>
  <c r="E471" i="29" a="1"/>
  <c r="E471" i="29" s="1"/>
  <c r="D472" i="29" a="1"/>
  <c r="D472" i="29" s="1"/>
  <c r="H472" i="29" a="1"/>
  <c r="H472" i="29" s="1"/>
  <c r="E472" i="29" a="1"/>
  <c r="E472" i="29" s="1"/>
  <c r="D473" i="29" a="1"/>
  <c r="D473" i="29" s="1"/>
  <c r="H473" i="29" a="1"/>
  <c r="H473" i="29" s="1"/>
  <c r="E473" i="29" a="1"/>
  <c r="E473" i="29" s="1"/>
  <c r="D474" i="29" a="1"/>
  <c r="D474" i="29" s="1"/>
  <c r="H474" i="29" a="1"/>
  <c r="H474" i="29" s="1"/>
  <c r="E474" i="29" a="1"/>
  <c r="E474" i="29" s="1"/>
  <c r="D475" i="29" a="1"/>
  <c r="D475" i="29" s="1"/>
  <c r="H475" i="29" a="1"/>
  <c r="H475" i="29" s="1"/>
  <c r="E475" i="29" a="1"/>
  <c r="E475" i="29" s="1"/>
  <c r="D476" i="29" a="1"/>
  <c r="D476" i="29" s="1"/>
  <c r="H476" i="29" a="1"/>
  <c r="H476" i="29" s="1"/>
  <c r="E476" i="29" a="1"/>
  <c r="E476" i="29" s="1"/>
  <c r="D477" i="29" a="1"/>
  <c r="D477" i="29" s="1"/>
  <c r="H477" i="29" a="1"/>
  <c r="H477" i="29" s="1"/>
  <c r="E477" i="29" a="1"/>
  <c r="E477" i="29" s="1"/>
  <c r="D478" i="29" a="1"/>
  <c r="D478" i="29" s="1"/>
  <c r="H478" i="29" a="1"/>
  <c r="H478" i="29" s="1"/>
  <c r="E478" i="29" a="1"/>
  <c r="E478" i="29" s="1"/>
  <c r="D479" i="29" a="1"/>
  <c r="D479" i="29" s="1"/>
  <c r="H479" i="29" a="1"/>
  <c r="H479" i="29" s="1"/>
  <c r="E479" i="29" a="1"/>
  <c r="E479" i="29" s="1"/>
  <c r="D480" i="29" a="1"/>
  <c r="D480" i="29" s="1"/>
  <c r="H480" i="29" a="1"/>
  <c r="H480" i="29" s="1"/>
  <c r="E480" i="29" a="1"/>
  <c r="E480" i="29" s="1"/>
  <c r="D481" i="29" a="1"/>
  <c r="D481" i="29" s="1"/>
  <c r="H481" i="29" a="1"/>
  <c r="H481" i="29" s="1"/>
  <c r="E481" i="29" a="1"/>
  <c r="E481" i="29" s="1"/>
  <c r="D482" i="29" a="1"/>
  <c r="D482" i="29" s="1"/>
  <c r="H482" i="29" a="1"/>
  <c r="H482" i="29" s="1"/>
  <c r="E482" i="29" a="1"/>
  <c r="E482" i="29" s="1"/>
  <c r="D483" i="29" a="1"/>
  <c r="D483" i="29" s="1"/>
  <c r="H483" i="29" a="1"/>
  <c r="H483" i="29" s="1"/>
  <c r="E483" i="29" a="1"/>
  <c r="E483" i="29" s="1"/>
  <c r="D484" i="29" a="1"/>
  <c r="D484" i="29" s="1"/>
  <c r="H484" i="29" a="1"/>
  <c r="H484" i="29" s="1"/>
  <c r="E484" i="29" a="1"/>
  <c r="E484" i="29" s="1"/>
  <c r="D760" i="29" a="1"/>
  <c r="D760" i="29" s="1"/>
  <c r="H760" i="29" a="1"/>
  <c r="H760" i="29" s="1"/>
  <c r="E760" i="29" a="1"/>
  <c r="E760" i="29" s="1"/>
  <c r="D761" i="29" a="1"/>
  <c r="D761" i="29" s="1"/>
  <c r="H761" i="29" a="1"/>
  <c r="H761" i="29" s="1"/>
  <c r="E761" i="29" a="1"/>
  <c r="E761" i="29" s="1"/>
  <c r="D762" i="29" a="1"/>
  <c r="D762" i="29" s="1"/>
  <c r="H762" i="29" a="1"/>
  <c r="H762" i="29" s="1"/>
  <c r="E762" i="29" a="1"/>
  <c r="E762" i="29" s="1"/>
  <c r="D763" i="29" a="1"/>
  <c r="D763" i="29" s="1"/>
  <c r="H763" i="29" a="1"/>
  <c r="H763" i="29" s="1"/>
  <c r="E763" i="29" a="1"/>
  <c r="E763" i="29" s="1"/>
  <c r="D764" i="29" a="1"/>
  <c r="D764" i="29" s="1"/>
  <c r="H764" i="29" a="1"/>
  <c r="H764" i="29" s="1"/>
  <c r="E764" i="29" a="1"/>
  <c r="E764" i="29" s="1"/>
  <c r="D765" i="29" a="1"/>
  <c r="D765" i="29" s="1"/>
  <c r="H765" i="29" a="1"/>
  <c r="H765" i="29" s="1"/>
  <c r="E765" i="29" a="1"/>
  <c r="E765" i="29" s="1"/>
  <c r="D766" i="29" a="1"/>
  <c r="D766" i="29" s="1"/>
  <c r="H766" i="29" a="1"/>
  <c r="H766" i="29" s="1"/>
  <c r="E766" i="29" a="1"/>
  <c r="E766" i="29" s="1"/>
  <c r="D767" i="29" a="1"/>
  <c r="D767" i="29" s="1"/>
  <c r="H767" i="29" a="1"/>
  <c r="H767" i="29" s="1"/>
  <c r="E767" i="29" a="1"/>
  <c r="E767" i="29" s="1"/>
  <c r="D768" i="29" a="1"/>
  <c r="D768" i="29" s="1"/>
  <c r="H768" i="29" a="1"/>
  <c r="H768" i="29" s="1"/>
  <c r="E768" i="29" a="1"/>
  <c r="E768" i="29" s="1"/>
  <c r="D769" i="29" a="1"/>
  <c r="D769" i="29" s="1"/>
  <c r="H769" i="29" a="1"/>
  <c r="H769" i="29" s="1"/>
  <c r="E769" i="29" a="1"/>
  <c r="E769" i="29" s="1"/>
  <c r="D770" i="29" a="1"/>
  <c r="D770" i="29" s="1"/>
  <c r="H770" i="29" a="1"/>
  <c r="H770" i="29" s="1"/>
  <c r="E770" i="29" a="1"/>
  <c r="E770" i="29" s="1"/>
  <c r="D771" i="29" a="1"/>
  <c r="D771" i="29" s="1"/>
  <c r="H771" i="29" a="1"/>
  <c r="H771" i="29" s="1"/>
  <c r="E771" i="29" a="1"/>
  <c r="E771" i="29" s="1"/>
  <c r="D772" i="29" a="1"/>
  <c r="D772" i="29" s="1"/>
  <c r="H772" i="29" a="1"/>
  <c r="H772" i="29" s="1"/>
  <c r="E772" i="29" a="1"/>
  <c r="E772" i="29" s="1"/>
  <c r="D773" i="29" a="1"/>
  <c r="D773" i="29" s="1"/>
  <c r="H773" i="29" a="1"/>
  <c r="H773" i="29" s="1"/>
  <c r="E773" i="29" a="1"/>
  <c r="E773" i="29" s="1"/>
  <c r="D774" i="29" a="1"/>
  <c r="D774" i="29" s="1"/>
  <c r="H774" i="29" a="1"/>
  <c r="H774" i="29" s="1"/>
  <c r="E774" i="29" a="1"/>
  <c r="E774" i="29" s="1"/>
  <c r="D775" i="29" a="1"/>
  <c r="D775" i="29" s="1"/>
  <c r="H775" i="29" a="1"/>
  <c r="H775" i="29" s="1"/>
  <c r="E775" i="29" a="1"/>
  <c r="E775" i="29" s="1"/>
  <c r="D776" i="29" a="1"/>
  <c r="D776" i="29" s="1"/>
  <c r="H776" i="29" a="1"/>
  <c r="H776" i="29" s="1"/>
  <c r="E776" i="29" a="1"/>
  <c r="E776" i="29" s="1"/>
  <c r="D777" i="29" a="1"/>
  <c r="D777" i="29" s="1"/>
  <c r="H777" i="29" a="1"/>
  <c r="H777" i="29" s="1"/>
  <c r="E777" i="29" a="1"/>
  <c r="E777" i="29" s="1"/>
  <c r="D778" i="29" a="1"/>
  <c r="D778" i="29" s="1"/>
  <c r="H778" i="29" a="1"/>
  <c r="H778" i="29" s="1"/>
  <c r="E778" i="29" a="1"/>
  <c r="E778" i="29" s="1"/>
  <c r="D779" i="29" a="1"/>
  <c r="D779" i="29" s="1"/>
  <c r="H779" i="29" a="1"/>
  <c r="H779" i="29" s="1"/>
  <c r="E779" i="29" a="1"/>
  <c r="E779" i="29" s="1"/>
  <c r="D780" i="29" a="1"/>
  <c r="D780" i="29" s="1"/>
  <c r="H780" i="29" a="1"/>
  <c r="H780" i="29" s="1"/>
  <c r="E780" i="29" a="1"/>
  <c r="E780" i="29" s="1"/>
  <c r="D781" i="29" a="1"/>
  <c r="D781" i="29" s="1"/>
  <c r="H781" i="29" a="1"/>
  <c r="H781" i="29" s="1"/>
  <c r="E781" i="29" a="1"/>
  <c r="E781" i="29" s="1"/>
  <c r="D782" i="29" a="1"/>
  <c r="D782" i="29" s="1"/>
  <c r="H782" i="29" a="1"/>
  <c r="H782" i="29" s="1"/>
  <c r="E782" i="29" a="1"/>
  <c r="E782" i="29" s="1"/>
  <c r="D783" i="29" a="1"/>
  <c r="D783" i="29" s="1"/>
  <c r="H783" i="29" a="1"/>
  <c r="H783" i="29" s="1"/>
  <c r="E783" i="29" a="1"/>
  <c r="E783" i="29" s="1"/>
  <c r="D784" i="29" a="1"/>
  <c r="D784" i="29" s="1"/>
  <c r="H784" i="29" a="1"/>
  <c r="H784" i="29" s="1"/>
  <c r="E784" i="29" a="1"/>
  <c r="E784" i="29" s="1"/>
  <c r="D785" i="29" a="1"/>
  <c r="D785" i="29" s="1"/>
  <c r="H785" i="29" a="1"/>
  <c r="H785" i="29" s="1"/>
  <c r="E785" i="29" a="1"/>
  <c r="E785" i="29" s="1"/>
  <c r="D786" i="29" a="1"/>
  <c r="D786" i="29" s="1"/>
  <c r="H786" i="29" a="1"/>
  <c r="H786" i="29" s="1"/>
  <c r="E786" i="29" a="1"/>
  <c r="E786" i="29" s="1"/>
  <c r="D787" i="29" a="1"/>
  <c r="D787" i="29" s="1"/>
  <c r="H787" i="29" a="1"/>
  <c r="H787" i="29" s="1"/>
  <c r="E787" i="29" a="1"/>
  <c r="E787" i="29" s="1"/>
  <c r="D788" i="29" a="1"/>
  <c r="D788" i="29" s="1"/>
  <c r="H788" i="29" a="1"/>
  <c r="H788" i="29" s="1"/>
  <c r="E788" i="29" a="1"/>
  <c r="E788" i="29" s="1"/>
  <c r="D789" i="29" a="1"/>
  <c r="D789" i="29" s="1"/>
  <c r="H789" i="29" a="1"/>
  <c r="H789" i="29" s="1"/>
  <c r="E789" i="29" a="1"/>
  <c r="E789" i="29" s="1"/>
  <c r="D790" i="29" a="1"/>
  <c r="D790" i="29" s="1"/>
  <c r="H790" i="29" a="1"/>
  <c r="H790" i="29" s="1"/>
  <c r="E790" i="29" a="1"/>
  <c r="E790" i="29" s="1"/>
  <c r="D791" i="29" a="1"/>
  <c r="D791" i="29" s="1"/>
  <c r="H791" i="29" a="1"/>
  <c r="H791" i="29" s="1"/>
  <c r="E791" i="29" a="1"/>
  <c r="E791" i="29" s="1"/>
  <c r="D792" i="29" a="1"/>
  <c r="D792" i="29" s="1"/>
  <c r="H792" i="29" a="1"/>
  <c r="H792" i="29" s="1"/>
  <c r="E792" i="29" a="1"/>
  <c r="E792" i="29" s="1"/>
  <c r="D793" i="29" a="1"/>
  <c r="D793" i="29" s="1"/>
  <c r="H793" i="29" a="1"/>
  <c r="H793" i="29" s="1"/>
  <c r="E793" i="29" a="1"/>
  <c r="E793" i="29" s="1"/>
  <c r="D794" i="29" a="1"/>
  <c r="D794" i="29" s="1"/>
  <c r="H794" i="29" a="1"/>
  <c r="H794" i="29" s="1"/>
  <c r="E794" i="29" a="1"/>
  <c r="E794" i="29" s="1"/>
  <c r="D795" i="29" a="1"/>
  <c r="D795" i="29" s="1"/>
  <c r="H795" i="29" a="1"/>
  <c r="H795" i="29" s="1"/>
  <c r="E795" i="29" a="1"/>
  <c r="E795" i="29" s="1"/>
  <c r="D796" i="29" a="1"/>
  <c r="D796" i="29" s="1"/>
  <c r="H796" i="29" a="1"/>
  <c r="H796" i="29" s="1"/>
  <c r="E796" i="29" a="1"/>
  <c r="E796" i="29" s="1"/>
  <c r="D797" i="29" a="1"/>
  <c r="D797" i="29" s="1"/>
  <c r="H797" i="29" a="1"/>
  <c r="H797" i="29" s="1"/>
  <c r="E797" i="29" a="1"/>
  <c r="E797" i="29" s="1"/>
  <c r="D798" i="29" a="1"/>
  <c r="D798" i="29" s="1"/>
  <c r="H798" i="29" a="1"/>
  <c r="H798" i="29" s="1"/>
  <c r="E798" i="29" a="1"/>
  <c r="E798" i="29" s="1"/>
  <c r="D290" i="29" a="1"/>
  <c r="D290" i="29" s="1"/>
  <c r="H290" i="29" a="1"/>
  <c r="H290" i="29" s="1"/>
  <c r="E290" i="29" a="1"/>
  <c r="E290" i="29" s="1"/>
  <c r="D291" i="29" a="1"/>
  <c r="D291" i="29" s="1"/>
  <c r="H291" i="29" a="1"/>
  <c r="H291" i="29" s="1"/>
  <c r="E291" i="29" a="1"/>
  <c r="E291" i="29" s="1"/>
  <c r="D292" i="29" a="1"/>
  <c r="D292" i="29" s="1"/>
  <c r="H292" i="29" a="1"/>
  <c r="H292" i="29" s="1"/>
  <c r="E292" i="29" a="1"/>
  <c r="E292" i="29" s="1"/>
  <c r="D293" i="29" a="1"/>
  <c r="D293" i="29" s="1"/>
  <c r="H293" i="29" a="1"/>
  <c r="H293" i="29" s="1"/>
  <c r="E293" i="29" a="1"/>
  <c r="E293" i="29" s="1"/>
  <c r="D294" i="29" a="1"/>
  <c r="D294" i="29" s="1"/>
  <c r="H294" i="29" a="1"/>
  <c r="H294" i="29" s="1"/>
  <c r="E294" i="29" a="1"/>
  <c r="E294" i="29" s="1"/>
  <c r="D295" i="29" a="1"/>
  <c r="D295" i="29" s="1"/>
  <c r="H295" i="29" a="1"/>
  <c r="H295" i="29" s="1"/>
  <c r="E295" i="29" a="1"/>
  <c r="E295" i="29" s="1"/>
  <c r="D296" i="29" a="1"/>
  <c r="D296" i="29" s="1"/>
  <c r="H296" i="29" a="1"/>
  <c r="H296" i="29" s="1"/>
  <c r="E296" i="29" a="1"/>
  <c r="E296" i="29" s="1"/>
  <c r="D297" i="29" a="1"/>
  <c r="D297" i="29" s="1"/>
  <c r="H297" i="29" a="1"/>
  <c r="H297" i="29" s="1"/>
  <c r="E297" i="29" a="1"/>
  <c r="E297" i="29" s="1"/>
  <c r="D298" i="29" a="1"/>
  <c r="D298" i="29" s="1"/>
  <c r="H298" i="29" a="1"/>
  <c r="H298" i="29" s="1"/>
  <c r="E298" i="29" a="1"/>
  <c r="E298" i="29" s="1"/>
  <c r="D299" i="29" a="1"/>
  <c r="D299" i="29" s="1"/>
  <c r="H299" i="29" a="1"/>
  <c r="H299" i="29" s="1"/>
  <c r="E299" i="29" a="1"/>
  <c r="E299" i="29" s="1"/>
  <c r="D300" i="29" a="1"/>
  <c r="D300" i="29" s="1"/>
  <c r="H300" i="29" a="1"/>
  <c r="H300" i="29" s="1"/>
  <c r="E300" i="29" a="1"/>
  <c r="E300" i="29" s="1"/>
  <c r="D301" i="29" a="1"/>
  <c r="D301" i="29" s="1"/>
  <c r="H301" i="29" a="1"/>
  <c r="H301" i="29" s="1"/>
  <c r="E301" i="29" a="1"/>
  <c r="E301" i="29" s="1"/>
  <c r="D302" i="29" a="1"/>
  <c r="D302" i="29" s="1"/>
  <c r="H302" i="29" a="1"/>
  <c r="H302" i="29" s="1"/>
  <c r="E302" i="29" a="1"/>
  <c r="E302" i="29" s="1"/>
  <c r="D303" i="29" a="1"/>
  <c r="D303" i="29" s="1"/>
  <c r="H303" i="29" a="1"/>
  <c r="H303" i="29" s="1"/>
  <c r="E303" i="29" a="1"/>
  <c r="E303" i="29" s="1"/>
  <c r="D304" i="29" a="1"/>
  <c r="D304" i="29" s="1"/>
  <c r="H304" i="29" a="1"/>
  <c r="H304" i="29" s="1"/>
  <c r="E304" i="29" a="1"/>
  <c r="E304" i="29" s="1"/>
  <c r="D305" i="29" a="1"/>
  <c r="D305" i="29" s="1"/>
  <c r="H305" i="29" a="1"/>
  <c r="H305" i="29" s="1"/>
  <c r="E305" i="29" a="1"/>
  <c r="E305" i="29" s="1"/>
  <c r="D306" i="29" a="1"/>
  <c r="D306" i="29" s="1"/>
  <c r="H306" i="29" a="1"/>
  <c r="H306" i="29" s="1"/>
  <c r="E306" i="29" a="1"/>
  <c r="E306" i="29" s="1"/>
  <c r="D307" i="29" a="1"/>
  <c r="D307" i="29" s="1"/>
  <c r="H307" i="29" a="1"/>
  <c r="H307" i="29" s="1"/>
  <c r="E307" i="29" a="1"/>
  <c r="E307" i="29" s="1"/>
  <c r="D308" i="29" a="1"/>
  <c r="D308" i="29" s="1"/>
  <c r="H308" i="29" a="1"/>
  <c r="H308" i="29" s="1"/>
  <c r="E308" i="29" a="1"/>
  <c r="E308" i="29" s="1"/>
  <c r="D309" i="29" a="1"/>
  <c r="D309" i="29" s="1"/>
  <c r="H309" i="29" a="1"/>
  <c r="H309" i="29" s="1"/>
  <c r="E309" i="29" a="1"/>
  <c r="E309" i="29" s="1"/>
  <c r="D310" i="29" a="1"/>
  <c r="D310" i="29" s="1"/>
  <c r="H310" i="29" a="1"/>
  <c r="H310" i="29" s="1"/>
  <c r="E310" i="29" a="1"/>
  <c r="E310" i="29" s="1"/>
  <c r="D311" i="29" a="1"/>
  <c r="D311" i="29" s="1"/>
  <c r="H311" i="29" a="1"/>
  <c r="H311" i="29" s="1"/>
  <c r="E311" i="29" a="1"/>
  <c r="E311" i="29" s="1"/>
  <c r="D312" i="29" a="1"/>
  <c r="D312" i="29" s="1"/>
  <c r="H312" i="29" a="1"/>
  <c r="H312" i="29" s="1"/>
  <c r="E312" i="29" a="1"/>
  <c r="E312" i="29" s="1"/>
  <c r="D313" i="29" a="1"/>
  <c r="D313" i="29" s="1"/>
  <c r="H313" i="29" a="1"/>
  <c r="H313" i="29" s="1"/>
  <c r="E313" i="29" a="1"/>
  <c r="E313" i="29" s="1"/>
  <c r="D314" i="29" a="1"/>
  <c r="D314" i="29" s="1"/>
  <c r="H314" i="29" a="1"/>
  <c r="H314" i="29" s="1"/>
  <c r="E314" i="29" a="1"/>
  <c r="E314" i="29" s="1"/>
  <c r="D315" i="29" a="1"/>
  <c r="D315" i="29" s="1"/>
  <c r="H315" i="29" a="1"/>
  <c r="H315" i="29" s="1"/>
  <c r="E315" i="29" a="1"/>
  <c r="E315" i="29" s="1"/>
  <c r="D316" i="29" a="1"/>
  <c r="D316" i="29" s="1"/>
  <c r="H316" i="29" a="1"/>
  <c r="H316" i="29" s="1"/>
  <c r="E316" i="29" a="1"/>
  <c r="E316" i="29" s="1"/>
  <c r="D317" i="29" a="1"/>
  <c r="D317" i="29" s="1"/>
  <c r="H317" i="29" a="1"/>
  <c r="H317" i="29" s="1"/>
  <c r="E317" i="29" a="1"/>
  <c r="E317" i="29" s="1"/>
  <c r="D318" i="29" a="1"/>
  <c r="D318" i="29" s="1"/>
  <c r="H318" i="29" a="1"/>
  <c r="H318" i="29" s="1"/>
  <c r="E318" i="29" a="1"/>
  <c r="E318" i="29" s="1"/>
  <c r="D319" i="29" a="1"/>
  <c r="D319" i="29" s="1"/>
  <c r="H319" i="29" a="1"/>
  <c r="H319" i="29" s="1"/>
  <c r="E319" i="29" a="1"/>
  <c r="E319" i="29" s="1"/>
  <c r="D320" i="29" a="1"/>
  <c r="D320" i="29" s="1"/>
  <c r="H320" i="29" a="1"/>
  <c r="H320" i="29" s="1"/>
  <c r="E320" i="29" a="1"/>
  <c r="E320" i="29" s="1"/>
  <c r="D321" i="29" a="1"/>
  <c r="D321" i="29" s="1"/>
  <c r="H321" i="29" a="1"/>
  <c r="H321" i="29" s="1"/>
  <c r="E321" i="29" a="1"/>
  <c r="E321" i="29" s="1"/>
  <c r="D322" i="29" a="1"/>
  <c r="D322" i="29" s="1"/>
  <c r="H322" i="29" a="1"/>
  <c r="H322" i="29" s="1"/>
  <c r="E322" i="29" a="1"/>
  <c r="E322" i="29" s="1"/>
  <c r="D323" i="29" a="1"/>
  <c r="D323" i="29" s="1"/>
  <c r="H323" i="29" a="1"/>
  <c r="H323" i="29" s="1"/>
  <c r="E323" i="29" a="1"/>
  <c r="E323" i="29" s="1"/>
  <c r="D324" i="29" a="1"/>
  <c r="D324" i="29" s="1"/>
  <c r="H324" i="29" a="1"/>
  <c r="H324" i="29" s="1"/>
  <c r="E324" i="29" a="1"/>
  <c r="E324" i="29" s="1"/>
  <c r="D163" i="29"/>
  <c r="H163" i="29"/>
  <c r="E163" i="29" a="1"/>
  <c r="E163" i="29" s="1"/>
  <c r="D164" i="29"/>
  <c r="H164" i="29"/>
  <c r="E164" i="29" a="1"/>
  <c r="E164" i="29" s="1"/>
  <c r="D165" i="29"/>
  <c r="H165" i="29"/>
  <c r="E165" i="29" a="1"/>
  <c r="E165" i="29" s="1"/>
  <c r="D166" i="29"/>
  <c r="H166" i="29"/>
  <c r="E166" i="29" a="1"/>
  <c r="E166" i="29" s="1"/>
  <c r="D167" i="29"/>
  <c r="H167" i="29"/>
  <c r="E167" i="29" a="1"/>
  <c r="E167" i="29" s="1"/>
  <c r="D168" i="29"/>
  <c r="H168" i="29"/>
  <c r="E168" i="29" a="1"/>
  <c r="E168" i="29" s="1"/>
  <c r="D169" i="29"/>
  <c r="H169" i="29"/>
  <c r="E169" i="29" a="1"/>
  <c r="E169" i="29" s="1"/>
  <c r="D170" i="29"/>
  <c r="H170" i="29"/>
  <c r="E170" i="29" a="1"/>
  <c r="E170" i="29" s="1"/>
  <c r="D171" i="29"/>
  <c r="H171" i="29"/>
  <c r="E171" i="29" a="1"/>
  <c r="E171" i="29" s="1"/>
  <c r="D172" i="29"/>
  <c r="H172" i="29"/>
  <c r="E172" i="29" a="1"/>
  <c r="E172" i="29" s="1"/>
  <c r="D173" i="29"/>
  <c r="H173" i="29"/>
  <c r="E173" i="29" a="1"/>
  <c r="E173" i="29" s="1"/>
  <c r="D174" i="29"/>
  <c r="H174" i="29"/>
  <c r="E174" i="29" a="1"/>
  <c r="E174" i="29" s="1"/>
  <c r="D175" i="29"/>
  <c r="H175" i="29"/>
  <c r="E175" i="29" a="1"/>
  <c r="E175" i="29" s="1"/>
  <c r="D176" i="29"/>
  <c r="H176" i="29"/>
  <c r="E176" i="29" a="1"/>
  <c r="E176" i="29" s="1"/>
  <c r="D177" i="29"/>
  <c r="H177" i="29"/>
  <c r="E177" i="29" a="1"/>
  <c r="E177" i="29" s="1"/>
  <c r="D178" i="29"/>
  <c r="H178" i="29"/>
  <c r="E178" i="29" a="1"/>
  <c r="E178" i="29" s="1"/>
  <c r="D179" i="29"/>
  <c r="H179" i="29"/>
  <c r="E179" i="29" a="1"/>
  <c r="E179" i="29" s="1"/>
  <c r="D180" i="29"/>
  <c r="H180" i="29"/>
  <c r="E180" i="29" a="1"/>
  <c r="E180" i="29" s="1"/>
  <c r="D181" i="29"/>
  <c r="H181" i="29"/>
  <c r="E181" i="29" a="1"/>
  <c r="E181" i="29" s="1"/>
  <c r="I714" i="29"/>
  <c r="E714" i="29" s="1" a="1"/>
  <c r="E714" i="29" s="1"/>
  <c r="I715" i="29"/>
  <c r="E715" i="29" s="1" a="1"/>
  <c r="E715" i="29" s="1"/>
  <c r="I716" i="29"/>
  <c r="E716" i="29" s="1" a="1"/>
  <c r="E716" i="29" s="1"/>
  <c r="I717" i="29"/>
  <c r="E717" i="29" s="1" a="1"/>
  <c r="E717" i="29" s="1"/>
  <c r="I718" i="29"/>
  <c r="E718" i="29" s="1" a="1"/>
  <c r="E718" i="29" s="1"/>
  <c r="I719" i="29"/>
  <c r="E719" i="29" s="1" a="1"/>
  <c r="E719" i="29" s="1"/>
  <c r="I720" i="29"/>
  <c r="E720" i="29" s="1" a="1"/>
  <c r="E720" i="29" s="1"/>
  <c r="I721" i="29"/>
  <c r="E721" i="29" s="1" a="1"/>
  <c r="E721" i="29" s="1"/>
  <c r="I722" i="29"/>
  <c r="E722" i="29" s="1" a="1"/>
  <c r="E722" i="29" s="1"/>
  <c r="I723" i="29"/>
  <c r="E723" i="29" s="1" a="1"/>
  <c r="E723" i="29" s="1"/>
  <c r="I724" i="29"/>
  <c r="E724" i="29" s="1" a="1"/>
  <c r="E724" i="29" s="1"/>
  <c r="I725" i="29"/>
  <c r="E725" i="29" s="1" a="1"/>
  <c r="E725" i="29" s="1"/>
  <c r="I726" i="29"/>
  <c r="E726" i="29" s="1" a="1"/>
  <c r="E726" i="29" s="1"/>
  <c r="I727" i="29"/>
  <c r="E727" i="29" s="1" a="1"/>
  <c r="E727" i="29" s="1"/>
  <c r="I728" i="29"/>
  <c r="E728" i="29" s="1" a="1"/>
  <c r="E728" i="29" s="1"/>
  <c r="I729" i="29"/>
  <c r="E729" i="29" s="1" a="1"/>
  <c r="E729" i="29" s="1"/>
  <c r="I730" i="29"/>
  <c r="E730" i="29" s="1" a="1"/>
  <c r="E730" i="29" s="1"/>
  <c r="I731" i="29"/>
  <c r="E731" i="29" s="1" a="1"/>
  <c r="E731" i="29" s="1"/>
  <c r="I732" i="29"/>
  <c r="E732" i="29" s="1" a="1"/>
  <c r="E732" i="29" s="1"/>
  <c r="I733" i="29"/>
  <c r="E733" i="29" s="1" a="1"/>
  <c r="E733" i="29" s="1"/>
  <c r="I734" i="29"/>
  <c r="E734" i="29" s="1" a="1"/>
  <c r="E734" i="29" s="1"/>
  <c r="I735" i="29"/>
  <c r="E735" i="29" s="1" a="1"/>
  <c r="E735" i="29" s="1"/>
  <c r="I736" i="29"/>
  <c r="E736" i="29" s="1" a="1"/>
  <c r="E736" i="29" s="1"/>
  <c r="I737" i="29"/>
  <c r="E737" i="29" s="1" a="1"/>
  <c r="E737" i="29" s="1"/>
  <c r="I738" i="29"/>
  <c r="E738" i="29" s="1" a="1"/>
  <c r="E738" i="29" s="1"/>
  <c r="I739" i="29"/>
  <c r="E739" i="29" s="1" a="1"/>
  <c r="E739" i="29" s="1"/>
  <c r="I740" i="29"/>
  <c r="E740" i="29" s="1" a="1"/>
  <c r="E740" i="29" s="1"/>
  <c r="I741" i="29"/>
  <c r="E741" i="29" s="1" a="1"/>
  <c r="E741" i="29" s="1"/>
  <c r="I742" i="29"/>
  <c r="E742" i="29" s="1" a="1"/>
  <c r="E742" i="29" s="1"/>
  <c r="I743" i="29"/>
  <c r="E743" i="29" s="1" a="1"/>
  <c r="E743" i="29" s="1"/>
  <c r="I744" i="29"/>
  <c r="E744" i="29" s="1" a="1"/>
  <c r="E744" i="29" s="1"/>
  <c r="K17" i="47" l="1"/>
  <c r="K18" i="47"/>
  <c r="C68" i="47"/>
  <c r="CH65" i="36"/>
  <c r="CE65" i="36"/>
  <c r="CD65" i="36"/>
  <c r="CC65" i="36"/>
  <c r="CA65" i="36"/>
  <c r="BX65" i="36"/>
  <c r="BV65" i="36"/>
  <c r="BS65" i="36"/>
  <c r="BQ65" i="36"/>
  <c r="BN65" i="36"/>
  <c r="BM65" i="36"/>
  <c r="BL65" i="36"/>
  <c r="BJ65" i="36"/>
  <c r="BI65" i="36"/>
  <c r="BG65" i="36"/>
  <c r="BE65" i="36"/>
  <c r="BB65" i="36"/>
  <c r="AZ65" i="36"/>
  <c r="AX65" i="36"/>
  <c r="AW65" i="36"/>
  <c r="AU65" i="36"/>
  <c r="AT65" i="36"/>
  <c r="AR65" i="36"/>
  <c r="AP65" i="36"/>
  <c r="AO65" i="36"/>
  <c r="AM65" i="36"/>
  <c r="AL65" i="36" s="1" a="1"/>
  <c r="AL65" i="36" s="1"/>
  <c r="BZ65" i="36" s="1"/>
  <c r="AJ65" i="36"/>
  <c r="AH65" i="36"/>
  <c r="AA65" i="36"/>
  <c r="X65" i="36" a="1"/>
  <c r="X65" i="36" s="1"/>
  <c r="Y65" i="36" s="1"/>
  <c r="V65" i="36"/>
  <c r="AQ65" i="36" s="1"/>
  <c r="T65" i="36"/>
  <c r="U65" i="36" s="1"/>
  <c r="S65" i="36"/>
  <c r="Q65" i="36"/>
  <c r="O65" i="36"/>
  <c r="M65" i="36"/>
  <c r="P65" i="36" s="1"/>
  <c r="CH64" i="36"/>
  <c r="CE64" i="36"/>
  <c r="CD64" i="36"/>
  <c r="CC64" i="36"/>
  <c r="CA64" i="36"/>
  <c r="BX64" i="36"/>
  <c r="BV64" i="36"/>
  <c r="BS64" i="36"/>
  <c r="BQ64" i="36"/>
  <c r="BN64" i="36"/>
  <c r="BM64" i="36"/>
  <c r="BL64" i="36"/>
  <c r="BJ64" i="36"/>
  <c r="BI64" i="36"/>
  <c r="BG64" i="36"/>
  <c r="BE64" i="36"/>
  <c r="BB64" i="36"/>
  <c r="AZ64" i="36"/>
  <c r="AX64" i="36"/>
  <c r="AW64" i="36"/>
  <c r="AU64" i="36"/>
  <c r="AT64" i="36"/>
  <c r="AR64" i="36"/>
  <c r="AP64" i="36"/>
  <c r="AO64" i="36"/>
  <c r="AM64" i="36"/>
  <c r="AL64" i="36" s="1" a="1"/>
  <c r="AL64" i="36" s="1"/>
  <c r="BZ64" i="36" s="1"/>
  <c r="AJ64" i="36"/>
  <c r="AH64" i="36"/>
  <c r="AA64" i="36"/>
  <c r="AE64" i="36" s="1"/>
  <c r="X64" i="36" a="1"/>
  <c r="X64" i="36" s="1"/>
  <c r="V64" i="36"/>
  <c r="CF64" i="36" s="1"/>
  <c r="CG64" i="36" s="1"/>
  <c r="T64" i="36"/>
  <c r="U64" i="36" s="1"/>
  <c r="S64" i="36"/>
  <c r="Q64" i="36"/>
  <c r="O64" i="36"/>
  <c r="M64" i="36"/>
  <c r="P64" i="36" s="1"/>
  <c r="CH63" i="36"/>
  <c r="CE63" i="36"/>
  <c r="CD63" i="36"/>
  <c r="CC63" i="36"/>
  <c r="CA63" i="36"/>
  <c r="BX63" i="36"/>
  <c r="BV63" i="36"/>
  <c r="BS63" i="36"/>
  <c r="BQ63" i="36"/>
  <c r="BN63" i="36"/>
  <c r="BM63" i="36"/>
  <c r="BL63" i="36"/>
  <c r="BJ63" i="36"/>
  <c r="BI63" i="36"/>
  <c r="BG63" i="36"/>
  <c r="BE63" i="36"/>
  <c r="BB63" i="36"/>
  <c r="AZ63" i="36"/>
  <c r="AX63" i="36"/>
  <c r="AW63" i="36"/>
  <c r="AU63" i="36"/>
  <c r="AT63" i="36"/>
  <c r="AR63" i="36"/>
  <c r="AP63" i="36"/>
  <c r="AO63" i="36"/>
  <c r="AM63" i="36"/>
  <c r="AL63" i="36" s="1" a="1"/>
  <c r="AL63" i="36" s="1"/>
  <c r="BZ63" i="36" s="1"/>
  <c r="AJ63" i="36"/>
  <c r="AH63" i="36"/>
  <c r="AA63" i="36"/>
  <c r="X63" i="36" a="1"/>
  <c r="X63" i="36" s="1"/>
  <c r="Y63" i="36" s="1"/>
  <c r="V63" i="36"/>
  <c r="AY63" i="36" s="1"/>
  <c r="T63" i="36"/>
  <c r="U63" i="36" s="1"/>
  <c r="S63" i="36"/>
  <c r="Q63" i="36"/>
  <c r="O63" i="36"/>
  <c r="M63" i="36"/>
  <c r="N63" i="36" s="1" a="1"/>
  <c r="N63" i="36" s="1"/>
  <c r="CH62" i="36"/>
  <c r="CE62" i="36"/>
  <c r="CD62" i="36"/>
  <c r="CC62" i="36"/>
  <c r="CA62" i="36"/>
  <c r="BX62" i="36"/>
  <c r="BV62" i="36"/>
  <c r="BS62" i="36"/>
  <c r="BQ62" i="36"/>
  <c r="BN62" i="36"/>
  <c r="BM62" i="36"/>
  <c r="BL62" i="36"/>
  <c r="BJ62" i="36"/>
  <c r="BI62" i="36"/>
  <c r="BG62" i="36"/>
  <c r="BE62" i="36"/>
  <c r="BB62" i="36"/>
  <c r="AZ62" i="36"/>
  <c r="AX62" i="36"/>
  <c r="AW62" i="36"/>
  <c r="AU62" i="36"/>
  <c r="AT62" i="36"/>
  <c r="AR62" i="36"/>
  <c r="AP62" i="36"/>
  <c r="AO62" i="36"/>
  <c r="AM62" i="36"/>
  <c r="AL62" i="36" s="1" a="1"/>
  <c r="AL62" i="36" s="1"/>
  <c r="BZ62" i="36" s="1"/>
  <c r="AJ62" i="36"/>
  <c r="AH62" i="36"/>
  <c r="AI62" i="36" s="1" a="1"/>
  <c r="AI62" i="36" s="1"/>
  <c r="AA62" i="36"/>
  <c r="X62" i="36" a="1"/>
  <c r="X62" i="36" s="1"/>
  <c r="BA62" i="36" s="1"/>
  <c r="V62" i="36"/>
  <c r="AQ62" i="36" s="1"/>
  <c r="T62" i="36"/>
  <c r="U62" i="36" s="1"/>
  <c r="S62" i="36"/>
  <c r="Q62" i="36"/>
  <c r="O62" i="36"/>
  <c r="M62" i="36"/>
  <c r="P62" i="36" s="1"/>
  <c r="CH61" i="36"/>
  <c r="CE61" i="36"/>
  <c r="CD61" i="36"/>
  <c r="CC61" i="36"/>
  <c r="CA61" i="36"/>
  <c r="BX61" i="36"/>
  <c r="BV61" i="36"/>
  <c r="BS61" i="36"/>
  <c r="BQ61" i="36"/>
  <c r="BN61" i="36"/>
  <c r="BM61" i="36"/>
  <c r="BL61" i="36"/>
  <c r="BJ61" i="36"/>
  <c r="BI61" i="36"/>
  <c r="BG61" i="36"/>
  <c r="BE61" i="36"/>
  <c r="BB61" i="36"/>
  <c r="AZ61" i="36"/>
  <c r="AX61" i="36"/>
  <c r="AW61" i="36"/>
  <c r="AU61" i="36"/>
  <c r="AT61" i="36"/>
  <c r="AR61" i="36"/>
  <c r="AP61" i="36"/>
  <c r="AO61" i="36"/>
  <c r="AM61" i="36"/>
  <c r="AL61" i="36" s="1" a="1"/>
  <c r="AL61" i="36" s="1"/>
  <c r="BZ61" i="36" s="1"/>
  <c r="AJ61" i="36"/>
  <c r="AH61" i="36"/>
  <c r="AA61" i="36"/>
  <c r="AD61" i="36" s="1" a="1"/>
  <c r="AD61" i="36" s="1"/>
  <c r="X61" i="36" a="1"/>
  <c r="X61" i="36" s="1"/>
  <c r="V61" i="36"/>
  <c r="W61" i="36" s="1"/>
  <c r="T61" i="36"/>
  <c r="U61" i="36" s="1"/>
  <c r="S61" i="36"/>
  <c r="Q61" i="36"/>
  <c r="O61" i="36"/>
  <c r="M61" i="36"/>
  <c r="P61" i="36" s="1"/>
  <c r="CH60" i="36"/>
  <c r="CE60" i="36"/>
  <c r="CD60" i="36"/>
  <c r="CC60" i="36"/>
  <c r="CA60" i="36"/>
  <c r="BX60" i="36"/>
  <c r="BV60" i="36"/>
  <c r="BS60" i="36"/>
  <c r="BQ60" i="36"/>
  <c r="BN60" i="36"/>
  <c r="BM60" i="36"/>
  <c r="BL60" i="36"/>
  <c r="BJ60" i="36"/>
  <c r="BI60" i="36"/>
  <c r="BG60" i="36"/>
  <c r="BE60" i="36"/>
  <c r="BB60" i="36"/>
  <c r="AZ60" i="36"/>
  <c r="AX60" i="36"/>
  <c r="AW60" i="36"/>
  <c r="AU60" i="36"/>
  <c r="AT60" i="36"/>
  <c r="AR60" i="36"/>
  <c r="AP60" i="36"/>
  <c r="AO60" i="36"/>
  <c r="AM60" i="36"/>
  <c r="AL60" i="36" s="1" a="1"/>
  <c r="AL60" i="36" s="1"/>
  <c r="BZ60" i="36" s="1"/>
  <c r="AJ60" i="36"/>
  <c r="AH60" i="36"/>
  <c r="AA60" i="36"/>
  <c r="AB60" i="36" s="1"/>
  <c r="BP60" i="36" s="1"/>
  <c r="BR60" i="36" s="1" a="1"/>
  <c r="BR60" i="36" s="1"/>
  <c r="X60" i="36" a="1"/>
  <c r="X60" i="36" s="1"/>
  <c r="Y60" i="36" s="1"/>
  <c r="V60" i="36"/>
  <c r="AY60" i="36" s="1"/>
  <c r="T60" i="36"/>
  <c r="U60" i="36" s="1"/>
  <c r="S60" i="36"/>
  <c r="Q60" i="36"/>
  <c r="O60" i="36"/>
  <c r="M60" i="36"/>
  <c r="N60" i="36" s="1" a="1"/>
  <c r="N60" i="36" s="1"/>
  <c r="CH59" i="36"/>
  <c r="CE59" i="36"/>
  <c r="CD59" i="36"/>
  <c r="CC59" i="36"/>
  <c r="CA59" i="36"/>
  <c r="BX59" i="36"/>
  <c r="BV59" i="36"/>
  <c r="BS59" i="36"/>
  <c r="BQ59" i="36"/>
  <c r="BN59" i="36"/>
  <c r="BM59" i="36"/>
  <c r="BL59" i="36"/>
  <c r="BJ59" i="36"/>
  <c r="BI59" i="36"/>
  <c r="BG59" i="36"/>
  <c r="BE59" i="36"/>
  <c r="BB59" i="36"/>
  <c r="AZ59" i="36"/>
  <c r="AX59" i="36"/>
  <c r="AW59" i="36"/>
  <c r="AU59" i="36"/>
  <c r="AT59" i="36"/>
  <c r="AR59" i="36"/>
  <c r="AP59" i="36"/>
  <c r="AO59" i="36"/>
  <c r="AM59" i="36"/>
  <c r="AL59" i="36" s="1" a="1"/>
  <c r="AL59" i="36" s="1"/>
  <c r="BZ59" i="36" s="1"/>
  <c r="AJ59" i="36"/>
  <c r="AH59" i="36"/>
  <c r="AI59" i="36" s="1" a="1"/>
  <c r="AI59" i="36" s="1"/>
  <c r="AA59" i="36"/>
  <c r="AB59" i="36" s="1"/>
  <c r="BP59" i="36" s="1"/>
  <c r="BR59" i="36" s="1" a="1"/>
  <c r="BR59" i="36" s="1"/>
  <c r="X59" i="36" a="1"/>
  <c r="X59" i="36" s="1"/>
  <c r="BA59" i="36" s="1"/>
  <c r="V59" i="36"/>
  <c r="AQ59" i="36" s="1"/>
  <c r="T59" i="36"/>
  <c r="U59" i="36" s="1"/>
  <c r="S59" i="36"/>
  <c r="Q59" i="36"/>
  <c r="O59" i="36"/>
  <c r="M59" i="36"/>
  <c r="N59" i="36" s="1" a="1"/>
  <c r="N59" i="36" s="1"/>
  <c r="CH58" i="36"/>
  <c r="CE58" i="36"/>
  <c r="CD58" i="36"/>
  <c r="CC58" i="36"/>
  <c r="CA58" i="36"/>
  <c r="BX58" i="36"/>
  <c r="BV58" i="36"/>
  <c r="BS58" i="36"/>
  <c r="BQ58" i="36"/>
  <c r="BN58" i="36"/>
  <c r="BM58" i="36"/>
  <c r="BL58" i="36"/>
  <c r="BJ58" i="36"/>
  <c r="BI58" i="36"/>
  <c r="BG58" i="36"/>
  <c r="BE58" i="36"/>
  <c r="BB58" i="36"/>
  <c r="AZ58" i="36"/>
  <c r="AX58" i="36"/>
  <c r="AW58" i="36"/>
  <c r="AU58" i="36"/>
  <c r="AT58" i="36"/>
  <c r="AR58" i="36"/>
  <c r="AP58" i="36"/>
  <c r="AO58" i="36"/>
  <c r="AM58" i="36"/>
  <c r="AL58" i="36" s="1" a="1"/>
  <c r="AL58" i="36" s="1"/>
  <c r="BZ58" i="36" s="1"/>
  <c r="AJ58" i="36"/>
  <c r="AH58" i="36"/>
  <c r="AI58" i="36" s="1" a="1"/>
  <c r="AI58" i="36" s="1"/>
  <c r="AA58" i="36"/>
  <c r="AB58" i="36" s="1"/>
  <c r="BP58" i="36" s="1"/>
  <c r="BR58" i="36" s="1" a="1"/>
  <c r="BR58" i="36" s="1"/>
  <c r="X58" i="36" a="1"/>
  <c r="X58" i="36" s="1"/>
  <c r="V58" i="36"/>
  <c r="BK58" i="36" s="1"/>
  <c r="T58" i="36"/>
  <c r="U58" i="36" s="1"/>
  <c r="S58" i="36"/>
  <c r="Q58" i="36"/>
  <c r="O58" i="36"/>
  <c r="M58" i="36"/>
  <c r="N58" i="36" s="1" a="1"/>
  <c r="N58" i="36" s="1"/>
  <c r="CH57" i="36"/>
  <c r="CE57" i="36"/>
  <c r="CD57" i="36"/>
  <c r="CC57" i="36"/>
  <c r="CA57" i="36"/>
  <c r="BX57" i="36"/>
  <c r="BV57" i="36"/>
  <c r="BS57" i="36"/>
  <c r="BQ57" i="36"/>
  <c r="BN57" i="36"/>
  <c r="BM57" i="36"/>
  <c r="BL57" i="36"/>
  <c r="BJ57" i="36"/>
  <c r="BI57" i="36"/>
  <c r="BG57" i="36"/>
  <c r="BE57" i="36"/>
  <c r="BB57" i="36"/>
  <c r="AZ57" i="36"/>
  <c r="AX57" i="36"/>
  <c r="AW57" i="36"/>
  <c r="AU57" i="36"/>
  <c r="AT57" i="36"/>
  <c r="AR57" i="36"/>
  <c r="AP57" i="36"/>
  <c r="AO57" i="36"/>
  <c r="AM57" i="36"/>
  <c r="AL57" i="36" s="1" a="1"/>
  <c r="AL57" i="36" s="1"/>
  <c r="BZ57" i="36" s="1"/>
  <c r="AJ57" i="36"/>
  <c r="AH57" i="36"/>
  <c r="AA57" i="36"/>
  <c r="AC57" i="36" s="1"/>
  <c r="X57" i="36" a="1"/>
  <c r="X57" i="36" s="1"/>
  <c r="Y57" i="36" s="1"/>
  <c r="V57" i="36"/>
  <c r="AY57" i="36" s="1"/>
  <c r="T57" i="36"/>
  <c r="U57" i="36" s="1"/>
  <c r="S57" i="36"/>
  <c r="Q57" i="36"/>
  <c r="O57" i="36"/>
  <c r="M57" i="36"/>
  <c r="P57" i="36" s="1"/>
  <c r="CH56" i="36"/>
  <c r="CE56" i="36"/>
  <c r="CD56" i="36"/>
  <c r="CC56" i="36"/>
  <c r="CA56" i="36"/>
  <c r="BX56" i="36"/>
  <c r="BV56" i="36"/>
  <c r="BS56" i="36"/>
  <c r="BQ56" i="36"/>
  <c r="BN56" i="36"/>
  <c r="BM56" i="36"/>
  <c r="BL56" i="36"/>
  <c r="BJ56" i="36"/>
  <c r="BI56" i="36"/>
  <c r="BG56" i="36"/>
  <c r="BE56" i="36"/>
  <c r="BB56" i="36"/>
  <c r="AZ56" i="36"/>
  <c r="AX56" i="36"/>
  <c r="AW56" i="36"/>
  <c r="AU56" i="36"/>
  <c r="AT56" i="36"/>
  <c r="AR56" i="36"/>
  <c r="AP56" i="36"/>
  <c r="AO56" i="36"/>
  <c r="AM56" i="36"/>
  <c r="AL56" i="36" s="1" a="1"/>
  <c r="AL56" i="36" s="1"/>
  <c r="BZ56" i="36" s="1"/>
  <c r="AJ56" i="36"/>
  <c r="AH56" i="36"/>
  <c r="AI56" i="36" s="1" a="1"/>
  <c r="AI56" i="36" s="1"/>
  <c r="AA56" i="36"/>
  <c r="X56" i="36" a="1"/>
  <c r="X56" i="36" s="1"/>
  <c r="BA56" i="36" s="1"/>
  <c r="V56" i="36"/>
  <c r="AQ56" i="36" s="1"/>
  <c r="T56" i="36"/>
  <c r="U56" i="36" s="1"/>
  <c r="S56" i="36"/>
  <c r="Q56" i="36"/>
  <c r="O56" i="36"/>
  <c r="M56" i="36"/>
  <c r="P56" i="36" s="1"/>
  <c r="CH55" i="36"/>
  <c r="CE55" i="36"/>
  <c r="CD55" i="36"/>
  <c r="CC55" i="36"/>
  <c r="CA55" i="36"/>
  <c r="BX55" i="36"/>
  <c r="BV55" i="36"/>
  <c r="BS55" i="36"/>
  <c r="BQ55" i="36"/>
  <c r="BN55" i="36"/>
  <c r="BM55" i="36"/>
  <c r="BL55" i="36"/>
  <c r="BJ55" i="36"/>
  <c r="BI55" i="36"/>
  <c r="BG55" i="36"/>
  <c r="BE55" i="36"/>
  <c r="BB55" i="36"/>
  <c r="AZ55" i="36"/>
  <c r="AX55" i="36"/>
  <c r="AW55" i="36"/>
  <c r="AU55" i="36"/>
  <c r="AT55" i="36"/>
  <c r="AR55" i="36"/>
  <c r="AP55" i="36"/>
  <c r="AO55" i="36"/>
  <c r="AM55" i="36"/>
  <c r="AL55" i="36" s="1" a="1"/>
  <c r="AL55" i="36" s="1"/>
  <c r="BZ55" i="36" s="1"/>
  <c r="AJ55" i="36"/>
  <c r="AH55" i="36"/>
  <c r="AI55" i="36" s="1" a="1"/>
  <c r="AI55" i="36" s="1"/>
  <c r="AA55" i="36"/>
  <c r="AE55" i="36" s="1"/>
  <c r="X55" i="36" a="1"/>
  <c r="X55" i="36" s="1"/>
  <c r="V55" i="36"/>
  <c r="T55" i="36"/>
  <c r="U55" i="36" s="1"/>
  <c r="S55" i="36"/>
  <c r="Q55" i="36"/>
  <c r="O55" i="36"/>
  <c r="M55" i="36"/>
  <c r="P55" i="36" s="1"/>
  <c r="CH54" i="36"/>
  <c r="CE54" i="36"/>
  <c r="CD54" i="36"/>
  <c r="CC54" i="36"/>
  <c r="CA54" i="36"/>
  <c r="BX54" i="36"/>
  <c r="BV54" i="36"/>
  <c r="BS54" i="36"/>
  <c r="BQ54" i="36"/>
  <c r="BN54" i="36"/>
  <c r="BM54" i="36"/>
  <c r="BL54" i="36"/>
  <c r="BJ54" i="36"/>
  <c r="BI54" i="36"/>
  <c r="BG54" i="36"/>
  <c r="BE54" i="36"/>
  <c r="BB54" i="36"/>
  <c r="AZ54" i="36"/>
  <c r="AX54" i="36"/>
  <c r="AW54" i="36"/>
  <c r="AU54" i="36"/>
  <c r="AT54" i="36"/>
  <c r="AR54" i="36"/>
  <c r="AP54" i="36"/>
  <c r="AO54" i="36"/>
  <c r="AM54" i="36"/>
  <c r="AL54" i="36" s="1" a="1"/>
  <c r="AL54" i="36" s="1"/>
  <c r="BZ54" i="36" s="1"/>
  <c r="AJ54" i="36"/>
  <c r="AH54" i="36"/>
  <c r="AA54" i="36"/>
  <c r="AC54" i="36" s="1"/>
  <c r="X54" i="36" a="1"/>
  <c r="X54" i="36" s="1"/>
  <c r="Y54" i="36" s="1"/>
  <c r="V54" i="36"/>
  <c r="AY54" i="36" s="1"/>
  <c r="T54" i="36"/>
  <c r="U54" i="36" s="1"/>
  <c r="S54" i="36"/>
  <c r="Q54" i="36"/>
  <c r="O54" i="36"/>
  <c r="M54" i="36"/>
  <c r="P54" i="36" s="1"/>
  <c r="CH53" i="36"/>
  <c r="CE53" i="36"/>
  <c r="CD53" i="36"/>
  <c r="CC53" i="36"/>
  <c r="CA53" i="36"/>
  <c r="BX53" i="36"/>
  <c r="BV53" i="36"/>
  <c r="BS53" i="36"/>
  <c r="BQ53" i="36"/>
  <c r="BN53" i="36"/>
  <c r="BM53" i="36"/>
  <c r="BL53" i="36"/>
  <c r="BJ53" i="36"/>
  <c r="BI53" i="36"/>
  <c r="BG53" i="36"/>
  <c r="BE53" i="36"/>
  <c r="BB53" i="36"/>
  <c r="AZ53" i="36"/>
  <c r="AX53" i="36"/>
  <c r="AW53" i="36"/>
  <c r="AU53" i="36"/>
  <c r="AT53" i="36"/>
  <c r="AR53" i="36"/>
  <c r="AP53" i="36"/>
  <c r="AO53" i="36"/>
  <c r="AM53" i="36"/>
  <c r="AL53" i="36" s="1" a="1"/>
  <c r="AL53" i="36" s="1"/>
  <c r="BZ53" i="36" s="1"/>
  <c r="AJ53" i="36"/>
  <c r="AH53" i="36"/>
  <c r="AA53" i="36"/>
  <c r="X53" i="36" a="1"/>
  <c r="X53" i="36" s="1"/>
  <c r="Y53" i="36" s="1"/>
  <c r="V53" i="36"/>
  <c r="T53" i="36"/>
  <c r="U53" i="36" s="1"/>
  <c r="S53" i="36"/>
  <c r="Q53" i="36"/>
  <c r="O53" i="36"/>
  <c r="M53" i="36"/>
  <c r="P53" i="36" s="1"/>
  <c r="CH52" i="36"/>
  <c r="CE52" i="36"/>
  <c r="CD52" i="36"/>
  <c r="CC52" i="36"/>
  <c r="CA52" i="36"/>
  <c r="BX52" i="36"/>
  <c r="BV52" i="36"/>
  <c r="BS52" i="36"/>
  <c r="BQ52" i="36"/>
  <c r="BN52" i="36"/>
  <c r="BM52" i="36"/>
  <c r="BL52" i="36"/>
  <c r="BJ52" i="36"/>
  <c r="BI52" i="36"/>
  <c r="BG52" i="36"/>
  <c r="BE52" i="36"/>
  <c r="BB52" i="36"/>
  <c r="AZ52" i="36"/>
  <c r="AX52" i="36"/>
  <c r="AW52" i="36"/>
  <c r="AU52" i="36"/>
  <c r="AT52" i="36"/>
  <c r="AR52" i="36"/>
  <c r="AP52" i="36"/>
  <c r="AO52" i="36"/>
  <c r="AM52" i="36"/>
  <c r="AL52" i="36" s="1" a="1"/>
  <c r="AL52" i="36" s="1"/>
  <c r="BZ52" i="36" s="1"/>
  <c r="AJ52" i="36"/>
  <c r="AH52" i="36"/>
  <c r="AA52" i="36"/>
  <c r="AC52" i="36" s="1"/>
  <c r="X52" i="36" a="1"/>
  <c r="X52" i="36" s="1"/>
  <c r="BA52" i="36" s="1"/>
  <c r="V52" i="36"/>
  <c r="CF52" i="36" s="1"/>
  <c r="CG52" i="36" s="1"/>
  <c r="T52" i="36"/>
  <c r="U52" i="36" s="1"/>
  <c r="S52" i="36"/>
  <c r="Q52" i="36"/>
  <c r="O52" i="36"/>
  <c r="M52" i="36"/>
  <c r="N52" i="36" s="1" a="1"/>
  <c r="N52" i="36" s="1"/>
  <c r="CH51" i="36"/>
  <c r="CE51" i="36"/>
  <c r="CD51" i="36"/>
  <c r="CC51" i="36"/>
  <c r="CA51" i="36"/>
  <c r="BX51" i="36"/>
  <c r="BV51" i="36"/>
  <c r="BS51" i="36"/>
  <c r="BQ51" i="36"/>
  <c r="BN51" i="36"/>
  <c r="BM51" i="36"/>
  <c r="BL51" i="36"/>
  <c r="BJ51" i="36"/>
  <c r="BI51" i="36"/>
  <c r="BG51" i="36"/>
  <c r="BE51" i="36"/>
  <c r="BB51" i="36"/>
  <c r="AZ51" i="36"/>
  <c r="AX51" i="36"/>
  <c r="AW51" i="36"/>
  <c r="AU51" i="36"/>
  <c r="AT51" i="36"/>
  <c r="AR51" i="36"/>
  <c r="AP51" i="36"/>
  <c r="AO51" i="36"/>
  <c r="AM51" i="36"/>
  <c r="AL51" i="36" s="1" a="1"/>
  <c r="AL51" i="36" s="1"/>
  <c r="BZ51" i="36" s="1"/>
  <c r="AJ51" i="36"/>
  <c r="AH51" i="36"/>
  <c r="AA51" i="36"/>
  <c r="AC51" i="36" s="1"/>
  <c r="X51" i="36" a="1"/>
  <c r="X51" i="36" s="1"/>
  <c r="BA51" i="36" s="1"/>
  <c r="V51" i="36"/>
  <c r="T51" i="36"/>
  <c r="U51" i="36" s="1"/>
  <c r="S51" i="36"/>
  <c r="Q51" i="36"/>
  <c r="O51" i="36"/>
  <c r="M51" i="36"/>
  <c r="P51" i="36" s="1"/>
  <c r="CH50" i="36"/>
  <c r="CE50" i="36"/>
  <c r="CD50" i="36"/>
  <c r="CC50" i="36"/>
  <c r="CA50" i="36"/>
  <c r="BX50" i="36"/>
  <c r="BV50" i="36"/>
  <c r="BS50" i="36"/>
  <c r="BQ50" i="36"/>
  <c r="BN50" i="36"/>
  <c r="BM50" i="36"/>
  <c r="BL50" i="36"/>
  <c r="BJ50" i="36"/>
  <c r="BI50" i="36"/>
  <c r="BG50" i="36"/>
  <c r="BE50" i="36"/>
  <c r="BB50" i="36"/>
  <c r="AZ50" i="36"/>
  <c r="AX50" i="36"/>
  <c r="AW50" i="36"/>
  <c r="AU50" i="36"/>
  <c r="AT50" i="36"/>
  <c r="AR50" i="36"/>
  <c r="AP50" i="36"/>
  <c r="AO50" i="36"/>
  <c r="AM50" i="36"/>
  <c r="AL50" i="36" s="1" a="1"/>
  <c r="AL50" i="36" s="1"/>
  <c r="BZ50" i="36" s="1"/>
  <c r="AJ50" i="36"/>
  <c r="AH50" i="36"/>
  <c r="AA50" i="36"/>
  <c r="AE50" i="36" s="1"/>
  <c r="X50" i="36" a="1"/>
  <c r="X50" i="36" s="1"/>
  <c r="V50" i="36"/>
  <c r="AY50" i="36" s="1"/>
  <c r="T50" i="36"/>
  <c r="U50" i="36" s="1"/>
  <c r="S50" i="36"/>
  <c r="Q50" i="36"/>
  <c r="O50" i="36"/>
  <c r="M50" i="36"/>
  <c r="P50" i="36" s="1"/>
  <c r="CH49" i="36"/>
  <c r="CF49" i="36"/>
  <c r="CG49" i="36" s="1"/>
  <c r="CE49" i="36"/>
  <c r="CD49" i="36"/>
  <c r="CC49" i="36"/>
  <c r="CA49" i="36"/>
  <c r="BX49" i="36"/>
  <c r="BV49" i="36"/>
  <c r="BS49" i="36"/>
  <c r="BQ49" i="36"/>
  <c r="BN49" i="36"/>
  <c r="BM49" i="36"/>
  <c r="BL49" i="36"/>
  <c r="BJ49" i="36"/>
  <c r="BI49" i="36"/>
  <c r="BG49" i="36"/>
  <c r="BE49" i="36"/>
  <c r="BB49" i="36"/>
  <c r="AZ49" i="36"/>
  <c r="AX49" i="36"/>
  <c r="AW49" i="36"/>
  <c r="AU49" i="36"/>
  <c r="AT49" i="36"/>
  <c r="AR49" i="36"/>
  <c r="AP49" i="36"/>
  <c r="AO49" i="36"/>
  <c r="AM49" i="36"/>
  <c r="AL49" i="36" s="1" a="1"/>
  <c r="AL49" i="36" s="1"/>
  <c r="BZ49" i="36" s="1"/>
  <c r="AJ49" i="36"/>
  <c r="AH49" i="36"/>
  <c r="AG49" i="36" s="1"/>
  <c r="BU49" i="36" s="1"/>
  <c r="BW49" i="36" s="1" a="1"/>
  <c r="BW49" i="36" s="1"/>
  <c r="AA49" i="36"/>
  <c r="AC49" i="36" s="1"/>
  <c r="X49" i="36" a="1"/>
  <c r="X49" i="36" s="1"/>
  <c r="V49" i="36"/>
  <c r="AY49" i="36" s="1"/>
  <c r="T49" i="36"/>
  <c r="U49" i="36" s="1"/>
  <c r="S49" i="36"/>
  <c r="Q49" i="36"/>
  <c r="O49" i="36"/>
  <c r="M49" i="36"/>
  <c r="P49" i="36" s="1"/>
  <c r="CH48" i="36"/>
  <c r="CE48" i="36"/>
  <c r="CD48" i="36"/>
  <c r="CC48" i="36"/>
  <c r="CA48" i="36"/>
  <c r="BX48" i="36"/>
  <c r="BV48" i="36"/>
  <c r="BS48" i="36"/>
  <c r="BQ48" i="36"/>
  <c r="BN48" i="36"/>
  <c r="BM48" i="36"/>
  <c r="BL48" i="36"/>
  <c r="BJ48" i="36"/>
  <c r="BI48" i="36"/>
  <c r="BG48" i="36"/>
  <c r="BE48" i="36"/>
  <c r="BB48" i="36"/>
  <c r="AZ48" i="36"/>
  <c r="AX48" i="36"/>
  <c r="AW48" i="36"/>
  <c r="AU48" i="36"/>
  <c r="AT48" i="36"/>
  <c r="AR48" i="36"/>
  <c r="AP48" i="36"/>
  <c r="AO48" i="36"/>
  <c r="AM48" i="36"/>
  <c r="AL48" i="36" s="1" a="1"/>
  <c r="AL48" i="36" s="1"/>
  <c r="BZ48" i="36" s="1"/>
  <c r="AJ48" i="36"/>
  <c r="AH48" i="36"/>
  <c r="AG48" i="36" s="1"/>
  <c r="BU48" i="36" s="1"/>
  <c r="BW48" i="36" s="1" a="1"/>
  <c r="BW48" i="36" s="1"/>
  <c r="AA48" i="36"/>
  <c r="AB48" i="36" s="1"/>
  <c r="BP48" i="36" s="1"/>
  <c r="BR48" i="36" s="1" a="1"/>
  <c r="BR48" i="36" s="1"/>
  <c r="X48" i="36" a="1"/>
  <c r="X48" i="36" s="1"/>
  <c r="BA48" i="36" s="1"/>
  <c r="V48" i="36"/>
  <c r="AQ48" i="36" s="1"/>
  <c r="T48" i="36"/>
  <c r="U48" i="36" s="1"/>
  <c r="S48" i="36"/>
  <c r="Q48" i="36"/>
  <c r="O48" i="36"/>
  <c r="M48" i="36"/>
  <c r="P48" i="36" s="1"/>
  <c r="CH47" i="36"/>
  <c r="CE47" i="36"/>
  <c r="CD47" i="36"/>
  <c r="CC47" i="36"/>
  <c r="CA47" i="36"/>
  <c r="BX47" i="36"/>
  <c r="BV47" i="36"/>
  <c r="BS47" i="36"/>
  <c r="BQ47" i="36"/>
  <c r="BN47" i="36"/>
  <c r="BM47" i="36"/>
  <c r="BL47" i="36"/>
  <c r="BJ47" i="36"/>
  <c r="BI47" i="36"/>
  <c r="BG47" i="36"/>
  <c r="BE47" i="36"/>
  <c r="BB47" i="36"/>
  <c r="AZ47" i="36"/>
  <c r="AX47" i="36"/>
  <c r="AW47" i="36"/>
  <c r="AU47" i="36"/>
  <c r="AT47" i="36"/>
  <c r="AR47" i="36"/>
  <c r="AP47" i="36"/>
  <c r="AO47" i="36"/>
  <c r="AM47" i="36"/>
  <c r="AL47" i="36" s="1" a="1"/>
  <c r="AL47" i="36" s="1"/>
  <c r="BZ47" i="36" s="1"/>
  <c r="AJ47" i="36"/>
  <c r="AH47" i="36"/>
  <c r="AA47" i="36"/>
  <c r="AC47" i="36" s="1"/>
  <c r="X47" i="36" a="1"/>
  <c r="X47" i="36" s="1"/>
  <c r="V47" i="36"/>
  <c r="AQ47" i="36" s="1"/>
  <c r="T47" i="36"/>
  <c r="U47" i="36" s="1"/>
  <c r="S47" i="36"/>
  <c r="Q47" i="36"/>
  <c r="O47" i="36"/>
  <c r="M47" i="36"/>
  <c r="P47" i="36" s="1"/>
  <c r="CH46" i="36"/>
  <c r="CE46" i="36"/>
  <c r="CD46" i="36"/>
  <c r="CC46" i="36"/>
  <c r="CA46" i="36"/>
  <c r="BX46" i="36"/>
  <c r="BV46" i="36"/>
  <c r="BS46" i="36"/>
  <c r="BQ46" i="36"/>
  <c r="BN46" i="36"/>
  <c r="BM46" i="36"/>
  <c r="BL46" i="36"/>
  <c r="BJ46" i="36"/>
  <c r="BI46" i="36"/>
  <c r="BG46" i="36"/>
  <c r="BE46" i="36"/>
  <c r="BB46" i="36"/>
  <c r="AZ46" i="36"/>
  <c r="AX46" i="36"/>
  <c r="AW46" i="36"/>
  <c r="AU46" i="36"/>
  <c r="AT46" i="36"/>
  <c r="AR46" i="36"/>
  <c r="AP46" i="36"/>
  <c r="AO46" i="36"/>
  <c r="AM46" i="36"/>
  <c r="AL46" i="36" s="1" a="1"/>
  <c r="AL46" i="36" s="1"/>
  <c r="BZ46" i="36" s="1"/>
  <c r="AJ46" i="36"/>
  <c r="AH46" i="36"/>
  <c r="AG46" i="36" s="1"/>
  <c r="BU46" i="36" s="1"/>
  <c r="BW46" i="36" s="1" a="1"/>
  <c r="BW46" i="36" s="1"/>
  <c r="AC46" i="36"/>
  <c r="AA46" i="36"/>
  <c r="AE46" i="36" s="1"/>
  <c r="X46" i="36" a="1"/>
  <c r="X46" i="36" s="1"/>
  <c r="V46" i="36"/>
  <c r="AQ46" i="36" s="1"/>
  <c r="T46" i="36"/>
  <c r="U46" i="36" s="1"/>
  <c r="S46" i="36"/>
  <c r="Q46" i="36"/>
  <c r="O46" i="36"/>
  <c r="M46" i="36"/>
  <c r="N46" i="36" s="1" a="1"/>
  <c r="N46" i="36" s="1"/>
  <c r="CH45" i="36"/>
  <c r="CE45" i="36"/>
  <c r="CD45" i="36"/>
  <c r="CC45" i="36"/>
  <c r="CA45" i="36"/>
  <c r="BX45" i="36"/>
  <c r="BV45" i="36"/>
  <c r="BS45" i="36"/>
  <c r="BQ45" i="36"/>
  <c r="BN45" i="36"/>
  <c r="BM45" i="36"/>
  <c r="BL45" i="36"/>
  <c r="BJ45" i="36"/>
  <c r="BI45" i="36"/>
  <c r="BG45" i="36"/>
  <c r="BE45" i="36"/>
  <c r="BB45" i="36"/>
  <c r="AZ45" i="36"/>
  <c r="AX45" i="36"/>
  <c r="AW45" i="36"/>
  <c r="AU45" i="36"/>
  <c r="AT45" i="36"/>
  <c r="AR45" i="36"/>
  <c r="AP45" i="36"/>
  <c r="AO45" i="36"/>
  <c r="AM45" i="36"/>
  <c r="AL45" i="36" s="1" a="1"/>
  <c r="AL45" i="36" s="1"/>
  <c r="BZ45" i="36" s="1"/>
  <c r="AJ45" i="36"/>
  <c r="AH45" i="36"/>
  <c r="AA45" i="36"/>
  <c r="AE45" i="36" s="1"/>
  <c r="X45" i="36" a="1"/>
  <c r="X45" i="36" s="1"/>
  <c r="V45" i="36"/>
  <c r="CF45" i="36" s="1"/>
  <c r="CG45" i="36" s="1"/>
  <c r="T45" i="36"/>
  <c r="U45" i="36" s="1"/>
  <c r="S45" i="36"/>
  <c r="Q45" i="36"/>
  <c r="O45" i="36"/>
  <c r="M45" i="36"/>
  <c r="P45" i="36" s="1"/>
  <c r="K15" i="36" a="1"/>
  <c r="J15" i="36" a="1"/>
  <c r="J15" i="36" s="1"/>
  <c r="H15" i="36" a="1"/>
  <c r="H15" i="36" s="1"/>
  <c r="G15" i="36" a="1"/>
  <c r="F15" i="36" a="1"/>
  <c r="F15" i="36" s="1"/>
  <c r="E15" i="36" a="1"/>
  <c r="D15" i="36" a="1"/>
  <c r="AZ65" i="28"/>
  <c r="AY65" i="28" a="1"/>
  <c r="AY65" i="28" s="1"/>
  <c r="BA65" i="28" s="1"/>
  <c r="AW65" i="28"/>
  <c r="AT65" i="28"/>
  <c r="AR65" i="28"/>
  <c r="AO65" i="28"/>
  <c r="AN65" i="28"/>
  <c r="AM65" i="28"/>
  <c r="AL65" i="28"/>
  <c r="AJ65" i="28"/>
  <c r="AH65" i="28"/>
  <c r="AE65" i="28"/>
  <c r="AD65" i="28"/>
  <c r="AC65" i="28"/>
  <c r="AB65" i="28" a="1"/>
  <c r="AB65" i="28" s="1"/>
  <c r="Z65" i="28"/>
  <c r="Y65" i="28" a="1"/>
  <c r="Y65" i="28" s="1"/>
  <c r="X65" i="28"/>
  <c r="V65" i="28"/>
  <c r="W65" i="28" s="1" a="1"/>
  <c r="W65" i="28" s="1"/>
  <c r="S65" i="28" a="1"/>
  <c r="S65" i="28" s="1"/>
  <c r="Q65" i="28"/>
  <c r="O65" i="28"/>
  <c r="M65" i="28"/>
  <c r="P65" i="28" s="1"/>
  <c r="AZ64" i="28"/>
  <c r="AY64" i="28" a="1"/>
  <c r="AY64" i="28" s="1"/>
  <c r="BA64" i="28" s="1"/>
  <c r="AW64" i="28"/>
  <c r="AT64" i="28"/>
  <c r="AR64" i="28"/>
  <c r="AO64" i="28"/>
  <c r="AN64" i="28"/>
  <c r="AM64" i="28"/>
  <c r="AL64" i="28"/>
  <c r="AJ64" i="28"/>
  <c r="AH64" i="28"/>
  <c r="AE64" i="28"/>
  <c r="AD64" i="28"/>
  <c r="AC64" i="28"/>
  <c r="AB64" i="28" a="1"/>
  <c r="AB64" i="28" s="1"/>
  <c r="Z64" i="28"/>
  <c r="X64" i="28"/>
  <c r="V64" i="28"/>
  <c r="Y64" i="28" s="1" a="1"/>
  <c r="Y64" i="28" s="1"/>
  <c r="AS64" i="28" s="1"/>
  <c r="BD64" i="28" s="1" a="1"/>
  <c r="BD64" i="28" s="1"/>
  <c r="S64" i="28" a="1"/>
  <c r="S64" i="28" s="1"/>
  <c r="Q64" i="28"/>
  <c r="O64" i="28"/>
  <c r="M64" i="28"/>
  <c r="N64" i="28" s="1" a="1"/>
  <c r="N64" i="28" s="1"/>
  <c r="AZ63" i="28"/>
  <c r="AY63" i="28" a="1"/>
  <c r="AY63" i="28" s="1"/>
  <c r="BA63" i="28" s="1"/>
  <c r="AW63" i="28"/>
  <c r="AT63" i="28"/>
  <c r="AR63" i="28"/>
  <c r="AO63" i="28"/>
  <c r="AN63" i="28"/>
  <c r="AM63" i="28"/>
  <c r="AL63" i="28"/>
  <c r="AJ63" i="28"/>
  <c r="AH63" i="28"/>
  <c r="AE63" i="28"/>
  <c r="AD63" i="28"/>
  <c r="AC63" i="28"/>
  <c r="AB63" i="28" a="1"/>
  <c r="AB63" i="28" s="1"/>
  <c r="Z63" i="28"/>
  <c r="X63" i="28"/>
  <c r="V63" i="28"/>
  <c r="W63" i="28" s="1" a="1"/>
  <c r="W63" i="28" s="1"/>
  <c r="S63" i="28" a="1"/>
  <c r="S63" i="28" s="1"/>
  <c r="Q63" i="28"/>
  <c r="O63" i="28"/>
  <c r="M63" i="28"/>
  <c r="N63" i="28" s="1" a="1"/>
  <c r="N63" i="28" s="1"/>
  <c r="AZ62" i="28"/>
  <c r="AY62" i="28" a="1"/>
  <c r="AY62" i="28" s="1"/>
  <c r="BA62" i="28" s="1"/>
  <c r="AW62" i="28"/>
  <c r="AT62" i="28"/>
  <c r="AR62" i="28"/>
  <c r="AO62" i="28"/>
  <c r="AN62" i="28"/>
  <c r="AM62" i="28"/>
  <c r="AL62" i="28"/>
  <c r="AJ62" i="28"/>
  <c r="AH62" i="28"/>
  <c r="AE62" i="28"/>
  <c r="AD62" i="28"/>
  <c r="AC62" i="28"/>
  <c r="AB62" i="28" a="1"/>
  <c r="AB62" i="28" s="1"/>
  <c r="Z62" i="28"/>
  <c r="X62" i="28"/>
  <c r="V62" i="28"/>
  <c r="W62" i="28" s="1" a="1"/>
  <c r="W62" i="28" s="1"/>
  <c r="S62" i="28" a="1"/>
  <c r="S62" i="28" s="1"/>
  <c r="Q62" i="28"/>
  <c r="O62" i="28"/>
  <c r="M62" i="28"/>
  <c r="P62" i="28" s="1"/>
  <c r="AZ61" i="28"/>
  <c r="AY61" i="28" a="1"/>
  <c r="AY61" i="28" s="1"/>
  <c r="BA61" i="28" s="1"/>
  <c r="AW61" i="28"/>
  <c r="AT61" i="28"/>
  <c r="AR61" i="28"/>
  <c r="AO61" i="28"/>
  <c r="AN61" i="28"/>
  <c r="AM61" i="28"/>
  <c r="AL61" i="28"/>
  <c r="AJ61" i="28"/>
  <c r="AH61" i="28"/>
  <c r="AE61" i="28"/>
  <c r="AD61" i="28"/>
  <c r="AC61" i="28"/>
  <c r="AB61" i="28" a="1"/>
  <c r="AB61" i="28" s="1"/>
  <c r="Z61" i="28"/>
  <c r="X61" i="28"/>
  <c r="V61" i="28"/>
  <c r="Y61" i="28" s="1" a="1"/>
  <c r="Y61" i="28" s="1"/>
  <c r="AS61" i="28" s="1"/>
  <c r="BD61" i="28" s="1" a="1"/>
  <c r="BD61" i="28" s="1"/>
  <c r="S61" i="28" a="1"/>
  <c r="S61" i="28" s="1"/>
  <c r="Q61" i="28"/>
  <c r="O61" i="28"/>
  <c r="M61" i="28"/>
  <c r="P61" i="28" s="1"/>
  <c r="AZ60" i="28"/>
  <c r="AY60" i="28" a="1"/>
  <c r="AY60" i="28" s="1"/>
  <c r="BA60" i="28" s="1"/>
  <c r="AW60" i="28"/>
  <c r="AT60" i="28"/>
  <c r="AR60" i="28"/>
  <c r="AO60" i="28"/>
  <c r="AN60" i="28"/>
  <c r="AM60" i="28"/>
  <c r="AL60" i="28"/>
  <c r="AJ60" i="28"/>
  <c r="AH60" i="28"/>
  <c r="AE60" i="28"/>
  <c r="AD60" i="28"/>
  <c r="AC60" i="28"/>
  <c r="AB60" i="28" a="1"/>
  <c r="AB60" i="28" s="1"/>
  <c r="Z60" i="28"/>
  <c r="X60" i="28"/>
  <c r="V60" i="28"/>
  <c r="Y60" i="28" s="1" a="1"/>
  <c r="Y60" i="28" s="1"/>
  <c r="S60" i="28" a="1"/>
  <c r="S60" i="28" s="1"/>
  <c r="Q60" i="28"/>
  <c r="O60" i="28"/>
  <c r="M60" i="28"/>
  <c r="P60" i="28" s="1"/>
  <c r="AZ59" i="28"/>
  <c r="AY59" i="28" a="1"/>
  <c r="AY59" i="28" s="1"/>
  <c r="BA59" i="28" s="1"/>
  <c r="AW59" i="28"/>
  <c r="AT59" i="28"/>
  <c r="AR59" i="28"/>
  <c r="AO59" i="28"/>
  <c r="AN59" i="28"/>
  <c r="AM59" i="28"/>
  <c r="AL59" i="28"/>
  <c r="AJ59" i="28"/>
  <c r="AH59" i="28"/>
  <c r="AE59" i="28"/>
  <c r="AD59" i="28"/>
  <c r="AC59" i="28"/>
  <c r="AB59" i="28" a="1"/>
  <c r="AB59" i="28" s="1"/>
  <c r="Z59" i="28"/>
  <c r="X59" i="28"/>
  <c r="V59" i="28"/>
  <c r="W59" i="28" s="1" a="1"/>
  <c r="W59" i="28" s="1"/>
  <c r="S59" i="28" a="1"/>
  <c r="S59" i="28" s="1"/>
  <c r="T59" i="28" s="1"/>
  <c r="Q59" i="28"/>
  <c r="O59" i="28"/>
  <c r="M59" i="28"/>
  <c r="P59" i="28" s="1"/>
  <c r="AZ58" i="28"/>
  <c r="AY58" i="28" a="1"/>
  <c r="AY58" i="28" s="1"/>
  <c r="BA58" i="28" s="1"/>
  <c r="AW58" i="28"/>
  <c r="AT58" i="28"/>
  <c r="AR58" i="28"/>
  <c r="AO58" i="28"/>
  <c r="AN58" i="28"/>
  <c r="AM58" i="28"/>
  <c r="AL58" i="28"/>
  <c r="AJ58" i="28"/>
  <c r="AH58" i="28"/>
  <c r="AE58" i="28"/>
  <c r="AD58" i="28"/>
  <c r="AC58" i="28"/>
  <c r="AB58" i="28" a="1"/>
  <c r="AB58" i="28" s="1"/>
  <c r="Z58" i="28"/>
  <c r="X58" i="28"/>
  <c r="V58" i="28"/>
  <c r="Y58" i="28" s="1" a="1"/>
  <c r="Y58" i="28" s="1"/>
  <c r="AI58" i="28" s="1"/>
  <c r="S58" i="28" a="1"/>
  <c r="S58" i="28" s="1"/>
  <c r="Q58" i="28"/>
  <c r="O58" i="28"/>
  <c r="M58" i="28"/>
  <c r="P58" i="28" s="1"/>
  <c r="AZ57" i="28"/>
  <c r="AY57" i="28" a="1"/>
  <c r="AY57" i="28" s="1"/>
  <c r="BA57" i="28" s="1"/>
  <c r="AW57" i="28"/>
  <c r="AT57" i="28"/>
  <c r="AR57" i="28"/>
  <c r="AO57" i="28"/>
  <c r="AN57" i="28"/>
  <c r="AM57" i="28"/>
  <c r="AL57" i="28"/>
  <c r="AJ57" i="28"/>
  <c r="AH57" i="28"/>
  <c r="AE57" i="28"/>
  <c r="AD57" i="28"/>
  <c r="AC57" i="28"/>
  <c r="AB57" i="28" a="1"/>
  <c r="AB57" i="28" s="1"/>
  <c r="Z57" i="28"/>
  <c r="X57" i="28"/>
  <c r="V57" i="28"/>
  <c r="Y57" i="28" s="1" a="1"/>
  <c r="Y57" i="28" s="1"/>
  <c r="S57" i="28" a="1"/>
  <c r="S57" i="28" s="1"/>
  <c r="Q57" i="28"/>
  <c r="O57" i="28"/>
  <c r="M57" i="28"/>
  <c r="P57" i="28" s="1"/>
  <c r="AZ56" i="28"/>
  <c r="AY56" i="28" a="1"/>
  <c r="AY56" i="28" s="1"/>
  <c r="BA56" i="28" s="1"/>
  <c r="AW56" i="28"/>
  <c r="AT56" i="28"/>
  <c r="AR56" i="28"/>
  <c r="AO56" i="28"/>
  <c r="AN56" i="28"/>
  <c r="AM56" i="28"/>
  <c r="AL56" i="28"/>
  <c r="AJ56" i="28"/>
  <c r="AH56" i="28"/>
  <c r="AE56" i="28"/>
  <c r="AD56" i="28"/>
  <c r="AC56" i="28"/>
  <c r="AB56" i="28" a="1"/>
  <c r="AB56" i="28" s="1"/>
  <c r="Z56" i="28"/>
  <c r="X56" i="28"/>
  <c r="V56" i="28"/>
  <c r="Y56" i="28" s="1" a="1"/>
  <c r="Y56" i="28" s="1"/>
  <c r="S56" i="28" a="1"/>
  <c r="S56" i="28" s="1"/>
  <c r="Q56" i="28"/>
  <c r="O56" i="28"/>
  <c r="M56" i="28"/>
  <c r="N56" i="28" s="1" a="1"/>
  <c r="N56" i="28" s="1"/>
  <c r="AZ55" i="28"/>
  <c r="AY55" i="28" a="1"/>
  <c r="AY55" i="28" s="1"/>
  <c r="BA55" i="28" s="1"/>
  <c r="AW55" i="28"/>
  <c r="AT55" i="28"/>
  <c r="AR55" i="28"/>
  <c r="AO55" i="28"/>
  <c r="AN55" i="28"/>
  <c r="AM55" i="28"/>
  <c r="AL55" i="28"/>
  <c r="AJ55" i="28"/>
  <c r="AH55" i="28"/>
  <c r="AE55" i="28"/>
  <c r="AD55" i="28"/>
  <c r="AC55" i="28"/>
  <c r="AB55" i="28" a="1"/>
  <c r="AB55" i="28" s="1"/>
  <c r="Z55" i="28"/>
  <c r="X55" i="28"/>
  <c r="V55" i="28"/>
  <c r="Y55" i="28" s="1" a="1"/>
  <c r="Y55" i="28" s="1"/>
  <c r="AI55" i="28" s="1"/>
  <c r="S55" i="28" a="1"/>
  <c r="S55" i="28" s="1"/>
  <c r="Q55" i="28"/>
  <c r="O55" i="28"/>
  <c r="M55" i="28"/>
  <c r="N55" i="28" s="1" a="1"/>
  <c r="N55" i="28" s="1"/>
  <c r="AZ54" i="28"/>
  <c r="AY54" i="28" a="1"/>
  <c r="AY54" i="28" s="1"/>
  <c r="BA54" i="28" s="1"/>
  <c r="AW54" i="28"/>
  <c r="AT54" i="28"/>
  <c r="AR54" i="28"/>
  <c r="AO54" i="28"/>
  <c r="AN54" i="28"/>
  <c r="AM54" i="28"/>
  <c r="AL54" i="28"/>
  <c r="AJ54" i="28"/>
  <c r="AH54" i="28"/>
  <c r="AE54" i="28"/>
  <c r="AD54" i="28"/>
  <c r="AC54" i="28"/>
  <c r="AB54" i="28" a="1"/>
  <c r="AB54" i="28" s="1"/>
  <c r="Z54" i="28"/>
  <c r="X54" i="28"/>
  <c r="V54" i="28"/>
  <c r="W54" i="28" s="1" a="1"/>
  <c r="W54" i="28" s="1"/>
  <c r="AG54" i="28" s="1"/>
  <c r="S54" i="28" a="1"/>
  <c r="S54" i="28" s="1"/>
  <c r="T54" i="28" s="1"/>
  <c r="Q54" i="28"/>
  <c r="O54" i="28"/>
  <c r="M54" i="28"/>
  <c r="P54" i="28" s="1"/>
  <c r="AZ53" i="28"/>
  <c r="AY53" i="28" a="1"/>
  <c r="AY53" i="28" s="1"/>
  <c r="BA53" i="28" s="1"/>
  <c r="AW53" i="28"/>
  <c r="AT53" i="28"/>
  <c r="AR53" i="28"/>
  <c r="AO53" i="28"/>
  <c r="AN53" i="28"/>
  <c r="AM53" i="28"/>
  <c r="AL53" i="28"/>
  <c r="AJ53" i="28"/>
  <c r="AH53" i="28"/>
  <c r="AE53" i="28"/>
  <c r="AD53" i="28"/>
  <c r="AC53" i="28"/>
  <c r="AB53" i="28" a="1"/>
  <c r="AB53" i="28" s="1"/>
  <c r="Z53" i="28"/>
  <c r="X53" i="28"/>
  <c r="V53" i="28"/>
  <c r="Y53" i="28" s="1" a="1"/>
  <c r="Y53" i="28" s="1"/>
  <c r="S53" i="28" a="1"/>
  <c r="S53" i="28" s="1"/>
  <c r="Q53" i="28"/>
  <c r="O53" i="28"/>
  <c r="M53" i="28"/>
  <c r="N53" i="28" s="1" a="1"/>
  <c r="N53" i="28" s="1"/>
  <c r="AZ52" i="28"/>
  <c r="AY52" i="28" a="1"/>
  <c r="AY52" i="28" s="1"/>
  <c r="BA52" i="28" s="1"/>
  <c r="AW52" i="28"/>
  <c r="AT52" i="28"/>
  <c r="AR52" i="28"/>
  <c r="AO52" i="28"/>
  <c r="AN52" i="28"/>
  <c r="AM52" i="28"/>
  <c r="AL52" i="28"/>
  <c r="AJ52" i="28"/>
  <c r="AH52" i="28"/>
  <c r="AE52" i="28"/>
  <c r="AD52" i="28"/>
  <c r="AC52" i="28"/>
  <c r="AB52" i="28" a="1"/>
  <c r="AB52" i="28" s="1"/>
  <c r="Z52" i="28"/>
  <c r="X52" i="28"/>
  <c r="V52" i="28"/>
  <c r="Y52" i="28" s="1" a="1"/>
  <c r="Y52" i="28" s="1"/>
  <c r="S52" i="28" a="1"/>
  <c r="S52" i="28" s="1"/>
  <c r="Q52" i="28"/>
  <c r="O52" i="28"/>
  <c r="N52" i="28" a="1"/>
  <c r="N52" i="28" s="1"/>
  <c r="M52" i="28"/>
  <c r="P52" i="28" s="1"/>
  <c r="AZ51" i="28"/>
  <c r="AY51" i="28" a="1"/>
  <c r="AY51" i="28" s="1"/>
  <c r="BA51" i="28" s="1"/>
  <c r="AW51" i="28"/>
  <c r="AT51" i="28"/>
  <c r="AR51" i="28"/>
  <c r="AO51" i="28"/>
  <c r="AN51" i="28"/>
  <c r="AM51" i="28"/>
  <c r="AL51" i="28"/>
  <c r="AJ51" i="28"/>
  <c r="AH51" i="28"/>
  <c r="AE51" i="28"/>
  <c r="AD51" i="28"/>
  <c r="AC51" i="28"/>
  <c r="AB51" i="28" a="1"/>
  <c r="AB51" i="28" s="1"/>
  <c r="Z51" i="28"/>
  <c r="X51" i="28"/>
  <c r="V51" i="28"/>
  <c r="Y51" i="28" s="1" a="1"/>
  <c r="Y51" i="28" s="1"/>
  <c r="S51" i="28" a="1"/>
  <c r="S51" i="28" s="1"/>
  <c r="AV51" i="28" s="1"/>
  <c r="Q51" i="28"/>
  <c r="O51" i="28"/>
  <c r="M51" i="28"/>
  <c r="P51" i="28" s="1"/>
  <c r="AZ50" i="28"/>
  <c r="AY50" i="28" a="1"/>
  <c r="AY50" i="28" s="1"/>
  <c r="BA50" i="28" s="1"/>
  <c r="AW50" i="28"/>
  <c r="AT50" i="28"/>
  <c r="AR50" i="28"/>
  <c r="AO50" i="28"/>
  <c r="AN50" i="28"/>
  <c r="AM50" i="28"/>
  <c r="AL50" i="28"/>
  <c r="AJ50" i="28"/>
  <c r="AH50" i="28"/>
  <c r="AE50" i="28"/>
  <c r="AD50" i="28"/>
  <c r="AC50" i="28"/>
  <c r="AB50" i="28" a="1"/>
  <c r="AB50" i="28" s="1"/>
  <c r="Z50" i="28"/>
  <c r="X50" i="28"/>
  <c r="V50" i="28"/>
  <c r="W50" i="28" s="1" a="1"/>
  <c r="W50" i="28" s="1"/>
  <c r="S50" i="28" a="1"/>
  <c r="S50" i="28" s="1"/>
  <c r="Q50" i="28"/>
  <c r="O50" i="28"/>
  <c r="M50" i="28"/>
  <c r="N50" i="28" s="1" a="1"/>
  <c r="N50" i="28" s="1"/>
  <c r="AZ49" i="28"/>
  <c r="AY49" i="28" a="1"/>
  <c r="AY49" i="28" s="1"/>
  <c r="BA49" i="28" s="1"/>
  <c r="AW49" i="28"/>
  <c r="AT49" i="28"/>
  <c r="AR49" i="28"/>
  <c r="AO49" i="28"/>
  <c r="AN49" i="28"/>
  <c r="AM49" i="28"/>
  <c r="AL49" i="28"/>
  <c r="AJ49" i="28"/>
  <c r="AH49" i="28"/>
  <c r="AE49" i="28"/>
  <c r="AD49" i="28"/>
  <c r="AC49" i="28"/>
  <c r="AB49" i="28" a="1"/>
  <c r="AB49" i="28" s="1"/>
  <c r="Z49" i="28"/>
  <c r="X49" i="28"/>
  <c r="V49" i="28"/>
  <c r="S49" i="28" a="1"/>
  <c r="S49" i="28" s="1"/>
  <c r="T49" i="28" s="1"/>
  <c r="Q49" i="28"/>
  <c r="O49" i="28"/>
  <c r="M49" i="28"/>
  <c r="P49" i="28" s="1"/>
  <c r="AZ48" i="28"/>
  <c r="AY48" i="28" a="1"/>
  <c r="AY48" i="28" s="1"/>
  <c r="BA48" i="28" s="1"/>
  <c r="AW48" i="28"/>
  <c r="AT48" i="28"/>
  <c r="AR48" i="28"/>
  <c r="AO48" i="28"/>
  <c r="AN48" i="28"/>
  <c r="AM48" i="28"/>
  <c r="AL48" i="28"/>
  <c r="AJ48" i="28"/>
  <c r="AH48" i="28"/>
  <c r="AE48" i="28"/>
  <c r="AD48" i="28"/>
  <c r="AC48" i="28"/>
  <c r="AB48" i="28" a="1"/>
  <c r="AB48" i="28" s="1"/>
  <c r="Z48" i="28"/>
  <c r="X48" i="28"/>
  <c r="V48" i="28"/>
  <c r="Y48" i="28" s="1" a="1"/>
  <c r="Y48" i="28" s="1"/>
  <c r="S48" i="28" a="1"/>
  <c r="S48" i="28" s="1"/>
  <c r="AV48" i="28" s="1"/>
  <c r="Q48" i="28"/>
  <c r="O48" i="28"/>
  <c r="M48" i="28"/>
  <c r="P48" i="28" s="1"/>
  <c r="AZ47" i="28"/>
  <c r="AY47" i="28" a="1"/>
  <c r="AY47" i="28" s="1"/>
  <c r="BA47" i="28" s="1"/>
  <c r="AW47" i="28"/>
  <c r="AT47" i="28"/>
  <c r="AR47" i="28"/>
  <c r="AO47" i="28"/>
  <c r="AN47" i="28"/>
  <c r="AM47" i="28"/>
  <c r="AL47" i="28"/>
  <c r="AJ47" i="28"/>
  <c r="AH47" i="28"/>
  <c r="AE47" i="28"/>
  <c r="AD47" i="28"/>
  <c r="AC47" i="28"/>
  <c r="AB47" i="28" a="1"/>
  <c r="AB47" i="28" s="1"/>
  <c r="Z47" i="28"/>
  <c r="X47" i="28"/>
  <c r="V47" i="28"/>
  <c r="S47" i="28" a="1"/>
  <c r="S47" i="28" s="1"/>
  <c r="Q47" i="28"/>
  <c r="O47" i="28"/>
  <c r="M47" i="28"/>
  <c r="P47" i="28" s="1"/>
  <c r="AZ46" i="28"/>
  <c r="AY46" i="28" a="1"/>
  <c r="AY46" i="28" s="1"/>
  <c r="BA46" i="28" s="1"/>
  <c r="AW46" i="28"/>
  <c r="AT46" i="28"/>
  <c r="AR46" i="28"/>
  <c r="AO46" i="28"/>
  <c r="AN46" i="28"/>
  <c r="AM46" i="28"/>
  <c r="AL46" i="28"/>
  <c r="AJ46" i="28"/>
  <c r="AH46" i="28"/>
  <c r="AE46" i="28"/>
  <c r="AD46" i="28"/>
  <c r="AC46" i="28"/>
  <c r="AB46" i="28" a="1"/>
  <c r="AB46" i="28" s="1"/>
  <c r="Z46" i="28"/>
  <c r="X46" i="28"/>
  <c r="V46" i="28"/>
  <c r="Y46" i="28" s="1" a="1"/>
  <c r="Y46" i="28" s="1"/>
  <c r="AI46" i="28" s="1"/>
  <c r="S46" i="28" a="1"/>
  <c r="S46" i="28" s="1"/>
  <c r="AV46" i="28" s="1"/>
  <c r="Q46" i="28"/>
  <c r="O46" i="28"/>
  <c r="M46" i="28"/>
  <c r="P46" i="28" s="1"/>
  <c r="AZ45" i="28"/>
  <c r="AY45" i="28" a="1"/>
  <c r="AY45" i="28" s="1"/>
  <c r="BA45" i="28" s="1"/>
  <c r="AW45" i="28"/>
  <c r="AT45" i="28"/>
  <c r="AR45" i="28"/>
  <c r="AO45" i="28"/>
  <c r="AN45" i="28"/>
  <c r="AM45" i="28"/>
  <c r="AL45" i="28"/>
  <c r="AJ45" i="28"/>
  <c r="AH45" i="28"/>
  <c r="AE45" i="28"/>
  <c r="AD45" i="28"/>
  <c r="AC45" i="28"/>
  <c r="AB45" i="28" a="1"/>
  <c r="AB45" i="28" s="1"/>
  <c r="Z45" i="28"/>
  <c r="X45" i="28"/>
  <c r="V45" i="28"/>
  <c r="Y45" i="28" s="1" a="1"/>
  <c r="Y45" i="28" s="1"/>
  <c r="S45" i="28" a="1"/>
  <c r="S45" i="28" s="1"/>
  <c r="Q45" i="28"/>
  <c r="O45" i="28"/>
  <c r="M45" i="28"/>
  <c r="P45" i="28" s="1"/>
  <c r="AZ44" i="28"/>
  <c r="AY44" i="28" a="1"/>
  <c r="AY44" i="28" s="1"/>
  <c r="BA44" i="28" s="1"/>
  <c r="AW44" i="28"/>
  <c r="AT44" i="28"/>
  <c r="AR44" i="28"/>
  <c r="AO44" i="28"/>
  <c r="AN44" i="28"/>
  <c r="AM44" i="28"/>
  <c r="AL44" i="28"/>
  <c r="AJ44" i="28"/>
  <c r="AH44" i="28"/>
  <c r="AE44" i="28"/>
  <c r="AD44" i="28"/>
  <c r="AC44" i="28"/>
  <c r="AB44" i="28" a="1"/>
  <c r="AB44" i="28" s="1"/>
  <c r="Z44" i="28"/>
  <c r="X44" i="28"/>
  <c r="V44" i="28"/>
  <c r="W44" i="28" s="1" a="1"/>
  <c r="W44" i="28" s="1"/>
  <c r="S44" i="28" a="1"/>
  <c r="S44" i="28" s="1"/>
  <c r="Q44" i="28"/>
  <c r="O44" i="28"/>
  <c r="M44" i="28"/>
  <c r="N44" i="28" s="1" a="1"/>
  <c r="N44" i="28" s="1"/>
  <c r="AZ43" i="28"/>
  <c r="AY43" i="28" a="1"/>
  <c r="AY43" i="28" s="1"/>
  <c r="BA43" i="28" s="1"/>
  <c r="AW43" i="28"/>
  <c r="AT43" i="28"/>
  <c r="AR43" i="28"/>
  <c r="AO43" i="28"/>
  <c r="AN43" i="28"/>
  <c r="AM43" i="28"/>
  <c r="AL43" i="28"/>
  <c r="AJ43" i="28"/>
  <c r="AH43" i="28"/>
  <c r="AE43" i="28"/>
  <c r="AD43" i="28"/>
  <c r="AC43" i="28"/>
  <c r="AB43" i="28" a="1"/>
  <c r="AB43" i="28" s="1"/>
  <c r="Z43" i="28"/>
  <c r="X43" i="28"/>
  <c r="V43" i="28"/>
  <c r="Y43" i="28" s="1" a="1"/>
  <c r="Y43" i="28" s="1"/>
  <c r="AS43" i="28" s="1"/>
  <c r="BD43" i="28" s="1" a="1"/>
  <c r="BD43" i="28" s="1"/>
  <c r="S43" i="28" a="1"/>
  <c r="S43" i="28" s="1"/>
  <c r="Q43" i="28"/>
  <c r="O43" i="28"/>
  <c r="M43" i="28"/>
  <c r="P43" i="28" s="1"/>
  <c r="AZ42" i="28"/>
  <c r="AY42" i="28" a="1"/>
  <c r="AY42" i="28" s="1"/>
  <c r="BA42" i="28" s="1"/>
  <c r="AW42" i="28"/>
  <c r="AT42" i="28"/>
  <c r="AR42" i="28"/>
  <c r="AO42" i="28"/>
  <c r="AN42" i="28"/>
  <c r="AM42" i="28"/>
  <c r="AL42" i="28"/>
  <c r="AJ42" i="28"/>
  <c r="AH42" i="28"/>
  <c r="AE42" i="28"/>
  <c r="AD42" i="28"/>
  <c r="AC42" i="28"/>
  <c r="AB42" i="28" a="1"/>
  <c r="AB42" i="28" s="1"/>
  <c r="Z42" i="28"/>
  <c r="X42" i="28"/>
  <c r="V42" i="28"/>
  <c r="W42" i="28" s="1" a="1"/>
  <c r="W42" i="28" s="1"/>
  <c r="S42" i="28" a="1"/>
  <c r="S42" i="28" s="1"/>
  <c r="Q42" i="28"/>
  <c r="O42" i="28"/>
  <c r="M42" i="28"/>
  <c r="N42" i="28" s="1" a="1"/>
  <c r="N42" i="28" s="1"/>
  <c r="AZ41" i="28"/>
  <c r="AY41" i="28" a="1"/>
  <c r="AY41" i="28" s="1"/>
  <c r="BA41" i="28" s="1"/>
  <c r="AW41" i="28"/>
  <c r="AT41" i="28"/>
  <c r="AR41" i="28"/>
  <c r="AO41" i="28"/>
  <c r="AN41" i="28"/>
  <c r="AM41" i="28"/>
  <c r="AL41" i="28"/>
  <c r="AJ41" i="28"/>
  <c r="AH41" i="28"/>
  <c r="AE41" i="28"/>
  <c r="AD41" i="28"/>
  <c r="AC41" i="28"/>
  <c r="AB41" i="28" a="1"/>
  <c r="AB41" i="28" s="1"/>
  <c r="Z41" i="28"/>
  <c r="X41" i="28"/>
  <c r="V41" i="28"/>
  <c r="Y41" i="28" s="1" a="1"/>
  <c r="Y41" i="28" s="1"/>
  <c r="S41" i="28" a="1"/>
  <c r="S41" i="28" s="1"/>
  <c r="Q41" i="28"/>
  <c r="O41" i="28"/>
  <c r="M41" i="28"/>
  <c r="P41" i="28" s="1"/>
  <c r="AZ40" i="28"/>
  <c r="AY40" i="28" a="1"/>
  <c r="AY40" i="28" s="1"/>
  <c r="BA40" i="28" s="1"/>
  <c r="AW40" i="28"/>
  <c r="AT40" i="28"/>
  <c r="AR40" i="28"/>
  <c r="AO40" i="28"/>
  <c r="AN40" i="28"/>
  <c r="AM40" i="28"/>
  <c r="AL40" i="28"/>
  <c r="AJ40" i="28"/>
  <c r="AH40" i="28"/>
  <c r="AE40" i="28"/>
  <c r="AD40" i="28"/>
  <c r="AC40" i="28"/>
  <c r="AB40" i="28" a="1"/>
  <c r="AB40" i="28" s="1"/>
  <c r="Z40" i="28"/>
  <c r="X40" i="28"/>
  <c r="V40" i="28"/>
  <c r="Y40" i="28" s="1" a="1"/>
  <c r="Y40" i="28" s="1"/>
  <c r="S40" i="28" a="1"/>
  <c r="S40" i="28" s="1"/>
  <c r="Q40" i="28"/>
  <c r="O40" i="28"/>
  <c r="M40" i="28"/>
  <c r="P40" i="28" s="1"/>
  <c r="AZ39" i="28"/>
  <c r="AY39" i="28" a="1"/>
  <c r="AY39" i="28" s="1"/>
  <c r="BA39" i="28" s="1"/>
  <c r="AW39" i="28"/>
  <c r="AT39" i="28"/>
  <c r="AR39" i="28"/>
  <c r="AO39" i="28"/>
  <c r="AN39" i="28"/>
  <c r="AM39" i="28"/>
  <c r="AL39" i="28"/>
  <c r="AJ39" i="28"/>
  <c r="AH39" i="28"/>
  <c r="AE39" i="28"/>
  <c r="AD39" i="28"/>
  <c r="AC39" i="28"/>
  <c r="AB39" i="28" a="1"/>
  <c r="AB39" i="28" s="1"/>
  <c r="Z39" i="28"/>
  <c r="X39" i="28"/>
  <c r="V39" i="28"/>
  <c r="Y39" i="28" s="1" a="1"/>
  <c r="Y39" i="28" s="1"/>
  <c r="S39" i="28" a="1"/>
  <c r="S39" i="28" s="1"/>
  <c r="AV39" i="28" s="1"/>
  <c r="Q39" i="28"/>
  <c r="O39" i="28"/>
  <c r="M39" i="28"/>
  <c r="N39" i="28" s="1" a="1"/>
  <c r="N39" i="28" s="1"/>
  <c r="AZ38" i="28"/>
  <c r="AY38" i="28" a="1"/>
  <c r="AY38" i="28" s="1"/>
  <c r="BA38" i="28" s="1"/>
  <c r="AW38" i="28"/>
  <c r="AT38" i="28"/>
  <c r="AR38" i="28"/>
  <c r="AO38" i="28"/>
  <c r="AN38" i="28"/>
  <c r="AM38" i="28"/>
  <c r="AL38" i="28"/>
  <c r="AJ38" i="28"/>
  <c r="AH38" i="28"/>
  <c r="AE38" i="28"/>
  <c r="AD38" i="28"/>
  <c r="AC38" i="28"/>
  <c r="AB38" i="28" a="1"/>
  <c r="AB38" i="28" s="1"/>
  <c r="Z38" i="28"/>
  <c r="X38" i="28"/>
  <c r="V38" i="28"/>
  <c r="Y38" i="28" s="1" a="1"/>
  <c r="Y38" i="28" s="1"/>
  <c r="S38" i="28" a="1"/>
  <c r="S38" i="28" s="1"/>
  <c r="Q38" i="28"/>
  <c r="O38" i="28"/>
  <c r="M38" i="28"/>
  <c r="N38" i="28" s="1" a="1"/>
  <c r="N38" i="28" s="1"/>
  <c r="AZ37" i="28"/>
  <c r="AY37" i="28" a="1"/>
  <c r="AY37" i="28" s="1"/>
  <c r="BA37" i="28" s="1"/>
  <c r="AW37" i="28"/>
  <c r="AT37" i="28"/>
  <c r="AR37" i="28"/>
  <c r="AO37" i="28"/>
  <c r="AN37" i="28"/>
  <c r="AM37" i="28"/>
  <c r="AL37" i="28"/>
  <c r="AJ37" i="28"/>
  <c r="AH37" i="28"/>
  <c r="AE37" i="28"/>
  <c r="AD37" i="28"/>
  <c r="AC37" i="28"/>
  <c r="AB37" i="28" a="1"/>
  <c r="AB37" i="28" s="1"/>
  <c r="Z37" i="28"/>
  <c r="X37" i="28"/>
  <c r="V37" i="28"/>
  <c r="Y37" i="28" s="1" a="1"/>
  <c r="Y37" i="28" s="1"/>
  <c r="S37" i="28" a="1"/>
  <c r="S37" i="28" s="1"/>
  <c r="Q37" i="28"/>
  <c r="O37" i="28"/>
  <c r="M37" i="28"/>
  <c r="P37" i="28" s="1"/>
  <c r="AZ36" i="28"/>
  <c r="AY36" i="28" a="1"/>
  <c r="AY36" i="28" s="1"/>
  <c r="BA36" i="28" s="1"/>
  <c r="AW36" i="28"/>
  <c r="AT36" i="28"/>
  <c r="AR36" i="28"/>
  <c r="AO36" i="28"/>
  <c r="AN36" i="28"/>
  <c r="AM36" i="28"/>
  <c r="AL36" i="28"/>
  <c r="AJ36" i="28"/>
  <c r="AH36" i="28"/>
  <c r="AE36" i="28"/>
  <c r="AD36" i="28"/>
  <c r="AC36" i="28"/>
  <c r="AB36" i="28" a="1"/>
  <c r="AB36" i="28" s="1"/>
  <c r="Z36" i="28"/>
  <c r="X36" i="28"/>
  <c r="V36" i="28"/>
  <c r="W36" i="28" s="1" a="1"/>
  <c r="W36" i="28" s="1"/>
  <c r="AG36" i="28" s="1"/>
  <c r="S36" i="28" a="1"/>
  <c r="S36" i="28" s="1"/>
  <c r="Q36" i="28"/>
  <c r="O36" i="28"/>
  <c r="M36" i="28"/>
  <c r="N36" i="28" s="1" a="1"/>
  <c r="N36" i="28" s="1"/>
  <c r="AZ35" i="28"/>
  <c r="AY35" i="28" a="1"/>
  <c r="AY35" i="28" s="1"/>
  <c r="BA35" i="28" s="1"/>
  <c r="AW35" i="28"/>
  <c r="AT35" i="28"/>
  <c r="AR35" i="28"/>
  <c r="AO35" i="28"/>
  <c r="AN35" i="28"/>
  <c r="AM35" i="28"/>
  <c r="AL35" i="28"/>
  <c r="AJ35" i="28"/>
  <c r="AH35" i="28"/>
  <c r="AE35" i="28"/>
  <c r="AD35" i="28"/>
  <c r="AC35" i="28"/>
  <c r="AB35" i="28" a="1"/>
  <c r="AB35" i="28" s="1"/>
  <c r="Z35" i="28"/>
  <c r="X35" i="28"/>
  <c r="V35" i="28"/>
  <c r="Y35" i="28" s="1" a="1"/>
  <c r="Y35" i="28" s="1"/>
  <c r="AS35" i="28" s="1"/>
  <c r="BD35" i="28" s="1" a="1"/>
  <c r="BD35" i="28" s="1"/>
  <c r="S35" i="28" a="1"/>
  <c r="S35" i="28" s="1"/>
  <c r="AV35" i="28" s="1"/>
  <c r="Q35" i="28"/>
  <c r="O35" i="28"/>
  <c r="M35" i="28"/>
  <c r="P35" i="28" s="1"/>
  <c r="G16" i="29" a="1"/>
  <c r="A44" i="29" s="1"/>
  <c r="AC32" i="28"/>
  <c r="A1212" i="29"/>
  <c r="A1211" i="29"/>
  <c r="A1210" i="29"/>
  <c r="A1209" i="29"/>
  <c r="A1208" i="29"/>
  <c r="A1207" i="29"/>
  <c r="A1206" i="29"/>
  <c r="A1205" i="29"/>
  <c r="A1204" i="29"/>
  <c r="A1203" i="29"/>
  <c r="A1202" i="29"/>
  <c r="A1201" i="29"/>
  <c r="A1200" i="29"/>
  <c r="A1199" i="29"/>
  <c r="A1198" i="29"/>
  <c r="A1197" i="29"/>
  <c r="A1196" i="29"/>
  <c r="A1195" i="29"/>
  <c r="A1194" i="29"/>
  <c r="A1193" i="29"/>
  <c r="A1192" i="29"/>
  <c r="A1191" i="29"/>
  <c r="A1190" i="29"/>
  <c r="A1189" i="29"/>
  <c r="A1188" i="29"/>
  <c r="A1187" i="29"/>
  <c r="A1186" i="29"/>
  <c r="A1185" i="29"/>
  <c r="A1184" i="29"/>
  <c r="A1183" i="29"/>
  <c r="A1182" i="29"/>
  <c r="A1181" i="29"/>
  <c r="A1180" i="29"/>
  <c r="A1179" i="29"/>
  <c r="A1178" i="29"/>
  <c r="A1177" i="29"/>
  <c r="A1176" i="29"/>
  <c r="A1175" i="29"/>
  <c r="A1174" i="29"/>
  <c r="A1173" i="29"/>
  <c r="A1172" i="29"/>
  <c r="A1171" i="29"/>
  <c r="A1170" i="29"/>
  <c r="A1169" i="29"/>
  <c r="A1168" i="29"/>
  <c r="A1167" i="29"/>
  <c r="A1166" i="29"/>
  <c r="A1165" i="29"/>
  <c r="A1164" i="29"/>
  <c r="A1163" i="29"/>
  <c r="A1162" i="29"/>
  <c r="A1225" i="29"/>
  <c r="A1224" i="29"/>
  <c r="A1223" i="29"/>
  <c r="A1222" i="29"/>
  <c r="A1221" i="29"/>
  <c r="A1220" i="29"/>
  <c r="A1219" i="29"/>
  <c r="A1218" i="29"/>
  <c r="A1217" i="29"/>
  <c r="A1216" i="29"/>
  <c r="A1215" i="29"/>
  <c r="A1214" i="29"/>
  <c r="A1108" i="29"/>
  <c r="A1107" i="29"/>
  <c r="A1106" i="29"/>
  <c r="A1105" i="29"/>
  <c r="A1104" i="29"/>
  <c r="A1103" i="29"/>
  <c r="A1102" i="29"/>
  <c r="A1101" i="29"/>
  <c r="A1100" i="29"/>
  <c r="A1099" i="29"/>
  <c r="A1098" i="29"/>
  <c r="A1097" i="29"/>
  <c r="A1096" i="29"/>
  <c r="A1095" i="29"/>
  <c r="A1094" i="29"/>
  <c r="A1093" i="29"/>
  <c r="A1092" i="29"/>
  <c r="A1091" i="29"/>
  <c r="A1090" i="29"/>
  <c r="A1089" i="29"/>
  <c r="A1088" i="29"/>
  <c r="A1087" i="29"/>
  <c r="A1086" i="29"/>
  <c r="A1085" i="29"/>
  <c r="A1084" i="29"/>
  <c r="A1083" i="29"/>
  <c r="A1082" i="29"/>
  <c r="A1081" i="29"/>
  <c r="A1080" i="29"/>
  <c r="A1079" i="29"/>
  <c r="A1078" i="29"/>
  <c r="A1077" i="29"/>
  <c r="A1076" i="29"/>
  <c r="A1075" i="29"/>
  <c r="A1074" i="29"/>
  <c r="A1073" i="29"/>
  <c r="A1072" i="29"/>
  <c r="A1071" i="29"/>
  <c r="A1070" i="29"/>
  <c r="A1069" i="29"/>
  <c r="A1068" i="29"/>
  <c r="A1067" i="29"/>
  <c r="A1066" i="29"/>
  <c r="A1065" i="29"/>
  <c r="A1064" i="29"/>
  <c r="A1063" i="29"/>
  <c r="A1062" i="29"/>
  <c r="A1061" i="29"/>
  <c r="A1060" i="29"/>
  <c r="A1059" i="29"/>
  <c r="A1058" i="29"/>
  <c r="A1056" i="29"/>
  <c r="A1055" i="29"/>
  <c r="A1054" i="29"/>
  <c r="A1053" i="29"/>
  <c r="A1052" i="29"/>
  <c r="A1051" i="29"/>
  <c r="A1050" i="29"/>
  <c r="A1049" i="29"/>
  <c r="A1048" i="29"/>
  <c r="A1047" i="29"/>
  <c r="A1046" i="29"/>
  <c r="A1045" i="29"/>
  <c r="A1044" i="29"/>
  <c r="A1043" i="29"/>
  <c r="A1042" i="29"/>
  <c r="A1041" i="29"/>
  <c r="A1040" i="29"/>
  <c r="A1039" i="29"/>
  <c r="A1038" i="29"/>
  <c r="A1037" i="29"/>
  <c r="A1036" i="29"/>
  <c r="A1035" i="29"/>
  <c r="A1034" i="29"/>
  <c r="A1033" i="29"/>
  <c r="A1032" i="29"/>
  <c r="A1031" i="29"/>
  <c r="A1030" i="29"/>
  <c r="A1029" i="29"/>
  <c r="A1028" i="29"/>
  <c r="A1027" i="29"/>
  <c r="A1026" i="29"/>
  <c r="A1025" i="29"/>
  <c r="A977" i="29"/>
  <c r="A976" i="29"/>
  <c r="A975" i="29"/>
  <c r="A974" i="29"/>
  <c r="A973" i="29"/>
  <c r="A972" i="29"/>
  <c r="A971" i="29"/>
  <c r="A970" i="29"/>
  <c r="A969" i="29"/>
  <c r="A968" i="29"/>
  <c r="A967" i="29"/>
  <c r="A913" i="29"/>
  <c r="A912" i="29"/>
  <c r="A911" i="29"/>
  <c r="A910" i="29"/>
  <c r="A909" i="29"/>
  <c r="A908" i="29"/>
  <c r="A907" i="29"/>
  <c r="A906" i="29"/>
  <c r="A905" i="29"/>
  <c r="A904" i="29"/>
  <c r="A903" i="29"/>
  <c r="A902" i="29"/>
  <c r="A901" i="29"/>
  <c r="A900" i="29"/>
  <c r="A899" i="29"/>
  <c r="A898" i="29"/>
  <c r="A897" i="29"/>
  <c r="A896" i="29"/>
  <c r="A895" i="29"/>
  <c r="A894" i="29"/>
  <c r="A893" i="29"/>
  <c r="A892" i="29"/>
  <c r="A891" i="29"/>
  <c r="A890" i="29"/>
  <c r="A889" i="29"/>
  <c r="A888" i="29"/>
  <c r="A887" i="29"/>
  <c r="A886" i="29"/>
  <c r="A885" i="29"/>
  <c r="A884" i="29"/>
  <c r="A883" i="29"/>
  <c r="A882" i="29"/>
  <c r="A881" i="29"/>
  <c r="A880" i="29"/>
  <c r="A879" i="29"/>
  <c r="A878" i="29"/>
  <c r="A877" i="29"/>
  <c r="A876" i="29"/>
  <c r="A875" i="29"/>
  <c r="A874" i="29"/>
  <c r="A873" i="29"/>
  <c r="A872" i="29"/>
  <c r="A871" i="29"/>
  <c r="A870" i="29"/>
  <c r="A856" i="29"/>
  <c r="A855" i="29"/>
  <c r="A854" i="29"/>
  <c r="A1160" i="29"/>
  <c r="A1159" i="29"/>
  <c r="A1158" i="29"/>
  <c r="A1157" i="29"/>
  <c r="A1156" i="29"/>
  <c r="A1155" i="29"/>
  <c r="A1154" i="29"/>
  <c r="A1153" i="29"/>
  <c r="A1152" i="29"/>
  <c r="A1151" i="29"/>
  <c r="A1150" i="29"/>
  <c r="A1149" i="29"/>
  <c r="A1148" i="29"/>
  <c r="A1147" i="29"/>
  <c r="A1146" i="29"/>
  <c r="A1145" i="29"/>
  <c r="A1144" i="29"/>
  <c r="A1143" i="29"/>
  <c r="A1142" i="29"/>
  <c r="A1141" i="29"/>
  <c r="A1140" i="29"/>
  <c r="A1139" i="29"/>
  <c r="A1138" i="29"/>
  <c r="A1137" i="29"/>
  <c r="A1136" i="29"/>
  <c r="A1135" i="29"/>
  <c r="A1134" i="29"/>
  <c r="A1133" i="29"/>
  <c r="A1132" i="29"/>
  <c r="A1131" i="29"/>
  <c r="A1130" i="29"/>
  <c r="A1129" i="29"/>
  <c r="A1128" i="29"/>
  <c r="A1127" i="29"/>
  <c r="A1126" i="29"/>
  <c r="A1125" i="29"/>
  <c r="A1124" i="29"/>
  <c r="A1123" i="29"/>
  <c r="A1122" i="29"/>
  <c r="A1121" i="29"/>
  <c r="A1120" i="29"/>
  <c r="A1119" i="29"/>
  <c r="A1118" i="29"/>
  <c r="A1117" i="29"/>
  <c r="A1116" i="29"/>
  <c r="A1115" i="29"/>
  <c r="A1114" i="29"/>
  <c r="A1113" i="29"/>
  <c r="A1112" i="29"/>
  <c r="A1111" i="29"/>
  <c r="A965" i="29"/>
  <c r="A964" i="29"/>
  <c r="A963" i="29"/>
  <c r="A962" i="29"/>
  <c r="A961" i="29"/>
  <c r="A960" i="29"/>
  <c r="A959" i="29"/>
  <c r="A958" i="29"/>
  <c r="A957" i="29"/>
  <c r="A956" i="29"/>
  <c r="A955" i="29"/>
  <c r="A954" i="29"/>
  <c r="A953" i="29"/>
  <c r="A952" i="29"/>
  <c r="A951" i="29"/>
  <c r="A950" i="29"/>
  <c r="A949" i="29"/>
  <c r="A948" i="29"/>
  <c r="A947" i="29"/>
  <c r="A946" i="29"/>
  <c r="A945" i="29"/>
  <c r="A944" i="29"/>
  <c r="A943" i="29"/>
  <c r="A942" i="29"/>
  <c r="A941" i="29"/>
  <c r="A940" i="29"/>
  <c r="A939" i="29"/>
  <c r="A938" i="29"/>
  <c r="A937" i="29"/>
  <c r="A936" i="29"/>
  <c r="A935" i="29"/>
  <c r="A934" i="29"/>
  <c r="A933" i="29"/>
  <c r="A932" i="29"/>
  <c r="A931" i="29"/>
  <c r="A930" i="29"/>
  <c r="A929" i="29"/>
  <c r="A928" i="29"/>
  <c r="A927" i="29"/>
  <c r="A926" i="29"/>
  <c r="A925" i="29"/>
  <c r="A924" i="29"/>
  <c r="A923" i="29"/>
  <c r="A922" i="29"/>
  <c r="A921" i="29"/>
  <c r="A920" i="29"/>
  <c r="A919" i="29"/>
  <c r="A918" i="29"/>
  <c r="A917" i="29"/>
  <c r="A916" i="29"/>
  <c r="A915" i="29"/>
  <c r="A852" i="29"/>
  <c r="A851" i="29"/>
  <c r="A850" i="29"/>
  <c r="A849" i="29"/>
  <c r="A848" i="29"/>
  <c r="A847" i="29"/>
  <c r="A846" i="29"/>
  <c r="A845" i="29"/>
  <c r="A844" i="29"/>
  <c r="A843" i="29"/>
  <c r="A842" i="29"/>
  <c r="A841" i="29"/>
  <c r="A840" i="29"/>
  <c r="A839" i="29"/>
  <c r="A838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798" i="29"/>
  <c r="A797" i="29"/>
  <c r="A796" i="29"/>
  <c r="A795" i="29"/>
  <c r="A794" i="29"/>
  <c r="A793" i="29"/>
  <c r="A792" i="29"/>
  <c r="A791" i="29"/>
  <c r="A790" i="29"/>
  <c r="A789" i="29"/>
  <c r="A788" i="29"/>
  <c r="A787" i="29"/>
  <c r="A786" i="29"/>
  <c r="A785" i="29"/>
  <c r="A784" i="29"/>
  <c r="A783" i="29"/>
  <c r="A782" i="29"/>
  <c r="A781" i="29"/>
  <c r="A780" i="29"/>
  <c r="A779" i="29"/>
  <c r="A778" i="29"/>
  <c r="A777" i="29"/>
  <c r="A776" i="29"/>
  <c r="A775" i="29"/>
  <c r="A774" i="29"/>
  <c r="A773" i="29"/>
  <c r="A772" i="29"/>
  <c r="A771" i="29"/>
  <c r="A770" i="29"/>
  <c r="A769" i="29"/>
  <c r="A768" i="29"/>
  <c r="A767" i="29"/>
  <c r="A766" i="29"/>
  <c r="A765" i="29"/>
  <c r="A764" i="29"/>
  <c r="A763" i="29"/>
  <c r="A762" i="29"/>
  <c r="A761" i="29"/>
  <c r="A760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744" i="29"/>
  <c r="A743" i="29"/>
  <c r="A742" i="29"/>
  <c r="A741" i="29"/>
  <c r="A740" i="29"/>
  <c r="A739" i="29"/>
  <c r="A738" i="29"/>
  <c r="A737" i="29"/>
  <c r="A736" i="29"/>
  <c r="A735" i="29"/>
  <c r="A734" i="29"/>
  <c r="A733" i="29"/>
  <c r="A732" i="29"/>
  <c r="A731" i="29"/>
  <c r="A730" i="29"/>
  <c r="A729" i="29"/>
  <c r="A728" i="29"/>
  <c r="A727" i="29"/>
  <c r="A726" i="29"/>
  <c r="A725" i="29"/>
  <c r="A724" i="29"/>
  <c r="A723" i="29"/>
  <c r="A722" i="29"/>
  <c r="A721" i="29"/>
  <c r="A720" i="29"/>
  <c r="A719" i="29"/>
  <c r="A718" i="29"/>
  <c r="A717" i="29"/>
  <c r="A716" i="29"/>
  <c r="A715" i="29"/>
  <c r="A714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66" i="29"/>
  <c r="A65" i="29"/>
  <c r="A64" i="29"/>
  <c r="A63" i="29"/>
  <c r="A62" i="29"/>
  <c r="A61" i="29"/>
  <c r="A60" i="29"/>
  <c r="A59" i="29"/>
  <c r="A58" i="29"/>
  <c r="A57" i="29"/>
  <c r="A56" i="29"/>
  <c r="I10" i="39"/>
  <c r="D10" i="39"/>
  <c r="I9" i="39"/>
  <c r="D9" i="39"/>
  <c r="I8" i="39"/>
  <c r="D8" i="39"/>
  <c r="I7" i="39"/>
  <c r="D7" i="39"/>
  <c r="I6" i="39"/>
  <c r="D6" i="39"/>
  <c r="H10" i="38"/>
  <c r="D10" i="38"/>
  <c r="H9" i="38"/>
  <c r="D9" i="38"/>
  <c r="H8" i="38"/>
  <c r="D8" i="38"/>
  <c r="H7" i="38"/>
  <c r="D7" i="38"/>
  <c r="H6" i="38"/>
  <c r="D6" i="38"/>
  <c r="Y59" i="28" l="1" a="1"/>
  <c r="Y59" i="28" s="1"/>
  <c r="Y42" i="28" a="1"/>
  <c r="Y42" i="28" s="1"/>
  <c r="AS42" i="28" s="1"/>
  <c r="BD42" i="28" s="1" a="1"/>
  <c r="BD42" i="28" s="1"/>
  <c r="N50" i="36" a="1"/>
  <c r="N50" i="36" s="1"/>
  <c r="AE52" i="36"/>
  <c r="P39" i="28"/>
  <c r="N54" i="28" a="1"/>
  <c r="N54" i="28" s="1"/>
  <c r="N51" i="28" a="1"/>
  <c r="N51" i="28" s="1"/>
  <c r="AS55" i="28"/>
  <c r="BD55" i="28" s="1" a="1"/>
  <c r="BD55" i="28" s="1"/>
  <c r="Y36" i="28" a="1"/>
  <c r="Y36" i="28" s="1"/>
  <c r="AS36" i="28" s="1"/>
  <c r="BD36" i="28" s="1" a="1"/>
  <c r="BD36" i="28" s="1"/>
  <c r="W43" i="28" a="1"/>
  <c r="W43" i="28" s="1"/>
  <c r="CO44" i="36"/>
  <c r="CO32" i="36"/>
  <c r="CO20" i="36"/>
  <c r="CO42" i="36"/>
  <c r="CO30" i="36"/>
  <c r="CO18" i="36"/>
  <c r="CO29" i="36"/>
  <c r="CO40" i="36"/>
  <c r="CO28" i="36"/>
  <c r="CO16" i="36"/>
  <c r="CO41" i="36"/>
  <c r="CO39" i="36"/>
  <c r="CO27" i="36"/>
  <c r="CO38" i="36"/>
  <c r="CO26" i="36"/>
  <c r="CO37" i="36"/>
  <c r="CO25" i="36"/>
  <c r="CO36" i="36"/>
  <c r="CO24" i="36"/>
  <c r="CO23" i="36"/>
  <c r="CO34" i="36"/>
  <c r="CO17" i="36"/>
  <c r="CO35" i="36"/>
  <c r="CO22" i="36"/>
  <c r="CO43" i="36"/>
  <c r="CO19" i="36"/>
  <c r="CO33" i="36"/>
  <c r="CO21" i="36"/>
  <c r="CO31" i="36"/>
  <c r="N64" i="36" a="1"/>
  <c r="N64" i="36" s="1"/>
  <c r="O39" i="36"/>
  <c r="CM17" i="36"/>
  <c r="CM20" i="36"/>
  <c r="CN25" i="36"/>
  <c r="CM28" i="36"/>
  <c r="CP37" i="36"/>
  <c r="CN38" i="36"/>
  <c r="CM39" i="36"/>
  <c r="CL37" i="36" a="1"/>
  <c r="CL37" i="36" s="1"/>
  <c r="CJ41" i="36"/>
  <c r="CJ29" i="36"/>
  <c r="CJ17" i="36"/>
  <c r="CP44" i="36"/>
  <c r="CN17" i="36"/>
  <c r="CN20" i="36"/>
  <c r="CM23" i="36"/>
  <c r="CP25" i="36"/>
  <c r="CN28" i="36"/>
  <c r="CP36" i="36"/>
  <c r="CN37" i="36"/>
  <c r="CM38" i="36"/>
  <c r="CJ40" i="36"/>
  <c r="CJ28" i="36"/>
  <c r="CJ16" i="36"/>
  <c r="CP38" i="36"/>
  <c r="CJ42" i="36"/>
  <c r="CP17" i="36"/>
  <c r="CP20" i="36"/>
  <c r="CN23" i="36"/>
  <c r="CL26" i="36" a="1"/>
  <c r="CL26" i="36" s="1"/>
  <c r="CP28" i="36"/>
  <c r="CP35" i="36"/>
  <c r="CN36" i="36"/>
  <c r="CM37" i="36"/>
  <c r="CL36" i="36" a="1"/>
  <c r="CL36" i="36" s="1"/>
  <c r="CJ39" i="36"/>
  <c r="CJ27" i="36"/>
  <c r="CJ30" i="36"/>
  <c r="CL18" i="36" a="1"/>
  <c r="CL18" i="36" s="1"/>
  <c r="CL21" i="36" a="1"/>
  <c r="CL21" i="36" s="1"/>
  <c r="CP23" i="36"/>
  <c r="CL29" i="36" a="1"/>
  <c r="CL29" i="36" s="1"/>
  <c r="CP34" i="36"/>
  <c r="CN35" i="36"/>
  <c r="CM36" i="36"/>
  <c r="CL35" i="36" a="1"/>
  <c r="CL35" i="36" s="1"/>
  <c r="CJ38" i="36"/>
  <c r="CJ26" i="36"/>
  <c r="CN39" i="36"/>
  <c r="CM18" i="36"/>
  <c r="CM21" i="36"/>
  <c r="CL24" i="36" a="1"/>
  <c r="CL24" i="36" s="1"/>
  <c r="CM26" i="36"/>
  <c r="CP33" i="36"/>
  <c r="CN34" i="36"/>
  <c r="CM35" i="36"/>
  <c r="CL44" i="36" a="1"/>
  <c r="CL44" i="36" s="1"/>
  <c r="CL34" i="36" a="1"/>
  <c r="CL34" i="36" s="1"/>
  <c r="CJ37" i="36"/>
  <c r="CJ25" i="36"/>
  <c r="CJ18" i="36"/>
  <c r="CN18" i="36"/>
  <c r="CN21" i="36"/>
  <c r="CN26" i="36"/>
  <c r="CM29" i="36"/>
  <c r="CP32" i="36"/>
  <c r="CN33" i="36"/>
  <c r="CM34" i="36"/>
  <c r="CL43" i="36" a="1"/>
  <c r="CL43" i="36" s="1"/>
  <c r="CL33" i="36" a="1"/>
  <c r="CL33" i="36" s="1"/>
  <c r="CJ36" i="36"/>
  <c r="CJ24" i="36"/>
  <c r="CL16" i="36" a="1"/>
  <c r="CL16" i="36" s="1"/>
  <c r="CP18" i="36"/>
  <c r="CP21" i="36"/>
  <c r="CM24" i="36"/>
  <c r="CP26" i="36"/>
  <c r="CN29" i="36"/>
  <c r="CP43" i="36"/>
  <c r="CP31" i="36"/>
  <c r="CN44" i="36"/>
  <c r="CN32" i="36"/>
  <c r="CM33" i="36"/>
  <c r="CL32" i="36" a="1"/>
  <c r="CL32" i="36" s="1"/>
  <c r="CJ35" i="36"/>
  <c r="CJ23" i="36"/>
  <c r="CL23" i="36" a="1"/>
  <c r="CL23" i="36" s="1"/>
  <c r="CM16" i="36"/>
  <c r="CL19" i="36" a="1"/>
  <c r="CL19" i="36" s="1"/>
  <c r="CL22" i="36" a="1"/>
  <c r="CL22" i="36" s="1"/>
  <c r="CN24" i="36"/>
  <c r="CL27" i="36" a="1"/>
  <c r="CL27" i="36" s="1"/>
  <c r="CP29" i="36"/>
  <c r="CP42" i="36"/>
  <c r="CP30" i="36"/>
  <c r="CN43" i="36"/>
  <c r="CN31" i="36"/>
  <c r="CM44" i="36"/>
  <c r="CM32" i="36"/>
  <c r="CL42" i="36" a="1"/>
  <c r="CL42" i="36" s="1"/>
  <c r="CL31" i="36" a="1"/>
  <c r="CL31" i="36" s="1"/>
  <c r="CJ34" i="36"/>
  <c r="CJ22" i="36"/>
  <c r="CM25" i="36"/>
  <c r="CN16" i="36"/>
  <c r="CM19" i="36"/>
  <c r="CM22" i="36"/>
  <c r="CP24" i="36"/>
  <c r="CM27" i="36"/>
  <c r="CP41" i="36"/>
  <c r="CN42" i="36"/>
  <c r="CN30" i="36"/>
  <c r="CM43" i="36"/>
  <c r="CM31" i="36"/>
  <c r="CL41" i="36" a="1"/>
  <c r="CL41" i="36" s="1"/>
  <c r="CJ33" i="36"/>
  <c r="CJ21" i="36"/>
  <c r="CL28" i="36" a="1"/>
  <c r="CL28" i="36" s="1"/>
  <c r="CP16" i="36"/>
  <c r="CN19" i="36"/>
  <c r="CN22" i="36"/>
  <c r="CL25" i="36" a="1"/>
  <c r="CL25" i="36" s="1"/>
  <c r="CN27" i="36"/>
  <c r="CP40" i="36"/>
  <c r="CN41" i="36"/>
  <c r="CM42" i="36"/>
  <c r="CM30" i="36"/>
  <c r="CL40" i="36" a="1"/>
  <c r="CL40" i="36" s="1"/>
  <c r="CL30" i="36" a="1"/>
  <c r="CL30" i="36" s="1"/>
  <c r="CJ44" i="36"/>
  <c r="CJ32" i="36"/>
  <c r="CJ20" i="36"/>
  <c r="CL20" i="36" a="1"/>
  <c r="CL20" i="36" s="1"/>
  <c r="CL17" i="36" a="1"/>
  <c r="CL17" i="36" s="1"/>
  <c r="CP19" i="36"/>
  <c r="CP22" i="36"/>
  <c r="CP27" i="36"/>
  <c r="CP39" i="36"/>
  <c r="CN40" i="36"/>
  <c r="CM41" i="36"/>
  <c r="CL39" i="36" a="1"/>
  <c r="CL39" i="36" s="1"/>
  <c r="CJ43" i="36"/>
  <c r="CJ31" i="36"/>
  <c r="CJ19" i="36"/>
  <c r="CM40" i="36"/>
  <c r="CL38" i="36" a="1"/>
  <c r="CL38" i="36" s="1"/>
  <c r="AB47" i="36"/>
  <c r="BP47" i="36" s="1"/>
  <c r="BR47" i="36" s="1" a="1"/>
  <c r="BR47" i="36" s="1"/>
  <c r="AQ64" i="36"/>
  <c r="AD47" i="36" a="1"/>
  <c r="AD47" i="36" s="1"/>
  <c r="AQ49" i="36"/>
  <c r="AB54" i="36"/>
  <c r="BP54" i="36" s="1"/>
  <c r="BR54" i="36" s="1" a="1"/>
  <c r="BR54" i="36" s="1"/>
  <c r="N57" i="36" a="1"/>
  <c r="N57" i="36" s="1"/>
  <c r="AD51" i="36" a="1"/>
  <c r="AD51" i="36" s="1"/>
  <c r="AE51" i="36"/>
  <c r="CF57" i="36"/>
  <c r="CG57" i="36" s="1"/>
  <c r="N45" i="36" a="1"/>
  <c r="N45" i="36" s="1"/>
  <c r="AD46" i="36" a="1"/>
  <c r="AD46" i="36" s="1"/>
  <c r="AB49" i="36"/>
  <c r="BP49" i="36" s="1"/>
  <c r="BR49" i="36" s="1" a="1"/>
  <c r="BR49" i="36" s="1"/>
  <c r="AD49" i="36" a="1"/>
  <c r="AD49" i="36" s="1"/>
  <c r="AB52" i="36"/>
  <c r="BP52" i="36" s="1"/>
  <c r="BR52" i="36" s="1" a="1"/>
  <c r="BR52" i="36" s="1"/>
  <c r="AB46" i="36"/>
  <c r="BP46" i="36" s="1"/>
  <c r="BR46" i="36" s="1" a="1"/>
  <c r="BR46" i="36" s="1"/>
  <c r="AE47" i="36"/>
  <c r="AE49" i="36"/>
  <c r="Y48" i="36"/>
  <c r="AI49" i="36" a="1"/>
  <c r="AI49" i="36" s="1"/>
  <c r="Y52" i="36"/>
  <c r="N62" i="36" a="1"/>
  <c r="N62" i="36" s="1"/>
  <c r="N53" i="36" a="1"/>
  <c r="N53" i="36" s="1"/>
  <c r="AE58" i="36"/>
  <c r="N65" i="36" a="1"/>
  <c r="N65" i="36" s="1"/>
  <c r="AY46" i="36"/>
  <c r="AD52" i="36" a="1"/>
  <c r="AD52" i="36" s="1"/>
  <c r="AB61" i="36"/>
  <c r="BP61" i="36" s="1"/>
  <c r="BR61" i="36" s="1" a="1"/>
  <c r="BR61" i="36" s="1"/>
  <c r="BK65" i="36"/>
  <c r="AY45" i="36"/>
  <c r="W49" i="36"/>
  <c r="AE61" i="36"/>
  <c r="AB64" i="36"/>
  <c r="BP64" i="36" s="1"/>
  <c r="BR64" i="36" s="1" a="1"/>
  <c r="BR64" i="36" s="1"/>
  <c r="AQ60" i="36"/>
  <c r="AD50" i="36" a="1"/>
  <c r="AD50" i="36" s="1"/>
  <c r="AB57" i="36"/>
  <c r="BP57" i="36" s="1"/>
  <c r="BR57" i="36" s="1" a="1"/>
  <c r="BR57" i="36" s="1"/>
  <c r="AC58" i="36"/>
  <c r="AQ54" i="36"/>
  <c r="W56" i="36"/>
  <c r="AQ58" i="36"/>
  <c r="CF54" i="36"/>
  <c r="CG54" i="36" s="1"/>
  <c r="AQ45" i="36"/>
  <c r="BK47" i="36"/>
  <c r="BK49" i="36"/>
  <c r="AD54" i="36" a="1"/>
  <c r="AD54" i="36" s="1"/>
  <c r="AB55" i="36"/>
  <c r="BP55" i="36" s="1"/>
  <c r="BR55" i="36" s="1" a="1"/>
  <c r="BR55" i="36" s="1"/>
  <c r="AG56" i="36"/>
  <c r="BU56" i="36" s="1"/>
  <c r="BW56" i="36" s="1" a="1"/>
  <c r="BW56" i="36" s="1"/>
  <c r="AD57" i="36" a="1"/>
  <c r="AD57" i="36" s="1"/>
  <c r="AD58" i="36" a="1"/>
  <c r="AD58" i="36" s="1"/>
  <c r="CF60" i="36"/>
  <c r="CG60" i="36" s="1"/>
  <c r="AC61" i="36"/>
  <c r="P63" i="36"/>
  <c r="AX44" i="36"/>
  <c r="AI48" i="36" a="1"/>
  <c r="AI48" i="36" s="1"/>
  <c r="AE54" i="36"/>
  <c r="AC55" i="36"/>
  <c r="AI57" i="36" a="1"/>
  <c r="AI57" i="36" s="1"/>
  <c r="AQ63" i="36"/>
  <c r="W64" i="36"/>
  <c r="BK46" i="36"/>
  <c r="AG50" i="36"/>
  <c r="BU50" i="36" s="1"/>
  <c r="BW50" i="36" s="1" a="1"/>
  <c r="BW50" i="36" s="1"/>
  <c r="AI54" i="36" a="1"/>
  <c r="AI54" i="36" s="1"/>
  <c r="AD55" i="36" a="1"/>
  <c r="AD55" i="36" s="1"/>
  <c r="CF63" i="36"/>
  <c r="CG63" i="36" s="1"/>
  <c r="W65" i="36"/>
  <c r="AI50" i="36" a="1"/>
  <c r="AI50" i="36" s="1"/>
  <c r="N55" i="36" a="1"/>
  <c r="N55" i="36" s="1"/>
  <c r="AG58" i="36"/>
  <c r="BU58" i="36" s="1"/>
  <c r="BW58" i="36" s="1" a="1"/>
  <c r="BW58" i="36" s="1"/>
  <c r="AC45" i="36"/>
  <c r="AG47" i="36"/>
  <c r="BU47" i="36" s="1"/>
  <c r="BW47" i="36" s="1" a="1"/>
  <c r="BW47" i="36" s="1"/>
  <c r="AG55" i="36"/>
  <c r="BU55" i="36" s="1"/>
  <c r="BW55" i="36" s="1" a="1"/>
  <c r="BW55" i="36" s="1"/>
  <c r="W59" i="36"/>
  <c r="AI60" i="36" a="1"/>
  <c r="AI60" i="36" s="1"/>
  <c r="AC64" i="36"/>
  <c r="BK64" i="36"/>
  <c r="AG65" i="36"/>
  <c r="BU65" i="36" s="1"/>
  <c r="BW65" i="36" s="1" a="1"/>
  <c r="BW65" i="36" s="1"/>
  <c r="AI47" i="36" a="1"/>
  <c r="AI47" i="36" s="1"/>
  <c r="Y51" i="36"/>
  <c r="AG53" i="36"/>
  <c r="BU53" i="36" s="1"/>
  <c r="BW53" i="36" s="1" a="1"/>
  <c r="BW53" i="36" s="1"/>
  <c r="BK59" i="36"/>
  <c r="W62" i="36"/>
  <c r="AD64" i="36" a="1"/>
  <c r="AD64" i="36" s="1"/>
  <c r="AI65" i="36" a="1"/>
  <c r="AI65" i="36" s="1"/>
  <c r="AI45" i="36" a="1"/>
  <c r="AI45" i="36" s="1"/>
  <c r="AI46" i="36" a="1"/>
  <c r="AI46" i="36" s="1"/>
  <c r="AI53" i="36" a="1"/>
  <c r="AI53" i="36" s="1"/>
  <c r="BA53" i="36"/>
  <c r="Y59" i="36"/>
  <c r="AI63" i="36" a="1"/>
  <c r="AI63" i="36" s="1"/>
  <c r="P52" i="36"/>
  <c r="AQ57" i="36"/>
  <c r="Y62" i="36"/>
  <c r="BK62" i="36"/>
  <c r="BA65" i="36"/>
  <c r="AG64" i="36"/>
  <c r="BU64" i="36" s="1"/>
  <c r="BW64" i="36" s="1" a="1"/>
  <c r="BW64" i="36" s="1"/>
  <c r="AG52" i="36"/>
  <c r="BU52" i="36" s="1"/>
  <c r="BW52" i="36" s="1" a="1"/>
  <c r="BW52" i="36" s="1"/>
  <c r="W47" i="36"/>
  <c r="AI52" i="36" a="1"/>
  <c r="AI52" i="36" s="1"/>
  <c r="Y56" i="36"/>
  <c r="BK56" i="36"/>
  <c r="AG59" i="36"/>
  <c r="BU59" i="36" s="1"/>
  <c r="BW59" i="36" s="1" a="1"/>
  <c r="BW59" i="36" s="1"/>
  <c r="AG62" i="36"/>
  <c r="BU62" i="36" s="1"/>
  <c r="BW62" i="36" s="1" a="1"/>
  <c r="BW62" i="36" s="1"/>
  <c r="AI64" i="36" a="1"/>
  <c r="AI64" i="36" s="1"/>
  <c r="AV53" i="28"/>
  <c r="T53" i="28"/>
  <c r="BK29" i="28"/>
  <c r="BK17" i="28"/>
  <c r="BG33" i="28"/>
  <c r="BI33" i="28" s="1"/>
  <c r="BG21" i="28"/>
  <c r="BI21" i="28" s="1"/>
  <c r="BK28" i="28"/>
  <c r="BK16" i="28"/>
  <c r="BG32" i="28"/>
  <c r="BI32" i="28" s="1"/>
  <c r="BG20" i="28"/>
  <c r="BI20" i="28" s="1"/>
  <c r="BK27" i="28"/>
  <c r="BG31" i="28"/>
  <c r="BI31" i="28" s="1"/>
  <c r="BG19" i="28"/>
  <c r="BI19" i="28" s="1"/>
  <c r="BK26" i="28"/>
  <c r="BG30" i="28"/>
  <c r="BI30" i="28" s="1"/>
  <c r="BG18" i="28"/>
  <c r="BI18" i="28" s="1"/>
  <c r="BK25" i="28"/>
  <c r="BG29" i="28"/>
  <c r="BI29" i="28" s="1"/>
  <c r="BG17" i="28"/>
  <c r="BK19" i="28"/>
  <c r="BK24" i="28"/>
  <c r="BG28" i="28"/>
  <c r="BI28" i="28" s="1"/>
  <c r="BG16" i="28"/>
  <c r="BK23" i="28"/>
  <c r="BG27" i="28"/>
  <c r="BI27" i="28" s="1"/>
  <c r="BK34" i="28"/>
  <c r="BK22" i="28"/>
  <c r="BG26" i="28"/>
  <c r="BK33" i="28"/>
  <c r="BK21" i="28"/>
  <c r="BG25" i="28"/>
  <c r="BI25" i="28" s="1"/>
  <c r="BK31" i="28"/>
  <c r="BK32" i="28"/>
  <c r="BK20" i="28"/>
  <c r="BG24" i="28"/>
  <c r="BI24" i="28" s="1"/>
  <c r="BK30" i="28"/>
  <c r="BK18" i="28"/>
  <c r="BG34" i="28"/>
  <c r="BI34" i="28" s="1"/>
  <c r="BG22" i="28"/>
  <c r="BI22" i="28" s="1"/>
  <c r="BG23" i="28"/>
  <c r="BI23" i="28" s="1"/>
  <c r="P42" i="28"/>
  <c r="W45" i="28" a="1"/>
  <c r="W45" i="28" s="1"/>
  <c r="N40" i="28" a="1"/>
  <c r="N40" i="28" s="1"/>
  <c r="N48" i="28" a="1"/>
  <c r="N48" i="28" s="1"/>
  <c r="P50" i="28"/>
  <c r="W56" i="28" a="1"/>
  <c r="W56" i="28" s="1"/>
  <c r="AQ56" i="28" s="1"/>
  <c r="BC56" i="28" s="1" a="1"/>
  <c r="BC56" i="28" s="1"/>
  <c r="BE56" i="28" s="1"/>
  <c r="T64" i="28"/>
  <c r="AV64" i="28"/>
  <c r="T38" i="28"/>
  <c r="AV38" i="28"/>
  <c r="Y50" i="28" a="1"/>
  <c r="Y50" i="28" s="1"/>
  <c r="P53" i="28"/>
  <c r="N65" i="28" a="1"/>
  <c r="N65" i="28" s="1"/>
  <c r="W41" i="28" a="1"/>
  <c r="W41" i="28" s="1"/>
  <c r="N46" i="28" a="1"/>
  <c r="N46" i="28" s="1"/>
  <c r="P56" i="28"/>
  <c r="N57" i="28" a="1"/>
  <c r="N57" i="28" s="1"/>
  <c r="AI61" i="28"/>
  <c r="N62" i="28" a="1"/>
  <c r="N62" i="28" s="1"/>
  <c r="P44" i="28"/>
  <c r="N35" i="28" a="1"/>
  <c r="N35" i="28" s="1"/>
  <c r="T46" i="28"/>
  <c r="Y63" i="28" a="1"/>
  <c r="Y63" i="28" s="1"/>
  <c r="AI63" i="28" s="1"/>
  <c r="W57" i="28" a="1"/>
  <c r="W57" i="28" s="1"/>
  <c r="AQ57" i="28" s="1"/>
  <c r="BC57" i="28" s="1" a="1"/>
  <c r="BC57" i="28" s="1"/>
  <c r="BE57" i="28" s="1"/>
  <c r="W58" i="28" a="1"/>
  <c r="W58" i="28" s="1"/>
  <c r="P38" i="28"/>
  <c r="W46" i="28" a="1"/>
  <c r="W46" i="28" s="1"/>
  <c r="AQ46" i="28" s="1"/>
  <c r="BC46" i="28" s="1" a="1"/>
  <c r="BC46" i="28" s="1"/>
  <c r="BE46" i="28" s="1"/>
  <c r="N43" i="28" a="1"/>
  <c r="N43" i="28" s="1"/>
  <c r="W37" i="28" a="1"/>
  <c r="W37" i="28" s="1"/>
  <c r="AG37" i="28" s="1"/>
  <c r="AI36" i="28"/>
  <c r="AI39" i="28"/>
  <c r="AS39" i="28"/>
  <c r="BD39" i="28" s="1" a="1"/>
  <c r="BD39" i="28" s="1"/>
  <c r="AV40" i="28"/>
  <c r="T40" i="28"/>
  <c r="AV43" i="28"/>
  <c r="T43" i="28"/>
  <c r="T52" i="28"/>
  <c r="AV52" i="28"/>
  <c r="T45" i="28"/>
  <c r="AV45" i="28"/>
  <c r="AI52" i="28"/>
  <c r="AS52" i="28"/>
  <c r="BD52" i="28" s="1" a="1"/>
  <c r="BD52" i="28" s="1"/>
  <c r="T55" i="28"/>
  <c r="AV55" i="28"/>
  <c r="AV56" i="28"/>
  <c r="T56" i="28"/>
  <c r="T63" i="28"/>
  <c r="AV63" i="28"/>
  <c r="AI42" i="28"/>
  <c r="AV44" i="28"/>
  <c r="T44" i="28"/>
  <c r="AV61" i="28"/>
  <c r="T61" i="28"/>
  <c r="AG63" i="28"/>
  <c r="AQ63" i="28"/>
  <c r="BC63" i="28" s="1" a="1"/>
  <c r="BC63" i="28" s="1"/>
  <c r="BE63" i="28" s="1"/>
  <c r="AV65" i="28"/>
  <c r="T65" i="28"/>
  <c r="AQ44" i="28"/>
  <c r="BC44" i="28" s="1" a="1"/>
  <c r="BC44" i="28" s="1"/>
  <c r="BE44" i="28" s="1"/>
  <c r="AG44" i="28"/>
  <c r="AV57" i="28"/>
  <c r="T57" i="28"/>
  <c r="AV58" i="28"/>
  <c r="T58" i="28"/>
  <c r="T62" i="28"/>
  <c r="AV62" i="28"/>
  <c r="AV60" i="28"/>
  <c r="T60" i="28"/>
  <c r="T47" i="28"/>
  <c r="AV47" i="28"/>
  <c r="AG57" i="28"/>
  <c r="T42" i="28"/>
  <c r="AV42" i="28"/>
  <c r="AG46" i="28"/>
  <c r="AV50" i="28"/>
  <c r="T50" i="28"/>
  <c r="T37" i="28"/>
  <c r="AV37" i="28"/>
  <c r="T36" i="28"/>
  <c r="AV36" i="28"/>
  <c r="T41" i="28"/>
  <c r="AV41" i="28"/>
  <c r="T35" i="28"/>
  <c r="W52" i="28" a="1"/>
  <c r="W52" i="28" s="1"/>
  <c r="AG52" i="28" s="1"/>
  <c r="W35" i="28" a="1"/>
  <c r="W35" i="28" s="1"/>
  <c r="N37" i="28" a="1"/>
  <c r="N37" i="28" s="1"/>
  <c r="W39" i="28" a="1"/>
  <c r="W39" i="28" s="1"/>
  <c r="N41" i="28" a="1"/>
  <c r="N41" i="28" s="1"/>
  <c r="AI43" i="28"/>
  <c r="N45" i="28" a="1"/>
  <c r="N45" i="28" s="1"/>
  <c r="W48" i="28" a="1"/>
  <c r="W48" i="28" s="1"/>
  <c r="N49" i="28" a="1"/>
  <c r="N49" i="28" s="1"/>
  <c r="AV49" i="28"/>
  <c r="W51" i="28" a="1"/>
  <c r="W51" i="28" s="1"/>
  <c r="AG51" i="28" s="1"/>
  <c r="N59" i="28" a="1"/>
  <c r="N59" i="28" s="1"/>
  <c r="AV59" i="28"/>
  <c r="T48" i="28"/>
  <c r="W40" i="28" a="1"/>
  <c r="W40" i="28" s="1"/>
  <c r="AS46" i="28"/>
  <c r="BD46" i="28" s="1" a="1"/>
  <c r="BD46" i="28" s="1"/>
  <c r="Y54" i="28" a="1"/>
  <c r="Y54" i="28" s="1"/>
  <c r="AI54" i="28" s="1"/>
  <c r="Y62" i="28" a="1"/>
  <c r="Y62" i="28" s="1"/>
  <c r="P63" i="28"/>
  <c r="P64" i="28"/>
  <c r="N47" i="28" a="1"/>
  <c r="N47" i="28" s="1"/>
  <c r="P36" i="28"/>
  <c r="Y44" i="28" a="1"/>
  <c r="Y44" i="28" s="1"/>
  <c r="AS44" i="28" s="1"/>
  <c r="BD44" i="28" s="1" a="1"/>
  <c r="BD44" i="28" s="1"/>
  <c r="P55" i="28"/>
  <c r="W60" i="28" a="1"/>
  <c r="W60" i="28" s="1"/>
  <c r="W61" i="28" a="1"/>
  <c r="W61" i="28" s="1"/>
  <c r="AQ61" i="28" s="1"/>
  <c r="BC61" i="28" s="1" a="1"/>
  <c r="BC61" i="28" s="1"/>
  <c r="BE61" i="28" s="1"/>
  <c r="AI64" i="28"/>
  <c r="T39" i="28"/>
  <c r="N58" i="28" a="1"/>
  <c r="N58" i="28" s="1"/>
  <c r="AS58" i="28"/>
  <c r="BD58" i="28" s="1" a="1"/>
  <c r="BD58" i="28" s="1"/>
  <c r="W38" i="28" a="1"/>
  <c r="W38" i="28" s="1"/>
  <c r="AG38" i="28" s="1"/>
  <c r="AV54" i="28"/>
  <c r="N60" i="28" a="1"/>
  <c r="N60" i="28" s="1"/>
  <c r="N61" i="28" a="1"/>
  <c r="N61" i="28" s="1"/>
  <c r="T51" i="28"/>
  <c r="AO34" i="28"/>
  <c r="W55" i="28" a="1"/>
  <c r="W55" i="28" s="1"/>
  <c r="AG55" i="28" s="1"/>
  <c r="C69" i="47"/>
  <c r="A25" i="29"/>
  <c r="A27" i="29"/>
  <c r="A29" i="29"/>
  <c r="Q40" i="36"/>
  <c r="A53" i="29"/>
  <c r="A31" i="29"/>
  <c r="A35" i="29"/>
  <c r="AH23" i="28"/>
  <c r="A37" i="29"/>
  <c r="AO24" i="28"/>
  <c r="BL41" i="36"/>
  <c r="A47" i="29"/>
  <c r="A39" i="29"/>
  <c r="AO29" i="28"/>
  <c r="A51" i="29"/>
  <c r="A55" i="29"/>
  <c r="A41" i="29"/>
  <c r="V32" i="28"/>
  <c r="Y32" i="28" s="1" a="1"/>
  <c r="Y32" i="28" s="1"/>
  <c r="BN44" i="36"/>
  <c r="A45" i="29"/>
  <c r="X34" i="28"/>
  <c r="A49" i="29"/>
  <c r="A43" i="29"/>
  <c r="AJ31" i="36"/>
  <c r="A33" i="29"/>
  <c r="AD26" i="28"/>
  <c r="Q39" i="36"/>
  <c r="A34" i="29"/>
  <c r="A46" i="29"/>
  <c r="AU32" i="36"/>
  <c r="CH41" i="36"/>
  <c r="AJ43" i="36"/>
  <c r="AZ44" i="36"/>
  <c r="BQ44" i="36"/>
  <c r="N49" i="36" a="1"/>
  <c r="N49" i="36" s="1"/>
  <c r="BQ32" i="36"/>
  <c r="AH39" i="36"/>
  <c r="AR40" i="36"/>
  <c r="Q42" i="36"/>
  <c r="AM43" i="36"/>
  <c r="AL43" i="36" s="1" a="1"/>
  <c r="AL43" i="36" s="1"/>
  <c r="BZ43" i="36" s="1"/>
  <c r="O44" i="36"/>
  <c r="AH44" i="36"/>
  <c r="AI44" i="36" s="1" a="1"/>
  <c r="AI44" i="36" s="1"/>
  <c r="BB44" i="36"/>
  <c r="BS44" i="36"/>
  <c r="P46" i="36"/>
  <c r="N47" i="36" a="1"/>
  <c r="N47" i="36" s="1"/>
  <c r="P58" i="36"/>
  <c r="P59" i="36"/>
  <c r="P60" i="36"/>
  <c r="A24" i="29"/>
  <c r="A36" i="29"/>
  <c r="A48" i="29"/>
  <c r="AM26" i="28"/>
  <c r="BS19" i="36"/>
  <c r="BJ33" i="36"/>
  <c r="AJ39" i="36"/>
  <c r="AX40" i="36"/>
  <c r="AR43" i="36"/>
  <c r="AJ44" i="36"/>
  <c r="BV44" i="36"/>
  <c r="N48" i="36" a="1"/>
  <c r="N48" i="36" s="1"/>
  <c r="AJ27" i="28"/>
  <c r="BL22" i="36"/>
  <c r="AP39" i="36"/>
  <c r="BL40" i="36"/>
  <c r="AR42" i="36"/>
  <c r="AT43" i="36"/>
  <c r="Q44" i="36"/>
  <c r="AM44" i="36"/>
  <c r="AL44" i="36" s="1" a="1"/>
  <c r="AL44" i="36" s="1"/>
  <c r="BZ44" i="36" s="1"/>
  <c r="BE44" i="36"/>
  <c r="BX44" i="36"/>
  <c r="A26" i="29"/>
  <c r="A38" i="29"/>
  <c r="A50" i="29"/>
  <c r="AO27" i="28"/>
  <c r="O27" i="36"/>
  <c r="AM35" i="36"/>
  <c r="AL35" i="36" s="1" a="1"/>
  <c r="AL35" i="36" s="1"/>
  <c r="BZ35" i="36" s="1"/>
  <c r="AR39" i="36"/>
  <c r="CA40" i="36"/>
  <c r="AX42" i="36"/>
  <c r="BJ43" i="36"/>
  <c r="CA44" i="36"/>
  <c r="N54" i="36" a="1"/>
  <c r="N54" i="36" s="1"/>
  <c r="Z29" i="28"/>
  <c r="BQ36" i="36"/>
  <c r="BB39" i="36"/>
  <c r="BG42" i="36"/>
  <c r="BL43" i="36"/>
  <c r="AP44" i="36"/>
  <c r="BG44" i="36"/>
  <c r="A28" i="29"/>
  <c r="A40" i="29"/>
  <c r="A52" i="29"/>
  <c r="AT27" i="36"/>
  <c r="BJ37" i="36"/>
  <c r="BE39" i="36"/>
  <c r="AM41" i="36"/>
  <c r="AL41" i="36" s="1" a="1"/>
  <c r="AL41" i="36" s="1"/>
  <c r="BZ41" i="36" s="1"/>
  <c r="BJ42" i="36"/>
  <c r="BV43" i="36"/>
  <c r="AR44" i="36"/>
  <c r="BE28" i="36"/>
  <c r="O38" i="36"/>
  <c r="BJ39" i="36"/>
  <c r="AP41" i="36"/>
  <c r="BN42" i="36"/>
  <c r="CA43" i="36"/>
  <c r="AT44" i="36"/>
  <c r="BJ44" i="36"/>
  <c r="CE44" i="36"/>
  <c r="N51" i="36" a="1"/>
  <c r="N51" i="36" s="1"/>
  <c r="N56" i="36" a="1"/>
  <c r="N56" i="36" s="1"/>
  <c r="N61" i="36" a="1"/>
  <c r="N61" i="36" s="1"/>
  <c r="A30" i="29"/>
  <c r="A42" i="29"/>
  <c r="A54" i="29"/>
  <c r="CE28" i="36"/>
  <c r="X38" i="36" a="1"/>
  <c r="X38" i="36" s="1"/>
  <c r="BA38" i="36" s="1"/>
  <c r="BS39" i="36"/>
  <c r="AU41" i="36"/>
  <c r="BQ42" i="36"/>
  <c r="CE43" i="36"/>
  <c r="AU44" i="36"/>
  <c r="BX29" i="36"/>
  <c r="AT38" i="36"/>
  <c r="BX39" i="36"/>
  <c r="BE41" i="36"/>
  <c r="CE42" i="36"/>
  <c r="CH43" i="36"/>
  <c r="X44" i="36" a="1"/>
  <c r="X44" i="36" s="1"/>
  <c r="Y44" i="36" s="1"/>
  <c r="BL44" i="36"/>
  <c r="CH44" i="36"/>
  <c r="A32" i="29"/>
  <c r="CH29" i="36"/>
  <c r="CE39" i="36"/>
  <c r="BG41" i="36"/>
  <c r="CH42" i="36"/>
  <c r="Q43" i="36"/>
  <c r="O42" i="36"/>
  <c r="Q41" i="36"/>
  <c r="O40" i="36"/>
  <c r="O28" i="36"/>
  <c r="O43" i="36"/>
  <c r="O41" i="36"/>
  <c r="Q33" i="36"/>
  <c r="BS43" i="36"/>
  <c r="BB43" i="36"/>
  <c r="AH43" i="36"/>
  <c r="CA42" i="36"/>
  <c r="BE42" i="36"/>
  <c r="AM42" i="36"/>
  <c r="AL42" i="36" s="1" a="1"/>
  <c r="AL42" i="36" s="1"/>
  <c r="BZ42" i="36" s="1"/>
  <c r="BX41" i="36"/>
  <c r="AJ41" i="36"/>
  <c r="BX40" i="36"/>
  <c r="BE40" i="36"/>
  <c r="AM40" i="36"/>
  <c r="AL40" i="36" s="1" a="1"/>
  <c r="AL40" i="36" s="1"/>
  <c r="BZ40" i="36" s="1"/>
  <c r="AZ39" i="36"/>
  <c r="BG36" i="36"/>
  <c r="AU33" i="36"/>
  <c r="AM28" i="36"/>
  <c r="AL28" i="36" s="1" a="1"/>
  <c r="AL28" i="36" s="1"/>
  <c r="BZ28" i="36" s="1"/>
  <c r="AU18" i="36"/>
  <c r="AZ43" i="36"/>
  <c r="BX42" i="36"/>
  <c r="BV41" i="36"/>
  <c r="BB41" i="36"/>
  <c r="AH41" i="36"/>
  <c r="BV40" i="36"/>
  <c r="BQ39" i="36"/>
  <c r="AX39" i="36"/>
  <c r="AR36" i="36"/>
  <c r="AM33" i="36"/>
  <c r="AL33" i="36" s="1" a="1"/>
  <c r="AL33" i="36" s="1"/>
  <c r="BZ33" i="36" s="1"/>
  <c r="BQ30" i="36"/>
  <c r="BQ43" i="36"/>
  <c r="AX43" i="36"/>
  <c r="BV42" i="36"/>
  <c r="BB42" i="36"/>
  <c r="AJ42" i="36"/>
  <c r="BS41" i="36"/>
  <c r="AZ41" i="36"/>
  <c r="BS40" i="36"/>
  <c r="BB40" i="36"/>
  <c r="AJ40" i="36"/>
  <c r="BN39" i="36"/>
  <c r="X33" i="36" a="1"/>
  <c r="X33" i="36" s="1"/>
  <c r="BA33" i="36" s="1"/>
  <c r="BB30" i="36"/>
  <c r="CE27" i="36"/>
  <c r="BN43" i="36"/>
  <c r="BS42" i="36"/>
  <c r="AH42" i="36"/>
  <c r="AI42" i="36" s="1" a="1"/>
  <c r="AI42" i="36" s="1"/>
  <c r="BQ41" i="36"/>
  <c r="BQ40" i="36"/>
  <c r="AZ40" i="36"/>
  <c r="AH40" i="36"/>
  <c r="AI40" i="36" s="1" a="1"/>
  <c r="AI40" i="36" s="1"/>
  <c r="AU39" i="36"/>
  <c r="CH38" i="36"/>
  <c r="BJ35" i="36"/>
  <c r="AT30" i="36"/>
  <c r="BN27" i="36"/>
  <c r="AU43" i="36"/>
  <c r="AZ42" i="36"/>
  <c r="BN41" i="36"/>
  <c r="AX41" i="36"/>
  <c r="BN40" i="36"/>
  <c r="CH39" i="36"/>
  <c r="BL39" i="36"/>
  <c r="AT39" i="36"/>
  <c r="X39" i="36" a="1"/>
  <c r="X39" i="36" s="1"/>
  <c r="Y39" i="36" s="1"/>
  <c r="BX38" i="36"/>
  <c r="AU35" i="36"/>
  <c r="CA32" i="36"/>
  <c r="X30" i="36" a="1"/>
  <c r="X30" i="36" s="1"/>
  <c r="BG27" i="36"/>
  <c r="AP43" i="36"/>
  <c r="X43" i="36" a="1"/>
  <c r="X43" i="36" s="1"/>
  <c r="BA43" i="36" s="1"/>
  <c r="AU42" i="36"/>
  <c r="X42" i="36" a="1"/>
  <c r="X42" i="36" s="1"/>
  <c r="CE41" i="36"/>
  <c r="BJ41" i="36"/>
  <c r="CH40" i="36"/>
  <c r="AU40" i="36"/>
  <c r="X40" i="36" a="1"/>
  <c r="X40" i="36" s="1"/>
  <c r="BG39" i="36"/>
  <c r="BS34" i="36"/>
  <c r="AH32" i="36"/>
  <c r="BJ29" i="36"/>
  <c r="Q26" i="28"/>
  <c r="Q21" i="28"/>
  <c r="AR28" i="28"/>
  <c r="V31" i="28"/>
  <c r="Y31" i="28" s="1" a="1"/>
  <c r="Y31" i="28" s="1"/>
  <c r="S34" i="28" a="1"/>
  <c r="S34" i="28" s="1"/>
  <c r="AV34" i="28" s="1"/>
  <c r="BN21" i="36"/>
  <c r="BL28" i="36"/>
  <c r="BB31" i="36"/>
  <c r="BV33" i="36"/>
  <c r="BV39" i="36"/>
  <c r="AP40" i="36"/>
  <c r="BG40" i="36"/>
  <c r="CA41" i="36"/>
  <c r="AP42" i="36"/>
  <c r="BE43" i="36"/>
  <c r="BX43" i="36"/>
  <c r="AJ21" i="28"/>
  <c r="AD27" i="28"/>
  <c r="AW28" i="28"/>
  <c r="AC31" i="28"/>
  <c r="AC34" i="28"/>
  <c r="Q23" i="28"/>
  <c r="V26" i="28"/>
  <c r="W26" i="28" s="1" a="1"/>
  <c r="W26" i="28" s="1"/>
  <c r="AE27" i="28"/>
  <c r="V29" i="28"/>
  <c r="Y29" i="28" s="1" a="1"/>
  <c r="Y29" i="28" s="1"/>
  <c r="AJ31" i="28"/>
  <c r="AD34" i="28"/>
  <c r="AM29" i="36"/>
  <c r="AL29" i="36" s="1" a="1"/>
  <c r="AL29" i="36" s="1"/>
  <c r="BZ29" i="36" s="1"/>
  <c r="CA31" i="36"/>
  <c r="BJ34" i="36"/>
  <c r="BV37" i="36"/>
  <c r="AM39" i="36"/>
  <c r="AL39" i="36" s="1" a="1"/>
  <c r="AL39" i="36" s="1"/>
  <c r="BZ39" i="36" s="1"/>
  <c r="CA39" i="36"/>
  <c r="BJ40" i="36"/>
  <c r="CE40" i="36"/>
  <c r="X41" i="36" a="1"/>
  <c r="X41" i="36" s="1"/>
  <c r="AR41" i="36"/>
  <c r="AT42" i="36"/>
  <c r="BL42" i="36"/>
  <c r="BG43" i="36"/>
  <c r="AE23" i="28"/>
  <c r="Z26" i="28"/>
  <c r="AH27" i="28"/>
  <c r="X29" i="28"/>
  <c r="AT31" i="28"/>
  <c r="AH34" i="28"/>
  <c r="O25" i="28"/>
  <c r="AO26" i="28"/>
  <c r="AW27" i="28"/>
  <c r="O30" i="28"/>
  <c r="AM32" i="28"/>
  <c r="V16" i="28"/>
  <c r="W16" i="28" s="1" a="1"/>
  <c r="W16" i="28" s="1"/>
  <c r="Q25" i="28"/>
  <c r="AR26" i="28"/>
  <c r="V28" i="28"/>
  <c r="Y28" i="28" s="1" a="1"/>
  <c r="Y28" i="28" s="1"/>
  <c r="AD30" i="28"/>
  <c r="AR32" i="28"/>
  <c r="V19" i="28"/>
  <c r="Y19" i="28" s="1" a="1"/>
  <c r="Y19" i="28" s="1"/>
  <c r="AI19" i="28" s="1"/>
  <c r="AE25" i="28"/>
  <c r="AT26" i="28"/>
  <c r="X28" i="28"/>
  <c r="AE30" i="28"/>
  <c r="V33" i="28"/>
  <c r="Y33" i="28" s="1" a="1"/>
  <c r="Y33" i="28" s="1"/>
  <c r="AC20" i="28"/>
  <c r="AH25" i="28"/>
  <c r="Z28" i="28"/>
  <c r="AJ30" i="28"/>
  <c r="Z33" i="28"/>
  <c r="AO20" i="28"/>
  <c r="AO25" i="28"/>
  <c r="Q27" i="28"/>
  <c r="AH28" i="28"/>
  <c r="AR30" i="28"/>
  <c r="AE33" i="28"/>
  <c r="AW20" i="28"/>
  <c r="AW25" i="28"/>
  <c r="V27" i="28"/>
  <c r="W27" i="28" s="1" a="1"/>
  <c r="W27" i="28" s="1"/>
  <c r="AO28" i="28"/>
  <c r="O31" i="28"/>
  <c r="AT33" i="28"/>
  <c r="O31" i="36"/>
  <c r="Q36" i="36"/>
  <c r="Q35" i="36"/>
  <c r="Q34" i="36"/>
  <c r="O32" i="36"/>
  <c r="O33" i="36"/>
  <c r="Q31" i="36"/>
  <c r="Q30" i="36"/>
  <c r="BV38" i="36"/>
  <c r="BB38" i="36"/>
  <c r="AJ38" i="36"/>
  <c r="BQ37" i="36"/>
  <c r="AH37" i="36"/>
  <c r="AI37" i="36" s="1" a="1"/>
  <c r="AI37" i="36" s="1"/>
  <c r="AU36" i="36"/>
  <c r="BQ35" i="36"/>
  <c r="AX35" i="36"/>
  <c r="BQ33" i="36"/>
  <c r="AX33" i="36"/>
  <c r="AH33" i="36"/>
  <c r="CH31" i="36"/>
  <c r="BL31" i="36"/>
  <c r="AT31" i="36"/>
  <c r="BX30" i="36"/>
  <c r="BE30" i="36"/>
  <c r="CE29" i="36"/>
  <c r="BL29" i="36"/>
  <c r="AU29" i="36"/>
  <c r="BN28" i="36"/>
  <c r="CH27" i="36"/>
  <c r="BL27" i="36"/>
  <c r="AU27" i="36"/>
  <c r="CH26" i="36"/>
  <c r="BL24" i="36"/>
  <c r="AJ19" i="36"/>
  <c r="BN38" i="36"/>
  <c r="CH37" i="36"/>
  <c r="BL37" i="36"/>
  <c r="AU37" i="36"/>
  <c r="X37" i="36" a="1"/>
  <c r="X37" i="36" s="1"/>
  <c r="Y37" i="36" s="1"/>
  <c r="AP36" i="36"/>
  <c r="X36" i="36" a="1"/>
  <c r="X36" i="36" s="1"/>
  <c r="CE35" i="36"/>
  <c r="BL35" i="36"/>
  <c r="BL34" i="36"/>
  <c r="AU34" i="36"/>
  <c r="CE33" i="36"/>
  <c r="BL33" i="36"/>
  <c r="AT33" i="36"/>
  <c r="BB32" i="36"/>
  <c r="AJ32" i="36"/>
  <c r="BG31" i="36"/>
  <c r="BS30" i="36"/>
  <c r="AZ30" i="36"/>
  <c r="CA29" i="36"/>
  <c r="CH28" i="36"/>
  <c r="BJ28" i="36"/>
  <c r="AR28" i="36"/>
  <c r="AP27" i="36"/>
  <c r="AT26" i="36"/>
  <c r="BG23" i="36"/>
  <c r="AH21" i="36"/>
  <c r="BJ18" i="36"/>
  <c r="CE38" i="36"/>
  <c r="BG38" i="36"/>
  <c r="AP38" i="36"/>
  <c r="CA37" i="36"/>
  <c r="BE37" i="36"/>
  <c r="AM37" i="36"/>
  <c r="AL37" i="36" s="1" a="1"/>
  <c r="AL37" i="36" s="1"/>
  <c r="BZ37" i="36" s="1"/>
  <c r="BS36" i="36"/>
  <c r="BB36" i="36"/>
  <c r="BV35" i="36"/>
  <c r="BE35" i="36"/>
  <c r="AJ35" i="36"/>
  <c r="BX34" i="36"/>
  <c r="BE34" i="36"/>
  <c r="AM34" i="36"/>
  <c r="AL34" i="36" s="1" a="1"/>
  <c r="AL34" i="36" s="1"/>
  <c r="BZ34" i="36" s="1"/>
  <c r="BX33" i="36"/>
  <c r="BE33" i="36"/>
  <c r="BS31" i="36"/>
  <c r="AZ31" i="36"/>
  <c r="CE30" i="36"/>
  <c r="BJ30" i="36"/>
  <c r="AR30" i="36"/>
  <c r="BB29" i="36"/>
  <c r="AH29" i="36"/>
  <c r="BX28" i="36"/>
  <c r="BS38" i="36"/>
  <c r="AR38" i="36"/>
  <c r="CH36" i="36"/>
  <c r="AH36" i="36"/>
  <c r="CH35" i="36"/>
  <c r="AH35" i="36"/>
  <c r="AJ34" i="36"/>
  <c r="AJ33" i="36"/>
  <c r="BN32" i="36"/>
  <c r="AR32" i="36"/>
  <c r="X32" i="36" a="1"/>
  <c r="X32" i="36" s="1"/>
  <c r="BA32" i="36" s="1"/>
  <c r="AX31" i="36"/>
  <c r="BN30" i="36"/>
  <c r="AP30" i="36"/>
  <c r="BV29" i="36"/>
  <c r="AZ29" i="36"/>
  <c r="BB28" i="36"/>
  <c r="AJ27" i="36"/>
  <c r="CH24" i="36"/>
  <c r="AX21" i="36"/>
  <c r="BQ38" i="36"/>
  <c r="BG37" i="36"/>
  <c r="CE36" i="36"/>
  <c r="BE36" i="36"/>
  <c r="BG35" i="36"/>
  <c r="CH34" i="36"/>
  <c r="BG34" i="36"/>
  <c r="AH34" i="36"/>
  <c r="AG34" i="36" s="1"/>
  <c r="BU34" i="36" s="1"/>
  <c r="BW34" i="36" s="1" a="1"/>
  <c r="BW34" i="36" s="1"/>
  <c r="CH33" i="36"/>
  <c r="BG33" i="36"/>
  <c r="BX31" i="36"/>
  <c r="AX29" i="36"/>
  <c r="AZ28" i="36"/>
  <c r="CA27" i="36"/>
  <c r="BE27" i="36"/>
  <c r="AH27" i="36"/>
  <c r="AU24" i="36"/>
  <c r="BN17" i="36"/>
  <c r="G15" i="36"/>
  <c r="S25" i="28" a="1"/>
  <c r="S25" i="28" s="1"/>
  <c r="S30" i="28" a="1"/>
  <c r="S30" i="28" s="1"/>
  <c r="AY28" i="28" a="1"/>
  <c r="AY28" i="28" s="1"/>
  <c r="BA28" i="28" s="1"/>
  <c r="AD31" i="28"/>
  <c r="X32" i="28"/>
  <c r="AT32" i="28"/>
  <c r="AO33" i="28"/>
  <c r="O34" i="28"/>
  <c r="AJ34" i="28"/>
  <c r="CE18" i="36"/>
  <c r="AM27" i="36"/>
  <c r="AL27" i="36" s="1" a="1"/>
  <c r="AL27" i="36" s="1"/>
  <c r="BZ27" i="36" s="1"/>
  <c r="BJ27" i="36"/>
  <c r="AH28" i="36"/>
  <c r="BE29" i="36"/>
  <c r="AU30" i="36"/>
  <c r="BS32" i="36"/>
  <c r="O34" i="36"/>
  <c r="AP34" i="36"/>
  <c r="O35" i="36"/>
  <c r="O36" i="36"/>
  <c r="AJ36" i="36"/>
  <c r="BJ36" i="36"/>
  <c r="AP37" i="36"/>
  <c r="AU38" i="36"/>
  <c r="CA38" i="36"/>
  <c r="X16" i="28"/>
  <c r="V21" i="28"/>
  <c r="Y21" i="28" s="1" a="1"/>
  <c r="Y21" i="28" s="1"/>
  <c r="AM25" i="28"/>
  <c r="AB26" i="28" a="1"/>
  <c r="AB26" i="28" s="1"/>
  <c r="AW26" i="28"/>
  <c r="AM27" i="28"/>
  <c r="AC28" i="28"/>
  <c r="AR29" i="28"/>
  <c r="AE31" i="28"/>
  <c r="AW32" i="28"/>
  <c r="X33" i="28"/>
  <c r="AR33" i="28"/>
  <c r="AU22" i="36"/>
  <c r="AU25" i="36"/>
  <c r="Q27" i="36"/>
  <c r="AJ28" i="36"/>
  <c r="BG28" i="36"/>
  <c r="BV30" i="36"/>
  <c r="X31" i="36" a="1"/>
  <c r="X31" i="36" s="1"/>
  <c r="BE31" i="36"/>
  <c r="CE31" i="36"/>
  <c r="AX32" i="36"/>
  <c r="BV32" i="36"/>
  <c r="AP33" i="36"/>
  <c r="BN33" i="36"/>
  <c r="AR34" i="36"/>
  <c r="BN34" i="36"/>
  <c r="AP35" i="36"/>
  <c r="BN35" i="36"/>
  <c r="AM36" i="36"/>
  <c r="AL36" i="36" s="1" a="1"/>
  <c r="AL36" i="36" s="1"/>
  <c r="BZ36" i="36" s="1"/>
  <c r="BL36" i="36"/>
  <c r="O37" i="36"/>
  <c r="AR37" i="36"/>
  <c r="BN37" i="36"/>
  <c r="Q38" i="36"/>
  <c r="AX38" i="36"/>
  <c r="S19" i="28" a="1"/>
  <c r="S19" i="28" s="1"/>
  <c r="AV19" i="28" s="1"/>
  <c r="AC21" i="28"/>
  <c r="Z24" i="28"/>
  <c r="X25" i="28"/>
  <c r="O26" i="28"/>
  <c r="AC26" i="28"/>
  <c r="AY26" i="28" a="1"/>
  <c r="AY26" i="28" s="1"/>
  <c r="BA26" i="28" s="1"/>
  <c r="X27" i="28"/>
  <c r="AD28" i="28"/>
  <c r="AT29" i="28"/>
  <c r="V30" i="28"/>
  <c r="AO30" i="28"/>
  <c r="AH31" i="28"/>
  <c r="Z32" i="28"/>
  <c r="AY32" i="28" a="1"/>
  <c r="AY32" i="28" s="1"/>
  <c r="BA32" i="28" s="1"/>
  <c r="Q34" i="28"/>
  <c r="AM34" i="28"/>
  <c r="BB19" i="36"/>
  <c r="BJ22" i="36"/>
  <c r="BN25" i="36"/>
  <c r="AR27" i="36"/>
  <c r="O29" i="36"/>
  <c r="AJ29" i="36"/>
  <c r="BG29" i="36"/>
  <c r="AX30" i="36"/>
  <c r="CA30" i="36"/>
  <c r="AH31" i="36"/>
  <c r="AZ32" i="36"/>
  <c r="BX32" i="36"/>
  <c r="AR33" i="36"/>
  <c r="BS33" i="36"/>
  <c r="AT34" i="36"/>
  <c r="BQ34" i="36"/>
  <c r="AR35" i="36"/>
  <c r="BN36" i="36"/>
  <c r="Q37" i="36"/>
  <c r="AT37" i="36"/>
  <c r="BS37" i="36"/>
  <c r="AZ38" i="36"/>
  <c r="AH19" i="28"/>
  <c r="AR24" i="28"/>
  <c r="Z25" i="28"/>
  <c r="AR25" i="28"/>
  <c r="AE26" i="28"/>
  <c r="AJ28" i="28"/>
  <c r="AB29" i="28" a="1"/>
  <c r="AB29" i="28" s="1"/>
  <c r="AW29" i="28"/>
  <c r="AD32" i="28"/>
  <c r="AB33" i="28" a="1"/>
  <c r="AB33" i="28" s="1"/>
  <c r="AR34" i="28"/>
  <c r="AR16" i="36"/>
  <c r="O20" i="36"/>
  <c r="CE22" i="36"/>
  <c r="Q29" i="36"/>
  <c r="AH30" i="36"/>
  <c r="BJ31" i="36"/>
  <c r="BE32" i="36"/>
  <c r="AX34" i="36"/>
  <c r="BV34" i="36"/>
  <c r="BS35" i="36"/>
  <c r="AX37" i="36"/>
  <c r="BX37" i="36"/>
  <c r="BE38" i="36"/>
  <c r="O28" i="28"/>
  <c r="O32" i="28"/>
  <c r="AM19" i="28"/>
  <c r="X22" i="28"/>
  <c r="AB25" i="28" a="1"/>
  <c r="AB25" i="28" s="1"/>
  <c r="S26" i="28" a="1"/>
  <c r="S26" i="28" s="1"/>
  <c r="AH26" i="28"/>
  <c r="Z27" i="28"/>
  <c r="AR27" i="28"/>
  <c r="O29" i="28"/>
  <c r="AC29" i="28"/>
  <c r="AB30" i="28" a="1"/>
  <c r="AB30" i="28" s="1"/>
  <c r="AT30" i="28"/>
  <c r="Q31" i="28"/>
  <c r="AM31" i="28"/>
  <c r="AH32" i="28"/>
  <c r="AW33" i="28"/>
  <c r="BJ16" i="36"/>
  <c r="AJ20" i="36"/>
  <c r="AR26" i="36"/>
  <c r="X27" i="36" a="1"/>
  <c r="X27" i="36" s="1"/>
  <c r="AX27" i="36"/>
  <c r="BQ27" i="36"/>
  <c r="Q28" i="36"/>
  <c r="AP28" i="36"/>
  <c r="BQ28" i="36"/>
  <c r="AP29" i="36"/>
  <c r="CH30" i="36"/>
  <c r="AM31" i="36"/>
  <c r="AL31" i="36" s="1" a="1"/>
  <c r="AL31" i="36" s="1"/>
  <c r="BZ31" i="36" s="1"/>
  <c r="BG32" i="36"/>
  <c r="CE32" i="36"/>
  <c r="AZ33" i="36"/>
  <c r="X34" i="36" a="1"/>
  <c r="X34" i="36" s="1"/>
  <c r="BA34" i="36" s="1"/>
  <c r="AZ34" i="36"/>
  <c r="CA34" i="36"/>
  <c r="X35" i="36" a="1"/>
  <c r="X35" i="36" s="1"/>
  <c r="BA35" i="36" s="1"/>
  <c r="AZ35" i="36"/>
  <c r="BX35" i="36"/>
  <c r="BV36" i="36"/>
  <c r="AZ37" i="36"/>
  <c r="AT34" i="28"/>
  <c r="AB34" i="28" a="1"/>
  <c r="AB34" i="28" s="1"/>
  <c r="AM33" i="28"/>
  <c r="AE32" i="28"/>
  <c r="S32" i="28" a="1"/>
  <c r="S32" i="28" s="1"/>
  <c r="Z30" i="28"/>
  <c r="AJ29" i="28"/>
  <c r="AE28" i="28"/>
  <c r="X26" i="28"/>
  <c r="AJ25" i="28"/>
  <c r="V25" i="28"/>
  <c r="Y25" i="28" s="1" a="1"/>
  <c r="Y25" i="28" s="1"/>
  <c r="X24" i="28"/>
  <c r="AH21" i="28"/>
  <c r="X19" i="28"/>
  <c r="V34" i="28"/>
  <c r="Y34" i="28" s="1" a="1"/>
  <c r="Y34" i="28" s="1"/>
  <c r="AI34" i="28" s="1"/>
  <c r="AH33" i="28"/>
  <c r="AB32" i="28" a="1"/>
  <c r="AB32" i="28" s="1"/>
  <c r="AO31" i="28"/>
  <c r="X31" i="28"/>
  <c r="AM30" i="28"/>
  <c r="X30" i="28"/>
  <c r="AY29" i="28" a="1"/>
  <c r="AY29" i="28" s="1"/>
  <c r="BA29" i="28" s="1"/>
  <c r="AE29" i="28"/>
  <c r="AB28" i="28" a="1"/>
  <c r="AB28" i="28" s="1"/>
  <c r="AO22" i="28"/>
  <c r="AT25" i="28"/>
  <c r="AJ26" i="28"/>
  <c r="AB27" i="28" a="1"/>
  <c r="AB27" i="28" s="1"/>
  <c r="AT27" i="28"/>
  <c r="Q28" i="28"/>
  <c r="AM28" i="28"/>
  <c r="AD29" i="28"/>
  <c r="S31" i="28" a="1"/>
  <c r="S31" i="28" s="1"/>
  <c r="Q32" i="28"/>
  <c r="AJ32" i="28"/>
  <c r="AC33" i="28"/>
  <c r="AY33" i="28" a="1"/>
  <c r="AY33" i="28" s="1"/>
  <c r="BA33" i="28" s="1"/>
  <c r="Z34" i="28"/>
  <c r="AW34" i="28"/>
  <c r="CE16" i="36"/>
  <c r="AZ20" i="36"/>
  <c r="X23" i="36" a="1"/>
  <c r="X23" i="36" s="1"/>
  <c r="BA23" i="36" s="1"/>
  <c r="BJ26" i="36"/>
  <c r="AZ27" i="36"/>
  <c r="BS27" i="36"/>
  <c r="AT28" i="36"/>
  <c r="BS28" i="36"/>
  <c r="AR29" i="36"/>
  <c r="BN29" i="36"/>
  <c r="O30" i="36"/>
  <c r="AJ30" i="36"/>
  <c r="BG30" i="36"/>
  <c r="AP31" i="36"/>
  <c r="BN31" i="36"/>
  <c r="Q32" i="36"/>
  <c r="BB33" i="36"/>
  <c r="CA33" i="36"/>
  <c r="BB34" i="36"/>
  <c r="BB35" i="36"/>
  <c r="CA35" i="36"/>
  <c r="AX36" i="36"/>
  <c r="BX36" i="36"/>
  <c r="BB37" i="36"/>
  <c r="AH38" i="36"/>
  <c r="BJ38" i="36"/>
  <c r="X20" i="28"/>
  <c r="AR22" i="28"/>
  <c r="AC25" i="28"/>
  <c r="O27" i="28"/>
  <c r="AC27" i="28"/>
  <c r="S28" i="28" a="1"/>
  <c r="S28" i="28" s="1"/>
  <c r="Q29" i="28"/>
  <c r="AH29" i="28"/>
  <c r="AC30" i="28"/>
  <c r="AW30" i="28"/>
  <c r="AR31" i="28"/>
  <c r="O33" i="28"/>
  <c r="AD33" i="28"/>
  <c r="AY34" i="28" a="1"/>
  <c r="AY34" i="28" s="1"/>
  <c r="BA34" i="28" s="1"/>
  <c r="X17" i="36" a="1"/>
  <c r="X17" i="36" s="1"/>
  <c r="BA17" i="36" s="1"/>
  <c r="BN20" i="36"/>
  <c r="AP23" i="36"/>
  <c r="CE26" i="36"/>
  <c r="BB27" i="36"/>
  <c r="BV27" i="36"/>
  <c r="AU28" i="36"/>
  <c r="BV28" i="36"/>
  <c r="BQ29" i="36"/>
  <c r="AR31" i="36"/>
  <c r="BQ31" i="36"/>
  <c r="AM32" i="36"/>
  <c r="AL32" i="36" s="1" a="1"/>
  <c r="AL32" i="36" s="1"/>
  <c r="BZ32" i="36" s="1"/>
  <c r="BJ32" i="36"/>
  <c r="CH32" i="36"/>
  <c r="AZ36" i="36"/>
  <c r="CA36" i="36"/>
  <c r="CE37" i="36"/>
  <c r="BL38" i="36"/>
  <c r="AB20" i="28" a="1"/>
  <c r="AB20" i="28" s="1"/>
  <c r="AD25" i="28"/>
  <c r="S29" i="28" a="1"/>
  <c r="S29" i="28" s="1"/>
  <c r="AY30" i="28" a="1"/>
  <c r="AY30" i="28" s="1"/>
  <c r="BA30" i="28" s="1"/>
  <c r="AU17" i="36"/>
  <c r="BQ20" i="36"/>
  <c r="BX27" i="36"/>
  <c r="X28" i="36" a="1"/>
  <c r="X28" i="36" s="1"/>
  <c r="AX28" i="36"/>
  <c r="CA28" i="36"/>
  <c r="X29" i="36" a="1"/>
  <c r="X29" i="36" s="1"/>
  <c r="BA29" i="36" s="1"/>
  <c r="BS29" i="36"/>
  <c r="AM30" i="36"/>
  <c r="AL30" i="36" s="1" a="1"/>
  <c r="AL30" i="36" s="1"/>
  <c r="BZ30" i="36" s="1"/>
  <c r="BL30" i="36"/>
  <c r="AU31" i="36"/>
  <c r="BV31" i="36"/>
  <c r="AP32" i="36"/>
  <c r="BL32" i="36"/>
  <c r="CE34" i="36"/>
  <c r="AJ37" i="36"/>
  <c r="AM38" i="36"/>
  <c r="AL38" i="36" s="1" a="1"/>
  <c r="AL38" i="36" s="1"/>
  <c r="BZ38" i="36" s="1"/>
  <c r="S23" i="28" a="1"/>
  <c r="S23" i="28" s="1"/>
  <c r="T23" i="28" s="1"/>
  <c r="AY25" i="28" a="1"/>
  <c r="AY25" i="28" s="1"/>
  <c r="BA25" i="28" s="1"/>
  <c r="S27" i="28" a="1"/>
  <c r="S27" i="28" s="1"/>
  <c r="AY27" i="28" a="1"/>
  <c r="AY27" i="28" s="1"/>
  <c r="BA27" i="28" s="1"/>
  <c r="Z31" i="28"/>
  <c r="AW31" i="28"/>
  <c r="Q33" i="28"/>
  <c r="AJ33" i="28"/>
  <c r="AB23" i="28" a="1"/>
  <c r="AB23" i="28" s="1"/>
  <c r="AT28" i="28"/>
  <c r="AM29" i="28"/>
  <c r="Q30" i="28"/>
  <c r="AH30" i="28"/>
  <c r="AB31" i="28" a="1"/>
  <c r="AB31" i="28" s="1"/>
  <c r="AY31" i="28" a="1"/>
  <c r="AY31" i="28" s="1"/>
  <c r="BA31" i="28" s="1"/>
  <c r="AO32" i="28"/>
  <c r="S33" i="28" a="1"/>
  <c r="S33" i="28" s="1"/>
  <c r="AE34" i="28"/>
  <c r="AH24" i="28"/>
  <c r="AR23" i="28"/>
  <c r="AH22" i="28"/>
  <c r="AB21" i="28" a="1"/>
  <c r="AB21" i="28" s="1"/>
  <c r="AM20" i="28"/>
  <c r="AY19" i="28" a="1"/>
  <c r="AY19" i="28" s="1"/>
  <c r="BA19" i="28" s="1"/>
  <c r="AD19" i="28"/>
  <c r="AY24" i="28" a="1"/>
  <c r="AY24" i="28" s="1"/>
  <c r="BA24" i="28" s="1"/>
  <c r="AE24" i="28"/>
  <c r="AO23" i="28"/>
  <c r="AE22" i="28"/>
  <c r="AR21" i="28"/>
  <c r="Z21" i="28"/>
  <c r="V20" i="28"/>
  <c r="W20" i="28" s="1" a="1"/>
  <c r="W20" i="28" s="1"/>
  <c r="AW19" i="28"/>
  <c r="AC19" i="28"/>
  <c r="K15" i="36"/>
  <c r="D15" i="36"/>
  <c r="O24" i="36"/>
  <c r="Q25" i="36"/>
  <c r="O23" i="36"/>
  <c r="O17" i="36"/>
  <c r="Q26" i="36"/>
  <c r="Q22" i="36"/>
  <c r="Q21" i="36"/>
  <c r="Q16" i="36"/>
  <c r="E15" i="36"/>
  <c r="BV26" i="36"/>
  <c r="CA25" i="36"/>
  <c r="BE25" i="36"/>
  <c r="AM25" i="36"/>
  <c r="AL25" i="36" s="1" a="1"/>
  <c r="AL25" i="36" s="1"/>
  <c r="BZ25" i="36" s="1"/>
  <c r="CA24" i="36"/>
  <c r="AM24" i="36"/>
  <c r="AL24" i="36" s="1" a="1"/>
  <c r="AL24" i="36" s="1"/>
  <c r="BZ24" i="36" s="1"/>
  <c r="BQ23" i="36"/>
  <c r="AZ23" i="36"/>
  <c r="BX22" i="36"/>
  <c r="CA20" i="36"/>
  <c r="AR20" i="36"/>
  <c r="CE19" i="36"/>
  <c r="AM18" i="36"/>
  <c r="AL18" i="36" s="1" a="1"/>
  <c r="AL18" i="36" s="1"/>
  <c r="BZ18" i="36" s="1"/>
  <c r="AM17" i="36"/>
  <c r="AL17" i="36" s="1" a="1"/>
  <c r="AL17" i="36" s="1"/>
  <c r="BZ17" i="36" s="1"/>
  <c r="BS16" i="36"/>
  <c r="BB16" i="36"/>
  <c r="AH16" i="36"/>
  <c r="BS26" i="36"/>
  <c r="BB26" i="36"/>
  <c r="AH26" i="36"/>
  <c r="BX25" i="36"/>
  <c r="AJ25" i="36"/>
  <c r="BX24" i="36"/>
  <c r="BE24" i="36"/>
  <c r="BN23" i="36"/>
  <c r="AX23" i="36"/>
  <c r="BV22" i="36"/>
  <c r="BB22" i="36"/>
  <c r="AM22" i="36"/>
  <c r="AL22" i="36" s="1" a="1"/>
  <c r="AL22" i="36" s="1"/>
  <c r="BZ22" i="36" s="1"/>
  <c r="CA21" i="36"/>
  <c r="BE21" i="36"/>
  <c r="AM21" i="36"/>
  <c r="AL21" i="36" s="1" a="1"/>
  <c r="AL21" i="36" s="1"/>
  <c r="BZ21" i="36" s="1"/>
  <c r="BG20" i="36"/>
  <c r="AP20" i="36"/>
  <c r="BJ19" i="36"/>
  <c r="AR19" i="36"/>
  <c r="BS18" i="36"/>
  <c r="BB18" i="36"/>
  <c r="CA17" i="36"/>
  <c r="BE17" i="36"/>
  <c r="AJ17" i="36"/>
  <c r="BQ16" i="36"/>
  <c r="AZ16" i="36"/>
  <c r="Q24" i="28"/>
  <c r="Q22" i="28"/>
  <c r="O21" i="28"/>
  <c r="O19" i="28"/>
  <c r="O24" i="28"/>
  <c r="O22" i="28"/>
  <c r="Q19" i="28"/>
  <c r="AE19" i="28"/>
  <c r="AT21" i="28"/>
  <c r="S22" i="28" a="1"/>
  <c r="S22" i="28" s="1"/>
  <c r="AJ22" i="28"/>
  <c r="Z23" i="28"/>
  <c r="AT23" i="28"/>
  <c r="S24" i="28" a="1"/>
  <c r="S24" i="28" s="1"/>
  <c r="AJ24" i="28"/>
  <c r="AJ16" i="36"/>
  <c r="BV16" i="36"/>
  <c r="Q17" i="36"/>
  <c r="BG17" i="36"/>
  <c r="BE18" i="36"/>
  <c r="BV18" i="36"/>
  <c r="O19" i="36"/>
  <c r="AU19" i="36"/>
  <c r="BL19" i="36"/>
  <c r="X20" i="36" a="1"/>
  <c r="X20" i="36" s="1"/>
  <c r="BJ20" i="36"/>
  <c r="AP21" i="36"/>
  <c r="BG21" i="36"/>
  <c r="AP22" i="36"/>
  <c r="BE22" i="36"/>
  <c r="Q23" i="36"/>
  <c r="AH23" i="36"/>
  <c r="AG23" i="36" s="1"/>
  <c r="BU23" i="36" s="1"/>
  <c r="BW23" i="36" s="1" a="1"/>
  <c r="BW23" i="36" s="1"/>
  <c r="BB23" i="36"/>
  <c r="BS23" i="36"/>
  <c r="BG24" i="36"/>
  <c r="AJ26" i="36"/>
  <c r="BE26" i="36"/>
  <c r="BX26" i="36"/>
  <c r="AM16" i="36"/>
  <c r="AL16" i="36" s="1" a="1"/>
  <c r="AL16" i="36" s="1"/>
  <c r="BZ16" i="36" s="1"/>
  <c r="BE16" i="36"/>
  <c r="BX16" i="36"/>
  <c r="AP17" i="36"/>
  <c r="CE17" i="36"/>
  <c r="X18" i="36" a="1"/>
  <c r="X18" i="36" s="1"/>
  <c r="AP18" i="36"/>
  <c r="BX18" i="36"/>
  <c r="CH19" i="36"/>
  <c r="AU20" i="36"/>
  <c r="AR21" i="36"/>
  <c r="CE21" i="36"/>
  <c r="CA22" i="36"/>
  <c r="AJ23" i="36"/>
  <c r="BV23" i="36"/>
  <c r="Q24" i="36"/>
  <c r="AP24" i="36"/>
  <c r="AP25" i="36"/>
  <c r="BG25" i="36"/>
  <c r="AM26" i="36"/>
  <c r="AL26" i="36" s="1" a="1"/>
  <c r="AL26" i="36" s="1"/>
  <c r="BZ26" i="36" s="1"/>
  <c r="CA26" i="36"/>
  <c r="AJ19" i="28"/>
  <c r="AR20" i="28"/>
  <c r="S21" i="28" a="1"/>
  <c r="S21" i="28" s="1"/>
  <c r="AD21" i="28"/>
  <c r="AW21" i="28"/>
  <c r="AM22" i="28"/>
  <c r="O23" i="28"/>
  <c r="AC23" i="28"/>
  <c r="AW23" i="28"/>
  <c r="V24" i="28"/>
  <c r="Y24" i="28" s="1" a="1"/>
  <c r="Y24" i="28" s="1"/>
  <c r="AM24" i="28"/>
  <c r="CA16" i="36"/>
  <c r="AR17" i="36"/>
  <c r="BJ17" i="36"/>
  <c r="CH17" i="36"/>
  <c r="BG18" i="36"/>
  <c r="CA18" i="36"/>
  <c r="Q19" i="36"/>
  <c r="AX19" i="36"/>
  <c r="BN19" i="36"/>
  <c r="BL20" i="36"/>
  <c r="CE20" i="36"/>
  <c r="X21" i="36" a="1"/>
  <c r="X21" i="36" s="1"/>
  <c r="BJ21" i="36"/>
  <c r="X22" i="36" a="1"/>
  <c r="X22" i="36" s="1"/>
  <c r="AR22" i="36"/>
  <c r="BG22" i="36"/>
  <c r="AM23" i="36"/>
  <c r="AL23" i="36" s="1" a="1"/>
  <c r="AL23" i="36" s="1"/>
  <c r="BZ23" i="36" s="1"/>
  <c r="BE23" i="36"/>
  <c r="BX23" i="36"/>
  <c r="AR24" i="36"/>
  <c r="BJ24" i="36"/>
  <c r="CE24" i="36"/>
  <c r="X25" i="36" a="1"/>
  <c r="X25" i="36" s="1"/>
  <c r="AR25" i="36"/>
  <c r="BJ25" i="36"/>
  <c r="CE25" i="36"/>
  <c r="X26" i="36" a="1"/>
  <c r="X26" i="36" s="1"/>
  <c r="BG26" i="36"/>
  <c r="Z20" i="28"/>
  <c r="AT20" i="28"/>
  <c r="AE21" i="28"/>
  <c r="AY21" i="28" a="1"/>
  <c r="AY21" i="28" s="1"/>
  <c r="BA21" i="28" s="1"/>
  <c r="V22" i="28"/>
  <c r="Y22" i="28" s="1" a="1"/>
  <c r="Y22" i="28" s="1"/>
  <c r="AI22" i="28" s="1"/>
  <c r="AD23" i="28"/>
  <c r="AY23" i="28" a="1"/>
  <c r="AY23" i="28" s="1"/>
  <c r="BA23" i="28" s="1"/>
  <c r="X16" i="36" a="1"/>
  <c r="X16" i="36" s="1"/>
  <c r="BA16" i="36" s="1"/>
  <c r="AP16" i="36"/>
  <c r="BG16" i="36"/>
  <c r="BL17" i="36"/>
  <c r="AR18" i="36"/>
  <c r="AH19" i="36"/>
  <c r="AZ19" i="36"/>
  <c r="BQ19" i="36"/>
  <c r="AH20" i="36"/>
  <c r="AX20" i="36"/>
  <c r="CH20" i="36"/>
  <c r="AU21" i="36"/>
  <c r="BL21" i="36"/>
  <c r="CH21" i="36"/>
  <c r="CA23" i="36"/>
  <c r="AT25" i="36"/>
  <c r="BL25" i="36"/>
  <c r="CH25" i="36"/>
  <c r="AP26" i="36"/>
  <c r="AJ16" i="28"/>
  <c r="AO19" i="28"/>
  <c r="O20" i="28"/>
  <c r="AD20" i="28"/>
  <c r="AY20" i="28" a="1"/>
  <c r="AY20" i="28" s="1"/>
  <c r="BA20" i="28" s="1"/>
  <c r="Z22" i="28"/>
  <c r="AT22" i="28"/>
  <c r="AJ23" i="28"/>
  <c r="AB24" i="28" a="1"/>
  <c r="AB24" i="28" s="1"/>
  <c r="CH16" i="36"/>
  <c r="AX17" i="36"/>
  <c r="BQ17" i="36"/>
  <c r="O18" i="36"/>
  <c r="AH18" i="36"/>
  <c r="BL18" i="36"/>
  <c r="AM19" i="36"/>
  <c r="AL19" i="36" s="1" a="1"/>
  <c r="AL19" i="36" s="1"/>
  <c r="BZ19" i="36" s="1"/>
  <c r="BE19" i="36"/>
  <c r="BV19" i="36"/>
  <c r="BB20" i="36"/>
  <c r="BS20" i="36"/>
  <c r="BQ21" i="36"/>
  <c r="AH22" i="36"/>
  <c r="AX22" i="36"/>
  <c r="CH22" i="36"/>
  <c r="AR23" i="36"/>
  <c r="BJ23" i="36"/>
  <c r="CE23" i="36"/>
  <c r="X24" i="36" a="1"/>
  <c r="X24" i="36" s="1"/>
  <c r="BA24" i="36" s="1"/>
  <c r="AX24" i="36"/>
  <c r="BN24" i="36"/>
  <c r="AX25" i="36"/>
  <c r="BQ25" i="36"/>
  <c r="AU26" i="36"/>
  <c r="BL26" i="36"/>
  <c r="Z19" i="28"/>
  <c r="AR19" i="28"/>
  <c r="Q20" i="28"/>
  <c r="AE20" i="28"/>
  <c r="X21" i="28"/>
  <c r="AM21" i="28"/>
  <c r="AB22" i="28" a="1"/>
  <c r="AB22" i="28" s="1"/>
  <c r="V23" i="28"/>
  <c r="Y23" i="28" s="1" a="1"/>
  <c r="Y23" i="28" s="1"/>
  <c r="AT24" i="28"/>
  <c r="O16" i="36"/>
  <c r="AU16" i="36"/>
  <c r="BL16" i="36"/>
  <c r="AZ17" i="36"/>
  <c r="BS17" i="36"/>
  <c r="AX18" i="36"/>
  <c r="BX19" i="36"/>
  <c r="Q20" i="36"/>
  <c r="O21" i="36"/>
  <c r="AJ21" i="36"/>
  <c r="AZ21" i="36"/>
  <c r="BS21" i="36"/>
  <c r="O22" i="36"/>
  <c r="AJ22" i="36"/>
  <c r="BN22" i="36"/>
  <c r="CH23" i="36"/>
  <c r="AZ24" i="36"/>
  <c r="BQ24" i="36"/>
  <c r="O26" i="36"/>
  <c r="AB19" i="28" a="1"/>
  <c r="AB19" i="28" s="1"/>
  <c r="AT19" i="28"/>
  <c r="S20" i="28" a="1"/>
  <c r="S20" i="28" s="1"/>
  <c r="AH20" i="28"/>
  <c r="AC22" i="28"/>
  <c r="AW22" i="28"/>
  <c r="AM23" i="28"/>
  <c r="AC24" i="28"/>
  <c r="BB17" i="36"/>
  <c r="BV17" i="36"/>
  <c r="Q18" i="36"/>
  <c r="BN18" i="36"/>
  <c r="CH18" i="36"/>
  <c r="X19" i="36" a="1"/>
  <c r="X19" i="36" s="1"/>
  <c r="Y19" i="36" s="1"/>
  <c r="AP19" i="36"/>
  <c r="BG19" i="36"/>
  <c r="CA19" i="36"/>
  <c r="AM20" i="36"/>
  <c r="AL20" i="36" s="1" a="1"/>
  <c r="AL20" i="36" s="1"/>
  <c r="BZ20" i="36" s="1"/>
  <c r="BE20" i="36"/>
  <c r="BV20" i="36"/>
  <c r="BB21" i="36"/>
  <c r="BV21" i="36"/>
  <c r="AZ22" i="36"/>
  <c r="BQ22" i="36"/>
  <c r="AU23" i="36"/>
  <c r="BL23" i="36"/>
  <c r="AH24" i="36"/>
  <c r="BB24" i="36"/>
  <c r="BS24" i="36"/>
  <c r="O25" i="36"/>
  <c r="AZ25" i="36"/>
  <c r="BS25" i="36"/>
  <c r="AX26" i="36"/>
  <c r="BN26" i="36"/>
  <c r="AJ20" i="28"/>
  <c r="AO21" i="28"/>
  <c r="AD22" i="28"/>
  <c r="AY22" i="28" a="1"/>
  <c r="AY22" i="28" s="1"/>
  <c r="BA22" i="28" s="1"/>
  <c r="X23" i="28"/>
  <c r="AD24" i="28"/>
  <c r="AW24" i="28"/>
  <c r="AX16" i="36"/>
  <c r="BN16" i="36"/>
  <c r="AH17" i="36"/>
  <c r="BX17" i="36"/>
  <c r="AJ18" i="36"/>
  <c r="AZ18" i="36"/>
  <c r="BQ18" i="36"/>
  <c r="BX20" i="36"/>
  <c r="BX21" i="36"/>
  <c r="BS22" i="36"/>
  <c r="AJ24" i="36"/>
  <c r="BV24" i="36"/>
  <c r="AH25" i="36"/>
  <c r="BB25" i="36"/>
  <c r="BV25" i="36"/>
  <c r="AZ26" i="36"/>
  <c r="BQ26" i="36"/>
  <c r="A19" i="29"/>
  <c r="A17" i="29"/>
  <c r="A22" i="29"/>
  <c r="A23" i="29"/>
  <c r="A21" i="29"/>
  <c r="A18" i="29"/>
  <c r="A20" i="29"/>
  <c r="G16" i="29"/>
  <c r="A16" i="29" s="1"/>
  <c r="O18" i="28"/>
  <c r="Q18" i="28"/>
  <c r="AO18" i="28"/>
  <c r="AT18" i="28"/>
  <c r="AE18" i="28"/>
  <c r="AO17" i="28"/>
  <c r="AS40" i="28"/>
  <c r="BD40" i="28" s="1" a="1"/>
  <c r="BD40" i="28" s="1"/>
  <c r="AI40" i="28"/>
  <c r="AS37" i="28"/>
  <c r="BD37" i="28" s="1" a="1"/>
  <c r="BD37" i="28" s="1"/>
  <c r="AI37" i="28"/>
  <c r="AQ50" i="28"/>
  <c r="BC50" i="28" s="1" a="1"/>
  <c r="BC50" i="28" s="1"/>
  <c r="BE50" i="28" s="1"/>
  <c r="AG50" i="28"/>
  <c r="AS51" i="28"/>
  <c r="BD51" i="28" s="1" a="1"/>
  <c r="BD51" i="28" s="1"/>
  <c r="AI51" i="28"/>
  <c r="AQ58" i="28"/>
  <c r="BC58" i="28" s="1" a="1"/>
  <c r="BC58" i="28" s="1"/>
  <c r="BE58" i="28" s="1"/>
  <c r="AG58" i="28"/>
  <c r="AG39" i="28"/>
  <c r="AQ39" i="28"/>
  <c r="BC39" i="28" s="1" a="1"/>
  <c r="BC39" i="28" s="1"/>
  <c r="BE39" i="28" s="1"/>
  <c r="Y47" i="28" a="1"/>
  <c r="Y47" i="28" s="1"/>
  <c r="W47" i="28" a="1"/>
  <c r="W47" i="28" s="1"/>
  <c r="AQ65" i="28"/>
  <c r="BC65" i="28" s="1" a="1"/>
  <c r="BC65" i="28" s="1"/>
  <c r="BE65" i="28" s="1"/>
  <c r="AG65" i="28"/>
  <c r="AQ40" i="28"/>
  <c r="BC40" i="28" s="1" a="1"/>
  <c r="BC40" i="28" s="1"/>
  <c r="BE40" i="28" s="1"/>
  <c r="AG40" i="28"/>
  <c r="AI41" i="28"/>
  <c r="AS41" i="28"/>
  <c r="BD41" i="28" s="1" a="1"/>
  <c r="BD41" i="28" s="1"/>
  <c r="AI50" i="28"/>
  <c r="AS50" i="28"/>
  <c r="BD50" i="28" s="1" a="1"/>
  <c r="BD50" i="28" s="1"/>
  <c r="AS53" i="28"/>
  <c r="BD53" i="28" s="1" a="1"/>
  <c r="BD53" i="28" s="1"/>
  <c r="AI53" i="28"/>
  <c r="BA49" i="36"/>
  <c r="Y49" i="36"/>
  <c r="Y49" i="28" a="1"/>
  <c r="Y49" i="28" s="1"/>
  <c r="W49" i="28" a="1"/>
  <c r="W49" i="28" s="1"/>
  <c r="AI57" i="28"/>
  <c r="AS57" i="28"/>
  <c r="BD57" i="28" s="1" a="1"/>
  <c r="BD57" i="28" s="1"/>
  <c r="AS65" i="28"/>
  <c r="BD65" i="28" s="1" a="1"/>
  <c r="BD65" i="28" s="1"/>
  <c r="AI65" i="28"/>
  <c r="AQ38" i="28"/>
  <c r="BC38" i="28" s="1" a="1"/>
  <c r="BC38" i="28" s="1"/>
  <c r="BE38" i="28" s="1"/>
  <c r="AG45" i="28"/>
  <c r="AQ45" i="28"/>
  <c r="BC45" i="28" s="1" a="1"/>
  <c r="BC45" i="28" s="1"/>
  <c r="BE45" i="28" s="1"/>
  <c r="AI60" i="28"/>
  <c r="AS60" i="28"/>
  <c r="BD60" i="28" s="1" a="1"/>
  <c r="BD60" i="28" s="1"/>
  <c r="AI35" i="28"/>
  <c r="AS56" i="28"/>
  <c r="BD56" i="28" s="1" a="1"/>
  <c r="BD56" i="28" s="1"/>
  <c r="AI56" i="28"/>
  <c r="AS45" i="28"/>
  <c r="BD45" i="28" s="1" a="1"/>
  <c r="BD45" i="28" s="1"/>
  <c r="AI45" i="28"/>
  <c r="AQ55" i="28"/>
  <c r="BC55" i="28" s="1" a="1"/>
  <c r="BC55" i="28" s="1"/>
  <c r="BE55" i="28" s="1"/>
  <c r="AQ59" i="28"/>
  <c r="BC59" i="28" s="1" a="1"/>
  <c r="BC59" i="28" s="1"/>
  <c r="BE59" i="28" s="1"/>
  <c r="AG59" i="28"/>
  <c r="AG35" i="28"/>
  <c r="AQ35" i="28"/>
  <c r="BC35" i="28" s="1" a="1"/>
  <c r="BC35" i="28" s="1"/>
  <c r="BE35" i="28" s="1"/>
  <c r="AI38" i="28"/>
  <c r="AS38" i="28"/>
  <c r="BD38" i="28" s="1" a="1"/>
  <c r="BD38" i="28" s="1"/>
  <c r="AG42" i="28"/>
  <c r="AQ42" i="28"/>
  <c r="BC42" i="28" s="1" a="1"/>
  <c r="BC42" i="28" s="1"/>
  <c r="BE42" i="28" s="1"/>
  <c r="AG43" i="28"/>
  <c r="AQ43" i="28"/>
  <c r="BC43" i="28" s="1" a="1"/>
  <c r="BC43" i="28" s="1"/>
  <c r="BE43" i="28" s="1"/>
  <c r="AS59" i="28"/>
  <c r="BD59" i="28" s="1" a="1"/>
  <c r="BD59" i="28" s="1"/>
  <c r="AI59" i="28"/>
  <c r="AG41" i="28"/>
  <c r="AQ41" i="28"/>
  <c r="BC41" i="28" s="1" a="1"/>
  <c r="BC41" i="28" s="1"/>
  <c r="BE41" i="28" s="1"/>
  <c r="AQ36" i="28"/>
  <c r="BC36" i="28" s="1" a="1"/>
  <c r="BC36" i="28" s="1"/>
  <c r="BE36" i="28" s="1"/>
  <c r="AI48" i="28"/>
  <c r="AS48" i="28"/>
  <c r="BD48" i="28" s="1" a="1"/>
  <c r="BD48" i="28" s="1"/>
  <c r="Y47" i="36"/>
  <c r="BA47" i="36"/>
  <c r="AQ54" i="28"/>
  <c r="BC54" i="28" s="1" a="1"/>
  <c r="BC54" i="28" s="1"/>
  <c r="BE54" i="28" s="1"/>
  <c r="AG61" i="36"/>
  <c r="BU61" i="36" s="1"/>
  <c r="BW61" i="36" s="1" a="1"/>
  <c r="BW61" i="36" s="1"/>
  <c r="AI61" i="36" a="1"/>
  <c r="AI61" i="36" s="1"/>
  <c r="W53" i="28" a="1"/>
  <c r="W53" i="28" s="1"/>
  <c r="AQ62" i="28"/>
  <c r="BC62" i="28" s="1" a="1"/>
  <c r="BC62" i="28" s="1"/>
  <c r="BE62" i="28" s="1"/>
  <c r="AG62" i="28"/>
  <c r="BA55" i="36"/>
  <c r="Y55" i="36"/>
  <c r="AQ53" i="36"/>
  <c r="CF53" i="36"/>
  <c r="CG53" i="36" s="1"/>
  <c r="AY53" i="36"/>
  <c r="BK53" i="36"/>
  <c r="W53" i="36"/>
  <c r="AC53" i="36"/>
  <c r="AE53" i="36"/>
  <c r="AD53" i="36" a="1"/>
  <c r="AD53" i="36" s="1"/>
  <c r="AB53" i="36"/>
  <c r="BP53" i="36" s="1"/>
  <c r="BR53" i="36" s="1" a="1"/>
  <c r="BR53" i="36" s="1"/>
  <c r="BA45" i="36"/>
  <c r="Y45" i="36"/>
  <c r="W64" i="28" a="1"/>
  <c r="W64" i="28" s="1"/>
  <c r="AE48" i="36"/>
  <c r="AD48" i="36" a="1"/>
  <c r="AD48" i="36" s="1"/>
  <c r="AC48" i="36"/>
  <c r="AI51" i="36" a="1"/>
  <c r="AI51" i="36" s="1"/>
  <c r="AG51" i="36"/>
  <c r="BU51" i="36" s="1"/>
  <c r="BW51" i="36" s="1" a="1"/>
  <c r="BW51" i="36" s="1"/>
  <c r="BA46" i="36"/>
  <c r="Y46" i="36"/>
  <c r="AD56" i="36" a="1"/>
  <c r="AD56" i="36" s="1"/>
  <c r="AC56" i="36"/>
  <c r="AE56" i="36"/>
  <c r="AB56" i="36"/>
  <c r="BP56" i="36" s="1"/>
  <c r="BR56" i="36" s="1" a="1"/>
  <c r="BR56" i="36" s="1"/>
  <c r="AQ50" i="36"/>
  <c r="BK50" i="36"/>
  <c r="CF50" i="36"/>
  <c r="CG50" i="36" s="1"/>
  <c r="W50" i="36"/>
  <c r="AY51" i="36"/>
  <c r="BK51" i="36"/>
  <c r="W51" i="36"/>
  <c r="AQ51" i="36"/>
  <c r="CF51" i="36"/>
  <c r="CG51" i="36" s="1"/>
  <c r="AY52" i="36"/>
  <c r="BK52" i="36"/>
  <c r="AQ52" i="36"/>
  <c r="W52" i="36"/>
  <c r="Y50" i="36"/>
  <c r="BA50" i="36"/>
  <c r="BA57" i="36"/>
  <c r="AC60" i="36"/>
  <c r="AE60" i="36"/>
  <c r="AD60" i="36" a="1"/>
  <c r="AD60" i="36" s="1"/>
  <c r="AE62" i="36"/>
  <c r="AD62" i="36" a="1"/>
  <c r="AD62" i="36" s="1"/>
  <c r="AC62" i="36"/>
  <c r="AB62" i="36"/>
  <c r="BP62" i="36" s="1"/>
  <c r="BR62" i="36" s="1" a="1"/>
  <c r="BR62" i="36" s="1"/>
  <c r="CF55" i="36"/>
  <c r="CG55" i="36" s="1"/>
  <c r="AY55" i="36"/>
  <c r="AE63" i="36"/>
  <c r="AD63" i="36" a="1"/>
  <c r="AD63" i="36" s="1"/>
  <c r="AC63" i="36"/>
  <c r="AB45" i="36"/>
  <c r="BP45" i="36" s="1"/>
  <c r="BR45" i="36" s="1" a="1"/>
  <c r="BR45" i="36" s="1"/>
  <c r="W46" i="36"/>
  <c r="W55" i="36"/>
  <c r="CF61" i="36"/>
  <c r="CG61" i="36" s="1"/>
  <c r="AY61" i="36"/>
  <c r="AB63" i="36"/>
  <c r="BP63" i="36" s="1"/>
  <c r="BR63" i="36" s="1" a="1"/>
  <c r="BR63" i="36" s="1"/>
  <c r="BA64" i="36"/>
  <c r="Y64" i="36"/>
  <c r="AD45" i="36" a="1"/>
  <c r="AD45" i="36" s="1"/>
  <c r="AY47" i="36"/>
  <c r="BA54" i="36"/>
  <c r="BA61" i="36"/>
  <c r="Y61" i="36"/>
  <c r="CF46" i="36"/>
  <c r="CG46" i="36" s="1"/>
  <c r="AQ55" i="36"/>
  <c r="BA60" i="36"/>
  <c r="AQ61" i="36"/>
  <c r="BA63" i="36"/>
  <c r="AB50" i="36"/>
  <c r="BP50" i="36" s="1"/>
  <c r="BR50" i="36" s="1" a="1"/>
  <c r="BR50" i="36" s="1"/>
  <c r="AG45" i="36"/>
  <c r="BU45" i="36" s="1"/>
  <c r="BW45" i="36" s="1" a="1"/>
  <c r="BW45" i="36" s="1"/>
  <c r="AC50" i="36"/>
  <c r="AB51" i="36"/>
  <c r="BP51" i="36" s="1"/>
  <c r="BR51" i="36" s="1" a="1"/>
  <c r="BR51" i="36" s="1"/>
  <c r="BK55" i="36"/>
  <c r="AD59" i="36" a="1"/>
  <c r="AD59" i="36" s="1"/>
  <c r="AC59" i="36"/>
  <c r="BK61" i="36"/>
  <c r="AE65" i="36"/>
  <c r="AD65" i="36" a="1"/>
  <c r="AD65" i="36" s="1"/>
  <c r="AC65" i="36"/>
  <c r="AB65" i="36"/>
  <c r="BP65" i="36" s="1"/>
  <c r="BR65" i="36" s="1" a="1"/>
  <c r="BR65" i="36" s="1"/>
  <c r="AY48" i="36"/>
  <c r="BK48" i="36"/>
  <c r="W48" i="36"/>
  <c r="AE57" i="36"/>
  <c r="CF58" i="36"/>
  <c r="CG58" i="36" s="1"/>
  <c r="AY58" i="36"/>
  <c r="BK45" i="36"/>
  <c r="W45" i="36"/>
  <c r="CF47" i="36"/>
  <c r="CG47" i="36" s="1"/>
  <c r="CF48" i="36"/>
  <c r="CG48" i="36" s="1"/>
  <c r="W58" i="36"/>
  <c r="AE59" i="36"/>
  <c r="BA58" i="36"/>
  <c r="Y58" i="36"/>
  <c r="AY56" i="36"/>
  <c r="AY59" i="36"/>
  <c r="AY62" i="36"/>
  <c r="AY65" i="36"/>
  <c r="AG54" i="36"/>
  <c r="BU54" i="36" s="1"/>
  <c r="BW54" i="36" s="1" a="1"/>
  <c r="BW54" i="36" s="1"/>
  <c r="AG57" i="36"/>
  <c r="BU57" i="36" s="1"/>
  <c r="BW57" i="36" s="1" a="1"/>
  <c r="BW57" i="36" s="1"/>
  <c r="AG60" i="36"/>
  <c r="BU60" i="36" s="1"/>
  <c r="BW60" i="36" s="1" a="1"/>
  <c r="BW60" i="36" s="1"/>
  <c r="AG63" i="36"/>
  <c r="BU63" i="36" s="1"/>
  <c r="BW63" i="36" s="1" a="1"/>
  <c r="BW63" i="36" s="1"/>
  <c r="AY64" i="36"/>
  <c r="CF56" i="36"/>
  <c r="CG56" i="36" s="1"/>
  <c r="CF59" i="36"/>
  <c r="CG59" i="36" s="1"/>
  <c r="CF62" i="36"/>
  <c r="CG62" i="36" s="1"/>
  <c r="CF65" i="36"/>
  <c r="CG65" i="36" s="1"/>
  <c r="W54" i="36"/>
  <c r="BK54" i="36"/>
  <c r="W57" i="36"/>
  <c r="BK57" i="36"/>
  <c r="W60" i="36"/>
  <c r="BK60" i="36"/>
  <c r="W63" i="36"/>
  <c r="BK63" i="36"/>
  <c r="AH16" i="28"/>
  <c r="AW16" i="28"/>
  <c r="AM17" i="28"/>
  <c r="S18" i="28" a="1"/>
  <c r="S18" i="28" s="1"/>
  <c r="AC18" i="28"/>
  <c r="AR18" i="28"/>
  <c r="AY16" i="28" a="1"/>
  <c r="AY16" i="28" s="1"/>
  <c r="BA16" i="28" s="1"/>
  <c r="O17" i="28"/>
  <c r="Z17" i="28"/>
  <c r="AD18" i="28"/>
  <c r="AB17" i="28" a="1"/>
  <c r="AB17" i="28" s="1"/>
  <c r="Q17" i="28"/>
  <c r="V18" i="28"/>
  <c r="Y18" i="28" s="1" a="1"/>
  <c r="Y18" i="28" s="1"/>
  <c r="AM16" i="28"/>
  <c r="S17" i="28" a="1"/>
  <c r="S17" i="28" s="1"/>
  <c r="AC17" i="28"/>
  <c r="AR17" i="28"/>
  <c r="AH18" i="28"/>
  <c r="AW18" i="28"/>
  <c r="O16" i="28"/>
  <c r="Z16" i="28"/>
  <c r="AD17" i="28"/>
  <c r="AY18" i="28" a="1"/>
  <c r="AY18" i="28" s="1"/>
  <c r="BA18" i="28" s="1"/>
  <c r="AB16" i="28" a="1"/>
  <c r="AB16" i="28" s="1"/>
  <c r="AO16" i="28"/>
  <c r="AE17" i="28"/>
  <c r="AT17" i="28"/>
  <c r="X18" i="28"/>
  <c r="AJ18" i="28"/>
  <c r="Q16" i="28"/>
  <c r="V17" i="28"/>
  <c r="Y17" i="28" s="1" a="1"/>
  <c r="Y17" i="28" s="1"/>
  <c r="S16" i="28" a="1"/>
  <c r="S16" i="28" s="1"/>
  <c r="AC16" i="28"/>
  <c r="AR16" i="28"/>
  <c r="AH17" i="28"/>
  <c r="AW17" i="28"/>
  <c r="AM18" i="28"/>
  <c r="AD16" i="28"/>
  <c r="AY17" i="28" a="1"/>
  <c r="AY17" i="28" s="1"/>
  <c r="BA17" i="28" s="1"/>
  <c r="Z18" i="28"/>
  <c r="AE16" i="28"/>
  <c r="AT16" i="28"/>
  <c r="X17" i="28"/>
  <c r="AJ17" i="28"/>
  <c r="AB18" i="28" a="1"/>
  <c r="AB18" i="28" s="1"/>
  <c r="AS34" i="28" l="1"/>
  <c r="D46" i="29"/>
  <c r="D49" i="29"/>
  <c r="D41" i="29"/>
  <c r="D43" i="29"/>
  <c r="D58" i="29"/>
  <c r="D53" i="29"/>
  <c r="D55" i="29"/>
  <c r="D59" i="29"/>
  <c r="D64" i="29"/>
  <c r="D65" i="29"/>
  <c r="D50" i="29"/>
  <c r="D47" i="29"/>
  <c r="D63" i="29"/>
  <c r="D44" i="29"/>
  <c r="D56" i="29"/>
  <c r="D42" i="29"/>
  <c r="D54" i="29"/>
  <c r="D45" i="29"/>
  <c r="D51" i="29"/>
  <c r="D66" i="29"/>
  <c r="D57" i="29"/>
  <c r="D61" i="29"/>
  <c r="D62" i="29"/>
  <c r="D52" i="29"/>
  <c r="D48" i="29"/>
  <c r="D40" i="29"/>
  <c r="D60" i="29"/>
  <c r="CL15" i="36" a="1"/>
  <c r="CL15" i="36" s="1"/>
  <c r="CJ15" i="36"/>
  <c r="CE15" i="36"/>
  <c r="CH15" i="36"/>
  <c r="CA15" i="36"/>
  <c r="G68" i="29" a="1"/>
  <c r="AU15" i="36"/>
  <c r="AS54" i="28"/>
  <c r="BD54" i="28" s="1" a="1"/>
  <c r="BD54" i="28" s="1"/>
  <c r="A107" i="29"/>
  <c r="A113" i="29"/>
  <c r="A119" i="29"/>
  <c r="A125" i="29"/>
  <c r="A108" i="29"/>
  <c r="A114" i="29"/>
  <c r="A120" i="29"/>
  <c r="A126" i="29"/>
  <c r="A109" i="29"/>
  <c r="A115" i="29"/>
  <c r="A121" i="29"/>
  <c r="A127" i="29"/>
  <c r="A106" i="29"/>
  <c r="A112" i="29"/>
  <c r="A118" i="29"/>
  <c r="A124" i="29"/>
  <c r="A104" i="29"/>
  <c r="A117" i="29"/>
  <c r="A105" i="29"/>
  <c r="A122" i="29"/>
  <c r="A110" i="29"/>
  <c r="A123" i="29"/>
  <c r="A116" i="29"/>
  <c r="A111" i="29"/>
  <c r="CO15" i="36"/>
  <c r="W31" i="28" a="1"/>
  <c r="W31" i="28" s="1"/>
  <c r="BH25" i="28"/>
  <c r="BH22" i="28"/>
  <c r="W33" i="28" a="1"/>
  <c r="W33" i="28" s="1"/>
  <c r="BH34" i="28"/>
  <c r="BH20" i="28"/>
  <c r="BH18" i="28"/>
  <c r="BH24" i="28"/>
  <c r="BH28" i="28"/>
  <c r="BA44" i="36"/>
  <c r="W32" i="28" a="1"/>
  <c r="W32" i="28" s="1"/>
  <c r="AQ32" i="28" s="1"/>
  <c r="BH19" i="28"/>
  <c r="Y38" i="36"/>
  <c r="BI16" i="28"/>
  <c r="BH16" i="28"/>
  <c r="BI17" i="28"/>
  <c r="BH17" i="28"/>
  <c r="Y16" i="28" a="1"/>
  <c r="Y16" i="28" s="1"/>
  <c r="AI16" i="28" s="1"/>
  <c r="BH27" i="28"/>
  <c r="Y43" i="36"/>
  <c r="BI26" i="28"/>
  <c r="BH26" i="28"/>
  <c r="W28" i="28" a="1"/>
  <c r="W28" i="28" s="1"/>
  <c r="AQ28" i="28" s="1"/>
  <c r="AG44" i="36"/>
  <c r="BU44" i="36" s="1"/>
  <c r="BW44" i="36" s="1" a="1"/>
  <c r="BW44" i="36" s="1"/>
  <c r="BA37" i="36"/>
  <c r="CP15" i="36"/>
  <c r="CN15" i="36"/>
  <c r="CM15" i="36"/>
  <c r="AG40" i="36"/>
  <c r="BU40" i="36" s="1"/>
  <c r="BW40" i="36" s="1" a="1"/>
  <c r="BW40" i="36" s="1"/>
  <c r="AI43" i="36" a="1"/>
  <c r="AI43" i="36" s="1"/>
  <c r="AG39" i="36"/>
  <c r="BU39" i="36" s="1"/>
  <c r="BW39" i="36" s="1" a="1"/>
  <c r="BW39" i="36" s="1"/>
  <c r="AI38" i="36" a="1"/>
  <c r="AI38" i="36" s="1"/>
  <c r="AG35" i="36"/>
  <c r="BU35" i="36" s="1"/>
  <c r="BW35" i="36" s="1" a="1"/>
  <c r="BW35" i="36" s="1"/>
  <c r="AI34" i="36" a="1"/>
  <c r="AI34" i="36" s="1"/>
  <c r="AI25" i="36" a="1"/>
  <c r="AI25" i="36" s="1"/>
  <c r="AI23" i="36" a="1"/>
  <c r="AI23" i="36" s="1"/>
  <c r="AG42" i="36"/>
  <c r="BU42" i="36" s="1"/>
  <c r="BW42" i="36" s="1" a="1"/>
  <c r="BW42" i="36" s="1"/>
  <c r="AI27" i="36" a="1"/>
  <c r="AI27" i="36" s="1"/>
  <c r="AI32" i="36" a="1"/>
  <c r="AI32" i="36" s="1"/>
  <c r="AI31" i="36" a="1"/>
  <c r="AI31" i="36" s="1"/>
  <c r="AG43" i="36"/>
  <c r="BU43" i="36" s="1"/>
  <c r="BW43" i="36" s="1" a="1"/>
  <c r="BW43" i="36" s="1"/>
  <c r="AG17" i="36"/>
  <c r="BU17" i="36" s="1"/>
  <c r="BW17" i="36" s="1" a="1"/>
  <c r="BW17" i="36" s="1"/>
  <c r="AG22" i="36"/>
  <c r="BU22" i="36" s="1"/>
  <c r="BW22" i="36" s="1" a="1"/>
  <c r="BW22" i="36" s="1"/>
  <c r="AG21" i="36"/>
  <c r="BU21" i="36" s="1"/>
  <c r="BW21" i="36" s="1" a="1"/>
  <c r="BW21" i="36" s="1"/>
  <c r="AG37" i="36"/>
  <c r="BU37" i="36" s="1"/>
  <c r="BW37" i="36" s="1" a="1"/>
  <c r="BW37" i="36" s="1"/>
  <c r="AI44" i="28"/>
  <c r="AQ52" i="28"/>
  <c r="BC52" i="28" s="1" a="1"/>
  <c r="BC52" i="28" s="1"/>
  <c r="BE52" i="28" s="1"/>
  <c r="AQ37" i="28"/>
  <c r="BC37" i="28" s="1" a="1"/>
  <c r="BC37" i="28" s="1"/>
  <c r="BE37" i="28" s="1"/>
  <c r="AG56" i="28"/>
  <c r="BH21" i="28"/>
  <c r="AQ51" i="28"/>
  <c r="BC51" i="28" s="1" a="1"/>
  <c r="BC51" i="28" s="1"/>
  <c r="BE51" i="28" s="1"/>
  <c r="BH33" i="28"/>
  <c r="BH30" i="28"/>
  <c r="BH23" i="28"/>
  <c r="BH29" i="28"/>
  <c r="AS19" i="28"/>
  <c r="BH31" i="28"/>
  <c r="BH32" i="28"/>
  <c r="Y26" i="28" a="1"/>
  <c r="Y26" i="28" s="1"/>
  <c r="AS26" i="28" s="1"/>
  <c r="AS63" i="28"/>
  <c r="BD63" i="28" s="1" a="1"/>
  <c r="BD63" i="28" s="1"/>
  <c r="Y20" i="28" a="1"/>
  <c r="Y20" i="28" s="1"/>
  <c r="AG60" i="28"/>
  <c r="AQ60" i="28"/>
  <c r="BC60" i="28" s="1" a="1"/>
  <c r="BC60" i="28" s="1"/>
  <c r="BE60" i="28" s="1"/>
  <c r="AG48" i="28"/>
  <c r="AQ48" i="28"/>
  <c r="BC48" i="28" s="1" a="1"/>
  <c r="BC48" i="28" s="1"/>
  <c r="BE48" i="28" s="1"/>
  <c r="AG61" i="28"/>
  <c r="AS62" i="28"/>
  <c r="BD62" i="28" s="1" a="1"/>
  <c r="BD62" i="28" s="1"/>
  <c r="AI62" i="28"/>
  <c r="C70" i="47"/>
  <c r="BG15" i="36"/>
  <c r="AH15" i="36"/>
  <c r="AI15" i="36" s="1" a="1"/>
  <c r="AI15" i="36" s="1"/>
  <c r="AM15" i="36"/>
  <c r="BQ15" i="36"/>
  <c r="BS15" i="36"/>
  <c r="AI24" i="36" a="1"/>
  <c r="AI24" i="36" s="1"/>
  <c r="AG24" i="36"/>
  <c r="BU24" i="36" s="1"/>
  <c r="BW24" i="36" s="1" a="1"/>
  <c r="BW24" i="36" s="1"/>
  <c r="AS32" i="28"/>
  <c r="AI32" i="28"/>
  <c r="AI28" i="36" a="1"/>
  <c r="AI28" i="36" s="1"/>
  <c r="AG28" i="36"/>
  <c r="BU28" i="36" s="1"/>
  <c r="BW28" i="36" s="1" a="1"/>
  <c r="BW28" i="36" s="1"/>
  <c r="BA20" i="36"/>
  <c r="Y20" i="36"/>
  <c r="AX15" i="36"/>
  <c r="AG27" i="36"/>
  <c r="BU27" i="36" s="1"/>
  <c r="BW27" i="36" s="1" a="1"/>
  <c r="BW27" i="36" s="1"/>
  <c r="AI39" i="36" a="1"/>
  <c r="AI39" i="36" s="1"/>
  <c r="BA27" i="36"/>
  <c r="X15" i="36" a="1"/>
  <c r="X15" i="36" s="1"/>
  <c r="BA15" i="36" s="1"/>
  <c r="Y33" i="36"/>
  <c r="W34" i="28" a="1"/>
  <c r="W34" i="28" s="1"/>
  <c r="AQ34" i="28" s="1"/>
  <c r="Y35" i="36"/>
  <c r="Y16" i="36"/>
  <c r="AI28" i="28"/>
  <c r="AS28" i="28"/>
  <c r="AG26" i="28"/>
  <c r="AQ26" i="28"/>
  <c r="AI22" i="36" a="1"/>
  <c r="AI22" i="36" s="1"/>
  <c r="Y27" i="36"/>
  <c r="W19" i="28" a="1"/>
  <c r="W19" i="28" s="1"/>
  <c r="AG19" i="28" s="1"/>
  <c r="W29" i="28" a="1"/>
  <c r="W29" i="28" s="1"/>
  <c r="BA36" i="36"/>
  <c r="Y40" i="36"/>
  <c r="BA30" i="36"/>
  <c r="BA40" i="36"/>
  <c r="Y30" i="36"/>
  <c r="AI21" i="36" a="1"/>
  <c r="AI21" i="36" s="1"/>
  <c r="T34" i="28"/>
  <c r="Y36" i="36"/>
  <c r="Y41" i="36"/>
  <c r="AG31" i="36"/>
  <c r="BU31" i="36" s="1"/>
  <c r="BW31" i="36" s="1" a="1"/>
  <c r="BW31" i="36" s="1"/>
  <c r="BA39" i="36"/>
  <c r="BA28" i="36"/>
  <c r="AI17" i="36" a="1"/>
  <c r="AI17" i="36" s="1"/>
  <c r="W21" i="28" a="1"/>
  <c r="W21" i="28" s="1"/>
  <c r="AG21" i="28" s="1"/>
  <c r="Y28" i="36"/>
  <c r="Y17" i="36"/>
  <c r="AI31" i="28"/>
  <c r="AS31" i="28"/>
  <c r="BA21" i="36"/>
  <c r="Y23" i="36"/>
  <c r="Y42" i="36"/>
  <c r="BA42" i="36"/>
  <c r="Y21" i="36"/>
  <c r="W22" i="28" a="1"/>
  <c r="W22" i="28" s="1"/>
  <c r="AG22" i="28" s="1"/>
  <c r="Y27" i="28" a="1"/>
  <c r="Y27" i="28" s="1"/>
  <c r="Y34" i="36"/>
  <c r="AI41" i="36" a="1"/>
  <c r="AI41" i="36" s="1"/>
  <c r="AG41" i="36"/>
  <c r="BU41" i="36" s="1"/>
  <c r="BW41" i="36" s="1" a="1"/>
  <c r="BW41" i="36" s="1"/>
  <c r="AS22" i="28"/>
  <c r="BA41" i="36"/>
  <c r="W23" i="28" a="1"/>
  <c r="W23" i="28" s="1"/>
  <c r="AG23" i="28" s="1"/>
  <c r="AG32" i="36"/>
  <c r="BU32" i="36" s="1"/>
  <c r="BW32" i="36" s="1" a="1"/>
  <c r="BW32" i="36" s="1"/>
  <c r="W25" i="28" a="1"/>
  <c r="W25" i="28" s="1"/>
  <c r="A103" i="29"/>
  <c r="A97" i="29"/>
  <c r="A92" i="29"/>
  <c r="A96" i="29"/>
  <c r="A95" i="29"/>
  <c r="A99" i="29"/>
  <c r="A100" i="29"/>
  <c r="A98" i="29"/>
  <c r="A94" i="29"/>
  <c r="A102" i="29"/>
  <c r="A101" i="29"/>
  <c r="A93" i="29"/>
  <c r="AV33" i="28"/>
  <c r="T33" i="28"/>
  <c r="AI30" i="36" a="1"/>
  <c r="AI30" i="36" s="1"/>
  <c r="AG30" i="36"/>
  <c r="BU30" i="36" s="1"/>
  <c r="BW30" i="36" s="1" a="1"/>
  <c r="BW30" i="36" s="1"/>
  <c r="W30" i="28" a="1"/>
  <c r="W30" i="28" s="1"/>
  <c r="Y30" i="28" a="1"/>
  <c r="Y30" i="28" s="1"/>
  <c r="AV32" i="28"/>
  <c r="T32" i="28"/>
  <c r="AI35" i="36" a="1"/>
  <c r="AI35" i="36" s="1"/>
  <c r="BA31" i="36"/>
  <c r="AI36" i="36" a="1"/>
  <c r="AI36" i="36" s="1"/>
  <c r="AG36" i="36"/>
  <c r="BU36" i="36" s="1"/>
  <c r="BW36" i="36" s="1" a="1"/>
  <c r="BW36" i="36" s="1"/>
  <c r="AV25" i="28"/>
  <c r="T25" i="28"/>
  <c r="AV23" i="28"/>
  <c r="AV31" i="28"/>
  <c r="T31" i="28"/>
  <c r="AG27" i="28"/>
  <c r="AQ27" i="28"/>
  <c r="BE15" i="36"/>
  <c r="AP15" i="36"/>
  <c r="BB15" i="36"/>
  <c r="AG25" i="36"/>
  <c r="BU25" i="36" s="1"/>
  <c r="BW25" i="36" s="1" a="1"/>
  <c r="BW25" i="36" s="1"/>
  <c r="Y31" i="36"/>
  <c r="AG38" i="36"/>
  <c r="BU38" i="36" s="1"/>
  <c r="BW38" i="36" s="1" a="1"/>
  <c r="BW38" i="36" s="1"/>
  <c r="AV28" i="28"/>
  <c r="T28" i="28"/>
  <c r="AS25" i="28"/>
  <c r="AI25" i="28"/>
  <c r="AI33" i="28"/>
  <c r="AS33" i="28"/>
  <c r="BA19" i="36"/>
  <c r="W24" i="28" a="1"/>
  <c r="W24" i="28" s="1"/>
  <c r="AI33" i="36" a="1"/>
  <c r="AI33" i="36" s="1"/>
  <c r="AG33" i="36"/>
  <c r="BU33" i="36" s="1"/>
  <c r="BW33" i="36" s="1" a="1"/>
  <c r="BW33" i="36" s="1"/>
  <c r="T19" i="28"/>
  <c r="Y29" i="36"/>
  <c r="AV27" i="28"/>
  <c r="T27" i="28"/>
  <c r="AI29" i="36" a="1"/>
  <c r="AI29" i="36" s="1"/>
  <c r="AG29" i="36"/>
  <c r="BU29" i="36" s="1"/>
  <c r="BW29" i="36" s="1" a="1"/>
  <c r="BW29" i="36" s="1"/>
  <c r="BX15" i="36"/>
  <c r="BL15" i="36"/>
  <c r="BJ15" i="36"/>
  <c r="Y32" i="36"/>
  <c r="T29" i="28"/>
  <c r="AV29" i="28"/>
  <c r="T26" i="28"/>
  <c r="AV26" i="28"/>
  <c r="AS29" i="28"/>
  <c r="AI29" i="28"/>
  <c r="AV30" i="28"/>
  <c r="T30" i="28"/>
  <c r="AS23" i="28"/>
  <c r="AI23" i="28"/>
  <c r="AQ20" i="28"/>
  <c r="AG20" i="28"/>
  <c r="AV24" i="28"/>
  <c r="T24" i="28"/>
  <c r="AZ15" i="36"/>
  <c r="BA26" i="36"/>
  <c r="Y26" i="36"/>
  <c r="BN15" i="36"/>
  <c r="AJ15" i="36"/>
  <c r="AG18" i="36"/>
  <c r="BU18" i="36" s="1"/>
  <c r="BW18" i="36" s="1" a="1"/>
  <c r="BW18" i="36" s="1"/>
  <c r="AI18" i="36" a="1"/>
  <c r="AI18" i="36" s="1"/>
  <c r="AI24" i="28"/>
  <c r="AS24" i="28"/>
  <c r="T21" i="28"/>
  <c r="AV21" i="28"/>
  <c r="AG20" i="36"/>
  <c r="BU20" i="36" s="1"/>
  <c r="BW20" i="36" s="1" a="1"/>
  <c r="BW20" i="36" s="1"/>
  <c r="AI20" i="36" a="1"/>
  <c r="AI20" i="36" s="1"/>
  <c r="AV22" i="28"/>
  <c r="T22" i="28"/>
  <c r="BV15" i="36"/>
  <c r="AR15" i="36"/>
  <c r="O15" i="36"/>
  <c r="AI21" i="28"/>
  <c r="AS21" i="28"/>
  <c r="BA25" i="36"/>
  <c r="Y25" i="36"/>
  <c r="BA22" i="36"/>
  <c r="Y22" i="36"/>
  <c r="AG26" i="36"/>
  <c r="BU26" i="36" s="1"/>
  <c r="BW26" i="36" s="1" a="1"/>
  <c r="BW26" i="36" s="1"/>
  <c r="AI26" i="36" a="1"/>
  <c r="AI26" i="36" s="1"/>
  <c r="Q15" i="36"/>
  <c r="T20" i="28"/>
  <c r="AV20" i="28"/>
  <c r="AI19" i="36" a="1"/>
  <c r="AI19" i="36" s="1"/>
  <c r="AG19" i="36"/>
  <c r="BU19" i="36" s="1"/>
  <c r="BW19" i="36" s="1" a="1"/>
  <c r="BW19" i="36" s="1"/>
  <c r="AI16" i="36" a="1"/>
  <c r="AI16" i="36" s="1"/>
  <c r="AG16" i="36"/>
  <c r="BU16" i="36" s="1"/>
  <c r="BW16" i="36" s="1" a="1"/>
  <c r="BW16" i="36" s="1"/>
  <c r="Y24" i="36"/>
  <c r="BA18" i="36"/>
  <c r="Y18" i="36"/>
  <c r="W17" i="28" a="1"/>
  <c r="W17" i="28" s="1"/>
  <c r="AG17" i="28" s="1"/>
  <c r="W18" i="28" a="1"/>
  <c r="W18" i="28" s="1"/>
  <c r="AG18" i="28" s="1"/>
  <c r="AQ64" i="28"/>
  <c r="BC64" i="28" s="1" a="1"/>
  <c r="BC64" i="28" s="1"/>
  <c r="BE64" i="28" s="1"/>
  <c r="AG64" i="28"/>
  <c r="AQ49" i="28"/>
  <c r="BC49" i="28" s="1" a="1"/>
  <c r="BC49" i="28" s="1"/>
  <c r="BE49" i="28" s="1"/>
  <c r="AG49" i="28"/>
  <c r="AS49" i="28"/>
  <c r="BD49" i="28" s="1" a="1"/>
  <c r="BD49" i="28" s="1"/>
  <c r="AI49" i="28"/>
  <c r="AQ53" i="28"/>
  <c r="BC53" i="28" s="1" a="1"/>
  <c r="BC53" i="28" s="1"/>
  <c r="BE53" i="28" s="1"/>
  <c r="AG53" i="28"/>
  <c r="AQ31" i="28"/>
  <c r="AG31" i="28"/>
  <c r="AQ47" i="28"/>
  <c r="BC47" i="28" s="1" a="1"/>
  <c r="BC47" i="28" s="1"/>
  <c r="BE47" i="28" s="1"/>
  <c r="AG47" i="28"/>
  <c r="AS47" i="28"/>
  <c r="BD47" i="28" s="1" a="1"/>
  <c r="BD47" i="28" s="1"/>
  <c r="AI47" i="28"/>
  <c r="AO15" i="28"/>
  <c r="AB15" i="28" a="1"/>
  <c r="AB15" i="28" s="1"/>
  <c r="AM15" i="28"/>
  <c r="AJ15" i="28"/>
  <c r="AY15" i="28" a="1"/>
  <c r="AY15" i="28" s="1"/>
  <c r="BA15" i="28" s="1"/>
  <c r="AH15" i="28"/>
  <c r="AE15" i="28"/>
  <c r="AD15" i="28"/>
  <c r="AR15" i="28"/>
  <c r="AC15" i="28"/>
  <c r="AV18" i="28"/>
  <c r="T18" i="28"/>
  <c r="AI18" i="28"/>
  <c r="AS18" i="28"/>
  <c r="AI17" i="28"/>
  <c r="AS17" i="28"/>
  <c r="Q15" i="28"/>
  <c r="AQ16" i="28"/>
  <c r="AG16" i="28"/>
  <c r="T16" i="28"/>
  <c r="AV16" i="28"/>
  <c r="AV17" i="28"/>
  <c r="T17" i="28"/>
  <c r="A74" i="29" l="1"/>
  <c r="A76" i="29"/>
  <c r="A85" i="29"/>
  <c r="A81" i="29"/>
  <c r="A75" i="29"/>
  <c r="A78" i="29"/>
  <c r="A79" i="29"/>
  <c r="A77" i="29"/>
  <c r="A83" i="29"/>
  <c r="A82" i="29"/>
  <c r="A72" i="29"/>
  <c r="A91" i="29"/>
  <c r="A80" i="29"/>
  <c r="A88" i="29"/>
  <c r="A90" i="29"/>
  <c r="A84" i="29"/>
  <c r="A86" i="29"/>
  <c r="A73" i="29"/>
  <c r="A87" i="29"/>
  <c r="A89" i="29"/>
  <c r="G68" i="29"/>
  <c r="A68" i="29" s="1"/>
  <c r="A70" i="29"/>
  <c r="A71" i="29"/>
  <c r="A69" i="29"/>
  <c r="G380" i="29" a="1"/>
  <c r="G380" i="29" s="1"/>
  <c r="A380" i="29" s="1"/>
  <c r="F16" i="40" a="1"/>
  <c r="F16" i="40" s="1"/>
  <c r="AS16" i="28"/>
  <c r="AG32" i="28"/>
  <c r="AG15" i="36"/>
  <c r="AQ22" i="28"/>
  <c r="AG28" i="28"/>
  <c r="AQ19" i="28"/>
  <c r="AG34" i="28"/>
  <c r="AI26" i="28"/>
  <c r="AG33" i="28"/>
  <c r="AQ33" i="28"/>
  <c r="D380" i="29" a="1"/>
  <c r="D380" i="29" s="1"/>
  <c r="AL15" i="36" a="1"/>
  <c r="AL15" i="36" s="1"/>
  <c r="Y15" i="36"/>
  <c r="AQ21" i="28"/>
  <c r="AI20" i="28"/>
  <c r="AS20" i="28"/>
  <c r="C71" i="47"/>
  <c r="AQ23" i="28"/>
  <c r="AQ29" i="28"/>
  <c r="AG29" i="28"/>
  <c r="AI27" i="28"/>
  <c r="AS27" i="28"/>
  <c r="A390" i="29"/>
  <c r="A388" i="29"/>
  <c r="A389" i="29"/>
  <c r="AG25" i="28"/>
  <c r="AQ25" i="28"/>
  <c r="A386" i="29"/>
  <c r="A385" i="29"/>
  <c r="A384" i="29"/>
  <c r="A387" i="29"/>
  <c r="AQ17" i="28"/>
  <c r="AG24" i="28"/>
  <c r="AQ24" i="28"/>
  <c r="AI30" i="28"/>
  <c r="AS30" i="28"/>
  <c r="AG30" i="28"/>
  <c r="AQ30" i="28"/>
  <c r="AQ18" i="28"/>
  <c r="G131" i="29" a="1"/>
  <c r="G434" i="29" a="1"/>
  <c r="D16" i="40" a="1"/>
  <c r="D16" i="40" s="1"/>
  <c r="H16" i="40" a="1"/>
  <c r="H16" i="40" s="1"/>
  <c r="E16" i="40" a="1"/>
  <c r="E16" i="40" s="1"/>
  <c r="AV15" i="28"/>
  <c r="D328" i="29" a="1"/>
  <c r="D328" i="29" s="1"/>
  <c r="H328" i="29" a="1"/>
  <c r="H328" i="29" s="1"/>
  <c r="G328" i="29" a="1"/>
  <c r="A381" i="29" l="1"/>
  <c r="A382" i="29"/>
  <c r="A383" i="29"/>
  <c r="BU15" i="36"/>
  <c r="BZ15" i="36"/>
  <c r="H380" i="29" a="1"/>
  <c r="H380" i="29" s="1"/>
  <c r="G748" i="29" a="1"/>
  <c r="C72" i="47"/>
  <c r="A837" i="29"/>
  <c r="A836" i="29"/>
  <c r="A835" i="29"/>
  <c r="A828" i="29"/>
  <c r="A827" i="29"/>
  <c r="A826" i="29"/>
  <c r="A825" i="29"/>
  <c r="A824" i="29"/>
  <c r="A823" i="29"/>
  <c r="A834" i="29"/>
  <c r="A822" i="29"/>
  <c r="A833" i="29"/>
  <c r="A821" i="29"/>
  <c r="A832" i="29"/>
  <c r="A820" i="29"/>
  <c r="A831" i="29"/>
  <c r="A830" i="29"/>
  <c r="A829" i="29"/>
  <c r="A758" i="29"/>
  <c r="A755" i="29"/>
  <c r="A757" i="29"/>
  <c r="A759" i="29"/>
  <c r="A754" i="29"/>
  <c r="A756" i="29"/>
  <c r="A808" i="29"/>
  <c r="A819" i="29"/>
  <c r="A807" i="29"/>
  <c r="A818" i="29"/>
  <c r="A806" i="29"/>
  <c r="A817" i="29"/>
  <c r="A805" i="29"/>
  <c r="A816" i="29"/>
  <c r="A804" i="29"/>
  <c r="A815" i="29"/>
  <c r="A803" i="29"/>
  <c r="A814" i="29"/>
  <c r="A802" i="29"/>
  <c r="A813" i="29"/>
  <c r="A812" i="29"/>
  <c r="A811" i="29"/>
  <c r="A810" i="29"/>
  <c r="A809" i="29"/>
  <c r="A162" i="29"/>
  <c r="A158" i="29"/>
  <c r="A161" i="29"/>
  <c r="A152" i="29"/>
  <c r="A160" i="29"/>
  <c r="A157" i="29"/>
  <c r="A151" i="29"/>
  <c r="A154" i="29"/>
  <c r="A148" i="29"/>
  <c r="A159" i="29"/>
  <c r="A150" i="29"/>
  <c r="A149" i="29"/>
  <c r="A156" i="29"/>
  <c r="A155" i="29"/>
  <c r="A147" i="29"/>
  <c r="A153" i="29"/>
  <c r="A333" i="29"/>
  <c r="A337" i="29"/>
  <c r="A335" i="29"/>
  <c r="A336" i="29"/>
  <c r="A334" i="29"/>
  <c r="A441" i="29"/>
  <c r="A443" i="29"/>
  <c r="A440" i="29"/>
  <c r="A445" i="29"/>
  <c r="A442" i="29"/>
  <c r="A444" i="29"/>
  <c r="A330" i="29"/>
  <c r="A332" i="29"/>
  <c r="A331" i="29"/>
  <c r="A439" i="29"/>
  <c r="A438" i="29"/>
  <c r="A437" i="29"/>
  <c r="A436" i="29"/>
  <c r="A142" i="29"/>
  <c r="A137" i="29"/>
  <c r="A146" i="29"/>
  <c r="A144" i="29"/>
  <c r="A138" i="29"/>
  <c r="A145" i="29"/>
  <c r="A140" i="29"/>
  <c r="A139" i="29"/>
  <c r="A143" i="29"/>
  <c r="A141" i="29"/>
  <c r="AG15" i="28"/>
  <c r="AQ15" i="28"/>
  <c r="BC15" i="28" s="1" a="1"/>
  <c r="BC15" i="28" s="1"/>
  <c r="AI15" i="28"/>
  <c r="AS15" i="28"/>
  <c r="BD15" i="28" s="1" a="1"/>
  <c r="BD15" i="28" s="1"/>
  <c r="A136" i="29"/>
  <c r="A132" i="29"/>
  <c r="A133" i="29"/>
  <c r="A134" i="29"/>
  <c r="G131" i="29"/>
  <c r="A131" i="29" s="1"/>
  <c r="A135" i="29"/>
  <c r="H1110" i="29" a="1"/>
  <c r="H1110" i="29" s="1"/>
  <c r="D1110" i="29" a="1"/>
  <c r="D1110" i="29" s="1"/>
  <c r="A435" i="29"/>
  <c r="G434" i="29"/>
  <c r="A434" i="29" s="1"/>
  <c r="BW15" i="36" a="1"/>
  <c r="BW15" i="36" s="1"/>
  <c r="A329" i="29"/>
  <c r="G328" i="29"/>
  <c r="A328" i="29" s="1"/>
  <c r="G748" i="29" l="1"/>
  <c r="A748" i="29" s="1"/>
  <c r="A751" i="29"/>
  <c r="A750" i="29"/>
  <c r="A753" i="29"/>
  <c r="A752" i="29"/>
  <c r="D1162" i="29" a="1"/>
  <c r="D1162" i="29" s="1"/>
  <c r="H1162" i="29" a="1"/>
  <c r="H1162" i="29" s="1"/>
  <c r="A749" i="29"/>
  <c r="C73" i="47"/>
  <c r="G486" i="29" a="1"/>
  <c r="C74" i="47" l="1"/>
  <c r="A505" i="29"/>
  <c r="A511" i="29"/>
  <c r="A508" i="29"/>
  <c r="A513" i="29"/>
  <c r="A515" i="29"/>
  <c r="A504" i="29"/>
  <c r="A517" i="29"/>
  <c r="A510" i="29"/>
  <c r="A507" i="29"/>
  <c r="A503" i="29"/>
  <c r="A512" i="29"/>
  <c r="A514" i="29"/>
  <c r="A509" i="29"/>
  <c r="A506" i="29"/>
  <c r="A502" i="29"/>
  <c r="A516" i="29"/>
  <c r="A491" i="29"/>
  <c r="A500" i="29"/>
  <c r="A498" i="29"/>
  <c r="A496" i="29"/>
  <c r="A493" i="29"/>
  <c r="A495" i="29"/>
  <c r="A490" i="29"/>
  <c r="A492" i="29"/>
  <c r="A501" i="29"/>
  <c r="A499" i="29"/>
  <c r="A497" i="29"/>
  <c r="A494" i="29"/>
  <c r="A488" i="29"/>
  <c r="A489" i="29"/>
  <c r="G486" i="29"/>
  <c r="A486" i="29" s="1"/>
  <c r="A487" i="29"/>
  <c r="C75" i="47" l="1"/>
  <c r="C76" i="47" l="1"/>
  <c r="C77" i="47" l="1"/>
  <c r="C78" i="47" l="1"/>
  <c r="C79" i="47" l="1"/>
  <c r="C15" i="36" a="1"/>
  <c r="B1236" i="29" l="1"/>
  <c r="F1236" i="29" s="1" a="1"/>
  <c r="F1236" i="29" s="1"/>
  <c r="B1227" i="29"/>
  <c r="F1227" i="29" s="1" a="1"/>
  <c r="F1227" i="29" s="1"/>
  <c r="B1263" i="29"/>
  <c r="F1263" i="29" s="1" a="1"/>
  <c r="F1263" i="29" s="1"/>
  <c r="B1239" i="29"/>
  <c r="F1239" i="29" s="1" a="1"/>
  <c r="F1239" i="29" s="1"/>
  <c r="B1253" i="29"/>
  <c r="F1253" i="29" s="1" a="1"/>
  <c r="F1253" i="29" s="1"/>
  <c r="B1238" i="29"/>
  <c r="F1238" i="29" s="1" a="1"/>
  <c r="F1238" i="29" s="1"/>
  <c r="B1232" i="29"/>
  <c r="F1232" i="29" s="1" a="1"/>
  <c r="F1232" i="29" s="1"/>
  <c r="B1252" i="29"/>
  <c r="F1252" i="29" s="1" a="1"/>
  <c r="F1252" i="29" s="1"/>
  <c r="B1251" i="29"/>
  <c r="F1251" i="29" s="1" a="1"/>
  <c r="F1251" i="29" s="1"/>
  <c r="B1235" i="29"/>
  <c r="F1235" i="29" s="1" a="1"/>
  <c r="F1235" i="29" s="1"/>
  <c r="B1254" i="29"/>
  <c r="F1254" i="29" s="1" a="1"/>
  <c r="F1254" i="29" s="1"/>
  <c r="B1258" i="29"/>
  <c r="F1258" i="29" s="1" a="1"/>
  <c r="F1258" i="29" s="1"/>
  <c r="B1261" i="29"/>
  <c r="F1261" i="29" s="1" a="1"/>
  <c r="F1261" i="29" s="1"/>
  <c r="B1249" i="29"/>
  <c r="F1249" i="29" s="1" a="1"/>
  <c r="F1249" i="29" s="1"/>
  <c r="B1255" i="29"/>
  <c r="F1255" i="29" s="1" a="1"/>
  <c r="F1255" i="29" s="1"/>
  <c r="B1260" i="29"/>
  <c r="F1260" i="29" s="1" a="1"/>
  <c r="F1260" i="29" s="1"/>
  <c r="B1234" i="29"/>
  <c r="F1234" i="29" s="1" a="1"/>
  <c r="F1234" i="29" s="1"/>
  <c r="B1257" i="29"/>
  <c r="F1257" i="29" s="1" a="1"/>
  <c r="F1257" i="29" s="1"/>
  <c r="B1229" i="29"/>
  <c r="F1229" i="29" s="1" a="1"/>
  <c r="F1229" i="29" s="1"/>
  <c r="B1240" i="29"/>
  <c r="F1240" i="29" s="1" a="1"/>
  <c r="F1240" i="29" s="1"/>
  <c r="B1226" i="29"/>
  <c r="F1226" i="29" s="1" a="1"/>
  <c r="F1226" i="29" s="1"/>
  <c r="B1231" i="29"/>
  <c r="F1231" i="29" s="1" a="1"/>
  <c r="F1231" i="29" s="1"/>
  <c r="B1262" i="29"/>
  <c r="F1262" i="29" s="1" a="1"/>
  <c r="F1262" i="29" s="1"/>
  <c r="B1247" i="29"/>
  <c r="F1247" i="29" s="1" a="1"/>
  <c r="F1247" i="29" s="1"/>
  <c r="B1264" i="29"/>
  <c r="F1264" i="29" s="1" a="1"/>
  <c r="F1264" i="29" s="1"/>
  <c r="B1237" i="29"/>
  <c r="F1237" i="29" s="1" a="1"/>
  <c r="F1237" i="29" s="1"/>
  <c r="B1233" i="29"/>
  <c r="F1233" i="29" s="1" a="1"/>
  <c r="F1233" i="29" s="1"/>
  <c r="B1245" i="29"/>
  <c r="F1245" i="29" s="1" a="1"/>
  <c r="F1245" i="29" s="1"/>
  <c r="B1230" i="29"/>
  <c r="F1230" i="29" s="1" a="1"/>
  <c r="F1230" i="29" s="1"/>
  <c r="B1250" i="29"/>
  <c r="F1250" i="29" s="1" a="1"/>
  <c r="F1250" i="29" s="1"/>
  <c r="B1242" i="29"/>
  <c r="F1242" i="29" s="1" a="1"/>
  <c r="F1242" i="29" s="1"/>
  <c r="B1248" i="29"/>
  <c r="F1248" i="29" s="1" a="1"/>
  <c r="F1248" i="29" s="1"/>
  <c r="B1241" i="29"/>
  <c r="F1241" i="29" s="1" a="1"/>
  <c r="F1241" i="29" s="1"/>
  <c r="B1256" i="29"/>
  <c r="F1256" i="29" s="1" a="1"/>
  <c r="F1256" i="29" s="1"/>
  <c r="B1259" i="29"/>
  <c r="F1259" i="29" s="1" a="1"/>
  <c r="F1259" i="29" s="1"/>
  <c r="B1243" i="29"/>
  <c r="F1243" i="29" s="1" a="1"/>
  <c r="F1243" i="29" s="1"/>
  <c r="B1228" i="29"/>
  <c r="F1228" i="29" s="1" a="1"/>
  <c r="F1228" i="29" s="1"/>
  <c r="B1246" i="29"/>
  <c r="F1246" i="29" s="1" a="1"/>
  <c r="F1246" i="29" s="1"/>
  <c r="B1244" i="29"/>
  <c r="F1244" i="29" s="1" a="1"/>
  <c r="F1244" i="29" s="1"/>
  <c r="C80" i="47"/>
  <c r="AA43" i="36"/>
  <c r="M43" i="36"/>
  <c r="P43" i="36" s="1"/>
  <c r="M39" i="36"/>
  <c r="P39" i="36" s="1"/>
  <c r="V43" i="36"/>
  <c r="AA34" i="36"/>
  <c r="S38" i="36"/>
  <c r="BM38" i="36"/>
  <c r="S27" i="36"/>
  <c r="M30" i="36"/>
  <c r="V36" i="36"/>
  <c r="C15" i="36"/>
  <c r="F2" i="48" s="1"/>
  <c r="D16" i="47" s="1" a="1"/>
  <c r="D16" i="47" s="1"/>
  <c r="V20" i="36"/>
  <c r="AA23" i="36"/>
  <c r="M44" i="36"/>
  <c r="T36" i="36"/>
  <c r="AW36" i="36" s="1"/>
  <c r="T42" i="36"/>
  <c r="AO42" i="36" s="1"/>
  <c r="S37" i="36"/>
  <c r="V32" i="36"/>
  <c r="AA31" i="36"/>
  <c r="V38" i="36"/>
  <c r="T26" i="36"/>
  <c r="U26" i="36" s="1"/>
  <c r="T18" i="36"/>
  <c r="V21" i="36"/>
  <c r="V25" i="36"/>
  <c r="AA44" i="36"/>
  <c r="M40" i="36"/>
  <c r="V41" i="36"/>
  <c r="M37" i="36"/>
  <c r="S29" i="36"/>
  <c r="CD33" i="36"/>
  <c r="BM34" i="36"/>
  <c r="S34" i="36"/>
  <c r="AA38" i="36"/>
  <c r="V23" i="36"/>
  <c r="BM31" i="36"/>
  <c r="AA36" i="36"/>
  <c r="S25" i="36"/>
  <c r="S16" i="36"/>
  <c r="V39" i="36"/>
  <c r="T27" i="36"/>
  <c r="U27" i="36" s="1"/>
  <c r="BM39" i="36"/>
  <c r="T40" i="36"/>
  <c r="BI40" i="36" s="1"/>
  <c r="AA40" i="36"/>
  <c r="T35" i="36"/>
  <c r="CC35" i="36" s="1"/>
  <c r="T43" i="36"/>
  <c r="U43" i="36" s="1"/>
  <c r="M42" i="36"/>
  <c r="P42" i="36" s="1"/>
  <c r="T34" i="36"/>
  <c r="U34" i="36" s="1"/>
  <c r="V44" i="36"/>
  <c r="T41" i="36"/>
  <c r="AW41" i="36" s="1"/>
  <c r="AA41" i="36"/>
  <c r="S31" i="36"/>
  <c r="AA29" i="36"/>
  <c r="M27" i="36"/>
  <c r="M29" i="36"/>
  <c r="P29" i="36" s="1"/>
  <c r="S35" i="36"/>
  <c r="V34" i="36"/>
  <c r="AA37" i="36"/>
  <c r="AA19" i="36"/>
  <c r="M20" i="36"/>
  <c r="P20" i="36" s="1"/>
  <c r="BF20" i="36" s="1"/>
  <c r="T21" i="36"/>
  <c r="M19" i="36"/>
  <c r="V22" i="36"/>
  <c r="AA20" i="36"/>
  <c r="M18" i="36"/>
  <c r="P18" i="36" s="1"/>
  <c r="BF18" i="36" s="1"/>
  <c r="T28" i="36"/>
  <c r="U28" i="36" s="1"/>
  <c r="M41" i="36"/>
  <c r="S43" i="36"/>
  <c r="S40" i="36"/>
  <c r="V30" i="36"/>
  <c r="V28" i="36"/>
  <c r="M34" i="36"/>
  <c r="P34" i="36" s="1"/>
  <c r="V24" i="36"/>
  <c r="T39" i="36"/>
  <c r="U39" i="36" s="1"/>
  <c r="AA27" i="36"/>
  <c r="M38" i="36"/>
  <c r="P38" i="36" s="1"/>
  <c r="T33" i="36"/>
  <c r="U33" i="36" s="1"/>
  <c r="S36" i="36"/>
  <c r="S28" i="36"/>
  <c r="V18" i="36"/>
  <c r="S18" i="36"/>
  <c r="S17" i="36"/>
  <c r="S24" i="36"/>
  <c r="AA18" i="36"/>
  <c r="M16" i="36"/>
  <c r="S39" i="36"/>
  <c r="T38" i="36"/>
  <c r="U38" i="36" s="1"/>
  <c r="AA28" i="36"/>
  <c r="AA42" i="36"/>
  <c r="S41" i="36"/>
  <c r="V42" i="36"/>
  <c r="M22" i="36"/>
  <c r="S32" i="36"/>
  <c r="M25" i="36"/>
  <c r="P25" i="36" s="1"/>
  <c r="BF25" i="36" s="1"/>
  <c r="V31" i="36"/>
  <c r="M32" i="36"/>
  <c r="V35" i="36"/>
  <c r="T16" i="36"/>
  <c r="M24" i="36"/>
  <c r="P24" i="36" s="1"/>
  <c r="BF24" i="36" s="1"/>
  <c r="S23" i="36"/>
  <c r="T17" i="36"/>
  <c r="AW17" i="36" s="1"/>
  <c r="S19" i="36"/>
  <c r="M17" i="36"/>
  <c r="P17" i="36" s="1"/>
  <c r="BF17" i="36" s="1"/>
  <c r="T44" i="36"/>
  <c r="U44" i="36" s="1"/>
  <c r="T31" i="36"/>
  <c r="U31" i="36" s="1"/>
  <c r="V40" i="36"/>
  <c r="AA16" i="36"/>
  <c r="V27" i="36"/>
  <c r="T30" i="36"/>
  <c r="BI30" i="36" s="1"/>
  <c r="AA26" i="36"/>
  <c r="S26" i="36"/>
  <c r="S20" i="36"/>
  <c r="M26" i="36"/>
  <c r="M21" i="36"/>
  <c r="AA17" i="36"/>
  <c r="M23" i="36"/>
  <c r="P23" i="36" s="1"/>
  <c r="BF23" i="36" s="1"/>
  <c r="M35" i="36"/>
  <c r="AA21" i="36"/>
  <c r="M33" i="36"/>
  <c r="AA25" i="36"/>
  <c r="T32" i="36"/>
  <c r="CC32" i="36" s="1"/>
  <c r="M28" i="36"/>
  <c r="P28" i="36" s="1"/>
  <c r="AA30" i="36"/>
  <c r="V17" i="36"/>
  <c r="S30" i="36"/>
  <c r="BM33" i="36"/>
  <c r="T19" i="36"/>
  <c r="M36" i="36"/>
  <c r="T23" i="36"/>
  <c r="CC23" i="36" s="1"/>
  <c r="AA24" i="36"/>
  <c r="V19" i="36"/>
  <c r="S42" i="36"/>
  <c r="S33" i="36"/>
  <c r="V26" i="36"/>
  <c r="T20" i="36"/>
  <c r="CC20" i="36" s="1"/>
  <c r="AA32" i="36"/>
  <c r="M31" i="36"/>
  <c r="P31" i="36" s="1"/>
  <c r="S44" i="36"/>
  <c r="T29" i="36"/>
  <c r="CC29" i="36" s="1"/>
  <c r="T24" i="36"/>
  <c r="BI24" i="36" s="1"/>
  <c r="AA35" i="36"/>
  <c r="AA33" i="36"/>
  <c r="T22" i="36"/>
  <c r="S22" i="36"/>
  <c r="AA39" i="36"/>
  <c r="V37" i="36"/>
  <c r="T25" i="36"/>
  <c r="CC25" i="36" s="1"/>
  <c r="CD38" i="36"/>
  <c r="V33" i="36"/>
  <c r="S21" i="36"/>
  <c r="AA22" i="36"/>
  <c r="T37" i="36"/>
  <c r="AW37" i="36" s="1"/>
  <c r="V29" i="36"/>
  <c r="V16" i="36"/>
  <c r="BM21" i="36"/>
  <c r="CD28" i="36"/>
  <c r="CD41" i="36"/>
  <c r="CD26" i="36"/>
  <c r="BM37" i="36"/>
  <c r="CD16" i="36"/>
  <c r="CD23" i="36"/>
  <c r="CD30" i="36"/>
  <c r="CD17" i="36"/>
  <c r="BI31" i="36"/>
  <c r="BM25" i="36"/>
  <c r="BM24" i="36"/>
  <c r="BM27" i="36"/>
  <c r="BM17" i="36"/>
  <c r="BM22" i="36"/>
  <c r="BM35" i="36"/>
  <c r="CD34" i="36"/>
  <c r="CD36" i="36"/>
  <c r="CD39" i="36"/>
  <c r="BM20" i="36"/>
  <c r="BM26" i="36"/>
  <c r="BM29" i="36"/>
  <c r="CD37" i="36"/>
  <c r="CD21" i="36"/>
  <c r="CD27" i="36"/>
  <c r="CD43" i="36"/>
  <c r="BM44" i="36"/>
  <c r="CD44" i="36"/>
  <c r="BM16" i="36"/>
  <c r="BM43" i="36"/>
  <c r="CD20" i="36"/>
  <c r="BM36" i="36"/>
  <c r="BM23" i="36"/>
  <c r="CD24" i="36"/>
  <c r="BM18" i="36"/>
  <c r="BM30" i="36"/>
  <c r="CD40" i="36"/>
  <c r="BM42" i="36"/>
  <c r="BM28" i="36"/>
  <c r="CD18" i="36"/>
  <c r="CD42" i="36"/>
  <c r="BM41" i="36"/>
  <c r="BM40" i="36"/>
  <c r="CD29" i="36"/>
  <c r="BM19" i="36"/>
  <c r="CD35" i="36"/>
  <c r="CD32" i="36"/>
  <c r="CD25" i="36"/>
  <c r="CD19" i="36"/>
  <c r="CD22" i="36"/>
  <c r="BM32" i="36"/>
  <c r="CD31" i="36"/>
  <c r="B949" i="29"/>
  <c r="F949" i="29" s="1" a="1"/>
  <c r="F949" i="29" s="1"/>
  <c r="B393" i="29"/>
  <c r="F393" i="29" s="1" a="1"/>
  <c r="F393" i="29" s="1"/>
  <c r="B528" i="29"/>
  <c r="F528" i="29" s="1" a="1"/>
  <c r="F528" i="29" s="1"/>
  <c r="B1153" i="29"/>
  <c r="F1153" i="29" s="1" a="1"/>
  <c r="F1153" i="29" s="1"/>
  <c r="B369" i="29"/>
  <c r="F369" i="29" s="1" a="1"/>
  <c r="F369" i="29" s="1"/>
  <c r="B167" i="29"/>
  <c r="F167" i="29" s="1" a="1"/>
  <c r="F167" i="29" s="1"/>
  <c r="B375" i="29"/>
  <c r="F375" i="29" s="1" a="1"/>
  <c r="F375" i="29" s="1"/>
  <c r="B1211" i="29"/>
  <c r="F1211" i="29" s="1" a="1"/>
  <c r="F1211" i="29" s="1"/>
  <c r="B787" i="29"/>
  <c r="F787" i="29" s="1" a="1"/>
  <c r="F787" i="29" s="1"/>
  <c r="B363" i="29"/>
  <c r="F363" i="29" s="1" a="1"/>
  <c r="F363" i="29" s="1"/>
  <c r="B1205" i="29"/>
  <c r="F1205" i="29" s="1" a="1"/>
  <c r="F1205" i="29" s="1"/>
  <c r="B724" i="29"/>
  <c r="F724" i="29" s="1" a="1"/>
  <c r="F724" i="29" s="1"/>
  <c r="B412" i="29"/>
  <c r="F412" i="29" s="1" a="1"/>
  <c r="F412" i="29" s="1"/>
  <c r="B1135" i="29"/>
  <c r="F1135" i="29" s="1" a="1"/>
  <c r="F1135" i="29" s="1"/>
  <c r="B1089" i="29"/>
  <c r="F1089" i="29" s="1" a="1"/>
  <c r="F1089" i="29" s="1"/>
  <c r="B405" i="29"/>
  <c r="F405" i="29" s="1" a="1"/>
  <c r="F405" i="29" s="1"/>
  <c r="B527" i="29"/>
  <c r="F527" i="29" s="1" a="1"/>
  <c r="F527" i="29" s="1"/>
  <c r="B1154" i="29"/>
  <c r="F1154" i="29" s="1" a="1"/>
  <c r="F1154" i="29" s="1"/>
  <c r="B533" i="29"/>
  <c r="F533" i="29" s="1" a="1"/>
  <c r="F533" i="29" s="1"/>
  <c r="B1095" i="29"/>
  <c r="F1095" i="29" s="1" a="1"/>
  <c r="F1095" i="29" s="1"/>
  <c r="B763" i="29"/>
  <c r="F763" i="29" s="1" a="1"/>
  <c r="F763" i="29" s="1"/>
  <c r="B423" i="29"/>
  <c r="F423" i="29" s="1" a="1"/>
  <c r="F423" i="29" s="1"/>
  <c r="B399" i="29"/>
  <c r="F399" i="29" s="1" a="1"/>
  <c r="F399" i="29" s="1"/>
  <c r="B429" i="29"/>
  <c r="F429" i="29" s="1" a="1"/>
  <c r="F429" i="29" s="1"/>
  <c r="B775" i="29"/>
  <c r="F775" i="29" s="1" a="1"/>
  <c r="F775" i="29" s="1"/>
  <c r="B776" i="29"/>
  <c r="F776" i="29" s="1" a="1"/>
  <c r="F776" i="29" s="1"/>
  <c r="B376" i="29"/>
  <c r="F376" i="29" s="1" a="1"/>
  <c r="F376" i="29" s="1"/>
  <c r="B1147" i="29"/>
  <c r="F1147" i="29" s="1" a="1"/>
  <c r="F1147" i="29" s="1"/>
  <c r="B482" i="29"/>
  <c r="F482" i="29" s="1" a="1"/>
  <c r="F482" i="29" s="1"/>
  <c r="B1101" i="29"/>
  <c r="F1101" i="29" s="1" a="1"/>
  <c r="F1101" i="29" s="1"/>
  <c r="B849" i="29"/>
  <c r="F849" i="29" s="1" a="1"/>
  <c r="F849" i="29" s="1"/>
  <c r="B458" i="29"/>
  <c r="F458" i="29" s="1" a="1"/>
  <c r="F458" i="29" s="1"/>
  <c r="B357" i="29"/>
  <c r="F357" i="29" s="1" a="1"/>
  <c r="F357" i="29" s="1"/>
  <c r="B1187" i="29"/>
  <c r="F1187" i="29" s="1" a="1"/>
  <c r="F1187" i="29" s="1"/>
  <c r="B470" i="29"/>
  <c r="F470" i="29" s="1" a="1"/>
  <c r="F470" i="29" s="1"/>
  <c r="B166" i="29"/>
  <c r="F166" i="29" s="1" a="1"/>
  <c r="F166" i="29" s="1"/>
  <c r="B476" i="29"/>
  <c r="F476" i="29" s="1" a="1"/>
  <c r="F476" i="29" s="1"/>
  <c r="B370" i="29"/>
  <c r="F370" i="29" s="1" a="1"/>
  <c r="F370" i="29" s="1"/>
  <c r="B1129" i="29"/>
  <c r="F1129" i="29" s="1" a="1"/>
  <c r="F1129" i="29" s="1"/>
  <c r="B781" i="29"/>
  <c r="F781" i="29" s="1" a="1"/>
  <c r="F781" i="29" s="1"/>
  <c r="B1159" i="29"/>
  <c r="F1159" i="29" s="1" a="1"/>
  <c r="F1159" i="29" s="1"/>
  <c r="B742" i="29"/>
  <c r="F742" i="29" s="1" a="1"/>
  <c r="F742" i="29" s="1"/>
  <c r="B178" i="29"/>
  <c r="F178" i="29" s="1" a="1"/>
  <c r="F178" i="29" s="1"/>
  <c r="B406" i="29"/>
  <c r="F406" i="29" s="1" a="1"/>
  <c r="F406" i="29" s="1"/>
  <c r="B1182" i="29"/>
  <c r="F1182" i="29" s="1" a="1"/>
  <c r="F1182" i="29" s="1"/>
  <c r="B730" i="29"/>
  <c r="F730" i="29" s="1" a="1"/>
  <c r="F730" i="29" s="1"/>
  <c r="B743" i="29"/>
  <c r="F743" i="29" s="1" a="1"/>
  <c r="F743" i="29" s="1"/>
  <c r="B769" i="29"/>
  <c r="F769" i="29" s="1" a="1"/>
  <c r="F769" i="29" s="1"/>
  <c r="B316" i="29"/>
  <c r="F316" i="29" s="1" a="1"/>
  <c r="F316" i="29" s="1"/>
  <c r="B521" i="29"/>
  <c r="F521" i="29" s="1" a="1"/>
  <c r="F521" i="29" s="1"/>
  <c r="B179" i="29"/>
  <c r="F179" i="29" s="1" a="1"/>
  <c r="F179" i="29" s="1"/>
  <c r="B322" i="29"/>
  <c r="F322" i="29" s="1" a="1"/>
  <c r="F322" i="29" s="1"/>
  <c r="B718" i="29"/>
  <c r="F718" i="29" s="1" a="1"/>
  <c r="F718" i="29" s="1"/>
  <c r="B351" i="29"/>
  <c r="F351" i="29" s="1" a="1"/>
  <c r="F351" i="29" s="1"/>
  <c r="B848" i="29"/>
  <c r="F848" i="29" s="1" a="1"/>
  <c r="F848" i="29" s="1"/>
  <c r="B1077" i="29"/>
  <c r="F1077" i="29" s="1" a="1"/>
  <c r="F1077" i="29" s="1"/>
  <c r="B464" i="29"/>
  <c r="F464" i="29" s="1" a="1"/>
  <c r="F464" i="29" s="1"/>
  <c r="B1193" i="29"/>
  <c r="F1193" i="29" s="1" a="1"/>
  <c r="F1193" i="29" s="1"/>
  <c r="B172" i="29"/>
  <c r="F172" i="29" s="1" a="1"/>
  <c r="F172" i="29" s="1"/>
  <c r="B842" i="29"/>
  <c r="F842" i="29" s="1" a="1"/>
  <c r="F842" i="29" s="1"/>
  <c r="B736" i="29"/>
  <c r="F736" i="29" s="1" a="1"/>
  <c r="F736" i="29" s="1"/>
  <c r="B1141" i="29"/>
  <c r="F1141" i="29" s="1" a="1"/>
  <c r="F1141" i="29" s="1"/>
  <c r="B793" i="29"/>
  <c r="F793" i="29" s="1" a="1"/>
  <c r="F793" i="29" s="1"/>
  <c r="B794" i="29"/>
  <c r="F794" i="29" s="1" a="1"/>
  <c r="F794" i="29" s="1"/>
  <c r="B531" i="29"/>
  <c r="F531" i="29" s="1" a="1"/>
  <c r="F531" i="29" s="1"/>
  <c r="B773" i="29"/>
  <c r="F773" i="29" s="1" a="1"/>
  <c r="F773" i="29" s="1"/>
  <c r="B371" i="29"/>
  <c r="F371" i="29" s="1" a="1"/>
  <c r="F371" i="29" s="1"/>
  <c r="B291" i="29"/>
  <c r="F291" i="29" s="1" a="1"/>
  <c r="F291" i="29" s="1"/>
  <c r="B430" i="29"/>
  <c r="F430" i="29" s="1" a="1"/>
  <c r="F430" i="29" s="1"/>
  <c r="B847" i="29"/>
  <c r="F847" i="29" s="1" a="1"/>
  <c r="F847" i="29" s="1"/>
  <c r="B1198" i="29"/>
  <c r="F1198" i="29" s="1" a="1"/>
  <c r="F1198" i="29" s="1"/>
  <c r="B1076" i="29"/>
  <c r="F1076" i="29" s="1" a="1"/>
  <c r="F1076" i="29" s="1"/>
  <c r="B1199" i="29"/>
  <c r="F1199" i="29" s="1" a="1"/>
  <c r="F1199" i="29" s="1"/>
  <c r="B425" i="29"/>
  <c r="F425" i="29" s="1" a="1"/>
  <c r="F425" i="29" s="1"/>
  <c r="B1186" i="29"/>
  <c r="F1186" i="29" s="1" a="1"/>
  <c r="F1186" i="29" s="1"/>
  <c r="B947" i="29"/>
  <c r="F947" i="29" s="1" a="1"/>
  <c r="F947" i="29" s="1"/>
  <c r="B483" i="29"/>
  <c r="F483" i="29" s="1" a="1"/>
  <c r="F483" i="29" s="1"/>
  <c r="B366" i="29"/>
  <c r="F366" i="29" s="1" a="1"/>
  <c r="F366" i="29" s="1"/>
  <c r="B1132" i="29"/>
  <c r="F1132" i="29" s="1" a="1"/>
  <c r="F1132" i="29" s="1"/>
  <c r="B525" i="29"/>
  <c r="F525" i="29" s="1" a="1"/>
  <c r="F525" i="29" s="1"/>
  <c r="B461" i="29"/>
  <c r="F461" i="29" s="1" a="1"/>
  <c r="F461" i="29" s="1"/>
  <c r="B344" i="29"/>
  <c r="F344" i="29" s="1" a="1"/>
  <c r="F344" i="29" s="1"/>
  <c r="B391" i="29"/>
  <c r="F391" i="29" s="1" a="1"/>
  <c r="F391" i="29" s="1"/>
  <c r="B761" i="29"/>
  <c r="F761" i="29" s="1" a="1"/>
  <c r="F761" i="29" s="1"/>
  <c r="B359" i="29"/>
  <c r="F359" i="29" s="1" a="1"/>
  <c r="F359" i="29" s="1"/>
  <c r="B180" i="29"/>
  <c r="F180" i="29" s="1" a="1"/>
  <c r="F180" i="29" s="1"/>
  <c r="B784" i="29"/>
  <c r="F784" i="29" s="1" a="1"/>
  <c r="F784" i="29" s="1"/>
  <c r="B1086" i="29"/>
  <c r="F1086" i="29" s="1" a="1"/>
  <c r="F1086" i="29" s="1"/>
  <c r="B717" i="29"/>
  <c r="F717" i="29" s="1" a="1"/>
  <c r="F717" i="29" s="1"/>
  <c r="B791" i="29"/>
  <c r="F791" i="29" s="1" a="1"/>
  <c r="F791" i="29" s="1"/>
  <c r="B342" i="29"/>
  <c r="F342" i="29" s="1" a="1"/>
  <c r="F342" i="29" s="1"/>
  <c r="B59" i="29"/>
  <c r="F59" i="29" s="1" a="1"/>
  <c r="F59" i="29" s="1"/>
  <c r="B481" i="29"/>
  <c r="F481" i="29" s="1" a="1"/>
  <c r="F481" i="29" s="1"/>
  <c r="B795" i="29"/>
  <c r="F795" i="29" s="1" a="1"/>
  <c r="F795" i="29" s="1"/>
  <c r="B955" i="29"/>
  <c r="F955" i="29" s="1" a="1"/>
  <c r="F955" i="29" s="1"/>
  <c r="B957" i="29"/>
  <c r="F957" i="29" s="1" a="1"/>
  <c r="F957" i="29" s="1"/>
  <c r="B1090" i="29"/>
  <c r="F1090" i="29" s="1" a="1"/>
  <c r="F1090" i="29" s="1"/>
  <c r="B1179" i="29"/>
  <c r="F1179" i="29" s="1" a="1"/>
  <c r="F1179" i="29" s="1"/>
  <c r="B723" i="29"/>
  <c r="F723" i="29" s="1" a="1"/>
  <c r="F723" i="29" s="1"/>
  <c r="B373" i="29"/>
  <c r="F373" i="29" s="1" a="1"/>
  <c r="F373" i="29" s="1"/>
  <c r="B309" i="29"/>
  <c r="F309" i="29" s="1" a="1"/>
  <c r="F309" i="29" s="1"/>
  <c r="B1160" i="29"/>
  <c r="F1160" i="29" s="1" a="1"/>
  <c r="F1160" i="29" s="1"/>
  <c r="B394" i="29"/>
  <c r="F394" i="29" s="1" a="1"/>
  <c r="F394" i="29" s="1"/>
  <c r="B311" i="29"/>
  <c r="F311" i="29" s="1" a="1"/>
  <c r="F311" i="29" s="1"/>
  <c r="B780" i="29"/>
  <c r="F780" i="29" s="1" a="1"/>
  <c r="F780" i="29" s="1"/>
  <c r="B300" i="29"/>
  <c r="F300" i="29" s="1" a="1"/>
  <c r="F300" i="29" s="1"/>
  <c r="B735" i="29"/>
  <c r="F735" i="29" s="1" a="1"/>
  <c r="F735" i="29" s="1"/>
  <c r="B1189" i="29"/>
  <c r="F1189" i="29" s="1" a="1"/>
  <c r="F1189" i="29" s="1"/>
  <c r="B962" i="29"/>
  <c r="F962" i="29" s="1" a="1"/>
  <c r="F962" i="29" s="1"/>
  <c r="B367" i="29"/>
  <c r="F367" i="29" s="1" a="1"/>
  <c r="F367" i="29" s="1"/>
  <c r="B417" i="29"/>
  <c r="F417" i="29" s="1" a="1"/>
  <c r="F417" i="29" s="1"/>
  <c r="B1128" i="29"/>
  <c r="F1128" i="29" s="1" a="1"/>
  <c r="F1128" i="29" s="1"/>
  <c r="B1210" i="29"/>
  <c r="F1210" i="29" s="1" a="1"/>
  <c r="F1210" i="29" s="1"/>
  <c r="B766" i="29"/>
  <c r="F766" i="29" s="1" a="1"/>
  <c r="F766" i="29" s="1"/>
  <c r="B472" i="29"/>
  <c r="F472" i="29" s="1" a="1"/>
  <c r="F472" i="29" s="1"/>
  <c r="B770" i="29"/>
  <c r="F770" i="29" s="1" a="1"/>
  <c r="F770" i="29" s="1"/>
  <c r="B1092" i="29"/>
  <c r="F1092" i="29" s="1" a="1"/>
  <c r="F1092" i="29" s="1"/>
  <c r="B61" i="29"/>
  <c r="F61" i="29" s="1" a="1"/>
  <c r="F61" i="29" s="1"/>
  <c r="B772" i="29"/>
  <c r="F772" i="29" s="1" a="1"/>
  <c r="F772" i="29" s="1"/>
  <c r="B422" i="29"/>
  <c r="F422" i="29" s="1" a="1"/>
  <c r="F422" i="29" s="1"/>
  <c r="B312" i="29"/>
  <c r="F312" i="29" s="1" a="1"/>
  <c r="F312" i="29" s="1"/>
  <c r="B449" i="29"/>
  <c r="F449" i="29" s="1" a="1"/>
  <c r="F449" i="29" s="1"/>
  <c r="B523" i="29"/>
  <c r="F523" i="29" s="1" a="1"/>
  <c r="F523" i="29" s="1"/>
  <c r="B396" i="29"/>
  <c r="F396" i="29" s="1" a="1"/>
  <c r="F396" i="29" s="1"/>
  <c r="B1151" i="29"/>
  <c r="F1151" i="29" s="1" a="1"/>
  <c r="F1151" i="29" s="1"/>
  <c r="B397" i="29"/>
  <c r="F397" i="29" s="1" a="1"/>
  <c r="F397" i="29" s="1"/>
  <c r="B324" i="29"/>
  <c r="F324" i="29" s="1" a="1"/>
  <c r="F324" i="29" s="1"/>
  <c r="B768" i="29"/>
  <c r="F768" i="29" s="1" a="1"/>
  <c r="F768" i="29" s="1"/>
  <c r="B964" i="29"/>
  <c r="F964" i="29" s="1" a="1"/>
  <c r="F964" i="29" s="1"/>
  <c r="B319" i="29"/>
  <c r="F319" i="29" s="1" a="1"/>
  <c r="F319" i="29" s="1"/>
  <c r="B951" i="29"/>
  <c r="F951" i="29" s="1" a="1"/>
  <c r="F951" i="29" s="1"/>
  <c r="B1188" i="29"/>
  <c r="F1188" i="29" s="1" a="1"/>
  <c r="F1188" i="29" s="1"/>
  <c r="B463" i="29"/>
  <c r="F463" i="29" s="1" a="1"/>
  <c r="F463" i="29" s="1"/>
  <c r="B459" i="29"/>
  <c r="F459" i="29" s="1" a="1"/>
  <c r="F459" i="29" s="1"/>
  <c r="B173" i="29"/>
  <c r="F173" i="29" s="1" a="1"/>
  <c r="F173" i="29" s="1"/>
  <c r="B364" i="29"/>
  <c r="F364" i="29" s="1" a="1"/>
  <c r="F364" i="29" s="1"/>
  <c r="B715" i="29"/>
  <c r="F715" i="29" s="1" a="1"/>
  <c r="F715" i="29" s="1"/>
  <c r="B1192" i="29"/>
  <c r="F1192" i="29" s="1" a="1"/>
  <c r="F1192" i="29" s="1"/>
  <c r="B524" i="29"/>
  <c r="F524" i="29" s="1" a="1"/>
  <c r="F524" i="29" s="1"/>
  <c r="B348" i="29"/>
  <c r="F348" i="29" s="1" a="1"/>
  <c r="F348" i="29" s="1"/>
  <c r="B732" i="29"/>
  <c r="F732" i="29" s="1" a="1"/>
  <c r="F732" i="29" s="1"/>
  <c r="B358" i="29"/>
  <c r="F358" i="29" s="1" a="1"/>
  <c r="F358" i="29" s="1"/>
  <c r="B535" i="29"/>
  <c r="F535" i="29" s="1" a="1"/>
  <c r="F535" i="29" s="1"/>
  <c r="B340" i="29"/>
  <c r="F340" i="29" s="1" a="1"/>
  <c r="F340" i="29" s="1"/>
  <c r="B477" i="29"/>
  <c r="F477" i="29" s="1" a="1"/>
  <c r="F477" i="29" s="1"/>
  <c r="B1194" i="29"/>
  <c r="F1194" i="29" s="1" a="1"/>
  <c r="F1194" i="29" s="1"/>
  <c r="B1195" i="29"/>
  <c r="F1195" i="29" s="1" a="1"/>
  <c r="F1195" i="29" s="1"/>
  <c r="B714" i="29"/>
  <c r="F714" i="29" s="1" a="1"/>
  <c r="F714" i="29" s="1"/>
  <c r="B520" i="29"/>
  <c r="F520" i="29" s="1" a="1"/>
  <c r="F520" i="29" s="1"/>
  <c r="B168" i="29"/>
  <c r="F168" i="29" s="1" a="1"/>
  <c r="F168" i="29" s="1"/>
  <c r="B786" i="29"/>
  <c r="F786" i="29" s="1" a="1"/>
  <c r="F786" i="29" s="1"/>
  <c r="B744" i="29"/>
  <c r="F744" i="29" s="1" a="1"/>
  <c r="F744" i="29" s="1"/>
  <c r="B726" i="29"/>
  <c r="F726" i="29" s="1" a="1"/>
  <c r="F726" i="29" s="1"/>
  <c r="B1148" i="29"/>
  <c r="F1148" i="29" s="1" a="1"/>
  <c r="F1148" i="29" s="1"/>
  <c r="B960" i="29"/>
  <c r="F960" i="29" s="1" a="1"/>
  <c r="F960" i="29" s="1"/>
  <c r="B181" i="29"/>
  <c r="F181" i="29" s="1" a="1"/>
  <c r="F181" i="29" s="1"/>
  <c r="B465" i="29"/>
  <c r="F465" i="29" s="1" a="1"/>
  <c r="F465" i="29" s="1"/>
  <c r="B948" i="29"/>
  <c r="F948" i="29" s="1" a="1"/>
  <c r="F948" i="29" s="1"/>
  <c r="B58" i="29"/>
  <c r="F58" i="29" s="1" a="1"/>
  <c r="F58" i="29" s="1"/>
  <c r="B353" i="29"/>
  <c r="F353" i="29" s="1" a="1"/>
  <c r="F353" i="29" s="1"/>
  <c r="B403" i="29"/>
  <c r="F403" i="29" s="1" a="1"/>
  <c r="F403" i="29" s="1"/>
  <c r="B339" i="29"/>
  <c r="F339" i="29" s="1" a="1"/>
  <c r="F339" i="29" s="1"/>
  <c r="B1200" i="29"/>
  <c r="F1200" i="29" s="1" a="1"/>
  <c r="F1200" i="29" s="1"/>
  <c r="B1084" i="29"/>
  <c r="F1084" i="29" s="1" a="1"/>
  <c r="F1084" i="29" s="1"/>
  <c r="B354" i="29"/>
  <c r="F354" i="29" s="1" a="1"/>
  <c r="F354" i="29" s="1"/>
  <c r="B1174" i="29"/>
  <c r="F1174" i="29" s="1" a="1"/>
  <c r="F1174" i="29" s="1"/>
  <c r="B165" i="29"/>
  <c r="F165" i="29" s="1" a="1"/>
  <c r="F165" i="29" s="1"/>
  <c r="B729" i="29"/>
  <c r="F729" i="29" s="1" a="1"/>
  <c r="F729" i="29" s="1"/>
  <c r="B299" i="29"/>
  <c r="F299" i="29" s="1" a="1"/>
  <c r="F299" i="29" s="1"/>
  <c r="B1083" i="29"/>
  <c r="F1083" i="29" s="1" a="1"/>
  <c r="F1083" i="29" s="1"/>
  <c r="B783" i="29"/>
  <c r="F783" i="29" s="1" a="1"/>
  <c r="F783" i="29" s="1"/>
  <c r="B1103" i="29"/>
  <c r="F1103" i="29" s="1" a="1"/>
  <c r="F1103" i="29" s="1"/>
  <c r="B961" i="29"/>
  <c r="F961" i="29" s="1" a="1"/>
  <c r="F961" i="29" s="1"/>
  <c r="B1206" i="29"/>
  <c r="F1206" i="29" s="1" a="1"/>
  <c r="F1206" i="29" s="1"/>
  <c r="B398" i="29"/>
  <c r="F398" i="29" s="1" a="1"/>
  <c r="F398" i="29" s="1"/>
  <c r="B532" i="29"/>
  <c r="F532" i="29" s="1" a="1"/>
  <c r="F532" i="29" s="1"/>
  <c r="B163" i="29"/>
  <c r="F163" i="29" s="1" a="1"/>
  <c r="F163" i="29" s="1"/>
  <c r="B306" i="29"/>
  <c r="F306" i="29" s="1" a="1"/>
  <c r="F306" i="29" s="1"/>
  <c r="B1080" i="29"/>
  <c r="F1080" i="29" s="1" a="1"/>
  <c r="F1080" i="29" s="1"/>
  <c r="B720" i="29"/>
  <c r="F720" i="29" s="1" a="1"/>
  <c r="F720" i="29" s="1"/>
  <c r="B411" i="29"/>
  <c r="F411" i="29" s="1" a="1"/>
  <c r="F411" i="29" s="1"/>
  <c r="B345" i="29"/>
  <c r="F345" i="29" s="1" a="1"/>
  <c r="F345" i="29" s="1"/>
  <c r="B302" i="29"/>
  <c r="F302" i="29" s="1" a="1"/>
  <c r="F302" i="29" s="1"/>
  <c r="B471" i="29"/>
  <c r="F471" i="29" s="1" a="1"/>
  <c r="F471" i="29" s="1"/>
  <c r="B1207" i="29"/>
  <c r="F1207" i="29" s="1" a="1"/>
  <c r="F1207" i="29" s="1"/>
  <c r="B321" i="29"/>
  <c r="F321" i="29" s="1" a="1"/>
  <c r="F321" i="29" s="1"/>
  <c r="B762" i="29"/>
  <c r="F762" i="29" s="1" a="1"/>
  <c r="F762" i="29" s="1"/>
  <c r="B1091" i="29"/>
  <c r="F1091" i="29" s="1" a="1"/>
  <c r="F1091" i="29" s="1"/>
  <c r="B415" i="29"/>
  <c r="F415" i="29" s="1" a="1"/>
  <c r="F415" i="29" s="1"/>
  <c r="B530" i="29"/>
  <c r="F530" i="29" s="1" a="1"/>
  <c r="F530" i="29" s="1"/>
  <c r="B466" i="29"/>
  <c r="F466" i="29" s="1" a="1"/>
  <c r="F466" i="29" s="1"/>
  <c r="B448" i="29"/>
  <c r="F448" i="29" s="1" a="1"/>
  <c r="F448" i="29" s="1"/>
  <c r="B1181" i="29"/>
  <c r="F1181" i="29" s="1" a="1"/>
  <c r="F1181" i="29" s="1"/>
  <c r="B760" i="29"/>
  <c r="F760" i="29" s="1" a="1"/>
  <c r="F760" i="29" s="1"/>
  <c r="B798" i="29"/>
  <c r="F798" i="29" s="1" a="1"/>
  <c r="F798" i="29" s="1"/>
  <c r="B716" i="29"/>
  <c r="F716" i="29" s="1" a="1"/>
  <c r="F716" i="29" s="1"/>
  <c r="B1088" i="29"/>
  <c r="F1088" i="29" s="1" a="1"/>
  <c r="F1088" i="29" s="1"/>
  <c r="B424" i="29"/>
  <c r="F424" i="29" s="1" a="1"/>
  <c r="F424" i="29" s="1"/>
  <c r="B401" i="29"/>
  <c r="F401" i="29" s="1" a="1"/>
  <c r="F401" i="29" s="1"/>
  <c r="B1157" i="29"/>
  <c r="F1157" i="29" s="1" a="1"/>
  <c r="F1157" i="29" s="1"/>
  <c r="B788" i="29"/>
  <c r="F788" i="29" s="1" a="1"/>
  <c r="F788" i="29" s="1"/>
  <c r="B360" i="29"/>
  <c r="F360" i="29" s="1" a="1"/>
  <c r="F360" i="29" s="1"/>
  <c r="B1208" i="29"/>
  <c r="F1208" i="29" s="1" a="1"/>
  <c r="F1208" i="29" s="1"/>
  <c r="B176" i="29"/>
  <c r="F176" i="29" s="1" a="1"/>
  <c r="F176" i="29" s="1"/>
  <c r="B1104" i="29"/>
  <c r="F1104" i="29" s="1" a="1"/>
  <c r="F1104" i="29" s="1"/>
  <c r="B534" i="29"/>
  <c r="F534" i="29" s="1" a="1"/>
  <c r="F534" i="29" s="1"/>
  <c r="B418" i="29"/>
  <c r="F418" i="29" s="1" a="1"/>
  <c r="F418" i="29" s="1"/>
  <c r="B454" i="29"/>
  <c r="F454" i="29" s="1" a="1"/>
  <c r="F454" i="29" s="1"/>
  <c r="B409" i="29"/>
  <c r="F409" i="29" s="1" a="1"/>
  <c r="F409" i="29" s="1"/>
  <c r="B738" i="29"/>
  <c r="F738" i="29" s="1" a="1"/>
  <c r="F738" i="29" s="1"/>
  <c r="B402" i="29"/>
  <c r="F402" i="29" s="1" a="1"/>
  <c r="F402" i="29" s="1"/>
  <c r="B764" i="29"/>
  <c r="F764" i="29" s="1" a="1"/>
  <c r="F764" i="29" s="1"/>
  <c r="B1097" i="29"/>
  <c r="F1097" i="29" s="1" a="1"/>
  <c r="F1097" i="29" s="1"/>
  <c r="B1137" i="29"/>
  <c r="F1137" i="29" s="1" a="1"/>
  <c r="F1137" i="29" s="1"/>
  <c r="B536" i="29"/>
  <c r="F536" i="29" s="1" a="1"/>
  <c r="F536" i="29" s="1"/>
  <c r="B1183" i="29"/>
  <c r="F1183" i="29" s="1" a="1"/>
  <c r="F1183" i="29" s="1"/>
  <c r="B1146" i="29"/>
  <c r="F1146" i="29" s="1" a="1"/>
  <c r="F1146" i="29" s="1"/>
  <c r="B851" i="29"/>
  <c r="F851" i="29" s="1" a="1"/>
  <c r="F851" i="29" s="1"/>
  <c r="B725" i="29"/>
  <c r="F725" i="29" s="1" a="1"/>
  <c r="F725" i="29" s="1"/>
  <c r="B301" i="29"/>
  <c r="F301" i="29" s="1" a="1"/>
  <c r="F301" i="29" s="1"/>
  <c r="B428" i="29"/>
  <c r="F428" i="29" s="1" a="1"/>
  <c r="F428" i="29" s="1"/>
  <c r="B733" i="29"/>
  <c r="F733" i="29" s="1" a="1"/>
  <c r="F733" i="29" s="1"/>
  <c r="B789" i="29"/>
  <c r="F789" i="29" s="1" a="1"/>
  <c r="F789" i="29" s="1"/>
  <c r="B1212" i="29"/>
  <c r="F1212" i="29" s="1" a="1"/>
  <c r="F1212" i="29" s="1"/>
  <c r="B778" i="29"/>
  <c r="F778" i="29" s="1" a="1"/>
  <c r="F778" i="29" s="1"/>
  <c r="B1173" i="29"/>
  <c r="F1173" i="29" s="1" a="1"/>
  <c r="F1173" i="29" s="1"/>
  <c r="B1203" i="29"/>
  <c r="F1203" i="29" s="1" a="1"/>
  <c r="F1203" i="29" s="1"/>
  <c r="B467" i="29"/>
  <c r="F467" i="29" s="1" a="1"/>
  <c r="F467" i="29" s="1"/>
  <c r="B958" i="29"/>
  <c r="F958" i="29" s="1" a="1"/>
  <c r="F958" i="29" s="1"/>
  <c r="B1096" i="29"/>
  <c r="F1096" i="29" s="1" a="1"/>
  <c r="F1096" i="29" s="1"/>
  <c r="B361" i="29"/>
  <c r="F361" i="29" s="1" a="1"/>
  <c r="F361" i="29" s="1"/>
  <c r="B1136" i="29"/>
  <c r="F1136" i="29" s="1" a="1"/>
  <c r="F1136" i="29" s="1"/>
  <c r="B413" i="29"/>
  <c r="F413" i="29" s="1" a="1"/>
  <c r="F413" i="29" s="1"/>
  <c r="B169" i="29"/>
  <c r="F169" i="29" s="1" a="1"/>
  <c r="F169" i="29" s="1"/>
  <c r="B349" i="29"/>
  <c r="F349" i="29" s="1" a="1"/>
  <c r="F349" i="29" s="1"/>
  <c r="B455" i="29"/>
  <c r="F455" i="29" s="1" a="1"/>
  <c r="F455" i="29" s="1"/>
  <c r="B852" i="29"/>
  <c r="F852" i="29" s="1" a="1"/>
  <c r="F852" i="29" s="1"/>
  <c r="B473" i="29"/>
  <c r="F473" i="29" s="1" a="1"/>
  <c r="F473" i="29" s="1"/>
  <c r="B1201" i="29"/>
  <c r="F1201" i="29" s="1" a="1"/>
  <c r="F1201" i="29" s="1"/>
  <c r="B843" i="29"/>
  <c r="F843" i="29" s="1" a="1"/>
  <c r="F843" i="29" s="1"/>
  <c r="B963" i="29"/>
  <c r="F963" i="29" s="1" a="1"/>
  <c r="F963" i="29" s="1"/>
  <c r="B1120" i="29"/>
  <c r="F1120" i="29" s="1" a="1"/>
  <c r="F1120" i="29" s="1"/>
  <c r="B297" i="29"/>
  <c r="F297" i="29" s="1" a="1"/>
  <c r="F297" i="29" s="1"/>
  <c r="B727" i="29"/>
  <c r="F727" i="29" s="1" a="1"/>
  <c r="F727" i="29" s="1"/>
  <c r="B1184" i="29"/>
  <c r="F1184" i="29" s="1" a="1"/>
  <c r="F1184" i="29" s="1"/>
  <c r="B170" i="29"/>
  <c r="F170" i="29" s="1" a="1"/>
  <c r="F170" i="29" s="1"/>
  <c r="B850" i="29"/>
  <c r="F850" i="29" s="1" a="1"/>
  <c r="F850" i="29" s="1"/>
  <c r="B1130" i="29"/>
  <c r="F1130" i="29" s="1" a="1"/>
  <c r="F1130" i="29" s="1"/>
  <c r="B320" i="29"/>
  <c r="F320" i="29" s="1" a="1"/>
  <c r="F320" i="29" s="1"/>
  <c r="B478" i="29"/>
  <c r="F478" i="29" s="1" a="1"/>
  <c r="F478" i="29" s="1"/>
  <c r="B419" i="29"/>
  <c r="F419" i="29" s="1" a="1"/>
  <c r="F419" i="29" s="1"/>
  <c r="B346" i="29"/>
  <c r="F346" i="29" s="1" a="1"/>
  <c r="F346" i="29" s="1"/>
  <c r="B785" i="29"/>
  <c r="F785" i="29" s="1" a="1"/>
  <c r="F785" i="29" s="1"/>
  <c r="B1081" i="29"/>
  <c r="F1081" i="29" s="1" a="1"/>
  <c r="F1081" i="29" s="1"/>
  <c r="B722" i="29"/>
  <c r="F722" i="29" s="1" a="1"/>
  <c r="F722" i="29" s="1"/>
  <c r="B1204" i="29"/>
  <c r="F1204" i="29" s="1" a="1"/>
  <c r="F1204" i="29" s="1"/>
  <c r="B1098" i="29"/>
  <c r="F1098" i="29" s="1" a="1"/>
  <c r="F1098" i="29" s="1"/>
  <c r="B1099" i="29"/>
  <c r="F1099" i="29" s="1" a="1"/>
  <c r="F1099" i="29" s="1"/>
  <c r="B468" i="29"/>
  <c r="F468" i="29" s="1" a="1"/>
  <c r="F468" i="29" s="1"/>
  <c r="B846" i="29"/>
  <c r="F846" i="29" s="1" a="1"/>
  <c r="F846" i="29" s="1"/>
  <c r="B1123" i="29"/>
  <c r="F1123" i="29" s="1" a="1"/>
  <c r="F1123" i="29" s="1"/>
  <c r="B1093" i="29"/>
  <c r="F1093" i="29" s="1" a="1"/>
  <c r="F1093" i="29" s="1"/>
  <c r="B1126" i="29"/>
  <c r="F1126" i="29" s="1" a="1"/>
  <c r="F1126" i="29" s="1"/>
  <c r="B294" i="29"/>
  <c r="F294" i="29" s="1" a="1"/>
  <c r="F294" i="29" s="1"/>
  <c r="B774" i="29"/>
  <c r="F774" i="29" s="1" a="1"/>
  <c r="F774" i="29" s="1"/>
  <c r="B462" i="29"/>
  <c r="F462" i="29" s="1" a="1"/>
  <c r="F462" i="29" s="1"/>
  <c r="B1142" i="29"/>
  <c r="F1142" i="29" s="1" a="1"/>
  <c r="F1142" i="29" s="1"/>
  <c r="B356" i="29"/>
  <c r="F356" i="29" s="1" a="1"/>
  <c r="F356" i="29" s="1"/>
  <c r="B315" i="29"/>
  <c r="F315" i="29" s="1" a="1"/>
  <c r="F315" i="29" s="1"/>
  <c r="B1074" i="29"/>
  <c r="F1074" i="29" s="1" a="1"/>
  <c r="F1074" i="29" s="1"/>
  <c r="B175" i="29"/>
  <c r="F175" i="29" s="1" a="1"/>
  <c r="F175" i="29" s="1"/>
  <c r="B317" i="29"/>
  <c r="F317" i="29" s="1" a="1"/>
  <c r="F317" i="29" s="1"/>
  <c r="B60" i="29"/>
  <c r="F60" i="29" s="1" a="1"/>
  <c r="F60" i="29" s="1"/>
  <c r="B1202" i="29"/>
  <c r="F1202" i="29" s="1" a="1"/>
  <c r="F1202" i="29" s="1"/>
  <c r="B771" i="29"/>
  <c r="F771" i="29" s="1" a="1"/>
  <c r="F771" i="29" s="1"/>
  <c r="B1122" i="29"/>
  <c r="F1122" i="29" s="1" a="1"/>
  <c r="F1122" i="29" s="1"/>
  <c r="B1102" i="29"/>
  <c r="F1102" i="29" s="1" a="1"/>
  <c r="F1102" i="29" s="1"/>
  <c r="B453" i="29"/>
  <c r="F453" i="29" s="1" a="1"/>
  <c r="F453" i="29" s="1"/>
  <c r="B740" i="29"/>
  <c r="F740" i="29" s="1" a="1"/>
  <c r="F740" i="29" s="1"/>
  <c r="B1133" i="29"/>
  <c r="F1133" i="29" s="1" a="1"/>
  <c r="F1133" i="29" s="1"/>
  <c r="B1127" i="29"/>
  <c r="F1127" i="29" s="1" a="1"/>
  <c r="F1127" i="29" s="1"/>
  <c r="B338" i="29"/>
  <c r="F338" i="29" s="1" a="1"/>
  <c r="F338" i="29" s="1"/>
  <c r="B1106" i="29"/>
  <c r="F1106" i="29" s="1" a="1"/>
  <c r="F1106" i="29" s="1"/>
  <c r="B304" i="29"/>
  <c r="F304" i="29" s="1" a="1"/>
  <c r="F304" i="29" s="1"/>
  <c r="B1131" i="29"/>
  <c r="F1131" i="29" s="1" a="1"/>
  <c r="F1131" i="29" s="1"/>
  <c r="B1175" i="29"/>
  <c r="F1175" i="29" s="1" a="1"/>
  <c r="F1175" i="29" s="1"/>
  <c r="B368" i="29"/>
  <c r="F368" i="29" s="1" a="1"/>
  <c r="F368" i="29" s="1"/>
  <c r="B484" i="29"/>
  <c r="F484" i="29" s="1" a="1"/>
  <c r="F484" i="29" s="1"/>
  <c r="B965" i="29"/>
  <c r="F965" i="29" s="1" a="1"/>
  <c r="F965" i="29" s="1"/>
  <c r="B308" i="29"/>
  <c r="F308" i="29" s="1" a="1"/>
  <c r="F308" i="29" s="1"/>
  <c r="B392" i="29"/>
  <c r="F392" i="29" s="1" a="1"/>
  <c r="F392" i="29" s="1"/>
  <c r="B1156" i="29"/>
  <c r="F1156" i="29" s="1" a="1"/>
  <c r="F1156" i="29" s="1"/>
  <c r="B416" i="29"/>
  <c r="F416" i="29" s="1" a="1"/>
  <c r="F416" i="29" s="1"/>
  <c r="B1134" i="29"/>
  <c r="F1134" i="29" s="1" a="1"/>
  <c r="F1134" i="29" s="1"/>
  <c r="B1197" i="29"/>
  <c r="F1197" i="29" s="1" a="1"/>
  <c r="F1197" i="29" s="1"/>
  <c r="B310" i="29"/>
  <c r="F310" i="29" s="1" a="1"/>
  <c r="F310" i="29" s="1"/>
  <c r="B737" i="29"/>
  <c r="F737" i="29" s="1" a="1"/>
  <c r="F737" i="29" s="1"/>
  <c r="B765" i="29"/>
  <c r="F765" i="29" s="1" a="1"/>
  <c r="F765" i="29" s="1"/>
  <c r="B952" i="29"/>
  <c r="F952" i="29" s="1" a="1"/>
  <c r="F952" i="29" s="1"/>
  <c r="B721" i="29"/>
  <c r="F721" i="29" s="1" a="1"/>
  <c r="F721" i="29" s="1"/>
  <c r="B404" i="29"/>
  <c r="F404" i="29" s="1" a="1"/>
  <c r="F404" i="29" s="1"/>
  <c r="B171" i="29"/>
  <c r="F171" i="29" s="1" a="1"/>
  <c r="F171" i="29" s="1"/>
  <c r="B314" i="29"/>
  <c r="F314" i="29" s="1" a="1"/>
  <c r="F314" i="29" s="1"/>
  <c r="B1094" i="29"/>
  <c r="F1094" i="29" s="1" a="1"/>
  <c r="F1094" i="29" s="1"/>
  <c r="B731" i="29"/>
  <c r="F731" i="29" s="1" a="1"/>
  <c r="F731" i="29" s="1"/>
  <c r="B777" i="29"/>
  <c r="F777" i="29" s="1" a="1"/>
  <c r="F777" i="29" s="1"/>
  <c r="B1079" i="29"/>
  <c r="F1079" i="29" s="1" a="1"/>
  <c r="F1079" i="29" s="1"/>
  <c r="B728" i="29"/>
  <c r="F728" i="29" s="1" a="1"/>
  <c r="F728" i="29" s="1"/>
  <c r="B522" i="29"/>
  <c r="F522" i="29" s="1" a="1"/>
  <c r="F522" i="29" s="1"/>
  <c r="B1178" i="29"/>
  <c r="F1178" i="29" s="1" a="1"/>
  <c r="F1178" i="29" s="1"/>
  <c r="B65" i="29"/>
  <c r="F65" i="29" s="1" a="1"/>
  <c r="F65" i="29" s="1"/>
  <c r="B347" i="29"/>
  <c r="F347" i="29" s="1" a="1"/>
  <c r="F347" i="29" s="1"/>
  <c r="B355" i="29"/>
  <c r="F355" i="29" s="1" a="1"/>
  <c r="F355" i="29" s="1"/>
  <c r="B292" i="29"/>
  <c r="F292" i="29" s="1" a="1"/>
  <c r="F292" i="29" s="1"/>
  <c r="B64" i="29"/>
  <c r="F64" i="29" s="1" a="1"/>
  <c r="F64" i="29" s="1"/>
  <c r="B446" i="29"/>
  <c r="F446" i="29" s="1" a="1"/>
  <c r="F446" i="29" s="1"/>
  <c r="B407" i="29"/>
  <c r="F407" i="29" s="1" a="1"/>
  <c r="F407" i="29" s="1"/>
  <c r="B421" i="29"/>
  <c r="F421" i="29" s="1" a="1"/>
  <c r="F421" i="29" s="1"/>
  <c r="B953" i="29"/>
  <c r="F953" i="29" s="1" a="1"/>
  <c r="F953" i="29" s="1"/>
  <c r="B63" i="29"/>
  <c r="F63" i="29" s="1" a="1"/>
  <c r="F63" i="29" s="1"/>
  <c r="B174" i="29"/>
  <c r="F174" i="29" s="1" a="1"/>
  <c r="F174" i="29" s="1"/>
  <c r="B1100" i="29"/>
  <c r="F1100" i="29" s="1" a="1"/>
  <c r="F1100" i="29" s="1"/>
  <c r="B56" i="29"/>
  <c r="F56" i="29" s="1" a="1"/>
  <c r="F56" i="29" s="1"/>
  <c r="B954" i="29"/>
  <c r="F954" i="29" s="1" a="1"/>
  <c r="F954" i="29" s="1"/>
  <c r="B1078" i="29"/>
  <c r="F1078" i="29" s="1" a="1"/>
  <c r="F1078" i="29" s="1"/>
  <c r="B457" i="29"/>
  <c r="F457" i="29" s="1" a="1"/>
  <c r="F457" i="29" s="1"/>
  <c r="B779" i="29"/>
  <c r="F779" i="29" s="1" a="1"/>
  <c r="F779" i="29" s="1"/>
  <c r="B177" i="29"/>
  <c r="F177" i="29" s="1" a="1"/>
  <c r="F177" i="29" s="1"/>
  <c r="B307" i="29"/>
  <c r="F307" i="29" s="1" a="1"/>
  <c r="F307" i="29" s="1"/>
  <c r="B1176" i="29"/>
  <c r="F1176" i="29" s="1" a="1"/>
  <c r="F1176" i="29" s="1"/>
  <c r="B450" i="29"/>
  <c r="F450" i="29" s="1" a="1"/>
  <c r="F450" i="29" s="1"/>
  <c r="B290" i="29"/>
  <c r="F290" i="29" s="1" a="1"/>
  <c r="F290" i="29" s="1"/>
  <c r="B57" i="29"/>
  <c r="F57" i="29" s="1" a="1"/>
  <c r="F57" i="29" s="1"/>
  <c r="B352" i="29"/>
  <c r="F352" i="29" s="1" a="1"/>
  <c r="F352" i="29" s="1"/>
  <c r="B1190" i="29"/>
  <c r="F1190" i="29" s="1" a="1"/>
  <c r="F1190" i="29" s="1"/>
  <c r="B739" i="29"/>
  <c r="F739" i="29" s="1" a="1"/>
  <c r="F739" i="29" s="1"/>
  <c r="B1087" i="29"/>
  <c r="F1087" i="29" s="1" a="1"/>
  <c r="F1087" i="29" s="1"/>
  <c r="B1105" i="29"/>
  <c r="F1105" i="29" s="1" a="1"/>
  <c r="F1105" i="29" s="1"/>
  <c r="B323" i="29"/>
  <c r="F323" i="29" s="1" a="1"/>
  <c r="F323" i="29" s="1"/>
  <c r="B1121" i="29"/>
  <c r="F1121" i="29" s="1" a="1"/>
  <c r="F1121" i="29" s="1"/>
  <c r="B741" i="29"/>
  <c r="F741" i="29" s="1" a="1"/>
  <c r="F741" i="29" s="1"/>
  <c r="B1152" i="29"/>
  <c r="F1152" i="29" s="1" a="1"/>
  <c r="F1152" i="29" s="1"/>
  <c r="B1143" i="29"/>
  <c r="F1143" i="29" s="1" a="1"/>
  <c r="F1143" i="29" s="1"/>
  <c r="B298" i="29"/>
  <c r="F298" i="29" s="1" a="1"/>
  <c r="F298" i="29" s="1"/>
  <c r="B469" i="29"/>
  <c r="F469" i="29" s="1" a="1"/>
  <c r="F469" i="29" s="1"/>
  <c r="B782" i="29"/>
  <c r="F782" i="29" s="1" a="1"/>
  <c r="F782" i="29" s="1"/>
  <c r="B318" i="29"/>
  <c r="F318" i="29" s="1" a="1"/>
  <c r="F318" i="29" s="1"/>
  <c r="B341" i="29"/>
  <c r="F341" i="29" s="1" a="1"/>
  <c r="F341" i="29" s="1"/>
  <c r="B374" i="29"/>
  <c r="F374" i="29" s="1" a="1"/>
  <c r="F374" i="29" s="1"/>
  <c r="B1124" i="29"/>
  <c r="F1124" i="29" s="1" a="1"/>
  <c r="F1124" i="29" s="1"/>
  <c r="B452" i="29"/>
  <c r="F452" i="29" s="1" a="1"/>
  <c r="F452" i="29" s="1"/>
  <c r="B410" i="29"/>
  <c r="F410" i="29" s="1" a="1"/>
  <c r="F410" i="29" s="1"/>
  <c r="B1150" i="29"/>
  <c r="F1150" i="29" s="1" a="1"/>
  <c r="F1150" i="29" s="1"/>
  <c r="B1107" i="29"/>
  <c r="F1107" i="29" s="1" a="1"/>
  <c r="F1107" i="29" s="1"/>
  <c r="B1145" i="29"/>
  <c r="F1145" i="29" s="1" a="1"/>
  <c r="F1145" i="29" s="1"/>
  <c r="B1144" i="29"/>
  <c r="F1144" i="29" s="1" a="1"/>
  <c r="F1144" i="29" s="1"/>
  <c r="B518" i="29"/>
  <c r="F518" i="29" s="1" a="1"/>
  <c r="F518" i="29" s="1"/>
  <c r="B479" i="29"/>
  <c r="F479" i="29" s="1" a="1"/>
  <c r="F479" i="29" s="1"/>
  <c r="B1140" i="29"/>
  <c r="F1140" i="29" s="1" a="1"/>
  <c r="F1140" i="29" s="1"/>
  <c r="B296" i="29"/>
  <c r="F296" i="29" s="1" a="1"/>
  <c r="F296" i="29" s="1"/>
  <c r="B959" i="29"/>
  <c r="F959" i="29" s="1" a="1"/>
  <c r="F959" i="29" s="1"/>
  <c r="B66" i="29"/>
  <c r="F66" i="29" s="1" a="1"/>
  <c r="F66" i="29" s="1"/>
  <c r="B372" i="29"/>
  <c r="F372" i="29" s="1" a="1"/>
  <c r="F372" i="29" s="1"/>
  <c r="B792" i="29"/>
  <c r="F792" i="29" s="1" a="1"/>
  <c r="F792" i="29" s="1"/>
  <c r="B451" i="29"/>
  <c r="F451" i="29" s="1" a="1"/>
  <c r="F451" i="29" s="1"/>
  <c r="B1158" i="29"/>
  <c r="F1158" i="29" s="1" a="1"/>
  <c r="F1158" i="29" s="1"/>
  <c r="B1108" i="29"/>
  <c r="F1108" i="29" s="1" a="1"/>
  <c r="F1108" i="29" s="1"/>
  <c r="B1125" i="29"/>
  <c r="F1125" i="29" s="1" a="1"/>
  <c r="F1125" i="29" s="1"/>
  <c r="B790" i="29"/>
  <c r="F790" i="29" s="1" a="1"/>
  <c r="F790" i="29" s="1"/>
  <c r="B378" i="29"/>
  <c r="F378" i="29" s="1" a="1"/>
  <c r="F378" i="29" s="1"/>
  <c r="B950" i="29"/>
  <c r="F950" i="29" s="1" a="1"/>
  <c r="F950" i="29" s="1"/>
  <c r="B426" i="29"/>
  <c r="F426" i="29" s="1" a="1"/>
  <c r="F426" i="29" s="1"/>
  <c r="B460" i="29"/>
  <c r="F460" i="29" s="1" a="1"/>
  <c r="F460" i="29" s="1"/>
  <c r="B844" i="29"/>
  <c r="F844" i="29" s="1" a="1"/>
  <c r="F844" i="29" s="1"/>
  <c r="B365" i="29"/>
  <c r="F365" i="29" s="1" a="1"/>
  <c r="F365" i="29" s="1"/>
  <c r="B1196" i="29"/>
  <c r="F1196" i="29" s="1" a="1"/>
  <c r="F1196" i="29" s="1"/>
  <c r="B305" i="29"/>
  <c r="F305" i="29" s="1" a="1"/>
  <c r="F305" i="29" s="1"/>
  <c r="B1191" i="29"/>
  <c r="F1191" i="29" s="1" a="1"/>
  <c r="F1191" i="29" s="1"/>
  <c r="B526" i="29"/>
  <c r="F526" i="29" s="1" a="1"/>
  <c r="F526" i="29" s="1"/>
  <c r="B519" i="29"/>
  <c r="F519" i="29" s="1" a="1"/>
  <c r="F519" i="29" s="1"/>
  <c r="B303" i="29"/>
  <c r="F303" i="29" s="1" a="1"/>
  <c r="F303" i="29" s="1"/>
  <c r="B293" i="29"/>
  <c r="F293" i="29" s="1" a="1"/>
  <c r="F293" i="29" s="1"/>
  <c r="B1082" i="29"/>
  <c r="F1082" i="29" s="1" a="1"/>
  <c r="F1082" i="29" s="1"/>
  <c r="B427" i="29"/>
  <c r="F427" i="29" s="1" a="1"/>
  <c r="F427" i="29" s="1"/>
  <c r="B1180" i="29"/>
  <c r="F1180" i="29" s="1" a="1"/>
  <c r="F1180" i="29" s="1"/>
  <c r="B350" i="29"/>
  <c r="F350" i="29" s="1" a="1"/>
  <c r="F350" i="29" s="1"/>
  <c r="B420" i="29"/>
  <c r="F420" i="29" s="1" a="1"/>
  <c r="F420" i="29" s="1"/>
  <c r="B313" i="29"/>
  <c r="F313" i="29" s="1" a="1"/>
  <c r="F313" i="29" s="1"/>
  <c r="B734" i="29"/>
  <c r="F734" i="29" s="1" a="1"/>
  <c r="F734" i="29" s="1"/>
  <c r="B408" i="29"/>
  <c r="F408" i="29" s="1" a="1"/>
  <c r="F408" i="29" s="1"/>
  <c r="B1209" i="29"/>
  <c r="F1209" i="29" s="1" a="1"/>
  <c r="F1209" i="29" s="1"/>
  <c r="B362" i="29"/>
  <c r="F362" i="29" s="1" a="1"/>
  <c r="F362" i="29" s="1"/>
  <c r="B447" i="29"/>
  <c r="F447" i="29" s="1" a="1"/>
  <c r="F447" i="29" s="1"/>
  <c r="B295" i="29"/>
  <c r="F295" i="29" s="1" a="1"/>
  <c r="F295" i="29" s="1"/>
  <c r="B343" i="29"/>
  <c r="F343" i="29" s="1" a="1"/>
  <c r="F343" i="29" s="1"/>
  <c r="B1185" i="29"/>
  <c r="F1185" i="29" s="1" a="1"/>
  <c r="F1185" i="29" s="1"/>
  <c r="B456" i="29"/>
  <c r="F456" i="29" s="1" a="1"/>
  <c r="F456" i="29" s="1"/>
  <c r="B475" i="29"/>
  <c r="F475" i="29" s="1" a="1"/>
  <c r="F475" i="29" s="1"/>
  <c r="B1155" i="29"/>
  <c r="F1155" i="29" s="1" a="1"/>
  <c r="F1155" i="29" s="1"/>
  <c r="B395" i="29"/>
  <c r="F395" i="29" s="1" a="1"/>
  <c r="F395" i="29" s="1"/>
  <c r="B956" i="29"/>
  <c r="F956" i="29" s="1" a="1"/>
  <c r="F956" i="29" s="1"/>
  <c r="B400" i="29"/>
  <c r="F400" i="29" s="1" a="1"/>
  <c r="F400" i="29" s="1"/>
  <c r="B377" i="29"/>
  <c r="F377" i="29" s="1" a="1"/>
  <c r="F377" i="29" s="1"/>
  <c r="B62" i="29"/>
  <c r="F62" i="29" s="1" a="1"/>
  <c r="F62" i="29" s="1"/>
  <c r="B1138" i="29"/>
  <c r="F1138" i="29" s="1" a="1"/>
  <c r="F1138" i="29" s="1"/>
  <c r="B164" i="29"/>
  <c r="F164" i="29" s="1" a="1"/>
  <c r="F164" i="29" s="1"/>
  <c r="B1075" i="29"/>
  <c r="F1075" i="29" s="1" a="1"/>
  <c r="F1075" i="29" s="1"/>
  <c r="B474" i="29"/>
  <c r="F474" i="29" s="1" a="1"/>
  <c r="F474" i="29" s="1"/>
  <c r="B1177" i="29"/>
  <c r="F1177" i="29" s="1" a="1"/>
  <c r="F1177" i="29" s="1"/>
  <c r="B1139" i="29"/>
  <c r="F1139" i="29" s="1" a="1"/>
  <c r="F1139" i="29" s="1"/>
  <c r="B797" i="29"/>
  <c r="F797" i="29" s="1" a="1"/>
  <c r="F797" i="29" s="1"/>
  <c r="B719" i="29"/>
  <c r="F719" i="29" s="1" a="1"/>
  <c r="F719" i="29" s="1"/>
  <c r="B529" i="29"/>
  <c r="F529" i="29" s="1" a="1"/>
  <c r="F529" i="29" s="1"/>
  <c r="B845" i="29"/>
  <c r="F845" i="29" s="1" a="1"/>
  <c r="F845" i="29" s="1"/>
  <c r="B767" i="29"/>
  <c r="F767" i="29" s="1" a="1"/>
  <c r="F767" i="29" s="1"/>
  <c r="B1149" i="29"/>
  <c r="F1149" i="29" s="1" a="1"/>
  <c r="F1149" i="29" s="1"/>
  <c r="B414" i="29"/>
  <c r="F414" i="29" s="1" a="1"/>
  <c r="F414" i="29" s="1"/>
  <c r="B480" i="29"/>
  <c r="F480" i="29" s="1" a="1"/>
  <c r="F480" i="29" s="1"/>
  <c r="B796" i="29"/>
  <c r="F796" i="29" s="1" a="1"/>
  <c r="F796" i="29" s="1"/>
  <c r="B1085" i="29"/>
  <c r="F1085" i="29" s="1" a="1"/>
  <c r="F1085" i="29" s="1"/>
  <c r="D92" i="29" l="1"/>
  <c r="D104" i="29"/>
  <c r="D116" i="29"/>
  <c r="D115" i="29"/>
  <c r="D93" i="29"/>
  <c r="D105" i="29"/>
  <c r="D117" i="29"/>
  <c r="D94" i="29"/>
  <c r="D106" i="29"/>
  <c r="D118" i="29"/>
  <c r="D95" i="29"/>
  <c r="D107" i="29"/>
  <c r="D119" i="29"/>
  <c r="D122" i="29"/>
  <c r="D126" i="29"/>
  <c r="D127" i="29"/>
  <c r="D96" i="29"/>
  <c r="D108" i="29"/>
  <c r="D120" i="29"/>
  <c r="D121" i="29"/>
  <c r="D97" i="29"/>
  <c r="D109" i="29"/>
  <c r="D98" i="29"/>
  <c r="D110" i="29"/>
  <c r="D102" i="29"/>
  <c r="D99" i="29"/>
  <c r="D111" i="29"/>
  <c r="D123" i="29"/>
  <c r="D114" i="29"/>
  <c r="D100" i="29"/>
  <c r="D112" i="29"/>
  <c r="D124" i="29"/>
  <c r="D103" i="29"/>
  <c r="D101" i="29"/>
  <c r="D113" i="29"/>
  <c r="D125" i="29"/>
  <c r="AW22" i="36"/>
  <c r="AT22" i="36"/>
  <c r="CC21" i="36"/>
  <c r="AT21" i="36"/>
  <c r="U18" i="36"/>
  <c r="AT18" i="36"/>
  <c r="U19" i="36"/>
  <c r="AT19" i="36"/>
  <c r="BI16" i="36"/>
  <c r="AT16" i="36"/>
  <c r="C1162" i="29" a="1"/>
  <c r="C380" i="29" a="1"/>
  <c r="BI35" i="36"/>
  <c r="AW43" i="36"/>
  <c r="BI43" i="36"/>
  <c r="E388" i="29"/>
  <c r="E389" i="29"/>
  <c r="E390" i="29"/>
  <c r="AW35" i="36"/>
  <c r="AO43" i="36"/>
  <c r="AO35" i="36"/>
  <c r="AO26" i="36"/>
  <c r="CC24" i="36"/>
  <c r="BI36" i="36"/>
  <c r="BI25" i="36"/>
  <c r="AW26" i="36"/>
  <c r="BI17" i="36"/>
  <c r="N39" i="36" a="1"/>
  <c r="N39" i="36" s="1"/>
  <c r="AO17" i="36"/>
  <c r="CC18" i="36"/>
  <c r="N20" i="36" a="1"/>
  <c r="N20" i="36" s="1"/>
  <c r="BD20" i="36" s="1"/>
  <c r="BI26" i="36"/>
  <c r="AW18" i="36"/>
  <c r="N43" i="36" a="1"/>
  <c r="N43" i="36" s="1"/>
  <c r="AW39" i="36"/>
  <c r="N29" i="36" a="1"/>
  <c r="N29" i="36" s="1"/>
  <c r="N25" i="36" a="1"/>
  <c r="N25" i="36" s="1"/>
  <c r="BD25" i="36" s="1"/>
  <c r="AO39" i="36"/>
  <c r="CC19" i="36"/>
  <c r="AO31" i="36"/>
  <c r="AW20" i="36"/>
  <c r="AO18" i="36"/>
  <c r="BI39" i="36"/>
  <c r="AO20" i="36"/>
  <c r="BI20" i="36"/>
  <c r="N31" i="36" a="1"/>
  <c r="N31" i="36" s="1"/>
  <c r="AW28" i="36"/>
  <c r="AW19" i="36"/>
  <c r="CC26" i="36"/>
  <c r="AW34" i="36"/>
  <c r="CC34" i="36"/>
  <c r="BI18" i="36"/>
  <c r="CC43" i="36"/>
  <c r="N42" i="36" a="1"/>
  <c r="N42" i="36" s="1"/>
  <c r="AO19" i="36"/>
  <c r="BI19" i="36"/>
  <c r="AO36" i="36"/>
  <c r="BI29" i="36"/>
  <c r="AO24" i="36"/>
  <c r="AW24" i="36"/>
  <c r="CC30" i="36"/>
  <c r="AW42" i="36"/>
  <c r="CC42" i="36"/>
  <c r="BI28" i="36"/>
  <c r="CC28" i="36"/>
  <c r="AO40" i="36"/>
  <c r="AO28" i="36"/>
  <c r="N23" i="36" a="1"/>
  <c r="N23" i="36" s="1"/>
  <c r="BD23" i="36" s="1"/>
  <c r="CC40" i="36"/>
  <c r="AO29" i="36"/>
  <c r="AW40" i="36"/>
  <c r="AW23" i="36"/>
  <c r="AO16" i="36"/>
  <c r="BI23" i="36"/>
  <c r="AO23" i="36"/>
  <c r="AW29" i="36"/>
  <c r="N18" i="36" a="1"/>
  <c r="N18" i="36" s="1"/>
  <c r="BD18" i="36" s="1"/>
  <c r="CC39" i="36"/>
  <c r="CC16" i="36"/>
  <c r="AW27" i="36"/>
  <c r="AO21" i="36"/>
  <c r="CC44" i="36"/>
  <c r="AO27" i="36"/>
  <c r="AO32" i="36"/>
  <c r="AW21" i="36"/>
  <c r="BI27" i="36"/>
  <c r="BI32" i="36"/>
  <c r="AW32" i="36"/>
  <c r="N17" i="36" a="1"/>
  <c r="N17" i="36" s="1"/>
  <c r="BD17" i="36" s="1"/>
  <c r="N34" i="36" a="1"/>
  <c r="N34" i="36" s="1"/>
  <c r="CC27" i="36"/>
  <c r="AO44" i="36"/>
  <c r="BI34" i="36"/>
  <c r="C81" i="47"/>
  <c r="AY29" i="36"/>
  <c r="W29" i="36"/>
  <c r="AQ29" i="36"/>
  <c r="BK29" i="36"/>
  <c r="CF29" i="36"/>
  <c r="CG29" i="36" s="1"/>
  <c r="AE30" i="36"/>
  <c r="AC30" i="36"/>
  <c r="AB30" i="36"/>
  <c r="BP30" i="36" s="1"/>
  <c r="BR30" i="36" s="1" a="1"/>
  <c r="BR30" i="36" s="1"/>
  <c r="AD30" i="36" a="1"/>
  <c r="AD30" i="36" s="1"/>
  <c r="N21" i="36" a="1"/>
  <c r="N21" i="36" s="1"/>
  <c r="BD21" i="36" s="1"/>
  <c r="P21" i="36"/>
  <c r="BF21" i="36" s="1"/>
  <c r="AC28" i="36"/>
  <c r="AB28" i="36"/>
  <c r="BP28" i="36" s="1"/>
  <c r="BR28" i="36" s="1" a="1"/>
  <c r="BR28" i="36" s="1"/>
  <c r="AE28" i="36"/>
  <c r="AD28" i="36" a="1"/>
  <c r="AD28" i="36" s="1"/>
  <c r="AD37" i="36" a="1"/>
  <c r="AD37" i="36" s="1"/>
  <c r="AE37" i="36"/>
  <c r="AB37" i="36"/>
  <c r="BP37" i="36" s="1"/>
  <c r="BR37" i="36" s="1" a="1"/>
  <c r="BR37" i="36" s="1"/>
  <c r="AC37" i="36"/>
  <c r="AW44" i="36"/>
  <c r="BK41" i="36"/>
  <c r="W41" i="36"/>
  <c r="CF41" i="36"/>
  <c r="CG41" i="36" s="1"/>
  <c r="AQ41" i="36"/>
  <c r="AY41" i="36"/>
  <c r="CF32" i="36"/>
  <c r="CG32" i="36" s="1"/>
  <c r="W32" i="36"/>
  <c r="AY32" i="36"/>
  <c r="BK32" i="36"/>
  <c r="AQ32" i="36"/>
  <c r="N30" i="36" a="1"/>
  <c r="N30" i="36" s="1"/>
  <c r="P30" i="36"/>
  <c r="CC37" i="36"/>
  <c r="U37" i="36"/>
  <c r="AO22" i="36"/>
  <c r="U22" i="36"/>
  <c r="N26" i="36" a="1"/>
  <c r="N26" i="36" s="1"/>
  <c r="BD26" i="36" s="1"/>
  <c r="P26" i="36"/>
  <c r="BF26" i="36" s="1"/>
  <c r="N32" i="36" a="1"/>
  <c r="N32" i="36" s="1"/>
  <c r="P32" i="36"/>
  <c r="W44" i="36"/>
  <c r="AQ44" i="36"/>
  <c r="AY44" i="36"/>
  <c r="CF44" i="36"/>
  <c r="CG44" i="36" s="1"/>
  <c r="BK44" i="36"/>
  <c r="N40" i="36" a="1"/>
  <c r="N40" i="36" s="1"/>
  <c r="P40" i="36"/>
  <c r="B1172" i="29"/>
  <c r="B1171" i="29"/>
  <c r="B1170" i="29"/>
  <c r="AW25" i="36"/>
  <c r="BI37" i="36"/>
  <c r="AD22" i="36" a="1"/>
  <c r="AD22" i="36" s="1"/>
  <c r="AE22" i="36"/>
  <c r="AC22" i="36"/>
  <c r="AB22" i="36"/>
  <c r="BP22" i="36" s="1"/>
  <c r="BR22" i="36" s="1" a="1"/>
  <c r="BR22" i="36" s="1"/>
  <c r="AC33" i="36"/>
  <c r="AE33" i="36"/>
  <c r="AB33" i="36"/>
  <c r="BP33" i="36" s="1"/>
  <c r="BR33" i="36" s="1" a="1"/>
  <c r="BR33" i="36" s="1"/>
  <c r="AD33" i="36" a="1"/>
  <c r="AD33" i="36" s="1"/>
  <c r="U32" i="36"/>
  <c r="AT32" i="36"/>
  <c r="W40" i="36"/>
  <c r="AQ40" i="36"/>
  <c r="CF40" i="36"/>
  <c r="CG40" i="36" s="1"/>
  <c r="BK40" i="36"/>
  <c r="AY40" i="36"/>
  <c r="N28" i="36" a="1"/>
  <c r="N28" i="36" s="1"/>
  <c r="N41" i="36" a="1"/>
  <c r="N41" i="36" s="1"/>
  <c r="P41" i="36"/>
  <c r="AQ34" i="36"/>
  <c r="BK34" i="36"/>
  <c r="W34" i="36"/>
  <c r="AY34" i="36"/>
  <c r="CF34" i="36"/>
  <c r="CG34" i="36" s="1"/>
  <c r="AC36" i="36"/>
  <c r="AE36" i="36"/>
  <c r="AB36" i="36"/>
  <c r="BP36" i="36" s="1"/>
  <c r="BR36" i="36" s="1" a="1"/>
  <c r="BR36" i="36" s="1"/>
  <c r="AD36" i="36" a="1"/>
  <c r="AD36" i="36" s="1"/>
  <c r="AC44" i="36"/>
  <c r="AE44" i="36"/>
  <c r="AB44" i="36"/>
  <c r="BP44" i="36" s="1"/>
  <c r="BR44" i="36" s="1" a="1"/>
  <c r="BR44" i="36" s="1"/>
  <c r="AD44" i="36" a="1"/>
  <c r="AD44" i="36" s="1"/>
  <c r="AW30" i="36"/>
  <c r="M34" i="28"/>
  <c r="P34" i="28" s="1"/>
  <c r="AN34" i="28" s="1"/>
  <c r="AZ20" i="28"/>
  <c r="AZ17" i="28"/>
  <c r="AZ26" i="28"/>
  <c r="AZ34" i="28"/>
  <c r="AZ23" i="28"/>
  <c r="M24" i="28"/>
  <c r="P24" i="28" s="1"/>
  <c r="AN24" i="28" s="1"/>
  <c r="M26" i="28"/>
  <c r="P26" i="28" s="1"/>
  <c r="AN26" i="28" s="1"/>
  <c r="AZ21" i="28"/>
  <c r="M30" i="28"/>
  <c r="M20" i="28"/>
  <c r="P20" i="28" s="1"/>
  <c r="AN20" i="28" s="1"/>
  <c r="M18" i="28"/>
  <c r="P18" i="28" s="1"/>
  <c r="AN18" i="28" s="1"/>
  <c r="F50" i="48"/>
  <c r="AZ16" i="28"/>
  <c r="AZ19" i="28"/>
  <c r="M17" i="28"/>
  <c r="P17" i="28" s="1"/>
  <c r="AN17" i="28" s="1"/>
  <c r="M19" i="28"/>
  <c r="P19" i="28" s="1"/>
  <c r="AN19" i="28" s="1"/>
  <c r="AZ28" i="28"/>
  <c r="M28" i="28"/>
  <c r="M25" i="28"/>
  <c r="AZ30" i="28"/>
  <c r="M23" i="28"/>
  <c r="P23" i="28" s="1"/>
  <c r="AN23" i="28" s="1"/>
  <c r="AZ22" i="28"/>
  <c r="AZ29" i="28"/>
  <c r="M27" i="28"/>
  <c r="P27" i="28" s="1"/>
  <c r="AN27" i="28" s="1"/>
  <c r="M16" i="28"/>
  <c r="AZ31" i="28"/>
  <c r="M32" i="28"/>
  <c r="M22" i="28"/>
  <c r="P22" i="28" s="1"/>
  <c r="AN22" i="28" s="1"/>
  <c r="M33" i="28"/>
  <c r="AZ18" i="28"/>
  <c r="AZ32" i="28"/>
  <c r="AZ27" i="28"/>
  <c r="AZ33" i="28"/>
  <c r="AZ25" i="28"/>
  <c r="M21" i="28"/>
  <c r="P21" i="28" s="1"/>
  <c r="AN21" i="28" s="1"/>
  <c r="M29" i="28"/>
  <c r="M31" i="28"/>
  <c r="AZ24" i="28"/>
  <c r="BD34" i="28" a="1"/>
  <c r="BD34" i="28" s="1"/>
  <c r="BD19" i="28" a="1"/>
  <c r="BD19" i="28" s="1"/>
  <c r="BC33" i="28" a="1"/>
  <c r="BC33" i="28" s="1"/>
  <c r="BE33" i="28" s="1"/>
  <c r="BC32" i="28" a="1"/>
  <c r="BC32" i="28" s="1"/>
  <c r="BE32" i="28" s="1"/>
  <c r="BD20" i="28" a="1"/>
  <c r="BD20" i="28" s="1"/>
  <c r="BD26" i="28" a="1"/>
  <c r="BD26" i="28" s="1"/>
  <c r="BD25" i="28" a="1"/>
  <c r="BD25" i="28" s="1"/>
  <c r="BD29" i="28" a="1"/>
  <c r="BD29" i="28" s="1"/>
  <c r="BC19" i="28" a="1"/>
  <c r="BC19" i="28" s="1"/>
  <c r="BE19" i="28" s="1"/>
  <c r="BC34" i="28" a="1"/>
  <c r="BC34" i="28" s="1"/>
  <c r="BE34" i="28" s="1"/>
  <c r="BD24" i="28" a="1"/>
  <c r="BD24" i="28" s="1"/>
  <c r="BD33" i="28" a="1"/>
  <c r="BD33" i="28" s="1"/>
  <c r="BD28" i="28" a="1"/>
  <c r="BD28" i="28" s="1"/>
  <c r="BC21" i="28" a="1"/>
  <c r="BC21" i="28" s="1"/>
  <c r="BE21" i="28" s="1"/>
  <c r="C328" i="29" a="1"/>
  <c r="BD32" i="28" a="1"/>
  <c r="BD32" i="28" s="1"/>
  <c r="BC26" i="28" a="1"/>
  <c r="BC26" i="28" s="1"/>
  <c r="BE26" i="28" s="1"/>
  <c r="BD16" i="28" a="1"/>
  <c r="BD16" i="28" s="1"/>
  <c r="BD17" i="28" a="1"/>
  <c r="BD17" i="28" s="1"/>
  <c r="BC16" i="28" a="1"/>
  <c r="BC16" i="28" s="1"/>
  <c r="BE16" i="28" s="1"/>
  <c r="BC27" i="28" a="1"/>
  <c r="BC27" i="28" s="1"/>
  <c r="BE27" i="28" s="1"/>
  <c r="BC31" i="28" a="1"/>
  <c r="BC31" i="28" s="1"/>
  <c r="BE31" i="28" s="1"/>
  <c r="BC20" i="28" a="1"/>
  <c r="BC20" i="28" s="1"/>
  <c r="BE20" i="28" s="1"/>
  <c r="BD22" i="28" a="1"/>
  <c r="BD22" i="28" s="1"/>
  <c r="BC28" i="28" a="1"/>
  <c r="BC28" i="28" s="1"/>
  <c r="BE28" i="28" s="1"/>
  <c r="BD18" i="28" a="1"/>
  <c r="BD18" i="28" s="1"/>
  <c r="BC22" i="28" a="1"/>
  <c r="BC22" i="28" s="1"/>
  <c r="BE22" i="28" s="1"/>
  <c r="BD21" i="28" a="1"/>
  <c r="BD21" i="28" s="1"/>
  <c r="BD23" i="28" a="1"/>
  <c r="BD23" i="28" s="1"/>
  <c r="BD31" i="28" a="1"/>
  <c r="BD31" i="28" s="1"/>
  <c r="BD30" i="28" a="1"/>
  <c r="BD30" i="28" s="1"/>
  <c r="BC29" i="28" a="1"/>
  <c r="BC29" i="28" s="1"/>
  <c r="BE29" i="28" s="1"/>
  <c r="BC24" i="28" a="1"/>
  <c r="BC24" i="28" s="1"/>
  <c r="BE24" i="28" s="1"/>
  <c r="BC18" i="28" a="1"/>
  <c r="BC18" i="28" s="1"/>
  <c r="BE18" i="28" s="1"/>
  <c r="BC23" i="28" a="1"/>
  <c r="BC23" i="28" s="1"/>
  <c r="BE23" i="28" s="1"/>
  <c r="BC25" i="28" a="1"/>
  <c r="BC25" i="28" s="1"/>
  <c r="BE25" i="28" s="1"/>
  <c r="BC17" i="28" a="1"/>
  <c r="BC17" i="28" s="1"/>
  <c r="BE17" i="28" s="1"/>
  <c r="BC30" i="28" a="1"/>
  <c r="BC30" i="28" s="1"/>
  <c r="BE30" i="28" s="1"/>
  <c r="C1110" i="29" a="1"/>
  <c r="BD27" i="28" a="1"/>
  <c r="BD27" i="28" s="1"/>
  <c r="B388" i="29"/>
  <c r="F388" i="29" s="1" a="1"/>
  <c r="F388" i="29" s="1"/>
  <c r="B390" i="29"/>
  <c r="F390" i="29" s="1" a="1"/>
  <c r="F390" i="29" s="1"/>
  <c r="B389" i="29"/>
  <c r="F389" i="29" s="1" a="1"/>
  <c r="F389" i="29" s="1"/>
  <c r="AC35" i="36"/>
  <c r="AE35" i="36"/>
  <c r="AB35" i="36"/>
  <c r="BP35" i="36" s="1"/>
  <c r="BR35" i="36" s="1" a="1"/>
  <c r="BR35" i="36" s="1"/>
  <c r="AD35" i="36" a="1"/>
  <c r="AD35" i="36" s="1"/>
  <c r="CC38" i="36"/>
  <c r="BI44" i="36"/>
  <c r="AY31" i="36"/>
  <c r="CF31" i="36"/>
  <c r="CG31" i="36" s="1"/>
  <c r="AQ31" i="36"/>
  <c r="BK31" i="36"/>
  <c r="W31" i="36"/>
  <c r="N16" i="36" a="1"/>
  <c r="N16" i="36" s="1"/>
  <c r="BD16" i="36" s="1"/>
  <c r="P16" i="36"/>
  <c r="BF16" i="36" s="1"/>
  <c r="AY25" i="36"/>
  <c r="BK25" i="36"/>
  <c r="AQ25" i="36"/>
  <c r="CF25" i="36"/>
  <c r="CG25" i="36" s="1"/>
  <c r="W25" i="36"/>
  <c r="BI42" i="36"/>
  <c r="U42" i="36"/>
  <c r="AO34" i="36"/>
  <c r="AO41" i="36"/>
  <c r="AW38" i="36"/>
  <c r="AT24" i="36"/>
  <c r="U24" i="36"/>
  <c r="CF19" i="36"/>
  <c r="CG19" i="36" s="1"/>
  <c r="AY19" i="36"/>
  <c r="BK19" i="36"/>
  <c r="W19" i="36"/>
  <c r="AQ19" i="36"/>
  <c r="AE25" i="36"/>
  <c r="AD25" i="36" a="1"/>
  <c r="AD25" i="36" s="1"/>
  <c r="AC25" i="36"/>
  <c r="AB25" i="36"/>
  <c r="BP25" i="36" s="1"/>
  <c r="BR25" i="36" s="1" a="1"/>
  <c r="BR25" i="36" s="1"/>
  <c r="AC18" i="36"/>
  <c r="AB18" i="36"/>
  <c r="BP18" i="36" s="1"/>
  <c r="BR18" i="36" s="1" a="1"/>
  <c r="BR18" i="36" s="1"/>
  <c r="AE18" i="36"/>
  <c r="AD18" i="36" a="1"/>
  <c r="AD18" i="36" s="1"/>
  <c r="AD27" i="36" a="1"/>
  <c r="AD27" i="36" s="1"/>
  <c r="AB27" i="36"/>
  <c r="BP27" i="36" s="1"/>
  <c r="BR27" i="36" s="1" a="1"/>
  <c r="BR27" i="36" s="1"/>
  <c r="AC27" i="36"/>
  <c r="AE27" i="36"/>
  <c r="AY23" i="36"/>
  <c r="CF23" i="36"/>
  <c r="CG23" i="36" s="1"/>
  <c r="W23" i="36"/>
  <c r="AQ23" i="36"/>
  <c r="BK23" i="36"/>
  <c r="BK21" i="36"/>
  <c r="W21" i="36"/>
  <c r="AQ21" i="36"/>
  <c r="AY21" i="36"/>
  <c r="CF21" i="36"/>
  <c r="CG21" i="36" s="1"/>
  <c r="U36" i="36"/>
  <c r="AT36" i="36"/>
  <c r="AQ33" i="36"/>
  <c r="CF33" i="36"/>
  <c r="CG33" i="36" s="1"/>
  <c r="AY33" i="36"/>
  <c r="W33" i="36"/>
  <c r="BK33" i="36"/>
  <c r="U29" i="36"/>
  <c r="AT29" i="36"/>
  <c r="AB24" i="36"/>
  <c r="BP24" i="36" s="1"/>
  <c r="BR24" i="36" s="1" a="1"/>
  <c r="BR24" i="36" s="1"/>
  <c r="AE24" i="36"/>
  <c r="AD24" i="36" a="1"/>
  <c r="AD24" i="36" s="1"/>
  <c r="AC24" i="36"/>
  <c r="AD20" i="36" a="1"/>
  <c r="AD20" i="36" s="1"/>
  <c r="AE20" i="36"/>
  <c r="AB20" i="36"/>
  <c r="BP20" i="36" s="1"/>
  <c r="BR20" i="36" s="1" a="1"/>
  <c r="BR20" i="36" s="1"/>
  <c r="AC20" i="36"/>
  <c r="N38" i="36" a="1"/>
  <c r="N38" i="36" s="1"/>
  <c r="AB38" i="36"/>
  <c r="BP38" i="36" s="1"/>
  <c r="BR38" i="36" s="1" a="1"/>
  <c r="BR38" i="36" s="1"/>
  <c r="AE38" i="36"/>
  <c r="AC38" i="36"/>
  <c r="AD38" i="36" a="1"/>
  <c r="AD38" i="36" s="1"/>
  <c r="N44" i="36" a="1"/>
  <c r="N44" i="36" s="1"/>
  <c r="P44" i="36"/>
  <c r="AT23" i="36"/>
  <c r="U23" i="36"/>
  <c r="N33" i="36" a="1"/>
  <c r="N33" i="36" s="1"/>
  <c r="P33" i="36"/>
  <c r="AW31" i="36"/>
  <c r="W22" i="36"/>
  <c r="AY22" i="36"/>
  <c r="BK22" i="36"/>
  <c r="AQ22" i="36"/>
  <c r="CF22" i="36"/>
  <c r="CG22" i="36" s="1"/>
  <c r="N27" i="36" a="1"/>
  <c r="N27" i="36" s="1"/>
  <c r="P27" i="36"/>
  <c r="U35" i="36"/>
  <c r="AT35" i="36"/>
  <c r="N24" i="36" a="1"/>
  <c r="N24" i="36" s="1"/>
  <c r="BD24" i="36" s="1"/>
  <c r="AD34" i="36" a="1"/>
  <c r="AD34" i="36" s="1"/>
  <c r="AE34" i="36"/>
  <c r="AC34" i="36"/>
  <c r="AB34" i="36"/>
  <c r="BP34" i="36" s="1"/>
  <c r="BR34" i="36" s="1" a="1"/>
  <c r="BR34" i="36" s="1"/>
  <c r="BI33" i="36"/>
  <c r="AO25" i="36"/>
  <c r="U25" i="36"/>
  <c r="N36" i="36" a="1"/>
  <c r="N36" i="36" s="1"/>
  <c r="P36" i="36"/>
  <c r="AC21" i="36"/>
  <c r="AD21" i="36" a="1"/>
  <c r="AD21" i="36" s="1"/>
  <c r="AB21" i="36"/>
  <c r="BP21" i="36" s="1"/>
  <c r="BR21" i="36" s="1" a="1"/>
  <c r="BR21" i="36" s="1"/>
  <c r="AE21" i="36"/>
  <c r="AE26" i="36"/>
  <c r="AD26" i="36" a="1"/>
  <c r="AD26" i="36" s="1"/>
  <c r="AB26" i="36"/>
  <c r="BP26" i="36" s="1"/>
  <c r="BR26" i="36" s="1" a="1"/>
  <c r="BR26" i="36" s="1"/>
  <c r="AC26" i="36"/>
  <c r="CC17" i="36"/>
  <c r="U17" i="36"/>
  <c r="AT17" i="36"/>
  <c r="W24" i="36"/>
  <c r="CF24" i="36"/>
  <c r="CG24" i="36" s="1"/>
  <c r="AY24" i="36"/>
  <c r="BK24" i="36"/>
  <c r="AQ24" i="36"/>
  <c r="N19" i="36" a="1"/>
  <c r="N19" i="36" s="1"/>
  <c r="BD19" i="36" s="1"/>
  <c r="P19" i="36"/>
  <c r="BF19" i="36" s="1"/>
  <c r="AB40" i="36"/>
  <c r="BP40" i="36" s="1"/>
  <c r="BR40" i="36" s="1" a="1"/>
  <c r="BR40" i="36" s="1"/>
  <c r="AC40" i="36"/>
  <c r="AE40" i="36"/>
  <c r="AD40" i="36" a="1"/>
  <c r="AD40" i="36" s="1"/>
  <c r="AB23" i="36"/>
  <c r="BP23" i="36" s="1"/>
  <c r="BR23" i="36" s="1" a="1"/>
  <c r="BR23" i="36" s="1"/>
  <c r="AE23" i="36"/>
  <c r="AD23" i="36" a="1"/>
  <c r="AD23" i="36" s="1"/>
  <c r="AC23" i="36"/>
  <c r="W43" i="36"/>
  <c r="BK43" i="36"/>
  <c r="AY43" i="36"/>
  <c r="CF43" i="36"/>
  <c r="CG43" i="36" s="1"/>
  <c r="AQ43" i="36"/>
  <c r="BI41" i="36"/>
  <c r="BI38" i="36"/>
  <c r="AW33" i="36"/>
  <c r="CC22" i="36"/>
  <c r="BK37" i="36"/>
  <c r="W37" i="36"/>
  <c r="AY37" i="36"/>
  <c r="AQ37" i="36"/>
  <c r="CF37" i="36"/>
  <c r="CG37" i="36" s="1"/>
  <c r="AD32" i="36" a="1"/>
  <c r="AD32" i="36" s="1"/>
  <c r="AE32" i="36"/>
  <c r="AC32" i="36"/>
  <c r="AB32" i="36"/>
  <c r="BP32" i="36" s="1"/>
  <c r="BR32" i="36" s="1" a="1"/>
  <c r="BR32" i="36" s="1"/>
  <c r="N35" i="36" a="1"/>
  <c r="N35" i="36" s="1"/>
  <c r="P35" i="36"/>
  <c r="N22" i="36" a="1"/>
  <c r="N22" i="36" s="1"/>
  <c r="BD22" i="36" s="1"/>
  <c r="P22" i="36"/>
  <c r="BF22" i="36" s="1"/>
  <c r="BK18" i="36"/>
  <c r="AQ18" i="36"/>
  <c r="AY18" i="36"/>
  <c r="CF18" i="36"/>
  <c r="CG18" i="36" s="1"/>
  <c r="W18" i="36"/>
  <c r="BI21" i="36"/>
  <c r="U21" i="36"/>
  <c r="AE29" i="36"/>
  <c r="AD29" i="36" a="1"/>
  <c r="AD29" i="36" s="1"/>
  <c r="AC29" i="36"/>
  <c r="AB29" i="36"/>
  <c r="BP29" i="36" s="1"/>
  <c r="BR29" i="36" s="1" a="1"/>
  <c r="BR29" i="36" s="1"/>
  <c r="AT40" i="36"/>
  <c r="U40" i="36"/>
  <c r="BI22" i="36"/>
  <c r="CC33" i="36"/>
  <c r="U20" i="36"/>
  <c r="AT20" i="36"/>
  <c r="AO30" i="36"/>
  <c r="U30" i="36"/>
  <c r="BK42" i="36"/>
  <c r="W42" i="36"/>
  <c r="AQ42" i="36"/>
  <c r="CF42" i="36"/>
  <c r="CG42" i="36" s="1"/>
  <c r="AY42" i="36"/>
  <c r="AQ28" i="36"/>
  <c r="AY28" i="36"/>
  <c r="W28" i="36"/>
  <c r="CF28" i="36"/>
  <c r="CG28" i="36" s="1"/>
  <c r="BK28" i="36"/>
  <c r="AY38" i="36"/>
  <c r="BK38" i="36"/>
  <c r="W38" i="36"/>
  <c r="CF38" i="36"/>
  <c r="CG38" i="36" s="1"/>
  <c r="AQ38" i="36"/>
  <c r="CF20" i="36"/>
  <c r="CG20" i="36" s="1"/>
  <c r="AQ20" i="36"/>
  <c r="AY20" i="36"/>
  <c r="BK20" i="36"/>
  <c r="W20" i="36"/>
  <c r="AO33" i="36"/>
  <c r="AO37" i="36"/>
  <c r="CF16" i="36"/>
  <c r="CG16" i="36" s="1"/>
  <c r="AQ16" i="36"/>
  <c r="W16" i="36"/>
  <c r="AY16" i="36"/>
  <c r="BK16" i="36"/>
  <c r="AE17" i="36"/>
  <c r="AD17" i="36" a="1"/>
  <c r="AD17" i="36" s="1"/>
  <c r="AC17" i="36"/>
  <c r="AB17" i="36"/>
  <c r="BP17" i="36" s="1"/>
  <c r="BR17" i="36" s="1" a="1"/>
  <c r="BR17" i="36" s="1"/>
  <c r="AY27" i="36"/>
  <c r="CF27" i="36"/>
  <c r="CG27" i="36" s="1"/>
  <c r="AQ27" i="36"/>
  <c r="W27" i="36"/>
  <c r="BK27" i="36"/>
  <c r="AW16" i="36"/>
  <c r="U16" i="36"/>
  <c r="BK30" i="36"/>
  <c r="CF30" i="36"/>
  <c r="CG30" i="36" s="1"/>
  <c r="W30" i="36"/>
  <c r="AY30" i="36"/>
  <c r="AQ30" i="36"/>
  <c r="AB19" i="36"/>
  <c r="BP19" i="36" s="1"/>
  <c r="BR19" i="36" s="1" a="1"/>
  <c r="BR19" i="36" s="1"/>
  <c r="AE19" i="36"/>
  <c r="AD19" i="36" a="1"/>
  <c r="AD19" i="36" s="1"/>
  <c r="AC19" i="36"/>
  <c r="AB41" i="36"/>
  <c r="BP41" i="36" s="1"/>
  <c r="BR41" i="36" s="1" a="1"/>
  <c r="BR41" i="36" s="1"/>
  <c r="AC41" i="36"/>
  <c r="AE41" i="36"/>
  <c r="AD41" i="36" a="1"/>
  <c r="AD41" i="36" s="1"/>
  <c r="CC31" i="36"/>
  <c r="CC36" i="36"/>
  <c r="C68" i="29" a="1"/>
  <c r="M15" i="36"/>
  <c r="P15" i="36" s="1"/>
  <c r="BF15" i="36" s="1"/>
  <c r="V15" i="36"/>
  <c r="CD15" i="36"/>
  <c r="G120" i="40" s="1" a="1"/>
  <c r="G120" i="40" s="1"/>
  <c r="T15" i="36"/>
  <c r="AT15" i="36" s="1"/>
  <c r="S15" i="36"/>
  <c r="AA15" i="36"/>
  <c r="BM15" i="36"/>
  <c r="C748" i="29" a="1"/>
  <c r="C1214" i="29" a="1"/>
  <c r="AE43" i="36"/>
  <c r="AD43" i="36" a="1"/>
  <c r="AD43" i="36" s="1"/>
  <c r="AC43" i="36"/>
  <c r="AB43" i="36"/>
  <c r="BP43" i="36" s="1"/>
  <c r="BR43" i="36" s="1" a="1"/>
  <c r="BR43" i="36" s="1"/>
  <c r="AO38" i="36"/>
  <c r="AD39" i="36" a="1"/>
  <c r="AD39" i="36" s="1"/>
  <c r="AE39" i="36"/>
  <c r="AB39" i="36"/>
  <c r="BP39" i="36" s="1"/>
  <c r="BR39" i="36" s="1" a="1"/>
  <c r="BR39" i="36" s="1"/>
  <c r="AC39" i="36"/>
  <c r="BK26" i="36"/>
  <c r="W26" i="36"/>
  <c r="AY26" i="36"/>
  <c r="CF26" i="36"/>
  <c r="CG26" i="36" s="1"/>
  <c r="AQ26" i="36"/>
  <c r="AY17" i="36"/>
  <c r="BK17" i="36"/>
  <c r="W17" i="36"/>
  <c r="CF17" i="36"/>
  <c r="CG17" i="36" s="1"/>
  <c r="AQ17" i="36"/>
  <c r="AE16" i="36"/>
  <c r="AB16" i="36"/>
  <c r="BP16" i="36" s="1"/>
  <c r="BR16" i="36" s="1" a="1"/>
  <c r="BR16" i="36" s="1"/>
  <c r="AD16" i="36" a="1"/>
  <c r="AD16" i="36" s="1"/>
  <c r="AC16" i="36"/>
  <c r="CF35" i="36"/>
  <c r="CG35" i="36" s="1"/>
  <c r="BK35" i="36"/>
  <c r="AQ35" i="36"/>
  <c r="W35" i="36"/>
  <c r="AY35" i="36"/>
  <c r="AC42" i="36"/>
  <c r="AE42" i="36"/>
  <c r="AD42" i="36" a="1"/>
  <c r="AD42" i="36" s="1"/>
  <c r="AB42" i="36"/>
  <c r="BP42" i="36" s="1"/>
  <c r="BR42" i="36" s="1" a="1"/>
  <c r="BR42" i="36" s="1"/>
  <c r="CC41" i="36"/>
  <c r="U41" i="36"/>
  <c r="AT41" i="36"/>
  <c r="AQ39" i="36"/>
  <c r="AY39" i="36"/>
  <c r="BK39" i="36"/>
  <c r="CF39" i="36"/>
  <c r="CG39" i="36" s="1"/>
  <c r="W39" i="36"/>
  <c r="N37" i="36" a="1"/>
  <c r="N37" i="36" s="1"/>
  <c r="P37" i="36"/>
  <c r="AE31" i="36"/>
  <c r="AB31" i="36"/>
  <c r="BP31" i="36" s="1"/>
  <c r="BR31" i="36" s="1" a="1"/>
  <c r="BR31" i="36" s="1"/>
  <c r="AC31" i="36"/>
  <c r="AD31" i="36" a="1"/>
  <c r="AD31" i="36" s="1"/>
  <c r="BK36" i="36"/>
  <c r="AQ36" i="36"/>
  <c r="W36" i="36"/>
  <c r="AY36" i="36"/>
  <c r="CF36" i="36"/>
  <c r="CG36" i="36" s="1"/>
  <c r="C380" i="29" l="1"/>
  <c r="E386" i="29"/>
  <c r="E387" i="29"/>
  <c r="B384" i="29"/>
  <c r="F384" i="29" s="1" a="1"/>
  <c r="F384" i="29" s="1"/>
  <c r="B381" i="29"/>
  <c r="F381" i="29" s="1" a="1"/>
  <c r="F381" i="29" s="1"/>
  <c r="E384" i="29"/>
  <c r="E385" i="29"/>
  <c r="B382" i="29"/>
  <c r="F382" i="29" s="1" a="1"/>
  <c r="F382" i="29" s="1"/>
  <c r="E381" i="29"/>
  <c r="B387" i="29"/>
  <c r="F387" i="29" s="1" a="1"/>
  <c r="F387" i="29" s="1"/>
  <c r="B386" i="29"/>
  <c r="F386" i="29" s="1" a="1"/>
  <c r="F386" i="29" s="1"/>
  <c r="E382" i="29"/>
  <c r="C1162" i="29"/>
  <c r="B1166" i="29"/>
  <c r="B1168" i="29"/>
  <c r="F1168" i="29" s="1" a="1"/>
  <c r="F1168" i="29" s="1"/>
  <c r="B1164" i="29"/>
  <c r="F1164" i="29" s="1" a="1"/>
  <c r="F1164" i="29" s="1"/>
  <c r="B1163" i="29"/>
  <c r="F1163" i="29" s="1" a="1"/>
  <c r="F1163" i="29" s="1"/>
  <c r="B385" i="29"/>
  <c r="F385" i="29" s="1" a="1"/>
  <c r="F385" i="29" s="1"/>
  <c r="B1165" i="29"/>
  <c r="B383" i="29"/>
  <c r="F383" i="29" s="1" a="1"/>
  <c r="F383" i="29" s="1"/>
  <c r="B1167" i="29"/>
  <c r="E383" i="29"/>
  <c r="B1169" i="29"/>
  <c r="F1169" i="29" s="1" a="1"/>
  <c r="F1169" i="29" s="1"/>
  <c r="C131" i="29" a="1"/>
  <c r="C486" i="29" a="1"/>
  <c r="C486" i="29" s="1"/>
  <c r="I486" i="29" s="1"/>
  <c r="C915" i="29" a="1"/>
  <c r="U15" i="36"/>
  <c r="I80" i="29"/>
  <c r="D80" i="29" s="1"/>
  <c r="I81" i="29"/>
  <c r="D81" i="29" s="1"/>
  <c r="I70" i="29"/>
  <c r="D70" i="29" s="1"/>
  <c r="I82" i="29"/>
  <c r="D82" i="29" s="1"/>
  <c r="I88" i="29"/>
  <c r="D88" i="29" s="1"/>
  <c r="I71" i="29"/>
  <c r="D71" i="29" s="1"/>
  <c r="I83" i="29"/>
  <c r="D83" i="29" s="1"/>
  <c r="I72" i="29"/>
  <c r="D72" i="29" s="1"/>
  <c r="I84" i="29"/>
  <c r="D84" i="29" s="1"/>
  <c r="I76" i="29"/>
  <c r="D76" i="29" s="1"/>
  <c r="I73" i="29"/>
  <c r="D73" i="29" s="1"/>
  <c r="I85" i="29"/>
  <c r="D85" i="29" s="1"/>
  <c r="I74" i="29"/>
  <c r="D74" i="29" s="1"/>
  <c r="I86" i="29"/>
  <c r="D86" i="29" s="1"/>
  <c r="I75" i="29"/>
  <c r="D75" i="29" s="1"/>
  <c r="I87" i="29"/>
  <c r="D87" i="29" s="1"/>
  <c r="I77" i="29"/>
  <c r="D77" i="29" s="1"/>
  <c r="I89" i="29"/>
  <c r="D89" i="29" s="1"/>
  <c r="I78" i="29"/>
  <c r="D78" i="29" s="1"/>
  <c r="I90" i="29"/>
  <c r="D90" i="29" s="1"/>
  <c r="I79" i="29"/>
  <c r="D79" i="29" s="1"/>
  <c r="I91" i="29"/>
  <c r="D91" i="29" s="1"/>
  <c r="I1216" i="29"/>
  <c r="I1217" i="29"/>
  <c r="I1218" i="29"/>
  <c r="I1219" i="29"/>
  <c r="I753" i="29"/>
  <c r="I750" i="29"/>
  <c r="I751" i="29"/>
  <c r="I752" i="29"/>
  <c r="N15" i="36" a="1"/>
  <c r="N15" i="36" s="1"/>
  <c r="BD15" i="36" s="1"/>
  <c r="F1165" i="29" a="1"/>
  <c r="F1165" i="29" s="1"/>
  <c r="E1165" i="29" a="1"/>
  <c r="E1165" i="29" s="1"/>
  <c r="F1167" i="29" a="1"/>
  <c r="F1167" i="29" s="1"/>
  <c r="E1167" i="29" a="1"/>
  <c r="E1167" i="29" s="1"/>
  <c r="H1225" i="29" a="1"/>
  <c r="H1225" i="29" s="1"/>
  <c r="H1217" i="29" a="1"/>
  <c r="H1217" i="29" s="1"/>
  <c r="H1224" i="29" a="1"/>
  <c r="H1224" i="29" s="1"/>
  <c r="H1223" i="29" a="1"/>
  <c r="H1223" i="29" s="1"/>
  <c r="H1222" i="29" a="1"/>
  <c r="H1222" i="29" s="1"/>
  <c r="H1221" i="29" a="1"/>
  <c r="H1221" i="29" s="1"/>
  <c r="H1220" i="29" a="1"/>
  <c r="H1220" i="29" s="1"/>
  <c r="H1219" i="29" a="1"/>
  <c r="H1219" i="29" s="1"/>
  <c r="H1218" i="29" a="1"/>
  <c r="H1218" i="29" s="1"/>
  <c r="F1170" i="29" a="1"/>
  <c r="F1170" i="29" s="1"/>
  <c r="E1170" i="29" a="1"/>
  <c r="E1170" i="29" s="1"/>
  <c r="E1163" i="29" a="1"/>
  <c r="E1163" i="29" s="1"/>
  <c r="E1169" i="29" a="1"/>
  <c r="E1169" i="29" s="1"/>
  <c r="E1164" i="29" a="1"/>
  <c r="E1164" i="29" s="1"/>
  <c r="E1168" i="29" a="1"/>
  <c r="E1168" i="29" s="1"/>
  <c r="F1172" i="29" a="1"/>
  <c r="F1172" i="29" s="1"/>
  <c r="E1172" i="29" a="1"/>
  <c r="E1172" i="29" s="1"/>
  <c r="F1171" i="29" a="1"/>
  <c r="F1171" i="29" s="1"/>
  <c r="E1171" i="29" a="1"/>
  <c r="E1171" i="29" s="1"/>
  <c r="H121" i="29"/>
  <c r="H112" i="29"/>
  <c r="H97" i="29"/>
  <c r="H88" i="29"/>
  <c r="H73" i="29"/>
  <c r="H120" i="29"/>
  <c r="H104" i="29"/>
  <c r="H96" i="29"/>
  <c r="H80" i="29"/>
  <c r="H72" i="29"/>
  <c r="H119" i="29"/>
  <c r="H111" i="29"/>
  <c r="H95" i="29"/>
  <c r="H87" i="29"/>
  <c r="H71" i="29"/>
  <c r="H127" i="29"/>
  <c r="H118" i="29"/>
  <c r="H103" i="29"/>
  <c r="H94" i="29"/>
  <c r="H79" i="29"/>
  <c r="H70" i="29"/>
  <c r="B108" i="29"/>
  <c r="F108" i="29" s="1" a="1"/>
  <c r="F108" i="29" s="1"/>
  <c r="B114" i="29"/>
  <c r="F114" i="29" s="1" a="1"/>
  <c r="F114" i="29" s="1"/>
  <c r="B120" i="29"/>
  <c r="F120" i="29" s="1" a="1"/>
  <c r="F120" i="29" s="1"/>
  <c r="B126" i="29"/>
  <c r="F126" i="29" s="1" a="1"/>
  <c r="F126" i="29" s="1"/>
  <c r="H126" i="29"/>
  <c r="H102" i="29"/>
  <c r="H86" i="29"/>
  <c r="H78" i="29"/>
  <c r="H125" i="29"/>
  <c r="H117" i="29"/>
  <c r="H110" i="29"/>
  <c r="H101" i="29"/>
  <c r="H93" i="29"/>
  <c r="H77" i="29"/>
  <c r="B109" i="29"/>
  <c r="F109" i="29" s="1" a="1"/>
  <c r="F109" i="29" s="1"/>
  <c r="B115" i="29"/>
  <c r="F115" i="29" s="1" a="1"/>
  <c r="F115" i="29" s="1"/>
  <c r="B121" i="29"/>
  <c r="F121" i="29" s="1" a="1"/>
  <c r="F121" i="29" s="1"/>
  <c r="B127" i="29"/>
  <c r="F127" i="29" s="1" a="1"/>
  <c r="F127" i="29" s="1"/>
  <c r="H122" i="29"/>
  <c r="H114" i="29"/>
  <c r="H98" i="29"/>
  <c r="H90" i="29"/>
  <c r="H74" i="29"/>
  <c r="H113" i="29"/>
  <c r="H105" i="29"/>
  <c r="H89" i="29"/>
  <c r="H81" i="29"/>
  <c r="B106" i="29"/>
  <c r="F106" i="29" s="1" a="1"/>
  <c r="F106" i="29" s="1"/>
  <c r="B112" i="29"/>
  <c r="F112" i="29" s="1" a="1"/>
  <c r="F112" i="29" s="1"/>
  <c r="B118" i="29"/>
  <c r="F118" i="29" s="1" a="1"/>
  <c r="F118" i="29" s="1"/>
  <c r="B124" i="29"/>
  <c r="F124" i="29" s="1" a="1"/>
  <c r="F124" i="29" s="1"/>
  <c r="H116" i="29"/>
  <c r="H92" i="29"/>
  <c r="B104" i="29"/>
  <c r="F104" i="29" s="1" a="1"/>
  <c r="F104" i="29" s="1"/>
  <c r="B117" i="29"/>
  <c r="F117" i="29" s="1" a="1"/>
  <c r="F117" i="29" s="1"/>
  <c r="H115" i="29"/>
  <c r="H91" i="29"/>
  <c r="B119" i="29"/>
  <c r="F119" i="29" s="1" a="1"/>
  <c r="F119" i="29" s="1"/>
  <c r="H109" i="29"/>
  <c r="H85" i="29"/>
  <c r="B105" i="29"/>
  <c r="F105" i="29" s="1" a="1"/>
  <c r="F105" i="29" s="1"/>
  <c r="H108" i="29"/>
  <c r="H84" i="29"/>
  <c r="B107" i="29"/>
  <c r="F107" i="29" s="1" a="1"/>
  <c r="F107" i="29" s="1"/>
  <c r="B122" i="29"/>
  <c r="F122" i="29" s="1" a="1"/>
  <c r="F122" i="29" s="1"/>
  <c r="H107" i="29"/>
  <c r="H83" i="29"/>
  <c r="H82" i="29"/>
  <c r="B110" i="29"/>
  <c r="F110" i="29" s="1" a="1"/>
  <c r="F110" i="29" s="1"/>
  <c r="B123" i="29"/>
  <c r="F123" i="29" s="1" a="1"/>
  <c r="F123" i="29" s="1"/>
  <c r="H124" i="29"/>
  <c r="H100" i="29"/>
  <c r="H76" i="29"/>
  <c r="B125" i="29"/>
  <c r="F125" i="29" s="1" a="1"/>
  <c r="F125" i="29" s="1"/>
  <c r="B111" i="29"/>
  <c r="F111" i="29" s="1" a="1"/>
  <c r="F111" i="29" s="1"/>
  <c r="H123" i="29"/>
  <c r="H99" i="29"/>
  <c r="H75" i="29"/>
  <c r="B113" i="29"/>
  <c r="F113" i="29" s="1" a="1"/>
  <c r="F113" i="29" s="1"/>
  <c r="B116" i="29"/>
  <c r="F116" i="29" s="1" a="1"/>
  <c r="F116" i="29" s="1"/>
  <c r="E126" i="29" a="1"/>
  <c r="E126" i="29" s="1"/>
  <c r="E127" i="29" a="1"/>
  <c r="E127" i="29" s="1"/>
  <c r="E104" i="29" a="1"/>
  <c r="E104" i="29" s="1"/>
  <c r="E117" i="29" a="1"/>
  <c r="E117" i="29" s="1"/>
  <c r="E114" i="29" a="1"/>
  <c r="E114" i="29" s="1"/>
  <c r="E122" i="29" a="1"/>
  <c r="E122" i="29" s="1"/>
  <c r="F1166" i="29" a="1"/>
  <c r="F1166" i="29" s="1"/>
  <c r="E1166" i="29" a="1"/>
  <c r="E1166" i="29" s="1"/>
  <c r="E33" i="48"/>
  <c r="D24" i="48"/>
  <c r="D1117" i="47" s="1" a="1"/>
  <c r="D1117" i="47" s="1"/>
  <c r="C28" i="48"/>
  <c r="E7" i="48"/>
  <c r="D275" i="47" s="1" a="1"/>
  <c r="D275" i="47" s="1"/>
  <c r="D10" i="48"/>
  <c r="D427" i="47" s="1" a="1"/>
  <c r="D427" i="47" s="1"/>
  <c r="E19" i="48"/>
  <c r="D879" i="47" s="1" a="1"/>
  <c r="D879" i="47" s="1"/>
  <c r="E45" i="48"/>
  <c r="D36" i="48"/>
  <c r="C40" i="48"/>
  <c r="B31" i="48"/>
  <c r="B20" i="48"/>
  <c r="D920" i="47" s="1" a="1"/>
  <c r="D920" i="47" s="1"/>
  <c r="C10" i="48"/>
  <c r="D41" i="48"/>
  <c r="D6" i="48"/>
  <c r="D219" i="47" s="1" a="1"/>
  <c r="D219" i="47" s="1"/>
  <c r="B47" i="48"/>
  <c r="D8" i="48"/>
  <c r="D319" i="47" s="1" a="1"/>
  <c r="D319" i="47" s="1"/>
  <c r="E31" i="48"/>
  <c r="E4" i="48"/>
  <c r="D125" i="47" s="1" a="1"/>
  <c r="D125" i="47" s="1"/>
  <c r="D43" i="48"/>
  <c r="C47" i="48"/>
  <c r="C49" i="48"/>
  <c r="E36" i="48"/>
  <c r="C27" i="48"/>
  <c r="E16" i="48"/>
  <c r="D730" i="47" s="1" a="1"/>
  <c r="D730" i="47" s="1"/>
  <c r="E5" i="48"/>
  <c r="D175" i="47" s="1" a="1"/>
  <c r="D175" i="47" s="1"/>
  <c r="E13" i="48"/>
  <c r="D2" i="48"/>
  <c r="D17" i="47" s="1" a="1"/>
  <c r="D17" i="47" s="1"/>
  <c r="C31" i="48"/>
  <c r="E11" i="48"/>
  <c r="D475" i="47" s="1" a="1"/>
  <c r="D475" i="47" s="1"/>
  <c r="C39" i="48"/>
  <c r="E29" i="48"/>
  <c r="B49" i="48"/>
  <c r="E8" i="48"/>
  <c r="D325" i="47" s="1" a="1"/>
  <c r="D325" i="47" s="1"/>
  <c r="C37" i="48"/>
  <c r="E46" i="48"/>
  <c r="D45" i="48"/>
  <c r="E32" i="48"/>
  <c r="D25" i="48"/>
  <c r="D1167" i="47" s="1" a="1"/>
  <c r="D1167" i="47" s="1"/>
  <c r="E40" i="48"/>
  <c r="E17" i="48"/>
  <c r="D776" i="47" s="1" a="1"/>
  <c r="D776" i="47" s="1"/>
  <c r="B14" i="48"/>
  <c r="D620" i="47" s="1" a="1"/>
  <c r="D620" i="47" s="1"/>
  <c r="C23" i="48"/>
  <c r="D35" i="48"/>
  <c r="B2" i="48"/>
  <c r="B30" i="48"/>
  <c r="B41" i="48"/>
  <c r="E25" i="48"/>
  <c r="E14" i="48"/>
  <c r="D627" i="47" s="1" a="1"/>
  <c r="D627" i="47" s="1"/>
  <c r="C43" i="48"/>
  <c r="B10" i="48"/>
  <c r="D421" i="47" s="1" a="1"/>
  <c r="D421" i="47" s="1"/>
  <c r="D37" i="48"/>
  <c r="E41" i="48"/>
  <c r="D29" i="48"/>
  <c r="C44" i="48"/>
  <c r="D27" i="48"/>
  <c r="C18" i="48"/>
  <c r="B45" i="48"/>
  <c r="B17" i="48"/>
  <c r="D769" i="47" s="1" a="1"/>
  <c r="D769" i="47" s="1"/>
  <c r="C7" i="48"/>
  <c r="E26" i="48"/>
  <c r="E20" i="48"/>
  <c r="D927" i="47" s="1" a="1"/>
  <c r="D927" i="47" s="1"/>
  <c r="B4" i="48"/>
  <c r="C46" i="48"/>
  <c r="D39" i="48"/>
  <c r="C30" i="48"/>
  <c r="E43" i="48"/>
  <c r="B37" i="48"/>
  <c r="D23" i="48"/>
  <c r="D1075" i="47" s="1" a="1"/>
  <c r="D1075" i="47" s="1"/>
  <c r="B40" i="48"/>
  <c r="B18" i="48"/>
  <c r="D820" i="47" s="1" a="1"/>
  <c r="D820" i="47" s="1"/>
  <c r="D20" i="48"/>
  <c r="D926" i="47" s="1" a="1"/>
  <c r="D926" i="47" s="1"/>
  <c r="B26" i="48"/>
  <c r="D9" i="48"/>
  <c r="D376" i="47" s="1" a="1"/>
  <c r="D376" i="47" s="1"/>
  <c r="D47" i="48"/>
  <c r="C14" i="48"/>
  <c r="B42" i="48"/>
  <c r="E23" i="48"/>
  <c r="D1076" i="47" s="1" a="1"/>
  <c r="D1076" i="47" s="1"/>
  <c r="E37" i="48"/>
  <c r="D5" i="48"/>
  <c r="D169" i="47" s="1" a="1"/>
  <c r="D169" i="47" s="1"/>
  <c r="B22" i="48"/>
  <c r="D1019" i="47" s="1" a="1"/>
  <c r="D1019" i="47" s="1"/>
  <c r="B11" i="48"/>
  <c r="C36" i="48"/>
  <c r="D33" i="48"/>
  <c r="E9" i="48"/>
  <c r="D377" i="47" s="1" a="1"/>
  <c r="D377" i="47" s="1"/>
  <c r="D12" i="48"/>
  <c r="D517" i="47" s="1" a="1"/>
  <c r="D517" i="47" s="1"/>
  <c r="C4" i="48"/>
  <c r="B7" i="48"/>
  <c r="B5" i="48"/>
  <c r="E38" i="48"/>
  <c r="D17" i="48"/>
  <c r="D775" i="47" s="1" a="1"/>
  <c r="D775" i="47" s="1"/>
  <c r="C32" i="48"/>
  <c r="B23" i="48"/>
  <c r="D1069" i="47" s="1" a="1"/>
  <c r="D1069" i="47" s="1"/>
  <c r="C48" i="48"/>
  <c r="D22" i="48"/>
  <c r="D1025" i="47" s="1" a="1"/>
  <c r="D1025" i="47" s="1"/>
  <c r="B3" i="48"/>
  <c r="C11" i="48"/>
  <c r="D48" i="48"/>
  <c r="C2" i="48"/>
  <c r="C29" i="48"/>
  <c r="B32" i="48"/>
  <c r="E18" i="48"/>
  <c r="D827" i="47" s="1" a="1"/>
  <c r="D827" i="47" s="1"/>
  <c r="E51" i="48"/>
  <c r="D18" i="48"/>
  <c r="D826" i="47" s="1" a="1"/>
  <c r="D826" i="47" s="1"/>
  <c r="C9" i="48"/>
  <c r="C35" i="48"/>
  <c r="E10" i="48"/>
  <c r="D428" i="47" s="1" a="1"/>
  <c r="D428" i="47" s="1"/>
  <c r="D14" i="48"/>
  <c r="D626" i="47" s="1" a="1"/>
  <c r="D626" i="47" s="1"/>
  <c r="C41" i="48"/>
  <c r="B44" i="48"/>
  <c r="C3" i="48"/>
  <c r="B48" i="48"/>
  <c r="D30" i="48"/>
  <c r="C33" i="48"/>
  <c r="D34" i="48"/>
  <c r="B15" i="48"/>
  <c r="D669" i="47" s="1" a="1"/>
  <c r="D669" i="47" s="1"/>
  <c r="N34" i="28" a="1"/>
  <c r="N34" i="28" s="1"/>
  <c r="AL34" i="28" s="1"/>
  <c r="B13" i="48"/>
  <c r="D46" i="48"/>
  <c r="B39" i="48"/>
  <c r="D21" i="48"/>
  <c r="D975" i="47" s="1" a="1"/>
  <c r="D975" i="47" s="1"/>
  <c r="E34" i="48"/>
  <c r="D26" i="48"/>
  <c r="D15" i="48"/>
  <c r="D675" i="47" s="1" a="1"/>
  <c r="D675" i="47" s="1"/>
  <c r="C6" i="48"/>
  <c r="C51" i="48"/>
  <c r="D32" i="48"/>
  <c r="D42" i="48"/>
  <c r="C45" i="48"/>
  <c r="B19" i="48"/>
  <c r="D872" i="47" s="1" a="1"/>
  <c r="D872" i="47" s="1"/>
  <c r="B35" i="48"/>
  <c r="B8" i="48"/>
  <c r="E50" i="48"/>
  <c r="E24" i="48"/>
  <c r="D11" i="48"/>
  <c r="D469" i="47" s="1" a="1"/>
  <c r="D469" i="47" s="1"/>
  <c r="B16" i="48"/>
  <c r="D723" i="47" s="1" a="1"/>
  <c r="D723" i="47" s="1"/>
  <c r="C15" i="48"/>
  <c r="E48" i="48"/>
  <c r="D51" i="48"/>
  <c r="C42" i="48"/>
  <c r="C19" i="48"/>
  <c r="B38" i="48"/>
  <c r="B36" i="48"/>
  <c r="B51" i="48"/>
  <c r="C22" i="48"/>
  <c r="C26" i="48"/>
  <c r="D13" i="48"/>
  <c r="D567" i="47" s="1" a="1"/>
  <c r="D567" i="47" s="1"/>
  <c r="D38" i="48"/>
  <c r="B43" i="48"/>
  <c r="E49" i="48"/>
  <c r="D4" i="48"/>
  <c r="D119" i="47" s="1" a="1"/>
  <c r="D119" i="47" s="1"/>
  <c r="D49" i="48"/>
  <c r="E3" i="48"/>
  <c r="B46" i="48"/>
  <c r="E2" i="48"/>
  <c r="D7" i="48"/>
  <c r="D269" i="47" s="1" a="1"/>
  <c r="D269" i="47" s="1"/>
  <c r="C12" i="48"/>
  <c r="C34" i="48"/>
  <c r="C13" i="48"/>
  <c r="E30" i="48"/>
  <c r="C38" i="48"/>
  <c r="E47" i="48"/>
  <c r="D50" i="48"/>
  <c r="C5" i="48"/>
  <c r="B24" i="48"/>
  <c r="D16" i="48"/>
  <c r="D729" i="47" s="1" a="1"/>
  <c r="D729" i="47" s="1"/>
  <c r="B9" i="48"/>
  <c r="D370" i="47" s="1" a="1"/>
  <c r="D370" i="47" s="1"/>
  <c r="E27" i="48"/>
  <c r="C8" i="48"/>
  <c r="D44" i="48"/>
  <c r="D19" i="48"/>
  <c r="D878" i="47" s="1" a="1"/>
  <c r="D878" i="47" s="1"/>
  <c r="N27" i="28" a="1"/>
  <c r="N27" i="28" s="1"/>
  <c r="AL27" i="28" s="1"/>
  <c r="C24" i="48"/>
  <c r="E42" i="48"/>
  <c r="C25" i="48"/>
  <c r="B25" i="48"/>
  <c r="C50" i="48"/>
  <c r="B6" i="48"/>
  <c r="E12" i="48"/>
  <c r="C17" i="48"/>
  <c r="E6" i="48"/>
  <c r="D225" i="47" s="1" a="1"/>
  <c r="D225" i="47" s="1"/>
  <c r="D28" i="48"/>
  <c r="B33" i="48"/>
  <c r="E39" i="48"/>
  <c r="C20" i="48"/>
  <c r="B29" i="48"/>
  <c r="D31" i="48"/>
  <c r="N17" i="28" a="1"/>
  <c r="N17" i="28" s="1"/>
  <c r="AL17" i="28" s="1"/>
  <c r="N19" i="28" a="1"/>
  <c r="N19" i="28" s="1"/>
  <c r="AL19" i="28" s="1"/>
  <c r="G47" i="48"/>
  <c r="F43" i="48"/>
  <c r="G18" i="48"/>
  <c r="D830" i="47" s="1" a="1"/>
  <c r="D830" i="47" s="1"/>
  <c r="G32" i="48"/>
  <c r="F38" i="48"/>
  <c r="G31" i="48"/>
  <c r="F27" i="48"/>
  <c r="F4" i="48"/>
  <c r="D118" i="47" s="1" a="1"/>
  <c r="D118" i="47" s="1"/>
  <c r="G4" i="48"/>
  <c r="D120" i="47" s="1" a="1"/>
  <c r="D120" i="47" s="1"/>
  <c r="G30" i="48"/>
  <c r="G44" i="48"/>
  <c r="G35" i="48"/>
  <c r="F13" i="48"/>
  <c r="D566" i="47" s="1" a="1"/>
  <c r="D566" i="47" s="1"/>
  <c r="F39" i="48"/>
  <c r="F5" i="48"/>
  <c r="D168" i="47" s="1" a="1"/>
  <c r="D168" i="47" s="1"/>
  <c r="G37" i="48"/>
  <c r="G16" i="48"/>
  <c r="D733" i="47" s="1" a="1"/>
  <c r="D733" i="47" s="1"/>
  <c r="G42" i="48"/>
  <c r="F46" i="48"/>
  <c r="F40" i="48"/>
  <c r="F25" i="48"/>
  <c r="D1166" i="47" s="1" a="1"/>
  <c r="D1166" i="47" s="1"/>
  <c r="F51" i="48"/>
  <c r="F17" i="48"/>
  <c r="D774" i="47" s="1" a="1"/>
  <c r="D774" i="47" s="1"/>
  <c r="F7" i="48"/>
  <c r="D268" i="47" s="1" a="1"/>
  <c r="D268" i="47" s="1"/>
  <c r="G40" i="48"/>
  <c r="F22" i="48"/>
  <c r="D1024" i="47" s="1" a="1"/>
  <c r="D1024" i="47" s="1"/>
  <c r="F11" i="48"/>
  <c r="D468" i="47" s="1" a="1"/>
  <c r="D468" i="47" s="1"/>
  <c r="F6" i="48"/>
  <c r="D218" i="47" s="1" a="1"/>
  <c r="D218" i="47" s="1"/>
  <c r="F37" i="48"/>
  <c r="G12" i="48"/>
  <c r="D518" i="47" s="1" a="1"/>
  <c r="D518" i="47" s="1"/>
  <c r="F29" i="48"/>
  <c r="F31" i="48"/>
  <c r="F8" i="48"/>
  <c r="D318" i="47" s="1" a="1"/>
  <c r="D318" i="47" s="1"/>
  <c r="G7" i="48"/>
  <c r="D270" i="47" s="1" a="1"/>
  <c r="D270" i="47" s="1"/>
  <c r="F12" i="48"/>
  <c r="D516" i="47" s="1" a="1"/>
  <c r="D516" i="47" s="1"/>
  <c r="F30" i="48"/>
  <c r="F49" i="48"/>
  <c r="G24" i="48"/>
  <c r="D1118" i="47" s="1" a="1"/>
  <c r="D1118" i="47" s="1"/>
  <c r="F41" i="48"/>
  <c r="G28" i="48"/>
  <c r="F32" i="48"/>
  <c r="G19" i="48"/>
  <c r="D882" i="47" s="1" a="1"/>
  <c r="D882" i="47" s="1"/>
  <c r="F24" i="48"/>
  <c r="D1116" i="47" s="1" a="1"/>
  <c r="D1116" i="47" s="1"/>
  <c r="F42" i="48"/>
  <c r="G10" i="48"/>
  <c r="D431" i="47" s="1" a="1"/>
  <c r="D431" i="47" s="1"/>
  <c r="G36" i="48"/>
  <c r="G2" i="48"/>
  <c r="D18" i="47" s="1" a="1"/>
  <c r="D18" i="47" s="1"/>
  <c r="N20" i="28" a="1"/>
  <c r="N20" i="28" s="1"/>
  <c r="AL20" i="28" s="1"/>
  <c r="F28" i="48"/>
  <c r="F20" i="48"/>
  <c r="D925" i="47" s="1" a="1"/>
  <c r="D925" i="47" s="1"/>
  <c r="G17" i="48"/>
  <c r="D779" i="47" s="1" a="1"/>
  <c r="D779" i="47" s="1"/>
  <c r="G43" i="48"/>
  <c r="F36" i="48"/>
  <c r="G3" i="48"/>
  <c r="D68" i="47" s="1" a="1"/>
  <c r="D68" i="47" s="1"/>
  <c r="G22" i="48"/>
  <c r="D1029" i="47" s="1" a="1"/>
  <c r="D1029" i="47" s="1"/>
  <c r="G48" i="48"/>
  <c r="G14" i="48"/>
  <c r="D630" i="47" s="1" a="1"/>
  <c r="D630" i="47" s="1"/>
  <c r="B50" i="48"/>
  <c r="E44" i="48"/>
  <c r="B27" i="48"/>
  <c r="E21" i="48"/>
  <c r="D976" i="47" s="1" a="1"/>
  <c r="D976" i="47" s="1"/>
  <c r="B28" i="48"/>
  <c r="E22" i="48"/>
  <c r="D1026" i="47" s="1" a="1"/>
  <c r="D1026" i="47" s="1"/>
  <c r="C16" i="48"/>
  <c r="B12" i="48"/>
  <c r="D3" i="48"/>
  <c r="D67" i="47" s="1" a="1"/>
  <c r="D67" i="47" s="1"/>
  <c r="E35" i="48"/>
  <c r="D40" i="48"/>
  <c r="B21" i="48"/>
  <c r="D969" i="47" s="1" a="1"/>
  <c r="D969" i="47" s="1"/>
  <c r="E15" i="48"/>
  <c r="D676" i="47" s="1" a="1"/>
  <c r="D676" i="47" s="1"/>
  <c r="B34" i="48"/>
  <c r="E28" i="48"/>
  <c r="C21" i="48"/>
  <c r="G13" i="48"/>
  <c r="D568" i="47" s="1" a="1"/>
  <c r="D568" i="47" s="1"/>
  <c r="F44" i="48"/>
  <c r="F9" i="48"/>
  <c r="D375" i="47" s="1" a="1"/>
  <c r="D375" i="47" s="1"/>
  <c r="F23" i="48"/>
  <c r="D1074" i="47" s="1" a="1"/>
  <c r="D1074" i="47" s="1"/>
  <c r="F48" i="48"/>
  <c r="G15" i="48"/>
  <c r="D679" i="47" s="1" a="1"/>
  <c r="D679" i="47" s="1"/>
  <c r="G34" i="48"/>
  <c r="F14" i="48"/>
  <c r="D625" i="47" s="1" a="1"/>
  <c r="D625" i="47" s="1"/>
  <c r="G26" i="48"/>
  <c r="G25" i="48"/>
  <c r="D1168" i="47" s="1" a="1"/>
  <c r="D1168" i="47" s="1"/>
  <c r="G5" i="48"/>
  <c r="D170" i="47" s="1" a="1"/>
  <c r="D170" i="47" s="1"/>
  <c r="F21" i="48"/>
  <c r="D974" i="47" s="1" a="1"/>
  <c r="D974" i="47" s="1"/>
  <c r="F35" i="48"/>
  <c r="G9" i="48"/>
  <c r="D380" i="47" s="1" a="1"/>
  <c r="D380" i="47" s="1"/>
  <c r="G39" i="48"/>
  <c r="G46" i="48"/>
  <c r="G11" i="48"/>
  <c r="D470" i="47" s="1" a="1"/>
  <c r="D470" i="47" s="1"/>
  <c r="G38" i="48"/>
  <c r="F18" i="48"/>
  <c r="D825" i="47" s="1" a="1"/>
  <c r="D825" i="47" s="1"/>
  <c r="G29" i="48"/>
  <c r="F33" i="48"/>
  <c r="F47" i="48"/>
  <c r="G21" i="48"/>
  <c r="D979" i="47" s="1" a="1"/>
  <c r="D979" i="47" s="1"/>
  <c r="G51" i="48"/>
  <c r="G23" i="48"/>
  <c r="D1079" i="47" s="1" a="1"/>
  <c r="D1079" i="47" s="1"/>
  <c r="F16" i="48"/>
  <c r="D728" i="47" s="1" a="1"/>
  <c r="D728" i="47" s="1"/>
  <c r="G50" i="48"/>
  <c r="G27" i="48"/>
  <c r="G41" i="48"/>
  <c r="F45" i="48"/>
  <c r="G8" i="48"/>
  <c r="D320" i="47" s="1" a="1"/>
  <c r="D320" i="47" s="1"/>
  <c r="G33" i="48"/>
  <c r="F10" i="48"/>
  <c r="D426" i="47" s="1" a="1"/>
  <c r="D426" i="47" s="1"/>
  <c r="F3" i="48"/>
  <c r="D66" i="47" s="1" a="1"/>
  <c r="D66" i="47" s="1"/>
  <c r="G49" i="48"/>
  <c r="N26" i="28" a="1"/>
  <c r="N26" i="28" s="1"/>
  <c r="AL26" i="28" s="1"/>
  <c r="F26" i="48"/>
  <c r="F19" i="48"/>
  <c r="D877" i="47" s="1" a="1"/>
  <c r="D877" i="47" s="1"/>
  <c r="G6" i="48"/>
  <c r="D220" i="47" s="1" a="1"/>
  <c r="D220" i="47" s="1"/>
  <c r="G20" i="48"/>
  <c r="D930" i="47" s="1" a="1"/>
  <c r="D930" i="47" s="1"/>
  <c r="G45" i="48"/>
  <c r="F34" i="48"/>
  <c r="F15" i="48"/>
  <c r="D674" i="47" s="1" a="1"/>
  <c r="D674" i="47" s="1"/>
  <c r="C82" i="47"/>
  <c r="AO15" i="36"/>
  <c r="AW15" i="36"/>
  <c r="BI15" i="36"/>
  <c r="AC15" i="36"/>
  <c r="AD15" i="36" a="1"/>
  <c r="AD15" i="36" s="1"/>
  <c r="AB15" i="36"/>
  <c r="BP15" i="36" s="1"/>
  <c r="G274" i="29" a="1"/>
  <c r="AE15" i="36"/>
  <c r="C274" i="29" a="1"/>
  <c r="G183" i="29" a="1"/>
  <c r="C183" i="29" a="1"/>
  <c r="N31" i="28" a="1"/>
  <c r="N31" i="28" s="1"/>
  <c r="AL31" i="28" s="1"/>
  <c r="P31" i="28"/>
  <c r="AN31" i="28" s="1"/>
  <c r="N16" i="28" a="1"/>
  <c r="N16" i="28" s="1"/>
  <c r="AL16" i="28" s="1"/>
  <c r="P16" i="28"/>
  <c r="AN16" i="28" s="1"/>
  <c r="N22" i="28" a="1"/>
  <c r="N22" i="28" s="1"/>
  <c r="AL22" i="28" s="1"/>
  <c r="N29" i="28" a="1"/>
  <c r="N29" i="28" s="1"/>
  <c r="AL29" i="28" s="1"/>
  <c r="P29" i="28"/>
  <c r="AN29" i="28" s="1"/>
  <c r="M15" i="28"/>
  <c r="AZ15" i="28"/>
  <c r="C16" i="29" a="1"/>
  <c r="C434" i="29" a="1"/>
  <c r="C16" i="40" a="1"/>
  <c r="G68" i="40" a="1"/>
  <c r="G68" i="40" s="1"/>
  <c r="N24" i="28" a="1"/>
  <c r="N24" i="28" s="1"/>
  <c r="AL24" i="28" s="1"/>
  <c r="H156" i="29"/>
  <c r="H162" i="29"/>
  <c r="B158" i="29"/>
  <c r="F158" i="29" s="1" a="1"/>
  <c r="F158" i="29" s="1"/>
  <c r="H150" i="29"/>
  <c r="B162" i="29"/>
  <c r="F162" i="29" s="1" a="1"/>
  <c r="F162" i="29" s="1"/>
  <c r="B149" i="29"/>
  <c r="F149" i="29" s="1" a="1"/>
  <c r="F149" i="29" s="1"/>
  <c r="H158" i="29"/>
  <c r="H148" i="29"/>
  <c r="H155" i="29"/>
  <c r="B159" i="29"/>
  <c r="F159" i="29" s="1" a="1"/>
  <c r="F159" i="29" s="1"/>
  <c r="B161" i="29"/>
  <c r="F161" i="29" s="1" a="1"/>
  <c r="F161" i="29" s="1"/>
  <c r="B147" i="29"/>
  <c r="F147" i="29" s="1" a="1"/>
  <c r="F147" i="29" s="1"/>
  <c r="B151" i="29"/>
  <c r="F151" i="29" s="1" a="1"/>
  <c r="F151" i="29" s="1"/>
  <c r="H149" i="29"/>
  <c r="H153" i="29"/>
  <c r="H160" i="29"/>
  <c r="H161" i="29"/>
  <c r="H147" i="29"/>
  <c r="B160" i="29"/>
  <c r="F160" i="29" s="1" a="1"/>
  <c r="F160" i="29" s="1"/>
  <c r="B155" i="29"/>
  <c r="F155" i="29" s="1" a="1"/>
  <c r="F155" i="29" s="1"/>
  <c r="B153" i="29"/>
  <c r="F153" i="29" s="1" a="1"/>
  <c r="F153" i="29" s="1"/>
  <c r="H152" i="29"/>
  <c r="H151" i="29"/>
  <c r="D154" i="29"/>
  <c r="D157" i="29"/>
  <c r="B152" i="29"/>
  <c r="F152" i="29" s="1" a="1"/>
  <c r="F152" i="29" s="1"/>
  <c r="B154" i="29"/>
  <c r="F154" i="29" s="1" a="1"/>
  <c r="F154" i="29" s="1"/>
  <c r="B150" i="29"/>
  <c r="F150" i="29" s="1" a="1"/>
  <c r="F150" i="29" s="1"/>
  <c r="H159" i="29"/>
  <c r="B156" i="29"/>
  <c r="F156" i="29" s="1" a="1"/>
  <c r="F156" i="29" s="1"/>
  <c r="B148" i="29"/>
  <c r="F148" i="29" s="1" a="1"/>
  <c r="F148" i="29" s="1"/>
  <c r="B157" i="29"/>
  <c r="F157" i="29" s="1" a="1"/>
  <c r="F157" i="29" s="1"/>
  <c r="D160" i="29"/>
  <c r="D148" i="29"/>
  <c r="N21" i="28" a="1"/>
  <c r="N21" i="28" s="1"/>
  <c r="AL21" i="28" s="1"/>
  <c r="N30" i="28" a="1"/>
  <c r="N30" i="28" s="1"/>
  <c r="AL30" i="28" s="1"/>
  <c r="P30" i="28"/>
  <c r="AN30" i="28" s="1"/>
  <c r="B508" i="29"/>
  <c r="F508" i="29" s="1" a="1"/>
  <c r="F508" i="29" s="1"/>
  <c r="B510" i="29"/>
  <c r="F510" i="29" s="1" a="1"/>
  <c r="F510" i="29" s="1"/>
  <c r="H511" i="29" a="1"/>
  <c r="H511" i="29" s="1"/>
  <c r="B511" i="29"/>
  <c r="F511" i="29" s="1" a="1"/>
  <c r="F511" i="29" s="1"/>
  <c r="B513" i="29"/>
  <c r="F513" i="29" s="1" a="1"/>
  <c r="F513" i="29" s="1"/>
  <c r="B507" i="29"/>
  <c r="F507" i="29" s="1" a="1"/>
  <c r="F507" i="29" s="1"/>
  <c r="D513" i="29" a="1"/>
  <c r="D513" i="29" s="1"/>
  <c r="B504" i="29"/>
  <c r="F504" i="29" s="1" a="1"/>
  <c r="F504" i="29" s="1"/>
  <c r="H504" i="29" a="1"/>
  <c r="H504" i="29" s="1"/>
  <c r="B503" i="29"/>
  <c r="F503" i="29" s="1" a="1"/>
  <c r="F503" i="29" s="1"/>
  <c r="D508" i="29" a="1"/>
  <c r="D508" i="29" s="1"/>
  <c r="B515" i="29"/>
  <c r="F515" i="29" s="1" a="1"/>
  <c r="F515" i="29" s="1"/>
  <c r="B512" i="29"/>
  <c r="F512" i="29" s="1" a="1"/>
  <c r="F512" i="29" s="1"/>
  <c r="H505" i="29" a="1"/>
  <c r="H505" i="29" s="1"/>
  <c r="H502" i="29" a="1"/>
  <c r="H502" i="29" s="1"/>
  <c r="B514" i="29"/>
  <c r="F514" i="29" s="1" a="1"/>
  <c r="F514" i="29" s="1"/>
  <c r="D510" i="29" a="1"/>
  <c r="D510" i="29" s="1"/>
  <c r="H509" i="29" a="1"/>
  <c r="H509" i="29" s="1"/>
  <c r="H515" i="29" a="1"/>
  <c r="H515" i="29" s="1"/>
  <c r="H507" i="29" a="1"/>
  <c r="H507" i="29" s="1"/>
  <c r="H506" i="29" a="1"/>
  <c r="H506" i="29" s="1"/>
  <c r="B505" i="29"/>
  <c r="F505" i="29" s="1" a="1"/>
  <c r="F505" i="29" s="1"/>
  <c r="B517" i="29"/>
  <c r="H512" i="29" a="1"/>
  <c r="H512" i="29" s="1"/>
  <c r="B509" i="29"/>
  <c r="F509" i="29" s="1" a="1"/>
  <c r="F509" i="29" s="1"/>
  <c r="B516" i="29"/>
  <c r="F516" i="29" s="1" a="1"/>
  <c r="F516" i="29" s="1"/>
  <c r="H514" i="29" a="1"/>
  <c r="H514" i="29" s="1"/>
  <c r="B506" i="29"/>
  <c r="F506" i="29" s="1" a="1"/>
  <c r="F506" i="29" s="1"/>
  <c r="B487" i="29"/>
  <c r="F487" i="29" s="1" a="1"/>
  <c r="F487" i="29" s="1"/>
  <c r="D517" i="29" a="1"/>
  <c r="D517" i="29" s="1"/>
  <c r="H503" i="29" a="1"/>
  <c r="H503" i="29" s="1"/>
  <c r="B502" i="29"/>
  <c r="F502" i="29" s="1" a="1"/>
  <c r="F502" i="29" s="1"/>
  <c r="H516" i="29" a="1"/>
  <c r="H516" i="29" s="1"/>
  <c r="B1162" i="29"/>
  <c r="H942" i="29" a="1"/>
  <c r="H942" i="29" s="1"/>
  <c r="B944" i="29"/>
  <c r="F944" i="29" s="1" a="1"/>
  <c r="F944" i="29" s="1"/>
  <c r="B941" i="29"/>
  <c r="F941" i="29" s="1" a="1"/>
  <c r="F941" i="29" s="1"/>
  <c r="B916" i="29"/>
  <c r="F916" i="29" s="1" a="1"/>
  <c r="F916" i="29" s="1"/>
  <c r="H937" i="29" a="1"/>
  <c r="H937" i="29" s="1"/>
  <c r="H945" i="29" a="1"/>
  <c r="H945" i="29" s="1"/>
  <c r="B936" i="29"/>
  <c r="F936" i="29" s="1" a="1"/>
  <c r="F936" i="29" s="1"/>
  <c r="D939" i="29" a="1"/>
  <c r="D939" i="29" s="1"/>
  <c r="H936" i="29" a="1"/>
  <c r="H936" i="29" s="1"/>
  <c r="B940" i="29"/>
  <c r="F940" i="29" s="1" a="1"/>
  <c r="F940" i="29" s="1"/>
  <c r="H943" i="29" a="1"/>
  <c r="H943" i="29" s="1"/>
  <c r="D931" i="29" a="1"/>
  <c r="D931" i="29" s="1"/>
  <c r="B933" i="29"/>
  <c r="F933" i="29" s="1" a="1"/>
  <c r="F933" i="29" s="1"/>
  <c r="H938" i="29" a="1"/>
  <c r="H938" i="29" s="1"/>
  <c r="H944" i="29" a="1"/>
  <c r="H944" i="29" s="1"/>
  <c r="D941" i="29" a="1"/>
  <c r="D941" i="29" s="1"/>
  <c r="B943" i="29"/>
  <c r="F943" i="29" s="1" a="1"/>
  <c r="F943" i="29" s="1"/>
  <c r="B934" i="29"/>
  <c r="F934" i="29" s="1" a="1"/>
  <c r="F934" i="29" s="1"/>
  <c r="B938" i="29"/>
  <c r="F938" i="29" s="1" a="1"/>
  <c r="F938" i="29" s="1"/>
  <c r="B935" i="29"/>
  <c r="F935" i="29" s="1" a="1"/>
  <c r="F935" i="29" s="1"/>
  <c r="H940" i="29" a="1"/>
  <c r="H940" i="29" s="1"/>
  <c r="D935" i="29" a="1"/>
  <c r="D935" i="29" s="1"/>
  <c r="B945" i="29"/>
  <c r="F945" i="29" s="1" a="1"/>
  <c r="F945" i="29" s="1"/>
  <c r="B942" i="29"/>
  <c r="F942" i="29" s="1" a="1"/>
  <c r="F942" i="29" s="1"/>
  <c r="H934" i="29" a="1"/>
  <c r="H934" i="29" s="1"/>
  <c r="H933" i="29" a="1"/>
  <c r="H933" i="29" s="1"/>
  <c r="B946" i="29"/>
  <c r="F946" i="29" s="1" a="1"/>
  <c r="F946" i="29" s="1"/>
  <c r="B932" i="29"/>
  <c r="F932" i="29" s="1" a="1"/>
  <c r="F932" i="29" s="1"/>
  <c r="B937" i="29"/>
  <c r="F937" i="29" s="1" a="1"/>
  <c r="F937" i="29" s="1"/>
  <c r="B931" i="29"/>
  <c r="F931" i="29" s="1" a="1"/>
  <c r="F931" i="29" s="1"/>
  <c r="D932" i="29" a="1"/>
  <c r="D932" i="29" s="1"/>
  <c r="H946" i="29" a="1"/>
  <c r="H946" i="29" s="1"/>
  <c r="B939" i="29"/>
  <c r="F939" i="29" s="1" a="1"/>
  <c r="F939" i="29" s="1"/>
  <c r="N18" i="28" a="1"/>
  <c r="N18" i="28" s="1"/>
  <c r="AL18" i="28" s="1"/>
  <c r="N25" i="28" a="1"/>
  <c r="N25" i="28" s="1"/>
  <c r="AL25" i="28" s="1"/>
  <c r="P25" i="28"/>
  <c r="AN25" i="28" s="1"/>
  <c r="N28" i="28" a="1"/>
  <c r="N28" i="28" s="1"/>
  <c r="AL28" i="28" s="1"/>
  <c r="P28" i="28"/>
  <c r="AN28" i="28" s="1"/>
  <c r="B1118" i="29"/>
  <c r="F1118" i="29" s="1" a="1"/>
  <c r="F1118" i="29" s="1"/>
  <c r="B1117" i="29"/>
  <c r="F1117" i="29" s="1" a="1"/>
  <c r="F1117" i="29" s="1"/>
  <c r="B1112" i="29"/>
  <c r="F1112" i="29" s="1" a="1"/>
  <c r="F1112" i="29" s="1"/>
  <c r="B1115" i="29"/>
  <c r="F1115" i="29" s="1" a="1"/>
  <c r="F1115" i="29" s="1"/>
  <c r="B1111" i="29"/>
  <c r="F1111" i="29" s="1" a="1"/>
  <c r="F1111" i="29" s="1"/>
  <c r="B1114" i="29"/>
  <c r="F1114" i="29" s="1" a="1"/>
  <c r="F1114" i="29" s="1"/>
  <c r="B1113" i="29"/>
  <c r="F1113" i="29" s="1" a="1"/>
  <c r="F1113" i="29" s="1"/>
  <c r="B1119" i="29"/>
  <c r="F1119" i="29" s="1" a="1"/>
  <c r="F1119" i="29" s="1"/>
  <c r="C1110" i="29"/>
  <c r="B1116" i="29"/>
  <c r="F1116" i="29" s="1" a="1"/>
  <c r="F1116" i="29" s="1"/>
  <c r="N23" i="28" a="1"/>
  <c r="N23" i="28" s="1"/>
  <c r="AL23" i="28" s="1"/>
  <c r="N33" i="28" a="1"/>
  <c r="N33" i="28" s="1"/>
  <c r="AL33" i="28" s="1"/>
  <c r="P33" i="28"/>
  <c r="AN33" i="28" s="1"/>
  <c r="C854" i="29" a="1"/>
  <c r="CC15" i="36"/>
  <c r="C120" i="40" s="1" a="1"/>
  <c r="AY15" i="36"/>
  <c r="BK15" i="36"/>
  <c r="W15" i="36"/>
  <c r="AQ15" i="36"/>
  <c r="CF15" i="36"/>
  <c r="CG15" i="36" s="1"/>
  <c r="D1217" i="29" a="1"/>
  <c r="D1217" i="29" s="1"/>
  <c r="B1225" i="29"/>
  <c r="F1225" i="29" s="1" a="1"/>
  <c r="F1225" i="29" s="1"/>
  <c r="B1220" i="29"/>
  <c r="F1220" i="29" s="1" a="1"/>
  <c r="F1220" i="29" s="1"/>
  <c r="B1216" i="29"/>
  <c r="F1216" i="29" s="1" a="1"/>
  <c r="F1216" i="29" s="1"/>
  <c r="B1223" i="29"/>
  <c r="F1223" i="29" s="1" a="1"/>
  <c r="F1223" i="29" s="1"/>
  <c r="B1221" i="29"/>
  <c r="F1221" i="29" s="1" a="1"/>
  <c r="F1221" i="29" s="1"/>
  <c r="C1214" i="29"/>
  <c r="I1214" i="29" s="1"/>
  <c r="B1218" i="29"/>
  <c r="F1218" i="29" s="1" a="1"/>
  <c r="F1218" i="29" s="1"/>
  <c r="B1217" i="29"/>
  <c r="F1217" i="29" s="1" a="1"/>
  <c r="F1217" i="29" s="1"/>
  <c r="B1219" i="29"/>
  <c r="F1219" i="29" s="1" a="1"/>
  <c r="F1219" i="29" s="1"/>
  <c r="D1216" i="29" a="1"/>
  <c r="D1216" i="29" s="1"/>
  <c r="B1215" i="29"/>
  <c r="F1215" i="29" s="1" a="1"/>
  <c r="F1215" i="29" s="1"/>
  <c r="B1224" i="29"/>
  <c r="F1224" i="29" s="1" a="1"/>
  <c r="F1224" i="29" s="1"/>
  <c r="B1222" i="29"/>
  <c r="F1222" i="29" s="1" a="1"/>
  <c r="F1222" i="29" s="1"/>
  <c r="D1224" i="29" a="1"/>
  <c r="D1224" i="29" s="1"/>
  <c r="B98" i="29"/>
  <c r="F98" i="29" s="1" a="1"/>
  <c r="F98" i="29" s="1"/>
  <c r="B99" i="29"/>
  <c r="F99" i="29" s="1" a="1"/>
  <c r="F99" i="29" s="1"/>
  <c r="B90" i="29"/>
  <c r="F90" i="29" s="1" a="1"/>
  <c r="F90" i="29" s="1"/>
  <c r="B89" i="29"/>
  <c r="F89" i="29" s="1" a="1"/>
  <c r="F89" i="29" s="1"/>
  <c r="B95" i="29"/>
  <c r="F95" i="29" s="1" a="1"/>
  <c r="F95" i="29" s="1"/>
  <c r="B71" i="29"/>
  <c r="F71" i="29" s="1" a="1"/>
  <c r="F71" i="29" s="1"/>
  <c r="B85" i="29"/>
  <c r="F85" i="29" s="1" a="1"/>
  <c r="F85" i="29" s="1"/>
  <c r="B86" i="29"/>
  <c r="F86" i="29" s="1" a="1"/>
  <c r="F86" i="29" s="1"/>
  <c r="B69" i="29"/>
  <c r="F69" i="29" s="1" a="1"/>
  <c r="F69" i="29" s="1"/>
  <c r="B94" i="29"/>
  <c r="F94" i="29" s="1" a="1"/>
  <c r="F94" i="29" s="1"/>
  <c r="B74" i="29"/>
  <c r="F74" i="29" s="1" a="1"/>
  <c r="F74" i="29" s="1"/>
  <c r="B92" i="29"/>
  <c r="F92" i="29" s="1" a="1"/>
  <c r="F92" i="29" s="1"/>
  <c r="B81" i="29"/>
  <c r="F81" i="29" s="1" a="1"/>
  <c r="F81" i="29" s="1"/>
  <c r="B79" i="29"/>
  <c r="F79" i="29" s="1" a="1"/>
  <c r="F79" i="29" s="1"/>
  <c r="B76" i="29"/>
  <c r="F76" i="29" s="1" a="1"/>
  <c r="F76" i="29" s="1"/>
  <c r="C68" i="29"/>
  <c r="B100" i="29"/>
  <c r="F100" i="29" s="1" a="1"/>
  <c r="F100" i="29" s="1"/>
  <c r="B103" i="29"/>
  <c r="F103" i="29" s="1" a="1"/>
  <c r="F103" i="29" s="1"/>
  <c r="B82" i="29"/>
  <c r="F82" i="29" s="1" a="1"/>
  <c r="F82" i="29" s="1"/>
  <c r="B83" i="29"/>
  <c r="F83" i="29" s="1" a="1"/>
  <c r="F83" i="29" s="1"/>
  <c r="B88" i="29"/>
  <c r="F88" i="29" s="1" a="1"/>
  <c r="F88" i="29" s="1"/>
  <c r="B101" i="29"/>
  <c r="F101" i="29" s="1" a="1"/>
  <c r="F101" i="29" s="1"/>
  <c r="B87" i="29"/>
  <c r="F87" i="29" s="1" a="1"/>
  <c r="F87" i="29" s="1"/>
  <c r="B77" i="29"/>
  <c r="F77" i="29" s="1" a="1"/>
  <c r="F77" i="29" s="1"/>
  <c r="B91" i="29"/>
  <c r="F91" i="29" s="1" a="1"/>
  <c r="F91" i="29" s="1"/>
  <c r="B80" i="29"/>
  <c r="F80" i="29" s="1" a="1"/>
  <c r="F80" i="29" s="1"/>
  <c r="B96" i="29"/>
  <c r="F96" i="29" s="1" a="1"/>
  <c r="F96" i="29" s="1"/>
  <c r="B72" i="29"/>
  <c r="F72" i="29" s="1" a="1"/>
  <c r="F72" i="29" s="1"/>
  <c r="B84" i="29"/>
  <c r="F84" i="29" s="1" a="1"/>
  <c r="F84" i="29" s="1"/>
  <c r="B78" i="29"/>
  <c r="F78" i="29" s="1" a="1"/>
  <c r="F78" i="29" s="1"/>
  <c r="B75" i="29"/>
  <c r="F75" i="29" s="1" a="1"/>
  <c r="F75" i="29" s="1"/>
  <c r="B73" i="29"/>
  <c r="F73" i="29" s="1" a="1"/>
  <c r="F73" i="29" s="1"/>
  <c r="B70" i="29"/>
  <c r="F70" i="29" s="1" a="1"/>
  <c r="F70" i="29" s="1"/>
  <c r="B97" i="29"/>
  <c r="F97" i="29" s="1" a="1"/>
  <c r="F97" i="29" s="1"/>
  <c r="B102" i="29"/>
  <c r="F102" i="29" s="1" a="1"/>
  <c r="F102" i="29" s="1"/>
  <c r="B93" i="29"/>
  <c r="F93" i="29" s="1" a="1"/>
  <c r="F93" i="29" s="1"/>
  <c r="B333" i="29"/>
  <c r="F333" i="29" s="1" a="1"/>
  <c r="F333" i="29" s="1"/>
  <c r="B335" i="29"/>
  <c r="F335" i="29" s="1" a="1"/>
  <c r="F335" i="29" s="1"/>
  <c r="B329" i="29"/>
  <c r="F329" i="29" s="1" a="1"/>
  <c r="F329" i="29" s="1"/>
  <c r="C328" i="29"/>
  <c r="B337" i="29"/>
  <c r="F337" i="29" s="1" a="1"/>
  <c r="F337" i="29" s="1"/>
  <c r="B330" i="29"/>
  <c r="F330" i="29" s="1" a="1"/>
  <c r="F330" i="29" s="1"/>
  <c r="B334" i="29"/>
  <c r="F334" i="29" s="1" a="1"/>
  <c r="F334" i="29" s="1"/>
  <c r="B336" i="29"/>
  <c r="F336" i="29" s="1" a="1"/>
  <c r="F336" i="29" s="1"/>
  <c r="B332" i="29"/>
  <c r="F332" i="29" s="1" a="1"/>
  <c r="F332" i="29" s="1"/>
  <c r="B331" i="29"/>
  <c r="F331" i="29" s="1" a="1"/>
  <c r="F331" i="29" s="1"/>
  <c r="D752" i="29" a="1"/>
  <c r="D752" i="29" s="1"/>
  <c r="B751" i="29"/>
  <c r="F751" i="29" s="1" a="1"/>
  <c r="F751" i="29" s="1"/>
  <c r="C748" i="29"/>
  <c r="I748" i="29" s="1"/>
  <c r="B750" i="29"/>
  <c r="F750" i="29" s="1" a="1"/>
  <c r="F750" i="29" s="1"/>
  <c r="H755" i="29" a="1"/>
  <c r="H755" i="29" s="1"/>
  <c r="B757" i="29"/>
  <c r="F757" i="29" s="1" a="1"/>
  <c r="F757" i="29" s="1"/>
  <c r="H754" i="29" a="1"/>
  <c r="H754" i="29" s="1"/>
  <c r="D756" i="29" a="1"/>
  <c r="D756" i="29" s="1"/>
  <c r="B752" i="29"/>
  <c r="F752" i="29" s="1" a="1"/>
  <c r="F752" i="29" s="1"/>
  <c r="B758" i="29"/>
  <c r="F758" i="29" s="1" a="1"/>
  <c r="F758" i="29" s="1"/>
  <c r="B759" i="29"/>
  <c r="F759" i="29" s="1" a="1"/>
  <c r="F759" i="29" s="1"/>
  <c r="H750" i="29" a="1"/>
  <c r="H750" i="29" s="1"/>
  <c r="H751" i="29" a="1"/>
  <c r="H751" i="29" s="1"/>
  <c r="B753" i="29"/>
  <c r="F753" i="29" s="1" a="1"/>
  <c r="F753" i="29" s="1"/>
  <c r="B754" i="29"/>
  <c r="F754" i="29" s="1" a="1"/>
  <c r="F754" i="29" s="1"/>
  <c r="H757" i="29" a="1"/>
  <c r="H757" i="29" s="1"/>
  <c r="H758" i="29" a="1"/>
  <c r="H758" i="29" s="1"/>
  <c r="B755" i="29"/>
  <c r="F755" i="29" s="1" a="1"/>
  <c r="F755" i="29" s="1"/>
  <c r="D753" i="29" a="1"/>
  <c r="D753" i="29" s="1"/>
  <c r="B749" i="29"/>
  <c r="F749" i="29" s="1" a="1"/>
  <c r="F749" i="29" s="1"/>
  <c r="D759" i="29" a="1"/>
  <c r="D759" i="29" s="1"/>
  <c r="B756" i="29"/>
  <c r="F756" i="29" s="1" a="1"/>
  <c r="F756" i="29" s="1"/>
  <c r="B380" i="29"/>
  <c r="F380" i="29" s="1" a="1"/>
  <c r="F380" i="29" s="1"/>
  <c r="N32" i="28" a="1"/>
  <c r="N32" i="28" s="1"/>
  <c r="AL32" i="28" s="1"/>
  <c r="P32" i="28"/>
  <c r="AN32" i="28" s="1"/>
  <c r="B132" i="29" l="1"/>
  <c r="F132" i="29" s="1" a="1"/>
  <c r="F132" i="29" s="1"/>
  <c r="I138" i="29"/>
  <c r="H137" i="29"/>
  <c r="H139" i="29"/>
  <c r="B137" i="29"/>
  <c r="F137" i="29" s="1" a="1"/>
  <c r="F137" i="29" s="1"/>
  <c r="I139" i="29"/>
  <c r="B143" i="29"/>
  <c r="F143" i="29" s="1" a="1"/>
  <c r="F143" i="29" s="1"/>
  <c r="D144" i="29"/>
  <c r="H142" i="29"/>
  <c r="D135" i="29"/>
  <c r="I141" i="29"/>
  <c r="D138" i="29"/>
  <c r="B146" i="29"/>
  <c r="F146" i="29" s="1" a="1"/>
  <c r="F146" i="29" s="1"/>
  <c r="B139" i="29"/>
  <c r="F139" i="29" s="1" a="1"/>
  <c r="F139" i="29" s="1"/>
  <c r="I142" i="29"/>
  <c r="B135" i="29"/>
  <c r="F135" i="29" s="1" a="1"/>
  <c r="F135" i="29" s="1"/>
  <c r="B140" i="29"/>
  <c r="F140" i="29" s="1" a="1"/>
  <c r="F140" i="29" s="1"/>
  <c r="B145" i="29"/>
  <c r="F145" i="29" s="1" a="1"/>
  <c r="F145" i="29" s="1"/>
  <c r="I143" i="29"/>
  <c r="D145" i="29"/>
  <c r="I144" i="29"/>
  <c r="B142" i="29"/>
  <c r="F142" i="29" s="1" a="1"/>
  <c r="F142" i="29" s="1"/>
  <c r="D143" i="29"/>
  <c r="I145" i="29"/>
  <c r="D140" i="29"/>
  <c r="B136" i="29"/>
  <c r="F136" i="29" s="1" a="1"/>
  <c r="F136" i="29" s="1"/>
  <c r="H136" i="29"/>
  <c r="I146" i="29"/>
  <c r="H141" i="29"/>
  <c r="B144" i="29"/>
  <c r="F144" i="29" s="1" a="1"/>
  <c r="F144" i="29" s="1"/>
  <c r="I135" i="29"/>
  <c r="B138" i="29"/>
  <c r="F138" i="29" s="1" a="1"/>
  <c r="F138" i="29" s="1"/>
  <c r="I140" i="29"/>
  <c r="I136" i="29"/>
  <c r="B141" i="29"/>
  <c r="F141" i="29" s="1" a="1"/>
  <c r="F141" i="29" s="1"/>
  <c r="H146" i="29"/>
  <c r="J138" i="40"/>
  <c r="J136" i="40"/>
  <c r="D136" i="40" s="1" a="1"/>
  <c r="D136" i="40" s="1"/>
  <c r="J141" i="40"/>
  <c r="J137" i="40"/>
  <c r="D137" i="40" s="1" a="1"/>
  <c r="D137" i="40" s="1"/>
  <c r="D138" i="40" a="1"/>
  <c r="D138" i="40" s="1"/>
  <c r="D142" i="40" a="1"/>
  <c r="D142" i="40" s="1"/>
  <c r="J142" i="40"/>
  <c r="J140" i="40"/>
  <c r="J139" i="40"/>
  <c r="D139" i="40" a="1"/>
  <c r="D139" i="40" s="1"/>
  <c r="J143" i="40"/>
  <c r="D143" i="40" a="1"/>
  <c r="D143" i="40" s="1"/>
  <c r="D140" i="40" a="1"/>
  <c r="D140" i="40" s="1"/>
  <c r="D141" i="40" a="1"/>
  <c r="D141" i="40" s="1"/>
  <c r="J19" i="40"/>
  <c r="J18" i="40"/>
  <c r="J20" i="40"/>
  <c r="I443" i="29"/>
  <c r="I440" i="29"/>
  <c r="I441" i="29"/>
  <c r="I442" i="29"/>
  <c r="I37" i="29"/>
  <c r="D37" i="29" s="1"/>
  <c r="I36" i="29"/>
  <c r="D36" i="29" s="1"/>
  <c r="I38" i="29"/>
  <c r="D38" i="29" s="1"/>
  <c r="I39" i="29"/>
  <c r="D39" i="29" s="1"/>
  <c r="C915" i="29"/>
  <c r="I915" i="29" s="1"/>
  <c r="I923" i="29"/>
  <c r="B929" i="29"/>
  <c r="F929" i="29" s="1" a="1"/>
  <c r="F929" i="29" s="1"/>
  <c r="B920" i="29"/>
  <c r="F920" i="29" s="1" a="1"/>
  <c r="F920" i="29" s="1"/>
  <c r="I922" i="29"/>
  <c r="I494" i="29"/>
  <c r="I137" i="29"/>
  <c r="B919" i="29"/>
  <c r="F919" i="29" s="1" a="1"/>
  <c r="F919" i="29" s="1"/>
  <c r="H919" i="29" a="1"/>
  <c r="H919" i="29" s="1"/>
  <c r="H920" i="29" a="1"/>
  <c r="H920" i="29" s="1"/>
  <c r="H922" i="29" a="1"/>
  <c r="H922" i="29" s="1"/>
  <c r="D928" i="29" a="1"/>
  <c r="D928" i="29" s="1"/>
  <c r="B501" i="29"/>
  <c r="F501" i="29" s="1" a="1"/>
  <c r="F501" i="29" s="1"/>
  <c r="H492" i="29" a="1"/>
  <c r="H492" i="29" s="1"/>
  <c r="I921" i="29"/>
  <c r="I499" i="29"/>
  <c r="E499" i="29" s="1" a="1"/>
  <c r="E499" i="29" s="1"/>
  <c r="H923" i="29" a="1"/>
  <c r="H923" i="29" s="1"/>
  <c r="B927" i="29"/>
  <c r="F927" i="29" s="1" a="1"/>
  <c r="F927" i="29" s="1"/>
  <c r="D498" i="29" a="1"/>
  <c r="D498" i="29" s="1"/>
  <c r="H500" i="29" a="1"/>
  <c r="H500" i="29" s="1"/>
  <c r="B494" i="29"/>
  <c r="F494" i="29" s="1" a="1"/>
  <c r="F494" i="29" s="1"/>
  <c r="I920" i="29"/>
  <c r="I498" i="29"/>
  <c r="H930" i="29" a="1"/>
  <c r="H930" i="29" s="1"/>
  <c r="D925" i="29" a="1"/>
  <c r="D925" i="29" s="1"/>
  <c r="H495" i="29" a="1"/>
  <c r="H495" i="29" s="1"/>
  <c r="D497" i="29" a="1"/>
  <c r="D497" i="29" s="1"/>
  <c r="D501" i="29" a="1"/>
  <c r="D501" i="29" s="1"/>
  <c r="I919" i="29"/>
  <c r="I497" i="29"/>
  <c r="H924" i="29" a="1"/>
  <c r="H924" i="29" s="1"/>
  <c r="H494" i="29" a="1"/>
  <c r="H494" i="29" s="1"/>
  <c r="I930" i="29"/>
  <c r="I496" i="29"/>
  <c r="H926" i="29" a="1"/>
  <c r="H926" i="29" s="1"/>
  <c r="H929" i="29" a="1"/>
  <c r="H929" i="29" s="1"/>
  <c r="H921" i="29" a="1"/>
  <c r="H921" i="29" s="1"/>
  <c r="B500" i="29"/>
  <c r="F500" i="29" s="1" a="1"/>
  <c r="F500" i="29" s="1"/>
  <c r="I929" i="29"/>
  <c r="I495" i="29"/>
  <c r="B922" i="29"/>
  <c r="F922" i="29" s="1" a="1"/>
  <c r="F922" i="29" s="1"/>
  <c r="B498" i="29"/>
  <c r="F498" i="29" s="1" a="1"/>
  <c r="F498" i="29" s="1"/>
  <c r="B925" i="29"/>
  <c r="F925" i="29" s="1" a="1"/>
  <c r="F925" i="29" s="1"/>
  <c r="B924" i="29"/>
  <c r="F924" i="29" s="1" a="1"/>
  <c r="F924" i="29" s="1"/>
  <c r="I927" i="29"/>
  <c r="I493" i="29"/>
  <c r="B928" i="29"/>
  <c r="F928" i="29" s="1" a="1"/>
  <c r="F928" i="29" s="1"/>
  <c r="B923" i="29"/>
  <c r="F923" i="29" s="1" a="1"/>
  <c r="F923" i="29" s="1"/>
  <c r="B930" i="29"/>
  <c r="F930" i="29" s="1" a="1"/>
  <c r="F930" i="29" s="1"/>
  <c r="B493" i="29"/>
  <c r="D496" i="29" a="1"/>
  <c r="D496" i="29" s="1"/>
  <c r="B499" i="29"/>
  <c r="F499" i="29" s="1" a="1"/>
  <c r="F499" i="29" s="1"/>
  <c r="I926" i="29"/>
  <c r="I492" i="29"/>
  <c r="H927" i="29" a="1"/>
  <c r="H927" i="29" s="1"/>
  <c r="B491" i="29"/>
  <c r="F491" i="29" s="1" a="1"/>
  <c r="F491" i="29" s="1"/>
  <c r="B490" i="29"/>
  <c r="F490" i="29" s="1" a="1"/>
  <c r="F490" i="29" s="1"/>
  <c r="H491" i="29" a="1"/>
  <c r="H491" i="29" s="1"/>
  <c r="I925" i="29"/>
  <c r="I491" i="29"/>
  <c r="E491" i="29" s="1" a="1"/>
  <c r="E491" i="29" s="1"/>
  <c r="B926" i="29"/>
  <c r="F926" i="29" s="1" a="1"/>
  <c r="F926" i="29" s="1"/>
  <c r="D499" i="29" a="1"/>
  <c r="D499" i="29" s="1"/>
  <c r="B496" i="29"/>
  <c r="F496" i="29" s="1" a="1"/>
  <c r="F496" i="29" s="1"/>
  <c r="I924" i="29"/>
  <c r="I490" i="29"/>
  <c r="B921" i="29"/>
  <c r="F921" i="29" s="1" a="1"/>
  <c r="F921" i="29" s="1"/>
  <c r="B495" i="29"/>
  <c r="F495" i="29" s="1" a="1"/>
  <c r="F495" i="29" s="1"/>
  <c r="B497" i="29"/>
  <c r="F497" i="29" s="1" a="1"/>
  <c r="F497" i="29" s="1"/>
  <c r="I928" i="29"/>
  <c r="E928" i="29" s="1" a="1"/>
  <c r="E928" i="29" s="1"/>
  <c r="I501" i="29"/>
  <c r="B492" i="29"/>
  <c r="F492" i="29" s="1" a="1"/>
  <c r="F492" i="29" s="1"/>
  <c r="H493" i="29" a="1"/>
  <c r="H493" i="29" s="1"/>
  <c r="H490" i="29" a="1"/>
  <c r="H490" i="29" s="1"/>
  <c r="I500" i="29"/>
  <c r="C131" i="29"/>
  <c r="I131" i="29" s="1"/>
  <c r="I133" i="29"/>
  <c r="E133" i="29" s="1" a="1"/>
  <c r="E133" i="29" s="1"/>
  <c r="B133" i="29"/>
  <c r="F133" i="29" s="1" a="1"/>
  <c r="F133" i="29" s="1"/>
  <c r="B134" i="29"/>
  <c r="F134" i="29" s="1" a="1"/>
  <c r="F134" i="29" s="1"/>
  <c r="I488" i="29"/>
  <c r="D488" i="29" s="1" a="1"/>
  <c r="D488" i="29" s="1"/>
  <c r="B488" i="29"/>
  <c r="F488" i="29" s="1" a="1"/>
  <c r="F488" i="29" s="1"/>
  <c r="I918" i="29"/>
  <c r="D918" i="29" s="1" a="1"/>
  <c r="D918" i="29" s="1"/>
  <c r="B917" i="29"/>
  <c r="F917" i="29" s="1" a="1"/>
  <c r="F917" i="29" s="1"/>
  <c r="B489" i="29"/>
  <c r="F489" i="29" s="1" a="1"/>
  <c r="F489" i="29" s="1"/>
  <c r="H489" i="29" a="1"/>
  <c r="H489" i="29" s="1"/>
  <c r="B918" i="29"/>
  <c r="F918" i="29" s="1" a="1"/>
  <c r="F918" i="29" s="1"/>
  <c r="I489" i="29"/>
  <c r="I917" i="29"/>
  <c r="H917" i="29" s="1" a="1"/>
  <c r="H917" i="29" s="1"/>
  <c r="I134" i="29"/>
  <c r="D134" i="29" s="1"/>
  <c r="C16" i="40"/>
  <c r="J16" i="40" s="1"/>
  <c r="J17" i="40"/>
  <c r="C68" i="40" a="1"/>
  <c r="BE15" i="28"/>
  <c r="D68" i="40" s="1" a="1"/>
  <c r="D68" i="40" s="1"/>
  <c r="C967" i="29" a="1"/>
  <c r="C120" i="40"/>
  <c r="J120" i="40" s="1"/>
  <c r="J128" i="40"/>
  <c r="D128" i="40" s="1" a="1"/>
  <c r="D128" i="40" s="1"/>
  <c r="D126" i="40" a="1"/>
  <c r="D126" i="40" s="1"/>
  <c r="J127" i="40"/>
  <c r="D127" i="40" a="1"/>
  <c r="D127" i="40" s="1"/>
  <c r="J126" i="40"/>
  <c r="D133" i="40" a="1"/>
  <c r="D133" i="40" s="1"/>
  <c r="J125" i="40"/>
  <c r="D125" i="40" s="1" a="1"/>
  <c r="D125" i="40" s="1"/>
  <c r="D134" i="40" a="1"/>
  <c r="D134" i="40" s="1"/>
  <c r="D132" i="40" a="1"/>
  <c r="D132" i="40" s="1"/>
  <c r="J130" i="40"/>
  <c r="D130" i="40" s="1" a="1"/>
  <c r="D130" i="40" s="1"/>
  <c r="J124" i="40"/>
  <c r="D124" i="40" s="1" a="1"/>
  <c r="D124" i="40" s="1"/>
  <c r="D135" i="40" a="1"/>
  <c r="D135" i="40" s="1"/>
  <c r="J135" i="40"/>
  <c r="J123" i="40"/>
  <c r="D123" i="40" s="1" a="1"/>
  <c r="D123" i="40" s="1"/>
  <c r="J134" i="40"/>
  <c r="J122" i="40"/>
  <c r="D122" i="40" s="1" a="1"/>
  <c r="D122" i="40" s="1"/>
  <c r="J129" i="40"/>
  <c r="D129" i="40" s="1" a="1"/>
  <c r="D129" i="40" s="1"/>
  <c r="J133" i="40"/>
  <c r="J132" i="40"/>
  <c r="D131" i="40" a="1"/>
  <c r="D131" i="40" s="1"/>
  <c r="J131" i="40"/>
  <c r="I280" i="29"/>
  <c r="I281" i="29"/>
  <c r="I282" i="29"/>
  <c r="I283" i="29"/>
  <c r="I284" i="29"/>
  <c r="I285" i="29"/>
  <c r="I286" i="29"/>
  <c r="I287" i="29"/>
  <c r="I288" i="29"/>
  <c r="I289" i="29"/>
  <c r="I132" i="29"/>
  <c r="I487" i="29"/>
  <c r="I916" i="29"/>
  <c r="I1215" i="29"/>
  <c r="H694" i="29" a="1"/>
  <c r="G694" i="29" a="1"/>
  <c r="D694" i="29" a="1"/>
  <c r="D694" i="29" s="1"/>
  <c r="C694" i="29" a="1"/>
  <c r="I189" i="29"/>
  <c r="I192" i="29" s="1"/>
  <c r="I195" i="29" s="1"/>
  <c r="I198" i="29" s="1"/>
  <c r="I201" i="29" s="1"/>
  <c r="I204" i="29" s="1"/>
  <c r="I207" i="29" s="1"/>
  <c r="I210" i="29" s="1"/>
  <c r="I213" i="29" s="1"/>
  <c r="I216" i="29" s="1"/>
  <c r="I188" i="29"/>
  <c r="H188" i="29" s="1" a="1"/>
  <c r="H188" i="29" s="1"/>
  <c r="I190" i="29"/>
  <c r="I193" i="29" s="1"/>
  <c r="I196" i="29" s="1"/>
  <c r="I199" i="29" s="1"/>
  <c r="I202" i="29" s="1"/>
  <c r="I205" i="29" s="1"/>
  <c r="I208" i="29" s="1"/>
  <c r="I211" i="29" s="1"/>
  <c r="I214" i="29" s="1"/>
  <c r="I217" i="29" s="1"/>
  <c r="I187" i="29"/>
  <c r="D187" i="29" s="1" a="1"/>
  <c r="D187" i="29" s="1"/>
  <c r="I191" i="29"/>
  <c r="I194" i="29" s="1"/>
  <c r="I186" i="29"/>
  <c r="I437" i="29"/>
  <c r="I438" i="29"/>
  <c r="I439" i="29"/>
  <c r="I436" i="29"/>
  <c r="I856" i="29"/>
  <c r="I868" i="29"/>
  <c r="I857" i="29"/>
  <c r="I869" i="29"/>
  <c r="I864" i="29"/>
  <c r="I858" i="29"/>
  <c r="I870" i="29"/>
  <c r="I859" i="29"/>
  <c r="I871" i="29"/>
  <c r="I860" i="29"/>
  <c r="I872" i="29"/>
  <c r="I861" i="29"/>
  <c r="I873" i="29"/>
  <c r="I862" i="29"/>
  <c r="I874" i="29"/>
  <c r="I863" i="29"/>
  <c r="I875" i="29"/>
  <c r="I865" i="29"/>
  <c r="I877" i="29"/>
  <c r="I866" i="29"/>
  <c r="I867" i="29"/>
  <c r="I876" i="29"/>
  <c r="I18" i="29"/>
  <c r="D18" i="29" s="1"/>
  <c r="I30" i="29"/>
  <c r="D30" i="29" s="1"/>
  <c r="I19" i="29"/>
  <c r="D19" i="29" s="1"/>
  <c r="I31" i="29"/>
  <c r="D31" i="29" s="1"/>
  <c r="I20" i="29"/>
  <c r="D20" i="29" s="1"/>
  <c r="I32" i="29"/>
  <c r="D32" i="29" s="1"/>
  <c r="I21" i="29"/>
  <c r="D21" i="29" s="1"/>
  <c r="I33" i="29"/>
  <c r="D33" i="29" s="1"/>
  <c r="I22" i="29"/>
  <c r="D22" i="29" s="1"/>
  <c r="I34" i="29"/>
  <c r="D34" i="29" s="1"/>
  <c r="I23" i="29"/>
  <c r="D23" i="29" s="1"/>
  <c r="I35" i="29"/>
  <c r="D35" i="29" s="1"/>
  <c r="I24" i="29"/>
  <c r="D24" i="29" s="1"/>
  <c r="I25" i="29"/>
  <c r="D25" i="29" s="1"/>
  <c r="I26" i="29"/>
  <c r="D26" i="29" s="1"/>
  <c r="I27" i="29"/>
  <c r="D27" i="29" s="1"/>
  <c r="I28" i="29"/>
  <c r="D28" i="29" s="1"/>
  <c r="I29" i="29"/>
  <c r="D29" i="29" s="1"/>
  <c r="I277" i="29"/>
  <c r="I276" i="29"/>
  <c r="I278" i="29"/>
  <c r="I279" i="29"/>
  <c r="I69" i="29"/>
  <c r="I68" i="29"/>
  <c r="D68" i="29" s="1"/>
  <c r="I16" i="40" a="1"/>
  <c r="I16" i="40" s="1"/>
  <c r="G16" i="40" a="1"/>
  <c r="G16" i="40" s="1"/>
  <c r="E108" i="29" a="1"/>
  <c r="E108" i="29" s="1"/>
  <c r="E112" i="29" a="1"/>
  <c r="E112" i="29" s="1"/>
  <c r="E118" i="29" a="1"/>
  <c r="E118" i="29" s="1"/>
  <c r="E123" i="29" a="1"/>
  <c r="E123" i="29" s="1"/>
  <c r="E121" i="29" a="1"/>
  <c r="E121" i="29" s="1"/>
  <c r="E113" i="29" a="1"/>
  <c r="E113" i="29" s="1"/>
  <c r="E116" i="29" a="1"/>
  <c r="E116" i="29" s="1"/>
  <c r="H497" i="29" a="1"/>
  <c r="H497" i="29" s="1"/>
  <c r="E105" i="29" a="1"/>
  <c r="E105" i="29" s="1"/>
  <c r="E124" i="29" a="1"/>
  <c r="E124" i="29" s="1"/>
  <c r="E106" i="29" a="1"/>
  <c r="E106" i="29" s="1"/>
  <c r="E115" i="29" a="1"/>
  <c r="E115" i="29" s="1"/>
  <c r="E110" i="29" a="1"/>
  <c r="E110" i="29" s="1"/>
  <c r="H138" i="29"/>
  <c r="E149" i="29" a="1"/>
  <c r="E149" i="29" s="1"/>
  <c r="E148" i="29" a="1"/>
  <c r="E148" i="29" s="1"/>
  <c r="E120" i="29" a="1"/>
  <c r="E120" i="29" s="1"/>
  <c r="E109" i="29" a="1"/>
  <c r="E109" i="29" s="1"/>
  <c r="B241" i="29"/>
  <c r="B235" i="29"/>
  <c r="B229" i="29"/>
  <c r="E229" i="29" s="1" a="1"/>
  <c r="E229" i="29" s="1"/>
  <c r="B223" i="29"/>
  <c r="B217" i="29"/>
  <c r="B211" i="29"/>
  <c r="B205" i="29"/>
  <c r="B199" i="29"/>
  <c r="H240" i="29" a="1"/>
  <c r="H240" i="29" s="1"/>
  <c r="H228" i="29" a="1"/>
  <c r="H228" i="29" s="1"/>
  <c r="H216" i="29" a="1"/>
  <c r="H216" i="29" s="1"/>
  <c r="H204" i="29" a="1"/>
  <c r="H204" i="29" s="1"/>
  <c r="H192" i="29" a="1"/>
  <c r="H192" i="29" s="1"/>
  <c r="D238" i="29" a="1"/>
  <c r="D238" i="29" s="1"/>
  <c r="D226" i="29" a="1"/>
  <c r="D226" i="29" s="1"/>
  <c r="D214" i="29" a="1"/>
  <c r="D214" i="29" s="1"/>
  <c r="D202" i="29" a="1"/>
  <c r="D202" i="29" s="1"/>
  <c r="D190" i="29" a="1"/>
  <c r="D190" i="29" s="1"/>
  <c r="H239" i="29" a="1"/>
  <c r="H239" i="29" s="1"/>
  <c r="H227" i="29" a="1"/>
  <c r="H227" i="29" s="1"/>
  <c r="H215" i="29" a="1"/>
  <c r="H215" i="29" s="1"/>
  <c r="H203" i="29" a="1"/>
  <c r="H203" i="29" s="1"/>
  <c r="H191" i="29" a="1"/>
  <c r="H191" i="29" s="1"/>
  <c r="D237" i="29" a="1"/>
  <c r="D237" i="29" s="1"/>
  <c r="D225" i="29" a="1"/>
  <c r="D225" i="29" s="1"/>
  <c r="D213" i="29" a="1"/>
  <c r="D213" i="29" s="1"/>
  <c r="D201" i="29" a="1"/>
  <c r="D201" i="29" s="1"/>
  <c r="D189" i="29" a="1"/>
  <c r="D189" i="29" s="1"/>
  <c r="B240" i="29"/>
  <c r="B234" i="29"/>
  <c r="E234" i="29" s="1" a="1"/>
  <c r="E234" i="29" s="1"/>
  <c r="B228" i="29"/>
  <c r="E228" i="29" s="1" a="1"/>
  <c r="E228" i="29" s="1"/>
  <c r="B222" i="29"/>
  <c r="B216" i="29"/>
  <c r="B210" i="29"/>
  <c r="B204" i="29"/>
  <c r="B198" i="29"/>
  <c r="H238" i="29" a="1"/>
  <c r="H238" i="29" s="1"/>
  <c r="H226" i="29" a="1"/>
  <c r="H226" i="29" s="1"/>
  <c r="H214" i="29" a="1"/>
  <c r="H214" i="29" s="1"/>
  <c r="H202" i="29" a="1"/>
  <c r="H202" i="29" s="1"/>
  <c r="H190" i="29" a="1"/>
  <c r="H190" i="29" s="1"/>
  <c r="D236" i="29" a="1"/>
  <c r="D236" i="29" s="1"/>
  <c r="D224" i="29" a="1"/>
  <c r="D224" i="29" s="1"/>
  <c r="D212" i="29" a="1"/>
  <c r="D212" i="29" s="1"/>
  <c r="D188" i="29" a="1"/>
  <c r="D188" i="29" s="1"/>
  <c r="H237" i="29" a="1"/>
  <c r="H237" i="29" s="1"/>
  <c r="H225" i="29" a="1"/>
  <c r="H225" i="29" s="1"/>
  <c r="H213" i="29" a="1"/>
  <c r="H213" i="29" s="1"/>
  <c r="H201" i="29" a="1"/>
  <c r="H201" i="29" s="1"/>
  <c r="H189" i="29" a="1"/>
  <c r="H189" i="29" s="1"/>
  <c r="D235" i="29" a="1"/>
  <c r="D235" i="29" s="1"/>
  <c r="D223" i="29" a="1"/>
  <c r="D223" i="29" s="1"/>
  <c r="D211" i="29" a="1"/>
  <c r="D211" i="29" s="1"/>
  <c r="D199" i="29" a="1"/>
  <c r="D199" i="29" s="1"/>
  <c r="B239" i="29"/>
  <c r="E239" i="29" s="1" a="1"/>
  <c r="E239" i="29" s="1"/>
  <c r="B233" i="29"/>
  <c r="E233" i="29" s="1" a="1"/>
  <c r="E233" i="29" s="1"/>
  <c r="B227" i="29"/>
  <c r="B221" i="29"/>
  <c r="E221" i="29" s="1" a="1"/>
  <c r="E221" i="29" s="1"/>
  <c r="B215" i="29"/>
  <c r="B209" i="29"/>
  <c r="B203" i="29"/>
  <c r="B197" i="29"/>
  <c r="H236" i="29" a="1"/>
  <c r="H236" i="29" s="1"/>
  <c r="H224" i="29" a="1"/>
  <c r="H224" i="29" s="1"/>
  <c r="H212" i="29" a="1"/>
  <c r="H212" i="29" s="1"/>
  <c r="D234" i="29" a="1"/>
  <c r="D234" i="29" s="1"/>
  <c r="D222" i="29" a="1"/>
  <c r="D222" i="29" s="1"/>
  <c r="D210" i="29" a="1"/>
  <c r="D210" i="29" s="1"/>
  <c r="D198" i="29" a="1"/>
  <c r="D198" i="29" s="1"/>
  <c r="D186" i="29" a="1"/>
  <c r="D186" i="29" s="1"/>
  <c r="H235" i="29" a="1"/>
  <c r="H235" i="29" s="1"/>
  <c r="H223" i="29" a="1"/>
  <c r="H223" i="29" s="1"/>
  <c r="H211" i="29" a="1"/>
  <c r="H211" i="29" s="1"/>
  <c r="H199" i="29" a="1"/>
  <c r="H199" i="29" s="1"/>
  <c r="H187" i="29" a="1"/>
  <c r="H187" i="29" s="1"/>
  <c r="D233" i="29" a="1"/>
  <c r="D233" i="29" s="1"/>
  <c r="D221" i="29" a="1"/>
  <c r="D221" i="29" s="1"/>
  <c r="D209" i="29" a="1"/>
  <c r="D209" i="29" s="1"/>
  <c r="D185" i="29" a="1"/>
  <c r="D185" i="29" s="1"/>
  <c r="B238" i="29"/>
  <c r="E238" i="29" s="1" a="1"/>
  <c r="E238" i="29" s="1"/>
  <c r="B232" i="29"/>
  <c r="B242" i="29"/>
  <c r="E242" i="29" s="1" a="1"/>
  <c r="E242" i="29" s="1"/>
  <c r="B236" i="29"/>
  <c r="B230" i="29"/>
  <c r="E230" i="29" s="1" a="1"/>
  <c r="E230" i="29" s="1"/>
  <c r="B224" i="29"/>
  <c r="E224" i="29" s="1" a="1"/>
  <c r="E224" i="29" s="1"/>
  <c r="B218" i="29"/>
  <c r="B212" i="29"/>
  <c r="B206" i="29"/>
  <c r="B200" i="29"/>
  <c r="H242" i="29" a="1"/>
  <c r="H242" i="29" s="1"/>
  <c r="H230" i="29" a="1"/>
  <c r="H230" i="29" s="1"/>
  <c r="H218" i="29" a="1"/>
  <c r="H218" i="29" s="1"/>
  <c r="H206" i="29" a="1"/>
  <c r="H206" i="29" s="1"/>
  <c r="D240" i="29" a="1"/>
  <c r="D240" i="29" s="1"/>
  <c r="D228" i="29" a="1"/>
  <c r="D228" i="29" s="1"/>
  <c r="D216" i="29" a="1"/>
  <c r="D216" i="29" s="1"/>
  <c r="D204" i="29" a="1"/>
  <c r="D204" i="29" s="1"/>
  <c r="D192" i="29" a="1"/>
  <c r="D192" i="29" s="1"/>
  <c r="H241" i="29" a="1"/>
  <c r="H241" i="29" s="1"/>
  <c r="H229" i="29" a="1"/>
  <c r="H229" i="29" s="1"/>
  <c r="H217" i="29" a="1"/>
  <c r="H217" i="29" s="1"/>
  <c r="H205" i="29" a="1"/>
  <c r="H205" i="29" s="1"/>
  <c r="H193" i="29" a="1"/>
  <c r="H193" i="29" s="1"/>
  <c r="D239" i="29" a="1"/>
  <c r="D239" i="29" s="1"/>
  <c r="D227" i="29" a="1"/>
  <c r="D227" i="29" s="1"/>
  <c r="D215" i="29" a="1"/>
  <c r="D215" i="29" s="1"/>
  <c r="D203" i="29" a="1"/>
  <c r="D203" i="29" s="1"/>
  <c r="D191" i="29" a="1"/>
  <c r="D191" i="29" s="1"/>
  <c r="H219" i="29" a="1"/>
  <c r="H219" i="29" s="1"/>
  <c r="D241" i="29" a="1"/>
  <c r="D241" i="29" s="1"/>
  <c r="D205" i="29" a="1"/>
  <c r="D205" i="29" s="1"/>
  <c r="B226" i="29"/>
  <c r="E226" i="29" s="1" a="1"/>
  <c r="E226" i="29" s="1"/>
  <c r="B208" i="29"/>
  <c r="H210" i="29" a="1"/>
  <c r="H210" i="29" s="1"/>
  <c r="D232" i="29" a="1"/>
  <c r="D232" i="29" s="1"/>
  <c r="D196" i="29" a="1"/>
  <c r="D196" i="29" s="1"/>
  <c r="B231" i="29"/>
  <c r="E231" i="29" s="1" a="1"/>
  <c r="E231" i="29" s="1"/>
  <c r="H209" i="29" a="1"/>
  <c r="H209" i="29" s="1"/>
  <c r="D231" i="29" a="1"/>
  <c r="D231" i="29" s="1"/>
  <c r="D195" i="29" a="1"/>
  <c r="D195" i="29" s="1"/>
  <c r="B213" i="29"/>
  <c r="B225" i="29"/>
  <c r="B207" i="29"/>
  <c r="E207" i="29" s="1" a="1"/>
  <c r="E207" i="29" s="1"/>
  <c r="H208" i="29" a="1"/>
  <c r="H208" i="29" s="1"/>
  <c r="D230" i="29" a="1"/>
  <c r="D230" i="29" s="1"/>
  <c r="D242" i="29" a="1"/>
  <c r="D242" i="29" s="1"/>
  <c r="H207" i="29" a="1"/>
  <c r="H207" i="29" s="1"/>
  <c r="D229" i="29" a="1"/>
  <c r="D229" i="29" s="1"/>
  <c r="D193" i="29" a="1"/>
  <c r="D193" i="29" s="1"/>
  <c r="B220" i="29"/>
  <c r="E220" i="29" s="1" a="1"/>
  <c r="E220" i="29" s="1"/>
  <c r="B202" i="29"/>
  <c r="H234" i="29" a="1"/>
  <c r="H234" i="29" s="1"/>
  <c r="H198" i="29" a="1"/>
  <c r="H198" i="29" s="1"/>
  <c r="D220" i="29" a="1"/>
  <c r="D220" i="29" s="1"/>
  <c r="D184" i="29" a="1"/>
  <c r="D184" i="29" s="1"/>
  <c r="H233" i="29" a="1"/>
  <c r="H233" i="29" s="1"/>
  <c r="D219" i="29" a="1"/>
  <c r="D219" i="29" s="1"/>
  <c r="H220" i="29" a="1"/>
  <c r="H220" i="29" s="1"/>
  <c r="B219" i="29"/>
  <c r="E219" i="29" s="1" a="1"/>
  <c r="E219" i="29" s="1"/>
  <c r="B201" i="29"/>
  <c r="H232" i="29" a="1"/>
  <c r="H232" i="29" s="1"/>
  <c r="H196" i="29" a="1"/>
  <c r="H196" i="29" s="1"/>
  <c r="D218" i="29" a="1"/>
  <c r="D218" i="29" s="1"/>
  <c r="B237" i="29"/>
  <c r="H231" i="29" a="1"/>
  <c r="H231" i="29" s="1"/>
  <c r="H195" i="29" a="1"/>
  <c r="H195" i="29" s="1"/>
  <c r="D217" i="29" a="1"/>
  <c r="D217" i="29" s="1"/>
  <c r="B214" i="29"/>
  <c r="H222" i="29" a="1"/>
  <c r="H222" i="29" s="1"/>
  <c r="H186" i="29" a="1"/>
  <c r="H186" i="29" s="1"/>
  <c r="D208" i="29" a="1"/>
  <c r="D208" i="29" s="1"/>
  <c r="H221" i="29" a="1"/>
  <c r="H221" i="29" s="1"/>
  <c r="H185" i="29" a="1"/>
  <c r="H185" i="29" s="1"/>
  <c r="D207" i="29" a="1"/>
  <c r="D207" i="29" s="1"/>
  <c r="D206" i="29" a="1"/>
  <c r="D206" i="29" s="1"/>
  <c r="E227" i="29" a="1"/>
  <c r="E227" i="29" s="1"/>
  <c r="E240" i="29" a="1"/>
  <c r="E240" i="29" s="1"/>
  <c r="E241" i="29" a="1"/>
  <c r="E241" i="29" s="1"/>
  <c r="E222" i="29" a="1"/>
  <c r="E222" i="29" s="1"/>
  <c r="E225" i="29" a="1"/>
  <c r="E225" i="29" s="1"/>
  <c r="E232" i="29" a="1"/>
  <c r="E232" i="29" s="1"/>
  <c r="E236" i="29" a="1"/>
  <c r="E236" i="29" s="1"/>
  <c r="E235" i="29" a="1"/>
  <c r="E235" i="29" s="1"/>
  <c r="E223" i="29" a="1"/>
  <c r="E223" i="29" s="1"/>
  <c r="E237" i="29" a="1"/>
  <c r="E237" i="29" s="1"/>
  <c r="E86" i="29" a="1"/>
  <c r="E86" i="29" s="1"/>
  <c r="E111" i="29" a="1"/>
  <c r="E111" i="29" s="1"/>
  <c r="E329" i="29" a="1"/>
  <c r="E329" i="29" s="1"/>
  <c r="E1118" i="29" a="1"/>
  <c r="E1118" i="29" s="1"/>
  <c r="E380" i="29" a="1"/>
  <c r="E380" i="29" s="1"/>
  <c r="E1217" i="29" a="1"/>
  <c r="E1217" i="29" s="1"/>
  <c r="A241" i="29"/>
  <c r="A235" i="29"/>
  <c r="A229" i="29"/>
  <c r="A223" i="29"/>
  <c r="A217" i="29"/>
  <c r="A211" i="29"/>
  <c r="A205" i="29"/>
  <c r="A199" i="29"/>
  <c r="A240" i="29"/>
  <c r="A234" i="29"/>
  <c r="A228" i="29"/>
  <c r="A222" i="29"/>
  <c r="A216" i="29"/>
  <c r="A210" i="29"/>
  <c r="A204" i="29"/>
  <c r="A198" i="29"/>
  <c r="A239" i="29"/>
  <c r="A233" i="29"/>
  <c r="A227" i="29"/>
  <c r="A221" i="29"/>
  <c r="A215" i="29"/>
  <c r="A209" i="29"/>
  <c r="A203" i="29"/>
  <c r="A197" i="29"/>
  <c r="A242" i="29"/>
  <c r="A236" i="29"/>
  <c r="A230" i="29"/>
  <c r="A224" i="29"/>
  <c r="A218" i="29"/>
  <c r="A212" i="29"/>
  <c r="A206" i="29"/>
  <c r="A200" i="29"/>
  <c r="A231" i="29"/>
  <c r="A213" i="29"/>
  <c r="A226" i="29"/>
  <c r="A208" i="29"/>
  <c r="A225" i="29"/>
  <c r="A207" i="29"/>
  <c r="A220" i="29"/>
  <c r="A202" i="29"/>
  <c r="A214" i="29"/>
  <c r="A238" i="29"/>
  <c r="A219" i="29"/>
  <c r="A201" i="29"/>
  <c r="A237" i="29"/>
  <c r="A232" i="29"/>
  <c r="E101" i="29" a="1"/>
  <c r="E101" i="29" s="1"/>
  <c r="E93" i="29" a="1"/>
  <c r="E93" i="29" s="1"/>
  <c r="E77" i="29" a="1"/>
  <c r="E77" i="29" s="1"/>
  <c r="E82" i="29" a="1"/>
  <c r="E82" i="29" s="1"/>
  <c r="E335" i="29" a="1"/>
  <c r="E335" i="29" s="1"/>
  <c r="E1112" i="29" a="1"/>
  <c r="E1112" i="29" s="1"/>
  <c r="E1225" i="29" a="1"/>
  <c r="E1225" i="29" s="1"/>
  <c r="H25" i="29"/>
  <c r="H50" i="29"/>
  <c r="H38" i="29"/>
  <c r="H26" i="29"/>
  <c r="H49" i="29"/>
  <c r="H48" i="29"/>
  <c r="H36" i="29"/>
  <c r="H24" i="29"/>
  <c r="H34" i="29"/>
  <c r="H22" i="29"/>
  <c r="H47" i="29"/>
  <c r="H35" i="29"/>
  <c r="H23" i="29"/>
  <c r="H46" i="29"/>
  <c r="H45" i="29"/>
  <c r="H33" i="29"/>
  <c r="H21" i="29"/>
  <c r="H52" i="29"/>
  <c r="H40" i="29"/>
  <c r="H28" i="29"/>
  <c r="H51" i="29"/>
  <c r="H39" i="29"/>
  <c r="H27" i="29"/>
  <c r="H55" i="29"/>
  <c r="H54" i="29"/>
  <c r="H19" i="29"/>
  <c r="H53" i="29"/>
  <c r="H18" i="29"/>
  <c r="H44" i="29"/>
  <c r="H42" i="29"/>
  <c r="H43" i="29"/>
  <c r="H30" i="29"/>
  <c r="H41" i="29"/>
  <c r="H29" i="29"/>
  <c r="H37" i="29"/>
  <c r="H32" i="29"/>
  <c r="H31" i="29"/>
  <c r="E84" i="29" a="1"/>
  <c r="E84" i="29" s="1"/>
  <c r="E91" i="29" a="1"/>
  <c r="E91" i="29" s="1"/>
  <c r="E125" i="29" a="1"/>
  <c r="E125" i="29" s="1"/>
  <c r="E87" i="29" a="1"/>
  <c r="E87" i="29" s="1"/>
  <c r="E331" i="29" a="1"/>
  <c r="E331" i="29" s="1"/>
  <c r="E1111" i="29" a="1"/>
  <c r="E1111" i="29" s="1"/>
  <c r="E145" i="29" a="1"/>
  <c r="E145" i="29" s="1"/>
  <c r="E100" i="29" a="1"/>
  <c r="E100" i="29" s="1"/>
  <c r="E330" i="29" a="1"/>
  <c r="E330" i="29" s="1"/>
  <c r="E1220" i="29" a="1"/>
  <c r="E1220" i="29" s="1"/>
  <c r="E107" i="29" a="1"/>
  <c r="E107" i="29" s="1"/>
  <c r="E73" i="29" a="1"/>
  <c r="E73" i="29" s="1"/>
  <c r="E83" i="29" a="1"/>
  <c r="E83" i="29" s="1"/>
  <c r="E71" i="29" a="1"/>
  <c r="E71" i="29" s="1"/>
  <c r="E337" i="29" a="1"/>
  <c r="E337" i="29" s="1"/>
  <c r="E1224" i="29" a="1"/>
  <c r="E1224" i="29" s="1"/>
  <c r="F1162" i="29" a="1"/>
  <c r="F1162" i="29" s="1"/>
  <c r="E1162" i="29" a="1"/>
  <c r="E1162" i="29" s="1"/>
  <c r="E90" i="29" a="1"/>
  <c r="E90" i="29" s="1"/>
  <c r="E97" i="29" a="1"/>
  <c r="E97" i="29" s="1"/>
  <c r="E75" i="29" a="1"/>
  <c r="E75" i="29" s="1"/>
  <c r="E78" i="29" a="1"/>
  <c r="E78" i="29" s="1"/>
  <c r="E336" i="29" a="1"/>
  <c r="E336" i="29" s="1"/>
  <c r="E74" i="29" a="1"/>
  <c r="E74" i="29" s="1"/>
  <c r="E88" i="29" a="1"/>
  <c r="E88" i="29" s="1"/>
  <c r="E92" i="29" a="1"/>
  <c r="E92" i="29" s="1"/>
  <c r="E332" i="29" a="1"/>
  <c r="E332" i="29" s="1"/>
  <c r="E1117" i="29" a="1"/>
  <c r="E1117" i="29" s="1"/>
  <c r="E1223" i="29" a="1"/>
  <c r="E1223" i="29" s="1"/>
  <c r="E96" i="29" a="1"/>
  <c r="E96" i="29" s="1"/>
  <c r="E79" i="29" a="1"/>
  <c r="E79" i="29" s="1"/>
  <c r="E76" i="29" a="1"/>
  <c r="E76" i="29" s="1"/>
  <c r="H106" i="29"/>
  <c r="E1116" i="29" a="1"/>
  <c r="E1116" i="29" s="1"/>
  <c r="E1221" i="29" a="1"/>
  <c r="E1221" i="29" s="1"/>
  <c r="H862" i="29" a="1"/>
  <c r="H862" i="29" s="1"/>
  <c r="H863" i="29" a="1"/>
  <c r="H863" i="29" s="1"/>
  <c r="B868" i="29"/>
  <c r="F868" i="29" s="1" a="1"/>
  <c r="F868" i="29" s="1"/>
  <c r="B862" i="29"/>
  <c r="F862" i="29" s="1" a="1"/>
  <c r="F862" i="29" s="1"/>
  <c r="D864" i="29" a="1"/>
  <c r="D864" i="29" s="1"/>
  <c r="H865" i="29" a="1"/>
  <c r="H865" i="29" s="1"/>
  <c r="B867" i="29"/>
  <c r="F867" i="29" s="1" a="1"/>
  <c r="F867" i="29" s="1"/>
  <c r="B861" i="29"/>
  <c r="F861" i="29" s="1" a="1"/>
  <c r="F861" i="29" s="1"/>
  <c r="H866" i="29" a="1"/>
  <c r="H866" i="29" s="1"/>
  <c r="H867" i="29" a="1"/>
  <c r="H867" i="29" s="1"/>
  <c r="B866" i="29"/>
  <c r="F866" i="29" s="1" a="1"/>
  <c r="F866" i="29" s="1"/>
  <c r="B860" i="29"/>
  <c r="F860" i="29" s="1" a="1"/>
  <c r="F860" i="29" s="1"/>
  <c r="D868" i="29" a="1"/>
  <c r="D868" i="29" s="1"/>
  <c r="D860" i="29" a="1"/>
  <c r="D860" i="29" s="1"/>
  <c r="D872" i="29" a="1"/>
  <c r="D872" i="29" s="1"/>
  <c r="H861" i="29" a="1"/>
  <c r="H861" i="29" s="1"/>
  <c r="B869" i="29"/>
  <c r="F869" i="29" s="1" a="1"/>
  <c r="F869" i="29" s="1"/>
  <c r="B863" i="29"/>
  <c r="F863" i="29" s="1" a="1"/>
  <c r="F863" i="29" s="1"/>
  <c r="B857" i="29"/>
  <c r="F857" i="29" s="1" a="1"/>
  <c r="F857" i="29" s="1"/>
  <c r="B865" i="29"/>
  <c r="F865" i="29" s="1" a="1"/>
  <c r="F865" i="29" s="1"/>
  <c r="H857" i="29" a="1"/>
  <c r="H857" i="29" s="1"/>
  <c r="B864" i="29"/>
  <c r="F864" i="29" s="1" a="1"/>
  <c r="F864" i="29" s="1"/>
  <c r="H858" i="29" a="1"/>
  <c r="H858" i="29" s="1"/>
  <c r="H859" i="29" a="1"/>
  <c r="H859" i="29" s="1"/>
  <c r="H869" i="29" a="1"/>
  <c r="H869" i="29" s="1"/>
  <c r="H870" i="29" a="1"/>
  <c r="H870" i="29" s="1"/>
  <c r="H871" i="29" a="1"/>
  <c r="H871" i="29" s="1"/>
  <c r="B859" i="29"/>
  <c r="F859" i="29" s="1" a="1"/>
  <c r="F859" i="29" s="1"/>
  <c r="B858" i="29"/>
  <c r="F858" i="29" s="1" a="1"/>
  <c r="F858" i="29" s="1"/>
  <c r="B1022" i="29"/>
  <c r="B1016" i="29"/>
  <c r="K1016" i="29" s="1" a="1"/>
  <c r="K1016" i="29" s="1"/>
  <c r="B1010" i="29"/>
  <c r="K1010" i="29" s="1" a="1"/>
  <c r="K1010" i="29" s="1"/>
  <c r="B1004" i="29"/>
  <c r="K1004" i="29" s="1" a="1"/>
  <c r="K1004" i="29" s="1"/>
  <c r="B1021" i="29"/>
  <c r="K1021" i="29" s="1" a="1"/>
  <c r="K1021" i="29" s="1"/>
  <c r="B1015" i="29"/>
  <c r="K1015" i="29" s="1" a="1"/>
  <c r="K1015" i="29" s="1"/>
  <c r="B1009" i="29"/>
  <c r="K1009" i="29" s="1" a="1"/>
  <c r="K1009" i="29" s="1"/>
  <c r="B1003" i="29"/>
  <c r="K1003" i="29" s="1" a="1"/>
  <c r="K1003" i="29" s="1"/>
  <c r="B1020" i="29"/>
  <c r="K1020" i="29" s="1" a="1"/>
  <c r="K1020" i="29" s="1"/>
  <c r="B1014" i="29"/>
  <c r="K1014" i="29" s="1" a="1"/>
  <c r="K1014" i="29" s="1"/>
  <c r="B1008" i="29"/>
  <c r="K1008" i="29" s="1" a="1"/>
  <c r="K1008" i="29" s="1"/>
  <c r="B1023" i="29"/>
  <c r="K1023" i="29" s="1" a="1"/>
  <c r="K1023" i="29" s="1"/>
  <c r="B1017" i="29"/>
  <c r="B1011" i="29"/>
  <c r="K1011" i="29" s="1" a="1"/>
  <c r="K1011" i="29" s="1"/>
  <c r="B1005" i="29"/>
  <c r="K1005" i="29" s="1" a="1"/>
  <c r="K1005" i="29" s="1"/>
  <c r="B1024" i="29"/>
  <c r="K1024" i="29" s="1" a="1"/>
  <c r="K1024" i="29" s="1"/>
  <c r="B1006" i="29"/>
  <c r="K1006" i="29" s="1" a="1"/>
  <c r="K1006" i="29" s="1"/>
  <c r="B1013" i="29"/>
  <c r="K1013" i="29" s="1" a="1"/>
  <c r="K1013" i="29" s="1"/>
  <c r="B1012" i="29"/>
  <c r="B1019" i="29"/>
  <c r="K1019" i="29" s="1" a="1"/>
  <c r="K1019" i="29" s="1"/>
  <c r="B1018" i="29"/>
  <c r="K1018" i="29" s="1" a="1"/>
  <c r="K1018" i="29" s="1"/>
  <c r="B1007" i="29"/>
  <c r="K1007" i="29" s="1" a="1"/>
  <c r="K1007" i="29" s="1"/>
  <c r="K1017" i="29" a="1"/>
  <c r="K1017" i="29" s="1"/>
  <c r="K1012" i="29" a="1"/>
  <c r="K1012" i="29" s="1"/>
  <c r="E80" i="29" a="1"/>
  <c r="E80" i="29" s="1"/>
  <c r="E99" i="29" a="1"/>
  <c r="E99" i="29" s="1"/>
  <c r="E89" i="29" a="1"/>
  <c r="E89" i="29" s="1"/>
  <c r="E119" i="29" a="1"/>
  <c r="E119" i="29" s="1"/>
  <c r="E1114" i="29" a="1"/>
  <c r="E1114" i="29" s="1"/>
  <c r="E1216" i="29" a="1"/>
  <c r="E1216" i="29" s="1"/>
  <c r="E70" i="29" a="1"/>
  <c r="E70" i="29" s="1"/>
  <c r="E103" i="29" a="1"/>
  <c r="E103" i="29" s="1"/>
  <c r="E81" i="29" a="1"/>
  <c r="E81" i="29" s="1"/>
  <c r="E1115" i="29" a="1"/>
  <c r="E1115" i="29" s="1"/>
  <c r="E1219" i="29" a="1"/>
  <c r="E1219" i="29" s="1"/>
  <c r="E102" i="29" a="1"/>
  <c r="E102" i="29" s="1"/>
  <c r="E95" i="29" a="1"/>
  <c r="E95" i="29" s="1"/>
  <c r="E94" i="29" a="1"/>
  <c r="E94" i="29" s="1"/>
  <c r="E333" i="29" a="1"/>
  <c r="E333" i="29" s="1"/>
  <c r="E1119" i="29" a="1"/>
  <c r="E1119" i="29" s="1"/>
  <c r="E1222" i="29" a="1"/>
  <c r="E1222" i="29" s="1"/>
  <c r="E85" i="29" a="1"/>
  <c r="E85" i="29" s="1"/>
  <c r="E98" i="29" a="1"/>
  <c r="E98" i="29" s="1"/>
  <c r="E72" i="29" a="1"/>
  <c r="E72" i="29" s="1"/>
  <c r="E334" i="29" a="1"/>
  <c r="E334" i="29" s="1"/>
  <c r="E1113" i="29" a="1"/>
  <c r="E1113" i="29" s="1"/>
  <c r="E1218" i="29" a="1"/>
  <c r="E1218" i="29" s="1"/>
  <c r="D156" i="29"/>
  <c r="D133" i="29"/>
  <c r="D507" i="29" a="1"/>
  <c r="D507" i="29" s="1"/>
  <c r="D502" i="29" a="1"/>
  <c r="D502" i="29" s="1"/>
  <c r="E504" i="29" a="1"/>
  <c r="E504" i="29" s="1"/>
  <c r="D146" i="29"/>
  <c r="D149" i="29"/>
  <c r="D515" i="29" a="1"/>
  <c r="D515" i="29" s="1"/>
  <c r="D150" i="29"/>
  <c r="D153" i="29"/>
  <c r="D158" i="29"/>
  <c r="H145" i="29"/>
  <c r="H513" i="29" a="1"/>
  <c r="H513" i="29" s="1"/>
  <c r="D151" i="29"/>
  <c r="E151" i="29" a="1"/>
  <c r="E151" i="29" s="1"/>
  <c r="E147" i="29" a="1"/>
  <c r="E147" i="29" s="1"/>
  <c r="D493" i="29" a="1"/>
  <c r="D493" i="29" s="1"/>
  <c r="E156" i="29" a="1"/>
  <c r="E156" i="29" s="1"/>
  <c r="D494" i="29" a="1"/>
  <c r="D494" i="29" s="1"/>
  <c r="D147" i="29"/>
  <c r="H140" i="29"/>
  <c r="D162" i="29"/>
  <c r="E500" i="29" a="1"/>
  <c r="E500" i="29" s="1"/>
  <c r="E497" i="29" a="1"/>
  <c r="E497" i="29" s="1"/>
  <c r="E940" i="29" a="1"/>
  <c r="E940" i="29" s="1"/>
  <c r="D514" i="29" a="1"/>
  <c r="D514" i="29" s="1"/>
  <c r="H501" i="29" a="1"/>
  <c r="H501" i="29" s="1"/>
  <c r="E161" i="29" a="1"/>
  <c r="E161" i="29" s="1"/>
  <c r="H157" i="29"/>
  <c r="E146" i="29" a="1"/>
  <c r="E146" i="29" s="1"/>
  <c r="D750" i="29" a="1"/>
  <c r="D750" i="29" s="1"/>
  <c r="D495" i="29" a="1"/>
  <c r="D495" i="29" s="1"/>
  <c r="D505" i="29" a="1"/>
  <c r="D505" i="29" s="1"/>
  <c r="E158" i="29" a="1"/>
  <c r="E158" i="29" s="1"/>
  <c r="D924" i="29" a="1"/>
  <c r="D924" i="29" s="1"/>
  <c r="E919" i="29" a="1"/>
  <c r="E919" i="29" s="1"/>
  <c r="D511" i="29" a="1"/>
  <c r="D511" i="29" s="1"/>
  <c r="E507" i="29" a="1"/>
  <c r="E507" i="29" s="1"/>
  <c r="E162" i="29" a="1"/>
  <c r="E162" i="29" s="1"/>
  <c r="H931" i="29" a="1"/>
  <c r="H931" i="29" s="1"/>
  <c r="D945" i="29" a="1"/>
  <c r="D945" i="29" s="1"/>
  <c r="E516" i="29" a="1"/>
  <c r="E516" i="29" s="1"/>
  <c r="D137" i="29"/>
  <c r="D1221" i="29" a="1"/>
  <c r="D1221" i="29" s="1"/>
  <c r="D500" i="29" a="1"/>
  <c r="D500" i="29" s="1"/>
  <c r="E140" i="29" a="1"/>
  <c r="E140" i="29" s="1"/>
  <c r="E927" i="29" a="1"/>
  <c r="E927" i="29" s="1"/>
  <c r="E511" i="29" a="1"/>
  <c r="E511" i="29" s="1"/>
  <c r="D490" i="29" a="1"/>
  <c r="D490" i="29" s="1"/>
  <c r="E137" i="29" a="1"/>
  <c r="E137" i="29" s="1"/>
  <c r="D751" i="29" a="1"/>
  <c r="D751" i="29" s="1"/>
  <c r="D1223" i="29" a="1"/>
  <c r="D1223" i="29" s="1"/>
  <c r="H753" i="29" a="1"/>
  <c r="H753" i="29" s="1"/>
  <c r="H756" i="29" a="1"/>
  <c r="H756" i="29" s="1"/>
  <c r="E757" i="29" a="1"/>
  <c r="E757" i="29" s="1"/>
  <c r="D1220" i="29" a="1"/>
  <c r="D1220" i="29" s="1"/>
  <c r="D1218" i="29" a="1"/>
  <c r="D1218" i="29" s="1"/>
  <c r="E759" i="29" a="1"/>
  <c r="E759" i="29" s="1"/>
  <c r="D1222" i="29" a="1"/>
  <c r="D1222" i="29" s="1"/>
  <c r="D755" i="29" a="1"/>
  <c r="D755" i="29" s="1"/>
  <c r="E925" i="29" a="1"/>
  <c r="E925" i="29" s="1"/>
  <c r="H143" i="29"/>
  <c r="D946" i="29" a="1"/>
  <c r="D946" i="29" s="1"/>
  <c r="H498" i="29" a="1"/>
  <c r="H498" i="29" s="1"/>
  <c r="E489" i="29" a="1"/>
  <c r="E489" i="29" s="1"/>
  <c r="E141" i="29" a="1"/>
  <c r="E141" i="29" s="1"/>
  <c r="E143" i="29" a="1"/>
  <c r="E143" i="29" s="1"/>
  <c r="H134" i="29"/>
  <c r="D938" i="29" a="1"/>
  <c r="D938" i="29" s="1"/>
  <c r="E934" i="29" a="1"/>
  <c r="E934" i="29" s="1"/>
  <c r="D934" i="29" a="1"/>
  <c r="D934" i="29" s="1"/>
  <c r="E930" i="29" a="1"/>
  <c r="E930" i="29" s="1"/>
  <c r="D491" i="29" a="1"/>
  <c r="D491" i="29" s="1"/>
  <c r="E936" i="29" a="1"/>
  <c r="E936" i="29" s="1"/>
  <c r="D919" i="29" a="1"/>
  <c r="D919" i="29" s="1"/>
  <c r="H499" i="29" a="1"/>
  <c r="H499" i="29" s="1"/>
  <c r="E152" i="29" a="1"/>
  <c r="E152" i="29" s="1"/>
  <c r="D917" i="29" a="1"/>
  <c r="D917" i="29" s="1"/>
  <c r="H925" i="29" a="1"/>
  <c r="H925" i="29" s="1"/>
  <c r="D139" i="29"/>
  <c r="D937" i="29" a="1"/>
  <c r="D937" i="29" s="1"/>
  <c r="E157" i="29" a="1"/>
  <c r="E157" i="29" s="1"/>
  <c r="E513" i="29" a="1"/>
  <c r="E513" i="29" s="1"/>
  <c r="E943" i="29" a="1"/>
  <c r="E943" i="29" s="1"/>
  <c r="D489" i="29" a="1"/>
  <c r="D489" i="29" s="1"/>
  <c r="E135" i="29" a="1"/>
  <c r="E135" i="29" s="1"/>
  <c r="E501" i="29" a="1"/>
  <c r="E501" i="29" s="1"/>
  <c r="H517" i="29" a="1"/>
  <c r="H517" i="29" s="1"/>
  <c r="H932" i="29" a="1"/>
  <c r="H932" i="29" s="1"/>
  <c r="E515" i="29" a="1"/>
  <c r="E515" i="29" s="1"/>
  <c r="D161" i="29"/>
  <c r="H488" i="29" a="1"/>
  <c r="H488" i="29" s="1"/>
  <c r="D930" i="29" a="1"/>
  <c r="D930" i="29" s="1"/>
  <c r="E494" i="29" a="1"/>
  <c r="E494" i="29" s="1"/>
  <c r="H135" i="29"/>
  <c r="D492" i="29" a="1"/>
  <c r="D492" i="29" s="1"/>
  <c r="H510" i="29" a="1"/>
  <c r="H510" i="29" s="1"/>
  <c r="D152" i="29"/>
  <c r="E150" i="29" a="1"/>
  <c r="E150" i="29" s="1"/>
  <c r="E139" i="29" a="1"/>
  <c r="E139" i="29" s="1"/>
  <c r="H154" i="29"/>
  <c r="E160" i="29" a="1"/>
  <c r="E160" i="29" s="1"/>
  <c r="D923" i="29" a="1"/>
  <c r="D923" i="29" s="1"/>
  <c r="D920" i="29" a="1"/>
  <c r="D920" i="29" s="1"/>
  <c r="D929" i="29" a="1"/>
  <c r="D929" i="29" s="1"/>
  <c r="H935" i="29" a="1"/>
  <c r="H935" i="29" s="1"/>
  <c r="E512" i="29" a="1"/>
  <c r="E512" i="29" s="1"/>
  <c r="E922" i="29" a="1"/>
  <c r="E922" i="29" s="1"/>
  <c r="E920" i="29" a="1"/>
  <c r="E920" i="29" s="1"/>
  <c r="D516" i="29" a="1"/>
  <c r="D516" i="29" s="1"/>
  <c r="D136" i="29"/>
  <c r="E136" i="29" a="1"/>
  <c r="E136" i="29" s="1"/>
  <c r="E509" i="29" a="1"/>
  <c r="E509" i="29" s="1"/>
  <c r="H496" i="29" a="1"/>
  <c r="H496" i="29" s="1"/>
  <c r="D503" i="29" a="1"/>
  <c r="D503" i="29" s="1"/>
  <c r="E935" i="29" a="1"/>
  <c r="E935" i="29" s="1"/>
  <c r="D926" i="29" a="1"/>
  <c r="D926" i="29" s="1"/>
  <c r="D943" i="29" a="1"/>
  <c r="D943" i="29" s="1"/>
  <c r="E945" i="29" a="1"/>
  <c r="E945" i="29" s="1"/>
  <c r="E503" i="29" a="1"/>
  <c r="E503" i="29" s="1"/>
  <c r="D922" i="29" a="1"/>
  <c r="D922" i="29" s="1"/>
  <c r="D940" i="29" a="1"/>
  <c r="D940" i="29" s="1"/>
  <c r="D504" i="29" a="1"/>
  <c r="D504" i="29" s="1"/>
  <c r="E510" i="29" a="1"/>
  <c r="E510" i="29" s="1"/>
  <c r="E923" i="29" a="1"/>
  <c r="E923" i="29" s="1"/>
  <c r="D921" i="29" a="1"/>
  <c r="D921" i="29" s="1"/>
  <c r="E944" i="29" a="1"/>
  <c r="E944" i="29" s="1"/>
  <c r="D509" i="29" a="1"/>
  <c r="D509" i="29" s="1"/>
  <c r="H918" i="29" a="1"/>
  <c r="H918" i="29" s="1"/>
  <c r="E490" i="29" a="1"/>
  <c r="E490" i="29" s="1"/>
  <c r="E488" i="29" a="1"/>
  <c r="E488" i="29" s="1"/>
  <c r="E154" i="29" a="1"/>
  <c r="E154" i="29" s="1"/>
  <c r="D512" i="29" a="1"/>
  <c r="D512" i="29" s="1"/>
  <c r="C83" i="47"/>
  <c r="H508" i="29" a="1"/>
  <c r="H508" i="29" s="1"/>
  <c r="D506" i="29" a="1"/>
  <c r="D506" i="29" s="1"/>
  <c r="D141" i="29"/>
  <c r="E155" i="29" a="1"/>
  <c r="E155" i="29" s="1"/>
  <c r="H759" i="29" a="1"/>
  <c r="H759" i="29" s="1"/>
  <c r="I702" i="29"/>
  <c r="I709" i="29"/>
  <c r="I705" i="29"/>
  <c r="I713" i="29"/>
  <c r="I707" i="29"/>
  <c r="I711" i="29"/>
  <c r="I708" i="29"/>
  <c r="I712" i="29"/>
  <c r="I710" i="29"/>
  <c r="I703" i="29"/>
  <c r="I704" i="29"/>
  <c r="I706" i="29"/>
  <c r="B328" i="29"/>
  <c r="F328" i="29" s="1" a="1"/>
  <c r="F328" i="29" s="1"/>
  <c r="E756" i="29" a="1"/>
  <c r="E756" i="29" s="1"/>
  <c r="B915" i="29"/>
  <c r="F915" i="29" s="1" a="1"/>
  <c r="F915" i="29" s="1"/>
  <c r="H915" i="29" a="1"/>
  <c r="H915" i="29" s="1"/>
  <c r="B441" i="29"/>
  <c r="F441" i="29" s="1" a="1"/>
  <c r="F441" i="29" s="1"/>
  <c r="B437" i="29"/>
  <c r="F437" i="29" s="1" a="1"/>
  <c r="F437" i="29" s="1"/>
  <c r="B443" i="29"/>
  <c r="F443" i="29" s="1" a="1"/>
  <c r="F443" i="29" s="1"/>
  <c r="D436" i="29" a="1"/>
  <c r="D436" i="29" s="1"/>
  <c r="B435" i="29"/>
  <c r="F435" i="29" s="1" a="1"/>
  <c r="F435" i="29" s="1"/>
  <c r="B445" i="29"/>
  <c r="F445" i="29" s="1" a="1"/>
  <c r="F445" i="29" s="1"/>
  <c r="B442" i="29"/>
  <c r="F442" i="29" s="1" a="1"/>
  <c r="F442" i="29" s="1"/>
  <c r="H440" i="29" a="1"/>
  <c r="H440" i="29" s="1"/>
  <c r="B436" i="29"/>
  <c r="F436" i="29" s="1" a="1"/>
  <c r="F436" i="29" s="1"/>
  <c r="C434" i="29"/>
  <c r="I434" i="29" s="1"/>
  <c r="D445" i="29" a="1"/>
  <c r="D445" i="29" s="1"/>
  <c r="D439" i="29" a="1"/>
  <c r="D439" i="29" s="1"/>
  <c r="B439" i="29"/>
  <c r="F439" i="29" s="1" a="1"/>
  <c r="F439" i="29" s="1"/>
  <c r="H442" i="29" a="1"/>
  <c r="H442" i="29" s="1"/>
  <c r="B440" i="29"/>
  <c r="F440" i="29" s="1" a="1"/>
  <c r="F440" i="29" s="1"/>
  <c r="D444" i="29" a="1"/>
  <c r="D444" i="29" s="1"/>
  <c r="H441" i="29" a="1"/>
  <c r="H441" i="29" s="1"/>
  <c r="D438" i="29" a="1"/>
  <c r="D438" i="29" s="1"/>
  <c r="D443" i="29" a="1"/>
  <c r="D443" i="29" s="1"/>
  <c r="B444" i="29"/>
  <c r="F444" i="29" s="1" a="1"/>
  <c r="F444" i="29" s="1"/>
  <c r="B438" i="29"/>
  <c r="F438" i="29" s="1" a="1"/>
  <c r="F438" i="29" s="1"/>
  <c r="D437" i="29" a="1"/>
  <c r="D437" i="29" s="1"/>
  <c r="E933" i="29" a="1"/>
  <c r="E933" i="29" s="1"/>
  <c r="E929" i="29" a="1"/>
  <c r="E929" i="29" s="1"/>
  <c r="E941" i="29" a="1"/>
  <c r="E941" i="29" s="1"/>
  <c r="E492" i="29" a="1"/>
  <c r="E492" i="29" s="1"/>
  <c r="E495" i="29" a="1"/>
  <c r="E495" i="29" s="1"/>
  <c r="B486" i="29"/>
  <c r="F486" i="29" s="1" a="1"/>
  <c r="F486" i="29" s="1"/>
  <c r="D486" i="29" a="1"/>
  <c r="D486" i="29" s="1"/>
  <c r="H131" i="29"/>
  <c r="B131" i="29"/>
  <c r="F131" i="29" s="1" a="1"/>
  <c r="F131" i="29" s="1"/>
  <c r="B43" i="29"/>
  <c r="F43" i="29" s="1" a="1"/>
  <c r="F43" i="29" s="1"/>
  <c r="B45" i="29"/>
  <c r="F45" i="29" s="1" a="1"/>
  <c r="F45" i="29" s="1"/>
  <c r="B35" i="29"/>
  <c r="F35" i="29" s="1" a="1"/>
  <c r="F35" i="29" s="1"/>
  <c r="B34" i="29"/>
  <c r="F34" i="29" s="1" a="1"/>
  <c r="F34" i="29" s="1"/>
  <c r="C16" i="29"/>
  <c r="I17" i="29" s="1"/>
  <c r="D17" i="29" s="1"/>
  <c r="B47" i="29"/>
  <c r="F47" i="29" s="1" a="1"/>
  <c r="F47" i="29" s="1"/>
  <c r="B40" i="29"/>
  <c r="F40" i="29" s="1" a="1"/>
  <c r="F40" i="29" s="1"/>
  <c r="B41" i="29"/>
  <c r="F41" i="29" s="1" a="1"/>
  <c r="F41" i="29" s="1"/>
  <c r="B42" i="29"/>
  <c r="F42" i="29" s="1" a="1"/>
  <c r="F42" i="29" s="1"/>
  <c r="B29" i="29"/>
  <c r="F29" i="29" s="1" a="1"/>
  <c r="F29" i="29" s="1"/>
  <c r="B19" i="29"/>
  <c r="F19" i="29" s="1" a="1"/>
  <c r="F19" i="29" s="1"/>
  <c r="B55" i="29"/>
  <c r="F55" i="29" s="1" a="1"/>
  <c r="F55" i="29" s="1"/>
  <c r="B48" i="29"/>
  <c r="F48" i="29" s="1" a="1"/>
  <c r="F48" i="29" s="1"/>
  <c r="B17" i="29"/>
  <c r="F17" i="29" s="1" a="1"/>
  <c r="F17" i="29" s="1"/>
  <c r="B30" i="29"/>
  <c r="F30" i="29" s="1" a="1"/>
  <c r="F30" i="29" s="1"/>
  <c r="B20" i="29"/>
  <c r="F20" i="29" s="1" a="1"/>
  <c r="F20" i="29" s="1"/>
  <c r="B51" i="29"/>
  <c r="F51" i="29" s="1" a="1"/>
  <c r="F51" i="29" s="1"/>
  <c r="B52" i="29"/>
  <c r="F52" i="29" s="1" a="1"/>
  <c r="F52" i="29" s="1"/>
  <c r="B25" i="29"/>
  <c r="F25" i="29" s="1" a="1"/>
  <c r="F25" i="29" s="1"/>
  <c r="B26" i="29"/>
  <c r="F26" i="29" s="1" a="1"/>
  <c r="F26" i="29" s="1"/>
  <c r="B53" i="29"/>
  <c r="F53" i="29" s="1" a="1"/>
  <c r="F53" i="29" s="1"/>
  <c r="B33" i="29"/>
  <c r="F33" i="29" s="1" a="1"/>
  <c r="F33" i="29" s="1"/>
  <c r="B50" i="29"/>
  <c r="F50" i="29" s="1" a="1"/>
  <c r="F50" i="29" s="1"/>
  <c r="B21" i="29"/>
  <c r="F21" i="29" s="1" a="1"/>
  <c r="F21" i="29" s="1"/>
  <c r="B22" i="29"/>
  <c r="F22" i="29" s="1" a="1"/>
  <c r="F22" i="29" s="1"/>
  <c r="B54" i="29"/>
  <c r="F54" i="29" s="1" a="1"/>
  <c r="F54" i="29" s="1"/>
  <c r="B31" i="29"/>
  <c r="F31" i="29" s="1" a="1"/>
  <c r="F31" i="29" s="1"/>
  <c r="B32" i="29"/>
  <c r="F32" i="29" s="1" a="1"/>
  <c r="F32" i="29" s="1"/>
  <c r="B23" i="29"/>
  <c r="F23" i="29" s="1" a="1"/>
  <c r="F23" i="29" s="1"/>
  <c r="B28" i="29"/>
  <c r="F28" i="29" s="1" a="1"/>
  <c r="F28" i="29" s="1"/>
  <c r="B38" i="29"/>
  <c r="F38" i="29" s="1" a="1"/>
  <c r="F38" i="29" s="1"/>
  <c r="B27" i="29"/>
  <c r="F27" i="29" s="1" a="1"/>
  <c r="F27" i="29" s="1"/>
  <c r="B36" i="29"/>
  <c r="F36" i="29" s="1" a="1"/>
  <c r="F36" i="29" s="1"/>
  <c r="B37" i="29"/>
  <c r="F37" i="29" s="1" a="1"/>
  <c r="F37" i="29" s="1"/>
  <c r="B46" i="29"/>
  <c r="F46" i="29" s="1" a="1"/>
  <c r="F46" i="29" s="1"/>
  <c r="B39" i="29"/>
  <c r="F39" i="29" s="1" a="1"/>
  <c r="F39" i="29" s="1"/>
  <c r="B24" i="29"/>
  <c r="F24" i="29" s="1" a="1"/>
  <c r="F24" i="29" s="1"/>
  <c r="B44" i="29"/>
  <c r="F44" i="29" s="1" a="1"/>
  <c r="F44" i="29" s="1"/>
  <c r="B18" i="29"/>
  <c r="F18" i="29" s="1" a="1"/>
  <c r="F18" i="29" s="1"/>
  <c r="B49" i="29"/>
  <c r="F49" i="29" s="1" a="1"/>
  <c r="F49" i="29" s="1"/>
  <c r="E1215" i="29" a="1"/>
  <c r="E1215" i="29" s="1"/>
  <c r="B1214" i="29"/>
  <c r="F1214" i="29" s="1" a="1"/>
  <c r="F1214" i="29" s="1"/>
  <c r="H1214" i="29" a="1"/>
  <c r="H1214" i="29" s="1"/>
  <c r="B1053" i="29"/>
  <c r="K1053" i="29" s="1" a="1"/>
  <c r="K1053" i="29" s="1"/>
  <c r="B1056" i="29"/>
  <c r="B1046" i="29"/>
  <c r="K1046" i="29" s="1" a="1"/>
  <c r="K1046" i="29" s="1"/>
  <c r="F1046" i="29" s="1" a="1"/>
  <c r="F1046" i="29" s="1"/>
  <c r="B1040" i="29"/>
  <c r="K1040" i="29" s="1" a="1"/>
  <c r="K1040" i="29" s="1"/>
  <c r="F1040" i="29" s="1" a="1"/>
  <c r="F1040" i="29" s="1"/>
  <c r="B1048" i="29"/>
  <c r="K1048" i="29" s="1" a="1"/>
  <c r="K1048" i="29" s="1"/>
  <c r="B1052" i="29"/>
  <c r="B1032" i="29"/>
  <c r="B1044" i="29"/>
  <c r="K1044" i="29" s="1" a="1"/>
  <c r="K1044" i="29" s="1"/>
  <c r="F1044" i="29" s="1" a="1"/>
  <c r="F1044" i="29" s="1"/>
  <c r="B1055" i="29"/>
  <c r="K1055" i="29" s="1" a="1"/>
  <c r="K1055" i="29" s="1"/>
  <c r="B1039" i="29"/>
  <c r="K1039" i="29" s="1" a="1"/>
  <c r="K1039" i="29" s="1"/>
  <c r="B1027" i="29"/>
  <c r="K1027" i="29" s="1" a="1"/>
  <c r="K1027" i="29" s="1"/>
  <c r="F1027" i="29" s="1" a="1"/>
  <c r="F1027" i="29" s="1"/>
  <c r="B1029" i="29"/>
  <c r="K1029" i="29" s="1" a="1"/>
  <c r="K1029" i="29" s="1"/>
  <c r="F1029" i="29" s="1" a="1"/>
  <c r="F1029" i="29" s="1"/>
  <c r="B1028" i="29"/>
  <c r="B1051" i="29"/>
  <c r="K1051" i="29" s="1" a="1"/>
  <c r="K1051" i="29" s="1"/>
  <c r="B1030" i="29"/>
  <c r="D968" i="29" a="1"/>
  <c r="D968" i="29" s="1"/>
  <c r="B1025" i="29"/>
  <c r="B1038" i="29"/>
  <c r="K1038" i="29" s="1" a="1"/>
  <c r="K1038" i="29" s="1"/>
  <c r="F1038" i="29" s="1" a="1"/>
  <c r="F1038" i="29" s="1"/>
  <c r="B1041" i="29"/>
  <c r="B1045" i="29"/>
  <c r="B1049" i="29"/>
  <c r="B1034" i="29"/>
  <c r="B1043" i="29"/>
  <c r="K1043" i="29" s="1" a="1"/>
  <c r="K1043" i="29" s="1"/>
  <c r="B1054" i="29"/>
  <c r="K1054" i="29" s="1" a="1"/>
  <c r="K1054" i="29" s="1"/>
  <c r="B1050" i="29"/>
  <c r="B1033" i="29"/>
  <c r="K1033" i="29" s="1" a="1"/>
  <c r="K1033" i="29" s="1"/>
  <c r="F1033" i="29" s="1" a="1"/>
  <c r="F1033" i="29" s="1"/>
  <c r="B1035" i="29"/>
  <c r="K1035" i="29" s="1" a="1"/>
  <c r="K1035" i="29" s="1"/>
  <c r="F1035" i="29" s="1" a="1"/>
  <c r="F1035" i="29" s="1"/>
  <c r="B1047" i="29"/>
  <c r="K1047" i="29" s="1" a="1"/>
  <c r="K1047" i="29" s="1"/>
  <c r="B1036" i="29"/>
  <c r="B1026" i="29"/>
  <c r="B1037" i="29"/>
  <c r="B1031" i="29"/>
  <c r="B1042" i="29"/>
  <c r="B708" i="29"/>
  <c r="B702" i="29"/>
  <c r="B713" i="29"/>
  <c r="B712" i="29"/>
  <c r="B711" i="29"/>
  <c r="B706" i="29"/>
  <c r="B709" i="29"/>
  <c r="B703" i="29"/>
  <c r="B707" i="29"/>
  <c r="B704" i="29"/>
  <c r="B710" i="29"/>
  <c r="B705" i="29"/>
  <c r="D758" i="29" a="1"/>
  <c r="D758" i="29" s="1"/>
  <c r="E758" i="29" a="1"/>
  <c r="E758" i="29" s="1"/>
  <c r="H68" i="29"/>
  <c r="B68" i="29"/>
  <c r="F68" i="29" s="1" a="1"/>
  <c r="F68" i="29" s="1"/>
  <c r="E751" i="29" a="1"/>
  <c r="E751" i="29" s="1"/>
  <c r="D757" i="29" a="1"/>
  <c r="D757" i="29" s="1"/>
  <c r="H1216" i="29" a="1"/>
  <c r="H1216" i="29" s="1"/>
  <c r="E946" i="29" a="1"/>
  <c r="E946" i="29" s="1"/>
  <c r="E926" i="29" a="1"/>
  <c r="E926" i="29" s="1"/>
  <c r="E942" i="29" a="1"/>
  <c r="E942" i="29" s="1"/>
  <c r="H928" i="29" a="1"/>
  <c r="H928" i="29" s="1"/>
  <c r="D936" i="29" a="1"/>
  <c r="D936" i="29" s="1"/>
  <c r="E506" i="29" a="1"/>
  <c r="E506" i="29" s="1"/>
  <c r="E514" i="29" a="1"/>
  <c r="E514" i="29" s="1"/>
  <c r="E505" i="29" a="1"/>
  <c r="E505" i="29" s="1"/>
  <c r="E502" i="29" a="1"/>
  <c r="E502" i="29" s="1"/>
  <c r="N15" i="28" a="1"/>
  <c r="N15" i="28" s="1"/>
  <c r="AL15" i="28" s="1"/>
  <c r="P15" i="28"/>
  <c r="AN15" i="28" s="1"/>
  <c r="B272" i="29"/>
  <c r="B245" i="29"/>
  <c r="B250" i="29"/>
  <c r="B185" i="29"/>
  <c r="E185" i="29" s="1" a="1"/>
  <c r="E185" i="29" s="1"/>
  <c r="B260" i="29"/>
  <c r="B195" i="29"/>
  <c r="E195" i="29" s="1" a="1"/>
  <c r="E195" i="29" s="1"/>
  <c r="B246" i="29"/>
  <c r="B263" i="29"/>
  <c r="B191" i="29"/>
  <c r="B258" i="29"/>
  <c r="B249" i="29"/>
  <c r="H184" i="29" a="1"/>
  <c r="H184" i="29" s="1"/>
  <c r="B267" i="29"/>
  <c r="B186" i="29"/>
  <c r="B188" i="29"/>
  <c r="E188" i="29" s="1" a="1"/>
  <c r="E188" i="29" s="1"/>
  <c r="B261" i="29"/>
  <c r="B251" i="29"/>
  <c r="B194" i="29"/>
  <c r="C183" i="29"/>
  <c r="D183" i="29" s="1" a="1"/>
  <c r="D183" i="29" s="1"/>
  <c r="B264" i="29"/>
  <c r="B192" i="29"/>
  <c r="B270" i="29"/>
  <c r="B247" i="29"/>
  <c r="B269" i="29"/>
  <c r="B256" i="29"/>
  <c r="B187" i="29"/>
  <c r="E187" i="29" s="1" a="1"/>
  <c r="E187" i="29" s="1"/>
  <c r="B244" i="29"/>
  <c r="B252" i="29"/>
  <c r="B184" i="29"/>
  <c r="B259" i="29"/>
  <c r="B271" i="29"/>
  <c r="B254" i="29"/>
  <c r="B193" i="29"/>
  <c r="B189" i="29"/>
  <c r="B262" i="29"/>
  <c r="B196" i="29"/>
  <c r="E196" i="29" s="1" a="1"/>
  <c r="E196" i="29" s="1"/>
  <c r="B266" i="29"/>
  <c r="B248" i="29"/>
  <c r="B190" i="29"/>
  <c r="E190" i="29" s="1" a="1"/>
  <c r="E190" i="29" s="1"/>
  <c r="B265" i="29"/>
  <c r="B268" i="29"/>
  <c r="B253" i="29"/>
  <c r="B243" i="29"/>
  <c r="B255" i="29"/>
  <c r="B257" i="29"/>
  <c r="I749" i="29"/>
  <c r="H748" i="29" a="1"/>
  <c r="H748" i="29" s="1"/>
  <c r="B748" i="29"/>
  <c r="F748" i="29" s="1" a="1"/>
  <c r="F748" i="29" s="1"/>
  <c r="E752" i="29" a="1"/>
  <c r="E752" i="29" s="1"/>
  <c r="E755" i="29" a="1"/>
  <c r="E755" i="29" s="1"/>
  <c r="H752" i="29" a="1"/>
  <c r="H752" i="29" s="1"/>
  <c r="D754" i="29" a="1"/>
  <c r="D754" i="29" s="1"/>
  <c r="D1225" i="29" a="1"/>
  <c r="D1225" i="29" s="1"/>
  <c r="D1219" i="29" a="1"/>
  <c r="D1219" i="29" s="1"/>
  <c r="E932" i="29" a="1"/>
  <c r="E932" i="29" s="1"/>
  <c r="E918" i="29" a="1"/>
  <c r="E918" i="29" s="1"/>
  <c r="E931" i="29" a="1"/>
  <c r="E931" i="29" s="1"/>
  <c r="E938" i="29" a="1"/>
  <c r="E938" i="29" s="1"/>
  <c r="D944" i="29" a="1"/>
  <c r="D944" i="29" s="1"/>
  <c r="E498" i="29" a="1"/>
  <c r="E498" i="29" s="1"/>
  <c r="E153" i="29" a="1"/>
  <c r="E153" i="29" s="1"/>
  <c r="A251" i="29"/>
  <c r="A254" i="29"/>
  <c r="A188" i="29"/>
  <c r="A272" i="29"/>
  <c r="A245" i="29"/>
  <c r="A248" i="29"/>
  <c r="A267" i="29"/>
  <c r="A195" i="29"/>
  <c r="A260" i="29"/>
  <c r="A271" i="29"/>
  <c r="A191" i="29"/>
  <c r="A192" i="29"/>
  <c r="A259" i="29"/>
  <c r="A258" i="29"/>
  <c r="A184" i="29"/>
  <c r="A269" i="29"/>
  <c r="A244" i="29"/>
  <c r="A265" i="29"/>
  <c r="A246" i="29"/>
  <c r="A185" i="29"/>
  <c r="A250" i="29"/>
  <c r="A190" i="29"/>
  <c r="A270" i="29"/>
  <c r="A256" i="29"/>
  <c r="A196" i="29"/>
  <c r="A255" i="29"/>
  <c r="A257" i="29"/>
  <c r="A253" i="29"/>
  <c r="A261" i="29"/>
  <c r="A247" i="29"/>
  <c r="A262" i="29"/>
  <c r="A193" i="29"/>
  <c r="A194" i="29"/>
  <c r="A264" i="29"/>
  <c r="A252" i="29"/>
  <c r="G183" i="29"/>
  <c r="A183" i="29" s="1"/>
  <c r="A186" i="29"/>
  <c r="A249" i="29"/>
  <c r="A266" i="29"/>
  <c r="A189" i="29"/>
  <c r="A243" i="29"/>
  <c r="A268" i="29"/>
  <c r="A263" i="29"/>
  <c r="A187" i="29"/>
  <c r="E120" i="40" a="1"/>
  <c r="E120" i="40" s="1"/>
  <c r="F120" i="40" a="1"/>
  <c r="F120" i="40" s="1"/>
  <c r="B1110" i="29"/>
  <c r="F1110" i="29" s="1" a="1"/>
  <c r="F1110" i="29" s="1"/>
  <c r="E921" i="29" a="1"/>
  <c r="E921" i="29" s="1"/>
  <c r="E924" i="29" a="1"/>
  <c r="E924" i="29" s="1"/>
  <c r="D159" i="29"/>
  <c r="E144" i="29" a="1"/>
  <c r="E144" i="29" s="1"/>
  <c r="G538" i="29" a="1"/>
  <c r="C538" i="29" a="1"/>
  <c r="D927" i="29" a="1"/>
  <c r="D927" i="29" s="1"/>
  <c r="E754" i="29" a="1"/>
  <c r="E754" i="29" s="1"/>
  <c r="E750" i="29" a="1"/>
  <c r="E750" i="29" s="1"/>
  <c r="A708" i="29"/>
  <c r="A705" i="29"/>
  <c r="A704" i="29"/>
  <c r="A709" i="29"/>
  <c r="A710" i="29"/>
  <c r="A707" i="29"/>
  <c r="A712" i="29"/>
  <c r="A703" i="29"/>
  <c r="A713" i="29"/>
  <c r="A706" i="29"/>
  <c r="A711" i="29"/>
  <c r="A702" i="29"/>
  <c r="E917" i="29" a="1"/>
  <c r="E917" i="29" s="1"/>
  <c r="H939" i="29" a="1"/>
  <c r="H939" i="29" s="1"/>
  <c r="E937" i="29" a="1"/>
  <c r="E937" i="29" s="1"/>
  <c r="H941" i="29" a="1"/>
  <c r="H941" i="29" s="1"/>
  <c r="D287" i="29" a="1"/>
  <c r="D287" i="29" s="1"/>
  <c r="B280" i="29"/>
  <c r="D278" i="29" a="1"/>
  <c r="D278" i="29" s="1"/>
  <c r="H284" i="29" a="1"/>
  <c r="H284" i="29" s="1"/>
  <c r="H285" i="29" a="1"/>
  <c r="H285" i="29" s="1"/>
  <c r="B278" i="29"/>
  <c r="B285" i="29"/>
  <c r="B277" i="29"/>
  <c r="B276" i="29"/>
  <c r="B279" i="29"/>
  <c r="B282" i="29"/>
  <c r="B284" i="29"/>
  <c r="D276" i="29" a="1"/>
  <c r="D276" i="29" s="1"/>
  <c r="D288" i="29" a="1"/>
  <c r="D288" i="29" s="1"/>
  <c r="B281" i="29"/>
  <c r="D280" i="29" a="1"/>
  <c r="D280" i="29" s="1"/>
  <c r="B287" i="29"/>
  <c r="H283" i="29" a="1"/>
  <c r="H283" i="29" s="1"/>
  <c r="D289" i="29" a="1"/>
  <c r="D289" i="29" s="1"/>
  <c r="B283" i="29"/>
  <c r="H286" i="29" a="1"/>
  <c r="H286" i="29" s="1"/>
  <c r="H282" i="29" a="1"/>
  <c r="H282" i="29" s="1"/>
  <c r="C274" i="29"/>
  <c r="I274" i="29" s="1"/>
  <c r="B289" i="29"/>
  <c r="B275" i="29"/>
  <c r="B288" i="29"/>
  <c r="E288" i="29" s="1" a="1"/>
  <c r="E288" i="29" s="1"/>
  <c r="B286" i="29"/>
  <c r="D277" i="29" a="1"/>
  <c r="D277" i="29" s="1"/>
  <c r="H281" i="29" a="1"/>
  <c r="H281" i="29" s="1"/>
  <c r="H279" i="29" a="1"/>
  <c r="H279" i="29" s="1"/>
  <c r="B902" i="29"/>
  <c r="F902" i="29" s="1" a="1"/>
  <c r="F902" i="29" s="1"/>
  <c r="B899" i="29"/>
  <c r="F899" i="29" s="1" a="1"/>
  <c r="F899" i="29" s="1"/>
  <c r="B912" i="29"/>
  <c r="F912" i="29" s="1" a="1"/>
  <c r="F912" i="29" s="1"/>
  <c r="B895" i="29"/>
  <c r="F895" i="29" s="1" a="1"/>
  <c r="F895" i="29" s="1"/>
  <c r="B884" i="29"/>
  <c r="F884" i="29" s="1" a="1"/>
  <c r="F884" i="29" s="1"/>
  <c r="D883" i="29" a="1"/>
  <c r="D883" i="29" s="1"/>
  <c r="D877" i="29" a="1"/>
  <c r="D877" i="29" s="1"/>
  <c r="D876" i="29" a="1"/>
  <c r="D876" i="29" s="1"/>
  <c r="B892" i="29"/>
  <c r="F892" i="29" s="1" a="1"/>
  <c r="F892" i="29" s="1"/>
  <c r="D893" i="29" a="1"/>
  <c r="D893" i="29" s="1"/>
  <c r="H908" i="29" a="1"/>
  <c r="H908" i="29" s="1"/>
  <c r="D892" i="29" a="1"/>
  <c r="D892" i="29" s="1"/>
  <c r="D879" i="29" a="1"/>
  <c r="D879" i="29" s="1"/>
  <c r="D881" i="29" a="1"/>
  <c r="D881" i="29" s="1"/>
  <c r="H891" i="29" a="1"/>
  <c r="H891" i="29" s="1"/>
  <c r="B909" i="29"/>
  <c r="F909" i="29" s="1" a="1"/>
  <c r="F909" i="29" s="1"/>
  <c r="B906" i="29"/>
  <c r="F906" i="29" s="1" a="1"/>
  <c r="F906" i="29" s="1"/>
  <c r="B882" i="29"/>
  <c r="F882" i="29" s="1" a="1"/>
  <c r="F882" i="29" s="1"/>
  <c r="H896" i="29" a="1"/>
  <c r="H896" i="29" s="1"/>
  <c r="H898" i="29" a="1"/>
  <c r="H898" i="29" s="1"/>
  <c r="H911" i="29" a="1"/>
  <c r="H911" i="29" s="1"/>
  <c r="H894" i="29" a="1"/>
  <c r="H894" i="29" s="1"/>
  <c r="B888" i="29"/>
  <c r="F888" i="29" s="1" a="1"/>
  <c r="F888" i="29" s="1"/>
  <c r="B905" i="29"/>
  <c r="F905" i="29" s="1" a="1"/>
  <c r="F905" i="29" s="1"/>
  <c r="B913" i="29"/>
  <c r="F913" i="29" s="1" a="1"/>
  <c r="F913" i="29" s="1"/>
  <c r="B901" i="29"/>
  <c r="F901" i="29" s="1" a="1"/>
  <c r="F901" i="29" s="1"/>
  <c r="B911" i="29"/>
  <c r="F911" i="29" s="1" a="1"/>
  <c r="F911" i="29" s="1"/>
  <c r="B877" i="29"/>
  <c r="F877" i="29" s="1" a="1"/>
  <c r="F877" i="29" s="1"/>
  <c r="D878" i="29" a="1"/>
  <c r="D878" i="29" s="1"/>
  <c r="B887" i="29"/>
  <c r="F887" i="29" s="1" a="1"/>
  <c r="F887" i="29" s="1"/>
  <c r="C854" i="29"/>
  <c r="I855" i="29" s="1"/>
  <c r="D888" i="29" a="1"/>
  <c r="D888" i="29" s="1"/>
  <c r="H902" i="29" a="1"/>
  <c r="H902" i="29" s="1"/>
  <c r="H909" i="29" a="1"/>
  <c r="H909" i="29" s="1"/>
  <c r="B898" i="29"/>
  <c r="F898" i="29" s="1" a="1"/>
  <c r="F898" i="29" s="1"/>
  <c r="D905" i="29" a="1"/>
  <c r="D905" i="29" s="1"/>
  <c r="D874" i="29" a="1"/>
  <c r="D874" i="29" s="1"/>
  <c r="B885" i="29"/>
  <c r="F885" i="29" s="1" a="1"/>
  <c r="F885" i="29" s="1"/>
  <c r="B855" i="29"/>
  <c r="F855" i="29" s="1" a="1"/>
  <c r="F855" i="29" s="1"/>
  <c r="B878" i="29"/>
  <c r="F878" i="29" s="1" a="1"/>
  <c r="F878" i="29" s="1"/>
  <c r="B881" i="29"/>
  <c r="F881" i="29" s="1" a="1"/>
  <c r="F881" i="29" s="1"/>
  <c r="B871" i="29"/>
  <c r="F871" i="29" s="1" a="1"/>
  <c r="F871" i="29" s="1"/>
  <c r="H899" i="29" a="1"/>
  <c r="H899" i="29" s="1"/>
  <c r="H901" i="29" a="1"/>
  <c r="H901" i="29" s="1"/>
  <c r="B893" i="29"/>
  <c r="F893" i="29" s="1" a="1"/>
  <c r="F893" i="29" s="1"/>
  <c r="B890" i="29"/>
  <c r="F890" i="29" s="1" a="1"/>
  <c r="F890" i="29" s="1"/>
  <c r="D873" i="29" a="1"/>
  <c r="D873" i="29" s="1"/>
  <c r="H887" i="29" a="1"/>
  <c r="H887" i="29" s="1"/>
  <c r="H880" i="29" a="1"/>
  <c r="H880" i="29" s="1"/>
  <c r="B896" i="29"/>
  <c r="F896" i="29" s="1" a="1"/>
  <c r="F896" i="29" s="1"/>
  <c r="D890" i="29" a="1"/>
  <c r="D890" i="29" s="1"/>
  <c r="B886" i="29"/>
  <c r="F886" i="29" s="1" a="1"/>
  <c r="F886" i="29" s="1"/>
  <c r="B856" i="29"/>
  <c r="F856" i="29" s="1" a="1"/>
  <c r="F856" i="29" s="1"/>
  <c r="B894" i="29"/>
  <c r="F894" i="29" s="1" a="1"/>
  <c r="F894" i="29" s="1"/>
  <c r="H907" i="29" a="1"/>
  <c r="H907" i="29" s="1"/>
  <c r="B903" i="29"/>
  <c r="F903" i="29" s="1" a="1"/>
  <c r="F903" i="29" s="1"/>
  <c r="D889" i="29" a="1"/>
  <c r="D889" i="29" s="1"/>
  <c r="B889" i="29"/>
  <c r="F889" i="29" s="1" a="1"/>
  <c r="F889" i="29" s="1"/>
  <c r="B910" i="29"/>
  <c r="F910" i="29" s="1" a="1"/>
  <c r="F910" i="29" s="1"/>
  <c r="H906" i="29" a="1"/>
  <c r="H906" i="29" s="1"/>
  <c r="H903" i="29" a="1"/>
  <c r="H903" i="29" s="1"/>
  <c r="B900" i="29"/>
  <c r="F900" i="29" s="1" a="1"/>
  <c r="F900" i="29" s="1"/>
  <c r="H886" i="29" a="1"/>
  <c r="H886" i="29" s="1"/>
  <c r="B879" i="29"/>
  <c r="F879" i="29" s="1" a="1"/>
  <c r="F879" i="29" s="1"/>
  <c r="B872" i="29"/>
  <c r="F872" i="29" s="1" a="1"/>
  <c r="F872" i="29" s="1"/>
  <c r="D882" i="29" a="1"/>
  <c r="D882" i="29" s="1"/>
  <c r="H913" i="29" a="1"/>
  <c r="H913" i="29" s="1"/>
  <c r="B891" i="29"/>
  <c r="F891" i="29" s="1" a="1"/>
  <c r="F891" i="29" s="1"/>
  <c r="B908" i="29"/>
  <c r="F908" i="29" s="1" a="1"/>
  <c r="F908" i="29" s="1"/>
  <c r="D910" i="29" a="1"/>
  <c r="D910" i="29" s="1"/>
  <c r="D875" i="29" a="1"/>
  <c r="D875" i="29" s="1"/>
  <c r="B876" i="29"/>
  <c r="F876" i="29" s="1" a="1"/>
  <c r="F876" i="29" s="1"/>
  <c r="B875" i="29"/>
  <c r="F875" i="29" s="1" a="1"/>
  <c r="F875" i="29" s="1"/>
  <c r="H884" i="29" a="1"/>
  <c r="H884" i="29" s="1"/>
  <c r="B907" i="29"/>
  <c r="F907" i="29" s="1" a="1"/>
  <c r="F907" i="29" s="1"/>
  <c r="B904" i="29"/>
  <c r="F904" i="29" s="1" a="1"/>
  <c r="F904" i="29" s="1"/>
  <c r="H900" i="29" a="1"/>
  <c r="H900" i="29" s="1"/>
  <c r="B897" i="29"/>
  <c r="F897" i="29" s="1" a="1"/>
  <c r="F897" i="29" s="1"/>
  <c r="B873" i="29"/>
  <c r="F873" i="29" s="1" a="1"/>
  <c r="F873" i="29" s="1"/>
  <c r="D856" i="29" a="1"/>
  <c r="D856" i="29" s="1"/>
  <c r="B880" i="29"/>
  <c r="F880" i="29" s="1" a="1"/>
  <c r="F880" i="29" s="1"/>
  <c r="D912" i="29" a="1"/>
  <c r="D912" i="29" s="1"/>
  <c r="D904" i="29" a="1"/>
  <c r="D904" i="29" s="1"/>
  <c r="H895" i="29" a="1"/>
  <c r="H895" i="29" s="1"/>
  <c r="H897" i="29" a="1"/>
  <c r="H897" i="29" s="1"/>
  <c r="B870" i="29"/>
  <c r="F870" i="29" s="1" a="1"/>
  <c r="F870" i="29" s="1"/>
  <c r="H885" i="29" a="1"/>
  <c r="H885" i="29" s="1"/>
  <c r="B883" i="29"/>
  <c r="F883" i="29" s="1" a="1"/>
  <c r="F883" i="29" s="1"/>
  <c r="B874" i="29"/>
  <c r="F874" i="29" s="1" a="1"/>
  <c r="F874" i="29" s="1"/>
  <c r="H892" i="29" a="1"/>
  <c r="H892" i="29" s="1"/>
  <c r="H890" i="29" a="1"/>
  <c r="H890" i="29" s="1"/>
  <c r="E939" i="29" a="1"/>
  <c r="E939" i="29" s="1"/>
  <c r="D155" i="29"/>
  <c r="E142" i="29" a="1"/>
  <c r="E142" i="29" s="1"/>
  <c r="E753" i="29" a="1"/>
  <c r="E753" i="29" s="1"/>
  <c r="D933" i="29" a="1"/>
  <c r="D933" i="29" s="1"/>
  <c r="D942" i="29" a="1"/>
  <c r="D942" i="29" s="1"/>
  <c r="E508" i="29" a="1"/>
  <c r="E508" i="29" s="1"/>
  <c r="E493" i="29" a="1"/>
  <c r="E493" i="29" s="1"/>
  <c r="F493" i="29" a="1"/>
  <c r="F493" i="29" s="1"/>
  <c r="E159" i="29" a="1"/>
  <c r="E159" i="29" s="1"/>
  <c r="E138" i="29" a="1"/>
  <c r="E138" i="29" s="1"/>
  <c r="H144" i="29"/>
  <c r="D142" i="29"/>
  <c r="A281" i="29"/>
  <c r="A289" i="29"/>
  <c r="A284" i="29"/>
  <c r="A280" i="29"/>
  <c r="A287" i="29"/>
  <c r="A285" i="29"/>
  <c r="A283" i="29"/>
  <c r="A288" i="29"/>
  <c r="A279" i="29"/>
  <c r="A275" i="29"/>
  <c r="G274" i="29"/>
  <c r="A274" i="29" s="1"/>
  <c r="A286" i="29"/>
  <c r="A278" i="29"/>
  <c r="A282" i="29"/>
  <c r="A276" i="29"/>
  <c r="A277" i="29"/>
  <c r="E496" i="29" a="1"/>
  <c r="E496" i="29" s="1"/>
  <c r="E517" i="29" a="1"/>
  <c r="E517" i="29" s="1"/>
  <c r="F517" i="29" a="1"/>
  <c r="F517" i="29" s="1"/>
  <c r="I68" i="40" a="1"/>
  <c r="I68" i="40" s="1"/>
  <c r="H68" i="40" a="1"/>
  <c r="H68" i="40" s="1"/>
  <c r="F68" i="40" a="1"/>
  <c r="F68" i="40" s="1"/>
  <c r="E68" i="40" a="1"/>
  <c r="E68" i="40" s="1"/>
  <c r="BR15" i="36" a="1"/>
  <c r="BR15" i="36" s="1"/>
  <c r="C1058" i="29" a="1"/>
  <c r="C631" i="29" a="1"/>
  <c r="G631" i="29" a="1"/>
  <c r="D969" i="29" l="1" a="1"/>
  <c r="D969" i="29" s="1"/>
  <c r="B998" i="29"/>
  <c r="K998" i="29" s="1" a="1"/>
  <c r="K998" i="29" s="1"/>
  <c r="B999" i="29"/>
  <c r="K999" i="29" s="1" a="1"/>
  <c r="K999" i="29" s="1"/>
  <c r="B1001" i="29"/>
  <c r="K1001" i="29" s="1" a="1"/>
  <c r="K1001" i="29" s="1"/>
  <c r="B992" i="29"/>
  <c r="K992" i="29" s="1" a="1"/>
  <c r="K992" i="29" s="1"/>
  <c r="B993" i="29"/>
  <c r="K993" i="29" s="1" a="1"/>
  <c r="K993" i="29" s="1"/>
  <c r="B983" i="29"/>
  <c r="K983" i="29" s="1" a="1"/>
  <c r="K983" i="29" s="1"/>
  <c r="I973" i="29"/>
  <c r="I976" i="29" s="1"/>
  <c r="I979" i="29" s="1"/>
  <c r="I982" i="29" s="1"/>
  <c r="I985" i="29" s="1"/>
  <c r="I988" i="29" s="1"/>
  <c r="I991" i="29" s="1"/>
  <c r="I994" i="29" s="1"/>
  <c r="I997" i="29" s="1"/>
  <c r="I1000" i="29" s="1"/>
  <c r="B986" i="29"/>
  <c r="K986" i="29" s="1" a="1"/>
  <c r="K986" i="29" s="1"/>
  <c r="B987" i="29"/>
  <c r="K987" i="29" s="1" a="1"/>
  <c r="K987" i="29" s="1"/>
  <c r="B973" i="29"/>
  <c r="K973" i="29" s="1" a="1"/>
  <c r="K973" i="29" s="1"/>
  <c r="H979" i="29" a="1"/>
  <c r="H979" i="29" s="1"/>
  <c r="B980" i="29"/>
  <c r="K980" i="29" s="1" a="1"/>
  <c r="K980" i="29" s="1"/>
  <c r="B1002" i="29"/>
  <c r="K1002" i="29" s="1" a="1"/>
  <c r="K1002" i="29" s="1"/>
  <c r="B981" i="29"/>
  <c r="K981" i="29" s="1" a="1"/>
  <c r="K981" i="29" s="1"/>
  <c r="B1000" i="29"/>
  <c r="B976" i="29"/>
  <c r="K976" i="29" s="1" a="1"/>
  <c r="K976" i="29" s="1"/>
  <c r="B996" i="29"/>
  <c r="K996" i="29" s="1" a="1"/>
  <c r="K996" i="29" s="1"/>
  <c r="B982" i="29"/>
  <c r="K982" i="29" s="1" a="1"/>
  <c r="K982" i="29" s="1"/>
  <c r="B977" i="29"/>
  <c r="B990" i="29"/>
  <c r="B984" i="29"/>
  <c r="K984" i="29" s="1" a="1"/>
  <c r="K984" i="29" s="1"/>
  <c r="B988" i="29"/>
  <c r="K988" i="29" s="1" a="1"/>
  <c r="K988" i="29" s="1"/>
  <c r="B989" i="29"/>
  <c r="K989" i="29" s="1" a="1"/>
  <c r="K989" i="29" s="1"/>
  <c r="B978" i="29"/>
  <c r="K978" i="29" s="1" a="1"/>
  <c r="K978" i="29" s="1"/>
  <c r="B997" i="29"/>
  <c r="K997" i="29" s="1" a="1"/>
  <c r="K997" i="29" s="1"/>
  <c r="B995" i="29"/>
  <c r="K995" i="29" s="1" a="1"/>
  <c r="K995" i="29" s="1"/>
  <c r="K991" i="29" a="1"/>
  <c r="K991" i="29" s="1"/>
  <c r="B974" i="29"/>
  <c r="K974" i="29" s="1" a="1"/>
  <c r="K974" i="29" s="1"/>
  <c r="J70" i="40"/>
  <c r="J72" i="40"/>
  <c r="J71" i="40"/>
  <c r="J73" i="40"/>
  <c r="J74" i="40"/>
  <c r="J75" i="40"/>
  <c r="B979" i="29"/>
  <c r="K979" i="29" s="1" a="1"/>
  <c r="K979" i="29" s="1"/>
  <c r="F979" i="29" s="1" a="1"/>
  <c r="F979" i="29" s="1"/>
  <c r="B975" i="29"/>
  <c r="K975" i="29" s="1" a="1"/>
  <c r="K975" i="29" s="1"/>
  <c r="B994" i="29"/>
  <c r="B985" i="29"/>
  <c r="K985" i="29" s="1" a="1"/>
  <c r="K985" i="29" s="1"/>
  <c r="B991" i="29"/>
  <c r="H133" i="29"/>
  <c r="E1110" i="29" a="1"/>
  <c r="E1110" i="29" s="1"/>
  <c r="B969" i="29"/>
  <c r="K969" i="29" s="1" a="1"/>
  <c r="K969" i="29" s="1"/>
  <c r="H969" i="29" a="1"/>
  <c r="H969" i="29" s="1"/>
  <c r="H968" i="29" a="1"/>
  <c r="H968" i="29" s="1"/>
  <c r="B968" i="29"/>
  <c r="K968" i="29" s="1" a="1"/>
  <c r="K968" i="29" s="1"/>
  <c r="J121" i="40"/>
  <c r="D121" i="40" s="1" a="1"/>
  <c r="D121" i="40" s="1"/>
  <c r="E134" i="29" a="1"/>
  <c r="E134" i="29" s="1"/>
  <c r="C967" i="29"/>
  <c r="B972" i="29"/>
  <c r="K972" i="29" s="1" a="1"/>
  <c r="K972" i="29" s="1"/>
  <c r="B971" i="29"/>
  <c r="K971" i="29" s="1" a="1"/>
  <c r="K971" i="29" s="1"/>
  <c r="B970" i="29"/>
  <c r="K970" i="29" s="1" a="1"/>
  <c r="K970" i="29" s="1"/>
  <c r="E208" i="29" a="1"/>
  <c r="E208" i="29" s="1"/>
  <c r="E205" i="29" a="1"/>
  <c r="E205" i="29" s="1"/>
  <c r="I971" i="29"/>
  <c r="E217" i="29" a="1"/>
  <c r="E217" i="29" s="1"/>
  <c r="H69" i="29"/>
  <c r="D69" i="29"/>
  <c r="I970" i="29"/>
  <c r="I972" i="29"/>
  <c r="C68" i="40"/>
  <c r="J68" i="40" s="1"/>
  <c r="J69" i="40"/>
  <c r="H20" i="29"/>
  <c r="E211" i="29" a="1"/>
  <c r="E211" i="29" s="1"/>
  <c r="E199" i="29" a="1"/>
  <c r="E199" i="29" s="1"/>
  <c r="E213" i="29" a="1"/>
  <c r="E213" i="29" s="1"/>
  <c r="E198" i="29" a="1"/>
  <c r="E198" i="29" s="1"/>
  <c r="E202" i="29" a="1"/>
  <c r="E202" i="29" s="1"/>
  <c r="E204" i="29" a="1"/>
  <c r="E204" i="29" s="1"/>
  <c r="E210" i="29" a="1"/>
  <c r="E210" i="29" s="1"/>
  <c r="E214" i="29" a="1"/>
  <c r="E214" i="29" s="1"/>
  <c r="E216" i="29" a="1"/>
  <c r="E216" i="29" s="1"/>
  <c r="E69" i="29" a="1"/>
  <c r="E69" i="29" s="1"/>
  <c r="C802" i="29" a="1"/>
  <c r="C694" i="29"/>
  <c r="B700" i="29"/>
  <c r="F700" i="29" s="1" a="1"/>
  <c r="F700" i="29" s="1"/>
  <c r="B697" i="29"/>
  <c r="B701" i="29"/>
  <c r="B696" i="29"/>
  <c r="G694" i="29"/>
  <c r="A694" i="29" s="1"/>
  <c r="A701" i="29"/>
  <c r="A699" i="29"/>
  <c r="H694" i="29"/>
  <c r="I694" i="29" s="1"/>
  <c r="I699" i="29"/>
  <c r="I695" i="29"/>
  <c r="I697" i="29"/>
  <c r="B698" i="29"/>
  <c r="A697" i="29"/>
  <c r="B699" i="29"/>
  <c r="A696" i="29"/>
  <c r="B695" i="29"/>
  <c r="I696" i="29"/>
  <c r="A698" i="29"/>
  <c r="A700" i="29"/>
  <c r="I701" i="29"/>
  <c r="A695" i="29"/>
  <c r="I698" i="29"/>
  <c r="I700" i="29"/>
  <c r="I1068" i="29"/>
  <c r="I1069" i="29"/>
  <c r="I1070" i="29"/>
  <c r="I1066" i="29"/>
  <c r="I1071" i="29"/>
  <c r="I1072" i="29"/>
  <c r="I1073" i="29"/>
  <c r="I1064" i="29"/>
  <c r="I1065" i="29"/>
  <c r="I1067" i="29"/>
  <c r="D194" i="29" a="1"/>
  <c r="D194" i="29" s="1"/>
  <c r="I197" i="29"/>
  <c r="E197" i="29" s="1" a="1"/>
  <c r="E197" i="29" s="1"/>
  <c r="H194" i="29" a="1"/>
  <c r="H194" i="29" s="1"/>
  <c r="E194" i="29" a="1"/>
  <c r="E194" i="29" s="1"/>
  <c r="I1062" i="29"/>
  <c r="I1063" i="29"/>
  <c r="I1060" i="29"/>
  <c r="I1061" i="29"/>
  <c r="I644" i="29"/>
  <c r="I633" i="29"/>
  <c r="I645" i="29"/>
  <c r="I652" i="29"/>
  <c r="I634" i="29"/>
  <c r="I646" i="29"/>
  <c r="I635" i="29"/>
  <c r="I647" i="29"/>
  <c r="I640" i="29"/>
  <c r="I636" i="29"/>
  <c r="I648" i="29"/>
  <c r="I637" i="29"/>
  <c r="I649" i="29"/>
  <c r="I638" i="29"/>
  <c r="I650" i="29"/>
  <c r="I639" i="29"/>
  <c r="I651" i="29"/>
  <c r="I641" i="29"/>
  <c r="I653" i="29"/>
  <c r="I642" i="29"/>
  <c r="I654" i="29"/>
  <c r="I643" i="29"/>
  <c r="I545" i="29"/>
  <c r="I548" i="29" s="1"/>
  <c r="I551" i="29" s="1"/>
  <c r="I554" i="29" s="1"/>
  <c r="I557" i="29" s="1"/>
  <c r="I560" i="29" s="1"/>
  <c r="I563" i="29" s="1"/>
  <c r="I566" i="29" s="1"/>
  <c r="I569" i="29" s="1"/>
  <c r="I572" i="29" s="1"/>
  <c r="I542" i="29"/>
  <c r="I541" i="29"/>
  <c r="I543" i="29"/>
  <c r="I544" i="29"/>
  <c r="I547" i="29" s="1"/>
  <c r="I550" i="29" s="1"/>
  <c r="I553" i="29" s="1"/>
  <c r="I556" i="29" s="1"/>
  <c r="I559" i="29" s="1"/>
  <c r="I562" i="29" s="1"/>
  <c r="I565" i="29" s="1"/>
  <c r="I568" i="29" s="1"/>
  <c r="I571" i="29" s="1"/>
  <c r="I546" i="29"/>
  <c r="I549" i="29" s="1"/>
  <c r="I552" i="29" s="1"/>
  <c r="I555" i="29" s="1"/>
  <c r="I558" i="29" s="1"/>
  <c r="I561" i="29" s="1"/>
  <c r="I564" i="29" s="1"/>
  <c r="I567" i="29" s="1"/>
  <c r="I570" i="29" s="1"/>
  <c r="I573" i="29" s="1"/>
  <c r="D855" i="29" a="1"/>
  <c r="D855" i="29" s="1"/>
  <c r="I854" i="29"/>
  <c r="I435" i="29"/>
  <c r="H864" i="29" a="1"/>
  <c r="H864" i="29" s="1"/>
  <c r="I15" i="49" a="1"/>
  <c r="I15" i="49" s="1"/>
  <c r="G15" i="49" a="1"/>
  <c r="G15" i="49" s="1"/>
  <c r="F15" i="49" a="1"/>
  <c r="F15" i="49" s="1"/>
  <c r="E15" i="49" a="1"/>
  <c r="E15" i="49" s="1"/>
  <c r="D15" i="49" a="1"/>
  <c r="D15" i="49" s="1"/>
  <c r="C15" i="49" a="1"/>
  <c r="C15" i="49" s="1"/>
  <c r="H15" i="49" a="1"/>
  <c r="H15" i="49" s="1"/>
  <c r="F249" i="29" a="1"/>
  <c r="F249" i="29" s="1"/>
  <c r="F258" i="29" a="1"/>
  <c r="F258" i="29" s="1"/>
  <c r="H868" i="29" a="1"/>
  <c r="H868" i="29" s="1"/>
  <c r="F248" i="29" a="1"/>
  <c r="F248" i="29" s="1"/>
  <c r="F245" i="29" a="1"/>
  <c r="F245" i="29" s="1"/>
  <c r="E859" i="29" a="1"/>
  <c r="E859" i="29" s="1"/>
  <c r="F269" i="29" a="1"/>
  <c r="F269" i="29" s="1"/>
  <c r="F189" i="29" a="1"/>
  <c r="F189" i="29" s="1"/>
  <c r="D862" i="29" a="1"/>
  <c r="D862" i="29" s="1"/>
  <c r="F265" i="29" a="1"/>
  <c r="F265" i="29" s="1"/>
  <c r="F261" i="29" a="1"/>
  <c r="F261" i="29" s="1"/>
  <c r="F262" i="29" a="1"/>
  <c r="F262" i="29" s="1"/>
  <c r="F247" i="29" a="1"/>
  <c r="F247" i="29" s="1"/>
  <c r="E862" i="29" a="1"/>
  <c r="E862" i="29" s="1"/>
  <c r="E864" i="29" a="1"/>
  <c r="E864" i="29" s="1"/>
  <c r="E860" i="29" a="1"/>
  <c r="E860" i="29" s="1"/>
  <c r="D859" i="29" a="1"/>
  <c r="D859" i="29" s="1"/>
  <c r="F192" i="29" a="1"/>
  <c r="F192" i="29" s="1"/>
  <c r="H970" i="29" a="1"/>
  <c r="H970" i="29" s="1"/>
  <c r="F270" i="29" a="1"/>
  <c r="F270" i="29" s="1"/>
  <c r="F257" i="29" a="1"/>
  <c r="F257" i="29" s="1"/>
  <c r="F255" i="29" a="1"/>
  <c r="F255" i="29" s="1"/>
  <c r="F254" i="29" a="1"/>
  <c r="F254" i="29" s="1"/>
  <c r="D866" i="29" a="1"/>
  <c r="D866" i="29" s="1"/>
  <c r="D861" i="29" a="1"/>
  <c r="D861" i="29" s="1"/>
  <c r="E861" i="29" a="1"/>
  <c r="E861" i="29" s="1"/>
  <c r="E867" i="29" a="1"/>
  <c r="E867" i="29" s="1"/>
  <c r="F268" i="29" a="1"/>
  <c r="F268" i="29" s="1"/>
  <c r="E697" i="29" a="1"/>
  <c r="E697" i="29" s="1"/>
  <c r="F201" i="29" a="1"/>
  <c r="F201" i="29" s="1"/>
  <c r="E868" i="29" a="1"/>
  <c r="E868" i="29" s="1"/>
  <c r="F1024" i="29" a="1"/>
  <c r="F1024" i="29" s="1"/>
  <c r="F1003" i="29" a="1"/>
  <c r="F1003" i="29" s="1"/>
  <c r="E886" i="29" a="1"/>
  <c r="E886" i="29" s="1"/>
  <c r="E905" i="29" a="1"/>
  <c r="E905" i="29" s="1"/>
  <c r="H860" i="29" a="1"/>
  <c r="H860" i="29" s="1"/>
  <c r="D894" i="29" a="1"/>
  <c r="D894" i="29" s="1"/>
  <c r="D865" i="29" a="1"/>
  <c r="D865" i="29" s="1"/>
  <c r="D899" i="29" a="1"/>
  <c r="D899" i="29" s="1"/>
  <c r="E24" i="29" a="1"/>
  <c r="E24" i="29" s="1"/>
  <c r="E32" i="29" a="1"/>
  <c r="E32" i="29" s="1"/>
  <c r="E49" i="29" a="1"/>
  <c r="E49" i="29" s="1"/>
  <c r="F219" i="29" a="1"/>
  <c r="F219" i="29" s="1"/>
  <c r="F218" i="29" a="1"/>
  <c r="F218" i="29" s="1"/>
  <c r="F239" i="29" a="1"/>
  <c r="F239" i="29" s="1"/>
  <c r="F204" i="29" a="1"/>
  <c r="F204" i="29" s="1"/>
  <c r="F193" i="29" a="1"/>
  <c r="F193" i="29" s="1"/>
  <c r="F191" i="29" a="1"/>
  <c r="F191" i="29" s="1"/>
  <c r="F1018" i="29" a="1"/>
  <c r="F1018" i="29" s="1"/>
  <c r="F981" i="29" a="1"/>
  <c r="F981" i="29" s="1"/>
  <c r="F996" i="29" a="1"/>
  <c r="F996" i="29" s="1"/>
  <c r="F1009" i="29" a="1"/>
  <c r="F1009" i="29" s="1"/>
  <c r="E888" i="29" a="1"/>
  <c r="E888" i="29" s="1"/>
  <c r="E883" i="29" a="1"/>
  <c r="E883" i="29" s="1"/>
  <c r="E880" i="29" a="1"/>
  <c r="E880" i="29" s="1"/>
  <c r="E902" i="29" a="1"/>
  <c r="E902" i="29" s="1"/>
  <c r="E913" i="29" a="1"/>
  <c r="E913" i="29" s="1"/>
  <c r="D911" i="29" a="1"/>
  <c r="D911" i="29" s="1"/>
  <c r="E50" i="29" a="1"/>
  <c r="E50" i="29" s="1"/>
  <c r="E23" i="29" a="1"/>
  <c r="E23" i="29" s="1"/>
  <c r="E36" i="29" a="1"/>
  <c r="E36" i="29" s="1"/>
  <c r="F224" i="29" a="1"/>
  <c r="F224" i="29" s="1"/>
  <c r="F210" i="29" a="1"/>
  <c r="F210" i="29" s="1"/>
  <c r="B584" i="29"/>
  <c r="B578" i="29"/>
  <c r="B572" i="29"/>
  <c r="B566" i="29"/>
  <c r="B560" i="29"/>
  <c r="B554" i="29"/>
  <c r="B548" i="29"/>
  <c r="B583" i="29"/>
  <c r="B577" i="29"/>
  <c r="B571" i="29"/>
  <c r="B565" i="29"/>
  <c r="B559" i="29"/>
  <c r="B553" i="29"/>
  <c r="B547" i="29"/>
  <c r="B582" i="29"/>
  <c r="B576" i="29"/>
  <c r="B570" i="29"/>
  <c r="B564" i="29"/>
  <c r="B558" i="29"/>
  <c r="B552" i="29"/>
  <c r="B546" i="29"/>
  <c r="B585" i="29"/>
  <c r="B579" i="29"/>
  <c r="B573" i="29"/>
  <c r="B567" i="29"/>
  <c r="B561" i="29"/>
  <c r="B555" i="29"/>
  <c r="B549" i="29"/>
  <c r="B569" i="29"/>
  <c r="B550" i="29"/>
  <c r="B545" i="29"/>
  <c r="B568" i="29"/>
  <c r="B544" i="29"/>
  <c r="B563" i="29"/>
  <c r="B581" i="29"/>
  <c r="B562" i="29"/>
  <c r="B557" i="29"/>
  <c r="B580" i="29"/>
  <c r="B574" i="29"/>
  <c r="B575" i="29"/>
  <c r="B556" i="29"/>
  <c r="B551" i="29"/>
  <c r="F264" i="29" a="1"/>
  <c r="F264" i="29" s="1"/>
  <c r="F263" i="29" a="1"/>
  <c r="F263" i="29" s="1"/>
  <c r="F983" i="29" a="1"/>
  <c r="F983" i="29" s="1"/>
  <c r="F987" i="29" a="1"/>
  <c r="F987" i="29" s="1"/>
  <c r="F1002" i="29" a="1"/>
  <c r="F1002" i="29" s="1"/>
  <c r="F1015" i="29" a="1"/>
  <c r="F1015" i="29" s="1"/>
  <c r="E881" i="29" a="1"/>
  <c r="E881" i="29" s="1"/>
  <c r="E887" i="29" a="1"/>
  <c r="E887" i="29" s="1"/>
  <c r="E873" i="29" a="1"/>
  <c r="E873" i="29" s="1"/>
  <c r="E870" i="29" a="1"/>
  <c r="E870" i="29" s="1"/>
  <c r="E910" i="29" a="1"/>
  <c r="E910" i="29" s="1"/>
  <c r="D870" i="29" a="1"/>
  <c r="D870" i="29" s="1"/>
  <c r="D895" i="29" a="1"/>
  <c r="D895" i="29" s="1"/>
  <c r="D891" i="29" a="1"/>
  <c r="D891" i="29" s="1"/>
  <c r="D884" i="29" a="1"/>
  <c r="D884" i="29" s="1"/>
  <c r="D901" i="29" a="1"/>
  <c r="D901" i="29" s="1"/>
  <c r="E54" i="29" a="1"/>
  <c r="E54" i="29" s="1"/>
  <c r="E44" i="29" a="1"/>
  <c r="E44" i="29" s="1"/>
  <c r="E33" i="29" a="1"/>
  <c r="E33" i="29" s="1"/>
  <c r="F214" i="29" a="1"/>
  <c r="F214" i="29" s="1"/>
  <c r="F231" i="29" a="1"/>
  <c r="F231" i="29" s="1"/>
  <c r="F230" i="29" a="1"/>
  <c r="F230" i="29" s="1"/>
  <c r="F216" i="29" a="1"/>
  <c r="F216" i="29" s="1"/>
  <c r="A652" i="29"/>
  <c r="A664" i="29"/>
  <c r="A670" i="29"/>
  <c r="A676" i="29"/>
  <c r="A682" i="29"/>
  <c r="A688" i="29"/>
  <c r="A653" i="29"/>
  <c r="A659" i="29"/>
  <c r="A665" i="29"/>
  <c r="A671" i="29"/>
  <c r="A677" i="29"/>
  <c r="A683" i="29"/>
  <c r="A689" i="29"/>
  <c r="A654" i="29"/>
  <c r="A660" i="29"/>
  <c r="A666" i="29"/>
  <c r="A672" i="29"/>
  <c r="A678" i="29"/>
  <c r="A684" i="29"/>
  <c r="A690" i="29"/>
  <c r="A651" i="29"/>
  <c r="A657" i="29"/>
  <c r="A663" i="29"/>
  <c r="A669" i="29"/>
  <c r="A675" i="29"/>
  <c r="A681" i="29"/>
  <c r="A687" i="29"/>
  <c r="A658" i="29"/>
  <c r="A662" i="29"/>
  <c r="A679" i="29"/>
  <c r="A650" i="29"/>
  <c r="A661" i="29"/>
  <c r="A667" i="29"/>
  <c r="A680" i="29"/>
  <c r="A655" i="29"/>
  <c r="A668" i="29"/>
  <c r="A685" i="29"/>
  <c r="A656" i="29"/>
  <c r="A673" i="29"/>
  <c r="A686" i="29"/>
  <c r="A674" i="29"/>
  <c r="A585" i="29"/>
  <c r="A579" i="29"/>
  <c r="A573" i="29"/>
  <c r="A567" i="29"/>
  <c r="A561" i="29"/>
  <c r="A555" i="29"/>
  <c r="A549" i="29"/>
  <c r="A584" i="29"/>
  <c r="A578" i="29"/>
  <c r="A572" i="29"/>
  <c r="A566" i="29"/>
  <c r="A560" i="29"/>
  <c r="A554" i="29"/>
  <c r="A548" i="29"/>
  <c r="A583" i="29"/>
  <c r="A577" i="29"/>
  <c r="A571" i="29"/>
  <c r="A565" i="29"/>
  <c r="A559" i="29"/>
  <c r="A553" i="29"/>
  <c r="A547" i="29"/>
  <c r="A582" i="29"/>
  <c r="A576" i="29"/>
  <c r="A570" i="29"/>
  <c r="A558" i="29"/>
  <c r="A552" i="29"/>
  <c r="A546" i="29"/>
  <c r="A580" i="29"/>
  <c r="A574" i="29"/>
  <c r="A568" i="29"/>
  <c r="A562" i="29"/>
  <c r="A556" i="29"/>
  <c r="A550" i="29"/>
  <c r="A544" i="29"/>
  <c r="A569" i="29"/>
  <c r="A545" i="29"/>
  <c r="A564" i="29"/>
  <c r="A563" i="29"/>
  <c r="A581" i="29"/>
  <c r="A557" i="29"/>
  <c r="A551" i="29"/>
  <c r="A575" i="29"/>
  <c r="F243" i="29" a="1"/>
  <c r="F243" i="29" s="1"/>
  <c r="F271" i="29" a="1"/>
  <c r="F271" i="29" s="1"/>
  <c r="F246" i="29" a="1"/>
  <c r="F246" i="29" s="1"/>
  <c r="F1001" i="29" a="1"/>
  <c r="F1001" i="29" s="1"/>
  <c r="F993" i="29" a="1"/>
  <c r="F993" i="29" s="1"/>
  <c r="F1008" i="29" a="1"/>
  <c r="F1008" i="29" s="1"/>
  <c r="F1021" i="29" a="1"/>
  <c r="F1021" i="29" s="1"/>
  <c r="E869" i="29" a="1"/>
  <c r="E869" i="29" s="1"/>
  <c r="E871" i="29" a="1"/>
  <c r="E871" i="29" s="1"/>
  <c r="E884" i="29" a="1"/>
  <c r="E884" i="29" s="1"/>
  <c r="E863" i="29" a="1"/>
  <c r="E863" i="29" s="1"/>
  <c r="E893" i="29" a="1"/>
  <c r="E893" i="29" s="1"/>
  <c r="D903" i="29" a="1"/>
  <c r="D903" i="29" s="1"/>
  <c r="D896" i="29" a="1"/>
  <c r="D896" i="29" s="1"/>
  <c r="D858" i="29" a="1"/>
  <c r="D858" i="29" s="1"/>
  <c r="D913" i="29" a="1"/>
  <c r="D913" i="29" s="1"/>
  <c r="E34" i="29" a="1"/>
  <c r="E34" i="29" s="1"/>
  <c r="E35" i="29" a="1"/>
  <c r="E35" i="29" s="1"/>
  <c r="E45" i="29" a="1"/>
  <c r="E45" i="29" s="1"/>
  <c r="E201" i="29" a="1"/>
  <c r="E201" i="29" s="1"/>
  <c r="F236" i="29" a="1"/>
  <c r="F236" i="29" s="1"/>
  <c r="F222" i="29" a="1"/>
  <c r="F222" i="29" s="1"/>
  <c r="H660" i="29" a="1"/>
  <c r="H660" i="29" s="1"/>
  <c r="H662" i="29" a="1"/>
  <c r="H662" i="29" s="1"/>
  <c r="H689" i="29" a="1"/>
  <c r="H689" i="29" s="1"/>
  <c r="H663" i="29" a="1"/>
  <c r="H663" i="29" s="1"/>
  <c r="B653" i="29"/>
  <c r="B659" i="29"/>
  <c r="E659" i="29" s="1" a="1"/>
  <c r="E659" i="29" s="1"/>
  <c r="B665" i="29"/>
  <c r="B671" i="29"/>
  <c r="B677" i="29"/>
  <c r="B683" i="29"/>
  <c r="B689" i="29"/>
  <c r="D652" i="29" a="1"/>
  <c r="D652" i="29" s="1"/>
  <c r="D664" i="29" a="1"/>
  <c r="D664" i="29" s="1"/>
  <c r="H653" i="29" a="1"/>
  <c r="H653" i="29" s="1"/>
  <c r="H665" i="29" a="1"/>
  <c r="H665" i="29" s="1"/>
  <c r="B654" i="29"/>
  <c r="B660" i="29"/>
  <c r="E660" i="29" s="1" a="1"/>
  <c r="E660" i="29" s="1"/>
  <c r="B666" i="29"/>
  <c r="F666" i="29" s="1" a="1"/>
  <c r="F666" i="29" s="1"/>
  <c r="B672" i="29"/>
  <c r="B678" i="29"/>
  <c r="B684" i="29"/>
  <c r="B690" i="29"/>
  <c r="D658" i="29" a="1"/>
  <c r="D658" i="29" s="1"/>
  <c r="D659" i="29" a="1"/>
  <c r="D659" i="29" s="1"/>
  <c r="B651" i="29"/>
  <c r="B657" i="29"/>
  <c r="B663" i="29"/>
  <c r="F663" i="29" s="1" a="1"/>
  <c r="F663" i="29" s="1"/>
  <c r="B669" i="29"/>
  <c r="B675" i="29"/>
  <c r="B681" i="29"/>
  <c r="B687" i="29"/>
  <c r="B661" i="29"/>
  <c r="B674" i="29"/>
  <c r="B676" i="29"/>
  <c r="B662" i="29"/>
  <c r="F662" i="29" s="1" a="1"/>
  <c r="F662" i="29" s="1"/>
  <c r="B664" i="29"/>
  <c r="B679" i="29"/>
  <c r="B650" i="29"/>
  <c r="H654" i="29" a="1"/>
  <c r="H654" i="29" s="1"/>
  <c r="B652" i="29"/>
  <c r="F652" i="29" s="1" a="1"/>
  <c r="F652" i="29" s="1"/>
  <c r="B667" i="29"/>
  <c r="F667" i="29" s="1" a="1"/>
  <c r="F667" i="29" s="1"/>
  <c r="B680" i="29"/>
  <c r="H655" i="29" a="1"/>
  <c r="H655" i="29" s="1"/>
  <c r="B682" i="29"/>
  <c r="B673" i="29"/>
  <c r="B688" i="29"/>
  <c r="H656" i="29" a="1"/>
  <c r="H656" i="29" s="1"/>
  <c r="B655" i="29"/>
  <c r="B668" i="29"/>
  <c r="H657" i="29" a="1"/>
  <c r="H657" i="29" s="1"/>
  <c r="B670" i="29"/>
  <c r="B685" i="29"/>
  <c r="H661" i="29" a="1"/>
  <c r="H661" i="29" s="1"/>
  <c r="B656" i="29"/>
  <c r="B658" i="29"/>
  <c r="F658" i="29" s="1" a="1"/>
  <c r="F658" i="29" s="1"/>
  <c r="B686" i="29"/>
  <c r="E653" i="29" a="1"/>
  <c r="E653" i="29" s="1"/>
  <c r="F253" i="29" a="1"/>
  <c r="F253" i="29" s="1"/>
  <c r="F259" i="29" a="1"/>
  <c r="F259" i="29" s="1"/>
  <c r="F194" i="29" a="1"/>
  <c r="F194" i="29" s="1"/>
  <c r="F195" i="29" a="1"/>
  <c r="F195" i="29" s="1"/>
  <c r="K990" i="29" a="1"/>
  <c r="K990" i="29" s="1"/>
  <c r="F990" i="29" s="1" a="1"/>
  <c r="F990" i="29" s="1"/>
  <c r="F1019" i="29" a="1"/>
  <c r="F1019" i="29" s="1"/>
  <c r="F999" i="29" a="1"/>
  <c r="F999" i="29" s="1"/>
  <c r="F1014" i="29" a="1"/>
  <c r="F1014" i="29" s="1"/>
  <c r="E982" i="29" a="1"/>
  <c r="E982" i="29" s="1"/>
  <c r="E878" i="29" a="1"/>
  <c r="E878" i="29" s="1"/>
  <c r="E891" i="29" a="1"/>
  <c r="E891" i="29" s="1"/>
  <c r="E877" i="29" a="1"/>
  <c r="E877" i="29" s="1"/>
  <c r="E912" i="29" a="1"/>
  <c r="E912" i="29" s="1"/>
  <c r="E890" i="29" a="1"/>
  <c r="E890" i="29" s="1"/>
  <c r="D908" i="29" a="1"/>
  <c r="D908" i="29" s="1"/>
  <c r="E42" i="29" a="1"/>
  <c r="E42" i="29" s="1"/>
  <c r="E41" i="29" a="1"/>
  <c r="E41" i="29" s="1"/>
  <c r="E27" i="29" a="1"/>
  <c r="E27" i="29" s="1"/>
  <c r="F242" i="29" a="1"/>
  <c r="F242" i="29" s="1"/>
  <c r="F228" i="29" a="1"/>
  <c r="F228" i="29" s="1"/>
  <c r="F199" i="29" a="1"/>
  <c r="F199" i="29" s="1"/>
  <c r="F184" i="29" a="1"/>
  <c r="F184" i="29" s="1"/>
  <c r="F251" i="29" a="1"/>
  <c r="F251" i="29" s="1"/>
  <c r="F260" i="29" a="1"/>
  <c r="F260" i="29" s="1"/>
  <c r="F1005" i="29" a="1"/>
  <c r="F1005" i="29" s="1"/>
  <c r="F1020" i="29" a="1"/>
  <c r="F1020" i="29" s="1"/>
  <c r="F980" i="29" a="1"/>
  <c r="F980" i="29" s="1"/>
  <c r="E892" i="29" a="1"/>
  <c r="E892" i="29" s="1"/>
  <c r="E895" i="29" a="1"/>
  <c r="E895" i="29" s="1"/>
  <c r="E874" i="29" a="1"/>
  <c r="E874" i="29" s="1"/>
  <c r="E907" i="29" a="1"/>
  <c r="E907" i="29" s="1"/>
  <c r="D886" i="29" a="1"/>
  <c r="D886" i="29" s="1"/>
  <c r="E1214" i="29" a="1"/>
  <c r="E1214" i="29" s="1"/>
  <c r="E40" i="29" a="1"/>
  <c r="E40" i="29" s="1"/>
  <c r="E47" i="29" a="1"/>
  <c r="E47" i="29" s="1"/>
  <c r="F232" i="29" a="1"/>
  <c r="F232" i="29" s="1"/>
  <c r="F197" i="29" a="1"/>
  <c r="F197" i="29" s="1"/>
  <c r="F234" i="29" a="1"/>
  <c r="F234" i="29" s="1"/>
  <c r="F205" i="29" a="1"/>
  <c r="F205" i="29" s="1"/>
  <c r="F252" i="29" a="1"/>
  <c r="F252" i="29" s="1"/>
  <c r="F185" i="29" a="1"/>
  <c r="F185" i="29" s="1"/>
  <c r="K1000" i="29" a="1"/>
  <c r="K1000" i="29" s="1"/>
  <c r="F1000" i="29" s="1" a="1"/>
  <c r="F1000" i="29" s="1"/>
  <c r="F1012" i="29" a="1"/>
  <c r="F1012" i="29" s="1"/>
  <c r="F1011" i="29" a="1"/>
  <c r="F1011" i="29" s="1"/>
  <c r="F986" i="29" a="1"/>
  <c r="F986" i="29" s="1"/>
  <c r="E885" i="29" a="1"/>
  <c r="E885" i="29" s="1"/>
  <c r="E899" i="29" a="1"/>
  <c r="E899" i="29" s="1"/>
  <c r="E911" i="29" a="1"/>
  <c r="E911" i="29" s="1"/>
  <c r="E900" i="29" a="1"/>
  <c r="E900" i="29" s="1"/>
  <c r="D906" i="29" a="1"/>
  <c r="D906" i="29" s="1"/>
  <c r="D871" i="29" a="1"/>
  <c r="D871" i="29" s="1"/>
  <c r="D898" i="29" a="1"/>
  <c r="D898" i="29" s="1"/>
  <c r="E30" i="29" a="1"/>
  <c r="E30" i="29" s="1"/>
  <c r="E29" i="29" a="1"/>
  <c r="E29" i="29" s="1"/>
  <c r="E39" i="29" a="1"/>
  <c r="E39" i="29" s="1"/>
  <c r="E184" i="29" a="1"/>
  <c r="E184" i="29" s="1"/>
  <c r="E192" i="29" a="1"/>
  <c r="E192" i="29" s="1"/>
  <c r="F237" i="29" a="1"/>
  <c r="F237" i="29" s="1"/>
  <c r="F208" i="29" a="1"/>
  <c r="F208" i="29" s="1"/>
  <c r="F238" i="29" a="1"/>
  <c r="F238" i="29" s="1"/>
  <c r="F203" i="29" a="1"/>
  <c r="F203" i="29" s="1"/>
  <c r="F240" i="29" a="1"/>
  <c r="F240" i="29" s="1"/>
  <c r="F211" i="29" a="1"/>
  <c r="F211" i="29" s="1"/>
  <c r="F190" i="29" a="1"/>
  <c r="F190" i="29" s="1"/>
  <c r="F244" i="29" a="1"/>
  <c r="F244" i="29" s="1"/>
  <c r="F188" i="29" a="1"/>
  <c r="F188" i="29" s="1"/>
  <c r="F250" i="29" a="1"/>
  <c r="F250" i="29" s="1"/>
  <c r="K1022" i="29" a="1"/>
  <c r="K1022" i="29" s="1"/>
  <c r="K977" i="29" a="1"/>
  <c r="K977" i="29" s="1"/>
  <c r="F977" i="29" s="1" a="1"/>
  <c r="F977" i="29" s="1"/>
  <c r="F1017" i="29" a="1"/>
  <c r="F1017" i="29" s="1"/>
  <c r="F992" i="29" a="1"/>
  <c r="F992" i="29" s="1"/>
  <c r="E882" i="29" a="1"/>
  <c r="E882" i="29" s="1"/>
  <c r="E903" i="29" a="1"/>
  <c r="E903" i="29" s="1"/>
  <c r="E904" i="29" a="1"/>
  <c r="E904" i="29" s="1"/>
  <c r="E909" i="29" a="1"/>
  <c r="E909" i="29" s="1"/>
  <c r="E897" i="29" a="1"/>
  <c r="E897" i="29" s="1"/>
  <c r="D857" i="29" a="1"/>
  <c r="D857" i="29" s="1"/>
  <c r="D863" i="29" a="1"/>
  <c r="D863" i="29" s="1"/>
  <c r="E55" i="29" a="1"/>
  <c r="E55" i="29" s="1"/>
  <c r="E46" i="29" a="1"/>
  <c r="E46" i="29" s="1"/>
  <c r="E48" i="29" a="1"/>
  <c r="E48" i="29" s="1"/>
  <c r="E28" i="29" a="1"/>
  <c r="E28" i="29" s="1"/>
  <c r="F207" i="29" a="1"/>
  <c r="F207" i="29" s="1"/>
  <c r="F226" i="29" a="1"/>
  <c r="F226" i="29" s="1"/>
  <c r="F209" i="29" a="1"/>
  <c r="F209" i="29" s="1"/>
  <c r="F217" i="29" a="1"/>
  <c r="F217" i="29" s="1"/>
  <c r="F187" i="29" a="1"/>
  <c r="F187" i="29" s="1"/>
  <c r="F186" i="29" a="1"/>
  <c r="F186" i="29" s="1"/>
  <c r="F989" i="29" a="1"/>
  <c r="F989" i="29" s="1"/>
  <c r="F995" i="29" a="1"/>
  <c r="F995" i="29" s="1"/>
  <c r="F1023" i="29" a="1"/>
  <c r="F1023" i="29" s="1"/>
  <c r="F998" i="29" a="1"/>
  <c r="F998" i="29" s="1"/>
  <c r="E879" i="29" a="1"/>
  <c r="E879" i="29" s="1"/>
  <c r="E872" i="29" a="1"/>
  <c r="E872" i="29" s="1"/>
  <c r="E901" i="29" a="1"/>
  <c r="E901" i="29" s="1"/>
  <c r="E906" i="29" a="1"/>
  <c r="E906" i="29" s="1"/>
  <c r="E865" i="29" a="1"/>
  <c r="E865" i="29" s="1"/>
  <c r="D900" i="29" a="1"/>
  <c r="D900" i="29" s="1"/>
  <c r="E26" i="29" a="1"/>
  <c r="E26" i="29" s="1"/>
  <c r="E53" i="29" a="1"/>
  <c r="E53" i="29" s="1"/>
  <c r="E31" i="29" a="1"/>
  <c r="E31" i="29" s="1"/>
  <c r="E18" i="29" a="1"/>
  <c r="E18" i="29" s="1"/>
  <c r="F225" i="29" a="1"/>
  <c r="F225" i="29" s="1"/>
  <c r="F215" i="29" a="1"/>
  <c r="F215" i="29" s="1"/>
  <c r="F223" i="29" a="1"/>
  <c r="F223" i="29" s="1"/>
  <c r="F266" i="29" a="1"/>
  <c r="F266" i="29" s="1"/>
  <c r="F256" i="29" a="1"/>
  <c r="F256" i="29" s="1"/>
  <c r="F267" i="29" a="1"/>
  <c r="F267" i="29" s="1"/>
  <c r="F272" i="29" a="1"/>
  <c r="F272" i="29" s="1"/>
  <c r="E707" i="29" a="1"/>
  <c r="E707" i="29" s="1"/>
  <c r="F1007" i="29" a="1"/>
  <c r="F1007" i="29" s="1"/>
  <c r="F1013" i="29" a="1"/>
  <c r="F1013" i="29" s="1"/>
  <c r="F985" i="29" a="1"/>
  <c r="F985" i="29" s="1"/>
  <c r="F1004" i="29" a="1"/>
  <c r="F1004" i="29" s="1"/>
  <c r="E866" i="29" a="1"/>
  <c r="E866" i="29" s="1"/>
  <c r="E857" i="29" a="1"/>
  <c r="E857" i="29" s="1"/>
  <c r="E898" i="29" a="1"/>
  <c r="E898" i="29" s="1"/>
  <c r="E875" i="29" a="1"/>
  <c r="E875" i="29" s="1"/>
  <c r="E894" i="29" a="1"/>
  <c r="E894" i="29" s="1"/>
  <c r="D869" i="29" a="1"/>
  <c r="D869" i="29" s="1"/>
  <c r="D907" i="29" a="1"/>
  <c r="D907" i="29" s="1"/>
  <c r="D880" i="29" a="1"/>
  <c r="D880" i="29" s="1"/>
  <c r="D885" i="29" a="1"/>
  <c r="D885" i="29" s="1"/>
  <c r="E51" i="29" a="1"/>
  <c r="E51" i="29" s="1"/>
  <c r="E20" i="29" a="1"/>
  <c r="E20" i="29" s="1"/>
  <c r="E43" i="29" a="1"/>
  <c r="E43" i="29" s="1"/>
  <c r="E25" i="29" a="1"/>
  <c r="E25" i="29" s="1"/>
  <c r="E189" i="29" a="1"/>
  <c r="E189" i="29" s="1"/>
  <c r="E186" i="29" a="1"/>
  <c r="E186" i="29" s="1"/>
  <c r="F202" i="29" a="1"/>
  <c r="F202" i="29" s="1"/>
  <c r="F213" i="29" a="1"/>
  <c r="F213" i="29" s="1"/>
  <c r="F200" i="29" a="1"/>
  <c r="F200" i="29" s="1"/>
  <c r="F221" i="29" a="1"/>
  <c r="F221" i="29" s="1"/>
  <c r="F229" i="29" a="1"/>
  <c r="F229" i="29" s="1"/>
  <c r="F196" i="29" a="1"/>
  <c r="F196" i="29" s="1"/>
  <c r="E969" i="29" a="1"/>
  <c r="E969" i="29" s="1"/>
  <c r="K994" i="29" a="1"/>
  <c r="K994" i="29" s="1"/>
  <c r="F994" i="29" s="1" a="1"/>
  <c r="F994" i="29" s="1"/>
  <c r="F988" i="29" a="1"/>
  <c r="F988" i="29" s="1"/>
  <c r="F991" i="29" a="1"/>
  <c r="F991" i="29" s="1"/>
  <c r="F1010" i="29" a="1"/>
  <c r="F1010" i="29" s="1"/>
  <c r="E896" i="29" a="1"/>
  <c r="E896" i="29" s="1"/>
  <c r="E876" i="29" a="1"/>
  <c r="E876" i="29" s="1"/>
  <c r="E858" i="29" a="1"/>
  <c r="E858" i="29" s="1"/>
  <c r="H872" i="29" a="1"/>
  <c r="H872" i="29" s="1"/>
  <c r="D867" i="29" a="1"/>
  <c r="D867" i="29" s="1"/>
  <c r="D897" i="29" a="1"/>
  <c r="D897" i="29" s="1"/>
  <c r="D902" i="29" a="1"/>
  <c r="D902" i="29" s="1"/>
  <c r="E22" i="29" a="1"/>
  <c r="E22" i="29" s="1"/>
  <c r="E52" i="29" a="1"/>
  <c r="E52" i="29" s="1"/>
  <c r="E21" i="29" a="1"/>
  <c r="E21" i="29" s="1"/>
  <c r="F220" i="29" a="1"/>
  <c r="F220" i="29" s="1"/>
  <c r="F206" i="29" a="1"/>
  <c r="F206" i="29" s="1"/>
  <c r="F227" i="29" a="1"/>
  <c r="F227" i="29" s="1"/>
  <c r="F235" i="29" a="1"/>
  <c r="F235" i="29" s="1"/>
  <c r="F982" i="29" a="1"/>
  <c r="F982" i="29" s="1"/>
  <c r="F1006" i="29" a="1"/>
  <c r="F1006" i="29" s="1"/>
  <c r="F984" i="29" a="1"/>
  <c r="F984" i="29" s="1"/>
  <c r="F997" i="29" a="1"/>
  <c r="F997" i="29" s="1"/>
  <c r="F1016" i="29" a="1"/>
  <c r="F1016" i="29" s="1"/>
  <c r="E889" i="29" a="1"/>
  <c r="E889" i="29" s="1"/>
  <c r="E908" i="29" a="1"/>
  <c r="E908" i="29" s="1"/>
  <c r="D909" i="29" a="1"/>
  <c r="D909" i="29" s="1"/>
  <c r="D887" i="29" a="1"/>
  <c r="D887" i="29" s="1"/>
  <c r="E38" i="29" a="1"/>
  <c r="E38" i="29" s="1"/>
  <c r="E19" i="29" a="1"/>
  <c r="E19" i="29" s="1"/>
  <c r="E37" i="29" a="1"/>
  <c r="E37" i="29" s="1"/>
  <c r="E193" i="29" a="1"/>
  <c r="E193" i="29" s="1"/>
  <c r="E191" i="29" a="1"/>
  <c r="E191" i="29" s="1"/>
  <c r="F212" i="29" a="1"/>
  <c r="F212" i="29" s="1"/>
  <c r="F233" i="29" a="1"/>
  <c r="F233" i="29" s="1"/>
  <c r="F198" i="29" a="1"/>
  <c r="F198" i="29" s="1"/>
  <c r="F241" i="29" a="1"/>
  <c r="F241" i="29" s="1"/>
  <c r="E696" i="29" a="1"/>
  <c r="E696" i="29" s="1"/>
  <c r="E712" i="29" a="1"/>
  <c r="E712" i="29" s="1"/>
  <c r="E710" i="29" a="1"/>
  <c r="E710" i="29" s="1"/>
  <c r="H436" i="29" a="1"/>
  <c r="H436" i="29" s="1"/>
  <c r="D974" i="29" a="1"/>
  <c r="D974" i="29" s="1"/>
  <c r="H878" i="29" a="1"/>
  <c r="H878" i="29" s="1"/>
  <c r="D281" i="29" a="1"/>
  <c r="D281" i="29" s="1"/>
  <c r="H883" i="29" a="1"/>
  <c r="H883" i="29" s="1"/>
  <c r="H912" i="29" a="1"/>
  <c r="H912" i="29" s="1"/>
  <c r="E703" i="29" a="1"/>
  <c r="E703" i="29" s="1"/>
  <c r="E285" i="29" a="1"/>
  <c r="E285" i="29" s="1"/>
  <c r="H445" i="29" a="1"/>
  <c r="H445" i="29" s="1"/>
  <c r="E68" i="29" a="1"/>
  <c r="E68" i="29" s="1"/>
  <c r="F698" i="29" a="1"/>
  <c r="F698" i="29" s="1"/>
  <c r="H288" i="29" a="1"/>
  <c r="H288" i="29" s="1"/>
  <c r="H905" i="29" a="1"/>
  <c r="H905" i="29" s="1"/>
  <c r="H289" i="29" a="1"/>
  <c r="H289" i="29" s="1"/>
  <c r="D285" i="29" a="1"/>
  <c r="D285" i="29" s="1"/>
  <c r="E278" i="29" a="1"/>
  <c r="E278" i="29" s="1"/>
  <c r="D973" i="29" a="1"/>
  <c r="D973" i="29" s="1"/>
  <c r="H879" i="29" a="1"/>
  <c r="H879" i="29" s="1"/>
  <c r="H278" i="29" a="1"/>
  <c r="H278" i="29" s="1"/>
  <c r="E711" i="29" a="1"/>
  <c r="E711" i="29" s="1"/>
  <c r="D279" i="29" a="1"/>
  <c r="D279" i="29" s="1"/>
  <c r="E855" i="29" a="1"/>
  <c r="E855" i="29" s="1"/>
  <c r="D970" i="29" a="1"/>
  <c r="D970" i="29" s="1"/>
  <c r="H976" i="29" a="1"/>
  <c r="H976" i="29" s="1"/>
  <c r="H972" i="29" a="1"/>
  <c r="H972" i="29" s="1"/>
  <c r="H287" i="29" a="1"/>
  <c r="H287" i="29" s="1"/>
  <c r="E286" i="29" a="1"/>
  <c r="E286" i="29" s="1"/>
  <c r="F281" i="29" a="1"/>
  <c r="F281" i="29" s="1"/>
  <c r="E704" i="29" a="1"/>
  <c r="E704" i="29" s="1"/>
  <c r="E713" i="29" a="1"/>
  <c r="E713" i="29" s="1"/>
  <c r="H889" i="29" a="1"/>
  <c r="H889" i="29" s="1"/>
  <c r="H873" i="29" a="1"/>
  <c r="H873" i="29" s="1"/>
  <c r="H876" i="29" a="1"/>
  <c r="H876" i="29" s="1"/>
  <c r="H881" i="29" a="1"/>
  <c r="H881" i="29" s="1"/>
  <c r="H875" i="29" a="1"/>
  <c r="H875" i="29" s="1"/>
  <c r="D283" i="29" a="1"/>
  <c r="D283" i="29" s="1"/>
  <c r="E289" i="29" a="1"/>
  <c r="E289" i="29" s="1"/>
  <c r="D976" i="29" a="1"/>
  <c r="D976" i="29" s="1"/>
  <c r="F279" i="29" a="1"/>
  <c r="F279" i="29" s="1"/>
  <c r="F699" i="29" a="1"/>
  <c r="F699" i="29" s="1"/>
  <c r="H973" i="29" a="1"/>
  <c r="H973" i="29" s="1"/>
  <c r="F276" i="29" a="1"/>
  <c r="F276" i="29" s="1"/>
  <c r="F696" i="29" a="1"/>
  <c r="F696" i="29" s="1"/>
  <c r="E281" i="29" a="1"/>
  <c r="E281" i="29" s="1"/>
  <c r="H276" i="29" a="1"/>
  <c r="H276" i="29" s="1"/>
  <c r="D440" i="29" a="1"/>
  <c r="D440" i="29" s="1"/>
  <c r="E445" i="29" a="1"/>
  <c r="E445" i="29" s="1"/>
  <c r="H444" i="29" a="1"/>
  <c r="H444" i="29" s="1"/>
  <c r="E443" i="29" a="1"/>
  <c r="E443" i="29" s="1"/>
  <c r="E915" i="29" a="1"/>
  <c r="E915" i="29" s="1"/>
  <c r="H437" i="29" a="1"/>
  <c r="H437" i="29" s="1"/>
  <c r="E436" i="29" a="1"/>
  <c r="E436" i="29" s="1"/>
  <c r="E438" i="29" a="1"/>
  <c r="E438" i="29" s="1"/>
  <c r="H438" i="29" a="1"/>
  <c r="H438" i="29" s="1"/>
  <c r="E440" i="29" a="1"/>
  <c r="E440" i="29" s="1"/>
  <c r="E328" i="29" a="1"/>
  <c r="E328" i="29" s="1"/>
  <c r="H443" i="29" a="1"/>
  <c r="H443" i="29" s="1"/>
  <c r="E437" i="29" a="1"/>
  <c r="E437" i="29" s="1"/>
  <c r="E444" i="29" a="1"/>
  <c r="E444" i="29" s="1"/>
  <c r="H439" i="29" a="1"/>
  <c r="H439" i="29" s="1"/>
  <c r="E979" i="29" a="1"/>
  <c r="E979" i="29" s="1"/>
  <c r="C84" i="47"/>
  <c r="H243" i="29" a="1"/>
  <c r="H243" i="29" s="1"/>
  <c r="K1049" i="29" a="1"/>
  <c r="K1049" i="29" s="1"/>
  <c r="F1049" i="29" s="1" a="1"/>
  <c r="F1049" i="29" s="1"/>
  <c r="K1052" i="29" a="1"/>
  <c r="K1052" i="29" s="1"/>
  <c r="F1052" i="29" s="1" a="1"/>
  <c r="F1052" i="29" s="1"/>
  <c r="H882" i="29" a="1"/>
  <c r="H882" i="29" s="1"/>
  <c r="F277" i="29" a="1"/>
  <c r="F277" i="29" s="1"/>
  <c r="D748" i="29" a="1"/>
  <c r="D748" i="29" s="1"/>
  <c r="F705" i="29" a="1"/>
  <c r="F705" i="29" s="1"/>
  <c r="F709" i="29" a="1"/>
  <c r="F709" i="29" s="1"/>
  <c r="F708" i="29" a="1"/>
  <c r="F708" i="29" s="1"/>
  <c r="H974" i="29" a="1"/>
  <c r="H974" i="29" s="1"/>
  <c r="F1048" i="29" a="1"/>
  <c r="F1048" i="29" s="1"/>
  <c r="F1053" i="29" a="1"/>
  <c r="F1053" i="29" s="1"/>
  <c r="E284" i="29" a="1"/>
  <c r="E284" i="29" s="1"/>
  <c r="F701" i="29" a="1"/>
  <c r="F701" i="29" s="1"/>
  <c r="F283" i="29" a="1"/>
  <c r="F283" i="29" s="1"/>
  <c r="E856" i="29" a="1"/>
  <c r="E856" i="29" s="1"/>
  <c r="D282" i="29" a="1"/>
  <c r="D282" i="29" s="1"/>
  <c r="E276" i="29" a="1"/>
  <c r="E276" i="29" s="1"/>
  <c r="E705" i="29" a="1"/>
  <c r="E705" i="29" s="1"/>
  <c r="F706" i="29" a="1"/>
  <c r="F706" i="29" s="1"/>
  <c r="E971" i="29" a="1"/>
  <c r="E971" i="29" s="1"/>
  <c r="D132" i="29"/>
  <c r="H132" i="29"/>
  <c r="E132" i="29" a="1"/>
  <c r="E132" i="29" s="1"/>
  <c r="E439" i="29" a="1"/>
  <c r="E439" i="29" s="1"/>
  <c r="H280" i="29" a="1"/>
  <c r="H280" i="29" s="1"/>
  <c r="F285" i="29" a="1"/>
  <c r="F285" i="29" s="1"/>
  <c r="F697" i="29" a="1"/>
  <c r="F697" i="29" s="1"/>
  <c r="H855" i="29" a="1"/>
  <c r="H855" i="29" s="1"/>
  <c r="E283" i="29" a="1"/>
  <c r="E283" i="29" s="1"/>
  <c r="F278" i="29" a="1"/>
  <c r="F278" i="29" s="1"/>
  <c r="E748" i="29" a="1"/>
  <c r="E748" i="29" s="1"/>
  <c r="E709" i="29" a="1"/>
  <c r="E709" i="29" s="1"/>
  <c r="F710" i="29" a="1"/>
  <c r="F710" i="29" s="1"/>
  <c r="F711" i="29" a="1"/>
  <c r="F711" i="29" s="1"/>
  <c r="F973" i="29" a="1"/>
  <c r="F973" i="29" s="1"/>
  <c r="E970" i="29" a="1"/>
  <c r="E970" i="29" s="1"/>
  <c r="K1031" i="29" a="1"/>
  <c r="K1031" i="29" s="1"/>
  <c r="F1031" i="29" s="1" a="1"/>
  <c r="F1031" i="29" s="1"/>
  <c r="K1045" i="29" a="1"/>
  <c r="K1045" i="29" s="1"/>
  <c r="F1045" i="29" s="1" a="1"/>
  <c r="F1045" i="29" s="1"/>
  <c r="K1030" i="29" a="1"/>
  <c r="K1030" i="29" s="1"/>
  <c r="F1030" i="29" s="1" a="1"/>
  <c r="F1030" i="29" s="1"/>
  <c r="D1214" i="29" a="1"/>
  <c r="D1214" i="29" s="1"/>
  <c r="E486" i="29" a="1"/>
  <c r="E486" i="29" s="1"/>
  <c r="D441" i="29" a="1"/>
  <c r="D441" i="29" s="1"/>
  <c r="D915" i="29" a="1"/>
  <c r="D915" i="29" s="1"/>
  <c r="E698" i="29" a="1"/>
  <c r="E698" i="29" s="1"/>
  <c r="H877" i="29" a="1"/>
  <c r="H877" i="29" s="1"/>
  <c r="H893" i="29" a="1"/>
  <c r="H893" i="29" s="1"/>
  <c r="H856" i="29" a="1"/>
  <c r="H856" i="29" s="1"/>
  <c r="H888" i="29" a="1"/>
  <c r="H888" i="29" s="1"/>
  <c r="F287" i="29" a="1"/>
  <c r="F287" i="29" s="1"/>
  <c r="E706" i="29" a="1"/>
  <c r="E706" i="29" s="1"/>
  <c r="E700" i="29" a="1"/>
  <c r="E700" i="29" s="1"/>
  <c r="K1042" i="29" a="1"/>
  <c r="K1042" i="29" s="1"/>
  <c r="F1042" i="29" s="1" a="1"/>
  <c r="F1042" i="29" s="1"/>
  <c r="K1037" i="29" a="1"/>
  <c r="K1037" i="29" s="1"/>
  <c r="F1037" i="29" s="1" a="1"/>
  <c r="F1037" i="29" s="1"/>
  <c r="K1041" i="29" a="1"/>
  <c r="K1041" i="29" s="1"/>
  <c r="F1041" i="29" s="1" a="1"/>
  <c r="F1041" i="29" s="1"/>
  <c r="F1039" i="29" a="1"/>
  <c r="F1039" i="29" s="1"/>
  <c r="E17" i="29" a="1"/>
  <c r="E17" i="29" s="1"/>
  <c r="I16" i="29"/>
  <c r="D16" i="29" s="1"/>
  <c r="B16" i="29"/>
  <c r="F16" i="29" s="1" a="1"/>
  <c r="F16" i="29" s="1"/>
  <c r="H486" i="29" a="1"/>
  <c r="H486" i="29" s="1"/>
  <c r="B434" i="29"/>
  <c r="F434" i="29" s="1" a="1"/>
  <c r="F434" i="29" s="1"/>
  <c r="D434" i="29" a="1"/>
  <c r="D434" i="29" s="1"/>
  <c r="E708" i="29" a="1"/>
  <c r="E708" i="29" s="1"/>
  <c r="E699" i="29" a="1"/>
  <c r="E699" i="29" s="1"/>
  <c r="K1050" i="29" a="1"/>
  <c r="K1050" i="29" s="1"/>
  <c r="F1050" i="29" s="1" a="1"/>
  <c r="F1050" i="29" s="1"/>
  <c r="F976" i="29" a="1"/>
  <c r="F976" i="29" s="1"/>
  <c r="F970" i="29" a="1"/>
  <c r="F970" i="29" s="1"/>
  <c r="H854" i="29" a="1"/>
  <c r="H854" i="29" s="1"/>
  <c r="B854" i="29"/>
  <c r="F854" i="29" s="1" a="1"/>
  <c r="F854" i="29" s="1"/>
  <c r="E277" i="29" a="1"/>
  <c r="E277" i="29" s="1"/>
  <c r="F286" i="29" a="1"/>
  <c r="F286" i="29" s="1"/>
  <c r="D749" i="29" a="1"/>
  <c r="D749" i="29" s="1"/>
  <c r="H749" i="29" a="1"/>
  <c r="H749" i="29" s="1"/>
  <c r="E749" i="29" a="1"/>
  <c r="E749" i="29" s="1"/>
  <c r="F704" i="29" a="1"/>
  <c r="F704" i="29" s="1"/>
  <c r="F712" i="29" a="1"/>
  <c r="F712" i="29" s="1"/>
  <c r="K1025" i="29" a="1"/>
  <c r="K1025" i="29" s="1"/>
  <c r="F1025" i="29" s="1" a="1"/>
  <c r="F1025" i="29" s="1"/>
  <c r="F1054" i="29" a="1"/>
  <c r="F1054" i="29" s="1"/>
  <c r="F1051" i="29" a="1"/>
  <c r="F1051" i="29" s="1"/>
  <c r="F1055" i="29" a="1"/>
  <c r="F1055" i="29" s="1"/>
  <c r="D442" i="29" a="1"/>
  <c r="D442" i="29" s="1"/>
  <c r="E442" i="29" a="1"/>
  <c r="E442" i="29" s="1"/>
  <c r="D916" i="29" a="1"/>
  <c r="D916" i="29" s="1"/>
  <c r="H916" i="29" a="1"/>
  <c r="H916" i="29" s="1"/>
  <c r="E916" i="29" a="1"/>
  <c r="E916" i="29" s="1"/>
  <c r="A648" i="29"/>
  <c r="A646" i="29"/>
  <c r="A637" i="29"/>
  <c r="A647" i="29"/>
  <c r="A639" i="29"/>
  <c r="A634" i="29"/>
  <c r="A632" i="29"/>
  <c r="A635" i="29"/>
  <c r="G631" i="29"/>
  <c r="A631" i="29" s="1"/>
  <c r="A636" i="29"/>
  <c r="A643" i="29"/>
  <c r="A642" i="29"/>
  <c r="A645" i="29"/>
  <c r="A640" i="29"/>
  <c r="A649" i="29"/>
  <c r="A633" i="29"/>
  <c r="A638" i="29"/>
  <c r="A641" i="29"/>
  <c r="A644" i="29"/>
  <c r="H910" i="29" a="1"/>
  <c r="H910" i="29" s="1"/>
  <c r="H874" i="29" a="1"/>
  <c r="H874" i="29" s="1"/>
  <c r="H277" i="29" a="1"/>
  <c r="H277" i="29" s="1"/>
  <c r="E287" i="29" a="1"/>
  <c r="E287" i="29" s="1"/>
  <c r="F288" i="29" a="1"/>
  <c r="F288" i="29" s="1"/>
  <c r="F280" i="29" a="1"/>
  <c r="F280" i="29" s="1"/>
  <c r="I162" i="40" a="1"/>
  <c r="I162" i="40" s="1"/>
  <c r="I159" i="40" a="1"/>
  <c r="I159" i="40" s="1"/>
  <c r="I122" i="40" a="1"/>
  <c r="I122" i="40" s="1"/>
  <c r="I123" i="40" a="1"/>
  <c r="I123" i="40" s="1"/>
  <c r="H154" i="40" a="1"/>
  <c r="H154" i="40" s="1"/>
  <c r="I140" i="40" a="1"/>
  <c r="I140" i="40" s="1"/>
  <c r="I155" i="40" a="1"/>
  <c r="I155" i="40" s="1"/>
  <c r="I144" i="40" a="1"/>
  <c r="I144" i="40" s="1"/>
  <c r="H143" i="40" a="1"/>
  <c r="H143" i="40" s="1"/>
  <c r="I125" i="40" a="1"/>
  <c r="I125" i="40" s="1"/>
  <c r="I147" i="40" a="1"/>
  <c r="I147" i="40" s="1"/>
  <c r="I158" i="40" a="1"/>
  <c r="I158" i="40" s="1"/>
  <c r="I137" i="40" a="1"/>
  <c r="I137" i="40" s="1"/>
  <c r="H141" i="40" a="1"/>
  <c r="H141" i="40" s="1"/>
  <c r="I129" i="40" a="1"/>
  <c r="I129" i="40" s="1"/>
  <c r="I127" i="40" a="1"/>
  <c r="I127" i="40" s="1"/>
  <c r="I161" i="40" a="1"/>
  <c r="I161" i="40" s="1"/>
  <c r="H151" i="40" a="1"/>
  <c r="H151" i="40" s="1"/>
  <c r="I165" i="40" a="1"/>
  <c r="I165" i="40" s="1"/>
  <c r="H148" i="40" a="1"/>
  <c r="H148" i="40" s="1"/>
  <c r="I134" i="40" a="1"/>
  <c r="I134" i="40" s="1"/>
  <c r="H145" i="40" a="1"/>
  <c r="H145" i="40" s="1"/>
  <c r="I169" i="40" a="1"/>
  <c r="I169" i="40" s="1"/>
  <c r="H135" i="40" a="1"/>
  <c r="H135" i="40" s="1"/>
  <c r="I139" i="40" a="1"/>
  <c r="I139" i="40" s="1"/>
  <c r="I153" i="40" a="1"/>
  <c r="I153" i="40" s="1"/>
  <c r="I138" i="40" a="1"/>
  <c r="I138" i="40" s="1"/>
  <c r="I146" i="40" a="1"/>
  <c r="I146" i="40" s="1"/>
  <c r="I124" i="40" a="1"/>
  <c r="I124" i="40" s="1"/>
  <c r="I167" i="40" a="1"/>
  <c r="I167" i="40" s="1"/>
  <c r="H132" i="40" a="1"/>
  <c r="H132" i="40" s="1"/>
  <c r="I166" i="40" a="1"/>
  <c r="I166" i="40" s="1"/>
  <c r="H160" i="40" a="1"/>
  <c r="H160" i="40" s="1"/>
  <c r="H157" i="40" a="1"/>
  <c r="H157" i="40" s="1"/>
  <c r="I156" i="40" a="1"/>
  <c r="I156" i="40" s="1"/>
  <c r="I152" i="40" a="1"/>
  <c r="I152" i="40" s="1"/>
  <c r="I164" i="40" a="1"/>
  <c r="I164" i="40" s="1"/>
  <c r="I131" i="40" a="1"/>
  <c r="I131" i="40" s="1"/>
  <c r="I163" i="40" a="1"/>
  <c r="I163" i="40" s="1"/>
  <c r="I150" i="40" a="1"/>
  <c r="I150" i="40" s="1"/>
  <c r="H126" i="40" a="1"/>
  <c r="H126" i="40" s="1"/>
  <c r="I170" i="40" a="1"/>
  <c r="I170" i="40" s="1"/>
  <c r="I149" i="40" a="1"/>
  <c r="I149" i="40" s="1"/>
  <c r="I142" i="40" a="1"/>
  <c r="I142" i="40" s="1"/>
  <c r="B837" i="29"/>
  <c r="F837" i="29" s="1" a="1"/>
  <c r="F837" i="29" s="1"/>
  <c r="D832" i="29" a="1"/>
  <c r="D832" i="29" s="1"/>
  <c r="B838" i="29"/>
  <c r="F838" i="29" s="1" a="1"/>
  <c r="F838" i="29" s="1"/>
  <c r="B834" i="29"/>
  <c r="F834" i="29" s="1" a="1"/>
  <c r="F834" i="29" s="1"/>
  <c r="H826" i="29" a="1"/>
  <c r="H826" i="29" s="1"/>
  <c r="B835" i="29"/>
  <c r="F835" i="29" s="1" a="1"/>
  <c r="F835" i="29" s="1"/>
  <c r="B831" i="29"/>
  <c r="F831" i="29" s="1" a="1"/>
  <c r="F831" i="29" s="1"/>
  <c r="B840" i="29"/>
  <c r="F840" i="29" s="1" a="1"/>
  <c r="F840" i="29" s="1"/>
  <c r="H841" i="29" a="1"/>
  <c r="H841" i="29" s="1"/>
  <c r="B832" i="29"/>
  <c r="F832" i="29" s="1" a="1"/>
  <c r="F832" i="29" s="1"/>
  <c r="B828" i="29"/>
  <c r="F828" i="29" s="1" a="1"/>
  <c r="F828" i="29" s="1"/>
  <c r="H836" i="29" a="1"/>
  <c r="H836" i="29" s="1"/>
  <c r="B841" i="29"/>
  <c r="F841" i="29" s="1" a="1"/>
  <c r="F841" i="29" s="1"/>
  <c r="D833" i="29" a="1"/>
  <c r="D833" i="29" s="1"/>
  <c r="B839" i="29"/>
  <c r="F839" i="29" s="1" a="1"/>
  <c r="F839" i="29" s="1"/>
  <c r="B829" i="29"/>
  <c r="F829" i="29" s="1" a="1"/>
  <c r="F829" i="29" s="1"/>
  <c r="B827" i="29"/>
  <c r="F827" i="29" s="1" a="1"/>
  <c r="F827" i="29" s="1"/>
  <c r="H834" i="29" a="1"/>
  <c r="H834" i="29" s="1"/>
  <c r="H830" i="29" a="1"/>
  <c r="H830" i="29" s="1"/>
  <c r="D835" i="29" a="1"/>
  <c r="D835" i="29" s="1"/>
  <c r="B830" i="29"/>
  <c r="F830" i="29" s="1" a="1"/>
  <c r="F830" i="29" s="1"/>
  <c r="H827" i="29" a="1"/>
  <c r="H827" i="29" s="1"/>
  <c r="B826" i="29"/>
  <c r="F826" i="29" s="1" a="1"/>
  <c r="F826" i="29" s="1"/>
  <c r="H838" i="29" a="1"/>
  <c r="H838" i="29" s="1"/>
  <c r="B833" i="29"/>
  <c r="F833" i="29" s="1" a="1"/>
  <c r="F833" i="29" s="1"/>
  <c r="D837" i="29" a="1"/>
  <c r="D837" i="29" s="1"/>
  <c r="H829" i="29" a="1"/>
  <c r="H829" i="29" s="1"/>
  <c r="D831" i="29" a="1"/>
  <c r="D831" i="29" s="1"/>
  <c r="D839" i="29" a="1"/>
  <c r="D839" i="29" s="1"/>
  <c r="H828" i="29" a="1"/>
  <c r="H828" i="29" s="1"/>
  <c r="H840" i="29" a="1"/>
  <c r="H840" i="29" s="1"/>
  <c r="B836" i="29"/>
  <c r="F836" i="29" s="1" a="1"/>
  <c r="F836" i="29" s="1"/>
  <c r="F707" i="29" a="1"/>
  <c r="F707" i="29" s="1"/>
  <c r="B694" i="29"/>
  <c r="D971" i="29" a="1"/>
  <c r="D971" i="29" s="1"/>
  <c r="K1026" i="29" a="1"/>
  <c r="K1026" i="29" s="1"/>
  <c r="F969" i="29" a="1"/>
  <c r="F969" i="29" s="1"/>
  <c r="E968" i="29" a="1"/>
  <c r="E968" i="29" s="1"/>
  <c r="H975" i="29" a="1"/>
  <c r="H975" i="29" s="1"/>
  <c r="K1056" i="29" a="1"/>
  <c r="K1056" i="29" s="1"/>
  <c r="F1056" i="29" s="1" a="1"/>
  <c r="F1056" i="29" s="1"/>
  <c r="H1215" i="29" a="1"/>
  <c r="H1215" i="29" s="1"/>
  <c r="D1215" i="29" a="1"/>
  <c r="D1215" i="29" s="1"/>
  <c r="E487" i="29" a="1"/>
  <c r="E487" i="29" s="1"/>
  <c r="D487" i="29" a="1"/>
  <c r="D487" i="29" s="1"/>
  <c r="H487" i="29" a="1"/>
  <c r="H487" i="29" s="1"/>
  <c r="E280" i="29" a="1"/>
  <c r="E280" i="29" s="1"/>
  <c r="F275" i="29" a="1"/>
  <c r="F275" i="29" s="1"/>
  <c r="B183" i="29"/>
  <c r="F183" i="29" s="1" a="1"/>
  <c r="F183" i="29" s="1"/>
  <c r="H183" i="29" a="1"/>
  <c r="H183" i="29" s="1"/>
  <c r="F695" i="29" a="1"/>
  <c r="F695" i="29" s="1"/>
  <c r="E695" i="29" a="1"/>
  <c r="E695" i="29" s="1"/>
  <c r="K1036" i="29" a="1"/>
  <c r="K1036" i="29" s="1"/>
  <c r="F1036" i="29" s="1" a="1"/>
  <c r="F1036" i="29" s="1"/>
  <c r="K1028" i="29" a="1"/>
  <c r="K1028" i="29" s="1"/>
  <c r="E972" i="29" a="1"/>
  <c r="E972" i="29" s="1"/>
  <c r="B1070" i="29"/>
  <c r="F1070" i="29" s="1" a="1"/>
  <c r="F1070" i="29" s="1"/>
  <c r="H1064" i="29" a="1"/>
  <c r="H1064" i="29" s="1"/>
  <c r="B1060" i="29"/>
  <c r="F1060" i="29" s="1" a="1"/>
  <c r="F1060" i="29" s="1"/>
  <c r="C1058" i="29"/>
  <c r="I1058" i="29" s="1"/>
  <c r="B1072" i="29"/>
  <c r="F1072" i="29" s="1" a="1"/>
  <c r="F1072" i="29" s="1"/>
  <c r="B1068" i="29"/>
  <c r="F1068" i="29" s="1" a="1"/>
  <c r="F1068" i="29" s="1"/>
  <c r="B1063" i="29"/>
  <c r="F1063" i="29" s="1" a="1"/>
  <c r="F1063" i="29" s="1"/>
  <c r="H1071" i="29" a="1"/>
  <c r="H1071" i="29" s="1"/>
  <c r="B1064" i="29"/>
  <c r="F1064" i="29" s="1" a="1"/>
  <c r="F1064" i="29" s="1"/>
  <c r="H1062" i="29" a="1"/>
  <c r="H1062" i="29" s="1"/>
  <c r="H1067" i="29" a="1"/>
  <c r="H1067" i="29" s="1"/>
  <c r="B1062" i="29"/>
  <c r="F1062" i="29" s="1" a="1"/>
  <c r="F1062" i="29" s="1"/>
  <c r="B1066" i="29"/>
  <c r="F1066" i="29" s="1" a="1"/>
  <c r="F1066" i="29" s="1"/>
  <c r="B1067" i="29"/>
  <c r="F1067" i="29" s="1" a="1"/>
  <c r="F1067" i="29" s="1"/>
  <c r="D1061" i="29" a="1"/>
  <c r="D1061" i="29" s="1"/>
  <c r="B1061" i="29"/>
  <c r="F1061" i="29" s="1" a="1"/>
  <c r="F1061" i="29" s="1"/>
  <c r="H1066" i="29" a="1"/>
  <c r="H1066" i="29" s="1"/>
  <c r="D1063" i="29" a="1"/>
  <c r="D1063" i="29" s="1"/>
  <c r="H1073" i="29" a="1"/>
  <c r="H1073" i="29" s="1"/>
  <c r="H1065" i="29" a="1"/>
  <c r="H1065" i="29" s="1"/>
  <c r="B1071" i="29"/>
  <c r="F1071" i="29" s="1" a="1"/>
  <c r="F1071" i="29" s="1"/>
  <c r="B1069" i="29"/>
  <c r="F1069" i="29" s="1" a="1"/>
  <c r="F1069" i="29" s="1"/>
  <c r="H1060" i="29" a="1"/>
  <c r="H1060" i="29" s="1"/>
  <c r="B1059" i="29"/>
  <c r="F1059" i="29" s="1" a="1"/>
  <c r="F1059" i="29" s="1"/>
  <c r="D1070" i="29" a="1"/>
  <c r="D1070" i="29" s="1"/>
  <c r="B1065" i="29"/>
  <c r="F1065" i="29" s="1" a="1"/>
  <c r="F1065" i="29" s="1"/>
  <c r="H1069" i="29" a="1"/>
  <c r="H1069" i="29" s="1"/>
  <c r="B1073" i="29"/>
  <c r="F1073" i="29" s="1" a="1"/>
  <c r="F1073" i="29" s="1"/>
  <c r="H1068" i="29" a="1"/>
  <c r="H1068" i="29" s="1"/>
  <c r="H1072" i="29" a="1"/>
  <c r="H1072" i="29" s="1"/>
  <c r="D286" i="29" a="1"/>
  <c r="D286" i="29" s="1"/>
  <c r="D284" i="29" a="1"/>
  <c r="D284" i="29" s="1"/>
  <c r="F284" i="29" a="1"/>
  <c r="F284" i="29" s="1"/>
  <c r="B614" i="29"/>
  <c r="B612" i="29"/>
  <c r="B610" i="29"/>
  <c r="D540" i="29" a="1"/>
  <c r="D540" i="29" s="1"/>
  <c r="B608" i="29"/>
  <c r="B606" i="29"/>
  <c r="B604" i="29"/>
  <c r="B539" i="29"/>
  <c r="B602" i="29"/>
  <c r="B600" i="29"/>
  <c r="B598" i="29"/>
  <c r="B596" i="29"/>
  <c r="B592" i="29"/>
  <c r="B590" i="29"/>
  <c r="B588" i="29"/>
  <c r="B594" i="29"/>
  <c r="B586" i="29"/>
  <c r="B595" i="29"/>
  <c r="B609" i="29"/>
  <c r="B599" i="29"/>
  <c r="H539" i="29" a="1"/>
  <c r="H539" i="29" s="1"/>
  <c r="B587" i="29"/>
  <c r="B601" i="29"/>
  <c r="B589" i="29"/>
  <c r="B603" i="29"/>
  <c r="B543" i="29"/>
  <c r="B597" i="29"/>
  <c r="B605" i="29"/>
  <c r="H542" i="29" a="1"/>
  <c r="H542" i="29" s="1"/>
  <c r="B591" i="29"/>
  <c r="D539" i="29" a="1"/>
  <c r="D539" i="29" s="1"/>
  <c r="B593" i="29"/>
  <c r="B541" i="29"/>
  <c r="B611" i="29"/>
  <c r="B540" i="29"/>
  <c r="H540" i="29" a="1"/>
  <c r="H540" i="29" s="1"/>
  <c r="H543" i="29" a="1"/>
  <c r="H543" i="29" s="1"/>
  <c r="B613" i="29"/>
  <c r="B542" i="29"/>
  <c r="B607" i="29"/>
  <c r="B626" i="29"/>
  <c r="B622" i="29"/>
  <c r="B623" i="29"/>
  <c r="C538" i="29"/>
  <c r="B620" i="29"/>
  <c r="B617" i="29"/>
  <c r="B616" i="29"/>
  <c r="B625" i="29"/>
  <c r="B627" i="29"/>
  <c r="B619" i="29"/>
  <c r="B624" i="29"/>
  <c r="B621" i="29"/>
  <c r="B618" i="29"/>
  <c r="B615" i="29"/>
  <c r="E701" i="29" a="1"/>
  <c r="E701" i="29" s="1"/>
  <c r="F713" i="29" a="1"/>
  <c r="F713" i="29" s="1"/>
  <c r="F1043" i="29" a="1"/>
  <c r="F1043" i="29" s="1"/>
  <c r="D647" i="29" a="1"/>
  <c r="D647" i="29" s="1"/>
  <c r="D676" i="29" a="1"/>
  <c r="D676" i="29" s="1"/>
  <c r="H687" i="29" a="1"/>
  <c r="H687" i="29" s="1"/>
  <c r="B641" i="29"/>
  <c r="B632" i="29"/>
  <c r="F675" i="29" a="1"/>
  <c r="F675" i="29" s="1"/>
  <c r="B637" i="29"/>
  <c r="H685" i="29" a="1"/>
  <c r="H685" i="29" s="1"/>
  <c r="B647" i="29"/>
  <c r="D633" i="29" a="1"/>
  <c r="D633" i="29" s="1"/>
  <c r="D634" i="29" a="1"/>
  <c r="D634" i="29" s="1"/>
  <c r="D679" i="29" a="1"/>
  <c r="D679" i="29" s="1"/>
  <c r="H640" i="29" a="1"/>
  <c r="H640" i="29" s="1"/>
  <c r="H644" i="29" a="1"/>
  <c r="H644" i="29" s="1"/>
  <c r="D650" i="29" a="1"/>
  <c r="D650" i="29" s="1"/>
  <c r="C631" i="29"/>
  <c r="I631" i="29" s="1"/>
  <c r="H645" i="29" a="1"/>
  <c r="H645" i="29" s="1"/>
  <c r="B649" i="29"/>
  <c r="B645" i="29"/>
  <c r="D649" i="29" a="1"/>
  <c r="D649" i="29" s="1"/>
  <c r="H635" i="29" a="1"/>
  <c r="H635" i="29" s="1"/>
  <c r="D648" i="29" a="1"/>
  <c r="D648" i="29" s="1"/>
  <c r="H637" i="29" a="1"/>
  <c r="H637" i="29" s="1"/>
  <c r="B640" i="29"/>
  <c r="B638" i="29"/>
  <c r="H641" i="29" a="1"/>
  <c r="H641" i="29" s="1"/>
  <c r="H681" i="29" a="1"/>
  <c r="H681" i="29" s="1"/>
  <c r="D646" i="29" a="1"/>
  <c r="D646" i="29" s="1"/>
  <c r="D674" i="29" a="1"/>
  <c r="D674" i="29" s="1"/>
  <c r="B636" i="29"/>
  <c r="H684" i="29" a="1"/>
  <c r="H684" i="29" s="1"/>
  <c r="D672" i="29" a="1"/>
  <c r="D672" i="29" s="1"/>
  <c r="B639" i="29"/>
  <c r="F650" i="29" a="1"/>
  <c r="F650" i="29" s="1"/>
  <c r="H678" i="29" a="1"/>
  <c r="H678" i="29" s="1"/>
  <c r="F673" i="29" a="1"/>
  <c r="F673" i="29" s="1"/>
  <c r="H680" i="29" a="1"/>
  <c r="H680" i="29" s="1"/>
  <c r="D666" i="29" a="1"/>
  <c r="D666" i="29" s="1"/>
  <c r="H643" i="29" a="1"/>
  <c r="H643" i="29" s="1"/>
  <c r="H668" i="29" a="1"/>
  <c r="H668" i="29" s="1"/>
  <c r="D690" i="29" a="1"/>
  <c r="D690" i="29" s="1"/>
  <c r="H675" i="29" a="1"/>
  <c r="H675" i="29" s="1"/>
  <c r="F674" i="29" a="1"/>
  <c r="F674" i="29" s="1"/>
  <c r="B642" i="29"/>
  <c r="D670" i="29" a="1"/>
  <c r="D670" i="29" s="1"/>
  <c r="H638" i="29" a="1"/>
  <c r="H638" i="29" s="1"/>
  <c r="D671" i="29" a="1"/>
  <c r="D671" i="29" s="1"/>
  <c r="B644" i="29"/>
  <c r="H669" i="29" a="1"/>
  <c r="H669" i="29" s="1"/>
  <c r="B634" i="29"/>
  <c r="D682" i="29" a="1"/>
  <c r="D682" i="29" s="1"/>
  <c r="D688" i="29" a="1"/>
  <c r="D688" i="29" s="1"/>
  <c r="D667" i="29" a="1"/>
  <c r="D667" i="29" s="1"/>
  <c r="D677" i="29" a="1"/>
  <c r="D677" i="29" s="1"/>
  <c r="H642" i="29" a="1"/>
  <c r="H642" i="29" s="1"/>
  <c r="B633" i="29"/>
  <c r="D673" i="29" a="1"/>
  <c r="D673" i="29" s="1"/>
  <c r="F688" i="29" a="1"/>
  <c r="F688" i="29" s="1"/>
  <c r="B643" i="29"/>
  <c r="H639" i="29" a="1"/>
  <c r="H639" i="29" s="1"/>
  <c r="F687" i="29" a="1"/>
  <c r="F687" i="29" s="1"/>
  <c r="B648" i="29"/>
  <c r="H686" i="29" a="1"/>
  <c r="H686" i="29" s="1"/>
  <c r="H651" i="29" a="1"/>
  <c r="H651" i="29" s="1"/>
  <c r="H683" i="29" a="1"/>
  <c r="H683" i="29" s="1"/>
  <c r="B635" i="29"/>
  <c r="B646" i="29"/>
  <c r="H904" i="29" a="1"/>
  <c r="H904" i="29" s="1"/>
  <c r="F289" i="29" a="1"/>
  <c r="F289" i="29" s="1"/>
  <c r="E279" i="29" a="1"/>
  <c r="E279" i="29" s="1"/>
  <c r="E282" i="29" a="1"/>
  <c r="E282" i="29" s="1"/>
  <c r="I275" i="29"/>
  <c r="B274" i="29"/>
  <c r="F274" i="29" s="1" a="1"/>
  <c r="F274" i="29" s="1"/>
  <c r="H274" i="29" a="1"/>
  <c r="H274" i="29" s="1"/>
  <c r="F282" i="29" a="1"/>
  <c r="F282" i="29" s="1"/>
  <c r="A608" i="29"/>
  <c r="A614" i="29"/>
  <c r="A594" i="29"/>
  <c r="A539" i="29"/>
  <c r="A601" i="29"/>
  <c r="A626" i="29"/>
  <c r="A540" i="29"/>
  <c r="A592" i="29"/>
  <c r="A599" i="29"/>
  <c r="A615" i="29"/>
  <c r="A623" i="29"/>
  <c r="A611" i="29"/>
  <c r="A600" i="29"/>
  <c r="A609" i="29"/>
  <c r="A597" i="29"/>
  <c r="A622" i="29"/>
  <c r="A627" i="29"/>
  <c r="A602" i="29"/>
  <c r="A606" i="29"/>
  <c r="A625" i="29"/>
  <c r="G538" i="29"/>
  <c r="A538" i="29" s="1"/>
  <c r="A612" i="29"/>
  <c r="A598" i="29"/>
  <c r="A588" i="29"/>
  <c r="A613" i="29"/>
  <c r="A617" i="29"/>
  <c r="A616" i="29"/>
  <c r="A603" i="29"/>
  <c r="A541" i="29"/>
  <c r="A543" i="29"/>
  <c r="A605" i="29"/>
  <c r="A542" i="29"/>
  <c r="A620" i="29"/>
  <c r="A586" i="29"/>
  <c r="A607" i="29"/>
  <c r="A589" i="29"/>
  <c r="A619" i="29"/>
  <c r="A591" i="29"/>
  <c r="A596" i="29"/>
  <c r="A587" i="29"/>
  <c r="A604" i="29"/>
  <c r="A624" i="29"/>
  <c r="A618" i="29"/>
  <c r="A593" i="29"/>
  <c r="A595" i="29"/>
  <c r="A621" i="29"/>
  <c r="A590" i="29"/>
  <c r="A610" i="29"/>
  <c r="F703" i="29" a="1"/>
  <c r="F703" i="29" s="1"/>
  <c r="E702" i="29" a="1"/>
  <c r="E702" i="29" s="1"/>
  <c r="F702" i="29" a="1"/>
  <c r="F702" i="29" s="1"/>
  <c r="D979" i="29" a="1"/>
  <c r="D979" i="29" s="1"/>
  <c r="F1047" i="29" a="1"/>
  <c r="F1047" i="29" s="1"/>
  <c r="F978" i="29" a="1"/>
  <c r="F978" i="29" s="1"/>
  <c r="K1032" i="29" a="1"/>
  <c r="K1032" i="29" s="1"/>
  <c r="F1032" i="29" s="1" a="1"/>
  <c r="F1032" i="29" s="1"/>
  <c r="D131" i="29"/>
  <c r="E441" i="29" a="1"/>
  <c r="E441" i="29" s="1"/>
  <c r="K1034" i="29" a="1"/>
  <c r="K1034" i="29" s="1"/>
  <c r="F1034" i="29" s="1" a="1"/>
  <c r="F1034" i="29" s="1"/>
  <c r="D967" i="29" a="1"/>
  <c r="D967" i="29" s="1"/>
  <c r="H967" i="29" a="1"/>
  <c r="H967" i="29" s="1"/>
  <c r="B967" i="29"/>
  <c r="E131" i="29" a="1"/>
  <c r="E131" i="29" s="1"/>
  <c r="I822" i="29" l="1"/>
  <c r="I824" i="29"/>
  <c r="I823" i="29"/>
  <c r="I825" i="29"/>
  <c r="I811" i="29"/>
  <c r="H818" i="29" a="1"/>
  <c r="H818" i="29" s="1"/>
  <c r="H808" i="29" a="1"/>
  <c r="H808" i="29" s="1"/>
  <c r="B821" i="29"/>
  <c r="F821" i="29" s="1" a="1"/>
  <c r="F821" i="29" s="1"/>
  <c r="H819" i="29" a="1"/>
  <c r="H819" i="29" s="1"/>
  <c r="B820" i="29"/>
  <c r="F820" i="29" s="1" a="1"/>
  <c r="F820" i="29" s="1"/>
  <c r="B816" i="29"/>
  <c r="F816" i="29" s="1" a="1"/>
  <c r="F816" i="29" s="1"/>
  <c r="B815" i="29"/>
  <c r="F815" i="29" s="1" a="1"/>
  <c r="F815" i="29" s="1"/>
  <c r="B811" i="29"/>
  <c r="F811" i="29" s="1" a="1"/>
  <c r="F811" i="29" s="1"/>
  <c r="D809" i="29" a="1"/>
  <c r="D809" i="29" s="1"/>
  <c r="H812" i="29" a="1"/>
  <c r="H812" i="29" s="1"/>
  <c r="H813" i="29" a="1"/>
  <c r="H813" i="29" s="1"/>
  <c r="H820" i="29" a="1"/>
  <c r="H820" i="29" s="1"/>
  <c r="I817" i="29"/>
  <c r="H821" i="29" a="1"/>
  <c r="H821" i="29" s="1"/>
  <c r="I810" i="29"/>
  <c r="H815" i="29" a="1"/>
  <c r="H815" i="29" s="1"/>
  <c r="H825" i="29" a="1"/>
  <c r="H825" i="29" s="1"/>
  <c r="B823" i="29"/>
  <c r="F823" i="29" s="1" a="1"/>
  <c r="F823" i="29" s="1"/>
  <c r="B825" i="29"/>
  <c r="F825" i="29" s="1" a="1"/>
  <c r="F825" i="29" s="1"/>
  <c r="B819" i="29"/>
  <c r="F819" i="29" s="1" a="1"/>
  <c r="F819" i="29" s="1"/>
  <c r="I820" i="29"/>
  <c r="I821" i="29"/>
  <c r="B817" i="29"/>
  <c r="F817" i="29" s="1" a="1"/>
  <c r="F817" i="29" s="1"/>
  <c r="I808" i="29"/>
  <c r="I809" i="29"/>
  <c r="D816" i="29" a="1"/>
  <c r="D816" i="29" s="1"/>
  <c r="B809" i="29"/>
  <c r="F809" i="29" s="1" a="1"/>
  <c r="F809" i="29" s="1"/>
  <c r="I819" i="29"/>
  <c r="B813" i="29"/>
  <c r="F813" i="29" s="1" a="1"/>
  <c r="F813" i="29" s="1"/>
  <c r="B812" i="29"/>
  <c r="F812" i="29" s="1" a="1"/>
  <c r="F812" i="29" s="1"/>
  <c r="I818" i="29"/>
  <c r="B814" i="29"/>
  <c r="D811" i="29" a="1"/>
  <c r="D811" i="29" s="1"/>
  <c r="B822" i="29"/>
  <c r="F822" i="29" s="1" a="1"/>
  <c r="F822" i="29" s="1"/>
  <c r="B824" i="29"/>
  <c r="F824" i="29" s="1" a="1"/>
  <c r="F824" i="29" s="1"/>
  <c r="I816" i="29"/>
  <c r="H824" i="29" a="1"/>
  <c r="H824" i="29" s="1"/>
  <c r="D814" i="29" a="1"/>
  <c r="D814" i="29" s="1"/>
  <c r="B810" i="29"/>
  <c r="F810" i="29" s="1" a="1"/>
  <c r="F810" i="29" s="1"/>
  <c r="I815" i="29"/>
  <c r="H822" i="29" a="1"/>
  <c r="H822" i="29" s="1"/>
  <c r="D810" i="29" a="1"/>
  <c r="D810" i="29" s="1"/>
  <c r="B808" i="29"/>
  <c r="F808" i="29" s="1" a="1"/>
  <c r="F808" i="29" s="1"/>
  <c r="I814" i="29"/>
  <c r="E814" i="29" s="1" a="1"/>
  <c r="E814" i="29" s="1"/>
  <c r="D823" i="29" a="1"/>
  <c r="D823" i="29" s="1"/>
  <c r="H817" i="29" a="1"/>
  <c r="H817" i="29" s="1"/>
  <c r="B818" i="29"/>
  <c r="F818" i="29" s="1" a="1"/>
  <c r="F818" i="29" s="1"/>
  <c r="I813" i="29"/>
  <c r="I812" i="29"/>
  <c r="I806" i="29"/>
  <c r="D806" i="29" s="1" a="1"/>
  <c r="D806" i="29" s="1"/>
  <c r="B805" i="29"/>
  <c r="B804" i="29"/>
  <c r="F636" i="29" a="1"/>
  <c r="F636" i="29" s="1"/>
  <c r="I975" i="29"/>
  <c r="D972" i="29" a="1"/>
  <c r="D972" i="29" s="1"/>
  <c r="I974" i="29"/>
  <c r="H971" i="29" a="1"/>
  <c r="H971" i="29" s="1"/>
  <c r="B806" i="29"/>
  <c r="F806" i="29" s="1" a="1"/>
  <c r="F806" i="29" s="1"/>
  <c r="B807" i="29"/>
  <c r="F807" i="29" s="1" a="1"/>
  <c r="F807" i="29" s="1"/>
  <c r="I807" i="29"/>
  <c r="H807" i="29" s="1" a="1"/>
  <c r="H807" i="29" s="1"/>
  <c r="C802" i="29"/>
  <c r="I804" i="29"/>
  <c r="I805" i="29"/>
  <c r="D805" i="29" s="1" a="1"/>
  <c r="D805" i="29" s="1"/>
  <c r="H16" i="29"/>
  <c r="F689" i="29" a="1"/>
  <c r="F689" i="29" s="1"/>
  <c r="F657" i="29" a="1"/>
  <c r="F657" i="29" s="1"/>
  <c r="F690" i="29" a="1"/>
  <c r="F690" i="29" s="1"/>
  <c r="F649" i="29" a="1"/>
  <c r="F649" i="29" s="1"/>
  <c r="B803" i="29"/>
  <c r="D197" i="29" a="1"/>
  <c r="D197" i="29" s="1"/>
  <c r="H197" i="29" a="1"/>
  <c r="H197" i="29" s="1"/>
  <c r="I200" i="29"/>
  <c r="E694" i="29" a="1"/>
  <c r="E694" i="29" s="1"/>
  <c r="F694" i="29" a="1"/>
  <c r="F694" i="29" s="1"/>
  <c r="I1059" i="29"/>
  <c r="I632" i="29"/>
  <c r="F632" i="29" a="1"/>
  <c r="F632" i="29" s="1"/>
  <c r="E1026" i="29" a="1"/>
  <c r="E1026" i="29" s="1"/>
  <c r="F653" i="29" a="1"/>
  <c r="F653" i="29" s="1"/>
  <c r="F654" i="29" a="1"/>
  <c r="F654" i="29" s="1"/>
  <c r="F668" i="29" a="1"/>
  <c r="F668" i="29" s="1"/>
  <c r="F664" i="29" a="1"/>
  <c r="F664" i="29" s="1"/>
  <c r="D665" i="29" a="1"/>
  <c r="D665" i="29" s="1"/>
  <c r="H837" i="29" a="1"/>
  <c r="H837" i="29" s="1"/>
  <c r="E689" i="29" a="1"/>
  <c r="E689" i="29" s="1"/>
  <c r="H832" i="29" a="1"/>
  <c r="H832" i="29" s="1"/>
  <c r="E657" i="29" a="1"/>
  <c r="E657" i="29" s="1"/>
  <c r="F661" i="29" a="1"/>
  <c r="F661" i="29" s="1"/>
  <c r="F656" i="29" a="1"/>
  <c r="F656" i="29" s="1"/>
  <c r="E665" i="29" a="1"/>
  <c r="E665" i="29" s="1"/>
  <c r="F543" i="29" a="1"/>
  <c r="F543" i="29" s="1"/>
  <c r="E652" i="29" a="1"/>
  <c r="E652" i="29" s="1"/>
  <c r="E661" i="29" a="1"/>
  <c r="E661" i="29" s="1"/>
  <c r="F655" i="29" a="1"/>
  <c r="F655" i="29" s="1"/>
  <c r="F542" i="29" a="1"/>
  <c r="F542" i="29" s="1"/>
  <c r="D818" i="29" a="1"/>
  <c r="D818" i="29" s="1"/>
  <c r="E662" i="29" a="1"/>
  <c r="E662" i="29" s="1"/>
  <c r="D660" i="29" a="1"/>
  <c r="D660" i="29" s="1"/>
  <c r="D655" i="29" a="1"/>
  <c r="D655" i="29" s="1"/>
  <c r="F669" i="29" a="1"/>
  <c r="F669" i="29" s="1"/>
  <c r="F660" i="29" a="1"/>
  <c r="F660" i="29" s="1"/>
  <c r="F659" i="29" a="1"/>
  <c r="F659" i="29" s="1"/>
  <c r="D662" i="29" a="1"/>
  <c r="D662" i="29" s="1"/>
  <c r="F625" i="29" a="1"/>
  <c r="F625" i="29" s="1"/>
  <c r="H664" i="29" a="1"/>
  <c r="H664" i="29" s="1"/>
  <c r="H659" i="29" a="1"/>
  <c r="H659" i="29" s="1"/>
  <c r="D663" i="29" a="1"/>
  <c r="D663" i="29" s="1"/>
  <c r="D657" i="29" a="1"/>
  <c r="D657" i="29" s="1"/>
  <c r="D661" i="29" a="1"/>
  <c r="D661" i="29" s="1"/>
  <c r="D544" i="29" a="1"/>
  <c r="D544" i="29" s="1"/>
  <c r="H544" i="29" a="1"/>
  <c r="H544" i="29" s="1"/>
  <c r="E544" i="29" a="1"/>
  <c r="E544" i="29" s="1"/>
  <c r="E676" i="29" a="1"/>
  <c r="E676" i="29" s="1"/>
  <c r="E667" i="29" a="1"/>
  <c r="E667" i="29" s="1"/>
  <c r="E654" i="29" a="1"/>
  <c r="E654" i="29" s="1"/>
  <c r="D654" i="29" a="1"/>
  <c r="D654" i="29" s="1"/>
  <c r="F574" i="29" a="1"/>
  <c r="F574" i="29" s="1"/>
  <c r="F550" i="29" a="1"/>
  <c r="F550" i="29" s="1"/>
  <c r="F546" i="29" a="1"/>
  <c r="F546" i="29" s="1"/>
  <c r="F565" i="29" a="1"/>
  <c r="F565" i="29" s="1"/>
  <c r="F584" i="29" a="1"/>
  <c r="F584" i="29" s="1"/>
  <c r="E688" i="29" a="1"/>
  <c r="E688" i="29" s="1"/>
  <c r="H676" i="29" a="1"/>
  <c r="H676" i="29" s="1"/>
  <c r="F541" i="29" a="1"/>
  <c r="F541" i="29" s="1"/>
  <c r="E664" i="29" a="1"/>
  <c r="E664" i="29" s="1"/>
  <c r="F580" i="29" a="1"/>
  <c r="F580" i="29" s="1"/>
  <c r="F569" i="29" a="1"/>
  <c r="F569" i="29" s="1"/>
  <c r="F552" i="29" a="1"/>
  <c r="F552" i="29" s="1"/>
  <c r="F571" i="29" a="1"/>
  <c r="F571" i="29" s="1"/>
  <c r="F646" i="29" a="1"/>
  <c r="F646" i="29" s="1"/>
  <c r="E666" i="29" a="1"/>
  <c r="E666" i="29" s="1"/>
  <c r="E663" i="29" a="1"/>
  <c r="E663" i="29" s="1"/>
  <c r="H652" i="29" a="1"/>
  <c r="H652" i="29" s="1"/>
  <c r="D668" i="29" a="1"/>
  <c r="D668" i="29" s="1"/>
  <c r="D653" i="29" a="1"/>
  <c r="D653" i="29" s="1"/>
  <c r="F665" i="29" a="1"/>
  <c r="F665" i="29" s="1"/>
  <c r="F557" i="29" a="1"/>
  <c r="F557" i="29" s="1"/>
  <c r="F558" i="29" a="1"/>
  <c r="F558" i="29" s="1"/>
  <c r="F577" i="29" a="1"/>
  <c r="F577" i="29" s="1"/>
  <c r="E668" i="29" a="1"/>
  <c r="E668" i="29" s="1"/>
  <c r="H658" i="29" a="1"/>
  <c r="H658" i="29" s="1"/>
  <c r="D541" i="29" a="1"/>
  <c r="D541" i="29" s="1"/>
  <c r="F549" i="29" a="1"/>
  <c r="F549" i="29" s="1"/>
  <c r="F564" i="29" a="1"/>
  <c r="F564" i="29" s="1"/>
  <c r="F583" i="29" a="1"/>
  <c r="F583" i="29" s="1"/>
  <c r="E670" i="29" a="1"/>
  <c r="E670" i="29" s="1"/>
  <c r="F562" i="29" a="1"/>
  <c r="F562" i="29" s="1"/>
  <c r="F555" i="29" a="1"/>
  <c r="F555" i="29" s="1"/>
  <c r="F570" i="29" a="1"/>
  <c r="F570" i="29" s="1"/>
  <c r="H682" i="29" a="1"/>
  <c r="H682" i="29" s="1"/>
  <c r="F581" i="29" a="1"/>
  <c r="F581" i="29" s="1"/>
  <c r="F561" i="29" a="1"/>
  <c r="F561" i="29" s="1"/>
  <c r="F576" i="29" a="1"/>
  <c r="F576" i="29" s="1"/>
  <c r="E671" i="29" a="1"/>
  <c r="E671" i="29" s="1"/>
  <c r="D656" i="29" a="1"/>
  <c r="D656" i="29" s="1"/>
  <c r="D542" i="29" a="1"/>
  <c r="D542" i="29" s="1"/>
  <c r="F567" i="29" a="1"/>
  <c r="F567" i="29" s="1"/>
  <c r="F582" i="29" a="1"/>
  <c r="F582" i="29" s="1"/>
  <c r="F548" i="29" a="1"/>
  <c r="F548" i="29" s="1"/>
  <c r="E656" i="29" a="1"/>
  <c r="E656" i="29" s="1"/>
  <c r="D675" i="29" a="1"/>
  <c r="D675" i="29" s="1"/>
  <c r="H666" i="29" a="1"/>
  <c r="H666" i="29" s="1"/>
  <c r="D543" i="29" a="1"/>
  <c r="D543" i="29" s="1"/>
  <c r="F573" i="29" a="1"/>
  <c r="F573" i="29" s="1"/>
  <c r="F554" i="29" a="1"/>
  <c r="F554" i="29" s="1"/>
  <c r="E658" i="29" a="1"/>
  <c r="E658" i="29" s="1"/>
  <c r="E542" i="29" a="1"/>
  <c r="E542" i="29" s="1"/>
  <c r="F563" i="29" a="1"/>
  <c r="F563" i="29" s="1"/>
  <c r="F579" i="29" a="1"/>
  <c r="F579" i="29" s="1"/>
  <c r="F560" i="29" a="1"/>
  <c r="F560" i="29" s="1"/>
  <c r="F618" i="29" a="1"/>
  <c r="F618" i="29" s="1"/>
  <c r="K967" i="29" a="1"/>
  <c r="K967" i="29" s="1"/>
  <c r="E967" i="29" s="1" a="1"/>
  <c r="E967" i="29" s="1"/>
  <c r="E690" i="29" a="1"/>
  <c r="E690" i="29" s="1"/>
  <c r="E655" i="29" a="1"/>
  <c r="E655" i="29" s="1"/>
  <c r="D669" i="29" a="1"/>
  <c r="D669" i="29" s="1"/>
  <c r="E543" i="29" a="1"/>
  <c r="E543" i="29" s="1"/>
  <c r="F551" i="29" a="1"/>
  <c r="F551" i="29" s="1"/>
  <c r="F544" i="29" a="1"/>
  <c r="F544" i="29" s="1"/>
  <c r="F585" i="29" a="1"/>
  <c r="F585" i="29" s="1"/>
  <c r="F547" i="29" a="1"/>
  <c r="F547" i="29" s="1"/>
  <c r="F566" i="29" a="1"/>
  <c r="F566" i="29" s="1"/>
  <c r="F1022" i="29" a="1"/>
  <c r="F1022" i="29" s="1"/>
  <c r="D982" i="29" a="1"/>
  <c r="D982" i="29" s="1"/>
  <c r="H982" i="29" a="1"/>
  <c r="H982" i="29" s="1"/>
  <c r="E669" i="29" a="1"/>
  <c r="E669" i="29" s="1"/>
  <c r="E541" i="29" a="1"/>
  <c r="E541" i="29" s="1"/>
  <c r="F556" i="29" a="1"/>
  <c r="F556" i="29" s="1"/>
  <c r="F568" i="29" a="1"/>
  <c r="F568" i="29" s="1"/>
  <c r="F553" i="29" a="1"/>
  <c r="F553" i="29" s="1"/>
  <c r="F572" i="29" a="1"/>
  <c r="F572" i="29" s="1"/>
  <c r="H977" i="29" a="1"/>
  <c r="H977" i="29" s="1"/>
  <c r="F575" i="29" a="1"/>
  <c r="F575" i="29" s="1"/>
  <c r="F545" i="29" a="1"/>
  <c r="F545" i="29" s="1"/>
  <c r="F559" i="29" a="1"/>
  <c r="F559" i="29" s="1"/>
  <c r="F578" i="29" a="1"/>
  <c r="F578" i="29" s="1"/>
  <c r="D243" i="29" a="1"/>
  <c r="D243" i="29" s="1"/>
  <c r="E243" i="29" a="1"/>
  <c r="E243" i="29" s="1"/>
  <c r="D829" i="29" a="1"/>
  <c r="D829" i="29" s="1"/>
  <c r="E818" i="29" a="1"/>
  <c r="E818" i="29" s="1"/>
  <c r="E679" i="29" a="1"/>
  <c r="E679" i="29" s="1"/>
  <c r="F622" i="29" a="1"/>
  <c r="F622" i="29" s="1"/>
  <c r="H122" i="40" a="1"/>
  <c r="H122" i="40" s="1"/>
  <c r="D815" i="29" a="1"/>
  <c r="D815" i="29" s="1"/>
  <c r="H679" i="29" a="1"/>
  <c r="H679" i="29" s="1"/>
  <c r="F615" i="29" a="1"/>
  <c r="F615" i="29" s="1"/>
  <c r="D841" i="29" a="1"/>
  <c r="D841" i="29" s="1"/>
  <c r="E806" i="29" a="1"/>
  <c r="E806" i="29" s="1"/>
  <c r="H647" i="29" a="1"/>
  <c r="H647" i="29" s="1"/>
  <c r="E680" i="29" a="1"/>
  <c r="E680" i="29" s="1"/>
  <c r="E647" i="29" a="1"/>
  <c r="E647" i="29" s="1"/>
  <c r="E835" i="29" a="1"/>
  <c r="E835" i="29" s="1"/>
  <c r="E643" i="29" a="1"/>
  <c r="E643" i="29" s="1"/>
  <c r="E841" i="29" a="1"/>
  <c r="E841" i="29" s="1"/>
  <c r="H811" i="29" a="1"/>
  <c r="H811" i="29" s="1"/>
  <c r="F590" i="29" a="1"/>
  <c r="F590" i="29" s="1"/>
  <c r="D587" i="29" a="1"/>
  <c r="D587" i="29" s="1"/>
  <c r="E809" i="29" a="1"/>
  <c r="E809" i="29" s="1"/>
  <c r="D977" i="29" a="1"/>
  <c r="D977" i="29" s="1"/>
  <c r="F623" i="29" a="1"/>
  <c r="F623" i="29" s="1"/>
  <c r="E816" i="29" a="1"/>
  <c r="E816" i="29" s="1"/>
  <c r="E832" i="29" a="1"/>
  <c r="E832" i="29" s="1"/>
  <c r="H831" i="29" a="1"/>
  <c r="H831" i="29" s="1"/>
  <c r="E827" i="29" a="1"/>
  <c r="E827" i="29" s="1"/>
  <c r="E829" i="29" a="1"/>
  <c r="E829" i="29" s="1"/>
  <c r="D826" i="29" a="1"/>
  <c r="D826" i="29" s="1"/>
  <c r="I136" i="40" a="1"/>
  <c r="I136" i="40" s="1"/>
  <c r="F613" i="29" a="1"/>
  <c r="F613" i="29" s="1"/>
  <c r="F639" i="29" a="1"/>
  <c r="F639" i="29" s="1"/>
  <c r="H1063" i="29" a="1"/>
  <c r="H1063" i="29" s="1"/>
  <c r="H823" i="29" a="1"/>
  <c r="H823" i="29" s="1"/>
  <c r="E828" i="29" a="1"/>
  <c r="E828" i="29" s="1"/>
  <c r="D817" i="29" a="1"/>
  <c r="D817" i="29" s="1"/>
  <c r="D813" i="29" a="1"/>
  <c r="D813" i="29" s="1"/>
  <c r="E834" i="29" a="1"/>
  <c r="E834" i="29" s="1"/>
  <c r="H667" i="29" a="1"/>
  <c r="H667" i="29" s="1"/>
  <c r="D838" i="29" a="1"/>
  <c r="D838" i="29" s="1"/>
  <c r="F672" i="29" a="1"/>
  <c r="F672" i="29" s="1"/>
  <c r="H672" i="29" a="1"/>
  <c r="H672" i="29" s="1"/>
  <c r="I128" i="40" a="1"/>
  <c r="I128" i="40" s="1"/>
  <c r="F619" i="29" a="1"/>
  <c r="F619" i="29" s="1"/>
  <c r="F589" i="29" a="1"/>
  <c r="F589" i="29" s="1"/>
  <c r="D685" i="29" a="1"/>
  <c r="D685" i="29" s="1"/>
  <c r="F641" i="29" a="1"/>
  <c r="F641" i="29" s="1"/>
  <c r="D1066" i="29" a="1"/>
  <c r="D1066" i="29" s="1"/>
  <c r="H162" i="40" a="1"/>
  <c r="H162" i="40" s="1"/>
  <c r="F595" i="29" a="1"/>
  <c r="F595" i="29" s="1"/>
  <c r="E681" i="29" a="1"/>
  <c r="E681" i="29" s="1"/>
  <c r="F616" i="29" a="1"/>
  <c r="F616" i="29" s="1"/>
  <c r="D686" i="29" a="1"/>
  <c r="D686" i="29" s="1"/>
  <c r="E677" i="29" a="1"/>
  <c r="E677" i="29" s="1"/>
  <c r="F638" i="29" a="1"/>
  <c r="F638" i="29" s="1"/>
  <c r="F617" i="29" a="1"/>
  <c r="F617" i="29" s="1"/>
  <c r="E637" i="29" a="1"/>
  <c r="E637" i="29" s="1"/>
  <c r="E1066" i="29" a="1"/>
  <c r="E1066" i="29" s="1"/>
  <c r="F606" i="29" a="1"/>
  <c r="F606" i="29" s="1"/>
  <c r="E651" i="29" a="1"/>
  <c r="E651" i="29" s="1"/>
  <c r="F685" i="29" a="1"/>
  <c r="F685" i="29" s="1"/>
  <c r="E976" i="29" a="1"/>
  <c r="E976" i="29" s="1"/>
  <c r="F620" i="29" a="1"/>
  <c r="F620" i="29" s="1"/>
  <c r="E638" i="29" a="1"/>
  <c r="E638" i="29" s="1"/>
  <c r="D644" i="29" a="1"/>
  <c r="D644" i="29" s="1"/>
  <c r="H688" i="29" a="1"/>
  <c r="H688" i="29" s="1"/>
  <c r="H646" i="29" a="1"/>
  <c r="H646" i="29" s="1"/>
  <c r="D635" i="29" a="1"/>
  <c r="D635" i="29" s="1"/>
  <c r="E686" i="29" a="1"/>
  <c r="E686" i="29" s="1"/>
  <c r="H138" i="40" a="1"/>
  <c r="H138" i="40" s="1"/>
  <c r="H153" i="40" a="1"/>
  <c r="H153" i="40" s="1"/>
  <c r="D681" i="29" a="1"/>
  <c r="D681" i="29" s="1"/>
  <c r="E633" i="29" a="1"/>
  <c r="E633" i="29" s="1"/>
  <c r="E1065" i="29" a="1"/>
  <c r="E1065" i="29" s="1"/>
  <c r="D1071" i="29" a="1"/>
  <c r="D1071" i="29" s="1"/>
  <c r="E674" i="29" a="1"/>
  <c r="E674" i="29" s="1"/>
  <c r="D687" i="29" a="1"/>
  <c r="D687" i="29" s="1"/>
  <c r="F678" i="29" a="1"/>
  <c r="F678" i="29" s="1"/>
  <c r="D641" i="29" a="1"/>
  <c r="D641" i="29" s="1"/>
  <c r="E183" i="29" a="1"/>
  <c r="E183" i="29" s="1"/>
  <c r="I130" i="40" a="1"/>
  <c r="I130" i="40" s="1"/>
  <c r="H648" i="29" a="1"/>
  <c r="H648" i="29" s="1"/>
  <c r="D1064" i="29" a="1"/>
  <c r="D1064" i="29" s="1"/>
  <c r="E648" i="29" a="1"/>
  <c r="E648" i="29" s="1"/>
  <c r="H690" i="29" a="1"/>
  <c r="H690" i="29" s="1"/>
  <c r="E636" i="29" a="1"/>
  <c r="E636" i="29" s="1"/>
  <c r="E640" i="29" a="1"/>
  <c r="E640" i="29" s="1"/>
  <c r="H158" i="40" a="1"/>
  <c r="H158" i="40" s="1"/>
  <c r="H673" i="29" a="1"/>
  <c r="H673" i="29" s="1"/>
  <c r="E675" i="29" a="1"/>
  <c r="E675" i="29" s="1"/>
  <c r="F637" i="29" a="1"/>
  <c r="F637" i="29" s="1"/>
  <c r="E1071" i="29" a="1"/>
  <c r="E1071" i="29" s="1"/>
  <c r="I143" i="40" a="1"/>
  <c r="I143" i="40" s="1"/>
  <c r="H131" i="40" a="1"/>
  <c r="H131" i="40" s="1"/>
  <c r="D645" i="29" a="1"/>
  <c r="D645" i="29" s="1"/>
  <c r="E635" i="29" a="1"/>
  <c r="E635" i="29" s="1"/>
  <c r="E649" i="29" a="1"/>
  <c r="E649" i="29" s="1"/>
  <c r="E634" i="29" a="1"/>
  <c r="E634" i="29" s="1"/>
  <c r="F586" i="29" a="1"/>
  <c r="F586" i="29" s="1"/>
  <c r="D1062" i="29" a="1"/>
  <c r="D1062" i="29" s="1"/>
  <c r="H142" i="40" a="1"/>
  <c r="H142" i="40" s="1"/>
  <c r="H136" i="40" a="1"/>
  <c r="H136" i="40" s="1"/>
  <c r="H1061" i="29" a="1"/>
  <c r="H1061" i="29" s="1"/>
  <c r="H156" i="40" a="1"/>
  <c r="H156" i="40" s="1"/>
  <c r="I168" i="40" a="1"/>
  <c r="I168" i="40" s="1"/>
  <c r="H134" i="40" a="1"/>
  <c r="H134" i="40" s="1"/>
  <c r="F627" i="29" a="1"/>
  <c r="F627" i="29" s="1"/>
  <c r="D636" i="29" a="1"/>
  <c r="D636" i="29" s="1"/>
  <c r="F604" i="29" a="1"/>
  <c r="F604" i="29" s="1"/>
  <c r="E1063" i="29" a="1"/>
  <c r="E1063" i="29" s="1"/>
  <c r="D1072" i="29" a="1"/>
  <c r="D1072" i="29" s="1"/>
  <c r="I126" i="40" a="1"/>
  <c r="I126" i="40" s="1"/>
  <c r="F607" i="29" a="1"/>
  <c r="F607" i="29" s="1"/>
  <c r="F608" i="29" a="1"/>
  <c r="F608" i="29" s="1"/>
  <c r="D680" i="29" a="1"/>
  <c r="D680" i="29" s="1"/>
  <c r="H670" i="29" a="1"/>
  <c r="H670" i="29" s="1"/>
  <c r="H170" i="40" a="1"/>
  <c r="H170" i="40" s="1"/>
  <c r="E590" i="29" a="1"/>
  <c r="E590" i="29" s="1"/>
  <c r="I141" i="40" a="1"/>
  <c r="I141" i="40" s="1"/>
  <c r="H139" i="40" a="1"/>
  <c r="H139" i="40" s="1"/>
  <c r="H633" i="29" a="1"/>
  <c r="H633" i="29" s="1"/>
  <c r="H650" i="29" a="1"/>
  <c r="H650" i="29" s="1"/>
  <c r="H587" i="29" a="1"/>
  <c r="H587" i="29" s="1"/>
  <c r="D1068" i="29" a="1"/>
  <c r="D1068" i="29" s="1"/>
  <c r="H167" i="40" a="1"/>
  <c r="H167" i="40" s="1"/>
  <c r="F683" i="29" a="1"/>
  <c r="F683" i="29" s="1"/>
  <c r="F592" i="29" a="1"/>
  <c r="F592" i="29" s="1"/>
  <c r="E1061" i="29" a="1"/>
  <c r="E1061" i="29" s="1"/>
  <c r="H128" i="40" a="1"/>
  <c r="H128" i="40" s="1"/>
  <c r="D854" i="29" a="1"/>
  <c r="D854" i="29" s="1"/>
  <c r="E274" i="29" a="1"/>
  <c r="E274" i="29" s="1"/>
  <c r="D274" i="29" a="1"/>
  <c r="D274" i="29" s="1"/>
  <c r="E646" i="29" a="1"/>
  <c r="E646" i="29" s="1"/>
  <c r="D678" i="29" a="1"/>
  <c r="D678" i="29" s="1"/>
  <c r="D638" i="29" a="1"/>
  <c r="D638" i="29" s="1"/>
  <c r="H150" i="40" a="1"/>
  <c r="H150" i="40" s="1"/>
  <c r="F670" i="29" a="1"/>
  <c r="F670" i="29" s="1"/>
  <c r="D975" i="29" a="1"/>
  <c r="D975" i="29" s="1"/>
  <c r="E586" i="29" a="1"/>
  <c r="E586" i="29" s="1"/>
  <c r="E1068" i="29" a="1"/>
  <c r="E1068" i="29" s="1"/>
  <c r="H140" i="40" a="1"/>
  <c r="H140" i="40" s="1"/>
  <c r="I151" i="40" a="1"/>
  <c r="I151" i="40" s="1"/>
  <c r="H165" i="40" a="1"/>
  <c r="H165" i="40" s="1"/>
  <c r="H674" i="29" a="1"/>
  <c r="H674" i="29" s="1"/>
  <c r="D643" i="29" a="1"/>
  <c r="D643" i="29" s="1"/>
  <c r="E682" i="29" a="1"/>
  <c r="E682" i="29" s="1"/>
  <c r="E684" i="29" a="1"/>
  <c r="E684" i="29" s="1"/>
  <c r="E1070" i="29" a="1"/>
  <c r="E1070" i="29" s="1"/>
  <c r="H137" i="40" a="1"/>
  <c r="H137" i="40" s="1"/>
  <c r="H816" i="29" a="1"/>
  <c r="H816" i="29" s="1"/>
  <c r="D834" i="29" a="1"/>
  <c r="D834" i="29" s="1"/>
  <c r="E812" i="29" a="1"/>
  <c r="E812" i="29" s="1"/>
  <c r="E824" i="29" a="1"/>
  <c r="E824" i="29" s="1"/>
  <c r="H809" i="29" a="1"/>
  <c r="H809" i="29" s="1"/>
  <c r="H835" i="29" a="1"/>
  <c r="H835" i="29" s="1"/>
  <c r="D840" i="29" a="1"/>
  <c r="D840" i="29" s="1"/>
  <c r="H806" i="29" a="1"/>
  <c r="H806" i="29" s="1"/>
  <c r="E819" i="29" a="1"/>
  <c r="E819" i="29" s="1"/>
  <c r="D812" i="29" a="1"/>
  <c r="D812" i="29" s="1"/>
  <c r="H810" i="29" a="1"/>
  <c r="H810" i="29" s="1"/>
  <c r="E811" i="29" a="1"/>
  <c r="E811" i="29" s="1"/>
  <c r="E836" i="29" a="1"/>
  <c r="E836" i="29" s="1"/>
  <c r="E838" i="29" a="1"/>
  <c r="E838" i="29" s="1"/>
  <c r="D824" i="29" a="1"/>
  <c r="D824" i="29" s="1"/>
  <c r="D808" i="29" a="1"/>
  <c r="D808" i="29" s="1"/>
  <c r="E815" i="29" a="1"/>
  <c r="E815" i="29" s="1"/>
  <c r="H814" i="29" a="1"/>
  <c r="H814" i="29" s="1"/>
  <c r="D836" i="29" a="1"/>
  <c r="D836" i="29" s="1"/>
  <c r="F1028" i="29" a="1"/>
  <c r="F1028" i="29" s="1"/>
  <c r="F975" i="29" a="1"/>
  <c r="F975" i="29" s="1"/>
  <c r="F972" i="29" a="1"/>
  <c r="F972" i="29" s="1"/>
  <c r="C85" i="47"/>
  <c r="E673" i="29" a="1"/>
  <c r="E673" i="29" s="1"/>
  <c r="H671" i="29" a="1"/>
  <c r="H671" i="29" s="1"/>
  <c r="H636" i="29" a="1"/>
  <c r="H636" i="29" s="1"/>
  <c r="E587" i="29" a="1"/>
  <c r="E587" i="29" s="1"/>
  <c r="H538" i="29" a="1"/>
  <c r="H538" i="29" s="1"/>
  <c r="D538" i="29" a="1"/>
  <c r="D538" i="29" s="1"/>
  <c r="B538" i="29"/>
  <c r="F538" i="29" s="1" a="1"/>
  <c r="F538" i="29" s="1"/>
  <c r="E540" i="29" a="1"/>
  <c r="E540" i="29" s="1"/>
  <c r="F540" i="29" a="1"/>
  <c r="F540" i="29" s="1"/>
  <c r="F596" i="29" a="1"/>
  <c r="F596" i="29" s="1"/>
  <c r="D804" i="29" a="1"/>
  <c r="D804" i="29" s="1"/>
  <c r="D807" i="29" a="1"/>
  <c r="D807" i="29" s="1"/>
  <c r="E826" i="29" a="1"/>
  <c r="E826" i="29" s="1"/>
  <c r="E820" i="29" a="1"/>
  <c r="E820" i="29" s="1"/>
  <c r="D820" i="29" a="1"/>
  <c r="D820" i="29" s="1"/>
  <c r="H146" i="40" a="1"/>
  <c r="H146" i="40" s="1"/>
  <c r="F633" i="29" a="1"/>
  <c r="F633" i="29" s="1"/>
  <c r="F643" i="29" a="1"/>
  <c r="F643" i="29" s="1"/>
  <c r="F681" i="29" a="1"/>
  <c r="F681" i="29" s="1"/>
  <c r="D1026" i="29" a="1"/>
  <c r="D1026" i="29" s="1"/>
  <c r="H1026" i="29" a="1"/>
  <c r="H1026" i="29" s="1"/>
  <c r="F974" i="29" a="1"/>
  <c r="F974" i="29" s="1"/>
  <c r="E687" i="29" a="1"/>
  <c r="E687" i="29" s="1"/>
  <c r="E678" i="29" a="1"/>
  <c r="E678" i="29" s="1"/>
  <c r="H677" i="29" a="1"/>
  <c r="H677" i="29" s="1"/>
  <c r="D637" i="29" a="1"/>
  <c r="D637" i="29" s="1"/>
  <c r="F676" i="29" a="1"/>
  <c r="F676" i="29" s="1"/>
  <c r="H634" i="29" a="1"/>
  <c r="H634" i="29" s="1"/>
  <c r="F611" i="29" a="1"/>
  <c r="F611" i="29" s="1"/>
  <c r="F601" i="29" a="1"/>
  <c r="F601" i="29" s="1"/>
  <c r="F598" i="29" a="1"/>
  <c r="F598" i="29" s="1"/>
  <c r="E1064" i="29" a="1"/>
  <c r="E1064" i="29" s="1"/>
  <c r="F968" i="29" a="1"/>
  <c r="F968" i="29" s="1"/>
  <c r="H805" i="29" a="1"/>
  <c r="H805" i="29" s="1"/>
  <c r="E830" i="29" a="1"/>
  <c r="E830" i="29" s="1"/>
  <c r="D830" i="29" a="1"/>
  <c r="D830" i="29" s="1"/>
  <c r="E821" i="29" a="1"/>
  <c r="E821" i="29" s="1"/>
  <c r="I154" i="40" a="1"/>
  <c r="I154" i="40" s="1"/>
  <c r="H163" i="40" a="1"/>
  <c r="H163" i="40" s="1"/>
  <c r="H125" i="40" a="1"/>
  <c r="H125" i="40" s="1"/>
  <c r="F679" i="29" a="1"/>
  <c r="F679" i="29" s="1"/>
  <c r="E435" i="29" a="1"/>
  <c r="E435" i="29" s="1"/>
  <c r="D435" i="29" a="1"/>
  <c r="D435" i="29" s="1"/>
  <c r="H435" i="29" a="1"/>
  <c r="H435" i="29" s="1"/>
  <c r="F614" i="29" a="1"/>
  <c r="F614" i="29" s="1"/>
  <c r="D275" i="29" a="1"/>
  <c r="D275" i="29" s="1"/>
  <c r="H275" i="29" a="1"/>
  <c r="H275" i="29" s="1"/>
  <c r="E645" i="29" a="1"/>
  <c r="E645" i="29" s="1"/>
  <c r="F645" i="29" a="1"/>
  <c r="F645" i="29" s="1"/>
  <c r="F587" i="29" a="1"/>
  <c r="F587" i="29" s="1"/>
  <c r="F600" i="29" a="1"/>
  <c r="F600" i="29" s="1"/>
  <c r="E1069" i="29" a="1"/>
  <c r="E1069" i="29" s="1"/>
  <c r="B1058" i="29"/>
  <c r="F1058" i="29" s="1" a="1"/>
  <c r="F1058" i="29" s="1"/>
  <c r="H1058" i="29" a="1"/>
  <c r="H1058" i="29" s="1"/>
  <c r="E807" i="29" a="1"/>
  <c r="E807" i="29" s="1"/>
  <c r="E817" i="29" a="1"/>
  <c r="E817" i="29" s="1"/>
  <c r="E833" i="29" a="1"/>
  <c r="E833" i="29" s="1"/>
  <c r="I157" i="40" a="1"/>
  <c r="I157" i="40" s="1"/>
  <c r="H152" i="40" a="1"/>
  <c r="H152" i="40" s="1"/>
  <c r="H164" i="40" a="1"/>
  <c r="H164" i="40" s="1"/>
  <c r="I132" i="40" a="1"/>
  <c r="I132" i="40" s="1"/>
  <c r="H130" i="40" a="1"/>
  <c r="H130" i="40" s="1"/>
  <c r="F686" i="29" a="1"/>
  <c r="F686" i="29" s="1"/>
  <c r="F971" i="29" a="1"/>
  <c r="F971" i="29" s="1"/>
  <c r="D651" i="29" a="1"/>
  <c r="D651" i="29" s="1"/>
  <c r="D642" i="29" a="1"/>
  <c r="D642" i="29" s="1"/>
  <c r="E641" i="29" a="1"/>
  <c r="E641" i="29" s="1"/>
  <c r="D639" i="29" a="1"/>
  <c r="D639" i="29" s="1"/>
  <c r="F593" i="29" a="1"/>
  <c r="F593" i="29" s="1"/>
  <c r="F602" i="29" a="1"/>
  <c r="F602" i="29" s="1"/>
  <c r="E804" i="29" a="1"/>
  <c r="E804" i="29" s="1"/>
  <c r="E805" i="29" a="1"/>
  <c r="E805" i="29" s="1"/>
  <c r="E839" i="29" a="1"/>
  <c r="E839" i="29" s="1"/>
  <c r="H833" i="29" a="1"/>
  <c r="H833" i="29" s="1"/>
  <c r="H166" i="40" a="1"/>
  <c r="H166" i="40" s="1"/>
  <c r="H155" i="40" a="1"/>
  <c r="H155" i="40" s="1"/>
  <c r="I160" i="40" a="1"/>
  <c r="I160" i="40" s="1"/>
  <c r="F634" i="29" a="1"/>
  <c r="F634" i="29" s="1"/>
  <c r="F648" i="29" a="1"/>
  <c r="F648" i="29" s="1"/>
  <c r="E16" i="29" a="1"/>
  <c r="E16" i="29" s="1"/>
  <c r="E642" i="29" a="1"/>
  <c r="E642" i="29" s="1"/>
  <c r="F642" i="29" a="1"/>
  <c r="F642" i="29" s="1"/>
  <c r="E683" i="29" a="1"/>
  <c r="E683" i="29" s="1"/>
  <c r="H649" i="29" a="1"/>
  <c r="H649" i="29" s="1"/>
  <c r="E650" i="29" a="1"/>
  <c r="E650" i="29" s="1"/>
  <c r="D640" i="29" a="1"/>
  <c r="D640" i="29" s="1"/>
  <c r="D683" i="29" a="1"/>
  <c r="D683" i="29" s="1"/>
  <c r="F626" i="29" a="1"/>
  <c r="F626" i="29" s="1"/>
  <c r="F599" i="29" a="1"/>
  <c r="F599" i="29" s="1"/>
  <c r="E539" i="29" a="1"/>
  <c r="E539" i="29" s="1"/>
  <c r="F539" i="29" a="1"/>
  <c r="F539" i="29" s="1"/>
  <c r="D1069" i="29" a="1"/>
  <c r="D1069" i="29" s="1"/>
  <c r="D1073" i="29" a="1"/>
  <c r="D1073" i="29" s="1"/>
  <c r="E831" i="29" a="1"/>
  <c r="E831" i="29" s="1"/>
  <c r="D828" i="29" a="1"/>
  <c r="D828" i="29" s="1"/>
  <c r="E810" i="29" a="1"/>
  <c r="E810" i="29" s="1"/>
  <c r="E813" i="29" a="1"/>
  <c r="E813" i="29" s="1"/>
  <c r="H168" i="40" a="1"/>
  <c r="H168" i="40" s="1"/>
  <c r="I145" i="40" a="1"/>
  <c r="I145" i="40" s="1"/>
  <c r="H147" i="40" a="1"/>
  <c r="H147" i="40" s="1"/>
  <c r="H129" i="40" a="1"/>
  <c r="H129" i="40" s="1"/>
  <c r="F644" i="29" a="1"/>
  <c r="F644" i="29" s="1"/>
  <c r="F680" i="29" a="1"/>
  <c r="F680" i="29" s="1"/>
  <c r="E854" i="29" a="1"/>
  <c r="E854" i="29" s="1"/>
  <c r="H246" i="29" a="1"/>
  <c r="H246" i="29" s="1"/>
  <c r="F609" i="29" a="1"/>
  <c r="F609" i="29" s="1"/>
  <c r="E1062" i="29" a="1"/>
  <c r="E1062" i="29" s="1"/>
  <c r="F1026" i="29" a="1"/>
  <c r="F1026" i="29" s="1"/>
  <c r="E823" i="29" a="1"/>
  <c r="E823" i="29" s="1"/>
  <c r="E822" i="29" a="1"/>
  <c r="E822" i="29" s="1"/>
  <c r="E825" i="29" a="1"/>
  <c r="E825" i="29" s="1"/>
  <c r="H123" i="40" a="1"/>
  <c r="H123" i="40" s="1"/>
  <c r="H149" i="40" a="1"/>
  <c r="H149" i="40" s="1"/>
  <c r="H169" i="40" a="1"/>
  <c r="H169" i="40" s="1"/>
  <c r="F682" i="29" a="1"/>
  <c r="F682" i="29" s="1"/>
  <c r="F671" i="29" a="1"/>
  <c r="F671" i="29" s="1"/>
  <c r="F640" i="29" a="1"/>
  <c r="F640" i="29" s="1"/>
  <c r="H17" i="29"/>
  <c r="H124" i="40" a="1"/>
  <c r="H124" i="40" s="1"/>
  <c r="F591" i="29" a="1"/>
  <c r="F591" i="29" s="1"/>
  <c r="E639" i="29" a="1"/>
  <c r="E639" i="29" s="1"/>
  <c r="E593" i="29" a="1"/>
  <c r="E593" i="29" s="1"/>
  <c r="F621" i="29" a="1"/>
  <c r="F621" i="29" s="1"/>
  <c r="H541" i="29" a="1"/>
  <c r="H541" i="29" s="1"/>
  <c r="F605" i="29" a="1"/>
  <c r="F605" i="29" s="1"/>
  <c r="F594" i="29" a="1"/>
  <c r="F594" i="29" s="1"/>
  <c r="E1072" i="29" a="1"/>
  <c r="E1072" i="29" s="1"/>
  <c r="H1070" i="29" a="1"/>
  <c r="H1070" i="29" s="1"/>
  <c r="D1065" i="29" a="1"/>
  <c r="D1065" i="29" s="1"/>
  <c r="E837" i="29" a="1"/>
  <c r="E837" i="29" s="1"/>
  <c r="E840" i="29" a="1"/>
  <c r="E840" i="29" s="1"/>
  <c r="D822" i="29" a="1"/>
  <c r="D822" i="29" s="1"/>
  <c r="H144" i="40" a="1"/>
  <c r="H144" i="40" s="1"/>
  <c r="I135" i="40" a="1"/>
  <c r="I135" i="40" s="1"/>
  <c r="H127" i="40" a="1"/>
  <c r="H127" i="40" s="1"/>
  <c r="I133" i="40" a="1"/>
  <c r="I133" i="40" s="1"/>
  <c r="H133" i="40" a="1"/>
  <c r="H133" i="40" s="1"/>
  <c r="F647" i="29" a="1"/>
  <c r="F647" i="29" s="1"/>
  <c r="B631" i="29"/>
  <c r="F631" i="29" s="1" a="1"/>
  <c r="F631" i="29" s="1"/>
  <c r="H631" i="29" a="1"/>
  <c r="H631" i="29" s="1"/>
  <c r="D590" i="29" a="1"/>
  <c r="D590" i="29" s="1"/>
  <c r="F597" i="29" a="1"/>
  <c r="F597" i="29" s="1"/>
  <c r="F588" i="29" a="1"/>
  <c r="F588" i="29" s="1"/>
  <c r="F610" i="29" a="1"/>
  <c r="F610" i="29" s="1"/>
  <c r="E1060" i="29" a="1"/>
  <c r="E1060" i="29" s="1"/>
  <c r="D1067" i="29" a="1"/>
  <c r="D1067" i="29" s="1"/>
  <c r="D825" i="29" a="1"/>
  <c r="D825" i="29" s="1"/>
  <c r="D821" i="29" a="1"/>
  <c r="D821" i="29" s="1"/>
  <c r="F677" i="29" a="1"/>
  <c r="F677" i="29" s="1"/>
  <c r="F651" i="29" a="1"/>
  <c r="F651" i="29" s="1"/>
  <c r="H434" i="29" a="1"/>
  <c r="H434" i="29" s="1"/>
  <c r="D684" i="29" a="1"/>
  <c r="D684" i="29" s="1"/>
  <c r="E685" i="29" a="1"/>
  <c r="E685" i="29" s="1"/>
  <c r="E672" i="29" a="1"/>
  <c r="E672" i="29" s="1"/>
  <c r="E644" i="29" a="1"/>
  <c r="E644" i="29" s="1"/>
  <c r="F624" i="29" a="1"/>
  <c r="F624" i="29" s="1"/>
  <c r="F612" i="29" a="1"/>
  <c r="F612" i="29" s="1"/>
  <c r="E1073" i="29" a="1"/>
  <c r="E1073" i="29" s="1"/>
  <c r="D1060" i="29" a="1"/>
  <c r="D1060" i="29" s="1"/>
  <c r="D819" i="29" a="1"/>
  <c r="D819" i="29" s="1"/>
  <c r="E808" i="29" a="1"/>
  <c r="E808" i="29" s="1"/>
  <c r="H839" i="29" a="1"/>
  <c r="H839" i="29" s="1"/>
  <c r="D827" i="29" a="1"/>
  <c r="D827" i="29" s="1"/>
  <c r="B802" i="29"/>
  <c r="H161" i="40" a="1"/>
  <c r="H161" i="40" s="1"/>
  <c r="I148" i="40" a="1"/>
  <c r="I148" i="40" s="1"/>
  <c r="H159" i="40" a="1"/>
  <c r="H159" i="40" s="1"/>
  <c r="F635" i="29" a="1"/>
  <c r="F635" i="29" s="1"/>
  <c r="E434" i="29" a="1"/>
  <c r="E434" i="29" s="1"/>
  <c r="F603" i="29" a="1"/>
  <c r="F603" i="29" s="1"/>
  <c r="E1067" i="29" a="1"/>
  <c r="E1067" i="29" s="1"/>
  <c r="F684" i="29" a="1"/>
  <c r="F684" i="29" s="1"/>
  <c r="E973" i="29" a="1"/>
  <c r="E973" i="29" s="1"/>
  <c r="E275" i="29" a="1"/>
  <c r="E275" i="29" s="1"/>
  <c r="F805" i="29" l="1" a="1"/>
  <c r="F805" i="29" s="1"/>
  <c r="F814" i="29" a="1"/>
  <c r="F814" i="29" s="1"/>
  <c r="H804" i="29" a="1"/>
  <c r="H804" i="29" s="1"/>
  <c r="F804" i="29" a="1"/>
  <c r="F804" i="29" s="1"/>
  <c r="I802" i="29"/>
  <c r="E802" i="29" s="1" a="1"/>
  <c r="E802" i="29" s="1"/>
  <c r="I803" i="29"/>
  <c r="F803" i="29" s="1" a="1"/>
  <c r="F803" i="29" s="1"/>
  <c r="I977" i="29"/>
  <c r="E974" i="29" a="1"/>
  <c r="E974" i="29" s="1"/>
  <c r="I978" i="29"/>
  <c r="I981" i="29" s="1"/>
  <c r="I984" i="29" s="1"/>
  <c r="I987" i="29" s="1"/>
  <c r="I990" i="29" s="1"/>
  <c r="I993" i="29" s="1"/>
  <c r="I996" i="29" s="1"/>
  <c r="I999" i="29" s="1"/>
  <c r="I1002" i="29" s="1"/>
  <c r="E975" i="29" a="1"/>
  <c r="E975" i="29" s="1"/>
  <c r="I203" i="29"/>
  <c r="H200" i="29" a="1"/>
  <c r="H200" i="29" s="1"/>
  <c r="D200" i="29" a="1"/>
  <c r="D200" i="29" s="1"/>
  <c r="E200" i="29" a="1"/>
  <c r="E200" i="29" s="1"/>
  <c r="E538" i="29" a="1"/>
  <c r="E538" i="29" s="1"/>
  <c r="F967" i="29" a="1"/>
  <c r="F967" i="29" s="1"/>
  <c r="D985" i="29" a="1"/>
  <c r="D985" i="29" s="1"/>
  <c r="H985" i="29" a="1"/>
  <c r="H985" i="29" s="1"/>
  <c r="E985" i="29" a="1"/>
  <c r="E985" i="29" s="1"/>
  <c r="E546" i="29" a="1"/>
  <c r="E546" i="29" s="1"/>
  <c r="D546" i="29" a="1"/>
  <c r="D546" i="29" s="1"/>
  <c r="H546" i="29" a="1"/>
  <c r="H546" i="29" s="1"/>
  <c r="D980" i="29" a="1"/>
  <c r="D980" i="29" s="1"/>
  <c r="H980" i="29" a="1"/>
  <c r="H980" i="29" s="1"/>
  <c r="H545" i="29" a="1"/>
  <c r="H545" i="29" s="1"/>
  <c r="D545" i="29" a="1"/>
  <c r="D545" i="29" s="1"/>
  <c r="E545" i="29" a="1"/>
  <c r="E545" i="29" s="1"/>
  <c r="H981" i="29" a="1"/>
  <c r="H981" i="29" s="1"/>
  <c r="E981" i="29" a="1"/>
  <c r="E981" i="29" s="1"/>
  <c r="D981" i="29" a="1"/>
  <c r="D981" i="29" s="1"/>
  <c r="D547" i="29" a="1"/>
  <c r="D547" i="29" s="1"/>
  <c r="E547" i="29" a="1"/>
  <c r="E547" i="29" s="1"/>
  <c r="H547" i="29" a="1"/>
  <c r="H547" i="29" s="1"/>
  <c r="E246" i="29" a="1"/>
  <c r="E246" i="29" s="1"/>
  <c r="D246" i="29" a="1"/>
  <c r="D246" i="29" s="1"/>
  <c r="D586" i="29" a="1"/>
  <c r="D586" i="29" s="1"/>
  <c r="H589" i="29" a="1"/>
  <c r="H589" i="29" s="1"/>
  <c r="H586" i="29" a="1"/>
  <c r="H586" i="29" s="1"/>
  <c r="H802" i="29" a="1"/>
  <c r="H802" i="29" s="1"/>
  <c r="H590" i="29" a="1"/>
  <c r="H590" i="29" s="1"/>
  <c r="D631" i="29" a="1"/>
  <c r="D631" i="29" s="1"/>
  <c r="H978" i="29" a="1"/>
  <c r="H978" i="29" s="1"/>
  <c r="D978" i="29" a="1"/>
  <c r="D978" i="29" s="1"/>
  <c r="E978" i="29" a="1"/>
  <c r="E978" i="29" s="1"/>
  <c r="C86" i="47"/>
  <c r="H121" i="40" a="1"/>
  <c r="H121" i="40" s="1"/>
  <c r="I121" i="40" a="1"/>
  <c r="I121" i="40" s="1"/>
  <c r="E1058" i="29" a="1"/>
  <c r="E1058" i="29" s="1"/>
  <c r="H245" i="29" a="1"/>
  <c r="H245" i="29" s="1"/>
  <c r="E631" i="29" a="1"/>
  <c r="E631" i="29" s="1"/>
  <c r="D803" i="29" a="1"/>
  <c r="D803" i="29" s="1"/>
  <c r="H803" i="29" a="1"/>
  <c r="H803" i="29" s="1"/>
  <c r="E803" i="29" a="1"/>
  <c r="E803" i="29" s="1"/>
  <c r="H1059" i="29" a="1"/>
  <c r="H1059" i="29" s="1"/>
  <c r="D1059" i="29" a="1"/>
  <c r="D1059" i="29" s="1"/>
  <c r="E1059" i="29" a="1"/>
  <c r="E1059" i="29" s="1"/>
  <c r="D593" i="29" a="1"/>
  <c r="D593" i="29" s="1"/>
  <c r="H593" i="29" a="1"/>
  <c r="H593" i="29" s="1"/>
  <c r="D1029" i="29" a="1"/>
  <c r="D1029" i="29" s="1"/>
  <c r="H1029" i="29" a="1"/>
  <c r="H1029" i="29" s="1"/>
  <c r="E1029" i="29" a="1"/>
  <c r="E1029" i="29" s="1"/>
  <c r="H244" i="29" a="1"/>
  <c r="H244" i="29" s="1"/>
  <c r="H632" i="29" a="1"/>
  <c r="H632" i="29" s="1"/>
  <c r="E632" i="29" a="1"/>
  <c r="E632" i="29" s="1"/>
  <c r="D632" i="29" a="1"/>
  <c r="D632" i="29" s="1"/>
  <c r="H249" i="29" a="1"/>
  <c r="H249" i="29" s="1"/>
  <c r="D1058" i="29" a="1"/>
  <c r="D1058" i="29" s="1"/>
  <c r="F802" i="29" l="1" a="1"/>
  <c r="F802" i="29" s="1"/>
  <c r="D802" i="29" a="1"/>
  <c r="D802" i="29" s="1"/>
  <c r="I980" i="29"/>
  <c r="E977" i="29" a="1"/>
  <c r="E977" i="29" s="1"/>
  <c r="I206" i="29"/>
  <c r="E203" i="29" a="1"/>
  <c r="E203" i="29" s="1"/>
  <c r="E589" i="29" a="1"/>
  <c r="E589" i="29" s="1"/>
  <c r="D548" i="29" a="1"/>
  <c r="D548" i="29" s="1"/>
  <c r="E548" i="29" a="1"/>
  <c r="E548" i="29" s="1"/>
  <c r="H548" i="29" a="1"/>
  <c r="H548" i="29" s="1"/>
  <c r="E550" i="29" a="1"/>
  <c r="E550" i="29" s="1"/>
  <c r="H550" i="29" a="1"/>
  <c r="H550" i="29" s="1"/>
  <c r="D550" i="29" a="1"/>
  <c r="D550" i="29" s="1"/>
  <c r="D983" i="29" a="1"/>
  <c r="D983" i="29" s="1"/>
  <c r="H983" i="29" a="1"/>
  <c r="H983" i="29" s="1"/>
  <c r="H984" i="29" a="1"/>
  <c r="H984" i="29" s="1"/>
  <c r="D984" i="29" a="1"/>
  <c r="D984" i="29" s="1"/>
  <c r="E984" i="29" a="1"/>
  <c r="E984" i="29" s="1"/>
  <c r="D589" i="29" a="1"/>
  <c r="D589" i="29" s="1"/>
  <c r="D549" i="29" a="1"/>
  <c r="D549" i="29" s="1"/>
  <c r="E549" i="29" a="1"/>
  <c r="E549" i="29" s="1"/>
  <c r="H549" i="29" a="1"/>
  <c r="H549" i="29" s="1"/>
  <c r="D988" i="29" a="1"/>
  <c r="D988" i="29" s="1"/>
  <c r="H988" i="29" a="1"/>
  <c r="H988" i="29" s="1"/>
  <c r="E988" i="29" a="1"/>
  <c r="E988" i="29" s="1"/>
  <c r="E249" i="29" a="1"/>
  <c r="E249" i="29" s="1"/>
  <c r="D249" i="29" a="1"/>
  <c r="D249" i="29" s="1"/>
  <c r="E244" i="29" a="1"/>
  <c r="E244" i="29" s="1"/>
  <c r="D244" i="29" a="1"/>
  <c r="D244" i="29" s="1"/>
  <c r="E245" i="29" a="1"/>
  <c r="E245" i="29" s="1"/>
  <c r="D245" i="29" a="1"/>
  <c r="D245" i="29" s="1"/>
  <c r="D1025" i="29" a="1"/>
  <c r="D1025" i="29" s="1"/>
  <c r="H1025" i="29" a="1"/>
  <c r="H1025" i="29" s="1"/>
  <c r="E1025" i="29" a="1"/>
  <c r="E1025" i="29" s="1"/>
  <c r="C87" i="47"/>
  <c r="H1032" i="29" a="1"/>
  <c r="H1032" i="29" s="1"/>
  <c r="D1032" i="29" a="1"/>
  <c r="D1032" i="29" s="1"/>
  <c r="E1032" i="29" a="1"/>
  <c r="E1032" i="29" s="1"/>
  <c r="D596" i="29" a="1"/>
  <c r="D596" i="29" s="1"/>
  <c r="H596" i="29" a="1"/>
  <c r="H596" i="29" s="1"/>
  <c r="E596" i="29" a="1"/>
  <c r="E596" i="29" s="1"/>
  <c r="H248" i="29" a="1"/>
  <c r="H248" i="29" s="1"/>
  <c r="H247" i="29" a="1"/>
  <c r="H247" i="29" s="1"/>
  <c r="H252" i="29" a="1"/>
  <c r="H252" i="29" s="1"/>
  <c r="H592" i="29" a="1"/>
  <c r="H592" i="29" s="1"/>
  <c r="D592" i="29" a="1"/>
  <c r="D592" i="29" s="1"/>
  <c r="E592" i="29" a="1"/>
  <c r="E592" i="29" s="1"/>
  <c r="I983" i="29" l="1"/>
  <c r="E980" i="29" a="1"/>
  <c r="E980" i="29" s="1"/>
  <c r="I209" i="29"/>
  <c r="E206" i="29" a="1"/>
  <c r="E206" i="29" s="1"/>
  <c r="H991" i="29" a="1"/>
  <c r="H991" i="29" s="1"/>
  <c r="D991" i="29" a="1"/>
  <c r="D991" i="29" s="1"/>
  <c r="E991" i="29" a="1"/>
  <c r="E991" i="29" s="1"/>
  <c r="D986" i="29" a="1"/>
  <c r="D986" i="29" s="1"/>
  <c r="H986" i="29" a="1"/>
  <c r="H986" i="29" s="1"/>
  <c r="H552" i="29" a="1"/>
  <c r="H552" i="29" s="1"/>
  <c r="D552" i="29" a="1"/>
  <c r="D552" i="29" s="1"/>
  <c r="E552" i="29" a="1"/>
  <c r="E552" i="29" s="1"/>
  <c r="E553" i="29" a="1"/>
  <c r="E553" i="29" s="1"/>
  <c r="D553" i="29" a="1"/>
  <c r="D553" i="29" s="1"/>
  <c r="H553" i="29" a="1"/>
  <c r="H553" i="29" s="1"/>
  <c r="H987" i="29" a="1"/>
  <c r="H987" i="29" s="1"/>
  <c r="E987" i="29" a="1"/>
  <c r="E987" i="29" s="1"/>
  <c r="D987" i="29" a="1"/>
  <c r="D987" i="29" s="1"/>
  <c r="D551" i="29" a="1"/>
  <c r="D551" i="29" s="1"/>
  <c r="H551" i="29" a="1"/>
  <c r="H551" i="29" s="1"/>
  <c r="E551" i="29" a="1"/>
  <c r="E551" i="29" s="1"/>
  <c r="E252" i="29" a="1"/>
  <c r="E252" i="29" s="1"/>
  <c r="D252" i="29" a="1"/>
  <c r="D252" i="29" s="1"/>
  <c r="D247" i="29" a="1"/>
  <c r="D247" i="29" s="1"/>
  <c r="E247" i="29" a="1"/>
  <c r="E247" i="29" s="1"/>
  <c r="E248" i="29" a="1"/>
  <c r="E248" i="29" s="1"/>
  <c r="D248" i="29" a="1"/>
  <c r="D248" i="29" s="1"/>
  <c r="D1028" i="29" a="1"/>
  <c r="D1028" i="29" s="1"/>
  <c r="H1028" i="29" a="1"/>
  <c r="H1028" i="29" s="1"/>
  <c r="E1028" i="29" a="1"/>
  <c r="E1028" i="29" s="1"/>
  <c r="C88" i="47"/>
  <c r="E599" i="29" a="1"/>
  <c r="E599" i="29" s="1"/>
  <c r="H599" i="29" a="1"/>
  <c r="H599" i="29" s="1"/>
  <c r="D599" i="29" a="1"/>
  <c r="D599" i="29" s="1"/>
  <c r="D1035" i="29" a="1"/>
  <c r="D1035" i="29" s="1"/>
  <c r="H1035" i="29" a="1"/>
  <c r="H1035" i="29" s="1"/>
  <c r="E1035" i="29" a="1"/>
  <c r="E1035" i="29" s="1"/>
  <c r="H595" i="29" a="1"/>
  <c r="H595" i="29" s="1"/>
  <c r="E595" i="29" a="1"/>
  <c r="E595" i="29" s="1"/>
  <c r="D595" i="29" a="1"/>
  <c r="D595" i="29" s="1"/>
  <c r="H251" i="29" a="1"/>
  <c r="H251" i="29" s="1"/>
  <c r="H250" i="29" a="1"/>
  <c r="H250" i="29" s="1"/>
  <c r="I986" i="29" l="1"/>
  <c r="E983" i="29" a="1"/>
  <c r="E983" i="29" s="1"/>
  <c r="I212" i="29"/>
  <c r="E209" i="29" a="1"/>
  <c r="E209" i="29" s="1"/>
  <c r="E555" i="29" a="1"/>
  <c r="E555" i="29" s="1"/>
  <c r="D555" i="29" a="1"/>
  <c r="D555" i="29" s="1"/>
  <c r="H555" i="29" a="1"/>
  <c r="H555" i="29" s="1"/>
  <c r="E554" i="29" a="1"/>
  <c r="E554" i="29" s="1"/>
  <c r="H554" i="29" a="1"/>
  <c r="H554" i="29" s="1"/>
  <c r="D554" i="29" a="1"/>
  <c r="D554" i="29" s="1"/>
  <c r="D989" i="29" a="1"/>
  <c r="D989" i="29" s="1"/>
  <c r="H989" i="29" a="1"/>
  <c r="H989" i="29" s="1"/>
  <c r="H990" i="29" a="1"/>
  <c r="H990" i="29" s="1"/>
  <c r="D990" i="29" a="1"/>
  <c r="D990" i="29" s="1"/>
  <c r="E990" i="29" a="1"/>
  <c r="E990" i="29" s="1"/>
  <c r="D556" i="29" a="1"/>
  <c r="D556" i="29" s="1"/>
  <c r="H556" i="29" a="1"/>
  <c r="H556" i="29" s="1"/>
  <c r="E556" i="29" a="1"/>
  <c r="E556" i="29" s="1"/>
  <c r="H994" i="29" a="1"/>
  <c r="H994" i="29" s="1"/>
  <c r="D994" i="29" a="1"/>
  <c r="D994" i="29" s="1"/>
  <c r="E994" i="29" a="1"/>
  <c r="E994" i="29" s="1"/>
  <c r="D255" i="29" a="1"/>
  <c r="D255" i="29" s="1"/>
  <c r="E255" i="29" a="1"/>
  <c r="E255" i="29" s="1"/>
  <c r="E250" i="29" a="1"/>
  <c r="E250" i="29" s="1"/>
  <c r="D250" i="29" a="1"/>
  <c r="D250" i="29" s="1"/>
  <c r="E251" i="29" a="1"/>
  <c r="E251" i="29" s="1"/>
  <c r="D251" i="29" a="1"/>
  <c r="D251" i="29" s="1"/>
  <c r="E1031" i="29" a="1"/>
  <c r="E1031" i="29" s="1"/>
  <c r="D1031" i="29" a="1"/>
  <c r="D1031" i="29" s="1"/>
  <c r="H1031" i="29" a="1"/>
  <c r="H1031" i="29" s="1"/>
  <c r="C89" i="47"/>
  <c r="E1038" i="29" a="1"/>
  <c r="E1038" i="29" s="1"/>
  <c r="H1038" i="29" a="1"/>
  <c r="H1038" i="29" s="1"/>
  <c r="D1038" i="29" a="1"/>
  <c r="D1038" i="29" s="1"/>
  <c r="H255" i="29" a="1"/>
  <c r="H255" i="29" s="1"/>
  <c r="H253" i="29" a="1"/>
  <c r="H253" i="29" s="1"/>
  <c r="H598" i="29" a="1"/>
  <c r="H598" i="29" s="1"/>
  <c r="E598" i="29" a="1"/>
  <c r="E598" i="29" s="1"/>
  <c r="D598" i="29" a="1"/>
  <c r="D598" i="29" s="1"/>
  <c r="H254" i="29" a="1"/>
  <c r="H254" i="29" s="1"/>
  <c r="H602" i="29" a="1"/>
  <c r="H602" i="29" s="1"/>
  <c r="E602" i="29" a="1"/>
  <c r="E602" i="29" s="1"/>
  <c r="D602" i="29" a="1"/>
  <c r="D602" i="29" s="1"/>
  <c r="I989" i="29" l="1"/>
  <c r="E986" i="29" a="1"/>
  <c r="E986" i="29" s="1"/>
  <c r="I215" i="29"/>
  <c r="E212" i="29" a="1"/>
  <c r="E212" i="29" s="1"/>
  <c r="H997" i="29" a="1"/>
  <c r="H997" i="29" s="1"/>
  <c r="D997" i="29" a="1"/>
  <c r="D997" i="29" s="1"/>
  <c r="E997" i="29" a="1"/>
  <c r="E997" i="29" s="1"/>
  <c r="H992" i="29" a="1"/>
  <c r="H992" i="29" s="1"/>
  <c r="D992" i="29" a="1"/>
  <c r="D992" i="29" s="1"/>
  <c r="H557" i="29" a="1"/>
  <c r="H557" i="29" s="1"/>
  <c r="E557" i="29" a="1"/>
  <c r="E557" i="29" s="1"/>
  <c r="D557" i="29" a="1"/>
  <c r="D557" i="29" s="1"/>
  <c r="D559" i="29" a="1"/>
  <c r="D559" i="29" s="1"/>
  <c r="H559" i="29" a="1"/>
  <c r="H559" i="29" s="1"/>
  <c r="E559" i="29" a="1"/>
  <c r="E559" i="29" s="1"/>
  <c r="D993" i="29" a="1"/>
  <c r="D993" i="29" s="1"/>
  <c r="H993" i="29" a="1"/>
  <c r="H993" i="29" s="1"/>
  <c r="E993" i="29" a="1"/>
  <c r="E993" i="29" s="1"/>
  <c r="D558" i="29" a="1"/>
  <c r="D558" i="29" s="1"/>
  <c r="H558" i="29" a="1"/>
  <c r="H558" i="29" s="1"/>
  <c r="E558" i="29" a="1"/>
  <c r="E558" i="29" s="1"/>
  <c r="E253" i="29" a="1"/>
  <c r="E253" i="29" s="1"/>
  <c r="D253" i="29" a="1"/>
  <c r="D253" i="29" s="1"/>
  <c r="E254" i="29" a="1"/>
  <c r="E254" i="29" s="1"/>
  <c r="D254" i="29" a="1"/>
  <c r="D254" i="29" s="1"/>
  <c r="E258" i="29" a="1"/>
  <c r="E258" i="29" s="1"/>
  <c r="D258" i="29" a="1"/>
  <c r="D258" i="29" s="1"/>
  <c r="E1034" i="29" a="1"/>
  <c r="E1034" i="29" s="1"/>
  <c r="D1034" i="29" a="1"/>
  <c r="D1034" i="29" s="1"/>
  <c r="H1034" i="29" a="1"/>
  <c r="H1034" i="29" s="1"/>
  <c r="C90" i="47"/>
  <c r="E601" i="29" a="1"/>
  <c r="E601" i="29" s="1"/>
  <c r="D601" i="29" a="1"/>
  <c r="D601" i="29" s="1"/>
  <c r="H601" i="29" a="1"/>
  <c r="H601" i="29" s="1"/>
  <c r="D605" i="29" a="1"/>
  <c r="D605" i="29" s="1"/>
  <c r="H605" i="29" a="1"/>
  <c r="H605" i="29" s="1"/>
  <c r="E605" i="29" a="1"/>
  <c r="E605" i="29" s="1"/>
  <c r="H258" i="29" a="1"/>
  <c r="H258" i="29" s="1"/>
  <c r="H1041" i="29" a="1"/>
  <c r="H1041" i="29" s="1"/>
  <c r="D1041" i="29" a="1"/>
  <c r="D1041" i="29" s="1"/>
  <c r="E1041" i="29" a="1"/>
  <c r="E1041" i="29" s="1"/>
  <c r="I992" i="29" l="1"/>
  <c r="E989" i="29" a="1"/>
  <c r="E989" i="29" s="1"/>
  <c r="I218" i="29"/>
  <c r="E218" i="29" s="1" a="1"/>
  <c r="E218" i="29" s="1"/>
  <c r="E215" i="29" a="1"/>
  <c r="E215" i="29" s="1"/>
  <c r="E560" i="29" a="1"/>
  <c r="E560" i="29" s="1"/>
  <c r="H560" i="29" a="1"/>
  <c r="H560" i="29" s="1"/>
  <c r="D560" i="29" a="1"/>
  <c r="D560" i="29" s="1"/>
  <c r="H561" i="29" a="1"/>
  <c r="H561" i="29" s="1"/>
  <c r="D561" i="29" a="1"/>
  <c r="D561" i="29" s="1"/>
  <c r="E561" i="29" a="1"/>
  <c r="E561" i="29" s="1"/>
  <c r="D995" i="29" a="1"/>
  <c r="D995" i="29" s="1"/>
  <c r="H995" i="29" a="1"/>
  <c r="H995" i="29" s="1"/>
  <c r="H996" i="29" a="1"/>
  <c r="H996" i="29" s="1"/>
  <c r="D996" i="29" a="1"/>
  <c r="D996" i="29" s="1"/>
  <c r="E996" i="29" a="1"/>
  <c r="E996" i="29" s="1"/>
  <c r="D562" i="29" a="1"/>
  <c r="D562" i="29" s="1"/>
  <c r="H562" i="29" a="1"/>
  <c r="H562" i="29" s="1"/>
  <c r="E562" i="29" a="1"/>
  <c r="E562" i="29" s="1"/>
  <c r="D1000" i="29" a="1"/>
  <c r="D1000" i="29" s="1"/>
  <c r="H1000" i="29" a="1"/>
  <c r="H1000" i="29" s="1"/>
  <c r="E1000" i="29" a="1"/>
  <c r="E1000" i="29" s="1"/>
  <c r="E261" i="29" a="1"/>
  <c r="E261" i="29" s="1"/>
  <c r="D261" i="29" a="1"/>
  <c r="D261" i="29" s="1"/>
  <c r="E256" i="29" a="1"/>
  <c r="E256" i="29" s="1"/>
  <c r="D256" i="29" a="1"/>
  <c r="D256" i="29" s="1"/>
  <c r="E257" i="29" a="1"/>
  <c r="E257" i="29" s="1"/>
  <c r="D257" i="29" a="1"/>
  <c r="D257" i="29" s="1"/>
  <c r="E1037" i="29" a="1"/>
  <c r="E1037" i="29" s="1"/>
  <c r="H1037" i="29" a="1"/>
  <c r="H1037" i="29" s="1"/>
  <c r="D1037" i="29" a="1"/>
  <c r="D1037" i="29" s="1"/>
  <c r="C91" i="47"/>
  <c r="H261" i="29" a="1"/>
  <c r="H261" i="29" s="1"/>
  <c r="H256" i="29" a="1"/>
  <c r="H256" i="29" s="1"/>
  <c r="E604" i="29" a="1"/>
  <c r="E604" i="29" s="1"/>
  <c r="H604" i="29" a="1"/>
  <c r="H604" i="29" s="1"/>
  <c r="D604" i="29" a="1"/>
  <c r="D604" i="29" s="1"/>
  <c r="H257" i="29" a="1"/>
  <c r="H257" i="29" s="1"/>
  <c r="H1044" i="29" a="1"/>
  <c r="H1044" i="29" s="1"/>
  <c r="D1044" i="29" a="1"/>
  <c r="D1044" i="29" s="1"/>
  <c r="E1044" i="29" a="1"/>
  <c r="E1044" i="29" s="1"/>
  <c r="H608" i="29" a="1"/>
  <c r="H608" i="29" s="1"/>
  <c r="D608" i="29" a="1"/>
  <c r="D608" i="29" s="1"/>
  <c r="E608" i="29" a="1"/>
  <c r="E608" i="29" s="1"/>
  <c r="I995" i="29" l="1"/>
  <c r="E992" i="29" a="1"/>
  <c r="E992" i="29" s="1"/>
  <c r="D1003" i="29" a="1"/>
  <c r="D1003" i="29" s="1"/>
  <c r="H1003" i="29" a="1"/>
  <c r="H1003" i="29" s="1"/>
  <c r="E1003" i="29" a="1"/>
  <c r="E1003" i="29" s="1"/>
  <c r="H998" i="29" a="1"/>
  <c r="H998" i="29" s="1"/>
  <c r="D998" i="29" a="1"/>
  <c r="D998" i="29" s="1"/>
  <c r="H564" i="29" a="1"/>
  <c r="H564" i="29" s="1"/>
  <c r="D564" i="29" a="1"/>
  <c r="D564" i="29" s="1"/>
  <c r="E564" i="29" a="1"/>
  <c r="E564" i="29" s="1"/>
  <c r="E565" i="29" a="1"/>
  <c r="E565" i="29" s="1"/>
  <c r="H565" i="29" a="1"/>
  <c r="H565" i="29" s="1"/>
  <c r="D565" i="29" a="1"/>
  <c r="D565" i="29" s="1"/>
  <c r="D563" i="29" a="1"/>
  <c r="D563" i="29" s="1"/>
  <c r="H563" i="29" a="1"/>
  <c r="H563" i="29" s="1"/>
  <c r="E563" i="29" a="1"/>
  <c r="E563" i="29" s="1"/>
  <c r="D999" i="29" a="1"/>
  <c r="D999" i="29" s="1"/>
  <c r="H999" i="29" a="1"/>
  <c r="H999" i="29" s="1"/>
  <c r="E999" i="29" a="1"/>
  <c r="E999" i="29" s="1"/>
  <c r="D259" i="29" a="1"/>
  <c r="D259" i="29" s="1"/>
  <c r="E259" i="29" a="1"/>
  <c r="E259" i="29" s="1"/>
  <c r="E260" i="29" a="1"/>
  <c r="E260" i="29" s="1"/>
  <c r="D260" i="29" a="1"/>
  <c r="D260" i="29" s="1"/>
  <c r="E264" i="29" a="1"/>
  <c r="E264" i="29" s="1"/>
  <c r="D264" i="29" a="1"/>
  <c r="D264" i="29" s="1"/>
  <c r="D1040" i="29" a="1"/>
  <c r="D1040" i="29" s="1"/>
  <c r="H1040" i="29" a="1"/>
  <c r="H1040" i="29" s="1"/>
  <c r="E1040" i="29" a="1"/>
  <c r="E1040" i="29" s="1"/>
  <c r="C92" i="47"/>
  <c r="H259" i="29" a="1"/>
  <c r="H259" i="29" s="1"/>
  <c r="E1047" i="29" a="1"/>
  <c r="E1047" i="29" s="1"/>
  <c r="D1047" i="29" a="1"/>
  <c r="D1047" i="29" s="1"/>
  <c r="H1047" i="29" a="1"/>
  <c r="H1047" i="29" s="1"/>
  <c r="H607" i="29" a="1"/>
  <c r="H607" i="29" s="1"/>
  <c r="E607" i="29" a="1"/>
  <c r="E607" i="29" s="1"/>
  <c r="D607" i="29" a="1"/>
  <c r="D607" i="29" s="1"/>
  <c r="H264" i="29" a="1"/>
  <c r="H264" i="29" s="1"/>
  <c r="H260" i="29" a="1"/>
  <c r="H260" i="29" s="1"/>
  <c r="E611" i="29" a="1"/>
  <c r="E611" i="29" s="1"/>
  <c r="H611" i="29" a="1"/>
  <c r="H611" i="29" s="1"/>
  <c r="D611" i="29" a="1"/>
  <c r="D611" i="29" s="1"/>
  <c r="I998" i="29" l="1"/>
  <c r="E995" i="29" a="1"/>
  <c r="E995" i="29" s="1"/>
  <c r="E567" i="29" a="1"/>
  <c r="E567" i="29" s="1"/>
  <c r="D567" i="29" a="1"/>
  <c r="D567" i="29" s="1"/>
  <c r="H567" i="29" a="1"/>
  <c r="H567" i="29" s="1"/>
  <c r="H1002" i="29" a="1"/>
  <c r="H1002" i="29" s="1"/>
  <c r="D1002" i="29" a="1"/>
  <c r="D1002" i="29" s="1"/>
  <c r="E1002" i="29" a="1"/>
  <c r="E1002" i="29" s="1"/>
  <c r="D1001" i="29" a="1"/>
  <c r="D1001" i="29" s="1"/>
  <c r="H1001" i="29" a="1"/>
  <c r="H1001" i="29" s="1"/>
  <c r="E566" i="29" a="1"/>
  <c r="E566" i="29" s="1"/>
  <c r="D566" i="29" a="1"/>
  <c r="D566" i="29" s="1"/>
  <c r="H566" i="29" a="1"/>
  <c r="H566" i="29" s="1"/>
  <c r="H568" i="29" a="1"/>
  <c r="H568" i="29" s="1"/>
  <c r="E568" i="29" a="1"/>
  <c r="E568" i="29" s="1"/>
  <c r="D568" i="29" a="1"/>
  <c r="D568" i="29" s="1"/>
  <c r="H1006" i="29" a="1"/>
  <c r="H1006" i="29" s="1"/>
  <c r="D1006" i="29" a="1"/>
  <c r="D1006" i="29" s="1"/>
  <c r="E1006" i="29" a="1"/>
  <c r="E1006" i="29" s="1"/>
  <c r="D263" i="29" a="1"/>
  <c r="D263" i="29" s="1"/>
  <c r="E263" i="29" a="1"/>
  <c r="E263" i="29" s="1"/>
  <c r="E262" i="29" a="1"/>
  <c r="E262" i="29" s="1"/>
  <c r="D262" i="29" a="1"/>
  <c r="D262" i="29" s="1"/>
  <c r="D267" i="29" a="1"/>
  <c r="D267" i="29" s="1"/>
  <c r="E267" i="29" a="1"/>
  <c r="E267" i="29" s="1"/>
  <c r="H1043" i="29" a="1"/>
  <c r="H1043" i="29" s="1"/>
  <c r="E1043" i="29" a="1"/>
  <c r="E1043" i="29" s="1"/>
  <c r="D1043" i="29" a="1"/>
  <c r="D1043" i="29" s="1"/>
  <c r="C93" i="47"/>
  <c r="H263" i="29" a="1"/>
  <c r="H263" i="29" s="1"/>
  <c r="H1050" i="29" a="1"/>
  <c r="H1050" i="29" s="1"/>
  <c r="D1050" i="29" a="1"/>
  <c r="D1050" i="29" s="1"/>
  <c r="E1050" i="29" a="1"/>
  <c r="E1050" i="29" s="1"/>
  <c r="H267" i="29" a="1"/>
  <c r="H267" i="29" s="1"/>
  <c r="H614" i="29" a="1"/>
  <c r="H614" i="29" s="1"/>
  <c r="D614" i="29" a="1"/>
  <c r="D614" i="29" s="1"/>
  <c r="E614" i="29" a="1"/>
  <c r="E614" i="29" s="1"/>
  <c r="H262" i="29" a="1"/>
  <c r="H262" i="29" s="1"/>
  <c r="H610" i="29" a="1"/>
  <c r="H610" i="29" s="1"/>
  <c r="D610" i="29" a="1"/>
  <c r="D610" i="29" s="1"/>
  <c r="E610" i="29" a="1"/>
  <c r="E610" i="29" s="1"/>
  <c r="I1001" i="29" l="1"/>
  <c r="E1001" i="29" s="1" a="1"/>
  <c r="E1001" i="29" s="1"/>
  <c r="E998" i="29" a="1"/>
  <c r="E998" i="29" s="1"/>
  <c r="D1004" i="29" a="1"/>
  <c r="D1004" i="29" s="1"/>
  <c r="H1004" i="29" a="1"/>
  <c r="H1004" i="29" s="1"/>
  <c r="E1004" i="29" a="1"/>
  <c r="E1004" i="29" s="1"/>
  <c r="H1009" i="29" a="1"/>
  <c r="H1009" i="29" s="1"/>
  <c r="E1009" i="29" a="1"/>
  <c r="E1009" i="29" s="1"/>
  <c r="D1009" i="29" a="1"/>
  <c r="D1009" i="29" s="1"/>
  <c r="D571" i="29" a="1"/>
  <c r="D571" i="29" s="1"/>
  <c r="H571" i="29" a="1"/>
  <c r="H571" i="29" s="1"/>
  <c r="E571" i="29" a="1"/>
  <c r="E571" i="29" s="1"/>
  <c r="D1005" i="29" a="1"/>
  <c r="D1005" i="29" s="1"/>
  <c r="H1005" i="29" a="1"/>
  <c r="H1005" i="29" s="1"/>
  <c r="E1005" i="29" a="1"/>
  <c r="E1005" i="29" s="1"/>
  <c r="H569" i="29" a="1"/>
  <c r="H569" i="29" s="1"/>
  <c r="E569" i="29" a="1"/>
  <c r="E569" i="29" s="1"/>
  <c r="D569" i="29" a="1"/>
  <c r="D569" i="29" s="1"/>
  <c r="D570" i="29" a="1"/>
  <c r="D570" i="29" s="1"/>
  <c r="H570" i="29" a="1"/>
  <c r="H570" i="29" s="1"/>
  <c r="E570" i="29" a="1"/>
  <c r="E570" i="29" s="1"/>
  <c r="E266" i="29" a="1"/>
  <c r="E266" i="29" s="1"/>
  <c r="D266" i="29" a="1"/>
  <c r="D266" i="29" s="1"/>
  <c r="E265" i="29" a="1"/>
  <c r="E265" i="29" s="1"/>
  <c r="D265" i="29" a="1"/>
  <c r="D265" i="29" s="1"/>
  <c r="E270" i="29" a="1"/>
  <c r="E270" i="29" s="1"/>
  <c r="D270" i="29" a="1"/>
  <c r="D270" i="29" s="1"/>
  <c r="H1046" i="29" a="1"/>
  <c r="H1046" i="29" s="1"/>
  <c r="D1046" i="29" a="1"/>
  <c r="D1046" i="29" s="1"/>
  <c r="E1046" i="29" a="1"/>
  <c r="E1046" i="29" s="1"/>
  <c r="C94" i="47"/>
  <c r="D613" i="29" a="1"/>
  <c r="D613" i="29" s="1"/>
  <c r="E613" i="29" a="1"/>
  <c r="E613" i="29" s="1"/>
  <c r="H613" i="29" a="1"/>
  <c r="H613" i="29" s="1"/>
  <c r="H617" i="29" a="1"/>
  <c r="H617" i="29" s="1"/>
  <c r="D617" i="29" a="1"/>
  <c r="D617" i="29" s="1"/>
  <c r="E617" i="29" a="1"/>
  <c r="E617" i="29" s="1"/>
  <c r="H270" i="29" a="1"/>
  <c r="H270" i="29" s="1"/>
  <c r="D1053" i="29" a="1"/>
  <c r="D1053" i="29" s="1"/>
  <c r="H1053" i="29" a="1"/>
  <c r="H1053" i="29" s="1"/>
  <c r="E1053" i="29" a="1"/>
  <c r="E1053" i="29" s="1"/>
  <c r="H265" i="29" a="1"/>
  <c r="H265" i="29" s="1"/>
  <c r="H266" i="29" a="1"/>
  <c r="H266" i="29" s="1"/>
  <c r="H573" i="29" l="1" a="1"/>
  <c r="H573" i="29" s="1"/>
  <c r="D573" i="29" a="1"/>
  <c r="D573" i="29" s="1"/>
  <c r="E573" i="29" a="1"/>
  <c r="E573" i="29" s="1"/>
  <c r="E574" i="29" a="1"/>
  <c r="E574" i="29" s="1"/>
  <c r="H574" i="29" a="1"/>
  <c r="H574" i="29" s="1"/>
  <c r="D574" i="29" a="1"/>
  <c r="D574" i="29" s="1"/>
  <c r="H572" i="29" a="1"/>
  <c r="H572" i="29" s="1"/>
  <c r="D572" i="29" a="1"/>
  <c r="D572" i="29" s="1"/>
  <c r="E572" i="29" a="1"/>
  <c r="E572" i="29" s="1"/>
  <c r="D1012" i="29" a="1"/>
  <c r="D1012" i="29" s="1"/>
  <c r="H1012" i="29" a="1"/>
  <c r="H1012" i="29" s="1"/>
  <c r="E1012" i="29" a="1"/>
  <c r="E1012" i="29" s="1"/>
  <c r="H1008" i="29" a="1"/>
  <c r="H1008" i="29" s="1"/>
  <c r="E1008" i="29" a="1"/>
  <c r="E1008" i="29" s="1"/>
  <c r="D1008" i="29" a="1"/>
  <c r="D1008" i="29" s="1"/>
  <c r="D1007" i="29" a="1"/>
  <c r="D1007" i="29" s="1"/>
  <c r="H1007" i="29" a="1"/>
  <c r="H1007" i="29" s="1"/>
  <c r="E1007" i="29" a="1"/>
  <c r="E1007" i="29" s="1"/>
  <c r="E268" i="29" a="1"/>
  <c r="E268" i="29" s="1"/>
  <c r="D268" i="29" a="1"/>
  <c r="D268" i="29" s="1"/>
  <c r="E269" i="29" a="1"/>
  <c r="E269" i="29" s="1"/>
  <c r="D269" i="29" a="1"/>
  <c r="D269" i="29" s="1"/>
  <c r="H1049" i="29" a="1"/>
  <c r="H1049" i="29" s="1"/>
  <c r="D1049" i="29" a="1"/>
  <c r="D1049" i="29" s="1"/>
  <c r="E1049" i="29" a="1"/>
  <c r="E1049" i="29" s="1"/>
  <c r="C95" i="47"/>
  <c r="H269" i="29" a="1"/>
  <c r="H269" i="29" s="1"/>
  <c r="E620" i="29" a="1"/>
  <c r="E620" i="29" s="1"/>
  <c r="D620" i="29" a="1"/>
  <c r="D620" i="29" s="1"/>
  <c r="H620" i="29" a="1"/>
  <c r="H620" i="29" s="1"/>
  <c r="H1056" i="29" a="1"/>
  <c r="H1056" i="29" s="1"/>
  <c r="D1056" i="29" a="1"/>
  <c r="D1056" i="29" s="1"/>
  <c r="E1056" i="29" a="1"/>
  <c r="E1056" i="29" s="1"/>
  <c r="H268" i="29" a="1"/>
  <c r="H268" i="29" s="1"/>
  <c r="D616" i="29" a="1"/>
  <c r="D616" i="29" s="1"/>
  <c r="H616" i="29" a="1"/>
  <c r="H616" i="29" s="1"/>
  <c r="E616" i="29" a="1"/>
  <c r="E616" i="29" s="1"/>
  <c r="D575" i="29" l="1" a="1"/>
  <c r="D575" i="29" s="1"/>
  <c r="H575" i="29" a="1"/>
  <c r="H575" i="29" s="1"/>
  <c r="E575" i="29" a="1"/>
  <c r="E575" i="29" s="1"/>
  <c r="H1010" i="29" a="1"/>
  <c r="H1010" i="29" s="1"/>
  <c r="D1010" i="29" a="1"/>
  <c r="D1010" i="29" s="1"/>
  <c r="E1010" i="29" a="1"/>
  <c r="E1010" i="29" s="1"/>
  <c r="H577" i="29" a="1"/>
  <c r="H577" i="29" s="1"/>
  <c r="E577" i="29" a="1"/>
  <c r="E577" i="29" s="1"/>
  <c r="D577" i="29" a="1"/>
  <c r="D577" i="29" s="1"/>
  <c r="D1011" i="29" a="1"/>
  <c r="D1011" i="29" s="1"/>
  <c r="H1011" i="29" a="1"/>
  <c r="H1011" i="29" s="1"/>
  <c r="E1011" i="29" a="1"/>
  <c r="E1011" i="29" s="1"/>
  <c r="H576" i="29" a="1"/>
  <c r="H576" i="29" s="1"/>
  <c r="D576" i="29" a="1"/>
  <c r="D576" i="29" s="1"/>
  <c r="E576" i="29" a="1"/>
  <c r="E576" i="29" s="1"/>
  <c r="D1015" i="29" a="1"/>
  <c r="D1015" i="29" s="1"/>
  <c r="H1015" i="29" a="1"/>
  <c r="H1015" i="29" s="1"/>
  <c r="E1015" i="29" a="1"/>
  <c r="E1015" i="29" s="1"/>
  <c r="E272" i="29" a="1"/>
  <c r="E272" i="29" s="1"/>
  <c r="D272" i="29" a="1"/>
  <c r="D272" i="29" s="1"/>
  <c r="E271" i="29" a="1"/>
  <c r="E271" i="29" s="1"/>
  <c r="D271" i="29" a="1"/>
  <c r="D271" i="29" s="1"/>
  <c r="D1052" i="29" a="1"/>
  <c r="D1052" i="29" s="1"/>
  <c r="E1052" i="29" a="1"/>
  <c r="E1052" i="29" s="1"/>
  <c r="H1052" i="29" a="1"/>
  <c r="H1052" i="29" s="1"/>
  <c r="C96" i="47"/>
  <c r="E623" i="29" a="1"/>
  <c r="E623" i="29" s="1"/>
  <c r="D623" i="29" a="1"/>
  <c r="D623" i="29" s="1"/>
  <c r="H623" i="29" a="1"/>
  <c r="H623" i="29" s="1"/>
  <c r="E619" i="29" a="1"/>
  <c r="E619" i="29" s="1"/>
  <c r="H619" i="29" a="1"/>
  <c r="H619" i="29" s="1"/>
  <c r="D619" i="29" a="1"/>
  <c r="D619" i="29" s="1"/>
  <c r="H271" i="29" a="1"/>
  <c r="H271" i="29" s="1"/>
  <c r="H272" i="29" a="1"/>
  <c r="H272" i="29" s="1"/>
  <c r="H1018" i="29" l="1" a="1"/>
  <c r="H1018" i="29" s="1"/>
  <c r="E1018" i="29" a="1"/>
  <c r="E1018" i="29" s="1"/>
  <c r="D1018" i="29" a="1"/>
  <c r="D1018" i="29" s="1"/>
  <c r="H580" i="29" a="1"/>
  <c r="H580" i="29" s="1"/>
  <c r="E580" i="29" a="1"/>
  <c r="E580" i="29" s="1"/>
  <c r="D580" i="29" a="1"/>
  <c r="D580" i="29" s="1"/>
  <c r="H579" i="29" a="1"/>
  <c r="H579" i="29" s="1"/>
  <c r="E579" i="29" a="1"/>
  <c r="E579" i="29" s="1"/>
  <c r="D579" i="29" a="1"/>
  <c r="D579" i="29" s="1"/>
  <c r="D1013" i="29" a="1"/>
  <c r="D1013" i="29" s="1"/>
  <c r="E1013" i="29" a="1"/>
  <c r="E1013" i="29" s="1"/>
  <c r="H1013" i="29" a="1"/>
  <c r="H1013" i="29" s="1"/>
  <c r="H1014" i="29" a="1"/>
  <c r="H1014" i="29" s="1"/>
  <c r="D1014" i="29" a="1"/>
  <c r="D1014" i="29" s="1"/>
  <c r="E1014" i="29" a="1"/>
  <c r="E1014" i="29" s="1"/>
  <c r="D578" i="29" a="1"/>
  <c r="D578" i="29" s="1"/>
  <c r="E578" i="29" a="1"/>
  <c r="E578" i="29" s="1"/>
  <c r="H578" i="29" a="1"/>
  <c r="H578" i="29" s="1"/>
  <c r="D1055" i="29" a="1"/>
  <c r="D1055" i="29" s="1"/>
  <c r="H1055" i="29" a="1"/>
  <c r="H1055" i="29" s="1"/>
  <c r="E1055" i="29" a="1"/>
  <c r="E1055" i="29" s="1"/>
  <c r="C97" i="47"/>
  <c r="E626" i="29" a="1"/>
  <c r="E626" i="29" s="1"/>
  <c r="D626" i="29" a="1"/>
  <c r="D626" i="29" s="1"/>
  <c r="H626" i="29" a="1"/>
  <c r="H626" i="29" s="1"/>
  <c r="D622" i="29" a="1"/>
  <c r="D622" i="29" s="1"/>
  <c r="E622" i="29" a="1"/>
  <c r="E622" i="29" s="1"/>
  <c r="H622" i="29" a="1"/>
  <c r="H622" i="29" s="1"/>
  <c r="D582" i="29" l="1" a="1"/>
  <c r="D582" i="29" s="1"/>
  <c r="E582" i="29" a="1"/>
  <c r="E582" i="29" s="1"/>
  <c r="H582" i="29" a="1"/>
  <c r="H582" i="29" s="1"/>
  <c r="D581" i="29" a="1"/>
  <c r="D581" i="29" s="1"/>
  <c r="H581" i="29" a="1"/>
  <c r="H581" i="29" s="1"/>
  <c r="E581" i="29" a="1"/>
  <c r="E581" i="29" s="1"/>
  <c r="D583" i="29" a="1"/>
  <c r="D583" i="29" s="1"/>
  <c r="H583" i="29" a="1"/>
  <c r="H583" i="29" s="1"/>
  <c r="E583" i="29" a="1"/>
  <c r="E583" i="29" s="1"/>
  <c r="E1017" i="29" a="1"/>
  <c r="E1017" i="29" s="1"/>
  <c r="D1017" i="29" a="1"/>
  <c r="D1017" i="29" s="1"/>
  <c r="H1017" i="29" a="1"/>
  <c r="H1017" i="29" s="1"/>
  <c r="D1016" i="29" a="1"/>
  <c r="D1016" i="29" s="1"/>
  <c r="H1016" i="29" a="1"/>
  <c r="H1016" i="29" s="1"/>
  <c r="E1016" i="29" a="1"/>
  <c r="E1016" i="29" s="1"/>
  <c r="H1021" i="29" a="1"/>
  <c r="H1021" i="29" s="1"/>
  <c r="D1021" i="29" a="1"/>
  <c r="D1021" i="29" s="1"/>
  <c r="E1021" i="29" a="1"/>
  <c r="E1021" i="29" s="1"/>
  <c r="C98" i="47"/>
  <c r="H625" i="29" a="1"/>
  <c r="H625" i="29" s="1"/>
  <c r="D625" i="29" a="1"/>
  <c r="D625" i="29" s="1"/>
  <c r="E625" i="29" a="1"/>
  <c r="E625" i="29" s="1"/>
  <c r="E584" i="29" l="1" a="1"/>
  <c r="E584" i="29" s="1"/>
  <c r="D584" i="29" a="1"/>
  <c r="D584" i="29" s="1"/>
  <c r="H584" i="29" a="1"/>
  <c r="H584" i="29" s="1"/>
  <c r="E1019" i="29" a="1"/>
  <c r="E1019" i="29" s="1"/>
  <c r="D1019" i="29" a="1"/>
  <c r="D1019" i="29" s="1"/>
  <c r="H1019" i="29" a="1"/>
  <c r="H1019" i="29" s="1"/>
  <c r="D1024" i="29" a="1"/>
  <c r="D1024" i="29" s="1"/>
  <c r="H1024" i="29" a="1"/>
  <c r="H1024" i="29" s="1"/>
  <c r="E1024" i="29" a="1"/>
  <c r="E1024" i="29" s="1"/>
  <c r="H1020" i="29" a="1"/>
  <c r="H1020" i="29" s="1"/>
  <c r="D1020" i="29" a="1"/>
  <c r="D1020" i="29" s="1"/>
  <c r="E1020" i="29" a="1"/>
  <c r="E1020" i="29" s="1"/>
  <c r="E585" i="29" a="1"/>
  <c r="E585" i="29" s="1"/>
  <c r="D585" i="29" a="1"/>
  <c r="D585" i="29" s="1"/>
  <c r="H585" i="29" a="1"/>
  <c r="H585" i="29" s="1"/>
  <c r="C99" i="47"/>
  <c r="E1027" i="29" l="1" a="1"/>
  <c r="E1027" i="29" s="1"/>
  <c r="D1027" i="29" a="1"/>
  <c r="D1027" i="29" s="1"/>
  <c r="H1027" i="29" a="1"/>
  <c r="H1027" i="29" s="1"/>
  <c r="D588" i="29" a="1"/>
  <c r="D588" i="29" s="1"/>
  <c r="H588" i="29" a="1"/>
  <c r="H588" i="29" s="1"/>
  <c r="E588" i="29" a="1"/>
  <c r="E588" i="29" s="1"/>
  <c r="H1022" i="29" a="1"/>
  <c r="H1022" i="29" s="1"/>
  <c r="D1022" i="29" a="1"/>
  <c r="D1022" i="29" s="1"/>
  <c r="E1022" i="29" a="1"/>
  <c r="E1022" i="29" s="1"/>
  <c r="E1023" i="29" a="1"/>
  <c r="E1023" i="29" s="1"/>
  <c r="D1023" i="29" a="1"/>
  <c r="D1023" i="29" s="1"/>
  <c r="H1023" i="29" a="1"/>
  <c r="H1023" i="29" s="1"/>
  <c r="C100" i="47"/>
  <c r="H591" i="29" l="1" a="1"/>
  <c r="H591" i="29" s="1"/>
  <c r="D591" i="29" a="1"/>
  <c r="D591" i="29" s="1"/>
  <c r="E591" i="29" a="1"/>
  <c r="E591" i="29" s="1"/>
  <c r="D1030" i="29" a="1"/>
  <c r="D1030" i="29" s="1"/>
  <c r="H1030" i="29" a="1"/>
  <c r="H1030" i="29" s="1"/>
  <c r="E1030" i="29" a="1"/>
  <c r="E1030" i="29" s="1"/>
  <c r="C101" i="47"/>
  <c r="H1033" i="29" l="1" a="1"/>
  <c r="H1033" i="29" s="1"/>
  <c r="D1033" i="29" a="1"/>
  <c r="D1033" i="29" s="1"/>
  <c r="E1033" i="29" a="1"/>
  <c r="E1033" i="29" s="1"/>
  <c r="E594" i="29" a="1"/>
  <c r="E594" i="29" s="1"/>
  <c r="D594" i="29" a="1"/>
  <c r="D594" i="29" s="1"/>
  <c r="H594" i="29" a="1"/>
  <c r="H594" i="29" s="1"/>
  <c r="C102" i="47"/>
  <c r="E597" i="29" l="1" a="1"/>
  <c r="E597" i="29" s="1"/>
  <c r="D597" i="29" a="1"/>
  <c r="D597" i="29" s="1"/>
  <c r="H597" i="29" a="1"/>
  <c r="H597" i="29" s="1"/>
  <c r="H1036" i="29" a="1"/>
  <c r="H1036" i="29" s="1"/>
  <c r="D1036" i="29" a="1"/>
  <c r="D1036" i="29" s="1"/>
  <c r="E1036" i="29" a="1"/>
  <c r="E1036" i="29" s="1"/>
  <c r="C103" i="47"/>
  <c r="D1039" i="29" l="1" a="1"/>
  <c r="D1039" i="29" s="1"/>
  <c r="E1039" i="29" a="1"/>
  <c r="E1039" i="29" s="1"/>
  <c r="H1039" i="29" a="1"/>
  <c r="H1039" i="29" s="1"/>
  <c r="H600" i="29" a="1"/>
  <c r="H600" i="29" s="1"/>
  <c r="E600" i="29" a="1"/>
  <c r="E600" i="29" s="1"/>
  <c r="D600" i="29" a="1"/>
  <c r="D600" i="29" s="1"/>
  <c r="C104" i="47"/>
  <c r="H603" i="29" l="1" a="1"/>
  <c r="H603" i="29" s="1"/>
  <c r="D603" i="29" a="1"/>
  <c r="D603" i="29" s="1"/>
  <c r="E603" i="29" a="1"/>
  <c r="E603" i="29" s="1"/>
  <c r="H1042" i="29" a="1"/>
  <c r="H1042" i="29" s="1"/>
  <c r="D1042" i="29" a="1"/>
  <c r="D1042" i="29" s="1"/>
  <c r="E1042" i="29" a="1"/>
  <c r="E1042" i="29" s="1"/>
  <c r="C105" i="47"/>
  <c r="H1045" i="29" l="1" a="1"/>
  <c r="H1045" i="29" s="1"/>
  <c r="D1045" i="29" a="1"/>
  <c r="D1045" i="29" s="1"/>
  <c r="E1045" i="29" a="1"/>
  <c r="E1045" i="29" s="1"/>
  <c r="D606" i="29" a="1"/>
  <c r="D606" i="29" s="1"/>
  <c r="H606" i="29" a="1"/>
  <c r="H606" i="29" s="1"/>
  <c r="E606" i="29" a="1"/>
  <c r="E606" i="29" s="1"/>
  <c r="C106" i="47"/>
  <c r="E609" i="29" l="1" a="1"/>
  <c r="E609" i="29" s="1"/>
  <c r="D609" i="29" a="1"/>
  <c r="D609" i="29" s="1"/>
  <c r="H609" i="29" a="1"/>
  <c r="H609" i="29" s="1"/>
  <c r="H1048" i="29" a="1"/>
  <c r="H1048" i="29" s="1"/>
  <c r="E1048" i="29" a="1"/>
  <c r="E1048" i="29" s="1"/>
  <c r="D1048" i="29" a="1"/>
  <c r="D1048" i="29" s="1"/>
  <c r="C107" i="47"/>
  <c r="D1051" i="29" l="1" a="1"/>
  <c r="D1051" i="29" s="1"/>
  <c r="E1051" i="29" a="1"/>
  <c r="E1051" i="29" s="1"/>
  <c r="H1051" i="29" a="1"/>
  <c r="H1051" i="29" s="1"/>
  <c r="H612" i="29" a="1"/>
  <c r="H612" i="29" s="1"/>
  <c r="D612" i="29" a="1"/>
  <c r="D612" i="29" s="1"/>
  <c r="E612" i="29" a="1"/>
  <c r="E612" i="29" s="1"/>
  <c r="C108" i="47"/>
  <c r="D615" i="29" l="1" a="1"/>
  <c r="D615" i="29" s="1"/>
  <c r="H615" i="29" a="1"/>
  <c r="H615" i="29" s="1"/>
  <c r="E615" i="29" a="1"/>
  <c r="E615" i="29" s="1"/>
  <c r="E1054" i="29" a="1"/>
  <c r="E1054" i="29" s="1"/>
  <c r="D1054" i="29" a="1"/>
  <c r="D1054" i="29" s="1"/>
  <c r="H1054" i="29" a="1"/>
  <c r="H1054" i="29" s="1"/>
  <c r="C109" i="47"/>
  <c r="H618" i="29" l="1" a="1"/>
  <c r="H618" i="29" s="1"/>
  <c r="D618" i="29" a="1"/>
  <c r="D618" i="29" s="1"/>
  <c r="E618" i="29" a="1"/>
  <c r="E618" i="29" s="1"/>
  <c r="C110" i="47"/>
  <c r="E621" i="29" l="1" a="1"/>
  <c r="E621" i="29" s="1"/>
  <c r="H621" i="29" a="1"/>
  <c r="H621" i="29" s="1"/>
  <c r="D621" i="29" a="1"/>
  <c r="D621" i="29" s="1"/>
  <c r="C111" i="47"/>
  <c r="E624" i="29" l="1" a="1"/>
  <c r="E624" i="29" s="1"/>
  <c r="D624" i="29" a="1"/>
  <c r="D624" i="29" s="1"/>
  <c r="H624" i="29" a="1"/>
  <c r="H624" i="29" s="1"/>
  <c r="C112" i="47"/>
  <c r="D627" i="29" l="1" a="1"/>
  <c r="D627" i="29" s="1"/>
  <c r="C15" i="38" s="1" a="1"/>
  <c r="C15" i="38" s="1"/>
  <c r="H627" i="29" a="1"/>
  <c r="H627" i="29" s="1"/>
  <c r="G15" i="63" s="1" a="1"/>
  <c r="G15" i="63" s="1"/>
  <c r="E627" i="29" a="1"/>
  <c r="E627" i="29" s="1"/>
  <c r="C113" i="47"/>
  <c r="D15" i="38" l="1" a="1"/>
  <c r="D15" i="38" s="1"/>
  <c r="F15" i="38" a="1"/>
  <c r="F15" i="38" s="1"/>
  <c r="E15" i="38" a="1"/>
  <c r="E15" i="38" s="1"/>
  <c r="I15" i="38" a="1"/>
  <c r="I15" i="38" s="1"/>
  <c r="G15" i="38" a="1"/>
  <c r="G15" i="38" s="1"/>
  <c r="E15" i="63" a="1"/>
  <c r="E15" i="63" s="1"/>
  <c r="C15" i="62" a="1"/>
  <c r="C15" i="62" s="1"/>
  <c r="I15" i="63" a="1"/>
  <c r="I15" i="63" s="1"/>
  <c r="H15" i="63" a="1"/>
  <c r="H15" i="63" s="1"/>
  <c r="I15" i="62" a="1"/>
  <c r="I15" i="62" s="1"/>
  <c r="G15" i="62" a="1"/>
  <c r="G15" i="62" s="1"/>
  <c r="F15" i="62" a="1"/>
  <c r="F15" i="62" s="1"/>
  <c r="E15" i="62" a="1"/>
  <c r="E15" i="62" s="1"/>
  <c r="H15" i="62" a="1"/>
  <c r="H15" i="62" s="1"/>
  <c r="C15" i="63" a="1"/>
  <c r="C15" i="63" s="1"/>
  <c r="F15" i="63" a="1"/>
  <c r="F15" i="63" s="1"/>
  <c r="D15" i="63" a="1"/>
  <c r="D15" i="63" s="1"/>
  <c r="D15" i="62" a="1"/>
  <c r="D15" i="62" s="1"/>
  <c r="C115" i="47"/>
  <c r="C116" i="47" l="1"/>
  <c r="C117" i="47" l="1"/>
  <c r="C118" i="47" l="1"/>
  <c r="C119" i="47" l="1"/>
  <c r="C120" i="47" l="1"/>
  <c r="C121" i="47" l="1"/>
  <c r="C122" i="47" l="1"/>
  <c r="C123" i="47" l="1"/>
  <c r="C124" i="47" l="1"/>
  <c r="C125" i="47" l="1"/>
  <c r="C126" i="47" l="1"/>
  <c r="C127" i="47" l="1"/>
  <c r="C128" i="47" l="1"/>
  <c r="C129" i="47" l="1"/>
  <c r="C130" i="47" l="1"/>
  <c r="C131" i="47" l="1"/>
  <c r="C132" i="47" l="1"/>
  <c r="C133" i="47" l="1"/>
  <c r="C134" i="47" l="1"/>
  <c r="C135" i="47" l="1"/>
  <c r="C136" i="47" l="1"/>
  <c r="C137" i="47" l="1"/>
  <c r="C138" i="47" l="1"/>
  <c r="C139" i="47" l="1"/>
  <c r="C140" i="47" l="1"/>
  <c r="C141" i="47" l="1"/>
  <c r="C142" i="47" l="1"/>
  <c r="C143" i="47" l="1"/>
  <c r="C144" i="47" l="1"/>
  <c r="C145" i="47" l="1"/>
  <c r="C146" i="47" l="1"/>
  <c r="C147" i="47" l="1"/>
  <c r="C148" i="47" l="1"/>
  <c r="C149" i="47" l="1"/>
  <c r="C150" i="47" l="1"/>
  <c r="C151" i="47" l="1"/>
  <c r="C152" i="47" l="1"/>
  <c r="C153" i="47" l="1"/>
  <c r="C154" i="47" l="1"/>
  <c r="C155" i="47" l="1"/>
  <c r="C156" i="47" l="1"/>
  <c r="C157" i="47" l="1"/>
  <c r="C158" i="47" l="1"/>
  <c r="C159" i="47" l="1"/>
  <c r="C160" i="47" l="1"/>
  <c r="C161" i="47" l="1"/>
  <c r="C162" i="47" l="1"/>
  <c r="C163" i="47" l="1"/>
  <c r="C165" i="47" l="1"/>
  <c r="C166" i="47" l="1"/>
  <c r="C167" i="47" l="1"/>
  <c r="C168" i="47" l="1"/>
  <c r="C169" i="47" l="1"/>
  <c r="C170" i="47" l="1"/>
  <c r="C171" i="47" l="1"/>
  <c r="C172" i="47" l="1"/>
  <c r="C173" i="47" l="1"/>
  <c r="C174" i="47" l="1"/>
  <c r="C175" i="47" l="1"/>
  <c r="C176" i="47" l="1"/>
  <c r="C177" i="47" l="1"/>
  <c r="C178" i="47" l="1"/>
  <c r="C179" i="47" l="1"/>
  <c r="C180" i="47" l="1"/>
  <c r="C181" i="47" l="1"/>
  <c r="C182" i="47" l="1"/>
  <c r="C183" i="47" l="1"/>
  <c r="C184" i="47" l="1"/>
  <c r="C185" i="47" l="1"/>
  <c r="C186" i="47" l="1"/>
  <c r="C187" i="47" l="1"/>
  <c r="C188" i="47" l="1"/>
  <c r="C189" i="47" l="1"/>
  <c r="C190" i="47" l="1"/>
  <c r="C191" i="47" l="1"/>
  <c r="C192" i="47" l="1"/>
  <c r="C193" i="47" l="1"/>
  <c r="C194" i="47" l="1"/>
  <c r="C195" i="47" l="1"/>
  <c r="C196" i="47" l="1"/>
  <c r="C197" i="47" l="1"/>
  <c r="C198" i="47" l="1"/>
  <c r="C199" i="47" l="1"/>
  <c r="C200" i="47" l="1"/>
  <c r="C201" i="47" l="1"/>
  <c r="C202" i="47" l="1"/>
  <c r="C203" i="47" l="1"/>
  <c r="C204" i="47" l="1"/>
  <c r="C205" i="47" l="1"/>
  <c r="C206" i="47" l="1"/>
  <c r="C207" i="47" l="1"/>
  <c r="C208" i="47" l="1"/>
  <c r="C209" i="47" l="1"/>
  <c r="C210" i="47" l="1"/>
  <c r="C211" i="47" l="1"/>
  <c r="C212" i="47" l="1"/>
  <c r="C213" i="47" l="1"/>
  <c r="C215" i="47" l="1"/>
  <c r="C216" i="47" l="1"/>
  <c r="C217" i="47" l="1"/>
  <c r="C218" i="47" l="1"/>
  <c r="C219" i="47" l="1"/>
  <c r="C220" i="47" l="1"/>
  <c r="C221" i="47" l="1"/>
  <c r="C222" i="47" l="1"/>
  <c r="C223" i="47" l="1"/>
  <c r="C224" i="47" l="1"/>
  <c r="C225" i="47" l="1"/>
  <c r="C226" i="47" l="1"/>
  <c r="C227" i="47" l="1"/>
  <c r="C228" i="47" l="1"/>
  <c r="C229" i="47" l="1"/>
  <c r="C230" i="47" l="1"/>
  <c r="C231" i="47" l="1"/>
  <c r="C232" i="47" l="1"/>
  <c r="C233" i="47" l="1"/>
  <c r="C234" i="47" l="1"/>
  <c r="C235" i="47" l="1"/>
  <c r="C236" i="47" l="1"/>
  <c r="C237" i="47" l="1"/>
  <c r="C238" i="47" l="1"/>
  <c r="C239" i="47" l="1"/>
  <c r="C240" i="47" l="1"/>
  <c r="C241" i="47" l="1"/>
  <c r="C242" i="47" l="1"/>
  <c r="C243" i="47" l="1"/>
  <c r="C244" i="47" l="1"/>
  <c r="C245" i="47" l="1"/>
  <c r="C246" i="47" l="1"/>
  <c r="C247" i="47" l="1"/>
  <c r="C248" i="47" l="1"/>
  <c r="C249" i="47" l="1"/>
  <c r="C250" i="47" l="1"/>
  <c r="C251" i="47" l="1"/>
  <c r="C252" i="47" l="1"/>
  <c r="C253" i="47" l="1"/>
  <c r="C254" i="47" l="1"/>
  <c r="C255" i="47" l="1"/>
  <c r="C256" i="47" l="1"/>
  <c r="C257" i="47" l="1"/>
  <c r="C258" i="47" l="1"/>
  <c r="C259" i="47" l="1"/>
  <c r="C260" i="47" l="1"/>
  <c r="C261" i="47" l="1"/>
  <c r="C262" i="47" l="1"/>
  <c r="C263" i="47" l="1"/>
  <c r="C265" i="47" l="1"/>
  <c r="C266" i="47" l="1"/>
  <c r="C267" i="47" l="1"/>
  <c r="C268" i="47" l="1"/>
  <c r="C269" i="47" l="1"/>
  <c r="C270" i="47" l="1"/>
  <c r="C271" i="47" l="1"/>
  <c r="C272" i="47" l="1"/>
  <c r="C273" i="47" l="1"/>
  <c r="C274" i="47" l="1"/>
  <c r="C275" i="47" l="1"/>
  <c r="C276" i="47" l="1"/>
  <c r="C277" i="47" l="1"/>
  <c r="C278" i="47" l="1"/>
  <c r="C279" i="47" l="1"/>
  <c r="C280" i="47" l="1"/>
  <c r="C281" i="47" l="1"/>
  <c r="C282" i="47" l="1"/>
  <c r="C283" i="47" l="1"/>
  <c r="C284" i="47" l="1"/>
  <c r="C285" i="47" l="1"/>
  <c r="C286" i="47" l="1"/>
  <c r="C287" i="47" l="1"/>
  <c r="C288" i="47" l="1"/>
  <c r="C289" i="47" l="1"/>
  <c r="C290" i="47" l="1"/>
  <c r="C291" i="47" l="1"/>
  <c r="C292" i="47" l="1"/>
  <c r="C293" i="47" l="1"/>
  <c r="C294" i="47" l="1"/>
  <c r="C295" i="47" l="1"/>
  <c r="C296" i="47" l="1"/>
  <c r="C297" i="47" l="1"/>
  <c r="C298" i="47" l="1"/>
  <c r="C299" i="47" l="1"/>
  <c r="C300" i="47" l="1"/>
  <c r="C301" i="47" l="1"/>
  <c r="C302" i="47" l="1"/>
  <c r="C303" i="47" l="1"/>
  <c r="C304" i="47" l="1"/>
  <c r="C305" i="47" l="1"/>
  <c r="C306" i="47" l="1"/>
  <c r="C307" i="47" l="1"/>
  <c r="C308" i="47" l="1"/>
  <c r="C309" i="47" l="1"/>
  <c r="C310" i="47" l="1"/>
  <c r="C311" i="47" l="1"/>
  <c r="C312" i="47" l="1"/>
  <c r="C313" i="47" l="1"/>
  <c r="C315" i="47" l="1"/>
  <c r="C316" i="47" l="1"/>
  <c r="C317" i="47" l="1"/>
  <c r="C318" i="47" l="1"/>
  <c r="C319" i="47" l="1"/>
  <c r="C320" i="47" l="1"/>
  <c r="C321" i="47" l="1"/>
  <c r="C322" i="47" l="1"/>
  <c r="C323" i="47" l="1"/>
  <c r="C324" i="47" l="1"/>
  <c r="C325" i="47" l="1"/>
  <c r="C326" i="47" l="1"/>
  <c r="C327" i="47" l="1"/>
  <c r="C328" i="47" l="1"/>
  <c r="C329" i="47" l="1"/>
  <c r="C330" i="47" l="1"/>
  <c r="C331" i="47" l="1"/>
  <c r="C332" i="47" l="1"/>
  <c r="C333" i="47" l="1"/>
  <c r="C334" i="47" l="1"/>
  <c r="C335" i="47" l="1"/>
  <c r="C336" i="47" l="1"/>
  <c r="C337" i="47" l="1"/>
  <c r="C338" i="47" l="1"/>
  <c r="C339" i="47" l="1"/>
  <c r="C340" i="47" l="1"/>
  <c r="C341" i="47" l="1"/>
  <c r="C342" i="47" l="1"/>
  <c r="C343" i="47" l="1"/>
  <c r="C344" i="47" l="1"/>
  <c r="C345" i="47" l="1"/>
  <c r="C346" i="47" l="1"/>
  <c r="C347" i="47" l="1"/>
  <c r="C348" i="47" l="1"/>
  <c r="C349" i="47" l="1"/>
  <c r="C350" i="47" l="1"/>
  <c r="C351" i="47" l="1"/>
  <c r="C352" i="47" l="1"/>
  <c r="C353" i="47" l="1"/>
  <c r="C354" i="47" l="1"/>
  <c r="C355" i="47" l="1"/>
  <c r="C356" i="47" l="1"/>
  <c r="C357" i="47" l="1"/>
  <c r="C358" i="47" l="1"/>
  <c r="C359" i="47" l="1"/>
  <c r="C360" i="47" l="1"/>
  <c r="C361" i="47" l="1"/>
  <c r="C362" i="47" l="1"/>
  <c r="C363" i="47" l="1"/>
  <c r="C365" i="47" l="1"/>
  <c r="C366" i="47" l="1"/>
  <c r="C367" i="47" l="1"/>
  <c r="C368" i="47" l="1"/>
  <c r="C369" i="47" l="1"/>
  <c r="C370" i="47" l="1"/>
  <c r="C371" i="47" l="1"/>
  <c r="C372" i="47" l="1"/>
  <c r="C373" i="47" l="1"/>
  <c r="C374" i="47" l="1"/>
  <c r="C375" i="47" l="1"/>
  <c r="C376" i="47" l="1"/>
  <c r="C377" i="47" l="1"/>
  <c r="C378" i="47" l="1"/>
  <c r="C379" i="47" l="1"/>
  <c r="C380" i="47" l="1"/>
  <c r="C381" i="47" l="1"/>
  <c r="C382" i="47" l="1"/>
  <c r="C383" i="47" l="1"/>
  <c r="C384" i="47" l="1"/>
  <c r="C385" i="47" l="1"/>
  <c r="C386" i="47" l="1"/>
  <c r="C387" i="47" l="1"/>
  <c r="C388" i="47" l="1"/>
  <c r="C389" i="47" l="1"/>
  <c r="C390" i="47" l="1"/>
  <c r="C391" i="47" l="1"/>
  <c r="C392" i="47" l="1"/>
  <c r="C393" i="47" l="1"/>
  <c r="C394" i="47" l="1"/>
  <c r="C395" i="47" l="1"/>
  <c r="C396" i="47" l="1"/>
  <c r="C397" i="47" l="1"/>
  <c r="C398" i="47" l="1"/>
  <c r="C399" i="47" l="1"/>
  <c r="C400" i="47" l="1"/>
  <c r="C401" i="47" l="1"/>
  <c r="C402" i="47" l="1"/>
  <c r="C403" i="47" l="1"/>
  <c r="C404" i="47" l="1"/>
  <c r="C405" i="47" l="1"/>
  <c r="C406" i="47" l="1"/>
  <c r="C407" i="47" l="1"/>
  <c r="C408" i="47" l="1"/>
  <c r="C409" i="47" l="1"/>
  <c r="C410" i="47" l="1"/>
  <c r="C411" i="47" l="1"/>
  <c r="C412" i="47" l="1"/>
  <c r="C413" i="47" l="1"/>
  <c r="C415" i="47" l="1"/>
  <c r="C416" i="47" l="1"/>
  <c r="C417" i="47" l="1"/>
  <c r="C418" i="47" l="1"/>
  <c r="C419" i="47" l="1"/>
  <c r="C420" i="47" l="1"/>
  <c r="C421" i="47" l="1"/>
  <c r="C422" i="47" l="1"/>
  <c r="C423" i="47" l="1"/>
  <c r="C424" i="47" l="1"/>
  <c r="C425" i="47" l="1"/>
  <c r="C426" i="47" l="1"/>
  <c r="C427" i="47" l="1"/>
  <c r="C428" i="47" l="1"/>
  <c r="C429" i="47" l="1"/>
  <c r="C430" i="47" l="1"/>
  <c r="C431" i="47" l="1"/>
  <c r="C432" i="47" l="1"/>
  <c r="C433" i="47" l="1"/>
  <c r="C434" i="47" l="1"/>
  <c r="C435" i="47" l="1"/>
  <c r="C436" i="47" l="1"/>
  <c r="C437" i="47" l="1"/>
  <c r="C438" i="47" l="1"/>
  <c r="C439" i="47" l="1"/>
  <c r="C440" i="47" l="1"/>
  <c r="C441" i="47" l="1"/>
  <c r="C442" i="47" l="1"/>
  <c r="C443" i="47" l="1"/>
  <c r="C444" i="47" l="1"/>
  <c r="C445" i="47" l="1"/>
  <c r="C446" i="47" l="1"/>
  <c r="C447" i="47" l="1"/>
  <c r="C448" i="47" l="1"/>
  <c r="C449" i="47" l="1"/>
  <c r="C450" i="47" l="1"/>
  <c r="C451" i="47" l="1"/>
  <c r="C452" i="47" l="1"/>
  <c r="C453" i="47" l="1"/>
  <c r="C454" i="47" l="1"/>
  <c r="C455" i="47" l="1"/>
  <c r="C456" i="47" l="1"/>
  <c r="C457" i="47" l="1"/>
  <c r="C458" i="47" l="1"/>
  <c r="C459" i="47" l="1"/>
  <c r="C460" i="47" l="1"/>
  <c r="C461" i="47" l="1"/>
  <c r="C462" i="47" l="1"/>
  <c r="C463" i="47" l="1"/>
  <c r="C465" i="47" l="1"/>
  <c r="C466" i="47" l="1"/>
  <c r="C467" i="47" l="1"/>
  <c r="C468" i="47" l="1"/>
  <c r="C469" i="47" l="1"/>
  <c r="C470" i="47" l="1"/>
  <c r="C471" i="47" l="1"/>
  <c r="C472" i="47" l="1"/>
  <c r="C473" i="47" l="1"/>
  <c r="C474" i="47" l="1"/>
  <c r="C475" i="47" l="1"/>
  <c r="C476" i="47" l="1"/>
  <c r="C477" i="47" l="1"/>
  <c r="C478" i="47" l="1"/>
  <c r="C479" i="47" l="1"/>
  <c r="C480" i="47" l="1"/>
  <c r="C481" i="47" l="1"/>
  <c r="C482" i="47" l="1"/>
  <c r="C483" i="47" l="1"/>
  <c r="C484" i="47" l="1"/>
  <c r="C485" i="47" l="1"/>
  <c r="C486" i="47" l="1"/>
  <c r="C487" i="47" l="1"/>
  <c r="C488" i="47" l="1"/>
  <c r="C489" i="47" l="1"/>
  <c r="C490" i="47" l="1"/>
  <c r="C491" i="47" l="1"/>
  <c r="C492" i="47" l="1"/>
  <c r="C493" i="47" l="1"/>
  <c r="C494" i="47" l="1"/>
  <c r="C495" i="47" l="1"/>
  <c r="C496" i="47" l="1"/>
  <c r="C497" i="47" l="1"/>
  <c r="C498" i="47" l="1"/>
  <c r="C499" i="47" l="1"/>
  <c r="C500" i="47" l="1"/>
  <c r="C501" i="47" l="1"/>
  <c r="C502" i="47" l="1"/>
  <c r="C503" i="47" l="1"/>
  <c r="C504" i="47" l="1"/>
  <c r="C505" i="47" l="1"/>
  <c r="C506" i="47" l="1"/>
  <c r="C507" i="47" l="1"/>
  <c r="C508" i="47" l="1"/>
  <c r="C509" i="47" l="1"/>
  <c r="C510" i="47" l="1"/>
  <c r="C511" i="47" l="1"/>
  <c r="C512" i="47" l="1"/>
  <c r="C513" i="47" l="1"/>
  <c r="C515" i="47" l="1"/>
  <c r="C516" i="47" l="1"/>
  <c r="C517" i="47" l="1"/>
  <c r="C518" i="47" l="1"/>
  <c r="C519" i="47" l="1"/>
  <c r="C520" i="47" l="1"/>
  <c r="C521" i="47" l="1"/>
  <c r="C522" i="47" l="1"/>
  <c r="C523" i="47" l="1"/>
  <c r="C524" i="47" l="1"/>
  <c r="C525" i="47" l="1"/>
  <c r="C526" i="47" l="1"/>
  <c r="C527" i="47" l="1"/>
  <c r="C528" i="47" l="1"/>
  <c r="C529" i="47" l="1"/>
  <c r="C530" i="47" l="1"/>
  <c r="C531" i="47" l="1"/>
  <c r="C532" i="47" l="1"/>
  <c r="C533" i="47" l="1"/>
  <c r="C534" i="47" l="1"/>
  <c r="C535" i="47" l="1"/>
  <c r="C536" i="47" l="1"/>
  <c r="C537" i="47" l="1"/>
  <c r="C538" i="47" l="1"/>
  <c r="C539" i="47" l="1"/>
  <c r="C540" i="47" l="1"/>
  <c r="C541" i="47" l="1"/>
  <c r="C542" i="47" l="1"/>
  <c r="C543" i="47" l="1"/>
  <c r="C544" i="47" l="1"/>
  <c r="C545" i="47" l="1"/>
  <c r="C546" i="47" l="1"/>
  <c r="C547" i="47" l="1"/>
  <c r="C548" i="47" l="1"/>
  <c r="C549" i="47" l="1"/>
  <c r="C550" i="47" l="1"/>
  <c r="C551" i="47" l="1"/>
  <c r="C552" i="47" l="1"/>
  <c r="C553" i="47" l="1"/>
  <c r="C554" i="47" l="1"/>
  <c r="C555" i="47" l="1"/>
  <c r="C556" i="47" l="1"/>
  <c r="C557" i="47" l="1"/>
  <c r="C558" i="47" l="1"/>
  <c r="C559" i="47" l="1"/>
  <c r="C560" i="47" l="1"/>
  <c r="C561" i="47" l="1"/>
  <c r="C562" i="47" l="1"/>
  <c r="C563" i="47" l="1"/>
  <c r="C565" i="47" l="1"/>
  <c r="C566" i="47" l="1"/>
  <c r="C567" i="47" l="1"/>
  <c r="C568" i="47" l="1"/>
  <c r="C569" i="47" l="1"/>
  <c r="C570" i="47" l="1"/>
  <c r="C571" i="47" l="1"/>
  <c r="C572" i="47" l="1"/>
  <c r="C573" i="47" l="1"/>
  <c r="C574" i="47" l="1"/>
  <c r="C575" i="47" l="1"/>
  <c r="C576" i="47" l="1"/>
  <c r="C577" i="47" l="1"/>
  <c r="C578" i="47" l="1"/>
  <c r="C579" i="47" l="1"/>
  <c r="C580" i="47" l="1"/>
  <c r="C581" i="47" l="1"/>
  <c r="C582" i="47" l="1"/>
  <c r="C583" i="47" l="1"/>
  <c r="C584" i="47" l="1"/>
  <c r="C585" i="47" l="1"/>
  <c r="C586" i="47" l="1"/>
  <c r="C587" i="47" l="1"/>
  <c r="C588" i="47" l="1"/>
  <c r="C589" i="47" l="1"/>
  <c r="C590" i="47" l="1"/>
  <c r="C591" i="47" l="1"/>
  <c r="C592" i="47" l="1"/>
  <c r="C593" i="47" l="1"/>
  <c r="C594" i="47" l="1"/>
  <c r="C595" i="47" l="1"/>
  <c r="C596" i="47" l="1"/>
  <c r="C597" i="47" l="1"/>
  <c r="C598" i="47" l="1"/>
  <c r="C599" i="47" l="1"/>
  <c r="C600" i="47" l="1"/>
  <c r="C601" i="47" l="1"/>
  <c r="C602" i="47" l="1"/>
  <c r="C603" i="47" l="1"/>
  <c r="C604" i="47" l="1"/>
  <c r="C605" i="47" l="1"/>
  <c r="C606" i="47" l="1"/>
  <c r="C607" i="47" l="1"/>
  <c r="C608" i="47" l="1"/>
  <c r="C609" i="47" l="1"/>
  <c r="C610" i="47" l="1"/>
  <c r="C611" i="47" l="1"/>
  <c r="C612" i="47" l="1"/>
  <c r="C613" i="47" l="1"/>
  <c r="C615" i="47" l="1"/>
  <c r="C616" i="47" l="1"/>
  <c r="C617" i="47" l="1"/>
  <c r="C618" i="47" l="1"/>
  <c r="C619" i="47" l="1"/>
  <c r="C620" i="47" l="1"/>
  <c r="C621" i="47" l="1"/>
  <c r="C622" i="47" l="1"/>
  <c r="C623" i="47" l="1"/>
  <c r="C624" i="47" l="1"/>
  <c r="C625" i="47" l="1"/>
  <c r="C626" i="47" l="1"/>
  <c r="C627" i="47" l="1"/>
  <c r="C628" i="47" l="1"/>
  <c r="C629" i="47" l="1"/>
  <c r="C630" i="47" l="1"/>
  <c r="C631" i="47" l="1"/>
  <c r="C632" i="47" l="1"/>
  <c r="C633" i="47" l="1"/>
  <c r="C634" i="47" l="1"/>
  <c r="C635" i="47" l="1"/>
  <c r="C636" i="47" l="1"/>
  <c r="C637" i="47" l="1"/>
  <c r="C638" i="47" l="1"/>
  <c r="C639" i="47" l="1"/>
  <c r="C640" i="47" l="1"/>
  <c r="C641" i="47" l="1"/>
  <c r="C642" i="47" l="1"/>
  <c r="C643" i="47" l="1"/>
  <c r="C644" i="47" l="1"/>
  <c r="C645" i="47" l="1"/>
  <c r="C646" i="47" l="1"/>
  <c r="C647" i="47" l="1"/>
  <c r="C648" i="47" l="1"/>
  <c r="C649" i="47" l="1"/>
  <c r="C650" i="47" l="1"/>
  <c r="C651" i="47" l="1"/>
  <c r="C652" i="47" l="1"/>
  <c r="C653" i="47" l="1"/>
  <c r="C654" i="47" l="1"/>
  <c r="C655" i="47" l="1"/>
  <c r="C656" i="47" l="1"/>
  <c r="C657" i="47" l="1"/>
  <c r="C658" i="47" l="1"/>
  <c r="C659" i="47" l="1"/>
  <c r="C660" i="47" l="1"/>
  <c r="C661" i="47" l="1"/>
  <c r="C662" i="47" l="1"/>
  <c r="C663" i="47" l="1"/>
  <c r="C665" i="47" l="1"/>
  <c r="C666" i="47" l="1"/>
  <c r="C667" i="47" l="1"/>
  <c r="C668" i="47" l="1"/>
  <c r="C669" i="47" l="1"/>
  <c r="C670" i="47" l="1"/>
  <c r="C671" i="47" l="1"/>
  <c r="C672" i="47" l="1"/>
  <c r="C673" i="47" l="1"/>
  <c r="C674" i="47" l="1"/>
  <c r="C675" i="47" l="1"/>
  <c r="C676" i="47" l="1"/>
  <c r="C677" i="47" l="1"/>
  <c r="C678" i="47" l="1"/>
  <c r="C679" i="47" l="1"/>
  <c r="C680" i="47" l="1"/>
  <c r="C681" i="47" l="1"/>
  <c r="C682" i="47" l="1"/>
  <c r="C683" i="47" l="1"/>
  <c r="C684" i="47" l="1"/>
  <c r="C685" i="47" l="1"/>
  <c r="C686" i="47" l="1"/>
  <c r="C687" i="47" l="1"/>
  <c r="C688" i="47" l="1"/>
  <c r="C689" i="47" l="1"/>
  <c r="C690" i="47" l="1"/>
  <c r="C691" i="47" l="1"/>
  <c r="C692" i="47" l="1"/>
  <c r="C693" i="47" l="1"/>
  <c r="C694" i="47" l="1"/>
  <c r="C695" i="47" l="1"/>
  <c r="C696" i="47" l="1"/>
  <c r="C697" i="47" l="1"/>
  <c r="C698" i="47" l="1"/>
  <c r="C699" i="47" l="1"/>
  <c r="C700" i="47" l="1"/>
  <c r="C701" i="47" l="1"/>
  <c r="C702" i="47" l="1"/>
  <c r="C703" i="47" l="1"/>
  <c r="C704" i="47" l="1"/>
  <c r="C705" i="47" l="1"/>
  <c r="C706" i="47" l="1"/>
  <c r="C707" i="47" l="1"/>
  <c r="C708" i="47" l="1"/>
  <c r="C709" i="47" l="1"/>
  <c r="C710" i="47" l="1"/>
  <c r="C711" i="47" l="1"/>
  <c r="C712" i="47" l="1"/>
  <c r="C713" i="47" l="1"/>
  <c r="C715" i="47" l="1"/>
  <c r="C716" i="47" l="1"/>
  <c r="C717" i="47" l="1"/>
  <c r="C718" i="47" l="1"/>
  <c r="C719" i="47" l="1"/>
  <c r="C720" i="47" l="1"/>
  <c r="C721" i="47" l="1"/>
  <c r="C722" i="47" l="1"/>
  <c r="C723" i="47" l="1"/>
  <c r="C724" i="47" l="1"/>
  <c r="C725" i="47" l="1"/>
  <c r="C726" i="47" l="1"/>
  <c r="C727" i="47" l="1"/>
  <c r="C728" i="47" l="1"/>
  <c r="C729" i="47" l="1"/>
  <c r="C730" i="47" l="1"/>
  <c r="C731" i="47" l="1"/>
  <c r="C732" i="47" l="1"/>
  <c r="C733" i="47" l="1"/>
  <c r="C734" i="47" l="1"/>
  <c r="C735" i="47" l="1"/>
  <c r="C736" i="47" l="1"/>
  <c r="C737" i="47" l="1"/>
  <c r="C738" i="47" l="1"/>
  <c r="C739" i="47" l="1"/>
  <c r="C740" i="47" l="1"/>
  <c r="C741" i="47" l="1"/>
  <c r="C742" i="47" l="1"/>
  <c r="C743" i="47" l="1"/>
  <c r="C744" i="47" l="1"/>
  <c r="C745" i="47" l="1"/>
  <c r="C746" i="47" l="1"/>
  <c r="C747" i="47" l="1"/>
  <c r="C748" i="47" l="1"/>
  <c r="C749" i="47" l="1"/>
  <c r="C750" i="47" l="1"/>
  <c r="C751" i="47" l="1"/>
  <c r="C752" i="47" l="1"/>
  <c r="C753" i="47" l="1"/>
  <c r="C754" i="47" l="1"/>
  <c r="C755" i="47" l="1"/>
  <c r="C756" i="47" l="1"/>
  <c r="C757" i="47" l="1"/>
  <c r="C758" i="47" l="1"/>
  <c r="C759" i="47" l="1"/>
  <c r="C760" i="47" l="1"/>
  <c r="C761" i="47" l="1"/>
  <c r="C762" i="47" l="1"/>
  <c r="C763" i="47" l="1"/>
  <c r="C765" i="47" l="1"/>
  <c r="C766" i="47" l="1"/>
  <c r="C767" i="47" l="1"/>
  <c r="C768" i="47" l="1"/>
  <c r="C769" i="47" l="1"/>
  <c r="C770" i="47" l="1"/>
  <c r="C771" i="47" l="1"/>
  <c r="C772" i="47" l="1"/>
  <c r="C773" i="47" l="1"/>
  <c r="C774" i="47" l="1"/>
  <c r="C775" i="47" l="1"/>
  <c r="C776" i="47" l="1"/>
  <c r="C777" i="47" l="1"/>
  <c r="C778" i="47" l="1"/>
  <c r="C779" i="47" l="1"/>
  <c r="C780" i="47" l="1"/>
  <c r="C781" i="47" l="1"/>
  <c r="C782" i="47" l="1"/>
  <c r="C783" i="47" l="1"/>
  <c r="C784" i="47" l="1"/>
  <c r="C785" i="47" l="1"/>
  <c r="C786" i="47" l="1"/>
  <c r="C787" i="47" l="1"/>
  <c r="C788" i="47" l="1"/>
  <c r="C789" i="47" l="1"/>
  <c r="C790" i="47" l="1"/>
  <c r="C791" i="47" l="1"/>
  <c r="C792" i="47" l="1"/>
  <c r="C793" i="47" l="1"/>
  <c r="C794" i="47" l="1"/>
  <c r="C795" i="47" l="1"/>
  <c r="C796" i="47" l="1"/>
  <c r="C797" i="47" l="1"/>
  <c r="C798" i="47" l="1"/>
  <c r="C799" i="47" l="1"/>
  <c r="C800" i="47" l="1"/>
  <c r="C801" i="47" l="1"/>
  <c r="C802" i="47" l="1"/>
  <c r="C803" i="47" l="1"/>
  <c r="C804" i="47" l="1"/>
  <c r="C805" i="47" l="1"/>
  <c r="C806" i="47" l="1"/>
  <c r="C807" i="47" l="1"/>
  <c r="C808" i="47" l="1"/>
  <c r="C809" i="47" l="1"/>
  <c r="C810" i="47" l="1"/>
  <c r="C811" i="47" l="1"/>
  <c r="C812" i="47" l="1"/>
  <c r="C813" i="47" l="1"/>
  <c r="C815" i="47" l="1"/>
  <c r="C816" i="47" l="1"/>
  <c r="C817" i="47" l="1"/>
  <c r="C818" i="47" l="1"/>
  <c r="C819" i="47" l="1"/>
  <c r="C820" i="47" l="1"/>
  <c r="C821" i="47" l="1"/>
  <c r="C822" i="47" l="1"/>
  <c r="C823" i="47" l="1"/>
  <c r="C824" i="47" l="1"/>
  <c r="C825" i="47" l="1"/>
  <c r="C826" i="47" l="1"/>
  <c r="C827" i="47" l="1"/>
  <c r="C828" i="47" l="1"/>
  <c r="C829" i="47" l="1"/>
  <c r="C830" i="47" l="1"/>
  <c r="C831" i="47" l="1"/>
  <c r="C832" i="47" l="1"/>
  <c r="C833" i="47" l="1"/>
  <c r="C834" i="47" l="1"/>
  <c r="C835" i="47" l="1"/>
  <c r="C836" i="47" l="1"/>
  <c r="C837" i="47" l="1"/>
  <c r="C838" i="47" l="1"/>
  <c r="C839" i="47" l="1"/>
  <c r="C840" i="47" l="1"/>
  <c r="C841" i="47" l="1"/>
  <c r="C842" i="47" l="1"/>
  <c r="C843" i="47" l="1"/>
  <c r="C844" i="47" l="1"/>
  <c r="C845" i="47" l="1"/>
  <c r="C846" i="47" l="1"/>
  <c r="C847" i="47" l="1"/>
  <c r="C848" i="47" l="1"/>
  <c r="C849" i="47" l="1"/>
  <c r="C850" i="47" l="1"/>
  <c r="C851" i="47" l="1"/>
  <c r="C852" i="47" l="1"/>
  <c r="C853" i="47" l="1"/>
  <c r="C854" i="47" l="1"/>
  <c r="C855" i="47" l="1"/>
  <c r="C856" i="47" l="1"/>
  <c r="C857" i="47" l="1"/>
  <c r="C858" i="47" l="1"/>
  <c r="C859" i="47" l="1"/>
  <c r="C860" i="47" l="1"/>
  <c r="C861" i="47" l="1"/>
  <c r="C862" i="47" l="1"/>
  <c r="C863" i="47" l="1"/>
  <c r="C865" i="47" l="1"/>
  <c r="C866" i="47" l="1"/>
  <c r="C867" i="47" l="1"/>
  <c r="C868" i="47" l="1"/>
  <c r="C869" i="47" l="1"/>
  <c r="C870" i="47" l="1"/>
  <c r="C871" i="47" l="1"/>
  <c r="C872" i="47" l="1"/>
  <c r="C873" i="47" l="1"/>
  <c r="C874" i="47" l="1"/>
  <c r="C875" i="47" l="1"/>
  <c r="C876" i="47" l="1"/>
  <c r="C877" i="47" l="1"/>
  <c r="C878" i="47" l="1"/>
  <c r="C879" i="47" l="1"/>
  <c r="C880" i="47" l="1"/>
  <c r="C881" i="47" l="1"/>
  <c r="C882" i="47" l="1"/>
  <c r="C883" i="47" l="1"/>
  <c r="C884" i="47" l="1"/>
  <c r="C885" i="47" l="1"/>
  <c r="C886" i="47" l="1"/>
  <c r="C887" i="47" l="1"/>
  <c r="C888" i="47" l="1"/>
  <c r="C889" i="47" l="1"/>
  <c r="C890" i="47" l="1"/>
  <c r="C891" i="47" l="1"/>
  <c r="C892" i="47" l="1"/>
  <c r="C893" i="47" l="1"/>
  <c r="C894" i="47" l="1"/>
  <c r="C895" i="47" l="1"/>
  <c r="C896" i="47" l="1"/>
  <c r="C897" i="47" l="1"/>
  <c r="C898" i="47" l="1"/>
  <c r="C899" i="47" l="1"/>
  <c r="C900" i="47" l="1"/>
  <c r="C901" i="47" l="1"/>
  <c r="C902" i="47" l="1"/>
  <c r="C903" i="47" l="1"/>
  <c r="C904" i="47" l="1"/>
  <c r="C905" i="47" l="1"/>
  <c r="C906" i="47" l="1"/>
  <c r="C907" i="47" l="1"/>
  <c r="C908" i="47" l="1"/>
  <c r="C909" i="47" l="1"/>
  <c r="C910" i="47" l="1"/>
  <c r="C911" i="47" l="1"/>
  <c r="C912" i="47" l="1"/>
  <c r="C913" i="47" l="1"/>
  <c r="C915" i="47" l="1"/>
  <c r="C916" i="47" l="1"/>
  <c r="C917" i="47" l="1"/>
  <c r="C918" i="47" l="1"/>
  <c r="C919" i="47" l="1"/>
  <c r="C920" i="47" l="1"/>
  <c r="C921" i="47" l="1"/>
  <c r="C922" i="47" l="1"/>
  <c r="C923" i="47" l="1"/>
  <c r="C924" i="47" l="1"/>
  <c r="C925" i="47" l="1"/>
  <c r="C926" i="47" l="1"/>
  <c r="C927" i="47" l="1"/>
  <c r="C928" i="47" l="1"/>
  <c r="C929" i="47" l="1"/>
  <c r="C930" i="47" l="1"/>
  <c r="C931" i="47" l="1"/>
  <c r="C932" i="47" l="1"/>
  <c r="C933" i="47" l="1"/>
  <c r="C934" i="47" l="1"/>
  <c r="C935" i="47" l="1"/>
  <c r="C936" i="47" l="1"/>
  <c r="C937" i="47" l="1"/>
  <c r="C938" i="47" l="1"/>
  <c r="C939" i="47" l="1"/>
  <c r="C940" i="47" l="1"/>
  <c r="C941" i="47" l="1"/>
  <c r="C942" i="47" l="1"/>
  <c r="C943" i="47" l="1"/>
  <c r="C944" i="47" l="1"/>
  <c r="C945" i="47" l="1"/>
  <c r="C946" i="47" l="1"/>
  <c r="C947" i="47" l="1"/>
  <c r="C948" i="47" l="1"/>
  <c r="C949" i="47" l="1"/>
  <c r="C950" i="47" l="1"/>
  <c r="C951" i="47" l="1"/>
  <c r="C952" i="47" l="1"/>
  <c r="C953" i="47" l="1"/>
  <c r="C954" i="47" l="1"/>
  <c r="C955" i="47" l="1"/>
  <c r="C956" i="47" l="1"/>
  <c r="C957" i="47" l="1"/>
  <c r="C958" i="47" l="1"/>
  <c r="C959" i="47" l="1"/>
  <c r="C960" i="47" l="1"/>
  <c r="C961" i="47" l="1"/>
  <c r="C962" i="47" l="1"/>
  <c r="C963" i="47" l="1"/>
  <c r="C965" i="47" l="1"/>
  <c r="C966" i="47" l="1"/>
  <c r="C967" i="47" l="1"/>
  <c r="C968" i="47" l="1"/>
  <c r="C969" i="47" l="1"/>
  <c r="C970" i="47" l="1"/>
  <c r="C971" i="47" l="1"/>
  <c r="C972" i="47" l="1"/>
  <c r="C973" i="47" l="1"/>
  <c r="C974" i="47" l="1"/>
  <c r="C975" i="47" l="1"/>
  <c r="C976" i="47" l="1"/>
  <c r="C977" i="47" l="1"/>
  <c r="C978" i="47" l="1"/>
  <c r="C979" i="47" l="1"/>
  <c r="C980" i="47" l="1"/>
  <c r="C981" i="47" l="1"/>
  <c r="C982" i="47" l="1"/>
  <c r="C983" i="47" l="1"/>
  <c r="C984" i="47" l="1"/>
  <c r="C985" i="47" l="1"/>
  <c r="C986" i="47" l="1"/>
  <c r="C987" i="47" l="1"/>
  <c r="C988" i="47" l="1"/>
  <c r="C989" i="47" l="1"/>
  <c r="C990" i="47" l="1"/>
  <c r="C991" i="47" l="1"/>
  <c r="C992" i="47" l="1"/>
  <c r="C993" i="47" l="1"/>
  <c r="C994" i="47" l="1"/>
  <c r="C995" i="47" l="1"/>
  <c r="C996" i="47" l="1"/>
  <c r="C997" i="47" l="1"/>
  <c r="C998" i="47" l="1"/>
  <c r="C999" i="47" l="1"/>
  <c r="C1000" i="47" l="1"/>
  <c r="C1001" i="47" l="1"/>
  <c r="C1002" i="47" l="1"/>
  <c r="C1003" i="47" l="1"/>
  <c r="C1004" i="47" l="1"/>
  <c r="C1005" i="47" l="1"/>
  <c r="C1006" i="47" l="1"/>
  <c r="C1007" i="47" l="1"/>
  <c r="C1008" i="47" l="1"/>
  <c r="C1009" i="47" l="1"/>
  <c r="C1010" i="47" l="1"/>
  <c r="C1011" i="47" l="1"/>
  <c r="C1012" i="47" l="1"/>
  <c r="C1013" i="47" l="1"/>
  <c r="C1015" i="47" l="1"/>
  <c r="C1016" i="47" l="1"/>
  <c r="C1017" i="47" l="1"/>
  <c r="C1018" i="47" l="1"/>
  <c r="C1019" i="47" l="1"/>
  <c r="C1020" i="47" l="1"/>
  <c r="C1021" i="47" l="1"/>
  <c r="C1022" i="47" l="1"/>
  <c r="C1023" i="47" l="1"/>
  <c r="C1024" i="47" l="1"/>
  <c r="C1025" i="47" l="1"/>
  <c r="C1026" i="47" l="1"/>
  <c r="C1027" i="47" l="1"/>
  <c r="C1028" i="47" l="1"/>
  <c r="C1029" i="47" l="1"/>
  <c r="C1030" i="47" l="1"/>
  <c r="C1031" i="47" l="1"/>
  <c r="C1032" i="47" l="1"/>
  <c r="C1033" i="47" l="1"/>
  <c r="C1034" i="47" l="1"/>
  <c r="C1035" i="47" l="1"/>
  <c r="C1036" i="47" l="1"/>
  <c r="C1037" i="47" l="1"/>
  <c r="C1038" i="47" l="1"/>
  <c r="C1039" i="47" l="1"/>
  <c r="C1040" i="47" l="1"/>
  <c r="C1041" i="47" l="1"/>
  <c r="C1042" i="47" l="1"/>
  <c r="C1043" i="47" l="1"/>
  <c r="C1044" i="47" l="1"/>
  <c r="C1045" i="47" l="1"/>
  <c r="C1046" i="47" l="1"/>
  <c r="C1047" i="47" l="1"/>
  <c r="C1048" i="47" l="1"/>
  <c r="C1049" i="47" l="1"/>
  <c r="C1050" i="47" l="1"/>
  <c r="C1051" i="47" l="1"/>
  <c r="C1052" i="47" l="1"/>
  <c r="C1053" i="47" l="1"/>
  <c r="C1054" i="47" l="1"/>
  <c r="C1055" i="47" l="1"/>
  <c r="C1056" i="47" l="1"/>
  <c r="C1057" i="47" l="1"/>
  <c r="C1058" i="47" l="1"/>
  <c r="C1059" i="47" l="1"/>
  <c r="C1060" i="47" l="1"/>
  <c r="C1061" i="47" l="1"/>
  <c r="C1062" i="47" l="1"/>
  <c r="C1063" i="47" l="1"/>
  <c r="C1065" i="47" l="1"/>
  <c r="C1066" i="47" l="1"/>
  <c r="C1067" i="47" l="1"/>
  <c r="C1068" i="47" l="1"/>
  <c r="C1069" i="47" l="1"/>
  <c r="C1070" i="47" l="1"/>
  <c r="C1071" i="47" l="1"/>
  <c r="C1072" i="47" l="1"/>
  <c r="C1073" i="47" l="1"/>
  <c r="C1074" i="47" l="1"/>
  <c r="C1075" i="47" l="1"/>
  <c r="C1076" i="47" l="1"/>
  <c r="C1077" i="47" l="1"/>
  <c r="C1078" i="47" l="1"/>
  <c r="C1079" i="47" l="1"/>
  <c r="C1080" i="47" l="1"/>
  <c r="C1081" i="47" l="1"/>
  <c r="C1082" i="47" l="1"/>
  <c r="C1083" i="47" l="1"/>
  <c r="C1084" i="47" l="1"/>
  <c r="C1085" i="47" l="1"/>
  <c r="C1086" i="47" l="1"/>
  <c r="C1087" i="47" l="1"/>
  <c r="C1088" i="47" l="1"/>
  <c r="C1089" i="47" l="1"/>
  <c r="C1090" i="47" l="1"/>
  <c r="C1091" i="47" l="1"/>
  <c r="C1092" i="47" l="1"/>
  <c r="C1093" i="47" l="1"/>
  <c r="C1094" i="47" l="1"/>
  <c r="C1095" i="47" l="1"/>
  <c r="C1096" i="47" l="1"/>
  <c r="C1097" i="47" l="1"/>
  <c r="C1098" i="47" l="1"/>
  <c r="C1099" i="47" l="1"/>
  <c r="C1100" i="47" l="1"/>
  <c r="C1101" i="47" l="1"/>
  <c r="C1102" i="47" l="1"/>
  <c r="C1103" i="47" l="1"/>
  <c r="C1104" i="47" l="1"/>
  <c r="C1105" i="47" l="1"/>
  <c r="C1106" i="47" l="1"/>
  <c r="C1107" i="47" l="1"/>
  <c r="C1108" i="47" l="1"/>
  <c r="C1109" i="47" l="1"/>
  <c r="C1110" i="47" l="1"/>
  <c r="C1111" i="47" l="1"/>
  <c r="C1112" i="47" l="1"/>
  <c r="C1113" i="47" l="1"/>
  <c r="C1115" i="47" l="1"/>
  <c r="C1116" i="47" l="1"/>
  <c r="C1117" i="47" l="1"/>
  <c r="C1118" i="47" l="1"/>
  <c r="C1119" i="47" l="1"/>
  <c r="C1120" i="47" l="1"/>
  <c r="C1121" i="47" l="1"/>
  <c r="C1122" i="47" l="1"/>
  <c r="C1123" i="47" l="1"/>
  <c r="C1124" i="47" l="1"/>
  <c r="C1125" i="47" l="1"/>
  <c r="C1126" i="47" l="1"/>
  <c r="C1127" i="47" l="1"/>
  <c r="C1128" i="47" l="1"/>
  <c r="C1129" i="47" l="1"/>
  <c r="C1130" i="47" l="1"/>
  <c r="C1131" i="47" l="1"/>
  <c r="C1132" i="47" l="1"/>
  <c r="C1133" i="47" l="1"/>
  <c r="C1134" i="47" l="1"/>
  <c r="C1135" i="47" l="1"/>
  <c r="C1136" i="47" l="1"/>
  <c r="C1137" i="47" l="1"/>
  <c r="C1138" i="47" l="1"/>
  <c r="C1139" i="47" l="1"/>
  <c r="C1140" i="47" l="1"/>
  <c r="C1141" i="47" l="1"/>
  <c r="C1142" i="47" l="1"/>
  <c r="C1143" i="47" l="1"/>
  <c r="C1144" i="47" l="1"/>
  <c r="C1145" i="47" l="1"/>
  <c r="C1146" i="47" l="1"/>
  <c r="C1147" i="47" l="1"/>
  <c r="C1148" i="47" l="1"/>
  <c r="C1149" i="47" l="1"/>
  <c r="C1150" i="47" l="1"/>
  <c r="C1151" i="47" l="1"/>
  <c r="C1152" i="47" l="1"/>
  <c r="C1153" i="47" l="1"/>
  <c r="C1154" i="47" l="1"/>
  <c r="C1155" i="47" l="1"/>
  <c r="C1156" i="47" l="1"/>
  <c r="C1157" i="47" l="1"/>
  <c r="C1158" i="47" l="1"/>
  <c r="C1159" i="47" l="1"/>
  <c r="C1160" i="47" l="1"/>
  <c r="C1161" i="47" l="1"/>
  <c r="C1162" i="47" l="1"/>
  <c r="C1163" i="47" l="1"/>
  <c r="C1165" i="47" l="1"/>
  <c r="C1166" i="47" l="1"/>
  <c r="C1167" i="47" l="1"/>
  <c r="C1168" i="47" l="1"/>
  <c r="C1169" i="47" l="1"/>
  <c r="C1170" i="47" l="1"/>
  <c r="C1171" i="47" l="1"/>
  <c r="C1172" i="47" l="1"/>
  <c r="C1173" i="47" l="1"/>
  <c r="C1174" i="47" l="1"/>
  <c r="C1175" i="47" l="1"/>
  <c r="C1176" i="47" l="1"/>
  <c r="C1177" i="47" l="1"/>
  <c r="C1178" i="47" l="1"/>
  <c r="C1179" i="47" l="1"/>
  <c r="C1180" i="47" l="1"/>
  <c r="C1181" i="47" l="1"/>
  <c r="C1182" i="47" l="1"/>
  <c r="C1183" i="47" l="1"/>
  <c r="C1184" i="47" l="1"/>
  <c r="C1185" i="47" l="1"/>
  <c r="C1186" i="47" l="1"/>
  <c r="C1187" i="47" l="1"/>
  <c r="C1188" i="47" l="1"/>
  <c r="C1189" i="47" l="1"/>
  <c r="C1190" i="47" l="1"/>
  <c r="C1191" i="47" l="1"/>
  <c r="C1192" i="47" l="1"/>
  <c r="C1193" i="47" l="1"/>
  <c r="C1194" i="47" l="1"/>
  <c r="C1195" i="47" l="1"/>
  <c r="C1196" i="47" l="1"/>
  <c r="C1197" i="47" l="1"/>
  <c r="C1198" i="47" l="1"/>
  <c r="C1199" i="47" l="1"/>
  <c r="C1200" i="47" l="1"/>
  <c r="C1201" i="47" l="1"/>
  <c r="C1202" i="47" l="1"/>
  <c r="C1203" i="47" l="1"/>
  <c r="C1204" i="47" l="1"/>
  <c r="C1205" i="47" l="1"/>
  <c r="C1206" i="47" l="1"/>
  <c r="C1207" i="47" l="1"/>
  <c r="C1208" i="47" l="1"/>
  <c r="C1209" i="47" l="1"/>
  <c r="C1210" i="47" l="1"/>
  <c r="C1211" i="47" l="1"/>
  <c r="C1212" i="47" l="1"/>
  <c r="C1213" i="47" l="1"/>
  <c r="C1215" i="47" l="1"/>
  <c r="C1216" i="47" l="1"/>
  <c r="C1217" i="47" l="1"/>
  <c r="C1218" i="47" l="1"/>
  <c r="C1219" i="47" l="1"/>
  <c r="C1220" i="47" l="1"/>
  <c r="C1221" i="47" l="1"/>
  <c r="C1222" i="47" l="1"/>
  <c r="C1223" i="47" l="1"/>
  <c r="C1224" i="47" l="1"/>
  <c r="C1225" i="47" l="1"/>
  <c r="C1226" i="47" l="1"/>
  <c r="C1227" i="47" l="1"/>
  <c r="C1228" i="47" l="1"/>
  <c r="C1229" i="47" l="1"/>
  <c r="C1230" i="47" l="1"/>
  <c r="C1231" i="47" l="1"/>
  <c r="C1232" i="47" l="1"/>
  <c r="C1233" i="47" l="1"/>
  <c r="C1234" i="47" l="1"/>
  <c r="C1235" i="47" l="1"/>
  <c r="C1236" i="47" l="1"/>
  <c r="C1237" i="47" l="1"/>
  <c r="C1238" i="47" l="1"/>
  <c r="C1239" i="47" l="1"/>
  <c r="C1240" i="47" l="1"/>
  <c r="C1241" i="47" l="1"/>
  <c r="C1242" i="47" l="1"/>
  <c r="C1243" i="47" l="1"/>
  <c r="C1244" i="47" l="1"/>
  <c r="C1245" i="47" l="1"/>
  <c r="C1246" i="47" l="1"/>
  <c r="C1247" i="47" l="1"/>
  <c r="C1248" i="47" l="1"/>
  <c r="C1249" i="47" l="1"/>
  <c r="C1250" i="47" l="1"/>
  <c r="C1251" i="47" l="1"/>
  <c r="C1252" i="47" l="1"/>
  <c r="C1253" i="47" l="1"/>
  <c r="C1254" i="47" l="1"/>
  <c r="C1255" i="47" l="1"/>
  <c r="C1256" i="47" l="1"/>
  <c r="C1257" i="47" l="1"/>
  <c r="C1258" i="47" l="1"/>
  <c r="C1259" i="47" l="1"/>
  <c r="C1260" i="47" l="1"/>
  <c r="C1261" i="47" l="1"/>
  <c r="C1262" i="47" l="1"/>
  <c r="C1263" i="47" l="1"/>
  <c r="C1265" i="47" l="1"/>
  <c r="C1266" i="47" l="1"/>
  <c r="C1267" i="47" l="1"/>
  <c r="C1268" i="47" l="1"/>
  <c r="C1269" i="47" l="1"/>
  <c r="C1270" i="47" l="1"/>
  <c r="C1271" i="47" l="1"/>
  <c r="C1272" i="47" l="1"/>
  <c r="C1273" i="47" l="1"/>
  <c r="C1274" i="47" l="1"/>
  <c r="C1275" i="47" l="1"/>
  <c r="C1276" i="47" l="1"/>
  <c r="C1277" i="47" l="1"/>
  <c r="C1278" i="47" l="1"/>
  <c r="C1279" i="47" l="1"/>
  <c r="C1280" i="47" l="1"/>
  <c r="C1281" i="47" l="1"/>
  <c r="C1282" i="47" l="1"/>
  <c r="C1283" i="47" l="1"/>
  <c r="C1284" i="47" l="1"/>
  <c r="C1285" i="47" l="1"/>
  <c r="C1286" i="47" l="1"/>
  <c r="C1287" i="47" l="1"/>
  <c r="C1288" i="47" l="1"/>
  <c r="C1289" i="47" l="1"/>
  <c r="C1290" i="47" l="1"/>
  <c r="C1291" i="47" l="1"/>
  <c r="C1292" i="47" l="1"/>
  <c r="C1293" i="47" l="1"/>
  <c r="C1294" i="47" l="1"/>
  <c r="C1295" i="47" l="1"/>
  <c r="C1296" i="47" l="1"/>
  <c r="C1297" i="47" l="1"/>
  <c r="C1298" i="47" l="1"/>
  <c r="C1299" i="47" l="1"/>
  <c r="C1300" i="47" l="1"/>
  <c r="C1301" i="47" l="1"/>
  <c r="C1302" i="47" l="1"/>
  <c r="C1303" i="47" l="1"/>
  <c r="C1304" i="47" l="1"/>
  <c r="C1305" i="47" l="1"/>
  <c r="C1306" i="47" l="1"/>
  <c r="C1307" i="47" l="1"/>
  <c r="C1308" i="47" l="1"/>
  <c r="C1309" i="47" l="1"/>
  <c r="C1310" i="47" l="1"/>
  <c r="C1311" i="47" l="1"/>
  <c r="C1312" i="47" l="1"/>
  <c r="C1313" i="47" l="1"/>
  <c r="C1315" i="47" l="1"/>
  <c r="C1316" i="47" l="1"/>
  <c r="C1317" i="47" l="1"/>
  <c r="C1318" i="47" l="1"/>
  <c r="C1319" i="47" l="1"/>
  <c r="C1320" i="47" l="1"/>
  <c r="C1321" i="47" l="1"/>
  <c r="C1322" i="47" l="1"/>
  <c r="C1323" i="47" l="1"/>
  <c r="C1324" i="47" l="1"/>
  <c r="C1325" i="47" l="1"/>
  <c r="C1326" i="47" l="1"/>
  <c r="C1327" i="47" l="1"/>
  <c r="C1328" i="47" l="1"/>
  <c r="C1329" i="47" l="1"/>
  <c r="C1330" i="47" l="1"/>
  <c r="C1331" i="47" l="1"/>
  <c r="C1332" i="47" l="1"/>
  <c r="C1333" i="47" l="1"/>
  <c r="C1334" i="47" l="1"/>
  <c r="C1335" i="47" l="1"/>
  <c r="C1336" i="47" l="1"/>
  <c r="C1337" i="47" l="1"/>
  <c r="C1338" i="47" l="1"/>
  <c r="C1339" i="47" l="1"/>
  <c r="C1340" i="47" l="1"/>
  <c r="C1341" i="47" l="1"/>
  <c r="C1342" i="47" l="1"/>
  <c r="C1343" i="47" l="1"/>
  <c r="C1344" i="47" l="1"/>
  <c r="C1345" i="47" l="1"/>
  <c r="C1346" i="47" l="1"/>
  <c r="C1347" i="47" l="1"/>
  <c r="C1348" i="47" l="1"/>
  <c r="C1349" i="47" l="1"/>
  <c r="C1350" i="47" l="1"/>
  <c r="C1351" i="47" l="1"/>
  <c r="C1352" i="47" l="1"/>
  <c r="C1353" i="47" l="1"/>
  <c r="C1354" i="47" l="1"/>
  <c r="C1355" i="47" l="1"/>
  <c r="C1356" i="47" l="1"/>
  <c r="C1357" i="47" l="1"/>
  <c r="C1358" i="47" l="1"/>
  <c r="C1359" i="47" l="1"/>
  <c r="C1360" i="47" l="1"/>
  <c r="C1361" i="47" l="1"/>
  <c r="C1362" i="47" l="1"/>
  <c r="C1363" i="47" l="1"/>
  <c r="C1365" i="47" l="1"/>
  <c r="C1366" i="47" l="1"/>
  <c r="C1367" i="47" l="1"/>
  <c r="C1368" i="47" l="1"/>
  <c r="C1369" i="47" l="1"/>
  <c r="C1370" i="47" l="1"/>
  <c r="C1371" i="47" l="1"/>
  <c r="C1372" i="47" l="1"/>
  <c r="C1373" i="47" l="1"/>
  <c r="C1374" i="47" l="1"/>
  <c r="C1375" i="47" l="1"/>
  <c r="C1376" i="47" l="1"/>
  <c r="C1377" i="47" l="1"/>
  <c r="C1378" i="47" l="1"/>
  <c r="C1379" i="47" l="1"/>
  <c r="C1380" i="47" l="1"/>
  <c r="C1381" i="47" l="1"/>
  <c r="C1382" i="47" l="1"/>
  <c r="C1383" i="47" l="1"/>
  <c r="C1384" i="47" l="1"/>
  <c r="C1385" i="47" l="1"/>
  <c r="C1386" i="47" l="1"/>
  <c r="C1387" i="47" l="1"/>
  <c r="C1388" i="47" l="1"/>
  <c r="C1389" i="47" l="1"/>
  <c r="C1390" i="47" l="1"/>
  <c r="C1391" i="47" l="1"/>
  <c r="C1392" i="47" l="1"/>
  <c r="C1393" i="47" l="1"/>
  <c r="C1394" i="47" l="1"/>
  <c r="C1395" i="47" l="1"/>
  <c r="C1396" i="47" l="1"/>
  <c r="C1397" i="47" l="1"/>
  <c r="C1398" i="47" l="1"/>
  <c r="C1399" i="47" l="1"/>
  <c r="C1400" i="47" l="1"/>
  <c r="C1401" i="47" l="1"/>
  <c r="C1402" i="47" l="1"/>
  <c r="C1403" i="47" l="1"/>
  <c r="C1404" i="47" l="1"/>
  <c r="C1405" i="47" l="1"/>
  <c r="C1406" i="47" l="1"/>
  <c r="C1407" i="47" l="1"/>
  <c r="C1408" i="47" l="1"/>
  <c r="C1409" i="47" l="1"/>
  <c r="C1410" i="47" l="1"/>
  <c r="C1411" i="47" l="1"/>
  <c r="C1412" i="47" l="1"/>
  <c r="C1413" i="47" l="1"/>
  <c r="C1415" i="47" l="1"/>
  <c r="C1416" i="47" l="1"/>
  <c r="C1417" i="47" l="1"/>
  <c r="C1418" i="47" l="1"/>
  <c r="C1419" i="47" l="1"/>
  <c r="C1420" i="47" l="1"/>
  <c r="C1421" i="47" l="1"/>
  <c r="C1422" i="47" l="1"/>
  <c r="C1423" i="47" l="1"/>
  <c r="C1424" i="47" l="1"/>
  <c r="C1425" i="47" l="1"/>
  <c r="C1426" i="47" l="1"/>
  <c r="C1427" i="47" l="1"/>
  <c r="C1428" i="47" l="1"/>
  <c r="C1429" i="47" l="1"/>
  <c r="C1430" i="47" l="1"/>
  <c r="C1431" i="47" l="1"/>
  <c r="C1432" i="47" l="1"/>
  <c r="C1433" i="47" l="1"/>
  <c r="C1434" i="47" l="1"/>
  <c r="C1435" i="47" l="1"/>
  <c r="C1436" i="47" l="1"/>
  <c r="C1437" i="47" l="1"/>
  <c r="C1438" i="47" l="1"/>
  <c r="C1439" i="47" l="1"/>
  <c r="C1440" i="47" l="1"/>
  <c r="C1441" i="47" l="1"/>
  <c r="C1442" i="47" l="1"/>
  <c r="C1443" i="47" l="1"/>
  <c r="C1444" i="47" l="1"/>
  <c r="C1445" i="47" l="1"/>
  <c r="C1446" i="47" l="1"/>
  <c r="C1447" i="47" l="1"/>
  <c r="C1448" i="47" l="1"/>
  <c r="C1449" i="47" l="1"/>
  <c r="C1450" i="47" l="1"/>
  <c r="C1451" i="47" l="1"/>
  <c r="C1452" i="47" l="1"/>
  <c r="C1453" i="47" l="1"/>
  <c r="C1454" i="47" l="1"/>
  <c r="C1455" i="47" l="1"/>
  <c r="C1456" i="47" l="1"/>
  <c r="C1457" i="47" l="1"/>
  <c r="C1458" i="47" l="1"/>
  <c r="C1459" i="47" l="1"/>
  <c r="C1460" i="47" l="1"/>
  <c r="C1461" i="47" l="1"/>
  <c r="C1462" i="47" l="1"/>
  <c r="C1463" i="47" l="1"/>
  <c r="C1465" i="47" l="1"/>
  <c r="C1466" i="47" l="1"/>
  <c r="C1467" i="47" l="1"/>
  <c r="C1468" i="47" l="1"/>
  <c r="C1469" i="47" l="1"/>
  <c r="C1470" i="47" l="1"/>
  <c r="C1471" i="47" l="1"/>
  <c r="C1472" i="47" l="1"/>
  <c r="C1473" i="47" l="1"/>
  <c r="C1474" i="47" l="1"/>
  <c r="C1475" i="47" l="1"/>
  <c r="C1476" i="47" l="1"/>
  <c r="C1477" i="47" l="1"/>
  <c r="C1478" i="47" l="1"/>
  <c r="C1479" i="47" l="1"/>
  <c r="C1480" i="47" l="1"/>
  <c r="C1481" i="47" l="1"/>
  <c r="C1482" i="47" l="1"/>
  <c r="C1483" i="47" l="1"/>
  <c r="C1484" i="47" l="1"/>
  <c r="C1485" i="47" l="1"/>
  <c r="C1486" i="47" l="1"/>
  <c r="C1487" i="47" l="1"/>
  <c r="C1488" i="47" l="1"/>
  <c r="C1489" i="47" l="1"/>
  <c r="C1490" i="47" l="1"/>
  <c r="C1491" i="47" l="1"/>
  <c r="C1492" i="47" l="1"/>
  <c r="C1493" i="47" l="1"/>
  <c r="C1494" i="47" l="1"/>
  <c r="C1495" i="47" l="1"/>
  <c r="C1496" i="47" l="1"/>
  <c r="C1497" i="47" l="1"/>
  <c r="C1498" i="47" l="1"/>
  <c r="C1499" i="47" l="1"/>
  <c r="C1500" i="47" l="1"/>
  <c r="C1501" i="47" l="1"/>
  <c r="C1502" i="47" l="1"/>
  <c r="C1503" i="47" l="1"/>
  <c r="C1504" i="47" l="1"/>
  <c r="C1505" i="47" l="1"/>
  <c r="C1506" i="47" l="1"/>
  <c r="C1507" i="47" l="1"/>
  <c r="C1508" i="47" l="1"/>
  <c r="C1509" i="47" l="1"/>
  <c r="C1510" i="47" l="1"/>
  <c r="C1511" i="47" l="1"/>
  <c r="C1512" i="47" l="1"/>
  <c r="C1513" i="47" l="1"/>
  <c r="C1515" i="47" l="1"/>
  <c r="C1516" i="47" l="1"/>
  <c r="C1517" i="47" l="1"/>
  <c r="C1518" i="47" l="1"/>
  <c r="C1519" i="47" l="1"/>
  <c r="C1520" i="47" l="1"/>
  <c r="C1521" i="47" l="1"/>
  <c r="C1522" i="47" l="1"/>
  <c r="C1523" i="47" l="1"/>
  <c r="C1524" i="47" l="1"/>
  <c r="C1525" i="47" l="1"/>
  <c r="C1526" i="47" l="1"/>
  <c r="C1527" i="47" l="1"/>
  <c r="C1528" i="47" l="1"/>
  <c r="C1529" i="47" l="1"/>
  <c r="C1530" i="47" l="1"/>
  <c r="C1531" i="47" l="1"/>
  <c r="C1532" i="47" l="1"/>
  <c r="C1533" i="47" l="1"/>
  <c r="C1534" i="47" l="1"/>
  <c r="C1535" i="47" l="1"/>
  <c r="C1536" i="47" l="1"/>
  <c r="C1537" i="47" l="1"/>
  <c r="C1538" i="47" l="1"/>
  <c r="C1539" i="47" l="1"/>
  <c r="C1540" i="47" l="1"/>
  <c r="C1541" i="47" l="1"/>
  <c r="C1542" i="47" l="1"/>
  <c r="C1543" i="47" l="1"/>
  <c r="C1544" i="47" l="1"/>
  <c r="C1545" i="47" l="1"/>
  <c r="C1546" i="47" l="1"/>
  <c r="C1547" i="47" l="1"/>
  <c r="C1548" i="47" l="1"/>
  <c r="C1549" i="47" l="1"/>
  <c r="C1550" i="47" l="1"/>
  <c r="C1551" i="47" l="1"/>
  <c r="C1552" i="47" l="1"/>
  <c r="C1553" i="47" l="1"/>
  <c r="C1554" i="47" l="1"/>
  <c r="C1555" i="47" l="1"/>
  <c r="C1556" i="47" l="1"/>
  <c r="C1557" i="47" l="1"/>
  <c r="C1558" i="47" l="1"/>
  <c r="C1559" i="47" l="1"/>
  <c r="C1560" i="47" l="1"/>
  <c r="C1561" i="47" l="1"/>
  <c r="C1562" i="47" l="1"/>
  <c r="C1563" i="47" l="1"/>
  <c r="C1565" i="47" l="1"/>
  <c r="C1566" i="47" l="1"/>
  <c r="C1567" i="47" l="1"/>
  <c r="C1568" i="47" l="1"/>
  <c r="C1569" i="47" l="1"/>
  <c r="C1570" i="47" l="1"/>
  <c r="C1571" i="47" l="1"/>
  <c r="C1572" i="47" l="1"/>
  <c r="C1573" i="47" l="1"/>
  <c r="C1574" i="47" l="1"/>
  <c r="C1575" i="47" l="1"/>
  <c r="C1576" i="47" l="1"/>
  <c r="C1577" i="47" l="1"/>
  <c r="C1578" i="47" l="1"/>
  <c r="C1579" i="47" l="1"/>
  <c r="C1580" i="47" l="1"/>
  <c r="C1581" i="47" l="1"/>
  <c r="C1582" i="47" l="1"/>
  <c r="C1583" i="47" l="1"/>
  <c r="C1584" i="47" l="1"/>
  <c r="C1585" i="47" l="1"/>
  <c r="C1586" i="47" l="1"/>
  <c r="C1587" i="47" l="1"/>
  <c r="C1588" i="47" l="1"/>
  <c r="C1589" i="47" l="1"/>
  <c r="C1590" i="47" l="1"/>
  <c r="C1591" i="47" l="1"/>
  <c r="C1592" i="47" l="1"/>
  <c r="C1593" i="47" l="1"/>
  <c r="C1594" i="47" l="1"/>
  <c r="C1595" i="47" l="1"/>
  <c r="C1596" i="47" l="1"/>
  <c r="C1597" i="47" l="1"/>
  <c r="C1598" i="47" l="1"/>
  <c r="C1599" i="47" l="1"/>
  <c r="C1600" i="47" l="1"/>
  <c r="C1601" i="47" l="1"/>
  <c r="C1602" i="47" l="1"/>
  <c r="C1603" i="47" l="1"/>
  <c r="C1604" i="47" l="1"/>
  <c r="C1605" i="47" l="1"/>
  <c r="C1606" i="47" l="1"/>
  <c r="C1607" i="47" l="1"/>
  <c r="C1608" i="47" l="1"/>
  <c r="C1609" i="47" l="1"/>
  <c r="C1610" i="47" l="1"/>
  <c r="C1611" i="47" l="1"/>
  <c r="C1612" i="47" l="1"/>
  <c r="C1613" i="47" l="1"/>
  <c r="C1615" i="47" l="1"/>
  <c r="C1616" i="47" l="1"/>
  <c r="C1617" i="47" l="1"/>
  <c r="C1618" i="47" l="1"/>
  <c r="C1619" i="47" l="1"/>
  <c r="C1620" i="47" l="1"/>
  <c r="C1621" i="47" l="1"/>
  <c r="C1622" i="47" l="1"/>
  <c r="C1623" i="47" l="1"/>
  <c r="C1624" i="47" l="1"/>
  <c r="C1625" i="47" l="1"/>
  <c r="C1626" i="47" l="1"/>
  <c r="C1627" i="47" l="1"/>
  <c r="C1628" i="47" l="1"/>
  <c r="C1629" i="47" l="1"/>
  <c r="C1630" i="47" l="1"/>
  <c r="C1631" i="47" l="1"/>
  <c r="C1632" i="47" l="1"/>
  <c r="C1633" i="47" l="1"/>
  <c r="C1634" i="47" l="1"/>
  <c r="C1635" i="47" l="1"/>
  <c r="C1636" i="47" l="1"/>
  <c r="C1637" i="47" l="1"/>
  <c r="C1638" i="47" l="1"/>
  <c r="C1639" i="47" l="1"/>
  <c r="C1640" i="47" l="1"/>
  <c r="C1641" i="47" l="1"/>
  <c r="C1642" i="47" l="1"/>
  <c r="C1643" i="47" l="1"/>
  <c r="C1644" i="47" l="1"/>
  <c r="C1645" i="47" l="1"/>
  <c r="C1646" i="47" l="1"/>
  <c r="C1647" i="47" l="1"/>
  <c r="C1648" i="47" l="1"/>
  <c r="C1649" i="47" l="1"/>
  <c r="C1650" i="47" l="1"/>
  <c r="C1651" i="47" l="1"/>
  <c r="C1652" i="47" l="1"/>
  <c r="C1653" i="47" l="1"/>
  <c r="C1654" i="47" l="1"/>
  <c r="C1655" i="47" l="1"/>
  <c r="C1656" i="47" l="1"/>
  <c r="C1657" i="47" l="1"/>
  <c r="C1658" i="47" l="1"/>
  <c r="C1659" i="47" l="1"/>
  <c r="C1660" i="47" l="1"/>
  <c r="C1661" i="47" l="1"/>
  <c r="C1662" i="47" l="1"/>
  <c r="C1663" i="47" l="1"/>
  <c r="C1665" i="47" l="1"/>
  <c r="C1666" i="47" l="1"/>
  <c r="C1667" i="47" l="1"/>
  <c r="C1668" i="47" l="1"/>
  <c r="C1669" i="47" l="1"/>
  <c r="C1670" i="47" l="1"/>
  <c r="C1671" i="47" l="1"/>
  <c r="C1672" i="47" l="1"/>
  <c r="C1673" i="47" l="1"/>
  <c r="C1674" i="47" l="1"/>
  <c r="C1675" i="47" l="1"/>
  <c r="C1676" i="47" l="1"/>
  <c r="C1677" i="47" l="1"/>
  <c r="C1678" i="47" l="1"/>
  <c r="C1679" i="47" l="1"/>
  <c r="C1680" i="47" l="1"/>
  <c r="C1681" i="47" l="1"/>
  <c r="C1682" i="47" l="1"/>
  <c r="C1683" i="47" l="1"/>
  <c r="C1684" i="47" l="1"/>
  <c r="C1685" i="47" l="1"/>
  <c r="C1686" i="47" l="1"/>
  <c r="C1687" i="47" l="1"/>
  <c r="C1688" i="47" l="1"/>
  <c r="C1689" i="47" l="1"/>
  <c r="C1690" i="47" l="1"/>
  <c r="C1691" i="47" l="1"/>
  <c r="C1692" i="47" l="1"/>
  <c r="C1693" i="47" l="1"/>
  <c r="C1694" i="47" l="1"/>
  <c r="C1695" i="47" l="1"/>
  <c r="C1696" i="47" l="1"/>
  <c r="C1697" i="47" l="1"/>
  <c r="C1698" i="47" l="1"/>
  <c r="C1699" i="47" l="1"/>
  <c r="C1700" i="47" l="1"/>
  <c r="C1701" i="47" l="1"/>
  <c r="C1702" i="47" l="1"/>
  <c r="C1703" i="47" l="1"/>
  <c r="C1704" i="47" l="1"/>
  <c r="C1705" i="47" l="1"/>
  <c r="C1706" i="47" l="1"/>
  <c r="C1707" i="47" l="1"/>
  <c r="C1708" i="47" l="1"/>
  <c r="C1709" i="47" l="1"/>
  <c r="C1710" i="47" l="1"/>
  <c r="C1711" i="47" l="1"/>
  <c r="C1712" i="47" l="1"/>
  <c r="C1713" i="47" l="1"/>
  <c r="C1715" i="47" l="1"/>
  <c r="C1716" i="47" l="1"/>
  <c r="C1717" i="47" l="1"/>
  <c r="C1718" i="47" l="1"/>
  <c r="C1719" i="47" l="1"/>
  <c r="C1720" i="47" l="1"/>
  <c r="C1721" i="47" l="1"/>
  <c r="C1722" i="47" l="1"/>
  <c r="C1723" i="47" l="1"/>
  <c r="C1724" i="47" l="1"/>
  <c r="C1725" i="47" l="1"/>
  <c r="C1726" i="47" l="1"/>
  <c r="C1727" i="47" l="1"/>
  <c r="C1728" i="47" l="1"/>
  <c r="C1729" i="47" l="1"/>
  <c r="C1730" i="47" l="1"/>
  <c r="C1731" i="47" l="1"/>
  <c r="C1732" i="47" l="1"/>
  <c r="C1733" i="47" l="1"/>
  <c r="C1734" i="47" l="1"/>
  <c r="C1735" i="47" l="1"/>
  <c r="C1736" i="47" l="1"/>
  <c r="C1737" i="47" l="1"/>
  <c r="C1738" i="47" l="1"/>
  <c r="C1739" i="47" l="1"/>
  <c r="C1740" i="47" l="1"/>
  <c r="C1741" i="47" l="1"/>
  <c r="C1742" i="47" l="1"/>
  <c r="C1743" i="47" l="1"/>
  <c r="C1744" i="47" l="1"/>
  <c r="C1745" i="47" l="1"/>
  <c r="C1746" i="47" l="1"/>
  <c r="C1747" i="47" l="1"/>
  <c r="C1748" i="47" l="1"/>
  <c r="C1749" i="47" l="1"/>
  <c r="C1750" i="47" l="1"/>
  <c r="C1751" i="47" l="1"/>
  <c r="C1752" i="47" l="1"/>
  <c r="C1753" i="47" l="1"/>
  <c r="C1754" i="47" l="1"/>
  <c r="C1755" i="47" l="1"/>
  <c r="C1756" i="47" l="1"/>
  <c r="C1757" i="47" l="1"/>
  <c r="C1758" i="47" l="1"/>
  <c r="C1759" i="47" l="1"/>
  <c r="C1760" i="47" l="1"/>
  <c r="C1761" i="47" l="1"/>
  <c r="C1762" i="47" l="1"/>
  <c r="C1763" i="47" l="1"/>
  <c r="C1765" i="47" l="1"/>
  <c r="C1766" i="47" l="1"/>
  <c r="C1767" i="47" l="1"/>
  <c r="C1768" i="47" l="1"/>
  <c r="C1769" i="47" l="1"/>
  <c r="C1770" i="47" l="1"/>
  <c r="C1771" i="47" l="1"/>
  <c r="C1772" i="47" l="1"/>
  <c r="C1773" i="47" l="1"/>
  <c r="C1774" i="47" l="1"/>
  <c r="C1775" i="47" l="1"/>
  <c r="C1776" i="47" l="1"/>
  <c r="C1777" i="47" l="1"/>
  <c r="C1778" i="47" l="1"/>
  <c r="C1779" i="47" l="1"/>
  <c r="C1780" i="47" l="1"/>
  <c r="C1781" i="47" l="1"/>
  <c r="C1782" i="47" l="1"/>
  <c r="C1783" i="47" l="1"/>
  <c r="C1784" i="47" l="1"/>
  <c r="C1785" i="47" l="1"/>
  <c r="C1786" i="47" l="1"/>
  <c r="C1787" i="47" l="1"/>
  <c r="C1788" i="47" l="1"/>
  <c r="C1789" i="47" l="1"/>
  <c r="C1790" i="47" l="1"/>
  <c r="C1791" i="47" l="1"/>
  <c r="C1792" i="47" l="1"/>
  <c r="C1793" i="47" l="1"/>
  <c r="C1794" i="47" l="1"/>
  <c r="C1795" i="47" l="1"/>
  <c r="C1796" i="47" l="1"/>
  <c r="C1797" i="47" l="1"/>
  <c r="C1798" i="47" l="1"/>
  <c r="C1799" i="47" l="1"/>
  <c r="C1800" i="47" l="1"/>
  <c r="C1801" i="47" l="1"/>
  <c r="C1802" i="47" l="1"/>
  <c r="C1803" i="47" l="1"/>
  <c r="C1804" i="47" l="1"/>
  <c r="C1805" i="47" l="1"/>
  <c r="C1806" i="47" l="1"/>
  <c r="C1807" i="47" l="1"/>
  <c r="C1808" i="47" l="1"/>
  <c r="C1809" i="47" l="1"/>
  <c r="C1810" i="47" l="1"/>
  <c r="C1811" i="47" l="1"/>
  <c r="C1812" i="47" l="1"/>
  <c r="C1813" i="47" l="1"/>
  <c r="C1815" i="47" l="1"/>
  <c r="C1816" i="47" l="1"/>
  <c r="C1817" i="47" l="1"/>
  <c r="C1818" i="47" l="1"/>
  <c r="C1819" i="47" l="1"/>
  <c r="C1820" i="47" l="1"/>
  <c r="C1821" i="47" l="1"/>
  <c r="C1822" i="47" l="1"/>
  <c r="C1823" i="47" l="1"/>
  <c r="C1824" i="47" l="1"/>
  <c r="C1825" i="47" l="1"/>
  <c r="C1826" i="47" l="1"/>
  <c r="C1827" i="47" l="1"/>
  <c r="C1828" i="47" l="1"/>
  <c r="C1829" i="47" l="1"/>
  <c r="C1830" i="47" l="1"/>
  <c r="C1831" i="47" l="1"/>
  <c r="C1832" i="47" l="1"/>
  <c r="C1833" i="47" l="1"/>
  <c r="C1834" i="47" l="1"/>
  <c r="C1835" i="47" l="1"/>
  <c r="C1836" i="47" l="1"/>
  <c r="C1837" i="47" l="1"/>
  <c r="C1838" i="47" l="1"/>
  <c r="C1839" i="47" l="1"/>
  <c r="C1840" i="47" l="1"/>
  <c r="C1841" i="47" l="1"/>
  <c r="C1842" i="47" l="1"/>
  <c r="C1843" i="47" l="1"/>
  <c r="C1844" i="47" l="1"/>
  <c r="C1845" i="47" l="1"/>
  <c r="C1846" i="47" l="1"/>
  <c r="C1847" i="47" l="1"/>
  <c r="C1848" i="47" l="1"/>
  <c r="C1849" i="47" l="1"/>
  <c r="C1850" i="47" l="1"/>
  <c r="C1851" i="47" l="1"/>
  <c r="C1852" i="47" l="1"/>
  <c r="C1853" i="47" l="1"/>
  <c r="C1854" i="47" l="1"/>
  <c r="C1855" i="47" l="1"/>
  <c r="C1856" i="47" l="1"/>
  <c r="C1857" i="47" l="1"/>
  <c r="C1858" i="47" l="1"/>
  <c r="C1859" i="47" l="1"/>
  <c r="C1860" i="47" l="1"/>
  <c r="C1861" i="47" l="1"/>
  <c r="C1862" i="47" l="1"/>
  <c r="C1863" i="47" l="1"/>
  <c r="C1865" i="47" l="1"/>
  <c r="C1866" i="47" l="1"/>
  <c r="C1867" i="47" l="1"/>
  <c r="C1868" i="47" l="1"/>
  <c r="C1869" i="47" l="1"/>
  <c r="C1870" i="47" l="1"/>
  <c r="C1871" i="47" l="1"/>
  <c r="C1872" i="47" l="1"/>
  <c r="C1873" i="47" l="1"/>
  <c r="C1874" i="47" l="1"/>
  <c r="C1875" i="47" l="1"/>
  <c r="C1876" i="47" l="1"/>
  <c r="C1877" i="47" l="1"/>
  <c r="C1878" i="47" l="1"/>
  <c r="C1879" i="47" l="1"/>
  <c r="C1880" i="47" l="1"/>
  <c r="C1881" i="47" l="1"/>
  <c r="C1882" i="47" l="1"/>
  <c r="C1883" i="47" l="1"/>
  <c r="C1884" i="47" l="1"/>
  <c r="C1885" i="47" l="1"/>
  <c r="C1886" i="47" l="1"/>
  <c r="C1887" i="47" l="1"/>
  <c r="C1888" i="47" l="1"/>
  <c r="C1889" i="47" l="1"/>
  <c r="C1890" i="47" l="1"/>
  <c r="C1891" i="47" l="1"/>
  <c r="C1892" i="47" l="1"/>
  <c r="C1893" i="47" l="1"/>
  <c r="C1894" i="47" l="1"/>
  <c r="C1895" i="47" l="1"/>
  <c r="C1896" i="47" l="1"/>
  <c r="C1897" i="47" l="1"/>
  <c r="C1898" i="47" l="1"/>
  <c r="C1899" i="47" l="1"/>
  <c r="C1900" i="47" l="1"/>
  <c r="C1901" i="47" l="1"/>
  <c r="C1902" i="47" l="1"/>
  <c r="C1903" i="47" l="1"/>
  <c r="C1904" i="47" l="1"/>
  <c r="C1905" i="47" l="1"/>
  <c r="C1906" i="47" l="1"/>
  <c r="C1907" i="47" l="1"/>
  <c r="C1908" i="47" l="1"/>
  <c r="C1909" i="47" l="1"/>
  <c r="C1910" i="47" l="1"/>
  <c r="C1911" i="47" l="1"/>
  <c r="C1912" i="47" l="1"/>
  <c r="C1913" i="47" l="1"/>
  <c r="C1915" i="47" l="1"/>
  <c r="C1916" i="47" l="1"/>
  <c r="C1917" i="47" l="1"/>
  <c r="C1918" i="47" l="1"/>
  <c r="C1919" i="47" l="1"/>
  <c r="C1920" i="47" l="1"/>
  <c r="C1921" i="47" l="1"/>
  <c r="C1922" i="47" l="1"/>
  <c r="C1923" i="47" l="1"/>
  <c r="C1924" i="47" l="1"/>
  <c r="C1925" i="47" l="1"/>
  <c r="C1926" i="47" l="1"/>
  <c r="C1927" i="47" l="1"/>
  <c r="C1928" i="47" l="1"/>
  <c r="C1929" i="47" l="1"/>
  <c r="C1930" i="47" l="1"/>
  <c r="C1931" i="47" l="1"/>
  <c r="C1932" i="47" l="1"/>
  <c r="C1933" i="47" l="1"/>
  <c r="C1934" i="47" l="1"/>
  <c r="C1935" i="47" l="1"/>
  <c r="C1936" i="47" l="1"/>
  <c r="C1937" i="47" l="1"/>
  <c r="C1938" i="47" l="1"/>
  <c r="C1939" i="47" l="1"/>
  <c r="C1940" i="47" l="1"/>
  <c r="C1941" i="47" l="1"/>
  <c r="C1942" i="47" l="1"/>
  <c r="C1943" i="47" l="1"/>
  <c r="C1944" i="47" l="1"/>
  <c r="C1945" i="47" l="1"/>
  <c r="C1946" i="47" l="1"/>
  <c r="C1947" i="47" l="1"/>
  <c r="C1948" i="47" l="1"/>
  <c r="C1949" i="47" l="1"/>
  <c r="C1950" i="47" l="1"/>
  <c r="C1951" i="47" l="1"/>
  <c r="C1952" i="47" l="1"/>
  <c r="C1953" i="47" l="1"/>
  <c r="C1954" i="47" l="1"/>
  <c r="C1955" i="47" l="1"/>
  <c r="C1956" i="47" l="1"/>
  <c r="C1957" i="47" l="1"/>
  <c r="C1958" i="47" l="1"/>
  <c r="C1959" i="47" l="1"/>
  <c r="C1960" i="47" l="1"/>
  <c r="C1961" i="47" l="1"/>
  <c r="C1962" i="47" l="1"/>
  <c r="C1963" i="47" l="1"/>
  <c r="C1965" i="47" l="1"/>
  <c r="C1966" i="47" l="1"/>
  <c r="C1967" i="47" l="1"/>
  <c r="C1968" i="47" l="1"/>
  <c r="C1969" i="47" l="1"/>
  <c r="C1970" i="47" l="1"/>
  <c r="C1971" i="47" l="1"/>
  <c r="C1972" i="47" l="1"/>
  <c r="C1973" i="47" l="1"/>
  <c r="C1974" i="47" l="1"/>
  <c r="C1975" i="47" l="1"/>
  <c r="C1976" i="47" l="1"/>
  <c r="C1977" i="47" l="1"/>
  <c r="C1978" i="47" l="1"/>
  <c r="C1979" i="47" l="1"/>
  <c r="C1980" i="47" l="1"/>
  <c r="C1981" i="47" l="1"/>
  <c r="C1982" i="47" l="1"/>
  <c r="C1983" i="47" l="1"/>
  <c r="C1984" i="47" l="1"/>
  <c r="C1985" i="47" l="1"/>
  <c r="C1986" i="47" l="1"/>
  <c r="C1987" i="47" l="1"/>
  <c r="C1988" i="47" l="1"/>
  <c r="C1989" i="47" l="1"/>
  <c r="C1990" i="47" l="1"/>
  <c r="C1991" i="47" l="1"/>
  <c r="C1992" i="47" l="1"/>
  <c r="C1993" i="47" l="1"/>
  <c r="C1994" i="47" l="1"/>
  <c r="C1995" i="47" l="1"/>
  <c r="C1996" i="47" l="1"/>
  <c r="C1997" i="47" l="1"/>
  <c r="C1998" i="47" l="1"/>
  <c r="C1999" i="47" l="1"/>
  <c r="C2000" i="47" l="1"/>
  <c r="C2001" i="47" l="1"/>
  <c r="C2002" i="47" l="1"/>
  <c r="C2003" i="47" l="1"/>
  <c r="C2004" i="47" l="1"/>
  <c r="C2005" i="47" l="1"/>
  <c r="C2006" i="47" l="1"/>
  <c r="C2007" i="47" l="1"/>
  <c r="C2008" i="47" l="1"/>
  <c r="C2009" i="47" l="1"/>
  <c r="C2010" i="47" l="1"/>
  <c r="C2011" i="47" l="1"/>
  <c r="C2012" i="47" l="1"/>
  <c r="C2013" i="47" l="1"/>
  <c r="C2015" i="47" l="1"/>
  <c r="C2016" i="47" l="1"/>
  <c r="C2017" i="47" l="1"/>
  <c r="C2018" i="47" l="1"/>
  <c r="C2019" i="47" l="1"/>
  <c r="C2020" i="47" l="1"/>
  <c r="C2021" i="47" l="1"/>
  <c r="C2022" i="47" l="1"/>
  <c r="C2023" i="47" l="1"/>
  <c r="C2024" i="47" l="1"/>
  <c r="C2025" i="47" l="1"/>
  <c r="C2026" i="47" l="1"/>
  <c r="C2027" i="47" l="1"/>
  <c r="C2028" i="47" l="1"/>
  <c r="C2029" i="47" l="1"/>
  <c r="C2030" i="47" l="1"/>
  <c r="C2031" i="47" l="1"/>
  <c r="C2032" i="47" l="1"/>
  <c r="C2033" i="47" l="1"/>
  <c r="C2034" i="47" l="1"/>
  <c r="C2035" i="47" l="1"/>
  <c r="C2036" i="47" l="1"/>
  <c r="C2037" i="47" l="1"/>
  <c r="C2038" i="47" l="1"/>
  <c r="C2039" i="47" l="1"/>
  <c r="C2040" i="47" l="1"/>
  <c r="C2041" i="47" l="1"/>
  <c r="C2042" i="47" l="1"/>
  <c r="C2043" i="47" l="1"/>
  <c r="C2044" i="47" l="1"/>
  <c r="C2045" i="47" l="1"/>
  <c r="C2046" i="47" l="1"/>
  <c r="C2047" i="47" l="1"/>
  <c r="C2048" i="47" l="1"/>
  <c r="C2049" i="47" l="1"/>
  <c r="C2050" i="47" l="1"/>
  <c r="C2051" i="47" l="1"/>
  <c r="C2052" i="47" l="1"/>
  <c r="C2053" i="47" l="1"/>
  <c r="C2054" i="47" l="1"/>
  <c r="C2055" i="47" l="1"/>
  <c r="C2056" i="47" l="1"/>
  <c r="C2057" i="47" l="1"/>
  <c r="C2058" i="47" l="1"/>
  <c r="C2059" i="47" l="1"/>
  <c r="C2060" i="47" l="1"/>
  <c r="C2061" i="47" l="1"/>
  <c r="C2062" i="47" l="1"/>
  <c r="C2063" i="47" l="1"/>
  <c r="C2065" i="47" l="1"/>
  <c r="C2066" i="47" l="1"/>
  <c r="C2067" i="47" l="1"/>
  <c r="C2068" i="47" l="1"/>
  <c r="C2069" i="47" l="1"/>
  <c r="C2070" i="47" l="1"/>
  <c r="C2071" i="47" l="1"/>
  <c r="C2072" i="47" l="1"/>
  <c r="C2073" i="47" l="1"/>
  <c r="C2074" i="47" l="1"/>
  <c r="C2075" i="47" l="1"/>
  <c r="C2076" i="47" l="1"/>
  <c r="C2077" i="47" l="1"/>
  <c r="C2078" i="47" l="1"/>
  <c r="C2079" i="47" l="1"/>
  <c r="C2080" i="47" l="1"/>
  <c r="C2081" i="47" l="1"/>
  <c r="C2082" i="47" l="1"/>
  <c r="C2083" i="47" l="1"/>
  <c r="C2084" i="47" l="1"/>
  <c r="C2085" i="47" l="1"/>
  <c r="C2086" i="47" l="1"/>
  <c r="C2087" i="47" l="1"/>
  <c r="C2088" i="47" l="1"/>
  <c r="C2089" i="47" l="1"/>
  <c r="C2090" i="47" l="1"/>
  <c r="C2091" i="47" l="1"/>
  <c r="C2092" i="47" l="1"/>
  <c r="C2093" i="47" l="1"/>
  <c r="C2094" i="47" l="1"/>
  <c r="C2095" i="47" l="1"/>
  <c r="C2096" i="47" l="1"/>
  <c r="C2097" i="47" l="1"/>
  <c r="C2098" i="47" l="1"/>
  <c r="C2099" i="47" l="1"/>
  <c r="C2100" i="47" l="1"/>
  <c r="C2101" i="47" l="1"/>
  <c r="C2102" i="47" l="1"/>
  <c r="C2103" i="47" l="1"/>
  <c r="C2104" i="47" l="1"/>
  <c r="C2105" i="47" l="1"/>
  <c r="C2106" i="47" l="1"/>
  <c r="C2107" i="47" l="1"/>
  <c r="C2108" i="47" l="1"/>
  <c r="C2109" i="47" l="1"/>
  <c r="C2110" i="47" l="1"/>
  <c r="C2111" i="47" l="1"/>
  <c r="C2112" i="47" l="1"/>
  <c r="C2113" i="47" l="1"/>
  <c r="C2115" i="47" l="1"/>
  <c r="C2116" i="47" l="1"/>
  <c r="C2117" i="47" l="1"/>
  <c r="C2118" i="47" l="1"/>
  <c r="C2119" i="47" l="1"/>
  <c r="C2120" i="47" l="1"/>
  <c r="C2121" i="47" l="1"/>
  <c r="C2122" i="47" l="1"/>
  <c r="C2123" i="47" l="1"/>
  <c r="C2124" i="47" l="1"/>
  <c r="C2125" i="47" l="1"/>
  <c r="C2126" i="47" l="1"/>
  <c r="C2127" i="47" l="1"/>
  <c r="C2128" i="47" l="1"/>
  <c r="C2129" i="47" l="1"/>
  <c r="C2130" i="47" l="1"/>
  <c r="C2131" i="47" l="1"/>
  <c r="C2132" i="47" l="1"/>
  <c r="C2133" i="47" l="1"/>
  <c r="C2134" i="47" l="1"/>
  <c r="C2135" i="47" l="1"/>
  <c r="C2136" i="47" l="1"/>
  <c r="C2137" i="47" l="1"/>
  <c r="C2138" i="47" l="1"/>
  <c r="C2139" i="47" l="1"/>
  <c r="C2140" i="47" l="1"/>
  <c r="C2141" i="47" l="1"/>
  <c r="C2142" i="47" l="1"/>
  <c r="C2143" i="47" l="1"/>
  <c r="C2144" i="47" l="1"/>
  <c r="C2145" i="47" l="1"/>
  <c r="C2146" i="47" l="1"/>
  <c r="C2147" i="47" l="1"/>
  <c r="C2148" i="47" l="1"/>
  <c r="C2149" i="47" l="1"/>
  <c r="C2150" i="47" l="1"/>
  <c r="C2151" i="47" l="1"/>
  <c r="C2152" i="47" l="1"/>
  <c r="C2153" i="47" l="1"/>
  <c r="C2154" i="47" l="1"/>
  <c r="C2155" i="47" l="1"/>
  <c r="C2156" i="47" l="1"/>
  <c r="C2157" i="47" l="1"/>
  <c r="C2158" i="47" l="1"/>
  <c r="C2159" i="47" l="1"/>
  <c r="C2160" i="47" l="1"/>
  <c r="C2161" i="47" l="1"/>
  <c r="C2162" i="47" l="1"/>
  <c r="C2163" i="47" l="1"/>
  <c r="C2165" i="47" l="1"/>
  <c r="C2166" i="47" l="1"/>
  <c r="C2167" i="47" l="1"/>
  <c r="C2168" i="47" l="1"/>
  <c r="C2169" i="47" l="1"/>
  <c r="C2170" i="47" l="1"/>
  <c r="C2171" i="47" l="1"/>
  <c r="C2172" i="47" l="1"/>
  <c r="C2173" i="47" l="1"/>
  <c r="C2174" i="47" l="1"/>
  <c r="C2175" i="47" l="1"/>
  <c r="C2176" i="47" l="1"/>
  <c r="C2177" i="47" l="1"/>
  <c r="C2178" i="47" l="1"/>
  <c r="C2179" i="47" l="1"/>
  <c r="C2180" i="47" l="1"/>
  <c r="C2181" i="47" l="1"/>
  <c r="C2182" i="47" l="1"/>
  <c r="C2183" i="47" l="1"/>
  <c r="C2184" i="47" l="1"/>
  <c r="C2185" i="47" l="1"/>
  <c r="C2186" i="47" l="1"/>
  <c r="C2187" i="47" l="1"/>
  <c r="C2188" i="47" l="1"/>
  <c r="C2189" i="47" l="1"/>
  <c r="C2190" i="47" l="1"/>
  <c r="C2191" i="47" l="1"/>
  <c r="C2192" i="47" l="1"/>
  <c r="C2193" i="47" l="1"/>
  <c r="C2194" i="47" l="1"/>
  <c r="C2195" i="47" l="1"/>
  <c r="C2196" i="47" l="1"/>
  <c r="C2197" i="47" l="1"/>
  <c r="C2198" i="47" l="1"/>
  <c r="C2199" i="47" l="1"/>
  <c r="C2200" i="47" l="1"/>
  <c r="C2201" i="47" l="1"/>
  <c r="C2202" i="47" l="1"/>
  <c r="C2203" i="47" l="1"/>
  <c r="C2204" i="47" l="1"/>
  <c r="C2205" i="47" l="1"/>
  <c r="C2206" i="47" l="1"/>
  <c r="C2207" i="47" l="1"/>
  <c r="C2208" i="47" l="1"/>
  <c r="C2209" i="47" l="1"/>
  <c r="C2210" i="47" l="1"/>
  <c r="C2211" i="47" l="1"/>
  <c r="C2212" i="47" l="1"/>
  <c r="C2213" i="47" l="1"/>
  <c r="C2215" i="47" l="1"/>
  <c r="C2216" i="47" l="1"/>
  <c r="C2217" i="47" l="1"/>
  <c r="C2218" i="47" l="1"/>
  <c r="C2219" i="47" l="1"/>
  <c r="C2220" i="47" l="1"/>
  <c r="C2221" i="47" l="1"/>
  <c r="C2222" i="47" l="1"/>
  <c r="C2223" i="47" l="1"/>
  <c r="C2224" i="47" l="1"/>
  <c r="C2225" i="47" l="1"/>
  <c r="C2226" i="47" l="1"/>
  <c r="C2227" i="47" l="1"/>
  <c r="C2228" i="47" l="1"/>
  <c r="C2229" i="47" l="1"/>
  <c r="C2230" i="47" l="1"/>
  <c r="C2231" i="47" l="1"/>
  <c r="C2232" i="47" l="1"/>
  <c r="C2233" i="47" l="1"/>
  <c r="C2234" i="47" l="1"/>
  <c r="C2235" i="47" l="1"/>
  <c r="C2236" i="47" l="1"/>
  <c r="C2237" i="47" l="1"/>
  <c r="C2238" i="47" l="1"/>
  <c r="C2239" i="47" l="1"/>
  <c r="C2240" i="47" l="1"/>
  <c r="C2241" i="47" l="1"/>
  <c r="C2242" i="47" l="1"/>
  <c r="C2243" i="47" l="1"/>
  <c r="C2244" i="47" l="1"/>
  <c r="C2245" i="47" l="1"/>
  <c r="C2246" i="47" l="1"/>
  <c r="C2247" i="47" l="1"/>
  <c r="C2248" i="47" l="1"/>
  <c r="C2249" i="47" l="1"/>
  <c r="C2250" i="47" l="1"/>
  <c r="C2251" i="47" l="1"/>
  <c r="C2252" i="47" l="1"/>
  <c r="C2253" i="47" l="1"/>
  <c r="C2254" i="47" l="1"/>
  <c r="C2255" i="47" l="1"/>
  <c r="C2256" i="47" l="1"/>
  <c r="C2257" i="47" l="1"/>
  <c r="C2258" i="47" l="1"/>
  <c r="C2259" i="47" l="1"/>
  <c r="C2260" i="47" l="1"/>
  <c r="C2261" i="47" l="1"/>
  <c r="C2262" i="47" l="1"/>
  <c r="C2263" i="47" l="1"/>
  <c r="C2265" i="47" l="1"/>
  <c r="C2266" i="47" l="1"/>
  <c r="C2267" i="47" l="1"/>
  <c r="C2268" i="47" l="1"/>
  <c r="C2269" i="47" l="1"/>
  <c r="C2270" i="47" l="1"/>
  <c r="C2271" i="47" l="1"/>
  <c r="C2272" i="47" l="1"/>
  <c r="C2273" i="47" l="1"/>
  <c r="C2274" i="47" l="1"/>
  <c r="C2275" i="47" l="1"/>
  <c r="C2276" i="47" l="1"/>
  <c r="C2277" i="47" l="1"/>
  <c r="C2278" i="47" l="1"/>
  <c r="C2279" i="47" l="1"/>
  <c r="C2280" i="47" l="1"/>
  <c r="C2281" i="47" l="1"/>
  <c r="C2282" i="47" l="1"/>
  <c r="C2283" i="47" l="1"/>
  <c r="C2284" i="47" l="1"/>
  <c r="C2285" i="47" l="1"/>
  <c r="C2286" i="47" l="1"/>
  <c r="C2287" i="47" l="1"/>
  <c r="C2288" i="47" l="1"/>
  <c r="C2289" i="47" l="1"/>
  <c r="C2290" i="47" l="1"/>
  <c r="C2291" i="47" l="1"/>
  <c r="C2292" i="47" l="1"/>
  <c r="C2293" i="47" l="1"/>
  <c r="C2294" i="47" l="1"/>
  <c r="C2295" i="47" l="1"/>
  <c r="C2296" i="47" l="1"/>
  <c r="C2297" i="47" l="1"/>
  <c r="C2298" i="47" l="1"/>
  <c r="C2299" i="47" l="1"/>
  <c r="C2300" i="47" l="1"/>
  <c r="C2301" i="47" l="1"/>
  <c r="C2302" i="47" l="1"/>
  <c r="C2303" i="47" l="1"/>
  <c r="C2304" i="47" l="1"/>
  <c r="C2305" i="47" l="1"/>
  <c r="C2306" i="47" l="1"/>
  <c r="C2307" i="47" l="1"/>
  <c r="C2308" i="47" l="1"/>
  <c r="C2309" i="47" l="1"/>
  <c r="C2310" i="47" l="1"/>
  <c r="C2311" i="47" l="1"/>
  <c r="C2312" i="47" l="1"/>
  <c r="C2313" i="47" l="1"/>
  <c r="C2315" i="47" l="1"/>
  <c r="C2316" i="47" l="1"/>
  <c r="C2317" i="47" l="1"/>
  <c r="C2318" i="47" l="1"/>
  <c r="C2319" i="47" l="1"/>
  <c r="C2320" i="47" l="1"/>
  <c r="C2321" i="47" l="1"/>
  <c r="C2322" i="47" l="1"/>
  <c r="C2323" i="47" l="1"/>
  <c r="C2324" i="47" l="1"/>
  <c r="C2325" i="47" l="1"/>
  <c r="C2326" i="47" l="1"/>
  <c r="C2327" i="47" l="1"/>
  <c r="C2328" i="47" l="1"/>
  <c r="C2329" i="47" l="1"/>
  <c r="C2330" i="47" l="1"/>
  <c r="C2331" i="47" l="1"/>
  <c r="C2332" i="47" l="1"/>
  <c r="C2333" i="47" l="1"/>
  <c r="C2334" i="47" l="1"/>
  <c r="C2335" i="47" l="1"/>
  <c r="C2336" i="47" l="1"/>
  <c r="C2337" i="47" l="1"/>
  <c r="C2338" i="47" l="1"/>
  <c r="C2339" i="47" l="1"/>
  <c r="C2340" i="47" l="1"/>
  <c r="C2341" i="47" l="1"/>
  <c r="C2342" i="47" l="1"/>
  <c r="C2343" i="47" l="1"/>
  <c r="C2344" i="47" l="1"/>
  <c r="C2345" i="47" l="1"/>
  <c r="C2346" i="47" l="1"/>
  <c r="C2347" i="47" l="1"/>
  <c r="C2348" i="47" l="1"/>
  <c r="C2349" i="47" l="1"/>
  <c r="C2350" i="47" l="1"/>
  <c r="C2351" i="47" l="1"/>
  <c r="C2352" i="47" l="1"/>
  <c r="C2353" i="47" l="1"/>
  <c r="C2354" i="47" l="1"/>
  <c r="C2355" i="47" l="1"/>
  <c r="C2356" i="47" l="1"/>
  <c r="C2357" i="47" l="1"/>
  <c r="C2358" i="47" l="1"/>
  <c r="C2359" i="47" l="1"/>
  <c r="C2360" i="47" l="1"/>
  <c r="C2361" i="47" l="1"/>
  <c r="C2362" i="47" l="1"/>
  <c r="C2363" i="47" l="1"/>
  <c r="C2365" i="47" l="1"/>
  <c r="C2366" i="47" l="1"/>
  <c r="C2367" i="47" l="1"/>
  <c r="C2368" i="47" l="1"/>
  <c r="C2369" i="47" l="1"/>
  <c r="C2370" i="47" l="1"/>
  <c r="C2371" i="47" l="1"/>
  <c r="C2372" i="47" l="1"/>
  <c r="C2373" i="47" l="1"/>
  <c r="C2374" i="47" l="1"/>
  <c r="C2375" i="47" l="1"/>
  <c r="C2376" i="47" l="1"/>
  <c r="C2377" i="47" l="1"/>
  <c r="C2378" i="47" l="1"/>
  <c r="C2379" i="47" l="1"/>
  <c r="C2380" i="47" l="1"/>
  <c r="C2381" i="47" l="1"/>
  <c r="C2382" i="47" l="1"/>
  <c r="C2383" i="47" l="1"/>
  <c r="C2384" i="47" l="1"/>
  <c r="C2385" i="47" l="1"/>
  <c r="C2386" i="47" l="1"/>
  <c r="C2387" i="47" l="1"/>
  <c r="C2388" i="47" l="1"/>
  <c r="C2389" i="47" l="1"/>
  <c r="C2390" i="47" l="1"/>
  <c r="C2391" i="47" l="1"/>
  <c r="C2392" i="47" l="1"/>
  <c r="C2393" i="47" l="1"/>
  <c r="C2394" i="47" l="1"/>
  <c r="C2395" i="47" l="1"/>
  <c r="C2396" i="47" l="1"/>
  <c r="C2397" i="47" l="1"/>
  <c r="C2398" i="47" l="1"/>
  <c r="C2399" i="47" l="1"/>
  <c r="C2400" i="47" l="1"/>
  <c r="C2401" i="47" l="1"/>
  <c r="C2402" i="47" l="1"/>
  <c r="C2403" i="47" l="1"/>
  <c r="C2404" i="47" l="1"/>
  <c r="C2405" i="47" l="1"/>
  <c r="C2406" i="47" l="1"/>
  <c r="C2407" i="47" l="1"/>
  <c r="C2408" i="47" l="1"/>
  <c r="C2409" i="47" l="1"/>
  <c r="C2410" i="47" l="1"/>
  <c r="C2411" i="47" l="1"/>
  <c r="C2412" i="47" l="1"/>
  <c r="C2413" i="47" l="1"/>
  <c r="C2415" i="47" l="1"/>
  <c r="C2416" i="47" l="1"/>
  <c r="C2417" i="47" l="1"/>
  <c r="C2418" i="47" l="1"/>
  <c r="C2419" i="47" l="1"/>
  <c r="C2420" i="47" l="1"/>
  <c r="C2421" i="47" l="1"/>
  <c r="C2422" i="47" l="1"/>
  <c r="C2423" i="47" l="1"/>
  <c r="C2424" i="47" l="1"/>
  <c r="C2425" i="47" l="1"/>
  <c r="C2426" i="47" l="1"/>
  <c r="C2427" i="47" l="1"/>
  <c r="C2428" i="47" l="1"/>
  <c r="C2429" i="47" l="1"/>
  <c r="C2430" i="47" l="1"/>
  <c r="C2431" i="47" l="1"/>
  <c r="C2432" i="47" l="1"/>
  <c r="C2433" i="47" l="1"/>
  <c r="C2434" i="47" l="1"/>
  <c r="C2435" i="47" l="1"/>
  <c r="C2436" i="47" l="1"/>
  <c r="C2437" i="47" l="1"/>
  <c r="C2438" i="47" l="1"/>
  <c r="C2439" i="47" l="1"/>
  <c r="C2440" i="47" l="1"/>
  <c r="C2441" i="47" l="1"/>
  <c r="C2442" i="47" l="1"/>
  <c r="C2443" i="47" l="1"/>
  <c r="C2444" i="47" l="1"/>
  <c r="C2445" i="47" l="1"/>
  <c r="C2446" i="47" l="1"/>
  <c r="C2447" i="47" l="1"/>
  <c r="C2448" i="47" l="1"/>
  <c r="C2449" i="47" l="1"/>
  <c r="C2450" i="47" l="1"/>
  <c r="C2451" i="47" l="1"/>
  <c r="C2452" i="47" l="1"/>
  <c r="C2453" i="47" l="1"/>
  <c r="C2454" i="47" l="1"/>
  <c r="C2455" i="47" l="1"/>
  <c r="C2456" i="47" l="1"/>
  <c r="C2457" i="47" l="1"/>
  <c r="C2458" i="47" l="1"/>
  <c r="C2459" i="47" l="1"/>
  <c r="C2460" i="47" l="1"/>
  <c r="C2461" i="47" l="1"/>
  <c r="C2462" i="47" l="1"/>
  <c r="C2463" i="47" l="1"/>
  <c r="C2465" i="47" l="1"/>
  <c r="C2466" i="47" l="1"/>
  <c r="C2467" i="47" l="1"/>
  <c r="C2468" i="47" l="1"/>
  <c r="C2469" i="47" l="1"/>
  <c r="C2470" i="47" l="1"/>
  <c r="C2471" i="47" l="1"/>
  <c r="C2472" i="47" l="1"/>
  <c r="C2473" i="47" l="1"/>
  <c r="C2474" i="47" l="1"/>
  <c r="C2475" i="47" l="1"/>
  <c r="C2476" i="47" l="1"/>
  <c r="C2477" i="47" l="1"/>
  <c r="C2478" i="47" l="1"/>
  <c r="C2479" i="47" l="1"/>
  <c r="C2480" i="47" l="1"/>
  <c r="C2481" i="47" l="1"/>
  <c r="C2482" i="47" l="1"/>
  <c r="C2483" i="47" l="1"/>
  <c r="C2484" i="47" l="1"/>
  <c r="C2485" i="47" l="1"/>
  <c r="C2486" i="47" l="1"/>
  <c r="C2487" i="47" l="1"/>
  <c r="C2488" i="47" l="1"/>
  <c r="C2489" i="47" l="1"/>
  <c r="C2490" i="47" l="1"/>
  <c r="C2491" i="47" l="1"/>
  <c r="C2492" i="47" l="1"/>
  <c r="C2493" i="47" l="1"/>
  <c r="C2494" i="47" l="1"/>
  <c r="C2495" i="47" l="1"/>
  <c r="C2496" i="47" l="1"/>
  <c r="C2497" i="47" l="1"/>
  <c r="C2498" i="47" l="1"/>
  <c r="C2499" i="47" l="1"/>
  <c r="C2500" i="47" l="1"/>
  <c r="C2501" i="47" l="1"/>
  <c r="C2502" i="47" l="1"/>
  <c r="C2503" i="47" l="1"/>
  <c r="C2504" i="47" l="1"/>
  <c r="C2505" i="47" l="1"/>
  <c r="C2506" i="47" l="1"/>
  <c r="C2507" i="47" l="1"/>
  <c r="C2508" i="47" l="1"/>
  <c r="C2509" i="47" l="1"/>
  <c r="C2510" i="47" l="1"/>
  <c r="C2511" i="47" l="1"/>
  <c r="C2512" i="47" l="1"/>
  <c r="C2513" i="47" l="1"/>
  <c r="I120" i="40" l="1" a="1"/>
  <c r="I120" i="40" s="1"/>
  <c r="H120" i="40" a="1"/>
  <c r="H120" i="40" s="1"/>
  <c r="D120" i="40" a="1"/>
  <c r="D120" i="40" s="1"/>
  <c r="I15" i="39" l="1" a="1"/>
  <c r="I15" i="39" s="1"/>
  <c r="F15" i="39" a="1"/>
  <c r="F15" i="39" s="1"/>
  <c r="J15" i="39" a="1"/>
  <c r="J15" i="39" s="1"/>
  <c r="G15" i="39" a="1"/>
  <c r="G15" i="39" s="1"/>
  <c r="E15" i="39" a="1"/>
  <c r="E15" i="39" s="1"/>
  <c r="H15" i="39" a="1"/>
  <c r="H15" i="39" s="1"/>
  <c r="D15" i="39" a="1"/>
  <c r="D15" i="39" s="1"/>
  <c r="C15" i="39" a="1"/>
  <c r="C15" i="3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<sst xmlns="http://schemas.openxmlformats.org/spreadsheetml/2006/main" count="13639" uniqueCount="1101">
  <si>
    <t>Date</t>
  </si>
  <si>
    <t>Name</t>
  </si>
  <si>
    <t>Location</t>
  </si>
  <si>
    <t>Item No.</t>
  </si>
  <si>
    <t>Design</t>
  </si>
  <si>
    <t>Color</t>
  </si>
  <si>
    <t>F</t>
  </si>
  <si>
    <t>DF</t>
  </si>
  <si>
    <t>AWN</t>
  </si>
  <si>
    <t>CAS</t>
  </si>
  <si>
    <t>D-CAS</t>
  </si>
  <si>
    <t>D-AWNH</t>
  </si>
  <si>
    <t>D-AWNV</t>
  </si>
  <si>
    <t>T-AWNH</t>
  </si>
  <si>
    <t>CAN'T FIND PICTURE</t>
  </si>
  <si>
    <t>T-AWNV</t>
  </si>
  <si>
    <t>T-CAS</t>
  </si>
  <si>
    <t>F-AWNV</t>
  </si>
  <si>
    <t>F-AWNH</t>
  </si>
  <si>
    <t>P-DR</t>
  </si>
  <si>
    <t>FS-W</t>
  </si>
  <si>
    <t>SS-W</t>
  </si>
  <si>
    <t>FSSF-W</t>
  </si>
  <si>
    <t>FS-DR</t>
  </si>
  <si>
    <t>SS-DR</t>
  </si>
  <si>
    <t>FSSF-DR</t>
  </si>
  <si>
    <t>FSS-DR</t>
  </si>
  <si>
    <t>FSSSSSSF-DR</t>
  </si>
  <si>
    <t>Classic White</t>
  </si>
  <si>
    <t>Conch Brown</t>
  </si>
  <si>
    <t>Walnut</t>
  </si>
  <si>
    <t>Dark Mahogany</t>
  </si>
  <si>
    <t>Golden Oak</t>
  </si>
  <si>
    <t>Charcoal Gray</t>
  </si>
  <si>
    <t>Smooth Black</t>
  </si>
  <si>
    <t>Illustration</t>
  </si>
  <si>
    <t>Abbreviation</t>
  </si>
  <si>
    <t>Fix</t>
  </si>
  <si>
    <t>Double Fix</t>
  </si>
  <si>
    <t>Awning</t>
  </si>
  <si>
    <t>Casement</t>
  </si>
  <si>
    <t>Double Casement</t>
  </si>
  <si>
    <t>Double Awning (Horizontal)</t>
  </si>
  <si>
    <t>Double Awning (Vertical)</t>
  </si>
  <si>
    <t>Triple Awning (Horizontal)</t>
  </si>
  <si>
    <t>Triple Awning (Vertical)</t>
  </si>
  <si>
    <t>Triple Casement</t>
  </si>
  <si>
    <t>Fix Awning (Vertical)</t>
  </si>
  <si>
    <t>Fix Awning (Horizontal)</t>
  </si>
  <si>
    <t>Fix Slide Window</t>
  </si>
  <si>
    <t>Slide Slide Window</t>
  </si>
  <si>
    <t>Fix Slide Slide Fix Window</t>
  </si>
  <si>
    <t>Fix Slide Door</t>
  </si>
  <si>
    <t>Slide Slide Door</t>
  </si>
  <si>
    <t>Fix Slide Slide Fix Door</t>
  </si>
  <si>
    <t>Fix Slide Slide Door</t>
  </si>
  <si>
    <t>Fix Slide Slide Slide Slide Fix Dr</t>
  </si>
  <si>
    <t>Fix Slide Slide Slide Slide Slide Slide Fix Dr</t>
  </si>
  <si>
    <t>Frame 60</t>
  </si>
  <si>
    <t>Sash 78</t>
  </si>
  <si>
    <t>Sash 66</t>
  </si>
  <si>
    <t>Sash 92</t>
  </si>
  <si>
    <t>Contact</t>
  </si>
  <si>
    <t>Email</t>
  </si>
  <si>
    <t>Frame</t>
  </si>
  <si>
    <t>Width</t>
  </si>
  <si>
    <t>Steel</t>
  </si>
  <si>
    <t>Glass</t>
  </si>
  <si>
    <t>Mullion</t>
  </si>
  <si>
    <t>Bead</t>
  </si>
  <si>
    <t>Screen Frame</t>
  </si>
  <si>
    <t>IGU Glass</t>
  </si>
  <si>
    <t>PCS</t>
  </si>
  <si>
    <t>Patio Door - with Bottom Frame</t>
  </si>
  <si>
    <t>P-DR-BF</t>
  </si>
  <si>
    <t>Fix Slide Door - with Screen</t>
  </si>
  <si>
    <t>FS-DR-SCR</t>
  </si>
  <si>
    <t>Slide Slide Door - with Screen</t>
  </si>
  <si>
    <t>SS-DR-SCR</t>
  </si>
  <si>
    <t>Fix Slide Slide Fix Door - with Screen</t>
  </si>
  <si>
    <t>FSSF-DR-SCR</t>
  </si>
  <si>
    <t>H PCS</t>
  </si>
  <si>
    <t>H SLI PCS</t>
  </si>
  <si>
    <t>W PCS</t>
  </si>
  <si>
    <t>H/W PCS</t>
  </si>
  <si>
    <t>Interlocker</t>
  </si>
  <si>
    <t>Inline Adapter</t>
  </si>
  <si>
    <t>SLI PCS</t>
  </si>
  <si>
    <t>Qty</t>
  </si>
  <si>
    <t>Height</t>
  </si>
  <si>
    <t xml:space="preserve">               Worksheet No.</t>
  </si>
  <si>
    <t xml:space="preserve">               Quotation No.</t>
  </si>
  <si>
    <t xml:space="preserve">               Receipt No.</t>
  </si>
  <si>
    <t xml:space="preserve">               Sales</t>
  </si>
  <si>
    <t xml:space="preserve">               Installer</t>
  </si>
  <si>
    <t>SKU</t>
  </si>
  <si>
    <t>Profile Name</t>
  </si>
  <si>
    <t>Pieces</t>
  </si>
  <si>
    <t>Allowance for Welding</t>
  </si>
  <si>
    <t>Bead (Sash)</t>
  </si>
  <si>
    <t>Less Frame</t>
  </si>
  <si>
    <t>Add Accessories</t>
  </si>
  <si>
    <t>Accessories</t>
  </si>
  <si>
    <t>Less H &amp; W</t>
  </si>
  <si>
    <t>Less Frame/Sash</t>
  </si>
  <si>
    <t>FIX FRAME</t>
  </si>
  <si>
    <t>DOUBLE FIX FRAME</t>
  </si>
  <si>
    <t>AWNING</t>
  </si>
  <si>
    <t>CASEMENT</t>
  </si>
  <si>
    <t>DOUBLE AWNING</t>
  </si>
  <si>
    <t>DOUBLE CASEMENT</t>
  </si>
  <si>
    <t>TRIPLE CASEMENT</t>
  </si>
  <si>
    <t>Swing Door with Bottom Frame</t>
  </si>
  <si>
    <t>Swing Door w/out Bottom Frame</t>
  </si>
  <si>
    <t>H</t>
  </si>
  <si>
    <t>W</t>
  </si>
  <si>
    <t>FIX AWNING (Cutting of F60 height is 90 degress not 45)</t>
  </si>
  <si>
    <t>Item Name (Breakdown with Formulas)</t>
  </si>
  <si>
    <t>Value</t>
  </si>
  <si>
    <t>Frame 60 Cutting List</t>
  </si>
  <si>
    <t>Mullion Cutting List</t>
  </si>
  <si>
    <t>H/W</t>
  </si>
  <si>
    <t>Sash</t>
  </si>
  <si>
    <t>Sash (H)</t>
  </si>
  <si>
    <t>Sash Type</t>
  </si>
  <si>
    <t xml:space="preserve">Less Frame </t>
  </si>
  <si>
    <t>Sash (W)</t>
  </si>
  <si>
    <t>Sash Cutting List</t>
  </si>
  <si>
    <t>Bead (Frame)</t>
  </si>
  <si>
    <t>Bead Cutting List (Frame)</t>
  </si>
  <si>
    <t>Less H</t>
  </si>
  <si>
    <t>Less W</t>
  </si>
  <si>
    <t>Bead Cutting List (Sash)</t>
  </si>
  <si>
    <t>Patio Door - without Bottom Frame</t>
  </si>
  <si>
    <t>Pcs</t>
  </si>
  <si>
    <t>Dimension (mm)</t>
  </si>
  <si>
    <t>Description</t>
  </si>
  <si>
    <t>Steel Cutting List (Frame)</t>
  </si>
  <si>
    <t>Steel Cutting List (Sash)</t>
  </si>
  <si>
    <t>Steel Cutting List (Mullion)</t>
  </si>
  <si>
    <t>Glass (H)</t>
  </si>
  <si>
    <t>Glass (W)</t>
  </si>
  <si>
    <t>Less Allowance</t>
  </si>
  <si>
    <t>Glass - Sash (H)</t>
  </si>
  <si>
    <t>Glass - Sash (W)</t>
  </si>
  <si>
    <t>Glass Cutting List</t>
  </si>
  <si>
    <t>Glass Cutting List (Sash)</t>
  </si>
  <si>
    <t>Glass - Sash PCS</t>
  </si>
  <si>
    <t>Profile - Series 6000</t>
  </si>
  <si>
    <t>Frame 90/138 Cutting List</t>
  </si>
  <si>
    <t>Sash Cutting List (1st)</t>
  </si>
  <si>
    <t xml:space="preserve">FIX SLIDE WINDOW </t>
  </si>
  <si>
    <t>SLIDE SLIDE WINDOW</t>
  </si>
  <si>
    <t xml:space="preserve">FSSF WINDOW </t>
  </si>
  <si>
    <t>FIX SLIDE DOOR</t>
  </si>
  <si>
    <t>FIX SLIDE DOOR with Screen</t>
  </si>
  <si>
    <t>SLIDE SLIDE DOOR</t>
  </si>
  <si>
    <t>SLIDE SLIDE DOOR with Screen</t>
  </si>
  <si>
    <t>FSSF DOOR</t>
  </si>
  <si>
    <t>FSSF DOOR with Screen</t>
  </si>
  <si>
    <t>FSS DOOR</t>
  </si>
  <si>
    <t>Less Frame (SLI)</t>
  </si>
  <si>
    <t>Less Frame (FIX)</t>
  </si>
  <si>
    <t>Less Rubber</t>
  </si>
  <si>
    <t>Add Sash (Flushing)</t>
  </si>
  <si>
    <t>Allowance</t>
  </si>
  <si>
    <t>H FIX PCS</t>
  </si>
  <si>
    <t>H SLI</t>
  </si>
  <si>
    <t>H FIX</t>
  </si>
  <si>
    <t>Sash Cutting List (2nd)</t>
  </si>
  <si>
    <t>Sash 1</t>
  </si>
  <si>
    <t>Sash 2</t>
  </si>
  <si>
    <t>Screen Frame Cutting List</t>
  </si>
  <si>
    <t>Add Length for FP</t>
  </si>
  <si>
    <t>Interlocker Cutting List</t>
  </si>
  <si>
    <t>H PSLI CS</t>
  </si>
  <si>
    <t>Steel Cutting List (Sash 2)</t>
  </si>
  <si>
    <t>Steel Cutting List (Sash 1)</t>
  </si>
  <si>
    <t>Steel Cutting List (Screen Frame)</t>
  </si>
  <si>
    <t>W SLI</t>
  </si>
  <si>
    <t>W FIX</t>
  </si>
  <si>
    <t>FIX PCS</t>
  </si>
  <si>
    <t>Less Sash</t>
  </si>
  <si>
    <t>S60</t>
  </si>
  <si>
    <t>Height SLI</t>
  </si>
  <si>
    <t>Height FIX</t>
  </si>
  <si>
    <t>S60 Bead (Frame)</t>
  </si>
  <si>
    <t>S60 Bead (Sash)</t>
  </si>
  <si>
    <t>S60 Steel (Frame)</t>
  </si>
  <si>
    <t>S60 Steel (Sash)</t>
  </si>
  <si>
    <t>S60 Steel (Mullion)</t>
  </si>
  <si>
    <t>Glazing Type</t>
  </si>
  <si>
    <t>Width (mm)</t>
  </si>
  <si>
    <t>Height (mm)</t>
  </si>
  <si>
    <t>Cutting List</t>
  </si>
  <si>
    <t>Glass Order List</t>
  </si>
  <si>
    <t>S60 Glass (Sash)</t>
  </si>
  <si>
    <t>S90 Glass (Sash)</t>
  </si>
  <si>
    <t>FSSSSF-DR</t>
  </si>
  <si>
    <t>Design Code</t>
  </si>
  <si>
    <t>ProductName</t>
  </si>
  <si>
    <t>ComponentSKU</t>
  </si>
  <si>
    <t>ComponentName</t>
  </si>
  <si>
    <t>Quantity</t>
  </si>
  <si>
    <t>Category</t>
  </si>
  <si>
    <t>Item Specific</t>
  </si>
  <si>
    <t>Item</t>
  </si>
  <si>
    <t>S138 FS DOOR</t>
  </si>
  <si>
    <t>RM-FRAME138-GOAK-NW</t>
  </si>
  <si>
    <t>PVC GOLDEN OAK S-9000 FRAME 138</t>
  </si>
  <si>
    <t>FRAME138</t>
  </si>
  <si>
    <t>GOAK</t>
  </si>
  <si>
    <t>RM-FRAME138-GRAY-NW</t>
  </si>
  <si>
    <t>PVC GRAY S-9000 FRAME 138</t>
  </si>
  <si>
    <t>GRAY</t>
  </si>
  <si>
    <t>RM-FRAME138-MHGY-NW</t>
  </si>
  <si>
    <t>PVC MAHOGANY S-9000 FRAME 138</t>
  </si>
  <si>
    <t>MHGY</t>
  </si>
  <si>
    <t>RM-FRAME138-WHT-NW</t>
  </si>
  <si>
    <t>PVC WHITE S-9000 FRAME 138</t>
  </si>
  <si>
    <t>WHT</t>
  </si>
  <si>
    <t>RM-FRAME138-BLK-NW</t>
  </si>
  <si>
    <t>PVC BLACK S-9000 138 FRAME</t>
  </si>
  <si>
    <t>BLK</t>
  </si>
  <si>
    <t>RM-FRAME138-WLNT-NW</t>
  </si>
  <si>
    <t>PVC WALNUT S-9000 FRAME138</t>
  </si>
  <si>
    <t>WLNT</t>
  </si>
  <si>
    <t>RM-FRAME112-BRWN-MH</t>
  </si>
  <si>
    <t>SLIDING- 112MM 3-TRACK DOOR FRAME [SP413-B]</t>
  </si>
  <si>
    <t>FRAME112</t>
  </si>
  <si>
    <t>BRWN</t>
  </si>
  <si>
    <t>RM-SASH92-BLK-NW</t>
  </si>
  <si>
    <t>PVC BLACK-WHITE S-9000 SASH 92</t>
  </si>
  <si>
    <t>SASH92</t>
  </si>
  <si>
    <t>RM-SASH92-GOAK-NW</t>
  </si>
  <si>
    <t>PVC GOLDEN OAK - WHITE S-9000 SASH 92</t>
  </si>
  <si>
    <t>RM-SASH92-GRAY-NW</t>
  </si>
  <si>
    <t>PVC GRAY - WHITE S-9000 SASH 92</t>
  </si>
  <si>
    <t>RM-SASH92-MHGY-NW</t>
  </si>
  <si>
    <t>PVC MAHOGANY - WHITE S-9000 SASH 92</t>
  </si>
  <si>
    <t>RM-SASH92-WLNT-NW</t>
  </si>
  <si>
    <t>PVC WALNUT - WHITE S-9000 SASH 92</t>
  </si>
  <si>
    <t>RM-SASH92-WHT-NW</t>
  </si>
  <si>
    <t>PVC WHITE S-9000 SASH 92</t>
  </si>
  <si>
    <t>RM-SASH92-BRWN-MH</t>
  </si>
  <si>
    <t>SLIDING- 42MM DOOR SASH [SP403B]</t>
  </si>
  <si>
    <t>RM-SASH66-BLK-NW</t>
  </si>
  <si>
    <t>PVC BLACK-WHITE S-9000 SASH 66</t>
  </si>
  <si>
    <t>SASH66</t>
  </si>
  <si>
    <t>RM-SASH66-GOAK-NW</t>
  </si>
  <si>
    <t>PVC GOLDEN OAK - WHITE S-9000 SASH 66</t>
  </si>
  <si>
    <t>RM-SASH66-GRAY-NW</t>
  </si>
  <si>
    <t>PVC GRAY - WHITE S-9000 SASH 66</t>
  </si>
  <si>
    <t>RM-SASH66-MHGY-NW</t>
  </si>
  <si>
    <t>PVC MAHOGANY - WHITE S-9000 SASH 66</t>
  </si>
  <si>
    <t>RM-SASH66-WLNT-NW</t>
  </si>
  <si>
    <t>PVC WALNUT - WHITE S-9000 SASH 66</t>
  </si>
  <si>
    <t>RM-SASH66-WHT-NW</t>
  </si>
  <si>
    <t>PVC WHITE S-9000 SASH 66</t>
  </si>
  <si>
    <t>RM-SASH66-BRWN-MH</t>
  </si>
  <si>
    <t>SLIDING- 42MM WINDOW SASH [S402]</t>
  </si>
  <si>
    <t>RM-STEEL-30x18x1.5-NW</t>
  </si>
  <si>
    <t>30 x 18 x 1.5 (FOR 138 FRAME)</t>
  </si>
  <si>
    <t>STEEL-FRAME</t>
  </si>
  <si>
    <t>30x18x1.5</t>
  </si>
  <si>
    <t>RM-STEEL-27x17x1.2-NW</t>
  </si>
  <si>
    <t>27 x 17 x 1.2 (FOR S-9000 NEW/SASH 66))</t>
  </si>
  <si>
    <t>STEEL-SASH66</t>
  </si>
  <si>
    <t>27x17x1.2</t>
  </si>
  <si>
    <t>RM-STEEL-30x29x1.2-NW</t>
  </si>
  <si>
    <t>30 x 29 x 1.2 (FOR S - 9000 SASH 92)</t>
  </si>
  <si>
    <t>STEEL-SASH92</t>
  </si>
  <si>
    <t>30x29x1.2</t>
  </si>
  <si>
    <t>RM-STEEL-30x29x2.0-NW</t>
  </si>
  <si>
    <t>30 x 29 x 2.0 (FOR S - 9000 SASH 92)</t>
  </si>
  <si>
    <t>30x29x2.0</t>
  </si>
  <si>
    <t>RM-BEAD25-BLK-NW</t>
  </si>
  <si>
    <t>PVC BLACK-WHITE S-9000 BEAD 25</t>
  </si>
  <si>
    <t>BEAD25</t>
  </si>
  <si>
    <t>RM-BEAD25-GOAK-NW</t>
  </si>
  <si>
    <t>PVC GOLDEN OAK - WHITE S-9000 BEAD 25mm</t>
  </si>
  <si>
    <t>RM-BEAD25-GRAY-NW</t>
  </si>
  <si>
    <t>PVC GRAY - WHITE S-9000 BEAD 25mm</t>
  </si>
  <si>
    <t>RM-BEAD25-MHGY-NW</t>
  </si>
  <si>
    <t>PVC MAHOGANY - WHITE S-9000 BEAD 25mm</t>
  </si>
  <si>
    <t>RM-BEAD25-WLNT-NW</t>
  </si>
  <si>
    <t>PVC WALNUT - WHITE S-9000 BEAD 25mm</t>
  </si>
  <si>
    <t>RM-BEAD25-WHT-NW</t>
  </si>
  <si>
    <t>PVC WHITE S-9000 BEAD 25mm</t>
  </si>
  <si>
    <t>RM-BEAD25-BRWN-MH</t>
  </si>
  <si>
    <t>SLIDING- 24.5MM GLAZING BEAD [GB-25.0]</t>
  </si>
  <si>
    <t>RM-SDKIT_SLI-ESPAG_WOUT-LCK-MH</t>
  </si>
  <si>
    <t>SD KIT-SLIDING ESPAG WITH LOCK [738152]</t>
  </si>
  <si>
    <t>Production Accessories</t>
  </si>
  <si>
    <t>SDKIT-HNDL</t>
  </si>
  <si>
    <t>ESPAG_WOUT</t>
  </si>
  <si>
    <t>RM-SDKIT-ESP&amp;KPR-NW</t>
  </si>
  <si>
    <t>HANDLES-SD KIT (ESP &amp; KEEPER ONLY)</t>
  </si>
  <si>
    <t>ESP&amp;KPR</t>
  </si>
  <si>
    <t>RM-SDKIT-HNDL-ROTO-BLK-NW</t>
  </si>
  <si>
    <t>HANDLES-SD KIT (ROTO) - BLACK</t>
  </si>
  <si>
    <t>RM-SDKIT-HNDL-ROTO-WHT-NW</t>
  </si>
  <si>
    <t>HANDLES-SD KIT (ROTO) - WHITE</t>
  </si>
  <si>
    <t>RM-RBR-STPPR-DR-S9000-NW</t>
  </si>
  <si>
    <t>RUBBER STOPPER (S9000, DOOR)</t>
  </si>
  <si>
    <t>RBR-STPPR</t>
  </si>
  <si>
    <t>RM-TRACKBRDGE-03-BRWN-NW</t>
  </si>
  <si>
    <t>TRACK BRIDGE-03 (BROWN)</t>
  </si>
  <si>
    <t>TRACKBRDGE</t>
  </si>
  <si>
    <t>RM-TRACKBRDGE-03-WHT-NW</t>
  </si>
  <si>
    <t>TRACK BRIDGE-03 (WHITE)</t>
  </si>
  <si>
    <t>RM-RLLR-DR-A112-NW</t>
  </si>
  <si>
    <t>ROLLER FOR DOOR (A112 STAINLESS DOUBLE ADJUST)</t>
  </si>
  <si>
    <t>RLLR-DR</t>
  </si>
  <si>
    <t>RM-RLLR-DR-AUBI-NW</t>
  </si>
  <si>
    <t>ROLLER FOR DOOR (AUBI)</t>
  </si>
  <si>
    <t>RM-RLLR-SCRNDR-A73-NW</t>
  </si>
  <si>
    <t>ROLLER FOR SCREEN DOOR (A73)</t>
  </si>
  <si>
    <t>RLLR-SCRNDR</t>
  </si>
  <si>
    <t>RM-IL45-GOAK-NW</t>
  </si>
  <si>
    <t>PVC GOLDEN OAK S-9000 INTERLOCKER 45mm (#36)</t>
  </si>
  <si>
    <t>IL45</t>
  </si>
  <si>
    <t>RM-IL45-GRAY-NW</t>
  </si>
  <si>
    <t>PVC GRAY S-9000 INTERLOCKER 45mm (#36)</t>
  </si>
  <si>
    <t>RM-IL45-MHGY-NW</t>
  </si>
  <si>
    <t>PVC MAHOGANY S-9000 INTERLOCKER 45mm (#36)</t>
  </si>
  <si>
    <t>RM-IL45-WLNT-NW</t>
  </si>
  <si>
    <t>PVC WALNUT S-9000 INTERLOCKER 45mm (#36)</t>
  </si>
  <si>
    <t>RM-IL45-WHT-NW</t>
  </si>
  <si>
    <t>PVC WHITE S-9000 INTERLOCKER 45mm (#36)</t>
  </si>
  <si>
    <t>RM-IL45-BLK-NW</t>
  </si>
  <si>
    <t>PVC BLACK S-9000 36 INTERLOCKER (SASH 66)</t>
  </si>
  <si>
    <t>RM-IL45-BRWN-MH</t>
  </si>
  <si>
    <t>SLIDING- 42MM INTERLOCKER - SHORT [S404-S]</t>
  </si>
  <si>
    <t>RM-IL50-GOAK-NW</t>
  </si>
  <si>
    <t>PVC GOLDEN OAK S-9000 INTERLOCKER 50mm</t>
  </si>
  <si>
    <t>IL50</t>
  </si>
  <si>
    <t>RM-IL50-GRAY-NW</t>
  </si>
  <si>
    <t>PVC GRAY S-9000 INTERLOCKER 50mm</t>
  </si>
  <si>
    <t>RM-IL50-MHGY-NW</t>
  </si>
  <si>
    <t>PVC MAHOGANY S-9000 INTERLOCKER 50mm</t>
  </si>
  <si>
    <t>RM-IL50-WLNT-NW</t>
  </si>
  <si>
    <t>PVC WALNUT S-9000 INTERLOCKER 50mm</t>
  </si>
  <si>
    <t>RM-IL50-WHT-NW</t>
  </si>
  <si>
    <t>PVC WHITE S-9000 INTERLOCKER 50mm</t>
  </si>
  <si>
    <t>RM-IL50-BLK-NW</t>
  </si>
  <si>
    <t>PVC BLACK S-9000 50 INTERLOCKER (SASH 92)</t>
  </si>
  <si>
    <t>RM-IL50-BRWN-MH</t>
  </si>
  <si>
    <t>SLIDING- 42MM INTERLOCKER - LONG [S404-L]</t>
  </si>
  <si>
    <t>RM-BEAD34-GOAK-NW</t>
  </si>
  <si>
    <t>PVC GOLDEN OAK - WHITE S-6000 BEAD 34mm</t>
  </si>
  <si>
    <t>BEAD34</t>
  </si>
  <si>
    <t>RM-BEAD34-GRAY-NW</t>
  </si>
  <si>
    <t>PVC GRAY - WHITE S-6000 BEAD 34mm</t>
  </si>
  <si>
    <t>RM-BEAD34-MHGY-NW</t>
  </si>
  <si>
    <t>PVC MAHOGANY - WHITE S-6000 BEAD 34mm</t>
  </si>
  <si>
    <t>RM-BEAD34-WLNT-NW</t>
  </si>
  <si>
    <t>PVC WALNUT - WHITE S-6000 BEAD 34mm</t>
  </si>
  <si>
    <t>RM-BEAD34-WHT-NW</t>
  </si>
  <si>
    <t>PVC WHITE S-6000 BEAD 34mm</t>
  </si>
  <si>
    <t>RM-BEAD34-BLK-NW</t>
  </si>
  <si>
    <t>PVC BLACK-WHITE S-6000 34 BEAD</t>
  </si>
  <si>
    <t>RM-BEAD34-BRWN-MH</t>
  </si>
  <si>
    <t>CASEMENT- 34.0MM GLAZING BEAD [GB-35.0]</t>
  </si>
  <si>
    <t>RM-ALUMTRACK-HD-NW</t>
  </si>
  <si>
    <t>ALUMINUM TRACK (HEAVY DUTY)</t>
  </si>
  <si>
    <t>ALUMTRACK</t>
  </si>
  <si>
    <t>RM-SDWKEY-HNDL-BLK-NW</t>
  </si>
  <si>
    <t>HANDLES-SD HANDLE WITH KEY (BLACK)</t>
  </si>
  <si>
    <t>Installation Accessories</t>
  </si>
  <si>
    <t>SDWKEY-HNDL</t>
  </si>
  <si>
    <t>RM-SDWKEY-HNDL-WHT-NW</t>
  </si>
  <si>
    <t>HANDLES-SD HANDLE WITH KEY (WHITE)</t>
  </si>
  <si>
    <t>RM-SDKIT-DH-INSIDE_LH-WHT-MH</t>
  </si>
  <si>
    <t>SD KIT-DOUBLE HADLE, INSIDE LOW HT-WHITE [774448]</t>
  </si>
  <si>
    <t>RM-SDKIT-DH-INSIDE_LH-BLK-MH</t>
  </si>
  <si>
    <t>SD KIT-DOUBLE HANDLE, INSIDE LOW HT-BLACK [774449]</t>
  </si>
  <si>
    <t>RM-SDKIT_CLNDR-DRKNB_31.5X31.5-MH</t>
  </si>
  <si>
    <t>SD KIT-CYLINDER DOOR KNOB 31.5*31.5[771389]</t>
  </si>
  <si>
    <t>SDKIT_CLNDR-DRKNB</t>
  </si>
  <si>
    <t>RM-SDKIT_CLNDR-DRKNB_35.5X35.5-MH</t>
  </si>
  <si>
    <t>SD KIT-CYLINDER DOOR KNOB 35.5*35.5 [571356]</t>
  </si>
  <si>
    <t>RM-CVRSET-BLK-MH</t>
  </si>
  <si>
    <t>SD/CD KIT- SD/CD CYLINDER COVER SET-BLACK (614441)</t>
  </si>
  <si>
    <t>CVRSET</t>
  </si>
  <si>
    <t>RM-CVRSET-WHT-MH</t>
  </si>
  <si>
    <t>SD/CD KIT- SD/CD CYLINDER COVER SET-WHITE (570992)</t>
  </si>
  <si>
    <t>RM-SLI_STRKR-MH</t>
  </si>
  <si>
    <t>ROTO SLIDING STRIKER (606308)</t>
  </si>
  <si>
    <t>SLI_STRKR</t>
  </si>
  <si>
    <t>RM-SCRW-10X2-1/2"-STNLSS-FLAT-ATLAS</t>
  </si>
  <si>
    <t>ATLAS-SCREW (S) 10 x 2-1/2" (Flat)</t>
  </si>
  <si>
    <t>RM-DRAINAGECVR-BLK-MH</t>
  </si>
  <si>
    <t>DRAINAGE COVER - BLACK [SA317]</t>
  </si>
  <si>
    <t>DRAINAGECVR</t>
  </si>
  <si>
    <t>RM-DRAINAGECVR-WHT-MH</t>
  </si>
  <si>
    <t>DRAINAGE COVER - WHITE [SA317]</t>
  </si>
  <si>
    <t>RM-MISC-TOX6-KIMA</t>
  </si>
  <si>
    <t>MISCELLANEOUS-TOX NO. 6 (100)</t>
  </si>
  <si>
    <t>MISC</t>
  </si>
  <si>
    <t>TOX6</t>
  </si>
  <si>
    <t>RM-CVRCAP-15MM-BLK-MH</t>
  </si>
  <si>
    <t>COVER CAP 15mm (CVR03) - (BLACK)</t>
  </si>
  <si>
    <t>CVRCAP</t>
  </si>
  <si>
    <t>RM-CVRCAP-15MM-WHT-MH</t>
  </si>
  <si>
    <t>COVER CAP 15mm (CVR03) - (WHITE)</t>
  </si>
  <si>
    <t>RM-SDKIT-BUFFER-STPPR-BLK-MH</t>
  </si>
  <si>
    <t>SD KIT-BUFFER STOPPER-BLACK [335555]</t>
  </si>
  <si>
    <t>SDKIT-BUFFER</t>
  </si>
  <si>
    <t>BUFFER</t>
  </si>
  <si>
    <t>RM-SDKIT-BUFFER-STPPR-WHT-MH</t>
  </si>
  <si>
    <t>SD KIT-BUFFER STOPPER-WHITE [317250]</t>
  </si>
  <si>
    <t>RM-SCRW-8X1-1/4"-STNLSS-FLAT-ATLAS</t>
  </si>
  <si>
    <t>ATLAS-SCREW (S) 8 x 1-1/4" (Flat)</t>
  </si>
  <si>
    <t>RM-SLNT-N2000-BLK-MGTRNDS</t>
  </si>
  <si>
    <t>SEALANT N2000 (BLACK)</t>
  </si>
  <si>
    <t>SLNT</t>
  </si>
  <si>
    <t>RM-SLNT-N2000-BRWN-MGTRNDS</t>
  </si>
  <si>
    <t>SEALANT N2000 (BROWN)</t>
  </si>
  <si>
    <t>RM-SLNT-N2000-WHT-MGTRNDS</t>
  </si>
  <si>
    <t>SEALANT N2000 (WHITE)</t>
  </si>
  <si>
    <t>RM-SLNT-MEGASEALPRO-MGTRNDS</t>
  </si>
  <si>
    <t>MISCELLANEOUS-SEALANT MEGASEAL PRO (CLEAR)</t>
  </si>
  <si>
    <t>MEGASEALPRO</t>
  </si>
  <si>
    <t>RM-SCRW-6X3/4"-STNLSS-FLAT-ATLAS</t>
  </si>
  <si>
    <t>ATLAS-SCREW (S) 6 x 3/4" (FLAT)</t>
  </si>
  <si>
    <t>S138 FSS DOOR</t>
  </si>
  <si>
    <t>S138 FSSF DOOR</t>
  </si>
  <si>
    <t>RM-IA50-BLK-NW</t>
  </si>
  <si>
    <t>PVC BLACK S-9000 42 INLINE ADAPTER #50MM</t>
  </si>
  <si>
    <t>IA50</t>
  </si>
  <si>
    <t>RM-IA50-GOAK-NW</t>
  </si>
  <si>
    <t>PVC GOLDEN OAK S-9000 INLINE ADAPTER 50mm</t>
  </si>
  <si>
    <t>RM-IA50-GRAY-NW</t>
  </si>
  <si>
    <t>PVC GRAY S-9000 INLINE ADAPTER 50mm</t>
  </si>
  <si>
    <t>RM-IA50-MHGY-NW</t>
  </si>
  <si>
    <t>PVC MAHOGANY S-9000 INLINE ADAPTER 50mm</t>
  </si>
  <si>
    <t>RM-IA50-WLNT-NW</t>
  </si>
  <si>
    <t>PVC WALNUT S-9000 INLINE ADAPTER 50mm</t>
  </si>
  <si>
    <t>RM-IA50-WHT-NW</t>
  </si>
  <si>
    <t>PVC WHITE S-9000 INLINE ADAPTER 50mm (NEW)</t>
  </si>
  <si>
    <t>RM-IA50-BRWN-MH</t>
  </si>
  <si>
    <t>SLIDING- 42MM INLINE ADAPTER [SP405]</t>
  </si>
  <si>
    <t>HD</t>
  </si>
  <si>
    <t>RM-DMMY-SD-HNDL-BLK-NW</t>
  </si>
  <si>
    <t>HANDLES-DUMMY HANDLE FOR S.D. (BLACK)</t>
  </si>
  <si>
    <t>RM-DMMY-HNDL-WHT-NW</t>
  </si>
  <si>
    <t>HANDLES-DUMMY HANDLE FOR S.D. (WHITE)</t>
  </si>
  <si>
    <t>S138 SS DOOR</t>
  </si>
  <si>
    <t>RM-SDKIT-SLI_ESPAG-WOUT_LCK-1800MM-MH</t>
  </si>
  <si>
    <t>SLIDING ESPAG. W/OUT LOCK BS17-1800MM (628498)</t>
  </si>
  <si>
    <t>SLI_ESPAG</t>
  </si>
  <si>
    <t>RM-CAS_ESPAG-1600MM-NW</t>
  </si>
  <si>
    <t>SLI ESPAGNOLETTE W/ KEEPER 1600mm</t>
  </si>
  <si>
    <t>1600MM</t>
  </si>
  <si>
    <t>S9000</t>
  </si>
  <si>
    <t>RM-SDKIT-OPH-ROTO-BLK-MH</t>
  </si>
  <si>
    <t>SD KIT-OUTSIDE PULL HANDLE (ROTO) -BLACK [605551]</t>
  </si>
  <si>
    <t>SDKIT-OPH</t>
  </si>
  <si>
    <t>RM-SDKIT-OPH-ROTO-WHT-MH</t>
  </si>
  <si>
    <t>SD KIT-OUTSIDE PULL HANDLE (ROTO) -WHITE [605543]</t>
  </si>
  <si>
    <t>RM-POP-UP_HNDL-BLK-MH</t>
  </si>
  <si>
    <t>ROTO POP-UP HANDLE-BLACK (614295)</t>
  </si>
  <si>
    <t>POP-UP_HNDL</t>
  </si>
  <si>
    <t>RM-POP-UP_HNDL-WHT-MH</t>
  </si>
  <si>
    <t>ROTO POP-UP HANDLE-WHITE (570810)</t>
  </si>
  <si>
    <t>S138 FSSSSF DOOR</t>
  </si>
  <si>
    <t>RM-FRAME90-GOAK-NW</t>
  </si>
  <si>
    <t>PVC GOLDEN OAK S-9000 FRAME 90</t>
  </si>
  <si>
    <t>FRAME90</t>
  </si>
  <si>
    <t>RM-FRAME90-GRAY-NW</t>
  </si>
  <si>
    <t>PVC GRAY S-9000 FRAME 90</t>
  </si>
  <si>
    <t>RM-FRAME90-MHGY-NW</t>
  </si>
  <si>
    <t>PVC MAHOGANY S-9000 FRAME 90</t>
  </si>
  <si>
    <t>RM-FRAME90-WLNT-NW</t>
  </si>
  <si>
    <t>PVC WALNUT S-9000 FRAME 90</t>
  </si>
  <si>
    <t>RM-FRAME90-WHT-NW</t>
  </si>
  <si>
    <t>PVC WHITE S-9000 FRAME 90</t>
  </si>
  <si>
    <t>RM-FRAME90-BLK-NW</t>
  </si>
  <si>
    <t>PVC BLACK S-9000 90 FRAME</t>
  </si>
  <si>
    <t>RM-FRAME90-BRWN-MH</t>
  </si>
  <si>
    <t>SLIDING- DOOR FRAME W/ SCREEN 88MM [SP413]</t>
  </si>
  <si>
    <t>DR</t>
  </si>
  <si>
    <t>S138 FSSSSSSF DOOR</t>
  </si>
  <si>
    <t>RM-FRAME60-BRWN-MH</t>
  </si>
  <si>
    <t>CASEMENT- MAIN FRAME 60MM [CP401]</t>
  </si>
  <si>
    <t>FRAME60</t>
  </si>
  <si>
    <t>RM-FRAME60-BLK-NW</t>
  </si>
  <si>
    <t>PVC BLACK S-6000 FRAME 60</t>
  </si>
  <si>
    <t>RM-FRAME60-GOAK-NW</t>
  </si>
  <si>
    <t>PVC GOLDEN OAK S-6000 FRAME 60</t>
  </si>
  <si>
    <t>RM-FRAME60-GRAY-NW</t>
  </si>
  <si>
    <t>PVC GRAY S-6000 FRAME 60</t>
  </si>
  <si>
    <t>RM-FRAME60-MHGY-NW</t>
  </si>
  <si>
    <t>PVC MAHOGANY S-6000 FRAME 60</t>
  </si>
  <si>
    <t>RM-FRAME60-WLNT-NW</t>
  </si>
  <si>
    <t>PVC WALNUT S-6000 FRAME 60</t>
  </si>
  <si>
    <t>RM-FRAME60-WHT-NW</t>
  </si>
  <si>
    <t>PVC WHITE S-6000 FRAME 60</t>
  </si>
  <si>
    <t>RM-SASH78-GOAK-NW</t>
  </si>
  <si>
    <t>PVC GOLDEN OAK S-6000 SASH 78</t>
  </si>
  <si>
    <t>SASH78</t>
  </si>
  <si>
    <t>RM-SASH78-GRAY-NW</t>
  </si>
  <si>
    <t>PVC GRAY S-6000 SASH 78</t>
  </si>
  <si>
    <t>RM-SASH78-MHGY-NW</t>
  </si>
  <si>
    <t>PVC MAHOGANY S-6000 SASH 78</t>
  </si>
  <si>
    <t>RM-SASH78-WLNT-NW</t>
  </si>
  <si>
    <t>PVC WALNUT S-6000 SASH 78</t>
  </si>
  <si>
    <t>RM-SASH78-WHT-NW</t>
  </si>
  <si>
    <t>PVC WHITE S-6000 SASH 78</t>
  </si>
  <si>
    <t>RM-SASH78-BLK-NW</t>
  </si>
  <si>
    <t>PVC BLACK S-6000 78 SASH</t>
  </si>
  <si>
    <t>RM-SASH78-BRWN-MH</t>
  </si>
  <si>
    <t>CASEMENT- WINDOW SASH B [CP404B]</t>
  </si>
  <si>
    <t>RM-STEEL-26x22x1.2-NW</t>
  </si>
  <si>
    <t>26 x 22 x 1.2 (FOR S - 6000 FRAME)</t>
  </si>
  <si>
    <t>STEEL-FRAME60</t>
  </si>
  <si>
    <t>26x22x1.2</t>
  </si>
  <si>
    <t>RM-STEEL-26x22x12x1.2-NW</t>
  </si>
  <si>
    <t>26 x 22 x 12 x 1.2 (FOR S - 6000 FRAME)</t>
  </si>
  <si>
    <t>26x22x12x1.2</t>
  </si>
  <si>
    <t>RM-STEEL-33x28x1.5-NW</t>
  </si>
  <si>
    <t>33 x 28 x 1.5 (FOR S-6000 SASH 78)</t>
  </si>
  <si>
    <t>STEEL-SASH78</t>
  </si>
  <si>
    <t>33x28x1.5</t>
  </si>
  <si>
    <t>RM-STEEL-33x28x13x1.5-NW</t>
  </si>
  <si>
    <t>33 x 28 x 13 x 1.5 (FOR S-6000 SASH 78)</t>
  </si>
  <si>
    <t>33x28x13x1.5</t>
  </si>
  <si>
    <t>RM-ESPAG_CAS-ROTO-1000MM-MH</t>
  </si>
  <si>
    <t>ROTO ESPAG FOR CASEMENT- 1000MM (628794 / 639933)</t>
  </si>
  <si>
    <t>CAS_ESPAG</t>
  </si>
  <si>
    <t>ROTO</t>
  </si>
  <si>
    <t>RM-CAS_ESPAG-ROTO-1000MM-NW</t>
  </si>
  <si>
    <t>CAS ESPAGNOLETTE W/ KEEPER (ROTO) 1000mm</t>
  </si>
  <si>
    <t>RM-CAS_ESPAG-1000MM-NW</t>
  </si>
  <si>
    <t>CAS ESPAGNOLETTE W/ KEEPER 1000mm</t>
  </si>
  <si>
    <t>1000MM</t>
  </si>
  <si>
    <t>RM-HINGE_5BAR-18"-3.0MM-TOTA-NW</t>
  </si>
  <si>
    <t>HINGE 3.0mm 5-BAR 18" (TOTA)</t>
  </si>
  <si>
    <t>HINGE_5BAR</t>
  </si>
  <si>
    <t>RM-CAS-HNDL-ROTO-BLK-NW</t>
  </si>
  <si>
    <t>HANDLES-HANDLE FOR CASEMENT (ROTO) - BLACK</t>
  </si>
  <si>
    <t>CAS-HNDL-ROTO</t>
  </si>
  <si>
    <t>RM-CAS-HNDL-ROTO-WHT-NW</t>
  </si>
  <si>
    <t>HANDLES-HANDLE FOR CASEMENT (ROTO) - WHITE</t>
  </si>
  <si>
    <t>RM-CAS-HNDL-BLK-NW</t>
  </si>
  <si>
    <t>HANDLES-HANDLE FOR CASEMENT ESP. (BLACK)</t>
  </si>
  <si>
    <t>RM-CAS-HNDL-WHT-NW</t>
  </si>
  <si>
    <t>HANDLES-HANDLE FOR CASEMENT ESP. (WHITE)</t>
  </si>
  <si>
    <t>RM-CAS_STRKR-MH</t>
  </si>
  <si>
    <t>ROTO CASEMENT STRIKER (571276)</t>
  </si>
  <si>
    <t>CAS_STRKR</t>
  </si>
  <si>
    <t>RM-SCRW-SBJF5X50-STNLSS-FLAT-ATLAS</t>
  </si>
  <si>
    <t>ATLAS-SCREW S.B JF 5 x 50</t>
  </si>
  <si>
    <t>SBJF5X50</t>
  </si>
  <si>
    <t>DOUBLE AWNING VERTICAL</t>
  </si>
  <si>
    <t>RM-MULLION72-GOAK-NW</t>
  </si>
  <si>
    <t>PVC GOLDEN OAK S-6000 MULLION 72</t>
  </si>
  <si>
    <t>MULLION72</t>
  </si>
  <si>
    <t>RM-MULLION72-GRAY-NW</t>
  </si>
  <si>
    <t>PVC GRAY S-6000 MULLION 72</t>
  </si>
  <si>
    <t>RM-MULLION72-MHGY-NW</t>
  </si>
  <si>
    <t>PVC MAHOGANY S-6000 MULLION 72</t>
  </si>
  <si>
    <t>RM-MULLION72-WLNT-NW</t>
  </si>
  <si>
    <t>PVC WALNUT S-6000 MULLION 72</t>
  </si>
  <si>
    <t>RM-MULLION72-WHT-NW</t>
  </si>
  <si>
    <t>PVC WHITE S-6000 MULLION 72</t>
  </si>
  <si>
    <t>RM-MULLION72-BRWN-MH</t>
  </si>
  <si>
    <t>CASEMENT- FRAME MULLION TRANSOM [CP403]</t>
  </si>
  <si>
    <t>RM-MULLION72-BLK-NW</t>
  </si>
  <si>
    <t>PVC BLACK S-6000 72 MULLION</t>
  </si>
  <si>
    <t>RM-HINGE_4BAR-16"-3.0MM-TOTA-NW</t>
  </si>
  <si>
    <t>HINGE 3.0mm 4-BAR 16" (TOTA)</t>
  </si>
  <si>
    <t>HINGE_4BAR</t>
  </si>
  <si>
    <t>MH</t>
  </si>
  <si>
    <t>8X1</t>
  </si>
  <si>
    <t>16"</t>
  </si>
  <si>
    <t>10X2</t>
  </si>
  <si>
    <t>DOUBLE AWNING HORIZONTAL</t>
  </si>
  <si>
    <t>DOUBLE FIX</t>
  </si>
  <si>
    <t>FIX</t>
  </si>
  <si>
    <t>FIX-AWNING HORIZONTAL</t>
  </si>
  <si>
    <t>RM-ZMULLION-BLK-NW</t>
  </si>
  <si>
    <t>PVC BLACK S-6000 Z MULLION</t>
  </si>
  <si>
    <t>ZMULLION</t>
  </si>
  <si>
    <t>RM-ZMULLION-GOAK-NW</t>
  </si>
  <si>
    <t>PVC GOLDEN OAK S-6000 Z MULLION</t>
  </si>
  <si>
    <t>RM-ZMULLION-GRAY-NW</t>
  </si>
  <si>
    <t>PVC GRAY S-6000 Z MULLION</t>
  </si>
  <si>
    <t>RM-ZMULLION-MHGY-NW</t>
  </si>
  <si>
    <t>PVC MAHOGANY S-6000 Z MULLION</t>
  </si>
  <si>
    <t>RM-ZMULLION-WLNT-NW</t>
  </si>
  <si>
    <t>PVC WALNUT S-6000 Z MULLION</t>
  </si>
  <si>
    <t>RM-ZMULLION-WHT-NW</t>
  </si>
  <si>
    <t>PVC WHITE S-6000 Z MULLION</t>
  </si>
  <si>
    <t>RM-CAS_ESPAG-ROTO-600MM-NW</t>
  </si>
  <si>
    <t>CAS ESPAGNOLETTE W/ KEEPER (ROTO) 600mm</t>
  </si>
  <si>
    <t>RM-CAS_ESPAG-600MM-NW</t>
  </si>
  <si>
    <t>CAS ESPAGNOLETTE W/ KEEPER 600mm</t>
  </si>
  <si>
    <t>600MM</t>
  </si>
  <si>
    <t>RM-ESPAG_CAS-ROTO-600MM-MH</t>
  </si>
  <si>
    <t>ROTO ESPAG FOR CASEMENT- 600MM (628792)</t>
  </si>
  <si>
    <t>RM-HINGE_4BAR-14"-3.0MM-TOTA-NW</t>
  </si>
  <si>
    <t>HINGE 3.0mm 4-BAR 14" (TOTA)</t>
  </si>
  <si>
    <t>FIX-AWNING VERTICAL</t>
  </si>
  <si>
    <t>Patio Door w/out Bottom Frame</t>
  </si>
  <si>
    <t>RM-SASH104-BLK-NW</t>
  </si>
  <si>
    <t>PVC BLACK-WHITE S-6000 104 SASH</t>
  </si>
  <si>
    <t>SASH104</t>
  </si>
  <si>
    <t>RM-SASH104-BRWN-MH</t>
  </si>
  <si>
    <t>CASEMENT- DOOR SASH EXTERNAL-B [CP405B]</t>
  </si>
  <si>
    <t>RM-SASH104-GOAK-NW</t>
  </si>
  <si>
    <t>PVC GOLDEN OAK - WHITE S-6000 SASH 104</t>
  </si>
  <si>
    <t>RM-SASH104-GRAY-NW</t>
  </si>
  <si>
    <t>PVC GRAY - WHITE S-6000 SASH 104</t>
  </si>
  <si>
    <t>RM-SASH104-MHGY-NW</t>
  </si>
  <si>
    <t>PVC MAHOGANY - WHITE S-6000 SASH 104</t>
  </si>
  <si>
    <t>RM-SASH104-WLNT-NW</t>
  </si>
  <si>
    <t>PVC WALNUT - WHITE S-6000 SASH 104</t>
  </si>
  <si>
    <t>RM-SASH104-WHT-NW</t>
  </si>
  <si>
    <t>PVC WHITE S-6000 SASH 104</t>
  </si>
  <si>
    <t>RM-STEEL-35x55x1.2-NW</t>
  </si>
  <si>
    <t>35 x 55 x 1.2 (FOR S - 6000 SASH 104)</t>
  </si>
  <si>
    <t>Sash 104</t>
  </si>
  <si>
    <t>STEEL-SASH104</t>
  </si>
  <si>
    <t>35x55x1.2</t>
  </si>
  <si>
    <t>RM-STEEL-35x55x1.5-NW</t>
  </si>
  <si>
    <t>35 x 55 x 1.5 (for S - 6000 Sash 104)</t>
  </si>
  <si>
    <t>35x55x1.5</t>
  </si>
  <si>
    <t>Patio Door w/ Bottom Frame</t>
  </si>
  <si>
    <t>TRIPLE AWNING HORIZONTAL</t>
  </si>
  <si>
    <t>RM-ESPAG_CAS-ROTO-240MM-MH</t>
  </si>
  <si>
    <t>ROTO ESPAG FOR CASEMENT- 240MM (628790)</t>
  </si>
  <si>
    <t>RM-CAS_ESPAG-ROTO-200MM-NW</t>
  </si>
  <si>
    <t>CAS ESPAGNOLETTE W/ KEEPER (ROTO) 200mm</t>
  </si>
  <si>
    <t>RM-CAS_ESPAG-200MM-NW</t>
  </si>
  <si>
    <t>CAS ESPAGNOLETTE W/ KEEPER 200mm</t>
  </si>
  <si>
    <t>200MM</t>
  </si>
  <si>
    <t>18"</t>
  </si>
  <si>
    <t>TRIPLE AWNING VERTICAL</t>
  </si>
  <si>
    <t>S9000 FS WINDOW</t>
  </si>
  <si>
    <t>RM-SCREEN_FRAME-BLK-NW</t>
  </si>
  <si>
    <t>PVC BLACK S-9000 SCREEN FRAME</t>
  </si>
  <si>
    <t>SCREEN_FRAME</t>
  </si>
  <si>
    <t>RM-SCREEN_FRAME-GOAK-NW</t>
  </si>
  <si>
    <t>PVC GOLDEN OAK S-9000 SCREEN FRAME</t>
  </si>
  <si>
    <t>RM-SCREEN_FRAME-GRAY-NW</t>
  </si>
  <si>
    <t>PVC GRAY S-9000 SCREEN FRAME</t>
  </si>
  <si>
    <t>RM-SCREEN_FRAME-MHGY-NW</t>
  </si>
  <si>
    <t>PVC MAHOGANY S-9000 SCREEN FRAME</t>
  </si>
  <si>
    <t>RM-SCREEN_FRAME-WLNT-NW</t>
  </si>
  <si>
    <t>PVC WALNUT S-9000 SCREEN FRAME</t>
  </si>
  <si>
    <t>RM-SCREEN_FRAME-WHT-NW</t>
  </si>
  <si>
    <t>PVC WHITE S-9000 SCREEN FRAME</t>
  </si>
  <si>
    <t>RM-SCREEN_FRAME-BRWN-MH</t>
  </si>
  <si>
    <t>SLIDING- INSECT SCREEN FRAME/WINDOW [SP416]</t>
  </si>
  <si>
    <t>RM-STEEL-20x17x1.2-NW</t>
  </si>
  <si>
    <t>20 x 17 x 1.2 (FOR SCREEN FRAME)</t>
  </si>
  <si>
    <t>STEEL-SCREENFRAME</t>
  </si>
  <si>
    <t>20x17x1.2</t>
  </si>
  <si>
    <t>RM-SLI_ESPAG-ROTO-1101-1400MM-NW</t>
  </si>
  <si>
    <t>SLI ESPAGNOLETTE W/ KEEPER (ROTO) 1101-1400mm</t>
  </si>
  <si>
    <t>RM-SLI_ESPAG-WOUT_LCK-1200MM-MH</t>
  </si>
  <si>
    <t>ROTO SLIDING ESPAG. W/O LOCK- 1200MM (628484)</t>
  </si>
  <si>
    <t>WOUT_LCK</t>
  </si>
  <si>
    <t>RM-SLI_ESPAG-1000MM-NW</t>
  </si>
  <si>
    <t>SLI ESPAGNOLETTE W/ KEEPER 1000mm</t>
  </si>
  <si>
    <t>RM-RLLR-SNGLEBRNG-A23-NW</t>
  </si>
  <si>
    <t>ROLLER (A23 SINGLE BEARING)</t>
  </si>
  <si>
    <t>RLLR-SNGLEBRNG</t>
  </si>
  <si>
    <t>RM-RLLR-SCRN-SA116-MH</t>
  </si>
  <si>
    <t>ROLLER FOR SCREEN [SA116]</t>
  </si>
  <si>
    <t>RLLR-SCRN</t>
  </si>
  <si>
    <t>RM-SLI-HNDL-BLK-NW</t>
  </si>
  <si>
    <t>HANDLES-HANDLE FOR SLIDING ESP. (BLACK)</t>
  </si>
  <si>
    <t>SLI-HNDL</t>
  </si>
  <si>
    <t>RM-SLI-HNDL-WHT-NW</t>
  </si>
  <si>
    <t>HANDLES-HANDLE FOR SLIDING ESP. (WHITE)</t>
  </si>
  <si>
    <t>RM-LOW_HEIGHT-43MM-BLK-MH</t>
  </si>
  <si>
    <t>ROTO 43MM LOW HEIGHT HANDLE-BLACK (771100)</t>
  </si>
  <si>
    <t>LOW_HEIGHT</t>
  </si>
  <si>
    <t>RM-LOW_HEIGHT-43MM-WHT-MH</t>
  </si>
  <si>
    <t>ROTO 43MM LOW HEIGHT HANDLE-WHITE (765557)</t>
  </si>
  <si>
    <t>RM-PNS-HNDL-BLK-NW</t>
  </si>
  <si>
    <t>HANDLES-PLASTIC NEW SURFACE (BLACK) stopper</t>
  </si>
  <si>
    <t>PNS-HNDL</t>
  </si>
  <si>
    <t>RM-PNS-HNDL-WHT-NW</t>
  </si>
  <si>
    <t>HANDLES-PLASTIC NEW SURFACE (WHITE) stopper</t>
  </si>
  <si>
    <t>S9000 FS DOOR</t>
  </si>
  <si>
    <t>S9000 FSSF DOOR</t>
  </si>
  <si>
    <t>STPPR</t>
  </si>
  <si>
    <t>S9000 SS WINDOW</t>
  </si>
  <si>
    <t>S9000 SS DOOR</t>
  </si>
  <si>
    <t>SDKIT-DH</t>
  </si>
  <si>
    <t>6X3/4"</t>
  </si>
  <si>
    <t>Item (Proper)</t>
  </si>
  <si>
    <t>S9000 FSSF WINDOW</t>
  </si>
  <si>
    <t>Code</t>
  </si>
  <si>
    <t>Frame138</t>
  </si>
  <si>
    <t>Frame112</t>
  </si>
  <si>
    <t>Sash92</t>
  </si>
  <si>
    <t>Sash66</t>
  </si>
  <si>
    <t>Steel-Sash66</t>
  </si>
  <si>
    <t>Steel-Sash92</t>
  </si>
  <si>
    <t>Bead25</t>
  </si>
  <si>
    <t>Bead34</t>
  </si>
  <si>
    <t>Frame90</t>
  </si>
  <si>
    <t>Frame60</t>
  </si>
  <si>
    <t>Sash78</t>
  </si>
  <si>
    <t>Steel-Frame60</t>
  </si>
  <si>
    <t>Steel-Sash78</t>
  </si>
  <si>
    <t>Mullion72</t>
  </si>
  <si>
    <t>Sash104</t>
  </si>
  <si>
    <t>Steel-Sash104</t>
  </si>
  <si>
    <t>Interlocker45</t>
  </si>
  <si>
    <t>Interlocker50</t>
  </si>
  <si>
    <t>Inline Adapter 50</t>
  </si>
  <si>
    <t>S90 &amp; S138 Sash 1</t>
  </si>
  <si>
    <t>S90 &amp; S138 Sash 2</t>
  </si>
  <si>
    <t>S90 &amp; S138</t>
  </si>
  <si>
    <t>S90 &amp; S138 Bead (Sash)</t>
  </si>
  <si>
    <t>S90 &amp; S138 Steel (Frame)</t>
  </si>
  <si>
    <t>S90 &amp; S138 Steel (Sash 1)</t>
  </si>
  <si>
    <t>S90 &amp; S138 Steel (Sash 2)</t>
  </si>
  <si>
    <t>S90 &amp; S138 Steel (Screen Frame)</t>
  </si>
  <si>
    <t>S90 &amp; S138 Steel (Mullion)</t>
  </si>
  <si>
    <t>FSSSSF DOOR</t>
  </si>
  <si>
    <t>FSSSSSSF DOOR</t>
  </si>
  <si>
    <t>William Andrew Bulaquena</t>
  </si>
  <si>
    <t>Banilad</t>
  </si>
  <si>
    <t>Address</t>
  </si>
  <si>
    <t>williamgbulaquena@gmail.com</t>
  </si>
  <si>
    <t>Kunstof</t>
  </si>
  <si>
    <t>Accessories Name</t>
  </si>
  <si>
    <t>Steel-Frame</t>
  </si>
  <si>
    <t>Item2</t>
  </si>
  <si>
    <t>Item1</t>
  </si>
  <si>
    <t>Cover Cap</t>
  </si>
  <si>
    <t>Cylinder Cover Set</t>
  </si>
  <si>
    <t>Drainage Cover</t>
  </si>
  <si>
    <t>Hinge 4-Bar</t>
  </si>
  <si>
    <t>Hinge 5-Bar</t>
  </si>
  <si>
    <t>Low Height Handle</t>
  </si>
  <si>
    <t>Tox6</t>
  </si>
  <si>
    <t>PNS Handle</t>
  </si>
  <si>
    <t>Roto Pop-up Handle</t>
  </si>
  <si>
    <t>Rubber Stopper</t>
  </si>
  <si>
    <t>Roller for Door</t>
  </si>
  <si>
    <t>Roller for Screen</t>
  </si>
  <si>
    <t>Roller for Screen Door</t>
  </si>
  <si>
    <t>Roller Single Bearing</t>
  </si>
  <si>
    <t>Atlas Screw (S) 10 x 2-1/2" (Flat)</t>
  </si>
  <si>
    <t>Atlas Screw (S) 8 x 1-1/4" (Flat)</t>
  </si>
  <si>
    <t>Atlas Screw S.B JF 5 x 50</t>
  </si>
  <si>
    <t>Atlas Screw (S) 6 x 3/4" (FLAT)</t>
  </si>
  <si>
    <t>Casement Handle (Roto)</t>
  </si>
  <si>
    <t>Casement Handle (Espag)</t>
  </si>
  <si>
    <t>Casement Striker (Roto)</t>
  </si>
  <si>
    <t>Casement Espagnolette</t>
  </si>
  <si>
    <t>SD Kit Buffer</t>
  </si>
  <si>
    <t xml:space="preserve">SD Kit Cylinder Door Knob </t>
  </si>
  <si>
    <t>SD Kit Handle</t>
  </si>
  <si>
    <t>SD Kit Outside Pull Handle (Roto)</t>
  </si>
  <si>
    <t>Track Bridge</t>
  </si>
  <si>
    <t>Steel-Screen Frame</t>
  </si>
  <si>
    <t>Sealant</t>
  </si>
  <si>
    <t>Sliding Espag Handle</t>
  </si>
  <si>
    <t>Sliding Striker (Roto)</t>
  </si>
  <si>
    <t>Design Color</t>
  </si>
  <si>
    <t>Color Code</t>
  </si>
  <si>
    <t>Accessory</t>
  </si>
  <si>
    <t>Design Quantity</t>
  </si>
  <si>
    <t>Design Full Name</t>
  </si>
  <si>
    <t>Color_Cleaned</t>
  </si>
  <si>
    <t>Sliding Espagnolette</t>
  </si>
  <si>
    <t>N/A</t>
  </si>
  <si>
    <t>Accessory Type</t>
  </si>
  <si>
    <t>Aluminum Track</t>
  </si>
  <si>
    <t>10 x 2 1/2 S (Flat)</t>
  </si>
  <si>
    <t>Tox #6</t>
  </si>
  <si>
    <t>.</t>
  </si>
  <si>
    <t>Unit</t>
  </si>
  <si>
    <t>meter</t>
  </si>
  <si>
    <t>len</t>
  </si>
  <si>
    <t>pcs</t>
  </si>
  <si>
    <t>Double Side Handle Inside Low Height</t>
  </si>
  <si>
    <t>box</t>
  </si>
  <si>
    <t>SD Kit Buffer Stopper</t>
  </si>
  <si>
    <t>Window/ Door No.</t>
  </si>
  <si>
    <t>Mullion66</t>
  </si>
  <si>
    <t>Steel-Mullion72</t>
  </si>
  <si>
    <t>Steel-Mullion66</t>
  </si>
  <si>
    <t>SCRW</t>
  </si>
  <si>
    <t>SCRW2</t>
  </si>
  <si>
    <t>SCRW3</t>
  </si>
  <si>
    <t>RM-MULLION66-BLK-NW</t>
  </si>
  <si>
    <t>PVC BLACK-WHITE S-9000 MULLION 66 42mm</t>
  </si>
  <si>
    <t>MULLION66</t>
  </si>
  <si>
    <t>RM-MULLION66-GOAK-NW</t>
  </si>
  <si>
    <t>PVC GOLDEN OAK - WHITE S-9000 MULLION 66 42mm</t>
  </si>
  <si>
    <t>RM-MULLION66-GRAY-NW</t>
  </si>
  <si>
    <t>PVC GRAY - WHITE S-9000 MULLION 66 42mm</t>
  </si>
  <si>
    <t>RM-MULLION66-MHGY-NW</t>
  </si>
  <si>
    <t>PVC MAHOGANY - WHITE S-9000 MULLION 66 42mm</t>
  </si>
  <si>
    <t>RM-MULLION66-WLNT-NW</t>
  </si>
  <si>
    <t>PVC WALNUT - WHITE S-9000 MULLION 66 42mm</t>
  </si>
  <si>
    <t>RM-MULLION66-WHT-NW</t>
  </si>
  <si>
    <t>PVC WHITE S-9000 MULLION 66 42mm</t>
  </si>
  <si>
    <t>RM-MULLION66-BRWN-MH</t>
  </si>
  <si>
    <t>42MM SASH MULLION [S415]</t>
  </si>
  <si>
    <t>STEEL-MULLION66</t>
  </si>
  <si>
    <t>RM-STEEL-32x19x1.2-NW</t>
  </si>
  <si>
    <t>32 x 19 x 1.2 (FOR S-6000 72 MULLION)</t>
  </si>
  <si>
    <t>STEEL-MULLION72</t>
  </si>
  <si>
    <t>32x19x1.2</t>
  </si>
  <si>
    <t>RM-STEEL-32x19x3.0-NW</t>
  </si>
  <si>
    <t>32 x 19 x 3.0 (FOR S-6000 72 MULLION)</t>
  </si>
  <si>
    <t>32x19x3.0</t>
  </si>
  <si>
    <t>STEEL-ZMULLION</t>
  </si>
  <si>
    <t>SCRW4</t>
  </si>
  <si>
    <t>STEEL-FRAME90</t>
  </si>
  <si>
    <t>SDKIT-SLI_ESPAG</t>
  </si>
  <si>
    <t>ZMullion</t>
  </si>
  <si>
    <t>Steel-ZMullion</t>
  </si>
  <si>
    <t>Steel-Frame90</t>
  </si>
  <si>
    <t>Glass Type</t>
  </si>
  <si>
    <t>Glass Specification</t>
  </si>
  <si>
    <t>Annealed Glass</t>
  </si>
  <si>
    <t>Tempered Glass</t>
  </si>
  <si>
    <t>Annealed</t>
  </si>
  <si>
    <t>Tempered</t>
  </si>
  <si>
    <t>IGU</t>
  </si>
  <si>
    <t>6mm Clear Annealed Glass</t>
  </si>
  <si>
    <t>10mm Clear Annealed Glass</t>
  </si>
  <si>
    <t>6mm Bronze Annealed Glass</t>
  </si>
  <si>
    <t>10mm Bronze Annealed Glass</t>
  </si>
  <si>
    <t>6mm French Green Annealed Glass</t>
  </si>
  <si>
    <t>10mm French Green Annealed Glass</t>
  </si>
  <si>
    <t>6mm Ford Blue Annealed Glass</t>
  </si>
  <si>
    <t>10mm Ford Blue  Annealed Glass</t>
  </si>
  <si>
    <t>6mm Euro Gray  Annealed Glass</t>
  </si>
  <si>
    <t>10mm Euro Gray Annealed Glass</t>
  </si>
  <si>
    <t>6mm Dark Gray  Annealed Glass</t>
  </si>
  <si>
    <t>10mm Dark Gray  Annealed Glass</t>
  </si>
  <si>
    <t>6mm Reflective Bronze  Annealed Glass</t>
  </si>
  <si>
    <t>6mm Reflective French Green  Annealed Glass</t>
  </si>
  <si>
    <t>6mm Reflective Ford Blue  Annealed Glass</t>
  </si>
  <si>
    <t>6mm Reflective Dark Blue  Annealed Glass</t>
  </si>
  <si>
    <t>6mm Reflective Gold  Annealed Glass</t>
  </si>
  <si>
    <t>6mm Reflective Euro Gray  Annealed Glass</t>
  </si>
  <si>
    <t>6mm Low-E Clear  Annealed Glass</t>
  </si>
  <si>
    <t>6mm Ultra Clear  Annealed Glass</t>
  </si>
  <si>
    <t>6mm Clear Frosted Annealed Glass</t>
  </si>
  <si>
    <t>10mm Clear Frosted Annealed Glass</t>
  </si>
  <si>
    <t>6mm Clear Tempered Glass</t>
  </si>
  <si>
    <t>10mm Clear Tempered Glass</t>
  </si>
  <si>
    <t>6mm Bronze Tempered Glass</t>
  </si>
  <si>
    <t>10mm Bronze Tempered Glass</t>
  </si>
  <si>
    <t>6mm French Green Tempered Glass</t>
  </si>
  <si>
    <t>10mm French Green Tempered Glass</t>
  </si>
  <si>
    <t>6mm Ford Blue Tempered Glass</t>
  </si>
  <si>
    <t>10mm Ford Blue  Tempered Glass</t>
  </si>
  <si>
    <t>6mm Euro Gray  Tempered Glass</t>
  </si>
  <si>
    <t>10mm Euro Gray Tempered Glass</t>
  </si>
  <si>
    <t>6mm Dark Gray  Tempered Glass</t>
  </si>
  <si>
    <t>10mm Dark Gray  Tempered Glass</t>
  </si>
  <si>
    <t>6mm Reflective Bronze Tempered Glass</t>
  </si>
  <si>
    <t>6mm Reflective French Green Tempered Glass</t>
  </si>
  <si>
    <t>6mm Reflective Ford Blue  Tempered Glass</t>
  </si>
  <si>
    <t>6mm Reflective Dark Blue  Tempered Glass</t>
  </si>
  <si>
    <t>6mm Reflective Gold  Tempered Glass</t>
  </si>
  <si>
    <t>6mm Reflective Euro Tempered Glass</t>
  </si>
  <si>
    <t>6mm Low-E Clear  Tempered Glass</t>
  </si>
  <si>
    <t>6mm Ultra Clear Tempered Glass</t>
  </si>
  <si>
    <t>6mm Clear Frosted Tempered Glass</t>
  </si>
  <si>
    <t>10mm Clear Frosted Tempered Glass</t>
  </si>
  <si>
    <t>Main Cutting List</t>
  </si>
  <si>
    <t>Profile Cutting List</t>
  </si>
  <si>
    <t>Steel Cutting List</t>
  </si>
  <si>
    <t>Generate:</t>
  </si>
  <si>
    <t>-</t>
  </si>
  <si>
    <t>Profile - Series 9000 &amp; Series 138</t>
  </si>
  <si>
    <t>S60 Glass (Frame)</t>
  </si>
  <si>
    <t>Roll-up Screen</t>
  </si>
  <si>
    <t>RUS</t>
  </si>
  <si>
    <t>ACC</t>
  </si>
  <si>
    <t>Accordion Screen</t>
  </si>
  <si>
    <t>Cassette</t>
  </si>
  <si>
    <t>Sliding Bar</t>
  </si>
  <si>
    <t>Side Guide</t>
  </si>
  <si>
    <t>Aluminum Tube</t>
  </si>
  <si>
    <t>PVC Pipe</t>
  </si>
  <si>
    <t>Profile - RUS &amp; ACC</t>
  </si>
  <si>
    <t>Top Rail</t>
  </si>
  <si>
    <t>Fix Rail</t>
  </si>
  <si>
    <t>Pull Bar</t>
  </si>
  <si>
    <t>Vertical Rail</t>
  </si>
  <si>
    <t>PVC Cover</t>
  </si>
  <si>
    <t>PVC Magnet Holder</t>
  </si>
  <si>
    <t>PVC Sliding Strip</t>
  </si>
  <si>
    <t>18PVC SLAT</t>
  </si>
  <si>
    <t>Roll-Up Screen</t>
  </si>
  <si>
    <t>RM-RUS-CST-MHGY-NW</t>
  </si>
  <si>
    <t>RUS-DARK MAHOGANY-Cassette</t>
  </si>
  <si>
    <t>RM-RUS-CST-GOAK-NW</t>
  </si>
  <si>
    <t>RUS-GOLDEN OAK-Cassette</t>
  </si>
  <si>
    <t>RM-RUS-CST-GRAY-NW</t>
  </si>
  <si>
    <t>RUS-GRAY-Cassette</t>
  </si>
  <si>
    <t>RM-RUS-CST-WHT-NW</t>
  </si>
  <si>
    <t>RUS-WHITE-Cassette</t>
  </si>
  <si>
    <t>RM-RUS-SLIBR-MHGY-NW</t>
  </si>
  <si>
    <t>RUS-DARK MAHOGANY-Sliding Bar</t>
  </si>
  <si>
    <t>RM-RUS-SLIBR-GOAK-NW</t>
  </si>
  <si>
    <t>RUS-GOLDEN OAK-Sliding Bar</t>
  </si>
  <si>
    <t>RM-RUS-SLIBR-GRAY-NW</t>
  </si>
  <si>
    <t>RUS-GRAY-Sliding Bar</t>
  </si>
  <si>
    <t>RM-RUS-SLIBR-WHT-NW</t>
  </si>
  <si>
    <t>RUS-WHITE-Sliding Bar</t>
  </si>
  <si>
    <t>RM-RUS-SDGD-MHGY-NW</t>
  </si>
  <si>
    <t>RUS-DARK MAHOGANY-Side Guide 4cm</t>
  </si>
  <si>
    <t>RM-RUS-SDGD-GOAK-NW</t>
  </si>
  <si>
    <t>RUS-GOLDEN OAK-Side Guide 4cm</t>
  </si>
  <si>
    <t>RM-RUS-SDGD-GRAY-NW</t>
  </si>
  <si>
    <t>RUS-GRAY-Side Guide 4cm</t>
  </si>
  <si>
    <t>RM-RUS-SDGD-4cm-WHT-NW</t>
  </si>
  <si>
    <t>RUS-WHITE-Side Guide 4cm</t>
  </si>
  <si>
    <t>RM-RUS-ALUMTB-ANODIZED-NW</t>
  </si>
  <si>
    <t>RUS-GENERAL-Aluminum Tube (Anodized)</t>
  </si>
  <si>
    <t>RM-RUS-ACRN-NW</t>
  </si>
  <si>
    <t>RUS-HARDWARE-Acorn</t>
  </si>
  <si>
    <t>RM-RUS-CST-ENDCAP-LEFT-NW</t>
  </si>
  <si>
    <t>RUS-HARDWARE-Cassette Endcap-left</t>
  </si>
  <si>
    <t>RM-RUS-CST-ENDCAP-RIGHT-NW</t>
  </si>
  <si>
    <t>RUS-HARDWARE-Cassette Endcap-right</t>
  </si>
  <si>
    <t>RM-RUS-DMPR-NW</t>
  </si>
  <si>
    <t>RUS-HARDWARE-Damper</t>
  </si>
  <si>
    <t>RM-RUS-DMPRSPRNG-4.7cm-NW</t>
  </si>
  <si>
    <t>RUS-HARDWARE-Damper Spring-L4.7cm</t>
  </si>
  <si>
    <t>RM-RUS-EDCPSLIBR-NW</t>
  </si>
  <si>
    <t>RUS-HARDWARE-Endcap for Sliding Bar</t>
  </si>
  <si>
    <t>RM-RUS-HNDL-NW</t>
  </si>
  <si>
    <t>RUS-HARDWARE-Handle</t>
  </si>
  <si>
    <t>RM-RUS-INNRLCK-LEFT-NW</t>
  </si>
  <si>
    <t>RUS-HARDWARE-Inner Lock-left</t>
  </si>
  <si>
    <t>RM-RUS-INNRLCK-RIGHT-NW</t>
  </si>
  <si>
    <t>RUS-HARDWARE-Inner Lock-right</t>
  </si>
  <si>
    <t>RM-RUS-PRSBTN-NW</t>
  </si>
  <si>
    <t>RUS-HARDWARE-Press-on Button</t>
  </si>
  <si>
    <t>RM-RUS-PVCPIPE-NW</t>
  </si>
  <si>
    <t>RUS-HARDWARE-PVC Pipe</t>
  </si>
  <si>
    <t>RM-RUS-SPRNG-ENDCAP-NW</t>
  </si>
  <si>
    <t>RUS-HARDWARE-Spring Endcap</t>
  </si>
  <si>
    <t>RM-RUS-SPRNG-27cm-NW</t>
  </si>
  <si>
    <t>RUS-HARDWARE-Spring-L27cm</t>
  </si>
  <si>
    <t>RM-RUS-SPRNG-42cm-NW</t>
  </si>
  <si>
    <t>RUS-HARDWARE-Spring-L42cm</t>
  </si>
  <si>
    <t>RM-RUS-TUBE-BUSH-NW</t>
  </si>
  <si>
    <t>RUS-HARDWARE-Tube Bush</t>
  </si>
  <si>
    <t>RM-DAT-1"X5MM-JHOARIS</t>
  </si>
  <si>
    <t>JHO-ARIS-DOUBLE ADHESIVE TAPE 1" X 5M</t>
  </si>
  <si>
    <t>Acorn</t>
  </si>
  <si>
    <t>Cassette Endcap</t>
  </si>
  <si>
    <t>Damper</t>
  </si>
  <si>
    <t>Handle</t>
  </si>
  <si>
    <t>Endcap for Sliding Bar</t>
  </si>
  <si>
    <t>Spring Endcap</t>
  </si>
  <si>
    <t>Tube Bush</t>
  </si>
  <si>
    <t>Damper Spring</t>
  </si>
  <si>
    <t>CST</t>
  </si>
  <si>
    <t>SLIBR</t>
  </si>
  <si>
    <t>SDGD</t>
  </si>
  <si>
    <t>ALUMTB</t>
  </si>
  <si>
    <t>PVCPIPE</t>
  </si>
  <si>
    <t>ACRN</t>
  </si>
  <si>
    <t>DMPR</t>
  </si>
  <si>
    <t>DMPRSPRNG</t>
  </si>
  <si>
    <t>EDCPSLIBR</t>
  </si>
  <si>
    <t>HNDL</t>
  </si>
  <si>
    <t>PRSBTN</t>
  </si>
  <si>
    <t>TUBE</t>
  </si>
  <si>
    <t>DAT</t>
  </si>
  <si>
    <t>CSTENDCP</t>
  </si>
  <si>
    <t>Double Adhesive Tape</t>
  </si>
  <si>
    <t>ACCORDION SCREEN</t>
  </si>
  <si>
    <t>RM-ACCORD_A2TOPRAIL-WHT-NW</t>
  </si>
  <si>
    <t>WHITE- A2 Top Rail-white</t>
  </si>
  <si>
    <t>RM-ACCORD_A2TOPRAIL-GOAK-NW</t>
  </si>
  <si>
    <t>GOLDEN OAK- A2 Top Rail</t>
  </si>
  <si>
    <t>RM-ACCORD_A2TOPRAIL-GREY-NW</t>
  </si>
  <si>
    <t>GRAY- A2 Top Rail-dark grey</t>
  </si>
  <si>
    <t>RM-ACCORD_A2TOPRAIL-MHGY-NW</t>
  </si>
  <si>
    <t>MAHOGANY- A2 Top Rail</t>
  </si>
  <si>
    <t>RM-ACCORD_FIXRAIL-GOAK-NW</t>
  </si>
  <si>
    <t>GOLDEN OAK- A Fix Rail</t>
  </si>
  <si>
    <t>RM-ACCORD_FIXRAIL-GREY-NW</t>
  </si>
  <si>
    <t>GRAY- A Fix Rail-dark grey</t>
  </si>
  <si>
    <t>RM-ACCORD_FIXRAIL-MHGY-NW</t>
  </si>
  <si>
    <t>MAHOGANY- A Fix Rail</t>
  </si>
  <si>
    <t>RM-ACCORD_FIXRAIL-WHT-NW</t>
  </si>
  <si>
    <t>WHITE- A Fix Rail-white</t>
  </si>
  <si>
    <t>RM-ACCORD_PLLBAR-GOAK-NW</t>
  </si>
  <si>
    <t>GOLDEN OAK- A Pull Bar</t>
  </si>
  <si>
    <t>RM-ACCORD_PLLBAR-GREY-NW</t>
  </si>
  <si>
    <t>GRAY- A Pull Bar-dark grey</t>
  </si>
  <si>
    <t>RM-ACCORD_PLLBAR-MHGY-NW</t>
  </si>
  <si>
    <t>MAHOGANY- A Pull Bar</t>
  </si>
  <si>
    <t>RM-ACCORD_PLLBAR-WHT-NW</t>
  </si>
  <si>
    <t>WHITE- A Pull Bar-White</t>
  </si>
  <si>
    <t>RM-ACCORD_A2VRTCLRAIL-GOAK-NW</t>
  </si>
  <si>
    <t>GOLDEN OAK- A2 Vertical Rail</t>
  </si>
  <si>
    <t>RM-ACCORD_A2VRTCLRAIL-GREY-NW</t>
  </si>
  <si>
    <t>GRAY- A2 Vertical Rail-dark grey</t>
  </si>
  <si>
    <t>RM-ACCORD_A2VRTCLRAIL-MHGY-NW</t>
  </si>
  <si>
    <t>MAHOGANY- A2 Vertical Rail</t>
  </si>
  <si>
    <t>RM-ACCORD_A2VRTCLRAIL-WHT-NW</t>
  </si>
  <si>
    <t>WHITE- A2 Vertical Rail-white</t>
  </si>
  <si>
    <t>RM-ACCORD-HDWE_PVC-COVER-2.5M-NW</t>
  </si>
  <si>
    <t>HARDWARE- PVC Cover (2.5meter/piece)</t>
  </si>
  <si>
    <t>RM-ACCORD-HDWE_PVC-MAGNET-2.5M-NW</t>
  </si>
  <si>
    <t>HARDWARE- PVC-Magnet Holder (2.5 meter)</t>
  </si>
  <si>
    <t>RM-ACCORD-HDWE_PVC-SLISTRIP-NW</t>
  </si>
  <si>
    <t>HARDWARE- PVC Sliding Strip (4.2m/pc.)</t>
  </si>
  <si>
    <t>RM-ACCORD-HDWE_18PVC-SLAT-NW</t>
  </si>
  <si>
    <t>HARDWARE- 18PVC Slat</t>
  </si>
  <si>
    <t>RM-ACCORD-HDWE_MAINCHAIN-NW</t>
  </si>
  <si>
    <t>HARDWARE- Main Chain</t>
  </si>
  <si>
    <t>RM-ACCORD-HDWE_FIXCHAIN-NW</t>
  </si>
  <si>
    <t>HARDWARE- A Fix Chain</t>
  </si>
  <si>
    <t>RM-ACCORD-HDWE_BCHAIN_A-NW</t>
  </si>
  <si>
    <t>HARDWARE- Balance Chain A</t>
  </si>
  <si>
    <t>RM-ACCORD-HDWE_BCHAIN_B-NW</t>
  </si>
  <si>
    <t>HARDWARE- Balance Chain B</t>
  </si>
  <si>
    <t>RM-ACCORD-HDWE_FIXRAIL-ENDCAP-NW</t>
  </si>
  <si>
    <t>HARDWARE- A Fix Rail Endcap</t>
  </si>
  <si>
    <t>RM-ACCORD-HDWE_TOP-STRING-NW</t>
  </si>
  <si>
    <t>HARDWARE- A Top String Transmitter</t>
  </si>
  <si>
    <t>RM-ACCORD-HDWE_BTTM-STRING-NW</t>
  </si>
  <si>
    <t>HARDWARE- A Bottom String Transmitter</t>
  </si>
  <si>
    <t>RM-ACCORD-HDWE_A2CORNER-NW</t>
  </si>
  <si>
    <t>HARDWARE- A2 Corner</t>
  </si>
  <si>
    <t>RM-ACCORD-HDWE_A2COVER-NW</t>
  </si>
  <si>
    <t>HARDWARE- A2 Cover-SR/SL</t>
  </si>
  <si>
    <t>RM-ACCORD-HDWE_DOORJOINT-NW</t>
  </si>
  <si>
    <t>HARDWARE- A Door Joint</t>
  </si>
  <si>
    <t>RM-ACCORD-HDWE_BDOUBLE-CORD-NW</t>
  </si>
  <si>
    <t>HARDWARE- B Double Cord Adjustor</t>
  </si>
  <si>
    <t>RM-ACCORD-HDWE_BMOUNT-NW</t>
  </si>
  <si>
    <t>HARDWARE- B Mount Bracket</t>
  </si>
  <si>
    <t>RM-ACCORD-HDWE_BPLUG-NW</t>
  </si>
  <si>
    <t>HARDWARE- B Plug</t>
  </si>
  <si>
    <t>A2TOPRAIL</t>
  </si>
  <si>
    <t>GREY</t>
  </si>
  <si>
    <t>FIXRAIL</t>
  </si>
  <si>
    <t>PLLBAR</t>
  </si>
  <si>
    <t>A2VRTCLRAIL</t>
  </si>
  <si>
    <t>PVC_COVER</t>
  </si>
  <si>
    <t>PVC_MAGNET</t>
  </si>
  <si>
    <t>PVC_SLISTRIP</t>
  </si>
  <si>
    <t>18PVC_SLAT</t>
  </si>
  <si>
    <t>MAINCHAIN</t>
  </si>
  <si>
    <t>FIXCHAIN</t>
  </si>
  <si>
    <t>BCHAIN_A</t>
  </si>
  <si>
    <t>BCHAIN_B</t>
  </si>
  <si>
    <t>FIXRAIL_ENDCAP</t>
  </si>
  <si>
    <t>TOPSTRING</t>
  </si>
  <si>
    <t>BTTMSTRING</t>
  </si>
  <si>
    <t>A2CORNER</t>
  </si>
  <si>
    <t>A2COVER</t>
  </si>
  <si>
    <t>DOORJOINT</t>
  </si>
  <si>
    <t>BDOUBLE</t>
  </si>
  <si>
    <t>BMOUNT</t>
  </si>
  <si>
    <t>BPLUG</t>
  </si>
  <si>
    <t xml:space="preserve">PVC Cover </t>
  </si>
  <si>
    <t>18PVC Slat</t>
  </si>
  <si>
    <t>Main Chain</t>
  </si>
  <si>
    <t>Fix Chain</t>
  </si>
  <si>
    <t>Balance Chain A</t>
  </si>
  <si>
    <t>Balance Chain B</t>
  </si>
  <si>
    <t>Fix Rail Endcap</t>
  </si>
  <si>
    <t>Top String Transmitter</t>
  </si>
  <si>
    <t>Bottom String Transmitter</t>
  </si>
  <si>
    <t>A2 Corner</t>
  </si>
  <si>
    <t>A2 Cover</t>
  </si>
  <si>
    <t>Door Joint</t>
  </si>
  <si>
    <t>Double Cord Adjustor</t>
  </si>
  <si>
    <t>Mount Bracket</t>
  </si>
  <si>
    <t>B Plug</t>
  </si>
  <si>
    <t>Press-on Button</t>
  </si>
  <si>
    <t>INNRLCK_LEFT</t>
  </si>
  <si>
    <t>INNRLCK_RIGHT</t>
  </si>
  <si>
    <t>Inner Lock Left</t>
  </si>
  <si>
    <t>Inner Lock Right</t>
  </si>
  <si>
    <t>Roll-up Screen and Accordion Screen</t>
  </si>
  <si>
    <t>Double Adhesive Tap</t>
  </si>
  <si>
    <t>SPRNGENDCAP</t>
  </si>
  <si>
    <t>SPRNG-L27</t>
  </si>
  <si>
    <t>SPRNG-L42</t>
  </si>
  <si>
    <t>Spring-L27cm</t>
  </si>
  <si>
    <t>Spring-L42cm</t>
  </si>
  <si>
    <t>STEEL-FRAME60-H</t>
  </si>
  <si>
    <t>Steel-Frame60-H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</si>
</sst>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0"/>
      <color theme="1"/>
      <name val="Century Gothic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0"/>
      <color theme="1"/>
      <name val="Century Gothic"/>
      <family val="2"/>
    </font>
    <font>
      <sz val="10"/>
      <color theme="1" tint="0.34998626667073579"/>
      <name val="Century Gothic"/>
      <family val="2"/>
    </font>
    <font>
      <sz val="9"/>
      <color theme="1"/>
      <name val="Century Gothic"/>
      <family val="2"/>
    </font>
    <font>
      <sz val="9"/>
      <color theme="1" tint="0.499984740745262"/>
      <name val="Century Gothic"/>
      <family val="2"/>
    </font>
    <font>
      <sz val="10"/>
      <color theme="1" tint="0.499984740745262"/>
      <name val="Century Gothic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0"/>
      <name val="Century Gothic"/>
      <family val="2"/>
    </font>
    <font>
      <sz val="11"/>
      <color theme="1"/>
      <name val="Calibri"/>
      <family val="2"/>
    </font>
    <font>
      <sz val="9"/>
      <color theme="1" tint="0.34998626667073579"/>
      <name val="Century Gothic"/>
      <family val="2"/>
    </font>
    <font>
      <sz val="9"/>
      <color theme="0" tint="-0.499984740745262"/>
      <name val="Century Gothic"/>
      <family val="2"/>
    </font>
    <font>
      <sz val="10"/>
      <color theme="0" tint="-0.499984740745262"/>
      <name val="Century Gothic"/>
      <family val="2"/>
    </font>
    <font>
      <sz val="10"/>
      <color rgb="FFFF0000"/>
      <name val="Century Gothic"/>
      <family val="2"/>
    </font>
    <font>
      <b/>
      <sz val="10"/>
      <color theme="1" tint="0.34998626667073579"/>
      <name val="Century Gothic"/>
      <family val="2"/>
    </font>
    <font>
      <b/>
      <sz val="10"/>
      <color theme="0"/>
      <name val="Century Gothic"/>
      <family val="2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BC40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85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43" fontId="10" fillId="0" borderId="0" applyFont="0" applyFill="0" applyBorder="0" applyAlignment="0" applyProtection="0"/>
    <xf numFmtId="0" fontId="11" fillId="0" borderId="0"/>
  </cellStyleXfs>
  <cellXfs count="125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  <xf numFmtId="0" fontId="0" fillId="0" borderId="1" xfId="0" applyBorder="1"/>
    <xf numFmtId="0" fontId="1" fillId="3" borderId="6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1" fillId="3" borderId="9" xfId="0" applyFont="1" applyFill="1" applyBorder="1"/>
    <xf numFmtId="0" fontId="1" fillId="3" borderId="10" xfId="0" applyFont="1" applyFill="1" applyBorder="1"/>
    <xf numFmtId="0" fontId="1" fillId="3" borderId="11" xfId="0" applyFont="1" applyFill="1" applyBorder="1"/>
    <xf numFmtId="0" fontId="1" fillId="3" borderId="12" xfId="0" applyFont="1" applyFill="1" applyBorder="1"/>
    <xf numFmtId="0" fontId="1" fillId="3" borderId="13" xfId="0" applyFont="1" applyFill="1" applyBorder="1"/>
    <xf numFmtId="0" fontId="7" fillId="3" borderId="0" xfId="0" applyFont="1" applyFill="1"/>
    <xf numFmtId="0" fontId="8" fillId="3" borderId="0" xfId="0" applyFont="1" applyFill="1"/>
    <xf numFmtId="0" fontId="9" fillId="3" borderId="9" xfId="0" applyFont="1" applyFill="1" applyBorder="1"/>
    <xf numFmtId="0" fontId="5" fillId="4" borderId="5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6" fillId="3" borderId="5" xfId="1" applyNumberFormat="1" applyFont="1" applyFill="1" applyBorder="1" applyAlignment="1">
      <alignment horizontal="center" vertical="center"/>
    </xf>
    <xf numFmtId="0" fontId="0" fillId="3" borderId="0" xfId="0" applyFill="1"/>
    <xf numFmtId="43" fontId="6" fillId="3" borderId="5" xfId="1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6" fillId="3" borderId="5" xfId="1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5" fillId="5" borderId="2" xfId="0" applyFont="1" applyFill="1" applyBorder="1" applyAlignment="1">
      <alignment vertical="center"/>
    </xf>
    <xf numFmtId="0" fontId="5" fillId="5" borderId="3" xfId="0" applyFont="1" applyFill="1" applyBorder="1" applyAlignment="1">
      <alignment vertical="center"/>
    </xf>
    <xf numFmtId="0" fontId="5" fillId="5" borderId="4" xfId="0" applyFont="1" applyFill="1" applyBorder="1" applyAlignment="1">
      <alignment vertical="center"/>
    </xf>
    <xf numFmtId="2" fontId="6" fillId="3" borderId="5" xfId="0" applyNumberFormat="1" applyFont="1" applyFill="1" applyBorder="1" applyAlignment="1">
      <alignment horizontal="center"/>
    </xf>
    <xf numFmtId="0" fontId="1" fillId="6" borderId="0" xfId="0" applyFont="1" applyFill="1"/>
    <xf numFmtId="0" fontId="6" fillId="3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5" fillId="7" borderId="5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/>
    </xf>
    <xf numFmtId="0" fontId="5" fillId="4" borderId="14" xfId="0" applyFont="1" applyFill="1" applyBorder="1" applyAlignment="1">
      <alignment horizontal="center" vertical="center"/>
    </xf>
    <xf numFmtId="0" fontId="13" fillId="0" borderId="0" xfId="0" applyFont="1"/>
    <xf numFmtId="0" fontId="14" fillId="0" borderId="15" xfId="0" applyFont="1" applyBorder="1" applyAlignment="1">
      <alignment horizontal="center" vertical="center" wrapText="1"/>
    </xf>
    <xf numFmtId="0" fontId="1" fillId="8" borderId="0" xfId="0" applyFont="1" applyFill="1"/>
    <xf numFmtId="0" fontId="16" fillId="3" borderId="0" xfId="0" applyFont="1" applyFill="1"/>
    <xf numFmtId="0" fontId="17" fillId="3" borderId="12" xfId="0" applyFont="1" applyFill="1" applyBorder="1"/>
    <xf numFmtId="0" fontId="17" fillId="3" borderId="9" xfId="0" applyFont="1" applyFill="1" applyBorder="1"/>
    <xf numFmtId="0" fontId="18" fillId="8" borderId="0" xfId="0" applyFont="1" applyFill="1"/>
    <xf numFmtId="0" fontId="6" fillId="3" borderId="5" xfId="0" quotePrefix="1" applyFont="1" applyFill="1" applyBorder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5" borderId="9" xfId="0" applyFont="1" applyFill="1" applyBorder="1" applyAlignment="1">
      <alignment horizontal="center" vertical="center" wrapText="1"/>
    </xf>
    <xf numFmtId="0" fontId="0" fillId="8" borderId="0" xfId="0" applyFill="1"/>
    <xf numFmtId="0" fontId="6" fillId="3" borderId="5" xfId="0" applyFont="1" applyFill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left" vertical="center"/>
    </xf>
    <xf numFmtId="0" fontId="5" fillId="7" borderId="5" xfId="0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left"/>
    </xf>
    <xf numFmtId="0" fontId="1" fillId="3" borderId="12" xfId="0" applyFont="1" applyFill="1" applyBorder="1" applyAlignment="1">
      <alignment horizontal="left"/>
    </xf>
    <xf numFmtId="0" fontId="1" fillId="3" borderId="9" xfId="0" applyFont="1" applyFill="1" applyBorder="1" applyAlignment="1">
      <alignment horizontal="left"/>
    </xf>
    <xf numFmtId="0" fontId="5" fillId="7" borderId="5" xfId="0" applyFont="1" applyFill="1" applyBorder="1" applyAlignment="1">
      <alignment horizontal="left" vertical="center"/>
    </xf>
    <xf numFmtId="0" fontId="6" fillId="3" borderId="5" xfId="0" applyFont="1" applyFill="1" applyBorder="1" applyAlignment="1">
      <alignment horizontal="left"/>
    </xf>
    <xf numFmtId="0" fontId="6" fillId="4" borderId="5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0" fontId="8" fillId="3" borderId="0" xfId="0" applyFont="1" applyFill="1" applyAlignment="1">
      <alignment horizontal="left"/>
    </xf>
    <xf numFmtId="0" fontId="5" fillId="7" borderId="2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/>
    </xf>
    <xf numFmtId="0" fontId="6" fillId="3" borderId="2" xfId="0" applyFont="1" applyFill="1" applyBorder="1" applyAlignment="1">
      <alignment horizontal="left"/>
    </xf>
    <xf numFmtId="0" fontId="1" fillId="3" borderId="0" xfId="0" applyFont="1" applyFill="1"/>
    <xf numFmtId="0" fontId="13" fillId="8" borderId="0" xfId="0" applyFont="1" applyFill="1"/>
    <xf numFmtId="0" fontId="1" fillId="9" borderId="0" xfId="0" applyFont="1" applyFill="1"/>
    <xf numFmtId="0" fontId="6" fillId="10" borderId="5" xfId="0" applyFont="1" applyFill="1" applyBorder="1" applyAlignment="1">
      <alignment horizontal="center"/>
    </xf>
    <xf numFmtId="0" fontId="6" fillId="10" borderId="2" xfId="0" applyFont="1" applyFill="1" applyBorder="1" applyAlignment="1">
      <alignment horizontal="center"/>
    </xf>
    <xf numFmtId="0" fontId="6" fillId="11" borderId="5" xfId="0" applyFont="1" applyFill="1" applyBorder="1" applyAlignment="1">
      <alignment horizontal="center"/>
    </xf>
    <xf numFmtId="0" fontId="6" fillId="11" borderId="2" xfId="0" applyFont="1" applyFill="1" applyBorder="1" applyAlignment="1">
      <alignment horizontal="center"/>
    </xf>
    <xf numFmtId="0" fontId="6" fillId="10" borderId="5" xfId="0" applyFont="1" applyFill="1" applyBorder="1" applyAlignment="1">
      <alignment horizontal="left"/>
    </xf>
    <xf numFmtId="0" fontId="6" fillId="11" borderId="2" xfId="0" applyFont="1" applyFill="1" applyBorder="1" applyAlignment="1">
      <alignment horizontal="left"/>
    </xf>
    <xf numFmtId="0" fontId="6" fillId="10" borderId="2" xfId="0" applyFont="1" applyFill="1" applyBorder="1" applyAlignment="1">
      <alignment horizontal="left"/>
    </xf>
    <xf numFmtId="0" fontId="6" fillId="11" borderId="5" xfId="0" applyFont="1" applyFill="1" applyBorder="1" applyAlignment="1">
      <alignment horizontal="left"/>
    </xf>
    <xf numFmtId="0" fontId="1" fillId="8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8" borderId="0" xfId="0" applyFont="1" applyFill="1" applyAlignment="1">
      <alignment horizontal="left" vertical="center"/>
    </xf>
    <xf numFmtId="0" fontId="1" fillId="3" borderId="12" xfId="0" applyFont="1" applyFill="1" applyBorder="1" applyAlignment="1">
      <alignment horizontal="left" vertical="center"/>
    </xf>
    <xf numFmtId="0" fontId="1" fillId="3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/>
    </xf>
    <xf numFmtId="0" fontId="5" fillId="16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5" fillId="8" borderId="0" xfId="0" applyFont="1" applyFill="1" applyAlignment="1">
      <alignment horizontal="center" vertical="center"/>
    </xf>
    <xf numFmtId="15" fontId="15" fillId="3" borderId="9" xfId="0" applyNumberFormat="1" applyFont="1" applyFill="1" applyBorder="1" applyAlignment="1">
      <alignment horizontal="left" vertical="center"/>
    </xf>
    <xf numFmtId="0" fontId="15" fillId="3" borderId="3" xfId="0" applyFont="1" applyFill="1" applyBorder="1" applyAlignment="1">
      <alignment horizontal="left" vertical="center"/>
    </xf>
    <xf numFmtId="0" fontId="15" fillId="3" borderId="9" xfId="0" applyFont="1" applyFill="1" applyBorder="1" applyAlignment="1">
      <alignment horizontal="left" vertical="center"/>
    </xf>
    <xf numFmtId="15" fontId="15" fillId="3" borderId="3" xfId="0" applyNumberFormat="1" applyFont="1" applyFill="1" applyBorder="1" applyAlignment="1">
      <alignment horizontal="left" vertical="center"/>
    </xf>
    <xf numFmtId="0" fontId="20" fillId="12" borderId="2" xfId="0" applyFont="1" applyFill="1" applyBorder="1" applyAlignment="1">
      <alignment horizontal="center" vertical="center"/>
    </xf>
    <xf numFmtId="0" fontId="20" fillId="12" borderId="3" xfId="0" applyFont="1" applyFill="1" applyBorder="1" applyAlignment="1">
      <alignment horizontal="center" vertical="center"/>
    </xf>
    <xf numFmtId="0" fontId="20" fillId="12" borderId="4" xfId="0" applyFont="1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/>
    </xf>
    <xf numFmtId="0" fontId="5" fillId="13" borderId="3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20" fillId="14" borderId="2" xfId="0" applyFont="1" applyFill="1" applyBorder="1" applyAlignment="1">
      <alignment horizontal="center" vertical="center"/>
    </xf>
    <xf numFmtId="0" fontId="20" fillId="14" borderId="3" xfId="0" applyFont="1" applyFill="1" applyBorder="1" applyAlignment="1">
      <alignment horizontal="center" vertical="center"/>
    </xf>
    <xf numFmtId="0" fontId="20" fillId="14" borderId="4" xfId="0" applyFont="1" applyFill="1" applyBorder="1" applyAlignment="1">
      <alignment horizontal="center" vertical="center"/>
    </xf>
    <xf numFmtId="0" fontId="20" fillId="15" borderId="2" xfId="0" applyFont="1" applyFill="1" applyBorder="1" applyAlignment="1">
      <alignment horizontal="center" vertical="center"/>
    </xf>
    <xf numFmtId="0" fontId="20" fillId="15" borderId="3" xfId="0" applyFont="1" applyFill="1" applyBorder="1" applyAlignment="1">
      <alignment horizontal="center" vertical="center"/>
    </xf>
    <xf numFmtId="0" fontId="20" fillId="15" borderId="4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left" vertical="center"/>
    </xf>
    <xf numFmtId="0" fontId="8" fillId="3" borderId="9" xfId="0" applyFont="1" applyFill="1" applyBorder="1" applyAlignment="1">
      <alignment horizontal="left" vertical="center"/>
    </xf>
    <xf numFmtId="15" fontId="8" fillId="3" borderId="9" xfId="0" applyNumberFormat="1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horizontal="center" vertical="center"/>
    </xf>
    <xf numFmtId="0" fontId="5" fillId="17" borderId="0" xfId="0" applyFont="1" applyFill="1" applyAlignment="1">
      <alignment horizontal="center"/>
    </xf>
    <xf numFmtId="0" fontId="5" fillId="16" borderId="0" xfId="0" applyFont="1" applyFill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 wrapText="1"/>
    </xf>
    <xf numFmtId="0" fontId="5" fillId="4" borderId="9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/>
    </xf>
  </cellXfs>
  <cellStyles count="3">
    <cellStyle name="Comma" xfId="1" builtinId="3"/>
    <cellStyle name="Normal" xfId="0" builtinId="0"/>
    <cellStyle name="Normal 2" xfId="2" xr:uid="{A4CC24E7-D2D4-4070-BF3A-8C1BB2201FBD}"/>
  </cellStyles>
  <dxfs count="0"/>
  <tableStyles count="0" defaultTableStyle="TableStyleMedium2" defaultPivotStyle="PivotStyleLight16"/>
  <colors>
    <mruColors>
      <color rgb="FFFBC408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hyperlink" Target="#'Project Details'!A1"/><Relationship Id="rId1" Type="http://schemas.openxmlformats.org/officeDocument/2006/relationships/image" Target="../media/image18.png"/><Relationship Id="rId4" Type="http://schemas.openxmlformats.org/officeDocument/2006/relationships/image" Target="../media/image20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hyperlink" Target="#'Project Details'!A1"/><Relationship Id="rId1" Type="http://schemas.openxmlformats.org/officeDocument/2006/relationships/image" Target="../media/image18.png"/><Relationship Id="rId4" Type="http://schemas.openxmlformats.org/officeDocument/2006/relationships/image" Target="../media/image20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hyperlink" Target="#'Project Details'!A1"/><Relationship Id="rId1" Type="http://schemas.openxmlformats.org/officeDocument/2006/relationships/image" Target="../media/image18.png"/><Relationship Id="rId4" Type="http://schemas.openxmlformats.org/officeDocument/2006/relationships/image" Target="../media/image20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hyperlink" Target="#'Project Details'!A1"/><Relationship Id="rId1" Type="http://schemas.openxmlformats.org/officeDocument/2006/relationships/image" Target="../media/image18.png"/><Relationship Id="rId4" Type="http://schemas.openxmlformats.org/officeDocument/2006/relationships/image" Target="../media/image2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hyperlink" Target="#'Project Details'!A1"/><Relationship Id="rId1" Type="http://schemas.openxmlformats.org/officeDocument/2006/relationships/image" Target="../media/image18.png"/><Relationship Id="rId4" Type="http://schemas.openxmlformats.org/officeDocument/2006/relationships/image" Target="../media/image20.sv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781050</xdr:colOff>
      <xdr:row>1</xdr:row>
      <xdr:rowOff>47626</xdr:rowOff>
    </xdr:from>
    <xdr:to>
      <xdr:col>1</xdr:col>
      <xdr:colOff>1333431</xdr:colOff>
      <xdr:row>1</xdr:row>
      <xdr:rowOff>714376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71900" y="238126"/>
          <a:ext cx="552381" cy="666750"/>
        </a:xfrm>
        <a:prstGeom prst="rect">
          <a:avLst/>
        </a:prstGeom>
      </xdr:spPr>
    </xdr:pic>
    <xdr:clientData/>
  </xdr:twoCellAnchor>
  <xdr:twoCellAnchor editAs="absolute">
    <xdr:from>
      <xdr:col>1</xdr:col>
      <xdr:colOff>704850</xdr:colOff>
      <xdr:row>2</xdr:row>
      <xdr:rowOff>28575</xdr:rowOff>
    </xdr:from>
    <xdr:to>
      <xdr:col>1</xdr:col>
      <xdr:colOff>1409612</xdr:colOff>
      <xdr:row>2</xdr:row>
      <xdr:rowOff>723813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95700" y="952500"/>
          <a:ext cx="704762" cy="695238"/>
        </a:xfrm>
        <a:prstGeom prst="rect">
          <a:avLst/>
        </a:prstGeom>
      </xdr:spPr>
    </xdr:pic>
    <xdr:clientData/>
  </xdr:twoCellAnchor>
  <xdr:twoCellAnchor editAs="absolute">
    <xdr:from>
      <xdr:col>1</xdr:col>
      <xdr:colOff>657225</xdr:colOff>
      <xdr:row>3</xdr:row>
      <xdr:rowOff>152400</xdr:rowOff>
    </xdr:from>
    <xdr:to>
      <xdr:col>1</xdr:col>
      <xdr:colOff>1533525</xdr:colOff>
      <xdr:row>3</xdr:row>
      <xdr:rowOff>552400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48075" y="1809750"/>
          <a:ext cx="876300" cy="400000"/>
        </a:xfrm>
        <a:prstGeom prst="rect">
          <a:avLst/>
        </a:prstGeom>
      </xdr:spPr>
    </xdr:pic>
    <xdr:clientData/>
  </xdr:twoCellAnchor>
  <xdr:twoCellAnchor editAs="absolute">
    <xdr:from>
      <xdr:col>1</xdr:col>
      <xdr:colOff>628650</xdr:colOff>
      <xdr:row>4</xdr:row>
      <xdr:rowOff>76200</xdr:rowOff>
    </xdr:from>
    <xdr:to>
      <xdr:col>1</xdr:col>
      <xdr:colOff>1514364</xdr:colOff>
      <xdr:row>4</xdr:row>
      <xdr:rowOff>695326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19500" y="2466975"/>
          <a:ext cx="885714" cy="619126"/>
        </a:xfrm>
        <a:prstGeom prst="rect">
          <a:avLst/>
        </a:prstGeom>
      </xdr:spPr>
    </xdr:pic>
    <xdr:clientData/>
  </xdr:twoCellAnchor>
  <xdr:twoCellAnchor editAs="absolute">
    <xdr:from>
      <xdr:col>1</xdr:col>
      <xdr:colOff>657225</xdr:colOff>
      <xdr:row>5</xdr:row>
      <xdr:rowOff>114300</xdr:rowOff>
    </xdr:from>
    <xdr:to>
      <xdr:col>1</xdr:col>
      <xdr:colOff>1590674</xdr:colOff>
      <xdr:row>5</xdr:row>
      <xdr:rowOff>638175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48075" y="3238500"/>
          <a:ext cx="933449" cy="523875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6</xdr:row>
      <xdr:rowOff>66675</xdr:rowOff>
    </xdr:from>
    <xdr:to>
      <xdr:col>1</xdr:col>
      <xdr:colOff>1647824</xdr:colOff>
      <xdr:row>6</xdr:row>
      <xdr:rowOff>657225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33775" y="3924300"/>
          <a:ext cx="1104899" cy="590550"/>
        </a:xfrm>
        <a:prstGeom prst="rect">
          <a:avLst/>
        </a:prstGeom>
      </xdr:spPr>
    </xdr:pic>
    <xdr:clientData/>
  </xdr:twoCellAnchor>
  <xdr:twoCellAnchor editAs="absolute">
    <xdr:from>
      <xdr:col>1</xdr:col>
      <xdr:colOff>571499</xdr:colOff>
      <xdr:row>7</xdr:row>
      <xdr:rowOff>9525</xdr:rowOff>
    </xdr:from>
    <xdr:to>
      <xdr:col>1</xdr:col>
      <xdr:colOff>1590674</xdr:colOff>
      <xdr:row>8</xdr:row>
      <xdr:rowOff>66576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562349" y="4600575"/>
          <a:ext cx="1019175" cy="7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428626</xdr:colOff>
      <xdr:row>8</xdr:row>
      <xdr:rowOff>66675</xdr:rowOff>
    </xdr:from>
    <xdr:to>
      <xdr:col>1</xdr:col>
      <xdr:colOff>1800226</xdr:colOff>
      <xdr:row>8</xdr:row>
      <xdr:rowOff>714294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419476" y="5391150"/>
          <a:ext cx="1371600" cy="647619"/>
        </a:xfrm>
        <a:prstGeom prst="rect">
          <a:avLst/>
        </a:prstGeom>
      </xdr:spPr>
    </xdr:pic>
    <xdr:clientData/>
  </xdr:twoCellAnchor>
  <xdr:twoCellAnchor editAs="absolute">
    <xdr:from>
      <xdr:col>1</xdr:col>
      <xdr:colOff>438150</xdr:colOff>
      <xdr:row>10</xdr:row>
      <xdr:rowOff>85725</xdr:rowOff>
    </xdr:from>
    <xdr:to>
      <xdr:col>1</xdr:col>
      <xdr:colOff>1838325</xdr:colOff>
      <xdr:row>10</xdr:row>
      <xdr:rowOff>704850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429000" y="6877050"/>
          <a:ext cx="1400175" cy="619125"/>
        </a:xfrm>
        <a:prstGeom prst="rect">
          <a:avLst/>
        </a:prstGeom>
      </xdr:spPr>
    </xdr:pic>
    <xdr:clientData/>
  </xdr:twoCellAnchor>
  <xdr:twoCellAnchor editAs="absolute">
    <xdr:from>
      <xdr:col>1</xdr:col>
      <xdr:colOff>647700</xdr:colOff>
      <xdr:row>14</xdr:row>
      <xdr:rowOff>85725</xdr:rowOff>
    </xdr:from>
    <xdr:to>
      <xdr:col>1</xdr:col>
      <xdr:colOff>1533414</xdr:colOff>
      <xdr:row>14</xdr:row>
      <xdr:rowOff>704851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38550" y="9810750"/>
          <a:ext cx="885714" cy="619126"/>
        </a:xfrm>
        <a:prstGeom prst="rect">
          <a:avLst/>
        </a:prstGeom>
      </xdr:spPr>
    </xdr:pic>
    <xdr:clientData/>
  </xdr:twoCellAnchor>
  <xdr:twoCellAnchor editAs="absolute">
    <xdr:from>
      <xdr:col>1</xdr:col>
      <xdr:colOff>790575</xdr:colOff>
      <xdr:row>15</xdr:row>
      <xdr:rowOff>66675</xdr:rowOff>
    </xdr:from>
    <xdr:to>
      <xdr:col>1</xdr:col>
      <xdr:colOff>1466765</xdr:colOff>
      <xdr:row>15</xdr:row>
      <xdr:rowOff>723818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781425" y="10525125"/>
          <a:ext cx="676190" cy="657143"/>
        </a:xfrm>
        <a:prstGeom prst="rect">
          <a:avLst/>
        </a:prstGeom>
      </xdr:spPr>
    </xdr:pic>
    <xdr:clientData/>
  </xdr:twoCellAnchor>
  <xdr:twoCellAnchor editAs="absolute">
    <xdr:from>
      <xdr:col>1</xdr:col>
      <xdr:colOff>762000</xdr:colOff>
      <xdr:row>16</xdr:row>
      <xdr:rowOff>66675</xdr:rowOff>
    </xdr:from>
    <xdr:to>
      <xdr:col>1</xdr:col>
      <xdr:colOff>1428667</xdr:colOff>
      <xdr:row>16</xdr:row>
      <xdr:rowOff>723818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752850" y="11258550"/>
          <a:ext cx="666667" cy="657143"/>
        </a:xfrm>
        <a:prstGeom prst="rect">
          <a:avLst/>
        </a:prstGeom>
      </xdr:spPr>
    </xdr:pic>
    <xdr:clientData/>
  </xdr:twoCellAnchor>
  <xdr:twoCellAnchor editAs="absolute">
    <xdr:from>
      <xdr:col>1</xdr:col>
      <xdr:colOff>552450</xdr:colOff>
      <xdr:row>17</xdr:row>
      <xdr:rowOff>104775</xdr:rowOff>
    </xdr:from>
    <xdr:to>
      <xdr:col>1</xdr:col>
      <xdr:colOff>1590545</xdr:colOff>
      <xdr:row>17</xdr:row>
      <xdr:rowOff>647632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43300" y="12030075"/>
          <a:ext cx="1038095" cy="542857"/>
        </a:xfrm>
        <a:prstGeom prst="rect">
          <a:avLst/>
        </a:prstGeom>
      </xdr:spPr>
    </xdr:pic>
    <xdr:clientData/>
  </xdr:twoCellAnchor>
  <xdr:twoCellAnchor editAs="absolute">
    <xdr:from>
      <xdr:col>1</xdr:col>
      <xdr:colOff>733425</xdr:colOff>
      <xdr:row>18</xdr:row>
      <xdr:rowOff>19050</xdr:rowOff>
    </xdr:from>
    <xdr:to>
      <xdr:col>1</xdr:col>
      <xdr:colOff>1409615</xdr:colOff>
      <xdr:row>18</xdr:row>
      <xdr:rowOff>676193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724275" y="12677775"/>
          <a:ext cx="676190" cy="657143"/>
        </a:xfrm>
        <a:prstGeom prst="rect">
          <a:avLst/>
        </a:prstGeom>
      </xdr:spPr>
    </xdr:pic>
    <xdr:clientData/>
  </xdr:twoCellAnchor>
  <xdr:twoCellAnchor editAs="absolute">
    <xdr:from>
      <xdr:col>1</xdr:col>
      <xdr:colOff>742950</xdr:colOff>
      <xdr:row>20</xdr:row>
      <xdr:rowOff>47625</xdr:rowOff>
    </xdr:from>
    <xdr:to>
      <xdr:col>1</xdr:col>
      <xdr:colOff>1409617</xdr:colOff>
      <xdr:row>20</xdr:row>
      <xdr:rowOff>704768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733800" y="14173200"/>
          <a:ext cx="666667" cy="657143"/>
        </a:xfrm>
        <a:prstGeom prst="rect">
          <a:avLst/>
        </a:prstGeom>
      </xdr:spPr>
    </xdr:pic>
    <xdr:clientData/>
  </xdr:twoCellAnchor>
  <xdr:twoCellAnchor editAs="absolute">
    <xdr:from>
      <xdr:col>1</xdr:col>
      <xdr:colOff>485775</xdr:colOff>
      <xdr:row>22</xdr:row>
      <xdr:rowOff>85725</xdr:rowOff>
    </xdr:from>
    <xdr:to>
      <xdr:col>1</xdr:col>
      <xdr:colOff>1523870</xdr:colOff>
      <xdr:row>22</xdr:row>
      <xdr:rowOff>628582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76625" y="15678150"/>
          <a:ext cx="1038095" cy="542857"/>
        </a:xfrm>
        <a:prstGeom prst="rect">
          <a:avLst/>
        </a:prstGeom>
      </xdr:spPr>
    </xdr:pic>
    <xdr:clientData/>
  </xdr:twoCellAnchor>
  <xdr:twoCellAnchor editAs="absolute">
    <xdr:from>
      <xdr:col>1</xdr:col>
      <xdr:colOff>485775</xdr:colOff>
      <xdr:row>24</xdr:row>
      <xdr:rowOff>9525</xdr:rowOff>
    </xdr:from>
    <xdr:to>
      <xdr:col>1</xdr:col>
      <xdr:colOff>1657204</xdr:colOff>
      <xdr:row>25</xdr:row>
      <xdr:rowOff>47529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76625" y="17068800"/>
          <a:ext cx="1171429" cy="771429"/>
        </a:xfrm>
        <a:prstGeom prst="rect">
          <a:avLst/>
        </a:prstGeom>
      </xdr:spPr>
    </xdr:pic>
    <xdr:clientData/>
  </xdr:twoCellAnchor>
  <xdr:twoCellAnchor editAs="absolute">
    <xdr:from>
      <xdr:col>1</xdr:col>
      <xdr:colOff>581025</xdr:colOff>
      <xdr:row>25</xdr:row>
      <xdr:rowOff>171450</xdr:rowOff>
    </xdr:from>
    <xdr:to>
      <xdr:col>1</xdr:col>
      <xdr:colOff>1514358</xdr:colOff>
      <xdr:row>25</xdr:row>
      <xdr:rowOff>628593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571875" y="17964150"/>
          <a:ext cx="933333" cy="457143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476250</xdr:colOff>
      <xdr:row>26</xdr:row>
      <xdr:rowOff>123825</xdr:rowOff>
    </xdr:from>
    <xdr:to>
      <xdr:col>1</xdr:col>
      <xdr:colOff>1647679</xdr:colOff>
      <xdr:row>26</xdr:row>
      <xdr:rowOff>580968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7100" y="18649950"/>
          <a:ext cx="1171429" cy="457143"/>
        </a:xfrm>
        <a:prstGeom prst="rect">
          <a:avLst/>
        </a:prstGeom>
      </xdr:spPr>
    </xdr:pic>
    <xdr:clientData/>
  </xdr:twoCellAnchor>
  <xdr:twoCellAnchor editAs="absolute">
    <xdr:from>
      <xdr:col>1</xdr:col>
      <xdr:colOff>847725</xdr:colOff>
      <xdr:row>11</xdr:row>
      <xdr:rowOff>47625</xdr:rowOff>
    </xdr:from>
    <xdr:to>
      <xdr:col>1</xdr:col>
      <xdr:colOff>1295344</xdr:colOff>
      <xdr:row>11</xdr:row>
      <xdr:rowOff>647625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38575" y="7572375"/>
          <a:ext cx="447619" cy="600000"/>
        </a:xfrm>
        <a:prstGeom prst="rect">
          <a:avLst/>
        </a:prstGeom>
      </xdr:spPr>
    </xdr:pic>
    <xdr:clientData/>
  </xdr:twoCellAnchor>
  <xdr:twoCellAnchor editAs="absolute">
    <xdr:from>
      <xdr:col>1</xdr:col>
      <xdr:colOff>762000</xdr:colOff>
      <xdr:row>12</xdr:row>
      <xdr:rowOff>180975</xdr:rowOff>
    </xdr:from>
    <xdr:to>
      <xdr:col>1</xdr:col>
      <xdr:colOff>1542952</xdr:colOff>
      <xdr:row>12</xdr:row>
      <xdr:rowOff>571451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752850" y="8439150"/>
          <a:ext cx="780952" cy="3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647700</xdr:colOff>
      <xdr:row>13</xdr:row>
      <xdr:rowOff>85725</xdr:rowOff>
    </xdr:from>
    <xdr:to>
      <xdr:col>1</xdr:col>
      <xdr:colOff>1533414</xdr:colOff>
      <xdr:row>13</xdr:row>
      <xdr:rowOff>704851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38550" y="9077325"/>
          <a:ext cx="885714" cy="619126"/>
        </a:xfrm>
        <a:prstGeom prst="rect">
          <a:avLst/>
        </a:prstGeom>
      </xdr:spPr>
    </xdr:pic>
    <xdr:clientData/>
  </xdr:twoCellAnchor>
  <xdr:twoCellAnchor editAs="absolute">
    <xdr:from>
      <xdr:col>1</xdr:col>
      <xdr:colOff>733425</xdr:colOff>
      <xdr:row>19</xdr:row>
      <xdr:rowOff>19050</xdr:rowOff>
    </xdr:from>
    <xdr:to>
      <xdr:col>1</xdr:col>
      <xdr:colOff>1409615</xdr:colOff>
      <xdr:row>19</xdr:row>
      <xdr:rowOff>676193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724275" y="13411200"/>
          <a:ext cx="676190" cy="657143"/>
        </a:xfrm>
        <a:prstGeom prst="rect">
          <a:avLst/>
        </a:prstGeom>
      </xdr:spPr>
    </xdr:pic>
    <xdr:clientData/>
  </xdr:twoCellAnchor>
  <xdr:twoCellAnchor editAs="absolute">
    <xdr:from>
      <xdr:col>1</xdr:col>
      <xdr:colOff>742950</xdr:colOff>
      <xdr:row>21</xdr:row>
      <xdr:rowOff>47625</xdr:rowOff>
    </xdr:from>
    <xdr:to>
      <xdr:col>1</xdr:col>
      <xdr:colOff>1409617</xdr:colOff>
      <xdr:row>21</xdr:row>
      <xdr:rowOff>704768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733800" y="14906625"/>
          <a:ext cx="666667" cy="657143"/>
        </a:xfrm>
        <a:prstGeom prst="rect">
          <a:avLst/>
        </a:prstGeom>
      </xdr:spPr>
    </xdr:pic>
    <xdr:clientData/>
  </xdr:twoCellAnchor>
  <xdr:twoCellAnchor editAs="absolute">
    <xdr:from>
      <xdr:col>1</xdr:col>
      <xdr:colOff>485775</xdr:colOff>
      <xdr:row>23</xdr:row>
      <xdr:rowOff>85725</xdr:rowOff>
    </xdr:from>
    <xdr:to>
      <xdr:col>1</xdr:col>
      <xdr:colOff>1523870</xdr:colOff>
      <xdr:row>23</xdr:row>
      <xdr:rowOff>628582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76625" y="16411575"/>
          <a:ext cx="1038095" cy="5428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8507</xdr:colOff>
      <xdr:row>0</xdr:row>
      <xdr:rowOff>85045</xdr:rowOff>
    </xdr:from>
    <xdr:to>
      <xdr:col>4</xdr:col>
      <xdr:colOff>1452119</xdr:colOff>
      <xdr:row>3</xdr:row>
      <xdr:rowOff>144577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835" b="21070"/>
        <a:stretch/>
      </xdr:blipFill>
      <xdr:spPr>
        <a:xfrm>
          <a:off x="189482" y="85045"/>
          <a:ext cx="2634237" cy="573882"/>
        </a:xfrm>
        <a:prstGeom prst="rect">
          <a:avLst/>
        </a:prstGeom>
        <a:solidFill>
          <a:srgbClr val="FF0000"/>
        </a:solidFill>
      </xdr:spPr>
    </xdr:pic>
    <xdr:clientData/>
  </xdr:twoCellAnchor>
  <xdr:twoCellAnchor>
    <xdr:from>
      <xdr:col>4</xdr:col>
      <xdr:colOff>33130</xdr:colOff>
      <xdr:row>11</xdr:row>
      <xdr:rowOff>107674</xdr:rowOff>
    </xdr:from>
    <xdr:to>
      <xdr:col>4</xdr:col>
      <xdr:colOff>1148698</xdr:colOff>
      <xdr:row>14</xdr:row>
      <xdr:rowOff>9276</xdr:rowOff>
    </xdr:to>
    <xdr:sp macro="[0]!main_cutting_list" textlink="">
      <xdr:nvSpPr>
        <xdr:cNvPr id="3" name="Rectangle 2">
          <a:extLst>
            <a:ext uri="{FF2B5EF4-FFF2-40B4-BE49-F238E27FC236}">
              <a16:creationId xmlns:a16="http://schemas.microsoft.com/office/drawing/2014/main" id="{88678AF2-480C-30B4-0D89-349D9F0D2AC0}"/>
            </a:ext>
          </a:extLst>
        </xdr:cNvPr>
        <xdr:cNvSpPr/>
      </xdr:nvSpPr>
      <xdr:spPr>
        <a:xfrm>
          <a:off x="1408043" y="1962978"/>
          <a:ext cx="1115568" cy="27432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/>
              </a:solidFill>
              <a:latin typeface="Century Gothic" panose="020B0502020202020204" pitchFamily="34" charset="0"/>
            </a:rPr>
            <a:t>Main Cutting List</a:t>
          </a:r>
        </a:p>
      </xdr:txBody>
    </xdr:sp>
    <xdr:clientData/>
  </xdr:twoCellAnchor>
  <xdr:twoCellAnchor>
    <xdr:from>
      <xdr:col>4</xdr:col>
      <xdr:colOff>1361660</xdr:colOff>
      <xdr:row>11</xdr:row>
      <xdr:rowOff>107718</xdr:rowOff>
    </xdr:from>
    <xdr:to>
      <xdr:col>4</xdr:col>
      <xdr:colOff>2477228</xdr:colOff>
      <xdr:row>14</xdr:row>
      <xdr:rowOff>9320</xdr:rowOff>
    </xdr:to>
    <xdr:sp macro="[0]!profile_cutting_list" textlink="">
      <xdr:nvSpPr>
        <xdr:cNvPr id="4" name="Rectangle 3">
          <a:extLst>
            <a:ext uri="{FF2B5EF4-FFF2-40B4-BE49-F238E27FC236}">
              <a16:creationId xmlns:a16="http://schemas.microsoft.com/office/drawing/2014/main" id="{68072A90-5DA9-42E3-9D6C-064ADEC1BACD}"/>
            </a:ext>
          </a:extLst>
        </xdr:cNvPr>
        <xdr:cNvSpPr/>
      </xdr:nvSpPr>
      <xdr:spPr>
        <a:xfrm>
          <a:off x="2735265" y="1942534"/>
          <a:ext cx="1115568" cy="27758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/>
              </a:solidFill>
              <a:latin typeface="Century Gothic" panose="020B0502020202020204" pitchFamily="34" charset="0"/>
            </a:rPr>
            <a:t>Profile Cutting List</a:t>
          </a:r>
        </a:p>
      </xdr:txBody>
    </xdr:sp>
    <xdr:clientData/>
  </xdr:twoCellAnchor>
  <xdr:twoCellAnchor>
    <xdr:from>
      <xdr:col>4</xdr:col>
      <xdr:colOff>2662073</xdr:colOff>
      <xdr:row>11</xdr:row>
      <xdr:rowOff>106018</xdr:rowOff>
    </xdr:from>
    <xdr:to>
      <xdr:col>5</xdr:col>
      <xdr:colOff>1094076</xdr:colOff>
      <xdr:row>14</xdr:row>
      <xdr:rowOff>7620</xdr:rowOff>
    </xdr:to>
    <xdr:sp macro="[0]!steel_cutting_list" textlink="">
      <xdr:nvSpPr>
        <xdr:cNvPr id="7" name="Rectangle 6">
          <a:extLst>
            <a:ext uri="{FF2B5EF4-FFF2-40B4-BE49-F238E27FC236}">
              <a16:creationId xmlns:a16="http://schemas.microsoft.com/office/drawing/2014/main" id="{B47E7338-AF4F-4BB6-AF24-44449255E9F5}"/>
            </a:ext>
          </a:extLst>
        </xdr:cNvPr>
        <xdr:cNvSpPr/>
      </xdr:nvSpPr>
      <xdr:spPr>
        <a:xfrm>
          <a:off x="4035678" y="1940834"/>
          <a:ext cx="1119056" cy="27758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/>
              </a:solidFill>
              <a:latin typeface="Century Gothic" panose="020B0502020202020204" pitchFamily="34" charset="0"/>
            </a:rPr>
            <a:t>Steel Cutting List</a:t>
          </a:r>
        </a:p>
      </xdr:txBody>
    </xdr:sp>
    <xdr:clientData/>
  </xdr:twoCellAnchor>
  <xdr:twoCellAnchor>
    <xdr:from>
      <xdr:col>5</xdr:col>
      <xdr:colOff>1285460</xdr:colOff>
      <xdr:row>11</xdr:row>
      <xdr:rowOff>106061</xdr:rowOff>
    </xdr:from>
    <xdr:to>
      <xdr:col>7</xdr:col>
      <xdr:colOff>404919</xdr:colOff>
      <xdr:row>14</xdr:row>
      <xdr:rowOff>7663</xdr:rowOff>
    </xdr:to>
    <xdr:sp macro="[0]!glass_order_list" textlink="">
      <xdr:nvSpPr>
        <xdr:cNvPr id="8" name="Rectangle 7">
          <a:extLst>
            <a:ext uri="{FF2B5EF4-FFF2-40B4-BE49-F238E27FC236}">
              <a16:creationId xmlns:a16="http://schemas.microsoft.com/office/drawing/2014/main" id="{48C02CA4-9B48-4EAC-AC5C-A90ABA741A2E}"/>
            </a:ext>
          </a:extLst>
        </xdr:cNvPr>
        <xdr:cNvSpPr/>
      </xdr:nvSpPr>
      <xdr:spPr>
        <a:xfrm>
          <a:off x="5346118" y="1940877"/>
          <a:ext cx="1119709" cy="27758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/>
              </a:solidFill>
              <a:latin typeface="Century Gothic" panose="020B0502020202020204" pitchFamily="34" charset="0"/>
            </a:rPr>
            <a:t>Glass Order List</a:t>
          </a:r>
        </a:p>
      </xdr:txBody>
    </xdr:sp>
    <xdr:clientData/>
  </xdr:twoCellAnchor>
  <xdr:twoCellAnchor>
    <xdr:from>
      <xdr:col>7</xdr:col>
      <xdr:colOff>612868</xdr:colOff>
      <xdr:row>11</xdr:row>
      <xdr:rowOff>109374</xdr:rowOff>
    </xdr:from>
    <xdr:to>
      <xdr:col>8</xdr:col>
      <xdr:colOff>527458</xdr:colOff>
      <xdr:row>14</xdr:row>
      <xdr:rowOff>10976</xdr:rowOff>
    </xdr:to>
    <xdr:sp macro="[0]!accessories" textlink="">
      <xdr:nvSpPr>
        <xdr:cNvPr id="9" name="Rectangle 8">
          <a:extLst>
            <a:ext uri="{FF2B5EF4-FFF2-40B4-BE49-F238E27FC236}">
              <a16:creationId xmlns:a16="http://schemas.microsoft.com/office/drawing/2014/main" id="{E661363A-BB37-45A3-A34E-02CCD327616C}"/>
            </a:ext>
          </a:extLst>
        </xdr:cNvPr>
        <xdr:cNvSpPr/>
      </xdr:nvSpPr>
      <xdr:spPr>
        <a:xfrm>
          <a:off x="6673776" y="1944190"/>
          <a:ext cx="1112735" cy="27758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900" b="1">
              <a:solidFill>
                <a:schemeClr val="tx1"/>
              </a:solidFill>
              <a:latin typeface="Century Gothic" panose="020B0502020202020204" pitchFamily="34" charset="0"/>
            </a:rPr>
            <a:t>Accessories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8507</xdr:colOff>
      <xdr:row>0</xdr:row>
      <xdr:rowOff>85045</xdr:rowOff>
    </xdr:from>
    <xdr:to>
      <xdr:col>4</xdr:col>
      <xdr:colOff>1280669</xdr:colOff>
      <xdr:row>3</xdr:row>
      <xdr:rowOff>144577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835" b="21070"/>
        <a:stretch/>
      </xdr:blipFill>
      <xdr:spPr>
        <a:xfrm>
          <a:off x="189482" y="85045"/>
          <a:ext cx="2634237" cy="573882"/>
        </a:xfrm>
        <a:prstGeom prst="rect">
          <a:avLst/>
        </a:prstGeom>
      </xdr:spPr>
    </xdr:pic>
    <xdr:clientData/>
  </xdr:twoCellAnchor>
  <xdr:twoCellAnchor editAs="oneCell">
    <xdr:from>
      <xdr:col>8</xdr:col>
      <xdr:colOff>281610</xdr:colOff>
      <xdr:row>0</xdr:row>
      <xdr:rowOff>49695</xdr:rowOff>
    </xdr:from>
    <xdr:to>
      <xdr:col>9</xdr:col>
      <xdr:colOff>82827</xdr:colOff>
      <xdr:row>3</xdr:row>
      <xdr:rowOff>115956</xdr:rowOff>
    </xdr:to>
    <xdr:pic>
      <xdr:nvPicPr>
        <xdr:cNvPr id="5" name="Graphic 4" descr="Back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16162C-9A05-C8DD-CFF3-3DF41F5A6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698936" y="49695"/>
          <a:ext cx="588065" cy="5880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8507</xdr:colOff>
      <xdr:row>0</xdr:row>
      <xdr:rowOff>85045</xdr:rowOff>
    </xdr:from>
    <xdr:to>
      <xdr:col>4</xdr:col>
      <xdr:colOff>1280669</xdr:colOff>
      <xdr:row>3</xdr:row>
      <xdr:rowOff>144577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835" b="21070"/>
        <a:stretch/>
      </xdr:blipFill>
      <xdr:spPr>
        <a:xfrm>
          <a:off x="189482" y="85045"/>
          <a:ext cx="2634237" cy="573882"/>
        </a:xfrm>
        <a:prstGeom prst="rect">
          <a:avLst/>
        </a:prstGeom>
      </xdr:spPr>
    </xdr:pic>
    <xdr:clientData/>
  </xdr:twoCellAnchor>
  <xdr:twoCellAnchor editAs="oneCell">
    <xdr:from>
      <xdr:col>8</xdr:col>
      <xdr:colOff>314739</xdr:colOff>
      <xdr:row>0</xdr:row>
      <xdr:rowOff>49695</xdr:rowOff>
    </xdr:from>
    <xdr:to>
      <xdr:col>10</xdr:col>
      <xdr:colOff>0</xdr:colOff>
      <xdr:row>3</xdr:row>
      <xdr:rowOff>115956</xdr:rowOff>
    </xdr:to>
    <xdr:pic>
      <xdr:nvPicPr>
        <xdr:cNvPr id="4" name="Graphic 3" descr="Back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C1B7359-598F-41FF-AA76-EA19E61DD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732065" y="49695"/>
          <a:ext cx="588065" cy="58806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8507</xdr:colOff>
      <xdr:row>0</xdr:row>
      <xdr:rowOff>85045</xdr:rowOff>
    </xdr:from>
    <xdr:to>
      <xdr:col>4</xdr:col>
      <xdr:colOff>1280669</xdr:colOff>
      <xdr:row>3</xdr:row>
      <xdr:rowOff>144577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835" b="21070"/>
        <a:stretch/>
      </xdr:blipFill>
      <xdr:spPr>
        <a:xfrm>
          <a:off x="189482" y="85045"/>
          <a:ext cx="2634237" cy="573882"/>
        </a:xfrm>
        <a:prstGeom prst="rect">
          <a:avLst/>
        </a:prstGeom>
      </xdr:spPr>
    </xdr:pic>
    <xdr:clientData/>
  </xdr:twoCellAnchor>
  <xdr:twoCellAnchor editAs="oneCell">
    <xdr:from>
      <xdr:col>8</xdr:col>
      <xdr:colOff>331305</xdr:colOff>
      <xdr:row>0</xdr:row>
      <xdr:rowOff>41413</xdr:rowOff>
    </xdr:from>
    <xdr:to>
      <xdr:col>10</xdr:col>
      <xdr:colOff>16566</xdr:colOff>
      <xdr:row>3</xdr:row>
      <xdr:rowOff>107674</xdr:rowOff>
    </xdr:to>
    <xdr:pic>
      <xdr:nvPicPr>
        <xdr:cNvPr id="4" name="Graphic 3" descr="Back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A477D4B-7C3F-4C34-AF70-145778B20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748631" y="41413"/>
          <a:ext cx="588065" cy="58806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8507</xdr:colOff>
      <xdr:row>0</xdr:row>
      <xdr:rowOff>85045</xdr:rowOff>
    </xdr:from>
    <xdr:to>
      <xdr:col>4</xdr:col>
      <xdr:colOff>1280669</xdr:colOff>
      <xdr:row>3</xdr:row>
      <xdr:rowOff>144577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835" b="21070"/>
        <a:stretch/>
      </xdr:blipFill>
      <xdr:spPr>
        <a:xfrm>
          <a:off x="189482" y="85045"/>
          <a:ext cx="2634237" cy="573882"/>
        </a:xfrm>
        <a:prstGeom prst="rect">
          <a:avLst/>
        </a:prstGeom>
      </xdr:spPr>
    </xdr:pic>
    <xdr:clientData/>
  </xdr:twoCellAnchor>
  <xdr:twoCellAnchor editAs="oneCell">
    <xdr:from>
      <xdr:col>9</xdr:col>
      <xdr:colOff>455543</xdr:colOff>
      <xdr:row>0</xdr:row>
      <xdr:rowOff>99392</xdr:rowOff>
    </xdr:from>
    <xdr:to>
      <xdr:col>10</xdr:col>
      <xdr:colOff>107673</xdr:colOff>
      <xdr:row>3</xdr:row>
      <xdr:rowOff>165653</xdr:rowOff>
    </xdr:to>
    <xdr:pic>
      <xdr:nvPicPr>
        <xdr:cNvPr id="3" name="Graphic 2" descr="Back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3F6DBF0-E9A0-48DD-A918-4102FEBBE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33043" y="99392"/>
          <a:ext cx="588065" cy="58806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8507</xdr:colOff>
      <xdr:row>0</xdr:row>
      <xdr:rowOff>85045</xdr:rowOff>
    </xdr:from>
    <xdr:to>
      <xdr:col>5</xdr:col>
      <xdr:colOff>820842</xdr:colOff>
      <xdr:row>3</xdr:row>
      <xdr:rowOff>144577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835" b="21070"/>
        <a:stretch/>
      </xdr:blipFill>
      <xdr:spPr>
        <a:xfrm>
          <a:off x="189482" y="85045"/>
          <a:ext cx="2631610" cy="573882"/>
        </a:xfrm>
        <a:prstGeom prst="rect">
          <a:avLst/>
        </a:prstGeom>
      </xdr:spPr>
    </xdr:pic>
    <xdr:clientData/>
  </xdr:twoCellAnchor>
  <xdr:twoCellAnchor editAs="oneCell">
    <xdr:from>
      <xdr:col>9</xdr:col>
      <xdr:colOff>463826</xdr:colOff>
      <xdr:row>0</xdr:row>
      <xdr:rowOff>57979</xdr:rowOff>
    </xdr:from>
    <xdr:to>
      <xdr:col>11</xdr:col>
      <xdr:colOff>0</xdr:colOff>
      <xdr:row>3</xdr:row>
      <xdr:rowOff>124240</xdr:rowOff>
    </xdr:to>
    <xdr:pic>
      <xdr:nvPicPr>
        <xdr:cNvPr id="3" name="Graphic 2" descr="Back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D9F455C-3A64-4107-8E25-0A304078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113065" y="57979"/>
          <a:ext cx="588065" cy="58806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8507</xdr:colOff>
      <xdr:row>0</xdr:row>
      <xdr:rowOff>85045</xdr:rowOff>
    </xdr:from>
    <xdr:to>
      <xdr:col>4</xdr:col>
      <xdr:colOff>1280669</xdr:colOff>
      <xdr:row>3</xdr:row>
      <xdr:rowOff>144577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835" b="21070"/>
        <a:stretch/>
      </xdr:blipFill>
      <xdr:spPr>
        <a:xfrm>
          <a:off x="189482" y="85045"/>
          <a:ext cx="2634237" cy="57388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8507</xdr:colOff>
      <xdr:row>0</xdr:row>
      <xdr:rowOff>85045</xdr:rowOff>
    </xdr:from>
    <xdr:to>
      <xdr:col>4</xdr:col>
      <xdr:colOff>1280669</xdr:colOff>
      <xdr:row>3</xdr:row>
      <xdr:rowOff>144577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835" b="21070"/>
        <a:stretch/>
      </xdr:blipFill>
      <xdr:spPr>
        <a:xfrm>
          <a:off x="189482" y="85045"/>
          <a:ext cx="2634237" cy="57388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8507</xdr:colOff>
      <xdr:row>0</xdr:row>
      <xdr:rowOff>85045</xdr:rowOff>
    </xdr:from>
    <xdr:to>
      <xdr:col>4</xdr:col>
      <xdr:colOff>1280669</xdr:colOff>
      <xdr:row>3</xdr:row>
      <xdr:rowOff>144577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835" b="21070"/>
        <a:stretch/>
      </xdr:blipFill>
      <xdr:spPr>
        <a:xfrm>
          <a:off x="189482" y="85045"/>
          <a:ext cx="2634237" cy="57388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8507</xdr:colOff>
      <xdr:row>0</xdr:row>
      <xdr:rowOff>85045</xdr:rowOff>
    </xdr:from>
    <xdr:to>
      <xdr:col>4</xdr:col>
      <xdr:colOff>1280669</xdr:colOff>
      <xdr:row>3</xdr:row>
      <xdr:rowOff>144577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835" b="21070"/>
        <a:stretch/>
      </xdr:blipFill>
      <xdr:spPr>
        <a:xfrm>
          <a:off x="189482" y="85045"/>
          <a:ext cx="2634237" cy="57388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8507</xdr:colOff>
      <xdr:row>0</xdr:row>
      <xdr:rowOff>85045</xdr:rowOff>
    </xdr:from>
    <xdr:to>
      <xdr:col>5</xdr:col>
      <xdr:colOff>820842</xdr:colOff>
      <xdr:row>3</xdr:row>
      <xdr:rowOff>144577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835" b="21070"/>
        <a:stretch/>
      </xdr:blipFill>
      <xdr:spPr>
        <a:xfrm>
          <a:off x="189482" y="85045"/>
          <a:ext cx="2634237" cy="573882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8507</xdr:colOff>
      <xdr:row>0</xdr:row>
      <xdr:rowOff>85045</xdr:rowOff>
    </xdr:from>
    <xdr:to>
      <xdr:col>4</xdr:col>
      <xdr:colOff>1145854</xdr:colOff>
      <xdr:row>3</xdr:row>
      <xdr:rowOff>144577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835" b="21070"/>
        <a:stretch/>
      </xdr:blipFill>
      <xdr:spPr>
        <a:xfrm>
          <a:off x="189482" y="85045"/>
          <a:ext cx="2634237" cy="57388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8507</xdr:colOff>
      <xdr:row>0</xdr:row>
      <xdr:rowOff>85045</xdr:rowOff>
    </xdr:from>
    <xdr:to>
      <xdr:col>4</xdr:col>
      <xdr:colOff>1204469</xdr:colOff>
      <xdr:row>3</xdr:row>
      <xdr:rowOff>144577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835" b="21070"/>
        <a:stretch/>
      </xdr:blipFill>
      <xdr:spPr>
        <a:xfrm>
          <a:off x="189482" y="85045"/>
          <a:ext cx="2634237" cy="573882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8507</xdr:colOff>
      <xdr:row>0</xdr:row>
      <xdr:rowOff>85045</xdr:rowOff>
    </xdr:from>
    <xdr:to>
      <xdr:col>5</xdr:col>
      <xdr:colOff>826400</xdr:colOff>
      <xdr:row>3</xdr:row>
      <xdr:rowOff>144577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835" b="21070"/>
        <a:stretch/>
      </xdr:blipFill>
      <xdr:spPr>
        <a:xfrm>
          <a:off x="189482" y="85045"/>
          <a:ext cx="2634237" cy="573882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8507</xdr:colOff>
      <xdr:row>0</xdr:row>
      <xdr:rowOff>85045</xdr:rowOff>
    </xdr:from>
    <xdr:to>
      <xdr:col>4</xdr:col>
      <xdr:colOff>1280669</xdr:colOff>
      <xdr:row>3</xdr:row>
      <xdr:rowOff>144577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835" b="21070"/>
        <a:stretch/>
      </xdr:blipFill>
      <xdr:spPr>
        <a:xfrm>
          <a:off x="189482" y="85045"/>
          <a:ext cx="2634237" cy="573882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8507</xdr:colOff>
      <xdr:row>0</xdr:row>
      <xdr:rowOff>85045</xdr:rowOff>
    </xdr:from>
    <xdr:to>
      <xdr:col>4</xdr:col>
      <xdr:colOff>1280669</xdr:colOff>
      <xdr:row>3</xdr:row>
      <xdr:rowOff>144577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83A1E9-04D5-4D19-A896-9184FD01D0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835" b="21070"/>
        <a:stretch/>
      </xdr:blipFill>
      <xdr:spPr>
        <a:xfrm>
          <a:off x="189482" y="85045"/>
          <a:ext cx="2634237" cy="573882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8507</xdr:colOff>
      <xdr:row>0</xdr:row>
      <xdr:rowOff>85045</xdr:rowOff>
    </xdr:from>
    <xdr:to>
      <xdr:col>4</xdr:col>
      <xdr:colOff>1280669</xdr:colOff>
      <xdr:row>3</xdr:row>
      <xdr:rowOff>144577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835" b="21070"/>
        <a:stretch/>
      </xdr:blipFill>
      <xdr:spPr>
        <a:xfrm>
          <a:off x="189482" y="85045"/>
          <a:ext cx="2634237" cy="573882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314325</xdr:colOff>
      <xdr:row>4</xdr:row>
      <xdr:rowOff>28575</xdr:rowOff>
    </xdr:from>
    <xdr:to>
      <xdr:col>1</xdr:col>
      <xdr:colOff>1019087</xdr:colOff>
      <xdr:row>4</xdr:row>
      <xdr:rowOff>723813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0" y="3181350"/>
          <a:ext cx="704762" cy="6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266700</xdr:colOff>
      <xdr:row>5</xdr:row>
      <xdr:rowOff>152400</xdr:rowOff>
    </xdr:from>
    <xdr:to>
      <xdr:col>1</xdr:col>
      <xdr:colOff>1143000</xdr:colOff>
      <xdr:row>5</xdr:row>
      <xdr:rowOff>552400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14625" y="4038600"/>
          <a:ext cx="876300" cy="400000"/>
        </a:xfrm>
        <a:prstGeom prst="rect">
          <a:avLst/>
        </a:prstGeom>
      </xdr:spPr>
    </xdr:pic>
    <xdr:clientData/>
  </xdr:twoCellAnchor>
  <xdr:twoCellAnchor editAs="oneCell">
    <xdr:from>
      <xdr:col>1</xdr:col>
      <xdr:colOff>238125</xdr:colOff>
      <xdr:row>6</xdr:row>
      <xdr:rowOff>76200</xdr:rowOff>
    </xdr:from>
    <xdr:to>
      <xdr:col>1</xdr:col>
      <xdr:colOff>1123839</xdr:colOff>
      <xdr:row>6</xdr:row>
      <xdr:rowOff>695326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86050" y="4695825"/>
          <a:ext cx="885714" cy="619126"/>
        </a:xfrm>
        <a:prstGeom prst="rect">
          <a:avLst/>
        </a:prstGeom>
      </xdr:spPr>
    </xdr:pic>
    <xdr:clientData/>
  </xdr:twoCellAnchor>
  <xdr:twoCellAnchor editAs="oneCell">
    <xdr:from>
      <xdr:col>1</xdr:col>
      <xdr:colOff>266700</xdr:colOff>
      <xdr:row>7</xdr:row>
      <xdr:rowOff>114300</xdr:rowOff>
    </xdr:from>
    <xdr:to>
      <xdr:col>1</xdr:col>
      <xdr:colOff>1200149</xdr:colOff>
      <xdr:row>7</xdr:row>
      <xdr:rowOff>638175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14625" y="5467350"/>
          <a:ext cx="933449" cy="523875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8</xdr:row>
      <xdr:rowOff>66675</xdr:rowOff>
    </xdr:from>
    <xdr:to>
      <xdr:col>1</xdr:col>
      <xdr:colOff>1257299</xdr:colOff>
      <xdr:row>8</xdr:row>
      <xdr:rowOff>657225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600325" y="6153150"/>
          <a:ext cx="1104899" cy="590550"/>
        </a:xfrm>
        <a:prstGeom prst="rect">
          <a:avLst/>
        </a:prstGeom>
      </xdr:spPr>
    </xdr:pic>
    <xdr:clientData/>
  </xdr:twoCellAnchor>
  <xdr:twoCellAnchor editAs="oneCell">
    <xdr:from>
      <xdr:col>1</xdr:col>
      <xdr:colOff>180974</xdr:colOff>
      <xdr:row>9</xdr:row>
      <xdr:rowOff>9525</xdr:rowOff>
    </xdr:from>
    <xdr:to>
      <xdr:col>1</xdr:col>
      <xdr:colOff>1200149</xdr:colOff>
      <xdr:row>10</xdr:row>
      <xdr:rowOff>66576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28899" y="6829425"/>
          <a:ext cx="1019175" cy="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38101</xdr:colOff>
      <xdr:row>10</xdr:row>
      <xdr:rowOff>66675</xdr:rowOff>
    </xdr:from>
    <xdr:to>
      <xdr:col>1</xdr:col>
      <xdr:colOff>1409701</xdr:colOff>
      <xdr:row>10</xdr:row>
      <xdr:rowOff>714294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486026" y="7620000"/>
          <a:ext cx="1371600" cy="6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85725</xdr:rowOff>
    </xdr:from>
    <xdr:to>
      <xdr:col>2</xdr:col>
      <xdr:colOff>28575</xdr:colOff>
      <xdr:row>12</xdr:row>
      <xdr:rowOff>704850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95550" y="9105900"/>
          <a:ext cx="1400175" cy="619125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16</xdr:row>
      <xdr:rowOff>85725</xdr:rowOff>
    </xdr:from>
    <xdr:to>
      <xdr:col>1</xdr:col>
      <xdr:colOff>1142889</xdr:colOff>
      <xdr:row>16</xdr:row>
      <xdr:rowOff>704851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05100" y="11306175"/>
          <a:ext cx="885714" cy="619126"/>
        </a:xfrm>
        <a:prstGeom prst="rect">
          <a:avLst/>
        </a:prstGeom>
      </xdr:spPr>
    </xdr:pic>
    <xdr:clientData/>
  </xdr:twoCellAnchor>
  <xdr:twoCellAnchor editAs="oneCell">
    <xdr:from>
      <xdr:col>1</xdr:col>
      <xdr:colOff>400050</xdr:colOff>
      <xdr:row>17</xdr:row>
      <xdr:rowOff>66675</xdr:rowOff>
    </xdr:from>
    <xdr:to>
      <xdr:col>1</xdr:col>
      <xdr:colOff>1076240</xdr:colOff>
      <xdr:row>17</xdr:row>
      <xdr:rowOff>723818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47975" y="12020550"/>
          <a:ext cx="676190" cy="6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371475</xdr:colOff>
      <xdr:row>18</xdr:row>
      <xdr:rowOff>66675</xdr:rowOff>
    </xdr:from>
    <xdr:to>
      <xdr:col>1</xdr:col>
      <xdr:colOff>1038142</xdr:colOff>
      <xdr:row>18</xdr:row>
      <xdr:rowOff>723818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819400" y="12753975"/>
          <a:ext cx="666667" cy="6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161925</xdr:colOff>
      <xdr:row>19</xdr:row>
      <xdr:rowOff>104775</xdr:rowOff>
    </xdr:from>
    <xdr:to>
      <xdr:col>1</xdr:col>
      <xdr:colOff>1200020</xdr:colOff>
      <xdr:row>19</xdr:row>
      <xdr:rowOff>647632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609850" y="13525500"/>
          <a:ext cx="1038095" cy="542857"/>
        </a:xfrm>
        <a:prstGeom prst="rect">
          <a:avLst/>
        </a:prstGeom>
      </xdr:spPr>
    </xdr:pic>
    <xdr:clientData/>
  </xdr:twoCellAnchor>
  <xdr:twoCellAnchor editAs="oneCell">
    <xdr:from>
      <xdr:col>1</xdr:col>
      <xdr:colOff>342900</xdr:colOff>
      <xdr:row>20</xdr:row>
      <xdr:rowOff>19050</xdr:rowOff>
    </xdr:from>
    <xdr:to>
      <xdr:col>1</xdr:col>
      <xdr:colOff>1019090</xdr:colOff>
      <xdr:row>20</xdr:row>
      <xdr:rowOff>676193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1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790825" y="14906625"/>
          <a:ext cx="676190" cy="6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352425</xdr:colOff>
      <xdr:row>22</xdr:row>
      <xdr:rowOff>47625</xdr:rowOff>
    </xdr:from>
    <xdr:to>
      <xdr:col>1</xdr:col>
      <xdr:colOff>1019092</xdr:colOff>
      <xdr:row>22</xdr:row>
      <xdr:rowOff>704768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800350" y="15668625"/>
          <a:ext cx="666667" cy="6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95250</xdr:colOff>
      <xdr:row>24</xdr:row>
      <xdr:rowOff>85725</xdr:rowOff>
    </xdr:from>
    <xdr:to>
      <xdr:col>1</xdr:col>
      <xdr:colOff>1133345</xdr:colOff>
      <xdr:row>24</xdr:row>
      <xdr:rowOff>628582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543175" y="16440150"/>
          <a:ext cx="1038095" cy="542857"/>
        </a:xfrm>
        <a:prstGeom prst="rect">
          <a:avLst/>
        </a:prstGeom>
      </xdr:spPr>
    </xdr:pic>
    <xdr:clientData/>
  </xdr:twoCellAnchor>
  <xdr:twoCellAnchor editAs="oneCell">
    <xdr:from>
      <xdr:col>1</xdr:col>
      <xdr:colOff>95250</xdr:colOff>
      <xdr:row>26</xdr:row>
      <xdr:rowOff>9525</xdr:rowOff>
    </xdr:from>
    <xdr:to>
      <xdr:col>1</xdr:col>
      <xdr:colOff>1266679</xdr:colOff>
      <xdr:row>27</xdr:row>
      <xdr:rowOff>47529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1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3175" y="17097375"/>
          <a:ext cx="1171429" cy="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27</xdr:row>
      <xdr:rowOff>171450</xdr:rowOff>
    </xdr:from>
    <xdr:to>
      <xdr:col>1</xdr:col>
      <xdr:colOff>1123833</xdr:colOff>
      <xdr:row>27</xdr:row>
      <xdr:rowOff>628593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1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638425" y="17992725"/>
          <a:ext cx="933333" cy="4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28</xdr:row>
      <xdr:rowOff>123825</xdr:rowOff>
    </xdr:from>
    <xdr:to>
      <xdr:col>1</xdr:col>
      <xdr:colOff>1257154</xdr:colOff>
      <xdr:row>28</xdr:row>
      <xdr:rowOff>580968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533650" y="18678525"/>
          <a:ext cx="1171429" cy="4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457200</xdr:colOff>
      <xdr:row>13</xdr:row>
      <xdr:rowOff>47625</xdr:rowOff>
    </xdr:from>
    <xdr:to>
      <xdr:col>1</xdr:col>
      <xdr:colOff>904819</xdr:colOff>
      <xdr:row>13</xdr:row>
      <xdr:rowOff>647625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17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05125" y="9801225"/>
          <a:ext cx="447619" cy="600000"/>
        </a:xfrm>
        <a:prstGeom prst="rect">
          <a:avLst/>
        </a:prstGeom>
      </xdr:spPr>
    </xdr:pic>
    <xdr:clientData/>
  </xdr:twoCellAnchor>
  <xdr:twoCellAnchor editAs="oneCell">
    <xdr:from>
      <xdr:col>1</xdr:col>
      <xdr:colOff>371475</xdr:colOff>
      <xdr:row>14</xdr:row>
      <xdr:rowOff>180975</xdr:rowOff>
    </xdr:from>
    <xdr:to>
      <xdr:col>1</xdr:col>
      <xdr:colOff>1152427</xdr:colOff>
      <xdr:row>14</xdr:row>
      <xdr:rowOff>571451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17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19400" y="10668000"/>
          <a:ext cx="780952" cy="390476"/>
        </a:xfrm>
        <a:prstGeom prst="rect">
          <a:avLst/>
        </a:prstGeom>
      </xdr:spPr>
    </xdr:pic>
    <xdr:clientData/>
  </xdr:twoCellAnchor>
  <xdr:oneCellAnchor>
    <xdr:from>
      <xdr:col>1</xdr:col>
      <xdr:colOff>257175</xdr:colOff>
      <xdr:row>15</xdr:row>
      <xdr:rowOff>85725</xdr:rowOff>
    </xdr:from>
    <xdr:ext cx="885714" cy="619126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19375" y="9648825"/>
          <a:ext cx="885714" cy="619126"/>
        </a:xfrm>
        <a:prstGeom prst="rect">
          <a:avLst/>
        </a:prstGeom>
      </xdr:spPr>
    </xdr:pic>
    <xdr:clientData/>
  </xdr:oneCellAnchor>
  <xdr:oneCellAnchor>
    <xdr:from>
      <xdr:col>1</xdr:col>
      <xdr:colOff>342900</xdr:colOff>
      <xdr:row>21</xdr:row>
      <xdr:rowOff>19050</xdr:rowOff>
    </xdr:from>
    <xdr:ext cx="676190" cy="657143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705100" y="14716125"/>
          <a:ext cx="676190" cy="657143"/>
        </a:xfrm>
        <a:prstGeom prst="rect">
          <a:avLst/>
        </a:prstGeom>
      </xdr:spPr>
    </xdr:pic>
    <xdr:clientData/>
  </xdr:oneCellAnchor>
  <xdr:oneCellAnchor>
    <xdr:from>
      <xdr:col>1</xdr:col>
      <xdr:colOff>352425</xdr:colOff>
      <xdr:row>23</xdr:row>
      <xdr:rowOff>47625</xdr:rowOff>
    </xdr:from>
    <xdr:ext cx="666667" cy="657143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714625" y="16211550"/>
          <a:ext cx="666667" cy="657143"/>
        </a:xfrm>
        <a:prstGeom prst="rect">
          <a:avLst/>
        </a:prstGeom>
      </xdr:spPr>
    </xdr:pic>
    <xdr:clientData/>
  </xdr:oneCellAnchor>
  <xdr:oneCellAnchor>
    <xdr:from>
      <xdr:col>1</xdr:col>
      <xdr:colOff>95250</xdr:colOff>
      <xdr:row>25</xdr:row>
      <xdr:rowOff>85725</xdr:rowOff>
    </xdr:from>
    <xdr:ext cx="1038095" cy="542857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57450" y="17716500"/>
          <a:ext cx="1038095" cy="542857"/>
        </a:xfrm>
        <a:prstGeom prst="rect">
          <a:avLst/>
        </a:prstGeom>
      </xdr:spPr>
    </xdr:pic>
    <xdr:clientData/>
  </xdr:oneCellAnchor>
  <xdr:oneCellAnchor>
    <xdr:from>
      <xdr:col>1</xdr:col>
      <xdr:colOff>390525</xdr:colOff>
      <xdr:row>3</xdr:row>
      <xdr:rowOff>47626</xdr:rowOff>
    </xdr:from>
    <xdr:ext cx="552381" cy="666750"/>
    <xdr:pic>
      <xdr:nvPicPr>
        <xdr:cNvPr id="28" name="Picture 27">
          <a:extLst>
            <a:ext uri="{FF2B5EF4-FFF2-40B4-BE49-F238E27FC236}">
              <a16:creationId xmlns:a16="http://schemas.microsoft.com/office/drawing/2014/main" id="{7098B4D6-40FE-4ACF-9677-49799C721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47950" y="238126"/>
          <a:ext cx="552381" cy="666750"/>
        </a:xfrm>
        <a:prstGeom prst="rect">
          <a:avLst/>
        </a:prstGeom>
      </xdr:spPr>
    </xdr:pic>
    <xdr:clientData/>
  </xdr:oneCellAnchor>
  <xdr:oneCellAnchor>
    <xdr:from>
      <xdr:col>1</xdr:col>
      <xdr:colOff>390525</xdr:colOff>
      <xdr:row>3</xdr:row>
      <xdr:rowOff>47626</xdr:rowOff>
    </xdr:from>
    <xdr:ext cx="552381" cy="666750"/>
    <xdr:pic>
      <xdr:nvPicPr>
        <xdr:cNvPr id="29" name="Picture 28">
          <a:extLst>
            <a:ext uri="{FF2B5EF4-FFF2-40B4-BE49-F238E27FC236}">
              <a16:creationId xmlns:a16="http://schemas.microsoft.com/office/drawing/2014/main" id="{8E6CD403-645C-43AF-8A3A-CCD7ED4AC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47950" y="238126"/>
          <a:ext cx="552381" cy="66675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5A072-1135-4A2A-8DAD-56D6D0609922}">
  <sheetPr codeName="Sheet1">
    <tabColor theme="1"/>
  </sheetPr>
  <dimension ref="A1:C27"/>
  <sheetViews>
    <sheetView workbookViewId="0">
      <pane ySplit="1" topLeftCell="A7" activePane="bottomLeft" state="frozen"/>
      <selection pane="bottomLeft" activeCell="A25" sqref="A25:XFD25"/>
    </sheetView>
  </sheetViews>
  <sheetFormatPr defaultRowHeight="15" x14ac:dyDescent="0.25"/>
  <cols>
    <col min="1" max="1" width="44.85546875" style="55" customWidth="1"/>
    <col min="2" max="3" width="30.5703125" style="55" customWidth="1"/>
    <col min="4" max="16384" width="9.140625" style="55"/>
  </cols>
  <sheetData>
    <row r="1" spans="1:3" x14ac:dyDescent="0.25">
      <c r="A1" s="37" t="s">
        <v>4</v>
      </c>
      <c r="B1" s="37" t="s">
        <v>35</v>
      </c>
      <c r="C1" s="37" t="s">
        <v>36</v>
      </c>
    </row>
    <row r="2" spans="1:3" ht="57.95" customHeight="1" x14ac:dyDescent="0.25">
      <c r="A2" s="57" t="s">
        <v>37</v>
      </c>
      <c r="B2" s="56"/>
      <c r="C2" s="56" t="s">
        <v>6</v>
      </c>
    </row>
    <row r="3" spans="1:3" ht="57.95" customHeight="1" x14ac:dyDescent="0.25">
      <c r="A3" s="57" t="s">
        <v>38</v>
      </c>
      <c r="B3" s="56"/>
      <c r="C3" s="56" t="s">
        <v>7</v>
      </c>
    </row>
    <row r="4" spans="1:3" ht="57.95" customHeight="1" x14ac:dyDescent="0.25">
      <c r="A4" s="57" t="s">
        <v>39</v>
      </c>
      <c r="B4" s="56"/>
      <c r="C4" s="56" t="s">
        <v>8</v>
      </c>
    </row>
    <row r="5" spans="1:3" ht="57.95" customHeight="1" x14ac:dyDescent="0.25">
      <c r="A5" s="57" t="s">
        <v>40</v>
      </c>
      <c r="B5" s="56"/>
      <c r="C5" s="56" t="s">
        <v>9</v>
      </c>
    </row>
    <row r="6" spans="1:3" ht="57.95" customHeight="1" x14ac:dyDescent="0.25">
      <c r="A6" s="57" t="s">
        <v>41</v>
      </c>
      <c r="B6" s="56"/>
      <c r="C6" s="56" t="s">
        <v>10</v>
      </c>
    </row>
    <row r="7" spans="1:3" ht="57.95" customHeight="1" x14ac:dyDescent="0.25">
      <c r="A7" s="57" t="s">
        <v>42</v>
      </c>
      <c r="B7" s="56"/>
      <c r="C7" s="56" t="s">
        <v>11</v>
      </c>
    </row>
    <row r="8" spans="1:3" ht="57.95" customHeight="1" x14ac:dyDescent="0.25">
      <c r="A8" s="57" t="s">
        <v>43</v>
      </c>
      <c r="B8" s="56"/>
      <c r="C8" s="56" t="s">
        <v>12</v>
      </c>
    </row>
    <row r="9" spans="1:3" ht="57.95" customHeight="1" x14ac:dyDescent="0.25">
      <c r="A9" s="57" t="s">
        <v>44</v>
      </c>
      <c r="B9" s="56"/>
      <c r="C9" s="56" t="s">
        <v>13</v>
      </c>
    </row>
    <row r="10" spans="1:3" ht="57.95" customHeight="1" x14ac:dyDescent="0.25">
      <c r="A10" s="57" t="s">
        <v>45</v>
      </c>
      <c r="B10" s="56" t="s">
        <v>775</v>
      </c>
      <c r="C10" s="56" t="s">
        <v>15</v>
      </c>
    </row>
    <row r="11" spans="1:3" ht="57.95" customHeight="1" x14ac:dyDescent="0.25">
      <c r="A11" s="57" t="s">
        <v>46</v>
      </c>
      <c r="B11" s="56"/>
      <c r="C11" s="56" t="s">
        <v>16</v>
      </c>
    </row>
    <row r="12" spans="1:3" ht="57.95" customHeight="1" x14ac:dyDescent="0.25">
      <c r="A12" s="57" t="s">
        <v>47</v>
      </c>
      <c r="B12" s="56"/>
      <c r="C12" s="56" t="s">
        <v>17</v>
      </c>
    </row>
    <row r="13" spans="1:3" ht="57.95" customHeight="1" x14ac:dyDescent="0.25">
      <c r="A13" s="57" t="s">
        <v>48</v>
      </c>
      <c r="B13" s="56"/>
      <c r="C13" s="56" t="s">
        <v>18</v>
      </c>
    </row>
    <row r="14" spans="1:3" ht="57.95" customHeight="1" x14ac:dyDescent="0.25">
      <c r="A14" s="57" t="s">
        <v>133</v>
      </c>
      <c r="B14" s="56"/>
      <c r="C14" s="56" t="s">
        <v>19</v>
      </c>
    </row>
    <row r="15" spans="1:3" ht="57.95" customHeight="1" x14ac:dyDescent="0.25">
      <c r="A15" s="57" t="s">
        <v>73</v>
      </c>
      <c r="B15" s="56"/>
      <c r="C15" s="56" t="s">
        <v>74</v>
      </c>
    </row>
    <row r="16" spans="1:3" ht="57.95" customHeight="1" x14ac:dyDescent="0.25">
      <c r="A16" s="57" t="s">
        <v>49</v>
      </c>
      <c r="B16" s="56"/>
      <c r="C16" s="56" t="s">
        <v>20</v>
      </c>
    </row>
    <row r="17" spans="1:3" ht="57.95" customHeight="1" x14ac:dyDescent="0.25">
      <c r="A17" s="57" t="s">
        <v>50</v>
      </c>
      <c r="B17" s="56"/>
      <c r="C17" s="56" t="s">
        <v>21</v>
      </c>
    </row>
    <row r="18" spans="1:3" ht="57.95" customHeight="1" x14ac:dyDescent="0.25">
      <c r="A18" s="57" t="s">
        <v>51</v>
      </c>
      <c r="B18" s="56"/>
      <c r="C18" s="56" t="s">
        <v>22</v>
      </c>
    </row>
    <row r="19" spans="1:3" ht="57.95" customHeight="1" x14ac:dyDescent="0.25">
      <c r="A19" s="57" t="s">
        <v>52</v>
      </c>
      <c r="B19" s="56"/>
      <c r="C19" s="56" t="s">
        <v>23</v>
      </c>
    </row>
    <row r="20" spans="1:3" ht="57.95" customHeight="1" x14ac:dyDescent="0.25">
      <c r="A20" s="57" t="s">
        <v>75</v>
      </c>
      <c r="B20" s="56"/>
      <c r="C20" s="56" t="s">
        <v>76</v>
      </c>
    </row>
    <row r="21" spans="1:3" ht="57.95" customHeight="1" x14ac:dyDescent="0.25">
      <c r="A21" s="57" t="s">
        <v>53</v>
      </c>
      <c r="B21" s="56"/>
      <c r="C21" s="56" t="s">
        <v>24</v>
      </c>
    </row>
    <row r="22" spans="1:3" ht="57.95" customHeight="1" x14ac:dyDescent="0.25">
      <c r="A22" s="57" t="s">
        <v>77</v>
      </c>
      <c r="B22" s="56"/>
      <c r="C22" s="56" t="s">
        <v>78</v>
      </c>
    </row>
    <row r="23" spans="1:3" ht="57.95" customHeight="1" x14ac:dyDescent="0.25">
      <c r="A23" s="57" t="s">
        <v>54</v>
      </c>
      <c r="B23" s="56"/>
      <c r="C23" s="56" t="s">
        <v>25</v>
      </c>
    </row>
    <row r="24" spans="1:3" ht="57.95" customHeight="1" x14ac:dyDescent="0.25">
      <c r="A24" s="57" t="s">
        <v>79</v>
      </c>
      <c r="B24" s="56"/>
      <c r="C24" s="56" t="s">
        <v>80</v>
      </c>
    </row>
    <row r="25" spans="1:3" ht="57.95" customHeight="1" x14ac:dyDescent="0.25">
      <c r="A25" s="57" t="s">
        <v>55</v>
      </c>
      <c r="B25" s="56"/>
      <c r="C25" s="56" t="s">
        <v>26</v>
      </c>
    </row>
    <row r="26" spans="1:3" ht="57.95" customHeight="1" x14ac:dyDescent="0.25">
      <c r="A26" s="57" t="s">
        <v>56</v>
      </c>
      <c r="B26" s="56"/>
      <c r="C26" s="56" t="s">
        <v>198</v>
      </c>
    </row>
    <row r="27" spans="1:3" ht="57.95" customHeight="1" x14ac:dyDescent="0.25">
      <c r="A27" s="57" t="s">
        <v>57</v>
      </c>
      <c r="B27" s="56"/>
      <c r="C27" s="56" t="s">
        <v>27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C76AC-16EF-4996-955F-4E8BAE925883}">
  <sheetPr codeName="main_cl">
    <tabColor rgb="FFFBC408"/>
  </sheetPr>
  <dimension ref="A1:R79"/>
  <sheetViews>
    <sheetView zoomScale="115" zoomScaleNormal="115" workbookViewId="0"/>
  </sheetViews>
  <sheetFormatPr defaultColWidth="0" defaultRowHeight="13.5" customHeight="1" zeroHeight="1" x14ac:dyDescent="0.25"/>
  <cols>
    <col min="1" max="1" width="2.7109375" style="1" customWidth="1"/>
    <col min="2" max="2" width="1.7109375" style="1" customWidth="1"/>
    <col min="3" max="3" width="11.85546875" style="1" customWidth="1"/>
    <col min="4" max="4" width="4.28515625" style="1" bestFit="1" customWidth="1"/>
    <col min="5" max="5" width="40.28515625" style="1" customWidth="1"/>
    <col min="6" max="6" width="19.42578125" style="1" customWidth="1"/>
    <col min="7" max="7" width="10.5703125" style="1" customWidth="1"/>
    <col min="8" max="8" width="18" style="1" customWidth="1"/>
    <col min="9" max="9" width="20.85546875" style="1" bestFit="1" customWidth="1"/>
    <col min="10" max="10" width="34.5703125" style="1" bestFit="1" customWidth="1"/>
    <col min="11" max="12" width="10.7109375" style="1" customWidth="1"/>
    <col min="13" max="14" width="1.7109375" style="1" customWidth="1"/>
    <col min="15" max="15" width="2.7109375" style="1" hidden="1" customWidth="1"/>
    <col min="16" max="16" width="15.140625" style="1" hidden="1" customWidth="1"/>
    <col min="17" max="17" width="1.7109375" style="1" hidden="1" customWidth="1"/>
    <col min="18" max="18" width="2.7109375" style="1" hidden="1" customWidth="1"/>
    <col min="19" max="16384" width="0" style="1" hidden="1"/>
  </cols>
  <sheetData>
    <row r="1" spans="1:18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</row>
    <row r="2" spans="1:18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</row>
    <row r="3" spans="1:18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</row>
    <row r="4" spans="1:18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</row>
    <row r="5" spans="1:18" s="43" customFormat="1" ht="9.9499999999999993" customHeight="1" x14ac:dyDescent="0.25">
      <c r="B5" s="9"/>
      <c r="C5" s="10"/>
      <c r="D5" s="10"/>
      <c r="E5" s="10"/>
      <c r="F5" s="10"/>
      <c r="G5" s="10"/>
      <c r="H5" s="10"/>
      <c r="I5" s="45"/>
      <c r="J5" s="45"/>
      <c r="K5" s="10"/>
      <c r="L5" s="10"/>
      <c r="M5" s="11"/>
    </row>
    <row r="6" spans="1:18" s="43" customFormat="1" ht="14.25" x14ac:dyDescent="0.3">
      <c r="B6" s="4"/>
      <c r="C6" s="44" t="s">
        <v>0</v>
      </c>
      <c r="D6" s="93">
        <v>45217</v>
      </c>
      <c r="E6" s="93"/>
      <c r="F6" s="13"/>
      <c r="G6" s="13"/>
      <c r="H6" s="13"/>
      <c r="I6" s="44" t="s">
        <v>90</v>
      </c>
      <c r="J6" s="95">
        <v>1</v>
      </c>
      <c r="K6" s="95"/>
      <c r="L6" s="13"/>
      <c r="M6" s="5"/>
    </row>
    <row r="7" spans="1:18" s="43" customFormat="1" ht="14.25" x14ac:dyDescent="0.3">
      <c r="B7" s="4"/>
      <c r="C7" s="44" t="s">
        <v>1</v>
      </c>
      <c r="D7" s="94" t="s">
        <v>728</v>
      </c>
      <c r="E7" s="94"/>
      <c r="F7" s="13"/>
      <c r="G7" s="13"/>
      <c r="H7" s="13"/>
      <c r="I7" s="44" t="s">
        <v>91</v>
      </c>
      <c r="J7" s="94">
        <v>1</v>
      </c>
      <c r="K7" s="94"/>
      <c r="L7" s="13"/>
      <c r="M7" s="5"/>
    </row>
    <row r="8" spans="1:18" s="43" customFormat="1" ht="14.25" x14ac:dyDescent="0.3">
      <c r="B8" s="4"/>
      <c r="C8" s="44" t="s">
        <v>730</v>
      </c>
      <c r="D8" s="94" t="s">
        <v>729</v>
      </c>
      <c r="E8" s="94"/>
      <c r="F8" s="13"/>
      <c r="G8" s="13"/>
      <c r="H8" s="13"/>
      <c r="I8" s="44" t="s">
        <v>92</v>
      </c>
      <c r="J8" s="94">
        <v>12345</v>
      </c>
      <c r="K8" s="94"/>
      <c r="L8" s="13"/>
      <c r="M8" s="5"/>
    </row>
    <row r="9" spans="1:18" s="43" customFormat="1" ht="14.25" x14ac:dyDescent="0.3">
      <c r="B9" s="4"/>
      <c r="C9" s="44" t="s">
        <v>62</v>
      </c>
      <c r="D9" s="94">
        <v>9123456789</v>
      </c>
      <c r="E9" s="94"/>
      <c r="F9" s="13"/>
      <c r="G9" s="13"/>
      <c r="H9" s="13"/>
      <c r="I9" s="44" t="s">
        <v>93</v>
      </c>
      <c r="J9" s="96" t="s">
        <v>732</v>
      </c>
      <c r="K9" s="96"/>
      <c r="L9" s="13"/>
      <c r="M9" s="5"/>
    </row>
    <row r="10" spans="1:18" s="43" customFormat="1" ht="14.25" x14ac:dyDescent="0.3">
      <c r="B10" s="4"/>
      <c r="C10" s="44" t="s">
        <v>63</v>
      </c>
      <c r="D10" s="94" t="s">
        <v>731</v>
      </c>
      <c r="E10" s="94"/>
      <c r="F10" s="13"/>
      <c r="G10" s="13"/>
      <c r="H10" s="13"/>
      <c r="I10" s="44" t="s">
        <v>94</v>
      </c>
      <c r="J10" s="96" t="s">
        <v>732</v>
      </c>
      <c r="K10" s="96"/>
      <c r="L10" s="13"/>
      <c r="M10" s="5"/>
    </row>
    <row r="11" spans="1:18" s="43" customFormat="1" ht="9.9499999999999993" customHeight="1" x14ac:dyDescent="0.25">
      <c r="B11" s="6"/>
      <c r="C11" s="7"/>
      <c r="D11" s="7"/>
      <c r="E11" s="7"/>
      <c r="F11" s="7"/>
      <c r="G11" s="7"/>
      <c r="H11" s="7"/>
      <c r="I11" s="46"/>
      <c r="J11" s="46"/>
      <c r="K11" s="93"/>
      <c r="L11" s="93"/>
      <c r="M11" s="8"/>
    </row>
    <row r="12" spans="1:18" s="43" customFormat="1" ht="9.9499999999999993" customHeight="1" x14ac:dyDescent="0.25"/>
    <row r="13" spans="1:18" s="43" customFormat="1" ht="9.9499999999999993" customHeight="1" x14ac:dyDescent="0.25">
      <c r="C13" s="92" t="s">
        <v>879</v>
      </c>
      <c r="D13" s="92"/>
    </row>
    <row r="14" spans="1:18" s="43" customFormat="1" ht="9.9499999999999993" customHeight="1" x14ac:dyDescent="0.25">
      <c r="C14" s="92"/>
      <c r="D14" s="92"/>
    </row>
    <row r="15" spans="1:18" s="43" customFormat="1" x14ac:dyDescent="0.25">
      <c r="E15" s="47"/>
      <c r="F15" s="47"/>
      <c r="G15" s="47"/>
    </row>
    <row r="16" spans="1:18" s="43" customFormat="1" ht="24" customHeight="1" x14ac:dyDescent="0.25">
      <c r="C16" s="37" t="s">
        <v>3</v>
      </c>
      <c r="D16" s="37" t="s">
        <v>88</v>
      </c>
      <c r="E16" s="37" t="s">
        <v>4</v>
      </c>
      <c r="F16" s="37" t="s">
        <v>2</v>
      </c>
      <c r="G16" s="59" t="s">
        <v>788</v>
      </c>
      <c r="H16" s="37" t="s">
        <v>5</v>
      </c>
      <c r="I16" s="37" t="s">
        <v>825</v>
      </c>
      <c r="J16" s="37" t="s">
        <v>826</v>
      </c>
      <c r="K16" s="37" t="s">
        <v>89</v>
      </c>
      <c r="L16" s="37" t="s">
        <v>65</v>
      </c>
    </row>
    <row r="17" spans="3:12" s="43" customFormat="1" x14ac:dyDescent="0.25">
      <c r="C17" s="16">
        <v>1</v>
      </c>
      <c r="D17" s="16"/>
      <c r="E17" s="64"/>
      <c r="F17" s="16"/>
      <c r="G17" s="16"/>
      <c r="H17" s="16"/>
      <c r="I17" s="16"/>
      <c r="J17" s="64"/>
      <c r="K17" s="16"/>
      <c r="L17" s="16"/>
    </row>
    <row r="18" spans="3:12" s="43" customFormat="1" x14ac:dyDescent="0.25">
      <c r="C18" s="16">
        <f>C17+1</f>
        <v>2</v>
      </c>
      <c r="D18" s="16"/>
      <c r="E18" s="64"/>
      <c r="F18" s="16"/>
      <c r="G18" s="16"/>
      <c r="H18" s="16"/>
      <c r="I18" s="16"/>
      <c r="J18" s="64"/>
      <c r="K18" s="16"/>
      <c r="L18" s="16"/>
    </row>
    <row r="19" spans="3:12" s="43" customFormat="1" x14ac:dyDescent="0.25">
      <c r="C19" s="16">
        <f t="shared" ref="C19:C66" si="0">C18+1</f>
        <v>3</v>
      </c>
      <c r="D19" s="16"/>
      <c r="E19" s="64"/>
      <c r="F19" s="16"/>
      <c r="G19" s="16"/>
      <c r="H19" s="16"/>
      <c r="I19" s="16"/>
      <c r="J19" s="64"/>
      <c r="K19" s="16"/>
      <c r="L19" s="16"/>
    </row>
    <row r="20" spans="3:12" s="43" customFormat="1" x14ac:dyDescent="0.25">
      <c r="C20" s="16">
        <f t="shared" si="0"/>
        <v>4</v>
      </c>
      <c r="D20" s="16"/>
      <c r="E20" s="64"/>
      <c r="F20" s="16"/>
      <c r="G20" s="16"/>
      <c r="H20" s="16"/>
      <c r="I20" s="16"/>
      <c r="J20" s="64"/>
      <c r="K20" s="16"/>
      <c r="L20" s="16"/>
    </row>
    <row r="21" spans="3:12" s="43" customFormat="1" x14ac:dyDescent="0.25">
      <c r="C21" s="16">
        <f t="shared" si="0"/>
        <v>5</v>
      </c>
      <c r="D21" s="16"/>
      <c r="E21" s="64"/>
      <c r="F21" s="16"/>
      <c r="G21" s="16"/>
      <c r="H21" s="16"/>
      <c r="I21" s="16"/>
      <c r="J21" s="64"/>
      <c r="K21" s="16"/>
      <c r="L21" s="16"/>
    </row>
    <row r="22" spans="3:12" s="43" customFormat="1" x14ac:dyDescent="0.25">
      <c r="C22" s="16">
        <f t="shared" si="0"/>
        <v>6</v>
      </c>
      <c r="D22" s="16"/>
      <c r="E22" s="64"/>
      <c r="F22" s="16"/>
      <c r="G22" s="16"/>
      <c r="H22" s="16"/>
      <c r="I22" s="16"/>
      <c r="J22" s="64"/>
      <c r="K22" s="16"/>
      <c r="L22" s="16"/>
    </row>
    <row r="23" spans="3:12" s="43" customFormat="1" x14ac:dyDescent="0.25">
      <c r="C23" s="16">
        <f t="shared" si="0"/>
        <v>7</v>
      </c>
      <c r="D23" s="16"/>
      <c r="E23" s="64"/>
      <c r="F23" s="16"/>
      <c r="G23" s="16"/>
      <c r="H23" s="16"/>
      <c r="I23" s="16"/>
      <c r="J23" s="64"/>
      <c r="K23" s="16"/>
      <c r="L23" s="16"/>
    </row>
    <row r="24" spans="3:12" s="43" customFormat="1" x14ac:dyDescent="0.25">
      <c r="C24" s="16">
        <f t="shared" si="0"/>
        <v>8</v>
      </c>
      <c r="D24" s="16"/>
      <c r="E24" s="64"/>
      <c r="F24" s="16"/>
      <c r="G24" s="16"/>
      <c r="H24" s="16"/>
      <c r="I24" s="16"/>
      <c r="J24" s="64"/>
      <c r="K24" s="16"/>
      <c r="L24" s="16"/>
    </row>
    <row r="25" spans="3:12" s="43" customFormat="1" x14ac:dyDescent="0.25">
      <c r="C25" s="16">
        <f t="shared" si="0"/>
        <v>9</v>
      </c>
      <c r="D25" s="16"/>
      <c r="E25" s="64"/>
      <c r="F25" s="16"/>
      <c r="G25" s="16"/>
      <c r="H25" s="16"/>
      <c r="I25" s="16"/>
      <c r="J25" s="64"/>
      <c r="K25" s="16"/>
      <c r="L25" s="16"/>
    </row>
    <row r="26" spans="3:12" s="43" customFormat="1" x14ac:dyDescent="0.25">
      <c r="C26" s="16">
        <f t="shared" si="0"/>
        <v>10</v>
      </c>
      <c r="D26" s="16"/>
      <c r="E26" s="64"/>
      <c r="F26" s="16"/>
      <c r="G26" s="16"/>
      <c r="H26" s="16"/>
      <c r="I26" s="16"/>
      <c r="J26" s="64"/>
      <c r="K26" s="16"/>
      <c r="L26" s="16"/>
    </row>
    <row r="27" spans="3:12" s="43" customFormat="1" x14ac:dyDescent="0.25">
      <c r="C27" s="16">
        <f t="shared" si="0"/>
        <v>11</v>
      </c>
      <c r="D27" s="16"/>
      <c r="E27" s="64"/>
      <c r="F27" s="16"/>
      <c r="G27" s="16"/>
      <c r="H27" s="16"/>
      <c r="I27" s="16"/>
      <c r="J27" s="64"/>
      <c r="K27" s="16"/>
      <c r="L27" s="16"/>
    </row>
    <row r="28" spans="3:12" s="43" customFormat="1" x14ac:dyDescent="0.25">
      <c r="C28" s="16">
        <f t="shared" si="0"/>
        <v>12</v>
      </c>
      <c r="D28" s="16"/>
      <c r="E28" s="64"/>
      <c r="F28" s="16"/>
      <c r="G28" s="16"/>
      <c r="H28" s="16"/>
      <c r="I28" s="16"/>
      <c r="J28" s="64"/>
      <c r="K28" s="16"/>
      <c r="L28" s="16"/>
    </row>
    <row r="29" spans="3:12" s="43" customFormat="1" x14ac:dyDescent="0.25">
      <c r="C29" s="16">
        <f t="shared" si="0"/>
        <v>13</v>
      </c>
      <c r="D29" s="16"/>
      <c r="E29" s="64"/>
      <c r="F29" s="16"/>
      <c r="G29" s="16"/>
      <c r="H29" s="16"/>
      <c r="I29" s="16"/>
      <c r="J29" s="64"/>
      <c r="K29" s="16"/>
      <c r="L29" s="16"/>
    </row>
    <row r="30" spans="3:12" s="43" customFormat="1" x14ac:dyDescent="0.25">
      <c r="C30" s="16">
        <f t="shared" si="0"/>
        <v>14</v>
      </c>
      <c r="D30" s="16"/>
      <c r="E30" s="64"/>
      <c r="F30" s="16"/>
      <c r="G30" s="16"/>
      <c r="H30" s="16"/>
      <c r="I30" s="16"/>
      <c r="J30" s="64"/>
      <c r="K30" s="16"/>
      <c r="L30" s="16"/>
    </row>
    <row r="31" spans="3:12" s="43" customFormat="1" x14ac:dyDescent="0.25">
      <c r="C31" s="16">
        <f t="shared" si="0"/>
        <v>15</v>
      </c>
      <c r="D31" s="16"/>
      <c r="E31" s="64"/>
      <c r="F31" s="16"/>
      <c r="G31" s="16"/>
      <c r="H31" s="16"/>
      <c r="I31" s="16"/>
      <c r="J31" s="64"/>
      <c r="K31" s="16"/>
      <c r="L31" s="16"/>
    </row>
    <row r="32" spans="3:12" s="43" customFormat="1" x14ac:dyDescent="0.25">
      <c r="C32" s="16">
        <f t="shared" si="0"/>
        <v>16</v>
      </c>
      <c r="D32" s="16"/>
      <c r="E32" s="64"/>
      <c r="F32" s="16"/>
      <c r="G32" s="16"/>
      <c r="H32" s="16"/>
      <c r="I32" s="16"/>
      <c r="J32" s="64"/>
      <c r="K32" s="16"/>
      <c r="L32" s="16"/>
    </row>
    <row r="33" spans="3:12" s="43" customFormat="1" x14ac:dyDescent="0.25">
      <c r="C33" s="16">
        <f t="shared" si="0"/>
        <v>17</v>
      </c>
      <c r="D33" s="16"/>
      <c r="E33" s="64"/>
      <c r="F33" s="16"/>
      <c r="G33" s="16"/>
      <c r="H33" s="16"/>
      <c r="I33" s="16"/>
      <c r="J33" s="64"/>
      <c r="K33" s="16"/>
      <c r="L33" s="16"/>
    </row>
    <row r="34" spans="3:12" s="43" customFormat="1" x14ac:dyDescent="0.25">
      <c r="C34" s="16">
        <f t="shared" si="0"/>
        <v>18</v>
      </c>
      <c r="D34" s="16"/>
      <c r="E34" s="64"/>
      <c r="F34" s="16"/>
      <c r="G34" s="16"/>
      <c r="H34" s="16"/>
      <c r="I34" s="16"/>
      <c r="J34" s="64"/>
      <c r="K34" s="16"/>
      <c r="L34" s="16"/>
    </row>
    <row r="35" spans="3:12" s="43" customFormat="1" x14ac:dyDescent="0.25">
      <c r="C35" s="16">
        <f t="shared" si="0"/>
        <v>19</v>
      </c>
      <c r="D35" s="16"/>
      <c r="E35" s="64"/>
      <c r="F35" s="16"/>
      <c r="G35" s="16"/>
      <c r="H35" s="16"/>
      <c r="I35" s="16"/>
      <c r="J35" s="64"/>
      <c r="K35" s="16"/>
      <c r="L35" s="16"/>
    </row>
    <row r="36" spans="3:12" s="43" customFormat="1" x14ac:dyDescent="0.25">
      <c r="C36" s="16">
        <f t="shared" si="0"/>
        <v>20</v>
      </c>
      <c r="D36" s="16"/>
      <c r="E36" s="64"/>
      <c r="F36" s="16"/>
      <c r="G36" s="16"/>
      <c r="H36" s="16"/>
      <c r="I36" s="16"/>
      <c r="J36" s="64"/>
      <c r="K36" s="16"/>
      <c r="L36" s="16"/>
    </row>
    <row r="37" spans="3:12" s="43" customFormat="1" x14ac:dyDescent="0.25">
      <c r="C37" s="16">
        <f t="shared" si="0"/>
        <v>21</v>
      </c>
      <c r="D37" s="16"/>
      <c r="E37" s="64"/>
      <c r="F37" s="16"/>
      <c r="G37" s="16"/>
      <c r="H37" s="16"/>
      <c r="I37" s="16"/>
      <c r="J37" s="64"/>
      <c r="K37" s="16"/>
      <c r="L37" s="16"/>
    </row>
    <row r="38" spans="3:12" s="43" customFormat="1" x14ac:dyDescent="0.25">
      <c r="C38" s="16">
        <f t="shared" si="0"/>
        <v>22</v>
      </c>
      <c r="D38" s="16"/>
      <c r="E38" s="64"/>
      <c r="F38" s="16"/>
      <c r="G38" s="16"/>
      <c r="H38" s="16"/>
      <c r="I38" s="16"/>
      <c r="J38" s="64"/>
      <c r="K38" s="16"/>
      <c r="L38" s="16"/>
    </row>
    <row r="39" spans="3:12" s="43" customFormat="1" x14ac:dyDescent="0.25">
      <c r="C39" s="16">
        <f t="shared" si="0"/>
        <v>23</v>
      </c>
      <c r="D39" s="16"/>
      <c r="E39" s="64"/>
      <c r="F39" s="16"/>
      <c r="G39" s="16"/>
      <c r="H39" s="16"/>
      <c r="I39" s="16"/>
      <c r="J39" s="64"/>
      <c r="K39" s="16"/>
      <c r="L39" s="16"/>
    </row>
    <row r="40" spans="3:12" s="43" customFormat="1" x14ac:dyDescent="0.25">
      <c r="C40" s="16">
        <f t="shared" si="0"/>
        <v>24</v>
      </c>
      <c r="D40" s="16"/>
      <c r="E40" s="64"/>
      <c r="F40" s="16"/>
      <c r="G40" s="16"/>
      <c r="H40" s="16"/>
      <c r="I40" s="16"/>
      <c r="J40" s="64"/>
      <c r="K40" s="16"/>
      <c r="L40" s="16"/>
    </row>
    <row r="41" spans="3:12" s="43" customFormat="1" x14ac:dyDescent="0.25">
      <c r="C41" s="16">
        <f t="shared" si="0"/>
        <v>25</v>
      </c>
      <c r="D41" s="16"/>
      <c r="E41" s="64"/>
      <c r="F41" s="16"/>
      <c r="G41" s="16"/>
      <c r="H41" s="16"/>
      <c r="I41" s="16"/>
      <c r="J41" s="64"/>
      <c r="K41" s="16"/>
      <c r="L41" s="16"/>
    </row>
    <row r="42" spans="3:12" s="43" customFormat="1" x14ac:dyDescent="0.25">
      <c r="C42" s="16">
        <f t="shared" si="0"/>
        <v>26</v>
      </c>
      <c r="D42" s="16"/>
      <c r="E42" s="64"/>
      <c r="F42" s="16"/>
      <c r="G42" s="16"/>
      <c r="H42" s="16"/>
      <c r="I42" s="16"/>
      <c r="J42" s="64"/>
      <c r="K42" s="16"/>
      <c r="L42" s="16"/>
    </row>
    <row r="43" spans="3:12" s="43" customFormat="1" x14ac:dyDescent="0.25">
      <c r="C43" s="16">
        <f t="shared" si="0"/>
        <v>27</v>
      </c>
      <c r="D43" s="16"/>
      <c r="E43" s="64"/>
      <c r="F43" s="16"/>
      <c r="G43" s="16"/>
      <c r="H43" s="16"/>
      <c r="I43" s="16"/>
      <c r="J43" s="64"/>
      <c r="K43" s="16"/>
      <c r="L43" s="16"/>
    </row>
    <row r="44" spans="3:12" s="43" customFormat="1" x14ac:dyDescent="0.25">
      <c r="C44" s="16">
        <f t="shared" si="0"/>
        <v>28</v>
      </c>
      <c r="D44" s="16"/>
      <c r="E44" s="64"/>
      <c r="F44" s="16"/>
      <c r="G44" s="16"/>
      <c r="H44" s="16"/>
      <c r="I44" s="16"/>
      <c r="J44" s="64"/>
      <c r="K44" s="16"/>
      <c r="L44" s="16"/>
    </row>
    <row r="45" spans="3:12" s="43" customFormat="1" x14ac:dyDescent="0.25">
      <c r="C45" s="16">
        <f t="shared" si="0"/>
        <v>29</v>
      </c>
      <c r="D45" s="16"/>
      <c r="E45" s="64"/>
      <c r="F45" s="16"/>
      <c r="G45" s="16"/>
      <c r="H45" s="16"/>
      <c r="I45" s="16"/>
      <c r="J45" s="64"/>
      <c r="K45" s="16"/>
      <c r="L45" s="16"/>
    </row>
    <row r="46" spans="3:12" s="43" customFormat="1" x14ac:dyDescent="0.25">
      <c r="C46" s="16">
        <f t="shared" si="0"/>
        <v>30</v>
      </c>
      <c r="D46" s="16"/>
      <c r="E46" s="64"/>
      <c r="F46" s="16"/>
      <c r="G46" s="16"/>
      <c r="H46" s="16"/>
      <c r="I46" s="16"/>
      <c r="J46" s="64"/>
      <c r="K46" s="16"/>
      <c r="L46" s="16"/>
    </row>
    <row r="47" spans="3:12" s="43" customFormat="1" x14ac:dyDescent="0.25">
      <c r="C47" s="16">
        <f t="shared" si="0"/>
        <v>31</v>
      </c>
      <c r="D47" s="16"/>
      <c r="E47" s="64"/>
      <c r="F47" s="16"/>
      <c r="G47" s="16"/>
      <c r="H47" s="16"/>
      <c r="I47" s="16"/>
      <c r="J47" s="64"/>
      <c r="K47" s="16"/>
      <c r="L47" s="16"/>
    </row>
    <row r="48" spans="3:12" s="43" customFormat="1" x14ac:dyDescent="0.25">
      <c r="C48" s="16">
        <f t="shared" si="0"/>
        <v>32</v>
      </c>
      <c r="D48" s="16"/>
      <c r="E48" s="64"/>
      <c r="F48" s="16"/>
      <c r="G48" s="16"/>
      <c r="H48" s="16"/>
      <c r="I48" s="16"/>
      <c r="J48" s="64"/>
      <c r="K48" s="16"/>
      <c r="L48" s="16"/>
    </row>
    <row r="49" spans="3:12" s="43" customFormat="1" x14ac:dyDescent="0.25">
      <c r="C49" s="16">
        <f t="shared" si="0"/>
        <v>33</v>
      </c>
      <c r="D49" s="16"/>
      <c r="E49" s="64"/>
      <c r="F49" s="16"/>
      <c r="G49" s="16"/>
      <c r="H49" s="16"/>
      <c r="I49" s="16"/>
      <c r="J49" s="64"/>
      <c r="K49" s="16"/>
      <c r="L49" s="16"/>
    </row>
    <row r="50" spans="3:12" s="43" customFormat="1" x14ac:dyDescent="0.25">
      <c r="C50" s="16">
        <f t="shared" si="0"/>
        <v>34</v>
      </c>
      <c r="D50" s="16"/>
      <c r="E50" s="64"/>
      <c r="F50" s="16"/>
      <c r="G50" s="16"/>
      <c r="H50" s="16"/>
      <c r="I50" s="16"/>
      <c r="J50" s="64"/>
      <c r="K50" s="16"/>
      <c r="L50" s="16"/>
    </row>
    <row r="51" spans="3:12" s="43" customFormat="1" x14ac:dyDescent="0.25">
      <c r="C51" s="16">
        <f t="shared" si="0"/>
        <v>35</v>
      </c>
      <c r="D51" s="16"/>
      <c r="E51" s="64"/>
      <c r="F51" s="16"/>
      <c r="G51" s="16"/>
      <c r="H51" s="16"/>
      <c r="I51" s="16"/>
      <c r="J51" s="64"/>
      <c r="K51" s="16"/>
      <c r="L51" s="16"/>
    </row>
    <row r="52" spans="3:12" s="43" customFormat="1" x14ac:dyDescent="0.25">
      <c r="C52" s="16">
        <f t="shared" si="0"/>
        <v>36</v>
      </c>
      <c r="D52" s="16"/>
      <c r="E52" s="64"/>
      <c r="F52" s="16"/>
      <c r="G52" s="16"/>
      <c r="H52" s="16"/>
      <c r="I52" s="16"/>
      <c r="J52" s="64"/>
      <c r="K52" s="16"/>
      <c r="L52" s="16"/>
    </row>
    <row r="53" spans="3:12" s="43" customFormat="1" x14ac:dyDescent="0.25">
      <c r="C53" s="16">
        <f t="shared" si="0"/>
        <v>37</v>
      </c>
      <c r="D53" s="16"/>
      <c r="E53" s="64"/>
      <c r="F53" s="16"/>
      <c r="G53" s="16"/>
      <c r="H53" s="16"/>
      <c r="I53" s="16"/>
      <c r="J53" s="64"/>
      <c r="K53" s="16"/>
      <c r="L53" s="16"/>
    </row>
    <row r="54" spans="3:12" s="43" customFormat="1" x14ac:dyDescent="0.25">
      <c r="C54" s="16">
        <f t="shared" si="0"/>
        <v>38</v>
      </c>
      <c r="D54" s="16"/>
      <c r="E54" s="64"/>
      <c r="F54" s="16"/>
      <c r="G54" s="16"/>
      <c r="H54" s="16"/>
      <c r="I54" s="16"/>
      <c r="J54" s="64"/>
      <c r="K54" s="16"/>
      <c r="L54" s="16"/>
    </row>
    <row r="55" spans="3:12" s="43" customFormat="1" x14ac:dyDescent="0.25">
      <c r="C55" s="16">
        <f t="shared" si="0"/>
        <v>39</v>
      </c>
      <c r="D55" s="16"/>
      <c r="E55" s="64"/>
      <c r="F55" s="16"/>
      <c r="G55" s="16"/>
      <c r="H55" s="16"/>
      <c r="I55" s="16"/>
      <c r="J55" s="64"/>
      <c r="K55" s="16"/>
      <c r="L55" s="16"/>
    </row>
    <row r="56" spans="3:12" s="43" customFormat="1" x14ac:dyDescent="0.25">
      <c r="C56" s="16">
        <f t="shared" si="0"/>
        <v>40</v>
      </c>
      <c r="D56" s="16"/>
      <c r="E56" s="64"/>
      <c r="F56" s="16"/>
      <c r="G56" s="16"/>
      <c r="H56" s="16"/>
      <c r="I56" s="16"/>
      <c r="J56" s="64"/>
      <c r="K56" s="16"/>
      <c r="L56" s="16"/>
    </row>
    <row r="57" spans="3:12" s="43" customFormat="1" x14ac:dyDescent="0.25">
      <c r="C57" s="16">
        <f t="shared" si="0"/>
        <v>41</v>
      </c>
      <c r="D57" s="16"/>
      <c r="E57" s="64"/>
      <c r="F57" s="16"/>
      <c r="G57" s="16"/>
      <c r="H57" s="16"/>
      <c r="I57" s="16"/>
      <c r="J57" s="64"/>
      <c r="K57" s="16"/>
      <c r="L57" s="16"/>
    </row>
    <row r="58" spans="3:12" s="43" customFormat="1" x14ac:dyDescent="0.25">
      <c r="C58" s="16">
        <f t="shared" si="0"/>
        <v>42</v>
      </c>
      <c r="D58" s="16"/>
      <c r="E58" s="64"/>
      <c r="F58" s="16"/>
      <c r="G58" s="16"/>
      <c r="H58" s="16"/>
      <c r="I58" s="16"/>
      <c r="J58" s="64"/>
      <c r="K58" s="16"/>
      <c r="L58" s="16"/>
    </row>
    <row r="59" spans="3:12" s="43" customFormat="1" x14ac:dyDescent="0.25">
      <c r="C59" s="16">
        <f t="shared" si="0"/>
        <v>43</v>
      </c>
      <c r="D59" s="16"/>
      <c r="E59" s="64"/>
      <c r="F59" s="16"/>
      <c r="G59" s="16"/>
      <c r="H59" s="16"/>
      <c r="I59" s="16"/>
      <c r="J59" s="64"/>
      <c r="K59" s="16"/>
      <c r="L59" s="16"/>
    </row>
    <row r="60" spans="3:12" s="43" customFormat="1" x14ac:dyDescent="0.25">
      <c r="C60" s="16">
        <f t="shared" si="0"/>
        <v>44</v>
      </c>
      <c r="D60" s="16"/>
      <c r="E60" s="64"/>
      <c r="F60" s="16"/>
      <c r="G60" s="16"/>
      <c r="H60" s="16"/>
      <c r="I60" s="16"/>
      <c r="J60" s="64"/>
      <c r="K60" s="16"/>
      <c r="L60" s="16"/>
    </row>
    <row r="61" spans="3:12" s="43" customFormat="1" x14ac:dyDescent="0.25">
      <c r="C61" s="16">
        <f t="shared" si="0"/>
        <v>45</v>
      </c>
      <c r="D61" s="16"/>
      <c r="E61" s="64"/>
      <c r="F61" s="16"/>
      <c r="G61" s="16"/>
      <c r="H61" s="16"/>
      <c r="I61" s="16"/>
      <c r="J61" s="64"/>
      <c r="K61" s="16"/>
      <c r="L61" s="16"/>
    </row>
    <row r="62" spans="3:12" s="43" customFormat="1" x14ac:dyDescent="0.25">
      <c r="C62" s="16">
        <f t="shared" si="0"/>
        <v>46</v>
      </c>
      <c r="D62" s="16"/>
      <c r="E62" s="64"/>
      <c r="F62" s="16"/>
      <c r="G62" s="16"/>
      <c r="H62" s="16"/>
      <c r="I62" s="16"/>
      <c r="J62" s="64"/>
      <c r="K62" s="16"/>
      <c r="L62" s="16"/>
    </row>
    <row r="63" spans="3:12" s="43" customFormat="1" x14ac:dyDescent="0.25">
      <c r="C63" s="16">
        <f t="shared" si="0"/>
        <v>47</v>
      </c>
      <c r="D63" s="16"/>
      <c r="E63" s="64"/>
      <c r="F63" s="16"/>
      <c r="G63" s="16"/>
      <c r="H63" s="16"/>
      <c r="I63" s="16"/>
      <c r="J63" s="64"/>
      <c r="K63" s="16"/>
      <c r="L63" s="16"/>
    </row>
    <row r="64" spans="3:12" s="43" customFormat="1" x14ac:dyDescent="0.25">
      <c r="C64" s="16">
        <f t="shared" si="0"/>
        <v>48</v>
      </c>
      <c r="D64" s="16"/>
      <c r="E64" s="64"/>
      <c r="F64" s="16"/>
      <c r="G64" s="16"/>
      <c r="H64" s="16"/>
      <c r="I64" s="16"/>
      <c r="J64" s="64"/>
      <c r="K64" s="16"/>
      <c r="L64" s="16"/>
    </row>
    <row r="65" spans="1:18" s="43" customFormat="1" x14ac:dyDescent="0.25">
      <c r="C65" s="16">
        <f t="shared" si="0"/>
        <v>49</v>
      </c>
      <c r="D65" s="16"/>
      <c r="E65" s="64"/>
      <c r="F65" s="16"/>
      <c r="G65" s="16"/>
      <c r="H65" s="16"/>
      <c r="I65" s="16"/>
      <c r="J65" s="64"/>
      <c r="K65" s="16"/>
      <c r="L65" s="16"/>
    </row>
    <row r="66" spans="1:18" s="43" customFormat="1" x14ac:dyDescent="0.25">
      <c r="C66" s="16">
        <f t="shared" si="0"/>
        <v>50</v>
      </c>
      <c r="D66" s="16"/>
      <c r="E66" s="64"/>
      <c r="F66" s="16"/>
      <c r="G66" s="16"/>
      <c r="H66" s="16"/>
      <c r="I66" s="16"/>
      <c r="J66" s="64"/>
      <c r="K66" s="16"/>
      <c r="L66" s="16"/>
    </row>
    <row r="67" spans="1:18" s="43" customFormat="1" ht="13.5" customHeight="1" x14ac:dyDescent="0.25">
      <c r="J67" s="60"/>
    </row>
    <row r="68" spans="1:18" s="43" customFormat="1" ht="13.5" customHeight="1" x14ac:dyDescent="0.25">
      <c r="J68" s="60"/>
    </row>
    <row r="69" spans="1:18" s="43" customFormat="1" ht="13.5" hidden="1" customHeight="1" x14ac:dyDescent="0.25"/>
    <row r="70" spans="1:18" ht="13.5" hidden="1" customHeight="1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</row>
    <row r="71" spans="1:18" ht="13.5" hidden="1" customHeight="1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</row>
    <row r="72" spans="1:18" ht="13.5" hidden="1" customHeight="1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</row>
    <row r="73" spans="1:18" ht="13.5" hidden="1" customHeight="1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</row>
    <row r="74" spans="1:18" ht="13.5" hidden="1" customHeight="1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</row>
    <row r="75" spans="1:18" ht="13.5" hidden="1" customHeight="1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</row>
    <row r="76" spans="1:18" ht="13.5" hidden="1" customHeight="1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</row>
    <row r="77" spans="1:18" ht="13.5" hidden="1" customHeight="1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</row>
    <row r="78" spans="1:18" ht="13.5" hidden="1" customHeight="1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</row>
    <row r="79" spans="1:18" ht="13.5" hidden="1" customHeight="1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</row>
  </sheetData>
  <mergeCells count="12">
    <mergeCell ref="C13:D14"/>
    <mergeCell ref="K11:L11"/>
    <mergeCell ref="D6:E6"/>
    <mergeCell ref="D7:E7"/>
    <mergeCell ref="D8:E8"/>
    <mergeCell ref="D9:E9"/>
    <mergeCell ref="D10:E10"/>
    <mergeCell ref="J6:K6"/>
    <mergeCell ref="J7:K7"/>
    <mergeCell ref="J8:K8"/>
    <mergeCell ref="J9:K9"/>
    <mergeCell ref="J10:K10"/>
  </mergeCells>
  <dataValidations count="3">
    <dataValidation type="whole" allowBlank="1" showInputMessage="1" showErrorMessage="1" sqref="C17:D66" xr:uid="{F7AD2BA2-829E-4A60-9EEE-4EAC5E18E63F}">
      <formula1>1</formula1>
      <formula2>999</formula2>
    </dataValidation>
    <dataValidation type="decimal" allowBlank="1" showInputMessage="1" showErrorMessage="1" sqref="K17:L66" xr:uid="{F3340701-F857-4FF3-A358-5C84DF537216}">
      <formula1>0.00001</formula1>
      <formula2>9999999</formula2>
    </dataValidation>
    <dataValidation type="list" allowBlank="1" showInputMessage="1" showErrorMessage="1" sqref="J17:J66" xr:uid="{6DE25365-4CBF-4AB7-8963-5E78B92F4543}">
      <formula1>INDIRECT(I17)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F9AB398-EB59-488C-902B-275D511D96A9}">
          <x14:formula1>
            <xm:f>dd_color!$A$2:$A$8</xm:f>
          </x14:formula1>
          <xm:sqref>H17:H66</xm:sqref>
        </x14:dataValidation>
        <x14:dataValidation type="list" allowBlank="1" showInputMessage="1" showErrorMessage="1" xr:uid="{0CB9D4B6-A642-4D69-AABA-FC041709642A}">
          <x14:formula1>
            <xm:f>dd_design_raw!$A$2:$A$29</xm:f>
          </x14:formula1>
          <xm:sqref>E17:E66</xm:sqref>
        </x14:dataValidation>
        <x14:dataValidation type="list" allowBlank="1" showInputMessage="1" showErrorMessage="1" xr:uid="{6CB260AF-69CB-46DB-9AA0-81B3EC9B5A4F}">
          <x14:formula1>
            <xm:f>dd_glasstype!$A$2:$A$4</xm:f>
          </x14:formula1>
          <xm:sqref>I17:I66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83CEB-0051-4143-B436-D1328DDC3AC7}">
  <sheetPr codeName="Sheet30">
    <tabColor rgb="FFC00000"/>
  </sheetPr>
  <dimension ref="A1:Q336"/>
  <sheetViews>
    <sheetView tabSelected="1" zoomScale="115" zoomScaleNormal="115" workbookViewId="0">
      <selection activeCell="C15" sqref="C15:I336"/>
    </sheetView>
  </sheetViews>
  <sheetFormatPr defaultColWidth="0" defaultRowHeight="13.5" customHeight="1" x14ac:dyDescent="0.25"/>
  <cols>
    <col min="1" max="1" width="2.7109375" customWidth="1"/>
    <col min="2" max="2" width="1.7109375" customWidth="1"/>
    <col min="3" max="3" width="11.85546875" customWidth="1"/>
    <col min="4" max="4" width="6.85546875" bestFit="1" customWidth="1"/>
    <col min="5" max="5" width="40.28515625" customWidth="1"/>
    <col min="6" max="6" width="36.7109375" customWidth="1"/>
    <col min="7" max="7" width="24.28515625" customWidth="1"/>
    <col min="8" max="8" width="16.7109375" customWidth="1"/>
    <col min="9" max="9" width="11.85546875" customWidth="1"/>
    <col min="10" max="11" width="1.7109375" customWidth="1"/>
    <col min="12" max="12" width="2.7109375" hidden="1" customWidth="1"/>
    <col min="13" max="13" width="15.140625" hidden="1" customWidth="1"/>
    <col min="14" max="14" width="1.7109375" hidden="1" customWidth="1"/>
    <col min="15" max="15" width="2.7109375" hidden="1" customWidth="1"/>
    <col min="16" max="17" width="0" hidden="1" customWidth="1"/>
    <col min="18" max="16384" width="9.140625" hidden="1"/>
  </cols>
  <sheetData>
    <row r="1" spans="1:13" s="71" customFormat="1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</row>
    <row r="2" spans="1:13" s="73" customFormat="1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3" s="71" customFormat="1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</row>
    <row r="4" spans="1:13" s="1" customFormat="1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</row>
    <row r="5" spans="1:13" s="1" customFormat="1" ht="9.9499999999999993" customHeight="1" x14ac:dyDescent="0.25">
      <c r="A5" s="43"/>
      <c r="B5" s="9"/>
      <c r="C5" s="10"/>
      <c r="D5" s="10"/>
      <c r="E5" s="10"/>
      <c r="F5" s="10"/>
      <c r="G5" s="45"/>
      <c r="H5" s="10"/>
      <c r="I5" s="10"/>
      <c r="J5" s="11"/>
      <c r="K5" s="72"/>
    </row>
    <row r="6" spans="1:13" s="1" customFormat="1" ht="14.25" x14ac:dyDescent="0.3">
      <c r="A6" s="43"/>
      <c r="B6" s="4"/>
      <c r="C6" s="44" t="s">
        <v>0</v>
      </c>
      <c r="D6" s="93">
        <f>IF('Project Details'!D6=0,"", 'Project Details'!D6)</f>
        <v>45217</v>
      </c>
      <c r="E6" s="93"/>
      <c r="F6" s="13"/>
      <c r="G6" s="44" t="s">
        <v>90</v>
      </c>
      <c r="H6" s="95">
        <f>IF('Project Details'!J6=0,"", 'Project Details'!J6)</f>
        <v>1</v>
      </c>
      <c r="I6" s="95"/>
      <c r="J6" s="5"/>
      <c r="K6" s="72"/>
    </row>
    <row r="7" spans="1:13" s="1" customFormat="1" ht="14.25" x14ac:dyDescent="0.3">
      <c r="A7" s="43"/>
      <c r="B7" s="4"/>
      <c r="C7" s="44" t="s">
        <v>1</v>
      </c>
      <c r="D7" s="95" t="str">
        <f>IF('Project Details'!D7=0,"", 'Project Details'!D7)</f>
        <v>William Andrew Bulaquena</v>
      </c>
      <c r="E7" s="95"/>
      <c r="F7" s="13"/>
      <c r="G7" s="44" t="s">
        <v>91</v>
      </c>
      <c r="H7" s="95">
        <f>IF('Project Details'!J7=0,"", 'Project Details'!J7)</f>
        <v>1</v>
      </c>
      <c r="I7" s="95"/>
      <c r="J7" s="5"/>
      <c r="K7" s="72"/>
    </row>
    <row r="8" spans="1:13" s="1" customFormat="1" ht="14.25" x14ac:dyDescent="0.3">
      <c r="A8" s="43"/>
      <c r="B8" s="4"/>
      <c r="C8" s="44" t="s">
        <v>730</v>
      </c>
      <c r="D8" s="95" t="str">
        <f>IF('Project Details'!D8=0,"", 'Project Details'!D8)</f>
        <v>Banilad</v>
      </c>
      <c r="E8" s="95"/>
      <c r="F8" s="13"/>
      <c r="G8" s="44" t="s">
        <v>92</v>
      </c>
      <c r="H8" s="95">
        <f>IF('Project Details'!J8=0,"", 'Project Details'!J8)</f>
        <v>12345</v>
      </c>
      <c r="I8" s="95"/>
      <c r="J8" s="5"/>
      <c r="K8" s="72"/>
    </row>
    <row r="9" spans="1:13" s="1" customFormat="1" ht="14.25" x14ac:dyDescent="0.3">
      <c r="A9" s="43"/>
      <c r="B9" s="4"/>
      <c r="C9" s="44" t="s">
        <v>62</v>
      </c>
      <c r="D9" s="95">
        <f>IF('Project Details'!D9=0,"", 'Project Details'!D9)</f>
        <v>9123456789</v>
      </c>
      <c r="E9" s="95"/>
      <c r="F9" s="13"/>
      <c r="G9" s="44" t="s">
        <v>93</v>
      </c>
      <c r="H9" s="95" t="str">
        <f>IF('Project Details'!J9=0,"", 'Project Details'!J9)</f>
        <v>Kunstof</v>
      </c>
      <c r="I9" s="95"/>
      <c r="J9" s="5"/>
      <c r="K9" s="72"/>
    </row>
    <row r="10" spans="1:13" s="1" customFormat="1" ht="14.25" x14ac:dyDescent="0.3">
      <c r="A10" s="43"/>
      <c r="B10" s="4"/>
      <c r="C10" s="44" t="s">
        <v>63</v>
      </c>
      <c r="D10" s="95" t="str">
        <f>IF('Project Details'!D10=0,"", 'Project Details'!D10)</f>
        <v>williamgbulaquena@gmail.com</v>
      </c>
      <c r="E10" s="95"/>
      <c r="F10" s="13"/>
      <c r="G10" s="44" t="s">
        <v>94</v>
      </c>
      <c r="H10" s="95" t="str">
        <f>IF('Project Details'!J10=0,"", 'Project Details'!J10)</f>
        <v>Kunstof</v>
      </c>
      <c r="I10" s="95"/>
      <c r="J10" s="5"/>
      <c r="K10" s="72"/>
    </row>
    <row r="11" spans="1:13" s="1" customFormat="1" ht="9.9499999999999993" customHeight="1" x14ac:dyDescent="0.25">
      <c r="A11" s="43"/>
      <c r="B11" s="6"/>
      <c r="C11" s="7"/>
      <c r="D11" s="7"/>
      <c r="E11" s="7"/>
      <c r="F11" s="7"/>
      <c r="G11" s="7"/>
      <c r="H11" s="14"/>
      <c r="I11" s="7"/>
      <c r="J11" s="8"/>
      <c r="K11" s="72"/>
    </row>
    <row r="12" spans="1:13" s="1" customFormat="1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72"/>
    </row>
    <row r="13" spans="1:13" s="1" customFormat="1" x14ac:dyDescent="0.25">
      <c r="A13" s="43"/>
      <c r="B13" s="43"/>
      <c r="C13" s="97" t="s">
        <v>876</v>
      </c>
      <c r="D13" s="98"/>
      <c r="E13" s="98"/>
      <c r="F13" s="98"/>
      <c r="G13" s="98"/>
      <c r="H13" s="98"/>
      <c r="I13" s="99"/>
      <c r="J13" s="43"/>
      <c r="K13" s="72"/>
    </row>
    <row r="14" spans="1:13" s="1" customFormat="1" x14ac:dyDescent="0.25">
      <c r="A14" s="43"/>
      <c r="B14" s="43"/>
      <c r="C14" s="37" t="s">
        <v>3</v>
      </c>
      <c r="D14" s="37" t="s">
        <v>134</v>
      </c>
      <c r="E14" s="37" t="s">
        <v>96</v>
      </c>
      <c r="F14" s="38" t="s">
        <v>95</v>
      </c>
      <c r="G14" s="37" t="s">
        <v>5</v>
      </c>
      <c r="H14" s="37" t="s">
        <v>135</v>
      </c>
      <c r="I14" s="37" t="s">
        <v>136</v>
      </c>
      <c r="J14" s="43"/>
      <c r="K14" s="72"/>
    </row>
    <row r="15" spans="1:13" ht="15" x14ac:dyDescent="0.25">
      <c r="C15" s="74"/>
      <c r="D15" s="74"/>
      <c r="E15" s="78"/>
      <c r="F15" s="78"/>
      <c r="G15" s="74"/>
      <c r="H15" s="74"/>
      <c r="I15" s="74"/>
    </row>
    <row r="16" spans="1:13" ht="15" x14ac:dyDescent="0.25">
      <c r="C16" s="76"/>
      <c r="D16" s="76"/>
      <c r="E16" s="81"/>
      <c r="F16" s="79"/>
      <c r="G16" s="76"/>
      <c r="H16" s="76"/>
      <c r="I16" s="76"/>
    </row>
    <row r="17" spans="3:9" ht="15" x14ac:dyDescent="0.25">
      <c r="C17" s="74"/>
      <c r="D17" s="74"/>
      <c r="E17" s="78"/>
      <c r="F17" s="78"/>
      <c r="G17" s="74"/>
      <c r="H17" s="74"/>
      <c r="I17" s="74"/>
    </row>
    <row r="18" spans="3:9" ht="15" x14ac:dyDescent="0.25">
      <c r="C18" s="76"/>
      <c r="D18" s="76"/>
      <c r="E18" s="81"/>
      <c r="F18" s="79"/>
      <c r="G18" s="76"/>
      <c r="H18" s="76"/>
      <c r="I18" s="76"/>
    </row>
    <row r="19" spans="3:9" ht="15" x14ac:dyDescent="0.25">
      <c r="C19" s="74"/>
      <c r="D19" s="74"/>
      <c r="E19" s="78"/>
      <c r="F19" s="78"/>
      <c r="G19" s="74"/>
      <c r="H19" s="74"/>
      <c r="I19" s="74"/>
    </row>
    <row r="20" spans="3:9" ht="15" x14ac:dyDescent="0.25">
      <c r="C20" s="35"/>
      <c r="D20" s="35"/>
      <c r="E20" s="65"/>
      <c r="F20" s="69"/>
      <c r="G20" s="35"/>
      <c r="H20" s="35"/>
      <c r="I20" s="35"/>
    </row>
    <row r="21" spans="3:9" ht="15" x14ac:dyDescent="0.25">
      <c r="C21" s="16"/>
      <c r="D21" s="16"/>
      <c r="E21" s="64"/>
      <c r="F21" s="64"/>
      <c r="G21" s="16"/>
      <c r="H21" s="16"/>
      <c r="I21" s="16"/>
    </row>
    <row r="22" spans="3:9" ht="15" x14ac:dyDescent="0.25">
      <c r="C22" s="35"/>
      <c r="D22" s="35"/>
      <c r="E22" s="65"/>
      <c r="F22" s="69"/>
      <c r="G22" s="35"/>
      <c r="H22" s="35"/>
      <c r="I22" s="35"/>
    </row>
    <row r="23" spans="3:9" ht="15" x14ac:dyDescent="0.25">
      <c r="C23" s="16"/>
      <c r="D23" s="16"/>
      <c r="E23" s="64"/>
      <c r="F23" s="64"/>
      <c r="G23" s="16"/>
      <c r="H23" s="16"/>
      <c r="I23" s="16"/>
    </row>
    <row r="24" spans="3:9" ht="15" x14ac:dyDescent="0.25">
      <c r="C24" s="35"/>
      <c r="D24" s="35"/>
      <c r="E24" s="65"/>
      <c r="F24" s="69"/>
      <c r="G24" s="35"/>
      <c r="H24" s="35"/>
      <c r="I24" s="35"/>
    </row>
    <row r="25" spans="3:9" ht="15" x14ac:dyDescent="0.25">
      <c r="C25" s="16"/>
      <c r="D25" s="16"/>
      <c r="E25" s="64"/>
      <c r="F25" s="64"/>
      <c r="G25" s="16"/>
      <c r="H25" s="16"/>
      <c r="I25" s="16"/>
    </row>
    <row r="26" spans="3:9" ht="15" x14ac:dyDescent="0.25">
      <c r="C26" s="35"/>
      <c r="D26" s="35"/>
      <c r="E26" s="65"/>
      <c r="F26" s="69"/>
      <c r="G26" s="35"/>
      <c r="H26" s="35"/>
      <c r="I26" s="35"/>
    </row>
    <row r="27" spans="3:9" ht="15" x14ac:dyDescent="0.25">
      <c r="C27" s="16"/>
      <c r="D27" s="16"/>
      <c r="E27" s="64"/>
      <c r="F27" s="64"/>
      <c r="G27" s="16"/>
      <c r="H27" s="16"/>
      <c r="I27" s="16"/>
    </row>
    <row r="28" spans="3:9" ht="15" x14ac:dyDescent="0.25">
      <c r="C28" s="35"/>
      <c r="D28" s="35"/>
      <c r="E28" s="65"/>
      <c r="F28" s="69"/>
      <c r="G28" s="35"/>
      <c r="H28" s="35"/>
      <c r="I28" s="35"/>
    </row>
    <row r="29" spans="3:9" ht="15" x14ac:dyDescent="0.25">
      <c r="C29" s="16"/>
      <c r="D29" s="16"/>
      <c r="E29" s="64"/>
      <c r="F29" s="64"/>
      <c r="G29" s="16"/>
      <c r="H29" s="16"/>
      <c r="I29" s="16"/>
    </row>
    <row r="30" spans="3:9" ht="15" x14ac:dyDescent="0.25">
      <c r="C30" s="35"/>
      <c r="D30" s="35"/>
      <c r="E30" s="65"/>
      <c r="F30" s="69"/>
      <c r="G30" s="35"/>
      <c r="H30" s="35"/>
      <c r="I30" s="35"/>
    </row>
    <row r="31" spans="3:9" ht="15" x14ac:dyDescent="0.25">
      <c r="C31" s="16"/>
      <c r="D31" s="16"/>
      <c r="E31" s="64"/>
      <c r="F31" s="64"/>
      <c r="G31" s="16"/>
      <c r="H31" s="16"/>
      <c r="I31" s="16"/>
    </row>
    <row r="32" spans="3:9" ht="15" x14ac:dyDescent="0.25">
      <c r="C32" s="35"/>
      <c r="D32" s="35"/>
      <c r="E32" s="65"/>
      <c r="F32" s="69"/>
      <c r="G32" s="35"/>
      <c r="H32" s="35"/>
      <c r="I32" s="35"/>
    </row>
    <row r="33" spans="3:9" ht="15" x14ac:dyDescent="0.25">
      <c r="C33" s="16"/>
      <c r="D33" s="16"/>
      <c r="E33" s="64"/>
      <c r="F33" s="64"/>
      <c r="G33" s="16"/>
      <c r="H33" s="16"/>
      <c r="I33" s="16"/>
    </row>
    <row r="34" spans="3:9" ht="13.5" customHeight="1" x14ac:dyDescent="0.25">
      <c r="C34" s="35"/>
      <c r="D34" s="35"/>
      <c r="E34" s="65"/>
      <c r="F34" s="69"/>
      <c r="G34" s="35"/>
      <c r="H34" s="35"/>
      <c r="I34" s="35"/>
    </row>
    <row r="35" spans="3:9" ht="13.5" customHeight="1" x14ac:dyDescent="0.25">
      <c r="C35" s="16"/>
      <c r="D35" s="16"/>
      <c r="E35" s="64"/>
      <c r="F35" s="64"/>
      <c r="G35" s="16"/>
      <c r="H35" s="16"/>
      <c r="I35" s="16"/>
    </row>
    <row r="36" spans="3:9" ht="13.5" customHeight="1" x14ac:dyDescent="0.25">
      <c r="C36" s="35"/>
      <c r="D36" s="35"/>
      <c r="E36" s="65"/>
      <c r="F36" s="69"/>
      <c r="G36" s="35"/>
      <c r="H36" s="35"/>
      <c r="I36" s="35"/>
    </row>
    <row r="37" spans="3:9" ht="13.5" customHeight="1" x14ac:dyDescent="0.25">
      <c r="C37" s="16"/>
      <c r="D37" s="16"/>
      <c r="E37" s="64"/>
      <c r="F37" s="64"/>
      <c r="G37" s="16"/>
      <c r="H37" s="16"/>
      <c r="I37" s="16"/>
    </row>
    <row r="38" spans="3:9" ht="13.5" customHeight="1" x14ac:dyDescent="0.25">
      <c r="C38" s="35"/>
      <c r="D38" s="35"/>
      <c r="E38" s="65"/>
      <c r="F38" s="69"/>
      <c r="G38" s="35"/>
      <c r="H38" s="35"/>
      <c r="I38" s="35"/>
    </row>
    <row r="39" spans="3:9" ht="13.5" customHeight="1" x14ac:dyDescent="0.25">
      <c r="C39" s="16"/>
      <c r="D39" s="16"/>
      <c r="E39" s="64"/>
      <c r="F39" s="64"/>
      <c r="G39" s="16"/>
      <c r="H39" s="16"/>
      <c r="I39" s="16"/>
    </row>
    <row r="40" spans="3:9" ht="13.5" customHeight="1" x14ac:dyDescent="0.25">
      <c r="C40" s="35"/>
      <c r="D40" s="35"/>
      <c r="E40" s="65"/>
      <c r="F40" s="69"/>
      <c r="G40" s="35"/>
      <c r="H40" s="35"/>
      <c r="I40" s="35"/>
    </row>
    <row r="41" spans="3:9" ht="13.5" customHeight="1" x14ac:dyDescent="0.25">
      <c r="C41" s="16"/>
      <c r="D41" s="16"/>
      <c r="E41" s="64"/>
      <c r="F41" s="64"/>
      <c r="G41" s="16"/>
      <c r="H41" s="16"/>
      <c r="I41" s="16"/>
    </row>
    <row r="42" spans="3:9" ht="13.5" customHeight="1" x14ac:dyDescent="0.25">
      <c r="C42" s="35"/>
      <c r="D42" s="35"/>
      <c r="E42" s="65"/>
      <c r="F42" s="69"/>
      <c r="G42" s="35"/>
      <c r="H42" s="35"/>
      <c r="I42" s="35"/>
    </row>
    <row r="43" spans="3:9" ht="13.5" customHeight="1" x14ac:dyDescent="0.25">
      <c r="C43" s="16"/>
      <c r="D43" s="16"/>
      <c r="E43" s="64"/>
      <c r="F43" s="64"/>
      <c r="G43" s="16"/>
      <c r="H43" s="16"/>
      <c r="I43" s="16"/>
    </row>
    <row r="44" spans="3:9" ht="13.5" customHeight="1" x14ac:dyDescent="0.25">
      <c r="C44" s="35"/>
      <c r="D44" s="35"/>
      <c r="E44" s="65"/>
      <c r="F44" s="69"/>
      <c r="G44" s="35"/>
      <c r="H44" s="35"/>
      <c r="I44" s="35"/>
    </row>
    <row r="45" spans="3:9" ht="13.5" customHeight="1" x14ac:dyDescent="0.25">
      <c r="C45" s="16"/>
      <c r="D45" s="16"/>
      <c r="E45" s="64"/>
      <c r="F45" s="64"/>
      <c r="G45" s="16"/>
      <c r="H45" s="16"/>
      <c r="I45" s="16"/>
    </row>
    <row r="46" spans="3:9" ht="13.5" customHeight="1" x14ac:dyDescent="0.25">
      <c r="C46" s="35"/>
      <c r="D46" s="35"/>
      <c r="E46" s="65"/>
      <c r="F46" s="69"/>
      <c r="G46" s="35"/>
      <c r="H46" s="35"/>
      <c r="I46" s="35"/>
    </row>
    <row r="47" spans="3:9" ht="13.5" customHeight="1" x14ac:dyDescent="0.25">
      <c r="C47" s="16"/>
      <c r="D47" s="16"/>
      <c r="E47" s="64"/>
      <c r="F47" s="64"/>
      <c r="G47" s="16"/>
      <c r="H47" s="16"/>
      <c r="I47" s="16"/>
    </row>
    <row r="48" spans="3:9" ht="13.5" customHeight="1" x14ac:dyDescent="0.25">
      <c r="C48" s="35"/>
      <c r="D48" s="35"/>
      <c r="E48" s="65"/>
      <c r="F48" s="69"/>
      <c r="G48" s="35"/>
      <c r="H48" s="35"/>
      <c r="I48" s="35"/>
    </row>
    <row r="49" spans="3:9" ht="13.5" customHeight="1" x14ac:dyDescent="0.25">
      <c r="C49" s="16"/>
      <c r="D49" s="16"/>
      <c r="E49" s="64"/>
      <c r="F49" s="64"/>
      <c r="G49" s="16"/>
      <c r="H49" s="16"/>
      <c r="I49" s="16"/>
    </row>
    <row r="50" spans="3:9" ht="13.5" customHeight="1" x14ac:dyDescent="0.25">
      <c r="C50" s="35"/>
      <c r="D50" s="35"/>
      <c r="E50" s="65"/>
      <c r="F50" s="69"/>
      <c r="G50" s="35"/>
      <c r="H50" s="35"/>
      <c r="I50" s="35"/>
    </row>
    <row r="51" spans="3:9" ht="13.5" customHeight="1" x14ac:dyDescent="0.25">
      <c r="C51" s="16"/>
      <c r="D51" s="16"/>
      <c r="E51" s="64"/>
      <c r="F51" s="64"/>
      <c r="G51" s="16"/>
      <c r="H51" s="16"/>
      <c r="I51" s="16"/>
    </row>
    <row r="52" spans="3:9" ht="13.5" customHeight="1" x14ac:dyDescent="0.25">
      <c r="C52" s="35"/>
      <c r="D52" s="35"/>
      <c r="E52" s="65"/>
      <c r="F52" s="69"/>
      <c r="G52" s="35"/>
      <c r="H52" s="35"/>
      <c r="I52" s="35"/>
    </row>
    <row r="53" spans="3:9" ht="13.5" customHeight="1" x14ac:dyDescent="0.25">
      <c r="C53" s="16"/>
      <c r="D53" s="16"/>
      <c r="E53" s="64"/>
      <c r="F53" s="64"/>
      <c r="G53" s="16"/>
      <c r="H53" s="16"/>
      <c r="I53" s="16"/>
    </row>
    <row r="54" spans="3:9" ht="13.5" customHeight="1" x14ac:dyDescent="0.25">
      <c r="C54" s="35"/>
      <c r="D54" s="35"/>
      <c r="E54" s="65"/>
      <c r="F54" s="69"/>
      <c r="G54" s="35"/>
      <c r="H54" s="35"/>
      <c r="I54" s="35"/>
    </row>
    <row r="55" spans="3:9" ht="13.5" customHeight="1" collapsed="1" x14ac:dyDescent="0.25">
      <c r="C55" s="16"/>
      <c r="D55" s="16"/>
      <c r="E55" s="64"/>
      <c r="F55" s="64"/>
      <c r="G55" s="16"/>
      <c r="H55" s="16"/>
      <c r="I55" s="16"/>
    </row>
    <row r="56" spans="3:9" ht="13.5" customHeight="1" x14ac:dyDescent="0.25">
      <c r="C56" s="35"/>
      <c r="D56" s="35"/>
      <c r="E56" s="65"/>
      <c r="F56" s="69"/>
      <c r="G56" s="35"/>
      <c r="H56" s="35"/>
      <c r="I56" s="35"/>
    </row>
    <row r="57" spans="3:9" ht="13.5" customHeight="1" x14ac:dyDescent="0.25">
      <c r="C57" s="16"/>
      <c r="D57" s="16"/>
      <c r="E57" s="64"/>
      <c r="F57" s="64"/>
      <c r="G57" s="16"/>
      <c r="H57" s="16"/>
      <c r="I57" s="16"/>
    </row>
    <row r="58" spans="3:9" ht="13.5" customHeight="1" x14ac:dyDescent="0.25">
      <c r="C58" s="35"/>
      <c r="D58" s="35"/>
      <c r="E58" s="65"/>
      <c r="F58" s="69"/>
      <c r="G58" s="35"/>
      <c r="H58" s="35"/>
      <c r="I58" s="35"/>
    </row>
    <row r="59" spans="3:9" ht="13.5" customHeight="1" x14ac:dyDescent="0.25">
      <c r="C59" s="16"/>
      <c r="D59" s="16"/>
      <c r="E59" s="64"/>
      <c r="F59" s="64"/>
      <c r="G59" s="16"/>
      <c r="H59" s="16"/>
      <c r="I59" s="16"/>
    </row>
    <row r="60" spans="3:9" ht="13.5" customHeight="1" x14ac:dyDescent="0.25">
      <c r="C60" s="35"/>
      <c r="D60" s="35"/>
      <c r="E60" s="65"/>
      <c r="F60" s="69"/>
      <c r="G60" s="35"/>
      <c r="H60" s="35"/>
      <c r="I60" s="35"/>
    </row>
    <row r="61" spans="3:9" ht="13.5" customHeight="1" x14ac:dyDescent="0.25">
      <c r="C61" s="16"/>
      <c r="D61" s="16"/>
      <c r="E61" s="64"/>
      <c r="F61" s="64"/>
      <c r="G61" s="16"/>
      <c r="H61" s="16"/>
      <c r="I61" s="16"/>
    </row>
    <row r="62" spans="3:9" ht="13.5" customHeight="1" x14ac:dyDescent="0.25">
      <c r="C62" s="35"/>
      <c r="D62" s="35"/>
      <c r="E62" s="65"/>
      <c r="F62" s="69"/>
      <c r="G62" s="35"/>
      <c r="H62" s="35"/>
      <c r="I62" s="35"/>
    </row>
    <row r="63" spans="3:9" ht="13.5" customHeight="1" x14ac:dyDescent="0.25">
      <c r="C63" s="16"/>
      <c r="D63" s="16"/>
      <c r="E63" s="64"/>
      <c r="F63" s="64"/>
      <c r="G63" s="16"/>
      <c r="H63" s="16"/>
      <c r="I63" s="16"/>
    </row>
    <row r="64" spans="3:9" ht="13.5" customHeight="1" x14ac:dyDescent="0.25">
      <c r="C64" s="35"/>
      <c r="D64" s="35"/>
      <c r="E64" s="65"/>
      <c r="F64" s="69"/>
      <c r="G64" s="35"/>
      <c r="H64" s="35"/>
      <c r="I64" s="35"/>
    </row>
    <row r="65" spans="3:9" ht="13.5" customHeight="1" x14ac:dyDescent="0.25">
      <c r="C65" s="16"/>
      <c r="D65" s="16"/>
      <c r="E65" s="64"/>
      <c r="F65" s="64"/>
      <c r="G65" s="16"/>
      <c r="H65" s="16"/>
      <c r="I65" s="16"/>
    </row>
    <row r="66" spans="3:9" ht="13.5" customHeight="1" x14ac:dyDescent="0.25">
      <c r="C66" s="35"/>
      <c r="D66" s="35"/>
      <c r="E66" s="65"/>
      <c r="F66" s="69"/>
      <c r="G66" s="35"/>
      <c r="H66" s="35"/>
      <c r="I66" s="35"/>
    </row>
    <row r="67" spans="3:9" ht="13.5" customHeight="1" x14ac:dyDescent="0.25">
      <c r="C67" s="16"/>
      <c r="D67" s="16"/>
      <c r="E67" s="64"/>
      <c r="F67" s="64"/>
      <c r="G67" s="16"/>
      <c r="H67" s="16"/>
      <c r="I67" s="16"/>
    </row>
    <row r="68" spans="3:9" ht="13.5" customHeight="1" x14ac:dyDescent="0.25">
      <c r="C68" s="35"/>
      <c r="D68" s="35"/>
      <c r="E68" s="65"/>
      <c r="F68" s="69"/>
      <c r="G68" s="35"/>
      <c r="H68" s="35"/>
      <c r="I68" s="35"/>
    </row>
    <row r="69" spans="3:9" ht="13.5" customHeight="1" x14ac:dyDescent="0.25">
      <c r="C69" s="16"/>
      <c r="D69" s="16"/>
      <c r="E69" s="64"/>
      <c r="F69" s="64"/>
      <c r="G69" s="16"/>
      <c r="H69" s="16"/>
      <c r="I69" s="16"/>
    </row>
    <row r="70" spans="3:9" ht="13.5" customHeight="1" x14ac:dyDescent="0.25">
      <c r="C70" s="35"/>
      <c r="D70" s="35"/>
      <c r="E70" s="65"/>
      <c r="F70" s="69"/>
      <c r="G70" s="35"/>
      <c r="H70" s="35"/>
      <c r="I70" s="35"/>
    </row>
    <row r="71" spans="3:9" ht="13.5" customHeight="1" x14ac:dyDescent="0.25">
      <c r="C71" s="16"/>
      <c r="D71" s="16"/>
      <c r="E71" s="64"/>
      <c r="F71" s="64"/>
      <c r="G71" s="16"/>
      <c r="H71" s="16"/>
      <c r="I71" s="16"/>
    </row>
    <row r="72" spans="3:9" ht="13.5" customHeight="1" x14ac:dyDescent="0.25">
      <c r="C72" s="35"/>
      <c r="D72" s="35"/>
      <c r="E72" s="65"/>
      <c r="F72" s="69"/>
      <c r="G72" s="35"/>
      <c r="H72" s="35"/>
      <c r="I72" s="35"/>
    </row>
    <row r="73" spans="3:9" ht="13.5" customHeight="1" x14ac:dyDescent="0.25">
      <c r="C73" s="16"/>
      <c r="D73" s="16"/>
      <c r="E73" s="64"/>
      <c r="F73" s="64"/>
      <c r="G73" s="16"/>
      <c r="H73" s="16"/>
      <c r="I73" s="16"/>
    </row>
    <row r="74" spans="3:9" ht="13.5" customHeight="1" x14ac:dyDescent="0.25">
      <c r="C74" s="35"/>
      <c r="D74" s="35"/>
      <c r="E74" s="65"/>
      <c r="F74" s="69"/>
      <c r="G74" s="35"/>
      <c r="H74" s="35"/>
      <c r="I74" s="35"/>
    </row>
    <row r="75" spans="3:9" ht="13.5" customHeight="1" x14ac:dyDescent="0.25">
      <c r="C75" s="16"/>
      <c r="D75" s="16"/>
      <c r="E75" s="64"/>
      <c r="F75" s="64"/>
      <c r="G75" s="16"/>
      <c r="H75" s="16"/>
      <c r="I75" s="16"/>
    </row>
    <row r="76" spans="3:9" ht="13.5" customHeight="1" x14ac:dyDescent="0.25">
      <c r="C76" s="35"/>
      <c r="D76" s="35"/>
      <c r="E76" s="65"/>
      <c r="F76" s="69"/>
      <c r="G76" s="35"/>
      <c r="H76" s="35"/>
      <c r="I76" s="35"/>
    </row>
    <row r="77" spans="3:9" ht="13.5" customHeight="1" x14ac:dyDescent="0.25">
      <c r="C77" s="16"/>
      <c r="D77" s="16"/>
      <c r="E77" s="64"/>
      <c r="F77" s="64"/>
      <c r="G77" s="16"/>
      <c r="H77" s="16"/>
      <c r="I77" s="16"/>
    </row>
    <row r="78" spans="3:9" ht="13.5" customHeight="1" x14ac:dyDescent="0.25">
      <c r="C78" s="35"/>
      <c r="D78" s="35"/>
      <c r="E78" s="65"/>
      <c r="F78" s="69"/>
      <c r="G78" s="35"/>
      <c r="H78" s="35"/>
      <c r="I78" s="35"/>
    </row>
    <row r="79" spans="3:9" ht="13.5" customHeight="1" x14ac:dyDescent="0.25">
      <c r="C79" s="16"/>
      <c r="D79" s="16"/>
      <c r="E79" s="64"/>
      <c r="F79" s="64"/>
      <c r="G79" s="16"/>
      <c r="H79" s="16"/>
      <c r="I79" s="16"/>
    </row>
    <row r="80" spans="3:9" ht="13.5" customHeight="1" x14ac:dyDescent="0.25">
      <c r="C80" s="35"/>
      <c r="D80" s="35"/>
      <c r="E80" s="65"/>
      <c r="F80" s="69"/>
      <c r="G80" s="35"/>
      <c r="H80" s="35"/>
      <c r="I80" s="35"/>
    </row>
    <row r="81" spans="3:9" ht="13.5" customHeight="1" x14ac:dyDescent="0.25">
      <c r="C81" s="16"/>
      <c r="D81" s="16"/>
      <c r="E81" s="64"/>
      <c r="F81" s="64"/>
      <c r="G81" s="16"/>
      <c r="H81" s="16"/>
      <c r="I81" s="16"/>
    </row>
    <row r="82" spans="3:9" ht="13.5" customHeight="1" x14ac:dyDescent="0.25">
      <c r="C82" s="35"/>
      <c r="D82" s="35"/>
      <c r="E82" s="65"/>
      <c r="F82" s="69"/>
      <c r="G82" s="35"/>
      <c r="H82" s="35"/>
      <c r="I82" s="35"/>
    </row>
    <row r="83" spans="3:9" ht="13.5" customHeight="1" x14ac:dyDescent="0.25">
      <c r="C83" s="16"/>
      <c r="D83" s="16"/>
      <c r="E83" s="64"/>
      <c r="F83" s="64"/>
      <c r="G83" s="16"/>
      <c r="H83" s="16"/>
      <c r="I83" s="16"/>
    </row>
    <row r="84" spans="3:9" ht="13.5" customHeight="1" x14ac:dyDescent="0.25">
      <c r="C84" s="35"/>
      <c r="D84" s="35"/>
      <c r="E84" s="65"/>
      <c r="F84" s="69"/>
      <c r="G84" s="35"/>
      <c r="H84" s="35"/>
      <c r="I84" s="35"/>
    </row>
    <row r="85" spans="3:9" ht="13.5" customHeight="1" x14ac:dyDescent="0.25">
      <c r="C85" s="16"/>
      <c r="D85" s="16"/>
      <c r="E85" s="64"/>
      <c r="F85" s="64"/>
      <c r="G85" s="16"/>
      <c r="H85" s="16"/>
      <c r="I85" s="16"/>
    </row>
    <row r="86" spans="3:9" ht="13.5" customHeight="1" x14ac:dyDescent="0.25">
      <c r="C86" s="35"/>
      <c r="D86" s="35"/>
      <c r="E86" s="65"/>
      <c r="F86" s="69"/>
      <c r="G86" s="35"/>
      <c r="H86" s="35"/>
      <c r="I86" s="35"/>
    </row>
    <row r="87" spans="3:9" ht="13.5" customHeight="1" x14ac:dyDescent="0.25">
      <c r="C87" s="16"/>
      <c r="D87" s="16"/>
      <c r="E87" s="64"/>
      <c r="F87" s="64"/>
      <c r="G87" s="16"/>
      <c r="H87" s="16"/>
      <c r="I87" s="16"/>
    </row>
    <row r="88" spans="3:9" ht="13.5" customHeight="1" x14ac:dyDescent="0.25">
      <c r="C88" s="35"/>
      <c r="D88" s="35"/>
      <c r="E88" s="65"/>
      <c r="F88" s="69"/>
      <c r="G88" s="35"/>
      <c r="H88" s="35"/>
      <c r="I88" s="35"/>
    </row>
    <row r="89" spans="3:9" ht="13.5" customHeight="1" x14ac:dyDescent="0.25">
      <c r="C89" s="16"/>
      <c r="D89" s="16"/>
      <c r="E89" s="64"/>
      <c r="F89" s="64"/>
      <c r="G89" s="16"/>
      <c r="H89" s="16"/>
      <c r="I89" s="16"/>
    </row>
    <row r="90" spans="3:9" ht="13.5" customHeight="1" x14ac:dyDescent="0.25">
      <c r="C90" s="35"/>
      <c r="D90" s="35"/>
      <c r="E90" s="65"/>
      <c r="F90" s="69"/>
      <c r="G90" s="35"/>
      <c r="H90" s="35"/>
      <c r="I90" s="35"/>
    </row>
    <row r="91" spans="3:9" ht="13.5" customHeight="1" x14ac:dyDescent="0.25">
      <c r="C91" s="16"/>
      <c r="D91" s="16"/>
      <c r="E91" s="64"/>
      <c r="F91" s="64"/>
      <c r="G91" s="16"/>
      <c r="H91" s="16"/>
      <c r="I91" s="16"/>
    </row>
    <row r="92" spans="3:9" ht="13.5" customHeight="1" x14ac:dyDescent="0.25">
      <c r="C92" s="35"/>
      <c r="D92" s="35"/>
      <c r="E92" s="65"/>
      <c r="F92" s="69"/>
      <c r="G92" s="35"/>
      <c r="H92" s="35"/>
      <c r="I92" s="35"/>
    </row>
    <row r="93" spans="3:9" ht="13.5" customHeight="1" x14ac:dyDescent="0.25">
      <c r="C93" s="16"/>
      <c r="D93" s="16"/>
      <c r="E93" s="64"/>
      <c r="F93" s="64"/>
      <c r="G93" s="16"/>
      <c r="H93" s="16"/>
      <c r="I93" s="16"/>
    </row>
    <row r="94" spans="3:9" ht="13.5" customHeight="1" x14ac:dyDescent="0.25">
      <c r="C94" s="35"/>
      <c r="D94" s="35"/>
      <c r="E94" s="65"/>
      <c r="F94" s="69"/>
      <c r="G94" s="35"/>
      <c r="H94" s="35"/>
      <c r="I94" s="35"/>
    </row>
    <row r="95" spans="3:9" ht="13.5" customHeight="1" x14ac:dyDescent="0.25">
      <c r="C95" s="16"/>
      <c r="D95" s="16"/>
      <c r="E95" s="64"/>
      <c r="F95" s="64"/>
      <c r="G95" s="16"/>
      <c r="H95" s="16"/>
      <c r="I95" s="16"/>
    </row>
    <row r="96" spans="3:9" ht="13.5" customHeight="1" x14ac:dyDescent="0.25">
      <c r="C96" s="35"/>
      <c r="D96" s="35"/>
      <c r="E96" s="65"/>
      <c r="F96" s="69"/>
      <c r="G96" s="35"/>
      <c r="H96" s="35"/>
      <c r="I96" s="35"/>
    </row>
    <row r="97" spans="3:9" ht="13.5" customHeight="1" x14ac:dyDescent="0.25">
      <c r="C97" s="16"/>
      <c r="D97" s="16"/>
      <c r="E97" s="64"/>
      <c r="F97" s="64"/>
      <c r="G97" s="16"/>
      <c r="H97" s="16"/>
      <c r="I97" s="16"/>
    </row>
    <row r="98" spans="3:9" ht="13.5" customHeight="1" x14ac:dyDescent="0.25">
      <c r="C98" s="35"/>
      <c r="D98" s="35"/>
      <c r="E98" s="65"/>
      <c r="F98" s="69"/>
      <c r="G98" s="35"/>
      <c r="H98" s="35"/>
      <c r="I98" s="35"/>
    </row>
    <row r="99" spans="3:9" ht="13.5" customHeight="1" x14ac:dyDescent="0.25">
      <c r="C99" s="16"/>
      <c r="D99" s="16"/>
      <c r="E99" s="64"/>
      <c r="F99" s="64"/>
      <c r="G99" s="16"/>
      <c r="H99" s="16"/>
      <c r="I99" s="16"/>
    </row>
    <row r="100" spans="3:9" ht="13.5" customHeight="1" x14ac:dyDescent="0.25">
      <c r="C100" s="35"/>
      <c r="D100" s="35"/>
      <c r="E100" s="65"/>
      <c r="F100" s="69"/>
      <c r="G100" s="35"/>
      <c r="H100" s="35"/>
      <c r="I100" s="35"/>
    </row>
    <row r="101" spans="3:9" ht="13.5" customHeight="1" x14ac:dyDescent="0.25">
      <c r="C101" s="16"/>
      <c r="D101" s="16"/>
      <c r="E101" s="64"/>
      <c r="F101" s="64"/>
      <c r="G101" s="16"/>
      <c r="H101" s="16"/>
      <c r="I101" s="16"/>
    </row>
    <row r="102" spans="3:9" ht="13.5" customHeight="1" x14ac:dyDescent="0.25">
      <c r="C102" s="35"/>
      <c r="D102" s="35"/>
      <c r="E102" s="65"/>
      <c r="F102" s="69"/>
      <c r="G102" s="35"/>
      <c r="H102" s="35"/>
      <c r="I102" s="35"/>
    </row>
    <row r="103" spans="3:9" ht="13.5" customHeight="1" x14ac:dyDescent="0.25">
      <c r="C103" s="16"/>
      <c r="D103" s="16"/>
      <c r="E103" s="64"/>
      <c r="F103" s="64"/>
      <c r="G103" s="16"/>
      <c r="H103" s="16"/>
      <c r="I103" s="16"/>
    </row>
    <row r="104" spans="3:9" ht="13.5" customHeight="1" x14ac:dyDescent="0.25">
      <c r="C104" s="35"/>
      <c r="D104" s="35"/>
      <c r="E104" s="65"/>
      <c r="F104" s="69"/>
      <c r="G104" s="35"/>
      <c r="H104" s="35"/>
      <c r="I104" s="35"/>
    </row>
    <row r="105" spans="3:9" ht="13.5" customHeight="1" x14ac:dyDescent="0.25">
      <c r="C105" s="16"/>
      <c r="D105" s="16"/>
      <c r="E105" s="64"/>
      <c r="F105" s="64"/>
      <c r="G105" s="16"/>
      <c r="H105" s="16"/>
      <c r="I105" s="16"/>
    </row>
    <row r="106" spans="3:9" ht="13.5" customHeight="1" x14ac:dyDescent="0.25">
      <c r="C106" s="35"/>
      <c r="D106" s="35"/>
      <c r="E106" s="65"/>
      <c r="F106" s="69"/>
      <c r="G106" s="35"/>
      <c r="H106" s="35"/>
      <c r="I106" s="35"/>
    </row>
    <row r="107" spans="3:9" ht="13.5" customHeight="1" x14ac:dyDescent="0.25">
      <c r="C107" s="16"/>
      <c r="D107" s="16"/>
      <c r="E107" s="64"/>
      <c r="F107" s="64"/>
      <c r="G107" s="16"/>
      <c r="H107" s="16"/>
      <c r="I107" s="16"/>
    </row>
    <row r="108" spans="3:9" ht="13.5" customHeight="1" x14ac:dyDescent="0.25">
      <c r="C108" s="35"/>
      <c r="D108" s="35"/>
      <c r="E108" s="65"/>
      <c r="F108" s="69"/>
      <c r="G108" s="35"/>
      <c r="H108" s="35"/>
      <c r="I108" s="35"/>
    </row>
    <row r="109" spans="3:9" ht="13.5" customHeight="1" x14ac:dyDescent="0.25">
      <c r="C109" s="16"/>
      <c r="D109" s="16"/>
      <c r="E109" s="64"/>
      <c r="F109" s="64"/>
      <c r="G109" s="16"/>
      <c r="H109" s="16"/>
      <c r="I109" s="16"/>
    </row>
    <row r="110" spans="3:9" ht="13.5" customHeight="1" x14ac:dyDescent="0.25">
      <c r="C110" s="35"/>
      <c r="D110" s="35"/>
      <c r="E110" s="65"/>
      <c r="F110" s="69"/>
      <c r="G110" s="35"/>
      <c r="H110" s="35"/>
      <c r="I110" s="35"/>
    </row>
    <row r="111" spans="3:9" ht="13.5" customHeight="1" x14ac:dyDescent="0.25">
      <c r="C111" s="16"/>
      <c r="D111" s="16"/>
      <c r="E111" s="64"/>
      <c r="F111" s="64"/>
      <c r="G111" s="16"/>
      <c r="H111" s="16"/>
      <c r="I111" s="16"/>
    </row>
    <row r="112" spans="3:9" ht="13.5" customHeight="1" x14ac:dyDescent="0.25">
      <c r="C112" s="35"/>
      <c r="D112" s="35"/>
      <c r="E112" s="65"/>
      <c r="F112" s="69"/>
      <c r="G112" s="35"/>
      <c r="H112" s="35"/>
      <c r="I112" s="35"/>
    </row>
    <row r="113" spans="3:9" ht="13.5" customHeight="1" x14ac:dyDescent="0.25">
      <c r="C113" s="16"/>
      <c r="D113" s="16"/>
      <c r="E113" s="64"/>
      <c r="F113" s="64"/>
      <c r="G113" s="16"/>
      <c r="H113" s="16"/>
      <c r="I113" s="16"/>
    </row>
    <row r="114" spans="3:9" ht="13.5" customHeight="1" x14ac:dyDescent="0.25">
      <c r="C114" s="35"/>
      <c r="D114" s="35"/>
      <c r="E114" s="65"/>
      <c r="F114" s="69"/>
      <c r="G114" s="35"/>
      <c r="H114" s="35"/>
      <c r="I114" s="35"/>
    </row>
    <row r="115" spans="3:9" ht="13.5" customHeight="1" x14ac:dyDescent="0.25">
      <c r="C115" s="16"/>
      <c r="D115" s="16"/>
      <c r="E115" s="64"/>
      <c r="F115" s="64"/>
      <c r="G115" s="16"/>
      <c r="H115" s="16"/>
      <c r="I115" s="16"/>
    </row>
    <row r="116" spans="3:9" ht="13.5" customHeight="1" x14ac:dyDescent="0.25">
      <c r="C116" s="35"/>
      <c r="D116" s="35"/>
      <c r="E116" s="65"/>
      <c r="F116" s="69"/>
      <c r="G116" s="35"/>
      <c r="H116" s="35"/>
      <c r="I116" s="35"/>
    </row>
    <row r="117" spans="3:9" ht="13.5" customHeight="1" x14ac:dyDescent="0.25">
      <c r="C117" s="16"/>
      <c r="D117" s="16"/>
      <c r="E117" s="64"/>
      <c r="F117" s="64"/>
      <c r="G117" s="16"/>
      <c r="H117" s="16"/>
      <c r="I117" s="16"/>
    </row>
    <row r="118" spans="3:9" ht="13.5" customHeight="1" x14ac:dyDescent="0.25">
      <c r="C118" s="35"/>
      <c r="D118" s="35"/>
      <c r="E118" s="65"/>
      <c r="F118" s="69"/>
      <c r="G118" s="35"/>
      <c r="H118" s="35"/>
      <c r="I118" s="35"/>
    </row>
    <row r="119" spans="3:9" ht="13.5" customHeight="1" x14ac:dyDescent="0.25">
      <c r="C119" s="16"/>
      <c r="D119" s="16"/>
      <c r="E119" s="64"/>
      <c r="F119" s="64"/>
      <c r="G119" s="16"/>
      <c r="H119" s="16"/>
      <c r="I119" s="16"/>
    </row>
    <row r="120" spans="3:9" ht="13.5" customHeight="1" x14ac:dyDescent="0.25">
      <c r="C120" s="35"/>
      <c r="D120" s="35"/>
      <c r="E120" s="65"/>
      <c r="F120" s="69"/>
      <c r="G120" s="35"/>
      <c r="H120" s="35"/>
      <c r="I120" s="35"/>
    </row>
    <row r="121" spans="3:9" ht="13.5" customHeight="1" x14ac:dyDescent="0.25">
      <c r="C121" s="16"/>
      <c r="D121" s="16"/>
      <c r="E121" s="64"/>
      <c r="F121" s="64"/>
      <c r="G121" s="16"/>
      <c r="H121" s="16"/>
      <c r="I121" s="16"/>
    </row>
    <row r="122" spans="3:9" ht="13.5" customHeight="1" x14ac:dyDescent="0.25">
      <c r="C122" s="35"/>
      <c r="D122" s="35"/>
      <c r="E122" s="65"/>
      <c r="F122" s="69"/>
      <c r="G122" s="35"/>
      <c r="H122" s="35"/>
      <c r="I122" s="35"/>
    </row>
    <row r="123" spans="3:9" ht="13.5" customHeight="1" x14ac:dyDescent="0.25">
      <c r="C123" s="16"/>
      <c r="D123" s="16"/>
      <c r="E123" s="64"/>
      <c r="F123" s="64"/>
      <c r="G123" s="16"/>
      <c r="H123" s="16"/>
      <c r="I123" s="16"/>
    </row>
    <row r="124" spans="3:9" ht="13.5" customHeight="1" x14ac:dyDescent="0.25">
      <c r="C124" s="35"/>
      <c r="D124" s="35"/>
      <c r="E124" s="65"/>
      <c r="F124" s="69"/>
      <c r="G124" s="35"/>
      <c r="H124" s="35"/>
      <c r="I124" s="35"/>
    </row>
    <row r="125" spans="3:9" ht="13.5" customHeight="1" x14ac:dyDescent="0.25">
      <c r="C125" s="16"/>
      <c r="D125" s="16"/>
      <c r="E125" s="64"/>
      <c r="F125" s="64"/>
      <c r="G125" s="16"/>
      <c r="H125" s="16"/>
      <c r="I125" s="16"/>
    </row>
    <row r="126" spans="3:9" ht="13.5" customHeight="1" x14ac:dyDescent="0.25">
      <c r="C126" s="35"/>
      <c r="D126" s="35"/>
      <c r="E126" s="65"/>
      <c r="F126" s="69"/>
      <c r="G126" s="35"/>
      <c r="H126" s="35"/>
      <c r="I126" s="35"/>
    </row>
    <row r="127" spans="3:9" ht="13.5" customHeight="1" x14ac:dyDescent="0.25">
      <c r="C127" s="16"/>
      <c r="D127" s="16"/>
      <c r="E127" s="64"/>
      <c r="F127" s="64"/>
      <c r="G127" s="16"/>
      <c r="H127" s="16"/>
      <c r="I127" s="16"/>
    </row>
    <row r="128" spans="3:9" ht="13.5" customHeight="1" x14ac:dyDescent="0.25">
      <c r="C128" s="35"/>
      <c r="D128" s="35"/>
      <c r="E128" s="65"/>
      <c r="F128" s="69"/>
      <c r="G128" s="35"/>
      <c r="H128" s="35"/>
      <c r="I128" s="35"/>
    </row>
    <row r="129" spans="3:9" ht="13.5" customHeight="1" x14ac:dyDescent="0.25">
      <c r="C129" s="16"/>
      <c r="D129" s="16"/>
      <c r="E129" s="64"/>
      <c r="F129" s="64"/>
      <c r="G129" s="16"/>
      <c r="H129" s="16"/>
      <c r="I129" s="16"/>
    </row>
    <row r="130" spans="3:9" ht="13.5" customHeight="1" x14ac:dyDescent="0.25">
      <c r="C130" s="35"/>
      <c r="D130" s="35"/>
      <c r="E130" s="65"/>
      <c r="F130" s="69"/>
      <c r="G130" s="35"/>
      <c r="H130" s="35"/>
      <c r="I130" s="35"/>
    </row>
    <row r="131" spans="3:9" ht="13.5" customHeight="1" x14ac:dyDescent="0.25">
      <c r="C131" s="16"/>
      <c r="D131" s="16"/>
      <c r="E131" s="64"/>
      <c r="F131" s="64"/>
      <c r="G131" s="16"/>
      <c r="H131" s="16"/>
      <c r="I131" s="16"/>
    </row>
    <row r="132" spans="3:9" ht="13.5" customHeight="1" x14ac:dyDescent="0.25">
      <c r="C132" s="35"/>
      <c r="D132" s="35"/>
      <c r="E132" s="65"/>
      <c r="F132" s="69"/>
      <c r="G132" s="35"/>
      <c r="H132" s="35"/>
      <c r="I132" s="35"/>
    </row>
    <row r="133" spans="3:9" ht="13.5" customHeight="1" x14ac:dyDescent="0.25">
      <c r="C133" s="16"/>
      <c r="D133" s="16"/>
      <c r="E133" s="64"/>
      <c r="F133" s="64"/>
      <c r="G133" s="16"/>
      <c r="H133" s="16"/>
      <c r="I133" s="16"/>
    </row>
    <row r="134" spans="3:9" ht="13.5" customHeight="1" x14ac:dyDescent="0.25">
      <c r="C134" s="35"/>
      <c r="D134" s="35"/>
      <c r="E134" s="65"/>
      <c r="F134" s="69"/>
      <c r="G134" s="35"/>
      <c r="H134" s="35"/>
      <c r="I134" s="35"/>
    </row>
    <row r="135" spans="3:9" ht="13.5" customHeight="1" x14ac:dyDescent="0.25">
      <c r="C135" s="16"/>
      <c r="D135" s="16"/>
      <c r="E135" s="64"/>
      <c r="F135" s="64"/>
      <c r="G135" s="16"/>
      <c r="H135" s="16"/>
      <c r="I135" s="16"/>
    </row>
    <row r="136" spans="3:9" ht="13.5" customHeight="1" x14ac:dyDescent="0.25">
      <c r="C136" s="35"/>
      <c r="D136" s="35"/>
      <c r="E136" s="65"/>
      <c r="F136" s="69"/>
      <c r="G136" s="35"/>
      <c r="H136" s="35"/>
      <c r="I136" s="35"/>
    </row>
    <row r="137" spans="3:9" ht="13.5" customHeight="1" x14ac:dyDescent="0.25">
      <c r="C137" s="16"/>
      <c r="D137" s="16"/>
      <c r="E137" s="64"/>
      <c r="F137" s="64"/>
      <c r="G137" s="16"/>
      <c r="H137" s="16"/>
      <c r="I137" s="16"/>
    </row>
    <row r="138" spans="3:9" ht="13.5" customHeight="1" x14ac:dyDescent="0.25">
      <c r="C138" s="35"/>
      <c r="D138" s="35"/>
      <c r="E138" s="65"/>
      <c r="F138" s="69"/>
      <c r="G138" s="35"/>
      <c r="H138" s="35"/>
      <c r="I138" s="35"/>
    </row>
    <row r="139" spans="3:9" ht="13.5" customHeight="1" x14ac:dyDescent="0.25">
      <c r="C139" s="16"/>
      <c r="D139" s="16"/>
      <c r="E139" s="64"/>
      <c r="F139" s="64"/>
      <c r="G139" s="16"/>
      <c r="H139" s="16"/>
      <c r="I139" s="16"/>
    </row>
    <row r="140" spans="3:9" ht="13.5" customHeight="1" x14ac:dyDescent="0.25">
      <c r="C140" s="35"/>
      <c r="D140" s="35"/>
      <c r="E140" s="65"/>
      <c r="F140" s="69"/>
      <c r="G140" s="35"/>
      <c r="H140" s="35"/>
      <c r="I140" s="35"/>
    </row>
    <row r="141" spans="3:9" ht="13.5" customHeight="1" x14ac:dyDescent="0.25">
      <c r="C141" s="16"/>
      <c r="D141" s="16"/>
      <c r="E141" s="64"/>
      <c r="F141" s="64"/>
      <c r="G141" s="16"/>
      <c r="H141" s="16"/>
      <c r="I141" s="16"/>
    </row>
    <row r="142" spans="3:9" ht="13.5" customHeight="1" x14ac:dyDescent="0.25">
      <c r="C142" s="35"/>
      <c r="D142" s="35"/>
      <c r="E142" s="65"/>
      <c r="F142" s="69"/>
      <c r="G142" s="35"/>
      <c r="H142" s="35"/>
      <c r="I142" s="35"/>
    </row>
    <row r="143" spans="3:9" ht="13.5" customHeight="1" x14ac:dyDescent="0.25">
      <c r="C143" s="16"/>
      <c r="D143" s="16"/>
      <c r="E143" s="64"/>
      <c r="F143" s="64"/>
      <c r="G143" s="16"/>
      <c r="H143" s="16"/>
      <c r="I143" s="16"/>
    </row>
    <row r="144" spans="3:9" ht="13.5" customHeight="1" x14ac:dyDescent="0.25">
      <c r="C144" s="35"/>
      <c r="D144" s="35"/>
      <c r="E144" s="65"/>
      <c r="F144" s="69"/>
      <c r="G144" s="35"/>
      <c r="H144" s="35"/>
      <c r="I144" s="35"/>
    </row>
    <row r="145" spans="3:9" ht="13.5" customHeight="1" x14ac:dyDescent="0.25">
      <c r="C145" s="16"/>
      <c r="D145" s="16"/>
      <c r="E145" s="64"/>
      <c r="F145" s="64"/>
      <c r="G145" s="16"/>
      <c r="H145" s="16"/>
      <c r="I145" s="16"/>
    </row>
    <row r="146" spans="3:9" ht="13.5" customHeight="1" x14ac:dyDescent="0.25">
      <c r="C146" s="35"/>
      <c r="D146" s="35"/>
      <c r="E146" s="65"/>
      <c r="F146" s="69"/>
      <c r="G146" s="35"/>
      <c r="H146" s="35"/>
      <c r="I146" s="35"/>
    </row>
    <row r="147" spans="3:9" ht="13.5" customHeight="1" x14ac:dyDescent="0.25">
      <c r="C147" s="16"/>
      <c r="D147" s="16"/>
      <c r="E147" s="64"/>
      <c r="F147" s="64"/>
      <c r="G147" s="16"/>
      <c r="H147" s="16"/>
      <c r="I147" s="16"/>
    </row>
    <row r="148" spans="3:9" ht="13.5" customHeight="1" x14ac:dyDescent="0.25">
      <c r="C148" s="35"/>
      <c r="D148" s="35"/>
      <c r="E148" s="65"/>
      <c r="F148" s="69"/>
      <c r="G148" s="35"/>
      <c r="H148" s="35"/>
      <c r="I148" s="35"/>
    </row>
    <row r="149" spans="3:9" ht="13.5" customHeight="1" x14ac:dyDescent="0.25">
      <c r="C149" s="16"/>
      <c r="D149" s="16"/>
      <c r="E149" s="64"/>
      <c r="F149" s="64"/>
      <c r="G149" s="16"/>
      <c r="H149" s="16"/>
      <c r="I149" s="16"/>
    </row>
    <row r="150" spans="3:9" ht="13.5" customHeight="1" x14ac:dyDescent="0.25">
      <c r="C150" s="35"/>
      <c r="D150" s="35"/>
      <c r="E150" s="65"/>
      <c r="F150" s="69"/>
      <c r="G150" s="35"/>
      <c r="H150" s="35"/>
      <c r="I150" s="35"/>
    </row>
    <row r="151" spans="3:9" ht="13.5" customHeight="1" x14ac:dyDescent="0.25">
      <c r="C151" s="16"/>
      <c r="D151" s="16"/>
      <c r="E151" s="64"/>
      <c r="F151" s="64"/>
      <c r="G151" s="16"/>
      <c r="H151" s="16"/>
      <c r="I151" s="16"/>
    </row>
    <row r="152" spans="3:9" ht="13.5" customHeight="1" x14ac:dyDescent="0.25">
      <c r="C152" s="35"/>
      <c r="D152" s="35"/>
      <c r="E152" s="65"/>
      <c r="F152" s="69"/>
      <c r="G152" s="35"/>
      <c r="H152" s="35"/>
      <c r="I152" s="35"/>
    </row>
    <row r="153" spans="3:9" ht="13.5" customHeight="1" x14ac:dyDescent="0.25">
      <c r="C153" s="16"/>
      <c r="D153" s="16"/>
      <c r="E153" s="64"/>
      <c r="F153" s="64"/>
      <c r="G153" s="16"/>
      <c r="H153" s="16"/>
      <c r="I153" s="16"/>
    </row>
    <row r="154" spans="3:9" ht="13.5" customHeight="1" x14ac:dyDescent="0.25">
      <c r="C154" s="35"/>
      <c r="D154" s="35"/>
      <c r="E154" s="65"/>
      <c r="F154" s="69"/>
      <c r="G154" s="35"/>
      <c r="H154" s="35"/>
      <c r="I154" s="35"/>
    </row>
    <row r="155" spans="3:9" ht="13.5" customHeight="1" x14ac:dyDescent="0.25">
      <c r="C155" s="16"/>
      <c r="D155" s="16"/>
      <c r="E155" s="64"/>
      <c r="F155" s="64"/>
      <c r="G155" s="16"/>
      <c r="H155" s="16"/>
      <c r="I155" s="16"/>
    </row>
    <row r="156" spans="3:9" ht="13.5" customHeight="1" x14ac:dyDescent="0.25">
      <c r="C156" s="35"/>
      <c r="D156" s="35"/>
      <c r="E156" s="65"/>
      <c r="F156" s="69"/>
      <c r="G156" s="35"/>
      <c r="H156" s="35"/>
      <c r="I156" s="35"/>
    </row>
    <row r="157" spans="3:9" ht="13.5" customHeight="1" x14ac:dyDescent="0.25">
      <c r="C157" s="16"/>
      <c r="D157" s="16"/>
      <c r="E157" s="64"/>
      <c r="F157" s="64"/>
      <c r="G157" s="16"/>
      <c r="H157" s="16"/>
      <c r="I157" s="16"/>
    </row>
    <row r="158" spans="3:9" ht="13.5" customHeight="1" x14ac:dyDescent="0.25">
      <c r="C158" s="35"/>
      <c r="D158" s="35"/>
      <c r="E158" s="65"/>
      <c r="F158" s="69"/>
      <c r="G158" s="35"/>
      <c r="H158" s="35"/>
      <c r="I158" s="35"/>
    </row>
    <row r="159" spans="3:9" ht="13.5" customHeight="1" x14ac:dyDescent="0.25">
      <c r="C159" s="16"/>
      <c r="D159" s="16"/>
      <c r="E159" s="64"/>
      <c r="F159" s="64"/>
      <c r="G159" s="16"/>
      <c r="H159" s="16"/>
      <c r="I159" s="16"/>
    </row>
    <row r="160" spans="3:9" ht="13.5" customHeight="1" x14ac:dyDescent="0.25">
      <c r="C160" s="35"/>
      <c r="D160" s="35"/>
      <c r="E160" s="65"/>
      <c r="F160" s="69"/>
      <c r="G160" s="35"/>
      <c r="H160" s="35"/>
      <c r="I160" s="35"/>
    </row>
    <row r="161" spans="3:9" ht="13.5" customHeight="1" x14ac:dyDescent="0.25">
      <c r="C161" s="16"/>
      <c r="D161" s="16"/>
      <c r="E161" s="64"/>
      <c r="F161" s="64"/>
      <c r="G161" s="16"/>
      <c r="H161" s="16"/>
      <c r="I161" s="16"/>
    </row>
    <row r="162" spans="3:9" ht="13.5" customHeight="1" x14ac:dyDescent="0.25">
      <c r="C162" s="35"/>
      <c r="D162" s="35"/>
      <c r="E162" s="65"/>
      <c r="F162" s="69"/>
      <c r="G162" s="35"/>
      <c r="H162" s="35"/>
      <c r="I162" s="35"/>
    </row>
    <row r="163" spans="3:9" ht="13.5" customHeight="1" x14ac:dyDescent="0.25">
      <c r="C163" s="16"/>
      <c r="D163" s="16"/>
      <c r="E163" s="64"/>
      <c r="F163" s="64"/>
      <c r="G163" s="16"/>
      <c r="H163" s="16"/>
      <c r="I163" s="16"/>
    </row>
    <row r="164" spans="3:9" ht="13.5" customHeight="1" x14ac:dyDescent="0.25">
      <c r="C164" s="35"/>
      <c r="D164" s="35"/>
      <c r="E164" s="65"/>
      <c r="F164" s="69"/>
      <c r="G164" s="35"/>
      <c r="H164" s="35"/>
      <c r="I164" s="35"/>
    </row>
    <row r="165" spans="3:9" ht="13.5" customHeight="1" x14ac:dyDescent="0.25">
      <c r="C165" s="16"/>
      <c r="D165" s="16"/>
      <c r="E165" s="64"/>
      <c r="F165" s="64"/>
      <c r="G165" s="16"/>
      <c r="H165" s="16"/>
      <c r="I165" s="16"/>
    </row>
    <row r="166" spans="3:9" ht="13.5" customHeight="1" x14ac:dyDescent="0.25">
      <c r="C166" s="35"/>
      <c r="D166" s="35"/>
      <c r="E166" s="65"/>
      <c r="F166" s="69"/>
      <c r="G166" s="35"/>
      <c r="H166" s="35"/>
      <c r="I166" s="35"/>
    </row>
    <row r="167" spans="3:9" ht="13.5" customHeight="1" x14ac:dyDescent="0.25">
      <c r="C167" s="16"/>
      <c r="D167" s="16"/>
      <c r="E167" s="64"/>
      <c r="F167" s="64"/>
      <c r="G167" s="16"/>
      <c r="H167" s="16"/>
      <c r="I167" s="16"/>
    </row>
    <row r="168" spans="3:9" ht="13.5" customHeight="1" x14ac:dyDescent="0.25">
      <c r="C168" s="35"/>
      <c r="D168" s="35"/>
      <c r="E168" s="65"/>
      <c r="F168" s="69"/>
      <c r="G168" s="35"/>
      <c r="H168" s="35"/>
      <c r="I168" s="35"/>
    </row>
    <row r="169" spans="3:9" ht="13.5" customHeight="1" x14ac:dyDescent="0.25">
      <c r="C169" s="16"/>
      <c r="D169" s="16"/>
      <c r="E169" s="64"/>
      <c r="F169" s="64"/>
      <c r="G169" s="16"/>
      <c r="H169" s="16"/>
      <c r="I169" s="16"/>
    </row>
    <row r="170" spans="3:9" ht="13.5" customHeight="1" x14ac:dyDescent="0.25">
      <c r="C170" s="35"/>
      <c r="D170" s="35"/>
      <c r="E170" s="65"/>
      <c r="F170" s="69"/>
      <c r="G170" s="35"/>
      <c r="H170" s="35"/>
      <c r="I170" s="35"/>
    </row>
    <row r="171" spans="3:9" ht="13.5" customHeight="1" x14ac:dyDescent="0.25">
      <c r="C171" s="16"/>
      <c r="D171" s="16"/>
      <c r="E171" s="64"/>
      <c r="F171" s="64"/>
      <c r="G171" s="16"/>
      <c r="H171" s="16"/>
      <c r="I171" s="16"/>
    </row>
    <row r="172" spans="3:9" ht="13.5" customHeight="1" x14ac:dyDescent="0.25">
      <c r="C172" s="35"/>
      <c r="D172" s="35"/>
      <c r="E172" s="65"/>
      <c r="F172" s="69"/>
      <c r="G172" s="35"/>
      <c r="H172" s="35"/>
      <c r="I172" s="35"/>
    </row>
    <row r="173" spans="3:9" ht="13.5" customHeight="1" x14ac:dyDescent="0.25">
      <c r="C173" s="16"/>
      <c r="D173" s="16"/>
      <c r="E173" s="64"/>
      <c r="F173" s="64"/>
      <c r="G173" s="16"/>
      <c r="H173" s="16"/>
      <c r="I173" s="16"/>
    </row>
    <row r="174" spans="3:9" ht="13.5" customHeight="1" x14ac:dyDescent="0.25">
      <c r="C174" s="35"/>
      <c r="D174" s="35"/>
      <c r="E174" s="65"/>
      <c r="F174" s="69"/>
      <c r="G174" s="35"/>
      <c r="H174" s="35"/>
      <c r="I174" s="35"/>
    </row>
    <row r="175" spans="3:9" ht="13.5" customHeight="1" x14ac:dyDescent="0.25">
      <c r="C175" s="16"/>
      <c r="D175" s="16"/>
      <c r="E175" s="64"/>
      <c r="F175" s="64"/>
      <c r="G175" s="16"/>
      <c r="H175" s="16"/>
      <c r="I175" s="16"/>
    </row>
    <row r="176" spans="3:9" ht="13.5" customHeight="1" x14ac:dyDescent="0.25">
      <c r="C176" s="35"/>
      <c r="D176" s="35"/>
      <c r="E176" s="65"/>
      <c r="F176" s="69"/>
      <c r="G176" s="35"/>
      <c r="H176" s="35"/>
      <c r="I176" s="35"/>
    </row>
    <row r="177" spans="3:9" ht="13.5" customHeight="1" x14ac:dyDescent="0.25">
      <c r="C177" s="16"/>
      <c r="D177" s="16"/>
      <c r="E177" s="64"/>
      <c r="F177" s="64"/>
      <c r="G177" s="16"/>
      <c r="H177" s="16"/>
      <c r="I177" s="16"/>
    </row>
    <row r="178" spans="3:9" ht="13.5" customHeight="1" x14ac:dyDescent="0.25">
      <c r="C178" s="35"/>
      <c r="D178" s="35"/>
      <c r="E178" s="65"/>
      <c r="F178" s="69"/>
      <c r="G178" s="35"/>
      <c r="H178" s="35"/>
      <c r="I178" s="35"/>
    </row>
    <row r="179" spans="3:9" ht="13.5" customHeight="1" x14ac:dyDescent="0.25">
      <c r="C179" s="16"/>
      <c r="D179" s="16"/>
      <c r="E179" s="64"/>
      <c r="F179" s="64"/>
      <c r="G179" s="16"/>
      <c r="H179" s="16"/>
      <c r="I179" s="16"/>
    </row>
    <row r="180" spans="3:9" ht="13.5" customHeight="1" x14ac:dyDescent="0.25">
      <c r="C180" s="35"/>
      <c r="D180" s="35"/>
      <c r="E180" s="65"/>
      <c r="F180" s="69"/>
      <c r="G180" s="35"/>
      <c r="H180" s="35"/>
      <c r="I180" s="35"/>
    </row>
    <row r="181" spans="3:9" ht="13.5" customHeight="1" x14ac:dyDescent="0.25">
      <c r="C181" s="16"/>
      <c r="D181" s="16"/>
      <c r="E181" s="64"/>
      <c r="F181" s="64"/>
      <c r="G181" s="16"/>
      <c r="H181" s="16"/>
      <c r="I181" s="16"/>
    </row>
    <row r="182" spans="3:9" ht="13.5" customHeight="1" x14ac:dyDescent="0.25">
      <c r="C182" s="35"/>
      <c r="D182" s="35"/>
      <c r="E182" s="65"/>
      <c r="F182" s="69"/>
      <c r="G182" s="35"/>
      <c r="H182" s="35"/>
      <c r="I182" s="35"/>
    </row>
    <row r="183" spans="3:9" ht="13.5" customHeight="1" x14ac:dyDescent="0.25">
      <c r="C183" s="16"/>
      <c r="D183" s="16"/>
      <c r="E183" s="64"/>
      <c r="F183" s="64"/>
      <c r="G183" s="16"/>
      <c r="H183" s="16"/>
      <c r="I183" s="16"/>
    </row>
    <row r="184" spans="3:9" ht="13.5" customHeight="1" x14ac:dyDescent="0.25">
      <c r="C184" s="35"/>
      <c r="D184" s="35"/>
      <c r="E184" s="65"/>
      <c r="F184" s="69"/>
      <c r="G184" s="35"/>
      <c r="H184" s="35"/>
      <c r="I184" s="35"/>
    </row>
    <row r="185" spans="3:9" ht="13.5" customHeight="1" x14ac:dyDescent="0.25">
      <c r="C185" s="16"/>
      <c r="D185" s="16"/>
      <c r="E185" s="64"/>
      <c r="F185" s="64"/>
      <c r="G185" s="16"/>
      <c r="H185" s="16"/>
      <c r="I185" s="16"/>
    </row>
    <row r="186" spans="3:9" ht="13.5" customHeight="1" x14ac:dyDescent="0.25">
      <c r="C186" s="35"/>
      <c r="D186" s="35"/>
      <c r="E186" s="65"/>
      <c r="F186" s="69"/>
      <c r="G186" s="35"/>
      <c r="H186" s="35"/>
      <c r="I186" s="35"/>
    </row>
    <row r="187" spans="3:9" ht="13.5" customHeight="1" x14ac:dyDescent="0.25">
      <c r="C187" s="16"/>
      <c r="D187" s="16"/>
      <c r="E187" s="64"/>
      <c r="F187" s="64"/>
      <c r="G187" s="16"/>
      <c r="H187" s="16"/>
      <c r="I187" s="16"/>
    </row>
    <row r="188" spans="3:9" ht="13.5" customHeight="1" x14ac:dyDescent="0.25">
      <c r="C188" s="35"/>
      <c r="D188" s="35"/>
      <c r="E188" s="65"/>
      <c r="F188" s="69"/>
      <c r="G188" s="35"/>
      <c r="H188" s="35"/>
      <c r="I188" s="35"/>
    </row>
    <row r="189" spans="3:9" ht="13.5" customHeight="1" x14ac:dyDescent="0.25">
      <c r="C189" s="16"/>
      <c r="D189" s="16"/>
      <c r="E189" s="64"/>
      <c r="F189" s="64"/>
      <c r="G189" s="16"/>
      <c r="H189" s="16"/>
      <c r="I189" s="16"/>
    </row>
    <row r="190" spans="3:9" ht="13.5" customHeight="1" x14ac:dyDescent="0.25">
      <c r="C190" s="35"/>
      <c r="D190" s="35"/>
      <c r="E190" s="65"/>
      <c r="F190" s="69"/>
      <c r="G190" s="35"/>
      <c r="H190" s="35"/>
      <c r="I190" s="35"/>
    </row>
    <row r="191" spans="3:9" ht="13.5" customHeight="1" x14ac:dyDescent="0.25">
      <c r="C191" s="16"/>
      <c r="D191" s="16"/>
      <c r="E191" s="64"/>
      <c r="F191" s="64"/>
      <c r="G191" s="16"/>
      <c r="H191" s="16"/>
      <c r="I191" s="16"/>
    </row>
    <row r="192" spans="3:9" ht="13.5" customHeight="1" x14ac:dyDescent="0.25">
      <c r="C192" s="35"/>
      <c r="D192" s="35"/>
      <c r="E192" s="65"/>
      <c r="F192" s="69"/>
      <c r="G192" s="35"/>
      <c r="H192" s="35"/>
      <c r="I192" s="35"/>
    </row>
    <row r="193" spans="3:9" ht="13.5" customHeight="1" x14ac:dyDescent="0.25">
      <c r="C193" s="16"/>
      <c r="D193" s="16"/>
      <c r="E193" s="64"/>
      <c r="F193" s="64"/>
      <c r="G193" s="16"/>
      <c r="H193" s="16"/>
      <c r="I193" s="16"/>
    </row>
    <row r="194" spans="3:9" ht="13.5" customHeight="1" x14ac:dyDescent="0.25">
      <c r="C194" s="35"/>
      <c r="D194" s="35"/>
      <c r="E194" s="65"/>
      <c r="F194" s="69"/>
      <c r="G194" s="35"/>
      <c r="H194" s="35"/>
      <c r="I194" s="35"/>
    </row>
    <row r="195" spans="3:9" ht="13.5" customHeight="1" x14ac:dyDescent="0.25">
      <c r="C195" s="16"/>
      <c r="D195" s="16"/>
      <c r="E195" s="64"/>
      <c r="F195" s="64"/>
      <c r="G195" s="16"/>
      <c r="H195" s="16"/>
      <c r="I195" s="16"/>
    </row>
    <row r="196" spans="3:9" ht="13.5" customHeight="1" x14ac:dyDescent="0.25">
      <c r="C196" s="35"/>
      <c r="D196" s="35"/>
      <c r="E196" s="65"/>
      <c r="F196" s="69"/>
      <c r="G196" s="35"/>
      <c r="H196" s="35"/>
      <c r="I196" s="35"/>
    </row>
    <row r="197" spans="3:9" ht="13.5" customHeight="1" x14ac:dyDescent="0.25">
      <c r="C197" s="16"/>
      <c r="D197" s="16"/>
      <c r="E197" s="64"/>
      <c r="F197" s="64"/>
      <c r="G197" s="16"/>
      <c r="H197" s="16"/>
      <c r="I197" s="16"/>
    </row>
    <row r="198" spans="3:9" ht="13.5" customHeight="1" x14ac:dyDescent="0.25">
      <c r="C198" s="35"/>
      <c r="D198" s="35"/>
      <c r="E198" s="65"/>
      <c r="F198" s="69"/>
      <c r="G198" s="35"/>
      <c r="H198" s="35"/>
      <c r="I198" s="35"/>
    </row>
    <row r="199" spans="3:9" ht="13.5" customHeight="1" x14ac:dyDescent="0.25">
      <c r="C199" s="16"/>
      <c r="D199" s="16"/>
      <c r="E199" s="64"/>
      <c r="F199" s="64"/>
      <c r="G199" s="16"/>
      <c r="H199" s="16"/>
      <c r="I199" s="16"/>
    </row>
    <row r="200" spans="3:9" ht="13.5" customHeight="1" x14ac:dyDescent="0.25">
      <c r="C200" s="35"/>
      <c r="D200" s="35"/>
      <c r="E200" s="65"/>
      <c r="F200" s="69"/>
      <c r="G200" s="35"/>
      <c r="H200" s="35"/>
      <c r="I200" s="35"/>
    </row>
    <row r="201" spans="3:9" ht="13.5" customHeight="1" x14ac:dyDescent="0.25">
      <c r="C201" s="16"/>
      <c r="D201" s="16"/>
      <c r="E201" s="64"/>
      <c r="F201" s="64"/>
      <c r="G201" s="16"/>
      <c r="H201" s="16"/>
      <c r="I201" s="16"/>
    </row>
    <row r="202" spans="3:9" ht="13.5" customHeight="1" x14ac:dyDescent="0.25">
      <c r="C202" s="35"/>
      <c r="D202" s="35"/>
      <c r="E202" s="65"/>
      <c r="F202" s="69"/>
      <c r="G202" s="35"/>
      <c r="H202" s="35"/>
      <c r="I202" s="35"/>
    </row>
    <row r="203" spans="3:9" ht="13.5" customHeight="1" x14ac:dyDescent="0.25">
      <c r="C203" s="16"/>
      <c r="D203" s="16"/>
      <c r="E203" s="64"/>
      <c r="F203" s="64"/>
      <c r="G203" s="16"/>
      <c r="H203" s="16"/>
      <c r="I203" s="16"/>
    </row>
    <row r="204" spans="3:9" ht="13.5" customHeight="1" x14ac:dyDescent="0.25">
      <c r="C204" s="35"/>
      <c r="D204" s="35"/>
      <c r="E204" s="65"/>
      <c r="F204" s="69"/>
      <c r="G204" s="35"/>
      <c r="H204" s="35"/>
      <c r="I204" s="35"/>
    </row>
    <row r="205" spans="3:9" ht="13.5" customHeight="1" x14ac:dyDescent="0.25">
      <c r="C205" s="16"/>
      <c r="D205" s="16"/>
      <c r="E205" s="64"/>
      <c r="F205" s="64"/>
      <c r="G205" s="16"/>
      <c r="H205" s="16"/>
      <c r="I205" s="16"/>
    </row>
    <row r="206" spans="3:9" ht="13.5" customHeight="1" x14ac:dyDescent="0.25">
      <c r="C206" s="35"/>
      <c r="D206" s="35"/>
      <c r="E206" s="65"/>
      <c r="F206" s="69"/>
      <c r="G206" s="35"/>
      <c r="H206" s="35"/>
      <c r="I206" s="35"/>
    </row>
    <row r="207" spans="3:9" ht="13.5" customHeight="1" x14ac:dyDescent="0.25">
      <c r="C207" s="16"/>
      <c r="D207" s="16"/>
      <c r="E207" s="64"/>
      <c r="F207" s="64"/>
      <c r="G207" s="16"/>
      <c r="H207" s="16"/>
      <c r="I207" s="16"/>
    </row>
    <row r="208" spans="3:9" ht="13.5" customHeight="1" x14ac:dyDescent="0.25">
      <c r="C208" s="35"/>
      <c r="D208" s="35"/>
      <c r="E208" s="65"/>
      <c r="F208" s="69"/>
      <c r="G208" s="35"/>
      <c r="H208" s="35"/>
      <c r="I208" s="35"/>
    </row>
    <row r="209" spans="3:9" ht="13.5" customHeight="1" x14ac:dyDescent="0.25">
      <c r="C209" s="16"/>
      <c r="D209" s="16"/>
      <c r="E209" s="64"/>
      <c r="F209" s="64"/>
      <c r="G209" s="16"/>
      <c r="H209" s="16"/>
      <c r="I209" s="16"/>
    </row>
    <row r="210" spans="3:9" ht="13.5" customHeight="1" x14ac:dyDescent="0.25">
      <c r="C210" s="35"/>
      <c r="D210" s="35"/>
      <c r="E210" s="65"/>
      <c r="F210" s="69"/>
      <c r="G210" s="35"/>
      <c r="H210" s="35"/>
      <c r="I210" s="35"/>
    </row>
    <row r="211" spans="3:9" ht="13.5" customHeight="1" x14ac:dyDescent="0.25">
      <c r="C211" s="16"/>
      <c r="D211" s="16"/>
      <c r="E211" s="64"/>
      <c r="F211" s="64"/>
      <c r="G211" s="16"/>
      <c r="H211" s="16"/>
      <c r="I211" s="16"/>
    </row>
    <row r="212" spans="3:9" ht="13.5" customHeight="1" x14ac:dyDescent="0.25">
      <c r="C212" s="35"/>
      <c r="D212" s="35"/>
      <c r="E212" s="65"/>
      <c r="F212" s="69"/>
      <c r="G212" s="35"/>
      <c r="H212" s="35"/>
      <c r="I212" s="35"/>
    </row>
    <row r="213" spans="3:9" ht="13.5" customHeight="1" x14ac:dyDescent="0.25">
      <c r="C213" s="16"/>
      <c r="D213" s="16"/>
      <c r="E213" s="64"/>
      <c r="F213" s="64"/>
      <c r="G213" s="16"/>
      <c r="H213" s="16"/>
      <c r="I213" s="16"/>
    </row>
    <row r="214" spans="3:9" ht="13.5" customHeight="1" x14ac:dyDescent="0.25">
      <c r="C214" s="35"/>
      <c r="D214" s="35"/>
      <c r="E214" s="65"/>
      <c r="F214" s="69"/>
      <c r="G214" s="35"/>
      <c r="H214" s="35"/>
      <c r="I214" s="35"/>
    </row>
    <row r="215" spans="3:9" ht="13.5" customHeight="1" x14ac:dyDescent="0.25">
      <c r="C215" s="16"/>
      <c r="D215" s="16"/>
      <c r="E215" s="64"/>
      <c r="F215" s="64"/>
      <c r="G215" s="16"/>
      <c r="H215" s="16"/>
      <c r="I215" s="16"/>
    </row>
    <row r="216" spans="3:9" ht="13.5" customHeight="1" x14ac:dyDescent="0.25">
      <c r="C216" s="35"/>
      <c r="D216" s="35"/>
      <c r="E216" s="65"/>
      <c r="F216" s="69"/>
      <c r="G216" s="35"/>
      <c r="H216" s="35"/>
      <c r="I216" s="35"/>
    </row>
    <row r="217" spans="3:9" ht="13.5" customHeight="1" x14ac:dyDescent="0.25">
      <c r="C217" s="16"/>
      <c r="D217" s="16"/>
      <c r="E217" s="64"/>
      <c r="F217" s="64"/>
      <c r="G217" s="16"/>
      <c r="H217" s="16"/>
      <c r="I217" s="16"/>
    </row>
    <row r="218" spans="3:9" ht="13.5" customHeight="1" x14ac:dyDescent="0.25">
      <c r="C218" s="35"/>
      <c r="D218" s="35"/>
      <c r="E218" s="65"/>
      <c r="F218" s="69"/>
      <c r="G218" s="35"/>
      <c r="H218" s="35"/>
      <c r="I218" s="35"/>
    </row>
    <row r="219" spans="3:9" ht="13.5" customHeight="1" x14ac:dyDescent="0.25">
      <c r="C219" s="16"/>
      <c r="D219" s="16"/>
      <c r="E219" s="64"/>
      <c r="F219" s="64"/>
      <c r="G219" s="16"/>
      <c r="H219" s="16"/>
      <c r="I219" s="16"/>
    </row>
    <row r="220" spans="3:9" ht="13.5" customHeight="1" x14ac:dyDescent="0.25">
      <c r="C220" s="35"/>
      <c r="D220" s="35"/>
      <c r="E220" s="65"/>
      <c r="F220" s="69"/>
      <c r="G220" s="35"/>
      <c r="H220" s="35"/>
      <c r="I220" s="35"/>
    </row>
    <row r="221" spans="3:9" ht="13.5" customHeight="1" x14ac:dyDescent="0.25">
      <c r="C221" s="16"/>
      <c r="D221" s="16"/>
      <c r="E221" s="64"/>
      <c r="F221" s="64"/>
      <c r="G221" s="16"/>
      <c r="H221" s="16"/>
      <c r="I221" s="16"/>
    </row>
    <row r="222" spans="3:9" ht="13.5" customHeight="1" x14ac:dyDescent="0.25">
      <c r="C222" s="35"/>
      <c r="D222" s="35"/>
      <c r="E222" s="65"/>
      <c r="F222" s="69"/>
      <c r="G222" s="35"/>
      <c r="H222" s="35"/>
      <c r="I222" s="35"/>
    </row>
    <row r="223" spans="3:9" ht="13.5" customHeight="1" x14ac:dyDescent="0.25">
      <c r="C223" s="16"/>
      <c r="D223" s="16"/>
      <c r="E223" s="64"/>
      <c r="F223" s="64"/>
      <c r="G223" s="16"/>
      <c r="H223" s="16"/>
      <c r="I223" s="16"/>
    </row>
    <row r="224" spans="3:9" ht="13.5" customHeight="1" x14ac:dyDescent="0.25">
      <c r="C224" s="35"/>
      <c r="D224" s="35"/>
      <c r="E224" s="65"/>
      <c r="F224" s="69"/>
      <c r="G224" s="35"/>
      <c r="H224" s="35"/>
      <c r="I224" s="35"/>
    </row>
    <row r="225" spans="3:9" ht="13.5" customHeight="1" x14ac:dyDescent="0.25">
      <c r="C225" s="16"/>
      <c r="D225" s="16"/>
      <c r="E225" s="64"/>
      <c r="F225" s="64"/>
      <c r="G225" s="16"/>
      <c r="H225" s="16"/>
      <c r="I225" s="16"/>
    </row>
    <row r="226" spans="3:9" ht="13.5" customHeight="1" x14ac:dyDescent="0.25">
      <c r="C226" s="35"/>
      <c r="D226" s="35"/>
      <c r="E226" s="65"/>
      <c r="F226" s="69"/>
      <c r="G226" s="35"/>
      <c r="H226" s="35"/>
      <c r="I226" s="35"/>
    </row>
    <row r="227" spans="3:9" ht="13.5" customHeight="1" x14ac:dyDescent="0.25">
      <c r="C227" s="16"/>
      <c r="D227" s="16"/>
      <c r="E227" s="64"/>
      <c r="F227" s="64"/>
      <c r="G227" s="16"/>
      <c r="H227" s="16"/>
      <c r="I227" s="16"/>
    </row>
    <row r="228" spans="3:9" ht="13.5" customHeight="1" x14ac:dyDescent="0.25">
      <c r="C228" s="35"/>
      <c r="D228" s="35"/>
      <c r="E228" s="65"/>
      <c r="F228" s="69"/>
      <c r="G228" s="35"/>
      <c r="H228" s="35"/>
      <c r="I228" s="35"/>
    </row>
    <row r="229" spans="3:9" ht="13.5" customHeight="1" x14ac:dyDescent="0.25">
      <c r="C229" s="16"/>
      <c r="D229" s="16"/>
      <c r="E229" s="64"/>
      <c r="F229" s="64"/>
      <c r="G229" s="16"/>
      <c r="H229" s="16"/>
      <c r="I229" s="16"/>
    </row>
    <row r="230" spans="3:9" ht="13.5" customHeight="1" x14ac:dyDescent="0.25">
      <c r="C230" s="35"/>
      <c r="D230" s="35"/>
      <c r="E230" s="65"/>
      <c r="F230" s="69"/>
      <c r="G230" s="35"/>
      <c r="H230" s="35"/>
      <c r="I230" s="35"/>
    </row>
    <row r="231" spans="3:9" ht="13.5" customHeight="1" x14ac:dyDescent="0.25">
      <c r="C231" s="16"/>
      <c r="D231" s="16"/>
      <c r="E231" s="64"/>
      <c r="F231" s="64"/>
      <c r="G231" s="16"/>
      <c r="H231" s="16"/>
      <c r="I231" s="16"/>
    </row>
    <row r="232" spans="3:9" ht="13.5" customHeight="1" x14ac:dyDescent="0.25">
      <c r="C232" s="35"/>
      <c r="D232" s="35"/>
      <c r="E232" s="65"/>
      <c r="F232" s="69"/>
      <c r="G232" s="35"/>
      <c r="H232" s="35"/>
      <c r="I232" s="35"/>
    </row>
    <row r="233" spans="3:9" ht="13.5" customHeight="1" x14ac:dyDescent="0.25">
      <c r="C233" s="16"/>
      <c r="D233" s="16"/>
      <c r="E233" s="64"/>
      <c r="F233" s="64"/>
      <c r="G233" s="16"/>
      <c r="H233" s="16"/>
      <c r="I233" s="16"/>
    </row>
    <row r="234" spans="3:9" ht="13.5" customHeight="1" x14ac:dyDescent="0.25">
      <c r="C234" s="35"/>
      <c r="D234" s="35"/>
      <c r="E234" s="65"/>
      <c r="F234" s="69"/>
      <c r="G234" s="35"/>
      <c r="H234" s="35"/>
      <c r="I234" s="35"/>
    </row>
    <row r="235" spans="3:9" ht="13.5" customHeight="1" x14ac:dyDescent="0.25">
      <c r="C235" s="16"/>
      <c r="D235" s="16"/>
      <c r="E235" s="64"/>
      <c r="F235" s="64"/>
      <c r="G235" s="16"/>
      <c r="H235" s="16"/>
      <c r="I235" s="16"/>
    </row>
    <row r="236" spans="3:9" ht="13.5" customHeight="1" x14ac:dyDescent="0.25">
      <c r="C236" s="35"/>
      <c r="D236" s="35"/>
      <c r="E236" s="65"/>
      <c r="F236" s="69"/>
      <c r="G236" s="35"/>
      <c r="H236" s="35"/>
      <c r="I236" s="35"/>
    </row>
    <row r="237" spans="3:9" ht="13.5" customHeight="1" x14ac:dyDescent="0.25">
      <c r="C237" s="16"/>
      <c r="D237" s="16"/>
      <c r="E237" s="64"/>
      <c r="F237" s="64"/>
      <c r="G237" s="16"/>
      <c r="H237" s="16"/>
      <c r="I237" s="16"/>
    </row>
    <row r="238" spans="3:9" ht="13.5" customHeight="1" x14ac:dyDescent="0.25">
      <c r="C238" s="35"/>
      <c r="D238" s="35"/>
      <c r="E238" s="65"/>
      <c r="F238" s="69"/>
      <c r="G238" s="35"/>
      <c r="H238" s="35"/>
      <c r="I238" s="35"/>
    </row>
    <row r="239" spans="3:9" ht="13.5" customHeight="1" x14ac:dyDescent="0.25">
      <c r="C239" s="16"/>
      <c r="D239" s="16"/>
      <c r="E239" s="64"/>
      <c r="F239" s="64"/>
      <c r="G239" s="16"/>
      <c r="H239" s="16"/>
      <c r="I239" s="16"/>
    </row>
    <row r="240" spans="3:9" ht="13.5" customHeight="1" x14ac:dyDescent="0.25">
      <c r="C240" s="35"/>
      <c r="D240" s="35"/>
      <c r="E240" s="65"/>
      <c r="F240" s="69"/>
      <c r="G240" s="35"/>
      <c r="H240" s="35"/>
      <c r="I240" s="35"/>
    </row>
    <row r="241" spans="3:9" ht="13.5" customHeight="1" x14ac:dyDescent="0.25">
      <c r="C241" s="16"/>
      <c r="D241" s="16"/>
      <c r="E241" s="64"/>
      <c r="F241" s="64"/>
      <c r="G241" s="16"/>
      <c r="H241" s="16"/>
      <c r="I241" s="16"/>
    </row>
    <row r="242" spans="3:9" ht="13.5" customHeight="1" x14ac:dyDescent="0.25">
      <c r="C242" s="35"/>
      <c r="D242" s="35"/>
      <c r="E242" s="65"/>
      <c r="F242" s="69"/>
      <c r="G242" s="35"/>
      <c r="H242" s="35"/>
      <c r="I242" s="35"/>
    </row>
    <row r="243" spans="3:9" ht="13.5" customHeight="1" x14ac:dyDescent="0.25">
      <c r="C243" s="16"/>
      <c r="D243" s="16"/>
      <c r="E243" s="64"/>
      <c r="F243" s="64"/>
      <c r="G243" s="16"/>
      <c r="H243" s="16"/>
      <c r="I243" s="16"/>
    </row>
    <row r="244" spans="3:9" ht="13.5" customHeight="1" x14ac:dyDescent="0.25">
      <c r="C244" s="35"/>
      <c r="D244" s="35"/>
      <c r="E244" s="65"/>
      <c r="F244" s="69"/>
      <c r="G244" s="35"/>
      <c r="H244" s="35"/>
      <c r="I244" s="35"/>
    </row>
    <row r="245" spans="3:9" ht="13.5" customHeight="1" x14ac:dyDescent="0.25">
      <c r="C245" s="16"/>
      <c r="D245" s="16"/>
      <c r="E245" s="64"/>
      <c r="F245" s="64"/>
      <c r="G245" s="16"/>
      <c r="H245" s="16"/>
      <c r="I245" s="16"/>
    </row>
    <row r="246" spans="3:9" ht="13.5" customHeight="1" x14ac:dyDescent="0.25">
      <c r="C246" s="35"/>
      <c r="D246" s="35"/>
      <c r="E246" s="65"/>
      <c r="F246" s="69"/>
      <c r="G246" s="35"/>
      <c r="H246" s="35"/>
      <c r="I246" s="35"/>
    </row>
    <row r="247" spans="3:9" ht="13.5" customHeight="1" x14ac:dyDescent="0.25">
      <c r="C247" s="16"/>
      <c r="D247" s="16"/>
      <c r="E247" s="64"/>
      <c r="F247" s="64"/>
      <c r="G247" s="16"/>
      <c r="H247" s="16"/>
      <c r="I247" s="16"/>
    </row>
    <row r="248" spans="3:9" ht="13.5" customHeight="1" x14ac:dyDescent="0.25">
      <c r="C248" s="35"/>
      <c r="D248" s="35"/>
      <c r="E248" s="65"/>
      <c r="F248" s="69"/>
      <c r="G248" s="35"/>
      <c r="H248" s="35"/>
      <c r="I248" s="35"/>
    </row>
    <row r="249" spans="3:9" ht="13.5" customHeight="1" x14ac:dyDescent="0.25">
      <c r="C249" s="16"/>
      <c r="D249" s="16"/>
      <c r="E249" s="64"/>
      <c r="F249" s="64"/>
      <c r="G249" s="16"/>
      <c r="H249" s="16"/>
      <c r="I249" s="16"/>
    </row>
    <row r="250" spans="3:9" ht="13.5" customHeight="1" x14ac:dyDescent="0.25">
      <c r="C250" s="35"/>
      <c r="D250" s="35"/>
      <c r="E250" s="65"/>
      <c r="F250" s="69"/>
      <c r="G250" s="35"/>
      <c r="H250" s="35"/>
      <c r="I250" s="35"/>
    </row>
    <row r="251" spans="3:9" ht="13.5" customHeight="1" x14ac:dyDescent="0.25">
      <c r="C251" s="16"/>
      <c r="D251" s="16"/>
      <c r="E251" s="64"/>
      <c r="F251" s="64"/>
      <c r="G251" s="16"/>
      <c r="H251" s="16"/>
      <c r="I251" s="16"/>
    </row>
    <row r="252" spans="3:9" ht="13.5" customHeight="1" x14ac:dyDescent="0.25">
      <c r="C252" s="35"/>
      <c r="D252" s="35"/>
      <c r="E252" s="65"/>
      <c r="F252" s="69"/>
      <c r="G252" s="35"/>
      <c r="H252" s="35"/>
      <c r="I252" s="35"/>
    </row>
    <row r="253" spans="3:9" ht="13.5" customHeight="1" x14ac:dyDescent="0.25">
      <c r="C253" s="16"/>
      <c r="D253" s="16"/>
      <c r="E253" s="64"/>
      <c r="F253" s="64"/>
      <c r="G253" s="16"/>
      <c r="H253" s="16"/>
      <c r="I253" s="16"/>
    </row>
    <row r="254" spans="3:9" ht="13.5" customHeight="1" x14ac:dyDescent="0.25">
      <c r="C254" s="35"/>
      <c r="D254" s="35"/>
      <c r="E254" s="65"/>
      <c r="F254" s="69"/>
      <c r="G254" s="35"/>
      <c r="H254" s="35"/>
      <c r="I254" s="35"/>
    </row>
    <row r="255" spans="3:9" ht="13.5" customHeight="1" x14ac:dyDescent="0.25">
      <c r="C255" s="16"/>
      <c r="D255" s="16"/>
      <c r="E255" s="64"/>
      <c r="F255" s="64"/>
      <c r="G255" s="16"/>
      <c r="H255" s="16"/>
      <c r="I255" s="16"/>
    </row>
    <row r="256" spans="3:9" ht="13.5" customHeight="1" x14ac:dyDescent="0.25">
      <c r="C256" s="35"/>
      <c r="D256" s="35"/>
      <c r="E256" s="65"/>
      <c r="F256" s="69"/>
      <c r="G256" s="35"/>
      <c r="H256" s="35"/>
      <c r="I256" s="35"/>
    </row>
    <row r="257" spans="3:9" ht="13.5" customHeight="1" x14ac:dyDescent="0.25">
      <c r="C257" s="16"/>
      <c r="D257" s="16"/>
      <c r="E257" s="64"/>
      <c r="F257" s="64"/>
      <c r="G257" s="16"/>
      <c r="H257" s="16"/>
      <c r="I257" s="16"/>
    </row>
    <row r="258" spans="3:9" ht="13.5" customHeight="1" x14ac:dyDescent="0.25">
      <c r="C258" s="35"/>
      <c r="D258" s="35"/>
      <c r="E258" s="65"/>
      <c r="F258" s="69"/>
      <c r="G258" s="35"/>
      <c r="H258" s="35"/>
      <c r="I258" s="35"/>
    </row>
    <row r="259" spans="3:9" ht="13.5" customHeight="1" x14ac:dyDescent="0.25">
      <c r="C259" s="16"/>
      <c r="D259" s="16"/>
      <c r="E259" s="64"/>
      <c r="F259" s="64"/>
      <c r="G259" s="16"/>
      <c r="H259" s="16"/>
      <c r="I259" s="16"/>
    </row>
    <row r="260" spans="3:9" ht="13.5" customHeight="1" x14ac:dyDescent="0.25">
      <c r="C260" s="35"/>
      <c r="D260" s="35"/>
      <c r="E260" s="65"/>
      <c r="F260" s="69"/>
      <c r="G260" s="35"/>
      <c r="H260" s="35"/>
      <c r="I260" s="35"/>
    </row>
    <row r="261" spans="3:9" ht="13.5" customHeight="1" x14ac:dyDescent="0.25">
      <c r="C261" s="16"/>
      <c r="D261" s="16"/>
      <c r="E261" s="64"/>
      <c r="F261" s="64"/>
      <c r="G261" s="16"/>
      <c r="H261" s="16"/>
      <c r="I261" s="16"/>
    </row>
    <row r="262" spans="3:9" ht="13.5" customHeight="1" x14ac:dyDescent="0.25">
      <c r="C262" s="35"/>
      <c r="D262" s="35"/>
      <c r="E262" s="65"/>
      <c r="F262" s="69"/>
      <c r="G262" s="35"/>
      <c r="H262" s="35"/>
      <c r="I262" s="35"/>
    </row>
    <row r="263" spans="3:9" ht="13.5" customHeight="1" x14ac:dyDescent="0.25">
      <c r="C263" s="16"/>
      <c r="D263" s="16"/>
      <c r="E263" s="64"/>
      <c r="F263" s="64"/>
      <c r="G263" s="16"/>
      <c r="H263" s="16"/>
      <c r="I263" s="16"/>
    </row>
    <row r="264" spans="3:9" ht="13.5" customHeight="1" x14ac:dyDescent="0.25">
      <c r="C264" s="35"/>
      <c r="D264" s="35"/>
      <c r="E264" s="65"/>
      <c r="F264" s="69"/>
      <c r="G264" s="35"/>
      <c r="H264" s="35"/>
      <c r="I264" s="35"/>
    </row>
    <row r="265" spans="3:9" ht="13.5" customHeight="1" x14ac:dyDescent="0.25">
      <c r="C265" s="16"/>
      <c r="D265" s="16"/>
      <c r="E265" s="64"/>
      <c r="F265" s="64"/>
      <c r="G265" s="16"/>
      <c r="H265" s="16"/>
      <c r="I265" s="16"/>
    </row>
    <row r="266" spans="3:9" ht="13.5" customHeight="1" x14ac:dyDescent="0.25">
      <c r="C266" s="35"/>
      <c r="D266" s="35"/>
      <c r="E266" s="65"/>
      <c r="F266" s="69"/>
      <c r="G266" s="35"/>
      <c r="H266" s="35"/>
      <c r="I266" s="35"/>
    </row>
    <row r="267" spans="3:9" ht="13.5" customHeight="1" x14ac:dyDescent="0.25">
      <c r="C267" s="16"/>
      <c r="D267" s="16"/>
      <c r="E267" s="64"/>
      <c r="F267" s="64"/>
      <c r="G267" s="16"/>
      <c r="H267" s="16"/>
      <c r="I267" s="16"/>
    </row>
    <row r="268" spans="3:9" ht="13.5" customHeight="1" x14ac:dyDescent="0.25">
      <c r="C268" s="35"/>
      <c r="D268" s="35"/>
      <c r="E268" s="65"/>
      <c r="F268" s="69"/>
      <c r="G268" s="35"/>
      <c r="H268" s="35"/>
      <c r="I268" s="35"/>
    </row>
    <row r="269" spans="3:9" ht="13.5" customHeight="1" x14ac:dyDescent="0.25">
      <c r="C269" s="16"/>
      <c r="D269" s="16"/>
      <c r="E269" s="64"/>
      <c r="F269" s="64"/>
      <c r="G269" s="16"/>
      <c r="H269" s="16"/>
      <c r="I269" s="16"/>
    </row>
    <row r="270" spans="3:9" ht="13.5" customHeight="1" x14ac:dyDescent="0.25">
      <c r="C270" s="35"/>
      <c r="D270" s="35"/>
      <c r="E270" s="65"/>
      <c r="F270" s="69"/>
      <c r="G270" s="35"/>
      <c r="H270" s="35"/>
      <c r="I270" s="35"/>
    </row>
    <row r="271" spans="3:9" ht="13.5" customHeight="1" x14ac:dyDescent="0.25">
      <c r="C271" s="16"/>
      <c r="D271" s="16"/>
      <c r="E271" s="64"/>
      <c r="F271" s="64"/>
      <c r="G271" s="16"/>
      <c r="H271" s="16"/>
      <c r="I271" s="16"/>
    </row>
    <row r="272" spans="3:9" ht="13.5" customHeight="1" x14ac:dyDescent="0.25">
      <c r="C272" s="35"/>
      <c r="D272" s="35"/>
      <c r="E272" s="65"/>
      <c r="F272" s="69"/>
      <c r="G272" s="35"/>
      <c r="H272" s="35"/>
      <c r="I272" s="35"/>
    </row>
    <row r="273" spans="3:9" ht="13.5" customHeight="1" x14ac:dyDescent="0.25">
      <c r="C273" s="16"/>
      <c r="D273" s="16"/>
      <c r="E273" s="64"/>
      <c r="F273" s="64"/>
      <c r="G273" s="16"/>
      <c r="H273" s="16"/>
      <c r="I273" s="16"/>
    </row>
    <row r="274" spans="3:9" ht="13.5" customHeight="1" x14ac:dyDescent="0.25">
      <c r="C274" s="35"/>
      <c r="D274" s="35"/>
      <c r="E274" s="65"/>
      <c r="F274" s="69"/>
      <c r="G274" s="35"/>
      <c r="H274" s="35"/>
      <c r="I274" s="35"/>
    </row>
    <row r="275" spans="3:9" ht="13.5" customHeight="1" x14ac:dyDescent="0.25">
      <c r="C275" s="16"/>
      <c r="D275" s="16"/>
      <c r="E275" s="64"/>
      <c r="F275" s="64"/>
      <c r="G275" s="16"/>
      <c r="H275" s="16"/>
      <c r="I275" s="16"/>
    </row>
    <row r="276" spans="3:9" ht="13.5" customHeight="1" x14ac:dyDescent="0.25">
      <c r="C276" s="35"/>
      <c r="D276" s="35"/>
      <c r="E276" s="65"/>
      <c r="F276" s="69"/>
      <c r="G276" s="35"/>
      <c r="H276" s="35"/>
      <c r="I276" s="35"/>
    </row>
    <row r="277" spans="3:9" ht="13.5" customHeight="1" x14ac:dyDescent="0.25">
      <c r="C277" s="16"/>
      <c r="D277" s="16"/>
      <c r="E277" s="64"/>
      <c r="F277" s="64"/>
      <c r="G277" s="16"/>
      <c r="H277" s="16"/>
      <c r="I277" s="16"/>
    </row>
    <row r="278" spans="3:9" ht="13.5" customHeight="1" x14ac:dyDescent="0.25">
      <c r="C278" s="35"/>
      <c r="D278" s="35"/>
      <c r="E278" s="65"/>
      <c r="F278" s="69"/>
      <c r="G278" s="35"/>
      <c r="H278" s="35"/>
      <c r="I278" s="35"/>
    </row>
    <row r="279" spans="3:9" ht="13.5" customHeight="1" x14ac:dyDescent="0.25">
      <c r="C279" s="16"/>
      <c r="D279" s="16"/>
      <c r="E279" s="64"/>
      <c r="F279" s="64"/>
      <c r="G279" s="16"/>
      <c r="H279" s="16"/>
      <c r="I279" s="16"/>
    </row>
    <row r="280" spans="3:9" ht="13.5" customHeight="1" x14ac:dyDescent="0.25">
      <c r="C280" s="35"/>
      <c r="D280" s="35"/>
      <c r="E280" s="65"/>
      <c r="F280" s="69"/>
      <c r="G280" s="35"/>
      <c r="H280" s="35"/>
      <c r="I280" s="35"/>
    </row>
    <row r="281" spans="3:9" ht="13.5" customHeight="1" x14ac:dyDescent="0.25">
      <c r="C281" s="16"/>
      <c r="D281" s="16"/>
      <c r="E281" s="64"/>
      <c r="F281" s="64"/>
      <c r="G281" s="16"/>
      <c r="H281" s="16"/>
      <c r="I281" s="16"/>
    </row>
    <row r="282" spans="3:9" ht="13.5" customHeight="1" x14ac:dyDescent="0.25">
      <c r="C282" s="35"/>
      <c r="D282" s="35"/>
      <c r="E282" s="65"/>
      <c r="F282" s="69"/>
      <c r="G282" s="35"/>
      <c r="H282" s="35"/>
      <c r="I282" s="35"/>
    </row>
    <row r="283" spans="3:9" ht="13.5" customHeight="1" x14ac:dyDescent="0.25">
      <c r="C283" s="16"/>
      <c r="D283" s="16"/>
      <c r="E283" s="64"/>
      <c r="F283" s="64"/>
      <c r="G283" s="16"/>
      <c r="H283" s="16"/>
      <c r="I283" s="16"/>
    </row>
    <row r="284" spans="3:9" ht="13.5" customHeight="1" x14ac:dyDescent="0.25">
      <c r="C284" s="35"/>
      <c r="D284" s="35"/>
      <c r="E284" s="65"/>
      <c r="F284" s="69"/>
      <c r="G284" s="35"/>
      <c r="H284" s="35"/>
      <c r="I284" s="35"/>
    </row>
    <row r="285" spans="3:9" ht="13.5" customHeight="1" x14ac:dyDescent="0.25">
      <c r="C285" s="16"/>
      <c r="D285" s="16"/>
      <c r="E285" s="64"/>
      <c r="F285" s="64"/>
      <c r="G285" s="16"/>
      <c r="H285" s="16"/>
      <c r="I285" s="16"/>
    </row>
    <row r="286" spans="3:9" ht="13.5" customHeight="1" x14ac:dyDescent="0.25">
      <c r="C286" s="35"/>
      <c r="D286" s="35"/>
      <c r="E286" s="65"/>
      <c r="F286" s="69"/>
      <c r="G286" s="35"/>
      <c r="H286" s="35"/>
      <c r="I286" s="35"/>
    </row>
    <row r="287" spans="3:9" ht="13.5" customHeight="1" x14ac:dyDescent="0.25">
      <c r="C287" s="16"/>
      <c r="D287" s="16"/>
      <c r="E287" s="64"/>
      <c r="F287" s="64"/>
      <c r="G287" s="16"/>
      <c r="H287" s="16"/>
      <c r="I287" s="16"/>
    </row>
    <row r="288" spans="3:9" ht="13.5" customHeight="1" x14ac:dyDescent="0.25">
      <c r="C288" s="35"/>
      <c r="D288" s="35"/>
      <c r="E288" s="65"/>
      <c r="F288" s="69"/>
      <c r="G288" s="35"/>
      <c r="H288" s="35"/>
      <c r="I288" s="35"/>
    </row>
    <row r="289" spans="3:9" ht="13.5" customHeight="1" x14ac:dyDescent="0.25">
      <c r="C289" s="16"/>
      <c r="D289" s="16"/>
      <c r="E289" s="64"/>
      <c r="F289" s="64"/>
      <c r="G289" s="16"/>
      <c r="H289" s="16"/>
      <c r="I289" s="16"/>
    </row>
    <row r="290" spans="3:9" ht="13.5" customHeight="1" x14ac:dyDescent="0.25">
      <c r="C290" s="35"/>
      <c r="D290" s="35"/>
      <c r="E290" s="65"/>
      <c r="F290" s="69"/>
      <c r="G290" s="35"/>
      <c r="H290" s="35"/>
      <c r="I290" s="35"/>
    </row>
    <row r="291" spans="3:9" ht="13.5" customHeight="1" x14ac:dyDescent="0.25">
      <c r="C291" s="16"/>
      <c r="D291" s="16"/>
      <c r="E291" s="64"/>
      <c r="F291" s="64"/>
      <c r="G291" s="16"/>
      <c r="H291" s="16"/>
      <c r="I291" s="16"/>
    </row>
    <row r="292" spans="3:9" ht="13.5" customHeight="1" x14ac:dyDescent="0.25">
      <c r="C292" s="35"/>
      <c r="D292" s="35"/>
      <c r="E292" s="65"/>
      <c r="F292" s="69"/>
      <c r="G292" s="35"/>
      <c r="H292" s="35"/>
      <c r="I292" s="35"/>
    </row>
    <row r="293" spans="3:9" ht="13.5" customHeight="1" x14ac:dyDescent="0.25">
      <c r="C293" s="16"/>
      <c r="D293" s="16"/>
      <c r="E293" s="64"/>
      <c r="F293" s="64"/>
      <c r="G293" s="16"/>
      <c r="H293" s="16"/>
      <c r="I293" s="16"/>
    </row>
    <row r="294" spans="3:9" ht="13.5" customHeight="1" x14ac:dyDescent="0.25">
      <c r="C294" s="35"/>
      <c r="D294" s="35"/>
      <c r="E294" s="65"/>
      <c r="F294" s="69"/>
      <c r="G294" s="35"/>
      <c r="H294" s="35"/>
      <c r="I294" s="35"/>
    </row>
    <row r="295" spans="3:9" ht="13.5" customHeight="1" x14ac:dyDescent="0.25">
      <c r="C295" s="16"/>
      <c r="D295" s="16"/>
      <c r="E295" s="64"/>
      <c r="F295" s="64"/>
      <c r="G295" s="16"/>
      <c r="H295" s="16"/>
      <c r="I295" s="16"/>
    </row>
    <row r="296" spans="3:9" ht="13.5" customHeight="1" x14ac:dyDescent="0.25">
      <c r="C296" s="35"/>
      <c r="D296" s="35"/>
      <c r="E296" s="65"/>
      <c r="F296" s="69"/>
      <c r="G296" s="35"/>
      <c r="H296" s="35"/>
      <c r="I296" s="35"/>
    </row>
    <row r="297" spans="3:9" ht="13.5" customHeight="1" x14ac:dyDescent="0.25">
      <c r="C297" s="16"/>
      <c r="D297" s="16"/>
      <c r="E297" s="64"/>
      <c r="F297" s="64"/>
      <c r="G297" s="16"/>
      <c r="H297" s="16"/>
      <c r="I297" s="16"/>
    </row>
    <row r="298" spans="3:9" ht="13.5" customHeight="1" x14ac:dyDescent="0.25">
      <c r="C298" s="35"/>
      <c r="D298" s="35"/>
      <c r="E298" s="65"/>
      <c r="F298" s="69"/>
      <c r="G298" s="35"/>
      <c r="H298" s="35"/>
      <c r="I298" s="35"/>
    </row>
    <row r="299" spans="3:9" ht="13.5" customHeight="1" x14ac:dyDescent="0.25">
      <c r="C299" s="16"/>
      <c r="D299" s="16"/>
      <c r="E299" s="64"/>
      <c r="F299" s="64"/>
      <c r="G299" s="16"/>
      <c r="H299" s="16"/>
      <c r="I299" s="16"/>
    </row>
    <row r="300" spans="3:9" ht="13.5" customHeight="1" x14ac:dyDescent="0.25">
      <c r="C300" s="35"/>
      <c r="D300" s="35"/>
      <c r="E300" s="65"/>
      <c r="F300" s="69"/>
      <c r="G300" s="35"/>
      <c r="H300" s="35"/>
      <c r="I300" s="35"/>
    </row>
    <row r="301" spans="3:9" ht="13.5" customHeight="1" x14ac:dyDescent="0.25">
      <c r="C301" s="16"/>
      <c r="D301" s="16"/>
      <c r="E301" s="64"/>
      <c r="F301" s="64"/>
      <c r="G301" s="16"/>
      <c r="H301" s="16"/>
      <c r="I301" s="16"/>
    </row>
    <row r="302" spans="3:9" ht="13.5" customHeight="1" x14ac:dyDescent="0.25">
      <c r="C302" s="35"/>
      <c r="D302" s="35"/>
      <c r="E302" s="65"/>
      <c r="F302" s="69"/>
      <c r="G302" s="35"/>
      <c r="H302" s="35"/>
      <c r="I302" s="35"/>
    </row>
    <row r="303" spans="3:9" ht="13.5" customHeight="1" x14ac:dyDescent="0.25">
      <c r="C303" s="16"/>
      <c r="D303" s="16"/>
      <c r="E303" s="64"/>
      <c r="F303" s="64"/>
      <c r="G303" s="16"/>
      <c r="H303" s="16"/>
      <c r="I303" s="16"/>
    </row>
    <row r="304" spans="3:9" ht="13.5" customHeight="1" x14ac:dyDescent="0.25">
      <c r="C304" s="35"/>
      <c r="D304" s="35"/>
      <c r="E304" s="65"/>
      <c r="F304" s="69"/>
      <c r="G304" s="35"/>
      <c r="H304" s="35"/>
      <c r="I304" s="35"/>
    </row>
    <row r="305" spans="3:9" ht="13.5" customHeight="1" x14ac:dyDescent="0.25">
      <c r="C305" s="16"/>
      <c r="D305" s="16"/>
      <c r="E305" s="64"/>
      <c r="F305" s="64"/>
      <c r="G305" s="16"/>
      <c r="H305" s="16"/>
      <c r="I305" s="16"/>
    </row>
    <row r="306" spans="3:9" ht="13.5" customHeight="1" x14ac:dyDescent="0.25">
      <c r="C306" s="35"/>
      <c r="D306" s="35"/>
      <c r="E306" s="65"/>
      <c r="F306" s="69"/>
      <c r="G306" s="35"/>
      <c r="H306" s="35"/>
      <c r="I306" s="35"/>
    </row>
    <row r="307" spans="3:9" ht="13.5" customHeight="1" x14ac:dyDescent="0.25">
      <c r="C307" s="16"/>
      <c r="D307" s="16"/>
      <c r="E307" s="64"/>
      <c r="F307" s="64"/>
      <c r="G307" s="16"/>
      <c r="H307" s="16"/>
      <c r="I307" s="16"/>
    </row>
    <row r="308" spans="3:9" ht="13.5" customHeight="1" x14ac:dyDescent="0.25">
      <c r="C308" s="35"/>
      <c r="D308" s="35"/>
      <c r="E308" s="65"/>
      <c r="F308" s="69"/>
      <c r="G308" s="35"/>
      <c r="H308" s="35"/>
      <c r="I308" s="35"/>
    </row>
    <row r="309" spans="3:9" ht="13.5" customHeight="1" x14ac:dyDescent="0.25">
      <c r="C309" s="16"/>
      <c r="D309" s="16"/>
      <c r="E309" s="64"/>
      <c r="F309" s="64"/>
      <c r="G309" s="16"/>
      <c r="H309" s="16"/>
      <c r="I309" s="16"/>
    </row>
    <row r="310" spans="3:9" ht="13.5" customHeight="1" x14ac:dyDescent="0.25">
      <c r="C310" s="35"/>
      <c r="D310" s="35"/>
      <c r="E310" s="65"/>
      <c r="F310" s="69"/>
      <c r="G310" s="35"/>
      <c r="H310" s="35"/>
      <c r="I310" s="35"/>
    </row>
    <row r="311" spans="3:9" ht="13.5" customHeight="1" x14ac:dyDescent="0.25">
      <c r="C311" s="16"/>
      <c r="D311" s="16"/>
      <c r="E311" s="64"/>
      <c r="F311" s="64"/>
      <c r="G311" s="16"/>
      <c r="H311" s="16"/>
      <c r="I311" s="16"/>
    </row>
    <row r="312" spans="3:9" ht="13.5" customHeight="1" x14ac:dyDescent="0.25">
      <c r="C312" s="35"/>
      <c r="D312" s="35"/>
      <c r="E312" s="65"/>
      <c r="F312" s="69"/>
      <c r="G312" s="35"/>
      <c r="H312" s="35"/>
      <c r="I312" s="35"/>
    </row>
    <row r="313" spans="3:9" ht="13.5" customHeight="1" x14ac:dyDescent="0.25">
      <c r="C313" s="16"/>
      <c r="D313" s="16"/>
      <c r="E313" s="64"/>
      <c r="F313" s="64"/>
      <c r="G313" s="16"/>
      <c r="H313" s="16"/>
      <c r="I313" s="16"/>
    </row>
    <row r="314" spans="3:9" ht="13.5" customHeight="1" x14ac:dyDescent="0.25">
      <c r="C314" s="35"/>
      <c r="D314" s="35"/>
      <c r="E314" s="65"/>
      <c r="F314" s="69"/>
      <c r="G314" s="35"/>
      <c r="H314" s="35"/>
      <c r="I314" s="35"/>
    </row>
    <row r="315" spans="3:9" ht="13.5" customHeight="1" x14ac:dyDescent="0.25">
      <c r="C315" s="16"/>
      <c r="D315" s="16"/>
      <c r="E315" s="64"/>
      <c r="F315" s="64"/>
      <c r="G315" s="16"/>
      <c r="H315" s="16"/>
      <c r="I315" s="16"/>
    </row>
    <row r="316" spans="3:9" ht="13.5" customHeight="1" x14ac:dyDescent="0.25">
      <c r="C316" s="35"/>
      <c r="D316" s="35"/>
      <c r="E316" s="65"/>
      <c r="F316" s="69"/>
      <c r="G316" s="35"/>
      <c r="H316" s="35"/>
      <c r="I316" s="35"/>
    </row>
    <row r="317" spans="3:9" ht="13.5" customHeight="1" x14ac:dyDescent="0.25">
      <c r="C317" s="16"/>
      <c r="D317" s="16"/>
      <c r="E317" s="64"/>
      <c r="F317" s="64"/>
      <c r="G317" s="16"/>
      <c r="H317" s="16"/>
      <c r="I317" s="16"/>
    </row>
    <row r="318" spans="3:9" ht="13.5" customHeight="1" x14ac:dyDescent="0.25">
      <c r="C318" s="35"/>
      <c r="D318" s="35"/>
      <c r="E318" s="65"/>
      <c r="F318" s="69"/>
      <c r="G318" s="35"/>
      <c r="H318" s="35"/>
      <c r="I318" s="35"/>
    </row>
    <row r="319" spans="3:9" ht="13.5" customHeight="1" x14ac:dyDescent="0.25">
      <c r="C319" s="16"/>
      <c r="D319" s="16"/>
      <c r="E319" s="64"/>
      <c r="F319" s="64"/>
      <c r="G319" s="16"/>
      <c r="H319" s="16"/>
      <c r="I319" s="16"/>
    </row>
    <row r="320" spans="3:9" ht="13.5" customHeight="1" x14ac:dyDescent="0.25">
      <c r="C320" s="35"/>
      <c r="D320" s="35"/>
      <c r="E320" s="65"/>
      <c r="F320" s="69"/>
      <c r="G320" s="35"/>
      <c r="H320" s="35"/>
      <c r="I320" s="35"/>
    </row>
    <row r="321" spans="3:9" ht="13.5" customHeight="1" x14ac:dyDescent="0.25">
      <c r="C321" s="16"/>
      <c r="D321" s="16"/>
      <c r="E321" s="64"/>
      <c r="F321" s="64"/>
      <c r="G321" s="16"/>
      <c r="H321" s="16"/>
      <c r="I321" s="16"/>
    </row>
    <row r="322" spans="3:9" ht="13.5" customHeight="1" x14ac:dyDescent="0.25">
      <c r="C322" s="35"/>
      <c r="D322" s="35"/>
      <c r="E322" s="65"/>
      <c r="F322" s="69"/>
      <c r="G322" s="35"/>
      <c r="H322" s="35"/>
      <c r="I322" s="35"/>
    </row>
    <row r="323" spans="3:9" ht="13.5" customHeight="1" x14ac:dyDescent="0.25">
      <c r="C323" s="16"/>
      <c r="D323" s="16"/>
      <c r="E323" s="64"/>
      <c r="F323" s="64"/>
      <c r="G323" s="16"/>
      <c r="H323" s="16"/>
      <c r="I323" s="16"/>
    </row>
    <row r="324" spans="3:9" ht="13.5" customHeight="1" x14ac:dyDescent="0.25">
      <c r="C324" s="35"/>
      <c r="D324" s="35"/>
      <c r="E324" s="65"/>
      <c r="F324" s="69"/>
      <c r="G324" s="35"/>
      <c r="H324" s="35"/>
      <c r="I324" s="35"/>
    </row>
    <row r="325" spans="3:9" ht="13.5" customHeight="1" x14ac:dyDescent="0.25">
      <c r="C325" s="16"/>
      <c r="D325" s="16"/>
      <c r="E325" s="64"/>
      <c r="F325" s="64"/>
      <c r="G325" s="16"/>
      <c r="H325" s="16"/>
      <c r="I325" s="16"/>
    </row>
    <row r="326" spans="3:9" ht="13.5" customHeight="1" x14ac:dyDescent="0.25">
      <c r="C326" s="35"/>
      <c r="D326" s="35"/>
      <c r="E326" s="65"/>
      <c r="F326" s="69"/>
      <c r="G326" s="35"/>
      <c r="H326" s="35"/>
      <c r="I326" s="35"/>
    </row>
    <row r="327" spans="3:9" ht="13.5" customHeight="1" x14ac:dyDescent="0.25">
      <c r="C327" s="16"/>
      <c r="D327" s="16"/>
      <c r="E327" s="64"/>
      <c r="F327" s="64"/>
      <c r="G327" s="16"/>
      <c r="H327" s="16"/>
      <c r="I327" s="16"/>
    </row>
    <row r="328" spans="3:9" ht="13.5" customHeight="1" x14ac:dyDescent="0.25">
      <c r="C328" s="35"/>
      <c r="D328" s="35"/>
      <c r="E328" s="65"/>
      <c r="F328" s="69"/>
      <c r="G328" s="35"/>
      <c r="H328" s="35"/>
      <c r="I328" s="35"/>
    </row>
    <row r="329" spans="3:9" ht="13.5" customHeight="1" x14ac:dyDescent="0.25">
      <c r="C329" s="16"/>
      <c r="D329" s="16"/>
      <c r="E329" s="64"/>
      <c r="F329" s="64"/>
      <c r="G329" s="16"/>
      <c r="H329" s="16"/>
      <c r="I329" s="16"/>
    </row>
    <row r="330" spans="3:9" ht="13.5" customHeight="1" x14ac:dyDescent="0.25">
      <c r="C330" s="35"/>
      <c r="D330" s="35"/>
      <c r="E330" s="65"/>
      <c r="F330" s="69"/>
      <c r="G330" s="35"/>
      <c r="H330" s="35"/>
      <c r="I330" s="35"/>
    </row>
    <row r="331" spans="3:9" ht="13.5" customHeight="1" x14ac:dyDescent="0.25">
      <c r="C331" s="16"/>
      <c r="D331" s="16"/>
      <c r="E331" s="64"/>
      <c r="F331" s="64"/>
      <c r="G331" s="16"/>
      <c r="H331" s="16"/>
      <c r="I331" s="16"/>
    </row>
    <row r="332" spans="3:9" ht="13.5" customHeight="1" x14ac:dyDescent="0.25">
      <c r="C332" s="35"/>
      <c r="D332" s="35"/>
      <c r="E332" s="65"/>
      <c r="F332" s="69"/>
      <c r="G332" s="35"/>
      <c r="H332" s="35"/>
      <c r="I332" s="35"/>
    </row>
    <row r="333" spans="3:9" ht="13.5" customHeight="1" x14ac:dyDescent="0.25">
      <c r="C333" s="16"/>
      <c r="D333" s="16"/>
      <c r="E333" s="64"/>
      <c r="F333" s="64"/>
      <c r="G333" s="16"/>
      <c r="H333" s="16"/>
      <c r="I333" s="16"/>
    </row>
    <row r="334" spans="3:9" ht="13.5" customHeight="1" x14ac:dyDescent="0.25">
      <c r="C334" s="35"/>
      <c r="D334" s="35"/>
      <c r="E334" s="65"/>
      <c r="F334" s="69"/>
      <c r="G334" s="35"/>
      <c r="H334" s="35"/>
      <c r="I334" s="35"/>
    </row>
    <row r="335" spans="3:9" ht="13.5" customHeight="1" x14ac:dyDescent="0.25">
      <c r="C335" s="16"/>
      <c r="D335" s="16"/>
      <c r="E335" s="64"/>
      <c r="F335" s="64"/>
      <c r="G335" s="16"/>
      <c r="H335" s="16"/>
      <c r="I335" s="16"/>
    </row>
    <row r="336" spans="3:9" ht="13.5" customHeight="1" x14ac:dyDescent="0.25">
      <c r="C336" s="35"/>
      <c r="D336" s="35"/>
      <c r="E336" s="65"/>
      <c r="F336" s="69"/>
      <c r="G336" s="35"/>
      <c r="H336" s="35"/>
      <c r="I336" s="35"/>
    </row>
  </sheetData>
  <sortState xmlns:xlrd2="http://schemas.microsoft.com/office/spreadsheetml/2017/richdata2" ref="C15:I19">
    <sortCondition ref="C15"/>
  </sortState>
  <mergeCells count="11">
    <mergeCell ref="D9:E9"/>
    <mergeCell ref="H9:I9"/>
    <mergeCell ref="D10:E10"/>
    <mergeCell ref="H10:I10"/>
    <mergeCell ref="C13:I13"/>
    <mergeCell ref="D6:E6"/>
    <mergeCell ref="H6:I6"/>
    <mergeCell ref="D7:E7"/>
    <mergeCell ref="H7:I7"/>
    <mergeCell ref="D8:E8"/>
    <mergeCell ref="H8:I8"/>
  </mergeCells>
  <phoneticPr fontId="2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9B543-A249-47EF-8FDE-CC191FA17068}">
  <sheetPr codeName="Sheet31">
    <tabColor rgb="FFFF8585"/>
  </sheetPr>
  <dimension ref="A1:Q221"/>
  <sheetViews>
    <sheetView zoomScale="115" zoomScaleNormal="115" workbookViewId="0">
      <selection activeCell="C15" sqref="C15:I221"/>
    </sheetView>
  </sheetViews>
  <sheetFormatPr defaultColWidth="0" defaultRowHeight="13.5" customHeight="1" x14ac:dyDescent="0.25"/>
  <cols>
    <col min="1" max="1" width="2.7109375" customWidth="1"/>
    <col min="2" max="2" width="1.7109375" customWidth="1"/>
    <col min="3" max="3" width="11.85546875" customWidth="1"/>
    <col min="4" max="4" width="6.85546875" bestFit="1" customWidth="1"/>
    <col min="5" max="5" width="40.28515625" customWidth="1"/>
    <col min="6" max="6" width="36.7109375" customWidth="1"/>
    <col min="7" max="7" width="24.28515625" customWidth="1"/>
    <col min="8" max="8" width="16.7109375" customWidth="1"/>
    <col min="9" max="9" width="11.85546875" customWidth="1"/>
    <col min="10" max="11" width="1.7109375" customWidth="1"/>
    <col min="12" max="12" width="2.7109375" hidden="1" customWidth="1"/>
    <col min="13" max="13" width="15.140625" hidden="1" customWidth="1"/>
    <col min="14" max="14" width="1.7109375" hidden="1" customWidth="1"/>
    <col min="15" max="15" width="2.7109375" hidden="1" customWidth="1"/>
    <col min="16" max="17" width="0" hidden="1" customWidth="1"/>
    <col min="18" max="16384" width="9.140625" hidden="1"/>
  </cols>
  <sheetData>
    <row r="1" spans="1:13" s="71" customFormat="1" x14ac:dyDescent="0.25">
      <c r="A1" s="43"/>
      <c r="B1" s="43"/>
      <c r="C1" s="43"/>
      <c r="D1" s="43"/>
      <c r="E1" s="84"/>
      <c r="F1" s="43"/>
      <c r="G1" s="43"/>
      <c r="H1" s="43"/>
      <c r="I1" s="43"/>
      <c r="J1" s="43"/>
      <c r="K1" s="43"/>
    </row>
    <row r="2" spans="1:13" s="73" customFormat="1" x14ac:dyDescent="0.25">
      <c r="A2" s="43"/>
      <c r="B2" s="43"/>
      <c r="C2" s="43"/>
      <c r="D2" s="43"/>
      <c r="E2" s="84"/>
      <c r="F2" s="43"/>
      <c r="G2" s="43"/>
      <c r="H2" s="43"/>
      <c r="I2" s="43"/>
      <c r="J2" s="43"/>
      <c r="K2" s="43"/>
    </row>
    <row r="3" spans="1:13" s="71" customFormat="1" x14ac:dyDescent="0.25">
      <c r="A3" s="43"/>
      <c r="B3" s="43"/>
      <c r="C3" s="43"/>
      <c r="D3" s="43"/>
      <c r="E3" s="84"/>
      <c r="F3" s="43"/>
      <c r="G3" s="43"/>
      <c r="H3" s="43"/>
      <c r="I3" s="43"/>
      <c r="J3" s="43"/>
      <c r="K3" s="43"/>
    </row>
    <row r="4" spans="1:13" s="1" customFormat="1" x14ac:dyDescent="0.25">
      <c r="A4" s="43"/>
      <c r="B4" s="43"/>
      <c r="C4" s="43"/>
      <c r="D4" s="43"/>
      <c r="E4" s="84"/>
      <c r="F4" s="43"/>
      <c r="G4" s="43"/>
      <c r="H4" s="43"/>
      <c r="I4" s="43"/>
      <c r="J4" s="43"/>
      <c r="K4" s="43"/>
      <c r="L4" s="43"/>
      <c r="M4" s="43"/>
    </row>
    <row r="5" spans="1:13" s="1" customFormat="1" ht="9.9499999999999993" customHeight="1" x14ac:dyDescent="0.25">
      <c r="A5" s="43"/>
      <c r="B5" s="9"/>
      <c r="C5" s="10"/>
      <c r="D5" s="10"/>
      <c r="E5" s="85"/>
      <c r="F5" s="10"/>
      <c r="G5" s="45"/>
      <c r="H5" s="10"/>
      <c r="I5" s="10"/>
      <c r="J5" s="11"/>
      <c r="K5" s="72"/>
    </row>
    <row r="6" spans="1:13" s="1" customFormat="1" ht="14.25" x14ac:dyDescent="0.3">
      <c r="A6" s="43"/>
      <c r="B6" s="4"/>
      <c r="C6" s="44" t="s">
        <v>0</v>
      </c>
      <c r="D6" s="93">
        <f>IF('Project Details'!D6=0,"", 'Project Details'!D6)</f>
        <v>45217</v>
      </c>
      <c r="E6" s="93"/>
      <c r="F6" s="13"/>
      <c r="G6" s="44" t="s">
        <v>90</v>
      </c>
      <c r="H6" s="95">
        <f>IF('Project Details'!J6=0,"", 'Project Details'!J6)</f>
        <v>1</v>
      </c>
      <c r="I6" s="95"/>
      <c r="J6" s="5"/>
      <c r="K6" s="72"/>
    </row>
    <row r="7" spans="1:13" s="1" customFormat="1" ht="14.25" x14ac:dyDescent="0.3">
      <c r="A7" s="43"/>
      <c r="B7" s="4"/>
      <c r="C7" s="44" t="s">
        <v>1</v>
      </c>
      <c r="D7" s="95" t="str">
        <f>IF('Project Details'!D7=0,"", 'Project Details'!D7)</f>
        <v>William Andrew Bulaquena</v>
      </c>
      <c r="E7" s="95"/>
      <c r="F7" s="13"/>
      <c r="G7" s="44" t="s">
        <v>91</v>
      </c>
      <c r="H7" s="95">
        <f>IF('Project Details'!J7=0,"", 'Project Details'!J7)</f>
        <v>1</v>
      </c>
      <c r="I7" s="95"/>
      <c r="J7" s="5"/>
      <c r="K7" s="72"/>
    </row>
    <row r="8" spans="1:13" s="1" customFormat="1" ht="14.25" x14ac:dyDescent="0.3">
      <c r="A8" s="43"/>
      <c r="B8" s="4"/>
      <c r="C8" s="44" t="s">
        <v>730</v>
      </c>
      <c r="D8" s="95" t="str">
        <f>IF('Project Details'!D8=0,"", 'Project Details'!D8)</f>
        <v>Banilad</v>
      </c>
      <c r="E8" s="95"/>
      <c r="F8" s="13"/>
      <c r="G8" s="44" t="s">
        <v>92</v>
      </c>
      <c r="H8" s="95">
        <f>IF('Project Details'!J8=0,"", 'Project Details'!J8)</f>
        <v>12345</v>
      </c>
      <c r="I8" s="95"/>
      <c r="J8" s="5"/>
      <c r="K8" s="72"/>
    </row>
    <row r="9" spans="1:13" s="1" customFormat="1" ht="14.25" x14ac:dyDescent="0.3">
      <c r="A9" s="43"/>
      <c r="B9" s="4"/>
      <c r="C9" s="44" t="s">
        <v>62</v>
      </c>
      <c r="D9" s="95">
        <f>IF('Project Details'!D9=0,"", 'Project Details'!D9)</f>
        <v>9123456789</v>
      </c>
      <c r="E9" s="95"/>
      <c r="F9" s="13"/>
      <c r="G9" s="44" t="s">
        <v>93</v>
      </c>
      <c r="H9" s="95" t="str">
        <f>IF('Project Details'!J9=0,"", 'Project Details'!J9)</f>
        <v>Kunstof</v>
      </c>
      <c r="I9" s="95"/>
      <c r="J9" s="5"/>
      <c r="K9" s="72"/>
    </row>
    <row r="10" spans="1:13" s="1" customFormat="1" ht="14.25" x14ac:dyDescent="0.3">
      <c r="A10" s="43"/>
      <c r="B10" s="4"/>
      <c r="C10" s="44" t="s">
        <v>63</v>
      </c>
      <c r="D10" s="95" t="str">
        <f>IF('Project Details'!D10=0,"", 'Project Details'!D10)</f>
        <v>williamgbulaquena@gmail.com</v>
      </c>
      <c r="E10" s="95"/>
      <c r="F10" s="13"/>
      <c r="G10" s="44" t="s">
        <v>94</v>
      </c>
      <c r="H10" s="95" t="str">
        <f>IF('Project Details'!J10=0,"", 'Project Details'!J10)</f>
        <v>Kunstof</v>
      </c>
      <c r="I10" s="95"/>
      <c r="J10" s="5"/>
      <c r="K10" s="72"/>
    </row>
    <row r="11" spans="1:13" s="1" customFormat="1" ht="9.9499999999999993" customHeight="1" x14ac:dyDescent="0.25">
      <c r="A11" s="43"/>
      <c r="B11" s="6"/>
      <c r="C11" s="7"/>
      <c r="D11" s="7"/>
      <c r="E11" s="86"/>
      <c r="F11" s="7"/>
      <c r="G11" s="7"/>
      <c r="H11" s="14"/>
      <c r="I11" s="7"/>
      <c r="J11" s="8"/>
      <c r="K11" s="72"/>
    </row>
    <row r="12" spans="1:13" s="1" customFormat="1" x14ac:dyDescent="0.25">
      <c r="A12" s="43"/>
      <c r="B12" s="43"/>
      <c r="C12" s="43"/>
      <c r="D12" s="43"/>
      <c r="E12" s="84"/>
      <c r="F12" s="43"/>
      <c r="G12" s="43"/>
      <c r="H12" s="43"/>
      <c r="I12" s="43"/>
      <c r="J12" s="43"/>
      <c r="K12" s="72"/>
    </row>
    <row r="13" spans="1:13" s="1" customFormat="1" x14ac:dyDescent="0.25">
      <c r="A13" s="43"/>
      <c r="B13" s="43"/>
      <c r="C13" s="100" t="s">
        <v>877</v>
      </c>
      <c r="D13" s="101"/>
      <c r="E13" s="101"/>
      <c r="F13" s="101"/>
      <c r="G13" s="101"/>
      <c r="H13" s="101"/>
      <c r="I13" s="102"/>
      <c r="J13" s="43"/>
      <c r="K13" s="72"/>
    </row>
    <row r="14" spans="1:13" s="1" customFormat="1" x14ac:dyDescent="0.25">
      <c r="A14" s="43"/>
      <c r="B14" s="43"/>
      <c r="C14" s="37" t="s">
        <v>3</v>
      </c>
      <c r="D14" s="37" t="s">
        <v>134</v>
      </c>
      <c r="E14" s="37" t="s">
        <v>96</v>
      </c>
      <c r="F14" s="38" t="s">
        <v>95</v>
      </c>
      <c r="G14" s="37" t="s">
        <v>5</v>
      </c>
      <c r="H14" s="37" t="s">
        <v>135</v>
      </c>
      <c r="I14" s="37" t="s">
        <v>136</v>
      </c>
      <c r="J14" s="43"/>
      <c r="K14" s="72"/>
    </row>
    <row r="15" spans="1:13" ht="13.5" customHeight="1" x14ac:dyDescent="0.25">
      <c r="C15" s="74"/>
      <c r="D15" s="74"/>
      <c r="E15" s="78"/>
      <c r="F15" s="78"/>
      <c r="G15" s="74"/>
      <c r="H15" s="74"/>
      <c r="I15" s="74"/>
    </row>
    <row r="16" spans="1:13" ht="13.5" customHeight="1" x14ac:dyDescent="0.25">
      <c r="C16" s="76"/>
      <c r="D16" s="76"/>
      <c r="E16" s="81"/>
      <c r="F16" s="79"/>
      <c r="G16" s="76"/>
      <c r="H16" s="76"/>
      <c r="I16" s="76"/>
    </row>
    <row r="17" spans="3:9" ht="13.5" customHeight="1" x14ac:dyDescent="0.25">
      <c r="C17" s="74"/>
      <c r="D17" s="74"/>
      <c r="E17" s="78"/>
      <c r="F17" s="78"/>
      <c r="G17" s="74"/>
      <c r="H17" s="74"/>
      <c r="I17" s="74"/>
    </row>
    <row r="18" spans="3:9" ht="13.5" customHeight="1" x14ac:dyDescent="0.25">
      <c r="C18" s="76"/>
      <c r="D18" s="76"/>
      <c r="E18" s="81"/>
      <c r="F18" s="79"/>
      <c r="G18" s="76"/>
      <c r="H18" s="76"/>
      <c r="I18" s="76"/>
    </row>
    <row r="19" spans="3:9" ht="13.5" customHeight="1" x14ac:dyDescent="0.25">
      <c r="C19" s="74"/>
      <c r="D19" s="74"/>
      <c r="E19" s="78"/>
      <c r="F19" s="78"/>
      <c r="G19" s="74"/>
      <c r="H19" s="74"/>
      <c r="I19" s="74"/>
    </row>
    <row r="20" spans="3:9" ht="13.5" customHeight="1" x14ac:dyDescent="0.25">
      <c r="C20" s="35"/>
      <c r="D20" s="35"/>
      <c r="E20" s="65"/>
      <c r="F20" s="69"/>
      <c r="G20" s="35"/>
      <c r="H20" s="35"/>
      <c r="I20" s="35"/>
    </row>
    <row r="21" spans="3:9" ht="13.5" customHeight="1" x14ac:dyDescent="0.25">
      <c r="C21" s="16"/>
      <c r="D21" s="16"/>
      <c r="E21" s="64"/>
      <c r="F21" s="64"/>
      <c r="G21" s="16"/>
      <c r="H21" s="16"/>
      <c r="I21" s="16"/>
    </row>
    <row r="22" spans="3:9" ht="13.5" customHeight="1" x14ac:dyDescent="0.25">
      <c r="C22" s="35"/>
      <c r="D22" s="35"/>
      <c r="E22" s="65"/>
      <c r="F22" s="69"/>
      <c r="G22" s="35"/>
      <c r="H22" s="35"/>
      <c r="I22" s="35"/>
    </row>
    <row r="23" spans="3:9" ht="13.5" customHeight="1" x14ac:dyDescent="0.25">
      <c r="C23" s="16"/>
      <c r="D23" s="16"/>
      <c r="E23" s="64"/>
      <c r="F23" s="64"/>
      <c r="G23" s="16"/>
      <c r="H23" s="16"/>
      <c r="I23" s="16"/>
    </row>
    <row r="24" spans="3:9" ht="13.5" customHeight="1" x14ac:dyDescent="0.25">
      <c r="C24" s="35"/>
      <c r="D24" s="35"/>
      <c r="E24" s="65"/>
      <c r="F24" s="69"/>
      <c r="G24" s="35"/>
      <c r="H24" s="35"/>
      <c r="I24" s="35"/>
    </row>
    <row r="25" spans="3:9" ht="13.5" customHeight="1" x14ac:dyDescent="0.25">
      <c r="C25" s="16"/>
      <c r="D25" s="16"/>
      <c r="E25" s="64"/>
      <c r="F25" s="64"/>
      <c r="G25" s="16"/>
      <c r="H25" s="16"/>
      <c r="I25" s="16"/>
    </row>
    <row r="26" spans="3:9" ht="13.5" customHeight="1" x14ac:dyDescent="0.25">
      <c r="C26" s="35"/>
      <c r="D26" s="35"/>
      <c r="E26" s="65"/>
      <c r="F26" s="69"/>
      <c r="G26" s="35"/>
      <c r="H26" s="35"/>
      <c r="I26" s="35"/>
    </row>
    <row r="27" spans="3:9" ht="13.5" customHeight="1" x14ac:dyDescent="0.25">
      <c r="C27" s="16"/>
      <c r="D27" s="16"/>
      <c r="E27" s="64"/>
      <c r="F27" s="64"/>
      <c r="G27" s="16"/>
      <c r="H27" s="16"/>
      <c r="I27" s="16"/>
    </row>
    <row r="28" spans="3:9" ht="13.5" customHeight="1" x14ac:dyDescent="0.25">
      <c r="C28" s="35"/>
      <c r="D28" s="35"/>
      <c r="E28" s="65"/>
      <c r="F28" s="69"/>
      <c r="G28" s="35"/>
      <c r="H28" s="35"/>
      <c r="I28" s="35"/>
    </row>
    <row r="29" spans="3:9" ht="13.5" customHeight="1" x14ac:dyDescent="0.25">
      <c r="C29" s="16"/>
      <c r="D29" s="16"/>
      <c r="E29" s="64"/>
      <c r="F29" s="64"/>
      <c r="G29" s="16"/>
      <c r="H29" s="16"/>
      <c r="I29" s="16"/>
    </row>
    <row r="30" spans="3:9" ht="13.5" customHeight="1" x14ac:dyDescent="0.25">
      <c r="C30" s="35"/>
      <c r="D30" s="35"/>
      <c r="E30" s="65"/>
      <c r="F30" s="69"/>
      <c r="G30" s="35"/>
      <c r="H30" s="35"/>
      <c r="I30" s="35"/>
    </row>
    <row r="31" spans="3:9" ht="13.5" customHeight="1" x14ac:dyDescent="0.25">
      <c r="C31" s="16"/>
      <c r="D31" s="16"/>
      <c r="E31" s="64"/>
      <c r="F31" s="64"/>
      <c r="G31" s="16"/>
      <c r="H31" s="16"/>
      <c r="I31" s="16"/>
    </row>
    <row r="32" spans="3:9" ht="13.5" customHeight="1" x14ac:dyDescent="0.25">
      <c r="C32" s="35"/>
      <c r="D32" s="35"/>
      <c r="E32" s="65"/>
      <c r="F32" s="69"/>
      <c r="G32" s="35"/>
      <c r="H32" s="35"/>
      <c r="I32" s="35"/>
    </row>
    <row r="33" spans="3:9" ht="13.5" customHeight="1" x14ac:dyDescent="0.25">
      <c r="C33" s="16"/>
      <c r="D33" s="16"/>
      <c r="E33" s="64"/>
      <c r="F33" s="64"/>
      <c r="G33" s="16"/>
      <c r="H33" s="16"/>
      <c r="I33" s="16"/>
    </row>
    <row r="34" spans="3:9" ht="13.5" customHeight="1" x14ac:dyDescent="0.25">
      <c r="C34" s="35"/>
      <c r="D34" s="35"/>
      <c r="E34" s="65"/>
      <c r="F34" s="69"/>
      <c r="G34" s="35"/>
      <c r="H34" s="35"/>
      <c r="I34" s="35"/>
    </row>
    <row r="35" spans="3:9" ht="13.5" customHeight="1" x14ac:dyDescent="0.25">
      <c r="C35" s="16"/>
      <c r="D35" s="16"/>
      <c r="E35" s="64"/>
      <c r="F35" s="64"/>
      <c r="G35" s="16"/>
      <c r="H35" s="16"/>
      <c r="I35" s="16"/>
    </row>
    <row r="36" spans="3:9" ht="13.5" customHeight="1" x14ac:dyDescent="0.25">
      <c r="C36" s="35"/>
      <c r="D36" s="35"/>
      <c r="E36" s="65"/>
      <c r="F36" s="69"/>
      <c r="G36" s="35"/>
      <c r="H36" s="35"/>
      <c r="I36" s="35"/>
    </row>
    <row r="37" spans="3:9" ht="13.5" customHeight="1" x14ac:dyDescent="0.25">
      <c r="C37" s="16"/>
      <c r="D37" s="16"/>
      <c r="E37" s="64"/>
      <c r="F37" s="64"/>
      <c r="G37" s="16"/>
      <c r="H37" s="16"/>
      <c r="I37" s="16"/>
    </row>
    <row r="38" spans="3:9" ht="13.5" customHeight="1" x14ac:dyDescent="0.25">
      <c r="C38" s="35"/>
      <c r="D38" s="35"/>
      <c r="E38" s="65"/>
      <c r="F38" s="69"/>
      <c r="G38" s="35"/>
      <c r="H38" s="35"/>
      <c r="I38" s="35"/>
    </row>
    <row r="39" spans="3:9" ht="13.5" customHeight="1" x14ac:dyDescent="0.25">
      <c r="C39" s="16"/>
      <c r="D39" s="16"/>
      <c r="E39" s="64"/>
      <c r="F39" s="64"/>
      <c r="G39" s="16"/>
      <c r="H39" s="16"/>
      <c r="I39" s="16"/>
    </row>
    <row r="40" spans="3:9" ht="13.5" customHeight="1" x14ac:dyDescent="0.25">
      <c r="C40" s="35"/>
      <c r="D40" s="35"/>
      <c r="E40" s="65"/>
      <c r="F40" s="69"/>
      <c r="G40" s="35"/>
      <c r="H40" s="35"/>
      <c r="I40" s="35"/>
    </row>
    <row r="41" spans="3:9" ht="13.5" customHeight="1" x14ac:dyDescent="0.25">
      <c r="C41" s="16"/>
      <c r="D41" s="16"/>
      <c r="E41" s="64"/>
      <c r="F41" s="64"/>
      <c r="G41" s="16"/>
      <c r="H41" s="16"/>
      <c r="I41" s="16"/>
    </row>
    <row r="42" spans="3:9" ht="13.5" customHeight="1" x14ac:dyDescent="0.25">
      <c r="C42" s="35"/>
      <c r="D42" s="35"/>
      <c r="E42" s="65"/>
      <c r="F42" s="69"/>
      <c r="G42" s="35"/>
      <c r="H42" s="35"/>
      <c r="I42" s="35"/>
    </row>
    <row r="43" spans="3:9" ht="13.5" customHeight="1" x14ac:dyDescent="0.25">
      <c r="C43" s="16"/>
      <c r="D43" s="16"/>
      <c r="E43" s="64"/>
      <c r="F43" s="64"/>
      <c r="G43" s="16"/>
      <c r="H43" s="16"/>
      <c r="I43" s="16"/>
    </row>
    <row r="44" spans="3:9" ht="13.5" customHeight="1" x14ac:dyDescent="0.25">
      <c r="C44" s="35"/>
      <c r="D44" s="35"/>
      <c r="E44" s="65"/>
      <c r="F44" s="69"/>
      <c r="G44" s="35"/>
      <c r="H44" s="35"/>
      <c r="I44" s="35"/>
    </row>
    <row r="45" spans="3:9" ht="13.5" customHeight="1" x14ac:dyDescent="0.25">
      <c r="C45" s="16"/>
      <c r="D45" s="16"/>
      <c r="E45" s="64"/>
      <c r="F45" s="64"/>
      <c r="G45" s="16"/>
      <c r="H45" s="16"/>
      <c r="I45" s="16"/>
    </row>
    <row r="46" spans="3:9" ht="13.5" customHeight="1" x14ac:dyDescent="0.25">
      <c r="C46" s="35"/>
      <c r="D46" s="35"/>
      <c r="E46" s="65"/>
      <c r="F46" s="69"/>
      <c r="G46" s="35"/>
      <c r="H46" s="35"/>
      <c r="I46" s="35"/>
    </row>
    <row r="47" spans="3:9" ht="13.5" customHeight="1" x14ac:dyDescent="0.25">
      <c r="C47" s="16"/>
      <c r="D47" s="16"/>
      <c r="E47" s="64"/>
      <c r="F47" s="64"/>
      <c r="G47" s="16"/>
      <c r="H47" s="16"/>
      <c r="I47" s="16"/>
    </row>
    <row r="48" spans="3:9" ht="13.5" customHeight="1" x14ac:dyDescent="0.25">
      <c r="C48" s="35"/>
      <c r="D48" s="35"/>
      <c r="E48" s="65"/>
      <c r="F48" s="69"/>
      <c r="G48" s="35"/>
      <c r="H48" s="35"/>
      <c r="I48" s="35"/>
    </row>
    <row r="49" spans="3:9" ht="13.5" customHeight="1" x14ac:dyDescent="0.25">
      <c r="C49" s="16"/>
      <c r="D49" s="16"/>
      <c r="E49" s="64"/>
      <c r="F49" s="64"/>
      <c r="G49" s="16"/>
      <c r="H49" s="16"/>
      <c r="I49" s="16"/>
    </row>
    <row r="50" spans="3:9" ht="13.5" customHeight="1" x14ac:dyDescent="0.25">
      <c r="C50" s="35"/>
      <c r="D50" s="35"/>
      <c r="E50" s="65"/>
      <c r="F50" s="69"/>
      <c r="G50" s="35"/>
      <c r="H50" s="35"/>
      <c r="I50" s="35"/>
    </row>
    <row r="51" spans="3:9" ht="13.5" customHeight="1" x14ac:dyDescent="0.25">
      <c r="C51" s="16"/>
      <c r="D51" s="16"/>
      <c r="E51" s="64"/>
      <c r="F51" s="64"/>
      <c r="G51" s="16"/>
      <c r="H51" s="16"/>
      <c r="I51" s="16"/>
    </row>
    <row r="52" spans="3:9" ht="13.5" customHeight="1" x14ac:dyDescent="0.25">
      <c r="C52" s="35"/>
      <c r="D52" s="35"/>
      <c r="E52" s="65"/>
      <c r="F52" s="69"/>
      <c r="G52" s="35"/>
      <c r="H52" s="35"/>
      <c r="I52" s="35"/>
    </row>
    <row r="53" spans="3:9" ht="13.5" customHeight="1" x14ac:dyDescent="0.25">
      <c r="C53" s="16"/>
      <c r="D53" s="16"/>
      <c r="E53" s="64"/>
      <c r="F53" s="64"/>
      <c r="G53" s="16"/>
      <c r="H53" s="16"/>
      <c r="I53" s="16"/>
    </row>
    <row r="54" spans="3:9" ht="13.5" customHeight="1" x14ac:dyDescent="0.25">
      <c r="C54" s="35"/>
      <c r="D54" s="35"/>
      <c r="E54" s="65"/>
      <c r="F54" s="69"/>
      <c r="G54" s="35"/>
      <c r="H54" s="35"/>
      <c r="I54" s="35"/>
    </row>
    <row r="55" spans="3:9" ht="13.5" customHeight="1" x14ac:dyDescent="0.25">
      <c r="C55" s="16"/>
      <c r="D55" s="16"/>
      <c r="E55" s="64"/>
      <c r="F55" s="64"/>
      <c r="G55" s="16"/>
      <c r="H55" s="16"/>
      <c r="I55" s="16"/>
    </row>
    <row r="56" spans="3:9" ht="13.5" customHeight="1" x14ac:dyDescent="0.25">
      <c r="C56" s="35"/>
      <c r="D56" s="35"/>
      <c r="E56" s="65"/>
      <c r="F56" s="69"/>
      <c r="G56" s="35"/>
      <c r="H56" s="35"/>
      <c r="I56" s="35"/>
    </row>
    <row r="57" spans="3:9" ht="13.5" customHeight="1" x14ac:dyDescent="0.25">
      <c r="C57" s="16"/>
      <c r="D57" s="16"/>
      <c r="E57" s="64"/>
      <c r="F57" s="64"/>
      <c r="G57" s="16"/>
      <c r="H57" s="16"/>
      <c r="I57" s="16"/>
    </row>
    <row r="58" spans="3:9" ht="13.5" customHeight="1" x14ac:dyDescent="0.25">
      <c r="C58" s="35"/>
      <c r="D58" s="35"/>
      <c r="E58" s="65"/>
      <c r="F58" s="69"/>
      <c r="G58" s="35"/>
      <c r="H58" s="35"/>
      <c r="I58" s="35"/>
    </row>
    <row r="59" spans="3:9" ht="13.5" customHeight="1" x14ac:dyDescent="0.25">
      <c r="C59" s="16"/>
      <c r="D59" s="16"/>
      <c r="E59" s="64"/>
      <c r="F59" s="64"/>
      <c r="G59" s="16"/>
      <c r="H59" s="16"/>
      <c r="I59" s="16"/>
    </row>
    <row r="60" spans="3:9" ht="13.5" customHeight="1" x14ac:dyDescent="0.25">
      <c r="C60" s="35"/>
      <c r="D60" s="35"/>
      <c r="E60" s="65"/>
      <c r="F60" s="69"/>
      <c r="G60" s="35"/>
      <c r="H60" s="35"/>
      <c r="I60" s="35"/>
    </row>
    <row r="61" spans="3:9" ht="13.5" customHeight="1" x14ac:dyDescent="0.25">
      <c r="C61" s="16"/>
      <c r="D61" s="16"/>
      <c r="E61" s="64"/>
      <c r="F61" s="64"/>
      <c r="G61" s="16"/>
      <c r="H61" s="16"/>
      <c r="I61" s="16"/>
    </row>
    <row r="62" spans="3:9" ht="13.5" customHeight="1" x14ac:dyDescent="0.25">
      <c r="C62" s="35"/>
      <c r="D62" s="35"/>
      <c r="E62" s="65"/>
      <c r="F62" s="69"/>
      <c r="G62" s="35"/>
      <c r="H62" s="35"/>
      <c r="I62" s="35"/>
    </row>
    <row r="63" spans="3:9" ht="13.5" customHeight="1" x14ac:dyDescent="0.25">
      <c r="C63" s="16"/>
      <c r="D63" s="16"/>
      <c r="E63" s="64"/>
      <c r="F63" s="64"/>
      <c r="G63" s="16"/>
      <c r="H63" s="16"/>
      <c r="I63" s="16"/>
    </row>
    <row r="64" spans="3:9" ht="13.5" customHeight="1" x14ac:dyDescent="0.25">
      <c r="C64" s="35"/>
      <c r="D64" s="35"/>
      <c r="E64" s="65"/>
      <c r="F64" s="69"/>
      <c r="G64" s="35"/>
      <c r="H64" s="35"/>
      <c r="I64" s="35"/>
    </row>
    <row r="65" spans="3:9" ht="13.5" customHeight="1" x14ac:dyDescent="0.25">
      <c r="C65" s="16"/>
      <c r="D65" s="16"/>
      <c r="E65" s="64"/>
      <c r="F65" s="64"/>
      <c r="G65" s="16"/>
      <c r="H65" s="16"/>
      <c r="I65" s="16"/>
    </row>
    <row r="66" spans="3:9" ht="13.5" customHeight="1" x14ac:dyDescent="0.25">
      <c r="C66" s="35"/>
      <c r="D66" s="35"/>
      <c r="E66" s="65"/>
      <c r="F66" s="69"/>
      <c r="G66" s="35"/>
      <c r="H66" s="35"/>
      <c r="I66" s="35"/>
    </row>
    <row r="67" spans="3:9" ht="13.5" customHeight="1" x14ac:dyDescent="0.25">
      <c r="C67" s="16"/>
      <c r="D67" s="16"/>
      <c r="E67" s="64"/>
      <c r="F67" s="64"/>
      <c r="G67" s="16"/>
      <c r="H67" s="16"/>
      <c r="I67" s="16"/>
    </row>
    <row r="68" spans="3:9" ht="13.5" customHeight="1" x14ac:dyDescent="0.25">
      <c r="C68" s="35"/>
      <c r="D68" s="35"/>
      <c r="E68" s="65"/>
      <c r="F68" s="69"/>
      <c r="G68" s="35"/>
      <c r="H68" s="35"/>
      <c r="I68" s="35"/>
    </row>
    <row r="69" spans="3:9" ht="13.5" customHeight="1" x14ac:dyDescent="0.25">
      <c r="C69" s="16"/>
      <c r="D69" s="16"/>
      <c r="E69" s="64"/>
      <c r="F69" s="64"/>
      <c r="G69" s="16"/>
      <c r="H69" s="16"/>
      <c r="I69" s="16"/>
    </row>
    <row r="70" spans="3:9" ht="13.5" customHeight="1" x14ac:dyDescent="0.25">
      <c r="C70" s="35"/>
      <c r="D70" s="35"/>
      <c r="E70" s="65"/>
      <c r="F70" s="69"/>
      <c r="G70" s="35"/>
      <c r="H70" s="35"/>
      <c r="I70" s="35"/>
    </row>
    <row r="71" spans="3:9" ht="13.5" customHeight="1" x14ac:dyDescent="0.25">
      <c r="C71" s="16"/>
      <c r="D71" s="16"/>
      <c r="E71" s="64"/>
      <c r="F71" s="64"/>
      <c r="G71" s="16"/>
      <c r="H71" s="16"/>
      <c r="I71" s="16"/>
    </row>
    <row r="72" spans="3:9" ht="13.5" customHeight="1" x14ac:dyDescent="0.25">
      <c r="C72" s="35"/>
      <c r="D72" s="35"/>
      <c r="E72" s="65"/>
      <c r="F72" s="69"/>
      <c r="G72" s="35"/>
      <c r="H72" s="35"/>
      <c r="I72" s="35"/>
    </row>
    <row r="73" spans="3:9" ht="13.5" customHeight="1" x14ac:dyDescent="0.25">
      <c r="C73" s="16"/>
      <c r="D73" s="16"/>
      <c r="E73" s="64"/>
      <c r="F73" s="64"/>
      <c r="G73" s="16"/>
      <c r="H73" s="16"/>
      <c r="I73" s="16"/>
    </row>
    <row r="74" spans="3:9" ht="13.5" customHeight="1" x14ac:dyDescent="0.25">
      <c r="C74" s="35"/>
      <c r="D74" s="35"/>
      <c r="E74" s="65"/>
      <c r="F74" s="69"/>
      <c r="G74" s="35"/>
      <c r="H74" s="35"/>
      <c r="I74" s="35"/>
    </row>
    <row r="75" spans="3:9" ht="13.5" customHeight="1" x14ac:dyDescent="0.25">
      <c r="C75" s="16"/>
      <c r="D75" s="16"/>
      <c r="E75" s="64"/>
      <c r="F75" s="64"/>
      <c r="G75" s="16"/>
      <c r="H75" s="16"/>
      <c r="I75" s="16"/>
    </row>
    <row r="76" spans="3:9" ht="13.5" customHeight="1" x14ac:dyDescent="0.25">
      <c r="C76" s="35"/>
      <c r="D76" s="35"/>
      <c r="E76" s="65"/>
      <c r="F76" s="69"/>
      <c r="G76" s="35"/>
      <c r="H76" s="35"/>
      <c r="I76" s="35"/>
    </row>
    <row r="77" spans="3:9" ht="13.5" customHeight="1" x14ac:dyDescent="0.25">
      <c r="C77" s="16"/>
      <c r="D77" s="16"/>
      <c r="E77" s="64"/>
      <c r="F77" s="64"/>
      <c r="G77" s="16"/>
      <c r="H77" s="16"/>
      <c r="I77" s="16"/>
    </row>
    <row r="78" spans="3:9" ht="13.5" customHeight="1" x14ac:dyDescent="0.25">
      <c r="C78" s="35"/>
      <c r="D78" s="35"/>
      <c r="E78" s="65"/>
      <c r="F78" s="69"/>
      <c r="G78" s="35"/>
      <c r="H78" s="35"/>
      <c r="I78" s="35"/>
    </row>
    <row r="79" spans="3:9" ht="13.5" customHeight="1" x14ac:dyDescent="0.25">
      <c r="C79" s="16"/>
      <c r="D79" s="16"/>
      <c r="E79" s="64"/>
      <c r="F79" s="64"/>
      <c r="G79" s="16"/>
      <c r="H79" s="16"/>
      <c r="I79" s="16"/>
    </row>
    <row r="80" spans="3:9" ht="13.5" customHeight="1" x14ac:dyDescent="0.25">
      <c r="C80" s="35"/>
      <c r="D80" s="35"/>
      <c r="E80" s="65"/>
      <c r="F80" s="69"/>
      <c r="G80" s="35"/>
      <c r="H80" s="35"/>
      <c r="I80" s="35"/>
    </row>
    <row r="81" spans="3:9" ht="13.5" customHeight="1" x14ac:dyDescent="0.25">
      <c r="C81" s="16"/>
      <c r="D81" s="16"/>
      <c r="E81" s="64"/>
      <c r="F81" s="64"/>
      <c r="G81" s="16"/>
      <c r="H81" s="16"/>
      <c r="I81" s="16"/>
    </row>
    <row r="82" spans="3:9" ht="13.5" customHeight="1" x14ac:dyDescent="0.25">
      <c r="C82" s="35"/>
      <c r="D82" s="35"/>
      <c r="E82" s="65"/>
      <c r="F82" s="69"/>
      <c r="G82" s="35"/>
      <c r="H82" s="35"/>
      <c r="I82" s="35"/>
    </row>
    <row r="83" spans="3:9" ht="13.5" customHeight="1" x14ac:dyDescent="0.25">
      <c r="C83" s="16"/>
      <c r="D83" s="16"/>
      <c r="E83" s="64"/>
      <c r="F83" s="64"/>
      <c r="G83" s="16"/>
      <c r="H83" s="16"/>
      <c r="I83" s="16"/>
    </row>
    <row r="84" spans="3:9" ht="13.5" customHeight="1" x14ac:dyDescent="0.25">
      <c r="C84" s="35"/>
      <c r="D84" s="35"/>
      <c r="E84" s="65"/>
      <c r="F84" s="69"/>
      <c r="G84" s="35"/>
      <c r="H84" s="35"/>
      <c r="I84" s="35"/>
    </row>
    <row r="85" spans="3:9" ht="13.5" customHeight="1" x14ac:dyDescent="0.25">
      <c r="C85" s="16"/>
      <c r="D85" s="16"/>
      <c r="E85" s="64"/>
      <c r="F85" s="64"/>
      <c r="G85" s="16"/>
      <c r="H85" s="16"/>
      <c r="I85" s="16"/>
    </row>
    <row r="86" spans="3:9" ht="13.5" customHeight="1" x14ac:dyDescent="0.25">
      <c r="C86" s="35"/>
      <c r="D86" s="35"/>
      <c r="E86" s="65"/>
      <c r="F86" s="69"/>
      <c r="G86" s="35"/>
      <c r="H86" s="35"/>
      <c r="I86" s="35"/>
    </row>
    <row r="87" spans="3:9" ht="13.5" customHeight="1" x14ac:dyDescent="0.25">
      <c r="C87" s="16"/>
      <c r="D87" s="16"/>
      <c r="E87" s="64"/>
      <c r="F87" s="64"/>
      <c r="G87" s="16"/>
      <c r="H87" s="16"/>
      <c r="I87" s="16"/>
    </row>
    <row r="88" spans="3:9" ht="13.5" customHeight="1" x14ac:dyDescent="0.25">
      <c r="C88" s="35"/>
      <c r="D88" s="35"/>
      <c r="E88" s="65"/>
      <c r="F88" s="69"/>
      <c r="G88" s="35"/>
      <c r="H88" s="35"/>
      <c r="I88" s="35"/>
    </row>
    <row r="89" spans="3:9" ht="13.5" customHeight="1" x14ac:dyDescent="0.25">
      <c r="C89" s="16"/>
      <c r="D89" s="16"/>
      <c r="E89" s="64"/>
      <c r="F89" s="64"/>
      <c r="G89" s="16"/>
      <c r="H89" s="16"/>
      <c r="I89" s="16"/>
    </row>
    <row r="90" spans="3:9" ht="13.5" customHeight="1" x14ac:dyDescent="0.25">
      <c r="C90" s="35"/>
      <c r="D90" s="35"/>
      <c r="E90" s="65"/>
      <c r="F90" s="69"/>
      <c r="G90" s="35"/>
      <c r="H90" s="35"/>
      <c r="I90" s="35"/>
    </row>
    <row r="91" spans="3:9" ht="13.5" customHeight="1" x14ac:dyDescent="0.25">
      <c r="C91" s="16"/>
      <c r="D91" s="16"/>
      <c r="E91" s="64"/>
      <c r="F91" s="64"/>
      <c r="G91" s="16"/>
      <c r="H91" s="16"/>
      <c r="I91" s="16"/>
    </row>
    <row r="92" spans="3:9" ht="13.5" customHeight="1" x14ac:dyDescent="0.25">
      <c r="C92" s="35"/>
      <c r="D92" s="35"/>
      <c r="E92" s="65"/>
      <c r="F92" s="69"/>
      <c r="G92" s="35"/>
      <c r="H92" s="35"/>
      <c r="I92" s="35"/>
    </row>
    <row r="93" spans="3:9" ht="13.5" customHeight="1" x14ac:dyDescent="0.25">
      <c r="C93" s="16"/>
      <c r="D93" s="16"/>
      <c r="E93" s="64"/>
      <c r="F93" s="64"/>
      <c r="G93" s="16"/>
      <c r="H93" s="16"/>
      <c r="I93" s="16"/>
    </row>
    <row r="94" spans="3:9" ht="13.5" customHeight="1" x14ac:dyDescent="0.25">
      <c r="C94" s="35"/>
      <c r="D94" s="35"/>
      <c r="E94" s="65"/>
      <c r="F94" s="69"/>
      <c r="G94" s="35"/>
      <c r="H94" s="35"/>
      <c r="I94" s="35"/>
    </row>
    <row r="95" spans="3:9" ht="13.5" customHeight="1" x14ac:dyDescent="0.25">
      <c r="C95" s="16"/>
      <c r="D95" s="16"/>
      <c r="E95" s="64"/>
      <c r="F95" s="64"/>
      <c r="G95" s="16"/>
      <c r="H95" s="16"/>
      <c r="I95" s="16"/>
    </row>
    <row r="96" spans="3:9" ht="13.5" customHeight="1" x14ac:dyDescent="0.25">
      <c r="C96" s="35"/>
      <c r="D96" s="35"/>
      <c r="E96" s="65"/>
      <c r="F96" s="69"/>
      <c r="G96" s="35"/>
      <c r="H96" s="35"/>
      <c r="I96" s="35"/>
    </row>
    <row r="97" spans="3:9" ht="13.5" customHeight="1" x14ac:dyDescent="0.25">
      <c r="C97" s="16"/>
      <c r="D97" s="16"/>
      <c r="E97" s="64"/>
      <c r="F97" s="64"/>
      <c r="G97" s="16"/>
      <c r="H97" s="16"/>
      <c r="I97" s="16"/>
    </row>
    <row r="98" spans="3:9" ht="13.5" customHeight="1" x14ac:dyDescent="0.25">
      <c r="C98" s="35"/>
      <c r="D98" s="35"/>
      <c r="E98" s="65"/>
      <c r="F98" s="69"/>
      <c r="G98" s="35"/>
      <c r="H98" s="35"/>
      <c r="I98" s="35"/>
    </row>
    <row r="99" spans="3:9" ht="13.5" customHeight="1" x14ac:dyDescent="0.25">
      <c r="C99" s="16"/>
      <c r="D99" s="16"/>
      <c r="E99" s="64"/>
      <c r="F99" s="64"/>
      <c r="G99" s="16"/>
      <c r="H99" s="16"/>
      <c r="I99" s="16"/>
    </row>
    <row r="100" spans="3:9" ht="13.5" customHeight="1" x14ac:dyDescent="0.25">
      <c r="C100" s="35"/>
      <c r="D100" s="35"/>
      <c r="E100" s="65"/>
      <c r="F100" s="69"/>
      <c r="G100" s="35"/>
      <c r="H100" s="35"/>
      <c r="I100" s="35"/>
    </row>
    <row r="101" spans="3:9" ht="13.5" customHeight="1" x14ac:dyDescent="0.25">
      <c r="C101" s="16"/>
      <c r="D101" s="16"/>
      <c r="E101" s="64"/>
      <c r="F101" s="64"/>
      <c r="G101" s="16"/>
      <c r="H101" s="16"/>
      <c r="I101" s="16"/>
    </row>
    <row r="102" spans="3:9" ht="13.5" customHeight="1" x14ac:dyDescent="0.25">
      <c r="C102" s="35"/>
      <c r="D102" s="35"/>
      <c r="E102" s="65"/>
      <c r="F102" s="69"/>
      <c r="G102" s="35"/>
      <c r="H102" s="35"/>
      <c r="I102" s="35"/>
    </row>
    <row r="103" spans="3:9" ht="13.5" customHeight="1" x14ac:dyDescent="0.25">
      <c r="C103" s="16"/>
      <c r="D103" s="16"/>
      <c r="E103" s="64"/>
      <c r="F103" s="64"/>
      <c r="G103" s="16"/>
      <c r="H103" s="16"/>
      <c r="I103" s="16"/>
    </row>
    <row r="104" spans="3:9" ht="13.5" customHeight="1" x14ac:dyDescent="0.25">
      <c r="C104" s="35"/>
      <c r="D104" s="35"/>
      <c r="E104" s="65"/>
      <c r="F104" s="69"/>
      <c r="G104" s="35"/>
      <c r="H104" s="35"/>
      <c r="I104" s="35"/>
    </row>
    <row r="105" spans="3:9" ht="13.5" customHeight="1" x14ac:dyDescent="0.25">
      <c r="C105" s="16"/>
      <c r="D105" s="16"/>
      <c r="E105" s="64"/>
      <c r="F105" s="64"/>
      <c r="G105" s="16"/>
      <c r="H105" s="16"/>
      <c r="I105" s="16"/>
    </row>
    <row r="106" spans="3:9" ht="13.5" customHeight="1" x14ac:dyDescent="0.25">
      <c r="C106" s="35"/>
      <c r="D106" s="35"/>
      <c r="E106" s="65"/>
      <c r="F106" s="69"/>
      <c r="G106" s="35"/>
      <c r="H106" s="35"/>
      <c r="I106" s="35"/>
    </row>
    <row r="107" spans="3:9" ht="13.5" customHeight="1" x14ac:dyDescent="0.25">
      <c r="C107" s="16"/>
      <c r="D107" s="16"/>
      <c r="E107" s="64"/>
      <c r="F107" s="64"/>
      <c r="G107" s="16"/>
      <c r="H107" s="16"/>
      <c r="I107" s="16"/>
    </row>
    <row r="108" spans="3:9" ht="13.5" customHeight="1" x14ac:dyDescent="0.25">
      <c r="C108" s="35"/>
      <c r="D108" s="35"/>
      <c r="E108" s="65"/>
      <c r="F108" s="69"/>
      <c r="G108" s="35"/>
      <c r="H108" s="35"/>
      <c r="I108" s="35"/>
    </row>
    <row r="109" spans="3:9" ht="13.5" customHeight="1" x14ac:dyDescent="0.25">
      <c r="C109" s="16"/>
      <c r="D109" s="16"/>
      <c r="E109" s="64"/>
      <c r="F109" s="64"/>
      <c r="G109" s="16"/>
      <c r="H109" s="16"/>
      <c r="I109" s="16"/>
    </row>
    <row r="110" spans="3:9" ht="13.5" customHeight="1" x14ac:dyDescent="0.25">
      <c r="C110" s="35"/>
      <c r="D110" s="35"/>
      <c r="E110" s="65"/>
      <c r="F110" s="69"/>
      <c r="G110" s="35"/>
      <c r="H110" s="35"/>
      <c r="I110" s="35"/>
    </row>
    <row r="111" spans="3:9" ht="13.5" customHeight="1" x14ac:dyDescent="0.25">
      <c r="C111" s="16"/>
      <c r="D111" s="16"/>
      <c r="E111" s="64"/>
      <c r="F111" s="64"/>
      <c r="G111" s="16"/>
      <c r="H111" s="16"/>
      <c r="I111" s="16"/>
    </row>
    <row r="112" spans="3:9" ht="13.5" customHeight="1" x14ac:dyDescent="0.25">
      <c r="C112" s="35"/>
      <c r="D112" s="35"/>
      <c r="E112" s="65"/>
      <c r="F112" s="69"/>
      <c r="G112" s="35"/>
      <c r="H112" s="35"/>
      <c r="I112" s="35"/>
    </row>
    <row r="113" spans="3:9" ht="13.5" customHeight="1" x14ac:dyDescent="0.25">
      <c r="C113" s="16"/>
      <c r="D113" s="16"/>
      <c r="E113" s="64"/>
      <c r="F113" s="64"/>
      <c r="G113" s="16"/>
      <c r="H113" s="16"/>
      <c r="I113" s="16"/>
    </row>
    <row r="114" spans="3:9" ht="13.5" customHeight="1" x14ac:dyDescent="0.25">
      <c r="C114" s="35"/>
      <c r="D114" s="35"/>
      <c r="E114" s="65"/>
      <c r="F114" s="69"/>
      <c r="G114" s="35"/>
      <c r="H114" s="35"/>
      <c r="I114" s="35"/>
    </row>
    <row r="115" spans="3:9" ht="13.5" customHeight="1" x14ac:dyDescent="0.25">
      <c r="C115" s="16"/>
      <c r="D115" s="16"/>
      <c r="E115" s="64"/>
      <c r="F115" s="64"/>
      <c r="G115" s="16"/>
      <c r="H115" s="16"/>
      <c r="I115" s="16"/>
    </row>
    <row r="116" spans="3:9" ht="13.5" customHeight="1" x14ac:dyDescent="0.25">
      <c r="C116" s="35"/>
      <c r="D116" s="35"/>
      <c r="E116" s="65"/>
      <c r="F116" s="69"/>
      <c r="G116" s="35"/>
      <c r="H116" s="35"/>
      <c r="I116" s="35"/>
    </row>
    <row r="117" spans="3:9" ht="13.5" customHeight="1" x14ac:dyDescent="0.25">
      <c r="C117" s="16"/>
      <c r="D117" s="16"/>
      <c r="E117" s="64"/>
      <c r="F117" s="64"/>
      <c r="G117" s="16"/>
      <c r="H117" s="16"/>
      <c r="I117" s="16"/>
    </row>
    <row r="118" spans="3:9" ht="13.5" customHeight="1" x14ac:dyDescent="0.25">
      <c r="C118" s="35"/>
      <c r="D118" s="35"/>
      <c r="E118" s="65"/>
      <c r="F118" s="69"/>
      <c r="G118" s="35"/>
      <c r="H118" s="35"/>
      <c r="I118" s="35"/>
    </row>
    <row r="119" spans="3:9" ht="13.5" customHeight="1" x14ac:dyDescent="0.25">
      <c r="C119" s="16"/>
      <c r="D119" s="16"/>
      <c r="E119" s="64"/>
      <c r="F119" s="64"/>
      <c r="G119" s="16"/>
      <c r="H119" s="16"/>
      <c r="I119" s="16"/>
    </row>
    <row r="120" spans="3:9" ht="13.5" customHeight="1" x14ac:dyDescent="0.25">
      <c r="C120" s="35"/>
      <c r="D120" s="35"/>
      <c r="E120" s="65"/>
      <c r="F120" s="69"/>
      <c r="G120" s="35"/>
      <c r="H120" s="35"/>
      <c r="I120" s="35"/>
    </row>
    <row r="121" spans="3:9" ht="13.5" customHeight="1" x14ac:dyDescent="0.25">
      <c r="C121" s="16"/>
      <c r="D121" s="16"/>
      <c r="E121" s="64"/>
      <c r="F121" s="64"/>
      <c r="G121" s="16"/>
      <c r="H121" s="16"/>
      <c r="I121" s="16"/>
    </row>
    <row r="122" spans="3:9" ht="13.5" customHeight="1" x14ac:dyDescent="0.25">
      <c r="C122" s="35"/>
      <c r="D122" s="35"/>
      <c r="E122" s="65"/>
      <c r="F122" s="69"/>
      <c r="G122" s="35"/>
      <c r="H122" s="35"/>
      <c r="I122" s="35"/>
    </row>
    <row r="123" spans="3:9" ht="13.5" customHeight="1" x14ac:dyDescent="0.25">
      <c r="C123" s="16"/>
      <c r="D123" s="16"/>
      <c r="E123" s="64"/>
      <c r="F123" s="64"/>
      <c r="G123" s="16"/>
      <c r="H123" s="16"/>
      <c r="I123" s="16"/>
    </row>
    <row r="124" spans="3:9" ht="13.5" customHeight="1" x14ac:dyDescent="0.25">
      <c r="C124" s="35"/>
      <c r="D124" s="35"/>
      <c r="E124" s="65"/>
      <c r="F124" s="69"/>
      <c r="G124" s="35"/>
      <c r="H124" s="35"/>
      <c r="I124" s="35"/>
    </row>
    <row r="125" spans="3:9" ht="13.5" customHeight="1" x14ac:dyDescent="0.25">
      <c r="C125" s="16"/>
      <c r="D125" s="16"/>
      <c r="E125" s="64"/>
      <c r="F125" s="64"/>
      <c r="G125" s="16"/>
      <c r="H125" s="16"/>
      <c r="I125" s="16"/>
    </row>
    <row r="126" spans="3:9" ht="13.5" customHeight="1" x14ac:dyDescent="0.25">
      <c r="C126" s="35"/>
      <c r="D126" s="35"/>
      <c r="E126" s="65"/>
      <c r="F126" s="69"/>
      <c r="G126" s="35"/>
      <c r="H126" s="35"/>
      <c r="I126" s="35"/>
    </row>
    <row r="127" spans="3:9" ht="13.5" customHeight="1" x14ac:dyDescent="0.25">
      <c r="C127" s="16"/>
      <c r="D127" s="16"/>
      <c r="E127" s="64"/>
      <c r="F127" s="64"/>
      <c r="G127" s="16"/>
      <c r="H127" s="16"/>
      <c r="I127" s="16"/>
    </row>
    <row r="128" spans="3:9" ht="13.5" customHeight="1" x14ac:dyDescent="0.25">
      <c r="C128" s="35"/>
      <c r="D128" s="35"/>
      <c r="E128" s="65"/>
      <c r="F128" s="69"/>
      <c r="G128" s="35"/>
      <c r="H128" s="35"/>
      <c r="I128" s="35"/>
    </row>
    <row r="129" spans="3:9" ht="13.5" customHeight="1" x14ac:dyDescent="0.25">
      <c r="C129" s="16"/>
      <c r="D129" s="16"/>
      <c r="E129" s="64"/>
      <c r="F129" s="64"/>
      <c r="G129" s="16"/>
      <c r="H129" s="16"/>
      <c r="I129" s="16"/>
    </row>
    <row r="130" spans="3:9" ht="13.5" customHeight="1" x14ac:dyDescent="0.25">
      <c r="C130" s="35"/>
      <c r="D130" s="35"/>
      <c r="E130" s="65"/>
      <c r="F130" s="69"/>
      <c r="G130" s="35"/>
      <c r="H130" s="35"/>
      <c r="I130" s="35"/>
    </row>
    <row r="131" spans="3:9" ht="13.5" customHeight="1" x14ac:dyDescent="0.25">
      <c r="C131" s="16"/>
      <c r="D131" s="16"/>
      <c r="E131" s="64"/>
      <c r="F131" s="64"/>
      <c r="G131" s="16"/>
      <c r="H131" s="16"/>
      <c r="I131" s="16"/>
    </row>
    <row r="132" spans="3:9" ht="13.5" customHeight="1" x14ac:dyDescent="0.25">
      <c r="C132" s="35"/>
      <c r="D132" s="35"/>
      <c r="E132" s="65"/>
      <c r="F132" s="69"/>
      <c r="G132" s="35"/>
      <c r="H132" s="35"/>
      <c r="I132" s="35"/>
    </row>
    <row r="133" spans="3:9" ht="13.5" customHeight="1" x14ac:dyDescent="0.25">
      <c r="C133" s="16"/>
      <c r="D133" s="16"/>
      <c r="E133" s="64"/>
      <c r="F133" s="64"/>
      <c r="G133" s="16"/>
      <c r="H133" s="16"/>
      <c r="I133" s="16"/>
    </row>
    <row r="134" spans="3:9" ht="13.5" customHeight="1" x14ac:dyDescent="0.25">
      <c r="C134" s="35"/>
      <c r="D134" s="35"/>
      <c r="E134" s="65"/>
      <c r="F134" s="69"/>
      <c r="G134" s="35"/>
      <c r="H134" s="35"/>
      <c r="I134" s="35"/>
    </row>
    <row r="135" spans="3:9" ht="13.5" customHeight="1" x14ac:dyDescent="0.25">
      <c r="C135" s="16"/>
      <c r="D135" s="16"/>
      <c r="E135" s="64"/>
      <c r="F135" s="64"/>
      <c r="G135" s="16"/>
      <c r="H135" s="16"/>
      <c r="I135" s="16"/>
    </row>
    <row r="136" spans="3:9" ht="13.5" customHeight="1" x14ac:dyDescent="0.25">
      <c r="C136" s="35"/>
      <c r="D136" s="35"/>
      <c r="E136" s="65"/>
      <c r="F136" s="69"/>
      <c r="G136" s="35"/>
      <c r="H136" s="35"/>
      <c r="I136" s="35"/>
    </row>
    <row r="137" spans="3:9" ht="13.5" customHeight="1" x14ac:dyDescent="0.25">
      <c r="C137" s="16"/>
      <c r="D137" s="16"/>
      <c r="E137" s="64"/>
      <c r="F137" s="64"/>
      <c r="G137" s="16"/>
      <c r="H137" s="16"/>
      <c r="I137" s="16"/>
    </row>
    <row r="138" spans="3:9" ht="13.5" customHeight="1" x14ac:dyDescent="0.25">
      <c r="C138" s="35"/>
      <c r="D138" s="35"/>
      <c r="E138" s="65"/>
      <c r="F138" s="69"/>
      <c r="G138" s="35"/>
      <c r="H138" s="35"/>
      <c r="I138" s="35"/>
    </row>
    <row r="139" spans="3:9" ht="13.5" customHeight="1" x14ac:dyDescent="0.25">
      <c r="C139" s="16"/>
      <c r="D139" s="16"/>
      <c r="E139" s="64"/>
      <c r="F139" s="64"/>
      <c r="G139" s="16"/>
      <c r="H139" s="16"/>
      <c r="I139" s="16"/>
    </row>
    <row r="140" spans="3:9" ht="13.5" customHeight="1" x14ac:dyDescent="0.25">
      <c r="C140" s="35"/>
      <c r="D140" s="35"/>
      <c r="E140" s="65"/>
      <c r="F140" s="69"/>
      <c r="G140" s="35"/>
      <c r="H140" s="35"/>
      <c r="I140" s="35"/>
    </row>
    <row r="141" spans="3:9" ht="13.5" customHeight="1" x14ac:dyDescent="0.25">
      <c r="C141" s="16"/>
      <c r="D141" s="16"/>
      <c r="E141" s="64"/>
      <c r="F141" s="64"/>
      <c r="G141" s="16"/>
      <c r="H141" s="16"/>
      <c r="I141" s="16"/>
    </row>
    <row r="142" spans="3:9" ht="13.5" customHeight="1" x14ac:dyDescent="0.25">
      <c r="C142" s="35"/>
      <c r="D142" s="35"/>
      <c r="E142" s="65"/>
      <c r="F142" s="69"/>
      <c r="G142" s="35"/>
      <c r="H142" s="35"/>
      <c r="I142" s="35"/>
    </row>
    <row r="143" spans="3:9" ht="13.5" customHeight="1" x14ac:dyDescent="0.25">
      <c r="C143" s="16"/>
      <c r="D143" s="16"/>
      <c r="E143" s="64"/>
      <c r="F143" s="64"/>
      <c r="G143" s="16"/>
      <c r="H143" s="16"/>
      <c r="I143" s="16"/>
    </row>
    <row r="144" spans="3:9" ht="13.5" customHeight="1" x14ac:dyDescent="0.25">
      <c r="C144" s="35"/>
      <c r="D144" s="35"/>
      <c r="E144" s="65"/>
      <c r="F144" s="69"/>
      <c r="G144" s="35"/>
      <c r="H144" s="35"/>
      <c r="I144" s="35"/>
    </row>
    <row r="145" spans="3:9" ht="13.5" customHeight="1" x14ac:dyDescent="0.25">
      <c r="C145" s="16"/>
      <c r="D145" s="16"/>
      <c r="E145" s="64"/>
      <c r="F145" s="64"/>
      <c r="G145" s="16"/>
      <c r="H145" s="16"/>
      <c r="I145" s="16"/>
    </row>
    <row r="146" spans="3:9" ht="13.5" customHeight="1" x14ac:dyDescent="0.25">
      <c r="C146" s="35"/>
      <c r="D146" s="35"/>
      <c r="E146" s="65"/>
      <c r="F146" s="69"/>
      <c r="G146" s="35"/>
      <c r="H146" s="35"/>
      <c r="I146" s="35"/>
    </row>
    <row r="147" spans="3:9" ht="13.5" customHeight="1" x14ac:dyDescent="0.25">
      <c r="C147" s="16"/>
      <c r="D147" s="16"/>
      <c r="E147" s="64"/>
      <c r="F147" s="64"/>
      <c r="G147" s="16"/>
      <c r="H147" s="16"/>
      <c r="I147" s="16"/>
    </row>
    <row r="148" spans="3:9" ht="13.5" customHeight="1" x14ac:dyDescent="0.25">
      <c r="C148" s="35"/>
      <c r="D148" s="35"/>
      <c r="E148" s="65"/>
      <c r="F148" s="69"/>
      <c r="G148" s="35"/>
      <c r="H148" s="35"/>
      <c r="I148" s="35"/>
    </row>
    <row r="149" spans="3:9" ht="13.5" customHeight="1" x14ac:dyDescent="0.25">
      <c r="C149" s="16"/>
      <c r="D149" s="16"/>
      <c r="E149" s="64"/>
      <c r="F149" s="64"/>
      <c r="G149" s="16"/>
      <c r="H149" s="16"/>
      <c r="I149" s="16"/>
    </row>
    <row r="150" spans="3:9" ht="13.5" customHeight="1" x14ac:dyDescent="0.25">
      <c r="C150" s="35"/>
      <c r="D150" s="35"/>
      <c r="E150" s="65"/>
      <c r="F150" s="69"/>
      <c r="G150" s="35"/>
      <c r="H150" s="35"/>
      <c r="I150" s="35"/>
    </row>
    <row r="151" spans="3:9" ht="13.5" customHeight="1" x14ac:dyDescent="0.25">
      <c r="C151" s="16"/>
      <c r="D151" s="16"/>
      <c r="E151" s="64"/>
      <c r="F151" s="64"/>
      <c r="G151" s="16"/>
      <c r="H151" s="16"/>
      <c r="I151" s="16"/>
    </row>
    <row r="152" spans="3:9" ht="13.5" customHeight="1" x14ac:dyDescent="0.25">
      <c r="C152" s="35"/>
      <c r="D152" s="35"/>
      <c r="E152" s="65"/>
      <c r="F152" s="69"/>
      <c r="G152" s="35"/>
      <c r="H152" s="35"/>
      <c r="I152" s="35"/>
    </row>
    <row r="153" spans="3:9" ht="13.5" customHeight="1" x14ac:dyDescent="0.25">
      <c r="C153" s="16"/>
      <c r="D153" s="16"/>
      <c r="E153" s="64"/>
      <c r="F153" s="64"/>
      <c r="G153" s="16"/>
      <c r="H153" s="16"/>
      <c r="I153" s="16"/>
    </row>
    <row r="154" spans="3:9" ht="13.5" customHeight="1" x14ac:dyDescent="0.25">
      <c r="C154" s="35"/>
      <c r="D154" s="35"/>
      <c r="E154" s="65"/>
      <c r="F154" s="69"/>
      <c r="G154" s="35"/>
      <c r="H154" s="35"/>
      <c r="I154" s="35"/>
    </row>
    <row r="155" spans="3:9" ht="13.5" customHeight="1" x14ac:dyDescent="0.25">
      <c r="C155" s="16"/>
      <c r="D155" s="16"/>
      <c r="E155" s="64"/>
      <c r="F155" s="64"/>
      <c r="G155" s="16"/>
      <c r="H155" s="16"/>
      <c r="I155" s="16"/>
    </row>
    <row r="156" spans="3:9" ht="13.5" customHeight="1" x14ac:dyDescent="0.25">
      <c r="C156" s="35"/>
      <c r="D156" s="35"/>
      <c r="E156" s="65"/>
      <c r="F156" s="69"/>
      <c r="G156" s="35"/>
      <c r="H156" s="35"/>
      <c r="I156" s="35"/>
    </row>
    <row r="157" spans="3:9" ht="13.5" customHeight="1" x14ac:dyDescent="0.25">
      <c r="C157" s="16"/>
      <c r="D157" s="16"/>
      <c r="E157" s="64"/>
      <c r="F157" s="64"/>
      <c r="G157" s="16"/>
      <c r="H157" s="16"/>
      <c r="I157" s="16"/>
    </row>
    <row r="158" spans="3:9" ht="13.5" customHeight="1" x14ac:dyDescent="0.25">
      <c r="C158" s="35"/>
      <c r="D158" s="35"/>
      <c r="E158" s="65"/>
      <c r="F158" s="69"/>
      <c r="G158" s="35"/>
      <c r="H158" s="35"/>
      <c r="I158" s="35"/>
    </row>
    <row r="159" spans="3:9" ht="13.5" customHeight="1" x14ac:dyDescent="0.25">
      <c r="C159" s="16"/>
      <c r="D159" s="16"/>
      <c r="E159" s="64"/>
      <c r="F159" s="64"/>
      <c r="G159" s="16"/>
      <c r="H159" s="16"/>
      <c r="I159" s="16"/>
    </row>
    <row r="160" spans="3:9" ht="13.5" customHeight="1" x14ac:dyDescent="0.25">
      <c r="C160" s="35"/>
      <c r="D160" s="35"/>
      <c r="E160" s="65"/>
      <c r="F160" s="69"/>
      <c r="G160" s="35"/>
      <c r="H160" s="35"/>
      <c r="I160" s="35"/>
    </row>
    <row r="161" spans="3:9" ht="13.5" customHeight="1" x14ac:dyDescent="0.25">
      <c r="C161" s="16"/>
      <c r="D161" s="16"/>
      <c r="E161" s="64"/>
      <c r="F161" s="64"/>
      <c r="G161" s="16"/>
      <c r="H161" s="16"/>
      <c r="I161" s="16"/>
    </row>
    <row r="162" spans="3:9" ht="13.5" customHeight="1" x14ac:dyDescent="0.25">
      <c r="C162" s="35"/>
      <c r="D162" s="35"/>
      <c r="E162" s="65"/>
      <c r="F162" s="69"/>
      <c r="G162" s="35"/>
      <c r="H162" s="35"/>
      <c r="I162" s="35"/>
    </row>
    <row r="163" spans="3:9" ht="13.5" customHeight="1" x14ac:dyDescent="0.25">
      <c r="C163" s="16"/>
      <c r="D163" s="16"/>
      <c r="E163" s="64"/>
      <c r="F163" s="64"/>
      <c r="G163" s="16"/>
      <c r="H163" s="16"/>
      <c r="I163" s="16"/>
    </row>
    <row r="164" spans="3:9" ht="13.5" customHeight="1" x14ac:dyDescent="0.25">
      <c r="C164" s="35"/>
      <c r="D164" s="35"/>
      <c r="E164" s="65"/>
      <c r="F164" s="69"/>
      <c r="G164" s="35"/>
      <c r="H164" s="35"/>
      <c r="I164" s="35"/>
    </row>
    <row r="165" spans="3:9" ht="13.5" customHeight="1" x14ac:dyDescent="0.25">
      <c r="C165" s="16"/>
      <c r="D165" s="16"/>
      <c r="E165" s="64"/>
      <c r="F165" s="64"/>
      <c r="G165" s="16"/>
      <c r="H165" s="16"/>
      <c r="I165" s="16"/>
    </row>
    <row r="166" spans="3:9" ht="13.5" customHeight="1" x14ac:dyDescent="0.25">
      <c r="C166" s="35"/>
      <c r="D166" s="35"/>
      <c r="E166" s="65"/>
      <c r="F166" s="69"/>
      <c r="G166" s="35"/>
      <c r="H166" s="35"/>
      <c r="I166" s="35"/>
    </row>
    <row r="167" spans="3:9" ht="13.5" customHeight="1" x14ac:dyDescent="0.25">
      <c r="C167" s="16"/>
      <c r="D167" s="16"/>
      <c r="E167" s="64"/>
      <c r="F167" s="64"/>
      <c r="G167" s="16"/>
      <c r="H167" s="16"/>
      <c r="I167" s="16"/>
    </row>
    <row r="168" spans="3:9" ht="13.5" customHeight="1" x14ac:dyDescent="0.25">
      <c r="C168" s="35"/>
      <c r="D168" s="35"/>
      <c r="E168" s="65"/>
      <c r="F168" s="69"/>
      <c r="G168" s="35"/>
      <c r="H168" s="35"/>
      <c r="I168" s="35"/>
    </row>
    <row r="169" spans="3:9" ht="13.5" customHeight="1" x14ac:dyDescent="0.25">
      <c r="C169" s="16"/>
      <c r="D169" s="16"/>
      <c r="E169" s="64"/>
      <c r="F169" s="64"/>
      <c r="G169" s="16"/>
      <c r="H169" s="16"/>
      <c r="I169" s="16"/>
    </row>
    <row r="170" spans="3:9" ht="13.5" customHeight="1" x14ac:dyDescent="0.25">
      <c r="C170" s="35"/>
      <c r="D170" s="35"/>
      <c r="E170" s="65"/>
      <c r="F170" s="69"/>
      <c r="G170" s="35"/>
      <c r="H170" s="35"/>
      <c r="I170" s="35"/>
    </row>
    <row r="171" spans="3:9" ht="13.5" customHeight="1" x14ac:dyDescent="0.25">
      <c r="C171" s="16"/>
      <c r="D171" s="16"/>
      <c r="E171" s="64"/>
      <c r="F171" s="64"/>
      <c r="G171" s="16"/>
      <c r="H171" s="16"/>
      <c r="I171" s="16"/>
    </row>
    <row r="172" spans="3:9" ht="13.5" customHeight="1" x14ac:dyDescent="0.25">
      <c r="C172" s="35"/>
      <c r="D172" s="35"/>
      <c r="E172" s="65"/>
      <c r="F172" s="69"/>
      <c r="G172" s="35"/>
      <c r="H172" s="35"/>
      <c r="I172" s="35"/>
    </row>
    <row r="173" spans="3:9" ht="13.5" customHeight="1" x14ac:dyDescent="0.25">
      <c r="C173" s="16"/>
      <c r="D173" s="16"/>
      <c r="E173" s="64"/>
      <c r="F173" s="64"/>
      <c r="G173" s="16"/>
      <c r="H173" s="16"/>
      <c r="I173" s="16"/>
    </row>
    <row r="174" spans="3:9" ht="13.5" customHeight="1" x14ac:dyDescent="0.25">
      <c r="C174" s="35"/>
      <c r="D174" s="35"/>
      <c r="E174" s="65"/>
      <c r="F174" s="69"/>
      <c r="G174" s="35"/>
      <c r="H174" s="35"/>
      <c r="I174" s="35"/>
    </row>
    <row r="175" spans="3:9" ht="13.5" customHeight="1" x14ac:dyDescent="0.25">
      <c r="C175" s="16"/>
      <c r="D175" s="16"/>
      <c r="E175" s="64"/>
      <c r="F175" s="64"/>
      <c r="G175" s="16"/>
      <c r="H175" s="16"/>
      <c r="I175" s="16"/>
    </row>
    <row r="176" spans="3:9" ht="13.5" customHeight="1" x14ac:dyDescent="0.25">
      <c r="C176" s="35"/>
      <c r="D176" s="35"/>
      <c r="E176" s="65"/>
      <c r="F176" s="69"/>
      <c r="G176" s="35"/>
      <c r="H176" s="35"/>
      <c r="I176" s="35"/>
    </row>
    <row r="177" spans="3:9" ht="13.5" customHeight="1" x14ac:dyDescent="0.25">
      <c r="C177" s="16"/>
      <c r="D177" s="16"/>
      <c r="E177" s="64"/>
      <c r="F177" s="64"/>
      <c r="G177" s="16"/>
      <c r="H177" s="16"/>
      <c r="I177" s="16"/>
    </row>
    <row r="178" spans="3:9" ht="13.5" customHeight="1" x14ac:dyDescent="0.25">
      <c r="C178" s="35"/>
      <c r="D178" s="35"/>
      <c r="E178" s="65"/>
      <c r="F178" s="69"/>
      <c r="G178" s="35"/>
      <c r="H178" s="35"/>
      <c r="I178" s="35"/>
    </row>
    <row r="179" spans="3:9" ht="13.5" customHeight="1" x14ac:dyDescent="0.25">
      <c r="C179" s="16"/>
      <c r="D179" s="16"/>
      <c r="E179" s="64"/>
      <c r="F179" s="64"/>
      <c r="G179" s="16"/>
      <c r="H179" s="16"/>
      <c r="I179" s="16"/>
    </row>
    <row r="180" spans="3:9" ht="13.5" customHeight="1" x14ac:dyDescent="0.25">
      <c r="C180" s="35"/>
      <c r="D180" s="35"/>
      <c r="E180" s="65"/>
      <c r="F180" s="69"/>
      <c r="G180" s="35"/>
      <c r="H180" s="35"/>
      <c r="I180" s="35"/>
    </row>
    <row r="181" spans="3:9" ht="13.5" customHeight="1" x14ac:dyDescent="0.25">
      <c r="C181" s="16"/>
      <c r="D181" s="16"/>
      <c r="E181" s="64"/>
      <c r="F181" s="64"/>
      <c r="G181" s="16"/>
      <c r="H181" s="16"/>
      <c r="I181" s="16"/>
    </row>
    <row r="182" spans="3:9" ht="13.5" customHeight="1" x14ac:dyDescent="0.25">
      <c r="C182" s="35"/>
      <c r="D182" s="35"/>
      <c r="E182" s="65"/>
      <c r="F182" s="69"/>
      <c r="G182" s="35"/>
      <c r="H182" s="35"/>
      <c r="I182" s="35"/>
    </row>
    <row r="183" spans="3:9" ht="13.5" customHeight="1" x14ac:dyDescent="0.25">
      <c r="C183" s="16"/>
      <c r="D183" s="16"/>
      <c r="E183" s="64"/>
      <c r="F183" s="64"/>
      <c r="G183" s="16"/>
      <c r="H183" s="16"/>
      <c r="I183" s="16"/>
    </row>
    <row r="184" spans="3:9" ht="13.5" customHeight="1" x14ac:dyDescent="0.25">
      <c r="C184" s="35"/>
      <c r="D184" s="35"/>
      <c r="E184" s="65"/>
      <c r="F184" s="69"/>
      <c r="G184" s="35"/>
      <c r="H184" s="35"/>
      <c r="I184" s="35"/>
    </row>
    <row r="185" spans="3:9" ht="13.5" customHeight="1" x14ac:dyDescent="0.25">
      <c r="C185" s="16"/>
      <c r="D185" s="16"/>
      <c r="E185" s="64"/>
      <c r="F185" s="64"/>
      <c r="G185" s="16"/>
      <c r="H185" s="16"/>
      <c r="I185" s="16"/>
    </row>
    <row r="186" spans="3:9" ht="13.5" customHeight="1" x14ac:dyDescent="0.25">
      <c r="C186" s="35"/>
      <c r="D186" s="35"/>
      <c r="E186" s="65"/>
      <c r="F186" s="69"/>
      <c r="G186" s="35"/>
      <c r="H186" s="35"/>
      <c r="I186" s="35"/>
    </row>
    <row r="187" spans="3:9" ht="13.5" customHeight="1" x14ac:dyDescent="0.25">
      <c r="C187" s="16"/>
      <c r="D187" s="16"/>
      <c r="E187" s="64"/>
      <c r="F187" s="64"/>
      <c r="G187" s="16"/>
      <c r="H187" s="16"/>
      <c r="I187" s="16"/>
    </row>
    <row r="188" spans="3:9" ht="13.5" customHeight="1" x14ac:dyDescent="0.25">
      <c r="C188" s="35"/>
      <c r="D188" s="35"/>
      <c r="E188" s="65"/>
      <c r="F188" s="69"/>
      <c r="G188" s="35"/>
      <c r="H188" s="35"/>
      <c r="I188" s="35"/>
    </row>
    <row r="189" spans="3:9" ht="13.5" customHeight="1" x14ac:dyDescent="0.25">
      <c r="C189" s="16"/>
      <c r="D189" s="16"/>
      <c r="E189" s="64"/>
      <c r="F189" s="64"/>
      <c r="G189" s="16"/>
      <c r="H189" s="16"/>
      <c r="I189" s="16"/>
    </row>
    <row r="190" spans="3:9" ht="13.5" customHeight="1" x14ac:dyDescent="0.25">
      <c r="C190" s="35"/>
      <c r="D190" s="35"/>
      <c r="E190" s="65"/>
      <c r="F190" s="69"/>
      <c r="G190" s="35"/>
      <c r="H190" s="35"/>
      <c r="I190" s="35"/>
    </row>
    <row r="191" spans="3:9" ht="13.5" customHeight="1" x14ac:dyDescent="0.25">
      <c r="C191" s="16"/>
      <c r="D191" s="16"/>
      <c r="E191" s="64"/>
      <c r="F191" s="64"/>
      <c r="G191" s="16"/>
      <c r="H191" s="16"/>
      <c r="I191" s="16"/>
    </row>
    <row r="192" spans="3:9" ht="13.5" customHeight="1" x14ac:dyDescent="0.25">
      <c r="C192" s="35"/>
      <c r="D192" s="35"/>
      <c r="E192" s="65"/>
      <c r="F192" s="69"/>
      <c r="G192" s="35"/>
      <c r="H192" s="35"/>
      <c r="I192" s="35"/>
    </row>
    <row r="193" spans="3:9" ht="13.5" customHeight="1" x14ac:dyDescent="0.25">
      <c r="C193" s="16"/>
      <c r="D193" s="16"/>
      <c r="E193" s="64"/>
      <c r="F193" s="64"/>
      <c r="G193" s="16"/>
      <c r="H193" s="16"/>
      <c r="I193" s="16"/>
    </row>
    <row r="194" spans="3:9" ht="13.5" customHeight="1" x14ac:dyDescent="0.25">
      <c r="C194" s="35"/>
      <c r="D194" s="35"/>
      <c r="E194" s="65"/>
      <c r="F194" s="69"/>
      <c r="G194" s="35"/>
      <c r="H194" s="35"/>
      <c r="I194" s="35"/>
    </row>
    <row r="195" spans="3:9" ht="13.5" customHeight="1" x14ac:dyDescent="0.25">
      <c r="C195" s="16"/>
      <c r="D195" s="16"/>
      <c r="E195" s="64"/>
      <c r="F195" s="64"/>
      <c r="G195" s="16"/>
      <c r="H195" s="16"/>
      <c r="I195" s="16"/>
    </row>
    <row r="196" spans="3:9" ht="13.5" customHeight="1" x14ac:dyDescent="0.25">
      <c r="C196" s="35"/>
      <c r="D196" s="35"/>
      <c r="E196" s="65"/>
      <c r="F196" s="69"/>
      <c r="G196" s="35"/>
      <c r="H196" s="35"/>
      <c r="I196" s="35"/>
    </row>
    <row r="197" spans="3:9" ht="13.5" customHeight="1" x14ac:dyDescent="0.25">
      <c r="C197" s="16"/>
      <c r="D197" s="16"/>
      <c r="E197" s="64"/>
      <c r="F197" s="64"/>
      <c r="G197" s="16"/>
      <c r="H197" s="16"/>
      <c r="I197" s="16"/>
    </row>
    <row r="198" spans="3:9" ht="13.5" customHeight="1" x14ac:dyDescent="0.25">
      <c r="C198" s="35"/>
      <c r="D198" s="35"/>
      <c r="E198" s="65"/>
      <c r="F198" s="69"/>
      <c r="G198" s="35"/>
      <c r="H198" s="35"/>
      <c r="I198" s="35"/>
    </row>
    <row r="199" spans="3:9" ht="13.5" customHeight="1" x14ac:dyDescent="0.25">
      <c r="C199" s="16"/>
      <c r="D199" s="16"/>
      <c r="E199" s="64"/>
      <c r="F199" s="64"/>
      <c r="G199" s="16"/>
      <c r="H199" s="16"/>
      <c r="I199" s="16"/>
    </row>
    <row r="200" spans="3:9" ht="13.5" customHeight="1" x14ac:dyDescent="0.25">
      <c r="C200" s="35"/>
      <c r="D200" s="35"/>
      <c r="E200" s="65"/>
      <c r="F200" s="69"/>
      <c r="G200" s="35"/>
      <c r="H200" s="35"/>
      <c r="I200" s="35"/>
    </row>
    <row r="201" spans="3:9" ht="13.5" customHeight="1" x14ac:dyDescent="0.25">
      <c r="C201" s="16"/>
      <c r="D201" s="16"/>
      <c r="E201" s="64"/>
      <c r="F201" s="64"/>
      <c r="G201" s="16"/>
      <c r="H201" s="16"/>
      <c r="I201" s="16"/>
    </row>
    <row r="202" spans="3:9" ht="13.5" customHeight="1" x14ac:dyDescent="0.25">
      <c r="C202" s="35"/>
      <c r="D202" s="35"/>
      <c r="E202" s="65"/>
      <c r="F202" s="69"/>
      <c r="G202" s="35"/>
      <c r="H202" s="35"/>
      <c r="I202" s="35"/>
    </row>
    <row r="203" spans="3:9" ht="13.5" customHeight="1" x14ac:dyDescent="0.25">
      <c r="C203" s="16"/>
      <c r="D203" s="16"/>
      <c r="E203" s="64"/>
      <c r="F203" s="64"/>
      <c r="G203" s="16"/>
      <c r="H203" s="16"/>
      <c r="I203" s="16"/>
    </row>
    <row r="204" spans="3:9" ht="13.5" customHeight="1" x14ac:dyDescent="0.25">
      <c r="C204" s="35"/>
      <c r="D204" s="35"/>
      <c r="E204" s="65"/>
      <c r="F204" s="69"/>
      <c r="G204" s="35"/>
      <c r="H204" s="35"/>
      <c r="I204" s="35"/>
    </row>
    <row r="205" spans="3:9" ht="13.5" customHeight="1" x14ac:dyDescent="0.25">
      <c r="C205" s="16"/>
      <c r="D205" s="16"/>
      <c r="E205" s="64"/>
      <c r="F205" s="64"/>
      <c r="G205" s="16"/>
      <c r="H205" s="16"/>
      <c r="I205" s="16"/>
    </row>
    <row r="206" spans="3:9" ht="13.5" customHeight="1" x14ac:dyDescent="0.25">
      <c r="C206" s="35"/>
      <c r="D206" s="35"/>
      <c r="E206" s="65"/>
      <c r="F206" s="69"/>
      <c r="G206" s="35"/>
      <c r="H206" s="35"/>
      <c r="I206" s="35"/>
    </row>
    <row r="207" spans="3:9" ht="13.5" customHeight="1" x14ac:dyDescent="0.25">
      <c r="C207" s="16"/>
      <c r="D207" s="16"/>
      <c r="E207" s="64"/>
      <c r="F207" s="64"/>
      <c r="G207" s="16"/>
      <c r="H207" s="16"/>
      <c r="I207" s="16"/>
    </row>
    <row r="208" spans="3:9" ht="13.5" customHeight="1" x14ac:dyDescent="0.25">
      <c r="C208" s="35"/>
      <c r="D208" s="35"/>
      <c r="E208" s="65"/>
      <c r="F208" s="69"/>
      <c r="G208" s="35"/>
      <c r="H208" s="35"/>
      <c r="I208" s="35"/>
    </row>
    <row r="209" spans="3:9" ht="13.5" customHeight="1" x14ac:dyDescent="0.25">
      <c r="C209" s="16"/>
      <c r="D209" s="16"/>
      <c r="E209" s="64"/>
      <c r="F209" s="64"/>
      <c r="G209" s="16"/>
      <c r="H209" s="16"/>
      <c r="I209" s="16"/>
    </row>
    <row r="210" spans="3:9" ht="13.5" customHeight="1" x14ac:dyDescent="0.25">
      <c r="C210" s="35"/>
      <c r="D210" s="35"/>
      <c r="E210" s="65"/>
      <c r="F210" s="69"/>
      <c r="G210" s="35"/>
      <c r="H210" s="35"/>
      <c r="I210" s="35"/>
    </row>
    <row r="211" spans="3:9" ht="13.5" customHeight="1" x14ac:dyDescent="0.25">
      <c r="C211" s="16"/>
      <c r="D211" s="16"/>
      <c r="E211" s="64"/>
      <c r="F211" s="64"/>
      <c r="G211" s="16"/>
      <c r="H211" s="16"/>
      <c r="I211" s="16"/>
    </row>
    <row r="212" spans="3:9" ht="13.5" customHeight="1" x14ac:dyDescent="0.25">
      <c r="C212" s="35"/>
      <c r="D212" s="35"/>
      <c r="E212" s="65"/>
      <c r="F212" s="69"/>
      <c r="G212" s="35"/>
      <c r="H212" s="35"/>
      <c r="I212" s="35"/>
    </row>
    <row r="213" spans="3:9" ht="13.5" customHeight="1" x14ac:dyDescent="0.25">
      <c r="C213" s="16"/>
      <c r="D213" s="16"/>
      <c r="E213" s="64"/>
      <c r="F213" s="64"/>
      <c r="G213" s="16"/>
      <c r="H213" s="16"/>
      <c r="I213" s="16"/>
    </row>
    <row r="214" spans="3:9" ht="13.5" customHeight="1" x14ac:dyDescent="0.25">
      <c r="C214" s="35"/>
      <c r="D214" s="35"/>
      <c r="E214" s="65"/>
      <c r="F214" s="69"/>
      <c r="G214" s="35"/>
      <c r="H214" s="35"/>
      <c r="I214" s="35"/>
    </row>
    <row r="215" spans="3:9" ht="13.5" customHeight="1" x14ac:dyDescent="0.25">
      <c r="C215" s="16"/>
      <c r="D215" s="16"/>
      <c r="E215" s="64"/>
      <c r="F215" s="64"/>
      <c r="G215" s="16"/>
      <c r="H215" s="16"/>
      <c r="I215" s="16"/>
    </row>
    <row r="216" spans="3:9" ht="13.5" customHeight="1" x14ac:dyDescent="0.25">
      <c r="C216" s="35"/>
      <c r="D216" s="35"/>
      <c r="E216" s="65"/>
      <c r="F216" s="69"/>
      <c r="G216" s="35"/>
      <c r="H216" s="35"/>
      <c r="I216" s="35"/>
    </row>
    <row r="217" spans="3:9" ht="13.5" customHeight="1" x14ac:dyDescent="0.25">
      <c r="C217" s="16"/>
      <c r="D217" s="16"/>
      <c r="E217" s="64"/>
      <c r="F217" s="64"/>
      <c r="G217" s="16"/>
      <c r="H217" s="16"/>
      <c r="I217" s="16"/>
    </row>
    <row r="218" spans="3:9" ht="13.5" customHeight="1" x14ac:dyDescent="0.25">
      <c r="C218" s="35"/>
      <c r="D218" s="35"/>
      <c r="E218" s="65"/>
      <c r="F218" s="69"/>
      <c r="G218" s="35"/>
      <c r="H218" s="35"/>
      <c r="I218" s="35"/>
    </row>
    <row r="219" spans="3:9" ht="13.5" customHeight="1" x14ac:dyDescent="0.25">
      <c r="C219" s="16"/>
      <c r="D219" s="16"/>
      <c r="E219" s="64"/>
      <c r="F219" s="64"/>
      <c r="G219" s="16"/>
      <c r="H219" s="16"/>
      <c r="I219" s="16"/>
    </row>
    <row r="220" spans="3:9" ht="13.5" customHeight="1" x14ac:dyDescent="0.25">
      <c r="C220" s="35"/>
      <c r="D220" s="35"/>
      <c r="E220" s="65"/>
      <c r="F220" s="69"/>
      <c r="G220" s="35"/>
      <c r="H220" s="35"/>
      <c r="I220" s="35"/>
    </row>
    <row r="221" spans="3:9" ht="13.5" customHeight="1" x14ac:dyDescent="0.25">
      <c r="C221" s="16"/>
      <c r="D221" s="16"/>
      <c r="E221" s="64"/>
      <c r="F221" s="64"/>
      <c r="G221" s="16"/>
      <c r="H221" s="16"/>
      <c r="I221" s="16"/>
    </row>
  </sheetData>
  <sortState xmlns:xlrd2="http://schemas.microsoft.com/office/spreadsheetml/2017/richdata2" ref="C15:I60">
    <sortCondition ref="C14"/>
  </sortState>
  <mergeCells count="11">
    <mergeCell ref="D9:E9"/>
    <mergeCell ref="H9:I9"/>
    <mergeCell ref="D10:E10"/>
    <mergeCell ref="H10:I10"/>
    <mergeCell ref="C13:I13"/>
    <mergeCell ref="D6:E6"/>
    <mergeCell ref="H6:I6"/>
    <mergeCell ref="D7:E7"/>
    <mergeCell ref="H7:I7"/>
    <mergeCell ref="D8:E8"/>
    <mergeCell ref="H8:I8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FA638-42E4-433D-8875-7893849AD7F4}">
  <sheetPr codeName="Sheet5">
    <tabColor rgb="FFFF8585"/>
  </sheetPr>
  <dimension ref="A1:Q129"/>
  <sheetViews>
    <sheetView zoomScale="115" zoomScaleNormal="115" workbookViewId="0">
      <selection activeCell="C15" sqref="C15:I129"/>
    </sheetView>
  </sheetViews>
  <sheetFormatPr defaultColWidth="0" defaultRowHeight="13.5" customHeight="1" x14ac:dyDescent="0.25"/>
  <cols>
    <col min="1" max="1" width="2.7109375" customWidth="1"/>
    <col min="2" max="2" width="1.7109375" customWidth="1"/>
    <col min="3" max="3" width="11.85546875" customWidth="1"/>
    <col min="4" max="4" width="6.85546875" bestFit="1" customWidth="1"/>
    <col min="5" max="5" width="40.28515625" customWidth="1"/>
    <col min="6" max="6" width="36.7109375" customWidth="1"/>
    <col min="7" max="7" width="24.28515625" customWidth="1"/>
    <col min="8" max="8" width="16.7109375" customWidth="1"/>
    <col min="9" max="9" width="11.85546875" customWidth="1"/>
    <col min="10" max="11" width="1.7109375" customWidth="1"/>
    <col min="12" max="12" width="2.7109375" hidden="1" customWidth="1"/>
    <col min="13" max="13" width="15.140625" hidden="1" customWidth="1"/>
    <col min="14" max="14" width="1.7109375" hidden="1" customWidth="1"/>
    <col min="15" max="15" width="2.7109375" hidden="1" customWidth="1"/>
    <col min="16" max="17" width="0" hidden="1" customWidth="1"/>
    <col min="18" max="16384" width="9.140625" hidden="1"/>
  </cols>
  <sheetData>
    <row r="1" spans="1:13" s="1" customFormat="1" x14ac:dyDescent="0.25">
      <c r="A1" s="43"/>
      <c r="B1" s="43"/>
      <c r="C1" s="43"/>
      <c r="D1" s="43"/>
      <c r="E1" s="60"/>
      <c r="F1" s="43"/>
      <c r="G1" s="43"/>
      <c r="H1" s="43"/>
      <c r="I1" s="43"/>
      <c r="J1" s="43"/>
      <c r="K1" s="72"/>
      <c r="L1" s="43"/>
      <c r="M1" s="43"/>
    </row>
    <row r="2" spans="1:13" s="1" customFormat="1" x14ac:dyDescent="0.25">
      <c r="A2" s="43"/>
      <c r="B2" s="43"/>
      <c r="C2" s="43"/>
      <c r="D2" s="43"/>
      <c r="E2" s="60"/>
      <c r="F2" s="43"/>
      <c r="G2" s="43"/>
      <c r="H2" s="43"/>
      <c r="I2" s="43"/>
      <c r="J2" s="43"/>
      <c r="K2" s="72"/>
      <c r="L2" s="43"/>
      <c r="M2" s="43"/>
    </row>
    <row r="3" spans="1:13" s="1" customFormat="1" x14ac:dyDescent="0.25">
      <c r="A3" s="43"/>
      <c r="B3" s="43"/>
      <c r="C3" s="43"/>
      <c r="D3" s="43"/>
      <c r="E3" s="60"/>
      <c r="F3" s="43"/>
      <c r="G3" s="43"/>
      <c r="H3" s="43"/>
      <c r="I3" s="43"/>
      <c r="J3" s="43"/>
      <c r="K3" s="72"/>
      <c r="L3" s="43"/>
      <c r="M3" s="43"/>
    </row>
    <row r="4" spans="1:13" s="1" customFormat="1" x14ac:dyDescent="0.25">
      <c r="A4" s="43"/>
      <c r="B4" s="43"/>
      <c r="C4" s="43"/>
      <c r="D4" s="43"/>
      <c r="E4" s="60"/>
      <c r="F4" s="43"/>
      <c r="G4" s="43"/>
      <c r="H4" s="43"/>
      <c r="I4" s="43"/>
      <c r="J4" s="43"/>
      <c r="K4" s="72"/>
      <c r="L4" s="43"/>
      <c r="M4" s="43"/>
    </row>
    <row r="5" spans="1:13" s="1" customFormat="1" ht="9.9499999999999993" customHeight="1" x14ac:dyDescent="0.25">
      <c r="A5" s="43"/>
      <c r="B5" s="9"/>
      <c r="C5" s="10"/>
      <c r="D5" s="10"/>
      <c r="E5" s="61"/>
      <c r="F5" s="10"/>
      <c r="G5" s="45"/>
      <c r="H5" s="10"/>
      <c r="I5" s="10"/>
      <c r="J5" s="11"/>
      <c r="K5" s="72"/>
    </row>
    <row r="6" spans="1:13" s="1" customFormat="1" ht="14.25" x14ac:dyDescent="0.3">
      <c r="A6" s="43"/>
      <c r="B6" s="4"/>
      <c r="C6" s="44" t="s">
        <v>0</v>
      </c>
      <c r="D6" s="93">
        <f>IF('Project Details'!D6=0,"", 'Project Details'!D6)</f>
        <v>45217</v>
      </c>
      <c r="E6" s="93"/>
      <c r="F6" s="13"/>
      <c r="G6" s="44" t="s">
        <v>90</v>
      </c>
      <c r="H6" s="95">
        <f>IF('Project Details'!J6=0,"", 'Project Details'!J6)</f>
        <v>1</v>
      </c>
      <c r="I6" s="95"/>
      <c r="J6" s="5"/>
      <c r="K6" s="72"/>
    </row>
    <row r="7" spans="1:13" s="1" customFormat="1" ht="14.25" x14ac:dyDescent="0.3">
      <c r="A7" s="43"/>
      <c r="B7" s="4"/>
      <c r="C7" s="44" t="s">
        <v>1</v>
      </c>
      <c r="D7" s="95" t="str">
        <f>IF('Project Details'!D7=0,"", 'Project Details'!D7)</f>
        <v>William Andrew Bulaquena</v>
      </c>
      <c r="E7" s="95"/>
      <c r="F7" s="13"/>
      <c r="G7" s="44" t="s">
        <v>91</v>
      </c>
      <c r="H7" s="95">
        <f>IF('Project Details'!J7=0,"", 'Project Details'!J7)</f>
        <v>1</v>
      </c>
      <c r="I7" s="95"/>
      <c r="J7" s="5"/>
      <c r="K7" s="72"/>
    </row>
    <row r="8" spans="1:13" s="1" customFormat="1" ht="14.25" x14ac:dyDescent="0.3">
      <c r="A8" s="43"/>
      <c r="B8" s="4"/>
      <c r="C8" s="44" t="s">
        <v>730</v>
      </c>
      <c r="D8" s="95" t="str">
        <f>IF('Project Details'!D8=0,"", 'Project Details'!D8)</f>
        <v>Banilad</v>
      </c>
      <c r="E8" s="95"/>
      <c r="F8" s="13"/>
      <c r="G8" s="44" t="s">
        <v>92</v>
      </c>
      <c r="H8" s="95">
        <f>IF('Project Details'!J8=0,"", 'Project Details'!J8)</f>
        <v>12345</v>
      </c>
      <c r="I8" s="95"/>
      <c r="J8" s="5"/>
      <c r="K8" s="72"/>
    </row>
    <row r="9" spans="1:13" s="1" customFormat="1" ht="14.25" x14ac:dyDescent="0.3">
      <c r="A9" s="43"/>
      <c r="B9" s="4"/>
      <c r="C9" s="44" t="s">
        <v>62</v>
      </c>
      <c r="D9" s="95">
        <f>IF('Project Details'!D9=0,"", 'Project Details'!D9)</f>
        <v>9123456789</v>
      </c>
      <c r="E9" s="95"/>
      <c r="F9" s="13"/>
      <c r="G9" s="44" t="s">
        <v>93</v>
      </c>
      <c r="H9" s="95" t="str">
        <f>IF('Project Details'!J9=0,"", 'Project Details'!J9)</f>
        <v>Kunstof</v>
      </c>
      <c r="I9" s="95"/>
      <c r="J9" s="5"/>
      <c r="K9" s="72"/>
    </row>
    <row r="10" spans="1:13" s="1" customFormat="1" ht="14.25" x14ac:dyDescent="0.3">
      <c r="A10" s="43"/>
      <c r="B10" s="4"/>
      <c r="C10" s="44" t="s">
        <v>63</v>
      </c>
      <c r="D10" s="95" t="str">
        <f>IF('Project Details'!D10=0,"", 'Project Details'!D10)</f>
        <v>williamgbulaquena@gmail.com</v>
      </c>
      <c r="E10" s="95"/>
      <c r="F10" s="13"/>
      <c r="G10" s="44" t="s">
        <v>94</v>
      </c>
      <c r="H10" s="95" t="str">
        <f>IF('Project Details'!J10=0,"", 'Project Details'!J10)</f>
        <v>Kunstof</v>
      </c>
      <c r="I10" s="95"/>
      <c r="J10" s="5"/>
      <c r="K10" s="72"/>
    </row>
    <row r="11" spans="1:13" s="1" customFormat="1" ht="9.9499999999999993" customHeight="1" x14ac:dyDescent="0.25">
      <c r="A11" s="43"/>
      <c r="B11" s="6"/>
      <c r="C11" s="7"/>
      <c r="D11" s="7"/>
      <c r="E11" s="62"/>
      <c r="F11" s="7"/>
      <c r="G11" s="7"/>
      <c r="H11" s="14"/>
      <c r="I11" s="7"/>
      <c r="J11" s="8"/>
      <c r="K11" s="72"/>
    </row>
    <row r="12" spans="1:13" s="1" customFormat="1" x14ac:dyDescent="0.25">
      <c r="A12" s="43"/>
      <c r="B12" s="43"/>
      <c r="C12" s="43"/>
      <c r="D12" s="43"/>
      <c r="E12" s="60"/>
      <c r="F12" s="43"/>
      <c r="G12" s="43"/>
      <c r="H12" s="43"/>
      <c r="I12" s="43"/>
      <c r="J12" s="43"/>
      <c r="K12" s="72"/>
    </row>
    <row r="13" spans="1:13" s="1" customFormat="1" x14ac:dyDescent="0.25">
      <c r="A13" s="43"/>
      <c r="B13" s="43"/>
      <c r="C13" s="100" t="s">
        <v>878</v>
      </c>
      <c r="D13" s="101"/>
      <c r="E13" s="101"/>
      <c r="F13" s="101"/>
      <c r="G13" s="101"/>
      <c r="H13" s="101"/>
      <c r="I13" s="102"/>
      <c r="J13" s="43"/>
      <c r="K13" s="72"/>
    </row>
    <row r="14" spans="1:13" s="72" customFormat="1" x14ac:dyDescent="0.25">
      <c r="A14" s="43"/>
      <c r="B14" s="43"/>
      <c r="C14" s="37" t="s">
        <v>3</v>
      </c>
      <c r="D14" s="37" t="s">
        <v>134</v>
      </c>
      <c r="E14" s="37" t="s">
        <v>96</v>
      </c>
      <c r="F14" s="38" t="s">
        <v>95</v>
      </c>
      <c r="G14" s="37" t="s">
        <v>5</v>
      </c>
      <c r="H14" s="37" t="s">
        <v>135</v>
      </c>
      <c r="I14" s="37" t="s">
        <v>136</v>
      </c>
    </row>
    <row r="15" spans="1:13" ht="15" x14ac:dyDescent="0.25">
      <c r="C15" s="74"/>
      <c r="D15" s="74"/>
      <c r="E15" s="78"/>
      <c r="F15" s="78"/>
      <c r="G15" s="74"/>
      <c r="H15" s="74"/>
      <c r="I15" s="74"/>
    </row>
    <row r="16" spans="1:13" ht="15" x14ac:dyDescent="0.25">
      <c r="C16" s="35"/>
      <c r="D16" s="35"/>
      <c r="E16" s="65"/>
      <c r="F16" s="69"/>
      <c r="G16" s="35"/>
      <c r="H16" s="35"/>
      <c r="I16" s="35"/>
    </row>
    <row r="17" spans="3:9" ht="15" x14ac:dyDescent="0.25">
      <c r="C17" s="16"/>
      <c r="D17" s="16"/>
      <c r="E17" s="64"/>
      <c r="F17" s="64"/>
      <c r="G17" s="16"/>
      <c r="H17" s="16"/>
      <c r="I17" s="16"/>
    </row>
    <row r="18" spans="3:9" ht="15" x14ac:dyDescent="0.25">
      <c r="C18" s="35"/>
      <c r="D18" s="35"/>
      <c r="E18" s="65"/>
      <c r="F18" s="69"/>
      <c r="G18" s="35"/>
      <c r="H18" s="35"/>
      <c r="I18" s="35"/>
    </row>
    <row r="19" spans="3:9" ht="15" x14ac:dyDescent="0.25">
      <c r="C19" s="16"/>
      <c r="D19" s="16"/>
      <c r="E19" s="64"/>
      <c r="F19" s="64"/>
      <c r="G19" s="16"/>
      <c r="H19" s="16"/>
      <c r="I19" s="16"/>
    </row>
    <row r="20" spans="3:9" ht="15" x14ac:dyDescent="0.25">
      <c r="C20" s="35"/>
      <c r="D20" s="35"/>
      <c r="E20" s="65"/>
      <c r="F20" s="69"/>
      <c r="G20" s="35"/>
      <c r="H20" s="35"/>
      <c r="I20" s="35"/>
    </row>
    <row r="21" spans="3:9" ht="15" x14ac:dyDescent="0.25">
      <c r="C21" s="16"/>
      <c r="D21" s="16"/>
      <c r="E21" s="64"/>
      <c r="F21" s="64"/>
      <c r="G21" s="16"/>
      <c r="H21" s="16"/>
      <c r="I21" s="16"/>
    </row>
    <row r="22" spans="3:9" ht="15" x14ac:dyDescent="0.25">
      <c r="C22" s="35"/>
      <c r="D22" s="35"/>
      <c r="E22" s="65"/>
      <c r="F22" s="69"/>
      <c r="G22" s="35"/>
      <c r="H22" s="35"/>
      <c r="I22" s="35"/>
    </row>
    <row r="23" spans="3:9" ht="15" x14ac:dyDescent="0.25">
      <c r="C23" s="16"/>
      <c r="D23" s="16"/>
      <c r="E23" s="64"/>
      <c r="F23" s="64"/>
      <c r="G23" s="16"/>
      <c r="H23" s="16"/>
      <c r="I23" s="16"/>
    </row>
    <row r="24" spans="3:9" ht="15" x14ac:dyDescent="0.25">
      <c r="C24" s="35"/>
      <c r="D24" s="35"/>
      <c r="E24" s="65"/>
      <c r="F24" s="69"/>
      <c r="G24" s="35"/>
      <c r="H24" s="35"/>
      <c r="I24" s="35"/>
    </row>
    <row r="25" spans="3:9" ht="15" x14ac:dyDescent="0.25">
      <c r="C25" s="16"/>
      <c r="D25" s="16"/>
      <c r="E25" s="64"/>
      <c r="F25" s="64"/>
      <c r="G25" s="16"/>
      <c r="H25" s="16"/>
      <c r="I25" s="16"/>
    </row>
    <row r="26" spans="3:9" ht="15" x14ac:dyDescent="0.25">
      <c r="C26" s="35"/>
      <c r="D26" s="35"/>
      <c r="E26" s="65"/>
      <c r="F26" s="69"/>
      <c r="G26" s="35"/>
      <c r="H26" s="35"/>
      <c r="I26" s="35"/>
    </row>
    <row r="27" spans="3:9" ht="15" x14ac:dyDescent="0.25">
      <c r="C27" s="16"/>
      <c r="D27" s="16"/>
      <c r="E27" s="64"/>
      <c r="F27" s="64"/>
      <c r="G27" s="16"/>
      <c r="H27" s="16"/>
      <c r="I27" s="16"/>
    </row>
    <row r="28" spans="3:9" ht="15" x14ac:dyDescent="0.25">
      <c r="C28" s="35"/>
      <c r="D28" s="35"/>
      <c r="E28" s="65"/>
      <c r="F28" s="69"/>
      <c r="G28" s="35"/>
      <c r="H28" s="35"/>
      <c r="I28" s="35"/>
    </row>
    <row r="29" spans="3:9" ht="15" x14ac:dyDescent="0.25">
      <c r="C29" s="16"/>
      <c r="D29" s="16"/>
      <c r="E29" s="64"/>
      <c r="F29" s="64"/>
      <c r="G29" s="16"/>
      <c r="H29" s="16"/>
      <c r="I29" s="16"/>
    </row>
    <row r="30" spans="3:9" ht="15" x14ac:dyDescent="0.25">
      <c r="C30" s="35"/>
      <c r="D30" s="35"/>
      <c r="E30" s="65"/>
      <c r="F30" s="69"/>
      <c r="G30" s="35"/>
      <c r="H30" s="35"/>
      <c r="I30" s="35"/>
    </row>
    <row r="31" spans="3:9" ht="15" x14ac:dyDescent="0.25">
      <c r="C31" s="16"/>
      <c r="D31" s="16"/>
      <c r="E31" s="64"/>
      <c r="F31" s="64"/>
      <c r="G31" s="16"/>
      <c r="H31" s="16"/>
      <c r="I31" s="16"/>
    </row>
    <row r="32" spans="3:9" ht="15" x14ac:dyDescent="0.25">
      <c r="C32" s="35"/>
      <c r="D32" s="35"/>
      <c r="E32" s="65"/>
      <c r="F32" s="69"/>
      <c r="G32" s="35"/>
      <c r="H32" s="35"/>
      <c r="I32" s="35"/>
    </row>
    <row r="33" spans="3:9" ht="15" x14ac:dyDescent="0.25">
      <c r="C33" s="16"/>
      <c r="D33" s="16"/>
      <c r="E33" s="64"/>
      <c r="F33" s="64"/>
      <c r="G33" s="16"/>
      <c r="H33" s="16"/>
      <c r="I33" s="16"/>
    </row>
    <row r="34" spans="3:9" ht="13.5" customHeight="1" x14ac:dyDescent="0.25">
      <c r="C34" s="35"/>
      <c r="D34" s="35"/>
      <c r="E34" s="65"/>
      <c r="F34" s="69"/>
      <c r="G34" s="35"/>
      <c r="H34" s="35"/>
      <c r="I34" s="35"/>
    </row>
    <row r="35" spans="3:9" ht="13.5" customHeight="1" x14ac:dyDescent="0.25">
      <c r="C35" s="16"/>
      <c r="D35" s="16"/>
      <c r="E35" s="64"/>
      <c r="F35" s="64"/>
      <c r="G35" s="16"/>
      <c r="H35" s="16"/>
      <c r="I35" s="16"/>
    </row>
    <row r="36" spans="3:9" ht="13.5" customHeight="1" x14ac:dyDescent="0.25">
      <c r="C36" s="35"/>
      <c r="D36" s="35"/>
      <c r="E36" s="65"/>
      <c r="F36" s="69"/>
      <c r="G36" s="35"/>
      <c r="H36" s="35"/>
      <c r="I36" s="35"/>
    </row>
    <row r="37" spans="3:9" ht="13.5" customHeight="1" x14ac:dyDescent="0.25">
      <c r="C37" s="16"/>
      <c r="D37" s="16"/>
      <c r="E37" s="64"/>
      <c r="F37" s="64"/>
      <c r="G37" s="16"/>
      <c r="H37" s="16"/>
      <c r="I37" s="16"/>
    </row>
    <row r="38" spans="3:9" ht="13.5" customHeight="1" x14ac:dyDescent="0.25">
      <c r="C38" s="35"/>
      <c r="D38" s="35"/>
      <c r="E38" s="65"/>
      <c r="F38" s="69"/>
      <c r="G38" s="35"/>
      <c r="H38" s="35"/>
      <c r="I38" s="35"/>
    </row>
    <row r="39" spans="3:9" ht="13.5" customHeight="1" x14ac:dyDescent="0.25">
      <c r="C39" s="16"/>
      <c r="D39" s="16"/>
      <c r="E39" s="64"/>
      <c r="F39" s="64"/>
      <c r="G39" s="16"/>
      <c r="H39" s="16"/>
      <c r="I39" s="16"/>
    </row>
    <row r="40" spans="3:9" ht="13.5" customHeight="1" x14ac:dyDescent="0.25">
      <c r="C40" s="35"/>
      <c r="D40" s="35"/>
      <c r="E40" s="65"/>
      <c r="F40" s="69"/>
      <c r="G40" s="35"/>
      <c r="H40" s="35"/>
      <c r="I40" s="35"/>
    </row>
    <row r="41" spans="3:9" ht="13.5" customHeight="1" x14ac:dyDescent="0.25">
      <c r="C41" s="16"/>
      <c r="D41" s="16"/>
      <c r="E41" s="64"/>
      <c r="F41" s="64"/>
      <c r="G41" s="16"/>
      <c r="H41" s="16"/>
      <c r="I41" s="16"/>
    </row>
    <row r="42" spans="3:9" ht="13.5" customHeight="1" x14ac:dyDescent="0.25">
      <c r="C42" s="35"/>
      <c r="D42" s="35"/>
      <c r="E42" s="65"/>
      <c r="F42" s="69"/>
      <c r="G42" s="35"/>
      <c r="H42" s="35"/>
      <c r="I42" s="35"/>
    </row>
    <row r="43" spans="3:9" ht="13.5" customHeight="1" x14ac:dyDescent="0.25">
      <c r="C43" s="16"/>
      <c r="D43" s="16"/>
      <c r="E43" s="64"/>
      <c r="F43" s="64"/>
      <c r="G43" s="16"/>
      <c r="H43" s="16"/>
      <c r="I43" s="16"/>
    </row>
    <row r="44" spans="3:9" ht="13.5" customHeight="1" x14ac:dyDescent="0.25">
      <c r="C44" s="35"/>
      <c r="D44" s="35"/>
      <c r="E44" s="65"/>
      <c r="F44" s="69"/>
      <c r="G44" s="35"/>
      <c r="H44" s="35"/>
      <c r="I44" s="35"/>
    </row>
    <row r="45" spans="3:9" ht="13.5" customHeight="1" x14ac:dyDescent="0.25">
      <c r="C45" s="16"/>
      <c r="D45" s="16"/>
      <c r="E45" s="64"/>
      <c r="F45" s="64"/>
      <c r="G45" s="16"/>
      <c r="H45" s="16"/>
      <c r="I45" s="16"/>
    </row>
    <row r="46" spans="3:9" ht="13.5" customHeight="1" x14ac:dyDescent="0.25">
      <c r="C46" s="35"/>
      <c r="D46" s="35"/>
      <c r="E46" s="65"/>
      <c r="F46" s="69"/>
      <c r="G46" s="35"/>
      <c r="H46" s="35"/>
      <c r="I46" s="35"/>
    </row>
    <row r="47" spans="3:9" ht="13.5" customHeight="1" x14ac:dyDescent="0.25">
      <c r="C47" s="16"/>
      <c r="D47" s="16"/>
      <c r="E47" s="64"/>
      <c r="F47" s="64"/>
      <c r="G47" s="16"/>
      <c r="H47" s="16"/>
      <c r="I47" s="16"/>
    </row>
    <row r="48" spans="3:9" ht="13.5" customHeight="1" x14ac:dyDescent="0.25">
      <c r="C48" s="35"/>
      <c r="D48" s="35"/>
      <c r="E48" s="65"/>
      <c r="F48" s="69"/>
      <c r="G48" s="35"/>
      <c r="H48" s="35"/>
      <c r="I48" s="35"/>
    </row>
    <row r="49" spans="3:9" ht="13.5" customHeight="1" x14ac:dyDescent="0.25">
      <c r="C49" s="16"/>
      <c r="D49" s="16"/>
      <c r="E49" s="64"/>
      <c r="F49" s="64"/>
      <c r="G49" s="16"/>
      <c r="H49" s="16"/>
      <c r="I49" s="16"/>
    </row>
    <row r="50" spans="3:9" ht="13.5" customHeight="1" x14ac:dyDescent="0.25">
      <c r="C50" s="35"/>
      <c r="D50" s="35"/>
      <c r="E50" s="65"/>
      <c r="F50" s="69"/>
      <c r="G50" s="35"/>
      <c r="H50" s="35"/>
      <c r="I50" s="35"/>
    </row>
    <row r="51" spans="3:9" ht="13.5" customHeight="1" x14ac:dyDescent="0.25">
      <c r="C51" s="16"/>
      <c r="D51" s="16"/>
      <c r="E51" s="64"/>
      <c r="F51" s="64"/>
      <c r="G51" s="16"/>
      <c r="H51" s="16"/>
      <c r="I51" s="16"/>
    </row>
    <row r="52" spans="3:9" ht="13.5" customHeight="1" x14ac:dyDescent="0.25">
      <c r="C52" s="35"/>
      <c r="D52" s="35"/>
      <c r="E52" s="65"/>
      <c r="F52" s="69"/>
      <c r="G52" s="35"/>
      <c r="H52" s="35"/>
      <c r="I52" s="35"/>
    </row>
    <row r="53" spans="3:9" ht="13.5" customHeight="1" x14ac:dyDescent="0.25">
      <c r="C53" s="16"/>
      <c r="D53" s="16"/>
      <c r="E53" s="64"/>
      <c r="F53" s="64"/>
      <c r="G53" s="16"/>
      <c r="H53" s="16"/>
      <c r="I53" s="16"/>
    </row>
    <row r="54" spans="3:9" ht="13.5" customHeight="1" x14ac:dyDescent="0.25">
      <c r="C54" s="35"/>
      <c r="D54" s="35"/>
      <c r="E54" s="65"/>
      <c r="F54" s="69"/>
      <c r="G54" s="35"/>
      <c r="H54" s="35"/>
      <c r="I54" s="35"/>
    </row>
    <row r="55" spans="3:9" ht="13.5" customHeight="1" collapsed="1" x14ac:dyDescent="0.25">
      <c r="C55" s="16"/>
      <c r="D55" s="16"/>
      <c r="E55" s="64"/>
      <c r="F55" s="64"/>
      <c r="G55" s="16"/>
      <c r="H55" s="16"/>
      <c r="I55" s="16"/>
    </row>
    <row r="56" spans="3:9" ht="13.5" customHeight="1" x14ac:dyDescent="0.25">
      <c r="C56" s="35"/>
      <c r="D56" s="35"/>
      <c r="E56" s="65"/>
      <c r="F56" s="69"/>
      <c r="G56" s="35"/>
      <c r="H56" s="35"/>
      <c r="I56" s="35"/>
    </row>
    <row r="57" spans="3:9" ht="13.5" customHeight="1" x14ac:dyDescent="0.25">
      <c r="C57" s="16"/>
      <c r="D57" s="16"/>
      <c r="E57" s="64"/>
      <c r="F57" s="64"/>
      <c r="G57" s="16"/>
      <c r="H57" s="16"/>
      <c r="I57" s="16"/>
    </row>
    <row r="58" spans="3:9" ht="13.5" customHeight="1" x14ac:dyDescent="0.25">
      <c r="C58" s="35"/>
      <c r="D58" s="35"/>
      <c r="E58" s="65"/>
      <c r="F58" s="69"/>
      <c r="G58" s="35"/>
      <c r="H58" s="35"/>
      <c r="I58" s="35"/>
    </row>
    <row r="59" spans="3:9" ht="13.5" customHeight="1" x14ac:dyDescent="0.25">
      <c r="C59" s="16"/>
      <c r="D59" s="16"/>
      <c r="E59" s="64"/>
      <c r="F59" s="64"/>
      <c r="G59" s="16"/>
      <c r="H59" s="16"/>
      <c r="I59" s="16"/>
    </row>
    <row r="60" spans="3:9" ht="13.5" customHeight="1" x14ac:dyDescent="0.25">
      <c r="C60" s="35"/>
      <c r="D60" s="35"/>
      <c r="E60" s="65"/>
      <c r="F60" s="69"/>
      <c r="G60" s="35"/>
      <c r="H60" s="35"/>
      <c r="I60" s="35"/>
    </row>
    <row r="61" spans="3:9" ht="13.5" customHeight="1" x14ac:dyDescent="0.25">
      <c r="C61" s="16"/>
      <c r="D61" s="16"/>
      <c r="E61" s="64"/>
      <c r="F61" s="64"/>
      <c r="G61" s="16"/>
      <c r="H61" s="16"/>
      <c r="I61" s="16"/>
    </row>
    <row r="62" spans="3:9" ht="13.5" customHeight="1" x14ac:dyDescent="0.25">
      <c r="C62" s="35"/>
      <c r="D62" s="35"/>
      <c r="E62" s="65"/>
      <c r="F62" s="69"/>
      <c r="G62" s="35"/>
      <c r="H62" s="35"/>
      <c r="I62" s="35"/>
    </row>
    <row r="63" spans="3:9" ht="13.5" customHeight="1" x14ac:dyDescent="0.25">
      <c r="C63" s="16"/>
      <c r="D63" s="16"/>
      <c r="E63" s="64"/>
      <c r="F63" s="64"/>
      <c r="G63" s="16"/>
      <c r="H63" s="16"/>
      <c r="I63" s="16"/>
    </row>
    <row r="64" spans="3:9" ht="13.5" customHeight="1" x14ac:dyDescent="0.25">
      <c r="C64" s="35"/>
      <c r="D64" s="35"/>
      <c r="E64" s="65"/>
      <c r="F64" s="69"/>
      <c r="G64" s="35"/>
      <c r="H64" s="35"/>
      <c r="I64" s="35"/>
    </row>
    <row r="65" spans="3:9" ht="13.5" customHeight="1" x14ac:dyDescent="0.25">
      <c r="C65" s="16"/>
      <c r="D65" s="16"/>
      <c r="E65" s="64"/>
      <c r="F65" s="64"/>
      <c r="G65" s="16"/>
      <c r="H65" s="16"/>
      <c r="I65" s="16"/>
    </row>
    <row r="66" spans="3:9" ht="13.5" customHeight="1" x14ac:dyDescent="0.25">
      <c r="C66" s="35"/>
      <c r="D66" s="35"/>
      <c r="E66" s="65"/>
      <c r="F66" s="69"/>
      <c r="G66" s="35"/>
      <c r="H66" s="35"/>
      <c r="I66" s="35"/>
    </row>
    <row r="67" spans="3:9" ht="13.5" customHeight="1" x14ac:dyDescent="0.25">
      <c r="C67" s="16"/>
      <c r="D67" s="16"/>
      <c r="E67" s="64"/>
      <c r="F67" s="64"/>
      <c r="G67" s="16"/>
      <c r="H67" s="16"/>
      <c r="I67" s="16"/>
    </row>
    <row r="68" spans="3:9" ht="13.5" customHeight="1" x14ac:dyDescent="0.25">
      <c r="C68" s="35"/>
      <c r="D68" s="35"/>
      <c r="E68" s="65"/>
      <c r="F68" s="69"/>
      <c r="G68" s="35"/>
      <c r="H68" s="35"/>
      <c r="I68" s="35"/>
    </row>
    <row r="69" spans="3:9" ht="13.5" customHeight="1" x14ac:dyDescent="0.25">
      <c r="C69" s="16"/>
      <c r="D69" s="16"/>
      <c r="E69" s="64"/>
      <c r="F69" s="64"/>
      <c r="G69" s="16"/>
      <c r="H69" s="16"/>
      <c r="I69" s="16"/>
    </row>
    <row r="70" spans="3:9" ht="13.5" customHeight="1" x14ac:dyDescent="0.25">
      <c r="C70" s="35"/>
      <c r="D70" s="35"/>
      <c r="E70" s="65"/>
      <c r="F70" s="69"/>
      <c r="G70" s="35"/>
      <c r="H70" s="35"/>
      <c r="I70" s="35"/>
    </row>
    <row r="71" spans="3:9" ht="13.5" customHeight="1" x14ac:dyDescent="0.25">
      <c r="C71" s="16"/>
      <c r="D71" s="16"/>
      <c r="E71" s="64"/>
      <c r="F71" s="64"/>
      <c r="G71" s="16"/>
      <c r="H71" s="16"/>
      <c r="I71" s="16"/>
    </row>
    <row r="72" spans="3:9" ht="13.5" customHeight="1" x14ac:dyDescent="0.25">
      <c r="C72" s="35"/>
      <c r="D72" s="35"/>
      <c r="E72" s="65"/>
      <c r="F72" s="69"/>
      <c r="G72" s="35"/>
      <c r="H72" s="35"/>
      <c r="I72" s="35"/>
    </row>
    <row r="73" spans="3:9" ht="13.5" customHeight="1" x14ac:dyDescent="0.25">
      <c r="C73" s="16"/>
      <c r="D73" s="16"/>
      <c r="E73" s="64"/>
      <c r="F73" s="64"/>
      <c r="G73" s="16"/>
      <c r="H73" s="16"/>
      <c r="I73" s="16"/>
    </row>
    <row r="74" spans="3:9" ht="13.5" customHeight="1" x14ac:dyDescent="0.25">
      <c r="C74" s="35"/>
      <c r="D74" s="35"/>
      <c r="E74" s="65"/>
      <c r="F74" s="69"/>
      <c r="G74" s="35"/>
      <c r="H74" s="35"/>
      <c r="I74" s="35"/>
    </row>
    <row r="75" spans="3:9" ht="13.5" customHeight="1" x14ac:dyDescent="0.25">
      <c r="C75" s="16"/>
      <c r="D75" s="16"/>
      <c r="E75" s="64"/>
      <c r="F75" s="64"/>
      <c r="G75" s="16"/>
      <c r="H75" s="16"/>
      <c r="I75" s="16"/>
    </row>
    <row r="76" spans="3:9" ht="13.5" customHeight="1" x14ac:dyDescent="0.25">
      <c r="C76" s="35"/>
      <c r="D76" s="35"/>
      <c r="E76" s="65"/>
      <c r="F76" s="69"/>
      <c r="G76" s="35"/>
      <c r="H76" s="35"/>
      <c r="I76" s="35"/>
    </row>
    <row r="77" spans="3:9" ht="13.5" customHeight="1" x14ac:dyDescent="0.25">
      <c r="C77" s="16"/>
      <c r="D77" s="16"/>
      <c r="E77" s="64"/>
      <c r="F77" s="64"/>
      <c r="G77" s="16"/>
      <c r="H77" s="16"/>
      <c r="I77" s="16"/>
    </row>
    <row r="78" spans="3:9" ht="13.5" customHeight="1" x14ac:dyDescent="0.25">
      <c r="C78" s="35"/>
      <c r="D78" s="35"/>
      <c r="E78" s="65"/>
      <c r="F78" s="69"/>
      <c r="G78" s="35"/>
      <c r="H78" s="35"/>
      <c r="I78" s="35"/>
    </row>
    <row r="79" spans="3:9" ht="13.5" customHeight="1" x14ac:dyDescent="0.25">
      <c r="C79" s="16"/>
      <c r="D79" s="16"/>
      <c r="E79" s="64"/>
      <c r="F79" s="64"/>
      <c r="G79" s="16"/>
      <c r="H79" s="16"/>
      <c r="I79" s="16"/>
    </row>
    <row r="80" spans="3:9" ht="13.5" customHeight="1" x14ac:dyDescent="0.25">
      <c r="C80" s="35"/>
      <c r="D80" s="35"/>
      <c r="E80" s="65"/>
      <c r="F80" s="69"/>
      <c r="G80" s="35"/>
      <c r="H80" s="35"/>
      <c r="I80" s="35"/>
    </row>
    <row r="81" spans="3:9" ht="13.5" customHeight="1" x14ac:dyDescent="0.25">
      <c r="C81" s="16"/>
      <c r="D81" s="16"/>
      <c r="E81" s="64"/>
      <c r="F81" s="64"/>
      <c r="G81" s="16"/>
      <c r="H81" s="16"/>
      <c r="I81" s="16"/>
    </row>
    <row r="82" spans="3:9" ht="13.5" customHeight="1" x14ac:dyDescent="0.25">
      <c r="C82" s="35"/>
      <c r="D82" s="35"/>
      <c r="E82" s="65"/>
      <c r="F82" s="69"/>
      <c r="G82" s="35"/>
      <c r="H82" s="35"/>
      <c r="I82" s="35"/>
    </row>
    <row r="83" spans="3:9" ht="13.5" customHeight="1" x14ac:dyDescent="0.25">
      <c r="C83" s="16"/>
      <c r="D83" s="16"/>
      <c r="E83" s="64"/>
      <c r="F83" s="64"/>
      <c r="G83" s="16"/>
      <c r="H83" s="16"/>
      <c r="I83" s="16"/>
    </row>
    <row r="84" spans="3:9" ht="13.5" customHeight="1" x14ac:dyDescent="0.25">
      <c r="C84" s="35"/>
      <c r="D84" s="35"/>
      <c r="E84" s="65"/>
      <c r="F84" s="69"/>
      <c r="G84" s="35"/>
      <c r="H84" s="35"/>
      <c r="I84" s="35"/>
    </row>
    <row r="85" spans="3:9" ht="13.5" customHeight="1" x14ac:dyDescent="0.25">
      <c r="C85" s="16"/>
      <c r="D85" s="16"/>
      <c r="E85" s="64"/>
      <c r="F85" s="64"/>
      <c r="G85" s="16"/>
      <c r="H85" s="16"/>
      <c r="I85" s="16"/>
    </row>
    <row r="86" spans="3:9" ht="13.5" customHeight="1" x14ac:dyDescent="0.25">
      <c r="C86" s="35"/>
      <c r="D86" s="35"/>
      <c r="E86" s="65"/>
      <c r="F86" s="69"/>
      <c r="G86" s="35"/>
      <c r="H86" s="35"/>
      <c r="I86" s="35"/>
    </row>
    <row r="87" spans="3:9" ht="13.5" customHeight="1" x14ac:dyDescent="0.25">
      <c r="C87" s="16"/>
      <c r="D87" s="16"/>
      <c r="E87" s="64"/>
      <c r="F87" s="64"/>
      <c r="G87" s="16"/>
      <c r="H87" s="16"/>
      <c r="I87" s="16"/>
    </row>
    <row r="88" spans="3:9" ht="13.5" customHeight="1" x14ac:dyDescent="0.25">
      <c r="C88" s="35"/>
      <c r="D88" s="35"/>
      <c r="E88" s="65"/>
      <c r="F88" s="69"/>
      <c r="G88" s="35"/>
      <c r="H88" s="35"/>
      <c r="I88" s="35"/>
    </row>
    <row r="89" spans="3:9" ht="13.5" customHeight="1" x14ac:dyDescent="0.25">
      <c r="C89" s="16"/>
      <c r="D89" s="16"/>
      <c r="E89" s="64"/>
      <c r="F89" s="64"/>
      <c r="G89" s="16"/>
      <c r="H89" s="16"/>
      <c r="I89" s="16"/>
    </row>
    <row r="90" spans="3:9" ht="13.5" customHeight="1" x14ac:dyDescent="0.25">
      <c r="C90" s="35"/>
      <c r="D90" s="35"/>
      <c r="E90" s="65"/>
      <c r="F90" s="69"/>
      <c r="G90" s="35"/>
      <c r="H90" s="35"/>
      <c r="I90" s="35"/>
    </row>
    <row r="91" spans="3:9" ht="13.5" customHeight="1" x14ac:dyDescent="0.25">
      <c r="C91" s="16"/>
      <c r="D91" s="16"/>
      <c r="E91" s="64"/>
      <c r="F91" s="64"/>
      <c r="G91" s="16"/>
      <c r="H91" s="16"/>
      <c r="I91" s="16"/>
    </row>
    <row r="92" spans="3:9" ht="13.5" customHeight="1" x14ac:dyDescent="0.25">
      <c r="C92" s="35"/>
      <c r="D92" s="35"/>
      <c r="E92" s="65"/>
      <c r="F92" s="69"/>
      <c r="G92" s="35"/>
      <c r="H92" s="35"/>
      <c r="I92" s="35"/>
    </row>
    <row r="93" spans="3:9" ht="13.5" customHeight="1" x14ac:dyDescent="0.25">
      <c r="C93" s="16"/>
      <c r="D93" s="16"/>
      <c r="E93" s="64"/>
      <c r="F93" s="64"/>
      <c r="G93" s="16"/>
      <c r="H93" s="16"/>
      <c r="I93" s="16"/>
    </row>
    <row r="94" spans="3:9" ht="13.5" customHeight="1" x14ac:dyDescent="0.25">
      <c r="C94" s="35"/>
      <c r="D94" s="35"/>
      <c r="E94" s="65"/>
      <c r="F94" s="69"/>
      <c r="G94" s="35"/>
      <c r="H94" s="35"/>
      <c r="I94" s="35"/>
    </row>
    <row r="95" spans="3:9" ht="13.5" customHeight="1" x14ac:dyDescent="0.25">
      <c r="C95" s="16"/>
      <c r="D95" s="16"/>
      <c r="E95" s="64"/>
      <c r="F95" s="64"/>
      <c r="G95" s="16"/>
      <c r="H95" s="16"/>
      <c r="I95" s="16"/>
    </row>
    <row r="96" spans="3:9" ht="13.5" customHeight="1" x14ac:dyDescent="0.25">
      <c r="C96" s="35"/>
      <c r="D96" s="35"/>
      <c r="E96" s="65"/>
      <c r="F96" s="69"/>
      <c r="G96" s="35"/>
      <c r="H96" s="35"/>
      <c r="I96" s="35"/>
    </row>
    <row r="97" spans="3:9" ht="13.5" customHeight="1" x14ac:dyDescent="0.25">
      <c r="C97" s="16"/>
      <c r="D97" s="16"/>
      <c r="E97" s="64"/>
      <c r="F97" s="64"/>
      <c r="G97" s="16"/>
      <c r="H97" s="16"/>
      <c r="I97" s="16"/>
    </row>
    <row r="98" spans="3:9" ht="13.5" customHeight="1" x14ac:dyDescent="0.25">
      <c r="C98" s="35"/>
      <c r="D98" s="35"/>
      <c r="E98" s="65"/>
      <c r="F98" s="69"/>
      <c r="G98" s="35"/>
      <c r="H98" s="35"/>
      <c r="I98" s="35"/>
    </row>
    <row r="99" spans="3:9" ht="13.5" customHeight="1" x14ac:dyDescent="0.25">
      <c r="C99" s="16"/>
      <c r="D99" s="16"/>
      <c r="E99" s="64"/>
      <c r="F99" s="64"/>
      <c r="G99" s="16"/>
      <c r="H99" s="16"/>
      <c r="I99" s="16"/>
    </row>
    <row r="100" spans="3:9" ht="13.5" customHeight="1" x14ac:dyDescent="0.25">
      <c r="C100" s="35"/>
      <c r="D100" s="35"/>
      <c r="E100" s="65"/>
      <c r="F100" s="69"/>
      <c r="G100" s="35"/>
      <c r="H100" s="35"/>
      <c r="I100" s="35"/>
    </row>
    <row r="101" spans="3:9" ht="13.5" customHeight="1" x14ac:dyDescent="0.25">
      <c r="C101" s="16"/>
      <c r="D101" s="16"/>
      <c r="E101" s="64"/>
      <c r="F101" s="64"/>
      <c r="G101" s="16"/>
      <c r="H101" s="16"/>
      <c r="I101" s="16"/>
    </row>
    <row r="102" spans="3:9" ht="13.5" customHeight="1" x14ac:dyDescent="0.25">
      <c r="C102" s="35"/>
      <c r="D102" s="35"/>
      <c r="E102" s="65"/>
      <c r="F102" s="69"/>
      <c r="G102" s="35"/>
      <c r="H102" s="35"/>
      <c r="I102" s="35"/>
    </row>
    <row r="103" spans="3:9" ht="13.5" customHeight="1" x14ac:dyDescent="0.25">
      <c r="C103" s="16"/>
      <c r="D103" s="16"/>
      <c r="E103" s="64"/>
      <c r="F103" s="64"/>
      <c r="G103" s="16"/>
      <c r="H103" s="16"/>
      <c r="I103" s="16"/>
    </row>
    <row r="104" spans="3:9" ht="13.5" customHeight="1" x14ac:dyDescent="0.25">
      <c r="C104" s="35"/>
      <c r="D104" s="35"/>
      <c r="E104" s="65"/>
      <c r="F104" s="69"/>
      <c r="G104" s="35"/>
      <c r="H104" s="35"/>
      <c r="I104" s="35"/>
    </row>
    <row r="105" spans="3:9" ht="13.5" customHeight="1" x14ac:dyDescent="0.25">
      <c r="C105" s="16"/>
      <c r="D105" s="16"/>
      <c r="E105" s="64"/>
      <c r="F105" s="64"/>
      <c r="G105" s="16"/>
      <c r="H105" s="16"/>
      <c r="I105" s="16"/>
    </row>
    <row r="106" spans="3:9" ht="13.5" customHeight="1" x14ac:dyDescent="0.25">
      <c r="C106" s="35"/>
      <c r="D106" s="35"/>
      <c r="E106" s="65"/>
      <c r="F106" s="69"/>
      <c r="G106" s="35"/>
      <c r="H106" s="35"/>
      <c r="I106" s="35"/>
    </row>
    <row r="107" spans="3:9" ht="13.5" customHeight="1" x14ac:dyDescent="0.25">
      <c r="C107" s="16"/>
      <c r="D107" s="16"/>
      <c r="E107" s="64"/>
      <c r="F107" s="64"/>
      <c r="G107" s="16"/>
      <c r="H107" s="16"/>
      <c r="I107" s="16"/>
    </row>
    <row r="108" spans="3:9" ht="13.5" customHeight="1" x14ac:dyDescent="0.25">
      <c r="C108" s="35"/>
      <c r="D108" s="35"/>
      <c r="E108" s="65"/>
      <c r="F108" s="69"/>
      <c r="G108" s="35"/>
      <c r="H108" s="35"/>
      <c r="I108" s="35"/>
    </row>
    <row r="109" spans="3:9" ht="13.5" customHeight="1" x14ac:dyDescent="0.25">
      <c r="C109" s="16"/>
      <c r="D109" s="16"/>
      <c r="E109" s="64"/>
      <c r="F109" s="64"/>
      <c r="G109" s="16"/>
      <c r="H109" s="16"/>
      <c r="I109" s="16"/>
    </row>
    <row r="110" spans="3:9" ht="13.5" customHeight="1" x14ac:dyDescent="0.25">
      <c r="C110" s="35"/>
      <c r="D110" s="35"/>
      <c r="E110" s="65"/>
      <c r="F110" s="69"/>
      <c r="G110" s="35"/>
      <c r="H110" s="35"/>
      <c r="I110" s="35"/>
    </row>
    <row r="111" spans="3:9" ht="13.5" customHeight="1" x14ac:dyDescent="0.25">
      <c r="C111" s="16"/>
      <c r="D111" s="16"/>
      <c r="E111" s="64"/>
      <c r="F111" s="64"/>
      <c r="G111" s="16"/>
      <c r="H111" s="16"/>
      <c r="I111" s="16"/>
    </row>
    <row r="112" spans="3:9" ht="13.5" customHeight="1" x14ac:dyDescent="0.25">
      <c r="C112" s="35"/>
      <c r="D112" s="35"/>
      <c r="E112" s="65"/>
      <c r="F112" s="69"/>
      <c r="G112" s="35"/>
      <c r="H112" s="35"/>
      <c r="I112" s="35"/>
    </row>
    <row r="113" spans="3:9" ht="13.5" customHeight="1" x14ac:dyDescent="0.25">
      <c r="C113" s="16"/>
      <c r="D113" s="16"/>
      <c r="E113" s="64"/>
      <c r="F113" s="64"/>
      <c r="G113" s="16"/>
      <c r="H113" s="16"/>
      <c r="I113" s="16"/>
    </row>
    <row r="114" spans="3:9" ht="13.5" customHeight="1" x14ac:dyDescent="0.25">
      <c r="C114" s="35"/>
      <c r="D114" s="35"/>
      <c r="E114" s="65"/>
      <c r="F114" s="69"/>
      <c r="G114" s="35"/>
      <c r="H114" s="35"/>
      <c r="I114" s="35"/>
    </row>
    <row r="115" spans="3:9" ht="13.5" customHeight="1" x14ac:dyDescent="0.25">
      <c r="C115" s="16"/>
      <c r="D115" s="16"/>
      <c r="E115" s="64"/>
      <c r="F115" s="64"/>
      <c r="G115" s="16"/>
      <c r="H115" s="16"/>
      <c r="I115" s="16"/>
    </row>
    <row r="116" spans="3:9" ht="13.5" customHeight="1" x14ac:dyDescent="0.25">
      <c r="C116" s="35"/>
      <c r="D116" s="35"/>
      <c r="E116" s="65"/>
      <c r="F116" s="69"/>
      <c r="G116" s="35"/>
      <c r="H116" s="35"/>
      <c r="I116" s="35"/>
    </row>
    <row r="117" spans="3:9" ht="13.5" customHeight="1" x14ac:dyDescent="0.25">
      <c r="C117" s="16"/>
      <c r="D117" s="16"/>
      <c r="E117" s="64"/>
      <c r="F117" s="64"/>
      <c r="G117" s="16"/>
      <c r="H117" s="16"/>
      <c r="I117" s="16"/>
    </row>
    <row r="118" spans="3:9" ht="13.5" customHeight="1" x14ac:dyDescent="0.25">
      <c r="C118" s="35"/>
      <c r="D118" s="35"/>
      <c r="E118" s="65"/>
      <c r="F118" s="69"/>
      <c r="G118" s="35"/>
      <c r="H118" s="35"/>
      <c r="I118" s="35"/>
    </row>
    <row r="119" spans="3:9" ht="13.5" customHeight="1" x14ac:dyDescent="0.25">
      <c r="C119" s="16"/>
      <c r="D119" s="16"/>
      <c r="E119" s="64"/>
      <c r="F119" s="64"/>
      <c r="G119" s="16"/>
      <c r="H119" s="16"/>
      <c r="I119" s="16"/>
    </row>
    <row r="120" spans="3:9" ht="13.5" customHeight="1" x14ac:dyDescent="0.25">
      <c r="C120" s="35"/>
      <c r="D120" s="35"/>
      <c r="E120" s="65"/>
      <c r="F120" s="69"/>
      <c r="G120" s="35"/>
      <c r="H120" s="35"/>
      <c r="I120" s="35"/>
    </row>
    <row r="121" spans="3:9" ht="13.5" customHeight="1" x14ac:dyDescent="0.25">
      <c r="C121" s="16"/>
      <c r="D121" s="16"/>
      <c r="E121" s="64"/>
      <c r="F121" s="64"/>
      <c r="G121" s="16"/>
      <c r="H121" s="16"/>
      <c r="I121" s="16"/>
    </row>
    <row r="122" spans="3:9" ht="13.5" customHeight="1" x14ac:dyDescent="0.25">
      <c r="C122" s="35"/>
      <c r="D122" s="35"/>
      <c r="E122" s="65"/>
      <c r="F122" s="69"/>
      <c r="G122" s="35"/>
      <c r="H122" s="35"/>
      <c r="I122" s="35"/>
    </row>
    <row r="123" spans="3:9" ht="13.5" customHeight="1" x14ac:dyDescent="0.25">
      <c r="C123" s="16"/>
      <c r="D123" s="16"/>
      <c r="E123" s="64"/>
      <c r="F123" s="64"/>
      <c r="G123" s="16"/>
      <c r="H123" s="16"/>
      <c r="I123" s="16"/>
    </row>
    <row r="124" spans="3:9" ht="13.5" customHeight="1" x14ac:dyDescent="0.25">
      <c r="C124" s="35"/>
      <c r="D124" s="35"/>
      <c r="E124" s="65"/>
      <c r="F124" s="69"/>
      <c r="G124" s="35"/>
      <c r="H124" s="35"/>
      <c r="I124" s="35"/>
    </row>
    <row r="125" spans="3:9" ht="13.5" customHeight="1" x14ac:dyDescent="0.25">
      <c r="C125" s="16"/>
      <c r="D125" s="16"/>
      <c r="E125" s="64"/>
      <c r="F125" s="64"/>
      <c r="G125" s="16"/>
      <c r="H125" s="16"/>
      <c r="I125" s="16"/>
    </row>
    <row r="126" spans="3:9" ht="13.5" customHeight="1" x14ac:dyDescent="0.25">
      <c r="C126" s="35"/>
      <c r="D126" s="35"/>
      <c r="E126" s="65"/>
      <c r="F126" s="69"/>
      <c r="G126" s="35"/>
      <c r="H126" s="35"/>
      <c r="I126" s="35"/>
    </row>
    <row r="127" spans="3:9" ht="13.5" customHeight="1" x14ac:dyDescent="0.25">
      <c r="C127" s="16"/>
      <c r="D127" s="16"/>
      <c r="E127" s="64"/>
      <c r="F127" s="64"/>
      <c r="G127" s="16"/>
      <c r="H127" s="16"/>
      <c r="I127" s="16"/>
    </row>
    <row r="128" spans="3:9" ht="13.5" customHeight="1" x14ac:dyDescent="0.25">
      <c r="C128" s="35"/>
      <c r="D128" s="35"/>
      <c r="E128" s="65"/>
      <c r="F128" s="69"/>
      <c r="G128" s="35"/>
      <c r="H128" s="35"/>
      <c r="I128" s="35"/>
    </row>
    <row r="129" spans="3:9" ht="13.5" customHeight="1" x14ac:dyDescent="0.25">
      <c r="C129" s="16"/>
      <c r="D129" s="16"/>
      <c r="E129" s="64"/>
      <c r="F129" s="64"/>
      <c r="G129" s="16"/>
      <c r="H129" s="16"/>
      <c r="I129" s="16"/>
    </row>
  </sheetData>
  <sortState xmlns:xlrd2="http://schemas.microsoft.com/office/spreadsheetml/2017/richdata2" ref="C15:I60">
    <sortCondition ref="C14"/>
  </sortState>
  <mergeCells count="11">
    <mergeCell ref="D9:E9"/>
    <mergeCell ref="H9:I9"/>
    <mergeCell ref="D10:E10"/>
    <mergeCell ref="H10:I10"/>
    <mergeCell ref="C13:I13"/>
    <mergeCell ref="D6:E6"/>
    <mergeCell ref="H6:I6"/>
    <mergeCell ref="D7:E7"/>
    <mergeCell ref="H7:I7"/>
    <mergeCell ref="D8:E8"/>
    <mergeCell ref="H8:I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0F09B-7175-4F87-BFEF-98682B925EE3}">
  <sheetPr codeName="Sheet6">
    <tabColor rgb="FF002060"/>
  </sheetPr>
  <dimension ref="A1:P100"/>
  <sheetViews>
    <sheetView topLeftCell="F1" zoomScale="115" zoomScaleNormal="115" workbookViewId="0">
      <selection activeCell="C15" sqref="C15:J48"/>
    </sheetView>
  </sheetViews>
  <sheetFormatPr defaultColWidth="0" defaultRowHeight="13.5" customHeight="1" x14ac:dyDescent="0.25"/>
  <cols>
    <col min="1" max="1" width="2.7109375" style="1" customWidth="1"/>
    <col min="2" max="2" width="1.7109375" style="1" customWidth="1"/>
    <col min="3" max="3" width="11.85546875" style="1" customWidth="1"/>
    <col min="4" max="4" width="6.85546875" style="1" bestFit="1" customWidth="1"/>
    <col min="5" max="5" width="40.28515625" style="66" customWidth="1"/>
    <col min="6" max="6" width="15.7109375" style="1" customWidth="1"/>
    <col min="7" max="7" width="36.7109375" style="66" customWidth="1"/>
    <col min="8" max="9" width="20.5703125" style="1" customWidth="1"/>
    <col min="10" max="10" width="14" style="1" customWidth="1"/>
    <col min="11" max="12" width="1.7109375" style="1" customWidth="1"/>
    <col min="13" max="13" width="2.7109375" style="1" hidden="1" customWidth="1"/>
    <col min="14" max="14" width="15.140625" style="1" hidden="1" customWidth="1"/>
    <col min="15" max="15" width="1.7109375" style="1" hidden="1" customWidth="1"/>
    <col min="16" max="16" width="2.7109375" style="1" hidden="1" customWidth="1"/>
    <col min="17" max="16384" width="9.140625" style="1" hidden="1"/>
  </cols>
  <sheetData>
    <row r="1" spans="1:12" s="43" customFormat="1" x14ac:dyDescent="0.25">
      <c r="E1" s="60"/>
      <c r="G1" s="60"/>
    </row>
    <row r="2" spans="1:12" s="43" customFormat="1" x14ac:dyDescent="0.25">
      <c r="E2" s="60"/>
      <c r="G2" s="60"/>
    </row>
    <row r="3" spans="1:12" s="43" customFormat="1" x14ac:dyDescent="0.25">
      <c r="E3" s="60"/>
      <c r="G3" s="60"/>
    </row>
    <row r="4" spans="1:12" s="43" customFormat="1" x14ac:dyDescent="0.25">
      <c r="E4" s="60"/>
      <c r="G4" s="60"/>
    </row>
    <row r="5" spans="1:12" ht="9.9499999999999993" customHeight="1" x14ac:dyDescent="0.25">
      <c r="A5" s="43"/>
      <c r="B5" s="9"/>
      <c r="C5" s="10"/>
      <c r="D5" s="10"/>
      <c r="E5" s="61"/>
      <c r="F5" s="10"/>
      <c r="G5" s="61"/>
      <c r="H5" s="10"/>
      <c r="I5" s="10"/>
      <c r="J5" s="10"/>
      <c r="K5" s="11"/>
      <c r="L5" s="43"/>
    </row>
    <row r="6" spans="1:12" ht="14.25" x14ac:dyDescent="0.3">
      <c r="A6" s="43"/>
      <c r="B6" s="4"/>
      <c r="C6" s="12" t="s">
        <v>0</v>
      </c>
      <c r="D6" s="93">
        <f>IF('Project Details'!D6=0,"", 'Project Details'!D6)</f>
        <v>45217</v>
      </c>
      <c r="E6" s="93"/>
      <c r="F6" s="13"/>
      <c r="G6" s="67"/>
      <c r="H6" s="12" t="s">
        <v>90</v>
      </c>
      <c r="I6" s="95">
        <f>IF('Project Details'!J6=0,"", 'Project Details'!J6)</f>
        <v>1</v>
      </c>
      <c r="J6" s="95"/>
      <c r="K6" s="5"/>
      <c r="L6" s="43"/>
    </row>
    <row r="7" spans="1:12" ht="14.25" x14ac:dyDescent="0.3">
      <c r="A7" s="43"/>
      <c r="B7" s="4"/>
      <c r="C7" s="12" t="s">
        <v>1</v>
      </c>
      <c r="D7" s="95" t="str">
        <f>IF('Project Details'!D7=0,"", 'Project Details'!D7)</f>
        <v>William Andrew Bulaquena</v>
      </c>
      <c r="E7" s="95"/>
      <c r="F7" s="13"/>
      <c r="G7" s="67"/>
      <c r="H7" s="12" t="s">
        <v>91</v>
      </c>
      <c r="I7" s="95">
        <f>IF('Project Details'!J7=0,"", 'Project Details'!J7)</f>
        <v>1</v>
      </c>
      <c r="J7" s="95"/>
      <c r="K7" s="5"/>
      <c r="L7" s="43"/>
    </row>
    <row r="8" spans="1:12" ht="14.25" x14ac:dyDescent="0.3">
      <c r="A8" s="43"/>
      <c r="B8" s="4"/>
      <c r="C8" s="12" t="s">
        <v>730</v>
      </c>
      <c r="D8" s="95" t="str">
        <f>IF('Project Details'!D8=0,"", 'Project Details'!D8)</f>
        <v>Banilad</v>
      </c>
      <c r="E8" s="95"/>
      <c r="F8" s="13"/>
      <c r="G8" s="67"/>
      <c r="H8" s="12" t="s">
        <v>92</v>
      </c>
      <c r="I8" s="95">
        <f>IF('Project Details'!J8=0,"", 'Project Details'!J8)</f>
        <v>12345</v>
      </c>
      <c r="J8" s="95"/>
      <c r="K8" s="5"/>
      <c r="L8" s="43"/>
    </row>
    <row r="9" spans="1:12" ht="14.25" x14ac:dyDescent="0.3">
      <c r="A9" s="43"/>
      <c r="B9" s="4"/>
      <c r="C9" s="12" t="s">
        <v>62</v>
      </c>
      <c r="D9" s="95">
        <f>IF('Project Details'!D9=0,"", 'Project Details'!D9)</f>
        <v>9123456789</v>
      </c>
      <c r="E9" s="95"/>
      <c r="F9" s="13"/>
      <c r="G9" s="67"/>
      <c r="H9" s="12" t="s">
        <v>93</v>
      </c>
      <c r="I9" s="95" t="str">
        <f>IF('Project Details'!J9=0,"", 'Project Details'!J9)</f>
        <v>Kunstof</v>
      </c>
      <c r="J9" s="95"/>
      <c r="K9" s="5"/>
      <c r="L9" s="43"/>
    </row>
    <row r="10" spans="1:12" ht="14.25" x14ac:dyDescent="0.3">
      <c r="A10" s="43"/>
      <c r="B10" s="4"/>
      <c r="C10" s="12" t="s">
        <v>63</v>
      </c>
      <c r="D10" s="95" t="str">
        <f>IF('Project Details'!D10=0,"", 'Project Details'!D10)</f>
        <v>williamgbulaquena@gmail.com</v>
      </c>
      <c r="E10" s="95"/>
      <c r="F10" s="13"/>
      <c r="G10" s="67"/>
      <c r="H10" s="12" t="s">
        <v>94</v>
      </c>
      <c r="I10" s="95" t="str">
        <f>IF('Project Details'!J10=0,"", 'Project Details'!J10)</f>
        <v>Kunstof</v>
      </c>
      <c r="J10" s="95"/>
      <c r="K10" s="5"/>
      <c r="L10" s="43"/>
    </row>
    <row r="11" spans="1:12" ht="9.9499999999999993" customHeight="1" x14ac:dyDescent="0.25">
      <c r="A11" s="43"/>
      <c r="B11" s="6"/>
      <c r="C11" s="7"/>
      <c r="D11" s="7"/>
      <c r="E11" s="62"/>
      <c r="F11" s="7"/>
      <c r="G11" s="62"/>
      <c r="H11" s="7"/>
      <c r="I11" s="14"/>
      <c r="J11" s="7"/>
      <c r="K11" s="8"/>
      <c r="L11" s="43"/>
    </row>
    <row r="12" spans="1:12" x14ac:dyDescent="0.25">
      <c r="A12" s="43"/>
      <c r="B12" s="43"/>
      <c r="C12" s="43"/>
      <c r="D12" s="43"/>
      <c r="E12" s="60"/>
      <c r="F12" s="43"/>
      <c r="G12" s="60"/>
      <c r="H12" s="43"/>
      <c r="I12" s="43"/>
      <c r="J12" s="43"/>
      <c r="K12" s="43"/>
      <c r="L12" s="43"/>
    </row>
    <row r="13" spans="1:12" x14ac:dyDescent="0.25">
      <c r="A13" s="43"/>
      <c r="B13" s="43"/>
      <c r="C13" s="103" t="s">
        <v>195</v>
      </c>
      <c r="D13" s="104"/>
      <c r="E13" s="104"/>
      <c r="F13" s="104"/>
      <c r="G13" s="104"/>
      <c r="H13" s="104"/>
      <c r="I13" s="104"/>
      <c r="J13" s="105"/>
      <c r="K13" s="43"/>
      <c r="L13" s="43"/>
    </row>
    <row r="14" spans="1:12" x14ac:dyDescent="0.25">
      <c r="A14" s="43"/>
      <c r="B14" s="43"/>
      <c r="C14" s="37" t="s">
        <v>3</v>
      </c>
      <c r="D14" s="37" t="s">
        <v>134</v>
      </c>
      <c r="E14" s="37" t="s">
        <v>4</v>
      </c>
      <c r="F14" s="38" t="s">
        <v>191</v>
      </c>
      <c r="G14" s="37" t="s">
        <v>826</v>
      </c>
      <c r="H14" s="37" t="s">
        <v>193</v>
      </c>
      <c r="I14" s="37" t="s">
        <v>192</v>
      </c>
      <c r="J14" s="37" t="s">
        <v>136</v>
      </c>
      <c r="K14" s="43"/>
      <c r="L14" s="43"/>
    </row>
    <row r="15" spans="1:12" customFormat="1" ht="15" x14ac:dyDescent="0.25">
      <c r="C15" s="74"/>
      <c r="D15" s="74"/>
      <c r="E15" s="78"/>
      <c r="F15" s="74"/>
      <c r="G15" s="78"/>
      <c r="H15" s="74"/>
      <c r="I15" s="74"/>
      <c r="J15" s="74"/>
    </row>
    <row r="16" spans="1:12" customFormat="1" ht="15" x14ac:dyDescent="0.25">
      <c r="C16" s="76"/>
      <c r="D16" s="76"/>
      <c r="E16" s="81"/>
      <c r="F16" s="77"/>
      <c r="G16" s="79"/>
      <c r="H16" s="76"/>
      <c r="I16" s="76"/>
      <c r="J16" s="76"/>
    </row>
    <row r="17" spans="3:10" customFormat="1" ht="15" x14ac:dyDescent="0.25">
      <c r="C17" s="16"/>
      <c r="D17" s="16"/>
      <c r="E17" s="64"/>
      <c r="F17" s="33"/>
      <c r="G17" s="70"/>
      <c r="H17" s="16"/>
      <c r="I17" s="16"/>
      <c r="J17" s="16"/>
    </row>
    <row r="18" spans="3:10" customFormat="1" ht="15" x14ac:dyDescent="0.25">
      <c r="C18" s="35"/>
      <c r="D18" s="35"/>
      <c r="E18" s="65"/>
      <c r="F18" s="36"/>
      <c r="G18" s="69"/>
      <c r="H18" s="35"/>
      <c r="I18" s="35"/>
      <c r="J18" s="35"/>
    </row>
    <row r="19" spans="3:10" customFormat="1" ht="15" x14ac:dyDescent="0.25">
      <c r="C19" s="16"/>
      <c r="D19" s="16"/>
      <c r="E19" s="64"/>
      <c r="F19" s="33"/>
      <c r="G19" s="70"/>
      <c r="H19" s="16"/>
      <c r="I19" s="16"/>
      <c r="J19" s="16"/>
    </row>
    <row r="20" spans="3:10" customFormat="1" ht="15" x14ac:dyDescent="0.25">
      <c r="C20" s="35"/>
      <c r="D20" s="35"/>
      <c r="E20" s="65"/>
      <c r="F20" s="36"/>
      <c r="G20" s="69"/>
      <c r="H20" s="35"/>
      <c r="I20" s="35"/>
      <c r="J20" s="35"/>
    </row>
    <row r="21" spans="3:10" customFormat="1" ht="15" x14ac:dyDescent="0.25">
      <c r="C21" s="16"/>
      <c r="D21" s="16"/>
      <c r="E21" s="64"/>
      <c r="F21" s="33"/>
      <c r="G21" s="70"/>
      <c r="H21" s="16"/>
      <c r="I21" s="16"/>
      <c r="J21" s="16"/>
    </row>
    <row r="22" spans="3:10" customFormat="1" ht="15" x14ac:dyDescent="0.25">
      <c r="C22" s="35"/>
      <c r="D22" s="35"/>
      <c r="E22" s="65"/>
      <c r="F22" s="36"/>
      <c r="G22" s="69"/>
      <c r="H22" s="35"/>
      <c r="I22" s="35"/>
      <c r="J22" s="35"/>
    </row>
    <row r="23" spans="3:10" customFormat="1" ht="15" x14ac:dyDescent="0.25">
      <c r="C23" s="16"/>
      <c r="D23" s="16"/>
      <c r="E23" s="64"/>
      <c r="F23" s="33"/>
      <c r="G23" s="70"/>
      <c r="H23" s="16"/>
      <c r="I23" s="16"/>
      <c r="J23" s="16"/>
    </row>
    <row r="24" spans="3:10" customFormat="1" ht="15" x14ac:dyDescent="0.25">
      <c r="C24" s="35"/>
      <c r="D24" s="35"/>
      <c r="E24" s="65"/>
      <c r="F24" s="36"/>
      <c r="G24" s="69"/>
      <c r="H24" s="35"/>
      <c r="I24" s="35"/>
      <c r="J24" s="35"/>
    </row>
    <row r="25" spans="3:10" customFormat="1" ht="15" x14ac:dyDescent="0.25">
      <c r="C25" s="16"/>
      <c r="D25" s="16"/>
      <c r="E25" s="64"/>
      <c r="F25" s="33"/>
      <c r="G25" s="70"/>
      <c r="H25" s="16"/>
      <c r="I25" s="16"/>
      <c r="J25" s="16"/>
    </row>
    <row r="26" spans="3:10" customFormat="1" ht="15" x14ac:dyDescent="0.25">
      <c r="C26" s="35"/>
      <c r="D26" s="35"/>
      <c r="E26" s="65"/>
      <c r="F26" s="36"/>
      <c r="G26" s="69"/>
      <c r="H26" s="35"/>
      <c r="I26" s="35"/>
      <c r="J26" s="35"/>
    </row>
    <row r="27" spans="3:10" customFormat="1" ht="15" x14ac:dyDescent="0.25">
      <c r="C27" s="16"/>
      <c r="D27" s="16"/>
      <c r="E27" s="64"/>
      <c r="F27" s="33"/>
      <c r="G27" s="70"/>
      <c r="H27" s="16"/>
      <c r="I27" s="16"/>
      <c r="J27" s="16"/>
    </row>
    <row r="28" spans="3:10" customFormat="1" ht="15" x14ac:dyDescent="0.25">
      <c r="C28" s="35"/>
      <c r="D28" s="35"/>
      <c r="E28" s="65"/>
      <c r="F28" s="36"/>
      <c r="G28" s="69"/>
      <c r="H28" s="35"/>
      <c r="I28" s="35"/>
      <c r="J28" s="35"/>
    </row>
    <row r="29" spans="3:10" customFormat="1" ht="15" x14ac:dyDescent="0.25">
      <c r="C29" s="16"/>
      <c r="D29" s="16"/>
      <c r="E29" s="64"/>
      <c r="F29" s="33"/>
      <c r="G29" s="70"/>
      <c r="H29" s="16"/>
      <c r="I29" s="16"/>
      <c r="J29" s="16"/>
    </row>
    <row r="30" spans="3:10" customFormat="1" ht="15" x14ac:dyDescent="0.25">
      <c r="C30" s="35"/>
      <c r="D30" s="35"/>
      <c r="E30" s="65"/>
      <c r="F30" s="36"/>
      <c r="G30" s="69"/>
      <c r="H30" s="35"/>
      <c r="I30" s="35"/>
      <c r="J30" s="35"/>
    </row>
    <row r="31" spans="3:10" customFormat="1" ht="15" x14ac:dyDescent="0.25">
      <c r="C31" s="16"/>
      <c r="D31" s="16"/>
      <c r="E31" s="64"/>
      <c r="F31" s="33"/>
      <c r="G31" s="70"/>
      <c r="H31" s="16"/>
      <c r="I31" s="16"/>
      <c r="J31" s="16"/>
    </row>
    <row r="32" spans="3:10" customFormat="1" ht="15" x14ac:dyDescent="0.25">
      <c r="C32" s="35"/>
      <c r="D32" s="35"/>
      <c r="E32" s="65"/>
      <c r="F32" s="36"/>
      <c r="G32" s="69"/>
      <c r="H32" s="35"/>
      <c r="I32" s="35"/>
      <c r="J32" s="35"/>
    </row>
    <row r="33" spans="3:10" customFormat="1" ht="15" x14ac:dyDescent="0.25">
      <c r="C33" s="16"/>
      <c r="D33" s="16"/>
      <c r="E33" s="64"/>
      <c r="F33" s="33"/>
      <c r="G33" s="70"/>
      <c r="H33" s="16"/>
      <c r="I33" s="16"/>
      <c r="J33" s="16"/>
    </row>
    <row r="34" spans="3:10" customFormat="1" ht="13.5" customHeight="1" x14ac:dyDescent="0.25">
      <c r="C34" s="35"/>
      <c r="D34" s="35"/>
      <c r="E34" s="65"/>
      <c r="F34" s="36"/>
      <c r="G34" s="69"/>
      <c r="H34" s="35"/>
      <c r="I34" s="35"/>
      <c r="J34" s="35"/>
    </row>
    <row r="35" spans="3:10" customFormat="1" ht="13.5" customHeight="1" x14ac:dyDescent="0.25">
      <c r="C35" s="16"/>
      <c r="D35" s="16"/>
      <c r="E35" s="64"/>
      <c r="F35" s="33"/>
      <c r="G35" s="70"/>
      <c r="H35" s="16"/>
      <c r="I35" s="16"/>
      <c r="J35" s="16"/>
    </row>
    <row r="36" spans="3:10" customFormat="1" ht="13.5" customHeight="1" x14ac:dyDescent="0.25">
      <c r="C36" s="35"/>
      <c r="D36" s="35"/>
      <c r="E36" s="65"/>
      <c r="F36" s="36"/>
      <c r="G36" s="69"/>
      <c r="H36" s="35"/>
      <c r="I36" s="35"/>
      <c r="J36" s="35"/>
    </row>
    <row r="37" spans="3:10" customFormat="1" ht="13.5" customHeight="1" x14ac:dyDescent="0.25">
      <c r="C37" s="16"/>
      <c r="D37" s="16"/>
      <c r="E37" s="64"/>
      <c r="F37" s="33"/>
      <c r="G37" s="70"/>
      <c r="H37" s="16"/>
      <c r="I37" s="16"/>
      <c r="J37" s="16"/>
    </row>
    <row r="38" spans="3:10" customFormat="1" ht="13.5" customHeight="1" x14ac:dyDescent="0.25">
      <c r="C38" s="35"/>
      <c r="D38" s="35"/>
      <c r="E38" s="65"/>
      <c r="F38" s="36"/>
      <c r="G38" s="69"/>
      <c r="H38" s="35"/>
      <c r="I38" s="35"/>
      <c r="J38" s="35"/>
    </row>
    <row r="39" spans="3:10" customFormat="1" ht="13.5" customHeight="1" x14ac:dyDescent="0.25">
      <c r="C39" s="16"/>
      <c r="D39" s="16"/>
      <c r="E39" s="64"/>
      <c r="F39" s="33"/>
      <c r="G39" s="70"/>
      <c r="H39" s="16"/>
      <c r="I39" s="16"/>
      <c r="J39" s="16"/>
    </row>
    <row r="40" spans="3:10" customFormat="1" ht="13.5" customHeight="1" x14ac:dyDescent="0.25">
      <c r="C40" s="35"/>
      <c r="D40" s="35"/>
      <c r="E40" s="65"/>
      <c r="F40" s="36"/>
      <c r="G40" s="69"/>
      <c r="H40" s="35"/>
      <c r="I40" s="35"/>
      <c r="J40" s="35"/>
    </row>
    <row r="41" spans="3:10" customFormat="1" ht="13.5" customHeight="1" x14ac:dyDescent="0.25">
      <c r="C41" s="16"/>
      <c r="D41" s="16"/>
      <c r="E41" s="64"/>
      <c r="F41" s="33"/>
      <c r="G41" s="70"/>
      <c r="H41" s="16"/>
      <c r="I41" s="16"/>
      <c r="J41" s="16"/>
    </row>
    <row r="42" spans="3:10" customFormat="1" ht="13.5" customHeight="1" x14ac:dyDescent="0.25">
      <c r="C42" s="35"/>
      <c r="D42" s="35"/>
      <c r="E42" s="65"/>
      <c r="F42" s="36"/>
      <c r="G42" s="69"/>
      <c r="H42" s="35"/>
      <c r="I42" s="35"/>
      <c r="J42" s="35"/>
    </row>
    <row r="43" spans="3:10" customFormat="1" ht="13.5" customHeight="1" x14ac:dyDescent="0.25">
      <c r="C43" s="16"/>
      <c r="D43" s="16"/>
      <c r="E43" s="64"/>
      <c r="F43" s="33"/>
      <c r="G43" s="70"/>
      <c r="H43" s="16"/>
      <c r="I43" s="16"/>
      <c r="J43" s="16"/>
    </row>
    <row r="44" spans="3:10" customFormat="1" ht="13.5" customHeight="1" x14ac:dyDescent="0.25">
      <c r="C44" s="35"/>
      <c r="D44" s="35"/>
      <c r="E44" s="65"/>
      <c r="F44" s="36"/>
      <c r="G44" s="69"/>
      <c r="H44" s="35"/>
      <c r="I44" s="35"/>
      <c r="J44" s="35"/>
    </row>
    <row r="45" spans="3:10" customFormat="1" ht="13.5" customHeight="1" x14ac:dyDescent="0.25">
      <c r="C45" s="16"/>
      <c r="D45" s="16"/>
      <c r="E45" s="64"/>
      <c r="F45" s="33"/>
      <c r="G45" s="70"/>
      <c r="H45" s="16"/>
      <c r="I45" s="16"/>
      <c r="J45" s="16"/>
    </row>
    <row r="46" spans="3:10" customFormat="1" ht="13.5" customHeight="1" x14ac:dyDescent="0.25">
      <c r="C46" s="35"/>
      <c r="D46" s="35"/>
      <c r="E46" s="65"/>
      <c r="F46" s="36"/>
      <c r="G46" s="69"/>
      <c r="H46" s="35"/>
      <c r="I46" s="35"/>
      <c r="J46" s="35"/>
    </row>
    <row r="47" spans="3:10" s="43" customFormat="1" ht="13.5" customHeight="1" x14ac:dyDescent="0.25">
      <c r="C47" s="16"/>
      <c r="D47" s="16"/>
      <c r="E47" s="64"/>
      <c r="F47" s="33"/>
      <c r="G47" s="70"/>
      <c r="H47" s="16"/>
      <c r="I47" s="16"/>
      <c r="J47" s="16"/>
    </row>
    <row r="48" spans="3:10" s="43" customFormat="1" ht="13.5" customHeight="1" x14ac:dyDescent="0.25">
      <c r="C48" s="35"/>
      <c r="D48" s="35"/>
      <c r="E48" s="65"/>
      <c r="F48" s="36"/>
      <c r="G48" s="69"/>
      <c r="H48" s="35"/>
      <c r="I48" s="35"/>
      <c r="J48" s="35"/>
    </row>
    <row r="49" spans="3:10" s="43" customFormat="1" ht="13.5" customHeight="1" x14ac:dyDescent="0.25">
      <c r="C49" s="74"/>
      <c r="D49" s="74"/>
      <c r="E49" s="78"/>
      <c r="F49" s="75"/>
      <c r="G49" s="80"/>
      <c r="H49" s="74"/>
      <c r="I49" s="74"/>
      <c r="J49" s="74"/>
    </row>
    <row r="50" spans="3:10" s="43" customFormat="1" ht="13.5" customHeight="1" x14ac:dyDescent="0.25">
      <c r="C50" s="76"/>
      <c r="D50" s="76"/>
      <c r="E50" s="81"/>
      <c r="F50" s="77"/>
      <c r="G50" s="79"/>
      <c r="H50" s="76"/>
      <c r="I50" s="76"/>
      <c r="J50" s="76"/>
    </row>
    <row r="51" spans="3:10" s="43" customFormat="1" ht="13.5" customHeight="1" x14ac:dyDescent="0.25">
      <c r="C51" s="74"/>
      <c r="D51" s="74"/>
      <c r="E51" s="78"/>
      <c r="F51" s="75"/>
      <c r="G51" s="80"/>
      <c r="H51" s="74"/>
      <c r="I51" s="74"/>
      <c r="J51" s="74"/>
    </row>
    <row r="52" spans="3:10" s="43" customFormat="1" ht="13.5" customHeight="1" x14ac:dyDescent="0.25">
      <c r="C52" s="76"/>
      <c r="D52" s="76"/>
      <c r="E52" s="81"/>
      <c r="F52" s="77"/>
      <c r="G52" s="79"/>
      <c r="H52" s="76"/>
      <c r="I52" s="76"/>
      <c r="J52" s="76"/>
    </row>
    <row r="53" spans="3:10" s="43" customFormat="1" ht="13.5" customHeight="1" x14ac:dyDescent="0.25">
      <c r="C53" s="74"/>
      <c r="D53" s="74"/>
      <c r="E53" s="78"/>
      <c r="F53" s="75"/>
      <c r="G53" s="80"/>
      <c r="H53" s="74"/>
      <c r="I53" s="74"/>
      <c r="J53" s="74"/>
    </row>
    <row r="54" spans="3:10" s="43" customFormat="1" ht="13.5" customHeight="1" x14ac:dyDescent="0.25">
      <c r="C54" s="76"/>
      <c r="D54" s="76"/>
      <c r="E54" s="81"/>
      <c r="F54" s="77"/>
      <c r="G54" s="79"/>
      <c r="H54" s="76"/>
      <c r="I54" s="76"/>
      <c r="J54" s="76"/>
    </row>
    <row r="55" spans="3:10" s="43" customFormat="1" ht="13.5" customHeight="1" collapsed="1" x14ac:dyDescent="0.25">
      <c r="C55" s="74"/>
      <c r="D55" s="74"/>
      <c r="E55" s="78"/>
      <c r="F55" s="75"/>
      <c r="G55" s="80"/>
      <c r="H55" s="74"/>
      <c r="I55" s="74"/>
      <c r="J55" s="74"/>
    </row>
    <row r="56" spans="3:10" s="43" customFormat="1" ht="13.5" customHeight="1" x14ac:dyDescent="0.25">
      <c r="C56" s="76"/>
      <c r="D56" s="76"/>
      <c r="E56" s="81"/>
      <c r="F56" s="77"/>
      <c r="G56" s="79"/>
      <c r="H56" s="76"/>
      <c r="I56" s="76"/>
      <c r="J56" s="76"/>
    </row>
    <row r="57" spans="3:10" s="43" customFormat="1" ht="13.5" customHeight="1" x14ac:dyDescent="0.25">
      <c r="C57" s="74"/>
      <c r="D57" s="74"/>
      <c r="E57" s="78"/>
      <c r="F57" s="75"/>
      <c r="G57" s="80"/>
      <c r="H57" s="74"/>
      <c r="I57" s="74"/>
      <c r="J57" s="74"/>
    </row>
    <row r="58" spans="3:10" s="43" customFormat="1" ht="13.5" customHeight="1" x14ac:dyDescent="0.25">
      <c r="C58" s="76"/>
      <c r="D58" s="76"/>
      <c r="E58" s="81"/>
      <c r="F58" s="77"/>
      <c r="G58" s="79"/>
      <c r="H58" s="76"/>
      <c r="I58" s="76"/>
      <c r="J58" s="76"/>
    </row>
    <row r="59" spans="3:10" s="43" customFormat="1" ht="13.5" customHeight="1" x14ac:dyDescent="0.25">
      <c r="C59" s="74"/>
      <c r="D59" s="74"/>
      <c r="E59" s="78"/>
      <c r="F59" s="75"/>
      <c r="G59" s="80"/>
      <c r="H59" s="74"/>
      <c r="I59" s="74"/>
      <c r="J59" s="74"/>
    </row>
    <row r="60" spans="3:10" s="43" customFormat="1" ht="13.5" customHeight="1" x14ac:dyDescent="0.25">
      <c r="C60" s="76"/>
      <c r="D60" s="76"/>
      <c r="E60" s="81"/>
      <c r="F60" s="77"/>
      <c r="G60" s="79"/>
      <c r="H60" s="76"/>
      <c r="I60" s="76"/>
      <c r="J60" s="76"/>
    </row>
    <row r="61" spans="3:10" s="43" customFormat="1" ht="13.5" customHeight="1" x14ac:dyDescent="0.25">
      <c r="C61" s="1"/>
      <c r="D61" s="1"/>
      <c r="E61" s="66"/>
      <c r="F61" s="1"/>
      <c r="G61" s="66"/>
      <c r="H61" s="1"/>
      <c r="I61" s="1"/>
      <c r="J61" s="1"/>
    </row>
    <row r="62" spans="3:10" s="43" customFormat="1" ht="13.5" customHeight="1" x14ac:dyDescent="0.25">
      <c r="C62" s="1"/>
      <c r="D62" s="1"/>
      <c r="E62" s="66"/>
      <c r="F62" s="1"/>
      <c r="G62" s="66"/>
      <c r="H62" s="1"/>
      <c r="I62" s="1"/>
      <c r="J62" s="1"/>
    </row>
    <row r="63" spans="3:10" s="43" customFormat="1" ht="13.5" customHeight="1" x14ac:dyDescent="0.25">
      <c r="C63" s="1"/>
      <c r="D63" s="1"/>
      <c r="E63" s="66"/>
      <c r="F63" s="1"/>
      <c r="G63" s="66"/>
      <c r="H63" s="1"/>
      <c r="I63" s="1"/>
      <c r="J63" s="1"/>
    </row>
    <row r="64" spans="3:10" s="43" customFormat="1" ht="13.5" customHeight="1" x14ac:dyDescent="0.25">
      <c r="C64" s="1"/>
      <c r="D64" s="1"/>
      <c r="E64" s="66"/>
      <c r="F64" s="1"/>
      <c r="G64" s="66"/>
      <c r="H64" s="1"/>
      <c r="I64" s="1"/>
      <c r="J64" s="1"/>
    </row>
    <row r="65" spans="3:10" s="43" customFormat="1" ht="13.5" customHeight="1" x14ac:dyDescent="0.25">
      <c r="C65" s="1"/>
      <c r="D65" s="1"/>
      <c r="E65" s="66"/>
      <c r="F65" s="1"/>
      <c r="G65" s="66"/>
      <c r="H65" s="1"/>
      <c r="I65" s="1"/>
      <c r="J65" s="1"/>
    </row>
    <row r="66" spans="3:10" s="43" customFormat="1" ht="13.5" customHeight="1" x14ac:dyDescent="0.25">
      <c r="C66" s="1"/>
      <c r="D66" s="1"/>
      <c r="E66" s="66"/>
      <c r="F66" s="1"/>
      <c r="G66" s="66"/>
      <c r="H66" s="1"/>
      <c r="I66" s="1"/>
      <c r="J66" s="1"/>
    </row>
    <row r="67" spans="3:10" s="43" customFormat="1" ht="13.5" customHeight="1" x14ac:dyDescent="0.25">
      <c r="C67" s="1"/>
      <c r="D67" s="1"/>
      <c r="E67" s="66"/>
      <c r="F67" s="1"/>
      <c r="G67" s="66"/>
      <c r="H67" s="1"/>
      <c r="I67" s="1"/>
      <c r="J67" s="1"/>
    </row>
    <row r="68" spans="3:10" s="43" customFormat="1" ht="13.5" customHeight="1" x14ac:dyDescent="0.25">
      <c r="C68" s="1"/>
      <c r="D68" s="1"/>
      <c r="E68" s="66"/>
      <c r="F68" s="1"/>
      <c r="G68" s="66"/>
      <c r="H68" s="1"/>
      <c r="I68" s="1"/>
      <c r="J68" s="1"/>
    </row>
    <row r="69" spans="3:10" s="43" customFormat="1" ht="13.5" customHeight="1" x14ac:dyDescent="0.25">
      <c r="C69" s="1"/>
      <c r="D69" s="1"/>
      <c r="E69" s="66"/>
      <c r="F69" s="1"/>
      <c r="G69" s="66"/>
      <c r="H69" s="1"/>
      <c r="I69" s="1"/>
      <c r="J69" s="1"/>
    </row>
    <row r="70" spans="3:10" s="43" customFormat="1" ht="13.5" customHeight="1" x14ac:dyDescent="0.25">
      <c r="C70" s="1"/>
      <c r="D70" s="1"/>
      <c r="E70" s="66"/>
      <c r="F70" s="1"/>
      <c r="G70" s="66"/>
      <c r="H70" s="1"/>
      <c r="I70" s="1"/>
      <c r="J70" s="1"/>
    </row>
    <row r="71" spans="3:10" s="43" customFormat="1" ht="13.5" customHeight="1" x14ac:dyDescent="0.25">
      <c r="C71" s="1"/>
      <c r="D71" s="1"/>
      <c r="E71" s="66"/>
      <c r="F71" s="1"/>
      <c r="G71" s="66"/>
      <c r="H71" s="1"/>
      <c r="I71" s="1"/>
      <c r="J71" s="1"/>
    </row>
    <row r="72" spans="3:10" s="43" customFormat="1" ht="13.5" customHeight="1" x14ac:dyDescent="0.25">
      <c r="C72" s="1"/>
      <c r="D72" s="1"/>
      <c r="E72" s="66"/>
      <c r="F72" s="1"/>
      <c r="G72" s="66"/>
      <c r="H72" s="1"/>
      <c r="I72" s="1"/>
      <c r="J72" s="1"/>
    </row>
    <row r="73" spans="3:10" s="43" customFormat="1" ht="13.5" customHeight="1" x14ac:dyDescent="0.25">
      <c r="C73" s="1"/>
      <c r="D73" s="1"/>
      <c r="E73" s="66"/>
      <c r="F73" s="1"/>
      <c r="G73" s="66"/>
      <c r="H73" s="1"/>
      <c r="I73" s="1"/>
      <c r="J73" s="1"/>
    </row>
    <row r="74" spans="3:10" s="43" customFormat="1" ht="13.5" customHeight="1" x14ac:dyDescent="0.25">
      <c r="C74" s="1"/>
      <c r="D74" s="1"/>
      <c r="E74" s="66"/>
      <c r="F74" s="1"/>
      <c r="G74" s="66"/>
      <c r="H74" s="1"/>
      <c r="I74" s="1"/>
      <c r="J74" s="1"/>
    </row>
    <row r="75" spans="3:10" s="43" customFormat="1" ht="13.5" customHeight="1" x14ac:dyDescent="0.25">
      <c r="C75" s="1"/>
      <c r="D75" s="1"/>
      <c r="E75" s="66"/>
      <c r="F75" s="1"/>
      <c r="G75" s="66"/>
      <c r="H75" s="1"/>
      <c r="I75" s="1"/>
      <c r="J75" s="1"/>
    </row>
    <row r="76" spans="3:10" s="43" customFormat="1" ht="13.5" customHeight="1" x14ac:dyDescent="0.25">
      <c r="C76" s="1"/>
      <c r="D76" s="1"/>
      <c r="E76" s="66"/>
      <c r="F76" s="1"/>
      <c r="G76" s="66"/>
      <c r="H76" s="1"/>
      <c r="I76" s="1"/>
      <c r="J76" s="1"/>
    </row>
    <row r="77" spans="3:10" s="43" customFormat="1" ht="13.5" customHeight="1" x14ac:dyDescent="0.25">
      <c r="C77" s="1"/>
      <c r="D77" s="1"/>
      <c r="E77" s="66"/>
      <c r="F77" s="1"/>
      <c r="G77" s="66"/>
      <c r="H77" s="1"/>
      <c r="I77" s="1"/>
      <c r="J77" s="1"/>
    </row>
    <row r="78" spans="3:10" s="43" customFormat="1" ht="13.5" customHeight="1" x14ac:dyDescent="0.25">
      <c r="C78" s="1"/>
      <c r="D78" s="1"/>
      <c r="E78" s="66"/>
      <c r="F78" s="1"/>
      <c r="G78" s="66"/>
      <c r="H78" s="1"/>
      <c r="I78" s="1"/>
      <c r="J78" s="1"/>
    </row>
    <row r="79" spans="3:10" s="43" customFormat="1" ht="13.5" customHeight="1" x14ac:dyDescent="0.25">
      <c r="C79" s="1"/>
      <c r="D79" s="1"/>
      <c r="E79" s="66"/>
      <c r="F79" s="1"/>
      <c r="G79" s="66"/>
      <c r="H79" s="1"/>
      <c r="I79" s="1"/>
      <c r="J79" s="1"/>
    </row>
    <row r="80" spans="3:10" s="43" customFormat="1" ht="13.5" customHeight="1" x14ac:dyDescent="0.25">
      <c r="C80" s="1"/>
      <c r="D80" s="1"/>
      <c r="E80" s="66"/>
      <c r="F80" s="1"/>
      <c r="G80" s="66"/>
      <c r="H80" s="1"/>
      <c r="I80" s="1"/>
      <c r="J80" s="1"/>
    </row>
    <row r="81" spans="3:10" s="43" customFormat="1" ht="13.5" customHeight="1" x14ac:dyDescent="0.25">
      <c r="C81" s="1"/>
      <c r="D81" s="1"/>
      <c r="E81" s="66"/>
      <c r="F81" s="1"/>
      <c r="G81" s="66"/>
      <c r="H81" s="1"/>
      <c r="I81" s="1"/>
      <c r="J81" s="1"/>
    </row>
    <row r="82" spans="3:10" s="43" customFormat="1" ht="13.5" customHeight="1" x14ac:dyDescent="0.25">
      <c r="C82" s="1"/>
      <c r="D82" s="1"/>
      <c r="E82" s="66"/>
      <c r="F82" s="1"/>
      <c r="G82" s="66"/>
      <c r="H82" s="1"/>
      <c r="I82" s="1"/>
      <c r="J82" s="1"/>
    </row>
    <row r="83" spans="3:10" s="43" customFormat="1" ht="13.5" customHeight="1" x14ac:dyDescent="0.25">
      <c r="C83" s="1"/>
      <c r="D83" s="1"/>
      <c r="E83" s="66"/>
      <c r="F83" s="1"/>
      <c r="G83" s="66"/>
      <c r="H83" s="1"/>
      <c r="I83" s="1"/>
      <c r="J83" s="1"/>
    </row>
    <row r="84" spans="3:10" s="43" customFormat="1" ht="13.5" customHeight="1" x14ac:dyDescent="0.25">
      <c r="C84" s="1"/>
      <c r="D84" s="1"/>
      <c r="E84" s="66"/>
      <c r="F84" s="1"/>
      <c r="G84" s="66"/>
      <c r="H84" s="1"/>
      <c r="I84" s="1"/>
      <c r="J84" s="1"/>
    </row>
    <row r="85" spans="3:10" s="43" customFormat="1" ht="13.5" customHeight="1" x14ac:dyDescent="0.25">
      <c r="C85" s="1"/>
      <c r="D85" s="1"/>
      <c r="E85" s="66"/>
      <c r="F85" s="1"/>
      <c r="G85" s="66"/>
      <c r="H85" s="1"/>
      <c r="I85" s="1"/>
      <c r="J85" s="1"/>
    </row>
    <row r="86" spans="3:10" s="43" customFormat="1" ht="13.5" customHeight="1" x14ac:dyDescent="0.25">
      <c r="C86" s="1"/>
      <c r="D86" s="1"/>
      <c r="E86" s="66"/>
      <c r="F86" s="1"/>
      <c r="G86" s="66"/>
      <c r="H86" s="1"/>
      <c r="I86" s="1"/>
      <c r="J86" s="1"/>
    </row>
    <row r="87" spans="3:10" s="43" customFormat="1" ht="13.5" customHeight="1" x14ac:dyDescent="0.25">
      <c r="C87" s="1"/>
      <c r="D87" s="1"/>
      <c r="E87" s="66"/>
      <c r="F87" s="1"/>
      <c r="G87" s="66"/>
      <c r="H87" s="1"/>
      <c r="I87" s="1"/>
      <c r="J87" s="1"/>
    </row>
    <row r="88" spans="3:10" s="43" customFormat="1" ht="13.5" customHeight="1" x14ac:dyDescent="0.25">
      <c r="C88" s="1"/>
      <c r="D88" s="1"/>
      <c r="E88" s="66"/>
      <c r="F88" s="1"/>
      <c r="G88" s="66"/>
      <c r="H88" s="1"/>
      <c r="I88" s="1"/>
      <c r="J88" s="1"/>
    </row>
    <row r="89" spans="3:10" s="43" customFormat="1" ht="13.5" customHeight="1" x14ac:dyDescent="0.25">
      <c r="C89" s="1"/>
      <c r="D89" s="1"/>
      <c r="E89" s="66"/>
      <c r="F89" s="1"/>
      <c r="G89" s="66"/>
      <c r="H89" s="1"/>
      <c r="I89" s="1"/>
      <c r="J89" s="1"/>
    </row>
    <row r="90" spans="3:10" s="43" customFormat="1" ht="13.5" customHeight="1" x14ac:dyDescent="0.25">
      <c r="C90" s="1"/>
      <c r="D90" s="1"/>
      <c r="E90" s="66"/>
      <c r="F90" s="1"/>
      <c r="G90" s="66"/>
      <c r="H90" s="1"/>
      <c r="I90" s="1"/>
      <c r="J90" s="1"/>
    </row>
    <row r="91" spans="3:10" s="43" customFormat="1" ht="13.5" customHeight="1" x14ac:dyDescent="0.25">
      <c r="C91" s="1"/>
      <c r="D91" s="1"/>
      <c r="E91" s="66"/>
      <c r="F91" s="1"/>
      <c r="G91" s="66"/>
      <c r="H91" s="1"/>
      <c r="I91" s="1"/>
      <c r="J91" s="1"/>
    </row>
    <row r="92" spans="3:10" s="43" customFormat="1" ht="13.5" customHeight="1" x14ac:dyDescent="0.25">
      <c r="C92" s="1"/>
      <c r="D92" s="1"/>
      <c r="E92" s="66"/>
      <c r="F92" s="1"/>
      <c r="G92" s="66"/>
      <c r="H92" s="1"/>
      <c r="I92" s="1"/>
      <c r="J92" s="1"/>
    </row>
    <row r="93" spans="3:10" s="43" customFormat="1" ht="13.5" customHeight="1" x14ac:dyDescent="0.25">
      <c r="C93" s="1"/>
      <c r="D93" s="1"/>
      <c r="E93" s="66"/>
      <c r="F93" s="1"/>
      <c r="G93" s="66"/>
      <c r="H93" s="1"/>
      <c r="I93" s="1"/>
      <c r="J93" s="1"/>
    </row>
    <row r="94" spans="3:10" s="43" customFormat="1" ht="13.5" customHeight="1" x14ac:dyDescent="0.25">
      <c r="C94" s="1"/>
      <c r="D94" s="1"/>
      <c r="E94" s="66"/>
      <c r="F94" s="1"/>
      <c r="G94" s="66"/>
      <c r="H94" s="1"/>
      <c r="I94" s="1"/>
      <c r="J94" s="1"/>
    </row>
    <row r="95" spans="3:10" s="43" customFormat="1" ht="13.5" customHeight="1" x14ac:dyDescent="0.25">
      <c r="C95" s="1"/>
      <c r="D95" s="1"/>
      <c r="E95" s="66"/>
      <c r="F95" s="1"/>
      <c r="G95" s="66"/>
      <c r="H95" s="1"/>
      <c r="I95" s="1"/>
      <c r="J95" s="1"/>
    </row>
    <row r="96" spans="3:10" s="43" customFormat="1" ht="13.5" customHeight="1" x14ac:dyDescent="0.25">
      <c r="C96" s="1"/>
      <c r="D96" s="1"/>
      <c r="E96" s="66"/>
      <c r="F96" s="1"/>
      <c r="G96" s="66"/>
      <c r="H96" s="1"/>
      <c r="I96" s="1"/>
      <c r="J96" s="1"/>
    </row>
    <row r="97" spans="3:10" s="43" customFormat="1" ht="13.5" customHeight="1" x14ac:dyDescent="0.25">
      <c r="C97" s="1"/>
      <c r="D97" s="1"/>
      <c r="E97" s="66"/>
      <c r="F97" s="1"/>
      <c r="G97" s="66"/>
      <c r="H97" s="1"/>
      <c r="I97" s="1"/>
      <c r="J97" s="1"/>
    </row>
    <row r="98" spans="3:10" s="43" customFormat="1" ht="13.5" customHeight="1" x14ac:dyDescent="0.25">
      <c r="C98" s="1"/>
      <c r="D98" s="1"/>
      <c r="E98" s="66"/>
      <c r="F98" s="1"/>
      <c r="G98" s="66"/>
      <c r="H98" s="1"/>
      <c r="I98" s="1"/>
      <c r="J98" s="1"/>
    </row>
    <row r="99" spans="3:10" s="43" customFormat="1" ht="13.5" customHeight="1" x14ac:dyDescent="0.25">
      <c r="C99" s="1"/>
      <c r="D99" s="1"/>
      <c r="E99" s="66"/>
      <c r="F99" s="1"/>
      <c r="G99" s="66"/>
      <c r="H99" s="1"/>
      <c r="I99" s="1"/>
      <c r="J99" s="1"/>
    </row>
    <row r="100" spans="3:10" s="43" customFormat="1" ht="13.5" customHeight="1" x14ac:dyDescent="0.25">
      <c r="C100" s="1"/>
      <c r="D100" s="1"/>
      <c r="E100" s="66"/>
      <c r="F100" s="1"/>
      <c r="G100" s="66"/>
      <c r="H100" s="1"/>
      <c r="I100" s="1"/>
      <c r="J100" s="1"/>
    </row>
  </sheetData>
  <sortState xmlns:xlrd2="http://schemas.microsoft.com/office/spreadsheetml/2017/richdata2" ref="C15:J16">
    <sortCondition ref="C14"/>
  </sortState>
  <mergeCells count="11">
    <mergeCell ref="D9:E9"/>
    <mergeCell ref="I9:J9"/>
    <mergeCell ref="D10:E10"/>
    <mergeCell ref="I10:J10"/>
    <mergeCell ref="C13:J13"/>
    <mergeCell ref="D6:E6"/>
    <mergeCell ref="I6:J6"/>
    <mergeCell ref="D7:E7"/>
    <mergeCell ref="I7:J7"/>
    <mergeCell ref="D8:E8"/>
    <mergeCell ref="I8:J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739B2-091D-4C20-AA73-1AEC89FA6187}">
  <sheetPr codeName="Sheet35">
    <tabColor theme="0" tint="-0.499984740745262"/>
  </sheetPr>
  <dimension ref="A1:P317"/>
  <sheetViews>
    <sheetView topLeftCell="C1" zoomScale="115" zoomScaleNormal="115" workbookViewId="0">
      <selection activeCell="C15" sqref="C15:J317"/>
    </sheetView>
  </sheetViews>
  <sheetFormatPr defaultColWidth="0" defaultRowHeight="13.5" customHeight="1" x14ac:dyDescent="0.25"/>
  <cols>
    <col min="1" max="1" width="2.7109375" style="1" customWidth="1"/>
    <col min="2" max="2" width="1.7109375" style="1" customWidth="1"/>
    <col min="3" max="3" width="11.85546875" style="1" customWidth="1"/>
    <col min="4" max="4" width="6.85546875" style="1" bestFit="1" customWidth="1"/>
    <col min="5" max="5" width="6.85546875" style="66" customWidth="1"/>
    <col min="6" max="6" width="36.7109375" style="1" customWidth="1"/>
    <col min="7" max="7" width="36.7109375" style="66" customWidth="1"/>
    <col min="8" max="9" width="20.5703125" style="1" customWidth="1"/>
    <col min="10" max="10" width="14" style="1" customWidth="1"/>
    <col min="11" max="12" width="1.7109375" style="1" customWidth="1"/>
    <col min="13" max="13" width="2.7109375" style="1" hidden="1" customWidth="1"/>
    <col min="14" max="14" width="15.140625" style="1" hidden="1" customWidth="1"/>
    <col min="15" max="15" width="1.7109375" style="1" hidden="1" customWidth="1"/>
    <col min="16" max="16" width="2.7109375" style="1" hidden="1" customWidth="1"/>
    <col min="17" max="16384" width="9.140625" style="1" hidden="1"/>
  </cols>
  <sheetData>
    <row r="1" spans="1:12" s="43" customFormat="1" x14ac:dyDescent="0.25">
      <c r="F1" s="60"/>
      <c r="G1" s="60"/>
    </row>
    <row r="2" spans="1:12" s="43" customFormat="1" x14ac:dyDescent="0.25">
      <c r="F2" s="60"/>
      <c r="G2" s="60"/>
    </row>
    <row r="3" spans="1:12" s="43" customFormat="1" x14ac:dyDescent="0.25">
      <c r="F3" s="60"/>
      <c r="G3" s="60"/>
    </row>
    <row r="4" spans="1:12" s="43" customFormat="1" x14ac:dyDescent="0.25">
      <c r="F4" s="60"/>
      <c r="G4" s="60"/>
    </row>
    <row r="5" spans="1:12" ht="9.9499999999999993" customHeight="1" x14ac:dyDescent="0.25">
      <c r="A5" s="43"/>
      <c r="B5" s="9"/>
      <c r="C5" s="10"/>
      <c r="D5" s="10"/>
      <c r="E5" s="10"/>
      <c r="F5" s="61"/>
      <c r="G5" s="61"/>
      <c r="H5" s="10"/>
      <c r="I5" s="10"/>
      <c r="J5" s="10"/>
      <c r="K5" s="11"/>
      <c r="L5" s="43"/>
    </row>
    <row r="6" spans="1:12" ht="14.25" x14ac:dyDescent="0.3">
      <c r="A6" s="43"/>
      <c r="B6" s="4"/>
      <c r="C6" s="12" t="s">
        <v>0</v>
      </c>
      <c r="D6" s="93">
        <f>IF('Project Details'!D6=0,"", 'Project Details'!D6)</f>
        <v>45217</v>
      </c>
      <c r="E6" s="93"/>
      <c r="F6" s="93"/>
      <c r="G6" s="67"/>
      <c r="H6" s="12" t="s">
        <v>90</v>
      </c>
      <c r="I6" s="95">
        <f>IF('Project Details'!J6=0,"", 'Project Details'!J6)</f>
        <v>1</v>
      </c>
      <c r="J6" s="95"/>
      <c r="K6" s="5"/>
      <c r="L6" s="43"/>
    </row>
    <row r="7" spans="1:12" ht="14.25" x14ac:dyDescent="0.3">
      <c r="A7" s="43"/>
      <c r="B7" s="4"/>
      <c r="C7" s="12" t="s">
        <v>1</v>
      </c>
      <c r="D7" s="95" t="str">
        <f>IF('Project Details'!D7=0,"", 'Project Details'!D7)</f>
        <v>William Andrew Bulaquena</v>
      </c>
      <c r="E7" s="95"/>
      <c r="F7" s="95"/>
      <c r="G7" s="67"/>
      <c r="H7" s="12" t="s">
        <v>91</v>
      </c>
      <c r="I7" s="95">
        <f>IF('Project Details'!J7=0,"", 'Project Details'!J7)</f>
        <v>1</v>
      </c>
      <c r="J7" s="95"/>
      <c r="K7" s="5"/>
      <c r="L7" s="43"/>
    </row>
    <row r="8" spans="1:12" ht="14.25" x14ac:dyDescent="0.3">
      <c r="A8" s="43"/>
      <c r="B8" s="4"/>
      <c r="C8" s="12" t="s">
        <v>730</v>
      </c>
      <c r="D8" s="95" t="str">
        <f>IF('Project Details'!D8=0,"", 'Project Details'!D8)</f>
        <v>Banilad</v>
      </c>
      <c r="E8" s="95"/>
      <c r="F8" s="95"/>
      <c r="G8" s="67"/>
      <c r="H8" s="12" t="s">
        <v>92</v>
      </c>
      <c r="I8" s="95">
        <f>IF('Project Details'!J8=0,"", 'Project Details'!J8)</f>
        <v>12345</v>
      </c>
      <c r="J8" s="95"/>
      <c r="K8" s="5"/>
      <c r="L8" s="43"/>
    </row>
    <row r="9" spans="1:12" ht="14.25" x14ac:dyDescent="0.3">
      <c r="A9" s="43"/>
      <c r="B9" s="4"/>
      <c r="C9" s="12" t="s">
        <v>62</v>
      </c>
      <c r="D9" s="95">
        <f>IF('Project Details'!D9=0,"", 'Project Details'!D9)</f>
        <v>9123456789</v>
      </c>
      <c r="E9" s="95"/>
      <c r="F9" s="95"/>
      <c r="G9" s="67"/>
      <c r="H9" s="12" t="s">
        <v>93</v>
      </c>
      <c r="I9" s="95" t="str">
        <f>IF('Project Details'!J9=0,"", 'Project Details'!J9)</f>
        <v>Kunstof</v>
      </c>
      <c r="J9" s="95"/>
      <c r="K9" s="5"/>
      <c r="L9" s="43"/>
    </row>
    <row r="10" spans="1:12" ht="14.25" x14ac:dyDescent="0.3">
      <c r="A10" s="43"/>
      <c r="B10" s="4"/>
      <c r="C10" s="12" t="s">
        <v>63</v>
      </c>
      <c r="D10" s="95" t="str">
        <f>IF('Project Details'!D10=0,"", 'Project Details'!D10)</f>
        <v>williamgbulaquena@gmail.com</v>
      </c>
      <c r="E10" s="95"/>
      <c r="F10" s="95"/>
      <c r="G10" s="67"/>
      <c r="H10" s="12" t="s">
        <v>94</v>
      </c>
      <c r="I10" s="95" t="str">
        <f>IF('Project Details'!J10=0,"", 'Project Details'!J10)</f>
        <v>Kunstof</v>
      </c>
      <c r="J10" s="95"/>
      <c r="K10" s="5"/>
      <c r="L10" s="43"/>
    </row>
    <row r="11" spans="1:12" ht="9.9499999999999993" customHeight="1" x14ac:dyDescent="0.25">
      <c r="A11" s="43"/>
      <c r="B11" s="6"/>
      <c r="C11" s="7"/>
      <c r="D11" s="7"/>
      <c r="E11" s="7"/>
      <c r="F11" s="62"/>
      <c r="G11" s="62"/>
      <c r="H11" s="7"/>
      <c r="I11" s="14"/>
      <c r="J11" s="7"/>
      <c r="K11" s="8"/>
      <c r="L11" s="43"/>
    </row>
    <row r="12" spans="1:12" x14ac:dyDescent="0.25">
      <c r="A12" s="43"/>
      <c r="B12" s="43"/>
      <c r="C12" s="43"/>
      <c r="D12" s="43"/>
      <c r="E12" s="43"/>
      <c r="F12" s="60"/>
      <c r="G12" s="60"/>
      <c r="H12" s="43"/>
      <c r="I12" s="43"/>
      <c r="J12" s="43"/>
      <c r="K12" s="43"/>
      <c r="L12" s="43"/>
    </row>
    <row r="13" spans="1:12" x14ac:dyDescent="0.25">
      <c r="A13" s="43"/>
      <c r="B13" s="43"/>
      <c r="C13" s="106" t="s">
        <v>102</v>
      </c>
      <c r="D13" s="107"/>
      <c r="E13" s="107"/>
      <c r="F13" s="107"/>
      <c r="G13" s="107"/>
      <c r="H13" s="107"/>
      <c r="I13" s="107"/>
      <c r="J13" s="108"/>
      <c r="K13" s="43"/>
      <c r="L13" s="43"/>
    </row>
    <row r="14" spans="1:12" s="83" customFormat="1" x14ac:dyDescent="0.25">
      <c r="A14" s="82"/>
      <c r="B14" s="82"/>
      <c r="C14" s="37" t="s">
        <v>3</v>
      </c>
      <c r="D14" s="37" t="s">
        <v>88</v>
      </c>
      <c r="E14" s="37" t="s">
        <v>781</v>
      </c>
      <c r="F14" s="37" t="s">
        <v>733</v>
      </c>
      <c r="G14" s="38" t="s">
        <v>95</v>
      </c>
      <c r="H14" s="37" t="s">
        <v>5</v>
      </c>
      <c r="I14" s="37" t="s">
        <v>776</v>
      </c>
      <c r="J14" s="37" t="s">
        <v>136</v>
      </c>
      <c r="K14" s="82"/>
      <c r="L14" s="82"/>
    </row>
    <row r="15" spans="1:12" customFormat="1" ht="15" x14ac:dyDescent="0.25">
      <c r="C15" s="74"/>
      <c r="D15" s="74"/>
      <c r="E15" s="74"/>
      <c r="F15" s="78"/>
      <c r="G15" s="78"/>
      <c r="H15" s="74"/>
      <c r="I15" s="74"/>
      <c r="J15" s="74"/>
    </row>
    <row r="16" spans="1:12" customFormat="1" ht="15" x14ac:dyDescent="0.25">
      <c r="C16" s="76"/>
      <c r="D16" s="76"/>
      <c r="E16" s="76"/>
      <c r="F16" s="81"/>
      <c r="G16" s="79"/>
      <c r="H16" s="76"/>
      <c r="I16" s="76"/>
      <c r="J16" s="76"/>
    </row>
    <row r="17" spans="3:10" customFormat="1" ht="15" x14ac:dyDescent="0.25">
      <c r="C17" s="74"/>
      <c r="D17" s="74"/>
      <c r="E17" s="74"/>
      <c r="F17" s="78"/>
      <c r="G17" s="80"/>
      <c r="H17" s="74"/>
      <c r="I17" s="74"/>
      <c r="J17" s="74"/>
    </row>
    <row r="18" spans="3:10" customFormat="1" ht="15" x14ac:dyDescent="0.25">
      <c r="C18" s="76"/>
      <c r="D18" s="76"/>
      <c r="E18" s="76"/>
      <c r="F18" s="81"/>
      <c r="G18" s="79"/>
      <c r="H18" s="76"/>
      <c r="I18" s="76"/>
      <c r="J18" s="76"/>
    </row>
    <row r="19" spans="3:10" customFormat="1" ht="15" x14ac:dyDescent="0.25">
      <c r="C19" s="74"/>
      <c r="D19" s="74"/>
      <c r="E19" s="74"/>
      <c r="F19" s="78"/>
      <c r="G19" s="80"/>
      <c r="H19" s="74"/>
      <c r="I19" s="74"/>
      <c r="J19" s="74"/>
    </row>
    <row r="20" spans="3:10" customFormat="1" ht="15" x14ac:dyDescent="0.25">
      <c r="C20" s="76"/>
      <c r="D20" s="76"/>
      <c r="E20" s="76"/>
      <c r="F20" s="81"/>
      <c r="G20" s="79"/>
      <c r="H20" s="76"/>
      <c r="I20" s="76"/>
      <c r="J20" s="76"/>
    </row>
    <row r="21" spans="3:10" customFormat="1" ht="15" x14ac:dyDescent="0.25">
      <c r="C21" s="74"/>
      <c r="D21" s="74"/>
      <c r="E21" s="74"/>
      <c r="F21" s="78"/>
      <c r="G21" s="80"/>
      <c r="H21" s="74"/>
      <c r="I21" s="74"/>
      <c r="J21" s="74"/>
    </row>
    <row r="22" spans="3:10" customFormat="1" ht="15" x14ac:dyDescent="0.25">
      <c r="C22" s="76"/>
      <c r="D22" s="76"/>
      <c r="E22" s="76"/>
      <c r="F22" s="81"/>
      <c r="G22" s="79"/>
      <c r="H22" s="76"/>
      <c r="I22" s="76"/>
      <c r="J22" s="76"/>
    </row>
    <row r="23" spans="3:10" customFormat="1" ht="15" x14ac:dyDescent="0.25">
      <c r="C23" s="74"/>
      <c r="D23" s="74"/>
      <c r="E23" s="74"/>
      <c r="F23" s="78"/>
      <c r="G23" s="80"/>
      <c r="H23" s="74"/>
      <c r="I23" s="74"/>
      <c r="J23" s="74"/>
    </row>
    <row r="24" spans="3:10" customFormat="1" ht="15" x14ac:dyDescent="0.25">
      <c r="C24" s="76"/>
      <c r="D24" s="76"/>
      <c r="E24" s="76"/>
      <c r="F24" s="81"/>
      <c r="G24" s="79"/>
      <c r="H24" s="76"/>
      <c r="I24" s="76"/>
      <c r="J24" s="76"/>
    </row>
    <row r="25" spans="3:10" customFormat="1" ht="15" x14ac:dyDescent="0.25">
      <c r="C25" s="74"/>
      <c r="D25" s="74"/>
      <c r="E25" s="74"/>
      <c r="F25" s="78"/>
      <c r="G25" s="80"/>
      <c r="H25" s="74"/>
      <c r="I25" s="74"/>
      <c r="J25" s="74"/>
    </row>
    <row r="26" spans="3:10" customFormat="1" ht="15" x14ac:dyDescent="0.25">
      <c r="C26" s="76"/>
      <c r="D26" s="76"/>
      <c r="E26" s="76"/>
      <c r="F26" s="81"/>
      <c r="G26" s="79"/>
      <c r="H26" s="76"/>
      <c r="I26" s="76"/>
      <c r="J26" s="76"/>
    </row>
    <row r="27" spans="3:10" customFormat="1" ht="15" x14ac:dyDescent="0.25">
      <c r="C27" s="74"/>
      <c r="D27" s="74"/>
      <c r="E27" s="74"/>
      <c r="F27" s="78"/>
      <c r="G27" s="80"/>
      <c r="H27" s="74"/>
      <c r="I27" s="74"/>
      <c r="J27" s="74"/>
    </row>
    <row r="28" spans="3:10" customFormat="1" ht="15" x14ac:dyDescent="0.25">
      <c r="C28" s="76"/>
      <c r="D28" s="76"/>
      <c r="E28" s="76"/>
      <c r="F28" s="81"/>
      <c r="G28" s="79"/>
      <c r="H28" s="76"/>
      <c r="I28" s="76"/>
      <c r="J28" s="76"/>
    </row>
    <row r="29" spans="3:10" customFormat="1" ht="15" x14ac:dyDescent="0.25">
      <c r="C29" s="16"/>
      <c r="D29" s="16"/>
      <c r="E29" s="16"/>
      <c r="F29" s="64"/>
      <c r="G29" s="70"/>
      <c r="H29" s="16"/>
      <c r="I29" s="16"/>
      <c r="J29" s="16"/>
    </row>
    <row r="30" spans="3:10" customFormat="1" ht="15" x14ac:dyDescent="0.25">
      <c r="C30" s="35"/>
      <c r="D30" s="35"/>
      <c r="E30" s="35"/>
      <c r="F30" s="65"/>
      <c r="G30" s="69"/>
      <c r="H30" s="35"/>
      <c r="I30" s="35"/>
      <c r="J30" s="35"/>
    </row>
    <row r="31" spans="3:10" customFormat="1" ht="15" x14ac:dyDescent="0.25">
      <c r="C31" s="16"/>
      <c r="D31" s="16"/>
      <c r="E31" s="16"/>
      <c r="F31" s="64"/>
      <c r="G31" s="70"/>
      <c r="H31" s="16"/>
      <c r="I31" s="16"/>
      <c r="J31" s="16"/>
    </row>
    <row r="32" spans="3:10" customFormat="1" ht="15" x14ac:dyDescent="0.25">
      <c r="C32" s="35"/>
      <c r="D32" s="35"/>
      <c r="E32" s="35"/>
      <c r="F32" s="65"/>
      <c r="G32" s="69"/>
      <c r="H32" s="35"/>
      <c r="I32" s="35"/>
      <c r="J32" s="35"/>
    </row>
    <row r="33" spans="3:10" customFormat="1" ht="15" x14ac:dyDescent="0.25">
      <c r="C33" s="16"/>
      <c r="D33" s="16"/>
      <c r="E33" s="16"/>
      <c r="F33" s="64"/>
      <c r="G33" s="70"/>
      <c r="H33" s="16"/>
      <c r="I33" s="16"/>
      <c r="J33" s="16"/>
    </row>
    <row r="34" spans="3:10" customFormat="1" ht="13.5" customHeight="1" x14ac:dyDescent="0.25">
      <c r="C34" s="35"/>
      <c r="D34" s="35"/>
      <c r="E34" s="35"/>
      <c r="F34" s="65"/>
      <c r="G34" s="69"/>
      <c r="H34" s="35"/>
      <c r="I34" s="35"/>
      <c r="J34" s="35"/>
    </row>
    <row r="35" spans="3:10" customFormat="1" ht="13.5" customHeight="1" x14ac:dyDescent="0.25">
      <c r="C35" s="16"/>
      <c r="D35" s="16"/>
      <c r="E35" s="16"/>
      <c r="F35" s="64"/>
      <c r="G35" s="70"/>
      <c r="H35" s="16"/>
      <c r="I35" s="16"/>
      <c r="J35" s="16"/>
    </row>
    <row r="36" spans="3:10" customFormat="1" ht="13.5" customHeight="1" x14ac:dyDescent="0.25">
      <c r="C36" s="35"/>
      <c r="D36" s="35"/>
      <c r="E36" s="35"/>
      <c r="F36" s="65"/>
      <c r="G36" s="69"/>
      <c r="H36" s="35"/>
      <c r="I36" s="35"/>
      <c r="J36" s="35"/>
    </row>
    <row r="37" spans="3:10" customFormat="1" ht="13.5" customHeight="1" x14ac:dyDescent="0.25">
      <c r="C37" s="16"/>
      <c r="D37" s="16"/>
      <c r="E37" s="16"/>
      <c r="F37" s="64"/>
      <c r="G37" s="70"/>
      <c r="H37" s="16"/>
      <c r="I37" s="16"/>
      <c r="J37" s="16"/>
    </row>
    <row r="38" spans="3:10" customFormat="1" ht="13.5" customHeight="1" x14ac:dyDescent="0.25">
      <c r="C38" s="35"/>
      <c r="D38" s="35"/>
      <c r="E38" s="35"/>
      <c r="F38" s="65"/>
      <c r="G38" s="69"/>
      <c r="H38" s="35"/>
      <c r="I38" s="35"/>
      <c r="J38" s="35"/>
    </row>
    <row r="39" spans="3:10" customFormat="1" ht="13.5" customHeight="1" x14ac:dyDescent="0.25">
      <c r="C39" s="16"/>
      <c r="D39" s="16"/>
      <c r="E39" s="16"/>
      <c r="F39" s="64"/>
      <c r="G39" s="70"/>
      <c r="H39" s="16"/>
      <c r="I39" s="16"/>
      <c r="J39" s="16"/>
    </row>
    <row r="40" spans="3:10" customFormat="1" ht="13.5" customHeight="1" x14ac:dyDescent="0.25">
      <c r="C40" s="35"/>
      <c r="D40" s="35"/>
      <c r="E40" s="35"/>
      <c r="F40" s="65"/>
      <c r="G40" s="69"/>
      <c r="H40" s="35"/>
      <c r="I40" s="35"/>
      <c r="J40" s="35"/>
    </row>
    <row r="41" spans="3:10" customFormat="1" ht="13.5" customHeight="1" x14ac:dyDescent="0.25">
      <c r="C41" s="16"/>
      <c r="D41" s="16"/>
      <c r="E41" s="16"/>
      <c r="F41" s="64"/>
      <c r="G41" s="70"/>
      <c r="H41" s="16"/>
      <c r="I41" s="16"/>
      <c r="J41" s="16"/>
    </row>
    <row r="42" spans="3:10" customFormat="1" ht="13.5" customHeight="1" x14ac:dyDescent="0.25">
      <c r="C42" s="35"/>
      <c r="D42" s="35"/>
      <c r="E42" s="35"/>
      <c r="F42" s="65"/>
      <c r="G42" s="69"/>
      <c r="H42" s="35"/>
      <c r="I42" s="35"/>
      <c r="J42" s="35"/>
    </row>
    <row r="43" spans="3:10" customFormat="1" ht="13.5" customHeight="1" x14ac:dyDescent="0.25">
      <c r="C43" s="16"/>
      <c r="D43" s="16"/>
      <c r="E43" s="16"/>
      <c r="F43" s="64"/>
      <c r="G43" s="70"/>
      <c r="H43" s="16"/>
      <c r="I43" s="16"/>
      <c r="J43" s="16"/>
    </row>
    <row r="44" spans="3:10" customFormat="1" ht="13.5" customHeight="1" x14ac:dyDescent="0.25">
      <c r="C44" s="35"/>
      <c r="D44" s="35"/>
      <c r="E44" s="35"/>
      <c r="F44" s="65"/>
      <c r="G44" s="69"/>
      <c r="H44" s="35"/>
      <c r="I44" s="35"/>
      <c r="J44" s="35"/>
    </row>
    <row r="45" spans="3:10" customFormat="1" ht="13.5" customHeight="1" x14ac:dyDescent="0.25">
      <c r="C45" s="16"/>
      <c r="D45" s="16"/>
      <c r="E45" s="16"/>
      <c r="F45" s="64"/>
      <c r="G45" s="70"/>
      <c r="H45" s="16"/>
      <c r="I45" s="16"/>
      <c r="J45" s="16"/>
    </row>
    <row r="46" spans="3:10" customFormat="1" ht="13.5" customHeight="1" x14ac:dyDescent="0.25">
      <c r="C46" s="35"/>
      <c r="D46" s="35"/>
      <c r="E46" s="35"/>
      <c r="F46" s="65"/>
      <c r="G46" s="69"/>
      <c r="H46" s="35"/>
      <c r="I46" s="35"/>
      <c r="J46" s="35"/>
    </row>
    <row r="47" spans="3:10" customFormat="1" ht="13.5" customHeight="1" x14ac:dyDescent="0.25">
      <c r="C47" s="16"/>
      <c r="D47" s="16"/>
      <c r="E47" s="16"/>
      <c r="F47" s="64"/>
      <c r="G47" s="70"/>
      <c r="H47" s="16"/>
      <c r="I47" s="16"/>
      <c r="J47" s="16"/>
    </row>
    <row r="48" spans="3:10" customFormat="1" ht="13.5" customHeight="1" x14ac:dyDescent="0.25">
      <c r="C48" s="35"/>
      <c r="D48" s="35"/>
      <c r="E48" s="35"/>
      <c r="F48" s="65"/>
      <c r="G48" s="69"/>
      <c r="H48" s="35"/>
      <c r="I48" s="35"/>
      <c r="J48" s="35"/>
    </row>
    <row r="49" spans="3:10" customFormat="1" ht="13.5" customHeight="1" x14ac:dyDescent="0.25">
      <c r="C49" s="16"/>
      <c r="D49" s="16"/>
      <c r="E49" s="16"/>
      <c r="F49" s="64"/>
      <c r="G49" s="70"/>
      <c r="H49" s="16"/>
      <c r="I49" s="16"/>
      <c r="J49" s="16"/>
    </row>
    <row r="50" spans="3:10" customFormat="1" ht="13.5" customHeight="1" x14ac:dyDescent="0.25">
      <c r="C50" s="35"/>
      <c r="D50" s="35"/>
      <c r="E50" s="35"/>
      <c r="F50" s="65"/>
      <c r="G50" s="69"/>
      <c r="H50" s="35"/>
      <c r="I50" s="35"/>
      <c r="J50" s="35"/>
    </row>
    <row r="51" spans="3:10" customFormat="1" ht="13.5" customHeight="1" x14ac:dyDescent="0.25">
      <c r="C51" s="16"/>
      <c r="D51" s="16"/>
      <c r="E51" s="16"/>
      <c r="F51" s="64"/>
      <c r="G51" s="70"/>
      <c r="H51" s="16"/>
      <c r="I51" s="16"/>
      <c r="J51" s="16"/>
    </row>
    <row r="52" spans="3:10" customFormat="1" ht="13.5" customHeight="1" x14ac:dyDescent="0.25">
      <c r="C52" s="35"/>
      <c r="D52" s="35"/>
      <c r="E52" s="35"/>
      <c r="F52" s="65"/>
      <c r="G52" s="69"/>
      <c r="H52" s="35"/>
      <c r="I52" s="35"/>
      <c r="J52" s="35"/>
    </row>
    <row r="53" spans="3:10" customFormat="1" ht="13.5" customHeight="1" x14ac:dyDescent="0.25">
      <c r="C53" s="16"/>
      <c r="D53" s="16"/>
      <c r="E53" s="16"/>
      <c r="F53" s="64"/>
      <c r="G53" s="70"/>
      <c r="H53" s="16"/>
      <c r="I53" s="16"/>
      <c r="J53" s="16"/>
    </row>
    <row r="54" spans="3:10" customFormat="1" ht="13.5" customHeight="1" x14ac:dyDescent="0.25">
      <c r="C54" s="35"/>
      <c r="D54" s="35"/>
      <c r="E54" s="35"/>
      <c r="F54" s="65"/>
      <c r="G54" s="69"/>
      <c r="H54" s="35"/>
      <c r="I54" s="35"/>
      <c r="J54" s="35"/>
    </row>
    <row r="55" spans="3:10" customFormat="1" ht="13.5" customHeight="1" collapsed="1" x14ac:dyDescent="0.25">
      <c r="C55" s="16"/>
      <c r="D55" s="16"/>
      <c r="E55" s="16"/>
      <c r="F55" s="64"/>
      <c r="G55" s="70"/>
      <c r="H55" s="16"/>
      <c r="I55" s="16"/>
      <c r="J55" s="16"/>
    </row>
    <row r="56" spans="3:10" customFormat="1" ht="13.5" customHeight="1" x14ac:dyDescent="0.25">
      <c r="C56" s="35"/>
      <c r="D56" s="35"/>
      <c r="E56" s="35"/>
      <c r="F56" s="65"/>
      <c r="G56" s="69"/>
      <c r="H56" s="35"/>
      <c r="I56" s="35"/>
      <c r="J56" s="35"/>
    </row>
    <row r="57" spans="3:10" customFormat="1" ht="13.5" customHeight="1" x14ac:dyDescent="0.25">
      <c r="C57" s="16"/>
      <c r="D57" s="16"/>
      <c r="E57" s="16"/>
      <c r="F57" s="64"/>
      <c r="G57" s="70"/>
      <c r="H57" s="16"/>
      <c r="I57" s="16"/>
      <c r="J57" s="16"/>
    </row>
    <row r="58" spans="3:10" customFormat="1" ht="13.5" customHeight="1" x14ac:dyDescent="0.25">
      <c r="C58" s="35"/>
      <c r="D58" s="35"/>
      <c r="E58" s="35"/>
      <c r="F58" s="65"/>
      <c r="G58" s="69"/>
      <c r="H58" s="35"/>
      <c r="I58" s="35"/>
      <c r="J58" s="35"/>
    </row>
    <row r="59" spans="3:10" customFormat="1" ht="13.5" customHeight="1" x14ac:dyDescent="0.25">
      <c r="C59" s="16"/>
      <c r="D59" s="16"/>
      <c r="E59" s="16"/>
      <c r="F59" s="64"/>
      <c r="G59" s="70"/>
      <c r="H59" s="16"/>
      <c r="I59" s="16"/>
      <c r="J59" s="16"/>
    </row>
    <row r="60" spans="3:10" customFormat="1" ht="13.5" customHeight="1" x14ac:dyDescent="0.25">
      <c r="C60" s="35"/>
      <c r="D60" s="35"/>
      <c r="E60" s="35"/>
      <c r="F60" s="65"/>
      <c r="G60" s="69"/>
      <c r="H60" s="35"/>
      <c r="I60" s="35"/>
      <c r="J60" s="35"/>
    </row>
    <row r="61" spans="3:10" customFormat="1" ht="13.5" customHeight="1" x14ac:dyDescent="0.25">
      <c r="C61" s="16"/>
      <c r="D61" s="16"/>
      <c r="E61" s="16"/>
      <c r="F61" s="64"/>
      <c r="G61" s="70"/>
      <c r="H61" s="16"/>
      <c r="I61" s="16"/>
      <c r="J61" s="16"/>
    </row>
    <row r="62" spans="3:10" customFormat="1" ht="13.5" customHeight="1" x14ac:dyDescent="0.25">
      <c r="C62" s="35"/>
      <c r="D62" s="35"/>
      <c r="E62" s="35"/>
      <c r="F62" s="65"/>
      <c r="G62" s="69"/>
      <c r="H62" s="35"/>
      <c r="I62" s="35"/>
      <c r="J62" s="35"/>
    </row>
    <row r="63" spans="3:10" customFormat="1" ht="13.5" customHeight="1" x14ac:dyDescent="0.25">
      <c r="C63" s="16"/>
      <c r="D63" s="16"/>
      <c r="E63" s="16"/>
      <c r="F63" s="64"/>
      <c r="G63" s="70"/>
      <c r="H63" s="16"/>
      <c r="I63" s="16"/>
      <c r="J63" s="16"/>
    </row>
    <row r="64" spans="3:10" customFormat="1" ht="13.5" customHeight="1" x14ac:dyDescent="0.25">
      <c r="C64" s="35"/>
      <c r="D64" s="35"/>
      <c r="E64" s="35"/>
      <c r="F64" s="65"/>
      <c r="G64" s="69"/>
      <c r="H64" s="35"/>
      <c r="I64" s="35"/>
      <c r="J64" s="35"/>
    </row>
    <row r="65" spans="3:10" customFormat="1" ht="13.5" customHeight="1" x14ac:dyDescent="0.25">
      <c r="C65" s="16"/>
      <c r="D65" s="16"/>
      <c r="E65" s="16"/>
      <c r="F65" s="64"/>
      <c r="G65" s="70"/>
      <c r="H65" s="16"/>
      <c r="I65" s="16"/>
      <c r="J65" s="16"/>
    </row>
    <row r="66" spans="3:10" customFormat="1" ht="13.5" customHeight="1" x14ac:dyDescent="0.25">
      <c r="C66" s="35"/>
      <c r="D66" s="35"/>
      <c r="E66" s="35"/>
      <c r="F66" s="65"/>
      <c r="G66" s="69"/>
      <c r="H66" s="35"/>
      <c r="I66" s="35"/>
      <c r="J66" s="35"/>
    </row>
    <row r="67" spans="3:10" customFormat="1" ht="13.5" customHeight="1" x14ac:dyDescent="0.25">
      <c r="C67" s="16"/>
      <c r="D67" s="16"/>
      <c r="E67" s="16"/>
      <c r="F67" s="64"/>
      <c r="G67" s="70"/>
      <c r="H67" s="16"/>
      <c r="I67" s="16"/>
      <c r="J67" s="16"/>
    </row>
    <row r="68" spans="3:10" customFormat="1" ht="13.5" customHeight="1" x14ac:dyDescent="0.25">
      <c r="C68" s="35"/>
      <c r="D68" s="35"/>
      <c r="E68" s="35"/>
      <c r="F68" s="65"/>
      <c r="G68" s="69"/>
      <c r="H68" s="35"/>
      <c r="I68" s="35"/>
      <c r="J68" s="35"/>
    </row>
    <row r="69" spans="3:10" customFormat="1" ht="13.5" customHeight="1" x14ac:dyDescent="0.25">
      <c r="C69" s="16"/>
      <c r="D69" s="16"/>
      <c r="E69" s="16"/>
      <c r="F69" s="64"/>
      <c r="G69" s="70"/>
      <c r="H69" s="16"/>
      <c r="I69" s="16"/>
      <c r="J69" s="16"/>
    </row>
    <row r="70" spans="3:10" customFormat="1" ht="13.5" customHeight="1" x14ac:dyDescent="0.25">
      <c r="C70" s="35"/>
      <c r="D70" s="35"/>
      <c r="E70" s="35"/>
      <c r="F70" s="65"/>
      <c r="G70" s="69"/>
      <c r="H70" s="35"/>
      <c r="I70" s="35"/>
      <c r="J70" s="35"/>
    </row>
    <row r="71" spans="3:10" customFormat="1" ht="13.5" customHeight="1" x14ac:dyDescent="0.25">
      <c r="C71" s="16"/>
      <c r="D71" s="16"/>
      <c r="E71" s="16"/>
      <c r="F71" s="64"/>
      <c r="G71" s="70"/>
      <c r="H71" s="16"/>
      <c r="I71" s="16"/>
      <c r="J71" s="16"/>
    </row>
    <row r="72" spans="3:10" customFormat="1" ht="13.5" customHeight="1" x14ac:dyDescent="0.25">
      <c r="C72" s="35"/>
      <c r="D72" s="35"/>
      <c r="E72" s="35"/>
      <c r="F72" s="65"/>
      <c r="G72" s="69"/>
      <c r="H72" s="35"/>
      <c r="I72" s="35"/>
      <c r="J72" s="35"/>
    </row>
    <row r="73" spans="3:10" customFormat="1" ht="13.5" customHeight="1" x14ac:dyDescent="0.25">
      <c r="C73" s="16"/>
      <c r="D73" s="16"/>
      <c r="E73" s="16"/>
      <c r="F73" s="64"/>
      <c r="G73" s="70"/>
      <c r="H73" s="16"/>
      <c r="I73" s="16"/>
      <c r="J73" s="16"/>
    </row>
    <row r="74" spans="3:10" customFormat="1" ht="13.5" customHeight="1" x14ac:dyDescent="0.25">
      <c r="C74" s="35"/>
      <c r="D74" s="35"/>
      <c r="E74" s="35"/>
      <c r="F74" s="65"/>
      <c r="G74" s="69"/>
      <c r="H74" s="35"/>
      <c r="I74" s="35"/>
      <c r="J74" s="35"/>
    </row>
    <row r="75" spans="3:10" customFormat="1" ht="13.5" customHeight="1" x14ac:dyDescent="0.25">
      <c r="C75" s="16"/>
      <c r="D75" s="16"/>
      <c r="E75" s="16"/>
      <c r="F75" s="64"/>
      <c r="G75" s="70"/>
      <c r="H75" s="16"/>
      <c r="I75" s="16"/>
      <c r="J75" s="16"/>
    </row>
    <row r="76" spans="3:10" customFormat="1" ht="13.5" customHeight="1" x14ac:dyDescent="0.25">
      <c r="C76" s="35"/>
      <c r="D76" s="35"/>
      <c r="E76" s="35"/>
      <c r="F76" s="65"/>
      <c r="G76" s="69"/>
      <c r="H76" s="35"/>
      <c r="I76" s="35"/>
      <c r="J76" s="35"/>
    </row>
    <row r="77" spans="3:10" customFormat="1" ht="13.5" customHeight="1" x14ac:dyDescent="0.25">
      <c r="C77" s="16"/>
      <c r="D77" s="16"/>
      <c r="E77" s="16"/>
      <c r="F77" s="64"/>
      <c r="G77" s="70"/>
      <c r="H77" s="16"/>
      <c r="I77" s="16"/>
      <c r="J77" s="16"/>
    </row>
    <row r="78" spans="3:10" customFormat="1" ht="13.5" customHeight="1" x14ac:dyDescent="0.25">
      <c r="C78" s="35"/>
      <c r="D78" s="35"/>
      <c r="E78" s="35"/>
      <c r="F78" s="65"/>
      <c r="G78" s="69"/>
      <c r="H78" s="35"/>
      <c r="I78" s="35"/>
      <c r="J78" s="35"/>
    </row>
    <row r="79" spans="3:10" customFormat="1" ht="13.5" customHeight="1" x14ac:dyDescent="0.25">
      <c r="C79" s="16"/>
      <c r="D79" s="16"/>
      <c r="E79" s="16"/>
      <c r="F79" s="64"/>
      <c r="G79" s="70"/>
      <c r="H79" s="16"/>
      <c r="I79" s="16"/>
      <c r="J79" s="16"/>
    </row>
    <row r="80" spans="3:10" customFormat="1" ht="13.5" customHeight="1" x14ac:dyDescent="0.25">
      <c r="C80" s="35"/>
      <c r="D80" s="35"/>
      <c r="E80" s="35"/>
      <c r="F80" s="65"/>
      <c r="G80" s="69"/>
      <c r="H80" s="35"/>
      <c r="I80" s="35"/>
      <c r="J80" s="35"/>
    </row>
    <row r="81" spans="3:10" customFormat="1" ht="13.5" customHeight="1" x14ac:dyDescent="0.25">
      <c r="C81" s="16"/>
      <c r="D81" s="16"/>
      <c r="E81" s="16"/>
      <c r="F81" s="64"/>
      <c r="G81" s="70"/>
      <c r="H81" s="16"/>
      <c r="I81" s="16"/>
      <c r="J81" s="16"/>
    </row>
    <row r="82" spans="3:10" customFormat="1" ht="13.5" customHeight="1" x14ac:dyDescent="0.25">
      <c r="C82" s="35"/>
      <c r="D82" s="35"/>
      <c r="E82" s="35"/>
      <c r="F82" s="65"/>
      <c r="G82" s="69"/>
      <c r="H82" s="35"/>
      <c r="I82" s="35"/>
      <c r="J82" s="35"/>
    </row>
    <row r="83" spans="3:10" customFormat="1" ht="13.5" customHeight="1" x14ac:dyDescent="0.25">
      <c r="C83" s="16"/>
      <c r="D83" s="16"/>
      <c r="E83" s="16"/>
      <c r="F83" s="64"/>
      <c r="G83" s="70"/>
      <c r="H83" s="16"/>
      <c r="I83" s="16"/>
      <c r="J83" s="16"/>
    </row>
    <row r="84" spans="3:10" customFormat="1" ht="13.5" customHeight="1" x14ac:dyDescent="0.25">
      <c r="C84" s="35"/>
      <c r="D84" s="35"/>
      <c r="E84" s="35"/>
      <c r="F84" s="65"/>
      <c r="G84" s="69"/>
      <c r="H84" s="35"/>
      <c r="I84" s="35"/>
      <c r="J84" s="35"/>
    </row>
    <row r="85" spans="3:10" customFormat="1" ht="13.5" customHeight="1" x14ac:dyDescent="0.25">
      <c r="C85" s="16"/>
      <c r="D85" s="16"/>
      <c r="E85" s="16"/>
      <c r="F85" s="64"/>
      <c r="G85" s="70"/>
      <c r="H85" s="16"/>
      <c r="I85" s="16"/>
      <c r="J85" s="16"/>
    </row>
    <row r="86" spans="3:10" customFormat="1" ht="13.5" customHeight="1" x14ac:dyDescent="0.25">
      <c r="C86" s="35"/>
      <c r="D86" s="35"/>
      <c r="E86" s="35"/>
      <c r="F86" s="65"/>
      <c r="G86" s="69"/>
      <c r="H86" s="35"/>
      <c r="I86" s="35"/>
      <c r="J86" s="35"/>
    </row>
    <row r="87" spans="3:10" customFormat="1" ht="13.5" customHeight="1" x14ac:dyDescent="0.25">
      <c r="C87" s="16"/>
      <c r="D87" s="16"/>
      <c r="E87" s="16"/>
      <c r="F87" s="64"/>
      <c r="G87" s="70"/>
      <c r="H87" s="16"/>
      <c r="I87" s="16"/>
      <c r="J87" s="16"/>
    </row>
    <row r="88" spans="3:10" customFormat="1" ht="13.5" customHeight="1" x14ac:dyDescent="0.25">
      <c r="C88" s="35"/>
      <c r="D88" s="35"/>
      <c r="E88" s="35"/>
      <c r="F88" s="65"/>
      <c r="G88" s="69"/>
      <c r="H88" s="35"/>
      <c r="I88" s="35"/>
      <c r="J88" s="35"/>
    </row>
    <row r="89" spans="3:10" customFormat="1" ht="13.5" customHeight="1" x14ac:dyDescent="0.25">
      <c r="C89" s="16"/>
      <c r="D89" s="16"/>
      <c r="E89" s="16"/>
      <c r="F89" s="64"/>
      <c r="G89" s="70"/>
      <c r="H89" s="16"/>
      <c r="I89" s="16"/>
      <c r="J89" s="16"/>
    </row>
    <row r="90" spans="3:10" customFormat="1" ht="13.5" customHeight="1" x14ac:dyDescent="0.25">
      <c r="C90" s="35"/>
      <c r="D90" s="35"/>
      <c r="E90" s="35"/>
      <c r="F90" s="65"/>
      <c r="G90" s="69"/>
      <c r="H90" s="35"/>
      <c r="I90" s="35"/>
      <c r="J90" s="35"/>
    </row>
    <row r="91" spans="3:10" customFormat="1" ht="13.5" customHeight="1" x14ac:dyDescent="0.25">
      <c r="C91" s="16"/>
      <c r="D91" s="16"/>
      <c r="E91" s="16"/>
      <c r="F91" s="64"/>
      <c r="G91" s="70"/>
      <c r="H91" s="16"/>
      <c r="I91" s="16"/>
      <c r="J91" s="16"/>
    </row>
    <row r="92" spans="3:10" customFormat="1" ht="13.5" customHeight="1" x14ac:dyDescent="0.25">
      <c r="C92" s="35"/>
      <c r="D92" s="35"/>
      <c r="E92" s="35"/>
      <c r="F92" s="65"/>
      <c r="G92" s="69"/>
      <c r="H92" s="35"/>
      <c r="I92" s="35"/>
      <c r="J92" s="35"/>
    </row>
    <row r="93" spans="3:10" customFormat="1" ht="13.5" customHeight="1" x14ac:dyDescent="0.25">
      <c r="C93" s="16"/>
      <c r="D93" s="16"/>
      <c r="E93" s="16"/>
      <c r="F93" s="64"/>
      <c r="G93" s="70"/>
      <c r="H93" s="16"/>
      <c r="I93" s="16"/>
      <c r="J93" s="16"/>
    </row>
    <row r="94" spans="3:10" customFormat="1" ht="13.5" customHeight="1" x14ac:dyDescent="0.25">
      <c r="C94" s="35"/>
      <c r="D94" s="35"/>
      <c r="E94" s="35"/>
      <c r="F94" s="65"/>
      <c r="G94" s="69"/>
      <c r="H94" s="35"/>
      <c r="I94" s="35"/>
      <c r="J94" s="35"/>
    </row>
    <row r="95" spans="3:10" customFormat="1" ht="13.5" customHeight="1" x14ac:dyDescent="0.25">
      <c r="C95" s="16"/>
      <c r="D95" s="16"/>
      <c r="E95" s="16"/>
      <c r="F95" s="64"/>
      <c r="G95" s="70"/>
      <c r="H95" s="16"/>
      <c r="I95" s="16"/>
      <c r="J95" s="16"/>
    </row>
    <row r="96" spans="3:10" customFormat="1" ht="13.5" customHeight="1" x14ac:dyDescent="0.25">
      <c r="C96" s="35"/>
      <c r="D96" s="35"/>
      <c r="E96" s="35"/>
      <c r="F96" s="65"/>
      <c r="G96" s="69"/>
      <c r="H96" s="35"/>
      <c r="I96" s="35"/>
      <c r="J96" s="35"/>
    </row>
    <row r="97" spans="3:10" customFormat="1" ht="13.5" customHeight="1" x14ac:dyDescent="0.25">
      <c r="C97" s="16"/>
      <c r="D97" s="16"/>
      <c r="E97" s="16"/>
      <c r="F97" s="64"/>
      <c r="G97" s="70"/>
      <c r="H97" s="16"/>
      <c r="I97" s="16"/>
      <c r="J97" s="16"/>
    </row>
    <row r="98" spans="3:10" customFormat="1" ht="13.5" customHeight="1" x14ac:dyDescent="0.25">
      <c r="C98" s="35"/>
      <c r="D98" s="35"/>
      <c r="E98" s="35"/>
      <c r="F98" s="65"/>
      <c r="G98" s="69"/>
      <c r="H98" s="35"/>
      <c r="I98" s="35"/>
      <c r="J98" s="35"/>
    </row>
    <row r="99" spans="3:10" customFormat="1" ht="13.5" customHeight="1" x14ac:dyDescent="0.25">
      <c r="C99" s="16"/>
      <c r="D99" s="16"/>
      <c r="E99" s="16"/>
      <c r="F99" s="64"/>
      <c r="G99" s="70"/>
      <c r="H99" s="16"/>
      <c r="I99" s="16"/>
      <c r="J99" s="16"/>
    </row>
    <row r="100" spans="3:10" customFormat="1" ht="13.5" customHeight="1" x14ac:dyDescent="0.25">
      <c r="C100" s="35"/>
      <c r="D100" s="35"/>
      <c r="E100" s="35"/>
      <c r="F100" s="65"/>
      <c r="G100" s="69"/>
      <c r="H100" s="35"/>
      <c r="I100" s="35"/>
      <c r="J100" s="35"/>
    </row>
    <row r="101" spans="3:10" ht="13.5" customHeight="1" x14ac:dyDescent="0.25">
      <c r="C101" s="16"/>
      <c r="D101" s="16"/>
      <c r="E101" s="16"/>
      <c r="F101" s="64"/>
      <c r="G101" s="70"/>
      <c r="H101" s="16"/>
      <c r="I101" s="16"/>
      <c r="J101" s="16"/>
    </row>
    <row r="102" spans="3:10" ht="13.5" customHeight="1" x14ac:dyDescent="0.25">
      <c r="C102" s="35"/>
      <c r="D102" s="35"/>
      <c r="E102" s="35"/>
      <c r="F102" s="65"/>
      <c r="G102" s="69"/>
      <c r="H102" s="35"/>
      <c r="I102" s="35"/>
      <c r="J102" s="35"/>
    </row>
    <row r="103" spans="3:10" ht="13.5" customHeight="1" x14ac:dyDescent="0.25">
      <c r="C103" s="16"/>
      <c r="D103" s="16"/>
      <c r="E103" s="16"/>
      <c r="F103" s="64"/>
      <c r="G103" s="70"/>
      <c r="H103" s="16"/>
      <c r="I103" s="16"/>
      <c r="J103" s="16"/>
    </row>
    <row r="104" spans="3:10" ht="13.5" customHeight="1" x14ac:dyDescent="0.25">
      <c r="C104" s="35"/>
      <c r="D104" s="35"/>
      <c r="E104" s="35"/>
      <c r="F104" s="65"/>
      <c r="G104" s="69"/>
      <c r="H104" s="35"/>
      <c r="I104" s="35"/>
      <c r="J104" s="35"/>
    </row>
    <row r="105" spans="3:10" ht="13.5" customHeight="1" x14ac:dyDescent="0.25">
      <c r="C105" s="16"/>
      <c r="D105" s="16"/>
      <c r="E105" s="16"/>
      <c r="F105" s="64"/>
      <c r="G105" s="70"/>
      <c r="H105" s="16"/>
      <c r="I105" s="16"/>
      <c r="J105" s="16"/>
    </row>
    <row r="106" spans="3:10" ht="13.5" customHeight="1" x14ac:dyDescent="0.25">
      <c r="C106" s="35"/>
      <c r="D106" s="35"/>
      <c r="E106" s="35"/>
      <c r="F106" s="65"/>
      <c r="G106" s="69"/>
      <c r="H106" s="35"/>
      <c r="I106" s="35"/>
      <c r="J106" s="35"/>
    </row>
    <row r="107" spans="3:10" ht="13.5" customHeight="1" x14ac:dyDescent="0.25">
      <c r="C107" s="16"/>
      <c r="D107" s="16"/>
      <c r="E107" s="16"/>
      <c r="F107" s="64"/>
      <c r="G107" s="70"/>
      <c r="H107" s="16"/>
      <c r="I107" s="16"/>
      <c r="J107" s="16"/>
    </row>
    <row r="108" spans="3:10" ht="13.5" customHeight="1" x14ac:dyDescent="0.25">
      <c r="C108" s="35"/>
      <c r="D108" s="35"/>
      <c r="E108" s="35"/>
      <c r="F108" s="65"/>
      <c r="G108" s="69"/>
      <c r="H108" s="35"/>
      <c r="I108" s="35"/>
      <c r="J108" s="35"/>
    </row>
    <row r="109" spans="3:10" ht="13.5" customHeight="1" x14ac:dyDescent="0.25">
      <c r="C109" s="16"/>
      <c r="D109" s="16"/>
      <c r="E109" s="16"/>
      <c r="F109" s="64"/>
      <c r="G109" s="70"/>
      <c r="H109" s="16"/>
      <c r="I109" s="16"/>
      <c r="J109" s="16"/>
    </row>
    <row r="110" spans="3:10" ht="13.5" customHeight="1" x14ac:dyDescent="0.25">
      <c r="C110" s="35"/>
      <c r="D110" s="35"/>
      <c r="E110" s="35"/>
      <c r="F110" s="65"/>
      <c r="G110" s="69"/>
      <c r="H110" s="35"/>
      <c r="I110" s="35"/>
      <c r="J110" s="35"/>
    </row>
    <row r="111" spans="3:10" ht="13.5" customHeight="1" x14ac:dyDescent="0.25">
      <c r="C111" s="16"/>
      <c r="D111" s="16"/>
      <c r="E111" s="16"/>
      <c r="F111" s="64"/>
      <c r="G111" s="70"/>
      <c r="H111" s="16"/>
      <c r="I111" s="16"/>
      <c r="J111" s="16"/>
    </row>
    <row r="112" spans="3:10" ht="13.5" customHeight="1" x14ac:dyDescent="0.25">
      <c r="C112" s="35"/>
      <c r="D112" s="35"/>
      <c r="E112" s="35"/>
      <c r="F112" s="65"/>
      <c r="G112" s="69"/>
      <c r="H112" s="35"/>
      <c r="I112" s="35"/>
      <c r="J112" s="35"/>
    </row>
    <row r="113" spans="3:10" ht="13.5" customHeight="1" x14ac:dyDescent="0.25">
      <c r="C113" s="16"/>
      <c r="D113" s="16"/>
      <c r="E113" s="16"/>
      <c r="F113" s="64"/>
      <c r="G113" s="70"/>
      <c r="H113" s="16"/>
      <c r="I113" s="16"/>
      <c r="J113" s="16"/>
    </row>
    <row r="114" spans="3:10" ht="13.5" customHeight="1" x14ac:dyDescent="0.25">
      <c r="C114" s="35"/>
      <c r="D114" s="35"/>
      <c r="E114" s="35"/>
      <c r="F114" s="65"/>
      <c r="G114" s="69"/>
      <c r="H114" s="35"/>
      <c r="I114" s="35"/>
      <c r="J114" s="35"/>
    </row>
    <row r="115" spans="3:10" ht="13.5" customHeight="1" x14ac:dyDescent="0.25">
      <c r="C115" s="16"/>
      <c r="D115" s="16"/>
      <c r="E115" s="16"/>
      <c r="F115" s="64"/>
      <c r="G115" s="70"/>
      <c r="H115" s="16"/>
      <c r="I115" s="16"/>
      <c r="J115" s="16"/>
    </row>
    <row r="116" spans="3:10" ht="13.5" customHeight="1" x14ac:dyDescent="0.25">
      <c r="C116" s="35"/>
      <c r="D116" s="35"/>
      <c r="E116" s="35"/>
      <c r="F116" s="65"/>
      <c r="G116" s="69"/>
      <c r="H116" s="35"/>
      <c r="I116" s="35"/>
      <c r="J116" s="35"/>
    </row>
    <row r="117" spans="3:10" ht="13.5" customHeight="1" x14ac:dyDescent="0.25">
      <c r="C117" s="16"/>
      <c r="D117" s="16"/>
      <c r="E117" s="16"/>
      <c r="F117" s="64"/>
      <c r="G117" s="70"/>
      <c r="H117" s="16"/>
      <c r="I117" s="16"/>
      <c r="J117" s="16"/>
    </row>
    <row r="118" spans="3:10" ht="13.5" customHeight="1" x14ac:dyDescent="0.25">
      <c r="C118" s="35"/>
      <c r="D118" s="35"/>
      <c r="E118" s="35"/>
      <c r="F118" s="65"/>
      <c r="G118" s="69"/>
      <c r="H118" s="35"/>
      <c r="I118" s="35"/>
      <c r="J118" s="35"/>
    </row>
    <row r="119" spans="3:10" ht="13.5" customHeight="1" x14ac:dyDescent="0.25">
      <c r="C119" s="16"/>
      <c r="D119" s="16"/>
      <c r="E119" s="16"/>
      <c r="F119" s="64"/>
      <c r="G119" s="70"/>
      <c r="H119" s="16"/>
      <c r="I119" s="16"/>
      <c r="J119" s="16"/>
    </row>
    <row r="120" spans="3:10" ht="13.5" customHeight="1" x14ac:dyDescent="0.25">
      <c r="C120" s="35"/>
      <c r="D120" s="35"/>
      <c r="E120" s="35"/>
      <c r="F120" s="65"/>
      <c r="G120" s="69"/>
      <c r="H120" s="35"/>
      <c r="I120" s="35"/>
      <c r="J120" s="35"/>
    </row>
    <row r="121" spans="3:10" ht="13.5" customHeight="1" x14ac:dyDescent="0.25">
      <c r="C121" s="16"/>
      <c r="D121" s="16"/>
      <c r="E121" s="16"/>
      <c r="F121" s="64"/>
      <c r="G121" s="70"/>
      <c r="H121" s="16"/>
      <c r="I121" s="16"/>
      <c r="J121" s="16"/>
    </row>
    <row r="122" spans="3:10" ht="13.5" customHeight="1" x14ac:dyDescent="0.25">
      <c r="C122" s="35"/>
      <c r="D122" s="35"/>
      <c r="E122" s="35"/>
      <c r="F122" s="65"/>
      <c r="G122" s="69"/>
      <c r="H122" s="35"/>
      <c r="I122" s="35"/>
      <c r="J122" s="35"/>
    </row>
    <row r="123" spans="3:10" ht="13.5" customHeight="1" x14ac:dyDescent="0.25">
      <c r="C123" s="16"/>
      <c r="D123" s="16"/>
      <c r="E123" s="16"/>
      <c r="F123" s="64"/>
      <c r="G123" s="70"/>
      <c r="H123" s="16"/>
      <c r="I123" s="16"/>
      <c r="J123" s="16"/>
    </row>
    <row r="124" spans="3:10" ht="13.5" customHeight="1" x14ac:dyDescent="0.25">
      <c r="C124" s="35"/>
      <c r="D124" s="35"/>
      <c r="E124" s="35"/>
      <c r="F124" s="65"/>
      <c r="G124" s="69"/>
      <c r="H124" s="35"/>
      <c r="I124" s="35"/>
      <c r="J124" s="35"/>
    </row>
    <row r="125" spans="3:10" ht="13.5" customHeight="1" x14ac:dyDescent="0.25">
      <c r="C125" s="16"/>
      <c r="D125" s="16"/>
      <c r="E125" s="16"/>
      <c r="F125" s="64"/>
      <c r="G125" s="70"/>
      <c r="H125" s="16"/>
      <c r="I125" s="16"/>
      <c r="J125" s="16"/>
    </row>
    <row r="126" spans="3:10" ht="13.5" customHeight="1" x14ac:dyDescent="0.25">
      <c r="C126" s="35"/>
      <c r="D126" s="35"/>
      <c r="E126" s="35"/>
      <c r="F126" s="65"/>
      <c r="G126" s="69"/>
      <c r="H126" s="35"/>
      <c r="I126" s="35"/>
      <c r="J126" s="35"/>
    </row>
    <row r="127" spans="3:10" ht="13.5" customHeight="1" x14ac:dyDescent="0.25">
      <c r="C127" s="16"/>
      <c r="D127" s="16"/>
      <c r="E127" s="16"/>
      <c r="F127" s="64"/>
      <c r="G127" s="70"/>
      <c r="H127" s="16"/>
      <c r="I127" s="16"/>
      <c r="J127" s="16"/>
    </row>
    <row r="128" spans="3:10" ht="13.5" customHeight="1" x14ac:dyDescent="0.25">
      <c r="C128" s="35"/>
      <c r="D128" s="35"/>
      <c r="E128" s="35"/>
      <c r="F128" s="65"/>
      <c r="G128" s="69"/>
      <c r="H128" s="35"/>
      <c r="I128" s="35"/>
      <c r="J128" s="35"/>
    </row>
    <row r="129" spans="3:10" ht="13.5" customHeight="1" x14ac:dyDescent="0.25">
      <c r="C129" s="16"/>
      <c r="D129" s="16"/>
      <c r="E129" s="16"/>
      <c r="F129" s="64"/>
      <c r="G129" s="70"/>
      <c r="H129" s="16"/>
      <c r="I129" s="16"/>
      <c r="J129" s="16"/>
    </row>
    <row r="130" spans="3:10" ht="13.5" customHeight="1" x14ac:dyDescent="0.25">
      <c r="C130" s="35"/>
      <c r="D130" s="35"/>
      <c r="E130" s="35"/>
      <c r="F130" s="65"/>
      <c r="G130" s="69"/>
      <c r="H130" s="35"/>
      <c r="I130" s="35"/>
      <c r="J130" s="35"/>
    </row>
    <row r="131" spans="3:10" ht="13.5" customHeight="1" x14ac:dyDescent="0.25">
      <c r="C131" s="16"/>
      <c r="D131" s="16"/>
      <c r="E131" s="16"/>
      <c r="F131" s="64"/>
      <c r="G131" s="70"/>
      <c r="H131" s="16"/>
      <c r="I131" s="16"/>
      <c r="J131" s="16"/>
    </row>
    <row r="132" spans="3:10" ht="13.5" customHeight="1" x14ac:dyDescent="0.25">
      <c r="C132" s="35"/>
      <c r="D132" s="35"/>
      <c r="E132" s="35"/>
      <c r="F132" s="65"/>
      <c r="G132" s="69"/>
      <c r="H132" s="35"/>
      <c r="I132" s="35"/>
      <c r="J132" s="35"/>
    </row>
    <row r="133" spans="3:10" ht="13.5" customHeight="1" x14ac:dyDescent="0.25">
      <c r="C133" s="16"/>
      <c r="D133" s="16"/>
      <c r="E133" s="16"/>
      <c r="F133" s="64"/>
      <c r="G133" s="70"/>
      <c r="H133" s="16"/>
      <c r="I133" s="16"/>
      <c r="J133" s="16"/>
    </row>
    <row r="134" spans="3:10" ht="13.5" customHeight="1" x14ac:dyDescent="0.25">
      <c r="C134" s="35"/>
      <c r="D134" s="35"/>
      <c r="E134" s="35"/>
      <c r="F134" s="65"/>
      <c r="G134" s="69"/>
      <c r="H134" s="35"/>
      <c r="I134" s="35"/>
      <c r="J134" s="35"/>
    </row>
    <row r="135" spans="3:10" ht="13.5" customHeight="1" x14ac:dyDescent="0.25">
      <c r="C135" s="16"/>
      <c r="D135" s="16"/>
      <c r="E135" s="16"/>
      <c r="F135" s="64"/>
      <c r="G135" s="70"/>
      <c r="H135" s="16"/>
      <c r="I135" s="16"/>
      <c r="J135" s="16"/>
    </row>
    <row r="136" spans="3:10" ht="13.5" customHeight="1" x14ac:dyDescent="0.25">
      <c r="C136" s="35"/>
      <c r="D136" s="35"/>
      <c r="E136" s="35"/>
      <c r="F136" s="65"/>
      <c r="G136" s="69"/>
      <c r="H136" s="35"/>
      <c r="I136" s="35"/>
      <c r="J136" s="35"/>
    </row>
    <row r="137" spans="3:10" ht="13.5" customHeight="1" x14ac:dyDescent="0.25">
      <c r="C137" s="16"/>
      <c r="D137" s="16"/>
      <c r="E137" s="16"/>
      <c r="F137" s="64"/>
      <c r="G137" s="70"/>
      <c r="H137" s="16"/>
      <c r="I137" s="16"/>
      <c r="J137" s="16"/>
    </row>
    <row r="138" spans="3:10" ht="13.5" customHeight="1" x14ac:dyDescent="0.25">
      <c r="C138" s="35"/>
      <c r="D138" s="35"/>
      <c r="E138" s="35"/>
      <c r="F138" s="65"/>
      <c r="G138" s="69"/>
      <c r="H138" s="35"/>
      <c r="I138" s="35"/>
      <c r="J138" s="35"/>
    </row>
    <row r="139" spans="3:10" ht="13.5" customHeight="1" x14ac:dyDescent="0.25">
      <c r="C139" s="16"/>
      <c r="D139" s="16"/>
      <c r="E139" s="16"/>
      <c r="F139" s="64"/>
      <c r="G139" s="70"/>
      <c r="H139" s="16"/>
      <c r="I139" s="16"/>
      <c r="J139" s="16"/>
    </row>
    <row r="140" spans="3:10" ht="13.5" customHeight="1" x14ac:dyDescent="0.25">
      <c r="C140" s="35"/>
      <c r="D140" s="35"/>
      <c r="E140" s="35"/>
      <c r="F140" s="65"/>
      <c r="G140" s="69"/>
      <c r="H140" s="35"/>
      <c r="I140" s="35"/>
      <c r="J140" s="35"/>
    </row>
    <row r="141" spans="3:10" ht="13.5" customHeight="1" x14ac:dyDescent="0.25">
      <c r="C141" s="16"/>
      <c r="D141" s="16"/>
      <c r="E141" s="16"/>
      <c r="F141" s="64"/>
      <c r="G141" s="70"/>
      <c r="H141" s="16"/>
      <c r="I141" s="16"/>
      <c r="J141" s="16"/>
    </row>
    <row r="142" spans="3:10" ht="13.5" customHeight="1" x14ac:dyDescent="0.25">
      <c r="C142" s="35"/>
      <c r="D142" s="35"/>
      <c r="E142" s="35"/>
      <c r="F142" s="65"/>
      <c r="G142" s="69"/>
      <c r="H142" s="35"/>
      <c r="I142" s="35"/>
      <c r="J142" s="35"/>
    </row>
    <row r="143" spans="3:10" ht="13.5" customHeight="1" x14ac:dyDescent="0.25">
      <c r="C143" s="16"/>
      <c r="D143" s="16"/>
      <c r="E143" s="16"/>
      <c r="F143" s="64"/>
      <c r="G143" s="70"/>
      <c r="H143" s="16"/>
      <c r="I143" s="16"/>
      <c r="J143" s="16"/>
    </row>
    <row r="144" spans="3:10" ht="13.5" customHeight="1" x14ac:dyDescent="0.25">
      <c r="C144" s="35"/>
      <c r="D144" s="35"/>
      <c r="E144" s="35"/>
      <c r="F144" s="65"/>
      <c r="G144" s="69"/>
      <c r="H144" s="35"/>
      <c r="I144" s="35"/>
      <c r="J144" s="35"/>
    </row>
    <row r="145" spans="3:10" ht="13.5" customHeight="1" x14ac:dyDescent="0.25">
      <c r="C145" s="16"/>
      <c r="D145" s="16"/>
      <c r="E145" s="16"/>
      <c r="F145" s="64"/>
      <c r="G145" s="70"/>
      <c r="H145" s="16"/>
      <c r="I145" s="16"/>
      <c r="J145" s="16"/>
    </row>
    <row r="146" spans="3:10" ht="13.5" customHeight="1" x14ac:dyDescent="0.25">
      <c r="C146" s="35"/>
      <c r="D146" s="35"/>
      <c r="E146" s="35"/>
      <c r="F146" s="65"/>
      <c r="G146" s="69"/>
      <c r="H146" s="35"/>
      <c r="I146" s="35"/>
      <c r="J146" s="35"/>
    </row>
    <row r="147" spans="3:10" ht="13.5" customHeight="1" x14ac:dyDescent="0.25">
      <c r="C147" s="16"/>
      <c r="D147" s="16"/>
      <c r="E147" s="16"/>
      <c r="F147" s="64"/>
      <c r="G147" s="70"/>
      <c r="H147" s="16"/>
      <c r="I147" s="16"/>
      <c r="J147" s="16"/>
    </row>
    <row r="148" spans="3:10" ht="13.5" customHeight="1" x14ac:dyDescent="0.25">
      <c r="C148" s="35"/>
      <c r="D148" s="35"/>
      <c r="E148" s="35"/>
      <c r="F148" s="65"/>
      <c r="G148" s="69"/>
      <c r="H148" s="35"/>
      <c r="I148" s="35"/>
      <c r="J148" s="35"/>
    </row>
    <row r="149" spans="3:10" ht="13.5" customHeight="1" x14ac:dyDescent="0.25">
      <c r="C149" s="16"/>
      <c r="D149" s="16"/>
      <c r="E149" s="16"/>
      <c r="F149" s="64"/>
      <c r="G149" s="70"/>
      <c r="H149" s="16"/>
      <c r="I149" s="16"/>
      <c r="J149" s="16"/>
    </row>
    <row r="150" spans="3:10" ht="13.5" customHeight="1" x14ac:dyDescent="0.25">
      <c r="C150" s="35"/>
      <c r="D150" s="35"/>
      <c r="E150" s="35"/>
      <c r="F150" s="65"/>
      <c r="G150" s="69"/>
      <c r="H150" s="35"/>
      <c r="I150" s="35"/>
      <c r="J150" s="35"/>
    </row>
    <row r="151" spans="3:10" ht="13.5" customHeight="1" x14ac:dyDescent="0.25">
      <c r="C151" s="16"/>
      <c r="D151" s="16"/>
      <c r="E151" s="16"/>
      <c r="F151" s="64"/>
      <c r="G151" s="70"/>
      <c r="H151" s="16"/>
      <c r="I151" s="16"/>
      <c r="J151" s="16"/>
    </row>
    <row r="152" spans="3:10" ht="13.5" customHeight="1" x14ac:dyDescent="0.25">
      <c r="C152" s="35"/>
      <c r="D152" s="35"/>
      <c r="E152" s="35"/>
      <c r="F152" s="65"/>
      <c r="G152" s="69"/>
      <c r="H152" s="35"/>
      <c r="I152" s="35"/>
      <c r="J152" s="35"/>
    </row>
    <row r="153" spans="3:10" ht="13.5" customHeight="1" x14ac:dyDescent="0.25">
      <c r="C153" s="16"/>
      <c r="D153" s="16"/>
      <c r="E153" s="16"/>
      <c r="F153" s="64"/>
      <c r="G153" s="70"/>
      <c r="H153" s="16"/>
      <c r="I153" s="16"/>
      <c r="J153" s="16"/>
    </row>
    <row r="154" spans="3:10" ht="13.5" customHeight="1" x14ac:dyDescent="0.25">
      <c r="C154" s="35"/>
      <c r="D154" s="35"/>
      <c r="E154" s="35"/>
      <c r="F154" s="65"/>
      <c r="G154" s="69"/>
      <c r="H154" s="35"/>
      <c r="I154" s="35"/>
      <c r="J154" s="35"/>
    </row>
    <row r="155" spans="3:10" ht="13.5" customHeight="1" x14ac:dyDescent="0.25">
      <c r="C155" s="16"/>
      <c r="D155" s="16"/>
      <c r="E155" s="16"/>
      <c r="F155" s="64"/>
      <c r="G155" s="70"/>
      <c r="H155" s="16"/>
      <c r="I155" s="16"/>
      <c r="J155" s="16"/>
    </row>
    <row r="156" spans="3:10" ht="13.5" customHeight="1" x14ac:dyDescent="0.25">
      <c r="C156" s="35"/>
      <c r="D156" s="35"/>
      <c r="E156" s="35"/>
      <c r="F156" s="65"/>
      <c r="G156" s="69"/>
      <c r="H156" s="35"/>
      <c r="I156" s="35"/>
      <c r="J156" s="35"/>
    </row>
    <row r="157" spans="3:10" ht="13.5" customHeight="1" x14ac:dyDescent="0.25">
      <c r="C157" s="16"/>
      <c r="D157" s="16"/>
      <c r="E157" s="16"/>
      <c r="F157" s="64"/>
      <c r="G157" s="70"/>
      <c r="H157" s="16"/>
      <c r="I157" s="16"/>
      <c r="J157" s="16"/>
    </row>
    <row r="158" spans="3:10" ht="13.5" customHeight="1" x14ac:dyDescent="0.25">
      <c r="C158" s="35"/>
      <c r="D158" s="35"/>
      <c r="E158" s="35"/>
      <c r="F158" s="65"/>
      <c r="G158" s="69"/>
      <c r="H158" s="35"/>
      <c r="I158" s="35"/>
      <c r="J158" s="35"/>
    </row>
    <row r="159" spans="3:10" ht="13.5" customHeight="1" x14ac:dyDescent="0.25">
      <c r="C159" s="16"/>
      <c r="D159" s="16"/>
      <c r="E159" s="16"/>
      <c r="F159" s="64"/>
      <c r="G159" s="70"/>
      <c r="H159" s="16"/>
      <c r="I159" s="16"/>
      <c r="J159" s="16"/>
    </row>
    <row r="160" spans="3:10" ht="13.5" customHeight="1" x14ac:dyDescent="0.25">
      <c r="C160" s="35"/>
      <c r="D160" s="35"/>
      <c r="E160" s="35"/>
      <c r="F160" s="65"/>
      <c r="G160" s="69"/>
      <c r="H160" s="35"/>
      <c r="I160" s="35"/>
      <c r="J160" s="35"/>
    </row>
    <row r="161" spans="3:10" ht="13.5" customHeight="1" x14ac:dyDescent="0.25">
      <c r="C161" s="16"/>
      <c r="D161" s="16"/>
      <c r="E161" s="16"/>
      <c r="F161" s="64"/>
      <c r="G161" s="70"/>
      <c r="H161" s="16"/>
      <c r="I161" s="16"/>
      <c r="J161" s="16"/>
    </row>
    <row r="162" spans="3:10" ht="13.5" customHeight="1" x14ac:dyDescent="0.25">
      <c r="C162" s="35"/>
      <c r="D162" s="35"/>
      <c r="E162" s="35"/>
      <c r="F162" s="65"/>
      <c r="G162" s="69"/>
      <c r="H162" s="35"/>
      <c r="I162" s="35"/>
      <c r="J162" s="35"/>
    </row>
    <row r="163" spans="3:10" ht="13.5" customHeight="1" x14ac:dyDescent="0.25">
      <c r="C163" s="16"/>
      <c r="D163" s="16"/>
      <c r="E163" s="16"/>
      <c r="F163" s="64"/>
      <c r="G163" s="70"/>
      <c r="H163" s="16"/>
      <c r="I163" s="16"/>
      <c r="J163" s="16"/>
    </row>
    <row r="164" spans="3:10" ht="13.5" customHeight="1" x14ac:dyDescent="0.25">
      <c r="C164" s="35"/>
      <c r="D164" s="35"/>
      <c r="E164" s="35"/>
      <c r="F164" s="65"/>
      <c r="G164" s="69"/>
      <c r="H164" s="35"/>
      <c r="I164" s="35"/>
      <c r="J164" s="35"/>
    </row>
    <row r="165" spans="3:10" ht="13.5" customHeight="1" x14ac:dyDescent="0.25">
      <c r="C165" s="16"/>
      <c r="D165" s="16"/>
      <c r="E165" s="16"/>
      <c r="F165" s="64"/>
      <c r="G165" s="70"/>
      <c r="H165" s="16"/>
      <c r="I165" s="16"/>
      <c r="J165" s="16"/>
    </row>
    <row r="166" spans="3:10" ht="13.5" customHeight="1" x14ac:dyDescent="0.25">
      <c r="C166" s="35"/>
      <c r="D166" s="35"/>
      <c r="E166" s="35"/>
      <c r="F166" s="65"/>
      <c r="G166" s="69"/>
      <c r="H166" s="35"/>
      <c r="I166" s="35"/>
      <c r="J166" s="35"/>
    </row>
    <row r="167" spans="3:10" ht="13.5" customHeight="1" x14ac:dyDescent="0.25">
      <c r="C167" s="16"/>
      <c r="D167" s="16"/>
      <c r="E167" s="16"/>
      <c r="F167" s="64"/>
      <c r="G167" s="70"/>
      <c r="H167" s="16"/>
      <c r="I167" s="16"/>
      <c r="J167" s="16"/>
    </row>
    <row r="168" spans="3:10" ht="13.5" customHeight="1" x14ac:dyDescent="0.25">
      <c r="C168" s="35"/>
      <c r="D168" s="35"/>
      <c r="E168" s="35"/>
      <c r="F168" s="65"/>
      <c r="G168" s="69"/>
      <c r="H168" s="35"/>
      <c r="I168" s="35"/>
      <c r="J168" s="35"/>
    </row>
    <row r="169" spans="3:10" ht="13.5" customHeight="1" x14ac:dyDescent="0.25">
      <c r="C169" s="16"/>
      <c r="D169" s="16"/>
      <c r="E169" s="16"/>
      <c r="F169" s="64"/>
      <c r="G169" s="70"/>
      <c r="H169" s="16"/>
      <c r="I169" s="16"/>
      <c r="J169" s="16"/>
    </row>
    <row r="170" spans="3:10" ht="13.5" customHeight="1" x14ac:dyDescent="0.25">
      <c r="C170" s="35"/>
      <c r="D170" s="35"/>
      <c r="E170" s="35"/>
      <c r="F170" s="65"/>
      <c r="G170" s="69"/>
      <c r="H170" s="35"/>
      <c r="I170" s="35"/>
      <c r="J170" s="35"/>
    </row>
    <row r="171" spans="3:10" ht="13.5" customHeight="1" x14ac:dyDescent="0.25">
      <c r="C171" s="16"/>
      <c r="D171" s="16"/>
      <c r="E171" s="16"/>
      <c r="F171" s="64"/>
      <c r="G171" s="70"/>
      <c r="H171" s="16"/>
      <c r="I171" s="16"/>
      <c r="J171" s="16"/>
    </row>
    <row r="172" spans="3:10" ht="13.5" customHeight="1" x14ac:dyDescent="0.25">
      <c r="C172" s="35"/>
      <c r="D172" s="35"/>
      <c r="E172" s="35"/>
      <c r="F172" s="65"/>
      <c r="G172" s="69"/>
      <c r="H172" s="35"/>
      <c r="I172" s="35"/>
      <c r="J172" s="35"/>
    </row>
    <row r="173" spans="3:10" ht="13.5" customHeight="1" x14ac:dyDescent="0.25">
      <c r="C173" s="16"/>
      <c r="D173" s="16"/>
      <c r="E173" s="16"/>
      <c r="F173" s="64"/>
      <c r="G173" s="70"/>
      <c r="H173" s="16"/>
      <c r="I173" s="16"/>
      <c r="J173" s="16"/>
    </row>
    <row r="174" spans="3:10" ht="13.5" customHeight="1" x14ac:dyDescent="0.25">
      <c r="C174" s="35"/>
      <c r="D174" s="35"/>
      <c r="E174" s="35"/>
      <c r="F174" s="65"/>
      <c r="G174" s="69"/>
      <c r="H174" s="35"/>
      <c r="I174" s="35"/>
      <c r="J174" s="35"/>
    </row>
    <row r="175" spans="3:10" ht="13.5" customHeight="1" x14ac:dyDescent="0.25">
      <c r="C175" s="16"/>
      <c r="D175" s="16"/>
      <c r="E175" s="16"/>
      <c r="F175" s="64"/>
      <c r="G175" s="70"/>
      <c r="H175" s="16"/>
      <c r="I175" s="16"/>
      <c r="J175" s="16"/>
    </row>
    <row r="176" spans="3:10" ht="13.5" customHeight="1" x14ac:dyDescent="0.25">
      <c r="C176" s="35"/>
      <c r="D176" s="35"/>
      <c r="E176" s="35"/>
      <c r="F176" s="65"/>
      <c r="G176" s="69"/>
      <c r="H176" s="35"/>
      <c r="I176" s="35"/>
      <c r="J176" s="35"/>
    </row>
    <row r="177" spans="3:10" ht="13.5" customHeight="1" x14ac:dyDescent="0.25">
      <c r="C177" s="16"/>
      <c r="D177" s="16"/>
      <c r="E177" s="16"/>
      <c r="F177" s="64"/>
      <c r="G177" s="70"/>
      <c r="H177" s="16"/>
      <c r="I177" s="16"/>
      <c r="J177" s="16"/>
    </row>
    <row r="178" spans="3:10" ht="13.5" customHeight="1" x14ac:dyDescent="0.25">
      <c r="C178" s="35"/>
      <c r="D178" s="35"/>
      <c r="E178" s="35"/>
      <c r="F178" s="65"/>
      <c r="G178" s="69"/>
      <c r="H178" s="35"/>
      <c r="I178" s="35"/>
      <c r="J178" s="35"/>
    </row>
    <row r="179" spans="3:10" ht="13.5" customHeight="1" x14ac:dyDescent="0.25">
      <c r="C179" s="16"/>
      <c r="D179" s="16"/>
      <c r="E179" s="16"/>
      <c r="F179" s="64"/>
      <c r="G179" s="70"/>
      <c r="H179" s="16"/>
      <c r="I179" s="16"/>
      <c r="J179" s="16"/>
    </row>
    <row r="180" spans="3:10" ht="13.5" customHeight="1" x14ac:dyDescent="0.25">
      <c r="C180" s="35"/>
      <c r="D180" s="35"/>
      <c r="E180" s="35"/>
      <c r="F180" s="65"/>
      <c r="G180" s="69"/>
      <c r="H180" s="35"/>
      <c r="I180" s="35"/>
      <c r="J180" s="35"/>
    </row>
    <row r="181" spans="3:10" ht="13.5" customHeight="1" x14ac:dyDescent="0.25">
      <c r="C181" s="16"/>
      <c r="D181" s="16"/>
      <c r="E181" s="16"/>
      <c r="F181" s="64"/>
      <c r="G181" s="70"/>
      <c r="H181" s="16"/>
      <c r="I181" s="16"/>
      <c r="J181" s="16"/>
    </row>
    <row r="182" spans="3:10" ht="13.5" customHeight="1" x14ac:dyDescent="0.25">
      <c r="C182" s="35"/>
      <c r="D182" s="35"/>
      <c r="E182" s="35"/>
      <c r="F182" s="65"/>
      <c r="G182" s="69"/>
      <c r="H182" s="35"/>
      <c r="I182" s="35"/>
      <c r="J182" s="35"/>
    </row>
    <row r="183" spans="3:10" ht="13.5" customHeight="1" x14ac:dyDescent="0.25">
      <c r="C183" s="16"/>
      <c r="D183" s="16"/>
      <c r="E183" s="16"/>
      <c r="F183" s="64"/>
      <c r="G183" s="70"/>
      <c r="H183" s="16"/>
      <c r="I183" s="16"/>
      <c r="J183" s="16"/>
    </row>
    <row r="184" spans="3:10" ht="13.5" customHeight="1" x14ac:dyDescent="0.25">
      <c r="C184" s="35"/>
      <c r="D184" s="35"/>
      <c r="E184" s="35"/>
      <c r="F184" s="65"/>
      <c r="G184" s="69"/>
      <c r="H184" s="35"/>
      <c r="I184" s="35"/>
      <c r="J184" s="35"/>
    </row>
    <row r="185" spans="3:10" ht="13.5" customHeight="1" x14ac:dyDescent="0.25">
      <c r="C185" s="16"/>
      <c r="D185" s="16"/>
      <c r="E185" s="16"/>
      <c r="F185" s="64"/>
      <c r="G185" s="70"/>
      <c r="H185" s="16"/>
      <c r="I185" s="16"/>
      <c r="J185" s="16"/>
    </row>
    <row r="186" spans="3:10" ht="13.5" customHeight="1" x14ac:dyDescent="0.25">
      <c r="C186" s="35"/>
      <c r="D186" s="35"/>
      <c r="E186" s="35"/>
      <c r="F186" s="65"/>
      <c r="G186" s="69"/>
      <c r="H186" s="35"/>
      <c r="I186" s="35"/>
      <c r="J186" s="35"/>
    </row>
    <row r="187" spans="3:10" ht="13.5" customHeight="1" x14ac:dyDescent="0.25">
      <c r="C187" s="16"/>
      <c r="D187" s="16"/>
      <c r="E187" s="16"/>
      <c r="F187" s="64"/>
      <c r="G187" s="70"/>
      <c r="H187" s="16"/>
      <c r="I187" s="16"/>
      <c r="J187" s="16"/>
    </row>
    <row r="188" spans="3:10" ht="13.5" customHeight="1" x14ac:dyDescent="0.25">
      <c r="C188" s="35"/>
      <c r="D188" s="35"/>
      <c r="E188" s="35"/>
      <c r="F188" s="65"/>
      <c r="G188" s="69"/>
      <c r="H188" s="35"/>
      <c r="I188" s="35"/>
      <c r="J188" s="35"/>
    </row>
    <row r="189" spans="3:10" ht="13.5" customHeight="1" x14ac:dyDescent="0.25">
      <c r="C189" s="16"/>
      <c r="D189" s="16"/>
      <c r="E189" s="16"/>
      <c r="F189" s="64"/>
      <c r="G189" s="70"/>
      <c r="H189" s="16"/>
      <c r="I189" s="16"/>
      <c r="J189" s="16"/>
    </row>
    <row r="190" spans="3:10" ht="13.5" customHeight="1" x14ac:dyDescent="0.25">
      <c r="C190" s="35"/>
      <c r="D190" s="35"/>
      <c r="E190" s="35"/>
      <c r="F190" s="65"/>
      <c r="G190" s="69"/>
      <c r="H190" s="35"/>
      <c r="I190" s="35"/>
      <c r="J190" s="35"/>
    </row>
    <row r="191" spans="3:10" ht="13.5" customHeight="1" x14ac:dyDescent="0.25">
      <c r="C191" s="16"/>
      <c r="D191" s="16"/>
      <c r="E191" s="16"/>
      <c r="F191" s="64"/>
      <c r="G191" s="70"/>
      <c r="H191" s="16"/>
      <c r="I191" s="16"/>
      <c r="J191" s="16"/>
    </row>
    <row r="192" spans="3:10" ht="13.5" customHeight="1" x14ac:dyDescent="0.25">
      <c r="C192" s="35"/>
      <c r="D192" s="35"/>
      <c r="E192" s="35"/>
      <c r="F192" s="65"/>
      <c r="G192" s="69"/>
      <c r="H192" s="35"/>
      <c r="I192" s="35"/>
      <c r="J192" s="35"/>
    </row>
    <row r="193" spans="3:10" ht="13.5" customHeight="1" x14ac:dyDescent="0.25">
      <c r="C193" s="16"/>
      <c r="D193" s="16"/>
      <c r="E193" s="16"/>
      <c r="F193" s="64"/>
      <c r="G193" s="70"/>
      <c r="H193" s="16"/>
      <c r="I193" s="16"/>
      <c r="J193" s="16"/>
    </row>
    <row r="194" spans="3:10" ht="13.5" customHeight="1" x14ac:dyDescent="0.25">
      <c r="C194" s="35"/>
      <c r="D194" s="35"/>
      <c r="E194" s="35"/>
      <c r="F194" s="65"/>
      <c r="G194" s="69"/>
      <c r="H194" s="35"/>
      <c r="I194" s="35"/>
      <c r="J194" s="35"/>
    </row>
    <row r="195" spans="3:10" ht="13.5" customHeight="1" x14ac:dyDescent="0.25">
      <c r="C195" s="16"/>
      <c r="D195" s="16"/>
      <c r="E195" s="16"/>
      <c r="F195" s="64"/>
      <c r="G195" s="70"/>
      <c r="H195" s="16"/>
      <c r="I195" s="16"/>
      <c r="J195" s="16"/>
    </row>
    <row r="196" spans="3:10" ht="13.5" customHeight="1" x14ac:dyDescent="0.25">
      <c r="C196" s="35"/>
      <c r="D196" s="35"/>
      <c r="E196" s="35"/>
      <c r="F196" s="65"/>
      <c r="G196" s="69"/>
      <c r="H196" s="35"/>
      <c r="I196" s="35"/>
      <c r="J196" s="35"/>
    </row>
    <row r="197" spans="3:10" ht="13.5" customHeight="1" x14ac:dyDescent="0.25">
      <c r="C197" s="16"/>
      <c r="D197" s="16"/>
      <c r="E197" s="16"/>
      <c r="F197" s="64"/>
      <c r="G197" s="70"/>
      <c r="H197" s="16"/>
      <c r="I197" s="16"/>
      <c r="J197" s="16"/>
    </row>
    <row r="198" spans="3:10" ht="13.5" customHeight="1" x14ac:dyDescent="0.25">
      <c r="C198" s="35"/>
      <c r="D198" s="35"/>
      <c r="E198" s="35"/>
      <c r="F198" s="65"/>
      <c r="G198" s="69"/>
      <c r="H198" s="35"/>
      <c r="I198" s="35"/>
      <c r="J198" s="35"/>
    </row>
    <row r="199" spans="3:10" ht="13.5" customHeight="1" x14ac:dyDescent="0.25">
      <c r="C199" s="16"/>
      <c r="D199" s="16"/>
      <c r="E199" s="16"/>
      <c r="F199" s="64"/>
      <c r="G199" s="70"/>
      <c r="H199" s="16"/>
      <c r="I199" s="16"/>
      <c r="J199" s="16"/>
    </row>
    <row r="200" spans="3:10" ht="13.5" customHeight="1" x14ac:dyDescent="0.25">
      <c r="C200" s="35"/>
      <c r="D200" s="35"/>
      <c r="E200" s="35"/>
      <c r="F200" s="65"/>
      <c r="G200" s="69"/>
      <c r="H200" s="35"/>
      <c r="I200" s="35"/>
      <c r="J200" s="35"/>
    </row>
    <row r="201" spans="3:10" ht="13.5" customHeight="1" x14ac:dyDescent="0.25">
      <c r="C201" s="16"/>
      <c r="D201" s="16"/>
      <c r="E201" s="16"/>
      <c r="F201" s="64"/>
      <c r="G201" s="70"/>
      <c r="H201" s="16"/>
      <c r="I201" s="16"/>
      <c r="J201" s="16"/>
    </row>
    <row r="202" spans="3:10" ht="13.5" customHeight="1" x14ac:dyDescent="0.25">
      <c r="C202" s="35"/>
      <c r="D202" s="35"/>
      <c r="E202" s="35"/>
      <c r="F202" s="65"/>
      <c r="G202" s="69"/>
      <c r="H202" s="35"/>
      <c r="I202" s="35"/>
      <c r="J202" s="35"/>
    </row>
    <row r="203" spans="3:10" ht="13.5" customHeight="1" x14ac:dyDescent="0.25">
      <c r="C203" s="16"/>
      <c r="D203" s="16"/>
      <c r="E203" s="16"/>
      <c r="F203" s="64"/>
      <c r="G203" s="70"/>
      <c r="H203" s="16"/>
      <c r="I203" s="16"/>
      <c r="J203" s="16"/>
    </row>
    <row r="204" spans="3:10" ht="13.5" customHeight="1" x14ac:dyDescent="0.25">
      <c r="C204" s="35"/>
      <c r="D204" s="35"/>
      <c r="E204" s="35"/>
      <c r="F204" s="65"/>
      <c r="G204" s="69"/>
      <c r="H204" s="35"/>
      <c r="I204" s="35"/>
      <c r="J204" s="35"/>
    </row>
    <row r="205" spans="3:10" ht="13.5" customHeight="1" x14ac:dyDescent="0.25">
      <c r="C205" s="16"/>
      <c r="D205" s="16"/>
      <c r="E205" s="16"/>
      <c r="F205" s="64"/>
      <c r="G205" s="70"/>
      <c r="H205" s="16"/>
      <c r="I205" s="16"/>
      <c r="J205" s="16"/>
    </row>
    <row r="206" spans="3:10" ht="13.5" customHeight="1" x14ac:dyDescent="0.25">
      <c r="C206" s="35"/>
      <c r="D206" s="35"/>
      <c r="E206" s="35"/>
      <c r="F206" s="65"/>
      <c r="G206" s="69"/>
      <c r="H206" s="35"/>
      <c r="I206" s="35"/>
      <c r="J206" s="35"/>
    </row>
    <row r="207" spans="3:10" ht="13.5" customHeight="1" x14ac:dyDescent="0.25">
      <c r="C207" s="16"/>
      <c r="D207" s="16"/>
      <c r="E207" s="16"/>
      <c r="F207" s="64"/>
      <c r="G207" s="70"/>
      <c r="H207" s="16"/>
      <c r="I207" s="16"/>
      <c r="J207" s="16"/>
    </row>
    <row r="208" spans="3:10" ht="13.5" customHeight="1" x14ac:dyDescent="0.25">
      <c r="C208" s="35"/>
      <c r="D208" s="35"/>
      <c r="E208" s="35"/>
      <c r="F208" s="65"/>
      <c r="G208" s="69"/>
      <c r="H208" s="35"/>
      <c r="I208" s="35"/>
      <c r="J208" s="35"/>
    </row>
    <row r="209" spans="3:10" ht="13.5" customHeight="1" x14ac:dyDescent="0.25">
      <c r="C209" s="16"/>
      <c r="D209" s="16"/>
      <c r="E209" s="16"/>
      <c r="F209" s="64"/>
      <c r="G209" s="70"/>
      <c r="H209" s="16"/>
      <c r="I209" s="16"/>
      <c r="J209" s="16"/>
    </row>
    <row r="210" spans="3:10" ht="13.5" customHeight="1" x14ac:dyDescent="0.25">
      <c r="C210" s="35"/>
      <c r="D210" s="35"/>
      <c r="E210" s="35"/>
      <c r="F210" s="65"/>
      <c r="G210" s="69"/>
      <c r="H210" s="35"/>
      <c r="I210" s="35"/>
      <c r="J210" s="35"/>
    </row>
    <row r="211" spans="3:10" ht="13.5" customHeight="1" x14ac:dyDescent="0.25">
      <c r="C211" s="16"/>
      <c r="D211" s="16"/>
      <c r="E211" s="16"/>
      <c r="F211" s="64"/>
      <c r="G211" s="70"/>
      <c r="H211" s="16"/>
      <c r="I211" s="16"/>
      <c r="J211" s="16"/>
    </row>
    <row r="212" spans="3:10" ht="13.5" customHeight="1" x14ac:dyDescent="0.25">
      <c r="C212" s="35"/>
      <c r="D212" s="35"/>
      <c r="E212" s="35"/>
      <c r="F212" s="65"/>
      <c r="G212" s="69"/>
      <c r="H212" s="35"/>
      <c r="I212" s="35"/>
      <c r="J212" s="35"/>
    </row>
    <row r="213" spans="3:10" ht="13.5" customHeight="1" x14ac:dyDescent="0.25">
      <c r="C213" s="16"/>
      <c r="D213" s="16"/>
      <c r="E213" s="16"/>
      <c r="F213" s="64"/>
      <c r="G213" s="70"/>
      <c r="H213" s="16"/>
      <c r="I213" s="16"/>
      <c r="J213" s="16"/>
    </row>
    <row r="214" spans="3:10" ht="13.5" customHeight="1" x14ac:dyDescent="0.25">
      <c r="C214" s="35"/>
      <c r="D214" s="35"/>
      <c r="E214" s="35"/>
      <c r="F214" s="65"/>
      <c r="G214" s="69"/>
      <c r="H214" s="35"/>
      <c r="I214" s="35"/>
      <c r="J214" s="35"/>
    </row>
    <row r="215" spans="3:10" ht="13.5" customHeight="1" x14ac:dyDescent="0.25">
      <c r="C215" s="16"/>
      <c r="D215" s="16"/>
      <c r="E215" s="16"/>
      <c r="F215" s="64"/>
      <c r="G215" s="70"/>
      <c r="H215" s="16"/>
      <c r="I215" s="16"/>
      <c r="J215" s="16"/>
    </row>
    <row r="216" spans="3:10" ht="13.5" customHeight="1" x14ac:dyDescent="0.25">
      <c r="C216" s="35"/>
      <c r="D216" s="35"/>
      <c r="E216" s="35"/>
      <c r="F216" s="65"/>
      <c r="G216" s="69"/>
      <c r="H216" s="35"/>
      <c r="I216" s="35"/>
      <c r="J216" s="35"/>
    </row>
    <row r="217" spans="3:10" ht="13.5" customHeight="1" x14ac:dyDescent="0.25">
      <c r="C217" s="16"/>
      <c r="D217" s="16"/>
      <c r="E217" s="16"/>
      <c r="F217" s="64"/>
      <c r="G217" s="70"/>
      <c r="H217" s="16"/>
      <c r="I217" s="16"/>
      <c r="J217" s="16"/>
    </row>
    <row r="218" spans="3:10" ht="13.5" customHeight="1" x14ac:dyDescent="0.25">
      <c r="C218" s="35"/>
      <c r="D218" s="35"/>
      <c r="E218" s="35"/>
      <c r="F218" s="65"/>
      <c r="G218" s="69"/>
      <c r="H218" s="35"/>
      <c r="I218" s="35"/>
      <c r="J218" s="35"/>
    </row>
    <row r="219" spans="3:10" ht="13.5" customHeight="1" x14ac:dyDescent="0.25">
      <c r="C219" s="16"/>
      <c r="D219" s="16"/>
      <c r="E219" s="16"/>
      <c r="F219" s="64"/>
      <c r="G219" s="70"/>
      <c r="H219" s="16"/>
      <c r="I219" s="16"/>
      <c r="J219" s="16"/>
    </row>
    <row r="220" spans="3:10" ht="13.5" customHeight="1" x14ac:dyDescent="0.25">
      <c r="C220" s="35"/>
      <c r="D220" s="35"/>
      <c r="E220" s="35"/>
      <c r="F220" s="65"/>
      <c r="G220" s="69"/>
      <c r="H220" s="35"/>
      <c r="I220" s="35"/>
      <c r="J220" s="35"/>
    </row>
    <row r="221" spans="3:10" ht="13.5" customHeight="1" x14ac:dyDescent="0.25">
      <c r="C221" s="16"/>
      <c r="D221" s="16"/>
      <c r="E221" s="16"/>
      <c r="F221" s="64"/>
      <c r="G221" s="70"/>
      <c r="H221" s="16"/>
      <c r="I221" s="16"/>
      <c r="J221" s="16"/>
    </row>
    <row r="222" spans="3:10" ht="13.5" customHeight="1" x14ac:dyDescent="0.25">
      <c r="C222" s="35"/>
      <c r="D222" s="35"/>
      <c r="E222" s="35"/>
      <c r="F222" s="65"/>
      <c r="G222" s="69"/>
      <c r="H222" s="35"/>
      <c r="I222" s="35"/>
      <c r="J222" s="35"/>
    </row>
    <row r="223" spans="3:10" ht="13.5" customHeight="1" x14ac:dyDescent="0.25">
      <c r="C223" s="16"/>
      <c r="D223" s="16"/>
      <c r="E223" s="16"/>
      <c r="F223" s="64"/>
      <c r="G223" s="70"/>
      <c r="H223" s="16"/>
      <c r="I223" s="16"/>
      <c r="J223" s="16"/>
    </row>
    <row r="224" spans="3:10" ht="13.5" customHeight="1" x14ac:dyDescent="0.25">
      <c r="C224" s="35"/>
      <c r="D224" s="35"/>
      <c r="E224" s="35"/>
      <c r="F224" s="65"/>
      <c r="G224" s="69"/>
      <c r="H224" s="35"/>
      <c r="I224" s="35"/>
      <c r="J224" s="35"/>
    </row>
    <row r="225" spans="3:10" ht="13.5" customHeight="1" x14ac:dyDescent="0.25">
      <c r="C225" s="16"/>
      <c r="D225" s="16"/>
      <c r="E225" s="16"/>
      <c r="F225" s="64"/>
      <c r="G225" s="70"/>
      <c r="H225" s="16"/>
      <c r="I225" s="16"/>
      <c r="J225" s="16"/>
    </row>
    <row r="226" spans="3:10" ht="13.5" customHeight="1" x14ac:dyDescent="0.25">
      <c r="C226" s="35"/>
      <c r="D226" s="35"/>
      <c r="E226" s="35"/>
      <c r="F226" s="65"/>
      <c r="G226" s="69"/>
      <c r="H226" s="35"/>
      <c r="I226" s="35"/>
      <c r="J226" s="35"/>
    </row>
    <row r="227" spans="3:10" ht="13.5" customHeight="1" x14ac:dyDescent="0.25">
      <c r="C227" s="16"/>
      <c r="D227" s="16"/>
      <c r="E227" s="16"/>
      <c r="F227" s="64"/>
      <c r="G227" s="70"/>
      <c r="H227" s="16"/>
      <c r="I227" s="16"/>
      <c r="J227" s="16"/>
    </row>
    <row r="228" spans="3:10" ht="13.5" customHeight="1" x14ac:dyDescent="0.25">
      <c r="C228" s="35"/>
      <c r="D228" s="35"/>
      <c r="E228" s="35"/>
      <c r="F228" s="65"/>
      <c r="G228" s="69"/>
      <c r="H228" s="35"/>
      <c r="I228" s="35"/>
      <c r="J228" s="35"/>
    </row>
    <row r="229" spans="3:10" ht="13.5" customHeight="1" x14ac:dyDescent="0.25">
      <c r="C229" s="16"/>
      <c r="D229" s="16"/>
      <c r="E229" s="16"/>
      <c r="F229" s="64"/>
      <c r="G229" s="70"/>
      <c r="H229" s="16"/>
      <c r="I229" s="16"/>
      <c r="J229" s="16"/>
    </row>
    <row r="230" spans="3:10" ht="13.5" customHeight="1" x14ac:dyDescent="0.25">
      <c r="C230" s="35"/>
      <c r="D230" s="35"/>
      <c r="E230" s="35"/>
      <c r="F230" s="65"/>
      <c r="G230" s="69"/>
      <c r="H230" s="35"/>
      <c r="I230" s="35"/>
      <c r="J230" s="35"/>
    </row>
    <row r="231" spans="3:10" ht="13.5" customHeight="1" x14ac:dyDescent="0.25">
      <c r="C231" s="16"/>
      <c r="D231" s="16"/>
      <c r="E231" s="16"/>
      <c r="F231" s="64"/>
      <c r="G231" s="70"/>
      <c r="H231" s="16"/>
      <c r="I231" s="16"/>
      <c r="J231" s="16"/>
    </row>
    <row r="232" spans="3:10" ht="13.5" customHeight="1" x14ac:dyDescent="0.25">
      <c r="C232" s="35"/>
      <c r="D232" s="35"/>
      <c r="E232" s="35"/>
      <c r="F232" s="65"/>
      <c r="G232" s="69"/>
      <c r="H232" s="35"/>
      <c r="I232" s="35"/>
      <c r="J232" s="35"/>
    </row>
    <row r="233" spans="3:10" ht="13.5" customHeight="1" x14ac:dyDescent="0.25">
      <c r="C233" s="16"/>
      <c r="D233" s="16"/>
      <c r="E233" s="16"/>
      <c r="F233" s="64"/>
      <c r="G233" s="70"/>
      <c r="H233" s="16"/>
      <c r="I233" s="16"/>
      <c r="J233" s="16"/>
    </row>
    <row r="234" spans="3:10" ht="13.5" customHeight="1" x14ac:dyDescent="0.25">
      <c r="C234" s="35"/>
      <c r="D234" s="35"/>
      <c r="E234" s="35"/>
      <c r="F234" s="65"/>
      <c r="G234" s="69"/>
      <c r="H234" s="35"/>
      <c r="I234" s="35"/>
      <c r="J234" s="35"/>
    </row>
    <row r="235" spans="3:10" ht="13.5" customHeight="1" x14ac:dyDescent="0.25">
      <c r="C235" s="16"/>
      <c r="D235" s="16"/>
      <c r="E235" s="16"/>
      <c r="F235" s="64"/>
      <c r="G235" s="70"/>
      <c r="H235" s="16"/>
      <c r="I235" s="16"/>
      <c r="J235" s="16"/>
    </row>
    <row r="236" spans="3:10" ht="13.5" customHeight="1" x14ac:dyDescent="0.25">
      <c r="C236" s="35"/>
      <c r="D236" s="35"/>
      <c r="E236" s="35"/>
      <c r="F236" s="65"/>
      <c r="G236" s="69"/>
      <c r="H236" s="35"/>
      <c r="I236" s="35"/>
      <c r="J236" s="35"/>
    </row>
    <row r="237" spans="3:10" ht="13.5" customHeight="1" x14ac:dyDescent="0.25">
      <c r="C237" s="16"/>
      <c r="D237" s="16"/>
      <c r="E237" s="16"/>
      <c r="F237" s="64"/>
      <c r="G237" s="70"/>
      <c r="H237" s="16"/>
      <c r="I237" s="16"/>
      <c r="J237" s="16"/>
    </row>
    <row r="238" spans="3:10" ht="13.5" customHeight="1" x14ac:dyDescent="0.25">
      <c r="C238" s="35"/>
      <c r="D238" s="35"/>
      <c r="E238" s="35"/>
      <c r="F238" s="65"/>
      <c r="G238" s="69"/>
      <c r="H238" s="35"/>
      <c r="I238" s="35"/>
      <c r="J238" s="35"/>
    </row>
    <row r="239" spans="3:10" ht="13.5" customHeight="1" x14ac:dyDescent="0.25">
      <c r="C239" s="16"/>
      <c r="D239" s="16"/>
      <c r="E239" s="16"/>
      <c r="F239" s="64"/>
      <c r="G239" s="70"/>
      <c r="H239" s="16"/>
      <c r="I239" s="16"/>
      <c r="J239" s="16"/>
    </row>
    <row r="240" spans="3:10" ht="13.5" customHeight="1" x14ac:dyDescent="0.25">
      <c r="C240" s="35"/>
      <c r="D240" s="35"/>
      <c r="E240" s="35"/>
      <c r="F240" s="65"/>
      <c r="G240" s="69"/>
      <c r="H240" s="35"/>
      <c r="I240" s="35"/>
      <c r="J240" s="35"/>
    </row>
    <row r="241" spans="3:10" ht="13.5" customHeight="1" x14ac:dyDescent="0.25">
      <c r="C241" s="16"/>
      <c r="D241" s="16"/>
      <c r="E241" s="16"/>
      <c r="F241" s="64"/>
      <c r="G241" s="70"/>
      <c r="H241" s="16"/>
      <c r="I241" s="16"/>
      <c r="J241" s="16"/>
    </row>
    <row r="242" spans="3:10" ht="13.5" customHeight="1" x14ac:dyDescent="0.25">
      <c r="C242" s="35"/>
      <c r="D242" s="35"/>
      <c r="E242" s="35"/>
      <c r="F242" s="65"/>
      <c r="G242" s="69"/>
      <c r="H242" s="35"/>
      <c r="I242" s="35"/>
      <c r="J242" s="35"/>
    </row>
    <row r="243" spans="3:10" ht="13.5" customHeight="1" x14ac:dyDescent="0.25">
      <c r="C243" s="16"/>
      <c r="D243" s="16"/>
      <c r="E243" s="16"/>
      <c r="F243" s="64"/>
      <c r="G243" s="70"/>
      <c r="H243" s="16"/>
      <c r="I243" s="16"/>
      <c r="J243" s="16"/>
    </row>
    <row r="244" spans="3:10" ht="13.5" customHeight="1" x14ac:dyDescent="0.25">
      <c r="C244" s="35"/>
      <c r="D244" s="35"/>
      <c r="E244" s="35"/>
      <c r="F244" s="65"/>
      <c r="G244" s="69"/>
      <c r="H244" s="35"/>
      <c r="I244" s="35"/>
      <c r="J244" s="35"/>
    </row>
    <row r="245" spans="3:10" ht="13.5" customHeight="1" x14ac:dyDescent="0.25">
      <c r="C245" s="16"/>
      <c r="D245" s="16"/>
      <c r="E245" s="16"/>
      <c r="F245" s="64"/>
      <c r="G245" s="70"/>
      <c r="H245" s="16"/>
      <c r="I245" s="16"/>
      <c r="J245" s="16"/>
    </row>
    <row r="246" spans="3:10" ht="13.5" customHeight="1" x14ac:dyDescent="0.25">
      <c r="C246" s="35"/>
      <c r="D246" s="35"/>
      <c r="E246" s="35"/>
      <c r="F246" s="65"/>
      <c r="G246" s="69"/>
      <c r="H246" s="35"/>
      <c r="I246" s="35"/>
      <c r="J246" s="35"/>
    </row>
    <row r="247" spans="3:10" ht="13.5" customHeight="1" x14ac:dyDescent="0.25">
      <c r="C247" s="16"/>
      <c r="D247" s="16"/>
      <c r="E247" s="16"/>
      <c r="F247" s="64"/>
      <c r="G247" s="70"/>
      <c r="H247" s="16"/>
      <c r="I247" s="16"/>
      <c r="J247" s="16"/>
    </row>
    <row r="248" spans="3:10" ht="13.5" customHeight="1" x14ac:dyDescent="0.25">
      <c r="C248" s="35"/>
      <c r="D248" s="35"/>
      <c r="E248" s="35"/>
      <c r="F248" s="65"/>
      <c r="G248" s="69"/>
      <c r="H248" s="35"/>
      <c r="I248" s="35"/>
      <c r="J248" s="35"/>
    </row>
    <row r="249" spans="3:10" ht="13.5" customHeight="1" x14ac:dyDescent="0.25">
      <c r="C249" s="16"/>
      <c r="D249" s="16"/>
      <c r="E249" s="16"/>
      <c r="F249" s="64"/>
      <c r="G249" s="70"/>
      <c r="H249" s="16"/>
      <c r="I249" s="16"/>
      <c r="J249" s="16"/>
    </row>
    <row r="250" spans="3:10" ht="13.5" customHeight="1" x14ac:dyDescent="0.25">
      <c r="C250" s="35"/>
      <c r="D250" s="35"/>
      <c r="E250" s="35"/>
      <c r="F250" s="65"/>
      <c r="G250" s="69"/>
      <c r="H250" s="35"/>
      <c r="I250" s="35"/>
      <c r="J250" s="35"/>
    </row>
    <row r="251" spans="3:10" ht="13.5" customHeight="1" x14ac:dyDescent="0.25">
      <c r="C251" s="16"/>
      <c r="D251" s="16"/>
      <c r="E251" s="16"/>
      <c r="F251" s="64"/>
      <c r="G251" s="70"/>
      <c r="H251" s="16"/>
      <c r="I251" s="16"/>
      <c r="J251" s="16"/>
    </row>
    <row r="252" spans="3:10" ht="13.5" customHeight="1" x14ac:dyDescent="0.25">
      <c r="C252" s="35"/>
      <c r="D252" s="35"/>
      <c r="E252" s="35"/>
      <c r="F252" s="65"/>
      <c r="G252" s="69"/>
      <c r="H252" s="35"/>
      <c r="I252" s="35"/>
      <c r="J252" s="35"/>
    </row>
    <row r="253" spans="3:10" ht="13.5" customHeight="1" x14ac:dyDescent="0.25">
      <c r="C253" s="16"/>
      <c r="D253" s="16"/>
      <c r="E253" s="16"/>
      <c r="F253" s="64"/>
      <c r="G253" s="70"/>
      <c r="H253" s="16"/>
      <c r="I253" s="16"/>
      <c r="J253" s="16"/>
    </row>
    <row r="254" spans="3:10" ht="13.5" customHeight="1" x14ac:dyDescent="0.25">
      <c r="C254" s="35"/>
      <c r="D254" s="35"/>
      <c r="E254" s="35"/>
      <c r="F254" s="65"/>
      <c r="G254" s="69"/>
      <c r="H254" s="35"/>
      <c r="I254" s="35"/>
      <c r="J254" s="35"/>
    </row>
    <row r="255" spans="3:10" ht="13.5" customHeight="1" x14ac:dyDescent="0.25">
      <c r="C255" s="16"/>
      <c r="D255" s="16"/>
      <c r="E255" s="16"/>
      <c r="F255" s="64"/>
      <c r="G255" s="70"/>
      <c r="H255" s="16"/>
      <c r="I255" s="16"/>
      <c r="J255" s="16"/>
    </row>
    <row r="256" spans="3:10" ht="13.5" customHeight="1" x14ac:dyDescent="0.25">
      <c r="C256" s="35"/>
      <c r="D256" s="35"/>
      <c r="E256" s="35"/>
      <c r="F256" s="65"/>
      <c r="G256" s="69"/>
      <c r="H256" s="35"/>
      <c r="I256" s="35"/>
      <c r="J256" s="35"/>
    </row>
    <row r="257" spans="3:10" ht="13.5" customHeight="1" x14ac:dyDescent="0.25">
      <c r="C257" s="16"/>
      <c r="D257" s="16"/>
      <c r="E257" s="16"/>
      <c r="F257" s="64"/>
      <c r="G257" s="70"/>
      <c r="H257" s="16"/>
      <c r="I257" s="16"/>
      <c r="J257" s="16"/>
    </row>
    <row r="258" spans="3:10" ht="13.5" customHeight="1" x14ac:dyDescent="0.25">
      <c r="C258" s="35"/>
      <c r="D258" s="35"/>
      <c r="E258" s="35"/>
      <c r="F258" s="65"/>
      <c r="G258" s="69"/>
      <c r="H258" s="35"/>
      <c r="I258" s="35"/>
      <c r="J258" s="35"/>
    </row>
    <row r="259" spans="3:10" ht="13.5" customHeight="1" x14ac:dyDescent="0.25">
      <c r="C259" s="16"/>
      <c r="D259" s="16"/>
      <c r="E259" s="16"/>
      <c r="F259" s="64"/>
      <c r="G259" s="70"/>
      <c r="H259" s="16"/>
      <c r="I259" s="16"/>
      <c r="J259" s="16"/>
    </row>
    <row r="260" spans="3:10" ht="13.5" customHeight="1" x14ac:dyDescent="0.25">
      <c r="C260" s="35"/>
      <c r="D260" s="35"/>
      <c r="E260" s="35"/>
      <c r="F260" s="65"/>
      <c r="G260" s="69"/>
      <c r="H260" s="35"/>
      <c r="I260" s="35"/>
      <c r="J260" s="35"/>
    </row>
    <row r="261" spans="3:10" ht="13.5" customHeight="1" x14ac:dyDescent="0.25">
      <c r="C261" s="16"/>
      <c r="D261" s="16"/>
      <c r="E261" s="16"/>
      <c r="F261" s="64"/>
      <c r="G261" s="70"/>
      <c r="H261" s="16"/>
      <c r="I261" s="16"/>
      <c r="J261" s="16"/>
    </row>
    <row r="262" spans="3:10" ht="13.5" customHeight="1" x14ac:dyDescent="0.25">
      <c r="C262" s="35"/>
      <c r="D262" s="35"/>
      <c r="E262" s="35"/>
      <c r="F262" s="65"/>
      <c r="G262" s="69"/>
      <c r="H262" s="35"/>
      <c r="I262" s="35"/>
      <c r="J262" s="35"/>
    </row>
    <row r="263" spans="3:10" ht="13.5" customHeight="1" x14ac:dyDescent="0.25">
      <c r="C263" s="16"/>
      <c r="D263" s="16"/>
      <c r="E263" s="16"/>
      <c r="F263" s="64"/>
      <c r="G263" s="70"/>
      <c r="H263" s="16"/>
      <c r="I263" s="16"/>
      <c r="J263" s="16"/>
    </row>
    <row r="264" spans="3:10" ht="13.5" customHeight="1" x14ac:dyDescent="0.25">
      <c r="C264" s="35"/>
      <c r="D264" s="35"/>
      <c r="E264" s="35"/>
      <c r="F264" s="65"/>
      <c r="G264" s="69"/>
      <c r="H264" s="35"/>
      <c r="I264" s="35"/>
      <c r="J264" s="35"/>
    </row>
    <row r="265" spans="3:10" ht="13.5" customHeight="1" x14ac:dyDescent="0.25">
      <c r="C265" s="16"/>
      <c r="D265" s="16"/>
      <c r="E265" s="16"/>
      <c r="F265" s="64"/>
      <c r="G265" s="70"/>
      <c r="H265" s="16"/>
      <c r="I265" s="16"/>
      <c r="J265" s="16"/>
    </row>
    <row r="266" spans="3:10" ht="13.5" customHeight="1" x14ac:dyDescent="0.25">
      <c r="C266" s="35"/>
      <c r="D266" s="35"/>
      <c r="E266" s="35"/>
      <c r="F266" s="65"/>
      <c r="G266" s="69"/>
      <c r="H266" s="35"/>
      <c r="I266" s="35"/>
      <c r="J266" s="35"/>
    </row>
    <row r="267" spans="3:10" ht="13.5" customHeight="1" x14ac:dyDescent="0.25">
      <c r="C267" s="16"/>
      <c r="D267" s="16"/>
      <c r="E267" s="16"/>
      <c r="F267" s="64"/>
      <c r="G267" s="70"/>
      <c r="H267" s="16"/>
      <c r="I267" s="16"/>
      <c r="J267" s="16"/>
    </row>
    <row r="268" spans="3:10" ht="13.5" customHeight="1" x14ac:dyDescent="0.25">
      <c r="C268" s="35"/>
      <c r="D268" s="35"/>
      <c r="E268" s="35"/>
      <c r="F268" s="65"/>
      <c r="G268" s="69"/>
      <c r="H268" s="35"/>
      <c r="I268" s="35"/>
      <c r="J268" s="35"/>
    </row>
    <row r="269" spans="3:10" ht="13.5" customHeight="1" x14ac:dyDescent="0.25">
      <c r="C269" s="16"/>
      <c r="D269" s="16"/>
      <c r="E269" s="16"/>
      <c r="F269" s="64"/>
      <c r="G269" s="70"/>
      <c r="H269" s="16"/>
      <c r="I269" s="16"/>
      <c r="J269" s="16"/>
    </row>
    <row r="270" spans="3:10" ht="13.5" customHeight="1" x14ac:dyDescent="0.25">
      <c r="C270" s="35"/>
      <c r="D270" s="35"/>
      <c r="E270" s="35"/>
      <c r="F270" s="65"/>
      <c r="G270" s="69"/>
      <c r="H270" s="35"/>
      <c r="I270" s="35"/>
      <c r="J270" s="35"/>
    </row>
    <row r="271" spans="3:10" ht="13.5" customHeight="1" x14ac:dyDescent="0.25">
      <c r="C271" s="16"/>
      <c r="D271" s="16"/>
      <c r="E271" s="16"/>
      <c r="F271" s="64"/>
      <c r="G271" s="70"/>
      <c r="H271" s="16"/>
      <c r="I271" s="16"/>
      <c r="J271" s="16"/>
    </row>
    <row r="272" spans="3:10" ht="13.5" customHeight="1" x14ac:dyDescent="0.25">
      <c r="C272" s="35"/>
      <c r="D272" s="35"/>
      <c r="E272" s="35"/>
      <c r="F272" s="65"/>
      <c r="G272" s="69"/>
      <c r="H272" s="35"/>
      <c r="I272" s="35"/>
      <c r="J272" s="35"/>
    </row>
    <row r="273" spans="3:10" ht="13.5" customHeight="1" x14ac:dyDescent="0.25">
      <c r="C273" s="16"/>
      <c r="D273" s="16"/>
      <c r="E273" s="16"/>
      <c r="F273" s="64"/>
      <c r="G273" s="70"/>
      <c r="H273" s="16"/>
      <c r="I273" s="16"/>
      <c r="J273" s="16"/>
    </row>
    <row r="274" spans="3:10" ht="13.5" customHeight="1" x14ac:dyDescent="0.25">
      <c r="C274" s="35"/>
      <c r="D274" s="35"/>
      <c r="E274" s="35"/>
      <c r="F274" s="65"/>
      <c r="G274" s="69"/>
      <c r="H274" s="35"/>
      <c r="I274" s="35"/>
      <c r="J274" s="35"/>
    </row>
    <row r="275" spans="3:10" ht="13.5" customHeight="1" x14ac:dyDescent="0.25">
      <c r="C275" s="16"/>
      <c r="D275" s="16"/>
      <c r="E275" s="16"/>
      <c r="F275" s="64"/>
      <c r="G275" s="70"/>
      <c r="H275" s="16"/>
      <c r="I275" s="16"/>
      <c r="J275" s="16"/>
    </row>
    <row r="276" spans="3:10" ht="13.5" customHeight="1" x14ac:dyDescent="0.25">
      <c r="C276" s="35"/>
      <c r="D276" s="35"/>
      <c r="E276" s="35"/>
      <c r="F276" s="65"/>
      <c r="G276" s="69"/>
      <c r="H276" s="35"/>
      <c r="I276" s="35"/>
      <c r="J276" s="35"/>
    </row>
    <row r="277" spans="3:10" ht="13.5" customHeight="1" x14ac:dyDescent="0.25">
      <c r="C277" s="16"/>
      <c r="D277" s="16"/>
      <c r="E277" s="16"/>
      <c r="F277" s="64"/>
      <c r="G277" s="70"/>
      <c r="H277" s="16"/>
      <c r="I277" s="16"/>
      <c r="J277" s="16"/>
    </row>
    <row r="278" spans="3:10" ht="13.5" customHeight="1" x14ac:dyDescent="0.25">
      <c r="C278" s="35"/>
      <c r="D278" s="35"/>
      <c r="E278" s="35"/>
      <c r="F278" s="65"/>
      <c r="G278" s="69"/>
      <c r="H278" s="35"/>
      <c r="I278" s="35"/>
      <c r="J278" s="35"/>
    </row>
    <row r="279" spans="3:10" ht="13.5" customHeight="1" x14ac:dyDescent="0.25">
      <c r="C279" s="16"/>
      <c r="D279" s="16"/>
      <c r="E279" s="16"/>
      <c r="F279" s="64"/>
      <c r="G279" s="70"/>
      <c r="H279" s="16"/>
      <c r="I279" s="16"/>
      <c r="J279" s="16"/>
    </row>
    <row r="280" spans="3:10" ht="13.5" customHeight="1" x14ac:dyDescent="0.25">
      <c r="C280" s="35"/>
      <c r="D280" s="35"/>
      <c r="E280" s="35"/>
      <c r="F280" s="65"/>
      <c r="G280" s="69"/>
      <c r="H280" s="35"/>
      <c r="I280" s="35"/>
      <c r="J280" s="35"/>
    </row>
    <row r="281" spans="3:10" ht="13.5" customHeight="1" x14ac:dyDescent="0.25">
      <c r="C281" s="16"/>
      <c r="D281" s="16"/>
      <c r="E281" s="16"/>
      <c r="F281" s="64"/>
      <c r="G281" s="70"/>
      <c r="H281" s="16"/>
      <c r="I281" s="16"/>
      <c r="J281" s="16"/>
    </row>
    <row r="282" spans="3:10" ht="13.5" customHeight="1" x14ac:dyDescent="0.25">
      <c r="C282" s="35"/>
      <c r="D282" s="35"/>
      <c r="E282" s="35"/>
      <c r="F282" s="65"/>
      <c r="G282" s="69"/>
      <c r="H282" s="35"/>
      <c r="I282" s="35"/>
      <c r="J282" s="35"/>
    </row>
    <row r="283" spans="3:10" ht="13.5" customHeight="1" x14ac:dyDescent="0.25">
      <c r="C283" s="16"/>
      <c r="D283" s="16"/>
      <c r="E283" s="16"/>
      <c r="F283" s="64"/>
      <c r="G283" s="70"/>
      <c r="H283" s="16"/>
      <c r="I283" s="16"/>
      <c r="J283" s="16"/>
    </row>
    <row r="284" spans="3:10" ht="13.5" customHeight="1" x14ac:dyDescent="0.25">
      <c r="C284" s="35"/>
      <c r="D284" s="35"/>
      <c r="E284" s="35"/>
      <c r="F284" s="65"/>
      <c r="G284" s="69"/>
      <c r="H284" s="35"/>
      <c r="I284" s="35"/>
      <c r="J284" s="35"/>
    </row>
    <row r="285" spans="3:10" ht="13.5" customHeight="1" x14ac:dyDescent="0.25">
      <c r="C285" s="16"/>
      <c r="D285" s="16"/>
      <c r="E285" s="16"/>
      <c r="F285" s="64"/>
      <c r="G285" s="70"/>
      <c r="H285" s="16"/>
      <c r="I285" s="16"/>
      <c r="J285" s="16"/>
    </row>
    <row r="286" spans="3:10" ht="13.5" customHeight="1" x14ac:dyDescent="0.25">
      <c r="C286" s="35"/>
      <c r="D286" s="35"/>
      <c r="E286" s="35"/>
      <c r="F286" s="65"/>
      <c r="G286" s="69"/>
      <c r="H286" s="35"/>
      <c r="I286" s="35"/>
      <c r="J286" s="35"/>
    </row>
    <row r="287" spans="3:10" ht="13.5" customHeight="1" x14ac:dyDescent="0.25">
      <c r="C287" s="16"/>
      <c r="D287" s="16"/>
      <c r="E287" s="16"/>
      <c r="F287" s="64"/>
      <c r="G287" s="70"/>
      <c r="H287" s="16"/>
      <c r="I287" s="16"/>
      <c r="J287" s="16"/>
    </row>
    <row r="288" spans="3:10" ht="13.5" customHeight="1" x14ac:dyDescent="0.25">
      <c r="C288" s="35"/>
      <c r="D288" s="35"/>
      <c r="E288" s="35"/>
      <c r="F288" s="65"/>
      <c r="G288" s="69"/>
      <c r="H288" s="35"/>
      <c r="I288" s="35"/>
      <c r="J288" s="35"/>
    </row>
    <row r="289" spans="3:10" ht="13.5" customHeight="1" x14ac:dyDescent="0.25">
      <c r="C289" s="16"/>
      <c r="D289" s="16"/>
      <c r="E289" s="16"/>
      <c r="F289" s="64"/>
      <c r="G289" s="70"/>
      <c r="H289" s="16"/>
      <c r="I289" s="16"/>
      <c r="J289" s="16"/>
    </row>
    <row r="290" spans="3:10" ht="13.5" customHeight="1" x14ac:dyDescent="0.25">
      <c r="C290" s="35"/>
      <c r="D290" s="35"/>
      <c r="E290" s="35"/>
      <c r="F290" s="65"/>
      <c r="G290" s="69"/>
      <c r="H290" s="35"/>
      <c r="I290" s="35"/>
      <c r="J290" s="35"/>
    </row>
    <row r="291" spans="3:10" ht="13.5" customHeight="1" x14ac:dyDescent="0.25">
      <c r="C291" s="16"/>
      <c r="D291" s="16"/>
      <c r="E291" s="16"/>
      <c r="F291" s="64"/>
      <c r="G291" s="70"/>
      <c r="H291" s="16"/>
      <c r="I291" s="16"/>
      <c r="J291" s="16"/>
    </row>
    <row r="292" spans="3:10" ht="13.5" customHeight="1" x14ac:dyDescent="0.25">
      <c r="C292" s="35"/>
      <c r="D292" s="35"/>
      <c r="E292" s="35"/>
      <c r="F292" s="65"/>
      <c r="G292" s="69"/>
      <c r="H292" s="35"/>
      <c r="I292" s="35"/>
      <c r="J292" s="35"/>
    </row>
    <row r="293" spans="3:10" ht="13.5" customHeight="1" x14ac:dyDescent="0.25">
      <c r="C293" s="16"/>
      <c r="D293" s="16"/>
      <c r="E293" s="16"/>
      <c r="F293" s="64"/>
      <c r="G293" s="70"/>
      <c r="H293" s="16"/>
      <c r="I293" s="16"/>
      <c r="J293" s="16"/>
    </row>
    <row r="294" spans="3:10" ht="13.5" customHeight="1" x14ac:dyDescent="0.25">
      <c r="C294" s="35"/>
      <c r="D294" s="35"/>
      <c r="E294" s="35"/>
      <c r="F294" s="65"/>
      <c r="G294" s="69"/>
      <c r="H294" s="35"/>
      <c r="I294" s="35"/>
      <c r="J294" s="35"/>
    </row>
    <row r="295" spans="3:10" ht="13.5" customHeight="1" x14ac:dyDescent="0.25">
      <c r="C295" s="16"/>
      <c r="D295" s="16"/>
      <c r="E295" s="16"/>
      <c r="F295" s="64"/>
      <c r="G295" s="70"/>
      <c r="H295" s="16"/>
      <c r="I295" s="16"/>
      <c r="J295" s="16"/>
    </row>
    <row r="296" spans="3:10" ht="13.5" customHeight="1" x14ac:dyDescent="0.25">
      <c r="C296" s="35"/>
      <c r="D296" s="35"/>
      <c r="E296" s="35"/>
      <c r="F296" s="65"/>
      <c r="G296" s="69"/>
      <c r="H296" s="35"/>
      <c r="I296" s="35"/>
      <c r="J296" s="35"/>
    </row>
    <row r="297" spans="3:10" ht="13.5" customHeight="1" x14ac:dyDescent="0.25">
      <c r="C297" s="16"/>
      <c r="D297" s="16"/>
      <c r="E297" s="16"/>
      <c r="F297" s="64"/>
      <c r="G297" s="70"/>
      <c r="H297" s="16"/>
      <c r="I297" s="16"/>
      <c r="J297" s="16"/>
    </row>
    <row r="298" spans="3:10" ht="13.5" customHeight="1" x14ac:dyDescent="0.25">
      <c r="C298" s="35"/>
      <c r="D298" s="35"/>
      <c r="E298" s="35"/>
      <c r="F298" s="65"/>
      <c r="G298" s="69"/>
      <c r="H298" s="35"/>
      <c r="I298" s="35"/>
      <c r="J298" s="35"/>
    </row>
    <row r="299" spans="3:10" ht="13.5" customHeight="1" x14ac:dyDescent="0.25">
      <c r="C299" s="16"/>
      <c r="D299" s="16"/>
      <c r="E299" s="16"/>
      <c r="F299" s="64"/>
      <c r="G299" s="70"/>
      <c r="H299" s="16"/>
      <c r="I299" s="16"/>
      <c r="J299" s="16"/>
    </row>
    <row r="300" spans="3:10" ht="13.5" customHeight="1" x14ac:dyDescent="0.25">
      <c r="C300" s="35"/>
      <c r="D300" s="35"/>
      <c r="E300" s="35"/>
      <c r="F300" s="65"/>
      <c r="G300" s="69"/>
      <c r="H300" s="35"/>
      <c r="I300" s="35"/>
      <c r="J300" s="35"/>
    </row>
    <row r="301" spans="3:10" ht="13.5" customHeight="1" x14ac:dyDescent="0.25">
      <c r="C301" s="16"/>
      <c r="D301" s="16"/>
      <c r="E301" s="16"/>
      <c r="F301" s="64"/>
      <c r="G301" s="70"/>
      <c r="H301" s="16"/>
      <c r="I301" s="16"/>
      <c r="J301" s="16"/>
    </row>
    <row r="302" spans="3:10" ht="13.5" customHeight="1" x14ac:dyDescent="0.25">
      <c r="C302" s="35"/>
      <c r="D302" s="35"/>
      <c r="E302" s="35"/>
      <c r="F302" s="65"/>
      <c r="G302" s="69"/>
      <c r="H302" s="35"/>
      <c r="I302" s="35"/>
      <c r="J302" s="35"/>
    </row>
    <row r="303" spans="3:10" ht="13.5" customHeight="1" x14ac:dyDescent="0.25">
      <c r="C303" s="16"/>
      <c r="D303" s="16"/>
      <c r="E303" s="16"/>
      <c r="F303" s="64"/>
      <c r="G303" s="70"/>
      <c r="H303" s="16"/>
      <c r="I303" s="16"/>
      <c r="J303" s="16"/>
    </row>
    <row r="304" spans="3:10" ht="13.5" customHeight="1" x14ac:dyDescent="0.25">
      <c r="C304" s="35"/>
      <c r="D304" s="35"/>
      <c r="E304" s="35"/>
      <c r="F304" s="65"/>
      <c r="G304" s="69"/>
      <c r="H304" s="35"/>
      <c r="I304" s="35"/>
      <c r="J304" s="35"/>
    </row>
    <row r="305" spans="3:10" ht="13.5" customHeight="1" x14ac:dyDescent="0.25">
      <c r="C305" s="16"/>
      <c r="D305" s="16"/>
      <c r="E305" s="16"/>
      <c r="F305" s="64"/>
      <c r="G305" s="70"/>
      <c r="H305" s="16"/>
      <c r="I305" s="16"/>
      <c r="J305" s="16"/>
    </row>
    <row r="306" spans="3:10" ht="13.5" customHeight="1" x14ac:dyDescent="0.25">
      <c r="C306" s="35"/>
      <c r="D306" s="35"/>
      <c r="E306" s="35"/>
      <c r="F306" s="65"/>
      <c r="G306" s="69"/>
      <c r="H306" s="35"/>
      <c r="I306" s="35"/>
      <c r="J306" s="35"/>
    </row>
    <row r="307" spans="3:10" ht="13.5" customHeight="1" x14ac:dyDescent="0.25">
      <c r="C307" s="16"/>
      <c r="D307" s="16"/>
      <c r="E307" s="16"/>
      <c r="F307" s="64"/>
      <c r="G307" s="70"/>
      <c r="H307" s="16"/>
      <c r="I307" s="16"/>
      <c r="J307" s="16"/>
    </row>
    <row r="308" spans="3:10" ht="13.5" customHeight="1" x14ac:dyDescent="0.25">
      <c r="C308" s="35"/>
      <c r="D308" s="35"/>
      <c r="E308" s="35"/>
      <c r="F308" s="65"/>
      <c r="G308" s="69"/>
      <c r="H308" s="35"/>
      <c r="I308" s="35"/>
      <c r="J308" s="35"/>
    </row>
    <row r="309" spans="3:10" ht="13.5" customHeight="1" x14ac:dyDescent="0.25">
      <c r="C309" s="16"/>
      <c r="D309" s="16"/>
      <c r="E309" s="16"/>
      <c r="F309" s="64"/>
      <c r="G309" s="70"/>
      <c r="H309" s="16"/>
      <c r="I309" s="16"/>
      <c r="J309" s="16"/>
    </row>
    <row r="310" spans="3:10" ht="13.5" customHeight="1" x14ac:dyDescent="0.25">
      <c r="C310" s="35"/>
      <c r="D310" s="35"/>
      <c r="E310" s="35"/>
      <c r="F310" s="65"/>
      <c r="G310" s="69"/>
      <c r="H310" s="35"/>
      <c r="I310" s="35"/>
      <c r="J310" s="35"/>
    </row>
    <row r="311" spans="3:10" ht="13.5" customHeight="1" x14ac:dyDescent="0.25">
      <c r="C311" s="16"/>
      <c r="D311" s="16"/>
      <c r="E311" s="16"/>
      <c r="F311" s="64"/>
      <c r="G311" s="70"/>
      <c r="H311" s="16"/>
      <c r="I311" s="16"/>
      <c r="J311" s="16"/>
    </row>
    <row r="312" spans="3:10" ht="13.5" customHeight="1" x14ac:dyDescent="0.25">
      <c r="C312" s="35"/>
      <c r="D312" s="35"/>
      <c r="E312" s="35"/>
      <c r="F312" s="65"/>
      <c r="G312" s="69"/>
      <c r="H312" s="35"/>
      <c r="I312" s="35"/>
      <c r="J312" s="35"/>
    </row>
    <row r="313" spans="3:10" ht="13.5" customHeight="1" x14ac:dyDescent="0.25">
      <c r="C313" s="16"/>
      <c r="D313" s="16"/>
      <c r="E313" s="16"/>
      <c r="F313" s="64"/>
      <c r="G313" s="70"/>
      <c r="H313" s="16"/>
      <c r="I313" s="16"/>
      <c r="J313" s="16"/>
    </row>
    <row r="314" spans="3:10" ht="13.5" customHeight="1" x14ac:dyDescent="0.25">
      <c r="C314" s="35"/>
      <c r="D314" s="35"/>
      <c r="E314" s="35"/>
      <c r="F314" s="65"/>
      <c r="G314" s="69"/>
      <c r="H314" s="35"/>
      <c r="I314" s="35"/>
      <c r="J314" s="35"/>
    </row>
    <row r="315" spans="3:10" ht="13.5" customHeight="1" x14ac:dyDescent="0.25">
      <c r="C315" s="16"/>
      <c r="D315" s="16"/>
      <c r="E315" s="16"/>
      <c r="F315" s="64"/>
      <c r="G315" s="70"/>
      <c r="H315" s="16"/>
      <c r="I315" s="16"/>
      <c r="J315" s="16"/>
    </row>
    <row r="316" spans="3:10" ht="13.5" customHeight="1" x14ac:dyDescent="0.25">
      <c r="C316" s="35"/>
      <c r="D316" s="35"/>
      <c r="E316" s="35"/>
      <c r="F316" s="65"/>
      <c r="G316" s="69"/>
      <c r="H316" s="35"/>
      <c r="I316" s="35"/>
      <c r="J316" s="35"/>
    </row>
    <row r="317" spans="3:10" ht="13.5" customHeight="1" x14ac:dyDescent="0.25">
      <c r="C317" s="16"/>
      <c r="D317" s="16"/>
      <c r="E317" s="16"/>
      <c r="F317" s="64"/>
      <c r="G317" s="70"/>
      <c r="H317" s="16"/>
      <c r="I317" s="16"/>
      <c r="J317" s="16"/>
    </row>
  </sheetData>
  <sortState xmlns:xlrd2="http://schemas.microsoft.com/office/spreadsheetml/2017/richdata2" ref="C15:J28">
    <sortCondition ref="C14"/>
  </sortState>
  <mergeCells count="11">
    <mergeCell ref="D9:F9"/>
    <mergeCell ref="I9:J9"/>
    <mergeCell ref="D10:F10"/>
    <mergeCell ref="I10:J10"/>
    <mergeCell ref="C13:J13"/>
    <mergeCell ref="D6:F6"/>
    <mergeCell ref="I6:J6"/>
    <mergeCell ref="D7:F7"/>
    <mergeCell ref="I7:J7"/>
    <mergeCell ref="D8:F8"/>
    <mergeCell ref="I8:J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C88BE-9DD4-4B77-BDDD-193E4172B4D5}">
  <sheetPr codeName="Sheet7">
    <tabColor theme="1" tint="4.9989318521683403E-2"/>
  </sheetPr>
  <dimension ref="A1:Q1500"/>
  <sheetViews>
    <sheetView topLeftCell="A4" zoomScale="115" zoomScaleNormal="115" workbookViewId="0">
      <selection activeCell="C16" sqref="C16"/>
    </sheetView>
  </sheetViews>
  <sheetFormatPr defaultColWidth="0" defaultRowHeight="13.5" customHeight="1" outlineLevelRow="1" x14ac:dyDescent="0.25"/>
  <cols>
    <col min="1" max="1" width="2.7109375" style="1" customWidth="1"/>
    <col min="2" max="2" width="1.7109375" style="1" customWidth="1"/>
    <col min="3" max="3" width="11.85546875" style="1" customWidth="1"/>
    <col min="4" max="4" width="6.85546875" style="1" bestFit="1" customWidth="1"/>
    <col min="5" max="5" width="40.28515625" style="66" customWidth="1"/>
    <col min="6" max="6" width="36.7109375" style="66" customWidth="1"/>
    <col min="7" max="7" width="24.28515625" style="1" customWidth="1"/>
    <col min="8" max="8" width="16.7109375" style="1" customWidth="1"/>
    <col min="9" max="9" width="11.85546875" style="1" customWidth="1"/>
    <col min="10" max="11" width="1.7109375" style="1" customWidth="1"/>
    <col min="12" max="12" width="2.7109375" style="1" hidden="1" customWidth="1"/>
    <col min="13" max="13" width="15.140625" style="1" hidden="1" customWidth="1"/>
    <col min="14" max="14" width="1.7109375" style="1" hidden="1" customWidth="1"/>
    <col min="15" max="15" width="2.7109375" style="1" hidden="1" customWidth="1"/>
    <col min="16" max="17" width="0" style="1" hidden="1" customWidth="1"/>
    <col min="18" max="16384" width="9.140625" style="1" hidden="1"/>
  </cols>
  <sheetData>
    <row r="1" spans="1:13" x14ac:dyDescent="0.25">
      <c r="A1" s="43"/>
      <c r="B1" s="43"/>
      <c r="C1" s="43"/>
      <c r="D1" s="43"/>
      <c r="E1" s="60"/>
      <c r="F1" s="60"/>
      <c r="G1" s="43"/>
      <c r="H1" s="43"/>
      <c r="I1" s="43"/>
      <c r="J1" s="43"/>
      <c r="K1" s="43"/>
      <c r="L1" s="43"/>
      <c r="M1" s="43"/>
    </row>
    <row r="2" spans="1:13" x14ac:dyDescent="0.25">
      <c r="A2" s="43"/>
      <c r="B2" s="43"/>
      <c r="C2" s="43"/>
      <c r="D2" s="43"/>
      <c r="E2" s="60"/>
      <c r="F2" s="60"/>
      <c r="G2" s="43"/>
      <c r="H2" s="43"/>
      <c r="I2" s="43"/>
      <c r="J2" s="43"/>
      <c r="K2" s="43"/>
      <c r="L2" s="43"/>
      <c r="M2" s="43"/>
    </row>
    <row r="3" spans="1:13" x14ac:dyDescent="0.25">
      <c r="A3" s="43"/>
      <c r="B3" s="43"/>
      <c r="C3" s="43"/>
      <c r="D3" s="43"/>
      <c r="E3" s="60"/>
      <c r="F3" s="60"/>
      <c r="G3" s="43"/>
      <c r="H3" s="43"/>
      <c r="I3" s="43"/>
      <c r="J3" s="43"/>
      <c r="K3" s="43"/>
      <c r="L3" s="43"/>
      <c r="M3" s="43"/>
    </row>
    <row r="4" spans="1:13" x14ac:dyDescent="0.25">
      <c r="A4" s="43"/>
      <c r="B4" s="43"/>
      <c r="C4" s="43"/>
      <c r="D4" s="43"/>
      <c r="E4" s="60"/>
      <c r="F4" s="60"/>
      <c r="G4" s="43"/>
      <c r="H4" s="43"/>
      <c r="I4" s="43"/>
      <c r="J4" s="43"/>
      <c r="K4" s="43"/>
      <c r="L4" s="43"/>
      <c r="M4" s="43"/>
    </row>
    <row r="5" spans="1:13" ht="9.9499999999999993" customHeight="1" x14ac:dyDescent="0.25">
      <c r="A5" s="43"/>
      <c r="B5" s="9"/>
      <c r="C5" s="10"/>
      <c r="D5" s="10"/>
      <c r="E5" s="61"/>
      <c r="F5" s="61"/>
      <c r="G5" s="45"/>
      <c r="H5" s="10"/>
      <c r="I5" s="10"/>
      <c r="J5" s="11"/>
      <c r="K5" s="43"/>
    </row>
    <row r="6" spans="1:13" ht="14.25" x14ac:dyDescent="0.3">
      <c r="A6" s="43"/>
      <c r="B6" s="4"/>
      <c r="C6" s="44" t="s">
        <v>0</v>
      </c>
      <c r="D6" s="93">
        <f>IF('Project Details'!D6=0,"", 'Project Details'!D6)</f>
        <v>45217</v>
      </c>
      <c r="E6" s="93"/>
      <c r="F6" s="67"/>
      <c r="G6" s="44" t="s">
        <v>90</v>
      </c>
      <c r="H6" s="95">
        <f>IF('Project Details'!J6=0,"", 'Project Details'!J6)</f>
        <v>1</v>
      </c>
      <c r="I6" s="95"/>
      <c r="J6" s="5"/>
      <c r="K6" s="43"/>
    </row>
    <row r="7" spans="1:13" ht="14.25" x14ac:dyDescent="0.3">
      <c r="A7" s="43"/>
      <c r="B7" s="4"/>
      <c r="C7" s="44" t="s">
        <v>1</v>
      </c>
      <c r="D7" s="95" t="str">
        <f>IF('Project Details'!D7=0,"", 'Project Details'!D7)</f>
        <v>William Andrew Bulaquena</v>
      </c>
      <c r="E7" s="95"/>
      <c r="F7" s="67"/>
      <c r="G7" s="44" t="s">
        <v>91</v>
      </c>
      <c r="H7" s="95">
        <f>IF('Project Details'!J7=0,"", 'Project Details'!J7)</f>
        <v>1</v>
      </c>
      <c r="I7" s="95"/>
      <c r="J7" s="5"/>
      <c r="K7" s="43"/>
    </row>
    <row r="8" spans="1:13" ht="14.25" x14ac:dyDescent="0.3">
      <c r="A8" s="43"/>
      <c r="B8" s="4"/>
      <c r="C8" s="44" t="s">
        <v>730</v>
      </c>
      <c r="D8" s="95" t="str">
        <f>IF('Project Details'!D8=0,"", 'Project Details'!D8)</f>
        <v>Banilad</v>
      </c>
      <c r="E8" s="95"/>
      <c r="F8" s="67"/>
      <c r="G8" s="44" t="s">
        <v>92</v>
      </c>
      <c r="H8" s="95">
        <f>IF('Project Details'!J8=0,"", 'Project Details'!J8)</f>
        <v>12345</v>
      </c>
      <c r="I8" s="95"/>
      <c r="J8" s="5"/>
      <c r="K8" s="43"/>
    </row>
    <row r="9" spans="1:13" ht="14.25" x14ac:dyDescent="0.3">
      <c r="A9" s="43"/>
      <c r="B9" s="4"/>
      <c r="C9" s="44" t="s">
        <v>62</v>
      </c>
      <c r="D9" s="95">
        <f>IF('Project Details'!D9=0,"", 'Project Details'!D9)</f>
        <v>9123456789</v>
      </c>
      <c r="E9" s="95"/>
      <c r="F9" s="67"/>
      <c r="G9" s="44" t="s">
        <v>93</v>
      </c>
      <c r="H9" s="95" t="str">
        <f>IF('Project Details'!J9=0,"", 'Project Details'!J9)</f>
        <v>Kunstof</v>
      </c>
      <c r="I9" s="95"/>
      <c r="J9" s="5"/>
      <c r="K9" s="43"/>
    </row>
    <row r="10" spans="1:13" ht="14.25" x14ac:dyDescent="0.3">
      <c r="A10" s="43"/>
      <c r="B10" s="4"/>
      <c r="C10" s="44" t="s">
        <v>63</v>
      </c>
      <c r="D10" s="95" t="str">
        <f>IF('Project Details'!D10=0,"", 'Project Details'!D10)</f>
        <v>williamgbulaquena@gmail.com</v>
      </c>
      <c r="E10" s="95"/>
      <c r="F10" s="67"/>
      <c r="G10" s="44" t="s">
        <v>94</v>
      </c>
      <c r="H10" s="95" t="str">
        <f>IF('Project Details'!J10=0,"", 'Project Details'!J10)</f>
        <v>Kunstof</v>
      </c>
      <c r="I10" s="95"/>
      <c r="J10" s="5"/>
      <c r="K10" s="43"/>
    </row>
    <row r="11" spans="1:13" ht="9.9499999999999993" customHeight="1" x14ac:dyDescent="0.25">
      <c r="A11" s="43"/>
      <c r="B11" s="6"/>
      <c r="C11" s="7"/>
      <c r="D11" s="7"/>
      <c r="E11" s="62"/>
      <c r="F11" s="62"/>
      <c r="G11" s="7"/>
      <c r="H11" s="14"/>
      <c r="I11" s="7"/>
      <c r="J11" s="8"/>
      <c r="K11" s="43"/>
    </row>
    <row r="12" spans="1:13" x14ac:dyDescent="0.25">
      <c r="A12" s="43"/>
      <c r="B12" s="43"/>
      <c r="C12" s="43"/>
      <c r="D12" s="43"/>
      <c r="E12" s="60"/>
      <c r="F12" s="60"/>
      <c r="G12" s="43"/>
      <c r="H12" s="43"/>
      <c r="I12" s="43"/>
      <c r="J12" s="43"/>
      <c r="K12" s="43"/>
    </row>
    <row r="13" spans="1:13" x14ac:dyDescent="0.25">
      <c r="A13" s="43"/>
      <c r="B13" s="43"/>
      <c r="C13" s="109" t="s">
        <v>194</v>
      </c>
      <c r="D13" s="110"/>
      <c r="E13" s="110"/>
      <c r="F13" s="110"/>
      <c r="G13" s="110"/>
      <c r="H13" s="110"/>
      <c r="I13" s="111"/>
      <c r="J13" s="43"/>
      <c r="K13" s="43"/>
    </row>
    <row r="14" spans="1:13" x14ac:dyDescent="0.25">
      <c r="A14" s="43"/>
      <c r="B14" s="43"/>
      <c r="C14" s="37" t="s">
        <v>3</v>
      </c>
      <c r="D14" s="37" t="s">
        <v>134</v>
      </c>
      <c r="E14" s="63" t="s">
        <v>96</v>
      </c>
      <c r="F14" s="68" t="s">
        <v>95</v>
      </c>
      <c r="G14" s="37" t="s">
        <v>5</v>
      </c>
      <c r="H14" s="37" t="s">
        <v>135</v>
      </c>
      <c r="I14" s="37" t="s">
        <v>136</v>
      </c>
      <c r="J14" s="43"/>
      <c r="K14" s="43"/>
    </row>
    <row r="15" spans="1:13" x14ac:dyDescent="0.25">
      <c r="A15" s="43"/>
      <c r="B15" s="43"/>
      <c r="C15" s="16" t="str" cm="1">
        <f t="array" ref="C15">IFERROR(_xlfn._xlws.FILTER(cl_unmerged!C16:C5000,cl_unmerged!$D$16:$D$5000&lt;&gt;""),"")</f>
        <v/>
      </c>
      <c r="D15" s="16" t="str" cm="1">
        <f t="array" ref="D15">IFERROR(_xlfn._xlws.FILTER(cl_unmerged!D16:D5000,cl_unmerged!$D$16:$D$5000&lt;&gt;""),"")</f>
        <v/>
      </c>
      <c r="E15" s="64" t="str" cm="1">
        <f t="array" ref="E15">IFERROR(_xlfn._xlws.FILTER(cl_unmerged!E16:E5000,cl_unmerged!$D$16:$D$5000&lt;&gt;""),"")</f>
        <v/>
      </c>
      <c r="F15" s="64" t="str" cm="1">
        <f t="array" ref="F15">IFERROR(IF(_xlfn._xlws.FILTER(cl_unmerged!F16:F5000,cl_unmerged!$D$16:$D$5000&lt;&gt;"")=0,"",_xlfn._xlws.FILTER(cl_unmerged!F16:F5000,cl_unmerged!$D$16:$D$5000&lt;&gt;"")),"")</f>
        <v/>
      </c>
      <c r="G15" s="16" t="str" cm="1">
        <f t="array" ref="G15">IFERROR(IF(_xlfn._xlws.FILTER(cl_unmerged!G16:G5000,cl_unmerged!$D$16:$D$5000&lt;&gt;"")=0,"", _xlfn._xlws.FILTER(cl_unmerged!G16:G5000,cl_unmerged!$D$16:$D$5000&lt;&gt;"")),"")</f>
        <v/>
      </c>
      <c r="H15" s="16" t="str" cm="1">
        <f t="array" ref="H15">IFERROR(IF(_xlfn._xlws.FILTER(cl_unmerged!H16:H25000,cl_unmerged!$D$16:$D$5000&lt;&gt;"")=0,"", _xlfn._xlws.FILTER(cl_unmerged!H16:H5000,cl_unmerged!$D$16:$D$5000&lt;&gt;"")),"")</f>
        <v/>
      </c>
      <c r="I15" s="16" t="str" cm="1">
        <f t="array" ref="I15">IFERROR(IF(_xlfn._xlws.FILTER(cl_unmerged!I16:I5000,cl_unmerged!$D$16:$D$5000&lt;&gt;"")=0,"", _xlfn._xlws.FILTER(cl_unmerged!I16:I5000,cl_unmerged!$D$16:$D$5000&lt;&gt;"")),"")</f>
        <v/>
      </c>
      <c r="J15" s="43"/>
      <c r="K15" s="43"/>
    </row>
    <row r="16" spans="1:13" x14ac:dyDescent="0.25">
      <c r="A16" s="43"/>
      <c r="B16" s="43"/>
      <c r="C16" s="35"/>
      <c r="D16" s="35"/>
      <c r="E16" s="65"/>
      <c r="F16" s="69"/>
      <c r="G16" s="35"/>
      <c r="H16" s="35"/>
      <c r="I16" s="35"/>
      <c r="J16" s="43"/>
      <c r="K16" s="43"/>
    </row>
    <row r="17" spans="1:11" x14ac:dyDescent="0.25">
      <c r="A17" s="43"/>
      <c r="B17" s="43"/>
      <c r="C17" s="16"/>
      <c r="D17" s="16"/>
      <c r="E17" s="64"/>
      <c r="F17" s="64"/>
      <c r="G17" s="16"/>
      <c r="H17" s="16"/>
      <c r="I17" s="16"/>
      <c r="J17" s="43"/>
      <c r="K17" s="43"/>
    </row>
    <row r="18" spans="1:11" x14ac:dyDescent="0.25">
      <c r="A18" s="43"/>
      <c r="B18" s="43"/>
      <c r="C18" s="35"/>
      <c r="D18" s="35"/>
      <c r="E18" s="65"/>
      <c r="F18" s="69"/>
      <c r="G18" s="35"/>
      <c r="H18" s="35"/>
      <c r="I18" s="35"/>
      <c r="J18" s="43"/>
      <c r="K18" s="43"/>
    </row>
    <row r="19" spans="1:11" x14ac:dyDescent="0.25">
      <c r="A19" s="43"/>
      <c r="B19" s="43"/>
      <c r="C19" s="16"/>
      <c r="D19" s="16"/>
      <c r="E19" s="64"/>
      <c r="F19" s="64"/>
      <c r="G19" s="16"/>
      <c r="H19" s="16"/>
      <c r="I19" s="16"/>
      <c r="J19" s="43"/>
      <c r="K19" s="43"/>
    </row>
    <row r="20" spans="1:11" x14ac:dyDescent="0.25">
      <c r="A20" s="43"/>
      <c r="B20" s="43"/>
      <c r="C20" s="35"/>
      <c r="D20" s="35"/>
      <c r="E20" s="65"/>
      <c r="F20" s="69"/>
      <c r="G20" s="35"/>
      <c r="H20" s="35"/>
      <c r="I20" s="35"/>
      <c r="J20" s="43"/>
      <c r="K20" s="43"/>
    </row>
    <row r="21" spans="1:11" x14ac:dyDescent="0.25">
      <c r="A21" s="43"/>
      <c r="B21" s="43"/>
      <c r="C21" s="16"/>
      <c r="D21" s="16"/>
      <c r="E21" s="64"/>
      <c r="F21" s="64"/>
      <c r="G21" s="16"/>
      <c r="H21" s="16"/>
      <c r="I21" s="16"/>
      <c r="J21" s="43"/>
      <c r="K21" s="43"/>
    </row>
    <row r="22" spans="1:11" x14ac:dyDescent="0.25">
      <c r="A22" s="43"/>
      <c r="B22" s="43"/>
      <c r="C22" s="35"/>
      <c r="D22" s="35"/>
      <c r="E22" s="65"/>
      <c r="F22" s="69"/>
      <c r="G22" s="35"/>
      <c r="H22" s="35"/>
      <c r="I22" s="35"/>
      <c r="J22" s="43"/>
      <c r="K22" s="43"/>
    </row>
    <row r="23" spans="1:11" x14ac:dyDescent="0.25">
      <c r="A23" s="43"/>
      <c r="B23" s="43"/>
      <c r="C23" s="16"/>
      <c r="D23" s="16"/>
      <c r="E23" s="64"/>
      <c r="F23" s="64"/>
      <c r="G23" s="16"/>
      <c r="H23" s="16"/>
      <c r="I23" s="16"/>
      <c r="J23" s="43"/>
      <c r="K23" s="43"/>
    </row>
    <row r="24" spans="1:11" x14ac:dyDescent="0.25">
      <c r="A24" s="43"/>
      <c r="B24" s="43"/>
      <c r="C24" s="35"/>
      <c r="D24" s="35"/>
      <c r="E24" s="65"/>
      <c r="F24" s="69"/>
      <c r="G24" s="35"/>
      <c r="H24" s="35"/>
      <c r="I24" s="35"/>
      <c r="J24" s="43"/>
      <c r="K24" s="43"/>
    </row>
    <row r="25" spans="1:11" x14ac:dyDescent="0.25">
      <c r="A25" s="43"/>
      <c r="B25" s="43"/>
      <c r="C25" s="16"/>
      <c r="D25" s="16"/>
      <c r="E25" s="64"/>
      <c r="F25" s="64"/>
      <c r="G25" s="16"/>
      <c r="H25" s="16"/>
      <c r="I25" s="16"/>
      <c r="J25" s="43"/>
      <c r="K25" s="43"/>
    </row>
    <row r="26" spans="1:11" x14ac:dyDescent="0.25">
      <c r="A26" s="43"/>
      <c r="B26" s="43"/>
      <c r="C26" s="35"/>
      <c r="D26" s="35"/>
      <c r="E26" s="65"/>
      <c r="F26" s="69"/>
      <c r="G26" s="35"/>
      <c r="H26" s="35"/>
      <c r="I26" s="35"/>
      <c r="J26" s="43"/>
      <c r="K26" s="43"/>
    </row>
    <row r="27" spans="1:11" x14ac:dyDescent="0.25">
      <c r="A27" s="43"/>
      <c r="B27" s="43"/>
      <c r="C27" s="16"/>
      <c r="D27" s="16"/>
      <c r="E27" s="64"/>
      <c r="F27" s="64"/>
      <c r="G27" s="16"/>
      <c r="H27" s="16"/>
      <c r="I27" s="16"/>
      <c r="J27" s="43"/>
      <c r="K27" s="43"/>
    </row>
    <row r="28" spans="1:11" x14ac:dyDescent="0.25">
      <c r="A28" s="43"/>
      <c r="B28" s="43"/>
      <c r="C28" s="35"/>
      <c r="D28" s="35"/>
      <c r="E28" s="65"/>
      <c r="F28" s="69"/>
      <c r="G28" s="35"/>
      <c r="H28" s="35"/>
      <c r="I28" s="35"/>
      <c r="J28" s="43"/>
      <c r="K28" s="43"/>
    </row>
    <row r="29" spans="1:11" x14ac:dyDescent="0.25">
      <c r="A29" s="43"/>
      <c r="B29" s="43"/>
      <c r="C29" s="16"/>
      <c r="D29" s="16"/>
      <c r="E29" s="64"/>
      <c r="F29" s="64"/>
      <c r="G29" s="16"/>
      <c r="H29" s="16"/>
      <c r="I29" s="16"/>
      <c r="J29" s="43"/>
      <c r="K29" s="43"/>
    </row>
    <row r="30" spans="1:11" x14ac:dyDescent="0.25">
      <c r="A30" s="43"/>
      <c r="B30" s="43"/>
      <c r="C30" s="35"/>
      <c r="D30" s="35"/>
      <c r="E30" s="65"/>
      <c r="F30" s="69"/>
      <c r="G30" s="35"/>
      <c r="H30" s="35"/>
      <c r="I30" s="35"/>
      <c r="J30" s="43"/>
      <c r="K30" s="43"/>
    </row>
    <row r="31" spans="1:11" x14ac:dyDescent="0.25">
      <c r="A31" s="43"/>
      <c r="B31" s="43"/>
      <c r="C31" s="16"/>
      <c r="D31" s="16"/>
      <c r="E31" s="64"/>
      <c r="F31" s="64"/>
      <c r="G31" s="16"/>
      <c r="H31" s="16"/>
      <c r="I31" s="16"/>
      <c r="J31" s="43"/>
      <c r="K31" s="43"/>
    </row>
    <row r="32" spans="1:11" x14ac:dyDescent="0.25">
      <c r="A32" s="43"/>
      <c r="B32" s="43"/>
      <c r="C32" s="35"/>
      <c r="D32" s="35"/>
      <c r="E32" s="65"/>
      <c r="F32" s="69"/>
      <c r="G32" s="35"/>
      <c r="H32" s="35"/>
      <c r="I32" s="35"/>
      <c r="J32" s="43"/>
      <c r="K32" s="43"/>
    </row>
    <row r="33" spans="1:11" x14ac:dyDescent="0.25">
      <c r="A33" s="43"/>
      <c r="B33" s="43"/>
      <c r="C33" s="16"/>
      <c r="D33" s="16"/>
      <c r="E33" s="64"/>
      <c r="F33" s="64"/>
      <c r="G33" s="16"/>
      <c r="H33" s="16"/>
      <c r="I33" s="16"/>
      <c r="J33" s="43"/>
      <c r="K33" s="43"/>
    </row>
    <row r="34" spans="1:11" ht="13.5" customHeight="1" x14ac:dyDescent="0.25">
      <c r="A34" s="43"/>
      <c r="B34" s="43"/>
      <c r="C34" s="35"/>
      <c r="D34" s="35"/>
      <c r="E34" s="65"/>
      <c r="F34" s="69"/>
      <c r="G34" s="35"/>
      <c r="H34" s="35"/>
      <c r="I34" s="35"/>
      <c r="J34" s="43"/>
      <c r="K34" s="43"/>
    </row>
    <row r="35" spans="1:11" ht="13.5" customHeight="1" x14ac:dyDescent="0.25">
      <c r="A35" s="43"/>
      <c r="B35" s="43"/>
      <c r="C35" s="16"/>
      <c r="D35" s="16"/>
      <c r="E35" s="64"/>
      <c r="F35" s="64"/>
      <c r="G35" s="16"/>
      <c r="H35" s="16"/>
      <c r="I35" s="16"/>
      <c r="J35" s="43"/>
      <c r="K35" s="43"/>
    </row>
    <row r="36" spans="1:11" ht="13.5" customHeight="1" x14ac:dyDescent="0.25">
      <c r="A36" s="43"/>
      <c r="B36" s="43"/>
      <c r="C36" s="35"/>
      <c r="D36" s="35"/>
      <c r="E36" s="65"/>
      <c r="F36" s="69"/>
      <c r="G36" s="35"/>
      <c r="H36" s="35"/>
      <c r="I36" s="35"/>
      <c r="J36" s="43"/>
      <c r="K36" s="43"/>
    </row>
    <row r="37" spans="1:11" ht="13.5" customHeight="1" x14ac:dyDescent="0.25">
      <c r="A37" s="43"/>
      <c r="B37" s="43"/>
      <c r="C37" s="16"/>
      <c r="D37" s="16"/>
      <c r="E37" s="64"/>
      <c r="F37" s="64"/>
      <c r="G37" s="16"/>
      <c r="H37" s="16"/>
      <c r="I37" s="16"/>
      <c r="J37" s="43"/>
      <c r="K37" s="43"/>
    </row>
    <row r="38" spans="1:11" ht="13.5" customHeight="1" x14ac:dyDescent="0.25">
      <c r="A38" s="43"/>
      <c r="B38" s="43"/>
      <c r="C38" s="35"/>
      <c r="D38" s="35"/>
      <c r="E38" s="65"/>
      <c r="F38" s="69"/>
      <c r="G38" s="35"/>
      <c r="H38" s="35"/>
      <c r="I38" s="35"/>
      <c r="J38" s="43"/>
      <c r="K38" s="43"/>
    </row>
    <row r="39" spans="1:11" ht="13.5" customHeight="1" x14ac:dyDescent="0.25">
      <c r="A39" s="43"/>
      <c r="B39" s="43"/>
      <c r="C39" s="16"/>
      <c r="D39" s="16"/>
      <c r="E39" s="64"/>
      <c r="F39" s="64"/>
      <c r="G39" s="16"/>
      <c r="H39" s="16"/>
      <c r="I39" s="16"/>
      <c r="J39" s="43"/>
      <c r="K39" s="43"/>
    </row>
    <row r="40" spans="1:11" ht="13.5" customHeight="1" x14ac:dyDescent="0.25">
      <c r="A40" s="43"/>
      <c r="B40" s="43"/>
      <c r="C40" s="35"/>
      <c r="D40" s="35"/>
      <c r="E40" s="65"/>
      <c r="F40" s="69"/>
      <c r="G40" s="35"/>
      <c r="H40" s="35"/>
      <c r="I40" s="35"/>
      <c r="J40" s="43"/>
      <c r="K40" s="43"/>
    </row>
    <row r="41" spans="1:11" ht="13.5" customHeight="1" x14ac:dyDescent="0.25">
      <c r="A41" s="43"/>
      <c r="B41" s="43"/>
      <c r="C41" s="16"/>
      <c r="D41" s="16"/>
      <c r="E41" s="64"/>
      <c r="F41" s="64"/>
      <c r="G41" s="16"/>
      <c r="H41" s="16"/>
      <c r="I41" s="16"/>
      <c r="J41" s="43"/>
      <c r="K41" s="43"/>
    </row>
    <row r="42" spans="1:11" ht="13.5" customHeight="1" x14ac:dyDescent="0.25">
      <c r="A42" s="43"/>
      <c r="B42" s="43"/>
      <c r="C42" s="35"/>
      <c r="D42" s="35"/>
      <c r="E42" s="65"/>
      <c r="F42" s="69"/>
      <c r="G42" s="35"/>
      <c r="H42" s="35"/>
      <c r="I42" s="35"/>
      <c r="J42" s="43"/>
      <c r="K42" s="43"/>
    </row>
    <row r="43" spans="1:11" ht="13.5" customHeight="1" x14ac:dyDescent="0.25">
      <c r="A43" s="43"/>
      <c r="B43" s="43"/>
      <c r="C43" s="16"/>
      <c r="D43" s="16"/>
      <c r="E43" s="64"/>
      <c r="F43" s="64"/>
      <c r="G43" s="16"/>
      <c r="H43" s="16"/>
      <c r="I43" s="16"/>
      <c r="J43" s="43"/>
      <c r="K43" s="43"/>
    </row>
    <row r="44" spans="1:11" ht="13.5" customHeight="1" x14ac:dyDescent="0.25">
      <c r="A44" s="43"/>
      <c r="B44" s="43"/>
      <c r="C44" s="35"/>
      <c r="D44" s="35"/>
      <c r="E44" s="65"/>
      <c r="F44" s="69"/>
      <c r="G44" s="35"/>
      <c r="H44" s="35"/>
      <c r="I44" s="35"/>
      <c r="J44" s="43"/>
      <c r="K44" s="43"/>
    </row>
    <row r="45" spans="1:11" ht="13.5" customHeight="1" x14ac:dyDescent="0.25">
      <c r="A45" s="43"/>
      <c r="B45" s="43"/>
      <c r="C45" s="16"/>
      <c r="D45" s="16"/>
      <c r="E45" s="64"/>
      <c r="F45" s="64"/>
      <c r="G45" s="16"/>
      <c r="H45" s="16"/>
      <c r="I45" s="16"/>
      <c r="J45" s="43"/>
      <c r="K45" s="43"/>
    </row>
    <row r="46" spans="1:11" ht="13.5" customHeight="1" x14ac:dyDescent="0.25">
      <c r="A46" s="43"/>
      <c r="B46" s="43"/>
      <c r="C46" s="35"/>
      <c r="D46" s="35"/>
      <c r="E46" s="65"/>
      <c r="F46" s="69"/>
      <c r="G46" s="35"/>
      <c r="H46" s="35"/>
      <c r="I46" s="35"/>
      <c r="J46" s="43"/>
      <c r="K46" s="43"/>
    </row>
    <row r="47" spans="1:11" ht="13.5" customHeight="1" x14ac:dyDescent="0.25">
      <c r="A47" s="43"/>
      <c r="B47" s="43"/>
      <c r="C47" s="16"/>
      <c r="D47" s="16"/>
      <c r="E47" s="64"/>
      <c r="F47" s="64"/>
      <c r="G47" s="16"/>
      <c r="H47" s="16"/>
      <c r="I47" s="16"/>
      <c r="J47" s="43"/>
      <c r="K47" s="43"/>
    </row>
    <row r="48" spans="1:11" ht="13.5" customHeight="1" x14ac:dyDescent="0.25">
      <c r="A48" s="43"/>
      <c r="B48" s="43"/>
      <c r="C48" s="35"/>
      <c r="D48" s="35"/>
      <c r="E48" s="65"/>
      <c r="F48" s="69"/>
      <c r="G48" s="35"/>
      <c r="H48" s="35"/>
      <c r="I48" s="35"/>
      <c r="J48" s="43"/>
      <c r="K48" s="43"/>
    </row>
    <row r="49" spans="1:11" ht="13.5" customHeight="1" x14ac:dyDescent="0.25">
      <c r="A49" s="43"/>
      <c r="B49" s="43"/>
      <c r="C49" s="16"/>
      <c r="D49" s="16"/>
      <c r="E49" s="64"/>
      <c r="F49" s="64"/>
      <c r="G49" s="16"/>
      <c r="H49" s="16"/>
      <c r="I49" s="16"/>
      <c r="J49" s="43"/>
      <c r="K49" s="43"/>
    </row>
    <row r="50" spans="1:11" ht="13.5" customHeight="1" x14ac:dyDescent="0.25">
      <c r="A50" s="43"/>
      <c r="B50" s="43"/>
      <c r="C50" s="35"/>
      <c r="D50" s="35"/>
      <c r="E50" s="65"/>
      <c r="F50" s="69"/>
      <c r="G50" s="35"/>
      <c r="H50" s="35"/>
      <c r="I50" s="35"/>
      <c r="J50" s="43"/>
      <c r="K50" s="43"/>
    </row>
    <row r="51" spans="1:11" ht="13.5" customHeight="1" x14ac:dyDescent="0.25">
      <c r="A51" s="43"/>
      <c r="B51" s="43"/>
      <c r="C51" s="16"/>
      <c r="D51" s="16"/>
      <c r="E51" s="64"/>
      <c r="F51" s="64"/>
      <c r="G51" s="16"/>
      <c r="H51" s="16"/>
      <c r="I51" s="16"/>
      <c r="J51" s="43"/>
      <c r="K51" s="43"/>
    </row>
    <row r="52" spans="1:11" ht="13.5" customHeight="1" x14ac:dyDescent="0.25">
      <c r="A52" s="43"/>
      <c r="B52" s="43"/>
      <c r="C52" s="35"/>
      <c r="D52" s="35"/>
      <c r="E52" s="65"/>
      <c r="F52" s="69"/>
      <c r="G52" s="35"/>
      <c r="H52" s="35"/>
      <c r="I52" s="35"/>
      <c r="J52" s="43"/>
      <c r="K52" s="43"/>
    </row>
    <row r="53" spans="1:11" ht="13.5" customHeight="1" x14ac:dyDescent="0.25">
      <c r="A53" s="43"/>
      <c r="B53" s="43"/>
      <c r="C53" s="16"/>
      <c r="D53" s="16"/>
      <c r="E53" s="64"/>
      <c r="F53" s="64"/>
      <c r="G53" s="16"/>
      <c r="H53" s="16"/>
      <c r="I53" s="16"/>
      <c r="J53" s="43"/>
      <c r="K53" s="43"/>
    </row>
    <row r="54" spans="1:11" ht="13.5" customHeight="1" x14ac:dyDescent="0.25">
      <c r="A54" s="43"/>
      <c r="B54" s="43"/>
      <c r="C54" s="35"/>
      <c r="D54" s="35"/>
      <c r="E54" s="65"/>
      <c r="F54" s="69"/>
      <c r="G54" s="35"/>
      <c r="H54" s="35"/>
      <c r="I54" s="35"/>
      <c r="J54" s="43"/>
      <c r="K54" s="43"/>
    </row>
    <row r="55" spans="1:11" ht="13.5" customHeight="1" collapsed="1" x14ac:dyDescent="0.25">
      <c r="A55" s="43"/>
      <c r="B55" s="43"/>
      <c r="C55" s="16"/>
      <c r="D55" s="16"/>
      <c r="E55" s="64"/>
      <c r="F55" s="64"/>
      <c r="G55" s="16"/>
      <c r="H55" s="16"/>
      <c r="I55" s="16"/>
      <c r="J55" s="43"/>
      <c r="K55" s="43"/>
    </row>
    <row r="56" spans="1:11" ht="13.5" customHeight="1" x14ac:dyDescent="0.25">
      <c r="A56" s="43"/>
      <c r="B56" s="43"/>
      <c r="C56" s="35"/>
      <c r="D56" s="35"/>
      <c r="E56" s="65"/>
      <c r="F56" s="69"/>
      <c r="G56" s="35"/>
      <c r="H56" s="35"/>
      <c r="I56" s="35"/>
      <c r="J56" s="43"/>
      <c r="K56" s="43"/>
    </row>
    <row r="57" spans="1:11" ht="13.5" customHeight="1" x14ac:dyDescent="0.25">
      <c r="A57" s="43"/>
      <c r="B57" s="43"/>
      <c r="C57" s="16"/>
      <c r="D57" s="16"/>
      <c r="E57" s="64"/>
      <c r="F57" s="64"/>
      <c r="G57" s="16"/>
      <c r="H57" s="16"/>
      <c r="I57" s="16"/>
      <c r="J57" s="43"/>
      <c r="K57" s="43"/>
    </row>
    <row r="58" spans="1:11" ht="13.5" customHeight="1" x14ac:dyDescent="0.25">
      <c r="A58" s="43"/>
      <c r="B58" s="43"/>
      <c r="C58" s="35"/>
      <c r="D58" s="35"/>
      <c r="E58" s="65"/>
      <c r="F58" s="69"/>
      <c r="G58" s="35"/>
      <c r="H58" s="35"/>
      <c r="I58" s="35"/>
      <c r="J58" s="43"/>
      <c r="K58" s="43"/>
    </row>
    <row r="59" spans="1:11" ht="13.5" customHeight="1" x14ac:dyDescent="0.25">
      <c r="A59" s="43"/>
      <c r="B59" s="43"/>
      <c r="C59" s="16"/>
      <c r="D59" s="16"/>
      <c r="E59" s="64"/>
      <c r="F59" s="64"/>
      <c r="G59" s="16"/>
      <c r="H59" s="16"/>
      <c r="I59" s="16"/>
      <c r="J59" s="43"/>
      <c r="K59" s="43"/>
    </row>
    <row r="60" spans="1:11" ht="13.5" customHeight="1" x14ac:dyDescent="0.25">
      <c r="A60" s="43"/>
      <c r="B60" s="43"/>
      <c r="C60" s="35"/>
      <c r="D60" s="35"/>
      <c r="E60" s="65"/>
      <c r="F60" s="69"/>
      <c r="G60" s="35"/>
      <c r="H60" s="35"/>
      <c r="I60" s="35"/>
      <c r="J60" s="43"/>
      <c r="K60" s="43"/>
    </row>
    <row r="61" spans="1:11" ht="13.5" customHeight="1" x14ac:dyDescent="0.25">
      <c r="A61" s="43"/>
      <c r="B61" s="43"/>
      <c r="C61" s="16"/>
      <c r="D61" s="16"/>
      <c r="E61" s="64"/>
      <c r="F61" s="64"/>
      <c r="G61" s="16"/>
      <c r="H61" s="16"/>
      <c r="I61" s="16"/>
      <c r="J61" s="43"/>
      <c r="K61" s="43"/>
    </row>
    <row r="62" spans="1:11" ht="13.5" customHeight="1" x14ac:dyDescent="0.25">
      <c r="A62" s="43"/>
      <c r="B62" s="43"/>
      <c r="C62" s="35"/>
      <c r="D62" s="35"/>
      <c r="E62" s="65"/>
      <c r="F62" s="69"/>
      <c r="G62" s="35"/>
      <c r="H62" s="35"/>
      <c r="I62" s="35"/>
      <c r="J62" s="43"/>
      <c r="K62" s="43"/>
    </row>
    <row r="63" spans="1:11" ht="13.5" customHeight="1" x14ac:dyDescent="0.25">
      <c r="A63" s="43"/>
      <c r="B63" s="43"/>
      <c r="C63" s="16"/>
      <c r="D63" s="16"/>
      <c r="E63" s="64"/>
      <c r="F63" s="64"/>
      <c r="G63" s="16"/>
      <c r="H63" s="16"/>
      <c r="I63" s="16"/>
      <c r="J63" s="43"/>
      <c r="K63" s="43"/>
    </row>
    <row r="64" spans="1:11" ht="13.5" customHeight="1" x14ac:dyDescent="0.25">
      <c r="A64" s="43"/>
      <c r="B64" s="43"/>
      <c r="C64" s="35"/>
      <c r="D64" s="35"/>
      <c r="E64" s="65"/>
      <c r="F64" s="69"/>
      <c r="G64" s="35"/>
      <c r="H64" s="35"/>
      <c r="I64" s="35"/>
      <c r="J64" s="43"/>
      <c r="K64" s="43"/>
    </row>
    <row r="65" spans="1:11" ht="13.5" customHeight="1" x14ac:dyDescent="0.25">
      <c r="A65" s="43"/>
      <c r="B65" s="43"/>
      <c r="C65" s="16"/>
      <c r="D65" s="16"/>
      <c r="E65" s="64"/>
      <c r="F65" s="64"/>
      <c r="G65" s="16"/>
      <c r="H65" s="16"/>
      <c r="I65" s="16"/>
      <c r="J65" s="43"/>
      <c r="K65" s="43"/>
    </row>
    <row r="66" spans="1:11" x14ac:dyDescent="0.25">
      <c r="A66" s="43"/>
      <c r="B66" s="43"/>
      <c r="C66" s="35"/>
      <c r="D66" s="35"/>
      <c r="E66" s="65"/>
      <c r="F66" s="69"/>
      <c r="G66" s="35"/>
      <c r="H66" s="35"/>
      <c r="I66" s="35"/>
      <c r="J66" s="43"/>
      <c r="K66" s="43"/>
    </row>
    <row r="67" spans="1:11" x14ac:dyDescent="0.25">
      <c r="A67" s="43"/>
      <c r="B67" s="43"/>
      <c r="C67" s="16"/>
      <c r="D67" s="16"/>
      <c r="E67" s="64"/>
      <c r="F67" s="64"/>
      <c r="G67" s="16"/>
      <c r="H67" s="16"/>
      <c r="I67" s="16"/>
      <c r="J67" s="43"/>
      <c r="K67" s="43"/>
    </row>
    <row r="68" spans="1:11" x14ac:dyDescent="0.25">
      <c r="A68" s="43"/>
      <c r="B68" s="43"/>
      <c r="C68" s="35"/>
      <c r="D68" s="35"/>
      <c r="E68" s="65"/>
      <c r="F68" s="69"/>
      <c r="G68" s="35"/>
      <c r="H68" s="35"/>
      <c r="I68" s="35"/>
      <c r="J68" s="43"/>
      <c r="K68" s="43"/>
    </row>
    <row r="69" spans="1:11" x14ac:dyDescent="0.25">
      <c r="A69" s="43"/>
      <c r="B69" s="43"/>
      <c r="C69" s="16"/>
      <c r="D69" s="16"/>
      <c r="E69" s="64"/>
      <c r="F69" s="64"/>
      <c r="G69" s="16"/>
      <c r="H69" s="16"/>
      <c r="I69" s="16"/>
      <c r="J69" s="43"/>
      <c r="K69" s="43"/>
    </row>
    <row r="70" spans="1:11" x14ac:dyDescent="0.25">
      <c r="A70" s="43"/>
      <c r="B70" s="43"/>
      <c r="C70" s="35"/>
      <c r="D70" s="35"/>
      <c r="E70" s="65"/>
      <c r="F70" s="69"/>
      <c r="G70" s="35"/>
      <c r="H70" s="35"/>
      <c r="I70" s="35"/>
      <c r="J70" s="43"/>
      <c r="K70" s="43"/>
    </row>
    <row r="71" spans="1:11" x14ac:dyDescent="0.25">
      <c r="A71" s="43"/>
      <c r="B71" s="43"/>
      <c r="C71" s="16"/>
      <c r="D71" s="16"/>
      <c r="E71" s="64"/>
      <c r="F71" s="64"/>
      <c r="G71" s="16"/>
      <c r="H71" s="16"/>
      <c r="I71" s="16"/>
      <c r="J71" s="43"/>
      <c r="K71" s="43"/>
    </row>
    <row r="72" spans="1:11" x14ac:dyDescent="0.25">
      <c r="A72" s="43"/>
      <c r="B72" s="43"/>
      <c r="C72" s="35"/>
      <c r="D72" s="35"/>
      <c r="E72" s="65"/>
      <c r="F72" s="69"/>
      <c r="G72" s="35"/>
      <c r="H72" s="35"/>
      <c r="I72" s="35"/>
      <c r="J72" s="43"/>
      <c r="K72" s="43"/>
    </row>
    <row r="73" spans="1:11" x14ac:dyDescent="0.25">
      <c r="A73" s="43"/>
      <c r="B73" s="43"/>
      <c r="C73" s="16"/>
      <c r="D73" s="16"/>
      <c r="E73" s="64"/>
      <c r="F73" s="64"/>
      <c r="G73" s="16"/>
      <c r="H73" s="16"/>
      <c r="I73" s="16"/>
      <c r="J73" s="43"/>
      <c r="K73" s="43"/>
    </row>
    <row r="74" spans="1:11" x14ac:dyDescent="0.25">
      <c r="A74" s="43"/>
      <c r="B74" s="43"/>
      <c r="C74" s="35"/>
      <c r="D74" s="35"/>
      <c r="E74" s="65"/>
      <c r="F74" s="69"/>
      <c r="G74" s="35"/>
      <c r="H74" s="35"/>
      <c r="I74" s="35"/>
      <c r="J74" s="43"/>
      <c r="K74" s="43"/>
    </row>
    <row r="75" spans="1:11" x14ac:dyDescent="0.25">
      <c r="A75" s="43"/>
      <c r="B75" s="43"/>
      <c r="C75" s="16"/>
      <c r="D75" s="16"/>
      <c r="E75" s="64"/>
      <c r="F75" s="64"/>
      <c r="G75" s="16"/>
      <c r="H75" s="16"/>
      <c r="I75" s="16"/>
      <c r="J75" s="43"/>
      <c r="K75" s="43"/>
    </row>
    <row r="76" spans="1:11" x14ac:dyDescent="0.25">
      <c r="A76" s="43"/>
      <c r="B76" s="43"/>
      <c r="C76" s="35"/>
      <c r="D76" s="35"/>
      <c r="E76" s="65"/>
      <c r="F76" s="69"/>
      <c r="G76" s="35"/>
      <c r="H76" s="35"/>
      <c r="I76" s="35"/>
      <c r="J76" s="43"/>
      <c r="K76" s="43"/>
    </row>
    <row r="77" spans="1:11" x14ac:dyDescent="0.25">
      <c r="A77" s="43"/>
      <c r="B77" s="43"/>
      <c r="C77" s="16"/>
      <c r="D77" s="16"/>
      <c r="E77" s="64"/>
      <c r="F77" s="64"/>
      <c r="G77" s="16"/>
      <c r="H77" s="16"/>
      <c r="I77" s="16"/>
      <c r="J77" s="43"/>
      <c r="K77" s="43"/>
    </row>
    <row r="78" spans="1:11" x14ac:dyDescent="0.25">
      <c r="A78" s="43"/>
      <c r="B78" s="43"/>
      <c r="C78" s="35"/>
      <c r="D78" s="35"/>
      <c r="E78" s="65"/>
      <c r="F78" s="69"/>
      <c r="G78" s="35"/>
      <c r="H78" s="35"/>
      <c r="I78" s="35"/>
      <c r="J78" s="43"/>
      <c r="K78" s="43"/>
    </row>
    <row r="79" spans="1:11" x14ac:dyDescent="0.25">
      <c r="A79" s="43"/>
      <c r="B79" s="43"/>
      <c r="C79" s="16"/>
      <c r="D79" s="16"/>
      <c r="E79" s="64"/>
      <c r="F79" s="64"/>
      <c r="G79" s="16"/>
      <c r="H79" s="16"/>
      <c r="I79" s="16"/>
      <c r="J79" s="43"/>
      <c r="K79" s="43"/>
    </row>
    <row r="80" spans="1:11" x14ac:dyDescent="0.25">
      <c r="A80" s="43"/>
      <c r="B80" s="43"/>
      <c r="C80" s="35"/>
      <c r="D80" s="35"/>
      <c r="E80" s="65"/>
      <c r="F80" s="69"/>
      <c r="G80" s="35"/>
      <c r="H80" s="35"/>
      <c r="I80" s="35"/>
      <c r="J80" s="43"/>
      <c r="K80" s="43"/>
    </row>
    <row r="81" spans="1:11" x14ac:dyDescent="0.25">
      <c r="A81" s="43"/>
      <c r="B81" s="43"/>
      <c r="C81" s="16"/>
      <c r="D81" s="16"/>
      <c r="E81" s="64"/>
      <c r="F81" s="64"/>
      <c r="G81" s="16"/>
      <c r="H81" s="16"/>
      <c r="I81" s="16"/>
      <c r="J81" s="43"/>
      <c r="K81" s="43"/>
    </row>
    <row r="82" spans="1:11" x14ac:dyDescent="0.25">
      <c r="A82" s="43"/>
      <c r="B82" s="43"/>
      <c r="C82" s="35"/>
      <c r="D82" s="35"/>
      <c r="E82" s="65"/>
      <c r="F82" s="69"/>
      <c r="G82" s="35"/>
      <c r="H82" s="35"/>
      <c r="I82" s="35"/>
      <c r="J82" s="43"/>
      <c r="K82" s="43"/>
    </row>
    <row r="83" spans="1:11" x14ac:dyDescent="0.25">
      <c r="A83" s="43"/>
      <c r="B83" s="43"/>
      <c r="C83" s="16"/>
      <c r="D83" s="16"/>
      <c r="E83" s="64"/>
      <c r="F83" s="64"/>
      <c r="G83" s="16"/>
      <c r="H83" s="16"/>
      <c r="I83" s="16"/>
      <c r="J83" s="43"/>
      <c r="K83" s="43"/>
    </row>
    <row r="84" spans="1:11" x14ac:dyDescent="0.25">
      <c r="A84" s="43"/>
      <c r="B84" s="43"/>
      <c r="C84" s="35"/>
      <c r="D84" s="35"/>
      <c r="E84" s="65"/>
      <c r="F84" s="69"/>
      <c r="G84" s="35"/>
      <c r="H84" s="35"/>
      <c r="I84" s="35"/>
      <c r="J84" s="43"/>
      <c r="K84" s="43"/>
    </row>
    <row r="85" spans="1:11" ht="13.5" customHeight="1" x14ac:dyDescent="0.25">
      <c r="A85" s="43"/>
      <c r="B85" s="43"/>
      <c r="C85" s="16"/>
      <c r="D85" s="16"/>
      <c r="E85" s="64"/>
      <c r="F85" s="64"/>
      <c r="G85" s="16"/>
      <c r="H85" s="16"/>
      <c r="I85" s="16"/>
      <c r="J85" s="43"/>
      <c r="K85" s="43"/>
    </row>
    <row r="86" spans="1:11" ht="13.5" customHeight="1" x14ac:dyDescent="0.25">
      <c r="A86" s="43"/>
      <c r="B86" s="43"/>
      <c r="C86" s="35"/>
      <c r="D86" s="35"/>
      <c r="E86" s="65"/>
      <c r="F86" s="69"/>
      <c r="G86" s="35"/>
      <c r="H86" s="35"/>
      <c r="I86" s="35"/>
      <c r="J86" s="43"/>
      <c r="K86" s="43"/>
    </row>
    <row r="87" spans="1:11" ht="13.5" customHeight="1" x14ac:dyDescent="0.25">
      <c r="A87" s="43"/>
      <c r="B87" s="43"/>
      <c r="C87" s="16"/>
      <c r="D87" s="16"/>
      <c r="E87" s="64"/>
      <c r="F87" s="64"/>
      <c r="G87" s="16"/>
      <c r="H87" s="16"/>
      <c r="I87" s="16"/>
      <c r="J87" s="43"/>
      <c r="K87" s="43"/>
    </row>
    <row r="88" spans="1:11" ht="13.5" customHeight="1" x14ac:dyDescent="0.25">
      <c r="A88" s="43"/>
      <c r="B88" s="43"/>
      <c r="C88" s="35"/>
      <c r="D88" s="35"/>
      <c r="E88" s="65"/>
      <c r="F88" s="69"/>
      <c r="G88" s="35"/>
      <c r="H88" s="35"/>
      <c r="I88" s="35"/>
      <c r="J88" s="43"/>
      <c r="K88" s="43"/>
    </row>
    <row r="89" spans="1:11" ht="13.5" customHeight="1" x14ac:dyDescent="0.25">
      <c r="A89" s="43"/>
      <c r="B89" s="43"/>
      <c r="C89" s="16"/>
      <c r="D89" s="16"/>
      <c r="E89" s="64"/>
      <c r="F89" s="64"/>
      <c r="G89" s="16"/>
      <c r="H89" s="16"/>
      <c r="I89" s="16"/>
      <c r="J89" s="43"/>
      <c r="K89" s="43"/>
    </row>
    <row r="90" spans="1:11" ht="13.5" customHeight="1" x14ac:dyDescent="0.25">
      <c r="A90" s="43"/>
      <c r="B90" s="43"/>
      <c r="C90" s="35"/>
      <c r="D90" s="35"/>
      <c r="E90" s="65"/>
      <c r="F90" s="69"/>
      <c r="G90" s="35"/>
      <c r="H90" s="35"/>
      <c r="I90" s="35"/>
      <c r="J90" s="43"/>
      <c r="K90" s="43"/>
    </row>
    <row r="91" spans="1:11" ht="13.5" customHeight="1" x14ac:dyDescent="0.25">
      <c r="A91" s="43"/>
      <c r="B91" s="43"/>
      <c r="C91" s="16"/>
      <c r="D91" s="16"/>
      <c r="E91" s="64"/>
      <c r="F91" s="64"/>
      <c r="G91" s="16"/>
      <c r="H91" s="16"/>
      <c r="I91" s="16"/>
      <c r="J91" s="43"/>
      <c r="K91" s="43"/>
    </row>
    <row r="92" spans="1:11" ht="13.5" customHeight="1" x14ac:dyDescent="0.25">
      <c r="A92" s="43"/>
      <c r="B92" s="43"/>
      <c r="C92" s="35"/>
      <c r="D92" s="35"/>
      <c r="E92" s="65"/>
      <c r="F92" s="69"/>
      <c r="G92" s="35"/>
      <c r="H92" s="35"/>
      <c r="I92" s="35"/>
      <c r="J92" s="43"/>
      <c r="K92" s="43"/>
    </row>
    <row r="93" spans="1:11" ht="13.5" customHeight="1" x14ac:dyDescent="0.25">
      <c r="A93" s="43"/>
      <c r="B93" s="43"/>
      <c r="C93" s="16"/>
      <c r="D93" s="16"/>
      <c r="E93" s="64"/>
      <c r="F93" s="64"/>
      <c r="G93" s="16"/>
      <c r="H93" s="16"/>
      <c r="I93" s="16"/>
      <c r="J93" s="43"/>
      <c r="K93" s="43"/>
    </row>
    <row r="94" spans="1:11" ht="13.5" customHeight="1" x14ac:dyDescent="0.25">
      <c r="A94" s="43"/>
      <c r="B94" s="43"/>
      <c r="C94" s="35"/>
      <c r="D94" s="35"/>
      <c r="E94" s="65"/>
      <c r="F94" s="69"/>
      <c r="G94" s="35"/>
      <c r="H94" s="35"/>
      <c r="I94" s="35"/>
      <c r="J94" s="43"/>
      <c r="K94" s="43"/>
    </row>
    <row r="95" spans="1:11" ht="13.5" customHeight="1" x14ac:dyDescent="0.25">
      <c r="A95" s="43"/>
      <c r="B95" s="43"/>
      <c r="C95" s="16"/>
      <c r="D95" s="16"/>
      <c r="E95" s="64"/>
      <c r="F95" s="64"/>
      <c r="G95" s="16"/>
      <c r="H95" s="16"/>
      <c r="I95" s="16"/>
      <c r="J95" s="43"/>
      <c r="K95" s="43"/>
    </row>
    <row r="96" spans="1:11" ht="13.5" customHeight="1" x14ac:dyDescent="0.25">
      <c r="A96" s="43"/>
      <c r="B96" s="43"/>
      <c r="C96" s="35"/>
      <c r="D96" s="35"/>
      <c r="E96" s="65"/>
      <c r="F96" s="69"/>
      <c r="G96" s="35"/>
      <c r="H96" s="35"/>
      <c r="I96" s="35"/>
      <c r="J96" s="43"/>
      <c r="K96" s="43"/>
    </row>
    <row r="97" spans="1:11" ht="13.5" customHeight="1" x14ac:dyDescent="0.25">
      <c r="A97" s="43"/>
      <c r="B97" s="43"/>
      <c r="C97" s="16"/>
      <c r="D97" s="16"/>
      <c r="E97" s="64"/>
      <c r="F97" s="64"/>
      <c r="G97" s="16"/>
      <c r="H97" s="16"/>
      <c r="I97" s="16"/>
      <c r="J97" s="43"/>
      <c r="K97" s="43"/>
    </row>
    <row r="98" spans="1:11" ht="13.5" customHeight="1" x14ac:dyDescent="0.25">
      <c r="A98" s="43"/>
      <c r="B98" s="43"/>
      <c r="C98" s="35"/>
      <c r="D98" s="35"/>
      <c r="E98" s="65"/>
      <c r="F98" s="69"/>
      <c r="G98" s="35"/>
      <c r="H98" s="35"/>
      <c r="I98" s="35"/>
      <c r="J98" s="43"/>
      <c r="K98" s="43"/>
    </row>
    <row r="99" spans="1:11" ht="13.5" customHeight="1" x14ac:dyDescent="0.25">
      <c r="A99" s="43"/>
      <c r="B99" s="43"/>
      <c r="C99" s="16"/>
      <c r="D99" s="16"/>
      <c r="E99" s="64"/>
      <c r="F99" s="64"/>
      <c r="G99" s="16"/>
      <c r="H99" s="16"/>
      <c r="I99" s="16"/>
      <c r="J99" s="43"/>
      <c r="K99" s="43"/>
    </row>
    <row r="100" spans="1:11" ht="13.5" customHeight="1" outlineLevel="1" x14ac:dyDescent="0.25">
      <c r="A100" s="43"/>
      <c r="B100" s="43"/>
      <c r="C100" s="35"/>
      <c r="D100" s="35"/>
      <c r="E100" s="65"/>
      <c r="F100" s="69"/>
      <c r="G100" s="35"/>
      <c r="H100" s="35"/>
      <c r="I100" s="35"/>
      <c r="J100" s="43"/>
      <c r="K100" s="43"/>
    </row>
    <row r="101" spans="1:11" ht="13.5" customHeight="1" outlineLevel="1" x14ac:dyDescent="0.25">
      <c r="A101" s="43"/>
      <c r="B101" s="43"/>
      <c r="C101" s="16"/>
      <c r="D101" s="16"/>
      <c r="E101" s="64"/>
      <c r="F101" s="64"/>
      <c r="G101" s="16"/>
      <c r="H101" s="16"/>
      <c r="I101" s="16"/>
      <c r="J101" s="43"/>
      <c r="K101" s="43"/>
    </row>
    <row r="102" spans="1:11" ht="13.5" customHeight="1" outlineLevel="1" x14ac:dyDescent="0.25">
      <c r="A102" s="43"/>
      <c r="B102" s="43"/>
      <c r="C102" s="35"/>
      <c r="D102" s="35"/>
      <c r="E102" s="65"/>
      <c r="F102" s="69"/>
      <c r="G102" s="35"/>
      <c r="H102" s="35"/>
      <c r="I102" s="35"/>
      <c r="J102" s="43"/>
      <c r="K102" s="43"/>
    </row>
    <row r="103" spans="1:11" ht="13.5" customHeight="1" outlineLevel="1" x14ac:dyDescent="0.25">
      <c r="A103" s="43"/>
      <c r="B103" s="43"/>
      <c r="C103" s="16"/>
      <c r="D103" s="16"/>
      <c r="E103" s="64"/>
      <c r="F103" s="64"/>
      <c r="G103" s="16"/>
      <c r="H103" s="16"/>
      <c r="I103" s="16"/>
      <c r="J103" s="43"/>
      <c r="K103" s="43"/>
    </row>
    <row r="104" spans="1:11" ht="13.5" customHeight="1" outlineLevel="1" x14ac:dyDescent="0.25">
      <c r="A104" s="43"/>
      <c r="B104" s="43"/>
      <c r="C104" s="35"/>
      <c r="D104" s="35"/>
      <c r="E104" s="65"/>
      <c r="F104" s="69"/>
      <c r="G104" s="35"/>
      <c r="H104" s="35"/>
      <c r="I104" s="35"/>
      <c r="J104" s="43"/>
      <c r="K104" s="43"/>
    </row>
    <row r="105" spans="1:11" ht="13.5" customHeight="1" outlineLevel="1" x14ac:dyDescent="0.25">
      <c r="A105" s="43"/>
      <c r="B105" s="43"/>
      <c r="C105" s="16"/>
      <c r="D105" s="16"/>
      <c r="E105" s="64"/>
      <c r="F105" s="64"/>
      <c r="G105" s="16"/>
      <c r="H105" s="16"/>
      <c r="I105" s="16"/>
      <c r="J105" s="43"/>
      <c r="K105" s="43"/>
    </row>
    <row r="106" spans="1:11" ht="13.5" customHeight="1" outlineLevel="1" x14ac:dyDescent="0.25">
      <c r="A106" s="43"/>
      <c r="B106" s="43"/>
      <c r="C106" s="35"/>
      <c r="D106" s="35"/>
      <c r="E106" s="65"/>
      <c r="F106" s="69"/>
      <c r="G106" s="35"/>
      <c r="H106" s="35"/>
      <c r="I106" s="35"/>
      <c r="J106" s="43"/>
      <c r="K106" s="43"/>
    </row>
    <row r="107" spans="1:11" ht="13.5" customHeight="1" outlineLevel="1" x14ac:dyDescent="0.25">
      <c r="A107" s="43"/>
      <c r="B107" s="43"/>
      <c r="C107" s="16"/>
      <c r="D107" s="16"/>
      <c r="E107" s="64"/>
      <c r="F107" s="64"/>
      <c r="G107" s="16"/>
      <c r="H107" s="16"/>
      <c r="I107" s="16"/>
      <c r="J107" s="43"/>
      <c r="K107" s="43"/>
    </row>
    <row r="108" spans="1:11" ht="13.5" customHeight="1" outlineLevel="1" x14ac:dyDescent="0.25">
      <c r="A108" s="43"/>
      <c r="B108" s="43"/>
      <c r="C108" s="35"/>
      <c r="D108" s="35"/>
      <c r="E108" s="65"/>
      <c r="F108" s="69"/>
      <c r="G108" s="35"/>
      <c r="H108" s="35"/>
      <c r="I108" s="35"/>
      <c r="J108" s="43"/>
      <c r="K108" s="43"/>
    </row>
    <row r="109" spans="1:11" ht="13.5" customHeight="1" outlineLevel="1" x14ac:dyDescent="0.25">
      <c r="A109" s="43"/>
      <c r="B109" s="43"/>
      <c r="C109" s="16"/>
      <c r="D109" s="16"/>
      <c r="E109" s="64"/>
      <c r="F109" s="64"/>
      <c r="G109" s="16"/>
      <c r="H109" s="16"/>
      <c r="I109" s="16"/>
      <c r="J109" s="43"/>
      <c r="K109" s="43"/>
    </row>
    <row r="110" spans="1:11" ht="13.5" customHeight="1" outlineLevel="1" x14ac:dyDescent="0.25">
      <c r="A110" s="43"/>
      <c r="B110" s="43"/>
      <c r="C110" s="35"/>
      <c r="D110" s="35"/>
      <c r="E110" s="65"/>
      <c r="F110" s="69"/>
      <c r="G110" s="35"/>
      <c r="H110" s="35"/>
      <c r="I110" s="35"/>
      <c r="J110" s="43"/>
      <c r="K110" s="43"/>
    </row>
    <row r="111" spans="1:11" ht="13.5" customHeight="1" outlineLevel="1" x14ac:dyDescent="0.25">
      <c r="A111" s="43"/>
      <c r="B111" s="43"/>
      <c r="C111" s="16"/>
      <c r="D111" s="16"/>
      <c r="E111" s="64"/>
      <c r="F111" s="64"/>
      <c r="G111" s="16"/>
      <c r="H111" s="16"/>
      <c r="I111" s="16"/>
      <c r="J111" s="43"/>
      <c r="K111" s="43"/>
    </row>
    <row r="112" spans="1:11" ht="13.5" customHeight="1" outlineLevel="1" x14ac:dyDescent="0.25">
      <c r="A112" s="43"/>
      <c r="B112" s="43"/>
      <c r="C112" s="35"/>
      <c r="D112" s="35"/>
      <c r="E112" s="65"/>
      <c r="F112" s="69"/>
      <c r="G112" s="35"/>
      <c r="H112" s="35"/>
      <c r="I112" s="35"/>
      <c r="J112" s="43"/>
      <c r="K112" s="43"/>
    </row>
    <row r="113" spans="1:11" ht="13.5" customHeight="1" outlineLevel="1" x14ac:dyDescent="0.25">
      <c r="A113" s="43"/>
      <c r="B113" s="43"/>
      <c r="C113" s="16"/>
      <c r="D113" s="16"/>
      <c r="E113" s="64"/>
      <c r="F113" s="64"/>
      <c r="G113" s="16"/>
      <c r="H113" s="16"/>
      <c r="I113" s="16"/>
      <c r="J113" s="43"/>
      <c r="K113" s="43"/>
    </row>
    <row r="114" spans="1:11" ht="13.5" customHeight="1" outlineLevel="1" x14ac:dyDescent="0.25">
      <c r="A114" s="43"/>
      <c r="B114" s="43"/>
      <c r="C114" s="35"/>
      <c r="D114" s="35"/>
      <c r="E114" s="65"/>
      <c r="F114" s="69"/>
      <c r="G114" s="35"/>
      <c r="H114" s="35"/>
      <c r="I114" s="35"/>
      <c r="J114" s="43"/>
      <c r="K114" s="43"/>
    </row>
    <row r="115" spans="1:11" ht="13.5" customHeight="1" outlineLevel="1" x14ac:dyDescent="0.25">
      <c r="A115" s="43"/>
      <c r="B115" s="43"/>
      <c r="C115" s="16"/>
      <c r="D115" s="16"/>
      <c r="E115" s="64"/>
      <c r="F115" s="64"/>
      <c r="G115" s="16"/>
      <c r="H115" s="16"/>
      <c r="I115" s="16"/>
      <c r="J115" s="43"/>
      <c r="K115" s="43"/>
    </row>
    <row r="116" spans="1:11" ht="13.5" customHeight="1" outlineLevel="1" x14ac:dyDescent="0.25">
      <c r="A116" s="43"/>
      <c r="B116" s="43"/>
      <c r="C116" s="35"/>
      <c r="D116" s="35"/>
      <c r="E116" s="65"/>
      <c r="F116" s="69"/>
      <c r="G116" s="35"/>
      <c r="H116" s="35"/>
      <c r="I116" s="35"/>
      <c r="J116" s="43"/>
      <c r="K116" s="43"/>
    </row>
    <row r="117" spans="1:11" ht="13.5" customHeight="1" outlineLevel="1" x14ac:dyDescent="0.25">
      <c r="A117" s="43"/>
      <c r="B117" s="43"/>
      <c r="C117" s="16"/>
      <c r="D117" s="16"/>
      <c r="E117" s="64"/>
      <c r="F117" s="64"/>
      <c r="G117" s="16"/>
      <c r="H117" s="16"/>
      <c r="I117" s="16"/>
      <c r="J117" s="43"/>
      <c r="K117" s="43"/>
    </row>
    <row r="118" spans="1:11" ht="13.5" customHeight="1" outlineLevel="1" x14ac:dyDescent="0.25">
      <c r="A118" s="43"/>
      <c r="B118" s="43"/>
      <c r="C118" s="35"/>
      <c r="D118" s="35"/>
      <c r="E118" s="65"/>
      <c r="F118" s="69"/>
      <c r="G118" s="35"/>
      <c r="H118" s="35"/>
      <c r="I118" s="35"/>
      <c r="J118" s="43"/>
      <c r="K118" s="43"/>
    </row>
    <row r="119" spans="1:11" ht="13.5" customHeight="1" outlineLevel="1" x14ac:dyDescent="0.25">
      <c r="A119" s="43"/>
      <c r="B119" s="43"/>
      <c r="C119" s="16"/>
      <c r="D119" s="16"/>
      <c r="E119" s="64"/>
      <c r="F119" s="64"/>
      <c r="G119" s="16"/>
      <c r="H119" s="16"/>
      <c r="I119" s="16"/>
      <c r="J119" s="43"/>
      <c r="K119" s="43"/>
    </row>
    <row r="120" spans="1:11" ht="13.5" customHeight="1" outlineLevel="1" x14ac:dyDescent="0.25">
      <c r="A120" s="43"/>
      <c r="B120" s="43"/>
      <c r="C120" s="35"/>
      <c r="D120" s="35"/>
      <c r="E120" s="65"/>
      <c r="F120" s="69"/>
      <c r="G120" s="35"/>
      <c r="H120" s="35"/>
      <c r="I120" s="35"/>
      <c r="J120" s="43"/>
      <c r="K120" s="43"/>
    </row>
    <row r="121" spans="1:11" ht="13.5" customHeight="1" outlineLevel="1" x14ac:dyDescent="0.25">
      <c r="A121" s="43"/>
      <c r="B121" s="43"/>
      <c r="C121" s="16"/>
      <c r="D121" s="16"/>
      <c r="E121" s="64"/>
      <c r="F121" s="64"/>
      <c r="G121" s="16"/>
      <c r="H121" s="16"/>
      <c r="I121" s="16"/>
      <c r="J121" s="43"/>
      <c r="K121" s="43"/>
    </row>
    <row r="122" spans="1:11" ht="13.5" customHeight="1" outlineLevel="1" x14ac:dyDescent="0.25">
      <c r="A122" s="43"/>
      <c r="B122" s="43"/>
      <c r="C122" s="35"/>
      <c r="D122" s="35"/>
      <c r="E122" s="65"/>
      <c r="F122" s="69"/>
      <c r="G122" s="35"/>
      <c r="H122" s="35"/>
      <c r="I122" s="35"/>
      <c r="J122" s="43"/>
      <c r="K122" s="43"/>
    </row>
    <row r="123" spans="1:11" ht="13.5" customHeight="1" outlineLevel="1" x14ac:dyDescent="0.25">
      <c r="A123" s="43"/>
      <c r="B123" s="43"/>
      <c r="C123" s="16"/>
      <c r="D123" s="16"/>
      <c r="E123" s="64"/>
      <c r="F123" s="64"/>
      <c r="G123" s="16"/>
      <c r="H123" s="16"/>
      <c r="I123" s="16"/>
      <c r="J123" s="43"/>
      <c r="K123" s="43"/>
    </row>
    <row r="124" spans="1:11" ht="13.5" customHeight="1" outlineLevel="1" x14ac:dyDescent="0.25">
      <c r="A124" s="43"/>
      <c r="B124" s="43"/>
      <c r="C124" s="35"/>
      <c r="D124" s="35"/>
      <c r="E124" s="65"/>
      <c r="F124" s="69"/>
      <c r="G124" s="35"/>
      <c r="H124" s="35"/>
      <c r="I124" s="35"/>
      <c r="J124" s="43"/>
      <c r="K124" s="43"/>
    </row>
    <row r="125" spans="1:11" ht="13.5" customHeight="1" outlineLevel="1" x14ac:dyDescent="0.25">
      <c r="A125" s="43"/>
      <c r="B125" s="43"/>
      <c r="C125" s="16"/>
      <c r="D125" s="16"/>
      <c r="E125" s="64"/>
      <c r="F125" s="64"/>
      <c r="G125" s="16"/>
      <c r="H125" s="16"/>
      <c r="I125" s="16"/>
      <c r="J125" s="43"/>
      <c r="K125" s="43"/>
    </row>
    <row r="126" spans="1:11" ht="13.5" customHeight="1" outlineLevel="1" x14ac:dyDescent="0.25">
      <c r="A126" s="43"/>
      <c r="B126" s="43"/>
      <c r="C126" s="35"/>
      <c r="D126" s="35"/>
      <c r="E126" s="65"/>
      <c r="F126" s="69"/>
      <c r="G126" s="35"/>
      <c r="H126" s="35"/>
      <c r="I126" s="35"/>
      <c r="J126" s="43"/>
      <c r="K126" s="43"/>
    </row>
    <row r="127" spans="1:11" ht="13.5" customHeight="1" outlineLevel="1" x14ac:dyDescent="0.25">
      <c r="A127" s="43"/>
      <c r="B127" s="43"/>
      <c r="C127" s="16"/>
      <c r="D127" s="16"/>
      <c r="E127" s="64"/>
      <c r="F127" s="64"/>
      <c r="G127" s="16"/>
      <c r="H127" s="16"/>
      <c r="I127" s="16"/>
      <c r="J127" s="43"/>
      <c r="K127" s="43"/>
    </row>
    <row r="128" spans="1:11" ht="13.5" customHeight="1" outlineLevel="1" x14ac:dyDescent="0.25">
      <c r="A128" s="43"/>
      <c r="B128" s="43"/>
      <c r="C128" s="35"/>
      <c r="D128" s="35"/>
      <c r="E128" s="65"/>
      <c r="F128" s="69"/>
      <c r="G128" s="35"/>
      <c r="H128" s="35"/>
      <c r="I128" s="35"/>
      <c r="J128" s="43"/>
      <c r="K128" s="43"/>
    </row>
    <row r="129" spans="1:11" ht="13.5" customHeight="1" outlineLevel="1" x14ac:dyDescent="0.25">
      <c r="A129" s="43"/>
      <c r="B129" s="43"/>
      <c r="C129" s="16"/>
      <c r="D129" s="16"/>
      <c r="E129" s="64"/>
      <c r="F129" s="64"/>
      <c r="G129" s="16"/>
      <c r="H129" s="16"/>
      <c r="I129" s="16"/>
      <c r="J129" s="43"/>
      <c r="K129" s="43"/>
    </row>
    <row r="130" spans="1:11" ht="13.5" customHeight="1" outlineLevel="1" x14ac:dyDescent="0.25">
      <c r="A130" s="43"/>
      <c r="B130" s="43"/>
      <c r="C130" s="35"/>
      <c r="D130" s="35"/>
      <c r="E130" s="65"/>
      <c r="F130" s="69"/>
      <c r="G130" s="35"/>
      <c r="H130" s="35"/>
      <c r="I130" s="35"/>
      <c r="J130" s="43"/>
      <c r="K130" s="43"/>
    </row>
    <row r="131" spans="1:11" ht="13.5" customHeight="1" outlineLevel="1" x14ac:dyDescent="0.25">
      <c r="A131" s="43"/>
      <c r="B131" s="43"/>
      <c r="C131" s="16"/>
      <c r="D131" s="16"/>
      <c r="E131" s="64"/>
      <c r="F131" s="64"/>
      <c r="G131" s="16"/>
      <c r="H131" s="16"/>
      <c r="I131" s="16"/>
      <c r="J131" s="43"/>
      <c r="K131" s="43"/>
    </row>
    <row r="132" spans="1:11" ht="13.5" customHeight="1" outlineLevel="1" x14ac:dyDescent="0.25">
      <c r="A132" s="43"/>
      <c r="B132" s="43"/>
      <c r="C132" s="35"/>
      <c r="D132" s="35"/>
      <c r="E132" s="65"/>
      <c r="F132" s="69"/>
      <c r="G132" s="35"/>
      <c r="H132" s="35"/>
      <c r="I132" s="35"/>
      <c r="J132" s="43"/>
      <c r="K132" s="43"/>
    </row>
    <row r="133" spans="1:11" ht="13.5" customHeight="1" outlineLevel="1" x14ac:dyDescent="0.25">
      <c r="A133" s="43"/>
      <c r="B133" s="43"/>
      <c r="C133" s="16"/>
      <c r="D133" s="16"/>
      <c r="E133" s="64"/>
      <c r="F133" s="64"/>
      <c r="G133" s="16"/>
      <c r="H133" s="16"/>
      <c r="I133" s="16"/>
      <c r="J133" s="43"/>
      <c r="K133" s="43"/>
    </row>
    <row r="134" spans="1:11" ht="13.5" customHeight="1" outlineLevel="1" x14ac:dyDescent="0.25">
      <c r="A134" s="43"/>
      <c r="B134" s="43"/>
      <c r="C134" s="35"/>
      <c r="D134" s="35"/>
      <c r="E134" s="65"/>
      <c r="F134" s="69"/>
      <c r="G134" s="35"/>
      <c r="H134" s="35"/>
      <c r="I134" s="35"/>
      <c r="J134" s="43"/>
      <c r="K134" s="43"/>
    </row>
    <row r="135" spans="1:11" ht="13.5" customHeight="1" outlineLevel="1" x14ac:dyDescent="0.25">
      <c r="A135" s="43"/>
      <c r="B135" s="43"/>
      <c r="C135" s="16"/>
      <c r="D135" s="16"/>
      <c r="E135" s="64"/>
      <c r="F135" s="64"/>
      <c r="G135" s="16"/>
      <c r="H135" s="16"/>
      <c r="I135" s="16"/>
      <c r="J135" s="43"/>
      <c r="K135" s="43"/>
    </row>
    <row r="136" spans="1:11" ht="13.5" customHeight="1" outlineLevel="1" x14ac:dyDescent="0.25">
      <c r="A136" s="43"/>
      <c r="B136" s="43"/>
      <c r="C136" s="35"/>
      <c r="D136" s="35"/>
      <c r="E136" s="65"/>
      <c r="F136" s="69"/>
      <c r="G136" s="35"/>
      <c r="H136" s="35"/>
      <c r="I136" s="35"/>
      <c r="J136" s="43"/>
      <c r="K136" s="43"/>
    </row>
    <row r="137" spans="1:11" ht="13.5" customHeight="1" outlineLevel="1" x14ac:dyDescent="0.25">
      <c r="A137" s="43"/>
      <c r="B137" s="43"/>
      <c r="C137" s="16"/>
      <c r="D137" s="16"/>
      <c r="E137" s="64"/>
      <c r="F137" s="64"/>
      <c r="G137" s="16"/>
      <c r="H137" s="16"/>
      <c r="I137" s="16"/>
      <c r="J137" s="43"/>
      <c r="K137" s="43"/>
    </row>
    <row r="138" spans="1:11" ht="13.5" customHeight="1" outlineLevel="1" x14ac:dyDescent="0.25">
      <c r="A138" s="43"/>
      <c r="B138" s="43"/>
      <c r="C138" s="35"/>
      <c r="D138" s="35"/>
      <c r="E138" s="65"/>
      <c r="F138" s="69"/>
      <c r="G138" s="35"/>
      <c r="H138" s="35"/>
      <c r="I138" s="35"/>
      <c r="J138" s="43"/>
      <c r="K138" s="43"/>
    </row>
    <row r="139" spans="1:11" ht="13.5" customHeight="1" outlineLevel="1" x14ac:dyDescent="0.25">
      <c r="A139" s="43"/>
      <c r="B139" s="43"/>
      <c r="C139" s="16"/>
      <c r="D139" s="16"/>
      <c r="E139" s="64"/>
      <c r="F139" s="64"/>
      <c r="G139" s="16"/>
      <c r="H139" s="16"/>
      <c r="I139" s="16"/>
      <c r="J139" s="43"/>
      <c r="K139" s="43"/>
    </row>
    <row r="140" spans="1:11" ht="13.5" customHeight="1" outlineLevel="1" x14ac:dyDescent="0.25">
      <c r="A140" s="43"/>
      <c r="B140" s="43"/>
      <c r="C140" s="35"/>
      <c r="D140" s="35"/>
      <c r="E140" s="65"/>
      <c r="F140" s="69"/>
      <c r="G140" s="35"/>
      <c r="H140" s="35"/>
      <c r="I140" s="35"/>
      <c r="J140" s="43"/>
      <c r="K140" s="43"/>
    </row>
    <row r="141" spans="1:11" ht="13.5" customHeight="1" outlineLevel="1" x14ac:dyDescent="0.25">
      <c r="A141" s="43"/>
      <c r="B141" s="43"/>
      <c r="C141" s="16"/>
      <c r="D141" s="16"/>
      <c r="E141" s="64"/>
      <c r="F141" s="64"/>
      <c r="G141" s="16"/>
      <c r="H141" s="16"/>
      <c r="I141" s="16"/>
      <c r="J141" s="43"/>
      <c r="K141" s="43"/>
    </row>
    <row r="142" spans="1:11" ht="13.5" customHeight="1" outlineLevel="1" x14ac:dyDescent="0.25">
      <c r="A142" s="43"/>
      <c r="B142" s="43"/>
      <c r="C142" s="35"/>
      <c r="D142" s="35"/>
      <c r="E142" s="65"/>
      <c r="F142" s="69"/>
      <c r="G142" s="35"/>
      <c r="H142" s="35"/>
      <c r="I142" s="35"/>
      <c r="J142" s="43"/>
      <c r="K142" s="43"/>
    </row>
    <row r="143" spans="1:11" ht="13.5" customHeight="1" outlineLevel="1" x14ac:dyDescent="0.25">
      <c r="A143" s="43"/>
      <c r="B143" s="43"/>
      <c r="C143" s="16"/>
      <c r="D143" s="16"/>
      <c r="E143" s="64"/>
      <c r="F143" s="64"/>
      <c r="G143" s="16"/>
      <c r="H143" s="16"/>
      <c r="I143" s="16"/>
      <c r="J143" s="43"/>
      <c r="K143" s="43"/>
    </row>
    <row r="144" spans="1:11" ht="13.5" customHeight="1" outlineLevel="1" x14ac:dyDescent="0.25">
      <c r="A144" s="43"/>
      <c r="B144" s="43"/>
      <c r="C144" s="35"/>
      <c r="D144" s="35"/>
      <c r="E144" s="65"/>
      <c r="F144" s="69"/>
      <c r="G144" s="35"/>
      <c r="H144" s="35"/>
      <c r="I144" s="35"/>
      <c r="J144" s="43"/>
      <c r="K144" s="43"/>
    </row>
    <row r="145" spans="1:11" ht="13.5" customHeight="1" outlineLevel="1" x14ac:dyDescent="0.25">
      <c r="A145" s="43"/>
      <c r="B145" s="43"/>
      <c r="C145" s="16"/>
      <c r="D145" s="16"/>
      <c r="E145" s="64"/>
      <c r="F145" s="64"/>
      <c r="G145" s="16"/>
      <c r="H145" s="16"/>
      <c r="I145" s="16"/>
      <c r="J145" s="43"/>
      <c r="K145" s="43"/>
    </row>
    <row r="146" spans="1:11" ht="13.5" customHeight="1" outlineLevel="1" x14ac:dyDescent="0.25">
      <c r="A146" s="43"/>
      <c r="B146" s="43"/>
      <c r="C146" s="35"/>
      <c r="D146" s="35"/>
      <c r="E146" s="65"/>
      <c r="F146" s="69"/>
      <c r="G146" s="35"/>
      <c r="H146" s="35"/>
      <c r="I146" s="35"/>
      <c r="J146" s="43"/>
      <c r="K146" s="43"/>
    </row>
    <row r="147" spans="1:11" ht="13.5" customHeight="1" outlineLevel="1" x14ac:dyDescent="0.25">
      <c r="A147" s="43"/>
      <c r="B147" s="43"/>
      <c r="C147" s="16"/>
      <c r="D147" s="16"/>
      <c r="E147" s="64"/>
      <c r="F147" s="64"/>
      <c r="G147" s="16"/>
      <c r="H147" s="16"/>
      <c r="I147" s="16"/>
      <c r="J147" s="43"/>
      <c r="K147" s="43"/>
    </row>
    <row r="148" spans="1:11" ht="13.5" customHeight="1" outlineLevel="1" x14ac:dyDescent="0.25">
      <c r="A148" s="43"/>
      <c r="B148" s="43"/>
      <c r="C148" s="35"/>
      <c r="D148" s="35"/>
      <c r="E148" s="65"/>
      <c r="F148" s="69"/>
      <c r="G148" s="35"/>
      <c r="H148" s="35"/>
      <c r="I148" s="35"/>
      <c r="J148" s="43"/>
      <c r="K148" s="43"/>
    </row>
    <row r="149" spans="1:11" ht="13.5" customHeight="1" outlineLevel="1" x14ac:dyDescent="0.25">
      <c r="A149" s="43"/>
      <c r="B149" s="43"/>
      <c r="C149" s="16"/>
      <c r="D149" s="16"/>
      <c r="E149" s="64"/>
      <c r="F149" s="64"/>
      <c r="G149" s="16"/>
      <c r="H149" s="16"/>
      <c r="I149" s="16"/>
      <c r="J149" s="43"/>
      <c r="K149" s="43"/>
    </row>
    <row r="150" spans="1:11" ht="13.5" customHeight="1" outlineLevel="1" x14ac:dyDescent="0.25">
      <c r="A150" s="43"/>
      <c r="B150" s="43"/>
      <c r="C150" s="35"/>
      <c r="D150" s="35"/>
      <c r="E150" s="65"/>
      <c r="F150" s="69"/>
      <c r="G150" s="35"/>
      <c r="H150" s="35"/>
      <c r="I150" s="35"/>
      <c r="J150" s="43"/>
      <c r="K150" s="43"/>
    </row>
    <row r="151" spans="1:11" ht="13.5" customHeight="1" outlineLevel="1" x14ac:dyDescent="0.25">
      <c r="A151" s="43"/>
      <c r="B151" s="43"/>
      <c r="C151" s="16"/>
      <c r="D151" s="16"/>
      <c r="E151" s="64"/>
      <c r="F151" s="64"/>
      <c r="G151" s="16"/>
      <c r="H151" s="16"/>
      <c r="I151" s="16"/>
      <c r="J151" s="43"/>
      <c r="K151" s="43"/>
    </row>
    <row r="152" spans="1:11" ht="13.5" customHeight="1" outlineLevel="1" x14ac:dyDescent="0.25">
      <c r="A152" s="43"/>
      <c r="B152" s="43"/>
      <c r="C152" s="35"/>
      <c r="D152" s="35"/>
      <c r="E152" s="65"/>
      <c r="F152" s="69"/>
      <c r="G152" s="35"/>
      <c r="H152" s="35"/>
      <c r="I152" s="35"/>
      <c r="J152" s="43"/>
      <c r="K152" s="43"/>
    </row>
    <row r="153" spans="1:11" ht="13.5" customHeight="1" outlineLevel="1" x14ac:dyDescent="0.25">
      <c r="A153" s="43"/>
      <c r="B153" s="43"/>
      <c r="C153" s="16"/>
      <c r="D153" s="16"/>
      <c r="E153" s="64"/>
      <c r="F153" s="64"/>
      <c r="G153" s="16"/>
      <c r="H153" s="16"/>
      <c r="I153" s="16"/>
      <c r="J153" s="43"/>
      <c r="K153" s="43"/>
    </row>
    <row r="154" spans="1:11" ht="13.5" customHeight="1" outlineLevel="1" x14ac:dyDescent="0.25">
      <c r="A154" s="43"/>
      <c r="B154" s="43"/>
      <c r="C154" s="35"/>
      <c r="D154" s="35"/>
      <c r="E154" s="65"/>
      <c r="F154" s="69"/>
      <c r="G154" s="35"/>
      <c r="H154" s="35"/>
      <c r="I154" s="35"/>
      <c r="J154" s="43"/>
      <c r="K154" s="43"/>
    </row>
    <row r="155" spans="1:11" ht="13.5" customHeight="1" outlineLevel="1" x14ac:dyDescent="0.25">
      <c r="A155" s="43"/>
      <c r="B155" s="43"/>
      <c r="C155" s="16"/>
      <c r="D155" s="16"/>
      <c r="E155" s="64"/>
      <c r="F155" s="64"/>
      <c r="G155" s="16"/>
      <c r="H155" s="16"/>
      <c r="I155" s="16"/>
      <c r="J155" s="43"/>
      <c r="K155" s="43"/>
    </row>
    <row r="156" spans="1:11" ht="13.5" customHeight="1" outlineLevel="1" x14ac:dyDescent="0.25">
      <c r="A156" s="43"/>
      <c r="B156" s="43"/>
      <c r="C156" s="35"/>
      <c r="D156" s="35"/>
      <c r="E156" s="65"/>
      <c r="F156" s="69"/>
      <c r="G156" s="35"/>
      <c r="H156" s="35"/>
      <c r="I156" s="35"/>
      <c r="J156" s="43"/>
      <c r="K156" s="43"/>
    </row>
    <row r="157" spans="1:11" ht="13.5" customHeight="1" outlineLevel="1" x14ac:dyDescent="0.25">
      <c r="A157" s="43"/>
      <c r="B157" s="43"/>
      <c r="C157" s="16"/>
      <c r="D157" s="16"/>
      <c r="E157" s="64"/>
      <c r="F157" s="64"/>
      <c r="G157" s="16"/>
      <c r="H157" s="16"/>
      <c r="I157" s="16"/>
      <c r="J157" s="43"/>
      <c r="K157" s="43"/>
    </row>
    <row r="158" spans="1:11" ht="13.5" customHeight="1" outlineLevel="1" x14ac:dyDescent="0.25">
      <c r="A158" s="43"/>
      <c r="B158" s="43"/>
      <c r="C158" s="35"/>
      <c r="D158" s="35"/>
      <c r="E158" s="65"/>
      <c r="F158" s="69"/>
      <c r="G158" s="35"/>
      <c r="H158" s="35"/>
      <c r="I158" s="35"/>
      <c r="J158" s="43"/>
      <c r="K158" s="43"/>
    </row>
    <row r="159" spans="1:11" ht="13.5" customHeight="1" outlineLevel="1" x14ac:dyDescent="0.25">
      <c r="A159" s="43"/>
      <c r="B159" s="43"/>
      <c r="C159" s="16"/>
      <c r="D159" s="16"/>
      <c r="E159" s="64"/>
      <c r="F159" s="64"/>
      <c r="G159" s="16"/>
      <c r="H159" s="16"/>
      <c r="I159" s="16"/>
      <c r="J159" s="43"/>
      <c r="K159" s="43"/>
    </row>
    <row r="160" spans="1:11" ht="13.5" customHeight="1" outlineLevel="1" x14ac:dyDescent="0.25">
      <c r="A160" s="43"/>
      <c r="B160" s="43"/>
      <c r="C160" s="35"/>
      <c r="D160" s="35"/>
      <c r="E160" s="65"/>
      <c r="F160" s="69"/>
      <c r="G160" s="35"/>
      <c r="H160" s="35"/>
      <c r="I160" s="35"/>
      <c r="J160" s="43"/>
      <c r="K160" s="43"/>
    </row>
    <row r="161" spans="1:11" ht="13.5" customHeight="1" outlineLevel="1" x14ac:dyDescent="0.25">
      <c r="A161" s="43"/>
      <c r="B161" s="43"/>
      <c r="C161" s="16"/>
      <c r="D161" s="16"/>
      <c r="E161" s="64"/>
      <c r="F161" s="64"/>
      <c r="G161" s="16"/>
      <c r="H161" s="16"/>
      <c r="I161" s="16"/>
      <c r="J161" s="43"/>
      <c r="K161" s="43"/>
    </row>
    <row r="162" spans="1:11" ht="13.5" customHeight="1" outlineLevel="1" x14ac:dyDescent="0.25">
      <c r="A162" s="43"/>
      <c r="B162" s="43"/>
      <c r="C162" s="35"/>
      <c r="D162" s="35"/>
      <c r="E162" s="65"/>
      <c r="F162" s="69"/>
      <c r="G162" s="35"/>
      <c r="H162" s="35"/>
      <c r="I162" s="35"/>
      <c r="J162" s="43"/>
      <c r="K162" s="43"/>
    </row>
    <row r="163" spans="1:11" ht="13.5" customHeight="1" outlineLevel="1" x14ac:dyDescent="0.25">
      <c r="A163" s="43"/>
      <c r="B163" s="43"/>
      <c r="C163" s="16"/>
      <c r="D163" s="16"/>
      <c r="E163" s="64"/>
      <c r="F163" s="64"/>
      <c r="G163" s="16"/>
      <c r="H163" s="16"/>
      <c r="I163" s="16"/>
      <c r="J163" s="43"/>
      <c r="K163" s="43"/>
    </row>
    <row r="164" spans="1:11" ht="13.5" customHeight="1" outlineLevel="1" x14ac:dyDescent="0.25">
      <c r="A164" s="43"/>
      <c r="B164" s="43"/>
      <c r="C164" s="35"/>
      <c r="D164" s="35"/>
      <c r="E164" s="65"/>
      <c r="F164" s="69"/>
      <c r="G164" s="35"/>
      <c r="H164" s="35"/>
      <c r="I164" s="35"/>
      <c r="J164" s="43"/>
      <c r="K164" s="43"/>
    </row>
    <row r="165" spans="1:11" ht="13.5" customHeight="1" outlineLevel="1" x14ac:dyDescent="0.25">
      <c r="A165" s="43"/>
      <c r="B165" s="43"/>
      <c r="C165" s="16"/>
      <c r="D165" s="16"/>
      <c r="E165" s="64"/>
      <c r="F165" s="64"/>
      <c r="G165" s="16"/>
      <c r="H165" s="16"/>
      <c r="I165" s="16"/>
      <c r="J165" s="43"/>
      <c r="K165" s="43"/>
    </row>
    <row r="166" spans="1:11" ht="13.5" customHeight="1" outlineLevel="1" x14ac:dyDescent="0.25">
      <c r="A166" s="43"/>
      <c r="B166" s="43"/>
      <c r="C166" s="35"/>
      <c r="D166" s="35"/>
      <c r="E166" s="65"/>
      <c r="F166" s="69"/>
      <c r="G166" s="35"/>
      <c r="H166" s="35"/>
      <c r="I166" s="35"/>
      <c r="J166" s="43"/>
      <c r="K166" s="43"/>
    </row>
    <row r="167" spans="1:11" ht="13.5" customHeight="1" outlineLevel="1" x14ac:dyDescent="0.25">
      <c r="A167" s="43"/>
      <c r="B167" s="43"/>
      <c r="C167" s="16"/>
      <c r="D167" s="16"/>
      <c r="E167" s="64"/>
      <c r="F167" s="64"/>
      <c r="G167" s="16"/>
      <c r="H167" s="16"/>
      <c r="I167" s="16"/>
      <c r="J167" s="43"/>
      <c r="K167" s="43"/>
    </row>
    <row r="168" spans="1:11" ht="13.5" customHeight="1" outlineLevel="1" x14ac:dyDescent="0.25">
      <c r="A168" s="43"/>
      <c r="B168" s="43"/>
      <c r="C168" s="35"/>
      <c r="D168" s="35"/>
      <c r="E168" s="65"/>
      <c r="F168" s="69"/>
      <c r="G168" s="35"/>
      <c r="H168" s="35"/>
      <c r="I168" s="35"/>
      <c r="J168" s="43"/>
      <c r="K168" s="43"/>
    </row>
    <row r="169" spans="1:11" ht="13.5" customHeight="1" outlineLevel="1" x14ac:dyDescent="0.25">
      <c r="A169" s="43"/>
      <c r="B169" s="43"/>
      <c r="C169" s="16"/>
      <c r="D169" s="16"/>
      <c r="E169" s="64"/>
      <c r="F169" s="64"/>
      <c r="G169" s="16"/>
      <c r="H169" s="16"/>
      <c r="I169" s="16"/>
      <c r="J169" s="43"/>
      <c r="K169" s="43"/>
    </row>
    <row r="170" spans="1:11" ht="13.5" customHeight="1" outlineLevel="1" x14ac:dyDescent="0.25">
      <c r="A170" s="43"/>
      <c r="B170" s="43"/>
      <c r="C170" s="35"/>
      <c r="D170" s="35"/>
      <c r="E170" s="65"/>
      <c r="F170" s="69"/>
      <c r="G170" s="35"/>
      <c r="H170" s="35"/>
      <c r="I170" s="35"/>
      <c r="J170" s="43"/>
      <c r="K170" s="43"/>
    </row>
    <row r="171" spans="1:11" ht="13.5" customHeight="1" outlineLevel="1" x14ac:dyDescent="0.25">
      <c r="A171" s="43"/>
      <c r="B171" s="43"/>
      <c r="C171" s="16"/>
      <c r="D171" s="16"/>
      <c r="E171" s="64"/>
      <c r="F171" s="64"/>
      <c r="G171" s="16"/>
      <c r="H171" s="16"/>
      <c r="I171" s="16"/>
      <c r="J171" s="43"/>
      <c r="K171" s="43"/>
    </row>
    <row r="172" spans="1:11" ht="13.5" customHeight="1" outlineLevel="1" x14ac:dyDescent="0.25">
      <c r="A172" s="43"/>
      <c r="B172" s="43"/>
      <c r="C172" s="35"/>
      <c r="D172" s="35"/>
      <c r="E172" s="65"/>
      <c r="F172" s="69"/>
      <c r="G172" s="35"/>
      <c r="H172" s="35"/>
      <c r="I172" s="35"/>
      <c r="J172" s="43"/>
      <c r="K172" s="43"/>
    </row>
    <row r="173" spans="1:11" ht="13.5" customHeight="1" outlineLevel="1" x14ac:dyDescent="0.25">
      <c r="A173" s="43"/>
      <c r="B173" s="43"/>
      <c r="C173" s="16"/>
      <c r="D173" s="16"/>
      <c r="E173" s="64"/>
      <c r="F173" s="64"/>
      <c r="G173" s="16"/>
      <c r="H173" s="16"/>
      <c r="I173" s="16"/>
      <c r="J173" s="43"/>
      <c r="K173" s="43"/>
    </row>
    <row r="174" spans="1:11" ht="13.5" customHeight="1" outlineLevel="1" x14ac:dyDescent="0.25">
      <c r="A174" s="43"/>
      <c r="B174" s="43"/>
      <c r="C174" s="35"/>
      <c r="D174" s="35"/>
      <c r="E174" s="65"/>
      <c r="F174" s="69"/>
      <c r="G174" s="35"/>
      <c r="H174" s="35"/>
      <c r="I174" s="35"/>
      <c r="J174" s="43"/>
      <c r="K174" s="43"/>
    </row>
    <row r="175" spans="1:11" ht="13.5" customHeight="1" outlineLevel="1" x14ac:dyDescent="0.25">
      <c r="A175" s="43"/>
      <c r="B175" s="43"/>
      <c r="C175" s="16"/>
      <c r="D175" s="16"/>
      <c r="E175" s="64"/>
      <c r="F175" s="64"/>
      <c r="G175" s="16"/>
      <c r="H175" s="16"/>
      <c r="I175" s="16"/>
      <c r="J175" s="43"/>
      <c r="K175" s="43"/>
    </row>
    <row r="176" spans="1:11" ht="13.5" customHeight="1" outlineLevel="1" x14ac:dyDescent="0.25">
      <c r="A176" s="43"/>
      <c r="B176" s="43"/>
      <c r="C176" s="35"/>
      <c r="D176" s="35"/>
      <c r="E176" s="65"/>
      <c r="F176" s="69"/>
      <c r="G176" s="35"/>
      <c r="H176" s="35"/>
      <c r="I176" s="35"/>
      <c r="J176" s="43"/>
      <c r="K176" s="43"/>
    </row>
    <row r="177" spans="1:11" ht="13.5" customHeight="1" outlineLevel="1" x14ac:dyDescent="0.25">
      <c r="A177" s="43"/>
      <c r="B177" s="43"/>
      <c r="C177" s="16"/>
      <c r="D177" s="16"/>
      <c r="E177" s="64"/>
      <c r="F177" s="64"/>
      <c r="G177" s="16"/>
      <c r="H177" s="16"/>
      <c r="I177" s="16"/>
      <c r="J177" s="43"/>
      <c r="K177" s="43"/>
    </row>
    <row r="178" spans="1:11" ht="13.5" customHeight="1" outlineLevel="1" x14ac:dyDescent="0.25">
      <c r="A178" s="43"/>
      <c r="B178" s="43"/>
      <c r="C178" s="35"/>
      <c r="D178" s="35"/>
      <c r="E178" s="65"/>
      <c r="F178" s="69"/>
      <c r="G178" s="35"/>
      <c r="H178" s="35"/>
      <c r="I178" s="35"/>
      <c r="J178" s="43"/>
      <c r="K178" s="43"/>
    </row>
    <row r="179" spans="1:11" ht="13.5" customHeight="1" outlineLevel="1" x14ac:dyDescent="0.25">
      <c r="A179" s="43"/>
      <c r="B179" s="43"/>
      <c r="C179" s="16"/>
      <c r="D179" s="16"/>
      <c r="E179" s="64"/>
      <c r="F179" s="64"/>
      <c r="G179" s="16"/>
      <c r="H179" s="16"/>
      <c r="I179" s="16"/>
      <c r="J179" s="43"/>
      <c r="K179" s="43"/>
    </row>
    <row r="180" spans="1:11" ht="13.5" customHeight="1" outlineLevel="1" x14ac:dyDescent="0.25">
      <c r="A180" s="43"/>
      <c r="B180" s="43"/>
      <c r="C180" s="35"/>
      <c r="D180" s="35"/>
      <c r="E180" s="65"/>
      <c r="F180" s="69"/>
      <c r="G180" s="35"/>
      <c r="H180" s="35"/>
      <c r="I180" s="35"/>
      <c r="J180" s="43"/>
      <c r="K180" s="43"/>
    </row>
    <row r="181" spans="1:11" ht="13.5" customHeight="1" outlineLevel="1" x14ac:dyDescent="0.25">
      <c r="A181" s="43"/>
      <c r="B181" s="43"/>
      <c r="C181" s="16"/>
      <c r="D181" s="16"/>
      <c r="E181" s="64"/>
      <c r="F181" s="64"/>
      <c r="G181" s="16"/>
      <c r="H181" s="16"/>
      <c r="I181" s="16"/>
      <c r="J181" s="43"/>
      <c r="K181" s="43"/>
    </row>
    <row r="182" spans="1:11" ht="13.5" customHeight="1" outlineLevel="1" x14ac:dyDescent="0.25">
      <c r="A182" s="43"/>
      <c r="B182" s="43"/>
      <c r="C182" s="35"/>
      <c r="D182" s="35"/>
      <c r="E182" s="65"/>
      <c r="F182" s="69"/>
      <c r="G182" s="35"/>
      <c r="H182" s="35"/>
      <c r="I182" s="35"/>
      <c r="J182" s="43"/>
      <c r="K182" s="43"/>
    </row>
    <row r="183" spans="1:11" ht="13.5" customHeight="1" outlineLevel="1" x14ac:dyDescent="0.25">
      <c r="A183" s="43"/>
      <c r="B183" s="43"/>
      <c r="C183" s="16"/>
      <c r="D183" s="16"/>
      <c r="E183" s="64"/>
      <c r="F183" s="64"/>
      <c r="G183" s="16"/>
      <c r="H183" s="16"/>
      <c r="I183" s="16"/>
      <c r="J183" s="43"/>
      <c r="K183" s="43"/>
    </row>
    <row r="184" spans="1:11" ht="13.5" customHeight="1" outlineLevel="1" x14ac:dyDescent="0.25">
      <c r="A184" s="43"/>
      <c r="B184" s="43"/>
      <c r="C184" s="35"/>
      <c r="D184" s="35"/>
      <c r="E184" s="65"/>
      <c r="F184" s="69"/>
      <c r="G184" s="35"/>
      <c r="H184" s="35"/>
      <c r="I184" s="35"/>
      <c r="J184" s="43"/>
      <c r="K184" s="43"/>
    </row>
    <row r="185" spans="1:11" ht="13.5" customHeight="1" outlineLevel="1" x14ac:dyDescent="0.25">
      <c r="A185" s="43"/>
      <c r="B185" s="43"/>
      <c r="C185" s="16"/>
      <c r="D185" s="16"/>
      <c r="E185" s="64"/>
      <c r="F185" s="64"/>
      <c r="G185" s="16"/>
      <c r="H185" s="16"/>
      <c r="I185" s="16"/>
      <c r="J185" s="43"/>
      <c r="K185" s="43"/>
    </row>
    <row r="186" spans="1:11" ht="13.5" customHeight="1" outlineLevel="1" x14ac:dyDescent="0.25">
      <c r="A186" s="43"/>
      <c r="B186" s="43"/>
      <c r="C186" s="35"/>
      <c r="D186" s="35"/>
      <c r="E186" s="65"/>
      <c r="F186" s="69"/>
      <c r="G186" s="35"/>
      <c r="H186" s="35"/>
      <c r="I186" s="35"/>
      <c r="J186" s="43"/>
      <c r="K186" s="43"/>
    </row>
    <row r="187" spans="1:11" ht="13.5" customHeight="1" outlineLevel="1" x14ac:dyDescent="0.25">
      <c r="A187" s="43"/>
      <c r="B187" s="43"/>
      <c r="C187" s="16"/>
      <c r="D187" s="16"/>
      <c r="E187" s="64"/>
      <c r="F187" s="64"/>
      <c r="G187" s="16"/>
      <c r="H187" s="16"/>
      <c r="I187" s="16"/>
      <c r="J187" s="43"/>
      <c r="K187" s="43"/>
    </row>
    <row r="188" spans="1:11" ht="13.5" customHeight="1" outlineLevel="1" x14ac:dyDescent="0.25">
      <c r="A188" s="43"/>
      <c r="B188" s="43"/>
      <c r="C188" s="35"/>
      <c r="D188" s="35"/>
      <c r="E188" s="65"/>
      <c r="F188" s="69"/>
      <c r="G188" s="35"/>
      <c r="H188" s="35"/>
      <c r="I188" s="35"/>
      <c r="J188" s="43"/>
      <c r="K188" s="43"/>
    </row>
    <row r="189" spans="1:11" ht="13.5" customHeight="1" outlineLevel="1" x14ac:dyDescent="0.25">
      <c r="A189" s="43"/>
      <c r="B189" s="43"/>
      <c r="C189" s="16"/>
      <c r="D189" s="16"/>
      <c r="E189" s="64"/>
      <c r="F189" s="64"/>
      <c r="G189" s="16"/>
      <c r="H189" s="16"/>
      <c r="I189" s="16"/>
      <c r="J189" s="43"/>
      <c r="K189" s="43"/>
    </row>
    <row r="190" spans="1:11" ht="13.5" customHeight="1" outlineLevel="1" x14ac:dyDescent="0.25">
      <c r="A190" s="43"/>
      <c r="B190" s="43"/>
      <c r="C190" s="35"/>
      <c r="D190" s="35"/>
      <c r="E190" s="65"/>
      <c r="F190" s="69"/>
      <c r="G190" s="35"/>
      <c r="H190" s="35"/>
      <c r="I190" s="35"/>
      <c r="J190" s="43"/>
      <c r="K190" s="43"/>
    </row>
    <row r="191" spans="1:11" ht="13.5" customHeight="1" outlineLevel="1" x14ac:dyDescent="0.25">
      <c r="A191" s="43"/>
      <c r="B191" s="43"/>
      <c r="C191" s="16"/>
      <c r="D191" s="16"/>
      <c r="E191" s="64"/>
      <c r="F191" s="64"/>
      <c r="G191" s="16"/>
      <c r="H191" s="16"/>
      <c r="I191" s="16"/>
      <c r="J191" s="43"/>
      <c r="K191" s="43"/>
    </row>
    <row r="192" spans="1:11" ht="13.5" customHeight="1" outlineLevel="1" x14ac:dyDescent="0.25">
      <c r="A192" s="43"/>
      <c r="B192" s="43"/>
      <c r="C192" s="35"/>
      <c r="D192" s="35"/>
      <c r="E192" s="65"/>
      <c r="F192" s="69"/>
      <c r="G192" s="35"/>
      <c r="H192" s="35"/>
      <c r="I192" s="35"/>
      <c r="J192" s="43"/>
      <c r="K192" s="43"/>
    </row>
    <row r="193" spans="1:11" ht="13.5" customHeight="1" outlineLevel="1" x14ac:dyDescent="0.25">
      <c r="A193" s="43"/>
      <c r="B193" s="43"/>
      <c r="C193" s="16"/>
      <c r="D193" s="16"/>
      <c r="E193" s="64"/>
      <c r="F193" s="64"/>
      <c r="G193" s="16"/>
      <c r="H193" s="16"/>
      <c r="I193" s="16"/>
      <c r="J193" s="43"/>
      <c r="K193" s="43"/>
    </row>
    <row r="194" spans="1:11" ht="13.5" customHeight="1" outlineLevel="1" x14ac:dyDescent="0.25">
      <c r="A194" s="43"/>
      <c r="B194" s="43"/>
      <c r="C194" s="35"/>
      <c r="D194" s="35"/>
      <c r="E194" s="65"/>
      <c r="F194" s="69"/>
      <c r="G194" s="35"/>
      <c r="H194" s="35"/>
      <c r="I194" s="35"/>
      <c r="J194" s="43"/>
      <c r="K194" s="43"/>
    </row>
    <row r="195" spans="1:11" ht="13.5" customHeight="1" outlineLevel="1" x14ac:dyDescent="0.25">
      <c r="A195" s="43"/>
      <c r="B195" s="43"/>
      <c r="C195" s="16"/>
      <c r="D195" s="16"/>
      <c r="E195" s="64"/>
      <c r="F195" s="64"/>
      <c r="G195" s="16"/>
      <c r="H195" s="16"/>
      <c r="I195" s="16"/>
      <c r="J195" s="43"/>
      <c r="K195" s="43"/>
    </row>
    <row r="196" spans="1:11" ht="13.5" customHeight="1" outlineLevel="1" x14ac:dyDescent="0.25">
      <c r="A196" s="43"/>
      <c r="B196" s="43"/>
      <c r="C196" s="35"/>
      <c r="D196" s="35"/>
      <c r="E196" s="65"/>
      <c r="F196" s="69"/>
      <c r="G196" s="35"/>
      <c r="H196" s="35"/>
      <c r="I196" s="35"/>
      <c r="J196" s="43"/>
      <c r="K196" s="43"/>
    </row>
    <row r="197" spans="1:11" ht="13.5" customHeight="1" outlineLevel="1" x14ac:dyDescent="0.25">
      <c r="A197" s="43"/>
      <c r="B197" s="43"/>
      <c r="C197" s="16"/>
      <c r="D197" s="16"/>
      <c r="E197" s="64"/>
      <c r="F197" s="64"/>
      <c r="G197" s="16"/>
      <c r="H197" s="16"/>
      <c r="I197" s="16"/>
      <c r="J197" s="43"/>
      <c r="K197" s="43"/>
    </row>
    <row r="198" spans="1:11" ht="13.5" customHeight="1" outlineLevel="1" x14ac:dyDescent="0.25">
      <c r="A198" s="43"/>
      <c r="B198" s="43"/>
      <c r="C198" s="35"/>
      <c r="D198" s="35"/>
      <c r="E198" s="65"/>
      <c r="F198" s="69"/>
      <c r="G198" s="35"/>
      <c r="H198" s="35"/>
      <c r="I198" s="35"/>
      <c r="J198" s="43"/>
      <c r="K198" s="43"/>
    </row>
    <row r="199" spans="1:11" ht="13.5" customHeight="1" outlineLevel="1" x14ac:dyDescent="0.25">
      <c r="A199" s="43"/>
      <c r="B199" s="43"/>
      <c r="C199" s="16"/>
      <c r="D199" s="16"/>
      <c r="E199" s="64"/>
      <c r="F199" s="64"/>
      <c r="G199" s="16"/>
      <c r="H199" s="16"/>
      <c r="I199" s="16"/>
      <c r="J199" s="43"/>
      <c r="K199" s="43"/>
    </row>
    <row r="200" spans="1:11" ht="13.5" customHeight="1" outlineLevel="1" x14ac:dyDescent="0.25">
      <c r="A200" s="43"/>
      <c r="B200" s="43"/>
      <c r="C200" s="35"/>
      <c r="D200" s="35"/>
      <c r="E200" s="65"/>
      <c r="F200" s="69"/>
      <c r="G200" s="35"/>
      <c r="H200" s="35"/>
      <c r="I200" s="35"/>
      <c r="J200" s="43"/>
      <c r="K200" s="43"/>
    </row>
    <row r="201" spans="1:11" ht="13.5" customHeight="1" outlineLevel="1" x14ac:dyDescent="0.25">
      <c r="A201" s="43"/>
      <c r="B201" s="43"/>
      <c r="C201" s="16"/>
      <c r="D201" s="16"/>
      <c r="E201" s="64"/>
      <c r="F201" s="64"/>
      <c r="G201" s="16"/>
      <c r="H201" s="16"/>
      <c r="I201" s="16"/>
      <c r="J201" s="43"/>
      <c r="K201" s="43"/>
    </row>
    <row r="202" spans="1:11" ht="13.5" customHeight="1" outlineLevel="1" x14ac:dyDescent="0.25">
      <c r="A202" s="43"/>
      <c r="B202" s="43"/>
      <c r="C202" s="35"/>
      <c r="D202" s="35"/>
      <c r="E202" s="65"/>
      <c r="F202" s="69"/>
      <c r="G202" s="35"/>
      <c r="H202" s="35"/>
      <c r="I202" s="35"/>
      <c r="J202" s="43"/>
      <c r="K202" s="43"/>
    </row>
    <row r="203" spans="1:11" ht="13.5" customHeight="1" outlineLevel="1" x14ac:dyDescent="0.25">
      <c r="A203" s="43"/>
      <c r="B203" s="43"/>
      <c r="C203" s="16"/>
      <c r="D203" s="16"/>
      <c r="E203" s="64"/>
      <c r="F203" s="64"/>
      <c r="G203" s="16"/>
      <c r="H203" s="16"/>
      <c r="I203" s="16"/>
      <c r="J203" s="43"/>
      <c r="K203" s="43"/>
    </row>
    <row r="204" spans="1:11" ht="13.5" customHeight="1" outlineLevel="1" x14ac:dyDescent="0.25">
      <c r="A204" s="43"/>
      <c r="B204" s="43"/>
      <c r="C204" s="35"/>
      <c r="D204" s="35"/>
      <c r="E204" s="65"/>
      <c r="F204" s="69"/>
      <c r="G204" s="35"/>
      <c r="H204" s="35"/>
      <c r="I204" s="35"/>
      <c r="J204" s="43"/>
      <c r="K204" s="43"/>
    </row>
    <row r="205" spans="1:11" ht="13.5" customHeight="1" outlineLevel="1" x14ac:dyDescent="0.25">
      <c r="A205" s="43"/>
      <c r="B205" s="43"/>
      <c r="C205" s="16"/>
      <c r="D205" s="16"/>
      <c r="E205" s="64"/>
      <c r="F205" s="64"/>
      <c r="G205" s="16"/>
      <c r="H205" s="16"/>
      <c r="I205" s="16"/>
      <c r="J205" s="43"/>
      <c r="K205" s="43"/>
    </row>
    <row r="206" spans="1:11" ht="13.5" customHeight="1" outlineLevel="1" x14ac:dyDescent="0.25">
      <c r="A206" s="43"/>
      <c r="B206" s="43"/>
      <c r="C206" s="35"/>
      <c r="D206" s="35"/>
      <c r="E206" s="65"/>
      <c r="F206" s="69"/>
      <c r="G206" s="35"/>
      <c r="H206" s="35"/>
      <c r="I206" s="35"/>
      <c r="J206" s="43"/>
      <c r="K206" s="43"/>
    </row>
    <row r="207" spans="1:11" ht="13.5" customHeight="1" outlineLevel="1" x14ac:dyDescent="0.25">
      <c r="A207" s="43"/>
      <c r="B207" s="43"/>
      <c r="C207" s="16"/>
      <c r="D207" s="16"/>
      <c r="E207" s="64"/>
      <c r="F207" s="64"/>
      <c r="G207" s="16"/>
      <c r="H207" s="16"/>
      <c r="I207" s="16"/>
      <c r="J207" s="43"/>
      <c r="K207" s="43"/>
    </row>
    <row r="208" spans="1:11" ht="13.5" customHeight="1" outlineLevel="1" x14ac:dyDescent="0.25">
      <c r="A208" s="43"/>
      <c r="B208" s="43"/>
      <c r="C208" s="35"/>
      <c r="D208" s="35"/>
      <c r="E208" s="65"/>
      <c r="F208" s="69"/>
      <c r="G208" s="35"/>
      <c r="H208" s="35"/>
      <c r="I208" s="35"/>
      <c r="J208" s="43"/>
      <c r="K208" s="43"/>
    </row>
    <row r="209" spans="1:11" ht="13.5" customHeight="1" outlineLevel="1" x14ac:dyDescent="0.25">
      <c r="A209" s="43"/>
      <c r="B209" s="43"/>
      <c r="C209" s="16"/>
      <c r="D209" s="16"/>
      <c r="E209" s="64"/>
      <c r="F209" s="64"/>
      <c r="G209" s="16"/>
      <c r="H209" s="16"/>
      <c r="I209" s="16"/>
      <c r="J209" s="43"/>
      <c r="K209" s="43"/>
    </row>
    <row r="210" spans="1:11" ht="13.5" customHeight="1" outlineLevel="1" x14ac:dyDescent="0.25">
      <c r="A210" s="43"/>
      <c r="B210" s="43"/>
      <c r="C210" s="35"/>
      <c r="D210" s="35"/>
      <c r="E210" s="65"/>
      <c r="F210" s="69"/>
      <c r="G210" s="35"/>
      <c r="H210" s="35"/>
      <c r="I210" s="35"/>
      <c r="J210" s="43"/>
      <c r="K210" s="43"/>
    </row>
    <row r="211" spans="1:11" ht="13.5" customHeight="1" outlineLevel="1" x14ac:dyDescent="0.25">
      <c r="A211" s="43"/>
      <c r="B211" s="43"/>
      <c r="C211" s="16"/>
      <c r="D211" s="16"/>
      <c r="E211" s="64"/>
      <c r="F211" s="64"/>
      <c r="G211" s="16"/>
      <c r="H211" s="16"/>
      <c r="I211" s="16"/>
      <c r="J211" s="43"/>
      <c r="K211" s="43"/>
    </row>
    <row r="212" spans="1:11" ht="13.5" customHeight="1" outlineLevel="1" x14ac:dyDescent="0.25">
      <c r="A212" s="43"/>
      <c r="B212" s="43"/>
      <c r="C212" s="35"/>
      <c r="D212" s="35"/>
      <c r="E212" s="65"/>
      <c r="F212" s="69"/>
      <c r="G212" s="35"/>
      <c r="H212" s="35"/>
      <c r="I212" s="35"/>
      <c r="J212" s="43"/>
      <c r="K212" s="43"/>
    </row>
    <row r="213" spans="1:11" ht="13.5" customHeight="1" outlineLevel="1" x14ac:dyDescent="0.25">
      <c r="A213" s="43"/>
      <c r="B213" s="43"/>
      <c r="C213" s="16"/>
      <c r="D213" s="16"/>
      <c r="E213" s="64"/>
      <c r="F213" s="64"/>
      <c r="G213" s="16"/>
      <c r="H213" s="16"/>
      <c r="I213" s="16"/>
      <c r="J213" s="43"/>
      <c r="K213" s="43"/>
    </row>
    <row r="214" spans="1:11" ht="13.5" customHeight="1" outlineLevel="1" x14ac:dyDescent="0.25">
      <c r="A214" s="43"/>
      <c r="B214" s="43"/>
      <c r="C214" s="35"/>
      <c r="D214" s="35"/>
      <c r="E214" s="65"/>
      <c r="F214" s="69"/>
      <c r="G214" s="35"/>
      <c r="H214" s="35"/>
      <c r="I214" s="35"/>
      <c r="J214" s="43"/>
      <c r="K214" s="43"/>
    </row>
    <row r="215" spans="1:11" ht="13.5" customHeight="1" outlineLevel="1" x14ac:dyDescent="0.25">
      <c r="A215" s="43"/>
      <c r="B215" s="43"/>
      <c r="C215" s="16"/>
      <c r="D215" s="16"/>
      <c r="E215" s="64"/>
      <c r="F215" s="64"/>
      <c r="G215" s="16"/>
      <c r="H215" s="16"/>
      <c r="I215" s="16"/>
      <c r="J215" s="43"/>
      <c r="K215" s="43"/>
    </row>
    <row r="216" spans="1:11" ht="13.5" customHeight="1" outlineLevel="1" x14ac:dyDescent="0.25">
      <c r="A216" s="43"/>
      <c r="B216" s="43"/>
      <c r="C216" s="35"/>
      <c r="D216" s="35"/>
      <c r="E216" s="65"/>
      <c r="F216" s="69"/>
      <c r="G216" s="35"/>
      <c r="H216" s="35"/>
      <c r="I216" s="35"/>
      <c r="J216" s="43"/>
      <c r="K216" s="43"/>
    </row>
    <row r="217" spans="1:11" ht="13.5" customHeight="1" outlineLevel="1" x14ac:dyDescent="0.25">
      <c r="A217" s="43"/>
      <c r="B217" s="43"/>
      <c r="C217" s="16"/>
      <c r="D217" s="16"/>
      <c r="E217" s="64"/>
      <c r="F217" s="64"/>
      <c r="G217" s="16"/>
      <c r="H217" s="16"/>
      <c r="I217" s="16"/>
      <c r="J217" s="43"/>
      <c r="K217" s="43"/>
    </row>
    <row r="218" spans="1:11" ht="13.5" customHeight="1" outlineLevel="1" x14ac:dyDescent="0.25">
      <c r="A218" s="43"/>
      <c r="B218" s="43"/>
      <c r="C218" s="35"/>
      <c r="D218" s="35"/>
      <c r="E218" s="65"/>
      <c r="F218" s="69"/>
      <c r="G218" s="35"/>
      <c r="H218" s="35"/>
      <c r="I218" s="35"/>
      <c r="J218" s="43"/>
      <c r="K218" s="43"/>
    </row>
    <row r="219" spans="1:11" ht="13.5" customHeight="1" outlineLevel="1" x14ac:dyDescent="0.25">
      <c r="A219" s="43"/>
      <c r="B219" s="43"/>
      <c r="C219" s="16"/>
      <c r="D219" s="16"/>
      <c r="E219" s="64"/>
      <c r="F219" s="64"/>
      <c r="G219" s="16"/>
      <c r="H219" s="16"/>
      <c r="I219" s="16"/>
      <c r="J219" s="43"/>
      <c r="K219" s="43"/>
    </row>
    <row r="220" spans="1:11" ht="13.5" customHeight="1" outlineLevel="1" x14ac:dyDescent="0.25">
      <c r="A220" s="43"/>
      <c r="B220" s="43"/>
      <c r="C220" s="35"/>
      <c r="D220" s="35"/>
      <c r="E220" s="65"/>
      <c r="F220" s="69"/>
      <c r="G220" s="35"/>
      <c r="H220" s="35"/>
      <c r="I220" s="35"/>
      <c r="J220" s="43"/>
      <c r="K220" s="43"/>
    </row>
    <row r="221" spans="1:11" ht="13.5" customHeight="1" outlineLevel="1" x14ac:dyDescent="0.25">
      <c r="A221" s="43"/>
      <c r="B221" s="43"/>
      <c r="C221" s="16"/>
      <c r="D221" s="16"/>
      <c r="E221" s="64"/>
      <c r="F221" s="64"/>
      <c r="G221" s="16"/>
      <c r="H221" s="16"/>
      <c r="I221" s="16"/>
      <c r="J221" s="43"/>
      <c r="K221" s="43"/>
    </row>
    <row r="222" spans="1:11" ht="13.5" customHeight="1" outlineLevel="1" x14ac:dyDescent="0.25">
      <c r="A222" s="43"/>
      <c r="B222" s="43"/>
      <c r="C222" s="35"/>
      <c r="D222" s="35"/>
      <c r="E222" s="65"/>
      <c r="F222" s="69"/>
      <c r="G222" s="35"/>
      <c r="H222" s="35"/>
      <c r="I222" s="35"/>
      <c r="J222" s="43"/>
      <c r="K222" s="43"/>
    </row>
    <row r="223" spans="1:11" ht="13.5" customHeight="1" outlineLevel="1" x14ac:dyDescent="0.25">
      <c r="A223" s="43"/>
      <c r="B223" s="43"/>
      <c r="C223" s="16"/>
      <c r="D223" s="16"/>
      <c r="E223" s="64"/>
      <c r="F223" s="64"/>
      <c r="G223" s="16"/>
      <c r="H223" s="16"/>
      <c r="I223" s="16"/>
      <c r="J223" s="43"/>
      <c r="K223" s="43"/>
    </row>
    <row r="224" spans="1:11" ht="13.5" customHeight="1" outlineLevel="1" x14ac:dyDescent="0.25">
      <c r="A224" s="43"/>
      <c r="B224" s="43"/>
      <c r="C224" s="35"/>
      <c r="D224" s="35"/>
      <c r="E224" s="65"/>
      <c r="F224" s="69"/>
      <c r="G224" s="35"/>
      <c r="H224" s="35"/>
      <c r="I224" s="35"/>
      <c r="J224" s="43"/>
      <c r="K224" s="43"/>
    </row>
    <row r="225" spans="1:11" ht="13.5" customHeight="1" outlineLevel="1" x14ac:dyDescent="0.25">
      <c r="A225" s="43"/>
      <c r="B225" s="43"/>
      <c r="C225" s="16"/>
      <c r="D225" s="16"/>
      <c r="E225" s="64"/>
      <c r="F225" s="64"/>
      <c r="G225" s="16"/>
      <c r="H225" s="16"/>
      <c r="I225" s="16"/>
      <c r="J225" s="43"/>
      <c r="K225" s="43"/>
    </row>
    <row r="226" spans="1:11" ht="13.5" customHeight="1" outlineLevel="1" x14ac:dyDescent="0.25">
      <c r="A226" s="43"/>
      <c r="B226" s="43"/>
      <c r="C226" s="35"/>
      <c r="D226" s="35"/>
      <c r="E226" s="65"/>
      <c r="F226" s="69"/>
      <c r="G226" s="35"/>
      <c r="H226" s="35"/>
      <c r="I226" s="35"/>
      <c r="J226" s="43"/>
      <c r="K226" s="43"/>
    </row>
    <row r="227" spans="1:11" ht="13.5" customHeight="1" outlineLevel="1" x14ac:dyDescent="0.25">
      <c r="A227" s="43"/>
      <c r="B227" s="43"/>
      <c r="C227" s="16"/>
      <c r="D227" s="16"/>
      <c r="E227" s="64"/>
      <c r="F227" s="64"/>
      <c r="G227" s="16"/>
      <c r="H227" s="16"/>
      <c r="I227" s="16"/>
      <c r="J227" s="43"/>
      <c r="K227" s="43"/>
    </row>
    <row r="228" spans="1:11" ht="13.5" customHeight="1" outlineLevel="1" x14ac:dyDescent="0.25">
      <c r="A228" s="43"/>
      <c r="B228" s="43"/>
      <c r="C228" s="35"/>
      <c r="D228" s="35"/>
      <c r="E228" s="65"/>
      <c r="F228" s="69"/>
      <c r="G228" s="35"/>
      <c r="H228" s="35"/>
      <c r="I228" s="35"/>
      <c r="J228" s="43"/>
      <c r="K228" s="43"/>
    </row>
    <row r="229" spans="1:11" ht="13.5" customHeight="1" outlineLevel="1" x14ac:dyDescent="0.25">
      <c r="A229" s="43"/>
      <c r="B229" s="43"/>
      <c r="C229" s="16"/>
      <c r="D229" s="16"/>
      <c r="E229" s="64"/>
      <c r="F229" s="64"/>
      <c r="G229" s="16"/>
      <c r="H229" s="16"/>
      <c r="I229" s="16"/>
      <c r="J229" s="43"/>
      <c r="K229" s="43"/>
    </row>
    <row r="230" spans="1:11" ht="13.5" customHeight="1" outlineLevel="1" x14ac:dyDescent="0.25">
      <c r="A230" s="43"/>
      <c r="B230" s="43"/>
      <c r="C230" s="35"/>
      <c r="D230" s="35"/>
      <c r="E230" s="65"/>
      <c r="F230" s="69"/>
      <c r="G230" s="35"/>
      <c r="H230" s="35"/>
      <c r="I230" s="35"/>
      <c r="J230" s="43"/>
      <c r="K230" s="43"/>
    </row>
    <row r="231" spans="1:11" ht="13.5" customHeight="1" outlineLevel="1" x14ac:dyDescent="0.25">
      <c r="A231" s="43"/>
      <c r="B231" s="43"/>
      <c r="C231" s="16"/>
      <c r="D231" s="16"/>
      <c r="E231" s="64"/>
      <c r="F231" s="64"/>
      <c r="G231" s="16"/>
      <c r="H231" s="16"/>
      <c r="I231" s="16"/>
      <c r="J231" s="43"/>
      <c r="K231" s="43"/>
    </row>
    <row r="232" spans="1:11" ht="13.5" customHeight="1" outlineLevel="1" x14ac:dyDescent="0.25">
      <c r="A232" s="43"/>
      <c r="B232" s="43"/>
      <c r="C232" s="35"/>
      <c r="D232" s="35"/>
      <c r="E232" s="65"/>
      <c r="F232" s="69"/>
      <c r="G232" s="35"/>
      <c r="H232" s="35"/>
      <c r="I232" s="35"/>
      <c r="J232" s="43"/>
      <c r="K232" s="43"/>
    </row>
    <row r="233" spans="1:11" ht="13.5" customHeight="1" outlineLevel="1" x14ac:dyDescent="0.25">
      <c r="A233" s="43"/>
      <c r="B233" s="43"/>
      <c r="C233" s="16"/>
      <c r="D233" s="16"/>
      <c r="E233" s="64"/>
      <c r="F233" s="64"/>
      <c r="G233" s="16"/>
      <c r="H233" s="16"/>
      <c r="I233" s="16"/>
      <c r="J233" s="43"/>
      <c r="K233" s="43"/>
    </row>
    <row r="234" spans="1:11" ht="13.5" customHeight="1" outlineLevel="1" x14ac:dyDescent="0.25">
      <c r="A234" s="43"/>
      <c r="B234" s="43"/>
      <c r="C234" s="35"/>
      <c r="D234" s="35"/>
      <c r="E234" s="65"/>
      <c r="F234" s="69"/>
      <c r="G234" s="35"/>
      <c r="H234" s="35"/>
      <c r="I234" s="35"/>
      <c r="J234" s="43"/>
      <c r="K234" s="43"/>
    </row>
    <row r="235" spans="1:11" ht="13.5" customHeight="1" outlineLevel="1" x14ac:dyDescent="0.25">
      <c r="A235" s="43"/>
      <c r="B235" s="43"/>
      <c r="C235" s="16"/>
      <c r="D235" s="16"/>
      <c r="E235" s="64"/>
      <c r="F235" s="64"/>
      <c r="G235" s="16"/>
      <c r="H235" s="16"/>
      <c r="I235" s="16"/>
      <c r="J235" s="43"/>
      <c r="K235" s="43"/>
    </row>
    <row r="236" spans="1:11" ht="13.5" customHeight="1" outlineLevel="1" x14ac:dyDescent="0.25">
      <c r="A236" s="43"/>
      <c r="B236" s="43"/>
      <c r="C236" s="35"/>
      <c r="D236" s="35"/>
      <c r="E236" s="65"/>
      <c r="F236" s="69"/>
      <c r="G236" s="35"/>
      <c r="H236" s="35"/>
      <c r="I236" s="35"/>
      <c r="J236" s="43"/>
      <c r="K236" s="43"/>
    </row>
    <row r="237" spans="1:11" ht="13.5" customHeight="1" outlineLevel="1" x14ac:dyDescent="0.25">
      <c r="A237" s="43"/>
      <c r="B237" s="43"/>
      <c r="C237" s="16"/>
      <c r="D237" s="16"/>
      <c r="E237" s="64"/>
      <c r="F237" s="64"/>
      <c r="G237" s="16"/>
      <c r="H237" s="16"/>
      <c r="I237" s="16"/>
      <c r="J237" s="43"/>
      <c r="K237" s="43"/>
    </row>
    <row r="238" spans="1:11" ht="13.5" customHeight="1" outlineLevel="1" x14ac:dyDescent="0.25">
      <c r="A238" s="43"/>
      <c r="B238" s="43"/>
      <c r="C238" s="35"/>
      <c r="D238" s="35"/>
      <c r="E238" s="65"/>
      <c r="F238" s="69"/>
      <c r="G238" s="35"/>
      <c r="H238" s="35"/>
      <c r="I238" s="35"/>
      <c r="J238" s="43"/>
      <c r="K238" s="43"/>
    </row>
    <row r="239" spans="1:11" ht="13.5" customHeight="1" outlineLevel="1" x14ac:dyDescent="0.25">
      <c r="A239" s="43"/>
      <c r="B239" s="43"/>
      <c r="C239" s="16"/>
      <c r="D239" s="16"/>
      <c r="E239" s="64"/>
      <c r="F239" s="64"/>
      <c r="G239" s="16"/>
      <c r="H239" s="16"/>
      <c r="I239" s="16"/>
      <c r="J239" s="43"/>
      <c r="K239" s="43"/>
    </row>
    <row r="240" spans="1:11" ht="13.5" customHeight="1" outlineLevel="1" x14ac:dyDescent="0.25">
      <c r="A240" s="43"/>
      <c r="B240" s="43"/>
      <c r="C240" s="35"/>
      <c r="D240" s="35"/>
      <c r="E240" s="65"/>
      <c r="F240" s="69"/>
      <c r="G240" s="35"/>
      <c r="H240" s="35"/>
      <c r="I240" s="35"/>
      <c r="J240" s="43"/>
      <c r="K240" s="43"/>
    </row>
    <row r="241" spans="1:11" ht="13.5" customHeight="1" outlineLevel="1" x14ac:dyDescent="0.25">
      <c r="A241" s="43"/>
      <c r="B241" s="43"/>
      <c r="C241" s="16"/>
      <c r="D241" s="16"/>
      <c r="E241" s="64"/>
      <c r="F241" s="64"/>
      <c r="G241" s="16"/>
      <c r="H241" s="16"/>
      <c r="I241" s="16"/>
      <c r="J241" s="43"/>
      <c r="K241" s="43"/>
    </row>
    <row r="242" spans="1:11" ht="13.5" customHeight="1" outlineLevel="1" x14ac:dyDescent="0.25">
      <c r="A242" s="43"/>
      <c r="B242" s="43"/>
      <c r="C242" s="35"/>
      <c r="D242" s="35"/>
      <c r="E242" s="65"/>
      <c r="F242" s="69"/>
      <c r="G242" s="35"/>
      <c r="H242" s="35"/>
      <c r="I242" s="35"/>
      <c r="J242" s="43"/>
      <c r="K242" s="43"/>
    </row>
    <row r="243" spans="1:11" ht="13.5" customHeight="1" outlineLevel="1" x14ac:dyDescent="0.25">
      <c r="A243" s="43"/>
      <c r="B243" s="43"/>
      <c r="C243" s="16"/>
      <c r="D243" s="16"/>
      <c r="E243" s="64"/>
      <c r="F243" s="64"/>
      <c r="G243" s="16"/>
      <c r="H243" s="16"/>
      <c r="I243" s="16"/>
      <c r="J243" s="43"/>
      <c r="K243" s="43"/>
    </row>
    <row r="244" spans="1:11" ht="13.5" customHeight="1" outlineLevel="1" x14ac:dyDescent="0.25">
      <c r="A244" s="43"/>
      <c r="B244" s="43"/>
      <c r="C244" s="35"/>
      <c r="D244" s="35"/>
      <c r="E244" s="65"/>
      <c r="F244" s="69"/>
      <c r="G244" s="35"/>
      <c r="H244" s="35"/>
      <c r="I244" s="35"/>
      <c r="J244" s="43"/>
      <c r="K244" s="43"/>
    </row>
    <row r="245" spans="1:11" ht="13.5" customHeight="1" outlineLevel="1" x14ac:dyDescent="0.25">
      <c r="A245" s="43"/>
      <c r="B245" s="43"/>
      <c r="C245" s="16"/>
      <c r="D245" s="16"/>
      <c r="E245" s="64"/>
      <c r="F245" s="64"/>
      <c r="G245" s="16"/>
      <c r="H245" s="16"/>
      <c r="I245" s="16"/>
      <c r="J245" s="43"/>
      <c r="K245" s="43"/>
    </row>
    <row r="246" spans="1:11" ht="13.5" customHeight="1" outlineLevel="1" x14ac:dyDescent="0.25">
      <c r="A246" s="43"/>
      <c r="B246" s="43"/>
      <c r="C246" s="35"/>
      <c r="D246" s="35"/>
      <c r="E246" s="65"/>
      <c r="F246" s="69"/>
      <c r="G246" s="35"/>
      <c r="H246" s="35"/>
      <c r="I246" s="35"/>
      <c r="J246" s="43"/>
      <c r="K246" s="43"/>
    </row>
    <row r="247" spans="1:11" ht="13.5" customHeight="1" outlineLevel="1" x14ac:dyDescent="0.25">
      <c r="A247" s="43"/>
      <c r="B247" s="43"/>
      <c r="C247" s="16"/>
      <c r="D247" s="16"/>
      <c r="E247" s="64"/>
      <c r="F247" s="64"/>
      <c r="G247" s="16"/>
      <c r="H247" s="16"/>
      <c r="I247" s="16"/>
      <c r="J247" s="43"/>
      <c r="K247" s="43"/>
    </row>
    <row r="248" spans="1:11" ht="13.5" customHeight="1" outlineLevel="1" x14ac:dyDescent="0.25">
      <c r="A248" s="43"/>
      <c r="B248" s="43"/>
      <c r="C248" s="35"/>
      <c r="D248" s="35"/>
      <c r="E248" s="65"/>
      <c r="F248" s="69"/>
      <c r="G248" s="35"/>
      <c r="H248" s="35"/>
      <c r="I248" s="35"/>
      <c r="J248" s="43"/>
      <c r="K248" s="43"/>
    </row>
    <row r="249" spans="1:11" ht="13.5" customHeight="1" outlineLevel="1" x14ac:dyDescent="0.25">
      <c r="A249" s="43"/>
      <c r="B249" s="43"/>
      <c r="C249" s="16"/>
      <c r="D249" s="16"/>
      <c r="E249" s="64"/>
      <c r="F249" s="64"/>
      <c r="G249" s="16"/>
      <c r="H249" s="16"/>
      <c r="I249" s="16"/>
      <c r="J249" s="43"/>
      <c r="K249" s="43"/>
    </row>
    <row r="250" spans="1:11" ht="13.5" customHeight="1" outlineLevel="1" x14ac:dyDescent="0.25">
      <c r="A250" s="43"/>
      <c r="B250" s="43"/>
      <c r="C250" s="35"/>
      <c r="D250" s="35"/>
      <c r="E250" s="65"/>
      <c r="F250" s="69"/>
      <c r="G250" s="35"/>
      <c r="H250" s="35"/>
      <c r="I250" s="35"/>
      <c r="J250" s="43"/>
      <c r="K250" s="43"/>
    </row>
    <row r="251" spans="1:11" ht="13.5" customHeight="1" outlineLevel="1" x14ac:dyDescent="0.25">
      <c r="A251" s="43"/>
      <c r="B251" s="43"/>
      <c r="C251" s="16"/>
      <c r="D251" s="16"/>
      <c r="E251" s="64"/>
      <c r="F251" s="64"/>
      <c r="G251" s="16"/>
      <c r="H251" s="16"/>
      <c r="I251" s="16"/>
      <c r="J251" s="43"/>
      <c r="K251" s="43"/>
    </row>
    <row r="252" spans="1:11" ht="13.5" customHeight="1" outlineLevel="1" x14ac:dyDescent="0.25">
      <c r="A252" s="43"/>
      <c r="B252" s="43"/>
      <c r="C252" s="35"/>
      <c r="D252" s="35"/>
      <c r="E252" s="65"/>
      <c r="F252" s="69"/>
      <c r="G252" s="35"/>
      <c r="H252" s="35"/>
      <c r="I252" s="35"/>
      <c r="J252" s="43"/>
      <c r="K252" s="43"/>
    </row>
    <row r="253" spans="1:11" ht="13.5" customHeight="1" outlineLevel="1" x14ac:dyDescent="0.25">
      <c r="A253" s="43"/>
      <c r="B253" s="43"/>
      <c r="C253" s="16"/>
      <c r="D253" s="16"/>
      <c r="E253" s="64"/>
      <c r="F253" s="64"/>
      <c r="G253" s="16"/>
      <c r="H253" s="16"/>
      <c r="I253" s="16"/>
      <c r="J253" s="43"/>
      <c r="K253" s="43"/>
    </row>
    <row r="254" spans="1:11" ht="13.5" customHeight="1" outlineLevel="1" x14ac:dyDescent="0.25">
      <c r="A254" s="43"/>
      <c r="B254" s="43"/>
      <c r="C254" s="35"/>
      <c r="D254" s="35"/>
      <c r="E254" s="65"/>
      <c r="F254" s="69"/>
      <c r="G254" s="35"/>
      <c r="H254" s="35"/>
      <c r="I254" s="35"/>
      <c r="J254" s="43"/>
      <c r="K254" s="43"/>
    </row>
    <row r="255" spans="1:11" ht="13.5" customHeight="1" outlineLevel="1" x14ac:dyDescent="0.25">
      <c r="A255" s="43"/>
      <c r="B255" s="43"/>
      <c r="C255" s="16"/>
      <c r="D255" s="16"/>
      <c r="E255" s="64"/>
      <c r="F255" s="64"/>
      <c r="G255" s="16"/>
      <c r="H255" s="16"/>
      <c r="I255" s="16"/>
      <c r="J255" s="43"/>
      <c r="K255" s="43"/>
    </row>
    <row r="256" spans="1:11" ht="13.5" customHeight="1" outlineLevel="1" x14ac:dyDescent="0.25">
      <c r="A256" s="43"/>
      <c r="B256" s="43"/>
      <c r="C256" s="35"/>
      <c r="D256" s="35"/>
      <c r="E256" s="65"/>
      <c r="F256" s="69"/>
      <c r="G256" s="35"/>
      <c r="H256" s="35"/>
      <c r="I256" s="35"/>
      <c r="J256" s="43"/>
      <c r="K256" s="43"/>
    </row>
    <row r="257" spans="1:11" ht="13.5" customHeight="1" outlineLevel="1" x14ac:dyDescent="0.25">
      <c r="A257" s="43"/>
      <c r="B257" s="43"/>
      <c r="C257" s="16"/>
      <c r="D257" s="16"/>
      <c r="E257" s="64"/>
      <c r="F257" s="64"/>
      <c r="G257" s="16"/>
      <c r="H257" s="16"/>
      <c r="I257" s="16"/>
      <c r="J257" s="43"/>
      <c r="K257" s="43"/>
    </row>
    <row r="258" spans="1:11" ht="13.5" customHeight="1" outlineLevel="1" x14ac:dyDescent="0.25">
      <c r="A258" s="43"/>
      <c r="B258" s="43"/>
      <c r="C258" s="35"/>
      <c r="D258" s="35"/>
      <c r="E258" s="65"/>
      <c r="F258" s="69"/>
      <c r="G258" s="35"/>
      <c r="H258" s="35"/>
      <c r="I258" s="35"/>
      <c r="J258" s="43"/>
      <c r="K258" s="43"/>
    </row>
    <row r="259" spans="1:11" ht="13.5" customHeight="1" outlineLevel="1" x14ac:dyDescent="0.25">
      <c r="A259" s="43"/>
      <c r="B259" s="43"/>
      <c r="C259" s="16"/>
      <c r="D259" s="16"/>
      <c r="E259" s="64"/>
      <c r="F259" s="64"/>
      <c r="G259" s="16"/>
      <c r="H259" s="16"/>
      <c r="I259" s="16"/>
      <c r="J259" s="43"/>
      <c r="K259" s="43"/>
    </row>
    <row r="260" spans="1:11" ht="13.5" customHeight="1" outlineLevel="1" x14ac:dyDescent="0.25">
      <c r="A260" s="43"/>
      <c r="B260" s="43"/>
      <c r="C260" s="35"/>
      <c r="D260" s="35"/>
      <c r="E260" s="65"/>
      <c r="F260" s="69"/>
      <c r="G260" s="35"/>
      <c r="H260" s="35"/>
      <c r="I260" s="35"/>
      <c r="J260" s="43"/>
      <c r="K260" s="43"/>
    </row>
    <row r="261" spans="1:11" ht="13.5" customHeight="1" outlineLevel="1" x14ac:dyDescent="0.25">
      <c r="A261" s="43"/>
      <c r="B261" s="43"/>
      <c r="C261" s="16"/>
      <c r="D261" s="16"/>
      <c r="E261" s="64"/>
      <c r="F261" s="64"/>
      <c r="G261" s="16"/>
      <c r="H261" s="16"/>
      <c r="I261" s="16"/>
      <c r="J261" s="43"/>
      <c r="K261" s="43"/>
    </row>
    <row r="262" spans="1:11" ht="13.5" customHeight="1" outlineLevel="1" x14ac:dyDescent="0.25">
      <c r="A262" s="43"/>
      <c r="B262" s="43"/>
      <c r="C262" s="35"/>
      <c r="D262" s="35"/>
      <c r="E262" s="65"/>
      <c r="F262" s="69"/>
      <c r="G262" s="35"/>
      <c r="H262" s="35"/>
      <c r="I262" s="35"/>
      <c r="J262" s="43"/>
      <c r="K262" s="43"/>
    </row>
    <row r="263" spans="1:11" ht="13.5" customHeight="1" outlineLevel="1" x14ac:dyDescent="0.25">
      <c r="A263" s="43"/>
      <c r="B263" s="43"/>
      <c r="C263" s="16"/>
      <c r="D263" s="16"/>
      <c r="E263" s="64"/>
      <c r="F263" s="64"/>
      <c r="G263" s="16"/>
      <c r="H263" s="16"/>
      <c r="I263" s="16"/>
      <c r="J263" s="43"/>
      <c r="K263" s="43"/>
    </row>
    <row r="264" spans="1:11" ht="13.5" customHeight="1" outlineLevel="1" x14ac:dyDescent="0.25">
      <c r="A264" s="43"/>
      <c r="B264" s="43"/>
      <c r="C264" s="35"/>
      <c r="D264" s="35"/>
      <c r="E264" s="65"/>
      <c r="F264" s="69"/>
      <c r="G264" s="35"/>
      <c r="H264" s="35"/>
      <c r="I264" s="35"/>
      <c r="J264" s="43"/>
      <c r="K264" s="43"/>
    </row>
    <row r="265" spans="1:11" ht="13.5" customHeight="1" outlineLevel="1" x14ac:dyDescent="0.25">
      <c r="A265" s="43"/>
      <c r="B265" s="43"/>
      <c r="C265" s="16"/>
      <c r="D265" s="16"/>
      <c r="E265" s="64"/>
      <c r="F265" s="64"/>
      <c r="G265" s="16"/>
      <c r="H265" s="16"/>
      <c r="I265" s="16"/>
      <c r="J265" s="43"/>
      <c r="K265" s="43"/>
    </row>
    <row r="266" spans="1:11" ht="13.5" customHeight="1" outlineLevel="1" x14ac:dyDescent="0.25">
      <c r="A266" s="43"/>
      <c r="B266" s="43"/>
      <c r="C266" s="35"/>
      <c r="D266" s="35"/>
      <c r="E266" s="65"/>
      <c r="F266" s="69"/>
      <c r="G266" s="35"/>
      <c r="H266" s="35"/>
      <c r="I266" s="35"/>
      <c r="J266" s="43"/>
      <c r="K266" s="43"/>
    </row>
    <row r="267" spans="1:11" ht="13.5" customHeight="1" outlineLevel="1" x14ac:dyDescent="0.25">
      <c r="A267" s="43"/>
      <c r="B267" s="43"/>
      <c r="C267" s="16"/>
      <c r="D267" s="16"/>
      <c r="E267" s="64"/>
      <c r="F267" s="64"/>
      <c r="G267" s="16"/>
      <c r="H267" s="16"/>
      <c r="I267" s="16"/>
      <c r="J267" s="43"/>
      <c r="K267" s="43"/>
    </row>
    <row r="268" spans="1:11" ht="13.5" customHeight="1" outlineLevel="1" x14ac:dyDescent="0.25">
      <c r="A268" s="43"/>
      <c r="B268" s="43"/>
      <c r="C268" s="35"/>
      <c r="D268" s="35"/>
      <c r="E268" s="65"/>
      <c r="F268" s="69"/>
      <c r="G268" s="35"/>
      <c r="H268" s="35"/>
      <c r="I268" s="35"/>
      <c r="J268" s="43"/>
      <c r="K268" s="43"/>
    </row>
    <row r="269" spans="1:11" ht="13.5" customHeight="1" outlineLevel="1" x14ac:dyDescent="0.25">
      <c r="A269" s="43"/>
      <c r="B269" s="43"/>
      <c r="C269" s="16"/>
      <c r="D269" s="16"/>
      <c r="E269" s="64"/>
      <c r="F269" s="64"/>
      <c r="G269" s="16"/>
      <c r="H269" s="16"/>
      <c r="I269" s="16"/>
      <c r="J269" s="43"/>
      <c r="K269" s="43"/>
    </row>
    <row r="270" spans="1:11" ht="13.5" customHeight="1" outlineLevel="1" x14ac:dyDescent="0.25">
      <c r="A270" s="43"/>
      <c r="B270" s="43"/>
      <c r="C270" s="35"/>
      <c r="D270" s="35"/>
      <c r="E270" s="65"/>
      <c r="F270" s="69"/>
      <c r="G270" s="35"/>
      <c r="H270" s="35"/>
      <c r="I270" s="35"/>
      <c r="J270" s="43"/>
      <c r="K270" s="43"/>
    </row>
    <row r="271" spans="1:11" ht="13.5" customHeight="1" outlineLevel="1" x14ac:dyDescent="0.25">
      <c r="A271" s="43"/>
      <c r="B271" s="43"/>
      <c r="C271" s="16"/>
      <c r="D271" s="16"/>
      <c r="E271" s="64"/>
      <c r="F271" s="64"/>
      <c r="G271" s="16"/>
      <c r="H271" s="16"/>
      <c r="I271" s="16"/>
      <c r="J271" s="43"/>
      <c r="K271" s="43"/>
    </row>
    <row r="272" spans="1:11" ht="13.5" customHeight="1" outlineLevel="1" x14ac:dyDescent="0.25">
      <c r="A272" s="43"/>
      <c r="B272" s="43"/>
      <c r="C272" s="35"/>
      <c r="D272" s="35"/>
      <c r="E272" s="65"/>
      <c r="F272" s="69"/>
      <c r="G272" s="35"/>
      <c r="H272" s="35"/>
      <c r="I272" s="35"/>
      <c r="J272" s="43"/>
      <c r="K272" s="43"/>
    </row>
    <row r="273" spans="1:11" ht="13.5" customHeight="1" outlineLevel="1" x14ac:dyDescent="0.25">
      <c r="A273" s="43"/>
      <c r="B273" s="43"/>
      <c r="C273" s="16"/>
      <c r="D273" s="16"/>
      <c r="E273" s="64"/>
      <c r="F273" s="64"/>
      <c r="G273" s="16"/>
      <c r="H273" s="16"/>
      <c r="I273" s="16"/>
      <c r="J273" s="43"/>
      <c r="K273" s="43"/>
    </row>
    <row r="274" spans="1:11" ht="13.5" customHeight="1" outlineLevel="1" x14ac:dyDescent="0.25">
      <c r="A274" s="43"/>
      <c r="B274" s="43"/>
      <c r="C274" s="35"/>
      <c r="D274" s="35"/>
      <c r="E274" s="65"/>
      <c r="F274" s="69"/>
      <c r="G274" s="35"/>
      <c r="H274" s="35"/>
      <c r="I274" s="35"/>
      <c r="J274" s="43"/>
      <c r="K274" s="43"/>
    </row>
    <row r="275" spans="1:11" ht="13.5" customHeight="1" outlineLevel="1" x14ac:dyDescent="0.25">
      <c r="A275" s="43"/>
      <c r="B275" s="43"/>
      <c r="C275" s="16"/>
      <c r="D275" s="16"/>
      <c r="E275" s="64"/>
      <c r="F275" s="64"/>
      <c r="G275" s="16"/>
      <c r="H275" s="16"/>
      <c r="I275" s="16"/>
      <c r="J275" s="43"/>
      <c r="K275" s="43"/>
    </row>
    <row r="276" spans="1:11" ht="13.5" customHeight="1" outlineLevel="1" x14ac:dyDescent="0.25">
      <c r="A276" s="43"/>
      <c r="B276" s="43"/>
      <c r="C276" s="35"/>
      <c r="D276" s="35"/>
      <c r="E276" s="65"/>
      <c r="F276" s="69"/>
      <c r="G276" s="35"/>
      <c r="H276" s="35"/>
      <c r="I276" s="35"/>
      <c r="J276" s="43"/>
      <c r="K276" s="43"/>
    </row>
    <row r="277" spans="1:11" ht="13.5" customHeight="1" outlineLevel="1" x14ac:dyDescent="0.25">
      <c r="A277" s="43"/>
      <c r="B277" s="43"/>
      <c r="C277" s="16"/>
      <c r="D277" s="16"/>
      <c r="E277" s="64"/>
      <c r="F277" s="64"/>
      <c r="G277" s="16"/>
      <c r="H277" s="16"/>
      <c r="I277" s="16"/>
      <c r="J277" s="43"/>
      <c r="K277" s="43"/>
    </row>
    <row r="278" spans="1:11" ht="13.5" customHeight="1" outlineLevel="1" x14ac:dyDescent="0.25">
      <c r="A278" s="43"/>
      <c r="B278" s="43"/>
      <c r="C278" s="35"/>
      <c r="D278" s="35"/>
      <c r="E278" s="65"/>
      <c r="F278" s="69"/>
      <c r="G278" s="35"/>
      <c r="H278" s="35"/>
      <c r="I278" s="35"/>
      <c r="J278" s="43"/>
      <c r="K278" s="43"/>
    </row>
    <row r="279" spans="1:11" ht="13.5" customHeight="1" outlineLevel="1" x14ac:dyDescent="0.25">
      <c r="A279" s="43"/>
      <c r="B279" s="43"/>
      <c r="C279" s="16"/>
      <c r="D279" s="16"/>
      <c r="E279" s="64"/>
      <c r="F279" s="64"/>
      <c r="G279" s="16"/>
      <c r="H279" s="16"/>
      <c r="I279" s="16"/>
      <c r="J279" s="43"/>
      <c r="K279" s="43"/>
    </row>
    <row r="280" spans="1:11" ht="13.5" customHeight="1" outlineLevel="1" x14ac:dyDescent="0.25">
      <c r="A280" s="43"/>
      <c r="B280" s="43"/>
      <c r="C280" s="35"/>
      <c r="D280" s="35"/>
      <c r="E280" s="65"/>
      <c r="F280" s="69"/>
      <c r="G280" s="35"/>
      <c r="H280" s="35"/>
      <c r="I280" s="35"/>
      <c r="J280" s="43"/>
      <c r="K280" s="43"/>
    </row>
    <row r="281" spans="1:11" ht="13.5" customHeight="1" outlineLevel="1" x14ac:dyDescent="0.25">
      <c r="A281" s="43"/>
      <c r="B281" s="43"/>
      <c r="C281" s="16"/>
      <c r="D281" s="16"/>
      <c r="E281" s="64"/>
      <c r="F281" s="64"/>
      <c r="G281" s="16"/>
      <c r="H281" s="16"/>
      <c r="I281" s="16"/>
      <c r="J281" s="43"/>
      <c r="K281" s="43"/>
    </row>
    <row r="282" spans="1:11" ht="13.5" customHeight="1" outlineLevel="1" x14ac:dyDescent="0.25">
      <c r="A282" s="43"/>
      <c r="B282" s="43"/>
      <c r="C282" s="35"/>
      <c r="D282" s="35"/>
      <c r="E282" s="65"/>
      <c r="F282" s="69"/>
      <c r="G282" s="35"/>
      <c r="H282" s="35"/>
      <c r="I282" s="35"/>
      <c r="J282" s="43"/>
      <c r="K282" s="43"/>
    </row>
    <row r="283" spans="1:11" ht="13.5" customHeight="1" outlineLevel="1" x14ac:dyDescent="0.25">
      <c r="A283" s="43"/>
      <c r="B283" s="43"/>
      <c r="C283" s="16"/>
      <c r="D283" s="16"/>
      <c r="E283" s="64"/>
      <c r="F283" s="64"/>
      <c r="G283" s="16"/>
      <c r="H283" s="16"/>
      <c r="I283" s="16"/>
      <c r="J283" s="43"/>
      <c r="K283" s="43"/>
    </row>
    <row r="284" spans="1:11" ht="13.5" customHeight="1" outlineLevel="1" x14ac:dyDescent="0.25">
      <c r="A284" s="43"/>
      <c r="B284" s="43"/>
      <c r="C284" s="35"/>
      <c r="D284" s="35"/>
      <c r="E284" s="65"/>
      <c r="F284" s="69"/>
      <c r="G284" s="35"/>
      <c r="H284" s="35"/>
      <c r="I284" s="35"/>
      <c r="J284" s="43"/>
      <c r="K284" s="43"/>
    </row>
    <row r="285" spans="1:11" ht="13.5" customHeight="1" outlineLevel="1" x14ac:dyDescent="0.25">
      <c r="A285" s="43"/>
      <c r="B285" s="43"/>
      <c r="C285" s="16"/>
      <c r="D285" s="16"/>
      <c r="E285" s="64"/>
      <c r="F285" s="64"/>
      <c r="G285" s="16"/>
      <c r="H285" s="16"/>
      <c r="I285" s="16"/>
      <c r="J285" s="43"/>
      <c r="K285" s="43"/>
    </row>
    <row r="286" spans="1:11" ht="13.5" customHeight="1" outlineLevel="1" x14ac:dyDescent="0.25">
      <c r="A286" s="43"/>
      <c r="B286" s="43"/>
      <c r="C286" s="35"/>
      <c r="D286" s="35"/>
      <c r="E286" s="65"/>
      <c r="F286" s="69"/>
      <c r="G286" s="35"/>
      <c r="H286" s="35"/>
      <c r="I286" s="35"/>
      <c r="J286" s="43"/>
      <c r="K286" s="43"/>
    </row>
    <row r="287" spans="1:11" ht="13.5" customHeight="1" outlineLevel="1" x14ac:dyDescent="0.25">
      <c r="A287" s="43"/>
      <c r="B287" s="43"/>
      <c r="C287" s="16"/>
      <c r="D287" s="16"/>
      <c r="E287" s="64"/>
      <c r="F287" s="64"/>
      <c r="G287" s="16"/>
      <c r="H287" s="16"/>
      <c r="I287" s="16"/>
      <c r="J287" s="43"/>
      <c r="K287" s="43"/>
    </row>
    <row r="288" spans="1:11" ht="13.5" customHeight="1" outlineLevel="1" x14ac:dyDescent="0.25">
      <c r="A288" s="43"/>
      <c r="B288" s="43"/>
      <c r="C288" s="35"/>
      <c r="D288" s="35"/>
      <c r="E288" s="65"/>
      <c r="F288" s="69"/>
      <c r="G288" s="35"/>
      <c r="H288" s="35"/>
      <c r="I288" s="35"/>
      <c r="J288" s="43"/>
      <c r="K288" s="43"/>
    </row>
    <row r="289" spans="1:11" ht="13.5" customHeight="1" outlineLevel="1" x14ac:dyDescent="0.25">
      <c r="A289" s="43"/>
      <c r="B289" s="43"/>
      <c r="C289" s="16"/>
      <c r="D289" s="16"/>
      <c r="E289" s="64"/>
      <c r="F289" s="64"/>
      <c r="G289" s="16"/>
      <c r="H289" s="16"/>
      <c r="I289" s="16"/>
      <c r="J289" s="43"/>
      <c r="K289" s="43"/>
    </row>
    <row r="290" spans="1:11" ht="13.5" customHeight="1" outlineLevel="1" x14ac:dyDescent="0.25">
      <c r="A290" s="43"/>
      <c r="B290" s="43"/>
      <c r="C290" s="35"/>
      <c r="D290" s="35"/>
      <c r="E290" s="65"/>
      <c r="F290" s="69"/>
      <c r="G290" s="35"/>
      <c r="H290" s="35"/>
      <c r="I290" s="35"/>
      <c r="J290" s="43"/>
      <c r="K290" s="43"/>
    </row>
    <row r="291" spans="1:11" ht="13.5" customHeight="1" outlineLevel="1" x14ac:dyDescent="0.25">
      <c r="A291" s="43"/>
      <c r="B291" s="43"/>
      <c r="C291" s="16"/>
      <c r="D291" s="16"/>
      <c r="E291" s="64"/>
      <c r="F291" s="64"/>
      <c r="G291" s="16"/>
      <c r="H291" s="16"/>
      <c r="I291" s="16"/>
      <c r="J291" s="43"/>
      <c r="K291" s="43"/>
    </row>
    <row r="292" spans="1:11" ht="13.5" customHeight="1" outlineLevel="1" x14ac:dyDescent="0.25">
      <c r="A292" s="43"/>
      <c r="B292" s="43"/>
      <c r="C292" s="35"/>
      <c r="D292" s="35"/>
      <c r="E292" s="65"/>
      <c r="F292" s="69"/>
      <c r="G292" s="35"/>
      <c r="H292" s="35"/>
      <c r="I292" s="35"/>
      <c r="J292" s="43"/>
      <c r="K292" s="43"/>
    </row>
    <row r="293" spans="1:11" ht="13.5" customHeight="1" outlineLevel="1" x14ac:dyDescent="0.25">
      <c r="A293" s="43"/>
      <c r="B293" s="43"/>
      <c r="C293" s="16"/>
      <c r="D293" s="16"/>
      <c r="E293" s="64"/>
      <c r="F293" s="64"/>
      <c r="G293" s="16"/>
      <c r="H293" s="16"/>
      <c r="I293" s="16"/>
      <c r="J293" s="43"/>
      <c r="K293" s="43"/>
    </row>
    <row r="294" spans="1:11" ht="13.5" customHeight="1" outlineLevel="1" x14ac:dyDescent="0.25">
      <c r="A294" s="43"/>
      <c r="B294" s="43"/>
      <c r="C294" s="35"/>
      <c r="D294" s="35"/>
      <c r="E294" s="65"/>
      <c r="F294" s="69"/>
      <c r="G294" s="35"/>
      <c r="H294" s="35"/>
      <c r="I294" s="35"/>
      <c r="J294" s="43"/>
      <c r="K294" s="43"/>
    </row>
    <row r="295" spans="1:11" ht="13.5" customHeight="1" outlineLevel="1" x14ac:dyDescent="0.25">
      <c r="A295" s="43"/>
      <c r="B295" s="43"/>
      <c r="C295" s="16"/>
      <c r="D295" s="16"/>
      <c r="E295" s="64"/>
      <c r="F295" s="64"/>
      <c r="G295" s="16"/>
      <c r="H295" s="16"/>
      <c r="I295" s="16"/>
      <c r="J295" s="43"/>
      <c r="K295" s="43"/>
    </row>
    <row r="296" spans="1:11" ht="13.5" customHeight="1" outlineLevel="1" x14ac:dyDescent="0.25">
      <c r="A296" s="43"/>
      <c r="B296" s="43"/>
      <c r="C296" s="35"/>
      <c r="D296" s="35"/>
      <c r="E296" s="65"/>
      <c r="F296" s="69"/>
      <c r="G296" s="35"/>
      <c r="H296" s="35"/>
      <c r="I296" s="35"/>
      <c r="J296" s="43"/>
      <c r="K296" s="43"/>
    </row>
    <row r="297" spans="1:11" ht="13.5" customHeight="1" outlineLevel="1" x14ac:dyDescent="0.25">
      <c r="A297" s="43"/>
      <c r="B297" s="43"/>
      <c r="C297" s="16"/>
      <c r="D297" s="16"/>
      <c r="E297" s="64"/>
      <c r="F297" s="64"/>
      <c r="G297" s="16"/>
      <c r="H297" s="16"/>
      <c r="I297" s="16"/>
      <c r="J297" s="43"/>
      <c r="K297" s="43"/>
    </row>
    <row r="298" spans="1:11" ht="13.5" customHeight="1" outlineLevel="1" x14ac:dyDescent="0.25">
      <c r="A298" s="43"/>
      <c r="B298" s="43"/>
      <c r="C298" s="35"/>
      <c r="D298" s="35"/>
      <c r="E298" s="65"/>
      <c r="F298" s="69"/>
      <c r="G298" s="35"/>
      <c r="H298" s="35"/>
      <c r="I298" s="35"/>
      <c r="J298" s="43"/>
      <c r="K298" s="43"/>
    </row>
    <row r="299" spans="1:11" ht="13.5" customHeight="1" outlineLevel="1" x14ac:dyDescent="0.25">
      <c r="A299" s="43"/>
      <c r="B299" s="43"/>
      <c r="C299" s="16"/>
      <c r="D299" s="16"/>
      <c r="E299" s="64"/>
      <c r="F299" s="64"/>
      <c r="G299" s="16"/>
      <c r="H299" s="16"/>
      <c r="I299" s="16"/>
      <c r="J299" s="43"/>
      <c r="K299" s="43"/>
    </row>
    <row r="300" spans="1:11" ht="13.5" customHeight="1" outlineLevel="1" x14ac:dyDescent="0.25">
      <c r="A300" s="43"/>
      <c r="B300" s="43"/>
      <c r="C300" s="35"/>
      <c r="D300" s="35"/>
      <c r="E300" s="65"/>
      <c r="F300" s="69"/>
      <c r="G300" s="35"/>
      <c r="H300" s="35"/>
      <c r="I300" s="35"/>
      <c r="J300" s="43"/>
      <c r="K300" s="43"/>
    </row>
    <row r="301" spans="1:11" ht="13.5" customHeight="1" outlineLevel="1" x14ac:dyDescent="0.25">
      <c r="A301" s="43"/>
      <c r="B301" s="43"/>
      <c r="C301" s="16"/>
      <c r="D301" s="16"/>
      <c r="E301" s="64"/>
      <c r="F301" s="64"/>
      <c r="G301" s="16"/>
      <c r="H301" s="16"/>
      <c r="I301" s="16"/>
      <c r="J301" s="43"/>
      <c r="K301" s="43"/>
    </row>
    <row r="302" spans="1:11" ht="13.5" customHeight="1" outlineLevel="1" x14ac:dyDescent="0.25">
      <c r="A302" s="43"/>
      <c r="B302" s="43"/>
      <c r="C302" s="35"/>
      <c r="D302" s="35"/>
      <c r="E302" s="65"/>
      <c r="F302" s="69"/>
      <c r="G302" s="35"/>
      <c r="H302" s="35"/>
      <c r="I302" s="35"/>
      <c r="J302" s="43"/>
      <c r="K302" s="43"/>
    </row>
    <row r="303" spans="1:11" ht="13.5" customHeight="1" outlineLevel="1" x14ac:dyDescent="0.25">
      <c r="A303" s="43"/>
      <c r="B303" s="43"/>
      <c r="C303" s="16"/>
      <c r="D303" s="16"/>
      <c r="E303" s="64"/>
      <c r="F303" s="64"/>
      <c r="G303" s="16"/>
      <c r="H303" s="16"/>
      <c r="I303" s="16"/>
      <c r="J303" s="43"/>
      <c r="K303" s="43"/>
    </row>
    <row r="304" spans="1:11" ht="13.5" customHeight="1" outlineLevel="1" x14ac:dyDescent="0.25">
      <c r="A304" s="43"/>
      <c r="B304" s="43"/>
      <c r="C304" s="35"/>
      <c r="D304" s="35"/>
      <c r="E304" s="65"/>
      <c r="F304" s="69"/>
      <c r="G304" s="35"/>
      <c r="H304" s="35"/>
      <c r="I304" s="35"/>
      <c r="J304" s="43"/>
      <c r="K304" s="43"/>
    </row>
    <row r="305" spans="1:11" ht="13.5" customHeight="1" outlineLevel="1" x14ac:dyDescent="0.25">
      <c r="A305" s="43"/>
      <c r="B305" s="43"/>
      <c r="C305" s="16"/>
      <c r="D305" s="16"/>
      <c r="E305" s="64"/>
      <c r="F305" s="64"/>
      <c r="G305" s="16"/>
      <c r="H305" s="16"/>
      <c r="I305" s="16"/>
      <c r="J305" s="43"/>
      <c r="K305" s="43"/>
    </row>
    <row r="306" spans="1:11" ht="13.5" customHeight="1" outlineLevel="1" x14ac:dyDescent="0.25">
      <c r="A306" s="43"/>
      <c r="B306" s="43"/>
      <c r="C306" s="35"/>
      <c r="D306" s="35"/>
      <c r="E306" s="65"/>
      <c r="F306" s="69"/>
      <c r="G306" s="35"/>
      <c r="H306" s="35"/>
      <c r="I306" s="35"/>
      <c r="J306" s="43"/>
      <c r="K306" s="43"/>
    </row>
    <row r="307" spans="1:11" ht="13.5" customHeight="1" outlineLevel="1" x14ac:dyDescent="0.25">
      <c r="A307" s="43"/>
      <c r="B307" s="43"/>
      <c r="C307" s="16"/>
      <c r="D307" s="16"/>
      <c r="E307" s="64"/>
      <c r="F307" s="64"/>
      <c r="G307" s="16"/>
      <c r="H307" s="16"/>
      <c r="I307" s="16"/>
      <c r="J307" s="43"/>
      <c r="K307" s="43"/>
    </row>
    <row r="308" spans="1:11" ht="13.5" customHeight="1" outlineLevel="1" x14ac:dyDescent="0.25">
      <c r="A308" s="43"/>
      <c r="B308" s="43"/>
      <c r="C308" s="35"/>
      <c r="D308" s="35"/>
      <c r="E308" s="65"/>
      <c r="F308" s="69"/>
      <c r="G308" s="35"/>
      <c r="H308" s="35"/>
      <c r="I308" s="35"/>
      <c r="J308" s="43"/>
      <c r="K308" s="43"/>
    </row>
    <row r="309" spans="1:11" ht="13.5" customHeight="1" outlineLevel="1" x14ac:dyDescent="0.25">
      <c r="A309" s="43"/>
      <c r="B309" s="43"/>
      <c r="C309" s="16"/>
      <c r="D309" s="16"/>
      <c r="E309" s="64"/>
      <c r="F309" s="64"/>
      <c r="G309" s="16"/>
      <c r="H309" s="16"/>
      <c r="I309" s="16"/>
      <c r="J309" s="43"/>
      <c r="K309" s="43"/>
    </row>
    <row r="310" spans="1:11" ht="13.5" customHeight="1" outlineLevel="1" x14ac:dyDescent="0.25">
      <c r="A310" s="43"/>
      <c r="B310" s="43"/>
      <c r="C310" s="35"/>
      <c r="D310" s="35"/>
      <c r="E310" s="65"/>
      <c r="F310" s="69"/>
      <c r="G310" s="35"/>
      <c r="H310" s="35"/>
      <c r="I310" s="35"/>
      <c r="J310" s="43"/>
      <c r="K310" s="43"/>
    </row>
    <row r="311" spans="1:11" ht="13.5" customHeight="1" outlineLevel="1" x14ac:dyDescent="0.25">
      <c r="A311" s="43"/>
      <c r="B311" s="43"/>
      <c r="C311" s="16"/>
      <c r="D311" s="16"/>
      <c r="E311" s="64"/>
      <c r="F311" s="64"/>
      <c r="G311" s="16"/>
      <c r="H311" s="16"/>
      <c r="I311" s="16"/>
      <c r="J311" s="43"/>
      <c r="K311" s="43"/>
    </row>
    <row r="312" spans="1:11" ht="13.5" customHeight="1" outlineLevel="1" x14ac:dyDescent="0.25">
      <c r="A312" s="43"/>
      <c r="B312" s="43"/>
      <c r="C312" s="35"/>
      <c r="D312" s="35"/>
      <c r="E312" s="65"/>
      <c r="F312" s="69"/>
      <c r="G312" s="35"/>
      <c r="H312" s="35"/>
      <c r="I312" s="35"/>
      <c r="J312" s="43"/>
      <c r="K312" s="43"/>
    </row>
    <row r="313" spans="1:11" ht="13.5" customHeight="1" outlineLevel="1" x14ac:dyDescent="0.25">
      <c r="A313" s="43"/>
      <c r="B313" s="43"/>
      <c r="C313" s="16"/>
      <c r="D313" s="16"/>
      <c r="E313" s="64"/>
      <c r="F313" s="64"/>
      <c r="G313" s="16"/>
      <c r="H313" s="16"/>
      <c r="I313" s="16"/>
      <c r="J313" s="43"/>
      <c r="K313" s="43"/>
    </row>
    <row r="314" spans="1:11" ht="13.5" customHeight="1" outlineLevel="1" x14ac:dyDescent="0.25">
      <c r="A314" s="43"/>
      <c r="B314" s="43"/>
      <c r="C314" s="35"/>
      <c r="D314" s="35"/>
      <c r="E314" s="65"/>
      <c r="F314" s="69"/>
      <c r="G314" s="35"/>
      <c r="H314" s="35"/>
      <c r="I314" s="35"/>
      <c r="J314" s="43"/>
      <c r="K314" s="43"/>
    </row>
    <row r="315" spans="1:11" ht="13.5" customHeight="1" outlineLevel="1" x14ac:dyDescent="0.25">
      <c r="A315" s="43"/>
      <c r="B315" s="43"/>
      <c r="C315" s="16"/>
      <c r="D315" s="16"/>
      <c r="E315" s="64"/>
      <c r="F315" s="64"/>
      <c r="G315" s="16"/>
      <c r="H315" s="16"/>
      <c r="I315" s="16"/>
      <c r="J315" s="43"/>
      <c r="K315" s="43"/>
    </row>
    <row r="316" spans="1:11" ht="13.5" customHeight="1" outlineLevel="1" x14ac:dyDescent="0.25">
      <c r="A316" s="43"/>
      <c r="B316" s="43"/>
      <c r="C316" s="35"/>
      <c r="D316" s="35"/>
      <c r="E316" s="65"/>
      <c r="F316" s="69"/>
      <c r="G316" s="35"/>
      <c r="H316" s="35"/>
      <c r="I316" s="35"/>
      <c r="J316" s="43"/>
      <c r="K316" s="43"/>
    </row>
    <row r="317" spans="1:11" ht="13.5" customHeight="1" outlineLevel="1" x14ac:dyDescent="0.25">
      <c r="A317" s="43"/>
      <c r="B317" s="43"/>
      <c r="C317" s="16"/>
      <c r="D317" s="16"/>
      <c r="E317" s="64"/>
      <c r="F317" s="64"/>
      <c r="G317" s="16"/>
      <c r="H317" s="16"/>
      <c r="I317" s="16"/>
      <c r="J317" s="43"/>
      <c r="K317" s="43"/>
    </row>
    <row r="318" spans="1:11" ht="13.5" customHeight="1" outlineLevel="1" x14ac:dyDescent="0.25">
      <c r="A318" s="43"/>
      <c r="B318" s="43"/>
      <c r="C318" s="35"/>
      <c r="D318" s="35"/>
      <c r="E318" s="65"/>
      <c r="F318" s="69"/>
      <c r="G318" s="35"/>
      <c r="H318" s="35"/>
      <c r="I318" s="35"/>
      <c r="J318" s="43"/>
      <c r="K318" s="43"/>
    </row>
    <row r="319" spans="1:11" ht="13.5" customHeight="1" outlineLevel="1" x14ac:dyDescent="0.25">
      <c r="A319" s="43"/>
      <c r="B319" s="43"/>
      <c r="C319" s="16"/>
      <c r="D319" s="16"/>
      <c r="E319" s="64"/>
      <c r="F319" s="64"/>
      <c r="G319" s="16"/>
      <c r="H319" s="16"/>
      <c r="I319" s="16"/>
      <c r="J319" s="43"/>
      <c r="K319" s="43"/>
    </row>
    <row r="320" spans="1:11" ht="13.5" customHeight="1" outlineLevel="1" x14ac:dyDescent="0.25">
      <c r="A320" s="43"/>
      <c r="B320" s="43"/>
      <c r="C320" s="35"/>
      <c r="D320" s="35"/>
      <c r="E320" s="65"/>
      <c r="F320" s="69"/>
      <c r="G320" s="35"/>
      <c r="H320" s="35"/>
      <c r="I320" s="35"/>
      <c r="J320" s="43"/>
      <c r="K320" s="43"/>
    </row>
    <row r="321" spans="1:11" ht="13.5" customHeight="1" outlineLevel="1" x14ac:dyDescent="0.25">
      <c r="A321" s="43"/>
      <c r="B321" s="43"/>
      <c r="C321" s="16"/>
      <c r="D321" s="16"/>
      <c r="E321" s="64"/>
      <c r="F321" s="64"/>
      <c r="G321" s="16"/>
      <c r="H321" s="16"/>
      <c r="I321" s="16"/>
      <c r="J321" s="43"/>
      <c r="K321" s="43"/>
    </row>
    <row r="322" spans="1:11" ht="13.5" customHeight="1" outlineLevel="1" x14ac:dyDescent="0.25">
      <c r="A322" s="43"/>
      <c r="B322" s="43"/>
      <c r="C322" s="35"/>
      <c r="D322" s="35"/>
      <c r="E322" s="65"/>
      <c r="F322" s="69"/>
      <c r="G322" s="35"/>
      <c r="H322" s="35"/>
      <c r="I322" s="35"/>
      <c r="J322" s="43"/>
      <c r="K322" s="43"/>
    </row>
    <row r="323" spans="1:11" ht="13.5" customHeight="1" outlineLevel="1" x14ac:dyDescent="0.25">
      <c r="A323" s="43"/>
      <c r="B323" s="43"/>
      <c r="C323" s="16"/>
      <c r="D323" s="16"/>
      <c r="E323" s="64"/>
      <c r="F323" s="64"/>
      <c r="G323" s="16"/>
      <c r="H323" s="16"/>
      <c r="I323" s="16"/>
      <c r="J323" s="43"/>
      <c r="K323" s="43"/>
    </row>
    <row r="324" spans="1:11" ht="13.5" customHeight="1" outlineLevel="1" x14ac:dyDescent="0.25">
      <c r="A324" s="43"/>
      <c r="B324" s="43"/>
      <c r="C324" s="35"/>
      <c r="D324" s="35"/>
      <c r="E324" s="65"/>
      <c r="F324" s="69"/>
      <c r="G324" s="35"/>
      <c r="H324" s="35"/>
      <c r="I324" s="35"/>
      <c r="J324" s="43"/>
      <c r="K324" s="43"/>
    </row>
    <row r="325" spans="1:11" ht="13.5" customHeight="1" outlineLevel="1" x14ac:dyDescent="0.25">
      <c r="A325" s="43"/>
      <c r="B325" s="43"/>
      <c r="C325" s="16"/>
      <c r="D325" s="16"/>
      <c r="E325" s="64"/>
      <c r="F325" s="64"/>
      <c r="G325" s="16"/>
      <c r="H325" s="16"/>
      <c r="I325" s="16"/>
      <c r="J325" s="43"/>
      <c r="K325" s="43"/>
    </row>
    <row r="326" spans="1:11" ht="13.5" customHeight="1" outlineLevel="1" x14ac:dyDescent="0.25">
      <c r="A326" s="43"/>
      <c r="B326" s="43"/>
      <c r="C326" s="35"/>
      <c r="D326" s="35"/>
      <c r="E326" s="65"/>
      <c r="F326" s="69"/>
      <c r="G326" s="35"/>
      <c r="H326" s="35"/>
      <c r="I326" s="35"/>
      <c r="J326" s="43"/>
      <c r="K326" s="43"/>
    </row>
    <row r="327" spans="1:11" ht="13.5" customHeight="1" outlineLevel="1" x14ac:dyDescent="0.25">
      <c r="A327" s="43"/>
      <c r="B327" s="43"/>
      <c r="C327" s="16"/>
      <c r="D327" s="16"/>
      <c r="E327" s="64"/>
      <c r="F327" s="64"/>
      <c r="G327" s="16"/>
      <c r="H327" s="16"/>
      <c r="I327" s="16"/>
      <c r="J327" s="43"/>
      <c r="K327" s="43"/>
    </row>
    <row r="328" spans="1:11" ht="13.5" customHeight="1" outlineLevel="1" x14ac:dyDescent="0.25">
      <c r="A328" s="43"/>
      <c r="B328" s="43"/>
      <c r="C328" s="35"/>
      <c r="D328" s="35"/>
      <c r="E328" s="65"/>
      <c r="F328" s="69"/>
      <c r="G328" s="35"/>
      <c r="H328" s="35"/>
      <c r="I328" s="35"/>
      <c r="J328" s="43"/>
      <c r="K328" s="43"/>
    </row>
    <row r="329" spans="1:11" ht="13.5" customHeight="1" outlineLevel="1" x14ac:dyDescent="0.25">
      <c r="A329" s="43"/>
      <c r="B329" s="43"/>
      <c r="C329" s="16"/>
      <c r="D329" s="16"/>
      <c r="E329" s="64"/>
      <c r="F329" s="64"/>
      <c r="G329" s="16"/>
      <c r="H329" s="16"/>
      <c r="I329" s="16"/>
      <c r="J329" s="43"/>
      <c r="K329" s="43"/>
    </row>
    <row r="330" spans="1:11" ht="13.5" customHeight="1" outlineLevel="1" x14ac:dyDescent="0.25">
      <c r="A330" s="43"/>
      <c r="B330" s="43"/>
      <c r="C330" s="35"/>
      <c r="D330" s="35"/>
      <c r="E330" s="65"/>
      <c r="F330" s="69"/>
      <c r="G330" s="35"/>
      <c r="H330" s="35"/>
      <c r="I330" s="35"/>
      <c r="J330" s="43"/>
      <c r="K330" s="43"/>
    </row>
    <row r="331" spans="1:11" ht="13.5" customHeight="1" outlineLevel="1" x14ac:dyDescent="0.25">
      <c r="A331" s="43"/>
      <c r="B331" s="43"/>
      <c r="C331" s="16"/>
      <c r="D331" s="16"/>
      <c r="E331" s="64"/>
      <c r="F331" s="64"/>
      <c r="G331" s="16"/>
      <c r="H331" s="16"/>
      <c r="I331" s="16"/>
      <c r="J331" s="43"/>
      <c r="K331" s="43"/>
    </row>
    <row r="332" spans="1:11" ht="13.5" customHeight="1" outlineLevel="1" x14ac:dyDescent="0.25">
      <c r="A332" s="43"/>
      <c r="B332" s="43"/>
      <c r="C332" s="35"/>
      <c r="D332" s="35"/>
      <c r="E332" s="65"/>
      <c r="F332" s="69"/>
      <c r="G332" s="35"/>
      <c r="H332" s="35"/>
      <c r="I332" s="35"/>
      <c r="J332" s="43"/>
      <c r="K332" s="43"/>
    </row>
    <row r="333" spans="1:11" ht="13.5" customHeight="1" outlineLevel="1" x14ac:dyDescent="0.25">
      <c r="A333" s="43"/>
      <c r="B333" s="43"/>
      <c r="C333" s="16"/>
      <c r="D333" s="16"/>
      <c r="E333" s="64"/>
      <c r="F333" s="64"/>
      <c r="G333" s="16"/>
      <c r="H333" s="16"/>
      <c r="I333" s="16"/>
      <c r="J333" s="43"/>
      <c r="K333" s="43"/>
    </row>
    <row r="334" spans="1:11" ht="13.5" customHeight="1" outlineLevel="1" x14ac:dyDescent="0.25">
      <c r="A334" s="43"/>
      <c r="B334" s="43"/>
      <c r="C334" s="35"/>
      <c r="D334" s="35"/>
      <c r="E334" s="65"/>
      <c r="F334" s="69"/>
      <c r="G334" s="35"/>
      <c r="H334" s="35"/>
      <c r="I334" s="35"/>
      <c r="J334" s="43"/>
      <c r="K334" s="43"/>
    </row>
    <row r="335" spans="1:11" ht="13.5" customHeight="1" outlineLevel="1" x14ac:dyDescent="0.25">
      <c r="A335" s="43"/>
      <c r="B335" s="43"/>
      <c r="C335" s="16"/>
      <c r="D335" s="16"/>
      <c r="E335" s="64"/>
      <c r="F335" s="64"/>
      <c r="G335" s="16"/>
      <c r="H335" s="16"/>
      <c r="I335" s="16"/>
      <c r="J335" s="43"/>
      <c r="K335" s="43"/>
    </row>
    <row r="336" spans="1:11" ht="13.5" customHeight="1" outlineLevel="1" x14ac:dyDescent="0.25">
      <c r="A336" s="43"/>
      <c r="B336" s="43"/>
      <c r="C336" s="35"/>
      <c r="D336" s="35"/>
      <c r="E336" s="65"/>
      <c r="F336" s="69"/>
      <c r="G336" s="35"/>
      <c r="H336" s="35"/>
      <c r="I336" s="35"/>
      <c r="J336" s="43"/>
      <c r="K336" s="43"/>
    </row>
    <row r="337" spans="1:11" ht="13.5" customHeight="1" outlineLevel="1" x14ac:dyDescent="0.25">
      <c r="A337" s="43"/>
      <c r="B337" s="43"/>
      <c r="C337" s="16"/>
      <c r="D337" s="16"/>
      <c r="E337" s="64"/>
      <c r="F337" s="64"/>
      <c r="G337" s="16"/>
      <c r="H337" s="16"/>
      <c r="I337" s="16"/>
      <c r="J337" s="43"/>
      <c r="K337" s="43"/>
    </row>
    <row r="338" spans="1:11" ht="13.5" customHeight="1" outlineLevel="1" x14ac:dyDescent="0.25">
      <c r="A338" s="43"/>
      <c r="B338" s="43"/>
      <c r="C338" s="35"/>
      <c r="D338" s="35"/>
      <c r="E338" s="65"/>
      <c r="F338" s="69"/>
      <c r="G338" s="35"/>
      <c r="H338" s="35"/>
      <c r="I338" s="35"/>
      <c r="J338" s="43"/>
      <c r="K338" s="43"/>
    </row>
    <row r="339" spans="1:11" ht="13.5" customHeight="1" outlineLevel="1" x14ac:dyDescent="0.25">
      <c r="A339" s="43"/>
      <c r="B339" s="43"/>
      <c r="C339" s="16"/>
      <c r="D339" s="16"/>
      <c r="E339" s="64"/>
      <c r="F339" s="64"/>
      <c r="G339" s="16"/>
      <c r="H339" s="16"/>
      <c r="I339" s="16"/>
      <c r="J339" s="43"/>
      <c r="K339" s="43"/>
    </row>
    <row r="340" spans="1:11" ht="13.5" customHeight="1" outlineLevel="1" x14ac:dyDescent="0.25">
      <c r="A340" s="43"/>
      <c r="B340" s="43"/>
      <c r="C340" s="35"/>
      <c r="D340" s="35"/>
      <c r="E340" s="65"/>
      <c r="F340" s="69"/>
      <c r="G340" s="35"/>
      <c r="H340" s="35"/>
      <c r="I340" s="35"/>
      <c r="J340" s="43"/>
      <c r="K340" s="43"/>
    </row>
    <row r="341" spans="1:11" ht="13.5" customHeight="1" outlineLevel="1" x14ac:dyDescent="0.25">
      <c r="A341" s="43"/>
      <c r="B341" s="43"/>
      <c r="C341" s="16"/>
      <c r="D341" s="16"/>
      <c r="E341" s="64"/>
      <c r="F341" s="64"/>
      <c r="G341" s="16"/>
      <c r="H341" s="16"/>
      <c r="I341" s="16"/>
      <c r="J341" s="43"/>
      <c r="K341" s="43"/>
    </row>
    <row r="342" spans="1:11" ht="13.5" customHeight="1" outlineLevel="1" x14ac:dyDescent="0.25">
      <c r="A342" s="43"/>
      <c r="B342" s="43"/>
      <c r="C342" s="35"/>
      <c r="D342" s="35"/>
      <c r="E342" s="65"/>
      <c r="F342" s="69"/>
      <c r="G342" s="35"/>
      <c r="H342" s="35"/>
      <c r="I342" s="35"/>
      <c r="J342" s="43"/>
      <c r="K342" s="43"/>
    </row>
    <row r="343" spans="1:11" ht="13.5" customHeight="1" outlineLevel="1" x14ac:dyDescent="0.25">
      <c r="A343" s="43"/>
      <c r="B343" s="43"/>
      <c r="C343" s="16"/>
      <c r="D343" s="16"/>
      <c r="E343" s="64"/>
      <c r="F343" s="64"/>
      <c r="G343" s="16"/>
      <c r="H343" s="16"/>
      <c r="I343" s="16"/>
      <c r="J343" s="43"/>
      <c r="K343" s="43"/>
    </row>
    <row r="344" spans="1:11" ht="13.5" customHeight="1" outlineLevel="1" x14ac:dyDescent="0.25">
      <c r="A344" s="43"/>
      <c r="B344" s="43"/>
      <c r="C344" s="35"/>
      <c r="D344" s="35"/>
      <c r="E344" s="65"/>
      <c r="F344" s="69"/>
      <c r="G344" s="35"/>
      <c r="H344" s="35"/>
      <c r="I344" s="35"/>
      <c r="J344" s="43"/>
      <c r="K344" s="43"/>
    </row>
    <row r="345" spans="1:11" ht="13.5" customHeight="1" outlineLevel="1" x14ac:dyDescent="0.25">
      <c r="A345" s="43"/>
      <c r="B345" s="43"/>
      <c r="C345" s="16"/>
      <c r="D345" s="16"/>
      <c r="E345" s="64"/>
      <c r="F345" s="64"/>
      <c r="G345" s="16"/>
      <c r="H345" s="16"/>
      <c r="I345" s="16"/>
      <c r="J345" s="43"/>
      <c r="K345" s="43"/>
    </row>
    <row r="346" spans="1:11" ht="13.5" customHeight="1" outlineLevel="1" x14ac:dyDescent="0.25">
      <c r="A346" s="43"/>
      <c r="B346" s="43"/>
      <c r="C346" s="35"/>
      <c r="D346" s="35"/>
      <c r="E346" s="65"/>
      <c r="F346" s="69"/>
      <c r="G346" s="35"/>
      <c r="H346" s="35"/>
      <c r="I346" s="35"/>
      <c r="J346" s="43"/>
      <c r="K346" s="43"/>
    </row>
    <row r="347" spans="1:11" ht="13.5" customHeight="1" outlineLevel="1" x14ac:dyDescent="0.25">
      <c r="A347" s="43"/>
      <c r="B347" s="43"/>
      <c r="C347" s="16"/>
      <c r="D347" s="16"/>
      <c r="E347" s="64"/>
      <c r="F347" s="64"/>
      <c r="G347" s="16"/>
      <c r="H347" s="16"/>
      <c r="I347" s="16"/>
      <c r="J347" s="43"/>
      <c r="K347" s="43"/>
    </row>
    <row r="348" spans="1:11" ht="13.5" customHeight="1" outlineLevel="1" x14ac:dyDescent="0.25">
      <c r="A348" s="43"/>
      <c r="B348" s="43"/>
      <c r="C348" s="35"/>
      <c r="D348" s="35"/>
      <c r="E348" s="65"/>
      <c r="F348" s="69"/>
      <c r="G348" s="35"/>
      <c r="H348" s="35"/>
      <c r="I348" s="35"/>
      <c r="J348" s="43"/>
      <c r="K348" s="43"/>
    </row>
    <row r="349" spans="1:11" ht="13.5" customHeight="1" outlineLevel="1" x14ac:dyDescent="0.25">
      <c r="A349" s="43"/>
      <c r="B349" s="43"/>
      <c r="C349" s="16"/>
      <c r="D349" s="16"/>
      <c r="E349" s="64"/>
      <c r="F349" s="64"/>
      <c r="G349" s="16"/>
      <c r="H349" s="16"/>
      <c r="I349" s="16"/>
      <c r="J349" s="43"/>
      <c r="K349" s="43"/>
    </row>
    <row r="350" spans="1:11" ht="13.5" customHeight="1" outlineLevel="1" x14ac:dyDescent="0.25">
      <c r="A350" s="43"/>
      <c r="B350" s="43"/>
      <c r="C350" s="35"/>
      <c r="D350" s="35"/>
      <c r="E350" s="65"/>
      <c r="F350" s="69"/>
      <c r="G350" s="35"/>
      <c r="H350" s="35"/>
      <c r="I350" s="35"/>
      <c r="J350" s="43"/>
      <c r="K350" s="43"/>
    </row>
    <row r="351" spans="1:11" ht="13.5" customHeight="1" outlineLevel="1" x14ac:dyDescent="0.25">
      <c r="A351" s="43"/>
      <c r="B351" s="43"/>
      <c r="C351" s="16"/>
      <c r="D351" s="16"/>
      <c r="E351" s="64"/>
      <c r="F351" s="64"/>
      <c r="G351" s="16"/>
      <c r="H351" s="16"/>
      <c r="I351" s="16"/>
      <c r="J351" s="43"/>
      <c r="K351" s="43"/>
    </row>
    <row r="352" spans="1:11" ht="13.5" customHeight="1" outlineLevel="1" x14ac:dyDescent="0.25">
      <c r="A352" s="43"/>
      <c r="B352" s="43"/>
      <c r="C352" s="35"/>
      <c r="D352" s="35"/>
      <c r="E352" s="65"/>
      <c r="F352" s="69"/>
      <c r="G352" s="35"/>
      <c r="H352" s="35"/>
      <c r="I352" s="35"/>
      <c r="J352" s="43"/>
      <c r="K352" s="43"/>
    </row>
    <row r="353" spans="1:11" ht="13.5" customHeight="1" outlineLevel="1" x14ac:dyDescent="0.25">
      <c r="A353" s="43"/>
      <c r="B353" s="43"/>
      <c r="C353" s="16"/>
      <c r="D353" s="16"/>
      <c r="E353" s="64"/>
      <c r="F353" s="64"/>
      <c r="G353" s="16"/>
      <c r="H353" s="16"/>
      <c r="I353" s="16"/>
      <c r="J353" s="43"/>
      <c r="K353" s="43"/>
    </row>
    <row r="354" spans="1:11" ht="13.5" customHeight="1" outlineLevel="1" x14ac:dyDescent="0.25">
      <c r="A354" s="43"/>
      <c r="B354" s="43"/>
      <c r="C354" s="35"/>
      <c r="D354" s="35"/>
      <c r="E354" s="65"/>
      <c r="F354" s="69"/>
      <c r="G354" s="35"/>
      <c r="H354" s="35"/>
      <c r="I354" s="35"/>
      <c r="J354" s="43"/>
      <c r="K354" s="43"/>
    </row>
    <row r="355" spans="1:11" ht="13.5" customHeight="1" outlineLevel="1" x14ac:dyDescent="0.25">
      <c r="A355" s="43"/>
      <c r="B355" s="43"/>
      <c r="C355" s="16"/>
      <c r="D355" s="16"/>
      <c r="E355" s="64"/>
      <c r="F355" s="64"/>
      <c r="G355" s="16"/>
      <c r="H355" s="16"/>
      <c r="I355" s="16"/>
      <c r="J355" s="43"/>
      <c r="K355" s="43"/>
    </row>
    <row r="356" spans="1:11" ht="13.5" customHeight="1" outlineLevel="1" x14ac:dyDescent="0.25">
      <c r="A356" s="43"/>
      <c r="B356" s="43"/>
      <c r="C356" s="35"/>
      <c r="D356" s="35"/>
      <c r="E356" s="65"/>
      <c r="F356" s="69"/>
      <c r="G356" s="35"/>
      <c r="H356" s="35"/>
      <c r="I356" s="35"/>
      <c r="J356" s="43"/>
      <c r="K356" s="43"/>
    </row>
    <row r="357" spans="1:11" ht="13.5" customHeight="1" outlineLevel="1" x14ac:dyDescent="0.25">
      <c r="A357" s="43"/>
      <c r="B357" s="43"/>
      <c r="C357" s="16"/>
      <c r="D357" s="16"/>
      <c r="E357" s="64"/>
      <c r="F357" s="64"/>
      <c r="G357" s="16"/>
      <c r="H357" s="16"/>
      <c r="I357" s="16"/>
      <c r="J357" s="43"/>
      <c r="K357" s="43"/>
    </row>
    <row r="358" spans="1:11" ht="13.5" customHeight="1" outlineLevel="1" x14ac:dyDescent="0.25">
      <c r="A358" s="43"/>
      <c r="B358" s="43"/>
      <c r="C358" s="35"/>
      <c r="D358" s="35"/>
      <c r="E358" s="65"/>
      <c r="F358" s="69"/>
      <c r="G358" s="35"/>
      <c r="H358" s="35"/>
      <c r="I358" s="35"/>
      <c r="J358" s="43"/>
      <c r="K358" s="43"/>
    </row>
    <row r="359" spans="1:11" ht="13.5" customHeight="1" outlineLevel="1" x14ac:dyDescent="0.25">
      <c r="A359" s="43"/>
      <c r="B359" s="43"/>
      <c r="C359" s="16"/>
      <c r="D359" s="16"/>
      <c r="E359" s="64"/>
      <c r="F359" s="64"/>
      <c r="G359" s="16"/>
      <c r="H359" s="16"/>
      <c r="I359" s="16"/>
      <c r="J359" s="43"/>
      <c r="K359" s="43"/>
    </row>
    <row r="360" spans="1:11" ht="13.5" customHeight="1" outlineLevel="1" x14ac:dyDescent="0.25">
      <c r="A360" s="43"/>
      <c r="B360" s="43"/>
      <c r="C360" s="35"/>
      <c r="D360" s="35"/>
      <c r="E360" s="65"/>
      <c r="F360" s="69"/>
      <c r="G360" s="35"/>
      <c r="H360" s="35"/>
      <c r="I360" s="35"/>
      <c r="J360" s="43"/>
      <c r="K360" s="43"/>
    </row>
    <row r="361" spans="1:11" ht="13.5" customHeight="1" outlineLevel="1" x14ac:dyDescent="0.25">
      <c r="A361" s="43"/>
      <c r="B361" s="43"/>
      <c r="C361" s="16"/>
      <c r="D361" s="16"/>
      <c r="E361" s="64"/>
      <c r="F361" s="64"/>
      <c r="G361" s="16"/>
      <c r="H361" s="16"/>
      <c r="I361" s="16"/>
      <c r="J361" s="43"/>
      <c r="K361" s="43"/>
    </row>
    <row r="362" spans="1:11" ht="13.5" customHeight="1" outlineLevel="1" x14ac:dyDescent="0.25">
      <c r="A362" s="43"/>
      <c r="B362" s="43"/>
      <c r="C362" s="35"/>
      <c r="D362" s="35"/>
      <c r="E362" s="65"/>
      <c r="F362" s="69"/>
      <c r="G362" s="35"/>
      <c r="H362" s="35"/>
      <c r="I362" s="35"/>
      <c r="J362" s="43"/>
      <c r="K362" s="43"/>
    </row>
    <row r="363" spans="1:11" ht="13.5" customHeight="1" outlineLevel="1" x14ac:dyDescent="0.25">
      <c r="A363" s="43"/>
      <c r="B363" s="43"/>
      <c r="C363" s="16"/>
      <c r="D363" s="16"/>
      <c r="E363" s="64"/>
      <c r="F363" s="64"/>
      <c r="G363" s="16"/>
      <c r="H363" s="16"/>
      <c r="I363" s="16"/>
      <c r="J363" s="43"/>
      <c r="K363" s="43"/>
    </row>
    <row r="364" spans="1:11" ht="13.5" customHeight="1" outlineLevel="1" x14ac:dyDescent="0.25">
      <c r="A364" s="43"/>
      <c r="B364" s="43"/>
      <c r="C364" s="35"/>
      <c r="D364" s="35"/>
      <c r="E364" s="65"/>
      <c r="F364" s="69"/>
      <c r="G364" s="35"/>
      <c r="H364" s="35"/>
      <c r="I364" s="35"/>
      <c r="J364" s="43"/>
      <c r="K364" s="43"/>
    </row>
    <row r="365" spans="1:11" ht="13.5" customHeight="1" outlineLevel="1" x14ac:dyDescent="0.25">
      <c r="A365" s="43"/>
      <c r="B365" s="43"/>
      <c r="C365" s="16"/>
      <c r="D365" s="16"/>
      <c r="E365" s="64"/>
      <c r="F365" s="64"/>
      <c r="G365" s="16"/>
      <c r="H365" s="16"/>
      <c r="I365" s="16"/>
      <c r="J365" s="43"/>
      <c r="K365" s="43"/>
    </row>
    <row r="366" spans="1:11" ht="13.5" customHeight="1" outlineLevel="1" x14ac:dyDescent="0.25">
      <c r="A366" s="43"/>
      <c r="B366" s="43"/>
      <c r="C366" s="35"/>
      <c r="D366" s="35"/>
      <c r="E366" s="65"/>
      <c r="F366" s="69"/>
      <c r="G366" s="35"/>
      <c r="H366" s="35"/>
      <c r="I366" s="35"/>
      <c r="J366" s="43"/>
      <c r="K366" s="43"/>
    </row>
    <row r="367" spans="1:11" ht="13.5" customHeight="1" outlineLevel="1" x14ac:dyDescent="0.25">
      <c r="A367" s="43"/>
      <c r="B367" s="43"/>
      <c r="C367" s="16"/>
      <c r="D367" s="16"/>
      <c r="E367" s="64"/>
      <c r="F367" s="64"/>
      <c r="G367" s="16"/>
      <c r="H367" s="16"/>
      <c r="I367" s="16"/>
      <c r="J367" s="43"/>
      <c r="K367" s="43"/>
    </row>
    <row r="368" spans="1:11" ht="13.5" customHeight="1" outlineLevel="1" x14ac:dyDescent="0.25">
      <c r="A368" s="43"/>
      <c r="B368" s="43"/>
      <c r="C368" s="35"/>
      <c r="D368" s="35"/>
      <c r="E368" s="65"/>
      <c r="F368" s="69"/>
      <c r="G368" s="35"/>
      <c r="H368" s="35"/>
      <c r="I368" s="35"/>
      <c r="J368" s="43"/>
      <c r="K368" s="43"/>
    </row>
    <row r="369" spans="1:11" ht="13.5" customHeight="1" outlineLevel="1" x14ac:dyDescent="0.25">
      <c r="A369" s="43"/>
      <c r="B369" s="43"/>
      <c r="C369" s="16"/>
      <c r="D369" s="16"/>
      <c r="E369" s="64"/>
      <c r="F369" s="64"/>
      <c r="G369" s="16"/>
      <c r="H369" s="16"/>
      <c r="I369" s="16"/>
      <c r="J369" s="43"/>
      <c r="K369" s="43"/>
    </row>
    <row r="370" spans="1:11" ht="13.5" customHeight="1" outlineLevel="1" x14ac:dyDescent="0.25">
      <c r="A370" s="43"/>
      <c r="B370" s="43"/>
      <c r="C370" s="35"/>
      <c r="D370" s="35"/>
      <c r="E370" s="65"/>
      <c r="F370" s="69"/>
      <c r="G370" s="35"/>
      <c r="H370" s="35"/>
      <c r="I370" s="35"/>
      <c r="J370" s="43"/>
      <c r="K370" s="43"/>
    </row>
    <row r="371" spans="1:11" ht="13.5" customHeight="1" outlineLevel="1" x14ac:dyDescent="0.25">
      <c r="A371" s="43"/>
      <c r="B371" s="43"/>
      <c r="C371" s="16"/>
      <c r="D371" s="16"/>
      <c r="E371" s="64"/>
      <c r="F371" s="64"/>
      <c r="G371" s="16"/>
      <c r="H371" s="16"/>
      <c r="I371" s="16"/>
      <c r="J371" s="43"/>
      <c r="K371" s="43"/>
    </row>
    <row r="372" spans="1:11" ht="13.5" customHeight="1" outlineLevel="1" x14ac:dyDescent="0.25">
      <c r="A372" s="43"/>
      <c r="B372" s="43"/>
      <c r="C372" s="35"/>
      <c r="D372" s="35"/>
      <c r="E372" s="65"/>
      <c r="F372" s="69"/>
      <c r="G372" s="35"/>
      <c r="H372" s="35"/>
      <c r="I372" s="35"/>
      <c r="J372" s="43"/>
      <c r="K372" s="43"/>
    </row>
    <row r="373" spans="1:11" ht="13.5" customHeight="1" outlineLevel="1" x14ac:dyDescent="0.25">
      <c r="A373" s="43"/>
      <c r="B373" s="43"/>
      <c r="C373" s="16"/>
      <c r="D373" s="16"/>
      <c r="E373" s="64"/>
      <c r="F373" s="64"/>
      <c r="G373" s="16"/>
      <c r="H373" s="16"/>
      <c r="I373" s="16"/>
      <c r="J373" s="43"/>
      <c r="K373" s="43"/>
    </row>
    <row r="374" spans="1:11" ht="13.5" customHeight="1" outlineLevel="1" x14ac:dyDescent="0.25">
      <c r="A374" s="43"/>
      <c r="B374" s="43"/>
      <c r="C374" s="35"/>
      <c r="D374" s="35"/>
      <c r="E374" s="65"/>
      <c r="F374" s="69"/>
      <c r="G374" s="35"/>
      <c r="H374" s="35"/>
      <c r="I374" s="35"/>
      <c r="J374" s="43"/>
      <c r="K374" s="43"/>
    </row>
    <row r="375" spans="1:11" ht="13.5" customHeight="1" outlineLevel="1" x14ac:dyDescent="0.25">
      <c r="A375" s="43"/>
      <c r="B375" s="43"/>
      <c r="C375" s="16"/>
      <c r="D375" s="16"/>
      <c r="E375" s="64"/>
      <c r="F375" s="64"/>
      <c r="G375" s="16"/>
      <c r="H375" s="16"/>
      <c r="I375" s="16"/>
      <c r="J375" s="43"/>
      <c r="K375" s="43"/>
    </row>
    <row r="376" spans="1:11" ht="13.5" customHeight="1" outlineLevel="1" x14ac:dyDescent="0.25">
      <c r="A376" s="43"/>
      <c r="B376" s="43"/>
      <c r="C376" s="35"/>
      <c r="D376" s="35"/>
      <c r="E376" s="65"/>
      <c r="F376" s="69"/>
      <c r="G376" s="35"/>
      <c r="H376" s="35"/>
      <c r="I376" s="35"/>
      <c r="J376" s="43"/>
      <c r="K376" s="43"/>
    </row>
    <row r="377" spans="1:11" ht="13.5" customHeight="1" outlineLevel="1" x14ac:dyDescent="0.25">
      <c r="A377" s="43"/>
      <c r="B377" s="43"/>
      <c r="C377" s="16"/>
      <c r="D377" s="16"/>
      <c r="E377" s="64"/>
      <c r="F377" s="64"/>
      <c r="G377" s="16"/>
      <c r="H377" s="16"/>
      <c r="I377" s="16"/>
      <c r="J377" s="43"/>
      <c r="K377" s="43"/>
    </row>
    <row r="378" spans="1:11" ht="13.5" customHeight="1" outlineLevel="1" x14ac:dyDescent="0.25">
      <c r="A378" s="43"/>
      <c r="B378" s="43"/>
      <c r="C378" s="35"/>
      <c r="D378" s="35"/>
      <c r="E378" s="65"/>
      <c r="F378" s="69"/>
      <c r="G378" s="35"/>
      <c r="H378" s="35"/>
      <c r="I378" s="35"/>
      <c r="J378" s="43"/>
      <c r="K378" s="43"/>
    </row>
    <row r="379" spans="1:11" ht="13.5" customHeight="1" outlineLevel="1" x14ac:dyDescent="0.25">
      <c r="A379" s="43"/>
      <c r="B379" s="43"/>
      <c r="C379" s="16"/>
      <c r="D379" s="16"/>
      <c r="E379" s="64"/>
      <c r="F379" s="64"/>
      <c r="G379" s="16"/>
      <c r="H379" s="16"/>
      <c r="I379" s="16"/>
      <c r="J379" s="43"/>
      <c r="K379" s="43"/>
    </row>
    <row r="380" spans="1:11" ht="13.5" customHeight="1" outlineLevel="1" x14ac:dyDescent="0.25">
      <c r="A380" s="43"/>
      <c r="B380" s="43"/>
      <c r="C380" s="35"/>
      <c r="D380" s="35"/>
      <c r="E380" s="65"/>
      <c r="F380" s="69"/>
      <c r="G380" s="35"/>
      <c r="H380" s="35"/>
      <c r="I380" s="35"/>
      <c r="J380" s="43"/>
      <c r="K380" s="43"/>
    </row>
    <row r="381" spans="1:11" ht="13.5" customHeight="1" outlineLevel="1" x14ac:dyDescent="0.25">
      <c r="A381" s="43"/>
      <c r="B381" s="43"/>
      <c r="C381" s="16"/>
      <c r="D381" s="16"/>
      <c r="E381" s="64"/>
      <c r="F381" s="64"/>
      <c r="G381" s="16"/>
      <c r="H381" s="16"/>
      <c r="I381" s="16"/>
      <c r="J381" s="43"/>
      <c r="K381" s="43"/>
    </row>
    <row r="382" spans="1:11" ht="13.5" customHeight="1" outlineLevel="1" x14ac:dyDescent="0.25">
      <c r="A382" s="43"/>
      <c r="B382" s="43"/>
      <c r="C382" s="35"/>
      <c r="D382" s="35"/>
      <c r="E382" s="65"/>
      <c r="F382" s="69"/>
      <c r="G382" s="35"/>
      <c r="H382" s="35"/>
      <c r="I382" s="35"/>
      <c r="J382" s="43"/>
      <c r="K382" s="43"/>
    </row>
    <row r="383" spans="1:11" ht="13.5" customHeight="1" outlineLevel="1" x14ac:dyDescent="0.25">
      <c r="A383" s="43"/>
      <c r="B383" s="43"/>
      <c r="C383" s="16"/>
      <c r="D383" s="16"/>
      <c r="E383" s="64"/>
      <c r="F383" s="64"/>
      <c r="G383" s="16"/>
      <c r="H383" s="16"/>
      <c r="I383" s="16"/>
      <c r="J383" s="43"/>
      <c r="K383" s="43"/>
    </row>
    <row r="384" spans="1:11" ht="13.5" customHeight="1" outlineLevel="1" x14ac:dyDescent="0.25">
      <c r="A384" s="43"/>
      <c r="B384" s="43"/>
      <c r="C384" s="35"/>
      <c r="D384" s="35"/>
      <c r="E384" s="65"/>
      <c r="F384" s="69"/>
      <c r="G384" s="35"/>
      <c r="H384" s="35"/>
      <c r="I384" s="35"/>
      <c r="J384" s="43"/>
      <c r="K384" s="43"/>
    </row>
    <row r="385" spans="1:11" ht="13.5" customHeight="1" outlineLevel="1" x14ac:dyDescent="0.25">
      <c r="A385" s="43"/>
      <c r="B385" s="43"/>
      <c r="C385" s="16"/>
      <c r="D385" s="16"/>
      <c r="E385" s="64"/>
      <c r="F385" s="64"/>
      <c r="G385" s="16"/>
      <c r="H385" s="16"/>
      <c r="I385" s="16"/>
      <c r="J385" s="43"/>
      <c r="K385" s="43"/>
    </row>
    <row r="386" spans="1:11" ht="13.5" customHeight="1" outlineLevel="1" x14ac:dyDescent="0.25">
      <c r="A386" s="43"/>
      <c r="B386" s="43"/>
      <c r="C386" s="35"/>
      <c r="D386" s="35"/>
      <c r="E386" s="65"/>
      <c r="F386" s="69"/>
      <c r="G386" s="35"/>
      <c r="H386" s="35"/>
      <c r="I386" s="35"/>
      <c r="J386" s="43"/>
      <c r="K386" s="43"/>
    </row>
    <row r="387" spans="1:11" ht="13.5" customHeight="1" outlineLevel="1" x14ac:dyDescent="0.25">
      <c r="A387" s="43"/>
      <c r="B387" s="43"/>
      <c r="C387" s="16"/>
      <c r="D387" s="16"/>
      <c r="E387" s="64"/>
      <c r="F387" s="64"/>
      <c r="G387" s="16"/>
      <c r="H387" s="16"/>
      <c r="I387" s="16"/>
      <c r="J387" s="43"/>
      <c r="K387" s="43"/>
    </row>
    <row r="388" spans="1:11" ht="13.5" customHeight="1" outlineLevel="1" x14ac:dyDescent="0.25">
      <c r="A388" s="43"/>
      <c r="B388" s="43"/>
      <c r="C388" s="35"/>
      <c r="D388" s="35"/>
      <c r="E388" s="65"/>
      <c r="F388" s="69"/>
      <c r="G388" s="35"/>
      <c r="H388" s="35"/>
      <c r="I388" s="35"/>
      <c r="J388" s="43"/>
      <c r="K388" s="43"/>
    </row>
    <row r="389" spans="1:11" ht="13.5" customHeight="1" outlineLevel="1" x14ac:dyDescent="0.25">
      <c r="A389" s="43"/>
      <c r="B389" s="43"/>
      <c r="C389" s="16"/>
      <c r="D389" s="16"/>
      <c r="E389" s="64"/>
      <c r="F389" s="64"/>
      <c r="G389" s="16"/>
      <c r="H389" s="16"/>
      <c r="I389" s="16"/>
      <c r="J389" s="43"/>
      <c r="K389" s="43"/>
    </row>
    <row r="390" spans="1:11" ht="13.5" customHeight="1" outlineLevel="1" x14ac:dyDescent="0.25">
      <c r="A390" s="43"/>
      <c r="B390" s="43"/>
      <c r="C390" s="35"/>
      <c r="D390" s="35"/>
      <c r="E390" s="65"/>
      <c r="F390" s="69"/>
      <c r="G390" s="35"/>
      <c r="H390" s="35"/>
      <c r="I390" s="35"/>
      <c r="J390" s="43"/>
      <c r="K390" s="43"/>
    </row>
    <row r="391" spans="1:11" ht="13.5" customHeight="1" outlineLevel="1" x14ac:dyDescent="0.25">
      <c r="A391" s="43"/>
      <c r="B391" s="43"/>
      <c r="C391" s="16"/>
      <c r="D391" s="16"/>
      <c r="E391" s="64"/>
      <c r="F391" s="64"/>
      <c r="G391" s="16"/>
      <c r="H391" s="16"/>
      <c r="I391" s="16"/>
      <c r="J391" s="43"/>
      <c r="K391" s="43"/>
    </row>
    <row r="392" spans="1:11" ht="13.5" customHeight="1" outlineLevel="1" x14ac:dyDescent="0.25">
      <c r="A392" s="43"/>
      <c r="B392" s="43"/>
      <c r="C392" s="35"/>
      <c r="D392" s="35"/>
      <c r="E392" s="65"/>
      <c r="F392" s="69"/>
      <c r="G392" s="35"/>
      <c r="H392" s="35"/>
      <c r="I392" s="35"/>
      <c r="J392" s="43"/>
      <c r="K392" s="43"/>
    </row>
    <row r="393" spans="1:11" ht="13.5" customHeight="1" outlineLevel="1" x14ac:dyDescent="0.25">
      <c r="A393" s="43"/>
      <c r="B393" s="43"/>
      <c r="C393" s="16"/>
      <c r="D393" s="16"/>
      <c r="E393" s="64"/>
      <c r="F393" s="64"/>
      <c r="G393" s="16"/>
      <c r="H393" s="16"/>
      <c r="I393" s="16"/>
      <c r="J393" s="43"/>
      <c r="K393" s="43"/>
    </row>
    <row r="394" spans="1:11" ht="13.5" customHeight="1" outlineLevel="1" x14ac:dyDescent="0.25">
      <c r="A394" s="43"/>
      <c r="B394" s="43"/>
      <c r="C394" s="35"/>
      <c r="D394" s="35"/>
      <c r="E394" s="65"/>
      <c r="F394" s="69"/>
      <c r="G394" s="35"/>
      <c r="H394" s="35"/>
      <c r="I394" s="35"/>
      <c r="J394" s="43"/>
      <c r="K394" s="43"/>
    </row>
    <row r="395" spans="1:11" ht="13.5" customHeight="1" outlineLevel="1" x14ac:dyDescent="0.25">
      <c r="A395" s="43"/>
      <c r="B395" s="43"/>
      <c r="C395" s="16"/>
      <c r="D395" s="16"/>
      <c r="E395" s="64"/>
      <c r="F395" s="64"/>
      <c r="G395" s="16"/>
      <c r="H395" s="16"/>
      <c r="I395" s="16"/>
      <c r="J395" s="43"/>
      <c r="K395" s="43"/>
    </row>
    <row r="396" spans="1:11" ht="13.5" customHeight="1" outlineLevel="1" x14ac:dyDescent="0.25">
      <c r="A396" s="43"/>
      <c r="B396" s="43"/>
      <c r="C396" s="35"/>
      <c r="D396" s="35"/>
      <c r="E396" s="65"/>
      <c r="F396" s="69"/>
      <c r="G396" s="35"/>
      <c r="H396" s="35"/>
      <c r="I396" s="35"/>
      <c r="J396" s="43"/>
      <c r="K396" s="43"/>
    </row>
    <row r="397" spans="1:11" ht="13.5" customHeight="1" outlineLevel="1" x14ac:dyDescent="0.25">
      <c r="A397" s="43"/>
      <c r="B397" s="43"/>
      <c r="C397" s="16"/>
      <c r="D397" s="16"/>
      <c r="E397" s="64"/>
      <c r="F397" s="64"/>
      <c r="G397" s="16"/>
      <c r="H397" s="16"/>
      <c r="I397" s="16"/>
      <c r="J397" s="43"/>
      <c r="K397" s="43"/>
    </row>
    <row r="398" spans="1:11" ht="13.5" customHeight="1" outlineLevel="1" x14ac:dyDescent="0.25">
      <c r="A398" s="43"/>
      <c r="B398" s="43"/>
      <c r="C398" s="35"/>
      <c r="D398" s="35"/>
      <c r="E398" s="65"/>
      <c r="F398" s="69"/>
      <c r="G398" s="35"/>
      <c r="H398" s="35"/>
      <c r="I398" s="35"/>
      <c r="J398" s="43"/>
      <c r="K398" s="43"/>
    </row>
    <row r="399" spans="1:11" ht="13.5" customHeight="1" outlineLevel="1" x14ac:dyDescent="0.25">
      <c r="A399" s="43"/>
      <c r="B399" s="43"/>
      <c r="C399" s="16"/>
      <c r="D399" s="16"/>
      <c r="E399" s="64"/>
      <c r="F399" s="64"/>
      <c r="G399" s="16"/>
      <c r="H399" s="16"/>
      <c r="I399" s="16"/>
      <c r="J399" s="43"/>
      <c r="K399" s="43"/>
    </row>
    <row r="400" spans="1:11" ht="13.5" customHeight="1" outlineLevel="1" x14ac:dyDescent="0.25">
      <c r="A400" s="43"/>
      <c r="B400" s="43"/>
      <c r="C400" s="35"/>
      <c r="D400" s="35"/>
      <c r="E400" s="65"/>
      <c r="F400" s="69"/>
      <c r="G400" s="35"/>
      <c r="H400" s="35"/>
      <c r="I400" s="35"/>
      <c r="J400" s="43"/>
      <c r="K400" s="43"/>
    </row>
    <row r="401" spans="1:11" ht="13.5" customHeight="1" outlineLevel="1" x14ac:dyDescent="0.25">
      <c r="A401" s="43"/>
      <c r="B401" s="43"/>
      <c r="C401" s="16"/>
      <c r="D401" s="16"/>
      <c r="E401" s="64"/>
      <c r="F401" s="64"/>
      <c r="G401" s="16"/>
      <c r="H401" s="16"/>
      <c r="I401" s="16"/>
      <c r="J401" s="43"/>
      <c r="K401" s="43"/>
    </row>
    <row r="402" spans="1:11" ht="13.5" customHeight="1" outlineLevel="1" x14ac:dyDescent="0.25">
      <c r="A402" s="43"/>
      <c r="B402" s="43"/>
      <c r="C402" s="35"/>
      <c r="D402" s="35"/>
      <c r="E402" s="65"/>
      <c r="F402" s="69"/>
      <c r="G402" s="35"/>
      <c r="H402" s="35"/>
      <c r="I402" s="35"/>
      <c r="J402" s="43"/>
      <c r="K402" s="43"/>
    </row>
    <row r="403" spans="1:11" ht="13.5" customHeight="1" outlineLevel="1" x14ac:dyDescent="0.25">
      <c r="A403" s="43"/>
      <c r="B403" s="43"/>
      <c r="C403" s="16"/>
      <c r="D403" s="16"/>
      <c r="E403" s="64"/>
      <c r="F403" s="64"/>
      <c r="G403" s="16"/>
      <c r="H403" s="16"/>
      <c r="I403" s="16"/>
      <c r="J403" s="43"/>
      <c r="K403" s="43"/>
    </row>
    <row r="404" spans="1:11" ht="13.5" customHeight="1" outlineLevel="1" x14ac:dyDescent="0.25">
      <c r="A404" s="43"/>
      <c r="B404" s="43"/>
      <c r="C404" s="35"/>
      <c r="D404" s="35"/>
      <c r="E404" s="65"/>
      <c r="F404" s="69"/>
      <c r="G404" s="35"/>
      <c r="H404" s="35"/>
      <c r="I404" s="35"/>
      <c r="J404" s="43"/>
      <c r="K404" s="43"/>
    </row>
    <row r="405" spans="1:11" ht="13.5" customHeight="1" outlineLevel="1" x14ac:dyDescent="0.25">
      <c r="A405" s="43"/>
      <c r="B405" s="43"/>
      <c r="C405" s="16"/>
      <c r="D405" s="16"/>
      <c r="E405" s="64"/>
      <c r="F405" s="64"/>
      <c r="G405" s="16"/>
      <c r="H405" s="16"/>
      <c r="I405" s="16"/>
      <c r="J405" s="43"/>
      <c r="K405" s="43"/>
    </row>
    <row r="406" spans="1:11" ht="13.5" customHeight="1" outlineLevel="1" x14ac:dyDescent="0.25">
      <c r="A406" s="43"/>
      <c r="B406" s="43"/>
      <c r="C406" s="35"/>
      <c r="D406" s="35"/>
      <c r="E406" s="65"/>
      <c r="F406" s="69"/>
      <c r="G406" s="35"/>
      <c r="H406" s="35"/>
      <c r="I406" s="35"/>
      <c r="J406" s="43"/>
      <c r="K406" s="43"/>
    </row>
    <row r="407" spans="1:11" ht="13.5" customHeight="1" outlineLevel="1" x14ac:dyDescent="0.25">
      <c r="A407" s="43"/>
      <c r="B407" s="43"/>
      <c r="C407" s="16"/>
      <c r="D407" s="16"/>
      <c r="E407" s="64"/>
      <c r="F407" s="64"/>
      <c r="G407" s="16"/>
      <c r="H407" s="16"/>
      <c r="I407" s="16"/>
      <c r="J407" s="43"/>
      <c r="K407" s="43"/>
    </row>
    <row r="408" spans="1:11" ht="13.5" customHeight="1" outlineLevel="1" x14ac:dyDescent="0.25">
      <c r="A408" s="43"/>
      <c r="B408" s="43"/>
      <c r="C408" s="35"/>
      <c r="D408" s="35"/>
      <c r="E408" s="65"/>
      <c r="F408" s="69"/>
      <c r="G408" s="35"/>
      <c r="H408" s="35"/>
      <c r="I408" s="35"/>
      <c r="J408" s="43"/>
      <c r="K408" s="43"/>
    </row>
    <row r="409" spans="1:11" ht="13.5" customHeight="1" outlineLevel="1" x14ac:dyDescent="0.25">
      <c r="A409" s="43"/>
      <c r="B409" s="43"/>
      <c r="C409" s="16"/>
      <c r="D409" s="16"/>
      <c r="E409" s="64"/>
      <c r="F409" s="64"/>
      <c r="G409" s="16"/>
      <c r="H409" s="16"/>
      <c r="I409" s="16"/>
      <c r="J409" s="43"/>
      <c r="K409" s="43"/>
    </row>
    <row r="410" spans="1:11" ht="13.5" customHeight="1" outlineLevel="1" x14ac:dyDescent="0.25">
      <c r="A410" s="43"/>
      <c r="B410" s="43"/>
      <c r="C410" s="35"/>
      <c r="D410" s="35"/>
      <c r="E410" s="65"/>
      <c r="F410" s="69"/>
      <c r="G410" s="35"/>
      <c r="H410" s="35"/>
      <c r="I410" s="35"/>
      <c r="J410" s="43"/>
      <c r="K410" s="43"/>
    </row>
    <row r="411" spans="1:11" ht="13.5" customHeight="1" outlineLevel="1" x14ac:dyDescent="0.25">
      <c r="A411" s="43"/>
      <c r="B411" s="43"/>
      <c r="C411" s="16"/>
      <c r="D411" s="16"/>
      <c r="E411" s="64"/>
      <c r="F411" s="64"/>
      <c r="G411" s="16"/>
      <c r="H411" s="16"/>
      <c r="I411" s="16"/>
      <c r="J411" s="43"/>
      <c r="K411" s="43"/>
    </row>
    <row r="412" spans="1:11" ht="13.5" customHeight="1" outlineLevel="1" x14ac:dyDescent="0.25">
      <c r="A412" s="43"/>
      <c r="B412" s="43"/>
      <c r="C412" s="35"/>
      <c r="D412" s="35"/>
      <c r="E412" s="65"/>
      <c r="F412" s="69"/>
      <c r="G412" s="35"/>
      <c r="H412" s="35"/>
      <c r="I412" s="35"/>
      <c r="J412" s="43"/>
      <c r="K412" s="43"/>
    </row>
    <row r="413" spans="1:11" ht="13.5" customHeight="1" outlineLevel="1" x14ac:dyDescent="0.25">
      <c r="A413" s="43"/>
      <c r="B413" s="43"/>
      <c r="C413" s="16"/>
      <c r="D413" s="16"/>
      <c r="E413" s="64"/>
      <c r="F413" s="64"/>
      <c r="G413" s="16"/>
      <c r="H413" s="16"/>
      <c r="I413" s="16"/>
      <c r="J413" s="43"/>
      <c r="K413" s="43"/>
    </row>
    <row r="414" spans="1:11" ht="13.5" customHeight="1" outlineLevel="1" x14ac:dyDescent="0.25">
      <c r="A414" s="43"/>
      <c r="B414" s="43"/>
      <c r="C414" s="35"/>
      <c r="D414" s="35"/>
      <c r="E414" s="65"/>
      <c r="F414" s="69"/>
      <c r="G414" s="35"/>
      <c r="H414" s="35"/>
      <c r="I414" s="35"/>
      <c r="J414" s="43"/>
      <c r="K414" s="43"/>
    </row>
    <row r="415" spans="1:11" ht="13.5" customHeight="1" outlineLevel="1" x14ac:dyDescent="0.25">
      <c r="A415" s="43"/>
      <c r="B415" s="43"/>
      <c r="C415" s="16"/>
      <c r="D415" s="16"/>
      <c r="E415" s="64"/>
      <c r="F415" s="64"/>
      <c r="G415" s="16"/>
      <c r="H415" s="16"/>
      <c r="I415" s="16"/>
      <c r="J415" s="43"/>
      <c r="K415" s="43"/>
    </row>
    <row r="416" spans="1:11" ht="13.5" customHeight="1" outlineLevel="1" x14ac:dyDescent="0.25">
      <c r="A416" s="43"/>
      <c r="B416" s="43"/>
      <c r="C416" s="35"/>
      <c r="D416" s="35"/>
      <c r="E416" s="65"/>
      <c r="F416" s="69"/>
      <c r="G416" s="35"/>
      <c r="H416" s="35"/>
      <c r="I416" s="35"/>
      <c r="J416" s="43"/>
      <c r="K416" s="43"/>
    </row>
    <row r="417" spans="1:11" ht="13.5" customHeight="1" outlineLevel="1" x14ac:dyDescent="0.25">
      <c r="A417" s="43"/>
      <c r="B417" s="43"/>
      <c r="C417" s="16"/>
      <c r="D417" s="16"/>
      <c r="E417" s="64"/>
      <c r="F417" s="64"/>
      <c r="G417" s="16"/>
      <c r="H417" s="16"/>
      <c r="I417" s="16"/>
      <c r="J417" s="43"/>
      <c r="K417" s="43"/>
    </row>
    <row r="418" spans="1:11" ht="13.5" customHeight="1" outlineLevel="1" x14ac:dyDescent="0.25">
      <c r="A418" s="43"/>
      <c r="B418" s="43"/>
      <c r="C418" s="35"/>
      <c r="D418" s="35"/>
      <c r="E418" s="65"/>
      <c r="F418" s="69"/>
      <c r="G418" s="35"/>
      <c r="H418" s="35"/>
      <c r="I418" s="35"/>
      <c r="J418" s="43"/>
      <c r="K418" s="43"/>
    </row>
    <row r="419" spans="1:11" ht="13.5" customHeight="1" outlineLevel="1" x14ac:dyDescent="0.25">
      <c r="A419" s="43"/>
      <c r="B419" s="43"/>
      <c r="C419" s="16"/>
      <c r="D419" s="16"/>
      <c r="E419" s="64"/>
      <c r="F419" s="64"/>
      <c r="G419" s="16"/>
      <c r="H419" s="16"/>
      <c r="I419" s="16"/>
      <c r="J419" s="43"/>
      <c r="K419" s="43"/>
    </row>
    <row r="420" spans="1:11" ht="13.5" customHeight="1" outlineLevel="1" x14ac:dyDescent="0.25">
      <c r="A420" s="43"/>
      <c r="B420" s="43"/>
      <c r="C420" s="35"/>
      <c r="D420" s="35"/>
      <c r="E420" s="65"/>
      <c r="F420" s="69"/>
      <c r="G420" s="35"/>
      <c r="H420" s="35"/>
      <c r="I420" s="35"/>
      <c r="J420" s="43"/>
      <c r="K420" s="43"/>
    </row>
    <row r="421" spans="1:11" ht="13.5" customHeight="1" outlineLevel="1" x14ac:dyDescent="0.25">
      <c r="A421" s="43"/>
      <c r="B421" s="43"/>
      <c r="C421" s="16"/>
      <c r="D421" s="16"/>
      <c r="E421" s="64"/>
      <c r="F421" s="64"/>
      <c r="G421" s="16"/>
      <c r="H421" s="16"/>
      <c r="I421" s="16"/>
      <c r="J421" s="43"/>
      <c r="K421" s="43"/>
    </row>
    <row r="422" spans="1:11" ht="13.5" customHeight="1" outlineLevel="1" x14ac:dyDescent="0.25">
      <c r="A422" s="43"/>
      <c r="B422" s="43"/>
      <c r="C422" s="35"/>
      <c r="D422" s="35"/>
      <c r="E422" s="65"/>
      <c r="F422" s="69"/>
      <c r="G422" s="35"/>
      <c r="H422" s="35"/>
      <c r="I422" s="35"/>
      <c r="J422" s="43"/>
      <c r="K422" s="43"/>
    </row>
    <row r="423" spans="1:11" ht="13.5" customHeight="1" outlineLevel="1" x14ac:dyDescent="0.25">
      <c r="A423" s="43"/>
      <c r="B423" s="43"/>
      <c r="C423" s="16"/>
      <c r="D423" s="16"/>
      <c r="E423" s="64"/>
      <c r="F423" s="64"/>
      <c r="G423" s="16"/>
      <c r="H423" s="16"/>
      <c r="I423" s="16"/>
      <c r="J423" s="43"/>
      <c r="K423" s="43"/>
    </row>
    <row r="424" spans="1:11" ht="13.5" customHeight="1" outlineLevel="1" x14ac:dyDescent="0.25">
      <c r="A424" s="43"/>
      <c r="B424" s="43"/>
      <c r="C424" s="35"/>
      <c r="D424" s="35"/>
      <c r="E424" s="65"/>
      <c r="F424" s="69"/>
      <c r="G424" s="35"/>
      <c r="H424" s="35"/>
      <c r="I424" s="35"/>
      <c r="J424" s="43"/>
      <c r="K424" s="43"/>
    </row>
    <row r="425" spans="1:11" ht="13.5" customHeight="1" outlineLevel="1" x14ac:dyDescent="0.25">
      <c r="A425" s="43"/>
      <c r="B425" s="43"/>
      <c r="C425" s="16"/>
      <c r="D425" s="16"/>
      <c r="E425" s="64"/>
      <c r="F425" s="64"/>
      <c r="G425" s="16"/>
      <c r="H425" s="16"/>
      <c r="I425" s="16"/>
      <c r="J425" s="43"/>
      <c r="K425" s="43"/>
    </row>
    <row r="426" spans="1:11" ht="13.5" customHeight="1" outlineLevel="1" x14ac:dyDescent="0.25">
      <c r="A426" s="43"/>
      <c r="B426" s="43"/>
      <c r="C426" s="35"/>
      <c r="D426" s="35"/>
      <c r="E426" s="65"/>
      <c r="F426" s="69"/>
      <c r="G426" s="35"/>
      <c r="H426" s="35"/>
      <c r="I426" s="35"/>
      <c r="J426" s="43"/>
      <c r="K426" s="43"/>
    </row>
    <row r="427" spans="1:11" ht="13.5" customHeight="1" outlineLevel="1" x14ac:dyDescent="0.25">
      <c r="A427" s="43"/>
      <c r="B427" s="43"/>
      <c r="C427" s="16"/>
      <c r="D427" s="16"/>
      <c r="E427" s="64"/>
      <c r="F427" s="64"/>
      <c r="G427" s="16"/>
      <c r="H427" s="16"/>
      <c r="I427" s="16"/>
      <c r="J427" s="43"/>
      <c r="K427" s="43"/>
    </row>
    <row r="428" spans="1:11" ht="13.5" customHeight="1" outlineLevel="1" x14ac:dyDescent="0.25">
      <c r="A428" s="43"/>
      <c r="B428" s="43"/>
      <c r="C428" s="35"/>
      <c r="D428" s="35"/>
      <c r="E428" s="65"/>
      <c r="F428" s="69"/>
      <c r="G428" s="35"/>
      <c r="H428" s="35"/>
      <c r="I428" s="35"/>
      <c r="J428" s="43"/>
      <c r="K428" s="43"/>
    </row>
    <row r="429" spans="1:11" ht="13.5" customHeight="1" outlineLevel="1" x14ac:dyDescent="0.25">
      <c r="A429" s="43"/>
      <c r="B429" s="43"/>
      <c r="C429" s="16"/>
      <c r="D429" s="16"/>
      <c r="E429" s="64"/>
      <c r="F429" s="64"/>
      <c r="G429" s="16"/>
      <c r="H429" s="16"/>
      <c r="I429" s="16"/>
      <c r="J429" s="43"/>
      <c r="K429" s="43"/>
    </row>
    <row r="430" spans="1:11" ht="13.5" customHeight="1" outlineLevel="1" x14ac:dyDescent="0.25">
      <c r="A430" s="43"/>
      <c r="B430" s="43"/>
      <c r="C430" s="35"/>
      <c r="D430" s="35"/>
      <c r="E430" s="65"/>
      <c r="F430" s="69"/>
      <c r="G430" s="35"/>
      <c r="H430" s="35"/>
      <c r="I430" s="35"/>
      <c r="J430" s="43"/>
      <c r="K430" s="43"/>
    </row>
    <row r="431" spans="1:11" ht="13.5" customHeight="1" outlineLevel="1" x14ac:dyDescent="0.25">
      <c r="A431" s="43"/>
      <c r="B431" s="43"/>
      <c r="C431" s="16"/>
      <c r="D431" s="16"/>
      <c r="E431" s="64"/>
      <c r="F431" s="64"/>
      <c r="G431" s="16"/>
      <c r="H431" s="16"/>
      <c r="I431" s="16"/>
      <c r="J431" s="43"/>
      <c r="K431" s="43"/>
    </row>
    <row r="432" spans="1:11" ht="13.5" customHeight="1" outlineLevel="1" x14ac:dyDescent="0.25">
      <c r="A432" s="43"/>
      <c r="B432" s="43"/>
      <c r="C432" s="35"/>
      <c r="D432" s="35"/>
      <c r="E432" s="65"/>
      <c r="F432" s="69"/>
      <c r="G432" s="35"/>
      <c r="H432" s="35"/>
      <c r="I432" s="35"/>
      <c r="J432" s="43"/>
      <c r="K432" s="43"/>
    </row>
    <row r="433" spans="1:11" ht="13.5" customHeight="1" outlineLevel="1" x14ac:dyDescent="0.25">
      <c r="A433" s="43"/>
      <c r="B433" s="43"/>
      <c r="C433" s="16"/>
      <c r="D433" s="16"/>
      <c r="E433" s="64"/>
      <c r="F433" s="64"/>
      <c r="G433" s="16"/>
      <c r="H433" s="16"/>
      <c r="I433" s="16"/>
      <c r="J433" s="43"/>
      <c r="K433" s="43"/>
    </row>
    <row r="434" spans="1:11" ht="13.5" customHeight="1" outlineLevel="1" x14ac:dyDescent="0.25">
      <c r="A434" s="43"/>
      <c r="B434" s="43"/>
      <c r="C434" s="35"/>
      <c r="D434" s="35"/>
      <c r="E434" s="65"/>
      <c r="F434" s="69"/>
      <c r="G434" s="35"/>
      <c r="H434" s="35"/>
      <c r="I434" s="35"/>
      <c r="J434" s="43"/>
      <c r="K434" s="43"/>
    </row>
    <row r="435" spans="1:11" ht="13.5" customHeight="1" outlineLevel="1" x14ac:dyDescent="0.25">
      <c r="A435" s="43"/>
      <c r="B435" s="43"/>
      <c r="C435" s="16"/>
      <c r="D435" s="16"/>
      <c r="E435" s="64"/>
      <c r="F435" s="64"/>
      <c r="G435" s="16"/>
      <c r="H435" s="16"/>
      <c r="I435" s="16"/>
      <c r="J435" s="43"/>
      <c r="K435" s="43"/>
    </row>
    <row r="436" spans="1:11" ht="13.5" customHeight="1" outlineLevel="1" x14ac:dyDescent="0.25">
      <c r="A436" s="43"/>
      <c r="B436" s="43"/>
      <c r="C436" s="35"/>
      <c r="D436" s="35"/>
      <c r="E436" s="65"/>
      <c r="F436" s="69"/>
      <c r="G436" s="35"/>
      <c r="H436" s="35"/>
      <c r="I436" s="35"/>
      <c r="J436" s="43"/>
      <c r="K436" s="43"/>
    </row>
    <row r="437" spans="1:11" ht="13.5" customHeight="1" outlineLevel="1" x14ac:dyDescent="0.25">
      <c r="A437" s="43"/>
      <c r="B437" s="43"/>
      <c r="C437" s="16"/>
      <c r="D437" s="16"/>
      <c r="E437" s="64"/>
      <c r="F437" s="64"/>
      <c r="G437" s="16"/>
      <c r="H437" s="16"/>
      <c r="I437" s="16"/>
      <c r="J437" s="43"/>
      <c r="K437" s="43"/>
    </row>
    <row r="438" spans="1:11" ht="13.5" customHeight="1" outlineLevel="1" x14ac:dyDescent="0.25">
      <c r="A438" s="43"/>
      <c r="B438" s="43"/>
      <c r="C438" s="35"/>
      <c r="D438" s="35"/>
      <c r="E438" s="65"/>
      <c r="F438" s="69"/>
      <c r="G438" s="35"/>
      <c r="H438" s="35"/>
      <c r="I438" s="35"/>
      <c r="J438" s="43"/>
      <c r="K438" s="43"/>
    </row>
    <row r="439" spans="1:11" ht="13.5" customHeight="1" outlineLevel="1" x14ac:dyDescent="0.25">
      <c r="A439" s="43"/>
      <c r="B439" s="43"/>
      <c r="C439" s="16"/>
      <c r="D439" s="16"/>
      <c r="E439" s="64"/>
      <c r="F439" s="64"/>
      <c r="G439" s="16"/>
      <c r="H439" s="16"/>
      <c r="I439" s="16"/>
      <c r="J439" s="43"/>
      <c r="K439" s="43"/>
    </row>
    <row r="440" spans="1:11" ht="13.5" customHeight="1" outlineLevel="1" x14ac:dyDescent="0.25">
      <c r="A440" s="43"/>
      <c r="B440" s="43"/>
      <c r="C440" s="35"/>
      <c r="D440" s="35"/>
      <c r="E440" s="65"/>
      <c r="F440" s="69"/>
      <c r="G440" s="35"/>
      <c r="H440" s="35"/>
      <c r="I440" s="35"/>
      <c r="J440" s="43"/>
      <c r="K440" s="43"/>
    </row>
    <row r="441" spans="1:11" ht="13.5" customHeight="1" outlineLevel="1" x14ac:dyDescent="0.25">
      <c r="A441" s="43"/>
      <c r="B441" s="43"/>
      <c r="C441" s="16"/>
      <c r="D441" s="16"/>
      <c r="E441" s="64"/>
      <c r="F441" s="64"/>
      <c r="G441" s="16"/>
      <c r="H441" s="16"/>
      <c r="I441" s="16"/>
      <c r="J441" s="43"/>
      <c r="K441" s="43"/>
    </row>
    <row r="442" spans="1:11" ht="13.5" customHeight="1" outlineLevel="1" x14ac:dyDescent="0.25">
      <c r="A442" s="43"/>
      <c r="B442" s="43"/>
      <c r="C442" s="35"/>
      <c r="D442" s="35"/>
      <c r="E442" s="65"/>
      <c r="F442" s="69"/>
      <c r="G442" s="35"/>
      <c r="H442" s="35"/>
      <c r="I442" s="35"/>
      <c r="J442" s="43"/>
      <c r="K442" s="43"/>
    </row>
    <row r="443" spans="1:11" ht="13.5" customHeight="1" outlineLevel="1" x14ac:dyDescent="0.25">
      <c r="A443" s="43"/>
      <c r="B443" s="43"/>
      <c r="C443" s="16"/>
      <c r="D443" s="16"/>
      <c r="E443" s="64"/>
      <c r="F443" s="64"/>
      <c r="G443" s="16"/>
      <c r="H443" s="16"/>
      <c r="I443" s="16"/>
      <c r="J443" s="43"/>
      <c r="K443" s="43"/>
    </row>
    <row r="444" spans="1:11" ht="13.5" customHeight="1" outlineLevel="1" x14ac:dyDescent="0.25">
      <c r="A444" s="43"/>
      <c r="B444" s="43"/>
      <c r="C444" s="35"/>
      <c r="D444" s="35"/>
      <c r="E444" s="65"/>
      <c r="F444" s="69"/>
      <c r="G444" s="35"/>
      <c r="H444" s="35"/>
      <c r="I444" s="35"/>
      <c r="J444" s="43"/>
      <c r="K444" s="43"/>
    </row>
    <row r="445" spans="1:11" ht="13.5" customHeight="1" outlineLevel="1" x14ac:dyDescent="0.25">
      <c r="A445" s="43"/>
      <c r="B445" s="43"/>
      <c r="C445" s="16"/>
      <c r="D445" s="16"/>
      <c r="E445" s="64"/>
      <c r="F445" s="64"/>
      <c r="G445" s="16"/>
      <c r="H445" s="16"/>
      <c r="I445" s="16"/>
      <c r="J445" s="43"/>
      <c r="K445" s="43"/>
    </row>
    <row r="446" spans="1:11" ht="13.5" customHeight="1" outlineLevel="1" x14ac:dyDescent="0.25">
      <c r="A446" s="43"/>
      <c r="B446" s="43"/>
      <c r="C446" s="35"/>
      <c r="D446" s="35"/>
      <c r="E446" s="65"/>
      <c r="F446" s="69"/>
      <c r="G446" s="35"/>
      <c r="H446" s="35"/>
      <c r="I446" s="35"/>
      <c r="J446" s="43"/>
      <c r="K446" s="43"/>
    </row>
    <row r="447" spans="1:11" ht="13.5" customHeight="1" outlineLevel="1" x14ac:dyDescent="0.25">
      <c r="A447" s="43"/>
      <c r="B447" s="43"/>
      <c r="C447" s="16"/>
      <c r="D447" s="16"/>
      <c r="E447" s="64"/>
      <c r="F447" s="64"/>
      <c r="G447" s="16"/>
      <c r="H447" s="16"/>
      <c r="I447" s="16"/>
      <c r="J447" s="43"/>
      <c r="K447" s="43"/>
    </row>
    <row r="448" spans="1:11" ht="13.5" customHeight="1" outlineLevel="1" x14ac:dyDescent="0.25">
      <c r="A448" s="43"/>
      <c r="B448" s="43"/>
      <c r="C448" s="35"/>
      <c r="D448" s="35"/>
      <c r="E448" s="65"/>
      <c r="F448" s="69"/>
      <c r="G448" s="35"/>
      <c r="H448" s="35"/>
      <c r="I448" s="35"/>
      <c r="J448" s="43"/>
      <c r="K448" s="43"/>
    </row>
    <row r="449" spans="1:11" ht="13.5" customHeight="1" outlineLevel="1" x14ac:dyDescent="0.25">
      <c r="A449" s="43"/>
      <c r="B449" s="43"/>
      <c r="C449" s="16"/>
      <c r="D449" s="16"/>
      <c r="E449" s="64"/>
      <c r="F449" s="64"/>
      <c r="G449" s="16"/>
      <c r="H449" s="16"/>
      <c r="I449" s="16"/>
      <c r="J449" s="43"/>
      <c r="K449" s="43"/>
    </row>
    <row r="450" spans="1:11" ht="13.5" customHeight="1" outlineLevel="1" x14ac:dyDescent="0.25">
      <c r="A450" s="43"/>
      <c r="B450" s="43"/>
      <c r="C450" s="35"/>
      <c r="D450" s="35"/>
      <c r="E450" s="65"/>
      <c r="F450" s="69"/>
      <c r="G450" s="35"/>
      <c r="H450" s="35"/>
      <c r="I450" s="35"/>
      <c r="J450" s="43"/>
      <c r="K450" s="43"/>
    </row>
    <row r="451" spans="1:11" ht="13.5" customHeight="1" outlineLevel="1" x14ac:dyDescent="0.25">
      <c r="A451" s="43"/>
      <c r="B451" s="43"/>
      <c r="C451" s="16"/>
      <c r="D451" s="16"/>
      <c r="E451" s="64"/>
      <c r="F451" s="64"/>
      <c r="G451" s="16"/>
      <c r="H451" s="16"/>
      <c r="I451" s="16"/>
      <c r="J451" s="43"/>
      <c r="K451" s="43"/>
    </row>
    <row r="452" spans="1:11" ht="13.5" customHeight="1" outlineLevel="1" x14ac:dyDescent="0.25">
      <c r="A452" s="43"/>
      <c r="B452" s="43"/>
      <c r="C452" s="35"/>
      <c r="D452" s="35"/>
      <c r="E452" s="65"/>
      <c r="F452" s="69"/>
      <c r="G452" s="35"/>
      <c r="H452" s="35"/>
      <c r="I452" s="35"/>
      <c r="J452" s="43"/>
      <c r="K452" s="43"/>
    </row>
    <row r="453" spans="1:11" ht="13.5" customHeight="1" outlineLevel="1" x14ac:dyDescent="0.25">
      <c r="A453" s="43"/>
      <c r="B453" s="43"/>
      <c r="C453" s="16"/>
      <c r="D453" s="16"/>
      <c r="E453" s="64"/>
      <c r="F453" s="64"/>
      <c r="G453" s="16"/>
      <c r="H453" s="16"/>
      <c r="I453" s="16"/>
      <c r="J453" s="43"/>
      <c r="K453" s="43"/>
    </row>
    <row r="454" spans="1:11" ht="13.5" customHeight="1" outlineLevel="1" x14ac:dyDescent="0.25">
      <c r="A454" s="43"/>
      <c r="B454" s="43"/>
      <c r="C454" s="35"/>
      <c r="D454" s="35"/>
      <c r="E454" s="65"/>
      <c r="F454" s="69"/>
      <c r="G454" s="35"/>
      <c r="H454" s="35"/>
      <c r="I454" s="35"/>
      <c r="J454" s="43"/>
      <c r="K454" s="43"/>
    </row>
    <row r="455" spans="1:11" ht="13.5" customHeight="1" outlineLevel="1" x14ac:dyDescent="0.25">
      <c r="A455" s="43"/>
      <c r="B455" s="43"/>
      <c r="C455" s="16"/>
      <c r="D455" s="16"/>
      <c r="E455" s="64"/>
      <c r="F455" s="64"/>
      <c r="G455" s="16"/>
      <c r="H455" s="16"/>
      <c r="I455" s="16"/>
      <c r="J455" s="43"/>
      <c r="K455" s="43"/>
    </row>
    <row r="456" spans="1:11" ht="13.5" customHeight="1" outlineLevel="1" x14ac:dyDescent="0.25">
      <c r="A456" s="43"/>
      <c r="B456" s="43"/>
      <c r="C456" s="35"/>
      <c r="D456" s="35"/>
      <c r="E456" s="65"/>
      <c r="F456" s="69"/>
      <c r="G456" s="35"/>
      <c r="H456" s="35"/>
      <c r="I456" s="35"/>
      <c r="J456" s="43"/>
      <c r="K456" s="43"/>
    </row>
    <row r="457" spans="1:11" ht="13.5" customHeight="1" outlineLevel="1" x14ac:dyDescent="0.25">
      <c r="A457" s="43"/>
      <c r="B457" s="43"/>
      <c r="C457" s="16"/>
      <c r="D457" s="16"/>
      <c r="E457" s="64"/>
      <c r="F457" s="64"/>
      <c r="G457" s="16"/>
      <c r="H457" s="16"/>
      <c r="I457" s="16"/>
      <c r="J457" s="43"/>
      <c r="K457" s="43"/>
    </row>
    <row r="458" spans="1:11" ht="13.5" customHeight="1" outlineLevel="1" x14ac:dyDescent="0.25">
      <c r="A458" s="43"/>
      <c r="B458" s="43"/>
      <c r="C458" s="35"/>
      <c r="D458" s="35"/>
      <c r="E458" s="65"/>
      <c r="F458" s="69"/>
      <c r="G458" s="35"/>
      <c r="H458" s="35"/>
      <c r="I458" s="35"/>
      <c r="J458" s="43"/>
      <c r="K458" s="43"/>
    </row>
    <row r="459" spans="1:11" ht="13.5" customHeight="1" outlineLevel="1" x14ac:dyDescent="0.25">
      <c r="A459" s="43"/>
      <c r="B459" s="43"/>
      <c r="C459" s="16"/>
      <c r="D459" s="16"/>
      <c r="E459" s="64"/>
      <c r="F459" s="64"/>
      <c r="G459" s="16"/>
      <c r="H459" s="16"/>
      <c r="I459" s="16"/>
      <c r="J459" s="43"/>
      <c r="K459" s="43"/>
    </row>
    <row r="460" spans="1:11" ht="13.5" customHeight="1" outlineLevel="1" x14ac:dyDescent="0.25">
      <c r="A460" s="43"/>
      <c r="B460" s="43"/>
      <c r="C460" s="35"/>
      <c r="D460" s="35"/>
      <c r="E460" s="65"/>
      <c r="F460" s="69"/>
      <c r="G460" s="35"/>
      <c r="H460" s="35"/>
      <c r="I460" s="35"/>
      <c r="J460" s="43"/>
      <c r="K460" s="43"/>
    </row>
    <row r="461" spans="1:11" ht="13.5" customHeight="1" outlineLevel="1" x14ac:dyDescent="0.25">
      <c r="A461" s="43"/>
      <c r="B461" s="43"/>
      <c r="C461" s="16"/>
      <c r="D461" s="16"/>
      <c r="E461" s="64"/>
      <c r="F461" s="64"/>
      <c r="G461" s="16"/>
      <c r="H461" s="16"/>
      <c r="I461" s="16"/>
      <c r="J461" s="43"/>
      <c r="K461" s="43"/>
    </row>
    <row r="462" spans="1:11" ht="13.5" customHeight="1" outlineLevel="1" x14ac:dyDescent="0.25">
      <c r="A462" s="43"/>
      <c r="B462" s="43"/>
      <c r="C462" s="35"/>
      <c r="D462" s="35"/>
      <c r="E462" s="65"/>
      <c r="F462" s="69"/>
      <c r="G462" s="35"/>
      <c r="H462" s="35"/>
      <c r="I462" s="35"/>
      <c r="J462" s="43"/>
      <c r="K462" s="43"/>
    </row>
    <row r="463" spans="1:11" ht="13.5" customHeight="1" outlineLevel="1" x14ac:dyDescent="0.25">
      <c r="A463" s="43"/>
      <c r="B463" s="43"/>
      <c r="C463" s="16"/>
      <c r="D463" s="16"/>
      <c r="E463" s="64"/>
      <c r="F463" s="64"/>
      <c r="G463" s="16"/>
      <c r="H463" s="16"/>
      <c r="I463" s="16"/>
      <c r="J463" s="43"/>
      <c r="K463" s="43"/>
    </row>
    <row r="464" spans="1:11" ht="13.5" customHeight="1" outlineLevel="1" x14ac:dyDescent="0.25">
      <c r="A464" s="43"/>
      <c r="B464" s="43"/>
      <c r="C464" s="35"/>
      <c r="D464" s="35"/>
      <c r="E464" s="65"/>
      <c r="F464" s="69"/>
      <c r="G464" s="35"/>
      <c r="H464" s="35"/>
      <c r="I464" s="35"/>
      <c r="J464" s="43"/>
      <c r="K464" s="43"/>
    </row>
    <row r="465" spans="1:11" ht="13.5" customHeight="1" outlineLevel="1" x14ac:dyDescent="0.25">
      <c r="A465" s="43"/>
      <c r="B465" s="43"/>
      <c r="C465" s="16"/>
      <c r="D465" s="16"/>
      <c r="E465" s="64"/>
      <c r="F465" s="64"/>
      <c r="G465" s="16"/>
      <c r="H465" s="16"/>
      <c r="I465" s="16"/>
      <c r="J465" s="43"/>
      <c r="K465" s="43"/>
    </row>
    <row r="466" spans="1:11" ht="13.5" customHeight="1" outlineLevel="1" x14ac:dyDescent="0.25">
      <c r="A466" s="43"/>
      <c r="B466" s="43"/>
      <c r="C466" s="35"/>
      <c r="D466" s="35"/>
      <c r="E466" s="65"/>
      <c r="F466" s="69"/>
      <c r="G466" s="35"/>
      <c r="H466" s="35"/>
      <c r="I466" s="35"/>
      <c r="J466" s="43"/>
      <c r="K466" s="43"/>
    </row>
    <row r="467" spans="1:11" ht="13.5" customHeight="1" outlineLevel="1" x14ac:dyDescent="0.25">
      <c r="A467" s="43"/>
      <c r="B467" s="43"/>
      <c r="C467" s="16"/>
      <c r="D467" s="16"/>
      <c r="E467" s="64"/>
      <c r="F467" s="64"/>
      <c r="G467" s="16"/>
      <c r="H467" s="16"/>
      <c r="I467" s="16"/>
      <c r="J467" s="43"/>
      <c r="K467" s="43"/>
    </row>
    <row r="468" spans="1:11" ht="13.5" customHeight="1" outlineLevel="1" x14ac:dyDescent="0.25">
      <c r="A468" s="43"/>
      <c r="B468" s="43"/>
      <c r="C468" s="35"/>
      <c r="D468" s="35"/>
      <c r="E468" s="65"/>
      <c r="F468" s="69"/>
      <c r="G468" s="35"/>
      <c r="H468" s="35"/>
      <c r="I468" s="35"/>
      <c r="J468" s="43"/>
      <c r="K468" s="43"/>
    </row>
    <row r="469" spans="1:11" ht="13.5" customHeight="1" outlineLevel="1" x14ac:dyDescent="0.25">
      <c r="A469" s="43"/>
      <c r="B469" s="43"/>
      <c r="C469" s="16"/>
      <c r="D469" s="16"/>
      <c r="E469" s="64"/>
      <c r="F469" s="64"/>
      <c r="G469" s="16"/>
      <c r="H469" s="16"/>
      <c r="I469" s="16"/>
      <c r="J469" s="43"/>
      <c r="K469" s="43"/>
    </row>
    <row r="470" spans="1:11" ht="13.5" customHeight="1" outlineLevel="1" x14ac:dyDescent="0.25">
      <c r="A470" s="43"/>
      <c r="B470" s="43"/>
      <c r="C470" s="35"/>
      <c r="D470" s="35"/>
      <c r="E470" s="65"/>
      <c r="F470" s="69"/>
      <c r="G470" s="35"/>
      <c r="H470" s="35"/>
      <c r="I470" s="35"/>
      <c r="J470" s="43"/>
      <c r="K470" s="43"/>
    </row>
    <row r="471" spans="1:11" ht="13.5" customHeight="1" outlineLevel="1" x14ac:dyDescent="0.25">
      <c r="A471" s="43"/>
      <c r="B471" s="43"/>
      <c r="C471" s="16"/>
      <c r="D471" s="16"/>
      <c r="E471" s="64"/>
      <c r="F471" s="64"/>
      <c r="G471" s="16"/>
      <c r="H471" s="16"/>
      <c r="I471" s="16"/>
      <c r="J471" s="43"/>
      <c r="K471" s="43"/>
    </row>
    <row r="472" spans="1:11" ht="13.5" customHeight="1" outlineLevel="1" x14ac:dyDescent="0.25">
      <c r="A472" s="43"/>
      <c r="B472" s="43"/>
      <c r="C472" s="35"/>
      <c r="D472" s="35"/>
      <c r="E472" s="65"/>
      <c r="F472" s="69"/>
      <c r="G472" s="35"/>
      <c r="H472" s="35"/>
      <c r="I472" s="35"/>
      <c r="J472" s="43"/>
      <c r="K472" s="43"/>
    </row>
    <row r="473" spans="1:11" ht="13.5" customHeight="1" outlineLevel="1" x14ac:dyDescent="0.25">
      <c r="A473" s="43"/>
      <c r="B473" s="43"/>
      <c r="C473" s="16"/>
      <c r="D473" s="16"/>
      <c r="E473" s="64"/>
      <c r="F473" s="64"/>
      <c r="G473" s="16"/>
      <c r="H473" s="16"/>
      <c r="I473" s="16"/>
      <c r="J473" s="43"/>
      <c r="K473" s="43"/>
    </row>
    <row r="474" spans="1:11" ht="13.5" customHeight="1" outlineLevel="1" x14ac:dyDescent="0.25">
      <c r="A474" s="43"/>
      <c r="B474" s="43"/>
      <c r="C474" s="35"/>
      <c r="D474" s="35"/>
      <c r="E474" s="65"/>
      <c r="F474" s="69"/>
      <c r="G474" s="35"/>
      <c r="H474" s="35"/>
      <c r="I474" s="35"/>
      <c r="J474" s="43"/>
      <c r="K474" s="43"/>
    </row>
    <row r="475" spans="1:11" ht="13.5" customHeight="1" outlineLevel="1" x14ac:dyDescent="0.25">
      <c r="A475" s="43"/>
      <c r="B475" s="43"/>
      <c r="C475" s="16"/>
      <c r="D475" s="16"/>
      <c r="E475" s="64"/>
      <c r="F475" s="64"/>
      <c r="G475" s="16"/>
      <c r="H475" s="16"/>
      <c r="I475" s="16"/>
      <c r="J475" s="43"/>
      <c r="K475" s="43"/>
    </row>
    <row r="476" spans="1:11" ht="13.5" customHeight="1" outlineLevel="1" x14ac:dyDescent="0.25">
      <c r="A476" s="43"/>
      <c r="B476" s="43"/>
      <c r="C476" s="35"/>
      <c r="D476" s="35"/>
      <c r="E476" s="65"/>
      <c r="F476" s="69"/>
      <c r="G476" s="35"/>
      <c r="H476" s="35"/>
      <c r="I476" s="35"/>
      <c r="J476" s="43"/>
      <c r="K476" s="43"/>
    </row>
    <row r="477" spans="1:11" ht="13.5" customHeight="1" outlineLevel="1" x14ac:dyDescent="0.25">
      <c r="A477" s="43"/>
      <c r="B477" s="43"/>
      <c r="C477" s="16"/>
      <c r="D477" s="16"/>
      <c r="E477" s="64"/>
      <c r="F477" s="64"/>
      <c r="G477" s="16"/>
      <c r="H477" s="16"/>
      <c r="I477" s="16"/>
      <c r="J477" s="43"/>
      <c r="K477" s="43"/>
    </row>
    <row r="478" spans="1:11" ht="13.5" customHeight="1" outlineLevel="1" x14ac:dyDescent="0.25">
      <c r="A478" s="43"/>
      <c r="B478" s="43"/>
      <c r="C478" s="35"/>
      <c r="D478" s="35"/>
      <c r="E478" s="65"/>
      <c r="F478" s="69"/>
      <c r="G478" s="35"/>
      <c r="H478" s="35"/>
      <c r="I478" s="35"/>
      <c r="J478" s="43"/>
      <c r="K478" s="43"/>
    </row>
    <row r="479" spans="1:11" ht="13.5" customHeight="1" outlineLevel="1" x14ac:dyDescent="0.25">
      <c r="A479" s="43"/>
      <c r="B479" s="43"/>
      <c r="C479" s="16"/>
      <c r="D479" s="16"/>
      <c r="E479" s="64"/>
      <c r="F479" s="64"/>
      <c r="G479" s="16"/>
      <c r="H479" s="16"/>
      <c r="I479" s="16"/>
      <c r="J479" s="43"/>
      <c r="K479" s="43"/>
    </row>
    <row r="480" spans="1:11" ht="13.5" customHeight="1" outlineLevel="1" x14ac:dyDescent="0.25">
      <c r="A480" s="43"/>
      <c r="B480" s="43"/>
      <c r="C480" s="35"/>
      <c r="D480" s="35"/>
      <c r="E480" s="65"/>
      <c r="F480" s="69"/>
      <c r="G480" s="35"/>
      <c r="H480" s="35"/>
      <c r="I480" s="35"/>
      <c r="J480" s="43"/>
      <c r="K480" s="43"/>
    </row>
    <row r="481" spans="1:11" ht="13.5" customHeight="1" outlineLevel="1" x14ac:dyDescent="0.25">
      <c r="A481" s="43"/>
      <c r="B481" s="43"/>
      <c r="C481" s="16"/>
      <c r="D481" s="16"/>
      <c r="E481" s="64"/>
      <c r="F481" s="64"/>
      <c r="G481" s="16"/>
      <c r="H481" s="16"/>
      <c r="I481" s="16"/>
      <c r="J481" s="43"/>
      <c r="K481" s="43"/>
    </row>
    <row r="482" spans="1:11" ht="13.5" customHeight="1" outlineLevel="1" x14ac:dyDescent="0.25">
      <c r="A482" s="43"/>
      <c r="B482" s="43"/>
      <c r="C482" s="35"/>
      <c r="D482" s="35"/>
      <c r="E482" s="65"/>
      <c r="F482" s="69"/>
      <c r="G482" s="35"/>
      <c r="H482" s="35"/>
      <c r="I482" s="35"/>
      <c r="J482" s="43"/>
      <c r="K482" s="43"/>
    </row>
    <row r="483" spans="1:11" ht="13.5" customHeight="1" outlineLevel="1" x14ac:dyDescent="0.25">
      <c r="A483" s="43"/>
      <c r="B483" s="43"/>
      <c r="C483" s="16"/>
      <c r="D483" s="16"/>
      <c r="E483" s="64"/>
      <c r="F483" s="64"/>
      <c r="G483" s="16"/>
      <c r="H483" s="16"/>
      <c r="I483" s="16"/>
      <c r="J483" s="43"/>
      <c r="K483" s="43"/>
    </row>
    <row r="484" spans="1:11" ht="13.5" customHeight="1" outlineLevel="1" x14ac:dyDescent="0.25">
      <c r="A484" s="43"/>
      <c r="B484" s="43"/>
      <c r="C484" s="35"/>
      <c r="D484" s="35"/>
      <c r="E484" s="65"/>
      <c r="F484" s="69"/>
      <c r="G484" s="35"/>
      <c r="H484" s="35"/>
      <c r="I484" s="35"/>
      <c r="J484" s="43"/>
      <c r="K484" s="43"/>
    </row>
    <row r="485" spans="1:11" ht="13.5" customHeight="1" outlineLevel="1" x14ac:dyDescent="0.25">
      <c r="A485" s="43"/>
      <c r="B485" s="43"/>
      <c r="C485" s="16"/>
      <c r="D485" s="16"/>
      <c r="E485" s="64"/>
      <c r="F485" s="64"/>
      <c r="G485" s="16"/>
      <c r="H485" s="16"/>
      <c r="I485" s="16"/>
      <c r="J485" s="43"/>
      <c r="K485" s="43"/>
    </row>
    <row r="486" spans="1:11" ht="13.5" customHeight="1" outlineLevel="1" x14ac:dyDescent="0.25">
      <c r="A486" s="43"/>
      <c r="B486" s="43"/>
      <c r="C486" s="35"/>
      <c r="D486" s="35"/>
      <c r="E486" s="65"/>
      <c r="F486" s="69"/>
      <c r="G486" s="35"/>
      <c r="H486" s="35"/>
      <c r="I486" s="35"/>
      <c r="J486" s="43"/>
      <c r="K486" s="43"/>
    </row>
    <row r="487" spans="1:11" ht="13.5" customHeight="1" outlineLevel="1" x14ac:dyDescent="0.25">
      <c r="A487" s="43"/>
      <c r="B487" s="43"/>
      <c r="C487" s="16"/>
      <c r="D487" s="16"/>
      <c r="E487" s="64"/>
      <c r="F487" s="64"/>
      <c r="G487" s="16"/>
      <c r="H487" s="16"/>
      <c r="I487" s="16"/>
      <c r="J487" s="43"/>
      <c r="K487" s="43"/>
    </row>
    <row r="488" spans="1:11" ht="13.5" customHeight="1" outlineLevel="1" x14ac:dyDescent="0.25">
      <c r="A488" s="43"/>
      <c r="B488" s="43"/>
      <c r="C488" s="35"/>
      <c r="D488" s="35"/>
      <c r="E488" s="65"/>
      <c r="F488" s="69"/>
      <c r="G488" s="35"/>
      <c r="H488" s="35"/>
      <c r="I488" s="35"/>
      <c r="J488" s="43"/>
      <c r="K488" s="43"/>
    </row>
    <row r="489" spans="1:11" ht="13.5" customHeight="1" outlineLevel="1" x14ac:dyDescent="0.25">
      <c r="A489" s="43"/>
      <c r="B489" s="43"/>
      <c r="C489" s="16"/>
      <c r="D489" s="16"/>
      <c r="E489" s="64"/>
      <c r="F489" s="64"/>
      <c r="G489" s="16"/>
      <c r="H489" s="16"/>
      <c r="I489" s="16"/>
      <c r="J489" s="43"/>
      <c r="K489" s="43"/>
    </row>
    <row r="490" spans="1:11" ht="13.5" customHeight="1" outlineLevel="1" x14ac:dyDescent="0.25">
      <c r="A490" s="43"/>
      <c r="B490" s="43"/>
      <c r="C490" s="35"/>
      <c r="D490" s="35"/>
      <c r="E490" s="65"/>
      <c r="F490" s="69"/>
      <c r="G490" s="35"/>
      <c r="H490" s="35"/>
      <c r="I490" s="35"/>
      <c r="J490" s="43"/>
      <c r="K490" s="43"/>
    </row>
    <row r="491" spans="1:11" ht="13.5" customHeight="1" outlineLevel="1" x14ac:dyDescent="0.25">
      <c r="A491" s="43"/>
      <c r="B491" s="43"/>
      <c r="C491" s="16"/>
      <c r="D491" s="16"/>
      <c r="E491" s="64"/>
      <c r="F491" s="64"/>
      <c r="G491" s="16"/>
      <c r="H491" s="16"/>
      <c r="I491" s="16"/>
      <c r="J491" s="43"/>
      <c r="K491" s="43"/>
    </row>
    <row r="492" spans="1:11" ht="13.5" customHeight="1" outlineLevel="1" x14ac:dyDescent="0.25">
      <c r="A492" s="43"/>
      <c r="B492" s="43"/>
      <c r="C492" s="35"/>
      <c r="D492" s="35"/>
      <c r="E492" s="65"/>
      <c r="F492" s="69"/>
      <c r="G492" s="35"/>
      <c r="H492" s="35"/>
      <c r="I492" s="35"/>
      <c r="J492" s="43"/>
      <c r="K492" s="43"/>
    </row>
    <row r="493" spans="1:11" ht="13.5" customHeight="1" outlineLevel="1" x14ac:dyDescent="0.25">
      <c r="A493" s="43"/>
      <c r="B493" s="43"/>
      <c r="C493" s="16"/>
      <c r="D493" s="16"/>
      <c r="E493" s="64"/>
      <c r="F493" s="64"/>
      <c r="G493" s="16"/>
      <c r="H493" s="16"/>
      <c r="I493" s="16"/>
      <c r="J493" s="43"/>
      <c r="K493" s="43"/>
    </row>
    <row r="494" spans="1:11" ht="13.5" customHeight="1" outlineLevel="1" x14ac:dyDescent="0.25">
      <c r="A494" s="43"/>
      <c r="B494" s="43"/>
      <c r="C494" s="35"/>
      <c r="D494" s="35"/>
      <c r="E494" s="65"/>
      <c r="F494" s="69"/>
      <c r="G494" s="35"/>
      <c r="H494" s="35"/>
      <c r="I494" s="35"/>
      <c r="J494" s="43"/>
      <c r="K494" s="43"/>
    </row>
    <row r="495" spans="1:11" ht="13.5" customHeight="1" outlineLevel="1" x14ac:dyDescent="0.25">
      <c r="A495" s="43"/>
      <c r="B495" s="43"/>
      <c r="C495" s="16"/>
      <c r="D495" s="16"/>
      <c r="E495" s="64"/>
      <c r="F495" s="64"/>
      <c r="G495" s="16"/>
      <c r="H495" s="16"/>
      <c r="I495" s="16"/>
      <c r="J495" s="43"/>
      <c r="K495" s="43"/>
    </row>
    <row r="496" spans="1:11" ht="13.5" customHeight="1" outlineLevel="1" x14ac:dyDescent="0.25">
      <c r="A496" s="43"/>
      <c r="B496" s="43"/>
      <c r="C496" s="35"/>
      <c r="D496" s="35"/>
      <c r="E496" s="65"/>
      <c r="F496" s="69"/>
      <c r="G496" s="35"/>
      <c r="H496" s="35"/>
      <c r="I496" s="35"/>
      <c r="J496" s="43"/>
      <c r="K496" s="43"/>
    </row>
    <row r="497" spans="1:11" ht="13.5" customHeight="1" outlineLevel="1" x14ac:dyDescent="0.25">
      <c r="A497" s="43"/>
      <c r="B497" s="43"/>
      <c r="C497" s="16"/>
      <c r="D497" s="16"/>
      <c r="E497" s="64"/>
      <c r="F497" s="64"/>
      <c r="G497" s="16"/>
      <c r="H497" s="16"/>
      <c r="I497" s="16"/>
      <c r="J497" s="43"/>
      <c r="K497" s="43"/>
    </row>
    <row r="498" spans="1:11" ht="13.5" customHeight="1" outlineLevel="1" x14ac:dyDescent="0.25">
      <c r="A498" s="43"/>
      <c r="B498" s="43"/>
      <c r="C498" s="35"/>
      <c r="D498" s="35"/>
      <c r="E498" s="65"/>
      <c r="F498" s="69"/>
      <c r="G498" s="35"/>
      <c r="H498" s="35"/>
      <c r="I498" s="35"/>
      <c r="J498" s="43"/>
      <c r="K498" s="43"/>
    </row>
    <row r="499" spans="1:11" ht="13.5" customHeight="1" outlineLevel="1" x14ac:dyDescent="0.25">
      <c r="A499" s="43"/>
      <c r="B499" s="43"/>
      <c r="C499" s="16"/>
      <c r="D499" s="16"/>
      <c r="E499" s="64"/>
      <c r="F499" s="64"/>
      <c r="G499" s="16"/>
      <c r="H499" s="16"/>
      <c r="I499" s="16"/>
      <c r="J499" s="43"/>
      <c r="K499" s="43"/>
    </row>
    <row r="500" spans="1:11" ht="13.5" customHeight="1" outlineLevel="1" x14ac:dyDescent="0.25">
      <c r="A500" s="43"/>
      <c r="B500" s="43"/>
      <c r="C500" s="35"/>
      <c r="D500" s="35"/>
      <c r="E500" s="65"/>
      <c r="F500" s="69"/>
      <c r="G500" s="35"/>
      <c r="H500" s="35"/>
      <c r="I500" s="35"/>
      <c r="J500" s="43"/>
      <c r="K500" s="43"/>
    </row>
    <row r="501" spans="1:11" ht="13.5" customHeight="1" outlineLevel="1" x14ac:dyDescent="0.25">
      <c r="A501" s="43"/>
      <c r="B501" s="43"/>
      <c r="C501" s="16"/>
      <c r="D501" s="16"/>
      <c r="E501" s="64"/>
      <c r="F501" s="64"/>
      <c r="G501" s="16"/>
      <c r="H501" s="16"/>
      <c r="I501" s="16"/>
      <c r="J501" s="43"/>
      <c r="K501" s="43"/>
    </row>
    <row r="502" spans="1:11" ht="13.5" customHeight="1" outlineLevel="1" x14ac:dyDescent="0.25">
      <c r="A502" s="43"/>
      <c r="B502" s="43"/>
      <c r="C502" s="35"/>
      <c r="D502" s="35"/>
      <c r="E502" s="65"/>
      <c r="F502" s="69"/>
      <c r="G502" s="35"/>
      <c r="H502" s="35"/>
      <c r="I502" s="35"/>
      <c r="J502" s="43"/>
      <c r="K502" s="43"/>
    </row>
    <row r="503" spans="1:11" ht="13.5" customHeight="1" outlineLevel="1" x14ac:dyDescent="0.25">
      <c r="A503" s="43"/>
      <c r="B503" s="43"/>
      <c r="C503" s="16"/>
      <c r="D503" s="16"/>
      <c r="E503" s="64"/>
      <c r="F503" s="64"/>
      <c r="G503" s="16"/>
      <c r="H503" s="16"/>
      <c r="I503" s="16"/>
      <c r="J503" s="43"/>
      <c r="K503" s="43"/>
    </row>
    <row r="504" spans="1:11" ht="13.5" customHeight="1" outlineLevel="1" x14ac:dyDescent="0.25">
      <c r="A504" s="43"/>
      <c r="B504" s="43"/>
      <c r="C504" s="35"/>
      <c r="D504" s="35"/>
      <c r="E504" s="65"/>
      <c r="F504" s="69"/>
      <c r="G504" s="35"/>
      <c r="H504" s="35"/>
      <c r="I504" s="35"/>
      <c r="J504" s="43"/>
      <c r="K504" s="43"/>
    </row>
    <row r="505" spans="1:11" ht="13.5" customHeight="1" outlineLevel="1" x14ac:dyDescent="0.25">
      <c r="A505" s="43"/>
      <c r="B505" s="43"/>
      <c r="C505" s="16"/>
      <c r="D505" s="16"/>
      <c r="E505" s="64"/>
      <c r="F505" s="64"/>
      <c r="G505" s="16"/>
      <c r="H505" s="16"/>
      <c r="I505" s="16"/>
      <c r="J505" s="43"/>
      <c r="K505" s="43"/>
    </row>
    <row r="506" spans="1:11" ht="13.5" customHeight="1" outlineLevel="1" x14ac:dyDescent="0.25">
      <c r="A506" s="43"/>
      <c r="B506" s="43"/>
      <c r="C506" s="35"/>
      <c r="D506" s="35"/>
      <c r="E506" s="65"/>
      <c r="F506" s="69"/>
      <c r="G506" s="35"/>
      <c r="H506" s="35"/>
      <c r="I506" s="35"/>
      <c r="J506" s="43"/>
      <c r="K506" s="43"/>
    </row>
    <row r="507" spans="1:11" ht="13.5" customHeight="1" outlineLevel="1" x14ac:dyDescent="0.25">
      <c r="A507" s="43"/>
      <c r="B507" s="43"/>
      <c r="C507" s="16"/>
      <c r="D507" s="16"/>
      <c r="E507" s="64"/>
      <c r="F507" s="64"/>
      <c r="G507" s="16"/>
      <c r="H507" s="16"/>
      <c r="I507" s="16"/>
      <c r="J507" s="43"/>
      <c r="K507" s="43"/>
    </row>
    <row r="508" spans="1:11" ht="13.5" customHeight="1" outlineLevel="1" x14ac:dyDescent="0.25">
      <c r="A508" s="43"/>
      <c r="B508" s="43"/>
      <c r="C508" s="35"/>
      <c r="D508" s="35"/>
      <c r="E508" s="65"/>
      <c r="F508" s="69"/>
      <c r="G508" s="35"/>
      <c r="H508" s="35"/>
      <c r="I508" s="35"/>
      <c r="J508" s="43"/>
      <c r="K508" s="43"/>
    </row>
    <row r="509" spans="1:11" ht="13.5" customHeight="1" outlineLevel="1" x14ac:dyDescent="0.25">
      <c r="A509" s="43"/>
      <c r="B509" s="43"/>
      <c r="C509" s="16"/>
      <c r="D509" s="16"/>
      <c r="E509" s="64"/>
      <c r="F509" s="64"/>
      <c r="G509" s="16"/>
      <c r="H509" s="16"/>
      <c r="I509" s="16"/>
      <c r="J509" s="43"/>
      <c r="K509" s="43"/>
    </row>
    <row r="510" spans="1:11" ht="13.5" customHeight="1" x14ac:dyDescent="0.25">
      <c r="A510" s="43"/>
      <c r="B510" s="43"/>
      <c r="C510" s="35"/>
      <c r="D510" s="35"/>
      <c r="E510" s="65"/>
      <c r="F510" s="69"/>
      <c r="G510" s="35"/>
      <c r="H510" s="35"/>
      <c r="I510" s="35"/>
      <c r="J510" s="43"/>
    </row>
    <row r="511" spans="1:11" ht="13.5" customHeight="1" x14ac:dyDescent="0.25">
      <c r="A511" s="43"/>
      <c r="B511" s="43"/>
      <c r="C511" s="16"/>
      <c r="D511" s="16"/>
      <c r="E511" s="64"/>
      <c r="F511" s="64"/>
      <c r="G511" s="16"/>
      <c r="H511" s="16"/>
      <c r="I511" s="16"/>
      <c r="J511" s="43"/>
    </row>
    <row r="512" spans="1:11" ht="13.5" customHeight="1" x14ac:dyDescent="0.25">
      <c r="A512" s="43"/>
      <c r="B512" s="43"/>
      <c r="C512" s="35"/>
      <c r="D512" s="35"/>
      <c r="E512" s="65"/>
      <c r="F512" s="69"/>
      <c r="G512" s="35"/>
      <c r="H512" s="35"/>
      <c r="I512" s="35"/>
      <c r="J512" s="43"/>
    </row>
    <row r="513" spans="1:10" ht="13.5" customHeight="1" x14ac:dyDescent="0.25">
      <c r="A513" s="43"/>
      <c r="B513" s="43"/>
      <c r="C513" s="16"/>
      <c r="D513" s="16"/>
      <c r="E513" s="64"/>
      <c r="F513" s="64"/>
      <c r="G513" s="16"/>
      <c r="H513" s="16"/>
      <c r="I513" s="16"/>
      <c r="J513" s="43"/>
    </row>
    <row r="514" spans="1:10" ht="13.5" customHeight="1" x14ac:dyDescent="0.25">
      <c r="A514" s="43"/>
      <c r="B514" s="43"/>
      <c r="C514" s="35"/>
      <c r="D514" s="35"/>
      <c r="E514" s="65"/>
      <c r="F514" s="69"/>
      <c r="G514" s="35"/>
      <c r="H514" s="35"/>
      <c r="I514" s="35"/>
      <c r="J514" s="43"/>
    </row>
    <row r="515" spans="1:10" ht="13.5" customHeight="1" x14ac:dyDescent="0.25">
      <c r="A515" s="43"/>
      <c r="B515" s="43"/>
      <c r="C515" s="16"/>
      <c r="D515" s="16"/>
      <c r="E515" s="64"/>
      <c r="F515" s="64"/>
      <c r="G515" s="16"/>
      <c r="H515" s="16"/>
      <c r="I515" s="16"/>
      <c r="J515" s="43"/>
    </row>
    <row r="516" spans="1:10" ht="13.5" customHeight="1" x14ac:dyDescent="0.25">
      <c r="A516" s="43"/>
      <c r="B516" s="43"/>
      <c r="C516" s="35"/>
      <c r="D516" s="35"/>
      <c r="E516" s="65"/>
      <c r="F516" s="69"/>
      <c r="G516" s="35"/>
      <c r="H516" s="35"/>
      <c r="I516" s="35"/>
      <c r="J516" s="43"/>
    </row>
    <row r="517" spans="1:10" ht="13.5" customHeight="1" x14ac:dyDescent="0.25">
      <c r="A517" s="43"/>
      <c r="B517" s="43"/>
      <c r="C517" s="16"/>
      <c r="D517" s="16"/>
      <c r="E517" s="64"/>
      <c r="F517" s="64"/>
      <c r="G517" s="16"/>
      <c r="H517" s="16"/>
      <c r="I517" s="16"/>
      <c r="J517" s="43"/>
    </row>
    <row r="518" spans="1:10" ht="13.5" customHeight="1" x14ac:dyDescent="0.25">
      <c r="C518" s="35"/>
      <c r="D518" s="35"/>
      <c r="E518" s="65"/>
      <c r="F518" s="69"/>
      <c r="G518" s="35"/>
      <c r="H518" s="35"/>
      <c r="I518" s="35"/>
    </row>
    <row r="519" spans="1:10" ht="13.5" customHeight="1" x14ac:dyDescent="0.25">
      <c r="C519" s="16"/>
      <c r="D519" s="16"/>
      <c r="E519" s="64"/>
      <c r="F519" s="64"/>
      <c r="G519" s="16"/>
      <c r="H519" s="16"/>
      <c r="I519" s="16"/>
    </row>
    <row r="520" spans="1:10" ht="13.5" customHeight="1" x14ac:dyDescent="0.25">
      <c r="C520" s="35"/>
      <c r="D520" s="35"/>
      <c r="E520" s="65"/>
      <c r="F520" s="69"/>
      <c r="G520" s="35"/>
      <c r="H520" s="35"/>
      <c r="I520" s="35"/>
    </row>
    <row r="521" spans="1:10" ht="13.5" customHeight="1" x14ac:dyDescent="0.25">
      <c r="C521" s="16"/>
      <c r="D521" s="16"/>
      <c r="E521" s="64"/>
      <c r="F521" s="64"/>
      <c r="G521" s="16"/>
      <c r="H521" s="16"/>
      <c r="I521" s="16"/>
    </row>
    <row r="522" spans="1:10" ht="13.5" customHeight="1" x14ac:dyDescent="0.25">
      <c r="C522" s="35"/>
      <c r="D522" s="35"/>
      <c r="E522" s="65"/>
      <c r="F522" s="69"/>
      <c r="G522" s="35"/>
      <c r="H522" s="35"/>
      <c r="I522" s="35"/>
    </row>
    <row r="523" spans="1:10" ht="13.5" customHeight="1" x14ac:dyDescent="0.25">
      <c r="C523" s="16"/>
      <c r="D523" s="16"/>
      <c r="E523" s="64"/>
      <c r="F523" s="64"/>
      <c r="G523" s="16"/>
      <c r="H523" s="16"/>
      <c r="I523" s="16"/>
    </row>
    <row r="524" spans="1:10" ht="13.5" customHeight="1" x14ac:dyDescent="0.25">
      <c r="C524" s="35"/>
      <c r="D524" s="35"/>
      <c r="E524" s="65"/>
      <c r="F524" s="69"/>
      <c r="G524" s="35"/>
      <c r="H524" s="35"/>
      <c r="I524" s="35"/>
    </row>
    <row r="525" spans="1:10" ht="13.5" customHeight="1" x14ac:dyDescent="0.25">
      <c r="C525" s="16"/>
      <c r="D525" s="16"/>
      <c r="E525" s="64"/>
      <c r="F525" s="64"/>
      <c r="G525" s="16"/>
      <c r="H525" s="16"/>
      <c r="I525" s="16"/>
    </row>
    <row r="526" spans="1:10" ht="13.5" customHeight="1" x14ac:dyDescent="0.25">
      <c r="C526" s="35"/>
      <c r="D526" s="35"/>
      <c r="E526" s="65"/>
      <c r="F526" s="69"/>
      <c r="G526" s="35"/>
      <c r="H526" s="35"/>
      <c r="I526" s="35"/>
    </row>
    <row r="527" spans="1:10" ht="13.5" customHeight="1" x14ac:dyDescent="0.25">
      <c r="C527" s="16"/>
      <c r="D527" s="16"/>
      <c r="E527" s="64"/>
      <c r="F527" s="64"/>
      <c r="G527" s="16"/>
      <c r="H527" s="16"/>
      <c r="I527" s="16"/>
    </row>
    <row r="528" spans="1:10" ht="13.5" customHeight="1" x14ac:dyDescent="0.25">
      <c r="C528" s="35"/>
      <c r="D528" s="35"/>
      <c r="E528" s="65"/>
      <c r="F528" s="69"/>
      <c r="G528" s="35"/>
      <c r="H528" s="35"/>
      <c r="I528" s="35"/>
    </row>
    <row r="529" spans="3:9" ht="13.5" customHeight="1" x14ac:dyDescent="0.25">
      <c r="C529" s="16"/>
      <c r="D529" s="16"/>
      <c r="E529" s="64"/>
      <c r="F529" s="64"/>
      <c r="G529" s="16"/>
      <c r="H529" s="16"/>
      <c r="I529" s="16"/>
    </row>
    <row r="530" spans="3:9" ht="13.5" customHeight="1" x14ac:dyDescent="0.25">
      <c r="C530" s="35"/>
      <c r="D530" s="35"/>
      <c r="E530" s="65"/>
      <c r="F530" s="69"/>
      <c r="G530" s="35"/>
      <c r="H530" s="35"/>
      <c r="I530" s="35"/>
    </row>
    <row r="531" spans="3:9" ht="13.5" customHeight="1" x14ac:dyDescent="0.25">
      <c r="C531" s="16"/>
      <c r="D531" s="16"/>
      <c r="E531" s="64"/>
      <c r="F531" s="64"/>
      <c r="G531" s="16"/>
      <c r="H531" s="16"/>
      <c r="I531" s="16"/>
    </row>
    <row r="532" spans="3:9" ht="13.5" customHeight="1" x14ac:dyDescent="0.25">
      <c r="C532" s="35"/>
      <c r="D532" s="35"/>
      <c r="E532" s="65"/>
      <c r="F532" s="69"/>
      <c r="G532" s="35"/>
      <c r="H532" s="35"/>
      <c r="I532" s="35"/>
    </row>
    <row r="533" spans="3:9" ht="13.5" customHeight="1" x14ac:dyDescent="0.25">
      <c r="C533" s="16"/>
      <c r="D533" s="16"/>
      <c r="E533" s="64"/>
      <c r="F533" s="64"/>
      <c r="G533" s="16"/>
      <c r="H533" s="16"/>
      <c r="I533" s="16"/>
    </row>
    <row r="534" spans="3:9" ht="13.5" customHeight="1" x14ac:dyDescent="0.25">
      <c r="C534" s="35"/>
      <c r="D534" s="35"/>
      <c r="E534" s="65"/>
      <c r="F534" s="69"/>
      <c r="G534" s="35"/>
      <c r="H534" s="35"/>
      <c r="I534" s="35"/>
    </row>
    <row r="535" spans="3:9" ht="13.5" customHeight="1" x14ac:dyDescent="0.25">
      <c r="C535" s="16"/>
      <c r="D535" s="16"/>
      <c r="E535" s="64"/>
      <c r="F535" s="64"/>
      <c r="G535" s="16"/>
      <c r="H535" s="16"/>
      <c r="I535" s="16"/>
    </row>
    <row r="536" spans="3:9" ht="13.5" customHeight="1" x14ac:dyDescent="0.25">
      <c r="C536" s="35"/>
      <c r="D536" s="35"/>
      <c r="E536" s="65"/>
      <c r="F536" s="69"/>
      <c r="G536" s="35"/>
      <c r="H536" s="35"/>
      <c r="I536" s="35"/>
    </row>
    <row r="537" spans="3:9" ht="13.5" customHeight="1" x14ac:dyDescent="0.25">
      <c r="C537" s="16"/>
      <c r="D537" s="16"/>
      <c r="E537" s="64"/>
      <c r="F537" s="64"/>
      <c r="G537" s="16"/>
      <c r="H537" s="16"/>
      <c r="I537" s="16"/>
    </row>
    <row r="538" spans="3:9" ht="13.5" customHeight="1" x14ac:dyDescent="0.25">
      <c r="C538" s="35"/>
      <c r="D538" s="35"/>
      <c r="E538" s="65"/>
      <c r="F538" s="69"/>
      <c r="G538" s="35"/>
      <c r="H538" s="35"/>
      <c r="I538" s="35"/>
    </row>
    <row r="539" spans="3:9" ht="13.5" customHeight="1" x14ac:dyDescent="0.25">
      <c r="C539" s="16"/>
      <c r="D539" s="16"/>
      <c r="E539" s="64"/>
      <c r="F539" s="64"/>
      <c r="G539" s="16"/>
      <c r="H539" s="16"/>
      <c r="I539" s="16"/>
    </row>
    <row r="540" spans="3:9" ht="13.5" customHeight="1" x14ac:dyDescent="0.25">
      <c r="C540" s="35"/>
      <c r="D540" s="35"/>
      <c r="E540" s="65"/>
      <c r="F540" s="69"/>
      <c r="G540" s="35"/>
      <c r="H540" s="35"/>
      <c r="I540" s="35"/>
    </row>
    <row r="541" spans="3:9" ht="13.5" customHeight="1" x14ac:dyDescent="0.25">
      <c r="C541" s="16"/>
      <c r="D541" s="16"/>
      <c r="E541" s="64"/>
      <c r="F541" s="64"/>
      <c r="G541" s="16"/>
      <c r="H541" s="16"/>
      <c r="I541" s="16"/>
    </row>
    <row r="542" spans="3:9" ht="13.5" customHeight="1" x14ac:dyDescent="0.25">
      <c r="C542" s="35"/>
      <c r="D542" s="35"/>
      <c r="E542" s="65"/>
      <c r="F542" s="69"/>
      <c r="G542" s="35"/>
      <c r="H542" s="35"/>
      <c r="I542" s="35"/>
    </row>
    <row r="543" spans="3:9" ht="13.5" customHeight="1" x14ac:dyDescent="0.25">
      <c r="C543" s="16"/>
      <c r="D543" s="16"/>
      <c r="E543" s="64"/>
      <c r="F543" s="64"/>
      <c r="G543" s="16"/>
      <c r="H543" s="16"/>
      <c r="I543" s="16"/>
    </row>
    <row r="544" spans="3:9" ht="13.5" customHeight="1" x14ac:dyDescent="0.25">
      <c r="C544" s="35"/>
      <c r="D544" s="35"/>
      <c r="E544" s="65"/>
      <c r="F544" s="69"/>
      <c r="G544" s="35"/>
      <c r="H544" s="35"/>
      <c r="I544" s="35"/>
    </row>
    <row r="545" spans="3:9" ht="13.5" customHeight="1" x14ac:dyDescent="0.25">
      <c r="C545" s="16"/>
      <c r="D545" s="16"/>
      <c r="E545" s="64"/>
      <c r="F545" s="64"/>
      <c r="G545" s="16"/>
      <c r="H545" s="16"/>
      <c r="I545" s="16"/>
    </row>
    <row r="546" spans="3:9" ht="13.5" customHeight="1" x14ac:dyDescent="0.25">
      <c r="C546" s="35"/>
      <c r="D546" s="35"/>
      <c r="E546" s="65"/>
      <c r="F546" s="69"/>
      <c r="G546" s="35"/>
      <c r="H546" s="35"/>
      <c r="I546" s="35"/>
    </row>
    <row r="547" spans="3:9" ht="13.5" customHeight="1" x14ac:dyDescent="0.25">
      <c r="C547" s="16"/>
      <c r="D547" s="16"/>
      <c r="E547" s="64"/>
      <c r="F547" s="64"/>
      <c r="G547" s="16"/>
      <c r="H547" s="16"/>
      <c r="I547" s="16"/>
    </row>
    <row r="548" spans="3:9" ht="13.5" customHeight="1" x14ac:dyDescent="0.25">
      <c r="C548" s="35"/>
      <c r="D548" s="35"/>
      <c r="E548" s="65"/>
      <c r="F548" s="69"/>
      <c r="G548" s="35"/>
      <c r="H548" s="35"/>
      <c r="I548" s="35"/>
    </row>
    <row r="549" spans="3:9" ht="13.5" customHeight="1" x14ac:dyDescent="0.25">
      <c r="C549" s="16"/>
      <c r="D549" s="16"/>
      <c r="E549" s="64"/>
      <c r="F549" s="64"/>
      <c r="G549" s="16"/>
      <c r="H549" s="16"/>
      <c r="I549" s="16"/>
    </row>
    <row r="550" spans="3:9" ht="13.5" customHeight="1" x14ac:dyDescent="0.25">
      <c r="C550" s="35"/>
      <c r="D550" s="35"/>
      <c r="E550" s="65"/>
      <c r="F550" s="69"/>
      <c r="G550" s="35"/>
      <c r="H550" s="35"/>
      <c r="I550" s="35"/>
    </row>
    <row r="551" spans="3:9" ht="13.5" customHeight="1" x14ac:dyDescent="0.25">
      <c r="C551" s="16"/>
      <c r="D551" s="16"/>
      <c r="E551" s="64"/>
      <c r="F551" s="64"/>
      <c r="G551" s="16"/>
      <c r="H551" s="16"/>
      <c r="I551" s="16"/>
    </row>
    <row r="552" spans="3:9" ht="13.5" customHeight="1" x14ac:dyDescent="0.25">
      <c r="C552" s="35"/>
      <c r="D552" s="35"/>
      <c r="E552" s="65"/>
      <c r="F552" s="69"/>
      <c r="G552" s="35"/>
      <c r="H552" s="35"/>
      <c r="I552" s="35"/>
    </row>
    <row r="553" spans="3:9" ht="13.5" customHeight="1" x14ac:dyDescent="0.25">
      <c r="C553" s="16"/>
      <c r="D553" s="16"/>
      <c r="E553" s="64"/>
      <c r="F553" s="64"/>
      <c r="G553" s="16"/>
      <c r="H553" s="16"/>
      <c r="I553" s="16"/>
    </row>
    <row r="554" spans="3:9" ht="13.5" customHeight="1" x14ac:dyDescent="0.25">
      <c r="C554" s="35"/>
      <c r="D554" s="35"/>
      <c r="E554" s="65"/>
      <c r="F554" s="69"/>
      <c r="G554" s="35"/>
      <c r="H554" s="35"/>
      <c r="I554" s="35"/>
    </row>
    <row r="555" spans="3:9" ht="13.5" customHeight="1" x14ac:dyDescent="0.25">
      <c r="C555" s="16"/>
      <c r="D555" s="16"/>
      <c r="E555" s="64"/>
      <c r="F555" s="64"/>
      <c r="G555" s="16"/>
      <c r="H555" s="16"/>
      <c r="I555" s="16"/>
    </row>
    <row r="556" spans="3:9" ht="13.5" customHeight="1" x14ac:dyDescent="0.25">
      <c r="C556" s="35"/>
      <c r="D556" s="35"/>
      <c r="E556" s="65"/>
      <c r="F556" s="69"/>
      <c r="G556" s="35"/>
      <c r="H556" s="35"/>
      <c r="I556" s="35"/>
    </row>
    <row r="557" spans="3:9" ht="13.5" customHeight="1" x14ac:dyDescent="0.25">
      <c r="C557" s="16"/>
      <c r="D557" s="16"/>
      <c r="E557" s="64"/>
      <c r="F557" s="64"/>
      <c r="G557" s="16"/>
      <c r="H557" s="16"/>
      <c r="I557" s="16"/>
    </row>
    <row r="558" spans="3:9" ht="13.5" customHeight="1" x14ac:dyDescent="0.25">
      <c r="C558" s="35"/>
      <c r="D558" s="35"/>
      <c r="E558" s="65"/>
      <c r="F558" s="69"/>
      <c r="G558" s="35"/>
      <c r="H558" s="35"/>
      <c r="I558" s="35"/>
    </row>
    <row r="559" spans="3:9" ht="13.5" customHeight="1" x14ac:dyDescent="0.25">
      <c r="C559" s="16"/>
      <c r="D559" s="16"/>
      <c r="E559" s="64"/>
      <c r="F559" s="64"/>
      <c r="G559" s="16"/>
      <c r="H559" s="16"/>
      <c r="I559" s="16"/>
    </row>
    <row r="560" spans="3:9" ht="13.5" customHeight="1" x14ac:dyDescent="0.25">
      <c r="C560" s="35"/>
      <c r="D560" s="35"/>
      <c r="E560" s="65"/>
      <c r="F560" s="69"/>
      <c r="G560" s="35"/>
      <c r="H560" s="35"/>
      <c r="I560" s="35"/>
    </row>
    <row r="561" spans="3:9" ht="13.5" customHeight="1" x14ac:dyDescent="0.25">
      <c r="C561" s="16"/>
      <c r="D561" s="16"/>
      <c r="E561" s="64"/>
      <c r="F561" s="64"/>
      <c r="G561" s="16"/>
      <c r="H561" s="16"/>
      <c r="I561" s="16"/>
    </row>
    <row r="562" spans="3:9" ht="13.5" customHeight="1" x14ac:dyDescent="0.25">
      <c r="C562" s="35"/>
      <c r="D562" s="35"/>
      <c r="E562" s="65"/>
      <c r="F562" s="69"/>
      <c r="G562" s="35"/>
      <c r="H562" s="35"/>
      <c r="I562" s="35"/>
    </row>
    <row r="563" spans="3:9" ht="13.5" customHeight="1" x14ac:dyDescent="0.25">
      <c r="C563" s="16"/>
      <c r="D563" s="16"/>
      <c r="E563" s="64"/>
      <c r="F563" s="64"/>
      <c r="G563" s="16"/>
      <c r="H563" s="16"/>
      <c r="I563" s="16"/>
    </row>
    <row r="564" spans="3:9" ht="13.5" customHeight="1" x14ac:dyDescent="0.25">
      <c r="C564" s="35"/>
      <c r="D564" s="35"/>
      <c r="E564" s="65"/>
      <c r="F564" s="69"/>
      <c r="G564" s="35"/>
      <c r="H564" s="35"/>
      <c r="I564" s="35"/>
    </row>
    <row r="565" spans="3:9" ht="13.5" customHeight="1" x14ac:dyDescent="0.25">
      <c r="C565" s="16"/>
      <c r="D565" s="16"/>
      <c r="E565" s="64"/>
      <c r="F565" s="64"/>
      <c r="G565" s="16"/>
      <c r="H565" s="16"/>
      <c r="I565" s="16"/>
    </row>
    <row r="566" spans="3:9" ht="13.5" customHeight="1" x14ac:dyDescent="0.25">
      <c r="C566" s="35"/>
      <c r="D566" s="35"/>
      <c r="E566" s="65"/>
      <c r="F566" s="69"/>
      <c r="G566" s="35"/>
      <c r="H566" s="35"/>
      <c r="I566" s="35"/>
    </row>
    <row r="567" spans="3:9" ht="13.5" customHeight="1" x14ac:dyDescent="0.25">
      <c r="C567" s="16"/>
      <c r="D567" s="16"/>
      <c r="E567" s="64"/>
      <c r="F567" s="64"/>
      <c r="G567" s="16"/>
      <c r="H567" s="16"/>
      <c r="I567" s="16"/>
    </row>
    <row r="568" spans="3:9" ht="13.5" customHeight="1" x14ac:dyDescent="0.25">
      <c r="C568" s="35"/>
      <c r="D568" s="35"/>
      <c r="E568" s="65"/>
      <c r="F568" s="69"/>
      <c r="G568" s="35"/>
      <c r="H568" s="35"/>
      <c r="I568" s="35"/>
    </row>
    <row r="569" spans="3:9" ht="13.5" customHeight="1" x14ac:dyDescent="0.25">
      <c r="C569" s="16"/>
      <c r="D569" s="16"/>
      <c r="E569" s="64"/>
      <c r="F569" s="64"/>
      <c r="G569" s="16"/>
      <c r="H569" s="16"/>
      <c r="I569" s="16"/>
    </row>
    <row r="570" spans="3:9" ht="13.5" customHeight="1" x14ac:dyDescent="0.25">
      <c r="C570" s="35"/>
      <c r="D570" s="35"/>
      <c r="E570" s="65"/>
      <c r="F570" s="69"/>
      <c r="G570" s="35"/>
      <c r="H570" s="35"/>
      <c r="I570" s="35"/>
    </row>
    <row r="571" spans="3:9" ht="13.5" customHeight="1" x14ac:dyDescent="0.25">
      <c r="C571" s="16"/>
      <c r="D571" s="16"/>
      <c r="E571" s="64"/>
      <c r="F571" s="64"/>
      <c r="G571" s="16"/>
      <c r="H571" s="16"/>
      <c r="I571" s="16"/>
    </row>
    <row r="572" spans="3:9" ht="13.5" customHeight="1" x14ac:dyDescent="0.25">
      <c r="C572" s="35"/>
      <c r="D572" s="35"/>
      <c r="E572" s="65"/>
      <c r="F572" s="69"/>
      <c r="G572" s="35"/>
      <c r="H572" s="35"/>
      <c r="I572" s="35"/>
    </row>
    <row r="573" spans="3:9" ht="13.5" customHeight="1" x14ac:dyDescent="0.25">
      <c r="C573" s="16"/>
      <c r="D573" s="16"/>
      <c r="E573" s="64"/>
      <c r="F573" s="64"/>
      <c r="G573" s="16"/>
      <c r="H573" s="16"/>
      <c r="I573" s="16"/>
    </row>
    <row r="574" spans="3:9" ht="13.5" customHeight="1" x14ac:dyDescent="0.25">
      <c r="C574" s="35"/>
      <c r="D574" s="35"/>
      <c r="E574" s="65"/>
      <c r="F574" s="69"/>
      <c r="G574" s="35"/>
      <c r="H574" s="35"/>
      <c r="I574" s="35"/>
    </row>
    <row r="575" spans="3:9" ht="13.5" customHeight="1" x14ac:dyDescent="0.25">
      <c r="C575" s="16"/>
      <c r="D575" s="16"/>
      <c r="E575" s="64"/>
      <c r="F575" s="64"/>
      <c r="G575" s="16"/>
      <c r="H575" s="16"/>
      <c r="I575" s="16"/>
    </row>
    <row r="576" spans="3:9" ht="13.5" customHeight="1" x14ac:dyDescent="0.25">
      <c r="C576" s="35"/>
      <c r="D576" s="35"/>
      <c r="E576" s="65"/>
      <c r="F576" s="69"/>
      <c r="G576" s="35"/>
      <c r="H576" s="35"/>
      <c r="I576" s="35"/>
    </row>
    <row r="577" spans="3:9" ht="13.5" customHeight="1" x14ac:dyDescent="0.25">
      <c r="C577" s="16"/>
      <c r="D577" s="16"/>
      <c r="E577" s="64"/>
      <c r="F577" s="64"/>
      <c r="G577" s="16"/>
      <c r="H577" s="16"/>
      <c r="I577" s="16"/>
    </row>
    <row r="578" spans="3:9" ht="13.5" customHeight="1" x14ac:dyDescent="0.25">
      <c r="C578" s="35"/>
      <c r="D578" s="35"/>
      <c r="E578" s="65"/>
      <c r="F578" s="69"/>
      <c r="G578" s="35"/>
      <c r="H578" s="35"/>
      <c r="I578" s="35"/>
    </row>
    <row r="579" spans="3:9" ht="13.5" customHeight="1" x14ac:dyDescent="0.25">
      <c r="C579" s="16"/>
      <c r="D579" s="16"/>
      <c r="E579" s="64"/>
      <c r="F579" s="64"/>
      <c r="G579" s="16"/>
      <c r="H579" s="16"/>
      <c r="I579" s="16"/>
    </row>
    <row r="580" spans="3:9" ht="13.5" customHeight="1" x14ac:dyDescent="0.25">
      <c r="C580" s="35"/>
      <c r="D580" s="35"/>
      <c r="E580" s="65"/>
      <c r="F580" s="69"/>
      <c r="G580" s="35"/>
      <c r="H580" s="35"/>
      <c r="I580" s="35"/>
    </row>
    <row r="581" spans="3:9" ht="13.5" customHeight="1" x14ac:dyDescent="0.25">
      <c r="C581" s="16"/>
      <c r="D581" s="16"/>
      <c r="E581" s="64"/>
      <c r="F581" s="64"/>
      <c r="G581" s="16"/>
      <c r="H581" s="16"/>
      <c r="I581" s="16"/>
    </row>
    <row r="582" spans="3:9" ht="13.5" customHeight="1" x14ac:dyDescent="0.25">
      <c r="C582" s="35"/>
      <c r="D582" s="35"/>
      <c r="E582" s="65"/>
      <c r="F582" s="69"/>
      <c r="G582" s="35"/>
      <c r="H582" s="35"/>
      <c r="I582" s="35"/>
    </row>
    <row r="583" spans="3:9" ht="13.5" customHeight="1" x14ac:dyDescent="0.25">
      <c r="C583" s="16"/>
      <c r="D583" s="16"/>
      <c r="E583" s="64"/>
      <c r="F583" s="64"/>
      <c r="G583" s="16"/>
      <c r="H583" s="16"/>
      <c r="I583" s="16"/>
    </row>
    <row r="584" spans="3:9" ht="13.5" customHeight="1" x14ac:dyDescent="0.25">
      <c r="C584" s="35"/>
      <c r="D584" s="35"/>
      <c r="E584" s="65"/>
      <c r="F584" s="69"/>
      <c r="G584" s="35"/>
      <c r="H584" s="35"/>
      <c r="I584" s="35"/>
    </row>
    <row r="585" spans="3:9" ht="13.5" customHeight="1" x14ac:dyDescent="0.25">
      <c r="C585" s="16"/>
      <c r="D585" s="16"/>
      <c r="E585" s="64"/>
      <c r="F585" s="64"/>
      <c r="G585" s="16"/>
      <c r="H585" s="16"/>
      <c r="I585" s="16"/>
    </row>
    <row r="586" spans="3:9" ht="13.5" customHeight="1" x14ac:dyDescent="0.25">
      <c r="C586" s="35"/>
      <c r="D586" s="35"/>
      <c r="E586" s="65"/>
      <c r="F586" s="69"/>
      <c r="G586" s="35"/>
      <c r="H586" s="35"/>
      <c r="I586" s="35"/>
    </row>
    <row r="587" spans="3:9" ht="13.5" customHeight="1" x14ac:dyDescent="0.25">
      <c r="C587" s="16"/>
      <c r="D587" s="16"/>
      <c r="E587" s="64"/>
      <c r="F587" s="64"/>
      <c r="G587" s="16"/>
      <c r="H587" s="16"/>
      <c r="I587" s="16"/>
    </row>
    <row r="588" spans="3:9" ht="13.5" customHeight="1" x14ac:dyDescent="0.25">
      <c r="C588" s="35"/>
      <c r="D588" s="35"/>
      <c r="E588" s="65"/>
      <c r="F588" s="69"/>
      <c r="G588" s="35"/>
      <c r="H588" s="35"/>
      <c r="I588" s="35"/>
    </row>
    <row r="589" spans="3:9" ht="13.5" customHeight="1" x14ac:dyDescent="0.25">
      <c r="C589" s="16"/>
      <c r="D589" s="16"/>
      <c r="E589" s="64"/>
      <c r="F589" s="64"/>
      <c r="G589" s="16"/>
      <c r="H589" s="16"/>
      <c r="I589" s="16"/>
    </row>
    <row r="590" spans="3:9" ht="13.5" customHeight="1" x14ac:dyDescent="0.25">
      <c r="C590" s="35"/>
      <c r="D590" s="35"/>
      <c r="E590" s="65"/>
      <c r="F590" s="69"/>
      <c r="G590" s="35"/>
      <c r="H590" s="35"/>
      <c r="I590" s="35"/>
    </row>
    <row r="591" spans="3:9" ht="13.5" customHeight="1" x14ac:dyDescent="0.25">
      <c r="C591" s="16"/>
      <c r="D591" s="16"/>
      <c r="E591" s="64"/>
      <c r="F591" s="64"/>
      <c r="G591" s="16"/>
      <c r="H591" s="16"/>
      <c r="I591" s="16"/>
    </row>
    <row r="592" spans="3:9" ht="13.5" customHeight="1" x14ac:dyDescent="0.25">
      <c r="C592" s="35"/>
      <c r="D592" s="35"/>
      <c r="E592" s="65"/>
      <c r="F592" s="69"/>
      <c r="G592" s="35"/>
      <c r="H592" s="35"/>
      <c r="I592" s="35"/>
    </row>
    <row r="593" spans="3:9" ht="13.5" customHeight="1" x14ac:dyDescent="0.25">
      <c r="C593" s="16"/>
      <c r="D593" s="16"/>
      <c r="E593" s="64"/>
      <c r="F593" s="64"/>
      <c r="G593" s="16"/>
      <c r="H593" s="16"/>
      <c r="I593" s="16"/>
    </row>
    <row r="594" spans="3:9" ht="13.5" customHeight="1" x14ac:dyDescent="0.25">
      <c r="C594" s="35"/>
      <c r="D594" s="35"/>
      <c r="E594" s="65"/>
      <c r="F594" s="69"/>
      <c r="G594" s="35"/>
      <c r="H594" s="35"/>
      <c r="I594" s="35"/>
    </row>
    <row r="595" spans="3:9" ht="13.5" customHeight="1" x14ac:dyDescent="0.25">
      <c r="C595" s="16"/>
      <c r="D595" s="16"/>
      <c r="E595" s="64"/>
      <c r="F595" s="64"/>
      <c r="G595" s="16"/>
      <c r="H595" s="16"/>
      <c r="I595" s="16"/>
    </row>
    <row r="596" spans="3:9" ht="13.5" customHeight="1" x14ac:dyDescent="0.25">
      <c r="C596" s="35"/>
      <c r="D596" s="35"/>
      <c r="E596" s="65"/>
      <c r="F596" s="69"/>
      <c r="G596" s="35"/>
      <c r="H596" s="35"/>
      <c r="I596" s="35"/>
    </row>
    <row r="597" spans="3:9" ht="13.5" customHeight="1" x14ac:dyDescent="0.25">
      <c r="C597" s="16"/>
      <c r="D597" s="16"/>
      <c r="E597" s="64"/>
      <c r="F597" s="64"/>
      <c r="G597" s="16"/>
      <c r="H597" s="16"/>
      <c r="I597" s="16"/>
    </row>
    <row r="598" spans="3:9" ht="13.5" customHeight="1" x14ac:dyDescent="0.25">
      <c r="C598" s="35"/>
      <c r="D598" s="35"/>
      <c r="E598" s="65"/>
      <c r="F598" s="69"/>
      <c r="G598" s="35"/>
      <c r="H598" s="35"/>
      <c r="I598" s="35"/>
    </row>
    <row r="599" spans="3:9" ht="13.5" customHeight="1" x14ac:dyDescent="0.25">
      <c r="C599" s="16"/>
      <c r="D599" s="16"/>
      <c r="E599" s="64"/>
      <c r="F599" s="64"/>
      <c r="G599" s="16"/>
      <c r="H599" s="16"/>
      <c r="I599" s="16"/>
    </row>
    <row r="600" spans="3:9" ht="13.5" customHeight="1" x14ac:dyDescent="0.25">
      <c r="C600" s="35"/>
      <c r="D600" s="35"/>
      <c r="E600" s="65"/>
      <c r="F600" s="69"/>
      <c r="G600" s="35"/>
      <c r="H600" s="35"/>
      <c r="I600" s="35"/>
    </row>
    <row r="601" spans="3:9" ht="13.5" customHeight="1" x14ac:dyDescent="0.25">
      <c r="C601" s="16"/>
      <c r="D601" s="16"/>
      <c r="E601" s="64"/>
      <c r="F601" s="64"/>
      <c r="G601" s="16"/>
      <c r="H601" s="16"/>
      <c r="I601" s="16"/>
    </row>
    <row r="602" spans="3:9" ht="13.5" customHeight="1" x14ac:dyDescent="0.25">
      <c r="C602" s="35"/>
      <c r="D602" s="35"/>
      <c r="E602" s="65"/>
      <c r="F602" s="69"/>
      <c r="G602" s="35"/>
      <c r="H602" s="35"/>
      <c r="I602" s="35"/>
    </row>
    <row r="603" spans="3:9" ht="13.5" customHeight="1" x14ac:dyDescent="0.25">
      <c r="C603" s="16"/>
      <c r="D603" s="16"/>
      <c r="E603" s="64"/>
      <c r="F603" s="64"/>
      <c r="G603" s="16"/>
      <c r="H603" s="16"/>
      <c r="I603" s="16"/>
    </row>
    <row r="604" spans="3:9" ht="13.5" customHeight="1" x14ac:dyDescent="0.25">
      <c r="C604" s="35"/>
      <c r="D604" s="35"/>
      <c r="E604" s="65"/>
      <c r="F604" s="69"/>
      <c r="G604" s="35"/>
      <c r="H604" s="35"/>
      <c r="I604" s="35"/>
    </row>
    <row r="605" spans="3:9" ht="13.5" customHeight="1" x14ac:dyDescent="0.25">
      <c r="C605" s="16"/>
      <c r="D605" s="16"/>
      <c r="E605" s="64"/>
      <c r="F605" s="64"/>
      <c r="G605" s="16"/>
      <c r="H605" s="16"/>
      <c r="I605" s="16"/>
    </row>
    <row r="606" spans="3:9" ht="13.5" customHeight="1" x14ac:dyDescent="0.25">
      <c r="C606" s="35"/>
      <c r="D606" s="35"/>
      <c r="E606" s="65"/>
      <c r="F606" s="69"/>
      <c r="G606" s="35"/>
      <c r="H606" s="35"/>
      <c r="I606" s="35"/>
    </row>
    <row r="607" spans="3:9" ht="13.5" customHeight="1" x14ac:dyDescent="0.25">
      <c r="C607" s="16"/>
      <c r="D607" s="16"/>
      <c r="E607" s="64"/>
      <c r="F607" s="64"/>
      <c r="G607" s="16"/>
      <c r="H607" s="16"/>
      <c r="I607" s="16"/>
    </row>
    <row r="608" spans="3:9" ht="13.5" customHeight="1" x14ac:dyDescent="0.25">
      <c r="C608" s="35"/>
      <c r="D608" s="35"/>
      <c r="E608" s="65"/>
      <c r="F608" s="69"/>
      <c r="G608" s="35"/>
      <c r="H608" s="35"/>
      <c r="I608" s="35"/>
    </row>
    <row r="609" spans="3:9" ht="13.5" customHeight="1" x14ac:dyDescent="0.25">
      <c r="C609" s="16"/>
      <c r="D609" s="16"/>
      <c r="E609" s="64"/>
      <c r="F609" s="64"/>
      <c r="G609" s="16"/>
      <c r="H609" s="16"/>
      <c r="I609" s="16"/>
    </row>
    <row r="610" spans="3:9" ht="13.5" customHeight="1" x14ac:dyDescent="0.25">
      <c r="C610" s="35"/>
      <c r="D610" s="35"/>
      <c r="E610" s="65"/>
      <c r="F610" s="69"/>
      <c r="G610" s="35"/>
      <c r="H610" s="35"/>
      <c r="I610" s="35"/>
    </row>
    <row r="611" spans="3:9" ht="13.5" customHeight="1" x14ac:dyDescent="0.25">
      <c r="C611" s="16"/>
      <c r="D611" s="16"/>
      <c r="E611" s="64"/>
      <c r="F611" s="64"/>
      <c r="G611" s="16"/>
      <c r="H611" s="16"/>
      <c r="I611" s="16"/>
    </row>
    <row r="612" spans="3:9" ht="13.5" customHeight="1" x14ac:dyDescent="0.25">
      <c r="C612" s="35"/>
      <c r="D612" s="35"/>
      <c r="E612" s="65"/>
      <c r="F612" s="69"/>
      <c r="G612" s="35"/>
      <c r="H612" s="35"/>
      <c r="I612" s="35"/>
    </row>
    <row r="613" spans="3:9" ht="13.5" customHeight="1" x14ac:dyDescent="0.25">
      <c r="C613" s="16"/>
      <c r="D613" s="16"/>
      <c r="E613" s="64"/>
      <c r="F613" s="64"/>
      <c r="G613" s="16"/>
      <c r="H613" s="16"/>
      <c r="I613" s="16"/>
    </row>
    <row r="614" spans="3:9" ht="13.5" customHeight="1" x14ac:dyDescent="0.25">
      <c r="C614" s="35"/>
      <c r="D614" s="35"/>
      <c r="E614" s="65"/>
      <c r="F614" s="69"/>
      <c r="G614" s="35"/>
      <c r="H614" s="35"/>
      <c r="I614" s="35"/>
    </row>
    <row r="615" spans="3:9" ht="13.5" customHeight="1" x14ac:dyDescent="0.25">
      <c r="C615" s="16"/>
      <c r="D615" s="16"/>
      <c r="E615" s="64"/>
      <c r="F615" s="64"/>
      <c r="G615" s="16"/>
      <c r="H615" s="16"/>
      <c r="I615" s="16"/>
    </row>
    <row r="616" spans="3:9" ht="13.5" customHeight="1" x14ac:dyDescent="0.25">
      <c r="C616" s="35"/>
      <c r="D616" s="35"/>
      <c r="E616" s="65"/>
      <c r="F616" s="69"/>
      <c r="G616" s="35"/>
      <c r="H616" s="35"/>
      <c r="I616" s="35"/>
    </row>
    <row r="617" spans="3:9" ht="13.5" customHeight="1" x14ac:dyDescent="0.25">
      <c r="C617" s="16"/>
      <c r="D617" s="16"/>
      <c r="E617" s="64"/>
      <c r="F617" s="64"/>
      <c r="G617" s="16"/>
      <c r="H617" s="16"/>
      <c r="I617" s="16"/>
    </row>
    <row r="618" spans="3:9" ht="13.5" customHeight="1" x14ac:dyDescent="0.25">
      <c r="C618" s="35"/>
      <c r="D618" s="35"/>
      <c r="E618" s="65"/>
      <c r="F618" s="69"/>
      <c r="G618" s="35"/>
      <c r="H618" s="35"/>
      <c r="I618" s="35"/>
    </row>
    <row r="619" spans="3:9" ht="13.5" customHeight="1" x14ac:dyDescent="0.25">
      <c r="C619" s="16"/>
      <c r="D619" s="16"/>
      <c r="E619" s="64"/>
      <c r="F619" s="64"/>
      <c r="G619" s="16"/>
      <c r="H619" s="16"/>
      <c r="I619" s="16"/>
    </row>
    <row r="620" spans="3:9" ht="13.5" customHeight="1" x14ac:dyDescent="0.25">
      <c r="C620" s="35"/>
      <c r="D620" s="35"/>
      <c r="E620" s="65"/>
      <c r="F620" s="69"/>
      <c r="G620" s="35"/>
      <c r="H620" s="35"/>
      <c r="I620" s="35"/>
    </row>
    <row r="621" spans="3:9" ht="13.5" customHeight="1" x14ac:dyDescent="0.25">
      <c r="C621" s="16"/>
      <c r="D621" s="16"/>
      <c r="E621" s="64"/>
      <c r="F621" s="64"/>
      <c r="G621" s="16"/>
      <c r="H621" s="16"/>
      <c r="I621" s="16"/>
    </row>
    <row r="622" spans="3:9" ht="13.5" customHeight="1" x14ac:dyDescent="0.25">
      <c r="C622" s="35"/>
      <c r="D622" s="35"/>
      <c r="E622" s="65"/>
      <c r="F622" s="69"/>
      <c r="G622" s="35"/>
      <c r="H622" s="35"/>
      <c r="I622" s="35"/>
    </row>
    <row r="623" spans="3:9" ht="13.5" customHeight="1" x14ac:dyDescent="0.25">
      <c r="C623" s="16"/>
      <c r="D623" s="16"/>
      <c r="E623" s="64"/>
      <c r="F623" s="64"/>
      <c r="G623" s="16"/>
      <c r="H623" s="16"/>
      <c r="I623" s="16"/>
    </row>
    <row r="624" spans="3:9" ht="13.5" customHeight="1" x14ac:dyDescent="0.25">
      <c r="C624" s="35"/>
      <c r="D624" s="35"/>
      <c r="E624" s="65"/>
      <c r="F624" s="69"/>
      <c r="G624" s="35"/>
      <c r="H624" s="35"/>
      <c r="I624" s="35"/>
    </row>
    <row r="625" spans="3:9" ht="13.5" customHeight="1" x14ac:dyDescent="0.25">
      <c r="C625" s="16"/>
      <c r="D625" s="16"/>
      <c r="E625" s="64"/>
      <c r="F625" s="64"/>
      <c r="G625" s="16"/>
      <c r="H625" s="16"/>
      <c r="I625" s="16"/>
    </row>
    <row r="626" spans="3:9" ht="13.5" customHeight="1" x14ac:dyDescent="0.25">
      <c r="C626" s="35"/>
      <c r="D626" s="35"/>
      <c r="E626" s="65"/>
      <c r="F626" s="69"/>
      <c r="G626" s="35"/>
      <c r="H626" s="35"/>
      <c r="I626" s="35"/>
    </row>
    <row r="627" spans="3:9" ht="13.5" customHeight="1" x14ac:dyDescent="0.25">
      <c r="C627" s="16"/>
      <c r="D627" s="16"/>
      <c r="E627" s="64"/>
      <c r="F627" s="64"/>
      <c r="G627" s="16"/>
      <c r="H627" s="16"/>
      <c r="I627" s="16"/>
    </row>
    <row r="628" spans="3:9" ht="13.5" customHeight="1" x14ac:dyDescent="0.25">
      <c r="C628" s="35"/>
      <c r="D628" s="35"/>
      <c r="E628" s="65"/>
      <c r="F628" s="69"/>
      <c r="G628" s="35"/>
      <c r="H628" s="35"/>
      <c r="I628" s="35"/>
    </row>
    <row r="629" spans="3:9" ht="13.5" customHeight="1" x14ac:dyDescent="0.25">
      <c r="C629" s="16"/>
      <c r="D629" s="16"/>
      <c r="E629" s="64"/>
      <c r="F629" s="64"/>
      <c r="G629" s="16"/>
      <c r="H629" s="16"/>
      <c r="I629" s="16"/>
    </row>
    <row r="630" spans="3:9" ht="13.5" customHeight="1" x14ac:dyDescent="0.25">
      <c r="C630" s="35"/>
      <c r="D630" s="35"/>
      <c r="E630" s="65"/>
      <c r="F630" s="69"/>
      <c r="G630" s="35"/>
      <c r="H630" s="35"/>
      <c r="I630" s="35"/>
    </row>
    <row r="631" spans="3:9" ht="13.5" customHeight="1" x14ac:dyDescent="0.25">
      <c r="C631" s="16"/>
      <c r="D631" s="16"/>
      <c r="E631" s="64"/>
      <c r="F631" s="64"/>
      <c r="G631" s="16"/>
      <c r="H631" s="16"/>
      <c r="I631" s="16"/>
    </row>
    <row r="632" spans="3:9" ht="13.5" customHeight="1" x14ac:dyDescent="0.25">
      <c r="C632" s="35"/>
      <c r="D632" s="35"/>
      <c r="E632" s="65"/>
      <c r="F632" s="69"/>
      <c r="G632" s="35"/>
      <c r="H632" s="35"/>
      <c r="I632" s="35"/>
    </row>
    <row r="633" spans="3:9" ht="13.5" customHeight="1" x14ac:dyDescent="0.25">
      <c r="C633" s="16"/>
      <c r="D633" s="16"/>
      <c r="E633" s="64"/>
      <c r="F633" s="64"/>
      <c r="G633" s="16"/>
      <c r="H633" s="16"/>
      <c r="I633" s="16"/>
    </row>
    <row r="634" spans="3:9" ht="13.5" customHeight="1" x14ac:dyDescent="0.25">
      <c r="C634" s="35"/>
      <c r="D634" s="35"/>
      <c r="E634" s="65"/>
      <c r="F634" s="69"/>
      <c r="G634" s="35"/>
      <c r="H634" s="35"/>
      <c r="I634" s="35"/>
    </row>
    <row r="635" spans="3:9" ht="13.5" customHeight="1" x14ac:dyDescent="0.25">
      <c r="C635" s="16"/>
      <c r="D635" s="16"/>
      <c r="E635" s="64"/>
      <c r="F635" s="64"/>
      <c r="G635" s="16"/>
      <c r="H635" s="16"/>
      <c r="I635" s="16"/>
    </row>
    <row r="636" spans="3:9" ht="13.5" customHeight="1" x14ac:dyDescent="0.25">
      <c r="C636" s="35"/>
      <c r="D636" s="35"/>
      <c r="E636" s="65"/>
      <c r="F636" s="69"/>
      <c r="G636" s="35"/>
      <c r="H636" s="35"/>
      <c r="I636" s="35"/>
    </row>
    <row r="637" spans="3:9" ht="13.5" customHeight="1" x14ac:dyDescent="0.25">
      <c r="C637" s="16"/>
      <c r="D637" s="16"/>
      <c r="E637" s="64"/>
      <c r="F637" s="64"/>
      <c r="G637" s="16"/>
      <c r="H637" s="16"/>
      <c r="I637" s="16"/>
    </row>
    <row r="638" spans="3:9" ht="13.5" customHeight="1" x14ac:dyDescent="0.25">
      <c r="C638" s="35"/>
      <c r="D638" s="35"/>
      <c r="E638" s="65"/>
      <c r="F638" s="69"/>
      <c r="G638" s="35"/>
      <c r="H638" s="35"/>
      <c r="I638" s="35"/>
    </row>
    <row r="639" spans="3:9" ht="13.5" customHeight="1" x14ac:dyDescent="0.25">
      <c r="C639" s="16"/>
      <c r="D639" s="16"/>
      <c r="E639" s="64"/>
      <c r="F639" s="64"/>
      <c r="G639" s="16"/>
      <c r="H639" s="16"/>
      <c r="I639" s="16"/>
    </row>
    <row r="640" spans="3:9" ht="13.5" customHeight="1" x14ac:dyDescent="0.25">
      <c r="C640" s="35"/>
      <c r="D640" s="35"/>
      <c r="E640" s="65"/>
      <c r="F640" s="69"/>
      <c r="G640" s="35"/>
      <c r="H640" s="35"/>
      <c r="I640" s="35"/>
    </row>
    <row r="641" spans="3:9" ht="13.5" customHeight="1" x14ac:dyDescent="0.25">
      <c r="C641" s="16"/>
      <c r="D641" s="16"/>
      <c r="E641" s="64"/>
      <c r="F641" s="64"/>
      <c r="G641" s="16"/>
      <c r="H641" s="16"/>
      <c r="I641" s="16"/>
    </row>
    <row r="642" spans="3:9" ht="13.5" customHeight="1" x14ac:dyDescent="0.25">
      <c r="C642" s="35"/>
      <c r="D642" s="35"/>
      <c r="E642" s="65"/>
      <c r="F642" s="69"/>
      <c r="G642" s="35"/>
      <c r="H642" s="35"/>
      <c r="I642" s="35"/>
    </row>
    <row r="643" spans="3:9" ht="13.5" customHeight="1" x14ac:dyDescent="0.25">
      <c r="C643" s="16"/>
      <c r="D643" s="16"/>
      <c r="E643" s="64"/>
      <c r="F643" s="64"/>
      <c r="G643" s="16"/>
      <c r="H643" s="16"/>
      <c r="I643" s="16"/>
    </row>
    <row r="644" spans="3:9" ht="13.5" customHeight="1" x14ac:dyDescent="0.25">
      <c r="C644" s="35"/>
      <c r="D644" s="35"/>
      <c r="E644" s="65"/>
      <c r="F644" s="69"/>
      <c r="G644" s="35"/>
      <c r="H644" s="35"/>
      <c r="I644" s="35"/>
    </row>
    <row r="645" spans="3:9" ht="13.5" customHeight="1" x14ac:dyDescent="0.25">
      <c r="C645" s="16"/>
      <c r="D645" s="16"/>
      <c r="E645" s="64"/>
      <c r="F645" s="64"/>
      <c r="G645" s="16"/>
      <c r="H645" s="16"/>
      <c r="I645" s="16"/>
    </row>
    <row r="646" spans="3:9" ht="13.5" customHeight="1" x14ac:dyDescent="0.25">
      <c r="C646" s="35"/>
      <c r="D646" s="35"/>
      <c r="E646" s="65"/>
      <c r="F646" s="69"/>
      <c r="G646" s="35"/>
      <c r="H646" s="35"/>
      <c r="I646" s="35"/>
    </row>
    <row r="647" spans="3:9" ht="13.5" customHeight="1" x14ac:dyDescent="0.25">
      <c r="C647" s="16"/>
      <c r="D647" s="16"/>
      <c r="E647" s="64"/>
      <c r="F647" s="64"/>
      <c r="G647" s="16"/>
      <c r="H647" s="16"/>
      <c r="I647" s="16"/>
    </row>
    <row r="648" spans="3:9" ht="13.5" customHeight="1" x14ac:dyDescent="0.25">
      <c r="C648" s="35"/>
      <c r="D648" s="35"/>
      <c r="E648" s="65"/>
      <c r="F648" s="69"/>
      <c r="G648" s="35"/>
      <c r="H648" s="35"/>
      <c r="I648" s="35"/>
    </row>
    <row r="649" spans="3:9" ht="13.5" customHeight="1" x14ac:dyDescent="0.25">
      <c r="C649" s="16"/>
      <c r="D649" s="16"/>
      <c r="E649" s="64"/>
      <c r="F649" s="64"/>
      <c r="G649" s="16"/>
      <c r="H649" s="16"/>
      <c r="I649" s="16"/>
    </row>
    <row r="650" spans="3:9" ht="13.5" customHeight="1" x14ac:dyDescent="0.25">
      <c r="C650" s="35"/>
      <c r="D650" s="35"/>
      <c r="E650" s="65"/>
      <c r="F650" s="69"/>
      <c r="G650" s="35"/>
      <c r="H650" s="35"/>
      <c r="I650" s="35"/>
    </row>
    <row r="651" spans="3:9" ht="13.5" customHeight="1" x14ac:dyDescent="0.25">
      <c r="C651" s="16"/>
      <c r="D651" s="16"/>
      <c r="E651" s="64"/>
      <c r="F651" s="64"/>
      <c r="G651" s="16"/>
      <c r="H651" s="16"/>
      <c r="I651" s="16"/>
    </row>
    <row r="652" spans="3:9" ht="13.5" customHeight="1" x14ac:dyDescent="0.25">
      <c r="C652" s="35"/>
      <c r="D652" s="35"/>
      <c r="E652" s="65"/>
      <c r="F652" s="69"/>
      <c r="G652" s="35"/>
      <c r="H652" s="35"/>
      <c r="I652" s="35"/>
    </row>
    <row r="653" spans="3:9" ht="13.5" customHeight="1" x14ac:dyDescent="0.25">
      <c r="C653" s="16"/>
      <c r="D653" s="16"/>
      <c r="E653" s="64"/>
      <c r="F653" s="64"/>
      <c r="G653" s="16"/>
      <c r="H653" s="16"/>
      <c r="I653" s="16"/>
    </row>
    <row r="654" spans="3:9" ht="13.5" customHeight="1" x14ac:dyDescent="0.25">
      <c r="C654" s="35"/>
      <c r="D654" s="35"/>
      <c r="E654" s="65"/>
      <c r="F654" s="69"/>
      <c r="G654" s="35"/>
      <c r="H654" s="35"/>
      <c r="I654" s="35"/>
    </row>
    <row r="655" spans="3:9" ht="13.5" customHeight="1" x14ac:dyDescent="0.25">
      <c r="C655" s="16"/>
      <c r="D655" s="16"/>
      <c r="E655" s="64"/>
      <c r="F655" s="64"/>
      <c r="G655" s="16"/>
      <c r="H655" s="16"/>
      <c r="I655" s="16"/>
    </row>
    <row r="656" spans="3:9" ht="13.5" customHeight="1" x14ac:dyDescent="0.25">
      <c r="C656" s="35"/>
      <c r="D656" s="35"/>
      <c r="E656" s="65"/>
      <c r="F656" s="69"/>
      <c r="G656" s="35"/>
      <c r="H656" s="35"/>
      <c r="I656" s="35"/>
    </row>
    <row r="657" spans="3:9" ht="13.5" customHeight="1" x14ac:dyDescent="0.25">
      <c r="C657" s="16"/>
      <c r="D657" s="16"/>
      <c r="E657" s="64"/>
      <c r="F657" s="64"/>
      <c r="G657" s="16"/>
      <c r="H657" s="16"/>
      <c r="I657" s="16"/>
    </row>
    <row r="658" spans="3:9" ht="13.5" customHeight="1" x14ac:dyDescent="0.25">
      <c r="C658" s="35"/>
      <c r="D658" s="35"/>
      <c r="E658" s="65"/>
      <c r="F658" s="69"/>
      <c r="G658" s="35"/>
      <c r="H658" s="35"/>
      <c r="I658" s="35"/>
    </row>
    <row r="659" spans="3:9" ht="13.5" customHeight="1" x14ac:dyDescent="0.25">
      <c r="C659" s="16"/>
      <c r="D659" s="16"/>
      <c r="E659" s="64"/>
      <c r="F659" s="64"/>
      <c r="G659" s="16"/>
      <c r="H659" s="16"/>
      <c r="I659" s="16"/>
    </row>
    <row r="660" spans="3:9" ht="13.5" customHeight="1" x14ac:dyDescent="0.25">
      <c r="C660" s="35"/>
      <c r="D660" s="35"/>
      <c r="E660" s="65"/>
      <c r="F660" s="69"/>
      <c r="G660" s="35"/>
      <c r="H660" s="35"/>
      <c r="I660" s="35"/>
    </row>
    <row r="661" spans="3:9" ht="13.5" customHeight="1" x14ac:dyDescent="0.25">
      <c r="C661" s="16"/>
      <c r="D661" s="16"/>
      <c r="E661" s="64"/>
      <c r="F661" s="64"/>
      <c r="G661" s="16"/>
      <c r="H661" s="16"/>
      <c r="I661" s="16"/>
    </row>
    <row r="662" spans="3:9" ht="13.5" customHeight="1" x14ac:dyDescent="0.25">
      <c r="C662" s="35"/>
      <c r="D662" s="35"/>
      <c r="E662" s="65"/>
      <c r="F662" s="69"/>
      <c r="G662" s="35"/>
      <c r="H662" s="35"/>
      <c r="I662" s="35"/>
    </row>
    <row r="663" spans="3:9" ht="13.5" customHeight="1" x14ac:dyDescent="0.25">
      <c r="C663" s="16"/>
      <c r="D663" s="16"/>
      <c r="E663" s="64"/>
      <c r="F663" s="64"/>
      <c r="G663" s="16"/>
      <c r="H663" s="16"/>
      <c r="I663" s="16"/>
    </row>
    <row r="664" spans="3:9" ht="13.5" customHeight="1" x14ac:dyDescent="0.25">
      <c r="C664" s="35"/>
      <c r="D664" s="35"/>
      <c r="E664" s="65"/>
      <c r="F664" s="69"/>
      <c r="G664" s="35"/>
      <c r="H664" s="35"/>
      <c r="I664" s="35"/>
    </row>
    <row r="665" spans="3:9" ht="13.5" customHeight="1" x14ac:dyDescent="0.25">
      <c r="C665" s="16"/>
      <c r="D665" s="16"/>
      <c r="E665" s="64"/>
      <c r="F665" s="64"/>
      <c r="G665" s="16"/>
      <c r="H665" s="16"/>
      <c r="I665" s="16"/>
    </row>
    <row r="666" spans="3:9" ht="13.5" customHeight="1" x14ac:dyDescent="0.25">
      <c r="C666" s="35"/>
      <c r="D666" s="35"/>
      <c r="E666" s="65"/>
      <c r="F666" s="69"/>
      <c r="G666" s="35"/>
      <c r="H666" s="35"/>
      <c r="I666" s="35"/>
    </row>
    <row r="667" spans="3:9" ht="13.5" customHeight="1" x14ac:dyDescent="0.25">
      <c r="C667" s="16"/>
      <c r="D667" s="16"/>
      <c r="E667" s="64"/>
      <c r="F667" s="64"/>
      <c r="G667" s="16"/>
      <c r="H667" s="16"/>
      <c r="I667" s="16"/>
    </row>
    <row r="668" spans="3:9" ht="13.5" customHeight="1" x14ac:dyDescent="0.25">
      <c r="C668" s="35"/>
      <c r="D668" s="35"/>
      <c r="E668" s="65"/>
      <c r="F668" s="69"/>
      <c r="G668" s="35"/>
      <c r="H668" s="35"/>
      <c r="I668" s="35"/>
    </row>
    <row r="669" spans="3:9" ht="13.5" customHeight="1" x14ac:dyDescent="0.25">
      <c r="C669" s="16"/>
      <c r="D669" s="16"/>
      <c r="E669" s="64"/>
      <c r="F669" s="64"/>
      <c r="G669" s="16"/>
      <c r="H669" s="16"/>
      <c r="I669" s="16"/>
    </row>
    <row r="670" spans="3:9" ht="13.5" customHeight="1" x14ac:dyDescent="0.25">
      <c r="C670" s="35"/>
      <c r="D670" s="35"/>
      <c r="E670" s="65"/>
      <c r="F670" s="69"/>
      <c r="G670" s="35"/>
      <c r="H670" s="35"/>
      <c r="I670" s="35"/>
    </row>
    <row r="671" spans="3:9" ht="13.5" customHeight="1" x14ac:dyDescent="0.25">
      <c r="C671" s="16"/>
      <c r="D671" s="16"/>
      <c r="E671" s="64"/>
      <c r="F671" s="64"/>
      <c r="G671" s="16"/>
      <c r="H671" s="16"/>
      <c r="I671" s="16"/>
    </row>
    <row r="672" spans="3:9" ht="13.5" customHeight="1" x14ac:dyDescent="0.25">
      <c r="C672" s="35"/>
      <c r="D672" s="35"/>
      <c r="E672" s="65"/>
      <c r="F672" s="69"/>
      <c r="G672" s="35"/>
      <c r="H672" s="35"/>
      <c r="I672" s="35"/>
    </row>
    <row r="673" spans="3:9" ht="13.5" customHeight="1" x14ac:dyDescent="0.25">
      <c r="C673" s="16"/>
      <c r="D673" s="16"/>
      <c r="E673" s="64"/>
      <c r="F673" s="64"/>
      <c r="G673" s="16"/>
      <c r="H673" s="16"/>
      <c r="I673" s="16"/>
    </row>
    <row r="674" spans="3:9" ht="13.5" customHeight="1" x14ac:dyDescent="0.25">
      <c r="C674" s="35"/>
      <c r="D674" s="35"/>
      <c r="E674" s="65"/>
      <c r="F674" s="69"/>
      <c r="G674" s="35"/>
      <c r="H674" s="35"/>
      <c r="I674" s="35"/>
    </row>
    <row r="675" spans="3:9" ht="13.5" customHeight="1" x14ac:dyDescent="0.25">
      <c r="C675" s="16"/>
      <c r="D675" s="16"/>
      <c r="E675" s="64"/>
      <c r="F675" s="64"/>
      <c r="G675" s="16"/>
      <c r="H675" s="16"/>
      <c r="I675" s="16"/>
    </row>
    <row r="676" spans="3:9" ht="13.5" customHeight="1" x14ac:dyDescent="0.25">
      <c r="C676" s="35"/>
      <c r="D676" s="35"/>
      <c r="E676" s="65"/>
      <c r="F676" s="69"/>
      <c r="G676" s="35"/>
      <c r="H676" s="35"/>
      <c r="I676" s="35"/>
    </row>
    <row r="677" spans="3:9" ht="13.5" customHeight="1" x14ac:dyDescent="0.25">
      <c r="C677" s="16"/>
      <c r="D677" s="16"/>
      <c r="E677" s="64"/>
      <c r="F677" s="64"/>
      <c r="G677" s="16"/>
      <c r="H677" s="16"/>
      <c r="I677" s="16"/>
    </row>
    <row r="678" spans="3:9" ht="13.5" customHeight="1" x14ac:dyDescent="0.25">
      <c r="C678" s="35"/>
      <c r="D678" s="35"/>
      <c r="E678" s="65"/>
      <c r="F678" s="69"/>
      <c r="G678" s="35"/>
      <c r="H678" s="35"/>
      <c r="I678" s="35"/>
    </row>
    <row r="679" spans="3:9" ht="13.5" customHeight="1" x14ac:dyDescent="0.25">
      <c r="C679" s="16"/>
      <c r="D679" s="16"/>
      <c r="E679" s="64"/>
      <c r="F679" s="64"/>
      <c r="G679" s="16"/>
      <c r="H679" s="16"/>
      <c r="I679" s="16"/>
    </row>
    <row r="680" spans="3:9" ht="13.5" customHeight="1" x14ac:dyDescent="0.25">
      <c r="C680" s="35"/>
      <c r="D680" s="35"/>
      <c r="E680" s="65"/>
      <c r="F680" s="69"/>
      <c r="G680" s="35"/>
      <c r="H680" s="35"/>
      <c r="I680" s="35"/>
    </row>
    <row r="681" spans="3:9" ht="13.5" customHeight="1" x14ac:dyDescent="0.25">
      <c r="C681" s="16"/>
      <c r="D681" s="16"/>
      <c r="E681" s="64"/>
      <c r="F681" s="64"/>
      <c r="G681" s="16"/>
      <c r="H681" s="16"/>
      <c r="I681" s="16"/>
    </row>
    <row r="682" spans="3:9" ht="13.5" customHeight="1" x14ac:dyDescent="0.25">
      <c r="C682" s="35"/>
      <c r="D682" s="35"/>
      <c r="E682" s="65"/>
      <c r="F682" s="69"/>
      <c r="G682" s="35"/>
      <c r="H682" s="35"/>
      <c r="I682" s="35"/>
    </row>
    <row r="683" spans="3:9" ht="13.5" customHeight="1" x14ac:dyDescent="0.25">
      <c r="C683" s="16"/>
      <c r="D683" s="16"/>
      <c r="E683" s="64"/>
      <c r="F683" s="64"/>
      <c r="G683" s="16"/>
      <c r="H683" s="16"/>
      <c r="I683" s="16"/>
    </row>
    <row r="684" spans="3:9" ht="13.5" customHeight="1" x14ac:dyDescent="0.25">
      <c r="C684" s="35"/>
      <c r="D684" s="35"/>
      <c r="E684" s="65"/>
      <c r="F684" s="69"/>
      <c r="G684" s="35"/>
      <c r="H684" s="35"/>
      <c r="I684" s="35"/>
    </row>
    <row r="685" spans="3:9" ht="13.5" customHeight="1" x14ac:dyDescent="0.25">
      <c r="C685" s="16"/>
      <c r="D685" s="16"/>
      <c r="E685" s="64"/>
      <c r="F685" s="64"/>
      <c r="G685" s="16"/>
      <c r="H685" s="16"/>
      <c r="I685" s="16"/>
    </row>
    <row r="686" spans="3:9" ht="13.5" customHeight="1" x14ac:dyDescent="0.25">
      <c r="C686" s="35"/>
      <c r="D686" s="35"/>
      <c r="E686" s="65"/>
      <c r="F686" s="69"/>
      <c r="G686" s="35"/>
      <c r="H686" s="35"/>
      <c r="I686" s="35"/>
    </row>
    <row r="687" spans="3:9" ht="13.5" customHeight="1" x14ac:dyDescent="0.25">
      <c r="C687" s="16"/>
      <c r="D687" s="16"/>
      <c r="E687" s="64"/>
      <c r="F687" s="64"/>
      <c r="G687" s="16"/>
      <c r="H687" s="16"/>
      <c r="I687" s="16"/>
    </row>
    <row r="688" spans="3:9" ht="13.5" customHeight="1" x14ac:dyDescent="0.25">
      <c r="C688" s="35"/>
      <c r="D688" s="35"/>
      <c r="E688" s="65"/>
      <c r="F688" s="69"/>
      <c r="G688" s="35"/>
      <c r="H688" s="35"/>
      <c r="I688" s="35"/>
    </row>
    <row r="689" spans="3:9" ht="13.5" customHeight="1" x14ac:dyDescent="0.25">
      <c r="C689" s="16"/>
      <c r="D689" s="16"/>
      <c r="E689" s="64"/>
      <c r="F689" s="64"/>
      <c r="G689" s="16"/>
      <c r="H689" s="16"/>
      <c r="I689" s="16"/>
    </row>
    <row r="690" spans="3:9" ht="13.5" customHeight="1" x14ac:dyDescent="0.25">
      <c r="C690" s="35"/>
      <c r="D690" s="35"/>
      <c r="E690" s="65"/>
      <c r="F690" s="69"/>
      <c r="G690" s="35"/>
      <c r="H690" s="35"/>
      <c r="I690" s="35"/>
    </row>
    <row r="691" spans="3:9" ht="13.5" customHeight="1" x14ac:dyDescent="0.25">
      <c r="C691" s="16"/>
      <c r="D691" s="16"/>
      <c r="E691" s="64"/>
      <c r="F691" s="64"/>
      <c r="G691" s="16"/>
      <c r="H691" s="16"/>
      <c r="I691" s="16"/>
    </row>
    <row r="692" spans="3:9" ht="13.5" customHeight="1" x14ac:dyDescent="0.25">
      <c r="C692" s="35"/>
      <c r="D692" s="35"/>
      <c r="E692" s="65"/>
      <c r="F692" s="69"/>
      <c r="G692" s="35"/>
      <c r="H692" s="35"/>
      <c r="I692" s="35"/>
    </row>
    <row r="693" spans="3:9" ht="13.5" customHeight="1" x14ac:dyDescent="0.25">
      <c r="C693" s="16"/>
      <c r="D693" s="16"/>
      <c r="E693" s="64"/>
      <c r="F693" s="64"/>
      <c r="G693" s="16"/>
      <c r="H693" s="16"/>
      <c r="I693" s="16"/>
    </row>
    <row r="694" spans="3:9" ht="13.5" customHeight="1" x14ac:dyDescent="0.25">
      <c r="C694" s="35"/>
      <c r="D694" s="35"/>
      <c r="E694" s="65"/>
      <c r="F694" s="69"/>
      <c r="G694" s="35"/>
      <c r="H694" s="35"/>
      <c r="I694" s="35"/>
    </row>
    <row r="695" spans="3:9" ht="13.5" customHeight="1" x14ac:dyDescent="0.25">
      <c r="C695" s="16"/>
      <c r="D695" s="16"/>
      <c r="E695" s="64"/>
      <c r="F695" s="64"/>
      <c r="G695" s="16"/>
      <c r="H695" s="16"/>
      <c r="I695" s="16"/>
    </row>
    <row r="696" spans="3:9" ht="13.5" customHeight="1" x14ac:dyDescent="0.25">
      <c r="C696" s="35"/>
      <c r="D696" s="35"/>
      <c r="E696" s="65"/>
      <c r="F696" s="69"/>
      <c r="G696" s="35"/>
      <c r="H696" s="35"/>
      <c r="I696" s="35"/>
    </row>
    <row r="697" spans="3:9" ht="13.5" customHeight="1" x14ac:dyDescent="0.25">
      <c r="C697" s="16"/>
      <c r="D697" s="16"/>
      <c r="E697" s="64"/>
      <c r="F697" s="64"/>
      <c r="G697" s="16"/>
      <c r="H697" s="16"/>
      <c r="I697" s="16"/>
    </row>
    <row r="698" spans="3:9" ht="13.5" customHeight="1" x14ac:dyDescent="0.25">
      <c r="C698" s="35"/>
      <c r="D698" s="35"/>
      <c r="E698" s="65"/>
      <c r="F698" s="69"/>
      <c r="G698" s="35"/>
      <c r="H698" s="35"/>
      <c r="I698" s="35"/>
    </row>
    <row r="699" spans="3:9" ht="13.5" customHeight="1" x14ac:dyDescent="0.25">
      <c r="C699" s="16"/>
      <c r="D699" s="16"/>
      <c r="E699" s="64"/>
      <c r="F699" s="64"/>
      <c r="G699" s="16"/>
      <c r="H699" s="16"/>
      <c r="I699" s="16"/>
    </row>
    <row r="700" spans="3:9" ht="13.5" customHeight="1" x14ac:dyDescent="0.25">
      <c r="C700" s="35"/>
      <c r="D700" s="35"/>
      <c r="E700" s="65"/>
      <c r="F700" s="69"/>
      <c r="G700" s="35"/>
      <c r="H700" s="35"/>
      <c r="I700" s="35"/>
    </row>
    <row r="701" spans="3:9" ht="13.5" customHeight="1" x14ac:dyDescent="0.25">
      <c r="C701" s="16"/>
      <c r="D701" s="16"/>
      <c r="E701" s="64"/>
      <c r="F701" s="64"/>
      <c r="G701" s="16"/>
      <c r="H701" s="16"/>
      <c r="I701" s="16"/>
    </row>
    <row r="702" spans="3:9" ht="13.5" customHeight="1" x14ac:dyDescent="0.25">
      <c r="C702" s="35"/>
      <c r="D702" s="35"/>
      <c r="E702" s="65"/>
      <c r="F702" s="69"/>
      <c r="G702" s="35"/>
      <c r="H702" s="35"/>
      <c r="I702" s="35"/>
    </row>
    <row r="703" spans="3:9" ht="13.5" customHeight="1" x14ac:dyDescent="0.25">
      <c r="C703" s="16"/>
      <c r="D703" s="16"/>
      <c r="E703" s="64"/>
      <c r="F703" s="64"/>
      <c r="G703" s="16"/>
      <c r="H703" s="16"/>
      <c r="I703" s="16"/>
    </row>
    <row r="704" spans="3:9" ht="13.5" customHeight="1" x14ac:dyDescent="0.25">
      <c r="C704" s="35"/>
      <c r="D704" s="35"/>
      <c r="E704" s="65"/>
      <c r="F704" s="69"/>
      <c r="G704" s="35"/>
      <c r="H704" s="35"/>
      <c r="I704" s="35"/>
    </row>
    <row r="705" spans="3:9" ht="13.5" customHeight="1" x14ac:dyDescent="0.25">
      <c r="C705" s="16"/>
      <c r="D705" s="16"/>
      <c r="E705" s="64"/>
      <c r="F705" s="64"/>
      <c r="G705" s="16"/>
      <c r="H705" s="16"/>
      <c r="I705" s="16"/>
    </row>
    <row r="706" spans="3:9" ht="13.5" customHeight="1" x14ac:dyDescent="0.25">
      <c r="C706" s="35"/>
      <c r="D706" s="35"/>
      <c r="E706" s="65"/>
      <c r="F706" s="69"/>
      <c r="G706" s="35"/>
      <c r="H706" s="35"/>
      <c r="I706" s="35"/>
    </row>
    <row r="707" spans="3:9" ht="13.5" customHeight="1" x14ac:dyDescent="0.25">
      <c r="C707" s="16"/>
      <c r="D707" s="16"/>
      <c r="E707" s="64"/>
      <c r="F707" s="64"/>
      <c r="G707" s="16"/>
      <c r="H707" s="16"/>
      <c r="I707" s="16"/>
    </row>
    <row r="708" spans="3:9" ht="13.5" customHeight="1" x14ac:dyDescent="0.25">
      <c r="C708" s="35"/>
      <c r="D708" s="35"/>
      <c r="E708" s="65"/>
      <c r="F708" s="69"/>
      <c r="G708" s="35"/>
      <c r="H708" s="35"/>
      <c r="I708" s="35"/>
    </row>
    <row r="709" spans="3:9" ht="13.5" customHeight="1" x14ac:dyDescent="0.25">
      <c r="C709" s="16"/>
      <c r="D709" s="16"/>
      <c r="E709" s="64"/>
      <c r="F709" s="64"/>
      <c r="G709" s="16"/>
      <c r="H709" s="16"/>
      <c r="I709" s="16"/>
    </row>
    <row r="710" spans="3:9" ht="13.5" customHeight="1" x14ac:dyDescent="0.25">
      <c r="C710" s="35"/>
      <c r="D710" s="35"/>
      <c r="E710" s="65"/>
      <c r="F710" s="69"/>
      <c r="G710" s="35"/>
      <c r="H710" s="35"/>
      <c r="I710" s="35"/>
    </row>
    <row r="711" spans="3:9" ht="13.5" customHeight="1" x14ac:dyDescent="0.25">
      <c r="C711" s="16"/>
      <c r="D711" s="16"/>
      <c r="E711" s="64"/>
      <c r="F711" s="64"/>
      <c r="G711" s="16"/>
      <c r="H711" s="16"/>
      <c r="I711" s="16"/>
    </row>
    <row r="712" spans="3:9" ht="13.5" customHeight="1" x14ac:dyDescent="0.25">
      <c r="C712" s="35"/>
      <c r="D712" s="35"/>
      <c r="E712" s="65"/>
      <c r="F712" s="69"/>
      <c r="G712" s="35"/>
      <c r="H712" s="35"/>
      <c r="I712" s="35"/>
    </row>
    <row r="713" spans="3:9" ht="13.5" customHeight="1" x14ac:dyDescent="0.25">
      <c r="C713" s="16"/>
      <c r="D713" s="16"/>
      <c r="E713" s="64"/>
      <c r="F713" s="64"/>
      <c r="G713" s="16"/>
      <c r="H713" s="16"/>
      <c r="I713" s="16"/>
    </row>
    <row r="714" spans="3:9" ht="13.5" customHeight="1" x14ac:dyDescent="0.25">
      <c r="C714" s="35"/>
      <c r="D714" s="35"/>
      <c r="E714" s="65"/>
      <c r="F714" s="69"/>
      <c r="G714" s="35"/>
      <c r="H714" s="35"/>
      <c r="I714" s="35"/>
    </row>
    <row r="715" spans="3:9" ht="13.5" customHeight="1" x14ac:dyDescent="0.25">
      <c r="C715" s="16"/>
      <c r="D715" s="16"/>
      <c r="E715" s="64"/>
      <c r="F715" s="64"/>
      <c r="G715" s="16"/>
      <c r="H715" s="16"/>
      <c r="I715" s="16"/>
    </row>
    <row r="716" spans="3:9" ht="13.5" customHeight="1" x14ac:dyDescent="0.25">
      <c r="C716" s="35"/>
      <c r="D716" s="35"/>
      <c r="E716" s="65"/>
      <c r="F716" s="69"/>
      <c r="G716" s="35"/>
      <c r="H716" s="35"/>
      <c r="I716" s="35"/>
    </row>
    <row r="717" spans="3:9" ht="13.5" customHeight="1" x14ac:dyDescent="0.25">
      <c r="C717" s="16"/>
      <c r="D717" s="16"/>
      <c r="E717" s="64"/>
      <c r="F717" s="64"/>
      <c r="G717" s="16"/>
      <c r="H717" s="16"/>
      <c r="I717" s="16"/>
    </row>
    <row r="718" spans="3:9" ht="13.5" customHeight="1" x14ac:dyDescent="0.25">
      <c r="C718" s="35"/>
      <c r="D718" s="35"/>
      <c r="E718" s="65"/>
      <c r="F718" s="69"/>
      <c r="G718" s="35"/>
      <c r="H718" s="35"/>
      <c r="I718" s="35"/>
    </row>
    <row r="719" spans="3:9" ht="13.5" customHeight="1" x14ac:dyDescent="0.25">
      <c r="C719" s="16"/>
      <c r="D719" s="16"/>
      <c r="E719" s="64"/>
      <c r="F719" s="64"/>
      <c r="G719" s="16"/>
      <c r="H719" s="16"/>
      <c r="I719" s="16"/>
    </row>
    <row r="720" spans="3:9" ht="13.5" customHeight="1" x14ac:dyDescent="0.25">
      <c r="C720" s="35"/>
      <c r="D720" s="35"/>
      <c r="E720" s="65"/>
      <c r="F720" s="69"/>
      <c r="G720" s="35"/>
      <c r="H720" s="35"/>
      <c r="I720" s="35"/>
    </row>
    <row r="721" spans="3:9" ht="13.5" customHeight="1" x14ac:dyDescent="0.25">
      <c r="C721" s="16"/>
      <c r="D721" s="16"/>
      <c r="E721" s="64"/>
      <c r="F721" s="64"/>
      <c r="G721" s="16"/>
      <c r="H721" s="16"/>
      <c r="I721" s="16"/>
    </row>
    <row r="722" spans="3:9" ht="13.5" customHeight="1" x14ac:dyDescent="0.25">
      <c r="C722" s="35"/>
      <c r="D722" s="35"/>
      <c r="E722" s="65"/>
      <c r="F722" s="69"/>
      <c r="G722" s="35"/>
      <c r="H722" s="35"/>
      <c r="I722" s="35"/>
    </row>
    <row r="723" spans="3:9" ht="13.5" customHeight="1" x14ac:dyDescent="0.25">
      <c r="C723" s="16"/>
      <c r="D723" s="16"/>
      <c r="E723" s="64"/>
      <c r="F723" s="64"/>
      <c r="G723" s="16"/>
      <c r="H723" s="16"/>
      <c r="I723" s="16"/>
    </row>
    <row r="724" spans="3:9" ht="13.5" customHeight="1" x14ac:dyDescent="0.25">
      <c r="C724" s="35"/>
      <c r="D724" s="35"/>
      <c r="E724" s="65"/>
      <c r="F724" s="69"/>
      <c r="G724" s="35"/>
      <c r="H724" s="35"/>
      <c r="I724" s="35"/>
    </row>
    <row r="725" spans="3:9" ht="13.5" customHeight="1" x14ac:dyDescent="0.25">
      <c r="C725" s="16"/>
      <c r="D725" s="16"/>
      <c r="E725" s="64"/>
      <c r="F725" s="64"/>
      <c r="G725" s="16"/>
      <c r="H725" s="16"/>
      <c r="I725" s="16"/>
    </row>
    <row r="726" spans="3:9" ht="13.5" customHeight="1" x14ac:dyDescent="0.25">
      <c r="C726" s="35"/>
      <c r="D726" s="35"/>
      <c r="E726" s="65"/>
      <c r="F726" s="69"/>
      <c r="G726" s="35"/>
      <c r="H726" s="35"/>
      <c r="I726" s="35"/>
    </row>
    <row r="727" spans="3:9" ht="13.5" customHeight="1" x14ac:dyDescent="0.25">
      <c r="C727" s="16"/>
      <c r="D727" s="16"/>
      <c r="E727" s="64"/>
      <c r="F727" s="64"/>
      <c r="G727" s="16"/>
      <c r="H727" s="16"/>
      <c r="I727" s="16"/>
    </row>
    <row r="728" spans="3:9" ht="13.5" customHeight="1" x14ac:dyDescent="0.25">
      <c r="C728" s="35"/>
      <c r="D728" s="35"/>
      <c r="E728" s="65"/>
      <c r="F728" s="69"/>
      <c r="G728" s="35"/>
      <c r="H728" s="35"/>
      <c r="I728" s="35"/>
    </row>
    <row r="729" spans="3:9" ht="13.5" customHeight="1" x14ac:dyDescent="0.25">
      <c r="C729" s="16"/>
      <c r="D729" s="16"/>
      <c r="E729" s="64"/>
      <c r="F729" s="64"/>
      <c r="G729" s="16"/>
      <c r="H729" s="16"/>
      <c r="I729" s="16"/>
    </row>
    <row r="730" spans="3:9" ht="13.5" customHeight="1" x14ac:dyDescent="0.25">
      <c r="C730" s="35"/>
      <c r="D730" s="35"/>
      <c r="E730" s="65"/>
      <c r="F730" s="69"/>
      <c r="G730" s="35"/>
      <c r="H730" s="35"/>
      <c r="I730" s="35"/>
    </row>
    <row r="731" spans="3:9" ht="13.5" customHeight="1" x14ac:dyDescent="0.25">
      <c r="C731" s="16"/>
      <c r="D731" s="16"/>
      <c r="E731" s="64"/>
      <c r="F731" s="64"/>
      <c r="G731" s="16"/>
      <c r="H731" s="16"/>
      <c r="I731" s="16"/>
    </row>
    <row r="732" spans="3:9" ht="13.5" customHeight="1" x14ac:dyDescent="0.25">
      <c r="C732" s="35"/>
      <c r="D732" s="35"/>
      <c r="E732" s="65"/>
      <c r="F732" s="69"/>
      <c r="G732" s="35"/>
      <c r="H732" s="35"/>
      <c r="I732" s="35"/>
    </row>
    <row r="733" spans="3:9" ht="13.5" customHeight="1" x14ac:dyDescent="0.25">
      <c r="C733" s="16"/>
      <c r="D733" s="16"/>
      <c r="E733" s="64"/>
      <c r="F733" s="64"/>
      <c r="G733" s="16"/>
      <c r="H733" s="16"/>
      <c r="I733" s="16"/>
    </row>
    <row r="734" spans="3:9" ht="13.5" customHeight="1" x14ac:dyDescent="0.25">
      <c r="C734" s="35"/>
      <c r="D734" s="35"/>
      <c r="E734" s="65"/>
      <c r="F734" s="69"/>
      <c r="G734" s="35"/>
      <c r="H734" s="35"/>
      <c r="I734" s="35"/>
    </row>
    <row r="735" spans="3:9" ht="13.5" customHeight="1" x14ac:dyDescent="0.25">
      <c r="C735" s="16"/>
      <c r="D735" s="16"/>
      <c r="E735" s="64"/>
      <c r="F735" s="64"/>
      <c r="G735" s="16"/>
      <c r="H735" s="16"/>
      <c r="I735" s="16"/>
    </row>
    <row r="736" spans="3:9" ht="13.5" customHeight="1" x14ac:dyDescent="0.25">
      <c r="C736" s="35"/>
      <c r="D736" s="35"/>
      <c r="E736" s="65"/>
      <c r="F736" s="69"/>
      <c r="G736" s="35"/>
      <c r="H736" s="35"/>
      <c r="I736" s="35"/>
    </row>
    <row r="737" spans="3:9" ht="13.5" customHeight="1" x14ac:dyDescent="0.25">
      <c r="C737" s="16"/>
      <c r="D737" s="16"/>
      <c r="E737" s="64"/>
      <c r="F737" s="64"/>
      <c r="G737" s="16"/>
      <c r="H737" s="16"/>
      <c r="I737" s="16"/>
    </row>
    <row r="738" spans="3:9" ht="13.5" customHeight="1" x14ac:dyDescent="0.25">
      <c r="C738" s="35"/>
      <c r="D738" s="35"/>
      <c r="E738" s="65"/>
      <c r="F738" s="69"/>
      <c r="G738" s="35"/>
      <c r="H738" s="35"/>
      <c r="I738" s="35"/>
    </row>
    <row r="739" spans="3:9" ht="13.5" customHeight="1" x14ac:dyDescent="0.25">
      <c r="C739" s="16"/>
      <c r="D739" s="16"/>
      <c r="E739" s="64"/>
      <c r="F739" s="64"/>
      <c r="G739" s="16"/>
      <c r="H739" s="16"/>
      <c r="I739" s="16"/>
    </row>
    <row r="740" spans="3:9" ht="13.5" customHeight="1" x14ac:dyDescent="0.25">
      <c r="C740" s="35"/>
      <c r="D740" s="35"/>
      <c r="E740" s="65"/>
      <c r="F740" s="69"/>
      <c r="G740" s="35"/>
      <c r="H740" s="35"/>
      <c r="I740" s="35"/>
    </row>
    <row r="741" spans="3:9" ht="13.5" customHeight="1" x14ac:dyDescent="0.25">
      <c r="C741" s="16"/>
      <c r="D741" s="16"/>
      <c r="E741" s="64"/>
      <c r="F741" s="64"/>
      <c r="G741" s="16"/>
      <c r="H741" s="16"/>
      <c r="I741" s="16"/>
    </row>
    <row r="742" spans="3:9" ht="13.5" customHeight="1" x14ac:dyDescent="0.25">
      <c r="C742" s="35"/>
      <c r="D742" s="35"/>
      <c r="E742" s="65"/>
      <c r="F742" s="69"/>
      <c r="G742" s="35"/>
      <c r="H742" s="35"/>
      <c r="I742" s="35"/>
    </row>
    <row r="743" spans="3:9" ht="13.5" customHeight="1" x14ac:dyDescent="0.25">
      <c r="C743" s="16"/>
      <c r="D743" s="16"/>
      <c r="E743" s="64"/>
      <c r="F743" s="64"/>
      <c r="G743" s="16"/>
      <c r="H743" s="16"/>
      <c r="I743" s="16"/>
    </row>
    <row r="744" spans="3:9" ht="13.5" customHeight="1" x14ac:dyDescent="0.25">
      <c r="C744" s="35"/>
      <c r="D744" s="35"/>
      <c r="E744" s="65"/>
      <c r="F744" s="69"/>
      <c r="G744" s="35"/>
      <c r="H744" s="35"/>
      <c r="I744" s="35"/>
    </row>
    <row r="745" spans="3:9" ht="13.5" customHeight="1" x14ac:dyDescent="0.25">
      <c r="C745" s="16"/>
      <c r="D745" s="16"/>
      <c r="E745" s="64"/>
      <c r="F745" s="64"/>
      <c r="G745" s="16"/>
      <c r="H745" s="16"/>
      <c r="I745" s="16"/>
    </row>
    <row r="746" spans="3:9" ht="13.5" customHeight="1" x14ac:dyDescent="0.25">
      <c r="C746" s="35"/>
      <c r="D746" s="35"/>
      <c r="E746" s="65"/>
      <c r="F746" s="69"/>
      <c r="G746" s="35"/>
      <c r="H746" s="35"/>
      <c r="I746" s="35"/>
    </row>
    <row r="747" spans="3:9" ht="13.5" customHeight="1" x14ac:dyDescent="0.25">
      <c r="C747" s="16"/>
      <c r="D747" s="16"/>
      <c r="E747" s="64"/>
      <c r="F747" s="64"/>
      <c r="G747" s="16"/>
      <c r="H747" s="16"/>
      <c r="I747" s="16"/>
    </row>
    <row r="748" spans="3:9" ht="13.5" customHeight="1" x14ac:dyDescent="0.25">
      <c r="C748" s="35"/>
      <c r="D748" s="35"/>
      <c r="E748" s="65"/>
      <c r="F748" s="69"/>
      <c r="G748" s="35"/>
      <c r="H748" s="35"/>
      <c r="I748" s="35"/>
    </row>
    <row r="749" spans="3:9" ht="13.5" customHeight="1" x14ac:dyDescent="0.25">
      <c r="C749" s="16"/>
      <c r="D749" s="16"/>
      <c r="E749" s="64"/>
      <c r="F749" s="64"/>
      <c r="G749" s="16"/>
      <c r="H749" s="16"/>
      <c r="I749" s="16"/>
    </row>
    <row r="750" spans="3:9" ht="13.5" customHeight="1" x14ac:dyDescent="0.25">
      <c r="C750" s="35"/>
      <c r="D750" s="35"/>
      <c r="E750" s="65"/>
      <c r="F750" s="69"/>
      <c r="G750" s="35"/>
      <c r="H750" s="35"/>
      <c r="I750" s="35"/>
    </row>
    <row r="751" spans="3:9" ht="13.5" customHeight="1" x14ac:dyDescent="0.25">
      <c r="C751" s="16"/>
      <c r="D751" s="16"/>
      <c r="E751" s="64"/>
      <c r="F751" s="64"/>
      <c r="G751" s="16"/>
      <c r="H751" s="16"/>
      <c r="I751" s="16"/>
    </row>
    <row r="752" spans="3:9" ht="13.5" customHeight="1" x14ac:dyDescent="0.25">
      <c r="C752" s="35"/>
      <c r="D752" s="35"/>
      <c r="E752" s="65"/>
      <c r="F752" s="69"/>
      <c r="G752" s="35"/>
      <c r="H752" s="35"/>
      <c r="I752" s="35"/>
    </row>
    <row r="753" spans="3:9" ht="13.5" customHeight="1" x14ac:dyDescent="0.25">
      <c r="C753" s="16"/>
      <c r="D753" s="16"/>
      <c r="E753" s="64"/>
      <c r="F753" s="64"/>
      <c r="G753" s="16"/>
      <c r="H753" s="16"/>
      <c r="I753" s="16"/>
    </row>
    <row r="754" spans="3:9" ht="13.5" customHeight="1" x14ac:dyDescent="0.25">
      <c r="C754" s="35"/>
      <c r="D754" s="35"/>
      <c r="E754" s="65"/>
      <c r="F754" s="69"/>
      <c r="G754" s="35"/>
      <c r="H754" s="35"/>
      <c r="I754" s="35"/>
    </row>
    <row r="755" spans="3:9" ht="13.5" customHeight="1" x14ac:dyDescent="0.25">
      <c r="C755" s="16"/>
      <c r="D755" s="16"/>
      <c r="E755" s="64"/>
      <c r="F755" s="64"/>
      <c r="G755" s="16"/>
      <c r="H755" s="16"/>
      <c r="I755" s="16"/>
    </row>
    <row r="756" spans="3:9" ht="13.5" customHeight="1" x14ac:dyDescent="0.25">
      <c r="C756" s="35"/>
      <c r="D756" s="35"/>
      <c r="E756" s="65"/>
      <c r="F756" s="69"/>
      <c r="G756" s="35"/>
      <c r="H756" s="35"/>
      <c r="I756" s="35"/>
    </row>
    <row r="757" spans="3:9" ht="13.5" customHeight="1" x14ac:dyDescent="0.25">
      <c r="C757" s="16"/>
      <c r="D757" s="16"/>
      <c r="E757" s="64"/>
      <c r="F757" s="64"/>
      <c r="G757" s="16"/>
      <c r="H757" s="16"/>
      <c r="I757" s="16"/>
    </row>
    <row r="758" spans="3:9" ht="13.5" customHeight="1" x14ac:dyDescent="0.25">
      <c r="C758" s="35"/>
      <c r="D758" s="35"/>
      <c r="E758" s="65"/>
      <c r="F758" s="69"/>
      <c r="G758" s="35"/>
      <c r="H758" s="35"/>
      <c r="I758" s="35"/>
    </row>
    <row r="759" spans="3:9" ht="13.5" customHeight="1" x14ac:dyDescent="0.25">
      <c r="C759" s="16"/>
      <c r="D759" s="16"/>
      <c r="E759" s="64"/>
      <c r="F759" s="64"/>
      <c r="G759" s="16"/>
      <c r="H759" s="16"/>
      <c r="I759" s="16"/>
    </row>
    <row r="760" spans="3:9" ht="13.5" customHeight="1" x14ac:dyDescent="0.25">
      <c r="C760" s="35"/>
      <c r="D760" s="35"/>
      <c r="E760" s="65"/>
      <c r="F760" s="69"/>
      <c r="G760" s="35"/>
      <c r="H760" s="35"/>
      <c r="I760" s="35"/>
    </row>
    <row r="761" spans="3:9" ht="13.5" customHeight="1" x14ac:dyDescent="0.25">
      <c r="C761" s="16"/>
      <c r="D761" s="16"/>
      <c r="E761" s="64"/>
      <c r="F761" s="64"/>
      <c r="G761" s="16"/>
      <c r="H761" s="16"/>
      <c r="I761" s="16"/>
    </row>
    <row r="762" spans="3:9" ht="13.5" customHeight="1" x14ac:dyDescent="0.25">
      <c r="C762" s="35"/>
      <c r="D762" s="35"/>
      <c r="E762" s="65"/>
      <c r="F762" s="69"/>
      <c r="G762" s="35"/>
      <c r="H762" s="35"/>
      <c r="I762" s="35"/>
    </row>
    <row r="763" spans="3:9" ht="13.5" customHeight="1" x14ac:dyDescent="0.25">
      <c r="C763" s="16"/>
      <c r="D763" s="16"/>
      <c r="E763" s="64"/>
      <c r="F763" s="64"/>
      <c r="G763" s="16"/>
      <c r="H763" s="16"/>
      <c r="I763" s="16"/>
    </row>
    <row r="764" spans="3:9" ht="13.5" customHeight="1" x14ac:dyDescent="0.25">
      <c r="C764" s="35"/>
      <c r="D764" s="35"/>
      <c r="E764" s="65"/>
      <c r="F764" s="69"/>
      <c r="G764" s="35"/>
      <c r="H764" s="35"/>
      <c r="I764" s="35"/>
    </row>
    <row r="765" spans="3:9" ht="13.5" customHeight="1" x14ac:dyDescent="0.25">
      <c r="C765" s="16"/>
      <c r="D765" s="16"/>
      <c r="E765" s="64"/>
      <c r="F765" s="64"/>
      <c r="G765" s="16"/>
      <c r="H765" s="16"/>
      <c r="I765" s="16"/>
    </row>
    <row r="766" spans="3:9" ht="13.5" customHeight="1" x14ac:dyDescent="0.25">
      <c r="C766" s="35"/>
      <c r="D766" s="35"/>
      <c r="E766" s="65"/>
      <c r="F766" s="69"/>
      <c r="G766" s="35"/>
      <c r="H766" s="35"/>
      <c r="I766" s="35"/>
    </row>
    <row r="767" spans="3:9" ht="13.5" customHeight="1" x14ac:dyDescent="0.25">
      <c r="C767" s="16"/>
      <c r="D767" s="16"/>
      <c r="E767" s="64"/>
      <c r="F767" s="64"/>
      <c r="G767" s="16"/>
      <c r="H767" s="16"/>
      <c r="I767" s="16"/>
    </row>
    <row r="768" spans="3:9" ht="13.5" customHeight="1" x14ac:dyDescent="0.25">
      <c r="C768" s="35"/>
      <c r="D768" s="35"/>
      <c r="E768" s="65"/>
      <c r="F768" s="69"/>
      <c r="G768" s="35"/>
      <c r="H768" s="35"/>
      <c r="I768" s="35"/>
    </row>
    <row r="769" spans="3:9" ht="13.5" customHeight="1" x14ac:dyDescent="0.25">
      <c r="C769" s="16"/>
      <c r="D769" s="16"/>
      <c r="E769" s="64"/>
      <c r="F769" s="64"/>
      <c r="G769" s="16"/>
      <c r="H769" s="16"/>
      <c r="I769" s="16"/>
    </row>
    <row r="770" spans="3:9" ht="13.5" customHeight="1" x14ac:dyDescent="0.25">
      <c r="C770" s="35"/>
      <c r="D770" s="35"/>
      <c r="E770" s="65"/>
      <c r="F770" s="69"/>
      <c r="G770" s="35"/>
      <c r="H770" s="35"/>
      <c r="I770" s="35"/>
    </row>
    <row r="771" spans="3:9" ht="13.5" customHeight="1" x14ac:dyDescent="0.25">
      <c r="C771" s="16"/>
      <c r="D771" s="16"/>
      <c r="E771" s="64"/>
      <c r="F771" s="64"/>
      <c r="G771" s="16"/>
      <c r="H771" s="16"/>
      <c r="I771" s="16"/>
    </row>
    <row r="772" spans="3:9" ht="13.5" customHeight="1" x14ac:dyDescent="0.25">
      <c r="C772" s="35"/>
      <c r="D772" s="35"/>
      <c r="E772" s="65"/>
      <c r="F772" s="69"/>
      <c r="G772" s="35"/>
      <c r="H772" s="35"/>
      <c r="I772" s="35"/>
    </row>
    <row r="773" spans="3:9" ht="13.5" customHeight="1" x14ac:dyDescent="0.25">
      <c r="C773" s="16"/>
      <c r="D773" s="16"/>
      <c r="E773" s="64"/>
      <c r="F773" s="64"/>
      <c r="G773" s="16"/>
      <c r="H773" s="16"/>
      <c r="I773" s="16"/>
    </row>
    <row r="774" spans="3:9" ht="13.5" customHeight="1" x14ac:dyDescent="0.25">
      <c r="C774" s="35"/>
      <c r="D774" s="35"/>
      <c r="E774" s="65"/>
      <c r="F774" s="69"/>
      <c r="G774" s="35"/>
      <c r="H774" s="35"/>
      <c r="I774" s="35"/>
    </row>
    <row r="775" spans="3:9" ht="13.5" customHeight="1" x14ac:dyDescent="0.25">
      <c r="C775" s="16"/>
      <c r="D775" s="16"/>
      <c r="E775" s="64"/>
      <c r="F775" s="64"/>
      <c r="G775" s="16"/>
      <c r="H775" s="16"/>
      <c r="I775" s="16"/>
    </row>
    <row r="776" spans="3:9" ht="13.5" customHeight="1" x14ac:dyDescent="0.25">
      <c r="C776" s="35"/>
      <c r="D776" s="35"/>
      <c r="E776" s="65"/>
      <c r="F776" s="69"/>
      <c r="G776" s="35"/>
      <c r="H776" s="35"/>
      <c r="I776" s="35"/>
    </row>
    <row r="777" spans="3:9" ht="13.5" customHeight="1" x14ac:dyDescent="0.25">
      <c r="C777" s="16"/>
      <c r="D777" s="16"/>
      <c r="E777" s="64"/>
      <c r="F777" s="64"/>
      <c r="G777" s="16"/>
      <c r="H777" s="16"/>
      <c r="I777" s="16"/>
    </row>
    <row r="778" spans="3:9" ht="13.5" customHeight="1" x14ac:dyDescent="0.25">
      <c r="C778" s="35"/>
      <c r="D778" s="35"/>
      <c r="E778" s="65"/>
      <c r="F778" s="69"/>
      <c r="G778" s="35"/>
      <c r="H778" s="35"/>
      <c r="I778" s="35"/>
    </row>
    <row r="779" spans="3:9" ht="13.5" customHeight="1" x14ac:dyDescent="0.25">
      <c r="C779" s="16"/>
      <c r="D779" s="16"/>
      <c r="E779" s="64"/>
      <c r="F779" s="64"/>
      <c r="G779" s="16"/>
      <c r="H779" s="16"/>
      <c r="I779" s="16"/>
    </row>
    <row r="780" spans="3:9" ht="13.5" customHeight="1" x14ac:dyDescent="0.25">
      <c r="C780" s="35"/>
      <c r="D780" s="35"/>
      <c r="E780" s="65"/>
      <c r="F780" s="69"/>
      <c r="G780" s="35"/>
      <c r="H780" s="35"/>
      <c r="I780" s="35"/>
    </row>
    <row r="781" spans="3:9" ht="13.5" customHeight="1" x14ac:dyDescent="0.25">
      <c r="C781" s="16"/>
      <c r="D781" s="16"/>
      <c r="E781" s="64"/>
      <c r="F781" s="64"/>
      <c r="G781" s="16"/>
      <c r="H781" s="16"/>
      <c r="I781" s="16"/>
    </row>
    <row r="782" spans="3:9" ht="13.5" customHeight="1" x14ac:dyDescent="0.25">
      <c r="C782" s="35"/>
      <c r="D782" s="35"/>
      <c r="E782" s="65"/>
      <c r="F782" s="69"/>
      <c r="G782" s="35"/>
      <c r="H782" s="35"/>
      <c r="I782" s="35"/>
    </row>
    <row r="783" spans="3:9" ht="13.5" customHeight="1" x14ac:dyDescent="0.25">
      <c r="C783" s="16"/>
      <c r="D783" s="16"/>
      <c r="E783" s="64"/>
      <c r="F783" s="64"/>
      <c r="G783" s="16"/>
      <c r="H783" s="16"/>
      <c r="I783" s="16"/>
    </row>
    <row r="784" spans="3:9" ht="13.5" customHeight="1" x14ac:dyDescent="0.25">
      <c r="C784" s="35"/>
      <c r="D784" s="35"/>
      <c r="E784" s="65"/>
      <c r="F784" s="69"/>
      <c r="G784" s="35"/>
      <c r="H784" s="35"/>
      <c r="I784" s="35"/>
    </row>
    <row r="785" spans="3:9" ht="13.5" customHeight="1" x14ac:dyDescent="0.25">
      <c r="C785" s="16"/>
      <c r="D785" s="16"/>
      <c r="E785" s="64"/>
      <c r="F785" s="64"/>
      <c r="G785" s="16"/>
      <c r="H785" s="16"/>
      <c r="I785" s="16"/>
    </row>
    <row r="786" spans="3:9" ht="13.5" customHeight="1" x14ac:dyDescent="0.25">
      <c r="C786" s="35"/>
      <c r="D786" s="35"/>
      <c r="E786" s="65"/>
      <c r="F786" s="69"/>
      <c r="G786" s="35"/>
      <c r="H786" s="35"/>
      <c r="I786" s="35"/>
    </row>
    <row r="787" spans="3:9" ht="13.5" customHeight="1" x14ac:dyDescent="0.25">
      <c r="C787" s="16"/>
      <c r="D787" s="16"/>
      <c r="E787" s="64"/>
      <c r="F787" s="64"/>
      <c r="G787" s="16"/>
      <c r="H787" s="16"/>
      <c r="I787" s="16"/>
    </row>
    <row r="788" spans="3:9" ht="13.5" customHeight="1" x14ac:dyDescent="0.25">
      <c r="C788" s="35"/>
      <c r="D788" s="35"/>
      <c r="E788" s="65"/>
      <c r="F788" s="69"/>
      <c r="G788" s="35"/>
      <c r="H788" s="35"/>
      <c r="I788" s="35"/>
    </row>
    <row r="789" spans="3:9" ht="13.5" customHeight="1" x14ac:dyDescent="0.25">
      <c r="C789" s="16"/>
      <c r="D789" s="16"/>
      <c r="E789" s="64"/>
      <c r="F789" s="64"/>
      <c r="G789" s="16"/>
      <c r="H789" s="16"/>
      <c r="I789" s="16"/>
    </row>
    <row r="790" spans="3:9" ht="13.5" customHeight="1" x14ac:dyDescent="0.25">
      <c r="C790" s="35"/>
      <c r="D790" s="35"/>
      <c r="E790" s="65"/>
      <c r="F790" s="69"/>
      <c r="G790" s="35"/>
      <c r="H790" s="35"/>
      <c r="I790" s="35"/>
    </row>
    <row r="791" spans="3:9" ht="13.5" customHeight="1" x14ac:dyDescent="0.25">
      <c r="C791" s="16"/>
      <c r="D791" s="16"/>
      <c r="E791" s="64"/>
      <c r="F791" s="64"/>
      <c r="G791" s="16"/>
      <c r="H791" s="16"/>
      <c r="I791" s="16"/>
    </row>
    <row r="792" spans="3:9" ht="13.5" customHeight="1" x14ac:dyDescent="0.25">
      <c r="C792" s="35"/>
      <c r="D792" s="35"/>
      <c r="E792" s="65"/>
      <c r="F792" s="69"/>
      <c r="G792" s="35"/>
      <c r="H792" s="35"/>
      <c r="I792" s="35"/>
    </row>
    <row r="793" spans="3:9" ht="13.5" customHeight="1" x14ac:dyDescent="0.25">
      <c r="C793" s="16"/>
      <c r="D793" s="16"/>
      <c r="E793" s="64"/>
      <c r="F793" s="64"/>
      <c r="G793" s="16"/>
      <c r="H793" s="16"/>
      <c r="I793" s="16"/>
    </row>
    <row r="794" spans="3:9" ht="13.5" customHeight="1" x14ac:dyDescent="0.25">
      <c r="C794" s="35"/>
      <c r="D794" s="35"/>
      <c r="E794" s="65"/>
      <c r="F794" s="69"/>
      <c r="G794" s="35"/>
      <c r="H794" s="35"/>
      <c r="I794" s="35"/>
    </row>
    <row r="795" spans="3:9" ht="13.5" customHeight="1" x14ac:dyDescent="0.25">
      <c r="C795" s="16"/>
      <c r="D795" s="16"/>
      <c r="E795" s="64"/>
      <c r="F795" s="64"/>
      <c r="G795" s="16"/>
      <c r="H795" s="16"/>
      <c r="I795" s="16"/>
    </row>
    <row r="796" spans="3:9" ht="13.5" customHeight="1" x14ac:dyDescent="0.25">
      <c r="C796" s="35"/>
      <c r="D796" s="35"/>
      <c r="E796" s="65"/>
      <c r="F796" s="69"/>
      <c r="G796" s="35"/>
      <c r="H796" s="35"/>
      <c r="I796" s="35"/>
    </row>
    <row r="797" spans="3:9" ht="13.5" customHeight="1" x14ac:dyDescent="0.25">
      <c r="C797" s="16"/>
      <c r="D797" s="16"/>
      <c r="E797" s="64"/>
      <c r="F797" s="64"/>
      <c r="G797" s="16"/>
      <c r="H797" s="16"/>
      <c r="I797" s="16"/>
    </row>
    <row r="798" spans="3:9" ht="13.5" customHeight="1" x14ac:dyDescent="0.25">
      <c r="C798" s="35"/>
      <c r="D798" s="35"/>
      <c r="E798" s="65"/>
      <c r="F798" s="69"/>
      <c r="G798" s="35"/>
      <c r="H798" s="35"/>
      <c r="I798" s="35"/>
    </row>
    <row r="799" spans="3:9" ht="13.5" customHeight="1" x14ac:dyDescent="0.25">
      <c r="C799" s="16"/>
      <c r="D799" s="16"/>
      <c r="E799" s="64"/>
      <c r="F799" s="64"/>
      <c r="G799" s="16"/>
      <c r="H799" s="16"/>
      <c r="I799" s="16"/>
    </row>
    <row r="800" spans="3:9" ht="13.5" customHeight="1" x14ac:dyDescent="0.25">
      <c r="C800" s="35"/>
      <c r="D800" s="35"/>
      <c r="E800" s="65"/>
      <c r="F800" s="69"/>
      <c r="G800" s="35"/>
      <c r="H800" s="35"/>
      <c r="I800" s="35"/>
    </row>
    <row r="801" spans="3:9" ht="13.5" customHeight="1" x14ac:dyDescent="0.25">
      <c r="C801" s="16"/>
      <c r="D801" s="16"/>
      <c r="E801" s="64"/>
      <c r="F801" s="64"/>
      <c r="G801" s="16"/>
      <c r="H801" s="16"/>
      <c r="I801" s="16"/>
    </row>
    <row r="802" spans="3:9" ht="13.5" customHeight="1" x14ac:dyDescent="0.25">
      <c r="C802" s="35"/>
      <c r="D802" s="35"/>
      <c r="E802" s="65"/>
      <c r="F802" s="69"/>
      <c r="G802" s="35"/>
      <c r="H802" s="35"/>
      <c r="I802" s="35"/>
    </row>
    <row r="803" spans="3:9" ht="13.5" customHeight="1" x14ac:dyDescent="0.25">
      <c r="C803" s="16"/>
      <c r="D803" s="16"/>
      <c r="E803" s="64"/>
      <c r="F803" s="64"/>
      <c r="G803" s="16"/>
      <c r="H803" s="16"/>
      <c r="I803" s="16"/>
    </row>
    <row r="804" spans="3:9" ht="13.5" customHeight="1" x14ac:dyDescent="0.25">
      <c r="C804" s="35"/>
      <c r="D804" s="35"/>
      <c r="E804" s="65"/>
      <c r="F804" s="69"/>
      <c r="G804" s="35"/>
      <c r="H804" s="35"/>
      <c r="I804" s="35"/>
    </row>
    <row r="805" spans="3:9" ht="13.5" customHeight="1" x14ac:dyDescent="0.25">
      <c r="C805" s="16"/>
      <c r="D805" s="16"/>
      <c r="E805" s="64"/>
      <c r="F805" s="64"/>
      <c r="G805" s="16"/>
      <c r="H805" s="16"/>
      <c r="I805" s="16"/>
    </row>
    <row r="806" spans="3:9" ht="13.5" customHeight="1" x14ac:dyDescent="0.25">
      <c r="C806" s="35"/>
      <c r="D806" s="35"/>
      <c r="E806" s="65"/>
      <c r="F806" s="69"/>
      <c r="G806" s="35"/>
      <c r="H806" s="35"/>
      <c r="I806" s="35"/>
    </row>
    <row r="807" spans="3:9" ht="13.5" customHeight="1" x14ac:dyDescent="0.25">
      <c r="C807" s="16"/>
      <c r="D807" s="16"/>
      <c r="E807" s="64"/>
      <c r="F807" s="64"/>
      <c r="G807" s="16"/>
      <c r="H807" s="16"/>
      <c r="I807" s="16"/>
    </row>
    <row r="808" spans="3:9" ht="13.5" customHeight="1" x14ac:dyDescent="0.25">
      <c r="C808" s="35"/>
      <c r="D808" s="35"/>
      <c r="E808" s="65"/>
      <c r="F808" s="69"/>
      <c r="G808" s="35"/>
      <c r="H808" s="35"/>
      <c r="I808" s="35"/>
    </row>
    <row r="809" spans="3:9" ht="13.5" customHeight="1" x14ac:dyDescent="0.25">
      <c r="C809" s="16"/>
      <c r="D809" s="16"/>
      <c r="E809" s="64"/>
      <c r="F809" s="64"/>
      <c r="G809" s="16"/>
      <c r="H809" s="16"/>
      <c r="I809" s="16"/>
    </row>
    <row r="810" spans="3:9" ht="13.5" customHeight="1" x14ac:dyDescent="0.25">
      <c r="C810" s="35"/>
      <c r="D810" s="35"/>
      <c r="E810" s="65"/>
      <c r="F810" s="69"/>
      <c r="G810" s="35"/>
      <c r="H810" s="35"/>
      <c r="I810" s="35"/>
    </row>
    <row r="811" spans="3:9" ht="13.5" customHeight="1" x14ac:dyDescent="0.25">
      <c r="C811" s="16"/>
      <c r="D811" s="16"/>
      <c r="E811" s="64"/>
      <c r="F811" s="64"/>
      <c r="G811" s="16"/>
      <c r="H811" s="16"/>
      <c r="I811" s="16"/>
    </row>
    <row r="812" spans="3:9" ht="13.5" customHeight="1" x14ac:dyDescent="0.25">
      <c r="C812" s="35"/>
      <c r="D812" s="35"/>
      <c r="E812" s="65"/>
      <c r="F812" s="69"/>
      <c r="G812" s="35"/>
      <c r="H812" s="35"/>
      <c r="I812" s="35"/>
    </row>
    <row r="813" spans="3:9" ht="13.5" customHeight="1" x14ac:dyDescent="0.25">
      <c r="C813" s="16"/>
      <c r="D813" s="16"/>
      <c r="E813" s="64"/>
      <c r="F813" s="64"/>
      <c r="G813" s="16"/>
      <c r="H813" s="16"/>
      <c r="I813" s="16"/>
    </row>
    <row r="814" spans="3:9" ht="13.5" customHeight="1" x14ac:dyDescent="0.25">
      <c r="C814" s="35"/>
      <c r="D814" s="35"/>
      <c r="E814" s="65"/>
      <c r="F814" s="69"/>
      <c r="G814" s="35"/>
      <c r="H814" s="35"/>
      <c r="I814" s="35"/>
    </row>
    <row r="815" spans="3:9" ht="13.5" customHeight="1" x14ac:dyDescent="0.25">
      <c r="C815" s="16"/>
      <c r="D815" s="16"/>
      <c r="E815" s="64"/>
      <c r="F815" s="64"/>
      <c r="G815" s="16"/>
      <c r="H815" s="16"/>
      <c r="I815" s="16"/>
    </row>
    <row r="816" spans="3:9" ht="13.5" customHeight="1" x14ac:dyDescent="0.25">
      <c r="C816" s="35"/>
      <c r="D816" s="35"/>
      <c r="E816" s="65"/>
      <c r="F816" s="69"/>
      <c r="G816" s="35"/>
      <c r="H816" s="35"/>
      <c r="I816" s="35"/>
    </row>
    <row r="817" spans="3:9" ht="13.5" customHeight="1" x14ac:dyDescent="0.25">
      <c r="C817" s="16"/>
      <c r="D817" s="16"/>
      <c r="E817" s="64"/>
      <c r="F817" s="64"/>
      <c r="G817" s="16"/>
      <c r="H817" s="16"/>
      <c r="I817" s="16"/>
    </row>
    <row r="818" spans="3:9" ht="13.5" customHeight="1" x14ac:dyDescent="0.25">
      <c r="C818" s="35"/>
      <c r="D818" s="35"/>
      <c r="E818" s="65"/>
      <c r="F818" s="69"/>
      <c r="G818" s="35"/>
      <c r="H818" s="35"/>
      <c r="I818" s="35"/>
    </row>
    <row r="819" spans="3:9" ht="13.5" customHeight="1" x14ac:dyDescent="0.25">
      <c r="C819" s="16"/>
      <c r="D819" s="16"/>
      <c r="E819" s="64"/>
      <c r="F819" s="64"/>
      <c r="G819" s="16"/>
      <c r="H819" s="16"/>
      <c r="I819" s="16"/>
    </row>
    <row r="820" spans="3:9" ht="13.5" customHeight="1" x14ac:dyDescent="0.25">
      <c r="C820" s="35"/>
      <c r="D820" s="35"/>
      <c r="E820" s="65"/>
      <c r="F820" s="69"/>
      <c r="G820" s="35"/>
      <c r="H820" s="35"/>
      <c r="I820" s="35"/>
    </row>
    <row r="821" spans="3:9" ht="13.5" customHeight="1" x14ac:dyDescent="0.25">
      <c r="C821" s="16"/>
      <c r="D821" s="16"/>
      <c r="E821" s="64"/>
      <c r="F821" s="64"/>
      <c r="G821" s="16"/>
      <c r="H821" s="16"/>
      <c r="I821" s="16"/>
    </row>
    <row r="822" spans="3:9" ht="13.5" customHeight="1" x14ac:dyDescent="0.25">
      <c r="C822" s="35"/>
      <c r="D822" s="35"/>
      <c r="E822" s="65"/>
      <c r="F822" s="69"/>
      <c r="G822" s="35"/>
      <c r="H822" s="35"/>
      <c r="I822" s="35"/>
    </row>
    <row r="823" spans="3:9" ht="13.5" customHeight="1" x14ac:dyDescent="0.25">
      <c r="C823" s="16"/>
      <c r="D823" s="16"/>
      <c r="E823" s="64"/>
      <c r="F823" s="64"/>
      <c r="G823" s="16"/>
      <c r="H823" s="16"/>
      <c r="I823" s="16"/>
    </row>
    <row r="824" spans="3:9" ht="13.5" customHeight="1" x14ac:dyDescent="0.25">
      <c r="C824" s="35"/>
      <c r="D824" s="35"/>
      <c r="E824" s="65"/>
      <c r="F824" s="69"/>
      <c r="G824" s="35"/>
      <c r="H824" s="35"/>
      <c r="I824" s="35"/>
    </row>
    <row r="825" spans="3:9" ht="13.5" customHeight="1" x14ac:dyDescent="0.25">
      <c r="C825" s="16"/>
      <c r="D825" s="16"/>
      <c r="E825" s="64"/>
      <c r="F825" s="64"/>
      <c r="G825" s="16"/>
      <c r="H825" s="16"/>
      <c r="I825" s="16"/>
    </row>
    <row r="826" spans="3:9" ht="13.5" customHeight="1" x14ac:dyDescent="0.25">
      <c r="C826" s="35"/>
      <c r="D826" s="35"/>
      <c r="E826" s="65"/>
      <c r="F826" s="69"/>
      <c r="G826" s="35"/>
      <c r="H826" s="35"/>
      <c r="I826" s="35"/>
    </row>
    <row r="827" spans="3:9" ht="13.5" customHeight="1" x14ac:dyDescent="0.25">
      <c r="C827" s="16"/>
      <c r="D827" s="16"/>
      <c r="E827" s="64"/>
      <c r="F827" s="64"/>
      <c r="G827" s="16"/>
      <c r="H827" s="16"/>
      <c r="I827" s="16"/>
    </row>
    <row r="828" spans="3:9" ht="13.5" customHeight="1" x14ac:dyDescent="0.25">
      <c r="C828" s="35"/>
      <c r="D828" s="35"/>
      <c r="E828" s="65"/>
      <c r="F828" s="69"/>
      <c r="G828" s="35"/>
      <c r="H828" s="35"/>
      <c r="I828" s="35"/>
    </row>
    <row r="829" spans="3:9" ht="13.5" customHeight="1" x14ac:dyDescent="0.25">
      <c r="C829" s="16"/>
      <c r="D829" s="16"/>
      <c r="E829" s="64"/>
      <c r="F829" s="64"/>
      <c r="G829" s="16"/>
      <c r="H829" s="16"/>
      <c r="I829" s="16"/>
    </row>
    <row r="830" spans="3:9" ht="13.5" customHeight="1" x14ac:dyDescent="0.25">
      <c r="C830" s="35"/>
      <c r="D830" s="35"/>
      <c r="E830" s="65"/>
      <c r="F830" s="69"/>
      <c r="G830" s="35"/>
      <c r="H830" s="35"/>
      <c r="I830" s="35"/>
    </row>
    <row r="831" spans="3:9" ht="13.5" customHeight="1" x14ac:dyDescent="0.25">
      <c r="C831" s="16"/>
      <c r="D831" s="16"/>
      <c r="E831" s="64"/>
      <c r="F831" s="64"/>
      <c r="G831" s="16"/>
      <c r="H831" s="16"/>
      <c r="I831" s="16"/>
    </row>
    <row r="832" spans="3:9" ht="13.5" customHeight="1" x14ac:dyDescent="0.25">
      <c r="C832" s="35"/>
      <c r="D832" s="35"/>
      <c r="E832" s="65"/>
      <c r="F832" s="69"/>
      <c r="G832" s="35"/>
      <c r="H832" s="35"/>
      <c r="I832" s="35"/>
    </row>
    <row r="833" spans="3:9" ht="13.5" customHeight="1" x14ac:dyDescent="0.25">
      <c r="C833" s="16"/>
      <c r="D833" s="16"/>
      <c r="E833" s="64"/>
      <c r="F833" s="64"/>
      <c r="G833" s="16"/>
      <c r="H833" s="16"/>
      <c r="I833" s="16"/>
    </row>
    <row r="834" spans="3:9" ht="13.5" customHeight="1" x14ac:dyDescent="0.25">
      <c r="C834" s="35"/>
      <c r="D834" s="35"/>
      <c r="E834" s="65"/>
      <c r="F834" s="69"/>
      <c r="G834" s="35"/>
      <c r="H834" s="35"/>
      <c r="I834" s="35"/>
    </row>
    <row r="835" spans="3:9" ht="13.5" customHeight="1" x14ac:dyDescent="0.25">
      <c r="C835" s="16"/>
      <c r="D835" s="16"/>
      <c r="E835" s="64"/>
      <c r="F835" s="64"/>
      <c r="G835" s="16"/>
      <c r="H835" s="16"/>
      <c r="I835" s="16"/>
    </row>
    <row r="836" spans="3:9" ht="13.5" customHeight="1" x14ac:dyDescent="0.25">
      <c r="C836" s="35"/>
      <c r="D836" s="35"/>
      <c r="E836" s="65"/>
      <c r="F836" s="69"/>
      <c r="G836" s="35"/>
      <c r="H836" s="35"/>
      <c r="I836" s="35"/>
    </row>
    <row r="837" spans="3:9" ht="13.5" customHeight="1" x14ac:dyDescent="0.25">
      <c r="C837" s="16"/>
      <c r="D837" s="16"/>
      <c r="E837" s="64"/>
      <c r="F837" s="64"/>
      <c r="G837" s="16"/>
      <c r="H837" s="16"/>
      <c r="I837" s="16"/>
    </row>
    <row r="838" spans="3:9" ht="13.5" customHeight="1" x14ac:dyDescent="0.25">
      <c r="C838" s="35"/>
      <c r="D838" s="35"/>
      <c r="E838" s="65"/>
      <c r="F838" s="69"/>
      <c r="G838" s="35"/>
      <c r="H838" s="35"/>
      <c r="I838" s="35"/>
    </row>
    <row r="839" spans="3:9" ht="13.5" customHeight="1" x14ac:dyDescent="0.25">
      <c r="C839" s="16"/>
      <c r="D839" s="16"/>
      <c r="E839" s="64"/>
      <c r="F839" s="64"/>
      <c r="G839" s="16"/>
      <c r="H839" s="16"/>
      <c r="I839" s="16"/>
    </row>
    <row r="840" spans="3:9" ht="13.5" customHeight="1" x14ac:dyDescent="0.25">
      <c r="C840" s="35"/>
      <c r="D840" s="35"/>
      <c r="E840" s="65"/>
      <c r="F840" s="69"/>
      <c r="G840" s="35"/>
      <c r="H840" s="35"/>
      <c r="I840" s="35"/>
    </row>
    <row r="841" spans="3:9" ht="13.5" customHeight="1" x14ac:dyDescent="0.25">
      <c r="C841" s="16"/>
      <c r="D841" s="16"/>
      <c r="E841" s="64"/>
      <c r="F841" s="64"/>
      <c r="G841" s="16"/>
      <c r="H841" s="16"/>
      <c r="I841" s="16"/>
    </row>
    <row r="842" spans="3:9" ht="13.5" customHeight="1" x14ac:dyDescent="0.25">
      <c r="C842" s="35"/>
      <c r="D842" s="35"/>
      <c r="E842" s="65"/>
      <c r="F842" s="69"/>
      <c r="G842" s="35"/>
      <c r="H842" s="35"/>
      <c r="I842" s="35"/>
    </row>
    <row r="843" spans="3:9" ht="13.5" customHeight="1" x14ac:dyDescent="0.25">
      <c r="C843" s="16"/>
      <c r="D843" s="16"/>
      <c r="E843" s="64"/>
      <c r="F843" s="64"/>
      <c r="G843" s="16"/>
      <c r="H843" s="16"/>
      <c r="I843" s="16"/>
    </row>
    <row r="844" spans="3:9" ht="13.5" customHeight="1" x14ac:dyDescent="0.25">
      <c r="C844" s="35"/>
      <c r="D844" s="35"/>
      <c r="E844" s="65"/>
      <c r="F844" s="69"/>
      <c r="G844" s="35"/>
      <c r="H844" s="35"/>
      <c r="I844" s="35"/>
    </row>
    <row r="845" spans="3:9" ht="13.5" customHeight="1" x14ac:dyDescent="0.25">
      <c r="C845" s="16"/>
      <c r="D845" s="16"/>
      <c r="E845" s="64"/>
      <c r="F845" s="64"/>
      <c r="G845" s="16"/>
      <c r="H845" s="16"/>
      <c r="I845" s="16"/>
    </row>
    <row r="846" spans="3:9" ht="13.5" customHeight="1" x14ac:dyDescent="0.25">
      <c r="C846" s="35"/>
      <c r="D846" s="35"/>
      <c r="E846" s="65"/>
      <c r="F846" s="69"/>
      <c r="G846" s="35"/>
      <c r="H846" s="35"/>
      <c r="I846" s="35"/>
    </row>
    <row r="847" spans="3:9" ht="13.5" customHeight="1" x14ac:dyDescent="0.25">
      <c r="C847" s="16"/>
      <c r="D847" s="16"/>
      <c r="E847" s="64"/>
      <c r="F847" s="64"/>
      <c r="G847" s="16"/>
      <c r="H847" s="16"/>
      <c r="I847" s="16"/>
    </row>
    <row r="848" spans="3:9" ht="13.5" customHeight="1" x14ac:dyDescent="0.25">
      <c r="C848" s="35"/>
      <c r="D848" s="35"/>
      <c r="E848" s="65"/>
      <c r="F848" s="69"/>
      <c r="G848" s="35"/>
      <c r="H848" s="35"/>
      <c r="I848" s="35"/>
    </row>
    <row r="849" spans="3:9" ht="13.5" customHeight="1" x14ac:dyDescent="0.25">
      <c r="C849" s="16"/>
      <c r="D849" s="16"/>
      <c r="E849" s="64"/>
      <c r="F849" s="64"/>
      <c r="G849" s="16"/>
      <c r="H849" s="16"/>
      <c r="I849" s="16"/>
    </row>
    <row r="850" spans="3:9" ht="13.5" customHeight="1" x14ac:dyDescent="0.25">
      <c r="C850" s="35"/>
      <c r="D850" s="35"/>
      <c r="E850" s="65"/>
      <c r="F850" s="69"/>
      <c r="G850" s="35"/>
      <c r="H850" s="35"/>
      <c r="I850" s="35"/>
    </row>
    <row r="851" spans="3:9" ht="13.5" customHeight="1" x14ac:dyDescent="0.25">
      <c r="C851" s="16"/>
      <c r="D851" s="16"/>
      <c r="E851" s="64"/>
      <c r="F851" s="64"/>
      <c r="G851" s="16"/>
      <c r="H851" s="16"/>
      <c r="I851" s="16"/>
    </row>
    <row r="852" spans="3:9" ht="13.5" customHeight="1" x14ac:dyDescent="0.25">
      <c r="C852" s="35"/>
      <c r="D852" s="35"/>
      <c r="E852" s="65"/>
      <c r="F852" s="69"/>
      <c r="G852" s="35"/>
      <c r="H852" s="35"/>
      <c r="I852" s="35"/>
    </row>
    <row r="853" spans="3:9" ht="13.5" customHeight="1" x14ac:dyDescent="0.25">
      <c r="C853" s="16"/>
      <c r="D853" s="16"/>
      <c r="E853" s="64"/>
      <c r="F853" s="64"/>
      <c r="G853" s="16"/>
      <c r="H853" s="16"/>
      <c r="I853" s="16"/>
    </row>
    <row r="854" spans="3:9" ht="13.5" customHeight="1" x14ac:dyDescent="0.25">
      <c r="C854" s="35"/>
      <c r="D854" s="35"/>
      <c r="E854" s="65"/>
      <c r="F854" s="69"/>
      <c r="G854" s="35"/>
      <c r="H854" s="35"/>
      <c r="I854" s="35"/>
    </row>
    <row r="855" spans="3:9" ht="13.5" customHeight="1" x14ac:dyDescent="0.25">
      <c r="C855" s="16"/>
      <c r="D855" s="16"/>
      <c r="E855" s="64"/>
      <c r="F855" s="64"/>
      <c r="G855" s="16"/>
      <c r="H855" s="16"/>
      <c r="I855" s="16"/>
    </row>
    <row r="856" spans="3:9" ht="13.5" customHeight="1" x14ac:dyDescent="0.25">
      <c r="C856" s="35"/>
      <c r="D856" s="35"/>
      <c r="E856" s="65"/>
      <c r="F856" s="69"/>
      <c r="G856" s="35"/>
      <c r="H856" s="35"/>
      <c r="I856" s="35"/>
    </row>
    <row r="857" spans="3:9" ht="13.5" customHeight="1" x14ac:dyDescent="0.25">
      <c r="C857" s="16"/>
      <c r="D857" s="16"/>
      <c r="E857" s="64"/>
      <c r="F857" s="64"/>
      <c r="G857" s="16"/>
      <c r="H857" s="16"/>
      <c r="I857" s="16"/>
    </row>
    <row r="858" spans="3:9" ht="13.5" customHeight="1" x14ac:dyDescent="0.25">
      <c r="C858" s="35"/>
      <c r="D858" s="35"/>
      <c r="E858" s="65"/>
      <c r="F858" s="69"/>
      <c r="G858" s="35"/>
      <c r="H858" s="35"/>
      <c r="I858" s="35"/>
    </row>
    <row r="859" spans="3:9" ht="13.5" customHeight="1" x14ac:dyDescent="0.25">
      <c r="C859" s="16"/>
      <c r="D859" s="16"/>
      <c r="E859" s="64"/>
      <c r="F859" s="64"/>
      <c r="G859" s="16"/>
      <c r="H859" s="16"/>
      <c r="I859" s="16"/>
    </row>
    <row r="860" spans="3:9" ht="13.5" customHeight="1" x14ac:dyDescent="0.25">
      <c r="C860" s="35"/>
      <c r="D860" s="35"/>
      <c r="E860" s="65"/>
      <c r="F860" s="69"/>
      <c r="G860" s="35"/>
      <c r="H860" s="35"/>
      <c r="I860" s="35"/>
    </row>
    <row r="861" spans="3:9" ht="13.5" customHeight="1" x14ac:dyDescent="0.25">
      <c r="C861" s="16"/>
      <c r="D861" s="16"/>
      <c r="E861" s="64"/>
      <c r="F861" s="64"/>
      <c r="G861" s="16"/>
      <c r="H861" s="16"/>
      <c r="I861" s="16"/>
    </row>
    <row r="862" spans="3:9" ht="13.5" customHeight="1" x14ac:dyDescent="0.25">
      <c r="C862" s="35"/>
      <c r="D862" s="35"/>
      <c r="E862" s="65"/>
      <c r="F862" s="69"/>
      <c r="G862" s="35"/>
      <c r="H862" s="35"/>
      <c r="I862" s="35"/>
    </row>
    <row r="863" spans="3:9" ht="13.5" customHeight="1" x14ac:dyDescent="0.25">
      <c r="C863" s="16"/>
      <c r="D863" s="16"/>
      <c r="E863" s="64"/>
      <c r="F863" s="64"/>
      <c r="G863" s="16"/>
      <c r="H863" s="16"/>
      <c r="I863" s="16"/>
    </row>
    <row r="864" spans="3:9" ht="13.5" customHeight="1" x14ac:dyDescent="0.25">
      <c r="C864" s="35"/>
      <c r="D864" s="35"/>
      <c r="E864" s="65"/>
      <c r="F864" s="69"/>
      <c r="G864" s="35"/>
      <c r="H864" s="35"/>
      <c r="I864" s="35"/>
    </row>
    <row r="865" spans="3:9" ht="13.5" customHeight="1" x14ac:dyDescent="0.25">
      <c r="C865" s="16"/>
      <c r="D865" s="16"/>
      <c r="E865" s="64"/>
      <c r="F865" s="64"/>
      <c r="G865" s="16"/>
      <c r="H865" s="16"/>
      <c r="I865" s="16"/>
    </row>
    <row r="866" spans="3:9" ht="13.5" customHeight="1" x14ac:dyDescent="0.25">
      <c r="C866" s="35"/>
      <c r="D866" s="35"/>
      <c r="E866" s="65"/>
      <c r="F866" s="69"/>
      <c r="G866" s="35"/>
      <c r="H866" s="35"/>
      <c r="I866" s="35"/>
    </row>
    <row r="867" spans="3:9" ht="13.5" customHeight="1" x14ac:dyDescent="0.25">
      <c r="C867" s="16"/>
      <c r="D867" s="16"/>
      <c r="E867" s="64"/>
      <c r="F867" s="64"/>
      <c r="G867" s="16"/>
      <c r="H867" s="16"/>
      <c r="I867" s="16"/>
    </row>
    <row r="868" spans="3:9" ht="13.5" customHeight="1" x14ac:dyDescent="0.25">
      <c r="C868" s="35"/>
      <c r="D868" s="35"/>
      <c r="E868" s="65"/>
      <c r="F868" s="69"/>
      <c r="G868" s="35"/>
      <c r="H868" s="35"/>
      <c r="I868" s="35"/>
    </row>
    <row r="869" spans="3:9" ht="13.5" customHeight="1" x14ac:dyDescent="0.25">
      <c r="C869" s="16"/>
      <c r="D869" s="16"/>
      <c r="E869" s="64"/>
      <c r="F869" s="64"/>
      <c r="G869" s="16"/>
      <c r="H869" s="16"/>
      <c r="I869" s="16"/>
    </row>
    <row r="870" spans="3:9" ht="13.5" customHeight="1" x14ac:dyDescent="0.25">
      <c r="C870" s="35"/>
      <c r="D870" s="35"/>
      <c r="E870" s="65"/>
      <c r="F870" s="69"/>
      <c r="G870" s="35"/>
      <c r="H870" s="35"/>
      <c r="I870" s="35"/>
    </row>
    <row r="871" spans="3:9" ht="13.5" customHeight="1" x14ac:dyDescent="0.25">
      <c r="C871" s="16"/>
      <c r="D871" s="16"/>
      <c r="E871" s="64"/>
      <c r="F871" s="64"/>
      <c r="G871" s="16"/>
      <c r="H871" s="16"/>
      <c r="I871" s="16"/>
    </row>
    <row r="872" spans="3:9" ht="13.5" customHeight="1" x14ac:dyDescent="0.25">
      <c r="C872" s="35"/>
      <c r="D872" s="35"/>
      <c r="E872" s="65"/>
      <c r="F872" s="69"/>
      <c r="G872" s="35"/>
      <c r="H872" s="35"/>
      <c r="I872" s="35"/>
    </row>
    <row r="873" spans="3:9" ht="13.5" customHeight="1" x14ac:dyDescent="0.25">
      <c r="C873" s="16"/>
      <c r="D873" s="16"/>
      <c r="E873" s="64"/>
      <c r="F873" s="64"/>
      <c r="G873" s="16"/>
      <c r="H873" s="16"/>
      <c r="I873" s="16"/>
    </row>
    <row r="874" spans="3:9" ht="13.5" customHeight="1" x14ac:dyDescent="0.25">
      <c r="C874" s="35"/>
      <c r="D874" s="35"/>
      <c r="E874" s="65"/>
      <c r="F874" s="69"/>
      <c r="G874" s="35"/>
      <c r="H874" s="35"/>
      <c r="I874" s="35"/>
    </row>
    <row r="875" spans="3:9" ht="13.5" customHeight="1" x14ac:dyDescent="0.25">
      <c r="C875" s="16"/>
      <c r="D875" s="16"/>
      <c r="E875" s="64"/>
      <c r="F875" s="64"/>
      <c r="G875" s="16"/>
      <c r="H875" s="16"/>
      <c r="I875" s="16"/>
    </row>
    <row r="876" spans="3:9" ht="13.5" customHeight="1" x14ac:dyDescent="0.25">
      <c r="C876" s="35"/>
      <c r="D876" s="35"/>
      <c r="E876" s="65"/>
      <c r="F876" s="69"/>
      <c r="G876" s="35"/>
      <c r="H876" s="35"/>
      <c r="I876" s="35"/>
    </row>
    <row r="877" spans="3:9" ht="13.5" customHeight="1" x14ac:dyDescent="0.25">
      <c r="C877" s="16"/>
      <c r="D877" s="16"/>
      <c r="E877" s="64"/>
      <c r="F877" s="64"/>
      <c r="G877" s="16"/>
      <c r="H877" s="16"/>
      <c r="I877" s="16"/>
    </row>
    <row r="878" spans="3:9" ht="13.5" customHeight="1" x14ac:dyDescent="0.25">
      <c r="C878" s="35"/>
      <c r="D878" s="35"/>
      <c r="E878" s="65"/>
      <c r="F878" s="69"/>
      <c r="G878" s="35"/>
      <c r="H878" s="35"/>
      <c r="I878" s="35"/>
    </row>
    <row r="879" spans="3:9" ht="13.5" customHeight="1" x14ac:dyDescent="0.25">
      <c r="C879" s="16"/>
      <c r="D879" s="16"/>
      <c r="E879" s="64"/>
      <c r="F879" s="64"/>
      <c r="G879" s="16"/>
      <c r="H879" s="16"/>
      <c r="I879" s="16"/>
    </row>
    <row r="880" spans="3:9" ht="13.5" customHeight="1" x14ac:dyDescent="0.25">
      <c r="C880" s="35"/>
      <c r="D880" s="35"/>
      <c r="E880" s="65"/>
      <c r="F880" s="69"/>
      <c r="G880" s="35"/>
      <c r="H880" s="35"/>
      <c r="I880" s="35"/>
    </row>
    <row r="881" spans="3:9" ht="13.5" customHeight="1" x14ac:dyDescent="0.25">
      <c r="C881" s="16"/>
      <c r="D881" s="16"/>
      <c r="E881" s="64"/>
      <c r="F881" s="64"/>
      <c r="G881" s="16"/>
      <c r="H881" s="16"/>
      <c r="I881" s="16"/>
    </row>
    <row r="882" spans="3:9" ht="13.5" customHeight="1" x14ac:dyDescent="0.25">
      <c r="C882" s="35"/>
      <c r="D882" s="35"/>
      <c r="E882" s="65"/>
      <c r="F882" s="69"/>
      <c r="G882" s="35"/>
      <c r="H882" s="35"/>
      <c r="I882" s="35"/>
    </row>
    <row r="883" spans="3:9" ht="13.5" customHeight="1" x14ac:dyDescent="0.25">
      <c r="C883" s="16"/>
      <c r="D883" s="16"/>
      <c r="E883" s="64"/>
      <c r="F883" s="64"/>
      <c r="G883" s="16"/>
      <c r="H883" s="16"/>
      <c r="I883" s="16"/>
    </row>
    <row r="884" spans="3:9" ht="13.5" customHeight="1" x14ac:dyDescent="0.25">
      <c r="C884" s="35"/>
      <c r="D884" s="35"/>
      <c r="E884" s="65"/>
      <c r="F884" s="69"/>
      <c r="G884" s="35"/>
      <c r="H884" s="35"/>
      <c r="I884" s="35"/>
    </row>
    <row r="885" spans="3:9" ht="13.5" customHeight="1" x14ac:dyDescent="0.25">
      <c r="C885" s="16"/>
      <c r="D885" s="16"/>
      <c r="E885" s="64"/>
      <c r="F885" s="64"/>
      <c r="G885" s="16"/>
      <c r="H885" s="16"/>
      <c r="I885" s="16"/>
    </row>
    <row r="886" spans="3:9" ht="13.5" customHeight="1" x14ac:dyDescent="0.25">
      <c r="C886" s="35"/>
      <c r="D886" s="35"/>
      <c r="E886" s="65"/>
      <c r="F886" s="69"/>
      <c r="G886" s="35"/>
      <c r="H886" s="35"/>
      <c r="I886" s="35"/>
    </row>
    <row r="887" spans="3:9" ht="13.5" customHeight="1" x14ac:dyDescent="0.25">
      <c r="C887" s="16"/>
      <c r="D887" s="16"/>
      <c r="E887" s="64"/>
      <c r="F887" s="64"/>
      <c r="G887" s="16"/>
      <c r="H887" s="16"/>
      <c r="I887" s="16"/>
    </row>
    <row r="888" spans="3:9" ht="13.5" customHeight="1" x14ac:dyDescent="0.25">
      <c r="C888" s="35"/>
      <c r="D888" s="35"/>
      <c r="E888" s="65"/>
      <c r="F888" s="69"/>
      <c r="G888" s="35"/>
      <c r="H888" s="35"/>
      <c r="I888" s="35"/>
    </row>
    <row r="889" spans="3:9" ht="13.5" customHeight="1" x14ac:dyDescent="0.25">
      <c r="C889" s="16"/>
      <c r="D889" s="16"/>
      <c r="E889" s="64"/>
      <c r="F889" s="64"/>
      <c r="G889" s="16"/>
      <c r="H889" s="16"/>
      <c r="I889" s="16"/>
    </row>
    <row r="890" spans="3:9" ht="13.5" customHeight="1" x14ac:dyDescent="0.25">
      <c r="C890" s="35"/>
      <c r="D890" s="35"/>
      <c r="E890" s="65"/>
      <c r="F890" s="69"/>
      <c r="G890" s="35"/>
      <c r="H890" s="35"/>
      <c r="I890" s="35"/>
    </row>
    <row r="891" spans="3:9" ht="13.5" customHeight="1" x14ac:dyDescent="0.25">
      <c r="C891" s="16"/>
      <c r="D891" s="16"/>
      <c r="E891" s="64"/>
      <c r="F891" s="64"/>
      <c r="G891" s="16"/>
      <c r="H891" s="16"/>
      <c r="I891" s="16"/>
    </row>
    <row r="892" spans="3:9" ht="13.5" customHeight="1" x14ac:dyDescent="0.25">
      <c r="C892" s="35"/>
      <c r="D892" s="35"/>
      <c r="E892" s="65"/>
      <c r="F892" s="69"/>
      <c r="G892" s="35"/>
      <c r="H892" s="35"/>
      <c r="I892" s="35"/>
    </row>
    <row r="893" spans="3:9" ht="13.5" customHeight="1" x14ac:dyDescent="0.25">
      <c r="C893" s="16"/>
      <c r="D893" s="16"/>
      <c r="E893" s="64"/>
      <c r="F893" s="64"/>
      <c r="G893" s="16"/>
      <c r="H893" s="16"/>
      <c r="I893" s="16"/>
    </row>
    <row r="894" spans="3:9" ht="13.5" customHeight="1" x14ac:dyDescent="0.25">
      <c r="C894" s="35"/>
      <c r="D894" s="35"/>
      <c r="E894" s="65"/>
      <c r="F894" s="69"/>
      <c r="G894" s="35"/>
      <c r="H894" s="35"/>
      <c r="I894" s="35"/>
    </row>
    <row r="895" spans="3:9" ht="13.5" customHeight="1" x14ac:dyDescent="0.25">
      <c r="C895" s="16"/>
      <c r="D895" s="16"/>
      <c r="E895" s="64"/>
      <c r="F895" s="64"/>
      <c r="G895" s="16"/>
      <c r="H895" s="16"/>
      <c r="I895" s="16"/>
    </row>
    <row r="896" spans="3:9" ht="13.5" customHeight="1" x14ac:dyDescent="0.25">
      <c r="C896" s="35"/>
      <c r="D896" s="35"/>
      <c r="E896" s="65"/>
      <c r="F896" s="69"/>
      <c r="G896" s="35"/>
      <c r="H896" s="35"/>
      <c r="I896" s="35"/>
    </row>
    <row r="897" spans="3:9" ht="13.5" customHeight="1" x14ac:dyDescent="0.25">
      <c r="C897" s="16"/>
      <c r="D897" s="16"/>
      <c r="E897" s="64"/>
      <c r="F897" s="64"/>
      <c r="G897" s="16"/>
      <c r="H897" s="16"/>
      <c r="I897" s="16"/>
    </row>
    <row r="898" spans="3:9" ht="13.5" customHeight="1" x14ac:dyDescent="0.25">
      <c r="C898" s="35"/>
      <c r="D898" s="35"/>
      <c r="E898" s="65"/>
      <c r="F898" s="69"/>
      <c r="G898" s="35"/>
      <c r="H898" s="35"/>
      <c r="I898" s="35"/>
    </row>
    <row r="899" spans="3:9" ht="13.5" customHeight="1" x14ac:dyDescent="0.25">
      <c r="C899" s="16"/>
      <c r="D899" s="16"/>
      <c r="E899" s="64"/>
      <c r="F899" s="64"/>
      <c r="G899" s="16"/>
      <c r="H899" s="16"/>
      <c r="I899" s="16"/>
    </row>
    <row r="900" spans="3:9" ht="13.5" customHeight="1" x14ac:dyDescent="0.25">
      <c r="C900" s="35"/>
      <c r="D900" s="35"/>
      <c r="E900" s="65"/>
      <c r="F900" s="69"/>
      <c r="G900" s="35"/>
      <c r="H900" s="35"/>
      <c r="I900" s="35"/>
    </row>
    <row r="901" spans="3:9" ht="13.5" customHeight="1" x14ac:dyDescent="0.25">
      <c r="C901" s="16"/>
      <c r="D901" s="16"/>
      <c r="E901" s="64"/>
      <c r="F901" s="64"/>
      <c r="G901" s="16"/>
      <c r="H901" s="16"/>
      <c r="I901" s="16"/>
    </row>
    <row r="902" spans="3:9" ht="13.5" customHeight="1" x14ac:dyDescent="0.25">
      <c r="C902" s="35"/>
      <c r="D902" s="35"/>
      <c r="E902" s="65"/>
      <c r="F902" s="69"/>
      <c r="G902" s="35"/>
      <c r="H902" s="35"/>
      <c r="I902" s="35"/>
    </row>
    <row r="903" spans="3:9" ht="13.5" customHeight="1" x14ac:dyDescent="0.25">
      <c r="C903" s="16"/>
      <c r="D903" s="16"/>
      <c r="E903" s="64"/>
      <c r="F903" s="64"/>
      <c r="G903" s="16"/>
      <c r="H903" s="16"/>
      <c r="I903" s="16"/>
    </row>
    <row r="904" spans="3:9" ht="13.5" customHeight="1" x14ac:dyDescent="0.25">
      <c r="C904" s="35"/>
      <c r="D904" s="35"/>
      <c r="E904" s="65"/>
      <c r="F904" s="69"/>
      <c r="G904" s="35"/>
      <c r="H904" s="35"/>
      <c r="I904" s="35"/>
    </row>
    <row r="905" spans="3:9" ht="13.5" customHeight="1" x14ac:dyDescent="0.25">
      <c r="C905" s="16"/>
      <c r="D905" s="16"/>
      <c r="E905" s="64"/>
      <c r="F905" s="64"/>
      <c r="G905" s="16"/>
      <c r="H905" s="16"/>
      <c r="I905" s="16"/>
    </row>
    <row r="906" spans="3:9" ht="13.5" customHeight="1" x14ac:dyDescent="0.25">
      <c r="C906" s="35"/>
      <c r="D906" s="35"/>
      <c r="E906" s="65"/>
      <c r="F906" s="69"/>
      <c r="G906" s="35"/>
      <c r="H906" s="35"/>
      <c r="I906" s="35"/>
    </row>
    <row r="907" spans="3:9" ht="13.5" customHeight="1" x14ac:dyDescent="0.25">
      <c r="C907" s="16"/>
      <c r="D907" s="16"/>
      <c r="E907" s="64"/>
      <c r="F907" s="64"/>
      <c r="G907" s="16"/>
      <c r="H907" s="16"/>
      <c r="I907" s="16"/>
    </row>
    <row r="908" spans="3:9" ht="13.5" customHeight="1" x14ac:dyDescent="0.25">
      <c r="C908" s="35"/>
      <c r="D908" s="35"/>
      <c r="E908" s="65"/>
      <c r="F908" s="69"/>
      <c r="G908" s="35"/>
      <c r="H908" s="35"/>
      <c r="I908" s="35"/>
    </row>
    <row r="909" spans="3:9" ht="13.5" customHeight="1" x14ac:dyDescent="0.25">
      <c r="C909" s="16"/>
      <c r="D909" s="16"/>
      <c r="E909" s="64"/>
      <c r="F909" s="64"/>
      <c r="G909" s="16"/>
      <c r="H909" s="16"/>
      <c r="I909" s="16"/>
    </row>
    <row r="910" spans="3:9" ht="13.5" customHeight="1" x14ac:dyDescent="0.25">
      <c r="C910" s="35"/>
      <c r="D910" s="35"/>
      <c r="E910" s="65"/>
      <c r="F910" s="69"/>
      <c r="G910" s="35"/>
      <c r="H910" s="35"/>
      <c r="I910" s="35"/>
    </row>
    <row r="911" spans="3:9" ht="13.5" customHeight="1" x14ac:dyDescent="0.25">
      <c r="C911" s="16"/>
      <c r="D911" s="16"/>
      <c r="E911" s="64"/>
      <c r="F911" s="64"/>
      <c r="G911" s="16"/>
      <c r="H911" s="16"/>
      <c r="I911" s="16"/>
    </row>
    <row r="912" spans="3:9" ht="13.5" customHeight="1" x14ac:dyDescent="0.25">
      <c r="C912" s="35"/>
      <c r="D912" s="35"/>
      <c r="E912" s="65"/>
      <c r="F912" s="69"/>
      <c r="G912" s="35"/>
      <c r="H912" s="35"/>
      <c r="I912" s="35"/>
    </row>
    <row r="913" spans="3:9" ht="13.5" customHeight="1" x14ac:dyDescent="0.25">
      <c r="C913" s="16"/>
      <c r="D913" s="16"/>
      <c r="E913" s="64"/>
      <c r="F913" s="64"/>
      <c r="G913" s="16"/>
      <c r="H913" s="16"/>
      <c r="I913" s="16"/>
    </row>
    <row r="914" spans="3:9" ht="13.5" customHeight="1" x14ac:dyDescent="0.25">
      <c r="C914" s="35"/>
      <c r="D914" s="35"/>
      <c r="E914" s="65"/>
      <c r="F914" s="69"/>
      <c r="G914" s="35"/>
      <c r="H914" s="35"/>
      <c r="I914" s="35"/>
    </row>
    <row r="915" spans="3:9" ht="13.5" customHeight="1" x14ac:dyDescent="0.25">
      <c r="C915" s="16"/>
      <c r="D915" s="16"/>
      <c r="E915" s="64"/>
      <c r="F915" s="64"/>
      <c r="G915" s="16"/>
      <c r="H915" s="16"/>
      <c r="I915" s="16"/>
    </row>
    <row r="916" spans="3:9" ht="13.5" customHeight="1" x14ac:dyDescent="0.25">
      <c r="C916" s="35"/>
      <c r="D916" s="35"/>
      <c r="E916" s="65"/>
      <c r="F916" s="69"/>
      <c r="G916" s="35"/>
      <c r="H916" s="35"/>
      <c r="I916" s="35"/>
    </row>
    <row r="917" spans="3:9" ht="13.5" customHeight="1" x14ac:dyDescent="0.25">
      <c r="C917" s="16"/>
      <c r="D917" s="16"/>
      <c r="E917" s="64"/>
      <c r="F917" s="64"/>
      <c r="G917" s="16"/>
      <c r="H917" s="16"/>
      <c r="I917" s="16"/>
    </row>
    <row r="918" spans="3:9" ht="13.5" customHeight="1" x14ac:dyDescent="0.25">
      <c r="C918" s="35"/>
      <c r="D918" s="35"/>
      <c r="E918" s="65"/>
      <c r="F918" s="69"/>
      <c r="G918" s="35"/>
      <c r="H918" s="35"/>
      <c r="I918" s="35"/>
    </row>
    <row r="919" spans="3:9" ht="13.5" customHeight="1" x14ac:dyDescent="0.25">
      <c r="C919" s="16"/>
      <c r="D919" s="16"/>
      <c r="E919" s="64"/>
      <c r="F919" s="64"/>
      <c r="G919" s="16"/>
      <c r="H919" s="16"/>
      <c r="I919" s="16"/>
    </row>
    <row r="920" spans="3:9" ht="13.5" customHeight="1" x14ac:dyDescent="0.25">
      <c r="C920" s="35"/>
      <c r="D920" s="35"/>
      <c r="E920" s="65"/>
      <c r="F920" s="69"/>
      <c r="G920" s="35"/>
      <c r="H920" s="35"/>
      <c r="I920" s="35"/>
    </row>
    <row r="921" spans="3:9" ht="13.5" customHeight="1" x14ac:dyDescent="0.25">
      <c r="C921" s="16"/>
      <c r="D921" s="16"/>
      <c r="E921" s="64"/>
      <c r="F921" s="64"/>
      <c r="G921" s="16"/>
      <c r="H921" s="16"/>
      <c r="I921" s="16"/>
    </row>
    <row r="922" spans="3:9" ht="13.5" customHeight="1" x14ac:dyDescent="0.25">
      <c r="C922" s="35"/>
      <c r="D922" s="35"/>
      <c r="E922" s="65"/>
      <c r="F922" s="69"/>
      <c r="G922" s="35"/>
      <c r="H922" s="35"/>
      <c r="I922" s="35"/>
    </row>
    <row r="923" spans="3:9" ht="13.5" customHeight="1" x14ac:dyDescent="0.25">
      <c r="C923" s="16"/>
      <c r="D923" s="16"/>
      <c r="E923" s="64"/>
      <c r="F923" s="64"/>
      <c r="G923" s="16"/>
      <c r="H923" s="16"/>
      <c r="I923" s="16"/>
    </row>
    <row r="924" spans="3:9" ht="13.5" customHeight="1" x14ac:dyDescent="0.25">
      <c r="C924" s="35"/>
      <c r="D924" s="35"/>
      <c r="E924" s="65"/>
      <c r="F924" s="69"/>
      <c r="G924" s="35"/>
      <c r="H924" s="35"/>
      <c r="I924" s="35"/>
    </row>
    <row r="925" spans="3:9" ht="13.5" customHeight="1" x14ac:dyDescent="0.25">
      <c r="C925" s="16"/>
      <c r="D925" s="16"/>
      <c r="E925" s="64"/>
      <c r="F925" s="64"/>
      <c r="G925" s="16"/>
      <c r="H925" s="16"/>
      <c r="I925" s="16"/>
    </row>
    <row r="926" spans="3:9" ht="13.5" customHeight="1" x14ac:dyDescent="0.25">
      <c r="C926" s="35"/>
      <c r="D926" s="35"/>
      <c r="E926" s="65"/>
      <c r="F926" s="69"/>
      <c r="G926" s="35"/>
      <c r="H926" s="35"/>
      <c r="I926" s="35"/>
    </row>
    <row r="927" spans="3:9" ht="13.5" customHeight="1" x14ac:dyDescent="0.25">
      <c r="C927" s="16"/>
      <c r="D927" s="16"/>
      <c r="E927" s="64"/>
      <c r="F927" s="64"/>
      <c r="G927" s="16"/>
      <c r="H927" s="16"/>
      <c r="I927" s="16"/>
    </row>
    <row r="928" spans="3:9" ht="13.5" customHeight="1" x14ac:dyDescent="0.25">
      <c r="C928" s="35"/>
      <c r="D928" s="35"/>
      <c r="E928" s="65"/>
      <c r="F928" s="69"/>
      <c r="G928" s="35"/>
      <c r="H928" s="35"/>
      <c r="I928" s="35"/>
    </row>
    <row r="929" spans="3:9" ht="13.5" customHeight="1" x14ac:dyDescent="0.25">
      <c r="C929" s="16"/>
      <c r="D929" s="16"/>
      <c r="E929" s="64"/>
      <c r="F929" s="64"/>
      <c r="G929" s="16"/>
      <c r="H929" s="16"/>
      <c r="I929" s="16"/>
    </row>
    <row r="930" spans="3:9" ht="13.5" customHeight="1" x14ac:dyDescent="0.25">
      <c r="C930" s="35"/>
      <c r="D930" s="35"/>
      <c r="E930" s="65"/>
      <c r="F930" s="69"/>
      <c r="G930" s="35"/>
      <c r="H930" s="35"/>
      <c r="I930" s="35"/>
    </row>
    <row r="931" spans="3:9" ht="13.5" customHeight="1" x14ac:dyDescent="0.25">
      <c r="C931" s="16"/>
      <c r="D931" s="16"/>
      <c r="E931" s="64"/>
      <c r="F931" s="64"/>
      <c r="G931" s="16"/>
      <c r="H931" s="16"/>
      <c r="I931" s="16"/>
    </row>
    <row r="932" spans="3:9" ht="13.5" customHeight="1" x14ac:dyDescent="0.25">
      <c r="C932" s="35"/>
      <c r="D932" s="35"/>
      <c r="E932" s="65"/>
      <c r="F932" s="69"/>
      <c r="G932" s="35"/>
      <c r="H932" s="35"/>
      <c r="I932" s="35"/>
    </row>
    <row r="933" spans="3:9" ht="13.5" customHeight="1" x14ac:dyDescent="0.25">
      <c r="C933" s="16"/>
      <c r="D933" s="16"/>
      <c r="E933" s="64"/>
      <c r="F933" s="64"/>
      <c r="G933" s="16"/>
      <c r="H933" s="16"/>
      <c r="I933" s="16"/>
    </row>
    <row r="934" spans="3:9" ht="13.5" customHeight="1" x14ac:dyDescent="0.25">
      <c r="C934" s="35"/>
      <c r="D934" s="35"/>
      <c r="E934" s="65"/>
      <c r="F934" s="69"/>
      <c r="G934" s="35"/>
      <c r="H934" s="35"/>
      <c r="I934" s="35"/>
    </row>
    <row r="935" spans="3:9" ht="13.5" customHeight="1" x14ac:dyDescent="0.25">
      <c r="C935" s="16"/>
      <c r="D935" s="16"/>
      <c r="E935" s="64"/>
      <c r="F935" s="64"/>
      <c r="G935" s="16"/>
      <c r="H935" s="16"/>
      <c r="I935" s="16"/>
    </row>
    <row r="936" spans="3:9" ht="13.5" customHeight="1" x14ac:dyDescent="0.25">
      <c r="C936" s="35"/>
      <c r="D936" s="35"/>
      <c r="E936" s="65"/>
      <c r="F936" s="69"/>
      <c r="G936" s="35"/>
      <c r="H936" s="35"/>
      <c r="I936" s="35"/>
    </row>
    <row r="937" spans="3:9" ht="13.5" customHeight="1" x14ac:dyDescent="0.25">
      <c r="C937" s="16"/>
      <c r="D937" s="16"/>
      <c r="E937" s="64"/>
      <c r="F937" s="64"/>
      <c r="G937" s="16"/>
      <c r="H937" s="16"/>
      <c r="I937" s="16"/>
    </row>
    <row r="938" spans="3:9" ht="13.5" customHeight="1" x14ac:dyDescent="0.25">
      <c r="C938" s="35"/>
      <c r="D938" s="35"/>
      <c r="E938" s="65"/>
      <c r="F938" s="69"/>
      <c r="G938" s="35"/>
      <c r="H938" s="35"/>
      <c r="I938" s="35"/>
    </row>
    <row r="939" spans="3:9" ht="13.5" customHeight="1" x14ac:dyDescent="0.25">
      <c r="C939" s="16"/>
      <c r="D939" s="16"/>
      <c r="E939" s="64"/>
      <c r="F939" s="64"/>
      <c r="G939" s="16"/>
      <c r="H939" s="16"/>
      <c r="I939" s="16"/>
    </row>
    <row r="940" spans="3:9" ht="13.5" customHeight="1" x14ac:dyDescent="0.25">
      <c r="C940" s="35"/>
      <c r="D940" s="35"/>
      <c r="E940" s="65"/>
      <c r="F940" s="69"/>
      <c r="G940" s="35"/>
      <c r="H940" s="35"/>
      <c r="I940" s="35"/>
    </row>
    <row r="941" spans="3:9" ht="13.5" customHeight="1" x14ac:dyDescent="0.25">
      <c r="C941" s="16"/>
      <c r="D941" s="16"/>
      <c r="E941" s="64"/>
      <c r="F941" s="64"/>
      <c r="G941" s="16"/>
      <c r="H941" s="16"/>
      <c r="I941" s="16"/>
    </row>
    <row r="942" spans="3:9" ht="13.5" customHeight="1" x14ac:dyDescent="0.25">
      <c r="C942" s="35"/>
      <c r="D942" s="35"/>
      <c r="E942" s="65"/>
      <c r="F942" s="69"/>
      <c r="G942" s="35"/>
      <c r="H942" s="35"/>
      <c r="I942" s="35"/>
    </row>
    <row r="943" spans="3:9" ht="13.5" customHeight="1" x14ac:dyDescent="0.25">
      <c r="C943" s="16"/>
      <c r="D943" s="16"/>
      <c r="E943" s="64"/>
      <c r="F943" s="64"/>
      <c r="G943" s="16"/>
      <c r="H943" s="16"/>
      <c r="I943" s="16"/>
    </row>
    <row r="944" spans="3:9" ht="13.5" customHeight="1" x14ac:dyDescent="0.25">
      <c r="C944" s="35"/>
      <c r="D944" s="35"/>
      <c r="E944" s="65"/>
      <c r="F944" s="69"/>
      <c r="G944" s="35"/>
      <c r="H944" s="35"/>
      <c r="I944" s="35"/>
    </row>
    <row r="945" spans="3:9" ht="13.5" customHeight="1" x14ac:dyDescent="0.25">
      <c r="C945" s="16"/>
      <c r="D945" s="16"/>
      <c r="E945" s="64"/>
      <c r="F945" s="64"/>
      <c r="G945" s="16"/>
      <c r="H945" s="16"/>
      <c r="I945" s="16"/>
    </row>
    <row r="946" spans="3:9" ht="13.5" customHeight="1" x14ac:dyDescent="0.25">
      <c r="C946" s="35"/>
      <c r="D946" s="35"/>
      <c r="E946" s="65"/>
      <c r="F946" s="69"/>
      <c r="G946" s="35"/>
      <c r="H946" s="35"/>
      <c r="I946" s="35"/>
    </row>
    <row r="947" spans="3:9" ht="13.5" customHeight="1" x14ac:dyDescent="0.25">
      <c r="C947" s="16"/>
      <c r="D947" s="16"/>
      <c r="E947" s="64"/>
      <c r="F947" s="64"/>
      <c r="G947" s="16"/>
      <c r="H947" s="16"/>
      <c r="I947" s="16"/>
    </row>
    <row r="948" spans="3:9" ht="13.5" customHeight="1" x14ac:dyDescent="0.25">
      <c r="C948" s="35"/>
      <c r="D948" s="35"/>
      <c r="E948" s="65"/>
      <c r="F948" s="69"/>
      <c r="G948" s="35"/>
      <c r="H948" s="35"/>
      <c r="I948" s="35"/>
    </row>
    <row r="949" spans="3:9" ht="13.5" customHeight="1" x14ac:dyDescent="0.25">
      <c r="C949" s="16"/>
      <c r="D949" s="16"/>
      <c r="E949" s="64"/>
      <c r="F949" s="64"/>
      <c r="G949" s="16"/>
      <c r="H949" s="16"/>
      <c r="I949" s="16"/>
    </row>
    <row r="950" spans="3:9" ht="13.5" customHeight="1" x14ac:dyDescent="0.25">
      <c r="C950" s="35"/>
      <c r="D950" s="35"/>
      <c r="E950" s="65"/>
      <c r="F950" s="69"/>
      <c r="G950" s="35"/>
      <c r="H950" s="35"/>
      <c r="I950" s="35"/>
    </row>
    <row r="951" spans="3:9" ht="13.5" customHeight="1" x14ac:dyDescent="0.25">
      <c r="C951" s="16"/>
      <c r="D951" s="16"/>
      <c r="E951" s="64"/>
      <c r="F951" s="64"/>
      <c r="G951" s="16"/>
      <c r="H951" s="16"/>
      <c r="I951" s="16"/>
    </row>
    <row r="952" spans="3:9" ht="13.5" customHeight="1" x14ac:dyDescent="0.25">
      <c r="C952" s="35"/>
      <c r="D952" s="35"/>
      <c r="E952" s="65"/>
      <c r="F952" s="69"/>
      <c r="G952" s="35"/>
      <c r="H952" s="35"/>
      <c r="I952" s="35"/>
    </row>
    <row r="953" spans="3:9" ht="13.5" customHeight="1" x14ac:dyDescent="0.25">
      <c r="C953" s="16"/>
      <c r="D953" s="16"/>
      <c r="E953" s="64"/>
      <c r="F953" s="64"/>
      <c r="G953" s="16"/>
      <c r="H953" s="16"/>
      <c r="I953" s="16"/>
    </row>
    <row r="954" spans="3:9" ht="13.5" customHeight="1" x14ac:dyDescent="0.25">
      <c r="C954" s="35"/>
      <c r="D954" s="35"/>
      <c r="E954" s="65"/>
      <c r="F954" s="69"/>
      <c r="G954" s="35"/>
      <c r="H954" s="35"/>
      <c r="I954" s="35"/>
    </row>
    <row r="955" spans="3:9" ht="13.5" customHeight="1" x14ac:dyDescent="0.25">
      <c r="C955" s="16"/>
      <c r="D955" s="16"/>
      <c r="E955" s="64"/>
      <c r="F955" s="64"/>
      <c r="G955" s="16"/>
      <c r="H955" s="16"/>
      <c r="I955" s="16"/>
    </row>
    <row r="956" spans="3:9" ht="13.5" customHeight="1" x14ac:dyDescent="0.25">
      <c r="C956" s="35"/>
      <c r="D956" s="35"/>
      <c r="E956" s="65"/>
      <c r="F956" s="69"/>
      <c r="G956" s="35"/>
      <c r="H956" s="35"/>
      <c r="I956" s="35"/>
    </row>
    <row r="957" spans="3:9" ht="13.5" customHeight="1" x14ac:dyDescent="0.25">
      <c r="C957" s="16"/>
      <c r="D957" s="16"/>
      <c r="E957" s="64"/>
      <c r="F957" s="64"/>
      <c r="G957" s="16"/>
      <c r="H957" s="16"/>
      <c r="I957" s="16"/>
    </row>
    <row r="958" spans="3:9" ht="13.5" customHeight="1" x14ac:dyDescent="0.25">
      <c r="C958" s="35"/>
      <c r="D958" s="35"/>
      <c r="E958" s="65"/>
      <c r="F958" s="69"/>
      <c r="G958" s="35"/>
      <c r="H958" s="35"/>
      <c r="I958" s="35"/>
    </row>
    <row r="959" spans="3:9" ht="13.5" customHeight="1" x14ac:dyDescent="0.25">
      <c r="C959" s="16"/>
      <c r="D959" s="16"/>
      <c r="E959" s="64"/>
      <c r="F959" s="64"/>
      <c r="G959" s="16"/>
      <c r="H959" s="16"/>
      <c r="I959" s="16"/>
    </row>
    <row r="960" spans="3:9" ht="13.5" customHeight="1" x14ac:dyDescent="0.25">
      <c r="C960" s="35"/>
      <c r="D960" s="35"/>
      <c r="E960" s="65"/>
      <c r="F960" s="69"/>
      <c r="G960" s="35"/>
      <c r="H960" s="35"/>
      <c r="I960" s="35"/>
    </row>
    <row r="961" spans="3:9" ht="13.5" customHeight="1" x14ac:dyDescent="0.25">
      <c r="C961" s="16"/>
      <c r="D961" s="16"/>
      <c r="E961" s="64"/>
      <c r="F961" s="64"/>
      <c r="G961" s="16"/>
      <c r="H961" s="16"/>
      <c r="I961" s="16"/>
    </row>
    <row r="962" spans="3:9" ht="13.5" customHeight="1" x14ac:dyDescent="0.25">
      <c r="C962" s="35"/>
      <c r="D962" s="35"/>
      <c r="E962" s="65"/>
      <c r="F962" s="69"/>
      <c r="G962" s="35"/>
      <c r="H962" s="35"/>
      <c r="I962" s="35"/>
    </row>
    <row r="963" spans="3:9" ht="13.5" customHeight="1" x14ac:dyDescent="0.25">
      <c r="C963" s="16"/>
      <c r="D963" s="16"/>
      <c r="E963" s="64"/>
      <c r="F963" s="64"/>
      <c r="G963" s="16"/>
      <c r="H963" s="16"/>
      <c r="I963" s="16"/>
    </row>
    <row r="964" spans="3:9" ht="13.5" customHeight="1" x14ac:dyDescent="0.25">
      <c r="C964" s="35"/>
      <c r="D964" s="35"/>
      <c r="E964" s="65"/>
      <c r="F964" s="69"/>
      <c r="G964" s="35"/>
      <c r="H964" s="35"/>
      <c r="I964" s="35"/>
    </row>
    <row r="965" spans="3:9" ht="13.5" customHeight="1" x14ac:dyDescent="0.25">
      <c r="C965" s="16"/>
      <c r="D965" s="16"/>
      <c r="E965" s="64"/>
      <c r="F965" s="64"/>
      <c r="G965" s="16"/>
      <c r="H965" s="16"/>
      <c r="I965" s="16"/>
    </row>
    <row r="966" spans="3:9" ht="13.5" customHeight="1" x14ac:dyDescent="0.25">
      <c r="C966" s="35"/>
      <c r="D966" s="35"/>
      <c r="E966" s="65"/>
      <c r="F966" s="69"/>
      <c r="G966" s="35"/>
      <c r="H966" s="35"/>
      <c r="I966" s="35"/>
    </row>
    <row r="967" spans="3:9" ht="13.5" customHeight="1" x14ac:dyDescent="0.25">
      <c r="C967" s="16"/>
      <c r="D967" s="16"/>
      <c r="E967" s="64"/>
      <c r="F967" s="64"/>
      <c r="G967" s="16"/>
      <c r="H967" s="16"/>
      <c r="I967" s="16"/>
    </row>
    <row r="968" spans="3:9" ht="13.5" customHeight="1" x14ac:dyDescent="0.25">
      <c r="C968" s="35"/>
      <c r="D968" s="35"/>
      <c r="E968" s="65"/>
      <c r="F968" s="69"/>
      <c r="G968" s="35"/>
      <c r="H968" s="35"/>
      <c r="I968" s="35"/>
    </row>
    <row r="969" spans="3:9" ht="13.5" customHeight="1" x14ac:dyDescent="0.25">
      <c r="C969" s="16"/>
      <c r="D969" s="16"/>
      <c r="E969" s="64"/>
      <c r="F969" s="64"/>
      <c r="G969" s="16"/>
      <c r="H969" s="16"/>
      <c r="I969" s="16"/>
    </row>
    <row r="970" spans="3:9" ht="13.5" customHeight="1" x14ac:dyDescent="0.25">
      <c r="C970" s="35"/>
      <c r="D970" s="35"/>
      <c r="E970" s="65"/>
      <c r="F970" s="69"/>
      <c r="G970" s="35"/>
      <c r="H970" s="35"/>
      <c r="I970" s="35"/>
    </row>
    <row r="971" spans="3:9" ht="13.5" customHeight="1" x14ac:dyDescent="0.25">
      <c r="C971" s="16"/>
      <c r="D971" s="16"/>
      <c r="E971" s="64"/>
      <c r="F971" s="64"/>
      <c r="G971" s="16"/>
      <c r="H971" s="16"/>
      <c r="I971" s="16"/>
    </row>
    <row r="972" spans="3:9" ht="13.5" customHeight="1" x14ac:dyDescent="0.25">
      <c r="C972" s="35"/>
      <c r="D972" s="35"/>
      <c r="E972" s="65"/>
      <c r="F972" s="69"/>
      <c r="G972" s="35"/>
      <c r="H972" s="35"/>
      <c r="I972" s="35"/>
    </row>
    <row r="973" spans="3:9" ht="13.5" customHeight="1" x14ac:dyDescent="0.25">
      <c r="C973" s="16"/>
      <c r="D973" s="16"/>
      <c r="E973" s="64"/>
      <c r="F973" s="64"/>
      <c r="G973" s="16"/>
      <c r="H973" s="16"/>
      <c r="I973" s="16"/>
    </row>
    <row r="974" spans="3:9" ht="13.5" customHeight="1" x14ac:dyDescent="0.25">
      <c r="C974" s="35"/>
      <c r="D974" s="35"/>
      <c r="E974" s="65"/>
      <c r="F974" s="69"/>
      <c r="G974" s="35"/>
      <c r="H974" s="35"/>
      <c r="I974" s="35"/>
    </row>
    <row r="975" spans="3:9" ht="13.5" customHeight="1" x14ac:dyDescent="0.25">
      <c r="C975" s="16"/>
      <c r="D975" s="16"/>
      <c r="E975" s="64"/>
      <c r="F975" s="64"/>
      <c r="G975" s="16"/>
      <c r="H975" s="16"/>
      <c r="I975" s="16"/>
    </row>
    <row r="976" spans="3:9" ht="13.5" customHeight="1" x14ac:dyDescent="0.25">
      <c r="C976" s="35"/>
      <c r="D976" s="35"/>
      <c r="E976" s="65"/>
      <c r="F976" s="69"/>
      <c r="G976" s="35"/>
      <c r="H976" s="35"/>
      <c r="I976" s="35"/>
    </row>
    <row r="977" spans="3:9" ht="13.5" customHeight="1" x14ac:dyDescent="0.25">
      <c r="C977" s="16"/>
      <c r="D977" s="16"/>
      <c r="E977" s="64"/>
      <c r="F977" s="64"/>
      <c r="G977" s="16"/>
      <c r="H977" s="16"/>
      <c r="I977" s="16"/>
    </row>
    <row r="978" spans="3:9" ht="13.5" customHeight="1" x14ac:dyDescent="0.25">
      <c r="C978" s="35"/>
      <c r="D978" s="35"/>
      <c r="E978" s="65"/>
      <c r="F978" s="69"/>
      <c r="G978" s="35"/>
      <c r="H978" s="35"/>
      <c r="I978" s="35"/>
    </row>
    <row r="979" spans="3:9" ht="13.5" customHeight="1" x14ac:dyDescent="0.25">
      <c r="C979" s="16"/>
      <c r="D979" s="16"/>
      <c r="E979" s="64"/>
      <c r="F979" s="64"/>
      <c r="G979" s="16"/>
      <c r="H979" s="16"/>
      <c r="I979" s="16"/>
    </row>
    <row r="980" spans="3:9" ht="13.5" customHeight="1" x14ac:dyDescent="0.25">
      <c r="C980" s="35"/>
      <c r="D980" s="35"/>
      <c r="E980" s="65"/>
      <c r="F980" s="69"/>
      <c r="G980" s="35"/>
      <c r="H980" s="35"/>
      <c r="I980" s="35"/>
    </row>
    <row r="981" spans="3:9" ht="13.5" customHeight="1" x14ac:dyDescent="0.25">
      <c r="C981" s="16"/>
      <c r="D981" s="16"/>
      <c r="E981" s="64"/>
      <c r="F981" s="64"/>
      <c r="G981" s="16"/>
      <c r="H981" s="16"/>
      <c r="I981" s="16"/>
    </row>
    <row r="982" spans="3:9" ht="13.5" customHeight="1" x14ac:dyDescent="0.25">
      <c r="C982" s="35"/>
      <c r="D982" s="35"/>
      <c r="E982" s="65"/>
      <c r="F982" s="69"/>
      <c r="G982" s="35"/>
      <c r="H982" s="35"/>
      <c r="I982" s="35"/>
    </row>
    <row r="983" spans="3:9" ht="13.5" customHeight="1" x14ac:dyDescent="0.25">
      <c r="C983" s="16"/>
      <c r="D983" s="16"/>
      <c r="E983" s="64"/>
      <c r="F983" s="64"/>
      <c r="G983" s="16"/>
      <c r="H983" s="16"/>
      <c r="I983" s="16"/>
    </row>
    <row r="984" spans="3:9" ht="13.5" customHeight="1" x14ac:dyDescent="0.25">
      <c r="C984" s="35"/>
      <c r="D984" s="35"/>
      <c r="E984" s="65"/>
      <c r="F984" s="69"/>
      <c r="G984" s="35"/>
      <c r="H984" s="35"/>
      <c r="I984" s="35"/>
    </row>
    <row r="985" spans="3:9" ht="13.5" customHeight="1" x14ac:dyDescent="0.25">
      <c r="C985" s="16"/>
      <c r="D985" s="16"/>
      <c r="E985" s="64"/>
      <c r="F985" s="64"/>
      <c r="G985" s="16"/>
      <c r="H985" s="16"/>
      <c r="I985" s="16"/>
    </row>
    <row r="986" spans="3:9" ht="13.5" customHeight="1" x14ac:dyDescent="0.25">
      <c r="C986" s="35"/>
      <c r="D986" s="35"/>
      <c r="E986" s="65"/>
      <c r="F986" s="69"/>
      <c r="G986" s="35"/>
      <c r="H986" s="35"/>
      <c r="I986" s="35"/>
    </row>
    <row r="987" spans="3:9" ht="13.5" customHeight="1" x14ac:dyDescent="0.25">
      <c r="C987" s="16"/>
      <c r="D987" s="16"/>
      <c r="E987" s="64"/>
      <c r="F987" s="64"/>
      <c r="G987" s="16"/>
      <c r="H987" s="16"/>
      <c r="I987" s="16"/>
    </row>
    <row r="988" spans="3:9" ht="13.5" customHeight="1" x14ac:dyDescent="0.25">
      <c r="C988" s="35"/>
      <c r="D988" s="35"/>
      <c r="E988" s="65"/>
      <c r="F988" s="69"/>
      <c r="G988" s="35"/>
      <c r="H988" s="35"/>
      <c r="I988" s="35"/>
    </row>
    <row r="989" spans="3:9" ht="13.5" customHeight="1" x14ac:dyDescent="0.25">
      <c r="C989" s="16"/>
      <c r="D989" s="16"/>
      <c r="E989" s="64"/>
      <c r="F989" s="64"/>
      <c r="G989" s="16"/>
      <c r="H989" s="16"/>
      <c r="I989" s="16"/>
    </row>
    <row r="990" spans="3:9" ht="13.5" customHeight="1" x14ac:dyDescent="0.25">
      <c r="C990" s="35"/>
      <c r="D990" s="35"/>
      <c r="E990" s="65"/>
      <c r="F990" s="69"/>
      <c r="G990" s="35"/>
      <c r="H990" s="35"/>
      <c r="I990" s="35"/>
    </row>
    <row r="991" spans="3:9" ht="13.5" customHeight="1" x14ac:dyDescent="0.25">
      <c r="C991" s="16"/>
      <c r="D991" s="16"/>
      <c r="E991" s="64"/>
      <c r="F991" s="64"/>
      <c r="G991" s="16"/>
      <c r="H991" s="16"/>
      <c r="I991" s="16"/>
    </row>
    <row r="992" spans="3:9" ht="13.5" customHeight="1" x14ac:dyDescent="0.25">
      <c r="C992" s="35"/>
      <c r="D992" s="35"/>
      <c r="E992" s="65"/>
      <c r="F992" s="69"/>
      <c r="G992" s="35"/>
      <c r="H992" s="35"/>
      <c r="I992" s="35"/>
    </row>
    <row r="993" spans="3:9" ht="13.5" customHeight="1" x14ac:dyDescent="0.25">
      <c r="C993" s="16"/>
      <c r="D993" s="16"/>
      <c r="E993" s="64"/>
      <c r="F993" s="64"/>
      <c r="G993" s="16"/>
      <c r="H993" s="16"/>
      <c r="I993" s="16"/>
    </row>
    <row r="994" spans="3:9" ht="13.5" customHeight="1" x14ac:dyDescent="0.25">
      <c r="C994" s="35"/>
      <c r="D994" s="35"/>
      <c r="E994" s="65"/>
      <c r="F994" s="69"/>
      <c r="G994" s="35"/>
      <c r="H994" s="35"/>
      <c r="I994" s="35"/>
    </row>
    <row r="995" spans="3:9" ht="13.5" customHeight="1" x14ac:dyDescent="0.25">
      <c r="C995" s="16"/>
      <c r="D995" s="16"/>
      <c r="E995" s="64"/>
      <c r="F995" s="64"/>
      <c r="G995" s="16"/>
      <c r="H995" s="16"/>
      <c r="I995" s="16"/>
    </row>
    <row r="996" spans="3:9" ht="13.5" customHeight="1" x14ac:dyDescent="0.25">
      <c r="C996" s="35"/>
      <c r="D996" s="35"/>
      <c r="E996" s="65"/>
      <c r="F996" s="69"/>
      <c r="G996" s="35"/>
      <c r="H996" s="35"/>
      <c r="I996" s="35"/>
    </row>
    <row r="997" spans="3:9" ht="13.5" customHeight="1" x14ac:dyDescent="0.25">
      <c r="C997" s="16"/>
      <c r="D997" s="16"/>
      <c r="E997" s="64"/>
      <c r="F997" s="64"/>
      <c r="G997" s="16"/>
      <c r="H997" s="16"/>
      <c r="I997" s="16"/>
    </row>
    <row r="998" spans="3:9" ht="13.5" customHeight="1" x14ac:dyDescent="0.25">
      <c r="C998" s="35"/>
      <c r="D998" s="35"/>
      <c r="E998" s="65"/>
      <c r="F998" s="69"/>
      <c r="G998" s="35"/>
      <c r="H998" s="35"/>
      <c r="I998" s="35"/>
    </row>
    <row r="999" spans="3:9" ht="13.5" customHeight="1" x14ac:dyDescent="0.25">
      <c r="C999" s="16"/>
      <c r="D999" s="16"/>
      <c r="E999" s="64"/>
      <c r="F999" s="64"/>
      <c r="G999" s="16"/>
      <c r="H999" s="16"/>
      <c r="I999" s="16"/>
    </row>
    <row r="1000" spans="3:9" ht="13.5" customHeight="1" x14ac:dyDescent="0.25">
      <c r="C1000" s="35"/>
      <c r="D1000" s="35"/>
      <c r="E1000" s="65"/>
      <c r="F1000" s="69"/>
      <c r="G1000" s="35"/>
      <c r="H1000" s="35"/>
      <c r="I1000" s="35"/>
    </row>
    <row r="1001" spans="3:9" ht="13.5" customHeight="1" x14ac:dyDescent="0.25">
      <c r="C1001" s="16"/>
      <c r="D1001" s="16"/>
      <c r="E1001" s="64"/>
      <c r="F1001" s="64"/>
      <c r="G1001" s="16"/>
      <c r="H1001" s="16"/>
      <c r="I1001" s="16"/>
    </row>
    <row r="1002" spans="3:9" ht="13.5" customHeight="1" x14ac:dyDescent="0.25">
      <c r="C1002" s="35"/>
      <c r="D1002" s="35"/>
      <c r="E1002" s="65"/>
      <c r="F1002" s="69"/>
      <c r="G1002" s="35"/>
      <c r="H1002" s="35"/>
      <c r="I1002" s="35"/>
    </row>
    <row r="1003" spans="3:9" ht="13.5" customHeight="1" x14ac:dyDescent="0.25">
      <c r="C1003" s="16"/>
      <c r="D1003" s="16"/>
      <c r="E1003" s="64"/>
      <c r="F1003" s="64"/>
      <c r="G1003" s="16"/>
      <c r="H1003" s="16"/>
      <c r="I1003" s="16"/>
    </row>
    <row r="1004" spans="3:9" ht="13.5" customHeight="1" x14ac:dyDescent="0.25">
      <c r="C1004" s="35"/>
      <c r="D1004" s="35"/>
      <c r="E1004" s="65"/>
      <c r="F1004" s="69"/>
      <c r="G1004" s="35"/>
      <c r="H1004" s="35"/>
      <c r="I1004" s="35"/>
    </row>
    <row r="1005" spans="3:9" ht="13.5" customHeight="1" x14ac:dyDescent="0.25">
      <c r="C1005" s="16"/>
      <c r="D1005" s="16"/>
      <c r="E1005" s="64"/>
      <c r="F1005" s="64"/>
      <c r="G1005" s="16"/>
      <c r="H1005" s="16"/>
      <c r="I1005" s="16"/>
    </row>
    <row r="1006" spans="3:9" ht="13.5" customHeight="1" x14ac:dyDescent="0.25">
      <c r="C1006" s="35"/>
      <c r="D1006" s="35"/>
      <c r="E1006" s="65"/>
      <c r="F1006" s="69"/>
      <c r="G1006" s="35"/>
      <c r="H1006" s="35"/>
      <c r="I1006" s="35"/>
    </row>
    <row r="1007" spans="3:9" ht="13.5" customHeight="1" x14ac:dyDescent="0.25">
      <c r="C1007" s="16"/>
      <c r="D1007" s="16"/>
      <c r="E1007" s="64"/>
      <c r="F1007" s="64"/>
      <c r="G1007" s="16"/>
      <c r="H1007" s="16"/>
      <c r="I1007" s="16"/>
    </row>
    <row r="1008" spans="3:9" ht="13.5" customHeight="1" x14ac:dyDescent="0.25">
      <c r="C1008" s="35"/>
      <c r="D1008" s="35"/>
      <c r="E1008" s="65"/>
      <c r="F1008" s="69"/>
      <c r="G1008" s="35"/>
      <c r="H1008" s="35"/>
      <c r="I1008" s="35"/>
    </row>
    <row r="1009" spans="3:9" ht="13.5" customHeight="1" x14ac:dyDescent="0.25">
      <c r="C1009" s="16"/>
      <c r="D1009" s="16"/>
      <c r="E1009" s="64"/>
      <c r="F1009" s="64"/>
      <c r="G1009" s="16"/>
      <c r="H1009" s="16"/>
      <c r="I1009" s="16"/>
    </row>
    <row r="1010" spans="3:9" ht="13.5" customHeight="1" x14ac:dyDescent="0.25">
      <c r="C1010" s="35"/>
      <c r="D1010" s="35"/>
      <c r="E1010" s="65"/>
      <c r="F1010" s="69"/>
      <c r="G1010" s="35"/>
      <c r="H1010" s="35"/>
      <c r="I1010" s="35"/>
    </row>
    <row r="1011" spans="3:9" ht="13.5" customHeight="1" x14ac:dyDescent="0.25">
      <c r="C1011" s="16"/>
      <c r="D1011" s="16"/>
      <c r="E1011" s="64"/>
      <c r="F1011" s="64"/>
      <c r="G1011" s="16"/>
      <c r="H1011" s="16"/>
      <c r="I1011" s="16"/>
    </row>
    <row r="1012" spans="3:9" ht="13.5" customHeight="1" x14ac:dyDescent="0.25">
      <c r="C1012" s="35"/>
      <c r="D1012" s="35"/>
      <c r="E1012" s="65"/>
      <c r="F1012" s="69"/>
      <c r="G1012" s="35"/>
      <c r="H1012" s="35"/>
      <c r="I1012" s="35"/>
    </row>
    <row r="1013" spans="3:9" ht="13.5" customHeight="1" x14ac:dyDescent="0.25">
      <c r="C1013" s="16"/>
      <c r="D1013" s="16"/>
      <c r="E1013" s="64"/>
      <c r="F1013" s="64"/>
      <c r="G1013" s="16"/>
      <c r="H1013" s="16"/>
      <c r="I1013" s="16"/>
    </row>
    <row r="1014" spans="3:9" ht="13.5" customHeight="1" x14ac:dyDescent="0.25">
      <c r="C1014" s="35"/>
      <c r="D1014" s="35"/>
      <c r="E1014" s="65"/>
      <c r="F1014" s="69"/>
      <c r="G1014" s="35"/>
      <c r="H1014" s="35"/>
      <c r="I1014" s="35"/>
    </row>
    <row r="1015" spans="3:9" ht="13.5" customHeight="1" x14ac:dyDescent="0.25">
      <c r="C1015" s="16"/>
      <c r="D1015" s="16"/>
      <c r="E1015" s="64"/>
      <c r="F1015" s="64"/>
      <c r="G1015" s="16"/>
      <c r="H1015" s="16"/>
      <c r="I1015" s="16"/>
    </row>
    <row r="1016" spans="3:9" ht="13.5" customHeight="1" x14ac:dyDescent="0.25">
      <c r="C1016" s="35"/>
      <c r="D1016" s="35"/>
      <c r="E1016" s="65"/>
      <c r="F1016" s="69"/>
      <c r="G1016" s="35"/>
      <c r="H1016" s="35"/>
      <c r="I1016" s="35"/>
    </row>
    <row r="1017" spans="3:9" ht="13.5" customHeight="1" x14ac:dyDescent="0.25">
      <c r="C1017" s="16"/>
      <c r="D1017" s="16"/>
      <c r="E1017" s="64"/>
      <c r="F1017" s="64"/>
      <c r="G1017" s="16"/>
      <c r="H1017" s="16"/>
      <c r="I1017" s="16"/>
    </row>
    <row r="1018" spans="3:9" ht="13.5" customHeight="1" x14ac:dyDescent="0.25">
      <c r="C1018" s="35"/>
      <c r="D1018" s="35"/>
      <c r="E1018" s="65"/>
      <c r="F1018" s="69"/>
      <c r="G1018" s="35"/>
      <c r="H1018" s="35"/>
      <c r="I1018" s="35"/>
    </row>
    <row r="1019" spans="3:9" ht="13.5" customHeight="1" x14ac:dyDescent="0.25">
      <c r="C1019" s="16"/>
      <c r="D1019" s="16"/>
      <c r="E1019" s="64"/>
      <c r="F1019" s="64"/>
      <c r="G1019" s="16"/>
      <c r="H1019" s="16"/>
      <c r="I1019" s="16"/>
    </row>
    <row r="1020" spans="3:9" ht="13.5" customHeight="1" x14ac:dyDescent="0.25">
      <c r="C1020" s="35"/>
      <c r="D1020" s="35"/>
      <c r="E1020" s="65"/>
      <c r="F1020" s="69"/>
      <c r="G1020" s="35"/>
      <c r="H1020" s="35"/>
      <c r="I1020" s="35"/>
    </row>
    <row r="1021" spans="3:9" ht="13.5" customHeight="1" x14ac:dyDescent="0.25">
      <c r="C1021" s="16"/>
      <c r="D1021" s="16"/>
      <c r="E1021" s="64"/>
      <c r="F1021" s="64"/>
      <c r="G1021" s="16"/>
      <c r="H1021" s="16"/>
      <c r="I1021" s="16"/>
    </row>
    <row r="1022" spans="3:9" ht="13.5" customHeight="1" x14ac:dyDescent="0.25">
      <c r="C1022" s="35"/>
      <c r="D1022" s="35"/>
      <c r="E1022" s="65"/>
      <c r="F1022" s="69"/>
      <c r="G1022" s="35"/>
      <c r="H1022" s="35"/>
      <c r="I1022" s="35"/>
    </row>
    <row r="1023" spans="3:9" ht="13.5" customHeight="1" x14ac:dyDescent="0.25">
      <c r="C1023" s="16"/>
      <c r="D1023" s="16"/>
      <c r="E1023" s="64"/>
      <c r="F1023" s="64"/>
      <c r="G1023" s="16"/>
      <c r="H1023" s="16"/>
      <c r="I1023" s="16"/>
    </row>
    <row r="1024" spans="3:9" ht="13.5" customHeight="1" x14ac:dyDescent="0.25">
      <c r="C1024" s="35"/>
      <c r="D1024" s="35"/>
      <c r="E1024" s="65"/>
      <c r="F1024" s="69"/>
      <c r="G1024" s="35"/>
      <c r="H1024" s="35"/>
      <c r="I1024" s="35"/>
    </row>
    <row r="1025" spans="3:9" ht="13.5" customHeight="1" x14ac:dyDescent="0.25">
      <c r="C1025" s="16"/>
      <c r="D1025" s="16"/>
      <c r="E1025" s="64"/>
      <c r="F1025" s="64"/>
      <c r="G1025" s="16"/>
      <c r="H1025" s="16"/>
      <c r="I1025" s="16"/>
    </row>
    <row r="1026" spans="3:9" ht="13.5" customHeight="1" x14ac:dyDescent="0.25">
      <c r="C1026" s="35"/>
      <c r="D1026" s="35"/>
      <c r="E1026" s="65"/>
      <c r="F1026" s="69"/>
      <c r="G1026" s="35"/>
      <c r="H1026" s="35"/>
      <c r="I1026" s="35"/>
    </row>
    <row r="1027" spans="3:9" ht="13.5" customHeight="1" x14ac:dyDescent="0.25">
      <c r="C1027" s="16"/>
      <c r="D1027" s="16"/>
      <c r="E1027" s="64"/>
      <c r="F1027" s="64"/>
      <c r="G1027" s="16"/>
      <c r="H1027" s="16"/>
      <c r="I1027" s="16"/>
    </row>
    <row r="1028" spans="3:9" ht="13.5" customHeight="1" x14ac:dyDescent="0.25">
      <c r="C1028" s="35"/>
      <c r="D1028" s="35"/>
      <c r="E1028" s="65"/>
      <c r="F1028" s="69"/>
      <c r="G1028" s="35"/>
      <c r="H1028" s="35"/>
      <c r="I1028" s="35"/>
    </row>
    <row r="1029" spans="3:9" ht="13.5" customHeight="1" x14ac:dyDescent="0.25">
      <c r="C1029" s="16"/>
      <c r="D1029" s="16"/>
      <c r="E1029" s="64"/>
      <c r="F1029" s="64"/>
      <c r="G1029" s="16"/>
      <c r="H1029" s="16"/>
      <c r="I1029" s="16"/>
    </row>
    <row r="1030" spans="3:9" ht="13.5" customHeight="1" x14ac:dyDescent="0.25">
      <c r="C1030" s="35"/>
      <c r="D1030" s="35"/>
      <c r="E1030" s="65"/>
      <c r="F1030" s="69"/>
      <c r="G1030" s="35"/>
      <c r="H1030" s="35"/>
      <c r="I1030" s="35"/>
    </row>
    <row r="1031" spans="3:9" ht="13.5" customHeight="1" x14ac:dyDescent="0.25">
      <c r="C1031" s="16"/>
      <c r="D1031" s="16"/>
      <c r="E1031" s="64"/>
      <c r="F1031" s="64"/>
      <c r="G1031" s="16"/>
      <c r="H1031" s="16"/>
      <c r="I1031" s="16"/>
    </row>
    <row r="1032" spans="3:9" ht="13.5" customHeight="1" x14ac:dyDescent="0.25">
      <c r="C1032" s="35"/>
      <c r="D1032" s="35"/>
      <c r="E1032" s="65"/>
      <c r="F1032" s="69"/>
      <c r="G1032" s="35"/>
      <c r="H1032" s="35"/>
      <c r="I1032" s="35"/>
    </row>
    <row r="1033" spans="3:9" ht="13.5" customHeight="1" x14ac:dyDescent="0.25">
      <c r="C1033" s="16"/>
      <c r="D1033" s="16"/>
      <c r="E1033" s="64"/>
      <c r="F1033" s="64"/>
      <c r="G1033" s="16"/>
      <c r="H1033" s="16"/>
      <c r="I1033" s="16"/>
    </row>
    <row r="1034" spans="3:9" ht="13.5" customHeight="1" x14ac:dyDescent="0.25">
      <c r="C1034" s="35"/>
      <c r="D1034" s="35"/>
      <c r="E1034" s="65"/>
      <c r="F1034" s="69"/>
      <c r="G1034" s="35"/>
      <c r="H1034" s="35"/>
      <c r="I1034" s="35"/>
    </row>
    <row r="1035" spans="3:9" ht="13.5" customHeight="1" x14ac:dyDescent="0.25">
      <c r="C1035" s="16"/>
      <c r="D1035" s="16"/>
      <c r="E1035" s="64"/>
      <c r="F1035" s="64"/>
      <c r="G1035" s="16"/>
      <c r="H1035" s="16"/>
      <c r="I1035" s="16"/>
    </row>
    <row r="1036" spans="3:9" ht="13.5" customHeight="1" x14ac:dyDescent="0.25">
      <c r="C1036" s="35"/>
      <c r="D1036" s="35"/>
      <c r="E1036" s="65"/>
      <c r="F1036" s="69"/>
      <c r="G1036" s="35"/>
      <c r="H1036" s="35"/>
      <c r="I1036" s="35"/>
    </row>
    <row r="1037" spans="3:9" ht="13.5" customHeight="1" x14ac:dyDescent="0.25">
      <c r="C1037" s="16"/>
      <c r="D1037" s="16"/>
      <c r="E1037" s="64"/>
      <c r="F1037" s="64"/>
      <c r="G1037" s="16"/>
      <c r="H1037" s="16"/>
      <c r="I1037" s="16"/>
    </row>
    <row r="1038" spans="3:9" ht="13.5" customHeight="1" x14ac:dyDescent="0.25">
      <c r="C1038" s="35"/>
      <c r="D1038" s="35"/>
      <c r="E1038" s="65"/>
      <c r="F1038" s="69"/>
      <c r="G1038" s="35"/>
      <c r="H1038" s="35"/>
      <c r="I1038" s="35"/>
    </row>
    <row r="1039" spans="3:9" ht="13.5" customHeight="1" x14ac:dyDescent="0.25">
      <c r="C1039" s="16"/>
      <c r="D1039" s="16"/>
      <c r="E1039" s="64"/>
      <c r="F1039" s="64"/>
      <c r="G1039" s="16"/>
      <c r="H1039" s="16"/>
      <c r="I1039" s="16"/>
    </row>
    <row r="1040" spans="3:9" ht="13.5" customHeight="1" x14ac:dyDescent="0.25">
      <c r="C1040" s="35"/>
      <c r="D1040" s="35"/>
      <c r="E1040" s="65"/>
      <c r="F1040" s="69"/>
      <c r="G1040" s="35"/>
      <c r="H1040" s="35"/>
      <c r="I1040" s="35"/>
    </row>
    <row r="1041" spans="3:9" ht="13.5" customHeight="1" x14ac:dyDescent="0.25">
      <c r="C1041" s="16"/>
      <c r="D1041" s="16"/>
      <c r="E1041" s="64"/>
      <c r="F1041" s="64"/>
      <c r="G1041" s="16"/>
      <c r="H1041" s="16"/>
      <c r="I1041" s="16"/>
    </row>
    <row r="1042" spans="3:9" ht="13.5" customHeight="1" x14ac:dyDescent="0.25">
      <c r="C1042" s="35"/>
      <c r="D1042" s="35"/>
      <c r="E1042" s="65"/>
      <c r="F1042" s="69"/>
      <c r="G1042" s="35"/>
      <c r="H1042" s="35"/>
      <c r="I1042" s="35"/>
    </row>
    <row r="1043" spans="3:9" ht="13.5" customHeight="1" x14ac:dyDescent="0.25">
      <c r="C1043" s="16"/>
      <c r="D1043" s="16"/>
      <c r="E1043" s="64"/>
      <c r="F1043" s="64"/>
      <c r="G1043" s="16"/>
      <c r="H1043" s="16"/>
      <c r="I1043" s="16"/>
    </row>
    <row r="1044" spans="3:9" ht="13.5" customHeight="1" x14ac:dyDescent="0.25">
      <c r="C1044" s="35"/>
      <c r="D1044" s="35"/>
      <c r="E1044" s="65"/>
      <c r="F1044" s="69"/>
      <c r="G1044" s="35"/>
      <c r="H1044" s="35"/>
      <c r="I1044" s="35"/>
    </row>
    <row r="1045" spans="3:9" ht="13.5" customHeight="1" x14ac:dyDescent="0.25">
      <c r="C1045" s="16"/>
      <c r="D1045" s="16"/>
      <c r="E1045" s="64"/>
      <c r="F1045" s="64"/>
      <c r="G1045" s="16"/>
      <c r="H1045" s="16"/>
      <c r="I1045" s="16"/>
    </row>
    <row r="1046" spans="3:9" ht="13.5" customHeight="1" x14ac:dyDescent="0.25">
      <c r="C1046" s="35"/>
      <c r="D1046" s="35"/>
      <c r="E1046" s="65"/>
      <c r="F1046" s="69"/>
      <c r="G1046" s="35"/>
      <c r="H1046" s="35"/>
      <c r="I1046" s="35"/>
    </row>
    <row r="1047" spans="3:9" ht="13.5" customHeight="1" x14ac:dyDescent="0.25">
      <c r="C1047" s="16"/>
      <c r="D1047" s="16"/>
      <c r="E1047" s="64"/>
      <c r="F1047" s="64"/>
      <c r="G1047" s="16"/>
      <c r="H1047" s="16"/>
      <c r="I1047" s="16"/>
    </row>
    <row r="1048" spans="3:9" ht="13.5" customHeight="1" x14ac:dyDescent="0.25">
      <c r="C1048" s="35"/>
      <c r="D1048" s="35"/>
      <c r="E1048" s="65"/>
      <c r="F1048" s="69"/>
      <c r="G1048" s="35"/>
      <c r="H1048" s="35"/>
      <c r="I1048" s="35"/>
    </row>
    <row r="1049" spans="3:9" ht="13.5" customHeight="1" x14ac:dyDescent="0.25">
      <c r="C1049" s="16"/>
      <c r="D1049" s="16"/>
      <c r="E1049" s="64"/>
      <c r="F1049" s="64"/>
      <c r="G1049" s="16"/>
      <c r="H1049" s="16"/>
      <c r="I1049" s="16"/>
    </row>
    <row r="1050" spans="3:9" ht="13.5" customHeight="1" x14ac:dyDescent="0.25">
      <c r="C1050" s="35"/>
      <c r="D1050" s="35"/>
      <c r="E1050" s="65"/>
      <c r="F1050" s="69"/>
      <c r="G1050" s="35"/>
      <c r="H1050" s="35"/>
      <c r="I1050" s="35"/>
    </row>
    <row r="1051" spans="3:9" ht="13.5" customHeight="1" x14ac:dyDescent="0.25">
      <c r="C1051" s="16"/>
      <c r="D1051" s="16"/>
      <c r="E1051" s="64"/>
      <c r="F1051" s="64"/>
      <c r="G1051" s="16"/>
      <c r="H1051" s="16"/>
      <c r="I1051" s="16"/>
    </row>
    <row r="1052" spans="3:9" ht="13.5" customHeight="1" x14ac:dyDescent="0.25">
      <c r="C1052" s="35"/>
      <c r="D1052" s="35"/>
      <c r="E1052" s="65"/>
      <c r="F1052" s="69"/>
      <c r="G1052" s="35"/>
      <c r="H1052" s="35"/>
      <c r="I1052" s="35"/>
    </row>
    <row r="1053" spans="3:9" ht="13.5" customHeight="1" x14ac:dyDescent="0.25">
      <c r="C1053" s="16"/>
      <c r="D1053" s="16"/>
      <c r="E1053" s="64"/>
      <c r="F1053" s="64"/>
      <c r="G1053" s="16"/>
      <c r="H1053" s="16"/>
      <c r="I1053" s="16"/>
    </row>
    <row r="1054" spans="3:9" ht="13.5" customHeight="1" x14ac:dyDescent="0.25">
      <c r="C1054" s="35"/>
      <c r="D1054" s="35"/>
      <c r="E1054" s="65"/>
      <c r="F1054" s="69"/>
      <c r="G1054" s="35"/>
      <c r="H1054" s="35"/>
      <c r="I1054" s="35"/>
    </row>
    <row r="1055" spans="3:9" ht="13.5" customHeight="1" x14ac:dyDescent="0.25">
      <c r="C1055" s="16"/>
      <c r="D1055" s="16"/>
      <c r="E1055" s="64"/>
      <c r="F1055" s="64"/>
      <c r="G1055" s="16"/>
      <c r="H1055" s="16"/>
      <c r="I1055" s="16"/>
    </row>
    <row r="1056" spans="3:9" ht="13.5" customHeight="1" x14ac:dyDescent="0.25">
      <c r="C1056" s="35"/>
      <c r="D1056" s="35"/>
      <c r="E1056" s="65"/>
      <c r="F1056" s="69"/>
      <c r="G1056" s="35"/>
      <c r="H1056" s="35"/>
      <c r="I1056" s="35"/>
    </row>
    <row r="1057" spans="3:9" ht="13.5" customHeight="1" x14ac:dyDescent="0.25">
      <c r="C1057" s="16"/>
      <c r="D1057" s="16"/>
      <c r="E1057" s="64"/>
      <c r="F1057" s="64"/>
      <c r="G1057" s="16"/>
      <c r="H1057" s="16"/>
      <c r="I1057" s="16"/>
    </row>
    <row r="1058" spans="3:9" ht="13.5" customHeight="1" x14ac:dyDescent="0.25">
      <c r="C1058" s="35"/>
      <c r="D1058" s="35"/>
      <c r="E1058" s="65"/>
      <c r="F1058" s="69"/>
      <c r="G1058" s="35"/>
      <c r="H1058" s="35"/>
      <c r="I1058" s="35"/>
    </row>
    <row r="1059" spans="3:9" ht="13.5" customHeight="1" x14ac:dyDescent="0.25">
      <c r="C1059" s="16"/>
      <c r="D1059" s="16"/>
      <c r="E1059" s="64"/>
      <c r="F1059" s="64"/>
      <c r="G1059" s="16"/>
      <c r="H1059" s="16"/>
      <c r="I1059" s="16"/>
    </row>
    <row r="1060" spans="3:9" ht="13.5" customHeight="1" x14ac:dyDescent="0.25">
      <c r="C1060" s="35"/>
      <c r="D1060" s="35"/>
      <c r="E1060" s="65"/>
      <c r="F1060" s="69"/>
      <c r="G1060" s="35"/>
      <c r="H1060" s="35"/>
      <c r="I1060" s="35"/>
    </row>
    <row r="1061" spans="3:9" ht="13.5" customHeight="1" x14ac:dyDescent="0.25">
      <c r="C1061" s="16"/>
      <c r="D1061" s="16"/>
      <c r="E1061" s="64"/>
      <c r="F1061" s="64"/>
      <c r="G1061" s="16"/>
      <c r="H1061" s="16"/>
      <c r="I1061" s="16"/>
    </row>
    <row r="1062" spans="3:9" ht="13.5" customHeight="1" x14ac:dyDescent="0.25">
      <c r="C1062" s="35"/>
      <c r="D1062" s="35"/>
      <c r="E1062" s="65"/>
      <c r="F1062" s="69"/>
      <c r="G1062" s="35"/>
      <c r="H1062" s="35"/>
      <c r="I1062" s="35"/>
    </row>
    <row r="1063" spans="3:9" ht="13.5" customHeight="1" x14ac:dyDescent="0.25">
      <c r="C1063" s="16"/>
      <c r="D1063" s="16"/>
      <c r="E1063" s="64"/>
      <c r="F1063" s="64"/>
      <c r="G1063" s="16"/>
      <c r="H1063" s="16"/>
      <c r="I1063" s="16"/>
    </row>
    <row r="1064" spans="3:9" ht="13.5" customHeight="1" x14ac:dyDescent="0.25">
      <c r="C1064" s="35"/>
      <c r="D1064" s="35"/>
      <c r="E1064" s="65"/>
      <c r="F1064" s="69"/>
      <c r="G1064" s="35"/>
      <c r="H1064" s="35"/>
      <c r="I1064" s="35"/>
    </row>
    <row r="1065" spans="3:9" ht="13.5" customHeight="1" x14ac:dyDescent="0.25">
      <c r="C1065" s="16"/>
      <c r="D1065" s="16"/>
      <c r="E1065" s="64"/>
      <c r="F1065" s="64"/>
      <c r="G1065" s="16"/>
      <c r="H1065" s="16"/>
      <c r="I1065" s="16"/>
    </row>
    <row r="1066" spans="3:9" ht="13.5" customHeight="1" x14ac:dyDescent="0.25">
      <c r="C1066" s="35"/>
      <c r="D1066" s="35"/>
      <c r="E1066" s="65"/>
      <c r="F1066" s="69"/>
      <c r="G1066" s="35"/>
      <c r="H1066" s="35"/>
      <c r="I1066" s="35"/>
    </row>
    <row r="1067" spans="3:9" ht="13.5" customHeight="1" x14ac:dyDescent="0.25">
      <c r="C1067" s="16"/>
      <c r="D1067" s="16"/>
      <c r="E1067" s="64"/>
      <c r="F1067" s="64"/>
      <c r="G1067" s="16"/>
      <c r="H1067" s="16"/>
      <c r="I1067" s="16"/>
    </row>
    <row r="1068" spans="3:9" ht="13.5" customHeight="1" x14ac:dyDescent="0.25">
      <c r="C1068" s="35"/>
      <c r="D1068" s="35"/>
      <c r="E1068" s="65"/>
      <c r="F1068" s="69"/>
      <c r="G1068" s="35"/>
      <c r="H1068" s="35"/>
      <c r="I1068" s="35"/>
    </row>
    <row r="1069" spans="3:9" ht="13.5" customHeight="1" x14ac:dyDescent="0.25">
      <c r="C1069" s="16"/>
      <c r="D1069" s="16"/>
      <c r="E1069" s="64"/>
      <c r="F1069" s="64"/>
      <c r="G1069" s="16"/>
      <c r="H1069" s="16"/>
      <c r="I1069" s="16"/>
    </row>
    <row r="1070" spans="3:9" ht="13.5" customHeight="1" x14ac:dyDescent="0.25">
      <c r="C1070" s="35"/>
      <c r="D1070" s="35"/>
      <c r="E1070" s="65"/>
      <c r="F1070" s="69"/>
      <c r="G1070" s="35"/>
      <c r="H1070" s="35"/>
      <c r="I1070" s="35"/>
    </row>
    <row r="1071" spans="3:9" ht="13.5" customHeight="1" x14ac:dyDescent="0.25">
      <c r="C1071" s="16"/>
      <c r="D1071" s="16"/>
      <c r="E1071" s="64"/>
      <c r="F1071" s="64"/>
      <c r="G1071" s="16"/>
      <c r="H1071" s="16"/>
      <c r="I1071" s="16"/>
    </row>
    <row r="1072" spans="3:9" ht="13.5" customHeight="1" x14ac:dyDescent="0.25">
      <c r="C1072" s="35"/>
      <c r="D1072" s="35"/>
      <c r="E1072" s="65"/>
      <c r="F1072" s="69"/>
      <c r="G1072" s="35"/>
      <c r="H1072" s="35"/>
      <c r="I1072" s="35"/>
    </row>
    <row r="1073" spans="3:9" ht="13.5" customHeight="1" x14ac:dyDescent="0.25">
      <c r="C1073" s="16"/>
      <c r="D1073" s="16"/>
      <c r="E1073" s="64"/>
      <c r="F1073" s="64"/>
      <c r="G1073" s="16"/>
      <c r="H1073" s="16"/>
      <c r="I1073" s="16"/>
    </row>
    <row r="1074" spans="3:9" ht="13.5" customHeight="1" x14ac:dyDescent="0.25">
      <c r="C1074" s="35"/>
      <c r="D1074" s="35"/>
      <c r="E1074" s="65"/>
      <c r="F1074" s="69"/>
      <c r="G1074" s="35"/>
      <c r="H1074" s="35"/>
      <c r="I1074" s="35"/>
    </row>
    <row r="1075" spans="3:9" ht="13.5" customHeight="1" x14ac:dyDescent="0.25">
      <c r="C1075" s="16"/>
      <c r="D1075" s="16"/>
      <c r="E1075" s="64"/>
      <c r="F1075" s="64"/>
      <c r="G1075" s="16"/>
      <c r="H1075" s="16"/>
      <c r="I1075" s="16"/>
    </row>
    <row r="1076" spans="3:9" ht="13.5" customHeight="1" x14ac:dyDescent="0.25">
      <c r="C1076" s="35"/>
      <c r="D1076" s="35"/>
      <c r="E1076" s="65"/>
      <c r="F1076" s="69"/>
      <c r="G1076" s="35"/>
      <c r="H1076" s="35"/>
      <c r="I1076" s="35"/>
    </row>
    <row r="1077" spans="3:9" ht="13.5" customHeight="1" x14ac:dyDescent="0.25">
      <c r="C1077" s="16"/>
      <c r="D1077" s="16"/>
      <c r="E1077" s="64"/>
      <c r="F1077" s="64"/>
      <c r="G1077" s="16"/>
      <c r="H1077" s="16"/>
      <c r="I1077" s="16"/>
    </row>
    <row r="1078" spans="3:9" ht="13.5" customHeight="1" x14ac:dyDescent="0.25">
      <c r="C1078" s="35"/>
      <c r="D1078" s="35"/>
      <c r="E1078" s="65"/>
      <c r="F1078" s="69"/>
      <c r="G1078" s="35"/>
      <c r="H1078" s="35"/>
      <c r="I1078" s="35"/>
    </row>
    <row r="1079" spans="3:9" ht="13.5" customHeight="1" x14ac:dyDescent="0.25">
      <c r="C1079" s="16"/>
      <c r="D1079" s="16"/>
      <c r="E1079" s="64"/>
      <c r="F1079" s="64"/>
      <c r="G1079" s="16"/>
      <c r="H1079" s="16"/>
      <c r="I1079" s="16"/>
    </row>
    <row r="1080" spans="3:9" ht="13.5" customHeight="1" x14ac:dyDescent="0.25">
      <c r="C1080" s="35"/>
      <c r="D1080" s="35"/>
      <c r="E1080" s="65"/>
      <c r="F1080" s="69"/>
      <c r="G1080" s="35"/>
      <c r="H1080" s="35"/>
      <c r="I1080" s="35"/>
    </row>
    <row r="1081" spans="3:9" ht="13.5" customHeight="1" x14ac:dyDescent="0.25">
      <c r="C1081" s="16"/>
      <c r="D1081" s="16"/>
      <c r="E1081" s="64"/>
      <c r="F1081" s="64"/>
      <c r="G1081" s="16"/>
      <c r="H1081" s="16"/>
      <c r="I1081" s="16"/>
    </row>
    <row r="1082" spans="3:9" ht="13.5" customHeight="1" x14ac:dyDescent="0.25">
      <c r="C1082" s="35"/>
      <c r="D1082" s="35"/>
      <c r="E1082" s="65"/>
      <c r="F1082" s="69"/>
      <c r="G1082" s="35"/>
      <c r="H1082" s="35"/>
      <c r="I1082" s="35"/>
    </row>
    <row r="1083" spans="3:9" ht="13.5" customHeight="1" x14ac:dyDescent="0.25">
      <c r="C1083" s="16"/>
      <c r="D1083" s="16"/>
      <c r="E1083" s="64"/>
      <c r="F1083" s="64"/>
      <c r="G1083" s="16"/>
      <c r="H1083" s="16"/>
      <c r="I1083" s="16"/>
    </row>
    <row r="1084" spans="3:9" ht="13.5" customHeight="1" x14ac:dyDescent="0.25">
      <c r="C1084" s="35"/>
      <c r="D1084" s="35"/>
      <c r="E1084" s="65"/>
      <c r="F1084" s="69"/>
      <c r="G1084" s="35"/>
      <c r="H1084" s="35"/>
      <c r="I1084" s="35"/>
    </row>
    <row r="1085" spans="3:9" ht="13.5" customHeight="1" x14ac:dyDescent="0.25">
      <c r="C1085" s="16"/>
      <c r="D1085" s="16"/>
      <c r="E1085" s="64"/>
      <c r="F1085" s="64"/>
      <c r="G1085" s="16"/>
      <c r="H1085" s="16"/>
      <c r="I1085" s="16"/>
    </row>
    <row r="1086" spans="3:9" ht="13.5" customHeight="1" x14ac:dyDescent="0.25">
      <c r="C1086" s="35"/>
      <c r="D1086" s="35"/>
      <c r="E1086" s="65"/>
      <c r="F1086" s="69"/>
      <c r="G1086" s="35"/>
      <c r="H1086" s="35"/>
      <c r="I1086" s="35"/>
    </row>
    <row r="1087" spans="3:9" ht="13.5" customHeight="1" x14ac:dyDescent="0.25">
      <c r="C1087" s="16"/>
      <c r="D1087" s="16"/>
      <c r="E1087" s="64"/>
      <c r="F1087" s="64"/>
      <c r="G1087" s="16"/>
      <c r="H1087" s="16"/>
      <c r="I1087" s="16"/>
    </row>
    <row r="1088" spans="3:9" ht="13.5" customHeight="1" x14ac:dyDescent="0.25">
      <c r="C1088" s="35"/>
      <c r="D1088" s="35"/>
      <c r="E1088" s="65"/>
      <c r="F1088" s="69"/>
      <c r="G1088" s="35"/>
      <c r="H1088" s="35"/>
      <c r="I1088" s="35"/>
    </row>
    <row r="1089" spans="3:9" ht="13.5" customHeight="1" x14ac:dyDescent="0.25">
      <c r="C1089" s="16"/>
      <c r="D1089" s="16"/>
      <c r="E1089" s="64"/>
      <c r="F1089" s="64"/>
      <c r="G1089" s="16"/>
      <c r="H1089" s="16"/>
      <c r="I1089" s="16"/>
    </row>
    <row r="1090" spans="3:9" ht="13.5" customHeight="1" x14ac:dyDescent="0.25">
      <c r="C1090" s="35"/>
      <c r="D1090" s="35"/>
      <c r="E1090" s="65"/>
      <c r="F1090" s="69"/>
      <c r="G1090" s="35"/>
      <c r="H1090" s="35"/>
      <c r="I1090" s="35"/>
    </row>
    <row r="1091" spans="3:9" ht="13.5" customHeight="1" x14ac:dyDescent="0.25">
      <c r="C1091" s="16"/>
      <c r="D1091" s="16"/>
      <c r="E1091" s="64"/>
      <c r="F1091" s="64"/>
      <c r="G1091" s="16"/>
      <c r="H1091" s="16"/>
      <c r="I1091" s="16"/>
    </row>
    <row r="1092" spans="3:9" ht="13.5" customHeight="1" x14ac:dyDescent="0.25">
      <c r="C1092" s="35"/>
      <c r="D1092" s="35"/>
      <c r="E1092" s="65"/>
      <c r="F1092" s="69"/>
      <c r="G1092" s="35"/>
      <c r="H1092" s="35"/>
      <c r="I1092" s="35"/>
    </row>
    <row r="1093" spans="3:9" ht="13.5" customHeight="1" x14ac:dyDescent="0.25">
      <c r="C1093" s="16"/>
      <c r="D1093" s="16"/>
      <c r="E1093" s="64"/>
      <c r="F1093" s="64"/>
      <c r="G1093" s="16"/>
      <c r="H1093" s="16"/>
      <c r="I1093" s="16"/>
    </row>
    <row r="1094" spans="3:9" ht="13.5" customHeight="1" x14ac:dyDescent="0.25">
      <c r="C1094" s="35"/>
      <c r="D1094" s="35"/>
      <c r="E1094" s="65"/>
      <c r="F1094" s="69"/>
      <c r="G1094" s="35"/>
      <c r="H1094" s="35"/>
      <c r="I1094" s="35"/>
    </row>
    <row r="1095" spans="3:9" ht="13.5" customHeight="1" x14ac:dyDescent="0.25">
      <c r="C1095" s="16"/>
      <c r="D1095" s="16"/>
      <c r="E1095" s="64"/>
      <c r="F1095" s="64"/>
      <c r="G1095" s="16"/>
      <c r="H1095" s="16"/>
      <c r="I1095" s="16"/>
    </row>
    <row r="1096" spans="3:9" ht="13.5" customHeight="1" x14ac:dyDescent="0.25">
      <c r="C1096" s="35"/>
      <c r="D1096" s="35"/>
      <c r="E1096" s="65"/>
      <c r="F1096" s="69"/>
      <c r="G1096" s="35"/>
      <c r="H1096" s="35"/>
      <c r="I1096" s="35"/>
    </row>
    <row r="1097" spans="3:9" ht="13.5" customHeight="1" x14ac:dyDescent="0.25">
      <c r="C1097" s="16"/>
      <c r="D1097" s="16"/>
      <c r="E1097" s="64"/>
      <c r="F1097" s="64"/>
      <c r="G1097" s="16"/>
      <c r="H1097" s="16"/>
      <c r="I1097" s="16"/>
    </row>
    <row r="1098" spans="3:9" ht="13.5" customHeight="1" x14ac:dyDescent="0.25">
      <c r="C1098" s="35"/>
      <c r="D1098" s="35"/>
      <c r="E1098" s="65"/>
      <c r="F1098" s="69"/>
      <c r="G1098" s="35"/>
      <c r="H1098" s="35"/>
      <c r="I1098" s="35"/>
    </row>
    <row r="1099" spans="3:9" ht="13.5" customHeight="1" x14ac:dyDescent="0.25">
      <c r="C1099" s="16"/>
      <c r="D1099" s="16"/>
      <c r="E1099" s="64"/>
      <c r="F1099" s="64"/>
      <c r="G1099" s="16"/>
      <c r="H1099" s="16"/>
      <c r="I1099" s="16"/>
    </row>
    <row r="1100" spans="3:9" ht="13.5" customHeight="1" x14ac:dyDescent="0.25">
      <c r="C1100" s="35"/>
      <c r="D1100" s="35"/>
      <c r="E1100" s="65"/>
      <c r="F1100" s="69"/>
      <c r="G1100" s="35"/>
      <c r="H1100" s="35"/>
      <c r="I1100" s="35"/>
    </row>
    <row r="1101" spans="3:9" ht="13.5" customHeight="1" x14ac:dyDescent="0.25">
      <c r="C1101" s="16"/>
      <c r="D1101" s="16"/>
      <c r="E1101" s="64"/>
      <c r="F1101" s="64"/>
      <c r="G1101" s="16"/>
      <c r="H1101" s="16"/>
      <c r="I1101" s="16"/>
    </row>
    <row r="1102" spans="3:9" ht="13.5" customHeight="1" x14ac:dyDescent="0.25">
      <c r="C1102" s="35"/>
      <c r="D1102" s="35"/>
      <c r="E1102" s="65"/>
      <c r="F1102" s="69"/>
      <c r="G1102" s="35"/>
      <c r="H1102" s="35"/>
      <c r="I1102" s="35"/>
    </row>
    <row r="1103" spans="3:9" ht="13.5" customHeight="1" x14ac:dyDescent="0.25">
      <c r="C1103" s="16"/>
      <c r="D1103" s="16"/>
      <c r="E1103" s="64"/>
      <c r="F1103" s="64"/>
      <c r="G1103" s="16"/>
      <c r="H1103" s="16"/>
      <c r="I1103" s="16"/>
    </row>
    <row r="1104" spans="3:9" ht="13.5" customHeight="1" x14ac:dyDescent="0.25">
      <c r="C1104" s="35"/>
      <c r="D1104" s="35"/>
      <c r="E1104" s="65"/>
      <c r="F1104" s="69"/>
      <c r="G1104" s="35"/>
      <c r="H1104" s="35"/>
      <c r="I1104" s="35"/>
    </row>
    <row r="1105" spans="3:9" ht="13.5" customHeight="1" x14ac:dyDescent="0.25">
      <c r="C1105" s="16"/>
      <c r="D1105" s="16"/>
      <c r="E1105" s="64"/>
      <c r="F1105" s="64"/>
      <c r="G1105" s="16"/>
      <c r="H1105" s="16"/>
      <c r="I1105" s="16"/>
    </row>
    <row r="1106" spans="3:9" ht="13.5" customHeight="1" x14ac:dyDescent="0.25">
      <c r="C1106" s="35"/>
      <c r="D1106" s="35"/>
      <c r="E1106" s="65"/>
      <c r="F1106" s="69"/>
      <c r="G1106" s="35"/>
      <c r="H1106" s="35"/>
      <c r="I1106" s="35"/>
    </row>
    <row r="1107" spans="3:9" ht="13.5" customHeight="1" x14ac:dyDescent="0.25">
      <c r="C1107" s="16"/>
      <c r="D1107" s="16"/>
      <c r="E1107" s="64"/>
      <c r="F1107" s="64"/>
      <c r="G1107" s="16"/>
      <c r="H1107" s="16"/>
      <c r="I1107" s="16"/>
    </row>
    <row r="1108" spans="3:9" ht="13.5" customHeight="1" x14ac:dyDescent="0.25">
      <c r="C1108" s="35"/>
      <c r="D1108" s="35"/>
      <c r="E1108" s="65"/>
      <c r="F1108" s="69"/>
      <c r="G1108" s="35"/>
      <c r="H1108" s="35"/>
      <c r="I1108" s="35"/>
    </row>
    <row r="1109" spans="3:9" ht="13.5" customHeight="1" x14ac:dyDescent="0.25">
      <c r="C1109" s="16"/>
      <c r="D1109" s="16"/>
      <c r="E1109" s="64"/>
      <c r="F1109" s="64"/>
      <c r="G1109" s="16"/>
      <c r="H1109" s="16"/>
      <c r="I1109" s="16"/>
    </row>
    <row r="1110" spans="3:9" ht="13.5" customHeight="1" x14ac:dyDescent="0.25">
      <c r="C1110" s="35"/>
      <c r="D1110" s="35"/>
      <c r="E1110" s="65"/>
      <c r="F1110" s="69"/>
      <c r="G1110" s="35"/>
      <c r="H1110" s="35"/>
      <c r="I1110" s="35"/>
    </row>
    <row r="1111" spans="3:9" ht="13.5" customHeight="1" x14ac:dyDescent="0.25">
      <c r="C1111" s="16"/>
      <c r="D1111" s="16"/>
      <c r="E1111" s="64"/>
      <c r="F1111" s="64"/>
      <c r="G1111" s="16"/>
      <c r="H1111" s="16"/>
      <c r="I1111" s="16"/>
    </row>
    <row r="1112" spans="3:9" ht="13.5" customHeight="1" x14ac:dyDescent="0.25">
      <c r="C1112" s="35"/>
      <c r="D1112" s="35"/>
      <c r="E1112" s="65"/>
      <c r="F1112" s="69"/>
      <c r="G1112" s="35"/>
      <c r="H1112" s="35"/>
      <c r="I1112" s="35"/>
    </row>
    <row r="1113" spans="3:9" ht="13.5" customHeight="1" x14ac:dyDescent="0.25">
      <c r="C1113" s="16"/>
      <c r="D1113" s="16"/>
      <c r="E1113" s="64"/>
      <c r="F1113" s="64"/>
      <c r="G1113" s="16"/>
      <c r="H1113" s="16"/>
      <c r="I1113" s="16"/>
    </row>
    <row r="1114" spans="3:9" ht="13.5" customHeight="1" x14ac:dyDescent="0.25">
      <c r="C1114" s="35"/>
      <c r="D1114" s="35"/>
      <c r="E1114" s="65"/>
      <c r="F1114" s="69"/>
      <c r="G1114" s="35"/>
      <c r="H1114" s="35"/>
      <c r="I1114" s="35"/>
    </row>
    <row r="1115" spans="3:9" ht="13.5" customHeight="1" x14ac:dyDescent="0.25">
      <c r="C1115" s="16"/>
      <c r="D1115" s="16"/>
      <c r="E1115" s="64"/>
      <c r="F1115" s="64"/>
      <c r="G1115" s="16"/>
      <c r="H1115" s="16"/>
      <c r="I1115" s="16"/>
    </row>
    <row r="1116" spans="3:9" ht="13.5" customHeight="1" x14ac:dyDescent="0.25">
      <c r="C1116" s="35"/>
      <c r="D1116" s="35"/>
      <c r="E1116" s="65"/>
      <c r="F1116" s="69"/>
      <c r="G1116" s="35"/>
      <c r="H1116" s="35"/>
      <c r="I1116" s="35"/>
    </row>
    <row r="1117" spans="3:9" ht="13.5" customHeight="1" x14ac:dyDescent="0.25">
      <c r="C1117" s="16"/>
      <c r="D1117" s="16"/>
      <c r="E1117" s="64"/>
      <c r="F1117" s="64"/>
      <c r="G1117" s="16"/>
      <c r="H1117" s="16"/>
      <c r="I1117" s="16"/>
    </row>
    <row r="1118" spans="3:9" ht="13.5" customHeight="1" x14ac:dyDescent="0.25">
      <c r="C1118" s="35"/>
      <c r="D1118" s="35"/>
      <c r="E1118" s="65"/>
      <c r="F1118" s="69"/>
      <c r="G1118" s="35"/>
      <c r="H1118" s="35"/>
      <c r="I1118" s="35"/>
    </row>
    <row r="1119" spans="3:9" ht="13.5" customHeight="1" x14ac:dyDescent="0.25">
      <c r="C1119" s="16"/>
      <c r="D1119" s="16"/>
      <c r="E1119" s="64"/>
      <c r="F1119" s="64"/>
      <c r="G1119" s="16"/>
      <c r="H1119" s="16"/>
      <c r="I1119" s="16"/>
    </row>
    <row r="1120" spans="3:9" ht="13.5" customHeight="1" x14ac:dyDescent="0.25">
      <c r="C1120" s="35"/>
      <c r="D1120" s="35"/>
      <c r="E1120" s="65"/>
      <c r="F1120" s="69"/>
      <c r="G1120" s="35"/>
      <c r="H1120" s="35"/>
      <c r="I1120" s="35"/>
    </row>
    <row r="1121" spans="3:9" ht="13.5" customHeight="1" x14ac:dyDescent="0.25">
      <c r="C1121" s="16"/>
      <c r="D1121" s="16"/>
      <c r="E1121" s="64"/>
      <c r="F1121" s="64"/>
      <c r="G1121" s="16"/>
      <c r="H1121" s="16"/>
      <c r="I1121" s="16"/>
    </row>
    <row r="1122" spans="3:9" ht="13.5" customHeight="1" x14ac:dyDescent="0.25">
      <c r="C1122" s="35"/>
      <c r="D1122" s="35"/>
      <c r="E1122" s="65"/>
      <c r="F1122" s="69"/>
      <c r="G1122" s="35"/>
      <c r="H1122" s="35"/>
      <c r="I1122" s="35"/>
    </row>
    <row r="1123" spans="3:9" ht="13.5" customHeight="1" x14ac:dyDescent="0.25">
      <c r="C1123" s="16"/>
      <c r="D1123" s="16"/>
      <c r="E1123" s="64"/>
      <c r="F1123" s="64"/>
      <c r="G1123" s="16"/>
      <c r="H1123" s="16"/>
      <c r="I1123" s="16"/>
    </row>
    <row r="1124" spans="3:9" ht="13.5" customHeight="1" x14ac:dyDescent="0.25">
      <c r="C1124" s="35"/>
      <c r="D1124" s="35"/>
      <c r="E1124" s="65"/>
      <c r="F1124" s="69"/>
      <c r="G1124" s="35"/>
      <c r="H1124" s="35"/>
      <c r="I1124" s="35"/>
    </row>
    <row r="1125" spans="3:9" ht="13.5" customHeight="1" x14ac:dyDescent="0.25">
      <c r="C1125" s="16"/>
      <c r="D1125" s="16"/>
      <c r="E1125" s="64"/>
      <c r="F1125" s="64"/>
      <c r="G1125" s="16"/>
      <c r="H1125" s="16"/>
      <c r="I1125" s="16"/>
    </row>
    <row r="1126" spans="3:9" ht="13.5" customHeight="1" x14ac:dyDescent="0.25">
      <c r="C1126" s="35"/>
      <c r="D1126" s="35"/>
      <c r="E1126" s="65"/>
      <c r="F1126" s="69"/>
      <c r="G1126" s="35"/>
      <c r="H1126" s="35"/>
      <c r="I1126" s="35"/>
    </row>
    <row r="1127" spans="3:9" ht="13.5" customHeight="1" x14ac:dyDescent="0.25">
      <c r="C1127" s="16"/>
      <c r="D1127" s="16"/>
      <c r="E1127" s="64"/>
      <c r="F1127" s="64"/>
      <c r="G1127" s="16"/>
      <c r="H1127" s="16"/>
      <c r="I1127" s="16"/>
    </row>
    <row r="1128" spans="3:9" ht="13.5" customHeight="1" x14ac:dyDescent="0.25">
      <c r="C1128" s="35"/>
      <c r="D1128" s="35"/>
      <c r="E1128" s="65"/>
      <c r="F1128" s="69"/>
      <c r="G1128" s="35"/>
      <c r="H1128" s="35"/>
      <c r="I1128" s="35"/>
    </row>
    <row r="1129" spans="3:9" ht="13.5" customHeight="1" x14ac:dyDescent="0.25">
      <c r="C1129" s="16"/>
      <c r="D1129" s="16"/>
      <c r="E1129" s="64"/>
      <c r="F1129" s="64"/>
      <c r="G1129" s="16"/>
      <c r="H1129" s="16"/>
      <c r="I1129" s="16"/>
    </row>
    <row r="1130" spans="3:9" ht="13.5" customHeight="1" x14ac:dyDescent="0.25">
      <c r="C1130" s="35"/>
      <c r="D1130" s="35"/>
      <c r="E1130" s="65"/>
      <c r="F1130" s="69"/>
      <c r="G1130" s="35"/>
      <c r="H1130" s="35"/>
      <c r="I1130" s="35"/>
    </row>
    <row r="1131" spans="3:9" ht="13.5" customHeight="1" x14ac:dyDescent="0.25">
      <c r="C1131" s="16"/>
      <c r="D1131" s="16"/>
      <c r="E1131" s="64"/>
      <c r="F1131" s="64"/>
      <c r="G1131" s="16"/>
      <c r="H1131" s="16"/>
      <c r="I1131" s="16"/>
    </row>
    <row r="1132" spans="3:9" ht="13.5" customHeight="1" x14ac:dyDescent="0.25">
      <c r="C1132" s="35"/>
      <c r="D1132" s="35"/>
      <c r="E1132" s="65"/>
      <c r="F1132" s="69"/>
      <c r="G1132" s="35"/>
      <c r="H1132" s="35"/>
      <c r="I1132" s="35"/>
    </row>
    <row r="1133" spans="3:9" ht="13.5" customHeight="1" x14ac:dyDescent="0.25">
      <c r="C1133" s="16"/>
      <c r="D1133" s="16"/>
      <c r="E1133" s="64"/>
      <c r="F1133" s="64"/>
      <c r="G1133" s="16"/>
      <c r="H1133" s="16"/>
      <c r="I1133" s="16"/>
    </row>
    <row r="1134" spans="3:9" ht="13.5" customHeight="1" x14ac:dyDescent="0.25">
      <c r="C1134" s="35"/>
      <c r="D1134" s="35"/>
      <c r="E1134" s="65"/>
      <c r="F1134" s="69"/>
      <c r="G1134" s="35"/>
      <c r="H1134" s="35"/>
      <c r="I1134" s="35"/>
    </row>
    <row r="1135" spans="3:9" ht="13.5" customHeight="1" x14ac:dyDescent="0.25">
      <c r="C1135" s="16"/>
      <c r="D1135" s="16"/>
      <c r="E1135" s="64"/>
      <c r="F1135" s="64"/>
      <c r="G1135" s="16"/>
      <c r="H1135" s="16"/>
      <c r="I1135" s="16"/>
    </row>
    <row r="1136" spans="3:9" ht="13.5" customHeight="1" x14ac:dyDescent="0.25">
      <c r="C1136" s="35"/>
      <c r="D1136" s="35"/>
      <c r="E1136" s="65"/>
      <c r="F1136" s="69"/>
      <c r="G1136" s="35"/>
      <c r="H1136" s="35"/>
      <c r="I1136" s="35"/>
    </row>
    <row r="1137" spans="3:9" ht="13.5" customHeight="1" x14ac:dyDescent="0.25">
      <c r="C1137" s="16"/>
      <c r="D1137" s="16"/>
      <c r="E1137" s="64"/>
      <c r="F1137" s="64"/>
      <c r="G1137" s="16"/>
      <c r="H1137" s="16"/>
      <c r="I1137" s="16"/>
    </row>
    <row r="1138" spans="3:9" ht="13.5" customHeight="1" x14ac:dyDescent="0.25">
      <c r="C1138" s="35"/>
      <c r="D1138" s="35"/>
      <c r="E1138" s="65"/>
      <c r="F1138" s="69"/>
      <c r="G1138" s="35"/>
      <c r="H1138" s="35"/>
      <c r="I1138" s="35"/>
    </row>
    <row r="1139" spans="3:9" ht="13.5" customHeight="1" x14ac:dyDescent="0.25">
      <c r="C1139" s="16"/>
      <c r="D1139" s="16"/>
      <c r="E1139" s="64"/>
      <c r="F1139" s="64"/>
      <c r="G1139" s="16"/>
      <c r="H1139" s="16"/>
      <c r="I1139" s="16"/>
    </row>
    <row r="1140" spans="3:9" ht="13.5" customHeight="1" x14ac:dyDescent="0.25">
      <c r="C1140" s="35"/>
      <c r="D1140" s="35"/>
      <c r="E1140" s="65"/>
      <c r="F1140" s="69"/>
      <c r="G1140" s="35"/>
      <c r="H1140" s="35"/>
      <c r="I1140" s="35"/>
    </row>
    <row r="1141" spans="3:9" ht="13.5" customHeight="1" x14ac:dyDescent="0.25">
      <c r="C1141" s="16"/>
      <c r="D1141" s="16"/>
      <c r="E1141" s="64"/>
      <c r="F1141" s="64"/>
      <c r="G1141" s="16"/>
      <c r="H1141" s="16"/>
      <c r="I1141" s="16"/>
    </row>
    <row r="1142" spans="3:9" ht="13.5" customHeight="1" x14ac:dyDescent="0.25">
      <c r="C1142" s="35"/>
      <c r="D1142" s="35"/>
      <c r="E1142" s="65"/>
      <c r="F1142" s="69"/>
      <c r="G1142" s="35"/>
      <c r="H1142" s="35"/>
      <c r="I1142" s="35"/>
    </row>
    <row r="1143" spans="3:9" ht="13.5" customHeight="1" x14ac:dyDescent="0.25">
      <c r="C1143" s="16"/>
      <c r="D1143" s="16"/>
      <c r="E1143" s="64"/>
      <c r="F1143" s="64"/>
      <c r="G1143" s="16"/>
      <c r="H1143" s="16"/>
      <c r="I1143" s="16"/>
    </row>
    <row r="1144" spans="3:9" ht="13.5" customHeight="1" x14ac:dyDescent="0.25">
      <c r="C1144" s="35"/>
      <c r="D1144" s="35"/>
      <c r="E1144" s="65"/>
      <c r="F1144" s="69"/>
      <c r="G1144" s="35"/>
      <c r="H1144" s="35"/>
      <c r="I1144" s="35"/>
    </row>
    <row r="1145" spans="3:9" ht="13.5" customHeight="1" x14ac:dyDescent="0.25">
      <c r="C1145" s="16"/>
      <c r="D1145" s="16"/>
      <c r="E1145" s="64"/>
      <c r="F1145" s="64"/>
      <c r="G1145" s="16"/>
      <c r="H1145" s="16"/>
      <c r="I1145" s="16"/>
    </row>
    <row r="1146" spans="3:9" ht="13.5" customHeight="1" x14ac:dyDescent="0.25">
      <c r="C1146" s="35"/>
      <c r="D1146" s="35"/>
      <c r="E1146" s="65"/>
      <c r="F1146" s="69"/>
      <c r="G1146" s="35"/>
      <c r="H1146" s="35"/>
      <c r="I1146" s="35"/>
    </row>
    <row r="1147" spans="3:9" ht="13.5" customHeight="1" x14ac:dyDescent="0.25">
      <c r="C1147" s="16"/>
      <c r="D1147" s="16"/>
      <c r="E1147" s="64"/>
      <c r="F1147" s="64"/>
      <c r="G1147" s="16"/>
      <c r="H1147" s="16"/>
      <c r="I1147" s="16"/>
    </row>
    <row r="1148" spans="3:9" ht="13.5" customHeight="1" x14ac:dyDescent="0.25">
      <c r="C1148" s="35"/>
      <c r="D1148" s="35"/>
      <c r="E1148" s="65"/>
      <c r="F1148" s="69"/>
      <c r="G1148" s="35"/>
      <c r="H1148" s="35"/>
      <c r="I1148" s="35"/>
    </row>
    <row r="1149" spans="3:9" ht="13.5" customHeight="1" x14ac:dyDescent="0.25">
      <c r="C1149" s="16"/>
      <c r="D1149" s="16"/>
      <c r="E1149" s="64"/>
      <c r="F1149" s="64"/>
      <c r="G1149" s="16"/>
      <c r="H1149" s="16"/>
      <c r="I1149" s="16"/>
    </row>
    <row r="1150" spans="3:9" ht="13.5" customHeight="1" x14ac:dyDescent="0.25">
      <c r="C1150" s="35"/>
      <c r="D1150" s="35"/>
      <c r="E1150" s="65"/>
      <c r="F1150" s="69"/>
      <c r="G1150" s="35"/>
      <c r="H1150" s="35"/>
      <c r="I1150" s="35"/>
    </row>
    <row r="1151" spans="3:9" ht="13.5" customHeight="1" x14ac:dyDescent="0.25">
      <c r="C1151" s="16"/>
      <c r="D1151" s="16"/>
      <c r="E1151" s="64"/>
      <c r="F1151" s="64"/>
      <c r="G1151" s="16"/>
      <c r="H1151" s="16"/>
      <c r="I1151" s="16"/>
    </row>
    <row r="1152" spans="3:9" ht="13.5" customHeight="1" x14ac:dyDescent="0.25">
      <c r="C1152" s="35"/>
      <c r="D1152" s="35"/>
      <c r="E1152" s="65"/>
      <c r="F1152" s="69"/>
      <c r="G1152" s="35"/>
      <c r="H1152" s="35"/>
      <c r="I1152" s="35"/>
    </row>
    <row r="1153" spans="3:9" ht="13.5" customHeight="1" x14ac:dyDescent="0.25">
      <c r="C1153" s="16"/>
      <c r="D1153" s="16"/>
      <c r="E1153" s="64"/>
      <c r="F1153" s="64"/>
      <c r="G1153" s="16"/>
      <c r="H1153" s="16"/>
      <c r="I1153" s="16"/>
    </row>
    <row r="1154" spans="3:9" ht="13.5" customHeight="1" x14ac:dyDescent="0.25">
      <c r="C1154" s="35"/>
      <c r="D1154" s="35"/>
      <c r="E1154" s="65"/>
      <c r="F1154" s="69"/>
      <c r="G1154" s="35"/>
      <c r="H1154" s="35"/>
      <c r="I1154" s="35"/>
    </row>
    <row r="1155" spans="3:9" ht="13.5" customHeight="1" x14ac:dyDescent="0.25">
      <c r="C1155" s="16"/>
      <c r="D1155" s="16"/>
      <c r="E1155" s="64"/>
      <c r="F1155" s="64"/>
      <c r="G1155" s="16"/>
      <c r="H1155" s="16"/>
      <c r="I1155" s="16"/>
    </row>
    <row r="1156" spans="3:9" ht="13.5" customHeight="1" x14ac:dyDescent="0.25">
      <c r="C1156" s="35"/>
      <c r="D1156" s="35"/>
      <c r="E1156" s="65"/>
      <c r="F1156" s="69"/>
      <c r="G1156" s="35"/>
      <c r="H1156" s="35"/>
      <c r="I1156" s="35"/>
    </row>
    <row r="1157" spans="3:9" ht="13.5" customHeight="1" x14ac:dyDescent="0.25">
      <c r="C1157" s="16"/>
      <c r="D1157" s="16"/>
      <c r="E1157" s="64"/>
      <c r="F1157" s="64"/>
      <c r="G1157" s="16"/>
      <c r="H1157" s="16"/>
      <c r="I1157" s="16"/>
    </row>
    <row r="1158" spans="3:9" ht="13.5" customHeight="1" x14ac:dyDescent="0.25">
      <c r="C1158" s="35"/>
      <c r="D1158" s="35"/>
      <c r="E1158" s="65"/>
      <c r="F1158" s="69"/>
      <c r="G1158" s="35"/>
      <c r="H1158" s="35"/>
      <c r="I1158" s="35"/>
    </row>
    <row r="1159" spans="3:9" ht="13.5" customHeight="1" x14ac:dyDescent="0.25">
      <c r="C1159" s="16"/>
      <c r="D1159" s="16"/>
      <c r="E1159" s="64"/>
      <c r="F1159" s="64"/>
      <c r="G1159" s="16"/>
      <c r="H1159" s="16"/>
      <c r="I1159" s="16"/>
    </row>
    <row r="1160" spans="3:9" ht="13.5" customHeight="1" x14ac:dyDescent="0.25">
      <c r="C1160" s="35"/>
      <c r="D1160" s="35"/>
      <c r="E1160" s="65"/>
      <c r="F1160" s="69"/>
      <c r="G1160" s="35"/>
      <c r="H1160" s="35"/>
      <c r="I1160" s="35"/>
    </row>
    <row r="1161" spans="3:9" ht="13.5" customHeight="1" x14ac:dyDescent="0.25">
      <c r="C1161" s="16"/>
      <c r="D1161" s="16"/>
      <c r="E1161" s="64"/>
      <c r="F1161" s="64"/>
      <c r="G1161" s="16"/>
      <c r="H1161" s="16"/>
      <c r="I1161" s="16"/>
    </row>
    <row r="1162" spans="3:9" ht="13.5" customHeight="1" x14ac:dyDescent="0.25">
      <c r="C1162" s="35"/>
      <c r="D1162" s="35"/>
      <c r="E1162" s="65"/>
      <c r="F1162" s="69"/>
      <c r="G1162" s="35"/>
      <c r="H1162" s="35"/>
      <c r="I1162" s="35"/>
    </row>
    <row r="1163" spans="3:9" ht="13.5" customHeight="1" x14ac:dyDescent="0.25">
      <c r="C1163" s="16"/>
      <c r="D1163" s="16"/>
      <c r="E1163" s="64"/>
      <c r="F1163" s="64"/>
      <c r="G1163" s="16"/>
      <c r="H1163" s="16"/>
      <c r="I1163" s="16"/>
    </row>
    <row r="1164" spans="3:9" ht="13.5" customHeight="1" x14ac:dyDescent="0.25">
      <c r="C1164" s="35"/>
      <c r="D1164" s="35"/>
      <c r="E1164" s="65"/>
      <c r="F1164" s="69"/>
      <c r="G1164" s="35"/>
      <c r="H1164" s="35"/>
      <c r="I1164" s="35"/>
    </row>
    <row r="1165" spans="3:9" ht="13.5" customHeight="1" x14ac:dyDescent="0.25">
      <c r="C1165" s="16"/>
      <c r="D1165" s="16"/>
      <c r="E1165" s="64"/>
      <c r="F1165" s="64"/>
      <c r="G1165" s="16"/>
      <c r="H1165" s="16"/>
      <c r="I1165" s="16"/>
    </row>
    <row r="1166" spans="3:9" ht="13.5" customHeight="1" x14ac:dyDescent="0.25">
      <c r="C1166" s="35"/>
      <c r="D1166" s="35"/>
      <c r="E1166" s="65"/>
      <c r="F1166" s="69"/>
      <c r="G1166" s="35"/>
      <c r="H1166" s="35"/>
      <c r="I1166" s="35"/>
    </row>
    <row r="1167" spans="3:9" ht="13.5" customHeight="1" x14ac:dyDescent="0.25">
      <c r="C1167" s="16"/>
      <c r="D1167" s="16"/>
      <c r="E1167" s="64"/>
      <c r="F1167" s="64"/>
      <c r="G1167" s="16"/>
      <c r="H1167" s="16"/>
      <c r="I1167" s="16"/>
    </row>
    <row r="1168" spans="3:9" ht="13.5" customHeight="1" x14ac:dyDescent="0.25">
      <c r="C1168" s="35"/>
      <c r="D1168" s="35"/>
      <c r="E1168" s="65"/>
      <c r="F1168" s="69"/>
      <c r="G1168" s="35"/>
      <c r="H1168" s="35"/>
      <c r="I1168" s="35"/>
    </row>
    <row r="1169" spans="3:9" ht="13.5" customHeight="1" x14ac:dyDescent="0.25">
      <c r="C1169" s="16"/>
      <c r="D1169" s="16"/>
      <c r="E1169" s="64"/>
      <c r="F1169" s="64"/>
      <c r="G1169" s="16"/>
      <c r="H1169" s="16"/>
      <c r="I1169" s="16"/>
    </row>
    <row r="1170" spans="3:9" ht="13.5" customHeight="1" x14ac:dyDescent="0.25">
      <c r="C1170" s="35"/>
      <c r="D1170" s="35"/>
      <c r="E1170" s="65"/>
      <c r="F1170" s="69"/>
      <c r="G1170" s="35"/>
      <c r="H1170" s="35"/>
      <c r="I1170" s="35"/>
    </row>
    <row r="1171" spans="3:9" ht="13.5" customHeight="1" x14ac:dyDescent="0.25">
      <c r="C1171" s="16"/>
      <c r="D1171" s="16"/>
      <c r="E1171" s="64"/>
      <c r="F1171" s="64"/>
      <c r="G1171" s="16"/>
      <c r="H1171" s="16"/>
      <c r="I1171" s="16"/>
    </row>
    <row r="1172" spans="3:9" ht="13.5" customHeight="1" x14ac:dyDescent="0.25">
      <c r="C1172" s="35"/>
      <c r="D1172" s="35"/>
      <c r="E1172" s="65"/>
      <c r="F1172" s="69"/>
      <c r="G1172" s="35"/>
      <c r="H1172" s="35"/>
      <c r="I1172" s="35"/>
    </row>
    <row r="1173" spans="3:9" ht="13.5" customHeight="1" x14ac:dyDescent="0.25">
      <c r="C1173" s="16"/>
      <c r="D1173" s="16"/>
      <c r="E1173" s="64"/>
      <c r="F1173" s="64"/>
      <c r="G1173" s="16"/>
      <c r="H1173" s="16"/>
      <c r="I1173" s="16"/>
    </row>
    <row r="1174" spans="3:9" ht="13.5" customHeight="1" x14ac:dyDescent="0.25">
      <c r="C1174" s="35"/>
      <c r="D1174" s="35"/>
      <c r="E1174" s="65"/>
      <c r="F1174" s="69"/>
      <c r="G1174" s="35"/>
      <c r="H1174" s="35"/>
      <c r="I1174" s="35"/>
    </row>
    <row r="1175" spans="3:9" ht="13.5" customHeight="1" x14ac:dyDescent="0.25">
      <c r="C1175" s="16"/>
      <c r="D1175" s="16"/>
      <c r="E1175" s="64"/>
      <c r="F1175" s="64"/>
      <c r="G1175" s="16"/>
      <c r="H1175" s="16"/>
      <c r="I1175" s="16"/>
    </row>
    <row r="1176" spans="3:9" ht="13.5" customHeight="1" x14ac:dyDescent="0.25">
      <c r="C1176" s="35"/>
      <c r="D1176" s="35"/>
      <c r="E1176" s="65"/>
      <c r="F1176" s="69"/>
      <c r="G1176" s="35"/>
      <c r="H1176" s="35"/>
      <c r="I1176" s="35"/>
    </row>
    <row r="1177" spans="3:9" ht="13.5" customHeight="1" x14ac:dyDescent="0.25">
      <c r="C1177" s="16"/>
      <c r="D1177" s="16"/>
      <c r="E1177" s="64"/>
      <c r="F1177" s="64"/>
      <c r="G1177" s="16"/>
      <c r="H1177" s="16"/>
      <c r="I1177" s="16"/>
    </row>
    <row r="1178" spans="3:9" ht="13.5" customHeight="1" x14ac:dyDescent="0.25">
      <c r="C1178" s="35"/>
      <c r="D1178" s="35"/>
      <c r="E1178" s="65"/>
      <c r="F1178" s="69"/>
      <c r="G1178" s="35"/>
      <c r="H1178" s="35"/>
      <c r="I1178" s="35"/>
    </row>
    <row r="1179" spans="3:9" ht="13.5" customHeight="1" x14ac:dyDescent="0.25">
      <c r="C1179" s="16"/>
      <c r="D1179" s="16"/>
      <c r="E1179" s="64"/>
      <c r="F1179" s="64"/>
      <c r="G1179" s="16"/>
      <c r="H1179" s="16"/>
      <c r="I1179" s="16"/>
    </row>
    <row r="1180" spans="3:9" ht="13.5" customHeight="1" x14ac:dyDescent="0.25">
      <c r="C1180" s="35"/>
      <c r="D1180" s="35"/>
      <c r="E1180" s="65"/>
      <c r="F1180" s="69"/>
      <c r="G1180" s="35"/>
      <c r="H1180" s="35"/>
      <c r="I1180" s="35"/>
    </row>
    <row r="1181" spans="3:9" ht="13.5" customHeight="1" x14ac:dyDescent="0.25">
      <c r="C1181" s="16"/>
      <c r="D1181" s="16"/>
      <c r="E1181" s="64"/>
      <c r="F1181" s="64"/>
      <c r="G1181" s="16"/>
      <c r="H1181" s="16"/>
      <c r="I1181" s="16"/>
    </row>
    <row r="1182" spans="3:9" ht="13.5" customHeight="1" x14ac:dyDescent="0.25">
      <c r="C1182" s="35"/>
      <c r="D1182" s="35"/>
      <c r="E1182" s="65"/>
      <c r="F1182" s="69"/>
      <c r="G1182" s="35"/>
      <c r="H1182" s="35"/>
      <c r="I1182" s="35"/>
    </row>
    <row r="1183" spans="3:9" ht="13.5" customHeight="1" x14ac:dyDescent="0.25">
      <c r="C1183" s="16"/>
      <c r="D1183" s="16"/>
      <c r="E1183" s="64"/>
      <c r="F1183" s="64"/>
      <c r="G1183" s="16"/>
      <c r="H1183" s="16"/>
      <c r="I1183" s="16"/>
    </row>
    <row r="1184" spans="3:9" ht="13.5" customHeight="1" x14ac:dyDescent="0.25">
      <c r="C1184" s="35"/>
      <c r="D1184" s="35"/>
      <c r="E1184" s="65"/>
      <c r="F1184" s="69"/>
      <c r="G1184" s="35"/>
      <c r="H1184" s="35"/>
      <c r="I1184" s="35"/>
    </row>
    <row r="1185" spans="3:9" ht="13.5" customHeight="1" x14ac:dyDescent="0.25">
      <c r="C1185" s="16"/>
      <c r="D1185" s="16"/>
      <c r="E1185" s="64"/>
      <c r="F1185" s="64"/>
      <c r="G1185" s="16"/>
      <c r="H1185" s="16"/>
      <c r="I1185" s="16"/>
    </row>
    <row r="1186" spans="3:9" ht="13.5" customHeight="1" x14ac:dyDescent="0.25">
      <c r="C1186" s="35"/>
      <c r="D1186" s="35"/>
      <c r="E1186" s="65"/>
      <c r="F1186" s="69"/>
      <c r="G1186" s="35"/>
      <c r="H1186" s="35"/>
      <c r="I1186" s="35"/>
    </row>
    <row r="1187" spans="3:9" ht="13.5" customHeight="1" x14ac:dyDescent="0.25">
      <c r="C1187" s="16"/>
      <c r="D1187" s="16"/>
      <c r="E1187" s="64"/>
      <c r="F1187" s="64"/>
      <c r="G1187" s="16"/>
      <c r="H1187" s="16"/>
      <c r="I1187" s="16"/>
    </row>
    <row r="1188" spans="3:9" ht="13.5" customHeight="1" x14ac:dyDescent="0.25">
      <c r="C1188" s="35"/>
      <c r="D1188" s="35"/>
      <c r="E1188" s="65"/>
      <c r="F1188" s="69"/>
      <c r="G1188" s="35"/>
      <c r="H1188" s="35"/>
      <c r="I1188" s="35"/>
    </row>
    <row r="1189" spans="3:9" ht="13.5" customHeight="1" x14ac:dyDescent="0.25">
      <c r="C1189" s="16"/>
      <c r="D1189" s="16"/>
      <c r="E1189" s="64"/>
      <c r="F1189" s="64"/>
      <c r="G1189" s="16"/>
      <c r="H1189" s="16"/>
      <c r="I1189" s="16"/>
    </row>
    <row r="1190" spans="3:9" ht="13.5" customHeight="1" x14ac:dyDescent="0.25">
      <c r="C1190" s="35"/>
      <c r="D1190" s="35"/>
      <c r="E1190" s="65"/>
      <c r="F1190" s="69"/>
      <c r="G1190" s="35"/>
      <c r="H1190" s="35"/>
      <c r="I1190" s="35"/>
    </row>
    <row r="1191" spans="3:9" ht="13.5" customHeight="1" x14ac:dyDescent="0.25">
      <c r="C1191" s="16"/>
      <c r="D1191" s="16"/>
      <c r="E1191" s="64"/>
      <c r="F1191" s="64"/>
      <c r="G1191" s="16"/>
      <c r="H1191" s="16"/>
      <c r="I1191" s="16"/>
    </row>
    <row r="1192" spans="3:9" ht="13.5" customHeight="1" x14ac:dyDescent="0.25">
      <c r="C1192" s="35"/>
      <c r="D1192" s="35"/>
      <c r="E1192" s="65"/>
      <c r="F1192" s="69"/>
      <c r="G1192" s="35"/>
      <c r="H1192" s="35"/>
      <c r="I1192" s="35"/>
    </row>
    <row r="1193" spans="3:9" ht="13.5" customHeight="1" x14ac:dyDescent="0.25">
      <c r="C1193" s="16"/>
      <c r="D1193" s="16"/>
      <c r="E1193" s="64"/>
      <c r="F1193" s="64"/>
      <c r="G1193" s="16"/>
      <c r="H1193" s="16"/>
      <c r="I1193" s="16"/>
    </row>
    <row r="1194" spans="3:9" ht="13.5" customHeight="1" x14ac:dyDescent="0.25">
      <c r="C1194" s="35"/>
      <c r="D1194" s="35"/>
      <c r="E1194" s="65"/>
      <c r="F1194" s="69"/>
      <c r="G1194" s="35"/>
      <c r="H1194" s="35"/>
      <c r="I1194" s="35"/>
    </row>
    <row r="1195" spans="3:9" ht="13.5" customHeight="1" x14ac:dyDescent="0.25">
      <c r="C1195" s="16"/>
      <c r="D1195" s="16"/>
      <c r="E1195" s="64"/>
      <c r="F1195" s="64"/>
      <c r="G1195" s="16"/>
      <c r="H1195" s="16"/>
      <c r="I1195" s="16"/>
    </row>
    <row r="1196" spans="3:9" ht="13.5" customHeight="1" x14ac:dyDescent="0.25">
      <c r="C1196" s="35"/>
      <c r="D1196" s="35"/>
      <c r="E1196" s="65"/>
      <c r="F1196" s="69"/>
      <c r="G1196" s="35"/>
      <c r="H1196" s="35"/>
      <c r="I1196" s="35"/>
    </row>
    <row r="1197" spans="3:9" ht="13.5" customHeight="1" x14ac:dyDescent="0.25">
      <c r="C1197" s="16"/>
      <c r="D1197" s="16"/>
      <c r="E1197" s="64"/>
      <c r="F1197" s="64"/>
      <c r="G1197" s="16"/>
      <c r="H1197" s="16"/>
      <c r="I1197" s="16"/>
    </row>
    <row r="1198" spans="3:9" ht="13.5" customHeight="1" x14ac:dyDescent="0.25">
      <c r="C1198" s="35"/>
      <c r="D1198" s="35"/>
      <c r="E1198" s="65"/>
      <c r="F1198" s="69"/>
      <c r="G1198" s="35"/>
      <c r="H1198" s="35"/>
      <c r="I1198" s="35"/>
    </row>
    <row r="1199" spans="3:9" ht="13.5" customHeight="1" x14ac:dyDescent="0.25">
      <c r="C1199" s="16"/>
      <c r="D1199" s="16"/>
      <c r="E1199" s="64"/>
      <c r="F1199" s="64"/>
      <c r="G1199" s="16"/>
      <c r="H1199" s="16"/>
      <c r="I1199" s="16"/>
    </row>
    <row r="1200" spans="3:9" ht="13.5" customHeight="1" x14ac:dyDescent="0.25">
      <c r="C1200" s="35"/>
      <c r="D1200" s="35"/>
      <c r="E1200" s="65"/>
      <c r="F1200" s="69"/>
      <c r="G1200" s="35"/>
      <c r="H1200" s="35"/>
      <c r="I1200" s="35"/>
    </row>
    <row r="1201" spans="3:9" ht="13.5" customHeight="1" x14ac:dyDescent="0.25">
      <c r="C1201" s="16"/>
      <c r="D1201" s="16"/>
      <c r="E1201" s="64"/>
      <c r="F1201" s="64"/>
      <c r="G1201" s="16"/>
      <c r="H1201" s="16"/>
      <c r="I1201" s="16"/>
    </row>
    <row r="1202" spans="3:9" ht="13.5" customHeight="1" x14ac:dyDescent="0.25">
      <c r="C1202" s="35"/>
      <c r="D1202" s="35"/>
      <c r="E1202" s="65"/>
      <c r="F1202" s="69"/>
      <c r="G1202" s="35"/>
      <c r="H1202" s="35"/>
      <c r="I1202" s="35"/>
    </row>
    <row r="1203" spans="3:9" ht="13.5" customHeight="1" x14ac:dyDescent="0.25">
      <c r="C1203" s="16"/>
      <c r="D1203" s="16"/>
      <c r="E1203" s="64"/>
      <c r="F1203" s="64"/>
      <c r="G1203" s="16"/>
      <c r="H1203" s="16"/>
      <c r="I1203" s="16"/>
    </row>
    <row r="1204" spans="3:9" ht="13.5" customHeight="1" x14ac:dyDescent="0.25">
      <c r="C1204" s="35"/>
      <c r="D1204" s="35"/>
      <c r="E1204" s="65"/>
      <c r="F1204" s="69"/>
      <c r="G1204" s="35"/>
      <c r="H1204" s="35"/>
      <c r="I1204" s="35"/>
    </row>
    <row r="1205" spans="3:9" ht="13.5" customHeight="1" x14ac:dyDescent="0.25">
      <c r="C1205" s="16"/>
      <c r="D1205" s="16"/>
      <c r="E1205" s="64"/>
      <c r="F1205" s="64"/>
      <c r="G1205" s="16"/>
      <c r="H1205" s="16"/>
      <c r="I1205" s="16"/>
    </row>
    <row r="1206" spans="3:9" ht="13.5" customHeight="1" x14ac:dyDescent="0.25">
      <c r="C1206" s="35"/>
      <c r="D1206" s="35"/>
      <c r="E1206" s="65"/>
      <c r="F1206" s="69"/>
      <c r="G1206" s="35"/>
      <c r="H1206" s="35"/>
      <c r="I1206" s="35"/>
    </row>
    <row r="1207" spans="3:9" ht="13.5" customHeight="1" x14ac:dyDescent="0.25">
      <c r="C1207" s="16"/>
      <c r="D1207" s="16"/>
      <c r="E1207" s="64"/>
      <c r="F1207" s="64"/>
      <c r="G1207" s="16"/>
      <c r="H1207" s="16"/>
      <c r="I1207" s="16"/>
    </row>
    <row r="1208" spans="3:9" ht="13.5" customHeight="1" x14ac:dyDescent="0.25">
      <c r="C1208" s="35"/>
      <c r="D1208" s="35"/>
      <c r="E1208" s="65"/>
      <c r="F1208" s="69"/>
      <c r="G1208" s="35"/>
      <c r="H1208" s="35"/>
      <c r="I1208" s="35"/>
    </row>
    <row r="1209" spans="3:9" ht="13.5" customHeight="1" x14ac:dyDescent="0.25">
      <c r="C1209" s="16"/>
      <c r="D1209" s="16"/>
      <c r="E1209" s="64"/>
      <c r="F1209" s="64"/>
      <c r="G1209" s="16"/>
      <c r="H1209" s="16"/>
      <c r="I1209" s="16"/>
    </row>
    <row r="1210" spans="3:9" ht="13.5" customHeight="1" x14ac:dyDescent="0.25">
      <c r="C1210" s="35"/>
      <c r="D1210" s="35"/>
      <c r="E1210" s="65"/>
      <c r="F1210" s="69"/>
      <c r="G1210" s="35"/>
      <c r="H1210" s="35"/>
      <c r="I1210" s="35"/>
    </row>
    <row r="1211" spans="3:9" ht="13.5" customHeight="1" x14ac:dyDescent="0.25">
      <c r="C1211" s="16"/>
      <c r="D1211" s="16"/>
      <c r="E1211" s="64"/>
      <c r="F1211" s="64"/>
      <c r="G1211" s="16"/>
      <c r="H1211" s="16"/>
      <c r="I1211" s="16"/>
    </row>
    <row r="1212" spans="3:9" ht="13.5" customHeight="1" x14ac:dyDescent="0.25">
      <c r="C1212" s="35"/>
      <c r="D1212" s="35"/>
      <c r="E1212" s="65"/>
      <c r="F1212" s="69"/>
      <c r="G1212" s="35"/>
      <c r="H1212" s="35"/>
      <c r="I1212" s="35"/>
    </row>
    <row r="1213" spans="3:9" ht="13.5" customHeight="1" x14ac:dyDescent="0.25">
      <c r="C1213" s="16"/>
      <c r="D1213" s="16"/>
      <c r="E1213" s="64"/>
      <c r="F1213" s="64"/>
      <c r="G1213" s="16"/>
      <c r="H1213" s="16"/>
      <c r="I1213" s="16"/>
    </row>
    <row r="1214" spans="3:9" ht="13.5" customHeight="1" x14ac:dyDescent="0.25">
      <c r="C1214" s="35"/>
      <c r="D1214" s="35"/>
      <c r="E1214" s="65"/>
      <c r="F1214" s="69"/>
      <c r="G1214" s="35"/>
      <c r="H1214" s="35"/>
      <c r="I1214" s="35"/>
    </row>
    <row r="1215" spans="3:9" ht="13.5" customHeight="1" x14ac:dyDescent="0.25">
      <c r="C1215" s="16"/>
      <c r="D1215" s="16"/>
      <c r="E1215" s="64"/>
      <c r="F1215" s="64"/>
      <c r="G1215" s="16"/>
      <c r="H1215" s="16"/>
      <c r="I1215" s="16"/>
    </row>
    <row r="1216" spans="3:9" ht="13.5" customHeight="1" x14ac:dyDescent="0.25">
      <c r="C1216" s="35"/>
      <c r="D1216" s="35"/>
      <c r="E1216" s="65"/>
      <c r="F1216" s="69"/>
      <c r="G1216" s="35"/>
      <c r="H1216" s="35"/>
      <c r="I1216" s="35"/>
    </row>
    <row r="1217" spans="3:9" ht="13.5" customHeight="1" x14ac:dyDescent="0.25">
      <c r="C1217" s="16"/>
      <c r="D1217" s="16"/>
      <c r="E1217" s="64"/>
      <c r="F1217" s="64"/>
      <c r="G1217" s="16"/>
      <c r="H1217" s="16"/>
      <c r="I1217" s="16"/>
    </row>
    <row r="1218" spans="3:9" ht="13.5" customHeight="1" x14ac:dyDescent="0.25">
      <c r="C1218" s="35"/>
      <c r="D1218" s="35"/>
      <c r="E1218" s="65"/>
      <c r="F1218" s="69"/>
      <c r="G1218" s="35"/>
      <c r="H1218" s="35"/>
      <c r="I1218" s="35"/>
    </row>
    <row r="1219" spans="3:9" ht="13.5" customHeight="1" x14ac:dyDescent="0.25">
      <c r="C1219" s="16"/>
      <c r="D1219" s="16"/>
      <c r="E1219" s="64"/>
      <c r="F1219" s="64"/>
      <c r="G1219" s="16"/>
      <c r="H1219" s="16"/>
      <c r="I1219" s="16"/>
    </row>
    <row r="1220" spans="3:9" ht="13.5" customHeight="1" x14ac:dyDescent="0.25">
      <c r="C1220" s="35"/>
      <c r="D1220" s="35"/>
      <c r="E1220" s="65"/>
      <c r="F1220" s="69"/>
      <c r="G1220" s="35"/>
      <c r="H1220" s="35"/>
      <c r="I1220" s="35"/>
    </row>
    <row r="1221" spans="3:9" ht="13.5" customHeight="1" x14ac:dyDescent="0.25">
      <c r="C1221" s="16"/>
      <c r="D1221" s="16"/>
      <c r="E1221" s="64"/>
      <c r="F1221" s="64"/>
      <c r="G1221" s="16"/>
      <c r="H1221" s="16"/>
      <c r="I1221" s="16"/>
    </row>
    <row r="1222" spans="3:9" ht="13.5" customHeight="1" x14ac:dyDescent="0.25">
      <c r="C1222" s="35"/>
      <c r="D1222" s="35"/>
      <c r="E1222" s="65"/>
      <c r="F1222" s="69"/>
      <c r="G1222" s="35"/>
      <c r="H1222" s="35"/>
      <c r="I1222" s="35"/>
    </row>
    <row r="1223" spans="3:9" ht="13.5" customHeight="1" x14ac:dyDescent="0.25">
      <c r="C1223" s="16"/>
      <c r="D1223" s="16"/>
      <c r="E1223" s="64"/>
      <c r="F1223" s="64"/>
      <c r="G1223" s="16"/>
      <c r="H1223" s="16"/>
      <c r="I1223" s="16"/>
    </row>
    <row r="1224" spans="3:9" ht="13.5" customHeight="1" x14ac:dyDescent="0.25">
      <c r="C1224" s="35"/>
      <c r="D1224" s="35"/>
      <c r="E1224" s="65"/>
      <c r="F1224" s="69"/>
      <c r="G1224" s="35"/>
      <c r="H1224" s="35"/>
      <c r="I1224" s="35"/>
    </row>
    <row r="1225" spans="3:9" ht="13.5" customHeight="1" x14ac:dyDescent="0.25">
      <c r="C1225" s="16"/>
      <c r="D1225" s="16"/>
      <c r="E1225" s="64"/>
      <c r="F1225" s="64"/>
      <c r="G1225" s="16"/>
      <c r="H1225" s="16"/>
      <c r="I1225" s="16"/>
    </row>
    <row r="1226" spans="3:9" ht="13.5" customHeight="1" x14ac:dyDescent="0.25">
      <c r="C1226" s="35"/>
      <c r="D1226" s="35"/>
      <c r="E1226" s="65"/>
      <c r="F1226" s="69"/>
      <c r="G1226" s="35"/>
      <c r="H1226" s="35"/>
      <c r="I1226" s="35"/>
    </row>
    <row r="1227" spans="3:9" ht="13.5" customHeight="1" x14ac:dyDescent="0.25">
      <c r="C1227" s="16"/>
      <c r="D1227" s="16"/>
      <c r="E1227" s="64"/>
      <c r="F1227" s="64"/>
      <c r="G1227" s="16"/>
      <c r="H1227" s="16"/>
      <c r="I1227" s="16"/>
    </row>
    <row r="1228" spans="3:9" ht="13.5" customHeight="1" x14ac:dyDescent="0.25">
      <c r="C1228" s="35"/>
      <c r="D1228" s="35"/>
      <c r="E1228" s="65"/>
      <c r="F1228" s="69"/>
      <c r="G1228" s="35"/>
      <c r="H1228" s="35"/>
      <c r="I1228" s="35"/>
    </row>
    <row r="1229" spans="3:9" ht="13.5" customHeight="1" x14ac:dyDescent="0.25">
      <c r="C1229" s="16"/>
      <c r="D1229" s="16"/>
      <c r="E1229" s="64"/>
      <c r="F1229" s="64"/>
      <c r="G1229" s="16"/>
      <c r="H1229" s="16"/>
      <c r="I1229" s="16"/>
    </row>
    <row r="1230" spans="3:9" ht="13.5" customHeight="1" x14ac:dyDescent="0.25">
      <c r="C1230" s="35"/>
      <c r="D1230" s="35"/>
      <c r="E1230" s="65"/>
      <c r="F1230" s="69"/>
      <c r="G1230" s="35"/>
      <c r="H1230" s="35"/>
      <c r="I1230" s="35"/>
    </row>
    <row r="1231" spans="3:9" ht="13.5" customHeight="1" x14ac:dyDescent="0.25">
      <c r="C1231" s="16"/>
      <c r="D1231" s="16"/>
      <c r="E1231" s="64"/>
      <c r="F1231" s="64"/>
      <c r="G1231" s="16"/>
      <c r="H1231" s="16"/>
      <c r="I1231" s="16"/>
    </row>
    <row r="1232" spans="3:9" ht="13.5" customHeight="1" x14ac:dyDescent="0.25">
      <c r="C1232" s="35"/>
      <c r="D1232" s="35"/>
      <c r="E1232" s="65"/>
      <c r="F1232" s="69"/>
      <c r="G1232" s="35"/>
      <c r="H1232" s="35"/>
      <c r="I1232" s="35"/>
    </row>
    <row r="1233" spans="3:9" ht="13.5" customHeight="1" x14ac:dyDescent="0.25">
      <c r="C1233" s="16"/>
      <c r="D1233" s="16"/>
      <c r="E1233" s="64"/>
      <c r="F1233" s="64"/>
      <c r="G1233" s="16"/>
      <c r="H1233" s="16"/>
      <c r="I1233" s="16"/>
    </row>
    <row r="1234" spans="3:9" ht="13.5" customHeight="1" x14ac:dyDescent="0.25">
      <c r="C1234" s="35"/>
      <c r="D1234" s="35"/>
      <c r="E1234" s="65"/>
      <c r="F1234" s="69"/>
      <c r="G1234" s="35"/>
      <c r="H1234" s="35"/>
      <c r="I1234" s="35"/>
    </row>
    <row r="1235" spans="3:9" ht="13.5" customHeight="1" x14ac:dyDescent="0.25">
      <c r="C1235" s="16"/>
      <c r="D1235" s="16"/>
      <c r="E1235" s="64"/>
      <c r="F1235" s="64"/>
      <c r="G1235" s="16"/>
      <c r="H1235" s="16"/>
      <c r="I1235" s="16"/>
    </row>
    <row r="1236" spans="3:9" ht="13.5" customHeight="1" x14ac:dyDescent="0.25">
      <c r="C1236" s="35"/>
      <c r="D1236" s="35"/>
      <c r="E1236" s="65"/>
      <c r="F1236" s="69"/>
      <c r="G1236" s="35"/>
      <c r="H1236" s="35"/>
      <c r="I1236" s="35"/>
    </row>
    <row r="1237" spans="3:9" ht="13.5" customHeight="1" x14ac:dyDescent="0.25">
      <c r="C1237" s="16"/>
      <c r="D1237" s="16"/>
      <c r="E1237" s="64"/>
      <c r="F1237" s="64"/>
      <c r="G1237" s="16"/>
      <c r="H1237" s="16"/>
      <c r="I1237" s="16"/>
    </row>
    <row r="1238" spans="3:9" ht="13.5" customHeight="1" x14ac:dyDescent="0.25">
      <c r="C1238" s="35"/>
      <c r="D1238" s="35"/>
      <c r="E1238" s="65"/>
      <c r="F1238" s="69"/>
      <c r="G1238" s="35"/>
      <c r="H1238" s="35"/>
      <c r="I1238" s="35"/>
    </row>
    <row r="1239" spans="3:9" ht="13.5" customHeight="1" x14ac:dyDescent="0.25">
      <c r="C1239" s="16"/>
      <c r="D1239" s="16"/>
      <c r="E1239" s="64"/>
      <c r="F1239" s="64"/>
      <c r="G1239" s="16"/>
      <c r="H1239" s="16"/>
      <c r="I1239" s="16"/>
    </row>
    <row r="1240" spans="3:9" ht="13.5" customHeight="1" x14ac:dyDescent="0.25">
      <c r="C1240" s="35"/>
      <c r="D1240" s="35"/>
      <c r="E1240" s="65"/>
      <c r="F1240" s="69"/>
      <c r="G1240" s="35"/>
      <c r="H1240" s="35"/>
      <c r="I1240" s="35"/>
    </row>
    <row r="1241" spans="3:9" ht="13.5" customHeight="1" x14ac:dyDescent="0.25">
      <c r="C1241" s="16"/>
      <c r="D1241" s="16"/>
      <c r="E1241" s="64"/>
      <c r="F1241" s="64"/>
      <c r="G1241" s="16"/>
      <c r="H1241" s="16"/>
      <c r="I1241" s="16"/>
    </row>
    <row r="1242" spans="3:9" ht="13.5" customHeight="1" x14ac:dyDescent="0.25">
      <c r="C1242" s="35"/>
      <c r="D1242" s="35"/>
      <c r="E1242" s="65"/>
      <c r="F1242" s="69"/>
      <c r="G1242" s="35"/>
      <c r="H1242" s="35"/>
      <c r="I1242" s="35"/>
    </row>
    <row r="1243" spans="3:9" ht="13.5" customHeight="1" x14ac:dyDescent="0.25">
      <c r="C1243" s="16"/>
      <c r="D1243" s="16"/>
      <c r="E1243" s="64"/>
      <c r="F1243" s="64"/>
      <c r="G1243" s="16"/>
      <c r="H1243" s="16"/>
      <c r="I1243" s="16"/>
    </row>
    <row r="1244" spans="3:9" ht="13.5" customHeight="1" x14ac:dyDescent="0.25">
      <c r="C1244" s="35"/>
      <c r="D1244" s="35"/>
      <c r="E1244" s="65"/>
      <c r="F1244" s="69"/>
      <c r="G1244" s="35"/>
      <c r="H1244" s="35"/>
      <c r="I1244" s="35"/>
    </row>
    <row r="1245" spans="3:9" ht="13.5" customHeight="1" x14ac:dyDescent="0.25">
      <c r="C1245" s="16"/>
      <c r="D1245" s="16"/>
      <c r="E1245" s="64"/>
      <c r="F1245" s="64"/>
      <c r="G1245" s="16"/>
      <c r="H1245" s="16"/>
      <c r="I1245" s="16"/>
    </row>
    <row r="1246" spans="3:9" ht="13.5" customHeight="1" x14ac:dyDescent="0.25">
      <c r="C1246" s="35"/>
      <c r="D1246" s="35"/>
      <c r="E1246" s="65"/>
      <c r="F1246" s="69"/>
      <c r="G1246" s="35"/>
      <c r="H1246" s="35"/>
      <c r="I1246" s="35"/>
    </row>
    <row r="1247" spans="3:9" ht="13.5" customHeight="1" x14ac:dyDescent="0.25">
      <c r="C1247" s="16"/>
      <c r="D1247" s="16"/>
      <c r="E1247" s="64"/>
      <c r="F1247" s="64"/>
      <c r="G1247" s="16"/>
      <c r="H1247" s="16"/>
      <c r="I1247" s="16"/>
    </row>
    <row r="1248" spans="3:9" ht="13.5" customHeight="1" x14ac:dyDescent="0.25">
      <c r="C1248" s="35"/>
      <c r="D1248" s="35"/>
      <c r="E1248" s="65"/>
      <c r="F1248" s="69"/>
      <c r="G1248" s="35"/>
      <c r="H1248" s="35"/>
      <c r="I1248" s="35"/>
    </row>
    <row r="1249" spans="3:9" ht="13.5" customHeight="1" x14ac:dyDescent="0.25">
      <c r="C1249" s="16"/>
      <c r="D1249" s="16"/>
      <c r="E1249" s="64"/>
      <c r="F1249" s="64"/>
      <c r="G1249" s="16"/>
      <c r="H1249" s="16"/>
      <c r="I1249" s="16"/>
    </row>
    <row r="1250" spans="3:9" ht="13.5" customHeight="1" x14ac:dyDescent="0.25">
      <c r="C1250" s="35"/>
      <c r="D1250" s="35"/>
      <c r="E1250" s="65"/>
      <c r="F1250" s="69"/>
      <c r="G1250" s="35"/>
      <c r="H1250" s="35"/>
      <c r="I1250" s="35"/>
    </row>
    <row r="1251" spans="3:9" ht="13.5" customHeight="1" x14ac:dyDescent="0.25">
      <c r="C1251" s="16"/>
      <c r="D1251" s="16"/>
      <c r="E1251" s="64"/>
      <c r="F1251" s="64"/>
      <c r="G1251" s="16"/>
      <c r="H1251" s="16"/>
      <c r="I1251" s="16"/>
    </row>
    <row r="1252" spans="3:9" ht="13.5" customHeight="1" x14ac:dyDescent="0.25">
      <c r="C1252" s="35"/>
      <c r="D1252" s="35"/>
      <c r="E1252" s="65"/>
      <c r="F1252" s="69"/>
      <c r="G1252" s="35"/>
      <c r="H1252" s="35"/>
      <c r="I1252" s="35"/>
    </row>
    <row r="1253" spans="3:9" ht="13.5" customHeight="1" x14ac:dyDescent="0.25">
      <c r="C1253" s="16"/>
      <c r="D1253" s="16"/>
      <c r="E1253" s="64"/>
      <c r="F1253" s="64"/>
      <c r="G1253" s="16"/>
      <c r="H1253" s="16"/>
      <c r="I1253" s="16"/>
    </row>
    <row r="1254" spans="3:9" ht="13.5" customHeight="1" x14ac:dyDescent="0.25">
      <c r="C1254" s="35"/>
      <c r="D1254" s="35"/>
      <c r="E1254" s="65"/>
      <c r="F1254" s="69"/>
      <c r="G1254" s="35"/>
      <c r="H1254" s="35"/>
      <c r="I1254" s="35"/>
    </row>
    <row r="1255" spans="3:9" ht="13.5" customHeight="1" x14ac:dyDescent="0.25">
      <c r="C1255" s="16"/>
      <c r="D1255" s="16"/>
      <c r="E1255" s="64"/>
      <c r="F1255" s="64"/>
      <c r="G1255" s="16"/>
      <c r="H1255" s="16"/>
      <c r="I1255" s="16"/>
    </row>
    <row r="1256" spans="3:9" ht="13.5" customHeight="1" x14ac:dyDescent="0.25">
      <c r="C1256" s="35"/>
      <c r="D1256" s="35"/>
      <c r="E1256" s="65"/>
      <c r="F1256" s="69"/>
      <c r="G1256" s="35"/>
      <c r="H1256" s="35"/>
      <c r="I1256" s="35"/>
    </row>
    <row r="1257" spans="3:9" ht="13.5" customHeight="1" x14ac:dyDescent="0.25">
      <c r="C1257" s="16"/>
      <c r="D1257" s="16"/>
      <c r="E1257" s="64"/>
      <c r="F1257" s="64"/>
      <c r="G1257" s="16"/>
      <c r="H1257" s="16"/>
      <c r="I1257" s="16"/>
    </row>
    <row r="1258" spans="3:9" ht="13.5" customHeight="1" x14ac:dyDescent="0.25">
      <c r="C1258" s="35"/>
      <c r="D1258" s="35"/>
      <c r="E1258" s="65"/>
      <c r="F1258" s="69"/>
      <c r="G1258" s="35"/>
      <c r="H1258" s="35"/>
      <c r="I1258" s="35"/>
    </row>
    <row r="1259" spans="3:9" ht="13.5" customHeight="1" x14ac:dyDescent="0.25">
      <c r="C1259" s="16"/>
      <c r="D1259" s="16"/>
      <c r="E1259" s="64"/>
      <c r="F1259" s="64"/>
      <c r="G1259" s="16"/>
      <c r="H1259" s="16"/>
      <c r="I1259" s="16"/>
    </row>
    <row r="1260" spans="3:9" ht="13.5" customHeight="1" x14ac:dyDescent="0.25">
      <c r="C1260" s="35"/>
      <c r="D1260" s="35"/>
      <c r="E1260" s="65"/>
      <c r="F1260" s="69"/>
      <c r="G1260" s="35"/>
      <c r="H1260" s="35"/>
      <c r="I1260" s="35"/>
    </row>
    <row r="1261" spans="3:9" ht="13.5" customHeight="1" x14ac:dyDescent="0.25">
      <c r="C1261" s="16"/>
      <c r="D1261" s="16"/>
      <c r="E1261" s="64"/>
      <c r="F1261" s="64"/>
      <c r="G1261" s="16"/>
      <c r="H1261" s="16"/>
      <c r="I1261" s="16"/>
    </row>
    <row r="1262" spans="3:9" ht="13.5" customHeight="1" x14ac:dyDescent="0.25">
      <c r="C1262" s="35"/>
      <c r="D1262" s="35"/>
      <c r="E1262" s="65"/>
      <c r="F1262" s="69"/>
      <c r="G1262" s="35"/>
      <c r="H1262" s="35"/>
      <c r="I1262" s="35"/>
    </row>
    <row r="1263" spans="3:9" ht="13.5" customHeight="1" x14ac:dyDescent="0.25">
      <c r="C1263" s="16"/>
      <c r="D1263" s="16"/>
      <c r="E1263" s="64"/>
      <c r="F1263" s="64"/>
      <c r="G1263" s="16"/>
      <c r="H1263" s="16"/>
      <c r="I1263" s="16"/>
    </row>
    <row r="1264" spans="3:9" ht="13.5" customHeight="1" x14ac:dyDescent="0.25">
      <c r="C1264" s="35"/>
      <c r="D1264" s="35"/>
      <c r="E1264" s="65"/>
      <c r="F1264" s="69"/>
      <c r="G1264" s="35"/>
      <c r="H1264" s="35"/>
      <c r="I1264" s="35"/>
    </row>
    <row r="1265" spans="3:9" ht="13.5" customHeight="1" x14ac:dyDescent="0.25">
      <c r="C1265" s="16"/>
      <c r="D1265" s="16"/>
      <c r="E1265" s="64"/>
      <c r="F1265" s="64"/>
      <c r="G1265" s="16"/>
      <c r="H1265" s="16"/>
      <c r="I1265" s="16"/>
    </row>
    <row r="1266" spans="3:9" ht="13.5" customHeight="1" x14ac:dyDescent="0.25">
      <c r="C1266" s="35"/>
      <c r="D1266" s="35"/>
      <c r="E1266" s="65"/>
      <c r="F1266" s="69"/>
      <c r="G1266" s="35"/>
      <c r="H1266" s="35"/>
      <c r="I1266" s="35"/>
    </row>
    <row r="1267" spans="3:9" ht="13.5" customHeight="1" x14ac:dyDescent="0.25">
      <c r="C1267" s="16"/>
      <c r="D1267" s="16"/>
      <c r="E1267" s="64"/>
      <c r="F1267" s="64"/>
      <c r="G1267" s="16"/>
      <c r="H1267" s="16"/>
      <c r="I1267" s="16"/>
    </row>
    <row r="1268" spans="3:9" ht="13.5" customHeight="1" x14ac:dyDescent="0.25">
      <c r="C1268" s="35"/>
      <c r="D1268" s="35"/>
      <c r="E1268" s="65"/>
      <c r="F1268" s="69"/>
      <c r="G1268" s="35"/>
      <c r="H1268" s="35"/>
      <c r="I1268" s="35"/>
    </row>
    <row r="1269" spans="3:9" ht="13.5" customHeight="1" x14ac:dyDescent="0.25">
      <c r="C1269" s="16"/>
      <c r="D1269" s="16"/>
      <c r="E1269" s="64"/>
      <c r="F1269" s="64"/>
      <c r="G1269" s="16"/>
      <c r="H1269" s="16"/>
      <c r="I1269" s="16"/>
    </row>
    <row r="1270" spans="3:9" ht="13.5" customHeight="1" x14ac:dyDescent="0.25">
      <c r="C1270" s="35"/>
      <c r="D1270" s="35"/>
      <c r="E1270" s="65"/>
      <c r="F1270" s="69"/>
      <c r="G1270" s="35"/>
      <c r="H1270" s="35"/>
      <c r="I1270" s="35"/>
    </row>
    <row r="1271" spans="3:9" ht="13.5" customHeight="1" x14ac:dyDescent="0.25">
      <c r="C1271" s="16"/>
      <c r="D1271" s="16"/>
      <c r="E1271" s="64"/>
      <c r="F1271" s="64"/>
      <c r="G1271" s="16"/>
      <c r="H1271" s="16"/>
      <c r="I1271" s="16"/>
    </row>
    <row r="1272" spans="3:9" ht="13.5" customHeight="1" x14ac:dyDescent="0.25">
      <c r="C1272" s="35"/>
      <c r="D1272" s="35"/>
      <c r="E1272" s="65"/>
      <c r="F1272" s="69"/>
      <c r="G1272" s="35"/>
      <c r="H1272" s="35"/>
      <c r="I1272" s="35"/>
    </row>
    <row r="1273" spans="3:9" ht="13.5" customHeight="1" x14ac:dyDescent="0.25">
      <c r="C1273" s="16"/>
      <c r="D1273" s="16"/>
      <c r="E1273" s="64"/>
      <c r="F1273" s="64"/>
      <c r="G1273" s="16"/>
      <c r="H1273" s="16"/>
      <c r="I1273" s="16"/>
    </row>
    <row r="1274" spans="3:9" ht="13.5" customHeight="1" x14ac:dyDescent="0.25">
      <c r="C1274" s="35"/>
      <c r="D1274" s="35"/>
      <c r="E1274" s="65"/>
      <c r="F1274" s="69"/>
      <c r="G1274" s="35"/>
      <c r="H1274" s="35"/>
      <c r="I1274" s="35"/>
    </row>
    <row r="1275" spans="3:9" ht="13.5" customHeight="1" x14ac:dyDescent="0.25">
      <c r="C1275" s="16"/>
      <c r="D1275" s="16"/>
      <c r="E1275" s="64"/>
      <c r="F1275" s="64"/>
      <c r="G1275" s="16"/>
      <c r="H1275" s="16"/>
      <c r="I1275" s="16"/>
    </row>
    <row r="1276" spans="3:9" ht="13.5" customHeight="1" x14ac:dyDescent="0.25">
      <c r="C1276" s="35"/>
      <c r="D1276" s="35"/>
      <c r="E1276" s="65"/>
      <c r="F1276" s="69"/>
      <c r="G1276" s="35"/>
      <c r="H1276" s="35"/>
      <c r="I1276" s="35"/>
    </row>
    <row r="1277" spans="3:9" ht="13.5" customHeight="1" x14ac:dyDescent="0.25">
      <c r="C1277" s="16"/>
      <c r="D1277" s="16"/>
      <c r="E1277" s="64"/>
      <c r="F1277" s="64"/>
      <c r="G1277" s="16"/>
      <c r="H1277" s="16"/>
      <c r="I1277" s="16"/>
    </row>
    <row r="1278" spans="3:9" ht="13.5" customHeight="1" x14ac:dyDescent="0.25">
      <c r="C1278" s="35"/>
      <c r="D1278" s="35"/>
      <c r="E1278" s="65"/>
      <c r="F1278" s="69"/>
      <c r="G1278" s="35"/>
      <c r="H1278" s="35"/>
      <c r="I1278" s="35"/>
    </row>
    <row r="1279" spans="3:9" ht="13.5" customHeight="1" x14ac:dyDescent="0.25">
      <c r="C1279" s="16"/>
      <c r="D1279" s="16"/>
      <c r="E1279" s="64"/>
      <c r="F1279" s="64"/>
      <c r="G1279" s="16"/>
      <c r="H1279" s="16"/>
      <c r="I1279" s="16"/>
    </row>
    <row r="1280" spans="3:9" ht="13.5" customHeight="1" x14ac:dyDescent="0.25">
      <c r="C1280" s="35"/>
      <c r="D1280" s="35"/>
      <c r="E1280" s="65"/>
      <c r="F1280" s="69"/>
      <c r="G1280" s="35"/>
      <c r="H1280" s="35"/>
      <c r="I1280" s="35"/>
    </row>
    <row r="1281" spans="3:9" ht="13.5" customHeight="1" x14ac:dyDescent="0.25">
      <c r="C1281" s="16"/>
      <c r="D1281" s="16"/>
      <c r="E1281" s="64"/>
      <c r="F1281" s="64"/>
      <c r="G1281" s="16"/>
      <c r="H1281" s="16"/>
      <c r="I1281" s="16"/>
    </row>
    <row r="1282" spans="3:9" ht="13.5" customHeight="1" x14ac:dyDescent="0.25">
      <c r="C1282" s="35"/>
      <c r="D1282" s="35"/>
      <c r="E1282" s="65"/>
      <c r="F1282" s="69"/>
      <c r="G1282" s="35"/>
      <c r="H1282" s="35"/>
      <c r="I1282" s="35"/>
    </row>
    <row r="1283" spans="3:9" ht="13.5" customHeight="1" x14ac:dyDescent="0.25">
      <c r="C1283" s="16"/>
      <c r="D1283" s="16"/>
      <c r="E1283" s="64"/>
      <c r="F1283" s="64"/>
      <c r="G1283" s="16"/>
      <c r="H1283" s="16"/>
      <c r="I1283" s="16"/>
    </row>
    <row r="1284" spans="3:9" ht="13.5" customHeight="1" x14ac:dyDescent="0.25">
      <c r="C1284" s="35"/>
      <c r="D1284" s="35"/>
      <c r="E1284" s="65"/>
      <c r="F1284" s="69"/>
      <c r="G1284" s="35"/>
      <c r="H1284" s="35"/>
      <c r="I1284" s="35"/>
    </row>
    <row r="1285" spans="3:9" ht="13.5" customHeight="1" x14ac:dyDescent="0.25">
      <c r="C1285" s="16"/>
      <c r="D1285" s="16"/>
      <c r="E1285" s="64"/>
      <c r="F1285" s="64"/>
      <c r="G1285" s="16"/>
      <c r="H1285" s="16"/>
      <c r="I1285" s="16"/>
    </row>
    <row r="1286" spans="3:9" ht="13.5" customHeight="1" x14ac:dyDescent="0.25">
      <c r="C1286" s="35"/>
      <c r="D1286" s="35"/>
      <c r="E1286" s="65"/>
      <c r="F1286" s="69"/>
      <c r="G1286" s="35"/>
      <c r="H1286" s="35"/>
      <c r="I1286" s="35"/>
    </row>
    <row r="1287" spans="3:9" ht="13.5" customHeight="1" x14ac:dyDescent="0.25">
      <c r="C1287" s="16"/>
      <c r="D1287" s="16"/>
      <c r="E1287" s="64"/>
      <c r="F1287" s="64"/>
      <c r="G1287" s="16"/>
      <c r="H1287" s="16"/>
      <c r="I1287" s="16"/>
    </row>
    <row r="1288" spans="3:9" ht="13.5" customHeight="1" x14ac:dyDescent="0.25">
      <c r="C1288" s="35"/>
      <c r="D1288" s="35"/>
      <c r="E1288" s="65"/>
      <c r="F1288" s="69"/>
      <c r="G1288" s="35"/>
      <c r="H1288" s="35"/>
      <c r="I1288" s="35"/>
    </row>
    <row r="1289" spans="3:9" ht="13.5" customHeight="1" x14ac:dyDescent="0.25">
      <c r="C1289" s="16"/>
      <c r="D1289" s="16"/>
      <c r="E1289" s="64"/>
      <c r="F1289" s="64"/>
      <c r="G1289" s="16"/>
      <c r="H1289" s="16"/>
      <c r="I1289" s="16"/>
    </row>
    <row r="1290" spans="3:9" ht="13.5" customHeight="1" x14ac:dyDescent="0.25">
      <c r="C1290" s="35"/>
      <c r="D1290" s="35"/>
      <c r="E1290" s="65"/>
      <c r="F1290" s="69"/>
      <c r="G1290" s="35"/>
      <c r="H1290" s="35"/>
      <c r="I1290" s="35"/>
    </row>
    <row r="1291" spans="3:9" ht="13.5" customHeight="1" x14ac:dyDescent="0.25">
      <c r="C1291" s="16"/>
      <c r="D1291" s="16"/>
      <c r="E1291" s="64"/>
      <c r="F1291" s="64"/>
      <c r="G1291" s="16"/>
      <c r="H1291" s="16"/>
      <c r="I1291" s="16"/>
    </row>
    <row r="1292" spans="3:9" ht="13.5" customHeight="1" x14ac:dyDescent="0.25">
      <c r="C1292" s="35"/>
      <c r="D1292" s="35"/>
      <c r="E1292" s="65"/>
      <c r="F1292" s="69"/>
      <c r="G1292" s="35"/>
      <c r="H1292" s="35"/>
      <c r="I1292" s="35"/>
    </row>
    <row r="1293" spans="3:9" ht="13.5" customHeight="1" x14ac:dyDescent="0.25">
      <c r="C1293" s="16"/>
      <c r="D1293" s="16"/>
      <c r="E1293" s="64"/>
      <c r="F1293" s="64"/>
      <c r="G1293" s="16"/>
      <c r="H1293" s="16"/>
      <c r="I1293" s="16"/>
    </row>
    <row r="1294" spans="3:9" ht="13.5" customHeight="1" x14ac:dyDescent="0.25">
      <c r="C1294" s="35"/>
      <c r="D1294" s="35"/>
      <c r="E1294" s="65"/>
      <c r="F1294" s="69"/>
      <c r="G1294" s="35"/>
      <c r="H1294" s="35"/>
      <c r="I1294" s="35"/>
    </row>
    <row r="1295" spans="3:9" ht="13.5" customHeight="1" x14ac:dyDescent="0.25">
      <c r="C1295" s="16"/>
      <c r="D1295" s="16"/>
      <c r="E1295" s="64"/>
      <c r="F1295" s="64"/>
      <c r="G1295" s="16"/>
      <c r="H1295" s="16"/>
      <c r="I1295" s="16"/>
    </row>
    <row r="1296" spans="3:9" ht="13.5" customHeight="1" x14ac:dyDescent="0.25">
      <c r="C1296" s="35"/>
      <c r="D1296" s="35"/>
      <c r="E1296" s="65"/>
      <c r="F1296" s="69"/>
      <c r="G1296" s="35"/>
      <c r="H1296" s="35"/>
      <c r="I1296" s="35"/>
    </row>
    <row r="1297" spans="3:9" ht="13.5" customHeight="1" x14ac:dyDescent="0.25">
      <c r="C1297" s="16"/>
      <c r="D1297" s="16"/>
      <c r="E1297" s="64"/>
      <c r="F1297" s="64"/>
      <c r="G1297" s="16"/>
      <c r="H1297" s="16"/>
      <c r="I1297" s="16"/>
    </row>
    <row r="1298" spans="3:9" ht="13.5" customHeight="1" x14ac:dyDescent="0.25">
      <c r="C1298" s="35"/>
      <c r="D1298" s="35"/>
      <c r="E1298" s="65"/>
      <c r="F1298" s="69"/>
      <c r="G1298" s="35"/>
      <c r="H1298" s="35"/>
      <c r="I1298" s="35"/>
    </row>
    <row r="1299" spans="3:9" ht="13.5" customHeight="1" x14ac:dyDescent="0.25">
      <c r="C1299" s="16"/>
      <c r="D1299" s="16"/>
      <c r="E1299" s="64"/>
      <c r="F1299" s="64"/>
      <c r="G1299" s="16"/>
      <c r="H1299" s="16"/>
      <c r="I1299" s="16"/>
    </row>
    <row r="1300" spans="3:9" ht="13.5" customHeight="1" x14ac:dyDescent="0.25">
      <c r="C1300" s="35"/>
      <c r="D1300" s="35"/>
      <c r="E1300" s="65"/>
      <c r="F1300" s="69"/>
      <c r="G1300" s="35"/>
      <c r="H1300" s="35"/>
      <c r="I1300" s="35"/>
    </row>
    <row r="1301" spans="3:9" ht="13.5" customHeight="1" x14ac:dyDescent="0.25">
      <c r="C1301" s="16"/>
      <c r="D1301" s="16"/>
      <c r="E1301" s="64"/>
      <c r="F1301" s="64"/>
      <c r="G1301" s="16"/>
      <c r="H1301" s="16"/>
      <c r="I1301" s="16"/>
    </row>
    <row r="1302" spans="3:9" ht="13.5" customHeight="1" x14ac:dyDescent="0.25">
      <c r="C1302" s="35"/>
      <c r="D1302" s="35"/>
      <c r="E1302" s="65"/>
      <c r="F1302" s="69"/>
      <c r="G1302" s="35"/>
      <c r="H1302" s="35"/>
      <c r="I1302" s="35"/>
    </row>
    <row r="1303" spans="3:9" ht="13.5" customHeight="1" x14ac:dyDescent="0.25">
      <c r="C1303" s="16"/>
      <c r="D1303" s="16"/>
      <c r="E1303" s="64"/>
      <c r="F1303" s="64"/>
      <c r="G1303" s="16"/>
      <c r="H1303" s="16"/>
      <c r="I1303" s="16"/>
    </row>
    <row r="1304" spans="3:9" ht="13.5" customHeight="1" x14ac:dyDescent="0.25">
      <c r="C1304" s="35"/>
      <c r="D1304" s="35"/>
      <c r="E1304" s="65"/>
      <c r="F1304" s="69"/>
      <c r="G1304" s="35"/>
      <c r="H1304" s="35"/>
      <c r="I1304" s="35"/>
    </row>
    <row r="1305" spans="3:9" ht="13.5" customHeight="1" x14ac:dyDescent="0.25">
      <c r="C1305" s="16"/>
      <c r="D1305" s="16"/>
      <c r="E1305" s="64"/>
      <c r="F1305" s="64"/>
      <c r="G1305" s="16"/>
      <c r="H1305" s="16"/>
      <c r="I1305" s="16"/>
    </row>
    <row r="1306" spans="3:9" ht="13.5" customHeight="1" x14ac:dyDescent="0.25">
      <c r="C1306" s="35"/>
      <c r="D1306" s="35"/>
      <c r="E1306" s="65"/>
      <c r="F1306" s="69"/>
      <c r="G1306" s="35"/>
      <c r="H1306" s="35"/>
      <c r="I1306" s="35"/>
    </row>
    <row r="1307" spans="3:9" ht="13.5" customHeight="1" x14ac:dyDescent="0.25">
      <c r="C1307" s="16"/>
      <c r="D1307" s="16"/>
      <c r="E1307" s="64"/>
      <c r="F1307" s="64"/>
      <c r="G1307" s="16"/>
      <c r="H1307" s="16"/>
      <c r="I1307" s="16"/>
    </row>
    <row r="1308" spans="3:9" ht="13.5" customHeight="1" x14ac:dyDescent="0.25">
      <c r="C1308" s="35"/>
      <c r="D1308" s="35"/>
      <c r="E1308" s="65"/>
      <c r="F1308" s="69"/>
      <c r="G1308" s="35"/>
      <c r="H1308" s="35"/>
      <c r="I1308" s="35"/>
    </row>
    <row r="1309" spans="3:9" ht="13.5" customHeight="1" x14ac:dyDescent="0.25">
      <c r="C1309" s="16"/>
      <c r="D1309" s="16"/>
      <c r="E1309" s="64"/>
      <c r="F1309" s="64"/>
      <c r="G1309" s="16"/>
      <c r="H1309" s="16"/>
      <c r="I1309" s="16"/>
    </row>
    <row r="1310" spans="3:9" ht="13.5" customHeight="1" x14ac:dyDescent="0.25">
      <c r="C1310" s="35"/>
      <c r="D1310" s="35"/>
      <c r="E1310" s="65"/>
      <c r="F1310" s="69"/>
      <c r="G1310" s="35"/>
      <c r="H1310" s="35"/>
      <c r="I1310" s="35"/>
    </row>
    <row r="1311" spans="3:9" ht="13.5" customHeight="1" x14ac:dyDescent="0.25">
      <c r="C1311" s="16"/>
      <c r="D1311" s="16"/>
      <c r="E1311" s="64"/>
      <c r="F1311" s="64"/>
      <c r="G1311" s="16"/>
      <c r="H1311" s="16"/>
      <c r="I1311" s="16"/>
    </row>
    <row r="1312" spans="3:9" ht="13.5" customHeight="1" x14ac:dyDescent="0.25">
      <c r="C1312" s="35"/>
      <c r="D1312" s="35"/>
      <c r="E1312" s="65"/>
      <c r="F1312" s="69"/>
      <c r="G1312" s="35"/>
      <c r="H1312" s="35"/>
      <c r="I1312" s="35"/>
    </row>
    <row r="1313" spans="3:9" ht="13.5" customHeight="1" x14ac:dyDescent="0.25">
      <c r="C1313" s="16"/>
      <c r="D1313" s="16"/>
      <c r="E1313" s="64"/>
      <c r="F1313" s="64"/>
      <c r="G1313" s="16"/>
      <c r="H1313" s="16"/>
      <c r="I1313" s="16"/>
    </row>
    <row r="1314" spans="3:9" ht="13.5" customHeight="1" x14ac:dyDescent="0.25">
      <c r="C1314" s="35"/>
      <c r="D1314" s="35"/>
      <c r="E1314" s="65"/>
      <c r="F1314" s="69"/>
      <c r="G1314" s="35"/>
      <c r="H1314" s="35"/>
      <c r="I1314" s="35"/>
    </row>
    <row r="1315" spans="3:9" ht="13.5" customHeight="1" x14ac:dyDescent="0.25">
      <c r="C1315" s="16"/>
      <c r="D1315" s="16"/>
      <c r="E1315" s="64"/>
      <c r="F1315" s="64"/>
      <c r="G1315" s="16"/>
      <c r="H1315" s="16"/>
      <c r="I1315" s="16"/>
    </row>
    <row r="1316" spans="3:9" ht="13.5" customHeight="1" x14ac:dyDescent="0.25">
      <c r="C1316" s="35"/>
      <c r="D1316" s="35"/>
      <c r="E1316" s="65"/>
      <c r="F1316" s="69"/>
      <c r="G1316" s="35"/>
      <c r="H1316" s="35"/>
      <c r="I1316" s="35"/>
    </row>
    <row r="1317" spans="3:9" ht="13.5" customHeight="1" x14ac:dyDescent="0.25">
      <c r="C1317" s="16"/>
      <c r="D1317" s="16"/>
      <c r="E1317" s="64"/>
      <c r="F1317" s="64"/>
      <c r="G1317" s="16"/>
      <c r="H1317" s="16"/>
      <c r="I1317" s="16"/>
    </row>
    <row r="1318" spans="3:9" ht="13.5" customHeight="1" x14ac:dyDescent="0.25">
      <c r="C1318" s="35"/>
      <c r="D1318" s="35"/>
      <c r="E1318" s="65"/>
      <c r="F1318" s="69"/>
      <c r="G1318" s="35"/>
      <c r="H1318" s="35"/>
      <c r="I1318" s="35"/>
    </row>
    <row r="1319" spans="3:9" ht="13.5" customHeight="1" x14ac:dyDescent="0.25">
      <c r="C1319" s="16"/>
      <c r="D1319" s="16"/>
      <c r="E1319" s="64"/>
      <c r="F1319" s="64"/>
      <c r="G1319" s="16"/>
      <c r="H1319" s="16"/>
      <c r="I1319" s="16"/>
    </row>
    <row r="1320" spans="3:9" ht="13.5" customHeight="1" x14ac:dyDescent="0.25">
      <c r="C1320" s="35"/>
      <c r="D1320" s="35"/>
      <c r="E1320" s="65"/>
      <c r="F1320" s="69"/>
      <c r="G1320" s="35"/>
      <c r="H1320" s="35"/>
      <c r="I1320" s="35"/>
    </row>
    <row r="1321" spans="3:9" ht="13.5" customHeight="1" x14ac:dyDescent="0.25">
      <c r="C1321" s="16"/>
      <c r="D1321" s="16"/>
      <c r="E1321" s="64"/>
      <c r="F1321" s="64"/>
      <c r="G1321" s="16"/>
      <c r="H1321" s="16"/>
      <c r="I1321" s="16"/>
    </row>
    <row r="1322" spans="3:9" ht="13.5" customHeight="1" x14ac:dyDescent="0.25">
      <c r="C1322" s="35"/>
      <c r="D1322" s="35"/>
      <c r="E1322" s="65"/>
      <c r="F1322" s="69"/>
      <c r="G1322" s="35"/>
      <c r="H1322" s="35"/>
      <c r="I1322" s="35"/>
    </row>
    <row r="1323" spans="3:9" ht="13.5" customHeight="1" x14ac:dyDescent="0.25">
      <c r="C1323" s="16"/>
      <c r="D1323" s="16"/>
      <c r="E1323" s="64"/>
      <c r="F1323" s="64"/>
      <c r="G1323" s="16"/>
      <c r="H1323" s="16"/>
      <c r="I1323" s="16"/>
    </row>
    <row r="1324" spans="3:9" ht="13.5" customHeight="1" x14ac:dyDescent="0.25">
      <c r="C1324" s="35"/>
      <c r="D1324" s="35"/>
      <c r="E1324" s="65"/>
      <c r="F1324" s="69"/>
      <c r="G1324" s="35"/>
      <c r="H1324" s="35"/>
      <c r="I1324" s="35"/>
    </row>
    <row r="1325" spans="3:9" ht="13.5" customHeight="1" x14ac:dyDescent="0.25">
      <c r="C1325" s="16"/>
      <c r="D1325" s="16"/>
      <c r="E1325" s="64"/>
      <c r="F1325" s="64"/>
      <c r="G1325" s="16"/>
      <c r="H1325" s="16"/>
      <c r="I1325" s="16"/>
    </row>
    <row r="1326" spans="3:9" ht="13.5" customHeight="1" x14ac:dyDescent="0.25">
      <c r="C1326" s="35"/>
      <c r="D1326" s="35"/>
      <c r="E1326" s="65"/>
      <c r="F1326" s="69"/>
      <c r="G1326" s="35"/>
      <c r="H1326" s="35"/>
      <c r="I1326" s="35"/>
    </row>
    <row r="1327" spans="3:9" ht="13.5" customHeight="1" x14ac:dyDescent="0.25">
      <c r="C1327" s="16"/>
      <c r="D1327" s="16"/>
      <c r="E1327" s="64"/>
      <c r="F1327" s="64"/>
      <c r="G1327" s="16"/>
      <c r="H1327" s="16"/>
      <c r="I1327" s="16"/>
    </row>
    <row r="1328" spans="3:9" ht="13.5" customHeight="1" x14ac:dyDescent="0.25">
      <c r="C1328" s="35"/>
      <c r="D1328" s="35"/>
      <c r="E1328" s="65"/>
      <c r="F1328" s="69"/>
      <c r="G1328" s="35"/>
      <c r="H1328" s="35"/>
      <c r="I1328" s="35"/>
    </row>
    <row r="1329" spans="3:9" ht="13.5" customHeight="1" x14ac:dyDescent="0.25">
      <c r="C1329" s="16"/>
      <c r="D1329" s="16"/>
      <c r="E1329" s="64"/>
      <c r="F1329" s="64"/>
      <c r="G1329" s="16"/>
      <c r="H1329" s="16"/>
      <c r="I1329" s="16"/>
    </row>
    <row r="1330" spans="3:9" ht="13.5" customHeight="1" x14ac:dyDescent="0.25">
      <c r="C1330" s="35"/>
      <c r="D1330" s="35"/>
      <c r="E1330" s="65"/>
      <c r="F1330" s="69"/>
      <c r="G1330" s="35"/>
      <c r="H1330" s="35"/>
      <c r="I1330" s="35"/>
    </row>
    <row r="1331" spans="3:9" ht="13.5" customHeight="1" x14ac:dyDescent="0.25">
      <c r="C1331" s="16"/>
      <c r="D1331" s="16"/>
      <c r="E1331" s="64"/>
      <c r="F1331" s="64"/>
      <c r="G1331" s="16"/>
      <c r="H1331" s="16"/>
      <c r="I1331" s="16"/>
    </row>
    <row r="1332" spans="3:9" ht="13.5" customHeight="1" x14ac:dyDescent="0.25">
      <c r="C1332" s="35"/>
      <c r="D1332" s="35"/>
      <c r="E1332" s="65"/>
      <c r="F1332" s="69"/>
      <c r="G1332" s="35"/>
      <c r="H1332" s="35"/>
      <c r="I1332" s="35"/>
    </row>
    <row r="1333" spans="3:9" ht="13.5" customHeight="1" x14ac:dyDescent="0.25">
      <c r="C1333" s="16"/>
      <c r="D1333" s="16"/>
      <c r="E1333" s="64"/>
      <c r="F1333" s="64"/>
      <c r="G1333" s="16"/>
      <c r="H1333" s="16"/>
      <c r="I1333" s="16"/>
    </row>
    <row r="1334" spans="3:9" ht="13.5" customHeight="1" x14ac:dyDescent="0.25">
      <c r="C1334" s="35"/>
      <c r="D1334" s="35"/>
      <c r="E1334" s="65"/>
      <c r="F1334" s="69"/>
      <c r="G1334" s="35"/>
      <c r="H1334" s="35"/>
      <c r="I1334" s="35"/>
    </row>
    <row r="1335" spans="3:9" ht="13.5" customHeight="1" x14ac:dyDescent="0.25">
      <c r="C1335" s="16"/>
      <c r="D1335" s="16"/>
      <c r="E1335" s="64"/>
      <c r="F1335" s="64"/>
      <c r="G1335" s="16"/>
      <c r="H1335" s="16"/>
      <c r="I1335" s="16"/>
    </row>
    <row r="1336" spans="3:9" ht="13.5" customHeight="1" x14ac:dyDescent="0.25">
      <c r="C1336" s="35"/>
      <c r="D1336" s="35"/>
      <c r="E1336" s="65"/>
      <c r="F1336" s="69"/>
      <c r="G1336" s="35"/>
      <c r="H1336" s="35"/>
      <c r="I1336" s="35"/>
    </row>
    <row r="1337" spans="3:9" ht="13.5" customHeight="1" x14ac:dyDescent="0.25">
      <c r="C1337" s="16"/>
      <c r="D1337" s="16"/>
      <c r="E1337" s="64"/>
      <c r="F1337" s="64"/>
      <c r="G1337" s="16"/>
      <c r="H1337" s="16"/>
      <c r="I1337" s="16"/>
    </row>
    <row r="1338" spans="3:9" ht="13.5" customHeight="1" x14ac:dyDescent="0.25">
      <c r="C1338" s="35"/>
      <c r="D1338" s="35"/>
      <c r="E1338" s="65"/>
      <c r="F1338" s="69"/>
      <c r="G1338" s="35"/>
      <c r="H1338" s="35"/>
      <c r="I1338" s="35"/>
    </row>
    <row r="1339" spans="3:9" ht="13.5" customHeight="1" x14ac:dyDescent="0.25">
      <c r="C1339" s="16"/>
      <c r="D1339" s="16"/>
      <c r="E1339" s="64"/>
      <c r="F1339" s="64"/>
      <c r="G1339" s="16"/>
      <c r="H1339" s="16"/>
      <c r="I1339" s="16"/>
    </row>
    <row r="1340" spans="3:9" ht="13.5" customHeight="1" x14ac:dyDescent="0.25">
      <c r="C1340" s="35"/>
      <c r="D1340" s="35"/>
      <c r="E1340" s="65"/>
      <c r="F1340" s="69"/>
      <c r="G1340" s="35"/>
      <c r="H1340" s="35"/>
      <c r="I1340" s="35"/>
    </row>
    <row r="1341" spans="3:9" ht="13.5" customHeight="1" x14ac:dyDescent="0.25">
      <c r="C1341" s="16"/>
      <c r="D1341" s="16"/>
      <c r="E1341" s="64"/>
      <c r="F1341" s="64"/>
      <c r="G1341" s="16"/>
      <c r="H1341" s="16"/>
      <c r="I1341" s="16"/>
    </row>
    <row r="1342" spans="3:9" ht="13.5" customHeight="1" x14ac:dyDescent="0.25">
      <c r="C1342" s="35"/>
      <c r="D1342" s="35"/>
      <c r="E1342" s="65"/>
      <c r="F1342" s="69"/>
      <c r="G1342" s="35"/>
      <c r="H1342" s="35"/>
      <c r="I1342" s="35"/>
    </row>
    <row r="1343" spans="3:9" ht="13.5" customHeight="1" x14ac:dyDescent="0.25">
      <c r="C1343" s="16"/>
      <c r="D1343" s="16"/>
      <c r="E1343" s="64"/>
      <c r="F1343" s="64"/>
      <c r="G1343" s="16"/>
      <c r="H1343" s="16"/>
      <c r="I1343" s="16"/>
    </row>
    <row r="1344" spans="3:9" ht="13.5" customHeight="1" x14ac:dyDescent="0.25">
      <c r="C1344" s="35"/>
      <c r="D1344" s="35"/>
      <c r="E1344" s="65"/>
      <c r="F1344" s="69"/>
      <c r="G1344" s="35"/>
      <c r="H1344" s="35"/>
      <c r="I1344" s="35"/>
    </row>
    <row r="1345" spans="3:9" ht="13.5" customHeight="1" x14ac:dyDescent="0.25">
      <c r="C1345" s="16"/>
      <c r="D1345" s="16"/>
      <c r="E1345" s="64"/>
      <c r="F1345" s="64"/>
      <c r="G1345" s="16"/>
      <c r="H1345" s="16"/>
      <c r="I1345" s="16"/>
    </row>
    <row r="1346" spans="3:9" ht="13.5" customHeight="1" x14ac:dyDescent="0.25">
      <c r="C1346" s="35"/>
      <c r="D1346" s="35"/>
      <c r="E1346" s="65"/>
      <c r="F1346" s="69"/>
      <c r="G1346" s="35"/>
      <c r="H1346" s="35"/>
      <c r="I1346" s="35"/>
    </row>
    <row r="1347" spans="3:9" ht="13.5" customHeight="1" x14ac:dyDescent="0.25">
      <c r="C1347" s="16"/>
      <c r="D1347" s="16"/>
      <c r="E1347" s="64"/>
      <c r="F1347" s="64"/>
      <c r="G1347" s="16"/>
      <c r="H1347" s="16"/>
      <c r="I1347" s="16"/>
    </row>
    <row r="1348" spans="3:9" ht="13.5" customHeight="1" x14ac:dyDescent="0.25">
      <c r="C1348" s="35"/>
      <c r="D1348" s="35"/>
      <c r="E1348" s="65"/>
      <c r="F1348" s="69"/>
      <c r="G1348" s="35"/>
      <c r="H1348" s="35"/>
      <c r="I1348" s="35"/>
    </row>
    <row r="1349" spans="3:9" ht="13.5" customHeight="1" x14ac:dyDescent="0.25">
      <c r="C1349" s="16"/>
      <c r="D1349" s="16"/>
      <c r="E1349" s="64"/>
      <c r="F1349" s="64"/>
      <c r="G1349" s="16"/>
      <c r="H1349" s="16"/>
      <c r="I1349" s="16"/>
    </row>
    <row r="1350" spans="3:9" ht="13.5" customHeight="1" x14ac:dyDescent="0.25">
      <c r="C1350" s="35"/>
      <c r="D1350" s="35"/>
      <c r="E1350" s="65"/>
      <c r="F1350" s="69"/>
      <c r="G1350" s="35"/>
      <c r="H1350" s="35"/>
      <c r="I1350" s="35"/>
    </row>
    <row r="1351" spans="3:9" ht="13.5" customHeight="1" x14ac:dyDescent="0.25">
      <c r="C1351" s="16"/>
      <c r="D1351" s="16"/>
      <c r="E1351" s="64"/>
      <c r="F1351" s="64"/>
      <c r="G1351" s="16"/>
      <c r="H1351" s="16"/>
      <c r="I1351" s="16"/>
    </row>
    <row r="1352" spans="3:9" ht="13.5" customHeight="1" x14ac:dyDescent="0.25">
      <c r="C1352" s="35"/>
      <c r="D1352" s="35"/>
      <c r="E1352" s="65"/>
      <c r="F1352" s="69"/>
      <c r="G1352" s="35"/>
      <c r="H1352" s="35"/>
      <c r="I1352" s="35"/>
    </row>
    <row r="1353" spans="3:9" ht="13.5" customHeight="1" x14ac:dyDescent="0.25">
      <c r="C1353" s="16"/>
      <c r="D1353" s="16"/>
      <c r="E1353" s="64"/>
      <c r="F1353" s="64"/>
      <c r="G1353" s="16"/>
      <c r="H1353" s="16"/>
      <c r="I1353" s="16"/>
    </row>
    <row r="1354" spans="3:9" ht="13.5" customHeight="1" x14ac:dyDescent="0.25">
      <c r="C1354" s="35"/>
      <c r="D1354" s="35"/>
      <c r="E1354" s="65"/>
      <c r="F1354" s="69"/>
      <c r="G1354" s="35"/>
      <c r="H1354" s="35"/>
      <c r="I1354" s="35"/>
    </row>
    <row r="1355" spans="3:9" ht="13.5" customHeight="1" x14ac:dyDescent="0.25">
      <c r="C1355" s="16"/>
      <c r="D1355" s="16"/>
      <c r="E1355" s="64"/>
      <c r="F1355" s="64"/>
      <c r="G1355" s="16"/>
      <c r="H1355" s="16"/>
      <c r="I1355" s="16"/>
    </row>
    <row r="1356" spans="3:9" ht="13.5" customHeight="1" x14ac:dyDescent="0.25">
      <c r="C1356" s="35"/>
      <c r="D1356" s="35"/>
      <c r="E1356" s="65"/>
      <c r="F1356" s="69"/>
      <c r="G1356" s="35"/>
      <c r="H1356" s="35"/>
      <c r="I1356" s="35"/>
    </row>
    <row r="1357" spans="3:9" ht="13.5" customHeight="1" x14ac:dyDescent="0.25">
      <c r="C1357" s="16"/>
      <c r="D1357" s="16"/>
      <c r="E1357" s="64"/>
      <c r="F1357" s="64"/>
      <c r="G1357" s="16"/>
      <c r="H1357" s="16"/>
      <c r="I1357" s="16"/>
    </row>
    <row r="1358" spans="3:9" ht="13.5" customHeight="1" x14ac:dyDescent="0.25">
      <c r="C1358" s="35"/>
      <c r="D1358" s="35"/>
      <c r="E1358" s="65"/>
      <c r="F1358" s="69"/>
      <c r="G1358" s="35"/>
      <c r="H1358" s="35"/>
      <c r="I1358" s="35"/>
    </row>
    <row r="1359" spans="3:9" ht="13.5" customHeight="1" x14ac:dyDescent="0.25">
      <c r="C1359" s="16"/>
      <c r="D1359" s="16"/>
      <c r="E1359" s="64"/>
      <c r="F1359" s="64"/>
      <c r="G1359" s="16"/>
      <c r="H1359" s="16"/>
      <c r="I1359" s="16"/>
    </row>
    <row r="1360" spans="3:9" ht="13.5" customHeight="1" x14ac:dyDescent="0.25">
      <c r="C1360" s="35"/>
      <c r="D1360" s="35"/>
      <c r="E1360" s="65"/>
      <c r="F1360" s="69"/>
      <c r="G1360" s="35"/>
      <c r="H1360" s="35"/>
      <c r="I1360" s="35"/>
    </row>
    <row r="1361" spans="3:9" ht="13.5" customHeight="1" x14ac:dyDescent="0.25">
      <c r="C1361" s="16"/>
      <c r="D1361" s="16"/>
      <c r="E1361" s="64"/>
      <c r="F1361" s="64"/>
      <c r="G1361" s="16"/>
      <c r="H1361" s="16"/>
      <c r="I1361" s="16"/>
    </row>
    <row r="1362" spans="3:9" ht="13.5" customHeight="1" x14ac:dyDescent="0.25">
      <c r="C1362" s="35"/>
      <c r="D1362" s="35"/>
      <c r="E1362" s="65"/>
      <c r="F1362" s="69"/>
      <c r="G1362" s="35"/>
      <c r="H1362" s="35"/>
      <c r="I1362" s="35"/>
    </row>
    <row r="1363" spans="3:9" ht="13.5" customHeight="1" x14ac:dyDescent="0.25">
      <c r="C1363" s="16"/>
      <c r="D1363" s="16"/>
      <c r="E1363" s="64"/>
      <c r="F1363" s="64"/>
      <c r="G1363" s="16"/>
      <c r="H1363" s="16"/>
      <c r="I1363" s="16"/>
    </row>
    <row r="1364" spans="3:9" ht="13.5" customHeight="1" x14ac:dyDescent="0.25">
      <c r="C1364" s="35"/>
      <c r="D1364" s="35"/>
      <c r="E1364" s="65"/>
      <c r="F1364" s="69"/>
      <c r="G1364" s="35"/>
      <c r="H1364" s="35"/>
      <c r="I1364" s="35"/>
    </row>
    <row r="1365" spans="3:9" ht="13.5" customHeight="1" x14ac:dyDescent="0.25">
      <c r="C1365" s="16"/>
      <c r="D1365" s="16"/>
      <c r="E1365" s="64"/>
      <c r="F1365" s="64"/>
      <c r="G1365" s="16"/>
      <c r="H1365" s="16"/>
      <c r="I1365" s="16"/>
    </row>
    <row r="1366" spans="3:9" ht="13.5" customHeight="1" x14ac:dyDescent="0.25">
      <c r="C1366" s="35"/>
      <c r="D1366" s="35"/>
      <c r="E1366" s="65"/>
      <c r="F1366" s="69"/>
      <c r="G1366" s="35"/>
      <c r="H1366" s="35"/>
      <c r="I1366" s="35"/>
    </row>
    <row r="1367" spans="3:9" ht="13.5" customHeight="1" x14ac:dyDescent="0.25">
      <c r="C1367" s="16"/>
      <c r="D1367" s="16"/>
      <c r="E1367" s="64"/>
      <c r="F1367" s="64"/>
      <c r="G1367" s="16"/>
      <c r="H1367" s="16"/>
      <c r="I1367" s="16"/>
    </row>
    <row r="1368" spans="3:9" ht="13.5" customHeight="1" x14ac:dyDescent="0.25">
      <c r="C1368" s="35"/>
      <c r="D1368" s="35"/>
      <c r="E1368" s="65"/>
      <c r="F1368" s="69"/>
      <c r="G1368" s="35"/>
      <c r="H1368" s="35"/>
      <c r="I1368" s="35"/>
    </row>
    <row r="1369" spans="3:9" ht="13.5" customHeight="1" x14ac:dyDescent="0.25">
      <c r="C1369" s="16"/>
      <c r="D1369" s="16"/>
      <c r="E1369" s="64"/>
      <c r="F1369" s="64"/>
      <c r="G1369" s="16"/>
      <c r="H1369" s="16"/>
      <c r="I1369" s="16"/>
    </row>
    <row r="1370" spans="3:9" ht="13.5" customHeight="1" x14ac:dyDescent="0.25">
      <c r="C1370" s="35"/>
      <c r="D1370" s="35"/>
      <c r="E1370" s="65"/>
      <c r="F1370" s="69"/>
      <c r="G1370" s="35"/>
      <c r="H1370" s="35"/>
      <c r="I1370" s="35"/>
    </row>
    <row r="1371" spans="3:9" ht="13.5" customHeight="1" x14ac:dyDescent="0.25">
      <c r="C1371" s="16"/>
      <c r="D1371" s="16"/>
      <c r="E1371" s="64"/>
      <c r="F1371" s="64"/>
      <c r="G1371" s="16"/>
      <c r="H1371" s="16"/>
      <c r="I1371" s="16"/>
    </row>
    <row r="1372" spans="3:9" ht="13.5" customHeight="1" x14ac:dyDescent="0.25">
      <c r="C1372" s="35"/>
      <c r="D1372" s="35"/>
      <c r="E1372" s="65"/>
      <c r="F1372" s="69"/>
      <c r="G1372" s="35"/>
      <c r="H1372" s="35"/>
      <c r="I1372" s="35"/>
    </row>
    <row r="1373" spans="3:9" ht="13.5" customHeight="1" x14ac:dyDescent="0.25">
      <c r="C1373" s="16"/>
      <c r="D1373" s="16"/>
      <c r="E1373" s="64"/>
      <c r="F1373" s="64"/>
      <c r="G1373" s="16"/>
      <c r="H1373" s="16"/>
      <c r="I1373" s="16"/>
    </row>
    <row r="1374" spans="3:9" ht="13.5" customHeight="1" x14ac:dyDescent="0.25">
      <c r="C1374" s="35"/>
      <c r="D1374" s="35"/>
      <c r="E1374" s="65"/>
      <c r="F1374" s="69"/>
      <c r="G1374" s="35"/>
      <c r="H1374" s="35"/>
      <c r="I1374" s="35"/>
    </row>
    <row r="1375" spans="3:9" ht="13.5" customHeight="1" x14ac:dyDescent="0.25">
      <c r="C1375" s="16"/>
      <c r="D1375" s="16"/>
      <c r="E1375" s="64"/>
      <c r="F1375" s="64"/>
      <c r="G1375" s="16"/>
      <c r="H1375" s="16"/>
      <c r="I1375" s="16"/>
    </row>
    <row r="1376" spans="3:9" ht="13.5" customHeight="1" x14ac:dyDescent="0.25">
      <c r="C1376" s="35"/>
      <c r="D1376" s="35"/>
      <c r="E1376" s="65"/>
      <c r="F1376" s="69"/>
      <c r="G1376" s="35"/>
      <c r="H1376" s="35"/>
      <c r="I1376" s="35"/>
    </row>
    <row r="1377" spans="3:9" ht="13.5" customHeight="1" x14ac:dyDescent="0.25">
      <c r="C1377" s="16"/>
      <c r="D1377" s="16"/>
      <c r="E1377" s="64"/>
      <c r="F1377" s="64"/>
      <c r="G1377" s="16"/>
      <c r="H1377" s="16"/>
      <c r="I1377" s="16"/>
    </row>
    <row r="1378" spans="3:9" ht="13.5" customHeight="1" x14ac:dyDescent="0.25">
      <c r="C1378" s="35"/>
      <c r="D1378" s="35"/>
      <c r="E1378" s="65"/>
      <c r="F1378" s="69"/>
      <c r="G1378" s="35"/>
      <c r="H1378" s="35"/>
      <c r="I1378" s="35"/>
    </row>
    <row r="1379" spans="3:9" ht="13.5" customHeight="1" x14ac:dyDescent="0.25">
      <c r="C1379" s="16"/>
      <c r="D1379" s="16"/>
      <c r="E1379" s="64"/>
      <c r="F1379" s="64"/>
      <c r="G1379" s="16"/>
      <c r="H1379" s="16"/>
      <c r="I1379" s="16"/>
    </row>
    <row r="1380" spans="3:9" ht="13.5" customHeight="1" x14ac:dyDescent="0.25">
      <c r="C1380" s="35"/>
      <c r="D1380" s="35"/>
      <c r="E1380" s="65"/>
      <c r="F1380" s="69"/>
      <c r="G1380" s="35"/>
      <c r="H1380" s="35"/>
      <c r="I1380" s="35"/>
    </row>
    <row r="1381" spans="3:9" ht="13.5" customHeight="1" x14ac:dyDescent="0.25">
      <c r="C1381" s="16"/>
      <c r="D1381" s="16"/>
      <c r="E1381" s="64"/>
      <c r="F1381" s="64"/>
      <c r="G1381" s="16"/>
      <c r="H1381" s="16"/>
      <c r="I1381" s="16"/>
    </row>
    <row r="1382" spans="3:9" ht="13.5" customHeight="1" x14ac:dyDescent="0.25">
      <c r="C1382" s="35"/>
      <c r="D1382" s="35"/>
      <c r="E1382" s="65"/>
      <c r="F1382" s="69"/>
      <c r="G1382" s="35"/>
      <c r="H1382" s="35"/>
      <c r="I1382" s="35"/>
    </row>
    <row r="1383" spans="3:9" ht="13.5" customHeight="1" x14ac:dyDescent="0.25">
      <c r="C1383" s="16"/>
      <c r="D1383" s="16"/>
      <c r="E1383" s="64"/>
      <c r="F1383" s="64"/>
      <c r="G1383" s="16"/>
      <c r="H1383" s="16"/>
      <c r="I1383" s="16"/>
    </row>
    <row r="1384" spans="3:9" ht="13.5" customHeight="1" x14ac:dyDescent="0.25">
      <c r="C1384" s="35"/>
      <c r="D1384" s="35"/>
      <c r="E1384" s="65"/>
      <c r="F1384" s="69"/>
      <c r="G1384" s="35"/>
      <c r="H1384" s="35"/>
      <c r="I1384" s="35"/>
    </row>
    <row r="1385" spans="3:9" ht="13.5" customHeight="1" x14ac:dyDescent="0.25">
      <c r="C1385" s="16"/>
      <c r="D1385" s="16"/>
      <c r="E1385" s="64"/>
      <c r="F1385" s="64"/>
      <c r="G1385" s="16"/>
      <c r="H1385" s="16"/>
      <c r="I1385" s="16"/>
    </row>
    <row r="1386" spans="3:9" ht="13.5" customHeight="1" x14ac:dyDescent="0.25">
      <c r="C1386" s="35"/>
      <c r="D1386" s="35"/>
      <c r="E1386" s="65"/>
      <c r="F1386" s="69"/>
      <c r="G1386" s="35"/>
      <c r="H1386" s="35"/>
      <c r="I1386" s="35"/>
    </row>
    <row r="1387" spans="3:9" ht="13.5" customHeight="1" x14ac:dyDescent="0.25">
      <c r="C1387" s="16"/>
      <c r="D1387" s="16"/>
      <c r="E1387" s="64"/>
      <c r="F1387" s="64"/>
      <c r="G1387" s="16"/>
      <c r="H1387" s="16"/>
      <c r="I1387" s="16"/>
    </row>
    <row r="1388" spans="3:9" ht="13.5" customHeight="1" x14ac:dyDescent="0.25">
      <c r="C1388" s="35"/>
      <c r="D1388" s="35"/>
      <c r="E1388" s="65"/>
      <c r="F1388" s="69"/>
      <c r="G1388" s="35"/>
      <c r="H1388" s="35"/>
      <c r="I1388" s="35"/>
    </row>
    <row r="1389" spans="3:9" ht="13.5" customHeight="1" x14ac:dyDescent="0.25">
      <c r="C1389" s="16"/>
      <c r="D1389" s="16"/>
      <c r="E1389" s="64"/>
      <c r="F1389" s="64"/>
      <c r="G1389" s="16"/>
      <c r="H1389" s="16"/>
      <c r="I1389" s="16"/>
    </row>
    <row r="1390" spans="3:9" ht="13.5" customHeight="1" x14ac:dyDescent="0.25">
      <c r="C1390" s="35"/>
      <c r="D1390" s="35"/>
      <c r="E1390" s="65"/>
      <c r="F1390" s="69"/>
      <c r="G1390" s="35"/>
      <c r="H1390" s="35"/>
      <c r="I1390" s="35"/>
    </row>
    <row r="1391" spans="3:9" ht="13.5" customHeight="1" x14ac:dyDescent="0.25">
      <c r="C1391" s="16"/>
      <c r="D1391" s="16"/>
      <c r="E1391" s="64"/>
      <c r="F1391" s="64"/>
      <c r="G1391" s="16"/>
      <c r="H1391" s="16"/>
      <c r="I1391" s="16"/>
    </row>
    <row r="1392" spans="3:9" ht="13.5" customHeight="1" x14ac:dyDescent="0.25">
      <c r="C1392" s="35"/>
      <c r="D1392" s="35"/>
      <c r="E1392" s="65"/>
      <c r="F1392" s="69"/>
      <c r="G1392" s="35"/>
      <c r="H1392" s="35"/>
      <c r="I1392" s="35"/>
    </row>
    <row r="1393" spans="3:9" ht="13.5" customHeight="1" x14ac:dyDescent="0.25">
      <c r="C1393" s="16"/>
      <c r="D1393" s="16"/>
      <c r="E1393" s="64"/>
      <c r="F1393" s="64"/>
      <c r="G1393" s="16"/>
      <c r="H1393" s="16"/>
      <c r="I1393" s="16"/>
    </row>
    <row r="1394" spans="3:9" ht="13.5" customHeight="1" x14ac:dyDescent="0.25">
      <c r="C1394" s="35"/>
      <c r="D1394" s="35"/>
      <c r="E1394" s="65"/>
      <c r="F1394" s="69"/>
      <c r="G1394" s="35"/>
      <c r="H1394" s="35"/>
      <c r="I1394" s="35"/>
    </row>
    <row r="1395" spans="3:9" ht="13.5" customHeight="1" x14ac:dyDescent="0.25">
      <c r="C1395" s="16"/>
      <c r="D1395" s="16"/>
      <c r="E1395" s="64"/>
      <c r="F1395" s="64"/>
      <c r="G1395" s="16"/>
      <c r="H1395" s="16"/>
      <c r="I1395" s="16"/>
    </row>
    <row r="1396" spans="3:9" ht="13.5" customHeight="1" x14ac:dyDescent="0.25">
      <c r="C1396" s="35"/>
      <c r="D1396" s="35"/>
      <c r="E1396" s="65"/>
      <c r="F1396" s="69"/>
      <c r="G1396" s="35"/>
      <c r="H1396" s="35"/>
      <c r="I1396" s="35"/>
    </row>
    <row r="1397" spans="3:9" ht="13.5" customHeight="1" x14ac:dyDescent="0.25">
      <c r="C1397" s="16"/>
      <c r="D1397" s="16"/>
      <c r="E1397" s="64"/>
      <c r="F1397" s="64"/>
      <c r="G1397" s="16"/>
      <c r="H1397" s="16"/>
      <c r="I1397" s="16"/>
    </row>
    <row r="1398" spans="3:9" ht="13.5" customHeight="1" x14ac:dyDescent="0.25">
      <c r="C1398" s="35"/>
      <c r="D1398" s="35"/>
      <c r="E1398" s="65"/>
      <c r="F1398" s="69"/>
      <c r="G1398" s="35"/>
      <c r="H1398" s="35"/>
      <c r="I1398" s="35"/>
    </row>
    <row r="1399" spans="3:9" ht="13.5" customHeight="1" x14ac:dyDescent="0.25">
      <c r="C1399" s="16"/>
      <c r="D1399" s="16"/>
      <c r="E1399" s="64"/>
      <c r="F1399" s="64"/>
      <c r="G1399" s="16"/>
      <c r="H1399" s="16"/>
      <c r="I1399" s="16"/>
    </row>
    <row r="1400" spans="3:9" ht="13.5" customHeight="1" x14ac:dyDescent="0.25">
      <c r="C1400" s="35"/>
      <c r="D1400" s="35"/>
      <c r="E1400" s="65"/>
      <c r="F1400" s="69"/>
      <c r="G1400" s="35"/>
      <c r="H1400" s="35"/>
      <c r="I1400" s="35"/>
    </row>
    <row r="1401" spans="3:9" ht="13.5" customHeight="1" x14ac:dyDescent="0.25">
      <c r="C1401" s="16"/>
      <c r="D1401" s="16"/>
      <c r="E1401" s="64"/>
      <c r="F1401" s="64"/>
      <c r="G1401" s="16"/>
      <c r="H1401" s="16"/>
      <c r="I1401" s="16"/>
    </row>
    <row r="1402" spans="3:9" ht="13.5" customHeight="1" x14ac:dyDescent="0.25">
      <c r="C1402" s="35"/>
      <c r="D1402" s="35"/>
      <c r="E1402" s="65"/>
      <c r="F1402" s="69"/>
      <c r="G1402" s="35"/>
      <c r="H1402" s="35"/>
      <c r="I1402" s="35"/>
    </row>
    <row r="1403" spans="3:9" ht="13.5" customHeight="1" x14ac:dyDescent="0.25">
      <c r="C1403" s="16"/>
      <c r="D1403" s="16"/>
      <c r="E1403" s="64"/>
      <c r="F1403" s="64"/>
      <c r="G1403" s="16"/>
      <c r="H1403" s="16"/>
      <c r="I1403" s="16"/>
    </row>
    <row r="1404" spans="3:9" ht="13.5" customHeight="1" x14ac:dyDescent="0.25">
      <c r="C1404" s="35"/>
      <c r="D1404" s="35"/>
      <c r="E1404" s="65"/>
      <c r="F1404" s="69"/>
      <c r="G1404" s="35"/>
      <c r="H1404" s="35"/>
      <c r="I1404" s="35"/>
    </row>
    <row r="1405" spans="3:9" ht="13.5" customHeight="1" x14ac:dyDescent="0.25">
      <c r="C1405" s="16"/>
      <c r="D1405" s="16"/>
      <c r="E1405" s="64"/>
      <c r="F1405" s="64"/>
      <c r="G1405" s="16"/>
      <c r="H1405" s="16"/>
      <c r="I1405" s="16"/>
    </row>
    <row r="1406" spans="3:9" ht="13.5" customHeight="1" x14ac:dyDescent="0.25">
      <c r="C1406" s="35"/>
      <c r="D1406" s="35"/>
      <c r="E1406" s="65"/>
      <c r="F1406" s="69"/>
      <c r="G1406" s="35"/>
      <c r="H1406" s="35"/>
      <c r="I1406" s="35"/>
    </row>
    <row r="1407" spans="3:9" ht="13.5" customHeight="1" x14ac:dyDescent="0.25">
      <c r="C1407" s="16"/>
      <c r="D1407" s="16"/>
      <c r="E1407" s="64"/>
      <c r="F1407" s="64"/>
      <c r="G1407" s="16"/>
      <c r="H1407" s="16"/>
      <c r="I1407" s="16"/>
    </row>
    <row r="1408" spans="3:9" ht="13.5" customHeight="1" x14ac:dyDescent="0.25">
      <c r="C1408" s="35"/>
      <c r="D1408" s="35"/>
      <c r="E1408" s="65"/>
      <c r="F1408" s="69"/>
      <c r="G1408" s="35"/>
      <c r="H1408" s="35"/>
      <c r="I1408" s="35"/>
    </row>
    <row r="1409" spans="3:9" ht="13.5" customHeight="1" x14ac:dyDescent="0.25">
      <c r="C1409" s="16"/>
      <c r="D1409" s="16"/>
      <c r="E1409" s="64"/>
      <c r="F1409" s="64"/>
      <c r="G1409" s="16"/>
      <c r="H1409" s="16"/>
      <c r="I1409" s="16"/>
    </row>
    <row r="1410" spans="3:9" ht="13.5" customHeight="1" x14ac:dyDescent="0.25">
      <c r="C1410" s="35"/>
      <c r="D1410" s="35"/>
      <c r="E1410" s="65"/>
      <c r="F1410" s="69"/>
      <c r="G1410" s="35"/>
      <c r="H1410" s="35"/>
      <c r="I1410" s="35"/>
    </row>
    <row r="1411" spans="3:9" ht="13.5" customHeight="1" x14ac:dyDescent="0.25">
      <c r="C1411" s="16"/>
      <c r="D1411" s="16"/>
      <c r="E1411" s="64"/>
      <c r="F1411" s="64"/>
      <c r="G1411" s="16"/>
      <c r="H1411" s="16"/>
      <c r="I1411" s="16"/>
    </row>
    <row r="1412" spans="3:9" ht="13.5" customHeight="1" x14ac:dyDescent="0.25">
      <c r="C1412" s="35"/>
      <c r="D1412" s="35"/>
      <c r="E1412" s="65"/>
      <c r="F1412" s="69"/>
      <c r="G1412" s="35"/>
      <c r="H1412" s="35"/>
      <c r="I1412" s="35"/>
    </row>
    <row r="1413" spans="3:9" ht="13.5" customHeight="1" x14ac:dyDescent="0.25">
      <c r="C1413" s="16"/>
      <c r="D1413" s="16"/>
      <c r="E1413" s="64"/>
      <c r="F1413" s="64"/>
      <c r="G1413" s="16"/>
      <c r="H1413" s="16"/>
      <c r="I1413" s="16"/>
    </row>
    <row r="1414" spans="3:9" ht="13.5" customHeight="1" x14ac:dyDescent="0.25">
      <c r="C1414" s="35"/>
      <c r="D1414" s="35"/>
      <c r="E1414" s="65"/>
      <c r="F1414" s="69"/>
      <c r="G1414" s="35"/>
      <c r="H1414" s="35"/>
      <c r="I1414" s="35"/>
    </row>
    <row r="1415" spans="3:9" ht="13.5" customHeight="1" x14ac:dyDescent="0.25">
      <c r="C1415" s="16"/>
      <c r="D1415" s="16"/>
      <c r="E1415" s="64"/>
      <c r="F1415" s="64"/>
      <c r="G1415" s="16"/>
      <c r="H1415" s="16"/>
      <c r="I1415" s="16"/>
    </row>
    <row r="1416" spans="3:9" ht="13.5" customHeight="1" x14ac:dyDescent="0.25">
      <c r="C1416" s="35"/>
      <c r="D1416" s="35"/>
      <c r="E1416" s="65"/>
      <c r="F1416" s="69"/>
      <c r="G1416" s="35"/>
      <c r="H1416" s="35"/>
      <c r="I1416" s="35"/>
    </row>
    <row r="1417" spans="3:9" ht="13.5" customHeight="1" x14ac:dyDescent="0.25">
      <c r="C1417" s="16"/>
      <c r="D1417" s="16"/>
      <c r="E1417" s="64"/>
      <c r="F1417" s="64"/>
      <c r="G1417" s="16"/>
      <c r="H1417" s="16"/>
      <c r="I1417" s="16"/>
    </row>
    <row r="1418" spans="3:9" ht="13.5" customHeight="1" x14ac:dyDescent="0.25">
      <c r="C1418" s="35"/>
      <c r="D1418" s="35"/>
      <c r="E1418" s="65"/>
      <c r="F1418" s="69"/>
      <c r="G1418" s="35"/>
      <c r="H1418" s="35"/>
      <c r="I1418" s="35"/>
    </row>
    <row r="1419" spans="3:9" ht="13.5" customHeight="1" x14ac:dyDescent="0.25">
      <c r="C1419" s="16"/>
      <c r="D1419" s="16"/>
      <c r="E1419" s="64"/>
      <c r="F1419" s="64"/>
      <c r="G1419" s="16"/>
      <c r="H1419" s="16"/>
      <c r="I1419" s="16"/>
    </row>
    <row r="1420" spans="3:9" ht="13.5" customHeight="1" x14ac:dyDescent="0.25">
      <c r="C1420" s="35"/>
      <c r="D1420" s="35"/>
      <c r="E1420" s="65"/>
      <c r="F1420" s="69"/>
      <c r="G1420" s="35"/>
      <c r="H1420" s="35"/>
      <c r="I1420" s="35"/>
    </row>
    <row r="1421" spans="3:9" ht="13.5" customHeight="1" x14ac:dyDescent="0.25">
      <c r="C1421" s="16"/>
      <c r="D1421" s="16"/>
      <c r="E1421" s="64"/>
      <c r="F1421" s="64"/>
      <c r="G1421" s="16"/>
      <c r="H1421" s="16"/>
      <c r="I1421" s="16"/>
    </row>
    <row r="1422" spans="3:9" ht="13.5" customHeight="1" x14ac:dyDescent="0.25">
      <c r="C1422" s="35"/>
      <c r="D1422" s="35"/>
      <c r="E1422" s="65"/>
      <c r="F1422" s="69"/>
      <c r="G1422" s="35"/>
      <c r="H1422" s="35"/>
      <c r="I1422" s="35"/>
    </row>
    <row r="1423" spans="3:9" ht="13.5" customHeight="1" x14ac:dyDescent="0.25">
      <c r="C1423" s="16"/>
      <c r="D1423" s="16"/>
      <c r="E1423" s="64"/>
      <c r="F1423" s="64"/>
      <c r="G1423" s="16"/>
      <c r="H1423" s="16"/>
      <c r="I1423" s="16"/>
    </row>
    <row r="1424" spans="3:9" ht="13.5" customHeight="1" x14ac:dyDescent="0.25">
      <c r="C1424" s="35"/>
      <c r="D1424" s="35"/>
      <c r="E1424" s="65"/>
      <c r="F1424" s="69"/>
      <c r="G1424" s="35"/>
      <c r="H1424" s="35"/>
      <c r="I1424" s="35"/>
    </row>
    <row r="1425" spans="3:9" ht="13.5" customHeight="1" x14ac:dyDescent="0.25">
      <c r="C1425" s="16"/>
      <c r="D1425" s="16"/>
      <c r="E1425" s="64"/>
      <c r="F1425" s="64"/>
      <c r="G1425" s="16"/>
      <c r="H1425" s="16"/>
      <c r="I1425" s="16"/>
    </row>
    <row r="1426" spans="3:9" ht="13.5" customHeight="1" x14ac:dyDescent="0.25">
      <c r="C1426" s="35"/>
      <c r="D1426" s="35"/>
      <c r="E1426" s="65"/>
      <c r="F1426" s="69"/>
      <c r="G1426" s="35"/>
      <c r="H1426" s="35"/>
      <c r="I1426" s="35"/>
    </row>
    <row r="1427" spans="3:9" ht="13.5" customHeight="1" x14ac:dyDescent="0.25">
      <c r="C1427" s="16"/>
      <c r="D1427" s="16"/>
      <c r="E1427" s="64"/>
      <c r="F1427" s="64"/>
      <c r="G1427" s="16"/>
      <c r="H1427" s="16"/>
      <c r="I1427" s="16"/>
    </row>
    <row r="1428" spans="3:9" ht="13.5" customHeight="1" x14ac:dyDescent="0.25">
      <c r="C1428" s="35"/>
      <c r="D1428" s="35"/>
      <c r="E1428" s="65"/>
      <c r="F1428" s="69"/>
      <c r="G1428" s="35"/>
      <c r="H1428" s="35"/>
      <c r="I1428" s="35"/>
    </row>
    <row r="1429" spans="3:9" ht="13.5" customHeight="1" x14ac:dyDescent="0.25">
      <c r="C1429" s="16"/>
      <c r="D1429" s="16"/>
      <c r="E1429" s="64"/>
      <c r="F1429" s="64"/>
      <c r="G1429" s="16"/>
      <c r="H1429" s="16"/>
      <c r="I1429" s="16"/>
    </row>
    <row r="1430" spans="3:9" ht="13.5" customHeight="1" x14ac:dyDescent="0.25">
      <c r="C1430" s="35"/>
      <c r="D1430" s="35"/>
      <c r="E1430" s="65"/>
      <c r="F1430" s="69"/>
      <c r="G1430" s="35"/>
      <c r="H1430" s="35"/>
      <c r="I1430" s="35"/>
    </row>
    <row r="1431" spans="3:9" ht="13.5" customHeight="1" x14ac:dyDescent="0.25">
      <c r="C1431" s="16"/>
      <c r="D1431" s="16"/>
      <c r="E1431" s="64"/>
      <c r="F1431" s="64"/>
      <c r="G1431" s="16"/>
      <c r="H1431" s="16"/>
      <c r="I1431" s="16"/>
    </row>
    <row r="1432" spans="3:9" ht="13.5" customHeight="1" x14ac:dyDescent="0.25">
      <c r="C1432" s="35"/>
      <c r="D1432" s="35"/>
      <c r="E1432" s="65"/>
      <c r="F1432" s="69"/>
      <c r="G1432" s="35"/>
      <c r="H1432" s="35"/>
      <c r="I1432" s="35"/>
    </row>
    <row r="1433" spans="3:9" ht="13.5" customHeight="1" x14ac:dyDescent="0.25">
      <c r="C1433" s="16"/>
      <c r="D1433" s="16"/>
      <c r="E1433" s="64"/>
      <c r="F1433" s="64"/>
      <c r="G1433" s="16"/>
      <c r="H1433" s="16"/>
      <c r="I1433" s="16"/>
    </row>
    <row r="1434" spans="3:9" ht="13.5" customHeight="1" x14ac:dyDescent="0.25">
      <c r="C1434" s="35"/>
      <c r="D1434" s="35"/>
      <c r="E1434" s="65"/>
      <c r="F1434" s="69"/>
      <c r="G1434" s="35"/>
      <c r="H1434" s="35"/>
      <c r="I1434" s="35"/>
    </row>
    <row r="1435" spans="3:9" ht="13.5" customHeight="1" x14ac:dyDescent="0.25">
      <c r="C1435" s="16"/>
      <c r="D1435" s="16"/>
      <c r="E1435" s="64"/>
      <c r="F1435" s="64"/>
      <c r="G1435" s="16"/>
      <c r="H1435" s="16"/>
      <c r="I1435" s="16"/>
    </row>
    <row r="1436" spans="3:9" ht="13.5" customHeight="1" x14ac:dyDescent="0.25">
      <c r="C1436" s="35"/>
      <c r="D1436" s="35"/>
      <c r="E1436" s="65"/>
      <c r="F1436" s="69"/>
      <c r="G1436" s="35"/>
      <c r="H1436" s="35"/>
      <c r="I1436" s="35"/>
    </row>
    <row r="1437" spans="3:9" ht="13.5" customHeight="1" x14ac:dyDescent="0.25">
      <c r="C1437" s="16"/>
      <c r="D1437" s="16"/>
      <c r="E1437" s="64"/>
      <c r="F1437" s="64"/>
      <c r="G1437" s="16"/>
      <c r="H1437" s="16"/>
      <c r="I1437" s="16"/>
    </row>
    <row r="1438" spans="3:9" ht="13.5" customHeight="1" x14ac:dyDescent="0.25">
      <c r="C1438" s="35"/>
      <c r="D1438" s="35"/>
      <c r="E1438" s="65"/>
      <c r="F1438" s="69"/>
      <c r="G1438" s="35"/>
      <c r="H1438" s="35"/>
      <c r="I1438" s="35"/>
    </row>
    <row r="1439" spans="3:9" ht="13.5" customHeight="1" x14ac:dyDescent="0.25">
      <c r="C1439" s="16"/>
      <c r="D1439" s="16"/>
      <c r="E1439" s="64"/>
      <c r="F1439" s="64"/>
      <c r="G1439" s="16"/>
      <c r="H1439" s="16"/>
      <c r="I1439" s="16"/>
    </row>
    <row r="1440" spans="3:9" ht="13.5" customHeight="1" x14ac:dyDescent="0.25">
      <c r="C1440" s="35"/>
      <c r="D1440" s="35"/>
      <c r="E1440" s="65"/>
      <c r="F1440" s="69"/>
      <c r="G1440" s="35"/>
      <c r="H1440" s="35"/>
      <c r="I1440" s="35"/>
    </row>
    <row r="1441" spans="3:9" ht="13.5" customHeight="1" x14ac:dyDescent="0.25">
      <c r="C1441" s="16"/>
      <c r="D1441" s="16"/>
      <c r="E1441" s="64"/>
      <c r="F1441" s="64"/>
      <c r="G1441" s="16"/>
      <c r="H1441" s="16"/>
      <c r="I1441" s="16"/>
    </row>
    <row r="1442" spans="3:9" ht="13.5" customHeight="1" x14ac:dyDescent="0.25">
      <c r="C1442" s="35"/>
      <c r="D1442" s="35"/>
      <c r="E1442" s="65"/>
      <c r="F1442" s="69"/>
      <c r="G1442" s="35"/>
      <c r="H1442" s="35"/>
      <c r="I1442" s="35"/>
    </row>
    <row r="1443" spans="3:9" ht="13.5" customHeight="1" x14ac:dyDescent="0.25">
      <c r="C1443" s="16"/>
      <c r="D1443" s="16"/>
      <c r="E1443" s="64"/>
      <c r="F1443" s="64"/>
      <c r="G1443" s="16"/>
      <c r="H1443" s="16"/>
      <c r="I1443" s="16"/>
    </row>
    <row r="1444" spans="3:9" ht="13.5" customHeight="1" x14ac:dyDescent="0.25">
      <c r="C1444" s="35"/>
      <c r="D1444" s="35"/>
      <c r="E1444" s="65"/>
      <c r="F1444" s="69"/>
      <c r="G1444" s="35"/>
      <c r="H1444" s="35"/>
      <c r="I1444" s="35"/>
    </row>
    <row r="1445" spans="3:9" ht="13.5" customHeight="1" x14ac:dyDescent="0.25">
      <c r="C1445" s="16"/>
      <c r="D1445" s="16"/>
      <c r="E1445" s="64"/>
      <c r="F1445" s="64"/>
      <c r="G1445" s="16"/>
      <c r="H1445" s="16"/>
      <c r="I1445" s="16"/>
    </row>
    <row r="1446" spans="3:9" ht="13.5" customHeight="1" x14ac:dyDescent="0.25">
      <c r="C1446" s="35"/>
      <c r="D1446" s="35"/>
      <c r="E1446" s="65"/>
      <c r="F1446" s="69"/>
      <c r="G1446" s="35"/>
      <c r="H1446" s="35"/>
      <c r="I1446" s="35"/>
    </row>
    <row r="1447" spans="3:9" ht="13.5" customHeight="1" x14ac:dyDescent="0.25">
      <c r="C1447" s="16"/>
      <c r="D1447" s="16"/>
      <c r="E1447" s="64"/>
      <c r="F1447" s="64"/>
      <c r="G1447" s="16"/>
      <c r="H1447" s="16"/>
      <c r="I1447" s="16"/>
    </row>
    <row r="1448" spans="3:9" ht="13.5" customHeight="1" x14ac:dyDescent="0.25">
      <c r="C1448" s="35"/>
      <c r="D1448" s="35"/>
      <c r="E1448" s="65"/>
      <c r="F1448" s="69"/>
      <c r="G1448" s="35"/>
      <c r="H1448" s="35"/>
      <c r="I1448" s="35"/>
    </row>
    <row r="1449" spans="3:9" ht="13.5" customHeight="1" x14ac:dyDescent="0.25">
      <c r="C1449" s="16"/>
      <c r="D1449" s="16"/>
      <c r="E1449" s="64"/>
      <c r="F1449" s="64"/>
      <c r="G1449" s="16"/>
      <c r="H1449" s="16"/>
      <c r="I1449" s="16"/>
    </row>
    <row r="1450" spans="3:9" ht="13.5" customHeight="1" x14ac:dyDescent="0.25">
      <c r="C1450" s="35"/>
      <c r="D1450" s="35"/>
      <c r="E1450" s="65"/>
      <c r="F1450" s="69"/>
      <c r="G1450" s="35"/>
      <c r="H1450" s="35"/>
      <c r="I1450" s="35"/>
    </row>
    <row r="1451" spans="3:9" ht="13.5" customHeight="1" x14ac:dyDescent="0.25">
      <c r="C1451" s="16"/>
      <c r="D1451" s="16"/>
      <c r="E1451" s="64"/>
      <c r="F1451" s="64"/>
      <c r="G1451" s="16"/>
      <c r="H1451" s="16"/>
      <c r="I1451" s="16"/>
    </row>
    <row r="1452" spans="3:9" ht="13.5" customHeight="1" x14ac:dyDescent="0.25">
      <c r="C1452" s="35"/>
      <c r="D1452" s="35"/>
      <c r="E1452" s="65"/>
      <c r="F1452" s="69"/>
      <c r="G1452" s="35"/>
      <c r="H1452" s="35"/>
      <c r="I1452" s="35"/>
    </row>
    <row r="1453" spans="3:9" ht="13.5" customHeight="1" x14ac:dyDescent="0.25">
      <c r="C1453" s="16"/>
      <c r="D1453" s="16"/>
      <c r="E1453" s="64"/>
      <c r="F1453" s="64"/>
      <c r="G1453" s="16"/>
      <c r="H1453" s="16"/>
      <c r="I1453" s="16"/>
    </row>
    <row r="1454" spans="3:9" ht="13.5" customHeight="1" x14ac:dyDescent="0.25">
      <c r="C1454" s="35"/>
      <c r="D1454" s="35"/>
      <c r="E1454" s="65"/>
      <c r="F1454" s="69"/>
      <c r="G1454" s="35"/>
      <c r="H1454" s="35"/>
      <c r="I1454" s="35"/>
    </row>
    <row r="1455" spans="3:9" ht="13.5" customHeight="1" x14ac:dyDescent="0.25">
      <c r="C1455" s="16"/>
      <c r="D1455" s="16"/>
      <c r="E1455" s="64"/>
      <c r="F1455" s="64"/>
      <c r="G1455" s="16"/>
      <c r="H1455" s="16"/>
      <c r="I1455" s="16"/>
    </row>
    <row r="1456" spans="3:9" ht="13.5" customHeight="1" x14ac:dyDescent="0.25">
      <c r="C1456" s="35"/>
      <c r="D1456" s="35"/>
      <c r="E1456" s="65"/>
      <c r="F1456" s="69"/>
      <c r="G1456" s="35"/>
      <c r="H1456" s="35"/>
      <c r="I1456" s="35"/>
    </row>
    <row r="1457" spans="3:9" ht="13.5" customHeight="1" x14ac:dyDescent="0.25">
      <c r="C1457" s="16"/>
      <c r="D1457" s="16"/>
      <c r="E1457" s="64"/>
      <c r="F1457" s="64"/>
      <c r="G1457" s="16"/>
      <c r="H1457" s="16"/>
      <c r="I1457" s="16"/>
    </row>
    <row r="1458" spans="3:9" ht="13.5" customHeight="1" x14ac:dyDescent="0.25">
      <c r="C1458" s="35"/>
      <c r="D1458" s="35"/>
      <c r="E1458" s="65"/>
      <c r="F1458" s="69"/>
      <c r="G1458" s="35"/>
      <c r="H1458" s="35"/>
      <c r="I1458" s="35"/>
    </row>
    <row r="1459" spans="3:9" ht="13.5" customHeight="1" x14ac:dyDescent="0.25">
      <c r="C1459" s="16"/>
      <c r="D1459" s="16"/>
      <c r="E1459" s="64"/>
      <c r="F1459" s="64"/>
      <c r="G1459" s="16"/>
      <c r="H1459" s="16"/>
      <c r="I1459" s="16"/>
    </row>
    <row r="1460" spans="3:9" ht="13.5" customHeight="1" x14ac:dyDescent="0.25">
      <c r="C1460" s="35"/>
      <c r="D1460" s="35"/>
      <c r="E1460" s="65"/>
      <c r="F1460" s="69"/>
      <c r="G1460" s="35"/>
      <c r="H1460" s="35"/>
      <c r="I1460" s="35"/>
    </row>
    <row r="1461" spans="3:9" ht="13.5" customHeight="1" x14ac:dyDescent="0.25">
      <c r="C1461" s="16"/>
      <c r="D1461" s="16"/>
      <c r="E1461" s="64"/>
      <c r="F1461" s="64"/>
      <c r="G1461" s="16"/>
      <c r="H1461" s="16"/>
      <c r="I1461" s="16"/>
    </row>
    <row r="1462" spans="3:9" ht="13.5" customHeight="1" x14ac:dyDescent="0.25">
      <c r="C1462" s="35"/>
      <c r="D1462" s="35"/>
      <c r="E1462" s="65"/>
      <c r="F1462" s="69"/>
      <c r="G1462" s="35"/>
      <c r="H1462" s="35"/>
      <c r="I1462" s="35"/>
    </row>
    <row r="1463" spans="3:9" ht="13.5" customHeight="1" x14ac:dyDescent="0.25">
      <c r="C1463" s="16"/>
      <c r="D1463" s="16"/>
      <c r="E1463" s="64"/>
      <c r="F1463" s="64"/>
      <c r="G1463" s="16"/>
      <c r="H1463" s="16"/>
      <c r="I1463" s="16"/>
    </row>
    <row r="1464" spans="3:9" ht="13.5" customHeight="1" x14ac:dyDescent="0.25">
      <c r="C1464" s="35"/>
      <c r="D1464" s="35"/>
      <c r="E1464" s="65"/>
      <c r="F1464" s="69"/>
      <c r="G1464" s="35"/>
      <c r="H1464" s="35"/>
      <c r="I1464" s="35"/>
    </row>
    <row r="1465" spans="3:9" ht="13.5" customHeight="1" x14ac:dyDescent="0.25">
      <c r="C1465" s="16"/>
      <c r="D1465" s="16"/>
      <c r="E1465" s="64"/>
      <c r="F1465" s="64"/>
      <c r="G1465" s="16"/>
      <c r="H1465" s="16"/>
      <c r="I1465" s="16"/>
    </row>
    <row r="1466" spans="3:9" ht="13.5" customHeight="1" x14ac:dyDescent="0.25">
      <c r="C1466" s="35"/>
      <c r="D1466" s="35"/>
      <c r="E1466" s="65"/>
      <c r="F1466" s="69"/>
      <c r="G1466" s="35"/>
      <c r="H1466" s="35"/>
      <c r="I1466" s="35"/>
    </row>
    <row r="1467" spans="3:9" ht="13.5" customHeight="1" x14ac:dyDescent="0.25">
      <c r="C1467" s="16"/>
      <c r="D1467" s="16"/>
      <c r="E1467" s="64"/>
      <c r="F1467" s="64"/>
      <c r="G1467" s="16"/>
      <c r="H1467" s="16"/>
      <c r="I1467" s="16"/>
    </row>
    <row r="1468" spans="3:9" ht="13.5" customHeight="1" x14ac:dyDescent="0.25">
      <c r="C1468" s="35"/>
      <c r="D1468" s="35"/>
      <c r="E1468" s="65"/>
      <c r="F1468" s="69"/>
      <c r="G1468" s="35"/>
      <c r="H1468" s="35"/>
      <c r="I1468" s="35"/>
    </row>
    <row r="1469" spans="3:9" ht="13.5" customHeight="1" x14ac:dyDescent="0.25">
      <c r="C1469" s="16"/>
      <c r="D1469" s="16"/>
      <c r="E1469" s="64"/>
      <c r="F1469" s="64"/>
      <c r="G1469" s="16"/>
      <c r="H1469" s="16"/>
      <c r="I1469" s="16"/>
    </row>
    <row r="1470" spans="3:9" ht="13.5" customHeight="1" x14ac:dyDescent="0.25">
      <c r="C1470" s="35"/>
      <c r="D1470" s="35"/>
      <c r="E1470" s="65"/>
      <c r="F1470" s="69"/>
      <c r="G1470" s="35"/>
      <c r="H1470" s="35"/>
      <c r="I1470" s="35"/>
    </row>
    <row r="1471" spans="3:9" ht="13.5" customHeight="1" x14ac:dyDescent="0.25">
      <c r="C1471" s="16"/>
      <c r="D1471" s="16"/>
      <c r="E1471" s="64"/>
      <c r="F1471" s="64"/>
      <c r="G1471" s="16"/>
      <c r="H1471" s="16"/>
      <c r="I1471" s="16"/>
    </row>
    <row r="1472" spans="3:9" ht="13.5" customHeight="1" x14ac:dyDescent="0.25">
      <c r="C1472" s="35"/>
      <c r="D1472" s="35"/>
      <c r="E1472" s="65"/>
      <c r="F1472" s="69"/>
      <c r="G1472" s="35"/>
      <c r="H1472" s="35"/>
      <c r="I1472" s="35"/>
    </row>
    <row r="1473" spans="3:9" ht="13.5" customHeight="1" x14ac:dyDescent="0.25">
      <c r="C1473" s="16"/>
      <c r="D1473" s="16"/>
      <c r="E1473" s="64"/>
      <c r="F1473" s="64"/>
      <c r="G1473" s="16"/>
      <c r="H1473" s="16"/>
      <c r="I1473" s="16"/>
    </row>
    <row r="1474" spans="3:9" ht="13.5" customHeight="1" x14ac:dyDescent="0.25">
      <c r="C1474" s="35"/>
      <c r="D1474" s="35"/>
      <c r="E1474" s="65"/>
      <c r="F1474" s="69"/>
      <c r="G1474" s="35"/>
      <c r="H1474" s="35"/>
      <c r="I1474" s="35"/>
    </row>
    <row r="1475" spans="3:9" ht="13.5" customHeight="1" x14ac:dyDescent="0.25">
      <c r="C1475" s="16"/>
      <c r="D1475" s="16"/>
      <c r="E1475" s="64"/>
      <c r="F1475" s="64"/>
      <c r="G1475" s="16"/>
      <c r="H1475" s="16"/>
      <c r="I1475" s="16"/>
    </row>
    <row r="1476" spans="3:9" ht="13.5" customHeight="1" x14ac:dyDescent="0.25">
      <c r="C1476" s="35"/>
      <c r="D1476" s="35"/>
      <c r="E1476" s="65"/>
      <c r="F1476" s="69"/>
      <c r="G1476" s="35"/>
      <c r="H1476" s="35"/>
      <c r="I1476" s="35"/>
    </row>
    <row r="1477" spans="3:9" ht="13.5" customHeight="1" x14ac:dyDescent="0.25">
      <c r="C1477" s="16"/>
      <c r="D1477" s="16"/>
      <c r="E1477" s="64"/>
      <c r="F1477" s="64"/>
      <c r="G1477" s="16"/>
      <c r="H1477" s="16"/>
      <c r="I1477" s="16"/>
    </row>
    <row r="1478" spans="3:9" ht="13.5" customHeight="1" x14ac:dyDescent="0.25">
      <c r="C1478" s="35"/>
      <c r="D1478" s="35"/>
      <c r="E1478" s="65"/>
      <c r="F1478" s="69"/>
      <c r="G1478" s="35"/>
      <c r="H1478" s="35"/>
      <c r="I1478" s="35"/>
    </row>
    <row r="1479" spans="3:9" ht="13.5" customHeight="1" x14ac:dyDescent="0.25">
      <c r="C1479" s="16"/>
      <c r="D1479" s="16"/>
      <c r="E1479" s="64"/>
      <c r="F1479" s="64"/>
      <c r="G1479" s="16"/>
      <c r="H1479" s="16"/>
      <c r="I1479" s="16"/>
    </row>
    <row r="1480" spans="3:9" ht="13.5" customHeight="1" x14ac:dyDescent="0.25">
      <c r="C1480" s="35"/>
      <c r="D1480" s="35"/>
      <c r="E1480" s="65"/>
      <c r="F1480" s="69"/>
      <c r="G1480" s="35"/>
      <c r="H1480" s="35"/>
      <c r="I1480" s="35"/>
    </row>
    <row r="1481" spans="3:9" ht="13.5" customHeight="1" x14ac:dyDescent="0.25">
      <c r="C1481" s="16"/>
      <c r="D1481" s="16"/>
      <c r="E1481" s="64"/>
      <c r="F1481" s="64"/>
      <c r="G1481" s="16"/>
      <c r="H1481" s="16"/>
      <c r="I1481" s="16"/>
    </row>
    <row r="1482" spans="3:9" ht="13.5" customHeight="1" x14ac:dyDescent="0.25">
      <c r="C1482" s="35"/>
      <c r="D1482" s="35"/>
      <c r="E1482" s="65"/>
      <c r="F1482" s="69"/>
      <c r="G1482" s="35"/>
      <c r="H1482" s="35"/>
      <c r="I1482" s="35"/>
    </row>
    <row r="1483" spans="3:9" ht="13.5" customHeight="1" x14ac:dyDescent="0.25">
      <c r="C1483" s="16"/>
      <c r="D1483" s="16"/>
      <c r="E1483" s="64"/>
      <c r="F1483" s="64"/>
      <c r="G1483" s="16"/>
      <c r="H1483" s="16"/>
      <c r="I1483" s="16"/>
    </row>
    <row r="1484" spans="3:9" ht="13.5" customHeight="1" x14ac:dyDescent="0.25">
      <c r="C1484" s="35"/>
      <c r="D1484" s="35"/>
      <c r="E1484" s="65"/>
      <c r="F1484" s="69"/>
      <c r="G1484" s="35"/>
      <c r="H1484" s="35"/>
      <c r="I1484" s="35"/>
    </row>
    <row r="1485" spans="3:9" ht="13.5" customHeight="1" x14ac:dyDescent="0.25">
      <c r="C1485" s="16"/>
      <c r="D1485" s="16"/>
      <c r="E1485" s="64"/>
      <c r="F1485" s="64"/>
      <c r="G1485" s="16"/>
      <c r="H1485" s="16"/>
      <c r="I1485" s="16"/>
    </row>
    <row r="1486" spans="3:9" ht="13.5" customHeight="1" x14ac:dyDescent="0.25">
      <c r="C1486" s="35"/>
      <c r="D1486" s="35"/>
      <c r="E1486" s="65"/>
      <c r="F1486" s="69"/>
      <c r="G1486" s="35"/>
      <c r="H1486" s="35"/>
      <c r="I1486" s="35"/>
    </row>
    <row r="1487" spans="3:9" ht="13.5" customHeight="1" x14ac:dyDescent="0.25">
      <c r="C1487" s="16"/>
      <c r="D1487" s="16"/>
      <c r="E1487" s="64"/>
      <c r="F1487" s="64"/>
      <c r="G1487" s="16"/>
      <c r="H1487" s="16"/>
      <c r="I1487" s="16"/>
    </row>
    <row r="1488" spans="3:9" ht="13.5" customHeight="1" x14ac:dyDescent="0.25">
      <c r="C1488" s="35"/>
      <c r="D1488" s="35"/>
      <c r="E1488" s="65"/>
      <c r="F1488" s="69"/>
      <c r="G1488" s="35"/>
      <c r="H1488" s="35"/>
      <c r="I1488" s="35"/>
    </row>
    <row r="1489" spans="3:9" ht="13.5" customHeight="1" x14ac:dyDescent="0.25">
      <c r="C1489" s="16"/>
      <c r="D1489" s="16"/>
      <c r="E1489" s="64"/>
      <c r="F1489" s="64"/>
      <c r="G1489" s="16"/>
      <c r="H1489" s="16"/>
      <c r="I1489" s="16"/>
    </row>
    <row r="1490" spans="3:9" ht="13.5" customHeight="1" x14ac:dyDescent="0.25">
      <c r="C1490" s="35"/>
      <c r="D1490" s="35"/>
      <c r="E1490" s="65"/>
      <c r="F1490" s="69"/>
      <c r="G1490" s="35"/>
      <c r="H1490" s="35"/>
      <c r="I1490" s="35"/>
    </row>
    <row r="1491" spans="3:9" ht="13.5" customHeight="1" x14ac:dyDescent="0.25">
      <c r="C1491" s="16"/>
      <c r="D1491" s="16"/>
      <c r="E1491" s="64"/>
      <c r="F1491" s="64"/>
      <c r="G1491" s="16"/>
      <c r="H1491" s="16"/>
      <c r="I1491" s="16"/>
    </row>
    <row r="1492" spans="3:9" ht="13.5" customHeight="1" x14ac:dyDescent="0.25">
      <c r="C1492" s="35"/>
      <c r="D1492" s="35"/>
      <c r="E1492" s="65"/>
      <c r="F1492" s="69"/>
      <c r="G1492" s="35"/>
      <c r="H1492" s="35"/>
      <c r="I1492" s="35"/>
    </row>
    <row r="1493" spans="3:9" ht="13.5" customHeight="1" x14ac:dyDescent="0.25">
      <c r="C1493" s="16"/>
      <c r="D1493" s="16"/>
      <c r="E1493" s="64"/>
      <c r="F1493" s="64"/>
      <c r="G1493" s="16"/>
      <c r="H1493" s="16"/>
      <c r="I1493" s="16"/>
    </row>
    <row r="1494" spans="3:9" ht="13.5" customHeight="1" x14ac:dyDescent="0.25">
      <c r="C1494" s="35"/>
      <c r="D1494" s="35"/>
      <c r="E1494" s="65"/>
      <c r="F1494" s="69"/>
      <c r="G1494" s="35"/>
      <c r="H1494" s="35"/>
      <c r="I1494" s="35"/>
    </row>
    <row r="1495" spans="3:9" ht="13.5" customHeight="1" x14ac:dyDescent="0.25">
      <c r="C1495" s="16"/>
      <c r="D1495" s="16"/>
      <c r="E1495" s="64"/>
      <c r="F1495" s="64"/>
      <c r="G1495" s="16"/>
      <c r="H1495" s="16"/>
      <c r="I1495" s="16"/>
    </row>
    <row r="1496" spans="3:9" ht="13.5" customHeight="1" x14ac:dyDescent="0.25">
      <c r="C1496" s="35"/>
      <c r="D1496" s="35"/>
      <c r="E1496" s="65"/>
      <c r="F1496" s="69"/>
      <c r="G1496" s="35"/>
      <c r="H1496" s="35"/>
      <c r="I1496" s="35"/>
    </row>
    <row r="1497" spans="3:9" ht="13.5" customHeight="1" x14ac:dyDescent="0.25">
      <c r="C1497" s="16"/>
      <c r="D1497" s="16"/>
      <c r="E1497" s="64"/>
      <c r="F1497" s="64"/>
      <c r="G1497" s="16"/>
      <c r="H1497" s="16"/>
      <c r="I1497" s="16"/>
    </row>
    <row r="1498" spans="3:9" ht="13.5" customHeight="1" x14ac:dyDescent="0.25">
      <c r="C1498" s="35"/>
      <c r="D1498" s="35"/>
      <c r="E1498" s="65"/>
      <c r="F1498" s="69"/>
      <c r="G1498" s="35"/>
      <c r="H1498" s="35"/>
      <c r="I1498" s="35"/>
    </row>
    <row r="1499" spans="3:9" ht="13.5" customHeight="1" x14ac:dyDescent="0.25">
      <c r="C1499" s="16"/>
      <c r="D1499" s="16"/>
      <c r="E1499" s="64"/>
      <c r="F1499" s="64"/>
      <c r="G1499" s="16"/>
      <c r="H1499" s="16"/>
      <c r="I1499" s="16"/>
    </row>
    <row r="1500" spans="3:9" ht="13.5" customHeight="1" x14ac:dyDescent="0.25">
      <c r="C1500" s="35"/>
      <c r="D1500" s="35"/>
      <c r="E1500" s="65"/>
      <c r="F1500" s="69"/>
      <c r="G1500" s="35"/>
      <c r="H1500" s="35"/>
      <c r="I1500" s="35"/>
    </row>
  </sheetData>
  <mergeCells count="11">
    <mergeCell ref="D9:E9"/>
    <mergeCell ref="H9:I9"/>
    <mergeCell ref="D10:E10"/>
    <mergeCell ref="H10:I10"/>
    <mergeCell ref="C13:I13"/>
    <mergeCell ref="D6:E6"/>
    <mergeCell ref="H6:I6"/>
    <mergeCell ref="D7:E7"/>
    <mergeCell ref="H7:I7"/>
    <mergeCell ref="D8:E8"/>
    <mergeCell ref="H8:I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4A84-C7EC-45FC-8994-B0C7F04DA996}">
  <sheetPr codeName="Sheet33">
    <tabColor theme="1" tint="4.9989318521683403E-2"/>
  </sheetPr>
  <dimension ref="A1:Q1500"/>
  <sheetViews>
    <sheetView zoomScale="115" zoomScaleNormal="115" workbookViewId="0">
      <selection activeCell="E26" sqref="E26"/>
    </sheetView>
  </sheetViews>
  <sheetFormatPr defaultColWidth="0" defaultRowHeight="13.5" customHeight="1" outlineLevelRow="1" x14ac:dyDescent="0.25"/>
  <cols>
    <col min="1" max="1" width="2.7109375" style="1" customWidth="1"/>
    <col min="2" max="2" width="1.7109375" style="1" customWidth="1"/>
    <col min="3" max="3" width="11.85546875" style="1" customWidth="1"/>
    <col min="4" max="4" width="6.85546875" style="1" bestFit="1" customWidth="1"/>
    <col min="5" max="5" width="40.28515625" style="66" customWidth="1"/>
    <col min="6" max="6" width="36.7109375" style="66" customWidth="1"/>
    <col min="7" max="7" width="24.28515625" style="1" customWidth="1"/>
    <col min="8" max="8" width="16.7109375" style="1" customWidth="1"/>
    <col min="9" max="9" width="11.85546875" style="1" customWidth="1"/>
    <col min="10" max="11" width="1.7109375" style="1" customWidth="1"/>
    <col min="12" max="12" width="2.7109375" style="1" hidden="1" customWidth="1"/>
    <col min="13" max="13" width="15.140625" style="1" hidden="1" customWidth="1"/>
    <col min="14" max="14" width="1.7109375" style="1" hidden="1" customWidth="1"/>
    <col min="15" max="15" width="2.7109375" style="1" hidden="1" customWidth="1"/>
    <col min="16" max="17" width="0" style="1" hidden="1" customWidth="1"/>
    <col min="18" max="16384" width="9.140625" style="1" hidden="1"/>
  </cols>
  <sheetData>
    <row r="1" spans="1:13" x14ac:dyDescent="0.25">
      <c r="A1" s="43"/>
      <c r="B1" s="43"/>
      <c r="C1" s="43"/>
      <c r="D1" s="43"/>
      <c r="E1" s="60"/>
      <c r="F1" s="60"/>
      <c r="G1" s="43"/>
      <c r="H1" s="43"/>
      <c r="I1" s="43"/>
      <c r="J1" s="43"/>
      <c r="K1" s="43"/>
      <c r="L1" s="43"/>
      <c r="M1" s="43"/>
    </row>
    <row r="2" spans="1:13" x14ac:dyDescent="0.25">
      <c r="A2" s="43"/>
      <c r="B2" s="43"/>
      <c r="C2" s="43"/>
      <c r="D2" s="43"/>
      <c r="E2" s="60"/>
      <c r="F2" s="60"/>
      <c r="G2" s="43"/>
      <c r="H2" s="43"/>
      <c r="I2" s="43"/>
      <c r="J2" s="43"/>
      <c r="K2" s="43"/>
      <c r="L2" s="43"/>
      <c r="M2" s="43"/>
    </row>
    <row r="3" spans="1:13" x14ac:dyDescent="0.25">
      <c r="A3" s="43"/>
      <c r="B3" s="43"/>
      <c r="C3" s="43"/>
      <c r="D3" s="43"/>
      <c r="E3" s="60"/>
      <c r="F3" s="60"/>
      <c r="G3" s="43"/>
      <c r="H3" s="43"/>
      <c r="I3" s="43"/>
      <c r="J3" s="43"/>
      <c r="K3" s="43"/>
      <c r="L3" s="43"/>
      <c r="M3" s="43"/>
    </row>
    <row r="4" spans="1:13" x14ac:dyDescent="0.25">
      <c r="A4" s="43"/>
      <c r="B4" s="43"/>
      <c r="C4" s="43"/>
      <c r="D4" s="43"/>
      <c r="E4" s="60"/>
      <c r="F4" s="60"/>
      <c r="G4" s="43"/>
      <c r="H4" s="43"/>
      <c r="I4" s="43"/>
      <c r="J4" s="43"/>
      <c r="K4" s="43"/>
      <c r="L4" s="43"/>
      <c r="M4" s="43"/>
    </row>
    <row r="5" spans="1:13" ht="9.9499999999999993" customHeight="1" x14ac:dyDescent="0.25">
      <c r="A5" s="43"/>
      <c r="B5" s="9"/>
      <c r="C5" s="10"/>
      <c r="D5" s="10"/>
      <c r="E5" s="61"/>
      <c r="F5" s="61"/>
      <c r="G5" s="45"/>
      <c r="H5" s="10"/>
      <c r="I5" s="10"/>
      <c r="J5" s="11"/>
      <c r="K5" s="43"/>
    </row>
    <row r="6" spans="1:13" ht="14.25" x14ac:dyDescent="0.3">
      <c r="A6" s="43"/>
      <c r="B6" s="4"/>
      <c r="C6" s="44" t="s">
        <v>0</v>
      </c>
      <c r="D6" s="93">
        <f>IF('Project Details'!D6=0,"", 'Project Details'!D6)</f>
        <v>45217</v>
      </c>
      <c r="E6" s="93"/>
      <c r="F6" s="67"/>
      <c r="G6" s="44" t="s">
        <v>90</v>
      </c>
      <c r="H6" s="95">
        <f>IF('Project Details'!J6=0,"", 'Project Details'!J6)</f>
        <v>1</v>
      </c>
      <c r="I6" s="95"/>
      <c r="J6" s="5"/>
      <c r="K6" s="43"/>
    </row>
    <row r="7" spans="1:13" ht="14.25" x14ac:dyDescent="0.3">
      <c r="A7" s="43"/>
      <c r="B7" s="4"/>
      <c r="C7" s="44" t="s">
        <v>1</v>
      </c>
      <c r="D7" s="95" t="str">
        <f>IF('Project Details'!D7=0,"", 'Project Details'!D7)</f>
        <v>William Andrew Bulaquena</v>
      </c>
      <c r="E7" s="95"/>
      <c r="F7" s="67"/>
      <c r="G7" s="44" t="s">
        <v>91</v>
      </c>
      <c r="H7" s="95">
        <f>IF('Project Details'!J7=0,"", 'Project Details'!J7)</f>
        <v>1</v>
      </c>
      <c r="I7" s="95"/>
      <c r="J7" s="5"/>
      <c r="K7" s="43"/>
    </row>
    <row r="8" spans="1:13" ht="14.25" x14ac:dyDescent="0.3">
      <c r="A8" s="43"/>
      <c r="B8" s="4"/>
      <c r="C8" s="44" t="s">
        <v>730</v>
      </c>
      <c r="D8" s="95" t="str">
        <f>IF('Project Details'!D8=0,"", 'Project Details'!D8)</f>
        <v>Banilad</v>
      </c>
      <c r="E8" s="95"/>
      <c r="F8" s="67"/>
      <c r="G8" s="44" t="s">
        <v>92</v>
      </c>
      <c r="H8" s="95">
        <f>IF('Project Details'!J8=0,"", 'Project Details'!J8)</f>
        <v>12345</v>
      </c>
      <c r="I8" s="95"/>
      <c r="J8" s="5"/>
      <c r="K8" s="43"/>
    </row>
    <row r="9" spans="1:13" ht="14.25" x14ac:dyDescent="0.3">
      <c r="A9" s="43"/>
      <c r="B9" s="4"/>
      <c r="C9" s="44" t="s">
        <v>62</v>
      </c>
      <c r="D9" s="95">
        <f>IF('Project Details'!D9=0,"", 'Project Details'!D9)</f>
        <v>9123456789</v>
      </c>
      <c r="E9" s="95"/>
      <c r="F9" s="67"/>
      <c r="G9" s="44" t="s">
        <v>93</v>
      </c>
      <c r="H9" s="95" t="str">
        <f>IF('Project Details'!J9=0,"", 'Project Details'!J9)</f>
        <v>Kunstof</v>
      </c>
      <c r="I9" s="95"/>
      <c r="J9" s="5"/>
      <c r="K9" s="43"/>
    </row>
    <row r="10" spans="1:13" ht="14.25" x14ac:dyDescent="0.3">
      <c r="A10" s="43"/>
      <c r="B10" s="4"/>
      <c r="C10" s="44" t="s">
        <v>63</v>
      </c>
      <c r="D10" s="95" t="str">
        <f>IF('Project Details'!D10=0,"", 'Project Details'!D10)</f>
        <v>williamgbulaquena@gmail.com</v>
      </c>
      <c r="E10" s="95"/>
      <c r="F10" s="67"/>
      <c r="G10" s="44" t="s">
        <v>94</v>
      </c>
      <c r="H10" s="95" t="str">
        <f>IF('Project Details'!J10=0,"", 'Project Details'!J10)</f>
        <v>Kunstof</v>
      </c>
      <c r="I10" s="95"/>
      <c r="J10" s="5"/>
      <c r="K10" s="43"/>
    </row>
    <row r="11" spans="1:13" ht="9.9499999999999993" customHeight="1" x14ac:dyDescent="0.25">
      <c r="A11" s="43"/>
      <c r="B11" s="6"/>
      <c r="C11" s="7"/>
      <c r="D11" s="7"/>
      <c r="E11" s="62"/>
      <c r="F11" s="62"/>
      <c r="G11" s="7"/>
      <c r="H11" s="14"/>
      <c r="I11" s="7"/>
      <c r="J11" s="8"/>
      <c r="K11" s="43"/>
    </row>
    <row r="12" spans="1:13" x14ac:dyDescent="0.25">
      <c r="A12" s="43"/>
      <c r="B12" s="43"/>
      <c r="C12" s="43"/>
      <c r="D12" s="43"/>
      <c r="E12" s="60"/>
      <c r="F12" s="60"/>
      <c r="G12" s="43"/>
      <c r="H12" s="43"/>
      <c r="I12" s="43"/>
      <c r="J12" s="43"/>
      <c r="K12" s="43"/>
    </row>
    <row r="13" spans="1:13" x14ac:dyDescent="0.25">
      <c r="A13" s="43"/>
      <c r="B13" s="43"/>
      <c r="C13" s="109" t="s">
        <v>194</v>
      </c>
      <c r="D13" s="110"/>
      <c r="E13" s="110"/>
      <c r="F13" s="110"/>
      <c r="G13" s="110"/>
      <c r="H13" s="110"/>
      <c r="I13" s="111"/>
      <c r="J13" s="43"/>
      <c r="K13" s="43"/>
    </row>
    <row r="14" spans="1:13" s="83" customFormat="1" x14ac:dyDescent="0.25">
      <c r="A14" s="82"/>
      <c r="B14" s="82"/>
      <c r="C14" s="37" t="s">
        <v>3</v>
      </c>
      <c r="D14" s="37" t="s">
        <v>134</v>
      </c>
      <c r="E14" s="37" t="s">
        <v>96</v>
      </c>
      <c r="F14" s="38" t="s">
        <v>95</v>
      </c>
      <c r="G14" s="37" t="s">
        <v>5</v>
      </c>
      <c r="H14" s="37" t="s">
        <v>135</v>
      </c>
      <c r="I14" s="37" t="s">
        <v>136</v>
      </c>
      <c r="J14" s="82"/>
      <c r="K14" s="82"/>
    </row>
    <row r="15" spans="1:13" x14ac:dyDescent="0.25">
      <c r="A15" s="43"/>
      <c r="B15" s="43"/>
      <c r="C15" s="16" t="str" cm="1">
        <f t="array" ref="C15">IFERROR(_xlfn._xlws.FILTER(cl_unmerged!C16:C2307, (cl_unmerged!$D$16:$D$2307&lt;&gt;"") * (ISERROR(SEARCH("steel", cl_unmerged!$F$16:$F$2307)))), "")</f>
        <v/>
      </c>
      <c r="D15" s="16" t="str" cm="1">
        <f t="array" ref="D15">IFERROR(_xlfn._xlws.FILTER(cl_unmerged!D16:D2307, (cl_unmerged!$H$16:$H$2307&lt;&gt;"") * (ISERROR(SEARCH("steel", cl_unmerged!$F$16:$F$2307)))), "")</f>
        <v/>
      </c>
      <c r="E15" s="64" t="str" cm="1">
        <f t="array" ref="E15">IFERROR(_xlfn._xlws.FILTER(cl_unmerged!E16:E2307, (cl_unmerged!$D$16:$D$2307&lt;&gt;"") * (ISERROR(SEARCH("steel", cl_unmerged!$F$16:$F$2307)))), "")</f>
        <v/>
      </c>
      <c r="F15" s="64" t="str" cm="1">
        <f t="array" ref="F15">IFERROR(IF(_xlfn._xlws.FILTER(cl_unmerged!F16:F2307, (cl_unmerged!$D$16:$D$2307&lt;&gt;"") * (ISERROR(SEARCH("steel", cl_unmerged!$F$16:$F$2307))))=0,"",_xlfn._xlws.FILTER(cl_unmerged!F16:F2307, (cl_unmerged!$D$16:$D$2307&lt;&gt;"") * (ISERROR(SEARCH("steel", cl_unmerged!$F$16:$F$2307))))), "")</f>
        <v/>
      </c>
      <c r="G15" s="16" t="str" cm="1">
        <f t="array" ref="G15">IFERROR(IF(_xlfn._xlws.FILTER(cl_unmerged!G16:G2307, (cl_unmerged!$D$16:$D$2307&lt;&gt;"") * (ISERROR(SEARCH("steel", cl_unmerged!$F$16:$F$2307))))=0,"",_xlfn._xlws.FILTER(cl_unmerged!G16:G2307, (cl_unmerged!$D$16:$D$2307&lt;&gt;"") * (ISERROR(SEARCH("steel", cl_unmerged!$F$16:$F$2307))))), "")</f>
        <v/>
      </c>
      <c r="H15" s="16" t="str" cm="1">
        <f t="array" ref="H15">IFERROR(IF(_xlfn._xlws.FILTER(cl_unmerged!H16:H2307, (cl_unmerged!$D$16:$D$2307&lt;&gt;"") * (ISERROR(SEARCH("steel", cl_unmerged!$F$16:$F$2307))))=0,"",_xlfn._xlws.FILTER(cl_unmerged!H16:H2307, (cl_unmerged!$D$16:$D$2307&lt;&gt;"") * (ISERROR(SEARCH("steel", cl_unmerged!$F$16:$F$2307))))), "")</f>
        <v/>
      </c>
      <c r="I15" s="16" t="str" cm="1">
        <f t="array" ref="I15">IFERROR(IF(_xlfn._xlws.FILTER(cl_unmerged!I16:I2307, (cl_unmerged!$D$16:$D$2307&lt;&gt;"") * (ISERROR(SEARCH("steel", cl_unmerged!$F$16:$F$2307))))=0,"",_xlfn._xlws.FILTER(cl_unmerged!I16:I2307, (cl_unmerged!$D$16:$D$2307&lt;&gt;"") * (ISERROR(SEARCH("steel", cl_unmerged!$F$16:$F$2307))))), "")</f>
        <v/>
      </c>
      <c r="J15" s="43"/>
      <c r="K15" s="43"/>
    </row>
    <row r="16" spans="1:13" x14ac:dyDescent="0.25">
      <c r="A16" s="43"/>
      <c r="B16" s="43"/>
      <c r="C16" s="35"/>
      <c r="D16" s="35"/>
      <c r="E16" s="65"/>
      <c r="F16" s="69"/>
      <c r="G16" s="35"/>
      <c r="H16" s="35"/>
      <c r="I16" s="35"/>
      <c r="J16" s="43"/>
      <c r="K16" s="43"/>
    </row>
    <row r="17" spans="1:11" x14ac:dyDescent="0.25">
      <c r="A17" s="43"/>
      <c r="B17" s="43"/>
      <c r="C17" s="16"/>
      <c r="D17" s="16"/>
      <c r="E17" s="64"/>
      <c r="F17" s="64"/>
      <c r="G17" s="16"/>
      <c r="H17" s="16"/>
      <c r="I17" s="16"/>
      <c r="J17" s="43"/>
      <c r="K17" s="43"/>
    </row>
    <row r="18" spans="1:11" x14ac:dyDescent="0.25">
      <c r="A18" s="43"/>
      <c r="B18" s="43"/>
      <c r="C18" s="35"/>
      <c r="D18" s="35"/>
      <c r="E18" s="65"/>
      <c r="F18" s="69"/>
      <c r="G18" s="35"/>
      <c r="H18" s="35"/>
      <c r="I18" s="35"/>
      <c r="J18" s="43"/>
      <c r="K18" s="43"/>
    </row>
    <row r="19" spans="1:11" x14ac:dyDescent="0.25">
      <c r="A19" s="43"/>
      <c r="B19" s="43"/>
      <c r="C19" s="16"/>
      <c r="D19" s="16"/>
      <c r="E19" s="64"/>
      <c r="F19" s="64"/>
      <c r="G19" s="16"/>
      <c r="H19" s="16"/>
      <c r="I19" s="16"/>
      <c r="J19" s="43"/>
      <c r="K19" s="43"/>
    </row>
    <row r="20" spans="1:11" x14ac:dyDescent="0.25">
      <c r="A20" s="43"/>
      <c r="B20" s="43"/>
      <c r="C20" s="35"/>
      <c r="D20" s="35"/>
      <c r="E20" s="65"/>
      <c r="F20" s="69"/>
      <c r="G20" s="35"/>
      <c r="H20" s="35"/>
      <c r="I20" s="35"/>
      <c r="J20" s="43"/>
      <c r="K20" s="43"/>
    </row>
    <row r="21" spans="1:11" x14ac:dyDescent="0.25">
      <c r="A21" s="43"/>
      <c r="B21" s="43"/>
      <c r="C21" s="16"/>
      <c r="D21" s="16"/>
      <c r="E21" s="64"/>
      <c r="F21" s="64"/>
      <c r="G21" s="16"/>
      <c r="H21" s="16"/>
      <c r="I21" s="16"/>
      <c r="J21" s="43"/>
      <c r="K21" s="43"/>
    </row>
    <row r="22" spans="1:11" x14ac:dyDescent="0.25">
      <c r="A22" s="43"/>
      <c r="B22" s="43"/>
      <c r="C22" s="35"/>
      <c r="D22" s="35"/>
      <c r="E22" s="65"/>
      <c r="F22" s="69"/>
      <c r="G22" s="35"/>
      <c r="H22" s="35"/>
      <c r="I22" s="35"/>
      <c r="J22" s="43"/>
      <c r="K22" s="43"/>
    </row>
    <row r="23" spans="1:11" x14ac:dyDescent="0.25">
      <c r="A23" s="43"/>
      <c r="B23" s="43"/>
      <c r="C23" s="16"/>
      <c r="D23" s="16"/>
      <c r="E23" s="64"/>
      <c r="F23" s="64"/>
      <c r="G23" s="16"/>
      <c r="H23" s="16"/>
      <c r="I23" s="16"/>
      <c r="J23" s="43"/>
      <c r="K23" s="43"/>
    </row>
    <row r="24" spans="1:11" x14ac:dyDescent="0.25">
      <c r="A24" s="43"/>
      <c r="B24" s="43"/>
      <c r="C24" s="35"/>
      <c r="D24" s="35"/>
      <c r="E24" s="65"/>
      <c r="F24" s="69"/>
      <c r="G24" s="35"/>
      <c r="H24" s="35"/>
      <c r="I24" s="35"/>
      <c r="J24" s="43"/>
      <c r="K24" s="43"/>
    </row>
    <row r="25" spans="1:11" x14ac:dyDescent="0.25">
      <c r="A25" s="43"/>
      <c r="B25" s="43"/>
      <c r="C25" s="16"/>
      <c r="D25" s="16"/>
      <c r="E25" s="64"/>
      <c r="F25" s="64"/>
      <c r="G25" s="16"/>
      <c r="H25" s="16"/>
      <c r="I25" s="16"/>
      <c r="J25" s="43"/>
      <c r="K25" s="43"/>
    </row>
    <row r="26" spans="1:11" x14ac:dyDescent="0.25">
      <c r="A26" s="43"/>
      <c r="B26" s="43"/>
      <c r="C26" s="35"/>
      <c r="D26" s="35"/>
      <c r="E26" s="65"/>
      <c r="F26" s="69"/>
      <c r="G26" s="35"/>
      <c r="H26" s="35"/>
      <c r="I26" s="35"/>
      <c r="J26" s="43"/>
      <c r="K26" s="43"/>
    </row>
    <row r="27" spans="1:11" x14ac:dyDescent="0.25">
      <c r="A27" s="43"/>
      <c r="B27" s="43"/>
      <c r="C27" s="16"/>
      <c r="D27" s="16"/>
      <c r="E27" s="64"/>
      <c r="F27" s="64"/>
      <c r="G27" s="16"/>
      <c r="H27" s="16"/>
      <c r="I27" s="16"/>
      <c r="J27" s="43"/>
      <c r="K27" s="43"/>
    </row>
    <row r="28" spans="1:11" x14ac:dyDescent="0.25">
      <c r="A28" s="43"/>
      <c r="B28" s="43"/>
      <c r="C28" s="35"/>
      <c r="D28" s="35"/>
      <c r="E28" s="65"/>
      <c r="F28" s="69"/>
      <c r="G28" s="35"/>
      <c r="H28" s="35"/>
      <c r="I28" s="35"/>
      <c r="J28" s="43"/>
      <c r="K28" s="43"/>
    </row>
    <row r="29" spans="1:11" x14ac:dyDescent="0.25">
      <c r="A29" s="43"/>
      <c r="B29" s="43"/>
      <c r="C29" s="16"/>
      <c r="D29" s="16"/>
      <c r="E29" s="64"/>
      <c r="F29" s="64"/>
      <c r="G29" s="16"/>
      <c r="H29" s="16"/>
      <c r="I29" s="16"/>
      <c r="J29" s="43"/>
      <c r="K29" s="43"/>
    </row>
    <row r="30" spans="1:11" x14ac:dyDescent="0.25">
      <c r="A30" s="43"/>
      <c r="B30" s="43"/>
      <c r="C30" s="35"/>
      <c r="D30" s="35"/>
      <c r="E30" s="65"/>
      <c r="F30" s="69"/>
      <c r="G30" s="35"/>
      <c r="H30" s="35"/>
      <c r="I30" s="35"/>
      <c r="J30" s="43"/>
      <c r="K30" s="43"/>
    </row>
    <row r="31" spans="1:11" x14ac:dyDescent="0.25">
      <c r="A31" s="43"/>
      <c r="B31" s="43"/>
      <c r="C31" s="16"/>
      <c r="D31" s="16"/>
      <c r="E31" s="64"/>
      <c r="F31" s="64"/>
      <c r="G31" s="16"/>
      <c r="H31" s="16"/>
      <c r="I31" s="16"/>
      <c r="J31" s="43"/>
      <c r="K31" s="43"/>
    </row>
    <row r="32" spans="1:11" x14ac:dyDescent="0.25">
      <c r="A32" s="43"/>
      <c r="B32" s="43"/>
      <c r="C32" s="35"/>
      <c r="D32" s="35"/>
      <c r="E32" s="65"/>
      <c r="F32" s="69"/>
      <c r="G32" s="35"/>
      <c r="H32" s="35"/>
      <c r="I32" s="35"/>
      <c r="J32" s="43"/>
      <c r="K32" s="43"/>
    </row>
    <row r="33" spans="1:11" x14ac:dyDescent="0.25">
      <c r="A33" s="43"/>
      <c r="B33" s="43"/>
      <c r="C33" s="16"/>
      <c r="D33" s="16"/>
      <c r="E33" s="64"/>
      <c r="F33" s="64"/>
      <c r="G33" s="16"/>
      <c r="H33" s="16"/>
      <c r="I33" s="16"/>
      <c r="J33" s="43"/>
      <c r="K33" s="43"/>
    </row>
    <row r="34" spans="1:11" ht="13.5" customHeight="1" x14ac:dyDescent="0.25">
      <c r="A34" s="43"/>
      <c r="B34" s="43"/>
      <c r="C34" s="35"/>
      <c r="D34" s="35"/>
      <c r="E34" s="65"/>
      <c r="F34" s="69"/>
      <c r="G34" s="35"/>
      <c r="H34" s="35"/>
      <c r="I34" s="35"/>
      <c r="J34" s="43"/>
      <c r="K34" s="43"/>
    </row>
    <row r="35" spans="1:11" ht="13.5" customHeight="1" x14ac:dyDescent="0.25">
      <c r="A35" s="43"/>
      <c r="B35" s="43"/>
      <c r="C35" s="16"/>
      <c r="D35" s="16"/>
      <c r="E35" s="64"/>
      <c r="F35" s="64"/>
      <c r="G35" s="16"/>
      <c r="H35" s="16"/>
      <c r="I35" s="16"/>
      <c r="J35" s="43"/>
      <c r="K35" s="43"/>
    </row>
    <row r="36" spans="1:11" ht="13.5" customHeight="1" x14ac:dyDescent="0.25">
      <c r="A36" s="43"/>
      <c r="B36" s="43"/>
      <c r="C36" s="35"/>
      <c r="D36" s="35"/>
      <c r="E36" s="65"/>
      <c r="F36" s="69"/>
      <c r="G36" s="35"/>
      <c r="H36" s="35"/>
      <c r="I36" s="35"/>
      <c r="J36" s="43"/>
      <c r="K36" s="43"/>
    </row>
    <row r="37" spans="1:11" ht="13.5" customHeight="1" x14ac:dyDescent="0.25">
      <c r="A37" s="43"/>
      <c r="B37" s="43"/>
      <c r="C37" s="16"/>
      <c r="D37" s="16"/>
      <c r="E37" s="64"/>
      <c r="F37" s="64"/>
      <c r="G37" s="16"/>
      <c r="H37" s="16"/>
      <c r="I37" s="16"/>
      <c r="J37" s="43"/>
      <c r="K37" s="43"/>
    </row>
    <row r="38" spans="1:11" ht="13.5" customHeight="1" x14ac:dyDescent="0.25">
      <c r="A38" s="43"/>
      <c r="B38" s="43"/>
      <c r="C38" s="35"/>
      <c r="D38" s="35"/>
      <c r="E38" s="65"/>
      <c r="F38" s="69"/>
      <c r="G38" s="35"/>
      <c r="H38" s="35"/>
      <c r="I38" s="35"/>
      <c r="J38" s="43"/>
      <c r="K38" s="43"/>
    </row>
    <row r="39" spans="1:11" ht="13.5" customHeight="1" x14ac:dyDescent="0.25">
      <c r="A39" s="43"/>
      <c r="B39" s="43"/>
      <c r="C39" s="16"/>
      <c r="D39" s="16"/>
      <c r="E39" s="64"/>
      <c r="F39" s="64"/>
      <c r="G39" s="16"/>
      <c r="H39" s="16"/>
      <c r="I39" s="16"/>
      <c r="J39" s="43"/>
      <c r="K39" s="43"/>
    </row>
    <row r="40" spans="1:11" ht="13.5" customHeight="1" x14ac:dyDescent="0.25">
      <c r="A40" s="43"/>
      <c r="B40" s="43"/>
      <c r="C40" s="35"/>
      <c r="D40" s="35"/>
      <c r="E40" s="65"/>
      <c r="F40" s="69"/>
      <c r="G40" s="35"/>
      <c r="H40" s="35"/>
      <c r="I40" s="35"/>
      <c r="J40" s="43"/>
      <c r="K40" s="43"/>
    </row>
    <row r="41" spans="1:11" ht="13.5" customHeight="1" x14ac:dyDescent="0.25">
      <c r="A41" s="43"/>
      <c r="B41" s="43"/>
      <c r="C41" s="16"/>
      <c r="D41" s="16"/>
      <c r="E41" s="64"/>
      <c r="F41" s="64"/>
      <c r="G41" s="16"/>
      <c r="H41" s="16"/>
      <c r="I41" s="16"/>
      <c r="J41" s="43"/>
      <c r="K41" s="43"/>
    </row>
    <row r="42" spans="1:11" ht="13.5" customHeight="1" x14ac:dyDescent="0.25">
      <c r="A42" s="43"/>
      <c r="B42" s="43"/>
      <c r="C42" s="35"/>
      <c r="D42" s="35"/>
      <c r="E42" s="65"/>
      <c r="F42" s="69"/>
      <c r="G42" s="35"/>
      <c r="H42" s="35"/>
      <c r="I42" s="35"/>
      <c r="J42" s="43"/>
      <c r="K42" s="43"/>
    </row>
    <row r="43" spans="1:11" ht="13.5" customHeight="1" x14ac:dyDescent="0.25">
      <c r="A43" s="43"/>
      <c r="B43" s="43"/>
      <c r="C43" s="16"/>
      <c r="D43" s="16"/>
      <c r="E43" s="64"/>
      <c r="F43" s="64"/>
      <c r="G43" s="16"/>
      <c r="H43" s="16"/>
      <c r="I43" s="16"/>
      <c r="J43" s="43"/>
      <c r="K43" s="43"/>
    </row>
    <row r="44" spans="1:11" ht="13.5" customHeight="1" x14ac:dyDescent="0.25">
      <c r="A44" s="43"/>
      <c r="B44" s="43"/>
      <c r="C44" s="35"/>
      <c r="D44" s="35"/>
      <c r="E44" s="65"/>
      <c r="F44" s="69"/>
      <c r="G44" s="35"/>
      <c r="H44" s="35"/>
      <c r="I44" s="35"/>
      <c r="J44" s="43"/>
      <c r="K44" s="43"/>
    </row>
    <row r="45" spans="1:11" ht="13.5" customHeight="1" x14ac:dyDescent="0.25">
      <c r="A45" s="43"/>
      <c r="B45" s="43"/>
      <c r="C45" s="16"/>
      <c r="D45" s="16"/>
      <c r="E45" s="64"/>
      <c r="F45" s="64"/>
      <c r="G45" s="16"/>
      <c r="H45" s="16"/>
      <c r="I45" s="16"/>
      <c r="J45" s="43"/>
      <c r="K45" s="43"/>
    </row>
    <row r="46" spans="1:11" ht="13.5" customHeight="1" x14ac:dyDescent="0.25">
      <c r="A46" s="43"/>
      <c r="B46" s="43"/>
      <c r="C46" s="35"/>
      <c r="D46" s="35"/>
      <c r="E46" s="65"/>
      <c r="F46" s="69"/>
      <c r="G46" s="35"/>
      <c r="H46" s="35"/>
      <c r="I46" s="35"/>
      <c r="J46" s="43"/>
      <c r="K46" s="43"/>
    </row>
    <row r="47" spans="1:11" ht="13.5" customHeight="1" x14ac:dyDescent="0.25">
      <c r="A47" s="43"/>
      <c r="B47" s="43"/>
      <c r="C47" s="16"/>
      <c r="D47" s="16"/>
      <c r="E47" s="64"/>
      <c r="F47" s="64"/>
      <c r="G47" s="16"/>
      <c r="H47" s="16"/>
      <c r="I47" s="16"/>
      <c r="J47" s="43"/>
      <c r="K47" s="43"/>
    </row>
    <row r="48" spans="1:11" ht="13.5" customHeight="1" x14ac:dyDescent="0.25">
      <c r="A48" s="43"/>
      <c r="B48" s="43"/>
      <c r="C48" s="35"/>
      <c r="D48" s="35"/>
      <c r="E48" s="65"/>
      <c r="F48" s="69"/>
      <c r="G48" s="35"/>
      <c r="H48" s="35"/>
      <c r="I48" s="35"/>
      <c r="J48" s="43"/>
      <c r="K48" s="43"/>
    </row>
    <row r="49" spans="1:11" ht="13.5" customHeight="1" x14ac:dyDescent="0.25">
      <c r="A49" s="43"/>
      <c r="B49" s="43"/>
      <c r="C49" s="16"/>
      <c r="D49" s="16"/>
      <c r="E49" s="64"/>
      <c r="F49" s="64"/>
      <c r="G49" s="16"/>
      <c r="H49" s="16"/>
      <c r="I49" s="16"/>
      <c r="J49" s="43"/>
      <c r="K49" s="43"/>
    </row>
    <row r="50" spans="1:11" ht="13.5" customHeight="1" x14ac:dyDescent="0.25">
      <c r="A50" s="43"/>
      <c r="B50" s="43"/>
      <c r="C50" s="35"/>
      <c r="D50" s="35"/>
      <c r="E50" s="65"/>
      <c r="F50" s="69"/>
      <c r="G50" s="35"/>
      <c r="H50" s="35"/>
      <c r="I50" s="35"/>
      <c r="J50" s="43"/>
      <c r="K50" s="43"/>
    </row>
    <row r="51" spans="1:11" ht="13.5" customHeight="1" x14ac:dyDescent="0.25">
      <c r="A51" s="43"/>
      <c r="B51" s="43"/>
      <c r="C51" s="16"/>
      <c r="D51" s="16"/>
      <c r="E51" s="64"/>
      <c r="F51" s="64"/>
      <c r="G51" s="16"/>
      <c r="H51" s="16"/>
      <c r="I51" s="16"/>
      <c r="J51" s="43"/>
      <c r="K51" s="43"/>
    </row>
    <row r="52" spans="1:11" ht="13.5" customHeight="1" x14ac:dyDescent="0.25">
      <c r="A52" s="43"/>
      <c r="B52" s="43"/>
      <c r="C52" s="35"/>
      <c r="D52" s="35"/>
      <c r="E52" s="65"/>
      <c r="F52" s="69"/>
      <c r="G52" s="35"/>
      <c r="H52" s="35"/>
      <c r="I52" s="35"/>
      <c r="J52" s="43"/>
      <c r="K52" s="43"/>
    </row>
    <row r="53" spans="1:11" ht="13.5" customHeight="1" x14ac:dyDescent="0.25">
      <c r="A53" s="43"/>
      <c r="B53" s="43"/>
      <c r="C53" s="16"/>
      <c r="D53" s="16"/>
      <c r="E53" s="64"/>
      <c r="F53" s="64"/>
      <c r="G53" s="16"/>
      <c r="H53" s="16"/>
      <c r="I53" s="16"/>
      <c r="J53" s="43"/>
      <c r="K53" s="43"/>
    </row>
    <row r="54" spans="1:11" ht="13.5" customHeight="1" x14ac:dyDescent="0.25">
      <c r="A54" s="43"/>
      <c r="B54" s="43"/>
      <c r="C54" s="35"/>
      <c r="D54" s="35"/>
      <c r="E54" s="65"/>
      <c r="F54" s="69"/>
      <c r="G54" s="35"/>
      <c r="H54" s="35"/>
      <c r="I54" s="35"/>
      <c r="J54" s="43"/>
      <c r="K54" s="43"/>
    </row>
    <row r="55" spans="1:11" ht="13.5" customHeight="1" collapsed="1" x14ac:dyDescent="0.25">
      <c r="A55" s="43"/>
      <c r="B55" s="43"/>
      <c r="C55" s="16"/>
      <c r="D55" s="16"/>
      <c r="E55" s="64"/>
      <c r="F55" s="64"/>
      <c r="G55" s="16"/>
      <c r="H55" s="16"/>
      <c r="I55" s="16"/>
      <c r="J55" s="43"/>
      <c r="K55" s="43"/>
    </row>
    <row r="56" spans="1:11" ht="13.5" customHeight="1" x14ac:dyDescent="0.25">
      <c r="A56" s="43"/>
      <c r="B56" s="43"/>
      <c r="C56" s="35"/>
      <c r="D56" s="35"/>
      <c r="E56" s="65"/>
      <c r="F56" s="69"/>
      <c r="G56" s="35"/>
      <c r="H56" s="35"/>
      <c r="I56" s="35"/>
      <c r="J56" s="43"/>
      <c r="K56" s="43"/>
    </row>
    <row r="57" spans="1:11" ht="13.5" customHeight="1" x14ac:dyDescent="0.25">
      <c r="A57" s="43"/>
      <c r="B57" s="43"/>
      <c r="C57" s="16"/>
      <c r="D57" s="16"/>
      <c r="E57" s="64"/>
      <c r="F57" s="64"/>
      <c r="G57" s="16"/>
      <c r="H57" s="16"/>
      <c r="I57" s="16"/>
      <c r="J57" s="43"/>
      <c r="K57" s="43"/>
    </row>
    <row r="58" spans="1:11" ht="13.5" customHeight="1" x14ac:dyDescent="0.25">
      <c r="A58" s="43"/>
      <c r="B58" s="43"/>
      <c r="C58" s="35"/>
      <c r="D58" s="35"/>
      <c r="E58" s="65"/>
      <c r="F58" s="69"/>
      <c r="G58" s="35"/>
      <c r="H58" s="35"/>
      <c r="I58" s="35"/>
      <c r="J58" s="43"/>
      <c r="K58" s="43"/>
    </row>
    <row r="59" spans="1:11" ht="13.5" customHeight="1" x14ac:dyDescent="0.25">
      <c r="A59" s="43"/>
      <c r="B59" s="43"/>
      <c r="C59" s="16"/>
      <c r="D59" s="16"/>
      <c r="E59" s="64"/>
      <c r="F59" s="64"/>
      <c r="G59" s="16"/>
      <c r="H59" s="16"/>
      <c r="I59" s="16"/>
      <c r="J59" s="43"/>
      <c r="K59" s="43"/>
    </row>
    <row r="60" spans="1:11" ht="13.5" customHeight="1" x14ac:dyDescent="0.25">
      <c r="A60" s="43"/>
      <c r="B60" s="43"/>
      <c r="C60" s="35"/>
      <c r="D60" s="35"/>
      <c r="E60" s="65"/>
      <c r="F60" s="69"/>
      <c r="G60" s="35"/>
      <c r="H60" s="35"/>
      <c r="I60" s="35"/>
      <c r="J60" s="43"/>
      <c r="K60" s="43"/>
    </row>
    <row r="61" spans="1:11" ht="13.5" customHeight="1" x14ac:dyDescent="0.25">
      <c r="A61" s="43"/>
      <c r="B61" s="43"/>
      <c r="C61" s="16"/>
      <c r="D61" s="16"/>
      <c r="E61" s="64"/>
      <c r="F61" s="64"/>
      <c r="G61" s="16"/>
      <c r="H61" s="16"/>
      <c r="I61" s="16"/>
      <c r="J61" s="43"/>
      <c r="K61" s="43"/>
    </row>
    <row r="62" spans="1:11" ht="13.5" customHeight="1" x14ac:dyDescent="0.25">
      <c r="A62" s="43"/>
      <c r="B62" s="43"/>
      <c r="C62" s="35"/>
      <c r="D62" s="35"/>
      <c r="E62" s="65"/>
      <c r="F62" s="69"/>
      <c r="G62" s="35"/>
      <c r="H62" s="35"/>
      <c r="I62" s="35"/>
      <c r="J62" s="43"/>
      <c r="K62" s="43"/>
    </row>
    <row r="63" spans="1:11" ht="13.5" customHeight="1" x14ac:dyDescent="0.25">
      <c r="A63" s="43"/>
      <c r="B63" s="43"/>
      <c r="C63" s="16"/>
      <c r="D63" s="16"/>
      <c r="E63" s="64"/>
      <c r="F63" s="64"/>
      <c r="G63" s="16"/>
      <c r="H63" s="16"/>
      <c r="I63" s="16"/>
      <c r="J63" s="43"/>
      <c r="K63" s="43"/>
    </row>
    <row r="64" spans="1:11" ht="13.5" customHeight="1" x14ac:dyDescent="0.25">
      <c r="A64" s="43"/>
      <c r="B64" s="43"/>
      <c r="C64" s="35"/>
      <c r="D64" s="35"/>
      <c r="E64" s="65"/>
      <c r="F64" s="69"/>
      <c r="G64" s="35"/>
      <c r="H64" s="35"/>
      <c r="I64" s="35"/>
      <c r="J64" s="43"/>
      <c r="K64" s="43"/>
    </row>
    <row r="65" spans="1:11" ht="13.5" customHeight="1" x14ac:dyDescent="0.25">
      <c r="A65" s="43"/>
      <c r="B65" s="43"/>
      <c r="C65" s="16"/>
      <c r="D65" s="16"/>
      <c r="E65" s="64"/>
      <c r="F65" s="64"/>
      <c r="G65" s="16"/>
      <c r="H65" s="16"/>
      <c r="I65" s="16"/>
      <c r="J65" s="43"/>
      <c r="K65" s="43"/>
    </row>
    <row r="66" spans="1:11" x14ac:dyDescent="0.25">
      <c r="A66" s="43"/>
      <c r="B66" s="43"/>
      <c r="C66" s="35"/>
      <c r="D66" s="35"/>
      <c r="E66" s="65"/>
      <c r="F66" s="69"/>
      <c r="G66" s="35"/>
      <c r="H66" s="35"/>
      <c r="I66" s="35"/>
      <c r="J66" s="43"/>
      <c r="K66" s="43"/>
    </row>
    <row r="67" spans="1:11" x14ac:dyDescent="0.25">
      <c r="A67" s="43"/>
      <c r="B67" s="43"/>
      <c r="C67" s="16"/>
      <c r="D67" s="16"/>
      <c r="E67" s="64"/>
      <c r="F67" s="64"/>
      <c r="G67" s="16"/>
      <c r="H67" s="16"/>
      <c r="I67" s="16"/>
      <c r="J67" s="43"/>
      <c r="K67" s="43"/>
    </row>
    <row r="68" spans="1:11" x14ac:dyDescent="0.25">
      <c r="A68" s="43"/>
      <c r="B68" s="43"/>
      <c r="C68" s="35"/>
      <c r="D68" s="35"/>
      <c r="E68" s="65"/>
      <c r="F68" s="69"/>
      <c r="G68" s="35"/>
      <c r="H68" s="35"/>
      <c r="I68" s="35"/>
      <c r="J68" s="43"/>
      <c r="K68" s="43"/>
    </row>
    <row r="69" spans="1:11" x14ac:dyDescent="0.25">
      <c r="A69" s="43"/>
      <c r="B69" s="43"/>
      <c r="C69" s="16"/>
      <c r="D69" s="16"/>
      <c r="E69" s="64"/>
      <c r="F69" s="64"/>
      <c r="G69" s="16"/>
      <c r="H69" s="16"/>
      <c r="I69" s="16"/>
      <c r="J69" s="43"/>
      <c r="K69" s="43"/>
    </row>
    <row r="70" spans="1:11" x14ac:dyDescent="0.25">
      <c r="A70" s="43"/>
      <c r="B70" s="43"/>
      <c r="C70" s="35"/>
      <c r="D70" s="35"/>
      <c r="E70" s="65"/>
      <c r="F70" s="69"/>
      <c r="G70" s="35"/>
      <c r="H70" s="35"/>
      <c r="I70" s="35"/>
      <c r="J70" s="43"/>
      <c r="K70" s="43"/>
    </row>
    <row r="71" spans="1:11" x14ac:dyDescent="0.25">
      <c r="A71" s="43"/>
      <c r="B71" s="43"/>
      <c r="C71" s="16"/>
      <c r="D71" s="16"/>
      <c r="E71" s="64"/>
      <c r="F71" s="64"/>
      <c r="G71" s="16"/>
      <c r="H71" s="16"/>
      <c r="I71" s="16"/>
      <c r="J71" s="43"/>
      <c r="K71" s="43"/>
    </row>
    <row r="72" spans="1:11" x14ac:dyDescent="0.25">
      <c r="A72" s="43"/>
      <c r="B72" s="43"/>
      <c r="C72" s="35"/>
      <c r="D72" s="35"/>
      <c r="E72" s="65"/>
      <c r="F72" s="69"/>
      <c r="G72" s="35"/>
      <c r="H72" s="35"/>
      <c r="I72" s="35"/>
      <c r="J72" s="43"/>
      <c r="K72" s="43"/>
    </row>
    <row r="73" spans="1:11" x14ac:dyDescent="0.25">
      <c r="A73" s="43"/>
      <c r="B73" s="43"/>
      <c r="C73" s="16"/>
      <c r="D73" s="16"/>
      <c r="E73" s="64"/>
      <c r="F73" s="64"/>
      <c r="G73" s="16"/>
      <c r="H73" s="16"/>
      <c r="I73" s="16"/>
      <c r="J73" s="43"/>
      <c r="K73" s="43"/>
    </row>
    <row r="74" spans="1:11" x14ac:dyDescent="0.25">
      <c r="A74" s="43"/>
      <c r="B74" s="43"/>
      <c r="C74" s="35"/>
      <c r="D74" s="35"/>
      <c r="E74" s="65"/>
      <c r="F74" s="69"/>
      <c r="G74" s="35"/>
      <c r="H74" s="35"/>
      <c r="I74" s="35"/>
      <c r="J74" s="43"/>
      <c r="K74" s="43"/>
    </row>
    <row r="75" spans="1:11" x14ac:dyDescent="0.25">
      <c r="A75" s="43"/>
      <c r="B75" s="43"/>
      <c r="C75" s="16"/>
      <c r="D75" s="16"/>
      <c r="E75" s="64"/>
      <c r="F75" s="64"/>
      <c r="G75" s="16"/>
      <c r="H75" s="16"/>
      <c r="I75" s="16"/>
      <c r="J75" s="43"/>
      <c r="K75" s="43"/>
    </row>
    <row r="76" spans="1:11" x14ac:dyDescent="0.25">
      <c r="A76" s="43"/>
      <c r="B76" s="43"/>
      <c r="C76" s="35"/>
      <c r="D76" s="35"/>
      <c r="E76" s="65"/>
      <c r="F76" s="69"/>
      <c r="G76" s="35"/>
      <c r="H76" s="35"/>
      <c r="I76" s="35"/>
      <c r="J76" s="43"/>
      <c r="K76" s="43"/>
    </row>
    <row r="77" spans="1:11" x14ac:dyDescent="0.25">
      <c r="A77" s="43"/>
      <c r="B77" s="43"/>
      <c r="C77" s="16"/>
      <c r="D77" s="16"/>
      <c r="E77" s="64"/>
      <c r="F77" s="64"/>
      <c r="G77" s="16"/>
      <c r="H77" s="16"/>
      <c r="I77" s="16"/>
      <c r="J77" s="43"/>
      <c r="K77" s="43"/>
    </row>
    <row r="78" spans="1:11" x14ac:dyDescent="0.25">
      <c r="A78" s="43"/>
      <c r="B78" s="43"/>
      <c r="C78" s="35"/>
      <c r="D78" s="35"/>
      <c r="E78" s="65"/>
      <c r="F78" s="69"/>
      <c r="G78" s="35"/>
      <c r="H78" s="35"/>
      <c r="I78" s="35"/>
      <c r="J78" s="43"/>
      <c r="K78" s="43"/>
    </row>
    <row r="79" spans="1:11" x14ac:dyDescent="0.25">
      <c r="A79" s="43"/>
      <c r="B79" s="43"/>
      <c r="C79" s="16"/>
      <c r="D79" s="16"/>
      <c r="E79" s="64"/>
      <c r="F79" s="64"/>
      <c r="G79" s="16"/>
      <c r="H79" s="16"/>
      <c r="I79" s="16"/>
      <c r="J79" s="43"/>
      <c r="K79" s="43"/>
    </row>
    <row r="80" spans="1:11" x14ac:dyDescent="0.25">
      <c r="A80" s="43"/>
      <c r="B80" s="43"/>
      <c r="C80" s="35"/>
      <c r="D80" s="35"/>
      <c r="E80" s="65"/>
      <c r="F80" s="69"/>
      <c r="G80" s="35"/>
      <c r="H80" s="35"/>
      <c r="I80" s="35"/>
      <c r="J80" s="43"/>
      <c r="K80" s="43"/>
    </row>
    <row r="81" spans="1:11" x14ac:dyDescent="0.25">
      <c r="A81" s="43"/>
      <c r="B81" s="43"/>
      <c r="C81" s="16"/>
      <c r="D81" s="16"/>
      <c r="E81" s="64"/>
      <c r="F81" s="64"/>
      <c r="G81" s="16"/>
      <c r="H81" s="16"/>
      <c r="I81" s="16"/>
      <c r="J81" s="43"/>
      <c r="K81" s="43"/>
    </row>
    <row r="82" spans="1:11" x14ac:dyDescent="0.25">
      <c r="A82" s="43"/>
      <c r="B82" s="43"/>
      <c r="C82" s="35"/>
      <c r="D82" s="35"/>
      <c r="E82" s="65"/>
      <c r="F82" s="69"/>
      <c r="G82" s="35"/>
      <c r="H82" s="35"/>
      <c r="I82" s="35"/>
      <c r="J82" s="43"/>
      <c r="K82" s="43"/>
    </row>
    <row r="83" spans="1:11" x14ac:dyDescent="0.25">
      <c r="A83" s="43"/>
      <c r="B83" s="43"/>
      <c r="C83" s="16"/>
      <c r="D83" s="16"/>
      <c r="E83" s="64"/>
      <c r="F83" s="64"/>
      <c r="G83" s="16"/>
      <c r="H83" s="16"/>
      <c r="I83" s="16"/>
      <c r="J83" s="43"/>
      <c r="K83" s="43"/>
    </row>
    <row r="84" spans="1:11" x14ac:dyDescent="0.25">
      <c r="A84" s="43"/>
      <c r="B84" s="43"/>
      <c r="C84" s="35"/>
      <c r="D84" s="35"/>
      <c r="E84" s="65"/>
      <c r="F84" s="69"/>
      <c r="G84" s="35"/>
      <c r="H84" s="35"/>
      <c r="I84" s="35"/>
      <c r="J84" s="43"/>
      <c r="K84" s="43"/>
    </row>
    <row r="85" spans="1:11" ht="13.5" customHeight="1" x14ac:dyDescent="0.25">
      <c r="A85" s="43"/>
      <c r="B85" s="43"/>
      <c r="C85" s="16"/>
      <c r="D85" s="16"/>
      <c r="E85" s="64"/>
      <c r="F85" s="64"/>
      <c r="G85" s="16"/>
      <c r="H85" s="16"/>
      <c r="I85" s="16"/>
      <c r="J85" s="43"/>
      <c r="K85" s="43"/>
    </row>
    <row r="86" spans="1:11" ht="13.5" customHeight="1" x14ac:dyDescent="0.25">
      <c r="A86" s="43"/>
      <c r="B86" s="43"/>
      <c r="C86" s="35"/>
      <c r="D86" s="35"/>
      <c r="E86" s="65"/>
      <c r="F86" s="69"/>
      <c r="G86" s="35"/>
      <c r="H86" s="35"/>
      <c r="I86" s="35"/>
      <c r="J86" s="43"/>
      <c r="K86" s="43"/>
    </row>
    <row r="87" spans="1:11" ht="13.5" customHeight="1" x14ac:dyDescent="0.25">
      <c r="A87" s="43"/>
      <c r="B87" s="43"/>
      <c r="C87" s="16"/>
      <c r="D87" s="16"/>
      <c r="E87" s="64"/>
      <c r="F87" s="64"/>
      <c r="G87" s="16"/>
      <c r="H87" s="16"/>
      <c r="I87" s="16"/>
      <c r="J87" s="43"/>
      <c r="K87" s="43"/>
    </row>
    <row r="88" spans="1:11" ht="13.5" customHeight="1" x14ac:dyDescent="0.25">
      <c r="A88" s="43"/>
      <c r="B88" s="43"/>
      <c r="C88" s="35"/>
      <c r="D88" s="35"/>
      <c r="E88" s="65"/>
      <c r="F88" s="69"/>
      <c r="G88" s="35"/>
      <c r="H88" s="35"/>
      <c r="I88" s="35"/>
      <c r="J88" s="43"/>
      <c r="K88" s="43"/>
    </row>
    <row r="89" spans="1:11" ht="13.5" customHeight="1" x14ac:dyDescent="0.25">
      <c r="A89" s="43"/>
      <c r="B89" s="43"/>
      <c r="C89" s="16"/>
      <c r="D89" s="16"/>
      <c r="E89" s="64"/>
      <c r="F89" s="64"/>
      <c r="G89" s="16"/>
      <c r="H89" s="16"/>
      <c r="I89" s="16"/>
      <c r="J89" s="43"/>
      <c r="K89" s="43"/>
    </row>
    <row r="90" spans="1:11" ht="13.5" customHeight="1" x14ac:dyDescent="0.25">
      <c r="A90" s="43"/>
      <c r="B90" s="43"/>
      <c r="C90" s="35"/>
      <c r="D90" s="35"/>
      <c r="E90" s="65"/>
      <c r="F90" s="69"/>
      <c r="G90" s="35"/>
      <c r="H90" s="35"/>
      <c r="I90" s="35"/>
      <c r="J90" s="43"/>
      <c r="K90" s="43"/>
    </row>
    <row r="91" spans="1:11" ht="13.5" customHeight="1" x14ac:dyDescent="0.25">
      <c r="A91" s="43"/>
      <c r="B91" s="43"/>
      <c r="C91" s="16"/>
      <c r="D91" s="16"/>
      <c r="E91" s="64"/>
      <c r="F91" s="64"/>
      <c r="G91" s="16"/>
      <c r="H91" s="16"/>
      <c r="I91" s="16"/>
      <c r="J91" s="43"/>
      <c r="K91" s="43"/>
    </row>
    <row r="92" spans="1:11" ht="13.5" customHeight="1" x14ac:dyDescent="0.25">
      <c r="A92" s="43"/>
      <c r="B92" s="43"/>
      <c r="C92" s="35"/>
      <c r="D92" s="35"/>
      <c r="E92" s="65"/>
      <c r="F92" s="69"/>
      <c r="G92" s="35"/>
      <c r="H92" s="35"/>
      <c r="I92" s="35"/>
      <c r="J92" s="43"/>
      <c r="K92" s="43"/>
    </row>
    <row r="93" spans="1:11" ht="13.5" customHeight="1" x14ac:dyDescent="0.25">
      <c r="A93" s="43"/>
      <c r="B93" s="43"/>
      <c r="C93" s="16"/>
      <c r="D93" s="16"/>
      <c r="E93" s="64"/>
      <c r="F93" s="64"/>
      <c r="G93" s="16"/>
      <c r="H93" s="16"/>
      <c r="I93" s="16"/>
      <c r="J93" s="43"/>
      <c r="K93" s="43"/>
    </row>
    <row r="94" spans="1:11" ht="13.5" customHeight="1" x14ac:dyDescent="0.25">
      <c r="A94" s="43"/>
      <c r="B94" s="43"/>
      <c r="C94" s="35"/>
      <c r="D94" s="35"/>
      <c r="E94" s="65"/>
      <c r="F94" s="69"/>
      <c r="G94" s="35"/>
      <c r="H94" s="35"/>
      <c r="I94" s="35"/>
      <c r="J94" s="43"/>
      <c r="K94" s="43"/>
    </row>
    <row r="95" spans="1:11" ht="13.5" customHeight="1" x14ac:dyDescent="0.25">
      <c r="A95" s="43"/>
      <c r="B95" s="43"/>
      <c r="C95" s="16"/>
      <c r="D95" s="16"/>
      <c r="E95" s="64"/>
      <c r="F95" s="64"/>
      <c r="G95" s="16"/>
      <c r="H95" s="16"/>
      <c r="I95" s="16"/>
      <c r="J95" s="43"/>
      <c r="K95" s="43"/>
    </row>
    <row r="96" spans="1:11" ht="13.5" customHeight="1" x14ac:dyDescent="0.25">
      <c r="A96" s="43"/>
      <c r="B96" s="43"/>
      <c r="C96" s="35"/>
      <c r="D96" s="35"/>
      <c r="E96" s="65"/>
      <c r="F96" s="69"/>
      <c r="G96" s="35"/>
      <c r="H96" s="35"/>
      <c r="I96" s="35"/>
      <c r="J96" s="43"/>
      <c r="K96" s="43"/>
    </row>
    <row r="97" spans="1:11" ht="13.5" customHeight="1" x14ac:dyDescent="0.25">
      <c r="A97" s="43"/>
      <c r="B97" s="43"/>
      <c r="C97" s="16"/>
      <c r="D97" s="16"/>
      <c r="E97" s="64"/>
      <c r="F97" s="64"/>
      <c r="G97" s="16"/>
      <c r="H97" s="16"/>
      <c r="I97" s="16"/>
      <c r="J97" s="43"/>
      <c r="K97" s="43"/>
    </row>
    <row r="98" spans="1:11" ht="13.5" customHeight="1" x14ac:dyDescent="0.25">
      <c r="A98" s="43"/>
      <c r="B98" s="43"/>
      <c r="C98" s="35"/>
      <c r="D98" s="35"/>
      <c r="E98" s="65"/>
      <c r="F98" s="69"/>
      <c r="G98" s="35"/>
      <c r="H98" s="35"/>
      <c r="I98" s="35"/>
      <c r="J98" s="43"/>
      <c r="K98" s="43"/>
    </row>
    <row r="99" spans="1:11" ht="13.5" customHeight="1" x14ac:dyDescent="0.25">
      <c r="A99" s="43"/>
      <c r="B99" s="43"/>
      <c r="C99" s="16"/>
      <c r="D99" s="16"/>
      <c r="E99" s="64"/>
      <c r="F99" s="64"/>
      <c r="G99" s="16"/>
      <c r="H99" s="16"/>
      <c r="I99" s="16"/>
      <c r="J99" s="43"/>
      <c r="K99" s="43"/>
    </row>
    <row r="100" spans="1:11" ht="13.5" customHeight="1" outlineLevel="1" x14ac:dyDescent="0.25">
      <c r="A100" s="43"/>
      <c r="B100" s="43"/>
      <c r="C100" s="35"/>
      <c r="D100" s="35"/>
      <c r="E100" s="65"/>
      <c r="F100" s="69"/>
      <c r="G100" s="35"/>
      <c r="H100" s="35"/>
      <c r="I100" s="35"/>
      <c r="J100" s="43"/>
      <c r="K100" s="43"/>
    </row>
    <row r="101" spans="1:11" ht="13.5" customHeight="1" outlineLevel="1" x14ac:dyDescent="0.25">
      <c r="A101" s="43"/>
      <c r="B101" s="43"/>
      <c r="C101" s="16"/>
      <c r="D101" s="16"/>
      <c r="E101" s="64"/>
      <c r="F101" s="64"/>
      <c r="G101" s="16"/>
      <c r="H101" s="16"/>
      <c r="I101" s="16"/>
      <c r="J101" s="43"/>
      <c r="K101" s="43"/>
    </row>
    <row r="102" spans="1:11" ht="13.5" customHeight="1" outlineLevel="1" x14ac:dyDescent="0.25">
      <c r="A102" s="43"/>
      <c r="B102" s="43"/>
      <c r="C102" s="35"/>
      <c r="D102" s="35"/>
      <c r="E102" s="65"/>
      <c r="F102" s="69"/>
      <c r="G102" s="35"/>
      <c r="H102" s="35"/>
      <c r="I102" s="35"/>
      <c r="J102" s="43"/>
      <c r="K102" s="43"/>
    </row>
    <row r="103" spans="1:11" ht="13.5" customHeight="1" outlineLevel="1" x14ac:dyDescent="0.25">
      <c r="A103" s="43"/>
      <c r="B103" s="43"/>
      <c r="C103" s="16"/>
      <c r="D103" s="16"/>
      <c r="E103" s="64"/>
      <c r="F103" s="64"/>
      <c r="G103" s="16"/>
      <c r="H103" s="16"/>
      <c r="I103" s="16"/>
      <c r="J103" s="43"/>
      <c r="K103" s="43"/>
    </row>
    <row r="104" spans="1:11" ht="13.5" customHeight="1" outlineLevel="1" x14ac:dyDescent="0.25">
      <c r="A104" s="43"/>
      <c r="B104" s="43"/>
      <c r="C104" s="35"/>
      <c r="D104" s="35"/>
      <c r="E104" s="65"/>
      <c r="F104" s="69"/>
      <c r="G104" s="35"/>
      <c r="H104" s="35"/>
      <c r="I104" s="35"/>
      <c r="J104" s="43"/>
      <c r="K104" s="43"/>
    </row>
    <row r="105" spans="1:11" ht="13.5" customHeight="1" outlineLevel="1" x14ac:dyDescent="0.25">
      <c r="A105" s="43"/>
      <c r="B105" s="43"/>
      <c r="C105" s="16"/>
      <c r="D105" s="16"/>
      <c r="E105" s="64"/>
      <c r="F105" s="64"/>
      <c r="G105" s="16"/>
      <c r="H105" s="16"/>
      <c r="I105" s="16"/>
      <c r="J105" s="43"/>
      <c r="K105" s="43"/>
    </row>
    <row r="106" spans="1:11" ht="13.5" customHeight="1" outlineLevel="1" x14ac:dyDescent="0.25">
      <c r="A106" s="43"/>
      <c r="B106" s="43"/>
      <c r="C106" s="35"/>
      <c r="D106" s="35"/>
      <c r="E106" s="65"/>
      <c r="F106" s="69"/>
      <c r="G106" s="35"/>
      <c r="H106" s="35"/>
      <c r="I106" s="35"/>
      <c r="J106" s="43"/>
      <c r="K106" s="43"/>
    </row>
    <row r="107" spans="1:11" ht="13.5" customHeight="1" outlineLevel="1" x14ac:dyDescent="0.25">
      <c r="A107" s="43"/>
      <c r="B107" s="43"/>
      <c r="C107" s="16"/>
      <c r="D107" s="16"/>
      <c r="E107" s="64"/>
      <c r="F107" s="64"/>
      <c r="G107" s="16"/>
      <c r="H107" s="16"/>
      <c r="I107" s="16"/>
      <c r="J107" s="43"/>
      <c r="K107" s="43"/>
    </row>
    <row r="108" spans="1:11" ht="13.5" customHeight="1" outlineLevel="1" x14ac:dyDescent="0.25">
      <c r="A108" s="43"/>
      <c r="B108" s="43"/>
      <c r="C108" s="35"/>
      <c r="D108" s="35"/>
      <c r="E108" s="65"/>
      <c r="F108" s="69"/>
      <c r="G108" s="35"/>
      <c r="H108" s="35"/>
      <c r="I108" s="35"/>
      <c r="J108" s="43"/>
      <c r="K108" s="43"/>
    </row>
    <row r="109" spans="1:11" ht="13.5" customHeight="1" outlineLevel="1" x14ac:dyDescent="0.25">
      <c r="A109" s="43"/>
      <c r="B109" s="43"/>
      <c r="C109" s="16"/>
      <c r="D109" s="16"/>
      <c r="E109" s="64"/>
      <c r="F109" s="64"/>
      <c r="G109" s="16"/>
      <c r="H109" s="16"/>
      <c r="I109" s="16"/>
      <c r="J109" s="43"/>
      <c r="K109" s="43"/>
    </row>
    <row r="110" spans="1:11" ht="13.5" customHeight="1" outlineLevel="1" x14ac:dyDescent="0.25">
      <c r="A110" s="43"/>
      <c r="B110" s="43"/>
      <c r="C110" s="35"/>
      <c r="D110" s="35"/>
      <c r="E110" s="65"/>
      <c r="F110" s="69"/>
      <c r="G110" s="35"/>
      <c r="H110" s="35"/>
      <c r="I110" s="35"/>
      <c r="J110" s="43"/>
      <c r="K110" s="43"/>
    </row>
    <row r="111" spans="1:11" ht="13.5" customHeight="1" outlineLevel="1" x14ac:dyDescent="0.25">
      <c r="A111" s="43"/>
      <c r="B111" s="43"/>
      <c r="C111" s="16"/>
      <c r="D111" s="16"/>
      <c r="E111" s="64"/>
      <c r="F111" s="64"/>
      <c r="G111" s="16"/>
      <c r="H111" s="16"/>
      <c r="I111" s="16"/>
      <c r="J111" s="43"/>
      <c r="K111" s="43"/>
    </row>
    <row r="112" spans="1:11" ht="13.5" customHeight="1" outlineLevel="1" x14ac:dyDescent="0.25">
      <c r="A112" s="43"/>
      <c r="B112" s="43"/>
      <c r="C112" s="35"/>
      <c r="D112" s="35"/>
      <c r="E112" s="65"/>
      <c r="F112" s="69"/>
      <c r="G112" s="35"/>
      <c r="H112" s="35"/>
      <c r="I112" s="35"/>
      <c r="J112" s="43"/>
      <c r="K112" s="43"/>
    </row>
    <row r="113" spans="1:11" ht="13.5" customHeight="1" outlineLevel="1" x14ac:dyDescent="0.25">
      <c r="A113" s="43"/>
      <c r="B113" s="43"/>
      <c r="C113" s="16"/>
      <c r="D113" s="16"/>
      <c r="E113" s="64"/>
      <c r="F113" s="64"/>
      <c r="G113" s="16"/>
      <c r="H113" s="16"/>
      <c r="I113" s="16"/>
      <c r="J113" s="43"/>
      <c r="K113" s="43"/>
    </row>
    <row r="114" spans="1:11" ht="13.5" customHeight="1" outlineLevel="1" x14ac:dyDescent="0.25">
      <c r="A114" s="43"/>
      <c r="B114" s="43"/>
      <c r="C114" s="35"/>
      <c r="D114" s="35"/>
      <c r="E114" s="65"/>
      <c r="F114" s="69"/>
      <c r="G114" s="35"/>
      <c r="H114" s="35"/>
      <c r="I114" s="35"/>
      <c r="J114" s="43"/>
      <c r="K114" s="43"/>
    </row>
    <row r="115" spans="1:11" ht="13.5" customHeight="1" outlineLevel="1" x14ac:dyDescent="0.25">
      <c r="A115" s="43"/>
      <c r="B115" s="43"/>
      <c r="C115" s="16"/>
      <c r="D115" s="16"/>
      <c r="E115" s="64"/>
      <c r="F115" s="64"/>
      <c r="G115" s="16"/>
      <c r="H115" s="16"/>
      <c r="I115" s="16"/>
      <c r="J115" s="43"/>
      <c r="K115" s="43"/>
    </row>
    <row r="116" spans="1:11" ht="13.5" customHeight="1" outlineLevel="1" x14ac:dyDescent="0.25">
      <c r="A116" s="43"/>
      <c r="B116" s="43"/>
      <c r="C116" s="35"/>
      <c r="D116" s="35"/>
      <c r="E116" s="65"/>
      <c r="F116" s="69"/>
      <c r="G116" s="35"/>
      <c r="H116" s="35"/>
      <c r="I116" s="35"/>
      <c r="J116" s="43"/>
      <c r="K116" s="43"/>
    </row>
    <row r="117" spans="1:11" ht="13.5" customHeight="1" outlineLevel="1" x14ac:dyDescent="0.25">
      <c r="A117" s="43"/>
      <c r="B117" s="43"/>
      <c r="C117" s="16"/>
      <c r="D117" s="16"/>
      <c r="E117" s="64"/>
      <c r="F117" s="64"/>
      <c r="G117" s="16"/>
      <c r="H117" s="16"/>
      <c r="I117" s="16"/>
      <c r="J117" s="43"/>
      <c r="K117" s="43"/>
    </row>
    <row r="118" spans="1:11" ht="13.5" customHeight="1" outlineLevel="1" x14ac:dyDescent="0.25">
      <c r="A118" s="43"/>
      <c r="B118" s="43"/>
      <c r="C118" s="35"/>
      <c r="D118" s="35"/>
      <c r="E118" s="65"/>
      <c r="F118" s="69"/>
      <c r="G118" s="35"/>
      <c r="H118" s="35"/>
      <c r="I118" s="35"/>
      <c r="J118" s="43"/>
      <c r="K118" s="43"/>
    </row>
    <row r="119" spans="1:11" ht="13.5" customHeight="1" outlineLevel="1" x14ac:dyDescent="0.25">
      <c r="A119" s="43"/>
      <c r="B119" s="43"/>
      <c r="C119" s="16"/>
      <c r="D119" s="16"/>
      <c r="E119" s="64"/>
      <c r="F119" s="64"/>
      <c r="G119" s="16"/>
      <c r="H119" s="16"/>
      <c r="I119" s="16"/>
      <c r="J119" s="43"/>
      <c r="K119" s="43"/>
    </row>
    <row r="120" spans="1:11" ht="13.5" customHeight="1" outlineLevel="1" x14ac:dyDescent="0.25">
      <c r="A120" s="43"/>
      <c r="B120" s="43"/>
      <c r="C120" s="35"/>
      <c r="D120" s="35"/>
      <c r="E120" s="65"/>
      <c r="F120" s="69"/>
      <c r="G120" s="35"/>
      <c r="H120" s="35"/>
      <c r="I120" s="35"/>
      <c r="J120" s="43"/>
      <c r="K120" s="43"/>
    </row>
    <row r="121" spans="1:11" ht="13.5" customHeight="1" outlineLevel="1" x14ac:dyDescent="0.25">
      <c r="A121" s="43"/>
      <c r="B121" s="43"/>
      <c r="C121" s="16"/>
      <c r="D121" s="16"/>
      <c r="E121" s="64"/>
      <c r="F121" s="64"/>
      <c r="G121" s="16"/>
      <c r="H121" s="16"/>
      <c r="I121" s="16"/>
      <c r="J121" s="43"/>
      <c r="K121" s="43"/>
    </row>
    <row r="122" spans="1:11" ht="13.5" customHeight="1" outlineLevel="1" x14ac:dyDescent="0.25">
      <c r="A122" s="43"/>
      <c r="B122" s="43"/>
      <c r="C122" s="35"/>
      <c r="D122" s="35"/>
      <c r="E122" s="65"/>
      <c r="F122" s="69"/>
      <c r="G122" s="35"/>
      <c r="H122" s="35"/>
      <c r="I122" s="35"/>
      <c r="J122" s="43"/>
      <c r="K122" s="43"/>
    </row>
    <row r="123" spans="1:11" ht="13.5" customHeight="1" outlineLevel="1" x14ac:dyDescent="0.25">
      <c r="A123" s="43"/>
      <c r="B123" s="43"/>
      <c r="C123" s="16"/>
      <c r="D123" s="16"/>
      <c r="E123" s="64"/>
      <c r="F123" s="64"/>
      <c r="G123" s="16"/>
      <c r="H123" s="16"/>
      <c r="I123" s="16"/>
      <c r="J123" s="43"/>
      <c r="K123" s="43"/>
    </row>
    <row r="124" spans="1:11" ht="13.5" customHeight="1" outlineLevel="1" x14ac:dyDescent="0.25">
      <c r="A124" s="43"/>
      <c r="B124" s="43"/>
      <c r="C124" s="35"/>
      <c r="D124" s="35"/>
      <c r="E124" s="65"/>
      <c r="F124" s="69"/>
      <c r="G124" s="35"/>
      <c r="H124" s="35"/>
      <c r="I124" s="35"/>
      <c r="J124" s="43"/>
      <c r="K124" s="43"/>
    </row>
    <row r="125" spans="1:11" ht="13.5" customHeight="1" outlineLevel="1" x14ac:dyDescent="0.25">
      <c r="A125" s="43"/>
      <c r="B125" s="43"/>
      <c r="C125" s="16"/>
      <c r="D125" s="16"/>
      <c r="E125" s="64"/>
      <c r="F125" s="64"/>
      <c r="G125" s="16"/>
      <c r="H125" s="16"/>
      <c r="I125" s="16"/>
      <c r="J125" s="43"/>
      <c r="K125" s="43"/>
    </row>
    <row r="126" spans="1:11" ht="13.5" customHeight="1" outlineLevel="1" x14ac:dyDescent="0.25">
      <c r="A126" s="43"/>
      <c r="B126" s="43"/>
      <c r="C126" s="35"/>
      <c r="D126" s="35"/>
      <c r="E126" s="65"/>
      <c r="F126" s="69"/>
      <c r="G126" s="35"/>
      <c r="H126" s="35"/>
      <c r="I126" s="35"/>
      <c r="J126" s="43"/>
      <c r="K126" s="43"/>
    </row>
    <row r="127" spans="1:11" ht="13.5" customHeight="1" outlineLevel="1" x14ac:dyDescent="0.25">
      <c r="A127" s="43"/>
      <c r="B127" s="43"/>
      <c r="C127" s="16"/>
      <c r="D127" s="16"/>
      <c r="E127" s="64"/>
      <c r="F127" s="64"/>
      <c r="G127" s="16"/>
      <c r="H127" s="16"/>
      <c r="I127" s="16"/>
      <c r="J127" s="43"/>
      <c r="K127" s="43"/>
    </row>
    <row r="128" spans="1:11" ht="13.5" customHeight="1" outlineLevel="1" x14ac:dyDescent="0.25">
      <c r="A128" s="43"/>
      <c r="B128" s="43"/>
      <c r="C128" s="35"/>
      <c r="D128" s="35"/>
      <c r="E128" s="65"/>
      <c r="F128" s="69"/>
      <c r="G128" s="35"/>
      <c r="H128" s="35"/>
      <c r="I128" s="35"/>
      <c r="J128" s="43"/>
      <c r="K128" s="43"/>
    </row>
    <row r="129" spans="1:11" ht="13.5" customHeight="1" outlineLevel="1" x14ac:dyDescent="0.25">
      <c r="A129" s="43"/>
      <c r="B129" s="43"/>
      <c r="C129" s="16"/>
      <c r="D129" s="16"/>
      <c r="E129" s="64"/>
      <c r="F129" s="64"/>
      <c r="G129" s="16"/>
      <c r="H129" s="16"/>
      <c r="I129" s="16"/>
      <c r="J129" s="43"/>
      <c r="K129" s="43"/>
    </row>
    <row r="130" spans="1:11" ht="13.5" customHeight="1" outlineLevel="1" x14ac:dyDescent="0.25">
      <c r="A130" s="43"/>
      <c r="B130" s="43"/>
      <c r="C130" s="35"/>
      <c r="D130" s="35"/>
      <c r="E130" s="65"/>
      <c r="F130" s="69"/>
      <c r="G130" s="35"/>
      <c r="H130" s="35"/>
      <c r="I130" s="35"/>
      <c r="J130" s="43"/>
      <c r="K130" s="43"/>
    </row>
    <row r="131" spans="1:11" ht="13.5" customHeight="1" outlineLevel="1" x14ac:dyDescent="0.25">
      <c r="A131" s="43"/>
      <c r="B131" s="43"/>
      <c r="C131" s="16"/>
      <c r="D131" s="16"/>
      <c r="E131" s="64"/>
      <c r="F131" s="64"/>
      <c r="G131" s="16"/>
      <c r="H131" s="16"/>
      <c r="I131" s="16"/>
      <c r="J131" s="43"/>
      <c r="K131" s="43"/>
    </row>
    <row r="132" spans="1:11" ht="13.5" customHeight="1" outlineLevel="1" x14ac:dyDescent="0.25">
      <c r="A132" s="43"/>
      <c r="B132" s="43"/>
      <c r="C132" s="35"/>
      <c r="D132" s="35"/>
      <c r="E132" s="65"/>
      <c r="F132" s="69"/>
      <c r="G132" s="35"/>
      <c r="H132" s="35"/>
      <c r="I132" s="35"/>
      <c r="J132" s="43"/>
      <c r="K132" s="43"/>
    </row>
    <row r="133" spans="1:11" ht="13.5" customHeight="1" outlineLevel="1" x14ac:dyDescent="0.25">
      <c r="A133" s="43"/>
      <c r="B133" s="43"/>
      <c r="C133" s="16"/>
      <c r="D133" s="16"/>
      <c r="E133" s="64"/>
      <c r="F133" s="64"/>
      <c r="G133" s="16"/>
      <c r="H133" s="16"/>
      <c r="I133" s="16"/>
      <c r="J133" s="43"/>
      <c r="K133" s="43"/>
    </row>
    <row r="134" spans="1:11" ht="13.5" customHeight="1" outlineLevel="1" x14ac:dyDescent="0.25">
      <c r="A134" s="43"/>
      <c r="B134" s="43"/>
      <c r="C134" s="35"/>
      <c r="D134" s="35"/>
      <c r="E134" s="65"/>
      <c r="F134" s="69"/>
      <c r="G134" s="35"/>
      <c r="H134" s="35"/>
      <c r="I134" s="35"/>
      <c r="J134" s="43"/>
      <c r="K134" s="43"/>
    </row>
    <row r="135" spans="1:11" ht="13.5" customHeight="1" outlineLevel="1" x14ac:dyDescent="0.25">
      <c r="A135" s="43"/>
      <c r="B135" s="43"/>
      <c r="C135" s="16"/>
      <c r="D135" s="16"/>
      <c r="E135" s="64"/>
      <c r="F135" s="64"/>
      <c r="G135" s="16"/>
      <c r="H135" s="16"/>
      <c r="I135" s="16"/>
      <c r="J135" s="43"/>
      <c r="K135" s="43"/>
    </row>
    <row r="136" spans="1:11" ht="13.5" customHeight="1" outlineLevel="1" x14ac:dyDescent="0.25">
      <c r="A136" s="43"/>
      <c r="B136" s="43"/>
      <c r="C136" s="35"/>
      <c r="D136" s="35"/>
      <c r="E136" s="65"/>
      <c r="F136" s="69"/>
      <c r="G136" s="35"/>
      <c r="H136" s="35"/>
      <c r="I136" s="35"/>
      <c r="J136" s="43"/>
      <c r="K136" s="43"/>
    </row>
    <row r="137" spans="1:11" ht="13.5" customHeight="1" outlineLevel="1" x14ac:dyDescent="0.25">
      <c r="A137" s="43"/>
      <c r="B137" s="43"/>
      <c r="C137" s="16"/>
      <c r="D137" s="16"/>
      <c r="E137" s="64"/>
      <c r="F137" s="64"/>
      <c r="G137" s="16"/>
      <c r="H137" s="16"/>
      <c r="I137" s="16"/>
      <c r="J137" s="43"/>
      <c r="K137" s="43"/>
    </row>
    <row r="138" spans="1:11" ht="13.5" customHeight="1" outlineLevel="1" x14ac:dyDescent="0.25">
      <c r="A138" s="43"/>
      <c r="B138" s="43"/>
      <c r="C138" s="35"/>
      <c r="D138" s="35"/>
      <c r="E138" s="65"/>
      <c r="F138" s="69"/>
      <c r="G138" s="35"/>
      <c r="H138" s="35"/>
      <c r="I138" s="35"/>
      <c r="J138" s="43"/>
      <c r="K138" s="43"/>
    </row>
    <row r="139" spans="1:11" ht="13.5" customHeight="1" outlineLevel="1" x14ac:dyDescent="0.25">
      <c r="A139" s="43"/>
      <c r="B139" s="43"/>
      <c r="C139" s="16"/>
      <c r="D139" s="16"/>
      <c r="E139" s="64"/>
      <c r="F139" s="64"/>
      <c r="G139" s="16"/>
      <c r="H139" s="16"/>
      <c r="I139" s="16"/>
      <c r="J139" s="43"/>
      <c r="K139" s="43"/>
    </row>
    <row r="140" spans="1:11" ht="13.5" customHeight="1" outlineLevel="1" x14ac:dyDescent="0.25">
      <c r="A140" s="43"/>
      <c r="B140" s="43"/>
      <c r="C140" s="35"/>
      <c r="D140" s="35"/>
      <c r="E140" s="65"/>
      <c r="F140" s="69"/>
      <c r="G140" s="35"/>
      <c r="H140" s="35"/>
      <c r="I140" s="35"/>
      <c r="J140" s="43"/>
      <c r="K140" s="43"/>
    </row>
    <row r="141" spans="1:11" ht="13.5" customHeight="1" outlineLevel="1" x14ac:dyDescent="0.25">
      <c r="A141" s="43"/>
      <c r="B141" s="43"/>
      <c r="C141" s="16"/>
      <c r="D141" s="16"/>
      <c r="E141" s="64"/>
      <c r="F141" s="64"/>
      <c r="G141" s="16"/>
      <c r="H141" s="16"/>
      <c r="I141" s="16"/>
      <c r="J141" s="43"/>
      <c r="K141" s="43"/>
    </row>
    <row r="142" spans="1:11" ht="13.5" customHeight="1" outlineLevel="1" x14ac:dyDescent="0.25">
      <c r="A142" s="43"/>
      <c r="B142" s="43"/>
      <c r="C142" s="35"/>
      <c r="D142" s="35"/>
      <c r="E142" s="65"/>
      <c r="F142" s="69"/>
      <c r="G142" s="35"/>
      <c r="H142" s="35"/>
      <c r="I142" s="35"/>
      <c r="J142" s="43"/>
      <c r="K142" s="43"/>
    </row>
    <row r="143" spans="1:11" ht="13.5" customHeight="1" outlineLevel="1" x14ac:dyDescent="0.25">
      <c r="A143" s="43"/>
      <c r="B143" s="43"/>
      <c r="C143" s="16"/>
      <c r="D143" s="16"/>
      <c r="E143" s="64"/>
      <c r="F143" s="64"/>
      <c r="G143" s="16"/>
      <c r="H143" s="16"/>
      <c r="I143" s="16"/>
      <c r="J143" s="43"/>
      <c r="K143" s="43"/>
    </row>
    <row r="144" spans="1:11" ht="13.5" customHeight="1" outlineLevel="1" x14ac:dyDescent="0.25">
      <c r="A144" s="43"/>
      <c r="B144" s="43"/>
      <c r="C144" s="35"/>
      <c r="D144" s="35"/>
      <c r="E144" s="65"/>
      <c r="F144" s="69"/>
      <c r="G144" s="35"/>
      <c r="H144" s="35"/>
      <c r="I144" s="35"/>
      <c r="J144" s="43"/>
      <c r="K144" s="43"/>
    </row>
    <row r="145" spans="1:11" ht="13.5" customHeight="1" outlineLevel="1" x14ac:dyDescent="0.25">
      <c r="A145" s="43"/>
      <c r="B145" s="43"/>
      <c r="C145" s="16"/>
      <c r="D145" s="16"/>
      <c r="E145" s="64"/>
      <c r="F145" s="64"/>
      <c r="G145" s="16"/>
      <c r="H145" s="16"/>
      <c r="I145" s="16"/>
      <c r="J145" s="43"/>
      <c r="K145" s="43"/>
    </row>
    <row r="146" spans="1:11" ht="13.5" customHeight="1" outlineLevel="1" x14ac:dyDescent="0.25">
      <c r="A146" s="43"/>
      <c r="B146" s="43"/>
      <c r="C146" s="35"/>
      <c r="D146" s="35"/>
      <c r="E146" s="65"/>
      <c r="F146" s="69"/>
      <c r="G146" s="35"/>
      <c r="H146" s="35"/>
      <c r="I146" s="35"/>
      <c r="J146" s="43"/>
      <c r="K146" s="43"/>
    </row>
    <row r="147" spans="1:11" ht="13.5" customHeight="1" outlineLevel="1" x14ac:dyDescent="0.25">
      <c r="A147" s="43"/>
      <c r="B147" s="43"/>
      <c r="C147" s="16"/>
      <c r="D147" s="16"/>
      <c r="E147" s="64"/>
      <c r="F147" s="64"/>
      <c r="G147" s="16"/>
      <c r="H147" s="16"/>
      <c r="I147" s="16"/>
      <c r="J147" s="43"/>
      <c r="K147" s="43"/>
    </row>
    <row r="148" spans="1:11" ht="13.5" customHeight="1" outlineLevel="1" x14ac:dyDescent="0.25">
      <c r="A148" s="43"/>
      <c r="B148" s="43"/>
      <c r="C148" s="35"/>
      <c r="D148" s="35"/>
      <c r="E148" s="65"/>
      <c r="F148" s="69"/>
      <c r="G148" s="35"/>
      <c r="H148" s="35"/>
      <c r="I148" s="35"/>
      <c r="J148" s="43"/>
      <c r="K148" s="43"/>
    </row>
    <row r="149" spans="1:11" ht="13.5" customHeight="1" outlineLevel="1" x14ac:dyDescent="0.25">
      <c r="A149" s="43"/>
      <c r="B149" s="43"/>
      <c r="C149" s="16"/>
      <c r="D149" s="16"/>
      <c r="E149" s="64"/>
      <c r="F149" s="64"/>
      <c r="G149" s="16"/>
      <c r="H149" s="16"/>
      <c r="I149" s="16"/>
      <c r="J149" s="43"/>
      <c r="K149" s="43"/>
    </row>
    <row r="150" spans="1:11" ht="13.5" customHeight="1" outlineLevel="1" x14ac:dyDescent="0.25">
      <c r="A150" s="43"/>
      <c r="B150" s="43"/>
      <c r="C150" s="35"/>
      <c r="D150" s="35"/>
      <c r="E150" s="65"/>
      <c r="F150" s="69"/>
      <c r="G150" s="35"/>
      <c r="H150" s="35"/>
      <c r="I150" s="35"/>
      <c r="J150" s="43"/>
      <c r="K150" s="43"/>
    </row>
    <row r="151" spans="1:11" ht="13.5" customHeight="1" outlineLevel="1" x14ac:dyDescent="0.25">
      <c r="A151" s="43"/>
      <c r="B151" s="43"/>
      <c r="C151" s="16"/>
      <c r="D151" s="16"/>
      <c r="E151" s="64"/>
      <c r="F151" s="64"/>
      <c r="G151" s="16"/>
      <c r="H151" s="16"/>
      <c r="I151" s="16"/>
      <c r="J151" s="43"/>
      <c r="K151" s="43"/>
    </row>
    <row r="152" spans="1:11" ht="13.5" customHeight="1" outlineLevel="1" x14ac:dyDescent="0.25">
      <c r="A152" s="43"/>
      <c r="B152" s="43"/>
      <c r="C152" s="35"/>
      <c r="D152" s="35"/>
      <c r="E152" s="65"/>
      <c r="F152" s="69"/>
      <c r="G152" s="35"/>
      <c r="H152" s="35"/>
      <c r="I152" s="35"/>
      <c r="J152" s="43"/>
      <c r="K152" s="43"/>
    </row>
    <row r="153" spans="1:11" ht="13.5" customHeight="1" outlineLevel="1" x14ac:dyDescent="0.25">
      <c r="A153" s="43"/>
      <c r="B153" s="43"/>
      <c r="C153" s="16"/>
      <c r="D153" s="16"/>
      <c r="E153" s="64"/>
      <c r="F153" s="64"/>
      <c r="G153" s="16"/>
      <c r="H153" s="16"/>
      <c r="I153" s="16"/>
      <c r="J153" s="43"/>
      <c r="K153" s="43"/>
    </row>
    <row r="154" spans="1:11" ht="13.5" customHeight="1" outlineLevel="1" x14ac:dyDescent="0.25">
      <c r="A154" s="43"/>
      <c r="B154" s="43"/>
      <c r="C154" s="35"/>
      <c r="D154" s="35"/>
      <c r="E154" s="65"/>
      <c r="F154" s="69"/>
      <c r="G154" s="35"/>
      <c r="H154" s="35"/>
      <c r="I154" s="35"/>
      <c r="J154" s="43"/>
      <c r="K154" s="43"/>
    </row>
    <row r="155" spans="1:11" ht="13.5" customHeight="1" outlineLevel="1" x14ac:dyDescent="0.25">
      <c r="A155" s="43"/>
      <c r="B155" s="43"/>
      <c r="C155" s="16"/>
      <c r="D155" s="16"/>
      <c r="E155" s="64"/>
      <c r="F155" s="64"/>
      <c r="G155" s="16"/>
      <c r="H155" s="16"/>
      <c r="I155" s="16"/>
      <c r="J155" s="43"/>
      <c r="K155" s="43"/>
    </row>
    <row r="156" spans="1:11" ht="13.5" customHeight="1" outlineLevel="1" x14ac:dyDescent="0.25">
      <c r="A156" s="43"/>
      <c r="B156" s="43"/>
      <c r="C156" s="35"/>
      <c r="D156" s="35"/>
      <c r="E156" s="65"/>
      <c r="F156" s="69"/>
      <c r="G156" s="35"/>
      <c r="H156" s="35"/>
      <c r="I156" s="35"/>
      <c r="J156" s="43"/>
      <c r="K156" s="43"/>
    </row>
    <row r="157" spans="1:11" ht="13.5" customHeight="1" outlineLevel="1" x14ac:dyDescent="0.25">
      <c r="A157" s="43"/>
      <c r="B157" s="43"/>
      <c r="C157" s="16"/>
      <c r="D157" s="16"/>
      <c r="E157" s="64"/>
      <c r="F157" s="64"/>
      <c r="G157" s="16"/>
      <c r="H157" s="16"/>
      <c r="I157" s="16"/>
      <c r="J157" s="43"/>
      <c r="K157" s="43"/>
    </row>
    <row r="158" spans="1:11" ht="13.5" customHeight="1" outlineLevel="1" x14ac:dyDescent="0.25">
      <c r="A158" s="43"/>
      <c r="B158" s="43"/>
      <c r="C158" s="35"/>
      <c r="D158" s="35"/>
      <c r="E158" s="65"/>
      <c r="F158" s="69"/>
      <c r="G158" s="35"/>
      <c r="H158" s="35"/>
      <c r="I158" s="35"/>
      <c r="J158" s="43"/>
      <c r="K158" s="43"/>
    </row>
    <row r="159" spans="1:11" ht="13.5" customHeight="1" outlineLevel="1" x14ac:dyDescent="0.25">
      <c r="A159" s="43"/>
      <c r="B159" s="43"/>
      <c r="C159" s="16"/>
      <c r="D159" s="16"/>
      <c r="E159" s="64"/>
      <c r="F159" s="64"/>
      <c r="G159" s="16"/>
      <c r="H159" s="16"/>
      <c r="I159" s="16"/>
      <c r="J159" s="43"/>
      <c r="K159" s="43"/>
    </row>
    <row r="160" spans="1:11" ht="13.5" customHeight="1" outlineLevel="1" x14ac:dyDescent="0.25">
      <c r="A160" s="43"/>
      <c r="B160" s="43"/>
      <c r="C160" s="35"/>
      <c r="D160" s="35"/>
      <c r="E160" s="65"/>
      <c r="F160" s="69"/>
      <c r="G160" s="35"/>
      <c r="H160" s="35"/>
      <c r="I160" s="35"/>
      <c r="J160" s="43"/>
      <c r="K160" s="43"/>
    </row>
    <row r="161" spans="1:11" ht="13.5" customHeight="1" outlineLevel="1" x14ac:dyDescent="0.25">
      <c r="A161" s="43"/>
      <c r="B161" s="43"/>
      <c r="C161" s="16"/>
      <c r="D161" s="16"/>
      <c r="E161" s="64"/>
      <c r="F161" s="64"/>
      <c r="G161" s="16"/>
      <c r="H161" s="16"/>
      <c r="I161" s="16"/>
      <c r="J161" s="43"/>
      <c r="K161" s="43"/>
    </row>
    <row r="162" spans="1:11" ht="13.5" customHeight="1" outlineLevel="1" x14ac:dyDescent="0.25">
      <c r="A162" s="43"/>
      <c r="B162" s="43"/>
      <c r="C162" s="35"/>
      <c r="D162" s="35"/>
      <c r="E162" s="65"/>
      <c r="F162" s="69"/>
      <c r="G162" s="35"/>
      <c r="H162" s="35"/>
      <c r="I162" s="35"/>
      <c r="J162" s="43"/>
      <c r="K162" s="43"/>
    </row>
    <row r="163" spans="1:11" ht="13.5" customHeight="1" outlineLevel="1" x14ac:dyDescent="0.25">
      <c r="A163" s="43"/>
      <c r="B163" s="43"/>
      <c r="C163" s="16"/>
      <c r="D163" s="16"/>
      <c r="E163" s="64"/>
      <c r="F163" s="64"/>
      <c r="G163" s="16"/>
      <c r="H163" s="16"/>
      <c r="I163" s="16"/>
      <c r="J163" s="43"/>
      <c r="K163" s="43"/>
    </row>
    <row r="164" spans="1:11" ht="13.5" customHeight="1" outlineLevel="1" x14ac:dyDescent="0.25">
      <c r="A164" s="43"/>
      <c r="B164" s="43"/>
      <c r="C164" s="35"/>
      <c r="D164" s="35"/>
      <c r="E164" s="65"/>
      <c r="F164" s="69"/>
      <c r="G164" s="35"/>
      <c r="H164" s="35"/>
      <c r="I164" s="35"/>
      <c r="J164" s="43"/>
      <c r="K164" s="43"/>
    </row>
    <row r="165" spans="1:11" ht="13.5" customHeight="1" outlineLevel="1" x14ac:dyDescent="0.25">
      <c r="A165" s="43"/>
      <c r="B165" s="43"/>
      <c r="C165" s="16"/>
      <c r="D165" s="16"/>
      <c r="E165" s="64"/>
      <c r="F165" s="64"/>
      <c r="G165" s="16"/>
      <c r="H165" s="16"/>
      <c r="I165" s="16"/>
      <c r="J165" s="43"/>
      <c r="K165" s="43"/>
    </row>
    <row r="166" spans="1:11" ht="13.5" customHeight="1" outlineLevel="1" x14ac:dyDescent="0.25">
      <c r="A166" s="43"/>
      <c r="B166" s="43"/>
      <c r="C166" s="35"/>
      <c r="D166" s="35"/>
      <c r="E166" s="65"/>
      <c r="F166" s="69"/>
      <c r="G166" s="35"/>
      <c r="H166" s="35"/>
      <c r="I166" s="35"/>
      <c r="J166" s="43"/>
      <c r="K166" s="43"/>
    </row>
    <row r="167" spans="1:11" ht="13.5" customHeight="1" outlineLevel="1" x14ac:dyDescent="0.25">
      <c r="A167" s="43"/>
      <c r="B167" s="43"/>
      <c r="C167" s="16"/>
      <c r="D167" s="16"/>
      <c r="E167" s="64"/>
      <c r="F167" s="64"/>
      <c r="G167" s="16"/>
      <c r="H167" s="16"/>
      <c r="I167" s="16"/>
      <c r="J167" s="43"/>
      <c r="K167" s="43"/>
    </row>
    <row r="168" spans="1:11" ht="13.5" customHeight="1" outlineLevel="1" x14ac:dyDescent="0.25">
      <c r="A168" s="43"/>
      <c r="B168" s="43"/>
      <c r="C168" s="35"/>
      <c r="D168" s="35"/>
      <c r="E168" s="65"/>
      <c r="F168" s="69"/>
      <c r="G168" s="35"/>
      <c r="H168" s="35"/>
      <c r="I168" s="35"/>
      <c r="J168" s="43"/>
      <c r="K168" s="43"/>
    </row>
    <row r="169" spans="1:11" ht="13.5" customHeight="1" outlineLevel="1" x14ac:dyDescent="0.25">
      <c r="A169" s="43"/>
      <c r="B169" s="43"/>
      <c r="C169" s="16"/>
      <c r="D169" s="16"/>
      <c r="E169" s="64"/>
      <c r="F169" s="64"/>
      <c r="G169" s="16"/>
      <c r="H169" s="16"/>
      <c r="I169" s="16"/>
      <c r="J169" s="43"/>
      <c r="K169" s="43"/>
    </row>
    <row r="170" spans="1:11" ht="13.5" customHeight="1" outlineLevel="1" x14ac:dyDescent="0.25">
      <c r="A170" s="43"/>
      <c r="B170" s="43"/>
      <c r="C170" s="35"/>
      <c r="D170" s="35"/>
      <c r="E170" s="65"/>
      <c r="F170" s="69"/>
      <c r="G170" s="35"/>
      <c r="H170" s="35"/>
      <c r="I170" s="35"/>
      <c r="J170" s="43"/>
      <c r="K170" s="43"/>
    </row>
    <row r="171" spans="1:11" ht="13.5" customHeight="1" outlineLevel="1" x14ac:dyDescent="0.25">
      <c r="A171" s="43"/>
      <c r="B171" s="43"/>
      <c r="C171" s="16"/>
      <c r="D171" s="16"/>
      <c r="E171" s="64"/>
      <c r="F171" s="64"/>
      <c r="G171" s="16"/>
      <c r="H171" s="16"/>
      <c r="I171" s="16"/>
      <c r="J171" s="43"/>
      <c r="K171" s="43"/>
    </row>
    <row r="172" spans="1:11" ht="13.5" customHeight="1" outlineLevel="1" x14ac:dyDescent="0.25">
      <c r="A172" s="43"/>
      <c r="B172" s="43"/>
      <c r="C172" s="35"/>
      <c r="D172" s="35"/>
      <c r="E172" s="65"/>
      <c r="F172" s="69"/>
      <c r="G172" s="35"/>
      <c r="H172" s="35"/>
      <c r="I172" s="35"/>
      <c r="J172" s="43"/>
      <c r="K172" s="43"/>
    </row>
    <row r="173" spans="1:11" ht="13.5" customHeight="1" outlineLevel="1" x14ac:dyDescent="0.25">
      <c r="A173" s="43"/>
      <c r="B173" s="43"/>
      <c r="C173" s="16"/>
      <c r="D173" s="16"/>
      <c r="E173" s="64"/>
      <c r="F173" s="64"/>
      <c r="G173" s="16"/>
      <c r="H173" s="16"/>
      <c r="I173" s="16"/>
      <c r="J173" s="43"/>
      <c r="K173" s="43"/>
    </row>
    <row r="174" spans="1:11" ht="13.5" customHeight="1" outlineLevel="1" x14ac:dyDescent="0.25">
      <c r="A174" s="43"/>
      <c r="B174" s="43"/>
      <c r="C174" s="35"/>
      <c r="D174" s="35"/>
      <c r="E174" s="65"/>
      <c r="F174" s="69"/>
      <c r="G174" s="35"/>
      <c r="H174" s="35"/>
      <c r="I174" s="35"/>
      <c r="J174" s="43"/>
      <c r="K174" s="43"/>
    </row>
    <row r="175" spans="1:11" ht="13.5" customHeight="1" outlineLevel="1" x14ac:dyDescent="0.25">
      <c r="A175" s="43"/>
      <c r="B175" s="43"/>
      <c r="C175" s="16"/>
      <c r="D175" s="16"/>
      <c r="E175" s="64"/>
      <c r="F175" s="64"/>
      <c r="G175" s="16"/>
      <c r="H175" s="16"/>
      <c r="I175" s="16"/>
      <c r="J175" s="43"/>
      <c r="K175" s="43"/>
    </row>
    <row r="176" spans="1:11" ht="13.5" customHeight="1" outlineLevel="1" x14ac:dyDescent="0.25">
      <c r="A176" s="43"/>
      <c r="B176" s="43"/>
      <c r="C176" s="35"/>
      <c r="D176" s="35"/>
      <c r="E176" s="65"/>
      <c r="F176" s="69"/>
      <c r="G176" s="35"/>
      <c r="H176" s="35"/>
      <c r="I176" s="35"/>
      <c r="J176" s="43"/>
      <c r="K176" s="43"/>
    </row>
    <row r="177" spans="1:11" ht="13.5" customHeight="1" outlineLevel="1" x14ac:dyDescent="0.25">
      <c r="A177" s="43"/>
      <c r="B177" s="43"/>
      <c r="C177" s="16"/>
      <c r="D177" s="16"/>
      <c r="E177" s="64"/>
      <c r="F177" s="64"/>
      <c r="G177" s="16"/>
      <c r="H177" s="16"/>
      <c r="I177" s="16"/>
      <c r="J177" s="43"/>
      <c r="K177" s="43"/>
    </row>
    <row r="178" spans="1:11" ht="13.5" customHeight="1" outlineLevel="1" x14ac:dyDescent="0.25">
      <c r="A178" s="43"/>
      <c r="B178" s="43"/>
      <c r="C178" s="35"/>
      <c r="D178" s="35"/>
      <c r="E178" s="65"/>
      <c r="F178" s="69"/>
      <c r="G178" s="35"/>
      <c r="H178" s="35"/>
      <c r="I178" s="35"/>
      <c r="J178" s="43"/>
      <c r="K178" s="43"/>
    </row>
    <row r="179" spans="1:11" ht="13.5" customHeight="1" outlineLevel="1" x14ac:dyDescent="0.25">
      <c r="A179" s="43"/>
      <c r="B179" s="43"/>
      <c r="C179" s="16"/>
      <c r="D179" s="16"/>
      <c r="E179" s="64"/>
      <c r="F179" s="64"/>
      <c r="G179" s="16"/>
      <c r="H179" s="16"/>
      <c r="I179" s="16"/>
      <c r="J179" s="43"/>
      <c r="K179" s="43"/>
    </row>
    <row r="180" spans="1:11" ht="13.5" customHeight="1" outlineLevel="1" x14ac:dyDescent="0.25">
      <c r="A180" s="43"/>
      <c r="B180" s="43"/>
      <c r="C180" s="35"/>
      <c r="D180" s="35"/>
      <c r="E180" s="65"/>
      <c r="F180" s="69"/>
      <c r="G180" s="35"/>
      <c r="H180" s="35"/>
      <c r="I180" s="35"/>
      <c r="J180" s="43"/>
      <c r="K180" s="43"/>
    </row>
    <row r="181" spans="1:11" ht="13.5" customHeight="1" outlineLevel="1" x14ac:dyDescent="0.25">
      <c r="A181" s="43"/>
      <c r="B181" s="43"/>
      <c r="C181" s="16"/>
      <c r="D181" s="16"/>
      <c r="E181" s="64"/>
      <c r="F181" s="64"/>
      <c r="G181" s="16"/>
      <c r="H181" s="16"/>
      <c r="I181" s="16"/>
      <c r="J181" s="43"/>
      <c r="K181" s="43"/>
    </row>
    <row r="182" spans="1:11" ht="13.5" customHeight="1" outlineLevel="1" x14ac:dyDescent="0.25">
      <c r="A182" s="43"/>
      <c r="B182" s="43"/>
      <c r="C182" s="35"/>
      <c r="D182" s="35"/>
      <c r="E182" s="65"/>
      <c r="F182" s="69"/>
      <c r="G182" s="35"/>
      <c r="H182" s="35"/>
      <c r="I182" s="35"/>
      <c r="J182" s="43"/>
      <c r="K182" s="43"/>
    </row>
    <row r="183" spans="1:11" ht="13.5" customHeight="1" outlineLevel="1" x14ac:dyDescent="0.25">
      <c r="A183" s="43"/>
      <c r="B183" s="43"/>
      <c r="C183" s="16"/>
      <c r="D183" s="16"/>
      <c r="E183" s="64"/>
      <c r="F183" s="64"/>
      <c r="G183" s="16"/>
      <c r="H183" s="16"/>
      <c r="I183" s="16"/>
      <c r="J183" s="43"/>
      <c r="K183" s="43"/>
    </row>
    <row r="184" spans="1:11" ht="13.5" customHeight="1" outlineLevel="1" x14ac:dyDescent="0.25">
      <c r="A184" s="43"/>
      <c r="B184" s="43"/>
      <c r="C184" s="35"/>
      <c r="D184" s="35"/>
      <c r="E184" s="65"/>
      <c r="F184" s="69"/>
      <c r="G184" s="35"/>
      <c r="H184" s="35"/>
      <c r="I184" s="35"/>
      <c r="J184" s="43"/>
      <c r="K184" s="43"/>
    </row>
    <row r="185" spans="1:11" ht="13.5" customHeight="1" outlineLevel="1" x14ac:dyDescent="0.25">
      <c r="A185" s="43"/>
      <c r="B185" s="43"/>
      <c r="C185" s="16"/>
      <c r="D185" s="16"/>
      <c r="E185" s="64"/>
      <c r="F185" s="64"/>
      <c r="G185" s="16"/>
      <c r="H185" s="16"/>
      <c r="I185" s="16"/>
      <c r="J185" s="43"/>
      <c r="K185" s="43"/>
    </row>
    <row r="186" spans="1:11" ht="13.5" customHeight="1" outlineLevel="1" x14ac:dyDescent="0.25">
      <c r="A186" s="43"/>
      <c r="B186" s="43"/>
      <c r="C186" s="35"/>
      <c r="D186" s="35"/>
      <c r="E186" s="65"/>
      <c r="F186" s="69"/>
      <c r="G186" s="35"/>
      <c r="H186" s="35"/>
      <c r="I186" s="35"/>
      <c r="J186" s="43"/>
      <c r="K186" s="43"/>
    </row>
    <row r="187" spans="1:11" ht="13.5" customHeight="1" outlineLevel="1" x14ac:dyDescent="0.25">
      <c r="A187" s="43"/>
      <c r="B187" s="43"/>
      <c r="C187" s="16"/>
      <c r="D187" s="16"/>
      <c r="E187" s="64"/>
      <c r="F187" s="64"/>
      <c r="G187" s="16"/>
      <c r="H187" s="16"/>
      <c r="I187" s="16"/>
      <c r="J187" s="43"/>
      <c r="K187" s="43"/>
    </row>
    <row r="188" spans="1:11" ht="13.5" customHeight="1" outlineLevel="1" x14ac:dyDescent="0.25">
      <c r="A188" s="43"/>
      <c r="B188" s="43"/>
      <c r="C188" s="35"/>
      <c r="D188" s="35"/>
      <c r="E188" s="65"/>
      <c r="F188" s="69"/>
      <c r="G188" s="35"/>
      <c r="H188" s="35"/>
      <c r="I188" s="35"/>
      <c r="J188" s="43"/>
      <c r="K188" s="43"/>
    </row>
    <row r="189" spans="1:11" ht="13.5" customHeight="1" outlineLevel="1" x14ac:dyDescent="0.25">
      <c r="A189" s="43"/>
      <c r="B189" s="43"/>
      <c r="C189" s="16"/>
      <c r="D189" s="16"/>
      <c r="E189" s="64"/>
      <c r="F189" s="64"/>
      <c r="G189" s="16"/>
      <c r="H189" s="16"/>
      <c r="I189" s="16"/>
      <c r="J189" s="43"/>
      <c r="K189" s="43"/>
    </row>
    <row r="190" spans="1:11" ht="13.5" customHeight="1" outlineLevel="1" x14ac:dyDescent="0.25">
      <c r="A190" s="43"/>
      <c r="B190" s="43"/>
      <c r="C190" s="35"/>
      <c r="D190" s="35"/>
      <c r="E190" s="65"/>
      <c r="F190" s="69"/>
      <c r="G190" s="35"/>
      <c r="H190" s="35"/>
      <c r="I190" s="35"/>
      <c r="J190" s="43"/>
      <c r="K190" s="43"/>
    </row>
    <row r="191" spans="1:11" ht="13.5" customHeight="1" outlineLevel="1" x14ac:dyDescent="0.25">
      <c r="A191" s="43"/>
      <c r="B191" s="43"/>
      <c r="C191" s="16"/>
      <c r="D191" s="16"/>
      <c r="E191" s="64"/>
      <c r="F191" s="64"/>
      <c r="G191" s="16"/>
      <c r="H191" s="16"/>
      <c r="I191" s="16"/>
      <c r="J191" s="43"/>
      <c r="K191" s="43"/>
    </row>
    <row r="192" spans="1:11" ht="13.5" customHeight="1" outlineLevel="1" x14ac:dyDescent="0.25">
      <c r="A192" s="43"/>
      <c r="B192" s="43"/>
      <c r="C192" s="35"/>
      <c r="D192" s="35"/>
      <c r="E192" s="65"/>
      <c r="F192" s="69"/>
      <c r="G192" s="35"/>
      <c r="H192" s="35"/>
      <c r="I192" s="35"/>
      <c r="J192" s="43"/>
      <c r="K192" s="43"/>
    </row>
    <row r="193" spans="1:11" ht="13.5" customHeight="1" outlineLevel="1" x14ac:dyDescent="0.25">
      <c r="A193" s="43"/>
      <c r="B193" s="43"/>
      <c r="C193" s="16"/>
      <c r="D193" s="16"/>
      <c r="E193" s="64"/>
      <c r="F193" s="64"/>
      <c r="G193" s="16"/>
      <c r="H193" s="16"/>
      <c r="I193" s="16"/>
      <c r="J193" s="43"/>
      <c r="K193" s="43"/>
    </row>
    <row r="194" spans="1:11" ht="13.5" customHeight="1" outlineLevel="1" x14ac:dyDescent="0.25">
      <c r="A194" s="43"/>
      <c r="B194" s="43"/>
      <c r="C194" s="35"/>
      <c r="D194" s="35"/>
      <c r="E194" s="65"/>
      <c r="F194" s="69"/>
      <c r="G194" s="35"/>
      <c r="H194" s="35"/>
      <c r="I194" s="35"/>
      <c r="J194" s="43"/>
      <c r="K194" s="43"/>
    </row>
    <row r="195" spans="1:11" ht="13.5" customHeight="1" outlineLevel="1" x14ac:dyDescent="0.25">
      <c r="A195" s="43"/>
      <c r="B195" s="43"/>
      <c r="C195" s="16"/>
      <c r="D195" s="16"/>
      <c r="E195" s="64"/>
      <c r="F195" s="64"/>
      <c r="G195" s="16"/>
      <c r="H195" s="16"/>
      <c r="I195" s="16"/>
      <c r="J195" s="43"/>
      <c r="K195" s="43"/>
    </row>
    <row r="196" spans="1:11" ht="13.5" customHeight="1" outlineLevel="1" x14ac:dyDescent="0.25">
      <c r="A196" s="43"/>
      <c r="B196" s="43"/>
      <c r="C196" s="35"/>
      <c r="D196" s="35"/>
      <c r="E196" s="65"/>
      <c r="F196" s="69"/>
      <c r="G196" s="35"/>
      <c r="H196" s="35"/>
      <c r="I196" s="35"/>
      <c r="J196" s="43"/>
      <c r="K196" s="43"/>
    </row>
    <row r="197" spans="1:11" ht="13.5" customHeight="1" outlineLevel="1" x14ac:dyDescent="0.25">
      <c r="A197" s="43"/>
      <c r="B197" s="43"/>
      <c r="C197" s="16"/>
      <c r="D197" s="16"/>
      <c r="E197" s="64"/>
      <c r="F197" s="64"/>
      <c r="G197" s="16"/>
      <c r="H197" s="16"/>
      <c r="I197" s="16"/>
      <c r="J197" s="43"/>
      <c r="K197" s="43"/>
    </row>
    <row r="198" spans="1:11" ht="13.5" customHeight="1" outlineLevel="1" x14ac:dyDescent="0.25">
      <c r="A198" s="43"/>
      <c r="B198" s="43"/>
      <c r="C198" s="35"/>
      <c r="D198" s="35"/>
      <c r="E198" s="65"/>
      <c r="F198" s="69"/>
      <c r="G198" s="35"/>
      <c r="H198" s="35"/>
      <c r="I198" s="35"/>
      <c r="J198" s="43"/>
      <c r="K198" s="43"/>
    </row>
    <row r="199" spans="1:11" ht="13.5" customHeight="1" outlineLevel="1" x14ac:dyDescent="0.25">
      <c r="A199" s="43"/>
      <c r="B199" s="43"/>
      <c r="C199" s="16"/>
      <c r="D199" s="16"/>
      <c r="E199" s="64"/>
      <c r="F199" s="64"/>
      <c r="G199" s="16"/>
      <c r="H199" s="16"/>
      <c r="I199" s="16"/>
      <c r="J199" s="43"/>
      <c r="K199" s="43"/>
    </row>
    <row r="200" spans="1:11" ht="13.5" customHeight="1" outlineLevel="1" x14ac:dyDescent="0.25">
      <c r="A200" s="43"/>
      <c r="B200" s="43"/>
      <c r="C200" s="35"/>
      <c r="D200" s="35"/>
      <c r="E200" s="65"/>
      <c r="F200" s="69"/>
      <c r="G200" s="35"/>
      <c r="H200" s="35"/>
      <c r="I200" s="35"/>
      <c r="J200" s="43"/>
      <c r="K200" s="43"/>
    </row>
    <row r="201" spans="1:11" ht="13.5" customHeight="1" outlineLevel="1" x14ac:dyDescent="0.25">
      <c r="A201" s="43"/>
      <c r="B201" s="43"/>
      <c r="C201" s="16"/>
      <c r="D201" s="16"/>
      <c r="E201" s="64"/>
      <c r="F201" s="64"/>
      <c r="G201" s="16"/>
      <c r="H201" s="16"/>
      <c r="I201" s="16"/>
      <c r="J201" s="43"/>
      <c r="K201" s="43"/>
    </row>
    <row r="202" spans="1:11" ht="13.5" customHeight="1" outlineLevel="1" x14ac:dyDescent="0.25">
      <c r="A202" s="43"/>
      <c r="B202" s="43"/>
      <c r="C202" s="35"/>
      <c r="D202" s="35"/>
      <c r="E202" s="65"/>
      <c r="F202" s="69"/>
      <c r="G202" s="35"/>
      <c r="H202" s="35"/>
      <c r="I202" s="35"/>
      <c r="J202" s="43"/>
      <c r="K202" s="43"/>
    </row>
    <row r="203" spans="1:11" ht="13.5" customHeight="1" outlineLevel="1" x14ac:dyDescent="0.25">
      <c r="A203" s="43"/>
      <c r="B203" s="43"/>
      <c r="C203" s="16"/>
      <c r="D203" s="16"/>
      <c r="E203" s="64"/>
      <c r="F203" s="64"/>
      <c r="G203" s="16"/>
      <c r="H203" s="16"/>
      <c r="I203" s="16"/>
      <c r="J203" s="43"/>
      <c r="K203" s="43"/>
    </row>
    <row r="204" spans="1:11" ht="13.5" customHeight="1" outlineLevel="1" x14ac:dyDescent="0.25">
      <c r="A204" s="43"/>
      <c r="B204" s="43"/>
      <c r="C204" s="35"/>
      <c r="D204" s="35"/>
      <c r="E204" s="65"/>
      <c r="F204" s="69"/>
      <c r="G204" s="35"/>
      <c r="H204" s="35"/>
      <c r="I204" s="35"/>
      <c r="J204" s="43"/>
      <c r="K204" s="43"/>
    </row>
    <row r="205" spans="1:11" ht="13.5" customHeight="1" outlineLevel="1" x14ac:dyDescent="0.25">
      <c r="A205" s="43"/>
      <c r="B205" s="43"/>
      <c r="C205" s="16"/>
      <c r="D205" s="16"/>
      <c r="E205" s="64"/>
      <c r="F205" s="64"/>
      <c r="G205" s="16"/>
      <c r="H205" s="16"/>
      <c r="I205" s="16"/>
      <c r="J205" s="43"/>
      <c r="K205" s="43"/>
    </row>
    <row r="206" spans="1:11" ht="13.5" customHeight="1" outlineLevel="1" x14ac:dyDescent="0.25">
      <c r="A206" s="43"/>
      <c r="B206" s="43"/>
      <c r="C206" s="35"/>
      <c r="D206" s="35"/>
      <c r="E206" s="65"/>
      <c r="F206" s="69"/>
      <c r="G206" s="35"/>
      <c r="H206" s="35"/>
      <c r="I206" s="35"/>
      <c r="J206" s="43"/>
      <c r="K206" s="43"/>
    </row>
    <row r="207" spans="1:11" ht="13.5" customHeight="1" outlineLevel="1" x14ac:dyDescent="0.25">
      <c r="A207" s="43"/>
      <c r="B207" s="43"/>
      <c r="C207" s="16"/>
      <c r="D207" s="16"/>
      <c r="E207" s="64"/>
      <c r="F207" s="64"/>
      <c r="G207" s="16"/>
      <c r="H207" s="16"/>
      <c r="I207" s="16"/>
      <c r="J207" s="43"/>
      <c r="K207" s="43"/>
    </row>
    <row r="208" spans="1:11" ht="13.5" customHeight="1" outlineLevel="1" x14ac:dyDescent="0.25">
      <c r="A208" s="43"/>
      <c r="B208" s="43"/>
      <c r="C208" s="35"/>
      <c r="D208" s="35"/>
      <c r="E208" s="65"/>
      <c r="F208" s="69"/>
      <c r="G208" s="35"/>
      <c r="H208" s="35"/>
      <c r="I208" s="35"/>
      <c r="J208" s="43"/>
      <c r="K208" s="43"/>
    </row>
    <row r="209" spans="1:11" ht="13.5" customHeight="1" outlineLevel="1" x14ac:dyDescent="0.25">
      <c r="A209" s="43"/>
      <c r="B209" s="43"/>
      <c r="C209" s="16"/>
      <c r="D209" s="16"/>
      <c r="E209" s="64"/>
      <c r="F209" s="64"/>
      <c r="G209" s="16"/>
      <c r="H209" s="16"/>
      <c r="I209" s="16"/>
      <c r="J209" s="43"/>
      <c r="K209" s="43"/>
    </row>
    <row r="210" spans="1:11" ht="13.5" customHeight="1" outlineLevel="1" x14ac:dyDescent="0.25">
      <c r="A210" s="43"/>
      <c r="B210" s="43"/>
      <c r="C210" s="35"/>
      <c r="D210" s="35"/>
      <c r="E210" s="65"/>
      <c r="F210" s="69"/>
      <c r="G210" s="35"/>
      <c r="H210" s="35"/>
      <c r="I210" s="35"/>
      <c r="J210" s="43"/>
      <c r="K210" s="43"/>
    </row>
    <row r="211" spans="1:11" ht="13.5" customHeight="1" outlineLevel="1" x14ac:dyDescent="0.25">
      <c r="A211" s="43"/>
      <c r="B211" s="43"/>
      <c r="C211" s="16"/>
      <c r="D211" s="16"/>
      <c r="E211" s="64"/>
      <c r="F211" s="64"/>
      <c r="G211" s="16"/>
      <c r="H211" s="16"/>
      <c r="I211" s="16"/>
      <c r="J211" s="43"/>
      <c r="K211" s="43"/>
    </row>
    <row r="212" spans="1:11" ht="13.5" customHeight="1" outlineLevel="1" x14ac:dyDescent="0.25">
      <c r="A212" s="43"/>
      <c r="B212" s="43"/>
      <c r="C212" s="35"/>
      <c r="D212" s="35"/>
      <c r="E212" s="65"/>
      <c r="F212" s="69"/>
      <c r="G212" s="35"/>
      <c r="H212" s="35"/>
      <c r="I212" s="35"/>
      <c r="J212" s="43"/>
      <c r="K212" s="43"/>
    </row>
    <row r="213" spans="1:11" ht="13.5" customHeight="1" outlineLevel="1" x14ac:dyDescent="0.25">
      <c r="A213" s="43"/>
      <c r="B213" s="43"/>
      <c r="C213" s="16"/>
      <c r="D213" s="16"/>
      <c r="E213" s="64"/>
      <c r="F213" s="64"/>
      <c r="G213" s="16"/>
      <c r="H213" s="16"/>
      <c r="I213" s="16"/>
      <c r="J213" s="43"/>
      <c r="K213" s="43"/>
    </row>
    <row r="214" spans="1:11" ht="13.5" customHeight="1" outlineLevel="1" x14ac:dyDescent="0.25">
      <c r="A214" s="43"/>
      <c r="B214" s="43"/>
      <c r="C214" s="35"/>
      <c r="D214" s="35"/>
      <c r="E214" s="65"/>
      <c r="F214" s="69"/>
      <c r="G214" s="35"/>
      <c r="H214" s="35"/>
      <c r="I214" s="35"/>
      <c r="J214" s="43"/>
      <c r="K214" s="43"/>
    </row>
    <row r="215" spans="1:11" ht="13.5" customHeight="1" outlineLevel="1" x14ac:dyDescent="0.25">
      <c r="A215" s="43"/>
      <c r="B215" s="43"/>
      <c r="C215" s="16"/>
      <c r="D215" s="16"/>
      <c r="E215" s="64"/>
      <c r="F215" s="64"/>
      <c r="G215" s="16"/>
      <c r="H215" s="16"/>
      <c r="I215" s="16"/>
      <c r="J215" s="43"/>
      <c r="K215" s="43"/>
    </row>
    <row r="216" spans="1:11" ht="13.5" customHeight="1" outlineLevel="1" x14ac:dyDescent="0.25">
      <c r="A216" s="43"/>
      <c r="B216" s="43"/>
      <c r="C216" s="35"/>
      <c r="D216" s="35"/>
      <c r="E216" s="65"/>
      <c r="F216" s="69"/>
      <c r="G216" s="35"/>
      <c r="H216" s="35"/>
      <c r="I216" s="35"/>
      <c r="J216" s="43"/>
      <c r="K216" s="43"/>
    </row>
    <row r="217" spans="1:11" ht="13.5" customHeight="1" outlineLevel="1" x14ac:dyDescent="0.25">
      <c r="A217" s="43"/>
      <c r="B217" s="43"/>
      <c r="C217" s="16"/>
      <c r="D217" s="16"/>
      <c r="E217" s="64"/>
      <c r="F217" s="64"/>
      <c r="G217" s="16"/>
      <c r="H217" s="16"/>
      <c r="I217" s="16"/>
      <c r="J217" s="43"/>
      <c r="K217" s="43"/>
    </row>
    <row r="218" spans="1:11" ht="13.5" customHeight="1" outlineLevel="1" x14ac:dyDescent="0.25">
      <c r="A218" s="43"/>
      <c r="B218" s="43"/>
      <c r="C218" s="35"/>
      <c r="D218" s="35"/>
      <c r="E218" s="65"/>
      <c r="F218" s="69"/>
      <c r="G218" s="35"/>
      <c r="H218" s="35"/>
      <c r="I218" s="35"/>
      <c r="J218" s="43"/>
      <c r="K218" s="43"/>
    </row>
    <row r="219" spans="1:11" ht="13.5" customHeight="1" outlineLevel="1" x14ac:dyDescent="0.25">
      <c r="A219" s="43"/>
      <c r="B219" s="43"/>
      <c r="C219" s="16"/>
      <c r="D219" s="16"/>
      <c r="E219" s="64"/>
      <c r="F219" s="64"/>
      <c r="G219" s="16"/>
      <c r="H219" s="16"/>
      <c r="I219" s="16"/>
      <c r="J219" s="43"/>
      <c r="K219" s="43"/>
    </row>
    <row r="220" spans="1:11" ht="13.5" customHeight="1" outlineLevel="1" x14ac:dyDescent="0.25">
      <c r="A220" s="43"/>
      <c r="B220" s="43"/>
      <c r="C220" s="35"/>
      <c r="D220" s="35"/>
      <c r="E220" s="65"/>
      <c r="F220" s="69"/>
      <c r="G220" s="35"/>
      <c r="H220" s="35"/>
      <c r="I220" s="35"/>
      <c r="J220" s="43"/>
      <c r="K220" s="43"/>
    </row>
    <row r="221" spans="1:11" ht="13.5" customHeight="1" outlineLevel="1" x14ac:dyDescent="0.25">
      <c r="A221" s="43"/>
      <c r="B221" s="43"/>
      <c r="C221" s="16"/>
      <c r="D221" s="16"/>
      <c r="E221" s="64"/>
      <c r="F221" s="64"/>
      <c r="G221" s="16"/>
      <c r="H221" s="16"/>
      <c r="I221" s="16"/>
      <c r="J221" s="43"/>
      <c r="K221" s="43"/>
    </row>
    <row r="222" spans="1:11" ht="13.5" customHeight="1" outlineLevel="1" x14ac:dyDescent="0.25">
      <c r="A222" s="43"/>
      <c r="B222" s="43"/>
      <c r="C222" s="35"/>
      <c r="D222" s="35"/>
      <c r="E222" s="65"/>
      <c r="F222" s="69"/>
      <c r="G222" s="35"/>
      <c r="H222" s="35"/>
      <c r="I222" s="35"/>
      <c r="J222" s="43"/>
      <c r="K222" s="43"/>
    </row>
    <row r="223" spans="1:11" ht="13.5" customHeight="1" outlineLevel="1" x14ac:dyDescent="0.25">
      <c r="A223" s="43"/>
      <c r="B223" s="43"/>
      <c r="C223" s="16"/>
      <c r="D223" s="16"/>
      <c r="E223" s="64"/>
      <c r="F223" s="64"/>
      <c r="G223" s="16"/>
      <c r="H223" s="16"/>
      <c r="I223" s="16"/>
      <c r="J223" s="43"/>
      <c r="K223" s="43"/>
    </row>
    <row r="224" spans="1:11" ht="13.5" customHeight="1" outlineLevel="1" x14ac:dyDescent="0.25">
      <c r="A224" s="43"/>
      <c r="B224" s="43"/>
      <c r="C224" s="35"/>
      <c r="D224" s="35"/>
      <c r="E224" s="65"/>
      <c r="F224" s="69"/>
      <c r="G224" s="35"/>
      <c r="H224" s="35"/>
      <c r="I224" s="35"/>
      <c r="J224" s="43"/>
      <c r="K224" s="43"/>
    </row>
    <row r="225" spans="1:11" ht="13.5" customHeight="1" outlineLevel="1" x14ac:dyDescent="0.25">
      <c r="A225" s="43"/>
      <c r="B225" s="43"/>
      <c r="C225" s="16"/>
      <c r="D225" s="16"/>
      <c r="E225" s="64"/>
      <c r="F225" s="64"/>
      <c r="G225" s="16"/>
      <c r="H225" s="16"/>
      <c r="I225" s="16"/>
      <c r="J225" s="43"/>
      <c r="K225" s="43"/>
    </row>
    <row r="226" spans="1:11" ht="13.5" customHeight="1" outlineLevel="1" x14ac:dyDescent="0.25">
      <c r="A226" s="43"/>
      <c r="B226" s="43"/>
      <c r="C226" s="35"/>
      <c r="D226" s="35"/>
      <c r="E226" s="65"/>
      <c r="F226" s="69"/>
      <c r="G226" s="35"/>
      <c r="H226" s="35"/>
      <c r="I226" s="35"/>
      <c r="J226" s="43"/>
      <c r="K226" s="43"/>
    </row>
    <row r="227" spans="1:11" ht="13.5" customHeight="1" outlineLevel="1" x14ac:dyDescent="0.25">
      <c r="A227" s="43"/>
      <c r="B227" s="43"/>
      <c r="C227" s="16"/>
      <c r="D227" s="16"/>
      <c r="E227" s="64"/>
      <c r="F227" s="64"/>
      <c r="G227" s="16"/>
      <c r="H227" s="16"/>
      <c r="I227" s="16"/>
      <c r="J227" s="43"/>
      <c r="K227" s="43"/>
    </row>
    <row r="228" spans="1:11" ht="13.5" customHeight="1" outlineLevel="1" x14ac:dyDescent="0.25">
      <c r="A228" s="43"/>
      <c r="B228" s="43"/>
      <c r="C228" s="35"/>
      <c r="D228" s="35"/>
      <c r="E228" s="65"/>
      <c r="F228" s="69"/>
      <c r="G228" s="35"/>
      <c r="H228" s="35"/>
      <c r="I228" s="35"/>
      <c r="J228" s="43"/>
      <c r="K228" s="43"/>
    </row>
    <row r="229" spans="1:11" ht="13.5" customHeight="1" outlineLevel="1" x14ac:dyDescent="0.25">
      <c r="A229" s="43"/>
      <c r="B229" s="43"/>
      <c r="C229" s="16"/>
      <c r="D229" s="16"/>
      <c r="E229" s="64"/>
      <c r="F229" s="64"/>
      <c r="G229" s="16"/>
      <c r="H229" s="16"/>
      <c r="I229" s="16"/>
      <c r="J229" s="43"/>
      <c r="K229" s="43"/>
    </row>
    <row r="230" spans="1:11" ht="13.5" customHeight="1" outlineLevel="1" x14ac:dyDescent="0.25">
      <c r="A230" s="43"/>
      <c r="B230" s="43"/>
      <c r="C230" s="35"/>
      <c r="D230" s="35"/>
      <c r="E230" s="65"/>
      <c r="F230" s="69"/>
      <c r="G230" s="35"/>
      <c r="H230" s="35"/>
      <c r="I230" s="35"/>
      <c r="J230" s="43"/>
      <c r="K230" s="43"/>
    </row>
    <row r="231" spans="1:11" ht="13.5" customHeight="1" outlineLevel="1" x14ac:dyDescent="0.25">
      <c r="A231" s="43"/>
      <c r="B231" s="43"/>
      <c r="C231" s="16"/>
      <c r="D231" s="16"/>
      <c r="E231" s="64"/>
      <c r="F231" s="64"/>
      <c r="G231" s="16"/>
      <c r="H231" s="16"/>
      <c r="I231" s="16"/>
      <c r="J231" s="43"/>
      <c r="K231" s="43"/>
    </row>
    <row r="232" spans="1:11" ht="13.5" customHeight="1" outlineLevel="1" x14ac:dyDescent="0.25">
      <c r="A232" s="43"/>
      <c r="B232" s="43"/>
      <c r="C232" s="35"/>
      <c r="D232" s="35"/>
      <c r="E232" s="65"/>
      <c r="F232" s="69"/>
      <c r="G232" s="35"/>
      <c r="H232" s="35"/>
      <c r="I232" s="35"/>
      <c r="J232" s="43"/>
      <c r="K232" s="43"/>
    </row>
    <row r="233" spans="1:11" ht="13.5" customHeight="1" outlineLevel="1" x14ac:dyDescent="0.25">
      <c r="A233" s="43"/>
      <c r="B233" s="43"/>
      <c r="C233" s="16"/>
      <c r="D233" s="16"/>
      <c r="E233" s="64"/>
      <c r="F233" s="64"/>
      <c r="G233" s="16"/>
      <c r="H233" s="16"/>
      <c r="I233" s="16"/>
      <c r="J233" s="43"/>
      <c r="K233" s="43"/>
    </row>
    <row r="234" spans="1:11" ht="13.5" customHeight="1" outlineLevel="1" x14ac:dyDescent="0.25">
      <c r="A234" s="43"/>
      <c r="B234" s="43"/>
      <c r="C234" s="35"/>
      <c r="D234" s="35"/>
      <c r="E234" s="65"/>
      <c r="F234" s="69"/>
      <c r="G234" s="35"/>
      <c r="H234" s="35"/>
      <c r="I234" s="35"/>
      <c r="J234" s="43"/>
      <c r="K234" s="43"/>
    </row>
    <row r="235" spans="1:11" ht="13.5" customHeight="1" outlineLevel="1" x14ac:dyDescent="0.25">
      <c r="A235" s="43"/>
      <c r="B235" s="43"/>
      <c r="C235" s="16"/>
      <c r="D235" s="16"/>
      <c r="E235" s="64"/>
      <c r="F235" s="64"/>
      <c r="G235" s="16"/>
      <c r="H235" s="16"/>
      <c r="I235" s="16"/>
      <c r="J235" s="43"/>
      <c r="K235" s="43"/>
    </row>
    <row r="236" spans="1:11" ht="13.5" customHeight="1" outlineLevel="1" x14ac:dyDescent="0.25">
      <c r="A236" s="43"/>
      <c r="B236" s="43"/>
      <c r="C236" s="35"/>
      <c r="D236" s="35"/>
      <c r="E236" s="65"/>
      <c r="F236" s="69"/>
      <c r="G236" s="35"/>
      <c r="H236" s="35"/>
      <c r="I236" s="35"/>
      <c r="J236" s="43"/>
      <c r="K236" s="43"/>
    </row>
    <row r="237" spans="1:11" ht="13.5" customHeight="1" outlineLevel="1" x14ac:dyDescent="0.25">
      <c r="A237" s="43"/>
      <c r="B237" s="43"/>
      <c r="C237" s="16"/>
      <c r="D237" s="16"/>
      <c r="E237" s="64"/>
      <c r="F237" s="64"/>
      <c r="G237" s="16"/>
      <c r="H237" s="16"/>
      <c r="I237" s="16"/>
      <c r="J237" s="43"/>
      <c r="K237" s="43"/>
    </row>
    <row r="238" spans="1:11" ht="13.5" customHeight="1" outlineLevel="1" x14ac:dyDescent="0.25">
      <c r="A238" s="43"/>
      <c r="B238" s="43"/>
      <c r="C238" s="35"/>
      <c r="D238" s="35"/>
      <c r="E238" s="65"/>
      <c r="F238" s="69"/>
      <c r="G238" s="35"/>
      <c r="H238" s="35"/>
      <c r="I238" s="35"/>
      <c r="J238" s="43"/>
      <c r="K238" s="43"/>
    </row>
    <row r="239" spans="1:11" ht="13.5" customHeight="1" outlineLevel="1" x14ac:dyDescent="0.25">
      <c r="A239" s="43"/>
      <c r="B239" s="43"/>
      <c r="C239" s="16"/>
      <c r="D239" s="16"/>
      <c r="E239" s="64"/>
      <c r="F239" s="64"/>
      <c r="G239" s="16"/>
      <c r="H239" s="16"/>
      <c r="I239" s="16"/>
      <c r="J239" s="43"/>
      <c r="K239" s="43"/>
    </row>
    <row r="240" spans="1:11" ht="13.5" customHeight="1" outlineLevel="1" x14ac:dyDescent="0.25">
      <c r="A240" s="43"/>
      <c r="B240" s="43"/>
      <c r="C240" s="35"/>
      <c r="D240" s="35"/>
      <c r="E240" s="65"/>
      <c r="F240" s="69"/>
      <c r="G240" s="35"/>
      <c r="H240" s="35"/>
      <c r="I240" s="35"/>
      <c r="J240" s="43"/>
      <c r="K240" s="43"/>
    </row>
    <row r="241" spans="1:11" ht="13.5" customHeight="1" outlineLevel="1" x14ac:dyDescent="0.25">
      <c r="A241" s="43"/>
      <c r="B241" s="43"/>
      <c r="C241" s="16"/>
      <c r="D241" s="16"/>
      <c r="E241" s="64"/>
      <c r="F241" s="64"/>
      <c r="G241" s="16"/>
      <c r="H241" s="16"/>
      <c r="I241" s="16"/>
      <c r="J241" s="43"/>
      <c r="K241" s="43"/>
    </row>
    <row r="242" spans="1:11" ht="13.5" customHeight="1" outlineLevel="1" x14ac:dyDescent="0.25">
      <c r="A242" s="43"/>
      <c r="B242" s="43"/>
      <c r="C242" s="35"/>
      <c r="D242" s="35"/>
      <c r="E242" s="65"/>
      <c r="F242" s="69"/>
      <c r="G242" s="35"/>
      <c r="H242" s="35"/>
      <c r="I242" s="35"/>
      <c r="J242" s="43"/>
      <c r="K242" s="43"/>
    </row>
    <row r="243" spans="1:11" ht="13.5" customHeight="1" outlineLevel="1" x14ac:dyDescent="0.25">
      <c r="A243" s="43"/>
      <c r="B243" s="43"/>
      <c r="C243" s="16"/>
      <c r="D243" s="16"/>
      <c r="E243" s="64"/>
      <c r="F243" s="64"/>
      <c r="G243" s="16"/>
      <c r="H243" s="16"/>
      <c r="I243" s="16"/>
      <c r="J243" s="43"/>
      <c r="K243" s="43"/>
    </row>
    <row r="244" spans="1:11" ht="13.5" customHeight="1" outlineLevel="1" x14ac:dyDescent="0.25">
      <c r="A244" s="43"/>
      <c r="B244" s="43"/>
      <c r="C244" s="35"/>
      <c r="D244" s="35"/>
      <c r="E244" s="65"/>
      <c r="F244" s="69"/>
      <c r="G244" s="35"/>
      <c r="H244" s="35"/>
      <c r="I244" s="35"/>
      <c r="J244" s="43"/>
      <c r="K244" s="43"/>
    </row>
    <row r="245" spans="1:11" ht="13.5" customHeight="1" outlineLevel="1" x14ac:dyDescent="0.25">
      <c r="A245" s="43"/>
      <c r="B245" s="43"/>
      <c r="C245" s="16"/>
      <c r="D245" s="16"/>
      <c r="E245" s="64"/>
      <c r="F245" s="64"/>
      <c r="G245" s="16"/>
      <c r="H245" s="16"/>
      <c r="I245" s="16"/>
      <c r="J245" s="43"/>
      <c r="K245" s="43"/>
    </row>
    <row r="246" spans="1:11" ht="13.5" customHeight="1" outlineLevel="1" x14ac:dyDescent="0.25">
      <c r="A246" s="43"/>
      <c r="B246" s="43"/>
      <c r="C246" s="35"/>
      <c r="D246" s="35"/>
      <c r="E246" s="65"/>
      <c r="F246" s="69"/>
      <c r="G246" s="35"/>
      <c r="H246" s="35"/>
      <c r="I246" s="35"/>
      <c r="J246" s="43"/>
      <c r="K246" s="43"/>
    </row>
    <row r="247" spans="1:11" ht="13.5" customHeight="1" outlineLevel="1" x14ac:dyDescent="0.25">
      <c r="A247" s="43"/>
      <c r="B247" s="43"/>
      <c r="C247" s="16"/>
      <c r="D247" s="16"/>
      <c r="E247" s="64"/>
      <c r="F247" s="64"/>
      <c r="G247" s="16"/>
      <c r="H247" s="16"/>
      <c r="I247" s="16"/>
      <c r="J247" s="43"/>
      <c r="K247" s="43"/>
    </row>
    <row r="248" spans="1:11" ht="13.5" customHeight="1" outlineLevel="1" x14ac:dyDescent="0.25">
      <c r="A248" s="43"/>
      <c r="B248" s="43"/>
      <c r="C248" s="35"/>
      <c r="D248" s="35"/>
      <c r="E248" s="65"/>
      <c r="F248" s="69"/>
      <c r="G248" s="35"/>
      <c r="H248" s="35"/>
      <c r="I248" s="35"/>
      <c r="J248" s="43"/>
      <c r="K248" s="43"/>
    </row>
    <row r="249" spans="1:11" ht="13.5" customHeight="1" outlineLevel="1" x14ac:dyDescent="0.25">
      <c r="A249" s="43"/>
      <c r="B249" s="43"/>
      <c r="C249" s="16"/>
      <c r="D249" s="16"/>
      <c r="E249" s="64"/>
      <c r="F249" s="64"/>
      <c r="G249" s="16"/>
      <c r="H249" s="16"/>
      <c r="I249" s="16"/>
      <c r="J249" s="43"/>
      <c r="K249" s="43"/>
    </row>
    <row r="250" spans="1:11" ht="13.5" customHeight="1" outlineLevel="1" x14ac:dyDescent="0.25">
      <c r="A250" s="43"/>
      <c r="B250" s="43"/>
      <c r="C250" s="35"/>
      <c r="D250" s="35"/>
      <c r="E250" s="65"/>
      <c r="F250" s="69"/>
      <c r="G250" s="35"/>
      <c r="H250" s="35"/>
      <c r="I250" s="35"/>
      <c r="J250" s="43"/>
      <c r="K250" s="43"/>
    </row>
    <row r="251" spans="1:11" ht="13.5" customHeight="1" outlineLevel="1" x14ac:dyDescent="0.25">
      <c r="A251" s="43"/>
      <c r="B251" s="43"/>
      <c r="C251" s="16"/>
      <c r="D251" s="16"/>
      <c r="E251" s="64"/>
      <c r="F251" s="64"/>
      <c r="G251" s="16"/>
      <c r="H251" s="16"/>
      <c r="I251" s="16"/>
      <c r="J251" s="43"/>
      <c r="K251" s="43"/>
    </row>
    <row r="252" spans="1:11" ht="13.5" customHeight="1" outlineLevel="1" x14ac:dyDescent="0.25">
      <c r="A252" s="43"/>
      <c r="B252" s="43"/>
      <c r="C252" s="35"/>
      <c r="D252" s="35"/>
      <c r="E252" s="65"/>
      <c r="F252" s="69"/>
      <c r="G252" s="35"/>
      <c r="H252" s="35"/>
      <c r="I252" s="35"/>
      <c r="J252" s="43"/>
      <c r="K252" s="43"/>
    </row>
    <row r="253" spans="1:11" ht="13.5" customHeight="1" outlineLevel="1" x14ac:dyDescent="0.25">
      <c r="A253" s="43"/>
      <c r="B253" s="43"/>
      <c r="C253" s="16"/>
      <c r="D253" s="16"/>
      <c r="E253" s="64"/>
      <c r="F253" s="64"/>
      <c r="G253" s="16"/>
      <c r="H253" s="16"/>
      <c r="I253" s="16"/>
      <c r="J253" s="43"/>
      <c r="K253" s="43"/>
    </row>
    <row r="254" spans="1:11" ht="13.5" customHeight="1" outlineLevel="1" x14ac:dyDescent="0.25">
      <c r="A254" s="43"/>
      <c r="B254" s="43"/>
      <c r="C254" s="35"/>
      <c r="D254" s="35"/>
      <c r="E254" s="65"/>
      <c r="F254" s="69"/>
      <c r="G254" s="35"/>
      <c r="H254" s="35"/>
      <c r="I254" s="35"/>
      <c r="J254" s="43"/>
      <c r="K254" s="43"/>
    </row>
    <row r="255" spans="1:11" ht="13.5" customHeight="1" outlineLevel="1" x14ac:dyDescent="0.25">
      <c r="A255" s="43"/>
      <c r="B255" s="43"/>
      <c r="C255" s="16"/>
      <c r="D255" s="16"/>
      <c r="E255" s="64"/>
      <c r="F255" s="64"/>
      <c r="G255" s="16"/>
      <c r="H255" s="16"/>
      <c r="I255" s="16"/>
      <c r="J255" s="43"/>
      <c r="K255" s="43"/>
    </row>
    <row r="256" spans="1:11" ht="13.5" customHeight="1" outlineLevel="1" x14ac:dyDescent="0.25">
      <c r="A256" s="43"/>
      <c r="B256" s="43"/>
      <c r="C256" s="35"/>
      <c r="D256" s="35"/>
      <c r="E256" s="65"/>
      <c r="F256" s="69"/>
      <c r="G256" s="35"/>
      <c r="H256" s="35"/>
      <c r="I256" s="35"/>
      <c r="J256" s="43"/>
      <c r="K256" s="43"/>
    </row>
    <row r="257" spans="1:11" ht="13.5" customHeight="1" outlineLevel="1" x14ac:dyDescent="0.25">
      <c r="A257" s="43"/>
      <c r="B257" s="43"/>
      <c r="C257" s="16"/>
      <c r="D257" s="16"/>
      <c r="E257" s="64"/>
      <c r="F257" s="64"/>
      <c r="G257" s="16"/>
      <c r="H257" s="16"/>
      <c r="I257" s="16"/>
      <c r="J257" s="43"/>
      <c r="K257" s="43"/>
    </row>
    <row r="258" spans="1:11" ht="13.5" customHeight="1" outlineLevel="1" x14ac:dyDescent="0.25">
      <c r="A258" s="43"/>
      <c r="B258" s="43"/>
      <c r="C258" s="35"/>
      <c r="D258" s="35"/>
      <c r="E258" s="65"/>
      <c r="F258" s="69"/>
      <c r="G258" s="35"/>
      <c r="H258" s="35"/>
      <c r="I258" s="35"/>
      <c r="J258" s="43"/>
      <c r="K258" s="43"/>
    </row>
    <row r="259" spans="1:11" ht="13.5" customHeight="1" outlineLevel="1" x14ac:dyDescent="0.25">
      <c r="A259" s="43"/>
      <c r="B259" s="43"/>
      <c r="C259" s="16"/>
      <c r="D259" s="16"/>
      <c r="E259" s="64"/>
      <c r="F259" s="64"/>
      <c r="G259" s="16"/>
      <c r="H259" s="16"/>
      <c r="I259" s="16"/>
      <c r="J259" s="43"/>
      <c r="K259" s="43"/>
    </row>
    <row r="260" spans="1:11" ht="13.5" customHeight="1" outlineLevel="1" x14ac:dyDescent="0.25">
      <c r="A260" s="43"/>
      <c r="B260" s="43"/>
      <c r="C260" s="35"/>
      <c r="D260" s="35"/>
      <c r="E260" s="65"/>
      <c r="F260" s="69"/>
      <c r="G260" s="35"/>
      <c r="H260" s="35"/>
      <c r="I260" s="35"/>
      <c r="J260" s="43"/>
      <c r="K260" s="43"/>
    </row>
    <row r="261" spans="1:11" ht="13.5" customHeight="1" outlineLevel="1" x14ac:dyDescent="0.25">
      <c r="A261" s="43"/>
      <c r="B261" s="43"/>
      <c r="C261" s="16"/>
      <c r="D261" s="16"/>
      <c r="E261" s="64"/>
      <c r="F261" s="64"/>
      <c r="G261" s="16"/>
      <c r="H261" s="16"/>
      <c r="I261" s="16"/>
      <c r="J261" s="43"/>
      <c r="K261" s="43"/>
    </row>
    <row r="262" spans="1:11" ht="13.5" customHeight="1" outlineLevel="1" x14ac:dyDescent="0.25">
      <c r="A262" s="43"/>
      <c r="B262" s="43"/>
      <c r="C262" s="35"/>
      <c r="D262" s="35"/>
      <c r="E262" s="65"/>
      <c r="F262" s="69"/>
      <c r="G262" s="35"/>
      <c r="H262" s="35"/>
      <c r="I262" s="35"/>
      <c r="J262" s="43"/>
      <c r="K262" s="43"/>
    </row>
    <row r="263" spans="1:11" ht="13.5" customHeight="1" outlineLevel="1" x14ac:dyDescent="0.25">
      <c r="A263" s="43"/>
      <c r="B263" s="43"/>
      <c r="C263" s="16"/>
      <c r="D263" s="16"/>
      <c r="E263" s="64"/>
      <c r="F263" s="64"/>
      <c r="G263" s="16"/>
      <c r="H263" s="16"/>
      <c r="I263" s="16"/>
      <c r="J263" s="43"/>
      <c r="K263" s="43"/>
    </row>
    <row r="264" spans="1:11" ht="13.5" customHeight="1" outlineLevel="1" x14ac:dyDescent="0.25">
      <c r="A264" s="43"/>
      <c r="B264" s="43"/>
      <c r="C264" s="35"/>
      <c r="D264" s="35"/>
      <c r="E264" s="65"/>
      <c r="F264" s="69"/>
      <c r="G264" s="35"/>
      <c r="H264" s="35"/>
      <c r="I264" s="35"/>
      <c r="J264" s="43"/>
      <c r="K264" s="43"/>
    </row>
    <row r="265" spans="1:11" ht="13.5" customHeight="1" outlineLevel="1" x14ac:dyDescent="0.25">
      <c r="A265" s="43"/>
      <c r="B265" s="43"/>
      <c r="C265" s="16"/>
      <c r="D265" s="16"/>
      <c r="E265" s="64"/>
      <c r="F265" s="64"/>
      <c r="G265" s="16"/>
      <c r="H265" s="16"/>
      <c r="I265" s="16"/>
      <c r="J265" s="43"/>
      <c r="K265" s="43"/>
    </row>
    <row r="266" spans="1:11" ht="13.5" customHeight="1" outlineLevel="1" x14ac:dyDescent="0.25">
      <c r="A266" s="43"/>
      <c r="B266" s="43"/>
      <c r="C266" s="35"/>
      <c r="D266" s="35"/>
      <c r="E266" s="65"/>
      <c r="F266" s="69"/>
      <c r="G266" s="35"/>
      <c r="H266" s="35"/>
      <c r="I266" s="35"/>
      <c r="J266" s="43"/>
      <c r="K266" s="43"/>
    </row>
    <row r="267" spans="1:11" ht="13.5" customHeight="1" outlineLevel="1" x14ac:dyDescent="0.25">
      <c r="A267" s="43"/>
      <c r="B267" s="43"/>
      <c r="C267" s="16"/>
      <c r="D267" s="16"/>
      <c r="E267" s="64"/>
      <c r="F267" s="64"/>
      <c r="G267" s="16"/>
      <c r="H267" s="16"/>
      <c r="I267" s="16"/>
      <c r="J267" s="43"/>
      <c r="K267" s="43"/>
    </row>
    <row r="268" spans="1:11" ht="13.5" customHeight="1" outlineLevel="1" x14ac:dyDescent="0.25">
      <c r="A268" s="43"/>
      <c r="B268" s="43"/>
      <c r="C268" s="35"/>
      <c r="D268" s="35"/>
      <c r="E268" s="65"/>
      <c r="F268" s="69"/>
      <c r="G268" s="35"/>
      <c r="H268" s="35"/>
      <c r="I268" s="35"/>
      <c r="J268" s="43"/>
      <c r="K268" s="43"/>
    </row>
    <row r="269" spans="1:11" ht="13.5" customHeight="1" outlineLevel="1" x14ac:dyDescent="0.25">
      <c r="A269" s="43"/>
      <c r="B269" s="43"/>
      <c r="C269" s="16"/>
      <c r="D269" s="16"/>
      <c r="E269" s="64"/>
      <c r="F269" s="64"/>
      <c r="G269" s="16"/>
      <c r="H269" s="16"/>
      <c r="I269" s="16"/>
      <c r="J269" s="43"/>
      <c r="K269" s="43"/>
    </row>
    <row r="270" spans="1:11" ht="13.5" customHeight="1" outlineLevel="1" x14ac:dyDescent="0.25">
      <c r="A270" s="43"/>
      <c r="B270" s="43"/>
      <c r="C270" s="35"/>
      <c r="D270" s="35"/>
      <c r="E270" s="65"/>
      <c r="F270" s="69"/>
      <c r="G270" s="35"/>
      <c r="H270" s="35"/>
      <c r="I270" s="35"/>
      <c r="J270" s="43"/>
      <c r="K270" s="43"/>
    </row>
    <row r="271" spans="1:11" ht="13.5" customHeight="1" outlineLevel="1" x14ac:dyDescent="0.25">
      <c r="A271" s="43"/>
      <c r="B271" s="43"/>
      <c r="C271" s="16"/>
      <c r="D271" s="16"/>
      <c r="E271" s="64"/>
      <c r="F271" s="64"/>
      <c r="G271" s="16"/>
      <c r="H271" s="16"/>
      <c r="I271" s="16"/>
      <c r="J271" s="43"/>
      <c r="K271" s="43"/>
    </row>
    <row r="272" spans="1:11" ht="13.5" customHeight="1" outlineLevel="1" x14ac:dyDescent="0.25">
      <c r="A272" s="43"/>
      <c r="B272" s="43"/>
      <c r="C272" s="35"/>
      <c r="D272" s="35"/>
      <c r="E272" s="65"/>
      <c r="F272" s="69"/>
      <c r="G272" s="35"/>
      <c r="H272" s="35"/>
      <c r="I272" s="35"/>
      <c r="J272" s="43"/>
      <c r="K272" s="43"/>
    </row>
    <row r="273" spans="1:11" ht="13.5" customHeight="1" outlineLevel="1" x14ac:dyDescent="0.25">
      <c r="A273" s="43"/>
      <c r="B273" s="43"/>
      <c r="C273" s="16"/>
      <c r="D273" s="16"/>
      <c r="E273" s="64"/>
      <c r="F273" s="64"/>
      <c r="G273" s="16"/>
      <c r="H273" s="16"/>
      <c r="I273" s="16"/>
      <c r="J273" s="43"/>
      <c r="K273" s="43"/>
    </row>
    <row r="274" spans="1:11" ht="13.5" customHeight="1" outlineLevel="1" x14ac:dyDescent="0.25">
      <c r="A274" s="43"/>
      <c r="B274" s="43"/>
      <c r="C274" s="35"/>
      <c r="D274" s="35"/>
      <c r="E274" s="65"/>
      <c r="F274" s="69"/>
      <c r="G274" s="35"/>
      <c r="H274" s="35"/>
      <c r="I274" s="35"/>
      <c r="J274" s="43"/>
      <c r="K274" s="43"/>
    </row>
    <row r="275" spans="1:11" ht="13.5" customHeight="1" outlineLevel="1" x14ac:dyDescent="0.25">
      <c r="A275" s="43"/>
      <c r="B275" s="43"/>
      <c r="C275" s="16"/>
      <c r="D275" s="16"/>
      <c r="E275" s="64"/>
      <c r="F275" s="64"/>
      <c r="G275" s="16"/>
      <c r="H275" s="16"/>
      <c r="I275" s="16"/>
      <c r="J275" s="43"/>
      <c r="K275" s="43"/>
    </row>
    <row r="276" spans="1:11" ht="13.5" customHeight="1" outlineLevel="1" x14ac:dyDescent="0.25">
      <c r="A276" s="43"/>
      <c r="B276" s="43"/>
      <c r="C276" s="35"/>
      <c r="D276" s="35"/>
      <c r="E276" s="65"/>
      <c r="F276" s="69"/>
      <c r="G276" s="35"/>
      <c r="H276" s="35"/>
      <c r="I276" s="35"/>
      <c r="J276" s="43"/>
      <c r="K276" s="43"/>
    </row>
    <row r="277" spans="1:11" ht="13.5" customHeight="1" outlineLevel="1" x14ac:dyDescent="0.25">
      <c r="A277" s="43"/>
      <c r="B277" s="43"/>
      <c r="C277" s="16"/>
      <c r="D277" s="16"/>
      <c r="E277" s="64"/>
      <c r="F277" s="64"/>
      <c r="G277" s="16"/>
      <c r="H277" s="16"/>
      <c r="I277" s="16"/>
      <c r="J277" s="43"/>
      <c r="K277" s="43"/>
    </row>
    <row r="278" spans="1:11" ht="13.5" customHeight="1" outlineLevel="1" x14ac:dyDescent="0.25">
      <c r="A278" s="43"/>
      <c r="B278" s="43"/>
      <c r="C278" s="35"/>
      <c r="D278" s="35"/>
      <c r="E278" s="65"/>
      <c r="F278" s="69"/>
      <c r="G278" s="35"/>
      <c r="H278" s="35"/>
      <c r="I278" s="35"/>
      <c r="J278" s="43"/>
      <c r="K278" s="43"/>
    </row>
    <row r="279" spans="1:11" ht="13.5" customHeight="1" outlineLevel="1" x14ac:dyDescent="0.25">
      <c r="A279" s="43"/>
      <c r="B279" s="43"/>
      <c r="C279" s="16"/>
      <c r="D279" s="16"/>
      <c r="E279" s="64"/>
      <c r="F279" s="64"/>
      <c r="G279" s="16"/>
      <c r="H279" s="16"/>
      <c r="I279" s="16"/>
      <c r="J279" s="43"/>
      <c r="K279" s="43"/>
    </row>
    <row r="280" spans="1:11" ht="13.5" customHeight="1" outlineLevel="1" x14ac:dyDescent="0.25">
      <c r="A280" s="43"/>
      <c r="B280" s="43"/>
      <c r="C280" s="35"/>
      <c r="D280" s="35"/>
      <c r="E280" s="65"/>
      <c r="F280" s="69"/>
      <c r="G280" s="35"/>
      <c r="H280" s="35"/>
      <c r="I280" s="35"/>
      <c r="J280" s="43"/>
      <c r="K280" s="43"/>
    </row>
    <row r="281" spans="1:11" ht="13.5" customHeight="1" outlineLevel="1" x14ac:dyDescent="0.25">
      <c r="A281" s="43"/>
      <c r="B281" s="43"/>
      <c r="C281" s="16"/>
      <c r="D281" s="16"/>
      <c r="E281" s="64"/>
      <c r="F281" s="64"/>
      <c r="G281" s="16"/>
      <c r="H281" s="16"/>
      <c r="I281" s="16"/>
      <c r="J281" s="43"/>
      <c r="K281" s="43"/>
    </row>
    <row r="282" spans="1:11" ht="13.5" customHeight="1" outlineLevel="1" x14ac:dyDescent="0.25">
      <c r="A282" s="43"/>
      <c r="B282" s="43"/>
      <c r="C282" s="35"/>
      <c r="D282" s="35"/>
      <c r="E282" s="65"/>
      <c r="F282" s="69"/>
      <c r="G282" s="35"/>
      <c r="H282" s="35"/>
      <c r="I282" s="35"/>
      <c r="J282" s="43"/>
      <c r="K282" s="43"/>
    </row>
    <row r="283" spans="1:11" ht="13.5" customHeight="1" outlineLevel="1" x14ac:dyDescent="0.25">
      <c r="A283" s="43"/>
      <c r="B283" s="43"/>
      <c r="C283" s="16"/>
      <c r="D283" s="16"/>
      <c r="E283" s="64"/>
      <c r="F283" s="64"/>
      <c r="G283" s="16"/>
      <c r="H283" s="16"/>
      <c r="I283" s="16"/>
      <c r="J283" s="43"/>
      <c r="K283" s="43"/>
    </row>
    <row r="284" spans="1:11" ht="13.5" customHeight="1" outlineLevel="1" x14ac:dyDescent="0.25">
      <c r="A284" s="43"/>
      <c r="B284" s="43"/>
      <c r="C284" s="35"/>
      <c r="D284" s="35"/>
      <c r="E284" s="65"/>
      <c r="F284" s="69"/>
      <c r="G284" s="35"/>
      <c r="H284" s="35"/>
      <c r="I284" s="35"/>
      <c r="J284" s="43"/>
      <c r="K284" s="43"/>
    </row>
    <row r="285" spans="1:11" ht="13.5" customHeight="1" outlineLevel="1" x14ac:dyDescent="0.25">
      <c r="A285" s="43"/>
      <c r="B285" s="43"/>
      <c r="C285" s="16"/>
      <c r="D285" s="16"/>
      <c r="E285" s="64"/>
      <c r="F285" s="64"/>
      <c r="G285" s="16"/>
      <c r="H285" s="16"/>
      <c r="I285" s="16"/>
      <c r="J285" s="43"/>
      <c r="K285" s="43"/>
    </row>
    <row r="286" spans="1:11" ht="13.5" customHeight="1" outlineLevel="1" x14ac:dyDescent="0.25">
      <c r="A286" s="43"/>
      <c r="B286" s="43"/>
      <c r="C286" s="35"/>
      <c r="D286" s="35"/>
      <c r="E286" s="65"/>
      <c r="F286" s="69"/>
      <c r="G286" s="35"/>
      <c r="H286" s="35"/>
      <c r="I286" s="35"/>
      <c r="J286" s="43"/>
      <c r="K286" s="43"/>
    </row>
    <row r="287" spans="1:11" ht="13.5" customHeight="1" outlineLevel="1" x14ac:dyDescent="0.25">
      <c r="A287" s="43"/>
      <c r="B287" s="43"/>
      <c r="C287" s="16"/>
      <c r="D287" s="16"/>
      <c r="E287" s="64"/>
      <c r="F287" s="64"/>
      <c r="G287" s="16"/>
      <c r="H287" s="16"/>
      <c r="I287" s="16"/>
      <c r="J287" s="43"/>
      <c r="K287" s="43"/>
    </row>
    <row r="288" spans="1:11" ht="13.5" customHeight="1" outlineLevel="1" x14ac:dyDescent="0.25">
      <c r="A288" s="43"/>
      <c r="B288" s="43"/>
      <c r="C288" s="35"/>
      <c r="D288" s="35"/>
      <c r="E288" s="65"/>
      <c r="F288" s="69"/>
      <c r="G288" s="35"/>
      <c r="H288" s="35"/>
      <c r="I288" s="35"/>
      <c r="J288" s="43"/>
      <c r="K288" s="43"/>
    </row>
    <row r="289" spans="1:11" ht="13.5" customHeight="1" outlineLevel="1" x14ac:dyDescent="0.25">
      <c r="A289" s="43"/>
      <c r="B289" s="43"/>
      <c r="C289" s="16"/>
      <c r="D289" s="16"/>
      <c r="E289" s="64"/>
      <c r="F289" s="64"/>
      <c r="G289" s="16"/>
      <c r="H289" s="16"/>
      <c r="I289" s="16"/>
      <c r="J289" s="43"/>
      <c r="K289" s="43"/>
    </row>
    <row r="290" spans="1:11" ht="13.5" customHeight="1" outlineLevel="1" x14ac:dyDescent="0.25">
      <c r="A290" s="43"/>
      <c r="B290" s="43"/>
      <c r="C290" s="35"/>
      <c r="D290" s="35"/>
      <c r="E290" s="65"/>
      <c r="F290" s="69"/>
      <c r="G290" s="35"/>
      <c r="H290" s="35"/>
      <c r="I290" s="35"/>
      <c r="J290" s="43"/>
      <c r="K290" s="43"/>
    </row>
    <row r="291" spans="1:11" ht="13.5" customHeight="1" outlineLevel="1" x14ac:dyDescent="0.25">
      <c r="A291" s="43"/>
      <c r="B291" s="43"/>
      <c r="C291" s="16"/>
      <c r="D291" s="16"/>
      <c r="E291" s="64"/>
      <c r="F291" s="64"/>
      <c r="G291" s="16"/>
      <c r="H291" s="16"/>
      <c r="I291" s="16"/>
      <c r="J291" s="43"/>
      <c r="K291" s="43"/>
    </row>
    <row r="292" spans="1:11" ht="13.5" customHeight="1" outlineLevel="1" x14ac:dyDescent="0.25">
      <c r="A292" s="43"/>
      <c r="B292" s="43"/>
      <c r="C292" s="35"/>
      <c r="D292" s="35"/>
      <c r="E292" s="65"/>
      <c r="F292" s="69"/>
      <c r="G292" s="35"/>
      <c r="H292" s="35"/>
      <c r="I292" s="35"/>
      <c r="J292" s="43"/>
      <c r="K292" s="43"/>
    </row>
    <row r="293" spans="1:11" ht="13.5" customHeight="1" outlineLevel="1" x14ac:dyDescent="0.25">
      <c r="A293" s="43"/>
      <c r="B293" s="43"/>
      <c r="C293" s="16"/>
      <c r="D293" s="16"/>
      <c r="E293" s="64"/>
      <c r="F293" s="64"/>
      <c r="G293" s="16"/>
      <c r="H293" s="16"/>
      <c r="I293" s="16"/>
      <c r="J293" s="43"/>
      <c r="K293" s="43"/>
    </row>
    <row r="294" spans="1:11" ht="13.5" customHeight="1" outlineLevel="1" x14ac:dyDescent="0.25">
      <c r="A294" s="43"/>
      <c r="B294" s="43"/>
      <c r="C294" s="35"/>
      <c r="D294" s="35"/>
      <c r="E294" s="65"/>
      <c r="F294" s="69"/>
      <c r="G294" s="35"/>
      <c r="H294" s="35"/>
      <c r="I294" s="35"/>
      <c r="J294" s="43"/>
      <c r="K294" s="43"/>
    </row>
    <row r="295" spans="1:11" ht="13.5" customHeight="1" outlineLevel="1" x14ac:dyDescent="0.25">
      <c r="A295" s="43"/>
      <c r="B295" s="43"/>
      <c r="C295" s="16"/>
      <c r="D295" s="16"/>
      <c r="E295" s="64"/>
      <c r="F295" s="64"/>
      <c r="G295" s="16"/>
      <c r="H295" s="16"/>
      <c r="I295" s="16"/>
      <c r="J295" s="43"/>
      <c r="K295" s="43"/>
    </row>
    <row r="296" spans="1:11" ht="13.5" customHeight="1" outlineLevel="1" x14ac:dyDescent="0.25">
      <c r="A296" s="43"/>
      <c r="B296" s="43"/>
      <c r="C296" s="35"/>
      <c r="D296" s="35"/>
      <c r="E296" s="65"/>
      <c r="F296" s="69"/>
      <c r="G296" s="35"/>
      <c r="H296" s="35"/>
      <c r="I296" s="35"/>
      <c r="J296" s="43"/>
      <c r="K296" s="43"/>
    </row>
    <row r="297" spans="1:11" ht="13.5" customHeight="1" outlineLevel="1" x14ac:dyDescent="0.25">
      <c r="A297" s="43"/>
      <c r="B297" s="43"/>
      <c r="C297" s="16"/>
      <c r="D297" s="16"/>
      <c r="E297" s="64"/>
      <c r="F297" s="64"/>
      <c r="G297" s="16"/>
      <c r="H297" s="16"/>
      <c r="I297" s="16"/>
      <c r="J297" s="43"/>
      <c r="K297" s="43"/>
    </row>
    <row r="298" spans="1:11" ht="13.5" customHeight="1" outlineLevel="1" x14ac:dyDescent="0.25">
      <c r="A298" s="43"/>
      <c r="B298" s="43"/>
      <c r="C298" s="35"/>
      <c r="D298" s="35"/>
      <c r="E298" s="65"/>
      <c r="F298" s="69"/>
      <c r="G298" s="35"/>
      <c r="H298" s="35"/>
      <c r="I298" s="35"/>
      <c r="J298" s="43"/>
      <c r="K298" s="43"/>
    </row>
    <row r="299" spans="1:11" ht="13.5" customHeight="1" outlineLevel="1" x14ac:dyDescent="0.25">
      <c r="A299" s="43"/>
      <c r="B299" s="43"/>
      <c r="C299" s="16"/>
      <c r="D299" s="16"/>
      <c r="E299" s="64"/>
      <c r="F299" s="64"/>
      <c r="G299" s="16"/>
      <c r="H299" s="16"/>
      <c r="I299" s="16"/>
      <c r="J299" s="43"/>
      <c r="K299" s="43"/>
    </row>
    <row r="300" spans="1:11" ht="13.5" customHeight="1" outlineLevel="1" x14ac:dyDescent="0.25">
      <c r="A300" s="43"/>
      <c r="B300" s="43"/>
      <c r="C300" s="35"/>
      <c r="D300" s="35"/>
      <c r="E300" s="65"/>
      <c r="F300" s="69"/>
      <c r="G300" s="35"/>
      <c r="H300" s="35"/>
      <c r="I300" s="35"/>
      <c r="J300" s="43"/>
      <c r="K300" s="43"/>
    </row>
    <row r="301" spans="1:11" ht="13.5" customHeight="1" outlineLevel="1" x14ac:dyDescent="0.25">
      <c r="A301" s="43"/>
      <c r="B301" s="43"/>
      <c r="C301" s="16"/>
      <c r="D301" s="16"/>
      <c r="E301" s="64"/>
      <c r="F301" s="64"/>
      <c r="G301" s="16"/>
      <c r="H301" s="16"/>
      <c r="I301" s="16"/>
      <c r="J301" s="43"/>
      <c r="K301" s="43"/>
    </row>
    <row r="302" spans="1:11" ht="13.5" customHeight="1" outlineLevel="1" x14ac:dyDescent="0.25">
      <c r="A302" s="43"/>
      <c r="B302" s="43"/>
      <c r="C302" s="35"/>
      <c r="D302" s="35"/>
      <c r="E302" s="65"/>
      <c r="F302" s="69"/>
      <c r="G302" s="35"/>
      <c r="H302" s="35"/>
      <c r="I302" s="35"/>
      <c r="J302" s="43"/>
      <c r="K302" s="43"/>
    </row>
    <row r="303" spans="1:11" ht="13.5" customHeight="1" outlineLevel="1" x14ac:dyDescent="0.25">
      <c r="A303" s="43"/>
      <c r="B303" s="43"/>
      <c r="C303" s="16"/>
      <c r="D303" s="16"/>
      <c r="E303" s="64"/>
      <c r="F303" s="64"/>
      <c r="G303" s="16"/>
      <c r="H303" s="16"/>
      <c r="I303" s="16"/>
      <c r="J303" s="43"/>
      <c r="K303" s="43"/>
    </row>
    <row r="304" spans="1:11" ht="13.5" customHeight="1" outlineLevel="1" x14ac:dyDescent="0.25">
      <c r="A304" s="43"/>
      <c r="B304" s="43"/>
      <c r="C304" s="35"/>
      <c r="D304" s="35"/>
      <c r="E304" s="65"/>
      <c r="F304" s="69"/>
      <c r="G304" s="35"/>
      <c r="H304" s="35"/>
      <c r="I304" s="35"/>
      <c r="J304" s="43"/>
      <c r="K304" s="43"/>
    </row>
    <row r="305" spans="1:11" ht="13.5" customHeight="1" outlineLevel="1" x14ac:dyDescent="0.25">
      <c r="A305" s="43"/>
      <c r="B305" s="43"/>
      <c r="C305" s="16"/>
      <c r="D305" s="16"/>
      <c r="E305" s="64"/>
      <c r="F305" s="64"/>
      <c r="G305" s="16"/>
      <c r="H305" s="16"/>
      <c r="I305" s="16"/>
      <c r="J305" s="43"/>
      <c r="K305" s="43"/>
    </row>
    <row r="306" spans="1:11" ht="13.5" customHeight="1" outlineLevel="1" x14ac:dyDescent="0.25">
      <c r="A306" s="43"/>
      <c r="B306" s="43"/>
      <c r="C306" s="35"/>
      <c r="D306" s="35"/>
      <c r="E306" s="65"/>
      <c r="F306" s="69"/>
      <c r="G306" s="35"/>
      <c r="H306" s="35"/>
      <c r="I306" s="35"/>
      <c r="J306" s="43"/>
      <c r="K306" s="43"/>
    </row>
    <row r="307" spans="1:11" ht="13.5" customHeight="1" outlineLevel="1" x14ac:dyDescent="0.25">
      <c r="A307" s="43"/>
      <c r="B307" s="43"/>
      <c r="C307" s="16"/>
      <c r="D307" s="16"/>
      <c r="E307" s="64"/>
      <c r="F307" s="64"/>
      <c r="G307" s="16"/>
      <c r="H307" s="16"/>
      <c r="I307" s="16"/>
      <c r="J307" s="43"/>
      <c r="K307" s="43"/>
    </row>
    <row r="308" spans="1:11" ht="13.5" customHeight="1" outlineLevel="1" x14ac:dyDescent="0.25">
      <c r="A308" s="43"/>
      <c r="B308" s="43"/>
      <c r="C308" s="35"/>
      <c r="D308" s="35"/>
      <c r="E308" s="65"/>
      <c r="F308" s="69"/>
      <c r="G308" s="35"/>
      <c r="H308" s="35"/>
      <c r="I308" s="35"/>
      <c r="J308" s="43"/>
      <c r="K308" s="43"/>
    </row>
    <row r="309" spans="1:11" ht="13.5" customHeight="1" outlineLevel="1" x14ac:dyDescent="0.25">
      <c r="A309" s="43"/>
      <c r="B309" s="43"/>
      <c r="C309" s="16"/>
      <c r="D309" s="16"/>
      <c r="E309" s="64"/>
      <c r="F309" s="64"/>
      <c r="G309" s="16"/>
      <c r="H309" s="16"/>
      <c r="I309" s="16"/>
      <c r="J309" s="43"/>
      <c r="K309" s="43"/>
    </row>
    <row r="310" spans="1:11" ht="13.5" customHeight="1" outlineLevel="1" x14ac:dyDescent="0.25">
      <c r="A310" s="43"/>
      <c r="B310" s="43"/>
      <c r="C310" s="35"/>
      <c r="D310" s="35"/>
      <c r="E310" s="65"/>
      <c r="F310" s="69"/>
      <c r="G310" s="35"/>
      <c r="H310" s="35"/>
      <c r="I310" s="35"/>
      <c r="J310" s="43"/>
      <c r="K310" s="43"/>
    </row>
    <row r="311" spans="1:11" ht="13.5" customHeight="1" outlineLevel="1" x14ac:dyDescent="0.25">
      <c r="A311" s="43"/>
      <c r="B311" s="43"/>
      <c r="C311" s="16"/>
      <c r="D311" s="16"/>
      <c r="E311" s="64"/>
      <c r="F311" s="64"/>
      <c r="G311" s="16"/>
      <c r="H311" s="16"/>
      <c r="I311" s="16"/>
      <c r="J311" s="43"/>
      <c r="K311" s="43"/>
    </row>
    <row r="312" spans="1:11" ht="13.5" customHeight="1" outlineLevel="1" x14ac:dyDescent="0.25">
      <c r="A312" s="43"/>
      <c r="B312" s="43"/>
      <c r="C312" s="35"/>
      <c r="D312" s="35"/>
      <c r="E312" s="65"/>
      <c r="F312" s="69"/>
      <c r="G312" s="35"/>
      <c r="H312" s="35"/>
      <c r="I312" s="35"/>
      <c r="J312" s="43"/>
      <c r="K312" s="43"/>
    </row>
    <row r="313" spans="1:11" ht="13.5" customHeight="1" outlineLevel="1" x14ac:dyDescent="0.25">
      <c r="A313" s="43"/>
      <c r="B313" s="43"/>
      <c r="C313" s="16"/>
      <c r="D313" s="16"/>
      <c r="E313" s="64"/>
      <c r="F313" s="64"/>
      <c r="G313" s="16"/>
      <c r="H313" s="16"/>
      <c r="I313" s="16"/>
      <c r="J313" s="43"/>
      <c r="K313" s="43"/>
    </row>
    <row r="314" spans="1:11" ht="13.5" customHeight="1" outlineLevel="1" x14ac:dyDescent="0.25">
      <c r="A314" s="43"/>
      <c r="B314" s="43"/>
      <c r="C314" s="35"/>
      <c r="D314" s="35"/>
      <c r="E314" s="65"/>
      <c r="F314" s="69"/>
      <c r="G314" s="35"/>
      <c r="H314" s="35"/>
      <c r="I314" s="35"/>
      <c r="J314" s="43"/>
      <c r="K314" s="43"/>
    </row>
    <row r="315" spans="1:11" ht="13.5" customHeight="1" outlineLevel="1" x14ac:dyDescent="0.25">
      <c r="A315" s="43"/>
      <c r="B315" s="43"/>
      <c r="C315" s="16"/>
      <c r="D315" s="16"/>
      <c r="E315" s="64"/>
      <c r="F315" s="64"/>
      <c r="G315" s="16"/>
      <c r="H315" s="16"/>
      <c r="I315" s="16"/>
      <c r="J315" s="43"/>
      <c r="K315" s="43"/>
    </row>
    <row r="316" spans="1:11" ht="13.5" customHeight="1" outlineLevel="1" x14ac:dyDescent="0.25">
      <c r="A316" s="43"/>
      <c r="B316" s="43"/>
      <c r="C316" s="35"/>
      <c r="D316" s="35"/>
      <c r="E316" s="65"/>
      <c r="F316" s="69"/>
      <c r="G316" s="35"/>
      <c r="H316" s="35"/>
      <c r="I316" s="35"/>
      <c r="J316" s="43"/>
      <c r="K316" s="43"/>
    </row>
    <row r="317" spans="1:11" ht="13.5" customHeight="1" outlineLevel="1" x14ac:dyDescent="0.25">
      <c r="A317" s="43"/>
      <c r="B317" s="43"/>
      <c r="C317" s="16"/>
      <c r="D317" s="16"/>
      <c r="E317" s="64"/>
      <c r="F317" s="64"/>
      <c r="G317" s="16"/>
      <c r="H317" s="16"/>
      <c r="I317" s="16"/>
      <c r="J317" s="43"/>
      <c r="K317" s="43"/>
    </row>
    <row r="318" spans="1:11" ht="13.5" customHeight="1" outlineLevel="1" x14ac:dyDescent="0.25">
      <c r="A318" s="43"/>
      <c r="B318" s="43"/>
      <c r="C318" s="35"/>
      <c r="D318" s="35"/>
      <c r="E318" s="65"/>
      <c r="F318" s="69"/>
      <c r="G318" s="35"/>
      <c r="H318" s="35"/>
      <c r="I318" s="35"/>
      <c r="J318" s="43"/>
      <c r="K318" s="43"/>
    </row>
    <row r="319" spans="1:11" ht="13.5" customHeight="1" outlineLevel="1" x14ac:dyDescent="0.25">
      <c r="A319" s="43"/>
      <c r="B319" s="43"/>
      <c r="C319" s="16"/>
      <c r="D319" s="16"/>
      <c r="E319" s="64"/>
      <c r="F319" s="64"/>
      <c r="G319" s="16"/>
      <c r="H319" s="16"/>
      <c r="I319" s="16"/>
      <c r="J319" s="43"/>
      <c r="K319" s="43"/>
    </row>
    <row r="320" spans="1:11" ht="13.5" customHeight="1" outlineLevel="1" x14ac:dyDescent="0.25">
      <c r="A320" s="43"/>
      <c r="B320" s="43"/>
      <c r="C320" s="35"/>
      <c r="D320" s="35"/>
      <c r="E320" s="65"/>
      <c r="F320" s="69"/>
      <c r="G320" s="35"/>
      <c r="H320" s="35"/>
      <c r="I320" s="35"/>
      <c r="J320" s="43"/>
      <c r="K320" s="43"/>
    </row>
    <row r="321" spans="1:11" ht="13.5" customHeight="1" outlineLevel="1" x14ac:dyDescent="0.25">
      <c r="A321" s="43"/>
      <c r="B321" s="43"/>
      <c r="C321" s="16"/>
      <c r="D321" s="16"/>
      <c r="E321" s="64"/>
      <c r="F321" s="64"/>
      <c r="G321" s="16"/>
      <c r="H321" s="16"/>
      <c r="I321" s="16"/>
      <c r="J321" s="43"/>
      <c r="K321" s="43"/>
    </row>
    <row r="322" spans="1:11" ht="13.5" customHeight="1" outlineLevel="1" x14ac:dyDescent="0.25">
      <c r="A322" s="43"/>
      <c r="B322" s="43"/>
      <c r="C322" s="35"/>
      <c r="D322" s="35"/>
      <c r="E322" s="65"/>
      <c r="F322" s="69"/>
      <c r="G322" s="35"/>
      <c r="H322" s="35"/>
      <c r="I322" s="35"/>
      <c r="J322" s="43"/>
      <c r="K322" s="43"/>
    </row>
    <row r="323" spans="1:11" ht="13.5" customHeight="1" outlineLevel="1" x14ac:dyDescent="0.25">
      <c r="A323" s="43"/>
      <c r="B323" s="43"/>
      <c r="C323" s="16"/>
      <c r="D323" s="16"/>
      <c r="E323" s="64"/>
      <c r="F323" s="64"/>
      <c r="G323" s="16"/>
      <c r="H323" s="16"/>
      <c r="I323" s="16"/>
      <c r="J323" s="43"/>
      <c r="K323" s="43"/>
    </row>
    <row r="324" spans="1:11" ht="13.5" customHeight="1" outlineLevel="1" x14ac:dyDescent="0.25">
      <c r="A324" s="43"/>
      <c r="B324" s="43"/>
      <c r="C324" s="35"/>
      <c r="D324" s="35"/>
      <c r="E324" s="65"/>
      <c r="F324" s="69"/>
      <c r="G324" s="35"/>
      <c r="H324" s="35"/>
      <c r="I324" s="35"/>
      <c r="J324" s="43"/>
      <c r="K324" s="43"/>
    </row>
    <row r="325" spans="1:11" ht="13.5" customHeight="1" outlineLevel="1" x14ac:dyDescent="0.25">
      <c r="A325" s="43"/>
      <c r="B325" s="43"/>
      <c r="C325" s="16"/>
      <c r="D325" s="16"/>
      <c r="E325" s="64"/>
      <c r="F325" s="64"/>
      <c r="G325" s="16"/>
      <c r="H325" s="16"/>
      <c r="I325" s="16"/>
      <c r="J325" s="43"/>
      <c r="K325" s="43"/>
    </row>
    <row r="326" spans="1:11" ht="13.5" customHeight="1" outlineLevel="1" x14ac:dyDescent="0.25">
      <c r="A326" s="43"/>
      <c r="B326" s="43"/>
      <c r="C326" s="35"/>
      <c r="D326" s="35"/>
      <c r="E326" s="65"/>
      <c r="F326" s="69"/>
      <c r="G326" s="35"/>
      <c r="H326" s="35"/>
      <c r="I326" s="35"/>
      <c r="J326" s="43"/>
      <c r="K326" s="43"/>
    </row>
    <row r="327" spans="1:11" ht="13.5" customHeight="1" outlineLevel="1" x14ac:dyDescent="0.25">
      <c r="A327" s="43"/>
      <c r="B327" s="43"/>
      <c r="C327" s="16"/>
      <c r="D327" s="16"/>
      <c r="E327" s="64"/>
      <c r="F327" s="64"/>
      <c r="G327" s="16"/>
      <c r="H327" s="16"/>
      <c r="I327" s="16"/>
      <c r="J327" s="43"/>
      <c r="K327" s="43"/>
    </row>
    <row r="328" spans="1:11" ht="13.5" customHeight="1" outlineLevel="1" x14ac:dyDescent="0.25">
      <c r="A328" s="43"/>
      <c r="B328" s="43"/>
      <c r="C328" s="35"/>
      <c r="D328" s="35"/>
      <c r="E328" s="65"/>
      <c r="F328" s="69"/>
      <c r="G328" s="35"/>
      <c r="H328" s="35"/>
      <c r="I328" s="35"/>
      <c r="J328" s="43"/>
      <c r="K328" s="43"/>
    </row>
    <row r="329" spans="1:11" ht="13.5" customHeight="1" outlineLevel="1" x14ac:dyDescent="0.25">
      <c r="A329" s="43"/>
      <c r="B329" s="43"/>
      <c r="C329" s="16"/>
      <c r="D329" s="16"/>
      <c r="E329" s="64"/>
      <c r="F329" s="64"/>
      <c r="G329" s="16"/>
      <c r="H329" s="16"/>
      <c r="I329" s="16"/>
      <c r="J329" s="43"/>
      <c r="K329" s="43"/>
    </row>
    <row r="330" spans="1:11" ht="13.5" customHeight="1" outlineLevel="1" x14ac:dyDescent="0.25">
      <c r="A330" s="43"/>
      <c r="B330" s="43"/>
      <c r="C330" s="35"/>
      <c r="D330" s="35"/>
      <c r="E330" s="65"/>
      <c r="F330" s="69"/>
      <c r="G330" s="35"/>
      <c r="H330" s="35"/>
      <c r="I330" s="35"/>
      <c r="J330" s="43"/>
      <c r="K330" s="43"/>
    </row>
    <row r="331" spans="1:11" ht="13.5" customHeight="1" outlineLevel="1" x14ac:dyDescent="0.25">
      <c r="A331" s="43"/>
      <c r="B331" s="43"/>
      <c r="C331" s="16"/>
      <c r="D331" s="16"/>
      <c r="E331" s="64"/>
      <c r="F331" s="64"/>
      <c r="G331" s="16"/>
      <c r="H331" s="16"/>
      <c r="I331" s="16"/>
      <c r="J331" s="43"/>
      <c r="K331" s="43"/>
    </row>
    <row r="332" spans="1:11" ht="13.5" customHeight="1" outlineLevel="1" x14ac:dyDescent="0.25">
      <c r="A332" s="43"/>
      <c r="B332" s="43"/>
      <c r="C332" s="35"/>
      <c r="D332" s="35"/>
      <c r="E332" s="65"/>
      <c r="F332" s="69"/>
      <c r="G332" s="35"/>
      <c r="H332" s="35"/>
      <c r="I332" s="35"/>
      <c r="J332" s="43"/>
      <c r="K332" s="43"/>
    </row>
    <row r="333" spans="1:11" ht="13.5" customHeight="1" outlineLevel="1" x14ac:dyDescent="0.25">
      <c r="A333" s="43"/>
      <c r="B333" s="43"/>
      <c r="C333" s="16"/>
      <c r="D333" s="16"/>
      <c r="E333" s="64"/>
      <c r="F333" s="64"/>
      <c r="G333" s="16"/>
      <c r="H333" s="16"/>
      <c r="I333" s="16"/>
      <c r="J333" s="43"/>
      <c r="K333" s="43"/>
    </row>
    <row r="334" spans="1:11" ht="13.5" customHeight="1" outlineLevel="1" x14ac:dyDescent="0.25">
      <c r="A334" s="43"/>
      <c r="B334" s="43"/>
      <c r="C334" s="35"/>
      <c r="D334" s="35"/>
      <c r="E334" s="65"/>
      <c r="F334" s="69"/>
      <c r="G334" s="35"/>
      <c r="H334" s="35"/>
      <c r="I334" s="35"/>
      <c r="J334" s="43"/>
      <c r="K334" s="43"/>
    </row>
    <row r="335" spans="1:11" ht="13.5" customHeight="1" outlineLevel="1" x14ac:dyDescent="0.25">
      <c r="A335" s="43"/>
      <c r="B335" s="43"/>
      <c r="C335" s="16"/>
      <c r="D335" s="16"/>
      <c r="E335" s="64"/>
      <c r="F335" s="64"/>
      <c r="G335" s="16"/>
      <c r="H335" s="16"/>
      <c r="I335" s="16"/>
      <c r="J335" s="43"/>
      <c r="K335" s="43"/>
    </row>
    <row r="336" spans="1:11" ht="13.5" customHeight="1" outlineLevel="1" x14ac:dyDescent="0.25">
      <c r="A336" s="43"/>
      <c r="B336" s="43"/>
      <c r="C336" s="35"/>
      <c r="D336" s="35"/>
      <c r="E336" s="65"/>
      <c r="F336" s="69"/>
      <c r="G336" s="35"/>
      <c r="H336" s="35"/>
      <c r="I336" s="35"/>
      <c r="J336" s="43"/>
      <c r="K336" s="43"/>
    </row>
    <row r="337" spans="1:11" ht="13.5" customHeight="1" outlineLevel="1" x14ac:dyDescent="0.25">
      <c r="A337" s="43"/>
      <c r="B337" s="43"/>
      <c r="C337" s="16"/>
      <c r="D337" s="16"/>
      <c r="E337" s="64"/>
      <c r="F337" s="64"/>
      <c r="G337" s="16"/>
      <c r="H337" s="16"/>
      <c r="I337" s="16"/>
      <c r="J337" s="43"/>
      <c r="K337" s="43"/>
    </row>
    <row r="338" spans="1:11" ht="13.5" customHeight="1" outlineLevel="1" x14ac:dyDescent="0.25">
      <c r="A338" s="43"/>
      <c r="B338" s="43"/>
      <c r="C338" s="35"/>
      <c r="D338" s="35"/>
      <c r="E338" s="65"/>
      <c r="F338" s="69"/>
      <c r="G338" s="35"/>
      <c r="H338" s="35"/>
      <c r="I338" s="35"/>
      <c r="J338" s="43"/>
      <c r="K338" s="43"/>
    </row>
    <row r="339" spans="1:11" ht="13.5" customHeight="1" outlineLevel="1" x14ac:dyDescent="0.25">
      <c r="A339" s="43"/>
      <c r="B339" s="43"/>
      <c r="C339" s="16"/>
      <c r="D339" s="16"/>
      <c r="E339" s="64"/>
      <c r="F339" s="64"/>
      <c r="G339" s="16"/>
      <c r="H339" s="16"/>
      <c r="I339" s="16"/>
      <c r="J339" s="43"/>
      <c r="K339" s="43"/>
    </row>
    <row r="340" spans="1:11" ht="13.5" customHeight="1" outlineLevel="1" x14ac:dyDescent="0.25">
      <c r="A340" s="43"/>
      <c r="B340" s="43"/>
      <c r="C340" s="35"/>
      <c r="D340" s="35"/>
      <c r="E340" s="65"/>
      <c r="F340" s="69"/>
      <c r="G340" s="35"/>
      <c r="H340" s="35"/>
      <c r="I340" s="35"/>
      <c r="J340" s="43"/>
      <c r="K340" s="43"/>
    </row>
    <row r="341" spans="1:11" ht="13.5" customHeight="1" outlineLevel="1" x14ac:dyDescent="0.25">
      <c r="A341" s="43"/>
      <c r="B341" s="43"/>
      <c r="C341" s="16"/>
      <c r="D341" s="16"/>
      <c r="E341" s="64"/>
      <c r="F341" s="64"/>
      <c r="G341" s="16"/>
      <c r="H341" s="16"/>
      <c r="I341" s="16"/>
      <c r="J341" s="43"/>
      <c r="K341" s="43"/>
    </row>
    <row r="342" spans="1:11" ht="13.5" customHeight="1" outlineLevel="1" x14ac:dyDescent="0.25">
      <c r="A342" s="43"/>
      <c r="B342" s="43"/>
      <c r="C342" s="35"/>
      <c r="D342" s="35"/>
      <c r="E342" s="65"/>
      <c r="F342" s="69"/>
      <c r="G342" s="35"/>
      <c r="H342" s="35"/>
      <c r="I342" s="35"/>
      <c r="J342" s="43"/>
      <c r="K342" s="43"/>
    </row>
    <row r="343" spans="1:11" ht="13.5" customHeight="1" outlineLevel="1" x14ac:dyDescent="0.25">
      <c r="A343" s="43"/>
      <c r="B343" s="43"/>
      <c r="C343" s="16"/>
      <c r="D343" s="16"/>
      <c r="E343" s="64"/>
      <c r="F343" s="64"/>
      <c r="G343" s="16"/>
      <c r="H343" s="16"/>
      <c r="I343" s="16"/>
      <c r="J343" s="43"/>
      <c r="K343" s="43"/>
    </row>
    <row r="344" spans="1:11" ht="13.5" customHeight="1" outlineLevel="1" x14ac:dyDescent="0.25">
      <c r="A344" s="43"/>
      <c r="B344" s="43"/>
      <c r="C344" s="35"/>
      <c r="D344" s="35"/>
      <c r="E344" s="65"/>
      <c r="F344" s="69"/>
      <c r="G344" s="35"/>
      <c r="H344" s="35"/>
      <c r="I344" s="35"/>
      <c r="J344" s="43"/>
      <c r="K344" s="43"/>
    </row>
    <row r="345" spans="1:11" ht="13.5" customHeight="1" outlineLevel="1" x14ac:dyDescent="0.25">
      <c r="A345" s="43"/>
      <c r="B345" s="43"/>
      <c r="C345" s="16"/>
      <c r="D345" s="16"/>
      <c r="E345" s="64"/>
      <c r="F345" s="64"/>
      <c r="G345" s="16"/>
      <c r="H345" s="16"/>
      <c r="I345" s="16"/>
      <c r="J345" s="43"/>
      <c r="K345" s="43"/>
    </row>
    <row r="346" spans="1:11" ht="13.5" customHeight="1" outlineLevel="1" x14ac:dyDescent="0.25">
      <c r="A346" s="43"/>
      <c r="B346" s="43"/>
      <c r="C346" s="35"/>
      <c r="D346" s="35"/>
      <c r="E346" s="65"/>
      <c r="F346" s="69"/>
      <c r="G346" s="35"/>
      <c r="H346" s="35"/>
      <c r="I346" s="35"/>
      <c r="J346" s="43"/>
      <c r="K346" s="43"/>
    </row>
    <row r="347" spans="1:11" ht="13.5" customHeight="1" outlineLevel="1" x14ac:dyDescent="0.25">
      <c r="A347" s="43"/>
      <c r="B347" s="43"/>
      <c r="C347" s="16"/>
      <c r="D347" s="16"/>
      <c r="E347" s="64"/>
      <c r="F347" s="64"/>
      <c r="G347" s="16"/>
      <c r="H347" s="16"/>
      <c r="I347" s="16"/>
      <c r="J347" s="43"/>
      <c r="K347" s="43"/>
    </row>
    <row r="348" spans="1:11" ht="13.5" customHeight="1" outlineLevel="1" x14ac:dyDescent="0.25">
      <c r="A348" s="43"/>
      <c r="B348" s="43"/>
      <c r="C348" s="35"/>
      <c r="D348" s="35"/>
      <c r="E348" s="65"/>
      <c r="F348" s="69"/>
      <c r="G348" s="35"/>
      <c r="H348" s="35"/>
      <c r="I348" s="35"/>
      <c r="J348" s="43"/>
      <c r="K348" s="43"/>
    </row>
    <row r="349" spans="1:11" ht="13.5" customHeight="1" outlineLevel="1" x14ac:dyDescent="0.25">
      <c r="A349" s="43"/>
      <c r="B349" s="43"/>
      <c r="C349" s="16"/>
      <c r="D349" s="16"/>
      <c r="E349" s="64"/>
      <c r="F349" s="64"/>
      <c r="G349" s="16"/>
      <c r="H349" s="16"/>
      <c r="I349" s="16"/>
      <c r="J349" s="43"/>
      <c r="K349" s="43"/>
    </row>
    <row r="350" spans="1:11" ht="13.5" customHeight="1" outlineLevel="1" x14ac:dyDescent="0.25">
      <c r="A350" s="43"/>
      <c r="B350" s="43"/>
      <c r="C350" s="35"/>
      <c r="D350" s="35"/>
      <c r="E350" s="65"/>
      <c r="F350" s="69"/>
      <c r="G350" s="35"/>
      <c r="H350" s="35"/>
      <c r="I350" s="35"/>
      <c r="J350" s="43"/>
      <c r="K350" s="43"/>
    </row>
    <row r="351" spans="1:11" ht="13.5" customHeight="1" outlineLevel="1" x14ac:dyDescent="0.25">
      <c r="A351" s="43"/>
      <c r="B351" s="43"/>
      <c r="C351" s="16"/>
      <c r="D351" s="16"/>
      <c r="E351" s="64"/>
      <c r="F351" s="64"/>
      <c r="G351" s="16"/>
      <c r="H351" s="16"/>
      <c r="I351" s="16"/>
      <c r="J351" s="43"/>
      <c r="K351" s="43"/>
    </row>
    <row r="352" spans="1:11" ht="13.5" customHeight="1" outlineLevel="1" x14ac:dyDescent="0.25">
      <c r="A352" s="43"/>
      <c r="B352" s="43"/>
      <c r="C352" s="35"/>
      <c r="D352" s="35"/>
      <c r="E352" s="65"/>
      <c r="F352" s="69"/>
      <c r="G352" s="35"/>
      <c r="H352" s="35"/>
      <c r="I352" s="35"/>
      <c r="J352" s="43"/>
      <c r="K352" s="43"/>
    </row>
    <row r="353" spans="1:11" ht="13.5" customHeight="1" outlineLevel="1" x14ac:dyDescent="0.25">
      <c r="A353" s="43"/>
      <c r="B353" s="43"/>
      <c r="C353" s="16"/>
      <c r="D353" s="16"/>
      <c r="E353" s="64"/>
      <c r="F353" s="64"/>
      <c r="G353" s="16"/>
      <c r="H353" s="16"/>
      <c r="I353" s="16"/>
      <c r="J353" s="43"/>
      <c r="K353" s="43"/>
    </row>
    <row r="354" spans="1:11" ht="13.5" customHeight="1" outlineLevel="1" x14ac:dyDescent="0.25">
      <c r="A354" s="43"/>
      <c r="B354" s="43"/>
      <c r="C354" s="35"/>
      <c r="D354" s="35"/>
      <c r="E354" s="65"/>
      <c r="F354" s="69"/>
      <c r="G354" s="35"/>
      <c r="H354" s="35"/>
      <c r="I354" s="35"/>
      <c r="J354" s="43"/>
      <c r="K354" s="43"/>
    </row>
    <row r="355" spans="1:11" ht="13.5" customHeight="1" outlineLevel="1" x14ac:dyDescent="0.25">
      <c r="A355" s="43"/>
      <c r="B355" s="43"/>
      <c r="C355" s="16"/>
      <c r="D355" s="16"/>
      <c r="E355" s="64"/>
      <c r="F355" s="64"/>
      <c r="G355" s="16"/>
      <c r="H355" s="16"/>
      <c r="I355" s="16"/>
      <c r="J355" s="43"/>
      <c r="K355" s="43"/>
    </row>
    <row r="356" spans="1:11" ht="13.5" customHeight="1" outlineLevel="1" x14ac:dyDescent="0.25">
      <c r="A356" s="43"/>
      <c r="B356" s="43"/>
      <c r="C356" s="35"/>
      <c r="D356" s="35"/>
      <c r="E356" s="65"/>
      <c r="F356" s="69"/>
      <c r="G356" s="35"/>
      <c r="H356" s="35"/>
      <c r="I356" s="35"/>
      <c r="J356" s="43"/>
      <c r="K356" s="43"/>
    </row>
    <row r="357" spans="1:11" ht="13.5" customHeight="1" outlineLevel="1" x14ac:dyDescent="0.25">
      <c r="A357" s="43"/>
      <c r="B357" s="43"/>
      <c r="C357" s="16"/>
      <c r="D357" s="16"/>
      <c r="E357" s="64"/>
      <c r="F357" s="64"/>
      <c r="G357" s="16"/>
      <c r="H357" s="16"/>
      <c r="I357" s="16"/>
      <c r="J357" s="43"/>
      <c r="K357" s="43"/>
    </row>
    <row r="358" spans="1:11" ht="13.5" customHeight="1" outlineLevel="1" x14ac:dyDescent="0.25">
      <c r="A358" s="43"/>
      <c r="B358" s="43"/>
      <c r="C358" s="35"/>
      <c r="D358" s="35"/>
      <c r="E358" s="65"/>
      <c r="F358" s="69"/>
      <c r="G358" s="35"/>
      <c r="H358" s="35"/>
      <c r="I358" s="35"/>
      <c r="J358" s="43"/>
      <c r="K358" s="43"/>
    </row>
    <row r="359" spans="1:11" ht="13.5" customHeight="1" outlineLevel="1" x14ac:dyDescent="0.25">
      <c r="A359" s="43"/>
      <c r="B359" s="43"/>
      <c r="C359" s="16"/>
      <c r="D359" s="16"/>
      <c r="E359" s="64"/>
      <c r="F359" s="64"/>
      <c r="G359" s="16"/>
      <c r="H359" s="16"/>
      <c r="I359" s="16"/>
      <c r="J359" s="43"/>
      <c r="K359" s="43"/>
    </row>
    <row r="360" spans="1:11" ht="13.5" customHeight="1" outlineLevel="1" x14ac:dyDescent="0.25">
      <c r="A360" s="43"/>
      <c r="B360" s="43"/>
      <c r="C360" s="35"/>
      <c r="D360" s="35"/>
      <c r="E360" s="65"/>
      <c r="F360" s="69"/>
      <c r="G360" s="35"/>
      <c r="H360" s="35"/>
      <c r="I360" s="35"/>
      <c r="J360" s="43"/>
      <c r="K360" s="43"/>
    </row>
    <row r="361" spans="1:11" ht="13.5" customHeight="1" outlineLevel="1" x14ac:dyDescent="0.25">
      <c r="A361" s="43"/>
      <c r="B361" s="43"/>
      <c r="C361" s="16"/>
      <c r="D361" s="16"/>
      <c r="E361" s="64"/>
      <c r="F361" s="64"/>
      <c r="G361" s="16"/>
      <c r="H361" s="16"/>
      <c r="I361" s="16"/>
      <c r="J361" s="43"/>
      <c r="K361" s="43"/>
    </row>
    <row r="362" spans="1:11" ht="13.5" customHeight="1" outlineLevel="1" x14ac:dyDescent="0.25">
      <c r="A362" s="43"/>
      <c r="B362" s="43"/>
      <c r="C362" s="35"/>
      <c r="D362" s="35"/>
      <c r="E362" s="65"/>
      <c r="F362" s="69"/>
      <c r="G362" s="35"/>
      <c r="H362" s="35"/>
      <c r="I362" s="35"/>
      <c r="J362" s="43"/>
      <c r="K362" s="43"/>
    </row>
    <row r="363" spans="1:11" ht="13.5" customHeight="1" outlineLevel="1" x14ac:dyDescent="0.25">
      <c r="A363" s="43"/>
      <c r="B363" s="43"/>
      <c r="C363" s="16"/>
      <c r="D363" s="16"/>
      <c r="E363" s="64"/>
      <c r="F363" s="64"/>
      <c r="G363" s="16"/>
      <c r="H363" s="16"/>
      <c r="I363" s="16"/>
      <c r="J363" s="43"/>
      <c r="K363" s="43"/>
    </row>
    <row r="364" spans="1:11" ht="13.5" customHeight="1" outlineLevel="1" x14ac:dyDescent="0.25">
      <c r="A364" s="43"/>
      <c r="B364" s="43"/>
      <c r="C364" s="35"/>
      <c r="D364" s="35"/>
      <c r="E364" s="65"/>
      <c r="F364" s="69"/>
      <c r="G364" s="35"/>
      <c r="H364" s="35"/>
      <c r="I364" s="35"/>
      <c r="J364" s="43"/>
      <c r="K364" s="43"/>
    </row>
    <row r="365" spans="1:11" ht="13.5" customHeight="1" outlineLevel="1" x14ac:dyDescent="0.25">
      <c r="A365" s="43"/>
      <c r="B365" s="43"/>
      <c r="C365" s="16"/>
      <c r="D365" s="16"/>
      <c r="E365" s="64"/>
      <c r="F365" s="64"/>
      <c r="G365" s="16"/>
      <c r="H365" s="16"/>
      <c r="I365" s="16"/>
      <c r="J365" s="43"/>
      <c r="K365" s="43"/>
    </row>
    <row r="366" spans="1:11" ht="13.5" customHeight="1" outlineLevel="1" x14ac:dyDescent="0.25">
      <c r="A366" s="43"/>
      <c r="B366" s="43"/>
      <c r="C366" s="35"/>
      <c r="D366" s="35"/>
      <c r="E366" s="65"/>
      <c r="F366" s="69"/>
      <c r="G366" s="35"/>
      <c r="H366" s="35"/>
      <c r="I366" s="35"/>
      <c r="J366" s="43"/>
      <c r="K366" s="43"/>
    </row>
    <row r="367" spans="1:11" ht="13.5" customHeight="1" outlineLevel="1" x14ac:dyDescent="0.25">
      <c r="A367" s="43"/>
      <c r="B367" s="43"/>
      <c r="C367" s="16"/>
      <c r="D367" s="16"/>
      <c r="E367" s="64"/>
      <c r="F367" s="64"/>
      <c r="G367" s="16"/>
      <c r="H367" s="16"/>
      <c r="I367" s="16"/>
      <c r="J367" s="43"/>
      <c r="K367" s="43"/>
    </row>
    <row r="368" spans="1:11" ht="13.5" customHeight="1" outlineLevel="1" x14ac:dyDescent="0.25">
      <c r="A368" s="43"/>
      <c r="B368" s="43"/>
      <c r="C368" s="35"/>
      <c r="D368" s="35"/>
      <c r="E368" s="65"/>
      <c r="F368" s="69"/>
      <c r="G368" s="35"/>
      <c r="H368" s="35"/>
      <c r="I368" s="35"/>
      <c r="J368" s="43"/>
      <c r="K368" s="43"/>
    </row>
    <row r="369" spans="1:11" ht="13.5" customHeight="1" outlineLevel="1" x14ac:dyDescent="0.25">
      <c r="A369" s="43"/>
      <c r="B369" s="43"/>
      <c r="C369" s="16"/>
      <c r="D369" s="16"/>
      <c r="E369" s="64"/>
      <c r="F369" s="64"/>
      <c r="G369" s="16"/>
      <c r="H369" s="16"/>
      <c r="I369" s="16"/>
      <c r="J369" s="43"/>
      <c r="K369" s="43"/>
    </row>
    <row r="370" spans="1:11" ht="13.5" customHeight="1" outlineLevel="1" x14ac:dyDescent="0.25">
      <c r="A370" s="43"/>
      <c r="B370" s="43"/>
      <c r="C370" s="35"/>
      <c r="D370" s="35"/>
      <c r="E370" s="65"/>
      <c r="F370" s="69"/>
      <c r="G370" s="35"/>
      <c r="H370" s="35"/>
      <c r="I370" s="35"/>
      <c r="J370" s="43"/>
      <c r="K370" s="43"/>
    </row>
    <row r="371" spans="1:11" ht="13.5" customHeight="1" outlineLevel="1" x14ac:dyDescent="0.25">
      <c r="A371" s="43"/>
      <c r="B371" s="43"/>
      <c r="C371" s="16"/>
      <c r="D371" s="16"/>
      <c r="E371" s="64"/>
      <c r="F371" s="64"/>
      <c r="G371" s="16"/>
      <c r="H371" s="16"/>
      <c r="I371" s="16"/>
      <c r="J371" s="43"/>
      <c r="K371" s="43"/>
    </row>
    <row r="372" spans="1:11" ht="13.5" customHeight="1" outlineLevel="1" x14ac:dyDescent="0.25">
      <c r="A372" s="43"/>
      <c r="B372" s="43"/>
      <c r="C372" s="35"/>
      <c r="D372" s="35"/>
      <c r="E372" s="65"/>
      <c r="F372" s="69"/>
      <c r="G372" s="35"/>
      <c r="H372" s="35"/>
      <c r="I372" s="35"/>
      <c r="J372" s="43"/>
      <c r="K372" s="43"/>
    </row>
    <row r="373" spans="1:11" ht="13.5" customHeight="1" outlineLevel="1" x14ac:dyDescent="0.25">
      <c r="A373" s="43"/>
      <c r="B373" s="43"/>
      <c r="C373" s="16"/>
      <c r="D373" s="16"/>
      <c r="E373" s="64"/>
      <c r="F373" s="64"/>
      <c r="G373" s="16"/>
      <c r="H373" s="16"/>
      <c r="I373" s="16"/>
      <c r="J373" s="43"/>
      <c r="K373" s="43"/>
    </row>
    <row r="374" spans="1:11" ht="13.5" customHeight="1" outlineLevel="1" x14ac:dyDescent="0.25">
      <c r="A374" s="43"/>
      <c r="B374" s="43"/>
      <c r="C374" s="35"/>
      <c r="D374" s="35"/>
      <c r="E374" s="65"/>
      <c r="F374" s="69"/>
      <c r="G374" s="35"/>
      <c r="H374" s="35"/>
      <c r="I374" s="35"/>
      <c r="J374" s="43"/>
      <c r="K374" s="43"/>
    </row>
    <row r="375" spans="1:11" ht="13.5" customHeight="1" outlineLevel="1" x14ac:dyDescent="0.25">
      <c r="A375" s="43"/>
      <c r="B375" s="43"/>
      <c r="C375" s="16"/>
      <c r="D375" s="16"/>
      <c r="E375" s="64"/>
      <c r="F375" s="64"/>
      <c r="G375" s="16"/>
      <c r="H375" s="16"/>
      <c r="I375" s="16"/>
      <c r="J375" s="43"/>
      <c r="K375" s="43"/>
    </row>
    <row r="376" spans="1:11" ht="13.5" customHeight="1" outlineLevel="1" x14ac:dyDescent="0.25">
      <c r="A376" s="43"/>
      <c r="B376" s="43"/>
      <c r="C376" s="35"/>
      <c r="D376" s="35"/>
      <c r="E376" s="65"/>
      <c r="F376" s="69"/>
      <c r="G376" s="35"/>
      <c r="H376" s="35"/>
      <c r="I376" s="35"/>
      <c r="J376" s="43"/>
      <c r="K376" s="43"/>
    </row>
    <row r="377" spans="1:11" ht="13.5" customHeight="1" outlineLevel="1" x14ac:dyDescent="0.25">
      <c r="A377" s="43"/>
      <c r="B377" s="43"/>
      <c r="C377" s="16"/>
      <c r="D377" s="16"/>
      <c r="E377" s="64"/>
      <c r="F377" s="64"/>
      <c r="G377" s="16"/>
      <c r="H377" s="16"/>
      <c r="I377" s="16"/>
      <c r="J377" s="43"/>
      <c r="K377" s="43"/>
    </row>
    <row r="378" spans="1:11" ht="13.5" customHeight="1" outlineLevel="1" x14ac:dyDescent="0.25">
      <c r="A378" s="43"/>
      <c r="B378" s="43"/>
      <c r="C378" s="35"/>
      <c r="D378" s="35"/>
      <c r="E378" s="65"/>
      <c r="F378" s="69"/>
      <c r="G378" s="35"/>
      <c r="H378" s="35"/>
      <c r="I378" s="35"/>
      <c r="J378" s="43"/>
      <c r="K378" s="43"/>
    </row>
    <row r="379" spans="1:11" ht="13.5" customHeight="1" outlineLevel="1" x14ac:dyDescent="0.25">
      <c r="A379" s="43"/>
      <c r="B379" s="43"/>
      <c r="C379" s="16"/>
      <c r="D379" s="16"/>
      <c r="E379" s="64"/>
      <c r="F379" s="64"/>
      <c r="G379" s="16"/>
      <c r="H379" s="16"/>
      <c r="I379" s="16"/>
      <c r="J379" s="43"/>
      <c r="K379" s="43"/>
    </row>
    <row r="380" spans="1:11" ht="13.5" customHeight="1" outlineLevel="1" x14ac:dyDescent="0.25">
      <c r="A380" s="43"/>
      <c r="B380" s="43"/>
      <c r="C380" s="35"/>
      <c r="D380" s="35"/>
      <c r="E380" s="65"/>
      <c r="F380" s="69"/>
      <c r="G380" s="35"/>
      <c r="H380" s="35"/>
      <c r="I380" s="35"/>
      <c r="J380" s="43"/>
      <c r="K380" s="43"/>
    </row>
    <row r="381" spans="1:11" ht="13.5" customHeight="1" outlineLevel="1" x14ac:dyDescent="0.25">
      <c r="A381" s="43"/>
      <c r="B381" s="43"/>
      <c r="C381" s="16"/>
      <c r="D381" s="16"/>
      <c r="E381" s="64"/>
      <c r="F381" s="64"/>
      <c r="G381" s="16"/>
      <c r="H381" s="16"/>
      <c r="I381" s="16"/>
      <c r="J381" s="43"/>
      <c r="K381" s="43"/>
    </row>
    <row r="382" spans="1:11" ht="13.5" customHeight="1" outlineLevel="1" x14ac:dyDescent="0.25">
      <c r="A382" s="43"/>
      <c r="B382" s="43"/>
      <c r="C382" s="35"/>
      <c r="D382" s="35"/>
      <c r="E382" s="65"/>
      <c r="F382" s="69"/>
      <c r="G382" s="35"/>
      <c r="H382" s="35"/>
      <c r="I382" s="35"/>
      <c r="J382" s="43"/>
      <c r="K382" s="43"/>
    </row>
    <row r="383" spans="1:11" ht="13.5" customHeight="1" outlineLevel="1" x14ac:dyDescent="0.25">
      <c r="A383" s="43"/>
      <c r="B383" s="43"/>
      <c r="C383" s="16"/>
      <c r="D383" s="16"/>
      <c r="E383" s="64"/>
      <c r="F383" s="64"/>
      <c r="G383" s="16"/>
      <c r="H383" s="16"/>
      <c r="I383" s="16"/>
      <c r="J383" s="43"/>
      <c r="K383" s="43"/>
    </row>
    <row r="384" spans="1:11" ht="13.5" customHeight="1" outlineLevel="1" x14ac:dyDescent="0.25">
      <c r="A384" s="43"/>
      <c r="B384" s="43"/>
      <c r="C384" s="35"/>
      <c r="D384" s="35"/>
      <c r="E384" s="65"/>
      <c r="F384" s="69"/>
      <c r="G384" s="35"/>
      <c r="H384" s="35"/>
      <c r="I384" s="35"/>
      <c r="J384" s="43"/>
      <c r="K384" s="43"/>
    </row>
    <row r="385" spans="1:11" ht="13.5" customHeight="1" outlineLevel="1" x14ac:dyDescent="0.25">
      <c r="A385" s="43"/>
      <c r="B385" s="43"/>
      <c r="C385" s="16"/>
      <c r="D385" s="16"/>
      <c r="E385" s="64"/>
      <c r="F385" s="64"/>
      <c r="G385" s="16"/>
      <c r="H385" s="16"/>
      <c r="I385" s="16"/>
      <c r="J385" s="43"/>
      <c r="K385" s="43"/>
    </row>
    <row r="386" spans="1:11" ht="13.5" customHeight="1" outlineLevel="1" x14ac:dyDescent="0.25">
      <c r="A386" s="43"/>
      <c r="B386" s="43"/>
      <c r="C386" s="35"/>
      <c r="D386" s="35"/>
      <c r="E386" s="65"/>
      <c r="F386" s="69"/>
      <c r="G386" s="35"/>
      <c r="H386" s="35"/>
      <c r="I386" s="35"/>
      <c r="J386" s="43"/>
      <c r="K386" s="43"/>
    </row>
    <row r="387" spans="1:11" ht="13.5" customHeight="1" outlineLevel="1" x14ac:dyDescent="0.25">
      <c r="A387" s="43"/>
      <c r="B387" s="43"/>
      <c r="C387" s="16"/>
      <c r="D387" s="16"/>
      <c r="E387" s="64"/>
      <c r="F387" s="64"/>
      <c r="G387" s="16"/>
      <c r="H387" s="16"/>
      <c r="I387" s="16"/>
      <c r="J387" s="43"/>
      <c r="K387" s="43"/>
    </row>
    <row r="388" spans="1:11" ht="13.5" customHeight="1" outlineLevel="1" x14ac:dyDescent="0.25">
      <c r="A388" s="43"/>
      <c r="B388" s="43"/>
      <c r="C388" s="35"/>
      <c r="D388" s="35"/>
      <c r="E388" s="65"/>
      <c r="F388" s="69"/>
      <c r="G388" s="35"/>
      <c r="H388" s="35"/>
      <c r="I388" s="35"/>
      <c r="J388" s="43"/>
      <c r="K388" s="43"/>
    </row>
    <row r="389" spans="1:11" ht="13.5" customHeight="1" outlineLevel="1" x14ac:dyDescent="0.25">
      <c r="A389" s="43"/>
      <c r="B389" s="43"/>
      <c r="C389" s="16"/>
      <c r="D389" s="16"/>
      <c r="E389" s="64"/>
      <c r="F389" s="64"/>
      <c r="G389" s="16"/>
      <c r="H389" s="16"/>
      <c r="I389" s="16"/>
      <c r="J389" s="43"/>
      <c r="K389" s="43"/>
    </row>
    <row r="390" spans="1:11" ht="13.5" customHeight="1" outlineLevel="1" x14ac:dyDescent="0.25">
      <c r="A390" s="43"/>
      <c r="B390" s="43"/>
      <c r="C390" s="35"/>
      <c r="D390" s="35"/>
      <c r="E390" s="65"/>
      <c r="F390" s="69"/>
      <c r="G390" s="35"/>
      <c r="H390" s="35"/>
      <c r="I390" s="35"/>
      <c r="J390" s="43"/>
      <c r="K390" s="43"/>
    </row>
    <row r="391" spans="1:11" ht="13.5" customHeight="1" outlineLevel="1" x14ac:dyDescent="0.25">
      <c r="A391" s="43"/>
      <c r="B391" s="43"/>
      <c r="C391" s="16"/>
      <c r="D391" s="16"/>
      <c r="E391" s="64"/>
      <c r="F391" s="64"/>
      <c r="G391" s="16"/>
      <c r="H391" s="16"/>
      <c r="I391" s="16"/>
      <c r="J391" s="43"/>
      <c r="K391" s="43"/>
    </row>
    <row r="392" spans="1:11" ht="13.5" customHeight="1" outlineLevel="1" x14ac:dyDescent="0.25">
      <c r="A392" s="43"/>
      <c r="B392" s="43"/>
      <c r="C392" s="35"/>
      <c r="D392" s="35"/>
      <c r="E392" s="65"/>
      <c r="F392" s="69"/>
      <c r="G392" s="35"/>
      <c r="H392" s="35"/>
      <c r="I392" s="35"/>
      <c r="J392" s="43"/>
      <c r="K392" s="43"/>
    </row>
    <row r="393" spans="1:11" ht="13.5" customHeight="1" outlineLevel="1" x14ac:dyDescent="0.25">
      <c r="A393" s="43"/>
      <c r="B393" s="43"/>
      <c r="C393" s="16"/>
      <c r="D393" s="16"/>
      <c r="E393" s="64"/>
      <c r="F393" s="64"/>
      <c r="G393" s="16"/>
      <c r="H393" s="16"/>
      <c r="I393" s="16"/>
      <c r="J393" s="43"/>
      <c r="K393" s="43"/>
    </row>
    <row r="394" spans="1:11" ht="13.5" customHeight="1" outlineLevel="1" x14ac:dyDescent="0.25">
      <c r="A394" s="43"/>
      <c r="B394" s="43"/>
      <c r="C394" s="35"/>
      <c r="D394" s="35"/>
      <c r="E394" s="65"/>
      <c r="F394" s="69"/>
      <c r="G394" s="35"/>
      <c r="H394" s="35"/>
      <c r="I394" s="35"/>
      <c r="J394" s="43"/>
      <c r="K394" s="43"/>
    </row>
    <row r="395" spans="1:11" ht="13.5" customHeight="1" outlineLevel="1" x14ac:dyDescent="0.25">
      <c r="A395" s="43"/>
      <c r="B395" s="43"/>
      <c r="C395" s="16"/>
      <c r="D395" s="16"/>
      <c r="E395" s="64"/>
      <c r="F395" s="64"/>
      <c r="G395" s="16"/>
      <c r="H395" s="16"/>
      <c r="I395" s="16"/>
      <c r="J395" s="43"/>
      <c r="K395" s="43"/>
    </row>
    <row r="396" spans="1:11" ht="13.5" customHeight="1" outlineLevel="1" x14ac:dyDescent="0.25">
      <c r="A396" s="43"/>
      <c r="B396" s="43"/>
      <c r="C396" s="35"/>
      <c r="D396" s="35"/>
      <c r="E396" s="65"/>
      <c r="F396" s="69"/>
      <c r="G396" s="35"/>
      <c r="H396" s="35"/>
      <c r="I396" s="35"/>
      <c r="J396" s="43"/>
      <c r="K396" s="43"/>
    </row>
    <row r="397" spans="1:11" ht="13.5" customHeight="1" outlineLevel="1" x14ac:dyDescent="0.25">
      <c r="A397" s="43"/>
      <c r="B397" s="43"/>
      <c r="C397" s="16"/>
      <c r="D397" s="16"/>
      <c r="E397" s="64"/>
      <c r="F397" s="64"/>
      <c r="G397" s="16"/>
      <c r="H397" s="16"/>
      <c r="I397" s="16"/>
      <c r="J397" s="43"/>
      <c r="K397" s="43"/>
    </row>
    <row r="398" spans="1:11" ht="13.5" customHeight="1" outlineLevel="1" x14ac:dyDescent="0.25">
      <c r="A398" s="43"/>
      <c r="B398" s="43"/>
      <c r="C398" s="35"/>
      <c r="D398" s="35"/>
      <c r="E398" s="65"/>
      <c r="F398" s="69"/>
      <c r="G398" s="35"/>
      <c r="H398" s="35"/>
      <c r="I398" s="35"/>
      <c r="J398" s="43"/>
      <c r="K398" s="43"/>
    </row>
    <row r="399" spans="1:11" ht="13.5" customHeight="1" outlineLevel="1" x14ac:dyDescent="0.25">
      <c r="A399" s="43"/>
      <c r="B399" s="43"/>
      <c r="C399" s="16"/>
      <c r="D399" s="16"/>
      <c r="E399" s="64"/>
      <c r="F399" s="64"/>
      <c r="G399" s="16"/>
      <c r="H399" s="16"/>
      <c r="I399" s="16"/>
      <c r="J399" s="43"/>
      <c r="K399" s="43"/>
    </row>
    <row r="400" spans="1:11" ht="13.5" customHeight="1" outlineLevel="1" x14ac:dyDescent="0.25">
      <c r="A400" s="43"/>
      <c r="B400" s="43"/>
      <c r="C400" s="35"/>
      <c r="D400" s="35"/>
      <c r="E400" s="65"/>
      <c r="F400" s="69"/>
      <c r="G400" s="35"/>
      <c r="H400" s="35"/>
      <c r="I400" s="35"/>
      <c r="J400" s="43"/>
      <c r="K400" s="43"/>
    </row>
    <row r="401" spans="1:11" ht="13.5" customHeight="1" outlineLevel="1" x14ac:dyDescent="0.25">
      <c r="A401" s="43"/>
      <c r="B401" s="43"/>
      <c r="C401" s="16"/>
      <c r="D401" s="16"/>
      <c r="E401" s="64"/>
      <c r="F401" s="64"/>
      <c r="G401" s="16"/>
      <c r="H401" s="16"/>
      <c r="I401" s="16"/>
      <c r="J401" s="43"/>
      <c r="K401" s="43"/>
    </row>
    <row r="402" spans="1:11" ht="13.5" customHeight="1" outlineLevel="1" x14ac:dyDescent="0.25">
      <c r="A402" s="43"/>
      <c r="B402" s="43"/>
      <c r="C402" s="35"/>
      <c r="D402" s="35"/>
      <c r="E402" s="65"/>
      <c r="F402" s="69"/>
      <c r="G402" s="35"/>
      <c r="H402" s="35"/>
      <c r="I402" s="35"/>
      <c r="J402" s="43"/>
      <c r="K402" s="43"/>
    </row>
    <row r="403" spans="1:11" ht="13.5" customHeight="1" outlineLevel="1" x14ac:dyDescent="0.25">
      <c r="A403" s="43"/>
      <c r="B403" s="43"/>
      <c r="C403" s="16"/>
      <c r="D403" s="16"/>
      <c r="E403" s="64"/>
      <c r="F403" s="64"/>
      <c r="G403" s="16"/>
      <c r="H403" s="16"/>
      <c r="I403" s="16"/>
      <c r="J403" s="43"/>
      <c r="K403" s="43"/>
    </row>
    <row r="404" spans="1:11" ht="13.5" customHeight="1" outlineLevel="1" x14ac:dyDescent="0.25">
      <c r="A404" s="43"/>
      <c r="B404" s="43"/>
      <c r="C404" s="35"/>
      <c r="D404" s="35"/>
      <c r="E404" s="65"/>
      <c r="F404" s="69"/>
      <c r="G404" s="35"/>
      <c r="H404" s="35"/>
      <c r="I404" s="35"/>
      <c r="J404" s="43"/>
      <c r="K404" s="43"/>
    </row>
    <row r="405" spans="1:11" ht="13.5" customHeight="1" outlineLevel="1" x14ac:dyDescent="0.25">
      <c r="A405" s="43"/>
      <c r="B405" s="43"/>
      <c r="C405" s="16"/>
      <c r="D405" s="16"/>
      <c r="E405" s="64"/>
      <c r="F405" s="64"/>
      <c r="G405" s="16"/>
      <c r="H405" s="16"/>
      <c r="I405" s="16"/>
      <c r="J405" s="43"/>
      <c r="K405" s="43"/>
    </row>
    <row r="406" spans="1:11" ht="13.5" customHeight="1" outlineLevel="1" x14ac:dyDescent="0.25">
      <c r="A406" s="43"/>
      <c r="B406" s="43"/>
      <c r="C406" s="35"/>
      <c r="D406" s="35"/>
      <c r="E406" s="65"/>
      <c r="F406" s="69"/>
      <c r="G406" s="35"/>
      <c r="H406" s="35"/>
      <c r="I406" s="35"/>
      <c r="J406" s="43"/>
      <c r="K406" s="43"/>
    </row>
    <row r="407" spans="1:11" ht="13.5" customHeight="1" outlineLevel="1" x14ac:dyDescent="0.25">
      <c r="A407" s="43"/>
      <c r="B407" s="43"/>
      <c r="C407" s="16"/>
      <c r="D407" s="16"/>
      <c r="E407" s="64"/>
      <c r="F407" s="64"/>
      <c r="G407" s="16"/>
      <c r="H407" s="16"/>
      <c r="I407" s="16"/>
      <c r="J407" s="43"/>
      <c r="K407" s="43"/>
    </row>
    <row r="408" spans="1:11" ht="13.5" customHeight="1" outlineLevel="1" x14ac:dyDescent="0.25">
      <c r="A408" s="43"/>
      <c r="B408" s="43"/>
      <c r="C408" s="35"/>
      <c r="D408" s="35"/>
      <c r="E408" s="65"/>
      <c r="F408" s="69"/>
      <c r="G408" s="35"/>
      <c r="H408" s="35"/>
      <c r="I408" s="35"/>
      <c r="J408" s="43"/>
      <c r="K408" s="43"/>
    </row>
    <row r="409" spans="1:11" ht="13.5" customHeight="1" outlineLevel="1" x14ac:dyDescent="0.25">
      <c r="A409" s="43"/>
      <c r="B409" s="43"/>
      <c r="C409" s="16"/>
      <c r="D409" s="16"/>
      <c r="E409" s="64"/>
      <c r="F409" s="64"/>
      <c r="G409" s="16"/>
      <c r="H409" s="16"/>
      <c r="I409" s="16"/>
      <c r="J409" s="43"/>
      <c r="K409" s="43"/>
    </row>
    <row r="410" spans="1:11" ht="13.5" customHeight="1" outlineLevel="1" x14ac:dyDescent="0.25">
      <c r="A410" s="43"/>
      <c r="B410" s="43"/>
      <c r="C410" s="35"/>
      <c r="D410" s="35"/>
      <c r="E410" s="65"/>
      <c r="F410" s="69"/>
      <c r="G410" s="35"/>
      <c r="H410" s="35"/>
      <c r="I410" s="35"/>
      <c r="J410" s="43"/>
      <c r="K410" s="43"/>
    </row>
    <row r="411" spans="1:11" ht="13.5" customHeight="1" outlineLevel="1" x14ac:dyDescent="0.25">
      <c r="A411" s="43"/>
      <c r="B411" s="43"/>
      <c r="C411" s="16"/>
      <c r="D411" s="16"/>
      <c r="E411" s="64"/>
      <c r="F411" s="64"/>
      <c r="G411" s="16"/>
      <c r="H411" s="16"/>
      <c r="I411" s="16"/>
      <c r="J411" s="43"/>
      <c r="K411" s="43"/>
    </row>
    <row r="412" spans="1:11" ht="13.5" customHeight="1" outlineLevel="1" x14ac:dyDescent="0.25">
      <c r="A412" s="43"/>
      <c r="B412" s="43"/>
      <c r="C412" s="35"/>
      <c r="D412" s="35"/>
      <c r="E412" s="65"/>
      <c r="F412" s="69"/>
      <c r="G412" s="35"/>
      <c r="H412" s="35"/>
      <c r="I412" s="35"/>
      <c r="J412" s="43"/>
      <c r="K412" s="43"/>
    </row>
    <row r="413" spans="1:11" ht="13.5" customHeight="1" outlineLevel="1" x14ac:dyDescent="0.25">
      <c r="A413" s="43"/>
      <c r="B413" s="43"/>
      <c r="C413" s="16"/>
      <c r="D413" s="16"/>
      <c r="E413" s="64"/>
      <c r="F413" s="64"/>
      <c r="G413" s="16"/>
      <c r="H413" s="16"/>
      <c r="I413" s="16"/>
      <c r="J413" s="43"/>
      <c r="K413" s="43"/>
    </row>
    <row r="414" spans="1:11" ht="13.5" customHeight="1" outlineLevel="1" x14ac:dyDescent="0.25">
      <c r="A414" s="43"/>
      <c r="B414" s="43"/>
      <c r="C414" s="35"/>
      <c r="D414" s="35"/>
      <c r="E414" s="65"/>
      <c r="F414" s="69"/>
      <c r="G414" s="35"/>
      <c r="H414" s="35"/>
      <c r="I414" s="35"/>
      <c r="J414" s="43"/>
      <c r="K414" s="43"/>
    </row>
    <row r="415" spans="1:11" ht="13.5" customHeight="1" outlineLevel="1" x14ac:dyDescent="0.25">
      <c r="A415" s="43"/>
      <c r="B415" s="43"/>
      <c r="C415" s="16"/>
      <c r="D415" s="16"/>
      <c r="E415" s="64"/>
      <c r="F415" s="64"/>
      <c r="G415" s="16"/>
      <c r="H415" s="16"/>
      <c r="I415" s="16"/>
      <c r="J415" s="43"/>
      <c r="K415" s="43"/>
    </row>
    <row r="416" spans="1:11" ht="13.5" customHeight="1" outlineLevel="1" x14ac:dyDescent="0.25">
      <c r="A416" s="43"/>
      <c r="B416" s="43"/>
      <c r="C416" s="35"/>
      <c r="D416" s="35"/>
      <c r="E416" s="65"/>
      <c r="F416" s="69"/>
      <c r="G416" s="35"/>
      <c r="H416" s="35"/>
      <c r="I416" s="35"/>
      <c r="J416" s="43"/>
      <c r="K416" s="43"/>
    </row>
    <row r="417" spans="1:11" ht="13.5" customHeight="1" outlineLevel="1" x14ac:dyDescent="0.25">
      <c r="A417" s="43"/>
      <c r="B417" s="43"/>
      <c r="C417" s="16"/>
      <c r="D417" s="16"/>
      <c r="E417" s="64"/>
      <c r="F417" s="64"/>
      <c r="G417" s="16"/>
      <c r="H417" s="16"/>
      <c r="I417" s="16"/>
      <c r="J417" s="43"/>
      <c r="K417" s="43"/>
    </row>
    <row r="418" spans="1:11" ht="13.5" customHeight="1" outlineLevel="1" x14ac:dyDescent="0.25">
      <c r="A418" s="43"/>
      <c r="B418" s="43"/>
      <c r="C418" s="35"/>
      <c r="D418" s="35"/>
      <c r="E418" s="65"/>
      <c r="F418" s="69"/>
      <c r="G418" s="35"/>
      <c r="H418" s="35"/>
      <c r="I418" s="35"/>
      <c r="J418" s="43"/>
      <c r="K418" s="43"/>
    </row>
    <row r="419" spans="1:11" ht="13.5" customHeight="1" outlineLevel="1" x14ac:dyDescent="0.25">
      <c r="A419" s="43"/>
      <c r="B419" s="43"/>
      <c r="C419" s="16"/>
      <c r="D419" s="16"/>
      <c r="E419" s="64"/>
      <c r="F419" s="64"/>
      <c r="G419" s="16"/>
      <c r="H419" s="16"/>
      <c r="I419" s="16"/>
      <c r="J419" s="43"/>
      <c r="K419" s="43"/>
    </row>
    <row r="420" spans="1:11" ht="13.5" customHeight="1" outlineLevel="1" x14ac:dyDescent="0.25">
      <c r="A420" s="43"/>
      <c r="B420" s="43"/>
      <c r="C420" s="35"/>
      <c r="D420" s="35"/>
      <c r="E420" s="65"/>
      <c r="F420" s="69"/>
      <c r="G420" s="35"/>
      <c r="H420" s="35"/>
      <c r="I420" s="35"/>
      <c r="J420" s="43"/>
      <c r="K420" s="43"/>
    </row>
    <row r="421" spans="1:11" ht="13.5" customHeight="1" outlineLevel="1" x14ac:dyDescent="0.25">
      <c r="A421" s="43"/>
      <c r="B421" s="43"/>
      <c r="C421" s="16"/>
      <c r="D421" s="16"/>
      <c r="E421" s="64"/>
      <c r="F421" s="64"/>
      <c r="G421" s="16"/>
      <c r="H421" s="16"/>
      <c r="I421" s="16"/>
      <c r="J421" s="43"/>
      <c r="K421" s="43"/>
    </row>
    <row r="422" spans="1:11" ht="13.5" customHeight="1" outlineLevel="1" x14ac:dyDescent="0.25">
      <c r="A422" s="43"/>
      <c r="B422" s="43"/>
      <c r="C422" s="35"/>
      <c r="D422" s="35"/>
      <c r="E422" s="65"/>
      <c r="F422" s="69"/>
      <c r="G422" s="35"/>
      <c r="H422" s="35"/>
      <c r="I422" s="35"/>
      <c r="J422" s="43"/>
      <c r="K422" s="43"/>
    </row>
    <row r="423" spans="1:11" ht="13.5" customHeight="1" outlineLevel="1" x14ac:dyDescent="0.25">
      <c r="A423" s="43"/>
      <c r="B423" s="43"/>
      <c r="C423" s="16"/>
      <c r="D423" s="16"/>
      <c r="E423" s="64"/>
      <c r="F423" s="64"/>
      <c r="G423" s="16"/>
      <c r="H423" s="16"/>
      <c r="I423" s="16"/>
      <c r="J423" s="43"/>
      <c r="K423" s="43"/>
    </row>
    <row r="424" spans="1:11" ht="13.5" customHeight="1" outlineLevel="1" x14ac:dyDescent="0.25">
      <c r="A424" s="43"/>
      <c r="B424" s="43"/>
      <c r="C424" s="35"/>
      <c r="D424" s="35"/>
      <c r="E424" s="65"/>
      <c r="F424" s="69"/>
      <c r="G424" s="35"/>
      <c r="H424" s="35"/>
      <c r="I424" s="35"/>
      <c r="J424" s="43"/>
      <c r="K424" s="43"/>
    </row>
    <row r="425" spans="1:11" ht="13.5" customHeight="1" outlineLevel="1" x14ac:dyDescent="0.25">
      <c r="A425" s="43"/>
      <c r="B425" s="43"/>
      <c r="C425" s="16"/>
      <c r="D425" s="16"/>
      <c r="E425" s="64"/>
      <c r="F425" s="64"/>
      <c r="G425" s="16"/>
      <c r="H425" s="16"/>
      <c r="I425" s="16"/>
      <c r="J425" s="43"/>
      <c r="K425" s="43"/>
    </row>
    <row r="426" spans="1:11" ht="13.5" customHeight="1" outlineLevel="1" x14ac:dyDescent="0.25">
      <c r="A426" s="43"/>
      <c r="B426" s="43"/>
      <c r="C426" s="35"/>
      <c r="D426" s="35"/>
      <c r="E426" s="65"/>
      <c r="F426" s="69"/>
      <c r="G426" s="35"/>
      <c r="H426" s="35"/>
      <c r="I426" s="35"/>
      <c r="J426" s="43"/>
      <c r="K426" s="43"/>
    </row>
    <row r="427" spans="1:11" ht="13.5" customHeight="1" outlineLevel="1" x14ac:dyDescent="0.25">
      <c r="A427" s="43"/>
      <c r="B427" s="43"/>
      <c r="C427" s="16"/>
      <c r="D427" s="16"/>
      <c r="E427" s="64"/>
      <c r="F427" s="64"/>
      <c r="G427" s="16"/>
      <c r="H427" s="16"/>
      <c r="I427" s="16"/>
      <c r="J427" s="43"/>
      <c r="K427" s="43"/>
    </row>
    <row r="428" spans="1:11" ht="13.5" customHeight="1" outlineLevel="1" x14ac:dyDescent="0.25">
      <c r="A428" s="43"/>
      <c r="B428" s="43"/>
      <c r="C428" s="35"/>
      <c r="D428" s="35"/>
      <c r="E428" s="65"/>
      <c r="F428" s="69"/>
      <c r="G428" s="35"/>
      <c r="H428" s="35"/>
      <c r="I428" s="35"/>
      <c r="J428" s="43"/>
      <c r="K428" s="43"/>
    </row>
    <row r="429" spans="1:11" ht="13.5" customHeight="1" outlineLevel="1" x14ac:dyDescent="0.25">
      <c r="A429" s="43"/>
      <c r="B429" s="43"/>
      <c r="C429" s="16"/>
      <c r="D429" s="16"/>
      <c r="E429" s="64"/>
      <c r="F429" s="64"/>
      <c r="G429" s="16"/>
      <c r="H429" s="16"/>
      <c r="I429" s="16"/>
      <c r="J429" s="43"/>
      <c r="K429" s="43"/>
    </row>
    <row r="430" spans="1:11" ht="13.5" customHeight="1" outlineLevel="1" x14ac:dyDescent="0.25">
      <c r="A430" s="43"/>
      <c r="B430" s="43"/>
      <c r="C430" s="35"/>
      <c r="D430" s="35"/>
      <c r="E430" s="65"/>
      <c r="F430" s="69"/>
      <c r="G430" s="35"/>
      <c r="H430" s="35"/>
      <c r="I430" s="35"/>
      <c r="J430" s="43"/>
      <c r="K430" s="43"/>
    </row>
    <row r="431" spans="1:11" ht="13.5" customHeight="1" outlineLevel="1" x14ac:dyDescent="0.25">
      <c r="A431" s="43"/>
      <c r="B431" s="43"/>
      <c r="C431" s="16"/>
      <c r="D431" s="16"/>
      <c r="E431" s="64"/>
      <c r="F431" s="64"/>
      <c r="G431" s="16"/>
      <c r="H431" s="16"/>
      <c r="I431" s="16"/>
      <c r="J431" s="43"/>
      <c r="K431" s="43"/>
    </row>
    <row r="432" spans="1:11" ht="13.5" customHeight="1" outlineLevel="1" x14ac:dyDescent="0.25">
      <c r="A432" s="43"/>
      <c r="B432" s="43"/>
      <c r="C432" s="35"/>
      <c r="D432" s="35"/>
      <c r="E432" s="65"/>
      <c r="F432" s="69"/>
      <c r="G432" s="35"/>
      <c r="H432" s="35"/>
      <c r="I432" s="35"/>
      <c r="J432" s="43"/>
      <c r="K432" s="43"/>
    </row>
    <row r="433" spans="1:11" ht="13.5" customHeight="1" outlineLevel="1" x14ac:dyDescent="0.25">
      <c r="A433" s="43"/>
      <c r="B433" s="43"/>
      <c r="C433" s="16"/>
      <c r="D433" s="16"/>
      <c r="E433" s="64"/>
      <c r="F433" s="64"/>
      <c r="G433" s="16"/>
      <c r="H433" s="16"/>
      <c r="I433" s="16"/>
      <c r="J433" s="43"/>
      <c r="K433" s="43"/>
    </row>
    <row r="434" spans="1:11" ht="13.5" customHeight="1" outlineLevel="1" x14ac:dyDescent="0.25">
      <c r="A434" s="43"/>
      <c r="B434" s="43"/>
      <c r="C434" s="35"/>
      <c r="D434" s="35"/>
      <c r="E434" s="65"/>
      <c r="F434" s="69"/>
      <c r="G434" s="35"/>
      <c r="H434" s="35"/>
      <c r="I434" s="35"/>
      <c r="J434" s="43"/>
      <c r="K434" s="43"/>
    </row>
    <row r="435" spans="1:11" ht="13.5" customHeight="1" outlineLevel="1" x14ac:dyDescent="0.25">
      <c r="A435" s="43"/>
      <c r="B435" s="43"/>
      <c r="C435" s="16"/>
      <c r="D435" s="16"/>
      <c r="E435" s="64"/>
      <c r="F435" s="64"/>
      <c r="G435" s="16"/>
      <c r="H435" s="16"/>
      <c r="I435" s="16"/>
      <c r="J435" s="43"/>
      <c r="K435" s="43"/>
    </row>
    <row r="436" spans="1:11" ht="13.5" customHeight="1" outlineLevel="1" x14ac:dyDescent="0.25">
      <c r="A436" s="43"/>
      <c r="B436" s="43"/>
      <c r="C436" s="35"/>
      <c r="D436" s="35"/>
      <c r="E436" s="65"/>
      <c r="F436" s="69"/>
      <c r="G436" s="35"/>
      <c r="H436" s="35"/>
      <c r="I436" s="35"/>
      <c r="J436" s="43"/>
      <c r="K436" s="43"/>
    </row>
    <row r="437" spans="1:11" ht="13.5" customHeight="1" outlineLevel="1" x14ac:dyDescent="0.25">
      <c r="A437" s="43"/>
      <c r="B437" s="43"/>
      <c r="C437" s="16"/>
      <c r="D437" s="16"/>
      <c r="E437" s="64"/>
      <c r="F437" s="64"/>
      <c r="G437" s="16"/>
      <c r="H437" s="16"/>
      <c r="I437" s="16"/>
      <c r="J437" s="43"/>
      <c r="K437" s="43"/>
    </row>
    <row r="438" spans="1:11" ht="13.5" customHeight="1" outlineLevel="1" x14ac:dyDescent="0.25">
      <c r="A438" s="43"/>
      <c r="B438" s="43"/>
      <c r="C438" s="35"/>
      <c r="D438" s="35"/>
      <c r="E438" s="65"/>
      <c r="F438" s="69"/>
      <c r="G438" s="35"/>
      <c r="H438" s="35"/>
      <c r="I438" s="35"/>
      <c r="J438" s="43"/>
      <c r="K438" s="43"/>
    </row>
    <row r="439" spans="1:11" ht="13.5" customHeight="1" outlineLevel="1" x14ac:dyDescent="0.25">
      <c r="A439" s="43"/>
      <c r="B439" s="43"/>
      <c r="C439" s="16"/>
      <c r="D439" s="16"/>
      <c r="E439" s="64"/>
      <c r="F439" s="64"/>
      <c r="G439" s="16"/>
      <c r="H439" s="16"/>
      <c r="I439" s="16"/>
      <c r="J439" s="43"/>
      <c r="K439" s="43"/>
    </row>
    <row r="440" spans="1:11" ht="13.5" customHeight="1" outlineLevel="1" x14ac:dyDescent="0.25">
      <c r="A440" s="43"/>
      <c r="B440" s="43"/>
      <c r="C440" s="35"/>
      <c r="D440" s="35"/>
      <c r="E440" s="65"/>
      <c r="F440" s="69"/>
      <c r="G440" s="35"/>
      <c r="H440" s="35"/>
      <c r="I440" s="35"/>
      <c r="J440" s="43"/>
      <c r="K440" s="43"/>
    </row>
    <row r="441" spans="1:11" ht="13.5" customHeight="1" outlineLevel="1" x14ac:dyDescent="0.25">
      <c r="A441" s="43"/>
      <c r="B441" s="43"/>
      <c r="C441" s="16"/>
      <c r="D441" s="16"/>
      <c r="E441" s="64"/>
      <c r="F441" s="64"/>
      <c r="G441" s="16"/>
      <c r="H441" s="16"/>
      <c r="I441" s="16"/>
      <c r="J441" s="43"/>
      <c r="K441" s="43"/>
    </row>
    <row r="442" spans="1:11" ht="13.5" customHeight="1" outlineLevel="1" x14ac:dyDescent="0.25">
      <c r="A442" s="43"/>
      <c r="B442" s="43"/>
      <c r="C442" s="35"/>
      <c r="D442" s="35"/>
      <c r="E442" s="65"/>
      <c r="F442" s="69"/>
      <c r="G442" s="35"/>
      <c r="H442" s="35"/>
      <c r="I442" s="35"/>
      <c r="J442" s="43"/>
      <c r="K442" s="43"/>
    </row>
    <row r="443" spans="1:11" ht="13.5" customHeight="1" outlineLevel="1" x14ac:dyDescent="0.25">
      <c r="A443" s="43"/>
      <c r="B443" s="43"/>
      <c r="C443" s="16"/>
      <c r="D443" s="16"/>
      <c r="E443" s="64"/>
      <c r="F443" s="64"/>
      <c r="G443" s="16"/>
      <c r="H443" s="16"/>
      <c r="I443" s="16"/>
      <c r="J443" s="43"/>
      <c r="K443" s="43"/>
    </row>
    <row r="444" spans="1:11" ht="13.5" customHeight="1" outlineLevel="1" x14ac:dyDescent="0.25">
      <c r="A444" s="43"/>
      <c r="B444" s="43"/>
      <c r="C444" s="35"/>
      <c r="D444" s="35"/>
      <c r="E444" s="65"/>
      <c r="F444" s="69"/>
      <c r="G444" s="35"/>
      <c r="H444" s="35"/>
      <c r="I444" s="35"/>
      <c r="J444" s="43"/>
      <c r="K444" s="43"/>
    </row>
    <row r="445" spans="1:11" ht="13.5" customHeight="1" outlineLevel="1" x14ac:dyDescent="0.25">
      <c r="A445" s="43"/>
      <c r="B445" s="43"/>
      <c r="C445" s="16"/>
      <c r="D445" s="16"/>
      <c r="E445" s="64"/>
      <c r="F445" s="64"/>
      <c r="G445" s="16"/>
      <c r="H445" s="16"/>
      <c r="I445" s="16"/>
      <c r="J445" s="43"/>
      <c r="K445" s="43"/>
    </row>
    <row r="446" spans="1:11" ht="13.5" customHeight="1" outlineLevel="1" x14ac:dyDescent="0.25">
      <c r="A446" s="43"/>
      <c r="B446" s="43"/>
      <c r="C446" s="35"/>
      <c r="D446" s="35"/>
      <c r="E446" s="65"/>
      <c r="F446" s="69"/>
      <c r="G446" s="35"/>
      <c r="H446" s="35"/>
      <c r="I446" s="35"/>
      <c r="J446" s="43"/>
      <c r="K446" s="43"/>
    </row>
    <row r="447" spans="1:11" ht="13.5" customHeight="1" outlineLevel="1" x14ac:dyDescent="0.25">
      <c r="A447" s="43"/>
      <c r="B447" s="43"/>
      <c r="C447" s="16"/>
      <c r="D447" s="16"/>
      <c r="E447" s="64"/>
      <c r="F447" s="64"/>
      <c r="G447" s="16"/>
      <c r="H447" s="16"/>
      <c r="I447" s="16"/>
      <c r="J447" s="43"/>
      <c r="K447" s="43"/>
    </row>
    <row r="448" spans="1:11" ht="13.5" customHeight="1" outlineLevel="1" x14ac:dyDescent="0.25">
      <c r="A448" s="43"/>
      <c r="B448" s="43"/>
      <c r="C448" s="35"/>
      <c r="D448" s="35"/>
      <c r="E448" s="65"/>
      <c r="F448" s="69"/>
      <c r="G448" s="35"/>
      <c r="H448" s="35"/>
      <c r="I448" s="35"/>
      <c r="J448" s="43"/>
      <c r="K448" s="43"/>
    </row>
    <row r="449" spans="1:11" ht="13.5" customHeight="1" outlineLevel="1" x14ac:dyDescent="0.25">
      <c r="A449" s="43"/>
      <c r="B449" s="43"/>
      <c r="C449" s="16"/>
      <c r="D449" s="16"/>
      <c r="E449" s="64"/>
      <c r="F449" s="64"/>
      <c r="G449" s="16"/>
      <c r="H449" s="16"/>
      <c r="I449" s="16"/>
      <c r="J449" s="43"/>
      <c r="K449" s="43"/>
    </row>
    <row r="450" spans="1:11" ht="13.5" customHeight="1" outlineLevel="1" x14ac:dyDescent="0.25">
      <c r="A450" s="43"/>
      <c r="B450" s="43"/>
      <c r="C450" s="35"/>
      <c r="D450" s="35"/>
      <c r="E450" s="65"/>
      <c r="F450" s="69"/>
      <c r="G450" s="35"/>
      <c r="H450" s="35"/>
      <c r="I450" s="35"/>
      <c r="J450" s="43"/>
      <c r="K450" s="43"/>
    </row>
    <row r="451" spans="1:11" ht="13.5" customHeight="1" outlineLevel="1" x14ac:dyDescent="0.25">
      <c r="A451" s="43"/>
      <c r="B451" s="43"/>
      <c r="C451" s="16"/>
      <c r="D451" s="16"/>
      <c r="E451" s="64"/>
      <c r="F451" s="64"/>
      <c r="G451" s="16"/>
      <c r="H451" s="16"/>
      <c r="I451" s="16"/>
      <c r="J451" s="43"/>
      <c r="K451" s="43"/>
    </row>
    <row r="452" spans="1:11" ht="13.5" customHeight="1" outlineLevel="1" x14ac:dyDescent="0.25">
      <c r="A452" s="43"/>
      <c r="B452" s="43"/>
      <c r="C452" s="35"/>
      <c r="D452" s="35"/>
      <c r="E452" s="65"/>
      <c r="F452" s="69"/>
      <c r="G452" s="35"/>
      <c r="H452" s="35"/>
      <c r="I452" s="35"/>
      <c r="J452" s="43"/>
      <c r="K452" s="43"/>
    </row>
    <row r="453" spans="1:11" ht="13.5" customHeight="1" outlineLevel="1" x14ac:dyDescent="0.25">
      <c r="A453" s="43"/>
      <c r="B453" s="43"/>
      <c r="C453" s="16"/>
      <c r="D453" s="16"/>
      <c r="E453" s="64"/>
      <c r="F453" s="64"/>
      <c r="G453" s="16"/>
      <c r="H453" s="16"/>
      <c r="I453" s="16"/>
      <c r="J453" s="43"/>
      <c r="K453" s="43"/>
    </row>
    <row r="454" spans="1:11" ht="13.5" customHeight="1" outlineLevel="1" x14ac:dyDescent="0.25">
      <c r="A454" s="43"/>
      <c r="B454" s="43"/>
      <c r="C454" s="35"/>
      <c r="D454" s="35"/>
      <c r="E454" s="65"/>
      <c r="F454" s="69"/>
      <c r="G454" s="35"/>
      <c r="H454" s="35"/>
      <c r="I454" s="35"/>
      <c r="J454" s="43"/>
      <c r="K454" s="43"/>
    </row>
    <row r="455" spans="1:11" ht="13.5" customHeight="1" outlineLevel="1" x14ac:dyDescent="0.25">
      <c r="A455" s="43"/>
      <c r="B455" s="43"/>
      <c r="C455" s="16"/>
      <c r="D455" s="16"/>
      <c r="E455" s="64"/>
      <c r="F455" s="64"/>
      <c r="G455" s="16"/>
      <c r="H455" s="16"/>
      <c r="I455" s="16"/>
      <c r="J455" s="43"/>
      <c r="K455" s="43"/>
    </row>
    <row r="456" spans="1:11" ht="13.5" customHeight="1" outlineLevel="1" x14ac:dyDescent="0.25">
      <c r="A456" s="43"/>
      <c r="B456" s="43"/>
      <c r="C456" s="35"/>
      <c r="D456" s="35"/>
      <c r="E456" s="65"/>
      <c r="F456" s="69"/>
      <c r="G456" s="35"/>
      <c r="H456" s="35"/>
      <c r="I456" s="35"/>
      <c r="J456" s="43"/>
      <c r="K456" s="43"/>
    </row>
    <row r="457" spans="1:11" ht="13.5" customHeight="1" outlineLevel="1" x14ac:dyDescent="0.25">
      <c r="A457" s="43"/>
      <c r="B457" s="43"/>
      <c r="C457" s="16"/>
      <c r="D457" s="16"/>
      <c r="E457" s="64"/>
      <c r="F457" s="64"/>
      <c r="G457" s="16"/>
      <c r="H457" s="16"/>
      <c r="I457" s="16"/>
      <c r="J457" s="43"/>
      <c r="K457" s="43"/>
    </row>
    <row r="458" spans="1:11" ht="13.5" customHeight="1" outlineLevel="1" x14ac:dyDescent="0.25">
      <c r="A458" s="43"/>
      <c r="B458" s="43"/>
      <c r="C458" s="35"/>
      <c r="D458" s="35"/>
      <c r="E458" s="65"/>
      <c r="F458" s="69"/>
      <c r="G458" s="35"/>
      <c r="H458" s="35"/>
      <c r="I458" s="35"/>
      <c r="J458" s="43"/>
      <c r="K458" s="43"/>
    </row>
    <row r="459" spans="1:11" ht="13.5" customHeight="1" outlineLevel="1" x14ac:dyDescent="0.25">
      <c r="A459" s="43"/>
      <c r="B459" s="43"/>
      <c r="C459" s="16"/>
      <c r="D459" s="16"/>
      <c r="E459" s="64"/>
      <c r="F459" s="64"/>
      <c r="G459" s="16"/>
      <c r="H459" s="16"/>
      <c r="I459" s="16"/>
      <c r="J459" s="43"/>
      <c r="K459" s="43"/>
    </row>
    <row r="460" spans="1:11" ht="13.5" customHeight="1" outlineLevel="1" x14ac:dyDescent="0.25">
      <c r="A460" s="43"/>
      <c r="B460" s="43"/>
      <c r="C460" s="35"/>
      <c r="D460" s="35"/>
      <c r="E460" s="65"/>
      <c r="F460" s="69"/>
      <c r="G460" s="35"/>
      <c r="H460" s="35"/>
      <c r="I460" s="35"/>
      <c r="J460" s="43"/>
      <c r="K460" s="43"/>
    </row>
    <row r="461" spans="1:11" ht="13.5" customHeight="1" outlineLevel="1" x14ac:dyDescent="0.25">
      <c r="A461" s="43"/>
      <c r="B461" s="43"/>
      <c r="C461" s="16"/>
      <c r="D461" s="16"/>
      <c r="E461" s="64"/>
      <c r="F461" s="64"/>
      <c r="G461" s="16"/>
      <c r="H461" s="16"/>
      <c r="I461" s="16"/>
      <c r="J461" s="43"/>
      <c r="K461" s="43"/>
    </row>
    <row r="462" spans="1:11" ht="13.5" customHeight="1" outlineLevel="1" x14ac:dyDescent="0.25">
      <c r="A462" s="43"/>
      <c r="B462" s="43"/>
      <c r="C462" s="35"/>
      <c r="D462" s="35"/>
      <c r="E462" s="65"/>
      <c r="F462" s="69"/>
      <c r="G462" s="35"/>
      <c r="H462" s="35"/>
      <c r="I462" s="35"/>
      <c r="J462" s="43"/>
      <c r="K462" s="43"/>
    </row>
    <row r="463" spans="1:11" ht="13.5" customHeight="1" outlineLevel="1" x14ac:dyDescent="0.25">
      <c r="A463" s="43"/>
      <c r="B463" s="43"/>
      <c r="C463" s="16"/>
      <c r="D463" s="16"/>
      <c r="E463" s="64"/>
      <c r="F463" s="64"/>
      <c r="G463" s="16"/>
      <c r="H463" s="16"/>
      <c r="I463" s="16"/>
      <c r="J463" s="43"/>
      <c r="K463" s="43"/>
    </row>
    <row r="464" spans="1:11" ht="13.5" customHeight="1" outlineLevel="1" x14ac:dyDescent="0.25">
      <c r="A464" s="43"/>
      <c r="B464" s="43"/>
      <c r="C464" s="35"/>
      <c r="D464" s="35"/>
      <c r="E464" s="65"/>
      <c r="F464" s="69"/>
      <c r="G464" s="35"/>
      <c r="H464" s="35"/>
      <c r="I464" s="35"/>
      <c r="J464" s="43"/>
      <c r="K464" s="43"/>
    </row>
    <row r="465" spans="1:11" ht="13.5" customHeight="1" outlineLevel="1" x14ac:dyDescent="0.25">
      <c r="A465" s="43"/>
      <c r="B465" s="43"/>
      <c r="C465" s="16"/>
      <c r="D465" s="16"/>
      <c r="E465" s="64"/>
      <c r="F465" s="64"/>
      <c r="G465" s="16"/>
      <c r="H465" s="16"/>
      <c r="I465" s="16"/>
      <c r="J465" s="43"/>
      <c r="K465" s="43"/>
    </row>
    <row r="466" spans="1:11" ht="13.5" customHeight="1" outlineLevel="1" x14ac:dyDescent="0.25">
      <c r="A466" s="43"/>
      <c r="B466" s="43"/>
      <c r="C466" s="35"/>
      <c r="D466" s="35"/>
      <c r="E466" s="65"/>
      <c r="F466" s="69"/>
      <c r="G466" s="35"/>
      <c r="H466" s="35"/>
      <c r="I466" s="35"/>
      <c r="J466" s="43"/>
      <c r="K466" s="43"/>
    </row>
    <row r="467" spans="1:11" ht="13.5" customHeight="1" outlineLevel="1" x14ac:dyDescent="0.25">
      <c r="A467" s="43"/>
      <c r="B467" s="43"/>
      <c r="C467" s="16"/>
      <c r="D467" s="16"/>
      <c r="E467" s="64"/>
      <c r="F467" s="64"/>
      <c r="G467" s="16"/>
      <c r="H467" s="16"/>
      <c r="I467" s="16"/>
      <c r="J467" s="43"/>
      <c r="K467" s="43"/>
    </row>
    <row r="468" spans="1:11" ht="13.5" customHeight="1" outlineLevel="1" x14ac:dyDescent="0.25">
      <c r="A468" s="43"/>
      <c r="B468" s="43"/>
      <c r="C468" s="35"/>
      <c r="D468" s="35"/>
      <c r="E468" s="65"/>
      <c r="F468" s="69"/>
      <c r="G468" s="35"/>
      <c r="H468" s="35"/>
      <c r="I468" s="35"/>
      <c r="J468" s="43"/>
      <c r="K468" s="43"/>
    </row>
    <row r="469" spans="1:11" ht="13.5" customHeight="1" outlineLevel="1" x14ac:dyDescent="0.25">
      <c r="A469" s="43"/>
      <c r="B469" s="43"/>
      <c r="C469" s="16"/>
      <c r="D469" s="16"/>
      <c r="E469" s="64"/>
      <c r="F469" s="64"/>
      <c r="G469" s="16"/>
      <c r="H469" s="16"/>
      <c r="I469" s="16"/>
      <c r="J469" s="43"/>
      <c r="K469" s="43"/>
    </row>
    <row r="470" spans="1:11" ht="13.5" customHeight="1" outlineLevel="1" x14ac:dyDescent="0.25">
      <c r="A470" s="43"/>
      <c r="B470" s="43"/>
      <c r="C470" s="35"/>
      <c r="D470" s="35"/>
      <c r="E470" s="65"/>
      <c r="F470" s="69"/>
      <c r="G470" s="35"/>
      <c r="H470" s="35"/>
      <c r="I470" s="35"/>
      <c r="J470" s="43"/>
      <c r="K470" s="43"/>
    </row>
    <row r="471" spans="1:11" ht="13.5" customHeight="1" outlineLevel="1" x14ac:dyDescent="0.25">
      <c r="A471" s="43"/>
      <c r="B471" s="43"/>
      <c r="C471" s="16"/>
      <c r="D471" s="16"/>
      <c r="E471" s="64"/>
      <c r="F471" s="64"/>
      <c r="G471" s="16"/>
      <c r="H471" s="16"/>
      <c r="I471" s="16"/>
      <c r="J471" s="43"/>
      <c r="K471" s="43"/>
    </row>
    <row r="472" spans="1:11" ht="13.5" customHeight="1" outlineLevel="1" x14ac:dyDescent="0.25">
      <c r="A472" s="43"/>
      <c r="B472" s="43"/>
      <c r="C472" s="35"/>
      <c r="D472" s="35"/>
      <c r="E472" s="65"/>
      <c r="F472" s="69"/>
      <c r="G472" s="35"/>
      <c r="H472" s="35"/>
      <c r="I472" s="35"/>
      <c r="J472" s="43"/>
      <c r="K472" s="43"/>
    </row>
    <row r="473" spans="1:11" ht="13.5" customHeight="1" outlineLevel="1" x14ac:dyDescent="0.25">
      <c r="A473" s="43"/>
      <c r="B473" s="43"/>
      <c r="C473" s="16"/>
      <c r="D473" s="16"/>
      <c r="E473" s="64"/>
      <c r="F473" s="64"/>
      <c r="G473" s="16"/>
      <c r="H473" s="16"/>
      <c r="I473" s="16"/>
      <c r="J473" s="43"/>
      <c r="K473" s="43"/>
    </row>
    <row r="474" spans="1:11" ht="13.5" customHeight="1" outlineLevel="1" x14ac:dyDescent="0.25">
      <c r="A474" s="43"/>
      <c r="B474" s="43"/>
      <c r="C474" s="35"/>
      <c r="D474" s="35"/>
      <c r="E474" s="65"/>
      <c r="F474" s="69"/>
      <c r="G474" s="35"/>
      <c r="H474" s="35"/>
      <c r="I474" s="35"/>
      <c r="J474" s="43"/>
      <c r="K474" s="43"/>
    </row>
    <row r="475" spans="1:11" ht="13.5" customHeight="1" outlineLevel="1" x14ac:dyDescent="0.25">
      <c r="A475" s="43"/>
      <c r="B475" s="43"/>
      <c r="C475" s="16"/>
      <c r="D475" s="16"/>
      <c r="E475" s="64"/>
      <c r="F475" s="64"/>
      <c r="G475" s="16"/>
      <c r="H475" s="16"/>
      <c r="I475" s="16"/>
      <c r="J475" s="43"/>
      <c r="K475" s="43"/>
    </row>
    <row r="476" spans="1:11" ht="13.5" customHeight="1" outlineLevel="1" x14ac:dyDescent="0.25">
      <c r="A476" s="43"/>
      <c r="B476" s="43"/>
      <c r="C476" s="35"/>
      <c r="D476" s="35"/>
      <c r="E476" s="65"/>
      <c r="F476" s="69"/>
      <c r="G476" s="35"/>
      <c r="H476" s="35"/>
      <c r="I476" s="35"/>
      <c r="J476" s="43"/>
      <c r="K476" s="43"/>
    </row>
    <row r="477" spans="1:11" ht="13.5" customHeight="1" outlineLevel="1" x14ac:dyDescent="0.25">
      <c r="A477" s="43"/>
      <c r="B477" s="43"/>
      <c r="C477" s="16"/>
      <c r="D477" s="16"/>
      <c r="E477" s="64"/>
      <c r="F477" s="64"/>
      <c r="G477" s="16"/>
      <c r="H477" s="16"/>
      <c r="I477" s="16"/>
      <c r="J477" s="43"/>
      <c r="K477" s="43"/>
    </row>
    <row r="478" spans="1:11" ht="13.5" customHeight="1" outlineLevel="1" x14ac:dyDescent="0.25">
      <c r="A478" s="43"/>
      <c r="B478" s="43"/>
      <c r="C478" s="35"/>
      <c r="D478" s="35"/>
      <c r="E478" s="65"/>
      <c r="F478" s="69"/>
      <c r="G478" s="35"/>
      <c r="H478" s="35"/>
      <c r="I478" s="35"/>
      <c r="J478" s="43"/>
      <c r="K478" s="43"/>
    </row>
    <row r="479" spans="1:11" ht="13.5" customHeight="1" outlineLevel="1" x14ac:dyDescent="0.25">
      <c r="A479" s="43"/>
      <c r="B479" s="43"/>
      <c r="C479" s="16"/>
      <c r="D479" s="16"/>
      <c r="E479" s="64"/>
      <c r="F479" s="64"/>
      <c r="G479" s="16"/>
      <c r="H479" s="16"/>
      <c r="I479" s="16"/>
      <c r="J479" s="43"/>
      <c r="K479" s="43"/>
    </row>
    <row r="480" spans="1:11" ht="13.5" customHeight="1" outlineLevel="1" x14ac:dyDescent="0.25">
      <c r="A480" s="43"/>
      <c r="B480" s="43"/>
      <c r="C480" s="35"/>
      <c r="D480" s="35"/>
      <c r="E480" s="65"/>
      <c r="F480" s="69"/>
      <c r="G480" s="35"/>
      <c r="H480" s="35"/>
      <c r="I480" s="35"/>
      <c r="J480" s="43"/>
      <c r="K480" s="43"/>
    </row>
    <row r="481" spans="1:11" ht="13.5" customHeight="1" outlineLevel="1" x14ac:dyDescent="0.25">
      <c r="A481" s="43"/>
      <c r="B481" s="43"/>
      <c r="C481" s="16"/>
      <c r="D481" s="16"/>
      <c r="E481" s="64"/>
      <c r="F481" s="64"/>
      <c r="G481" s="16"/>
      <c r="H481" s="16"/>
      <c r="I481" s="16"/>
      <c r="J481" s="43"/>
      <c r="K481" s="43"/>
    </row>
    <row r="482" spans="1:11" ht="13.5" customHeight="1" outlineLevel="1" x14ac:dyDescent="0.25">
      <c r="A482" s="43"/>
      <c r="B482" s="43"/>
      <c r="C482" s="35"/>
      <c r="D482" s="35"/>
      <c r="E482" s="65"/>
      <c r="F482" s="69"/>
      <c r="G482" s="35"/>
      <c r="H482" s="35"/>
      <c r="I482" s="35"/>
      <c r="J482" s="43"/>
      <c r="K482" s="43"/>
    </row>
    <row r="483" spans="1:11" ht="13.5" customHeight="1" outlineLevel="1" x14ac:dyDescent="0.25">
      <c r="A483" s="43"/>
      <c r="B483" s="43"/>
      <c r="C483" s="16"/>
      <c r="D483" s="16"/>
      <c r="E483" s="64"/>
      <c r="F483" s="64"/>
      <c r="G483" s="16"/>
      <c r="H483" s="16"/>
      <c r="I483" s="16"/>
      <c r="J483" s="43"/>
      <c r="K483" s="43"/>
    </row>
    <row r="484" spans="1:11" ht="13.5" customHeight="1" outlineLevel="1" x14ac:dyDescent="0.25">
      <c r="A484" s="43"/>
      <c r="B484" s="43"/>
      <c r="C484" s="35"/>
      <c r="D484" s="35"/>
      <c r="E484" s="65"/>
      <c r="F484" s="69"/>
      <c r="G484" s="35"/>
      <c r="H484" s="35"/>
      <c r="I484" s="35"/>
      <c r="J484" s="43"/>
      <c r="K484" s="43"/>
    </row>
    <row r="485" spans="1:11" ht="13.5" customHeight="1" outlineLevel="1" x14ac:dyDescent="0.25">
      <c r="A485" s="43"/>
      <c r="B485" s="43"/>
      <c r="C485" s="16"/>
      <c r="D485" s="16"/>
      <c r="E485" s="64"/>
      <c r="F485" s="64"/>
      <c r="G485" s="16"/>
      <c r="H485" s="16"/>
      <c r="I485" s="16"/>
      <c r="J485" s="43"/>
      <c r="K485" s="43"/>
    </row>
    <row r="486" spans="1:11" ht="13.5" customHeight="1" outlineLevel="1" x14ac:dyDescent="0.25">
      <c r="A486" s="43"/>
      <c r="B486" s="43"/>
      <c r="C486" s="35"/>
      <c r="D486" s="35"/>
      <c r="E486" s="65"/>
      <c r="F486" s="69"/>
      <c r="G486" s="35"/>
      <c r="H486" s="35"/>
      <c r="I486" s="35"/>
      <c r="J486" s="43"/>
      <c r="K486" s="43"/>
    </row>
    <row r="487" spans="1:11" ht="13.5" customHeight="1" outlineLevel="1" x14ac:dyDescent="0.25">
      <c r="A487" s="43"/>
      <c r="B487" s="43"/>
      <c r="C487" s="16"/>
      <c r="D487" s="16"/>
      <c r="E487" s="64"/>
      <c r="F487" s="64"/>
      <c r="G487" s="16"/>
      <c r="H487" s="16"/>
      <c r="I487" s="16"/>
      <c r="J487" s="43"/>
      <c r="K487" s="43"/>
    </row>
    <row r="488" spans="1:11" ht="13.5" customHeight="1" outlineLevel="1" x14ac:dyDescent="0.25">
      <c r="A488" s="43"/>
      <c r="B488" s="43"/>
      <c r="C488" s="35"/>
      <c r="D488" s="35"/>
      <c r="E488" s="65"/>
      <c r="F488" s="69"/>
      <c r="G488" s="35"/>
      <c r="H488" s="35"/>
      <c r="I488" s="35"/>
      <c r="J488" s="43"/>
      <c r="K488" s="43"/>
    </row>
    <row r="489" spans="1:11" ht="13.5" customHeight="1" outlineLevel="1" x14ac:dyDescent="0.25">
      <c r="A489" s="43"/>
      <c r="B489" s="43"/>
      <c r="C489" s="16"/>
      <c r="D489" s="16"/>
      <c r="E489" s="64"/>
      <c r="F489" s="64"/>
      <c r="G489" s="16"/>
      <c r="H489" s="16"/>
      <c r="I489" s="16"/>
      <c r="J489" s="43"/>
      <c r="K489" s="43"/>
    </row>
    <row r="490" spans="1:11" ht="13.5" customHeight="1" outlineLevel="1" x14ac:dyDescent="0.25">
      <c r="A490" s="43"/>
      <c r="B490" s="43"/>
      <c r="C490" s="35"/>
      <c r="D490" s="35"/>
      <c r="E490" s="65"/>
      <c r="F490" s="69"/>
      <c r="G490" s="35"/>
      <c r="H490" s="35"/>
      <c r="I490" s="35"/>
      <c r="J490" s="43"/>
      <c r="K490" s="43"/>
    </row>
    <row r="491" spans="1:11" ht="13.5" customHeight="1" outlineLevel="1" x14ac:dyDescent="0.25">
      <c r="A491" s="43"/>
      <c r="B491" s="43"/>
      <c r="C491" s="16"/>
      <c r="D491" s="16"/>
      <c r="E491" s="64"/>
      <c r="F491" s="64"/>
      <c r="G491" s="16"/>
      <c r="H491" s="16"/>
      <c r="I491" s="16"/>
      <c r="J491" s="43"/>
      <c r="K491" s="43"/>
    </row>
    <row r="492" spans="1:11" ht="13.5" customHeight="1" outlineLevel="1" x14ac:dyDescent="0.25">
      <c r="A492" s="43"/>
      <c r="B492" s="43"/>
      <c r="C492" s="35"/>
      <c r="D492" s="35"/>
      <c r="E492" s="65"/>
      <c r="F492" s="69"/>
      <c r="G492" s="35"/>
      <c r="H492" s="35"/>
      <c r="I492" s="35"/>
      <c r="J492" s="43"/>
      <c r="K492" s="43"/>
    </row>
    <row r="493" spans="1:11" ht="13.5" customHeight="1" outlineLevel="1" x14ac:dyDescent="0.25">
      <c r="A493" s="43"/>
      <c r="B493" s="43"/>
      <c r="C493" s="16"/>
      <c r="D493" s="16"/>
      <c r="E493" s="64"/>
      <c r="F493" s="64"/>
      <c r="G493" s="16"/>
      <c r="H493" s="16"/>
      <c r="I493" s="16"/>
      <c r="J493" s="43"/>
      <c r="K493" s="43"/>
    </row>
    <row r="494" spans="1:11" ht="13.5" customHeight="1" outlineLevel="1" x14ac:dyDescent="0.25">
      <c r="A494" s="43"/>
      <c r="B494" s="43"/>
      <c r="C494" s="35"/>
      <c r="D494" s="35"/>
      <c r="E494" s="65"/>
      <c r="F494" s="69"/>
      <c r="G494" s="35"/>
      <c r="H494" s="35"/>
      <c r="I494" s="35"/>
      <c r="J494" s="43"/>
      <c r="K494" s="43"/>
    </row>
    <row r="495" spans="1:11" ht="13.5" customHeight="1" outlineLevel="1" x14ac:dyDescent="0.25">
      <c r="A495" s="43"/>
      <c r="B495" s="43"/>
      <c r="C495" s="16"/>
      <c r="D495" s="16"/>
      <c r="E495" s="64"/>
      <c r="F495" s="64"/>
      <c r="G495" s="16"/>
      <c r="H495" s="16"/>
      <c r="I495" s="16"/>
      <c r="J495" s="43"/>
      <c r="K495" s="43"/>
    </row>
    <row r="496" spans="1:11" ht="13.5" customHeight="1" outlineLevel="1" x14ac:dyDescent="0.25">
      <c r="A496" s="43"/>
      <c r="B496" s="43"/>
      <c r="C496" s="35"/>
      <c r="D496" s="35"/>
      <c r="E496" s="65"/>
      <c r="F496" s="69"/>
      <c r="G496" s="35"/>
      <c r="H496" s="35"/>
      <c r="I496" s="35"/>
      <c r="J496" s="43"/>
      <c r="K496" s="43"/>
    </row>
    <row r="497" spans="1:11" ht="13.5" customHeight="1" outlineLevel="1" x14ac:dyDescent="0.25">
      <c r="A497" s="43"/>
      <c r="B497" s="43"/>
      <c r="C497" s="16"/>
      <c r="D497" s="16"/>
      <c r="E497" s="64"/>
      <c r="F497" s="64"/>
      <c r="G497" s="16"/>
      <c r="H497" s="16"/>
      <c r="I497" s="16"/>
      <c r="J497" s="43"/>
      <c r="K497" s="43"/>
    </row>
    <row r="498" spans="1:11" ht="13.5" customHeight="1" outlineLevel="1" x14ac:dyDescent="0.25">
      <c r="A498" s="43"/>
      <c r="B498" s="43"/>
      <c r="C498" s="35"/>
      <c r="D498" s="35"/>
      <c r="E498" s="65"/>
      <c r="F498" s="69"/>
      <c r="G498" s="35"/>
      <c r="H498" s="35"/>
      <c r="I498" s="35"/>
      <c r="J498" s="43"/>
      <c r="K498" s="43"/>
    </row>
    <row r="499" spans="1:11" ht="13.5" customHeight="1" outlineLevel="1" x14ac:dyDescent="0.25">
      <c r="A499" s="43"/>
      <c r="B499" s="43"/>
      <c r="C499" s="16"/>
      <c r="D499" s="16"/>
      <c r="E499" s="64"/>
      <c r="F499" s="64"/>
      <c r="G499" s="16"/>
      <c r="H499" s="16"/>
      <c r="I499" s="16"/>
      <c r="J499" s="43"/>
      <c r="K499" s="43"/>
    </row>
    <row r="500" spans="1:11" ht="13.5" customHeight="1" outlineLevel="1" x14ac:dyDescent="0.25">
      <c r="A500" s="43"/>
      <c r="B500" s="43"/>
      <c r="C500" s="35"/>
      <c r="D500" s="35"/>
      <c r="E500" s="65"/>
      <c r="F500" s="69"/>
      <c r="G500" s="35"/>
      <c r="H500" s="35"/>
      <c r="I500" s="35"/>
      <c r="J500" s="43"/>
      <c r="K500" s="43"/>
    </row>
    <row r="501" spans="1:11" ht="13.5" customHeight="1" outlineLevel="1" x14ac:dyDescent="0.25">
      <c r="A501" s="43"/>
      <c r="B501" s="43"/>
      <c r="C501" s="16"/>
      <c r="D501" s="16"/>
      <c r="E501" s="64"/>
      <c r="F501" s="64"/>
      <c r="G501" s="16"/>
      <c r="H501" s="16"/>
      <c r="I501" s="16"/>
      <c r="J501" s="43"/>
      <c r="K501" s="43"/>
    </row>
    <row r="502" spans="1:11" ht="13.5" customHeight="1" outlineLevel="1" x14ac:dyDescent="0.25">
      <c r="A502" s="43"/>
      <c r="B502" s="43"/>
      <c r="C502" s="35"/>
      <c r="D502" s="35"/>
      <c r="E502" s="65"/>
      <c r="F502" s="69"/>
      <c r="G502" s="35"/>
      <c r="H502" s="35"/>
      <c r="I502" s="35"/>
      <c r="J502" s="43"/>
      <c r="K502" s="43"/>
    </row>
    <row r="503" spans="1:11" ht="13.5" customHeight="1" outlineLevel="1" x14ac:dyDescent="0.25">
      <c r="A503" s="43"/>
      <c r="B503" s="43"/>
      <c r="C503" s="16"/>
      <c r="D503" s="16"/>
      <c r="E503" s="64"/>
      <c r="F503" s="64"/>
      <c r="G503" s="16"/>
      <c r="H503" s="16"/>
      <c r="I503" s="16"/>
      <c r="J503" s="43"/>
      <c r="K503" s="43"/>
    </row>
    <row r="504" spans="1:11" ht="13.5" customHeight="1" outlineLevel="1" x14ac:dyDescent="0.25">
      <c r="A504" s="43"/>
      <c r="B504" s="43"/>
      <c r="C504" s="35"/>
      <c r="D504" s="35"/>
      <c r="E504" s="65"/>
      <c r="F504" s="69"/>
      <c r="G504" s="35"/>
      <c r="H504" s="35"/>
      <c r="I504" s="35"/>
      <c r="J504" s="43"/>
      <c r="K504" s="43"/>
    </row>
    <row r="505" spans="1:11" ht="13.5" customHeight="1" outlineLevel="1" x14ac:dyDescent="0.25">
      <c r="A505" s="43"/>
      <c r="B505" s="43"/>
      <c r="C505" s="16"/>
      <c r="D505" s="16"/>
      <c r="E505" s="64"/>
      <c r="F505" s="64"/>
      <c r="G505" s="16"/>
      <c r="H505" s="16"/>
      <c r="I505" s="16"/>
      <c r="J505" s="43"/>
      <c r="K505" s="43"/>
    </row>
    <row r="506" spans="1:11" ht="13.5" customHeight="1" outlineLevel="1" x14ac:dyDescent="0.25">
      <c r="A506" s="43"/>
      <c r="B506" s="43"/>
      <c r="C506" s="35"/>
      <c r="D506" s="35"/>
      <c r="E506" s="65"/>
      <c r="F506" s="69"/>
      <c r="G506" s="35"/>
      <c r="H506" s="35"/>
      <c r="I506" s="35"/>
      <c r="J506" s="43"/>
      <c r="K506" s="43"/>
    </row>
    <row r="507" spans="1:11" ht="13.5" customHeight="1" outlineLevel="1" x14ac:dyDescent="0.25">
      <c r="A507" s="43"/>
      <c r="B507" s="43"/>
      <c r="C507" s="16"/>
      <c r="D507" s="16"/>
      <c r="E507" s="64"/>
      <c r="F507" s="64"/>
      <c r="G507" s="16"/>
      <c r="H507" s="16"/>
      <c r="I507" s="16"/>
      <c r="J507" s="43"/>
      <c r="K507" s="43"/>
    </row>
    <row r="508" spans="1:11" ht="13.5" customHeight="1" outlineLevel="1" x14ac:dyDescent="0.25">
      <c r="A508" s="43"/>
      <c r="B508" s="43"/>
      <c r="C508" s="35"/>
      <c r="D508" s="35"/>
      <c r="E508" s="65"/>
      <c r="F508" s="69"/>
      <c r="G508" s="35"/>
      <c r="H508" s="35"/>
      <c r="I508" s="35"/>
      <c r="J508" s="43"/>
      <c r="K508" s="43"/>
    </row>
    <row r="509" spans="1:11" ht="13.5" customHeight="1" outlineLevel="1" x14ac:dyDescent="0.25">
      <c r="A509" s="43"/>
      <c r="B509" s="43"/>
      <c r="C509" s="16"/>
      <c r="D509" s="16"/>
      <c r="E509" s="64"/>
      <c r="F509" s="64"/>
      <c r="G509" s="16"/>
      <c r="H509" s="16"/>
      <c r="I509" s="16"/>
      <c r="J509" s="43"/>
      <c r="K509" s="43"/>
    </row>
    <row r="510" spans="1:11" ht="13.5" customHeight="1" x14ac:dyDescent="0.25">
      <c r="A510" s="43"/>
      <c r="B510" s="43"/>
      <c r="C510" s="35"/>
      <c r="D510" s="35"/>
      <c r="E510" s="65"/>
      <c r="F510" s="69"/>
      <c r="G510" s="35"/>
      <c r="H510" s="35"/>
      <c r="I510" s="35"/>
      <c r="J510" s="43"/>
    </row>
    <row r="511" spans="1:11" ht="13.5" customHeight="1" x14ac:dyDescent="0.25">
      <c r="A511" s="43"/>
      <c r="B511" s="43"/>
      <c r="C511" s="16"/>
      <c r="D511" s="16"/>
      <c r="E511" s="64"/>
      <c r="F511" s="64"/>
      <c r="G511" s="16"/>
      <c r="H511" s="16"/>
      <c r="I511" s="16"/>
      <c r="J511" s="43"/>
    </row>
    <row r="512" spans="1:11" ht="13.5" customHeight="1" x14ac:dyDescent="0.25">
      <c r="A512" s="43"/>
      <c r="B512" s="43"/>
      <c r="C512" s="35"/>
      <c r="D512" s="35"/>
      <c r="E512" s="65"/>
      <c r="F512" s="69"/>
      <c r="G512" s="35"/>
      <c r="H512" s="35"/>
      <c r="I512" s="35"/>
      <c r="J512" s="43"/>
    </row>
    <row r="513" spans="1:10" ht="13.5" customHeight="1" x14ac:dyDescent="0.25">
      <c r="A513" s="43"/>
      <c r="B513" s="43"/>
      <c r="C513" s="16"/>
      <c r="D513" s="16"/>
      <c r="E513" s="64"/>
      <c r="F513" s="64"/>
      <c r="G513" s="16"/>
      <c r="H513" s="16"/>
      <c r="I513" s="16"/>
      <c r="J513" s="43"/>
    </row>
    <row r="514" spans="1:10" ht="13.5" customHeight="1" x14ac:dyDescent="0.25">
      <c r="A514" s="43"/>
      <c r="B514" s="43"/>
      <c r="C514" s="35"/>
      <c r="D514" s="35"/>
      <c r="E514" s="65"/>
      <c r="F514" s="69"/>
      <c r="G514" s="35"/>
      <c r="H514" s="35"/>
      <c r="I514" s="35"/>
      <c r="J514" s="43"/>
    </row>
    <row r="515" spans="1:10" ht="13.5" customHeight="1" x14ac:dyDescent="0.25">
      <c r="A515" s="43"/>
      <c r="B515" s="43"/>
      <c r="C515" s="16"/>
      <c r="D515" s="16"/>
      <c r="E515" s="64"/>
      <c r="F515" s="64"/>
      <c r="G515" s="16"/>
      <c r="H515" s="16"/>
      <c r="I515" s="16"/>
      <c r="J515" s="43"/>
    </row>
    <row r="516" spans="1:10" ht="13.5" customHeight="1" x14ac:dyDescent="0.25">
      <c r="A516" s="43"/>
      <c r="B516" s="43"/>
      <c r="C516" s="35"/>
      <c r="D516" s="35"/>
      <c r="E516" s="65"/>
      <c r="F516" s="69"/>
      <c r="G516" s="35"/>
      <c r="H516" s="35"/>
      <c r="I516" s="35"/>
      <c r="J516" s="43"/>
    </row>
    <row r="517" spans="1:10" ht="13.5" customHeight="1" x14ac:dyDescent="0.25">
      <c r="A517" s="43"/>
      <c r="B517" s="43"/>
      <c r="C517" s="16"/>
      <c r="D517" s="16"/>
      <c r="E517" s="64"/>
      <c r="F517" s="64"/>
      <c r="G517" s="16"/>
      <c r="H517" s="16"/>
      <c r="I517" s="16"/>
      <c r="J517" s="43"/>
    </row>
    <row r="518" spans="1:10" ht="13.5" customHeight="1" x14ac:dyDescent="0.25">
      <c r="C518" s="35"/>
      <c r="D518" s="35"/>
      <c r="E518" s="65"/>
      <c r="F518" s="69"/>
      <c r="G518" s="35"/>
      <c r="H518" s="35"/>
      <c r="I518" s="35"/>
    </row>
    <row r="519" spans="1:10" ht="13.5" customHeight="1" x14ac:dyDescent="0.25">
      <c r="C519" s="16"/>
      <c r="D519" s="16"/>
      <c r="E519" s="64"/>
      <c r="F519" s="64"/>
      <c r="G519" s="16"/>
      <c r="H519" s="16"/>
      <c r="I519" s="16"/>
    </row>
    <row r="520" spans="1:10" ht="13.5" customHeight="1" x14ac:dyDescent="0.25">
      <c r="C520" s="35"/>
      <c r="D520" s="35"/>
      <c r="E520" s="65"/>
      <c r="F520" s="69"/>
      <c r="G520" s="35"/>
      <c r="H520" s="35"/>
      <c r="I520" s="35"/>
    </row>
    <row r="521" spans="1:10" ht="13.5" customHeight="1" x14ac:dyDescent="0.25">
      <c r="C521" s="16"/>
      <c r="D521" s="16"/>
      <c r="E521" s="64"/>
      <c r="F521" s="64"/>
      <c r="G521" s="16"/>
      <c r="H521" s="16"/>
      <c r="I521" s="16"/>
    </row>
    <row r="522" spans="1:10" ht="13.5" customHeight="1" x14ac:dyDescent="0.25">
      <c r="C522" s="35"/>
      <c r="D522" s="35"/>
      <c r="E522" s="65"/>
      <c r="F522" s="69"/>
      <c r="G522" s="35"/>
      <c r="H522" s="35"/>
      <c r="I522" s="35"/>
    </row>
    <row r="523" spans="1:10" ht="13.5" customHeight="1" x14ac:dyDescent="0.25">
      <c r="C523" s="16"/>
      <c r="D523" s="16"/>
      <c r="E523" s="64"/>
      <c r="F523" s="64"/>
      <c r="G523" s="16"/>
      <c r="H523" s="16"/>
      <c r="I523" s="16"/>
    </row>
    <row r="524" spans="1:10" ht="13.5" customHeight="1" x14ac:dyDescent="0.25">
      <c r="C524" s="35"/>
      <c r="D524" s="35"/>
      <c r="E524" s="65"/>
      <c r="F524" s="69"/>
      <c r="G524" s="35"/>
      <c r="H524" s="35"/>
      <c r="I524" s="35"/>
    </row>
    <row r="525" spans="1:10" ht="13.5" customHeight="1" x14ac:dyDescent="0.25">
      <c r="C525" s="16"/>
      <c r="D525" s="16"/>
      <c r="E525" s="64"/>
      <c r="F525" s="64"/>
      <c r="G525" s="16"/>
      <c r="H525" s="16"/>
      <c r="I525" s="16"/>
    </row>
    <row r="526" spans="1:10" ht="13.5" customHeight="1" x14ac:dyDescent="0.25">
      <c r="C526" s="35"/>
      <c r="D526" s="35"/>
      <c r="E526" s="65"/>
      <c r="F526" s="69"/>
      <c r="G526" s="35"/>
      <c r="H526" s="35"/>
      <c r="I526" s="35"/>
    </row>
    <row r="527" spans="1:10" ht="13.5" customHeight="1" x14ac:dyDescent="0.25">
      <c r="C527" s="16"/>
      <c r="D527" s="16"/>
      <c r="E527" s="64"/>
      <c r="F527" s="64"/>
      <c r="G527" s="16"/>
      <c r="H527" s="16"/>
      <c r="I527" s="16"/>
    </row>
    <row r="528" spans="1:10" ht="13.5" customHeight="1" x14ac:dyDescent="0.25">
      <c r="C528" s="35"/>
      <c r="D528" s="35"/>
      <c r="E528" s="65"/>
      <c r="F528" s="69"/>
      <c r="G528" s="35"/>
      <c r="H528" s="35"/>
      <c r="I528" s="35"/>
    </row>
    <row r="529" spans="3:9" ht="13.5" customHeight="1" x14ac:dyDescent="0.25">
      <c r="C529" s="16"/>
      <c r="D529" s="16"/>
      <c r="E529" s="64"/>
      <c r="F529" s="64"/>
      <c r="G529" s="16"/>
      <c r="H529" s="16"/>
      <c r="I529" s="16"/>
    </row>
    <row r="530" spans="3:9" ht="13.5" customHeight="1" x14ac:dyDescent="0.25">
      <c r="C530" s="35"/>
      <c r="D530" s="35"/>
      <c r="E530" s="65"/>
      <c r="F530" s="69"/>
      <c r="G530" s="35"/>
      <c r="H530" s="35"/>
      <c r="I530" s="35"/>
    </row>
    <row r="531" spans="3:9" ht="13.5" customHeight="1" x14ac:dyDescent="0.25">
      <c r="C531" s="16"/>
      <c r="D531" s="16"/>
      <c r="E531" s="64"/>
      <c r="F531" s="64"/>
      <c r="G531" s="16"/>
      <c r="H531" s="16"/>
      <c r="I531" s="16"/>
    </row>
    <row r="532" spans="3:9" ht="13.5" customHeight="1" x14ac:dyDescent="0.25">
      <c r="C532" s="35"/>
      <c r="D532" s="35"/>
      <c r="E532" s="65"/>
      <c r="F532" s="69"/>
      <c r="G532" s="35"/>
      <c r="H532" s="35"/>
      <c r="I532" s="35"/>
    </row>
    <row r="533" spans="3:9" ht="13.5" customHeight="1" x14ac:dyDescent="0.25">
      <c r="C533" s="16"/>
      <c r="D533" s="16"/>
      <c r="E533" s="64"/>
      <c r="F533" s="64"/>
      <c r="G533" s="16"/>
      <c r="H533" s="16"/>
      <c r="I533" s="16"/>
    </row>
    <row r="534" spans="3:9" ht="13.5" customHeight="1" x14ac:dyDescent="0.25">
      <c r="C534" s="35"/>
      <c r="D534" s="35"/>
      <c r="E534" s="65"/>
      <c r="F534" s="69"/>
      <c r="G534" s="35"/>
      <c r="H534" s="35"/>
      <c r="I534" s="35"/>
    </row>
    <row r="535" spans="3:9" ht="13.5" customHeight="1" x14ac:dyDescent="0.25">
      <c r="C535" s="16"/>
      <c r="D535" s="16"/>
      <c r="E535" s="64"/>
      <c r="F535" s="64"/>
      <c r="G535" s="16"/>
      <c r="H535" s="16"/>
      <c r="I535" s="16"/>
    </row>
    <row r="536" spans="3:9" ht="13.5" customHeight="1" x14ac:dyDescent="0.25">
      <c r="C536" s="35"/>
      <c r="D536" s="35"/>
      <c r="E536" s="65"/>
      <c r="F536" s="69"/>
      <c r="G536" s="35"/>
      <c r="H536" s="35"/>
      <c r="I536" s="35"/>
    </row>
    <row r="537" spans="3:9" ht="13.5" customHeight="1" x14ac:dyDescent="0.25">
      <c r="C537" s="16"/>
      <c r="D537" s="16"/>
      <c r="E537" s="64"/>
      <c r="F537" s="64"/>
      <c r="G537" s="16"/>
      <c r="H537" s="16"/>
      <c r="I537" s="16"/>
    </row>
    <row r="538" spans="3:9" ht="13.5" customHeight="1" x14ac:dyDescent="0.25">
      <c r="C538" s="35"/>
      <c r="D538" s="35"/>
      <c r="E538" s="65"/>
      <c r="F538" s="69"/>
      <c r="G538" s="35"/>
      <c r="H538" s="35"/>
      <c r="I538" s="35"/>
    </row>
    <row r="539" spans="3:9" ht="13.5" customHeight="1" x14ac:dyDescent="0.25">
      <c r="C539" s="16"/>
      <c r="D539" s="16"/>
      <c r="E539" s="64"/>
      <c r="F539" s="64"/>
      <c r="G539" s="16"/>
      <c r="H539" s="16"/>
      <c r="I539" s="16"/>
    </row>
    <row r="540" spans="3:9" ht="13.5" customHeight="1" x14ac:dyDescent="0.25">
      <c r="C540" s="35"/>
      <c r="D540" s="35"/>
      <c r="E540" s="65"/>
      <c r="F540" s="69"/>
      <c r="G540" s="35"/>
      <c r="H540" s="35"/>
      <c r="I540" s="35"/>
    </row>
    <row r="541" spans="3:9" ht="13.5" customHeight="1" x14ac:dyDescent="0.25">
      <c r="C541" s="16"/>
      <c r="D541" s="16"/>
      <c r="E541" s="64"/>
      <c r="F541" s="64"/>
      <c r="G541" s="16"/>
      <c r="H541" s="16"/>
      <c r="I541" s="16"/>
    </row>
    <row r="542" spans="3:9" ht="13.5" customHeight="1" x14ac:dyDescent="0.25">
      <c r="C542" s="35"/>
      <c r="D542" s="35"/>
      <c r="E542" s="65"/>
      <c r="F542" s="69"/>
      <c r="G542" s="35"/>
      <c r="H542" s="35"/>
      <c r="I542" s="35"/>
    </row>
    <row r="543" spans="3:9" ht="13.5" customHeight="1" x14ac:dyDescent="0.25">
      <c r="C543" s="16"/>
      <c r="D543" s="16"/>
      <c r="E543" s="64"/>
      <c r="F543" s="64"/>
      <c r="G543" s="16"/>
      <c r="H543" s="16"/>
      <c r="I543" s="16"/>
    </row>
    <row r="544" spans="3:9" ht="13.5" customHeight="1" x14ac:dyDescent="0.25">
      <c r="C544" s="35"/>
      <c r="D544" s="35"/>
      <c r="E544" s="65"/>
      <c r="F544" s="69"/>
      <c r="G544" s="35"/>
      <c r="H544" s="35"/>
      <c r="I544" s="35"/>
    </row>
    <row r="545" spans="3:9" ht="13.5" customHeight="1" x14ac:dyDescent="0.25">
      <c r="C545" s="16"/>
      <c r="D545" s="16"/>
      <c r="E545" s="64"/>
      <c r="F545" s="64"/>
      <c r="G545" s="16"/>
      <c r="H545" s="16"/>
      <c r="I545" s="16"/>
    </row>
    <row r="546" spans="3:9" ht="13.5" customHeight="1" x14ac:dyDescent="0.25">
      <c r="C546" s="35"/>
      <c r="D546" s="35"/>
      <c r="E546" s="65"/>
      <c r="F546" s="69"/>
      <c r="G546" s="35"/>
      <c r="H546" s="35"/>
      <c r="I546" s="35"/>
    </row>
    <row r="547" spans="3:9" ht="13.5" customHeight="1" x14ac:dyDescent="0.25">
      <c r="C547" s="16"/>
      <c r="D547" s="16"/>
      <c r="E547" s="64"/>
      <c r="F547" s="64"/>
      <c r="G547" s="16"/>
      <c r="H547" s="16"/>
      <c r="I547" s="16"/>
    </row>
    <row r="548" spans="3:9" ht="13.5" customHeight="1" x14ac:dyDescent="0.25">
      <c r="C548" s="35"/>
      <c r="D548" s="35"/>
      <c r="E548" s="65"/>
      <c r="F548" s="69"/>
      <c r="G548" s="35"/>
      <c r="H548" s="35"/>
      <c r="I548" s="35"/>
    </row>
    <row r="549" spans="3:9" ht="13.5" customHeight="1" x14ac:dyDescent="0.25">
      <c r="C549" s="16"/>
      <c r="D549" s="16"/>
      <c r="E549" s="64"/>
      <c r="F549" s="64"/>
      <c r="G549" s="16"/>
      <c r="H549" s="16"/>
      <c r="I549" s="16"/>
    </row>
    <row r="550" spans="3:9" ht="13.5" customHeight="1" x14ac:dyDescent="0.25">
      <c r="C550" s="35"/>
      <c r="D550" s="35"/>
      <c r="E550" s="65"/>
      <c r="F550" s="69"/>
      <c r="G550" s="35"/>
      <c r="H550" s="35"/>
      <c r="I550" s="35"/>
    </row>
    <row r="551" spans="3:9" ht="13.5" customHeight="1" x14ac:dyDescent="0.25">
      <c r="C551" s="16"/>
      <c r="D551" s="16"/>
      <c r="E551" s="64"/>
      <c r="F551" s="64"/>
      <c r="G551" s="16"/>
      <c r="H551" s="16"/>
      <c r="I551" s="16"/>
    </row>
    <row r="552" spans="3:9" ht="13.5" customHeight="1" x14ac:dyDescent="0.25">
      <c r="C552" s="35"/>
      <c r="D552" s="35"/>
      <c r="E552" s="65"/>
      <c r="F552" s="69"/>
      <c r="G552" s="35"/>
      <c r="H552" s="35"/>
      <c r="I552" s="35"/>
    </row>
    <row r="553" spans="3:9" ht="13.5" customHeight="1" x14ac:dyDescent="0.25">
      <c r="C553" s="16"/>
      <c r="D553" s="16"/>
      <c r="E553" s="64"/>
      <c r="F553" s="64"/>
      <c r="G553" s="16"/>
      <c r="H553" s="16"/>
      <c r="I553" s="16"/>
    </row>
    <row r="554" spans="3:9" ht="13.5" customHeight="1" x14ac:dyDescent="0.25">
      <c r="C554" s="35"/>
      <c r="D554" s="35"/>
      <c r="E554" s="65"/>
      <c r="F554" s="69"/>
      <c r="G554" s="35"/>
      <c r="H554" s="35"/>
      <c r="I554" s="35"/>
    </row>
    <row r="555" spans="3:9" ht="13.5" customHeight="1" x14ac:dyDescent="0.25">
      <c r="C555" s="16"/>
      <c r="D555" s="16"/>
      <c r="E555" s="64"/>
      <c r="F555" s="64"/>
      <c r="G555" s="16"/>
      <c r="H555" s="16"/>
      <c r="I555" s="16"/>
    </row>
    <row r="556" spans="3:9" ht="13.5" customHeight="1" x14ac:dyDescent="0.25">
      <c r="C556" s="35"/>
      <c r="D556" s="35"/>
      <c r="E556" s="65"/>
      <c r="F556" s="69"/>
      <c r="G556" s="35"/>
      <c r="H556" s="35"/>
      <c r="I556" s="35"/>
    </row>
    <row r="557" spans="3:9" ht="13.5" customHeight="1" x14ac:dyDescent="0.25">
      <c r="C557" s="16"/>
      <c r="D557" s="16"/>
      <c r="E557" s="64"/>
      <c r="F557" s="64"/>
      <c r="G557" s="16"/>
      <c r="H557" s="16"/>
      <c r="I557" s="16"/>
    </row>
    <row r="558" spans="3:9" ht="13.5" customHeight="1" x14ac:dyDescent="0.25">
      <c r="C558" s="35"/>
      <c r="D558" s="35"/>
      <c r="E558" s="65"/>
      <c r="F558" s="69"/>
      <c r="G558" s="35"/>
      <c r="H558" s="35"/>
      <c r="I558" s="35"/>
    </row>
    <row r="559" spans="3:9" ht="13.5" customHeight="1" x14ac:dyDescent="0.25">
      <c r="C559" s="16"/>
      <c r="D559" s="16"/>
      <c r="E559" s="64"/>
      <c r="F559" s="64"/>
      <c r="G559" s="16"/>
      <c r="H559" s="16"/>
      <c r="I559" s="16"/>
    </row>
    <row r="560" spans="3:9" ht="13.5" customHeight="1" x14ac:dyDescent="0.25">
      <c r="C560" s="35"/>
      <c r="D560" s="35"/>
      <c r="E560" s="65"/>
      <c r="F560" s="69"/>
      <c r="G560" s="35"/>
      <c r="H560" s="35"/>
      <c r="I560" s="35"/>
    </row>
    <row r="561" spans="3:9" ht="13.5" customHeight="1" x14ac:dyDescent="0.25">
      <c r="C561" s="16"/>
      <c r="D561" s="16"/>
      <c r="E561" s="64"/>
      <c r="F561" s="64"/>
      <c r="G561" s="16"/>
      <c r="H561" s="16"/>
      <c r="I561" s="16"/>
    </row>
    <row r="562" spans="3:9" ht="13.5" customHeight="1" x14ac:dyDescent="0.25">
      <c r="C562" s="35"/>
      <c r="D562" s="35"/>
      <c r="E562" s="65"/>
      <c r="F562" s="69"/>
      <c r="G562" s="35"/>
      <c r="H562" s="35"/>
      <c r="I562" s="35"/>
    </row>
    <row r="563" spans="3:9" ht="13.5" customHeight="1" x14ac:dyDescent="0.25">
      <c r="C563" s="16"/>
      <c r="D563" s="16"/>
      <c r="E563" s="64"/>
      <c r="F563" s="64"/>
      <c r="G563" s="16"/>
      <c r="H563" s="16"/>
      <c r="I563" s="16"/>
    </row>
    <row r="564" spans="3:9" ht="13.5" customHeight="1" x14ac:dyDescent="0.25">
      <c r="C564" s="35"/>
      <c r="D564" s="35"/>
      <c r="E564" s="65"/>
      <c r="F564" s="69"/>
      <c r="G564" s="35"/>
      <c r="H564" s="35"/>
      <c r="I564" s="35"/>
    </row>
    <row r="565" spans="3:9" ht="13.5" customHeight="1" x14ac:dyDescent="0.25">
      <c r="C565" s="16"/>
      <c r="D565" s="16"/>
      <c r="E565" s="64"/>
      <c r="F565" s="64"/>
      <c r="G565" s="16"/>
      <c r="H565" s="16"/>
      <c r="I565" s="16"/>
    </row>
    <row r="566" spans="3:9" ht="13.5" customHeight="1" x14ac:dyDescent="0.25">
      <c r="C566" s="35"/>
      <c r="D566" s="35"/>
      <c r="E566" s="65"/>
      <c r="F566" s="69"/>
      <c r="G566" s="35"/>
      <c r="H566" s="35"/>
      <c r="I566" s="35"/>
    </row>
    <row r="567" spans="3:9" ht="13.5" customHeight="1" x14ac:dyDescent="0.25">
      <c r="C567" s="16"/>
      <c r="D567" s="16"/>
      <c r="E567" s="64"/>
      <c r="F567" s="64"/>
      <c r="G567" s="16"/>
      <c r="H567" s="16"/>
      <c r="I567" s="16"/>
    </row>
    <row r="568" spans="3:9" ht="13.5" customHeight="1" x14ac:dyDescent="0.25">
      <c r="C568" s="35"/>
      <c r="D568" s="35"/>
      <c r="E568" s="65"/>
      <c r="F568" s="69"/>
      <c r="G568" s="35"/>
      <c r="H568" s="35"/>
      <c r="I568" s="35"/>
    </row>
    <row r="569" spans="3:9" ht="13.5" customHeight="1" x14ac:dyDescent="0.25">
      <c r="C569" s="16"/>
      <c r="D569" s="16"/>
      <c r="E569" s="64"/>
      <c r="F569" s="64"/>
      <c r="G569" s="16"/>
      <c r="H569" s="16"/>
      <c r="I569" s="16"/>
    </row>
    <row r="570" spans="3:9" ht="13.5" customHeight="1" x14ac:dyDescent="0.25">
      <c r="C570" s="35"/>
      <c r="D570" s="35"/>
      <c r="E570" s="65"/>
      <c r="F570" s="69"/>
      <c r="G570" s="35"/>
      <c r="H570" s="35"/>
      <c r="I570" s="35"/>
    </row>
    <row r="571" spans="3:9" ht="13.5" customHeight="1" x14ac:dyDescent="0.25">
      <c r="C571" s="16"/>
      <c r="D571" s="16"/>
      <c r="E571" s="64"/>
      <c r="F571" s="64"/>
      <c r="G571" s="16"/>
      <c r="H571" s="16"/>
      <c r="I571" s="16"/>
    </row>
    <row r="572" spans="3:9" ht="13.5" customHeight="1" x14ac:dyDescent="0.25">
      <c r="C572" s="35"/>
      <c r="D572" s="35"/>
      <c r="E572" s="65"/>
      <c r="F572" s="69"/>
      <c r="G572" s="35"/>
      <c r="H572" s="35"/>
      <c r="I572" s="35"/>
    </row>
    <row r="573" spans="3:9" ht="13.5" customHeight="1" x14ac:dyDescent="0.25">
      <c r="C573" s="16"/>
      <c r="D573" s="16"/>
      <c r="E573" s="64"/>
      <c r="F573" s="64"/>
      <c r="G573" s="16"/>
      <c r="H573" s="16"/>
      <c r="I573" s="16"/>
    </row>
    <row r="574" spans="3:9" ht="13.5" customHeight="1" x14ac:dyDescent="0.25">
      <c r="C574" s="35"/>
      <c r="D574" s="35"/>
      <c r="E574" s="65"/>
      <c r="F574" s="69"/>
      <c r="G574" s="35"/>
      <c r="H574" s="35"/>
      <c r="I574" s="35"/>
    </row>
    <row r="575" spans="3:9" ht="13.5" customHeight="1" x14ac:dyDescent="0.25">
      <c r="C575" s="16"/>
      <c r="D575" s="16"/>
      <c r="E575" s="64"/>
      <c r="F575" s="64"/>
      <c r="G575" s="16"/>
      <c r="H575" s="16"/>
      <c r="I575" s="16"/>
    </row>
    <row r="576" spans="3:9" ht="13.5" customHeight="1" x14ac:dyDescent="0.25">
      <c r="C576" s="35"/>
      <c r="D576" s="35"/>
      <c r="E576" s="65"/>
      <c r="F576" s="69"/>
      <c r="G576" s="35"/>
      <c r="H576" s="35"/>
      <c r="I576" s="35"/>
    </row>
    <row r="577" spans="3:9" ht="13.5" customHeight="1" x14ac:dyDescent="0.25">
      <c r="C577" s="16"/>
      <c r="D577" s="16"/>
      <c r="E577" s="64"/>
      <c r="F577" s="64"/>
      <c r="G577" s="16"/>
      <c r="H577" s="16"/>
      <c r="I577" s="16"/>
    </row>
    <row r="578" spans="3:9" ht="13.5" customHeight="1" x14ac:dyDescent="0.25">
      <c r="C578" s="35"/>
      <c r="D578" s="35"/>
      <c r="E578" s="65"/>
      <c r="F578" s="69"/>
      <c r="G578" s="35"/>
      <c r="H578" s="35"/>
      <c r="I578" s="35"/>
    </row>
    <row r="579" spans="3:9" ht="13.5" customHeight="1" x14ac:dyDescent="0.25">
      <c r="C579" s="16"/>
      <c r="D579" s="16"/>
      <c r="E579" s="64"/>
      <c r="F579" s="64"/>
      <c r="G579" s="16"/>
      <c r="H579" s="16"/>
      <c r="I579" s="16"/>
    </row>
    <row r="580" spans="3:9" ht="13.5" customHeight="1" x14ac:dyDescent="0.25">
      <c r="C580" s="35"/>
      <c r="D580" s="35"/>
      <c r="E580" s="65"/>
      <c r="F580" s="69"/>
      <c r="G580" s="35"/>
      <c r="H580" s="35"/>
      <c r="I580" s="35"/>
    </row>
    <row r="581" spans="3:9" ht="13.5" customHeight="1" x14ac:dyDescent="0.25">
      <c r="C581" s="16"/>
      <c r="D581" s="16"/>
      <c r="E581" s="64"/>
      <c r="F581" s="64"/>
      <c r="G581" s="16"/>
      <c r="H581" s="16"/>
      <c r="I581" s="16"/>
    </row>
    <row r="582" spans="3:9" ht="13.5" customHeight="1" x14ac:dyDescent="0.25">
      <c r="C582" s="35"/>
      <c r="D582" s="35"/>
      <c r="E582" s="65"/>
      <c r="F582" s="69"/>
      <c r="G582" s="35"/>
      <c r="H582" s="35"/>
      <c r="I582" s="35"/>
    </row>
    <row r="583" spans="3:9" ht="13.5" customHeight="1" x14ac:dyDescent="0.25">
      <c r="C583" s="16"/>
      <c r="D583" s="16"/>
      <c r="E583" s="64"/>
      <c r="F583" s="64"/>
      <c r="G583" s="16"/>
      <c r="H583" s="16"/>
      <c r="I583" s="16"/>
    </row>
    <row r="584" spans="3:9" ht="13.5" customHeight="1" x14ac:dyDescent="0.25">
      <c r="C584" s="35"/>
      <c r="D584" s="35"/>
      <c r="E584" s="65"/>
      <c r="F584" s="69"/>
      <c r="G584" s="35"/>
      <c r="H584" s="35"/>
      <c r="I584" s="35"/>
    </row>
    <row r="585" spans="3:9" ht="13.5" customHeight="1" x14ac:dyDescent="0.25">
      <c r="C585" s="16"/>
      <c r="D585" s="16"/>
      <c r="E585" s="64"/>
      <c r="F585" s="64"/>
      <c r="G585" s="16"/>
      <c r="H585" s="16"/>
      <c r="I585" s="16"/>
    </row>
    <row r="586" spans="3:9" ht="13.5" customHeight="1" x14ac:dyDescent="0.25">
      <c r="C586" s="35"/>
      <c r="D586" s="35"/>
      <c r="E586" s="65"/>
      <c r="F586" s="69"/>
      <c r="G586" s="35"/>
      <c r="H586" s="35"/>
      <c r="I586" s="35"/>
    </row>
    <row r="587" spans="3:9" ht="13.5" customHeight="1" x14ac:dyDescent="0.25">
      <c r="C587" s="16"/>
      <c r="D587" s="16"/>
      <c r="E587" s="64"/>
      <c r="F587" s="64"/>
      <c r="G587" s="16"/>
      <c r="H587" s="16"/>
      <c r="I587" s="16"/>
    </row>
    <row r="588" spans="3:9" ht="13.5" customHeight="1" x14ac:dyDescent="0.25">
      <c r="C588" s="35"/>
      <c r="D588" s="35"/>
      <c r="E588" s="65"/>
      <c r="F588" s="69"/>
      <c r="G588" s="35"/>
      <c r="H588" s="35"/>
      <c r="I588" s="35"/>
    </row>
    <row r="589" spans="3:9" ht="13.5" customHeight="1" x14ac:dyDescent="0.25">
      <c r="C589" s="16"/>
      <c r="D589" s="16"/>
      <c r="E589" s="64"/>
      <c r="F589" s="64"/>
      <c r="G589" s="16"/>
      <c r="H589" s="16"/>
      <c r="I589" s="16"/>
    </row>
    <row r="590" spans="3:9" ht="13.5" customHeight="1" x14ac:dyDescent="0.25">
      <c r="C590" s="35"/>
      <c r="D590" s="35"/>
      <c r="E590" s="65"/>
      <c r="F590" s="69"/>
      <c r="G590" s="35"/>
      <c r="H590" s="35"/>
      <c r="I590" s="35"/>
    </row>
    <row r="591" spans="3:9" ht="13.5" customHeight="1" x14ac:dyDescent="0.25">
      <c r="C591" s="16"/>
      <c r="D591" s="16"/>
      <c r="E591" s="64"/>
      <c r="F591" s="64"/>
      <c r="G591" s="16"/>
      <c r="H591" s="16"/>
      <c r="I591" s="16"/>
    </row>
    <row r="592" spans="3:9" ht="13.5" customHeight="1" x14ac:dyDescent="0.25">
      <c r="C592" s="35"/>
      <c r="D592" s="35"/>
      <c r="E592" s="65"/>
      <c r="F592" s="69"/>
      <c r="G592" s="35"/>
      <c r="H592" s="35"/>
      <c r="I592" s="35"/>
    </row>
    <row r="593" spans="3:9" ht="13.5" customHeight="1" x14ac:dyDescent="0.25">
      <c r="C593" s="16"/>
      <c r="D593" s="16"/>
      <c r="E593" s="64"/>
      <c r="F593" s="64"/>
      <c r="G593" s="16"/>
      <c r="H593" s="16"/>
      <c r="I593" s="16"/>
    </row>
    <row r="594" spans="3:9" ht="13.5" customHeight="1" x14ac:dyDescent="0.25">
      <c r="C594" s="35"/>
      <c r="D594" s="35"/>
      <c r="E594" s="65"/>
      <c r="F594" s="69"/>
      <c r="G594" s="35"/>
      <c r="H594" s="35"/>
      <c r="I594" s="35"/>
    </row>
    <row r="595" spans="3:9" ht="13.5" customHeight="1" x14ac:dyDescent="0.25">
      <c r="C595" s="16"/>
      <c r="D595" s="16"/>
      <c r="E595" s="64"/>
      <c r="F595" s="64"/>
      <c r="G595" s="16"/>
      <c r="H595" s="16"/>
      <c r="I595" s="16"/>
    </row>
    <row r="596" spans="3:9" ht="13.5" customHeight="1" x14ac:dyDescent="0.25">
      <c r="C596" s="35"/>
      <c r="D596" s="35"/>
      <c r="E596" s="65"/>
      <c r="F596" s="69"/>
      <c r="G596" s="35"/>
      <c r="H596" s="35"/>
      <c r="I596" s="35"/>
    </row>
    <row r="597" spans="3:9" ht="13.5" customHeight="1" x14ac:dyDescent="0.25">
      <c r="C597" s="16"/>
      <c r="D597" s="16"/>
      <c r="E597" s="64"/>
      <c r="F597" s="64"/>
      <c r="G597" s="16"/>
      <c r="H597" s="16"/>
      <c r="I597" s="16"/>
    </row>
    <row r="598" spans="3:9" ht="13.5" customHeight="1" x14ac:dyDescent="0.25">
      <c r="C598" s="35"/>
      <c r="D598" s="35"/>
      <c r="E598" s="65"/>
      <c r="F598" s="69"/>
      <c r="G598" s="35"/>
      <c r="H598" s="35"/>
      <c r="I598" s="35"/>
    </row>
    <row r="599" spans="3:9" ht="13.5" customHeight="1" x14ac:dyDescent="0.25">
      <c r="C599" s="16"/>
      <c r="D599" s="16"/>
      <c r="E599" s="64"/>
      <c r="F599" s="64"/>
      <c r="G599" s="16"/>
      <c r="H599" s="16"/>
      <c r="I599" s="16"/>
    </row>
    <row r="600" spans="3:9" ht="13.5" customHeight="1" x14ac:dyDescent="0.25">
      <c r="C600" s="35"/>
      <c r="D600" s="35"/>
      <c r="E600" s="65"/>
      <c r="F600" s="69"/>
      <c r="G600" s="35"/>
      <c r="H600" s="35"/>
      <c r="I600" s="35"/>
    </row>
    <row r="601" spans="3:9" ht="13.5" customHeight="1" x14ac:dyDescent="0.25">
      <c r="C601" s="16"/>
      <c r="D601" s="16"/>
      <c r="E601" s="64"/>
      <c r="F601" s="64"/>
      <c r="G601" s="16"/>
      <c r="H601" s="16"/>
      <c r="I601" s="16"/>
    </row>
    <row r="602" spans="3:9" ht="13.5" customHeight="1" x14ac:dyDescent="0.25">
      <c r="C602" s="35"/>
      <c r="D602" s="35"/>
      <c r="E602" s="65"/>
      <c r="F602" s="69"/>
      <c r="G602" s="35"/>
      <c r="H602" s="35"/>
      <c r="I602" s="35"/>
    </row>
    <row r="603" spans="3:9" ht="13.5" customHeight="1" x14ac:dyDescent="0.25">
      <c r="C603" s="16"/>
      <c r="D603" s="16"/>
      <c r="E603" s="64"/>
      <c r="F603" s="64"/>
      <c r="G603" s="16"/>
      <c r="H603" s="16"/>
      <c r="I603" s="16"/>
    </row>
    <row r="604" spans="3:9" ht="13.5" customHeight="1" x14ac:dyDescent="0.25">
      <c r="C604" s="35"/>
      <c r="D604" s="35"/>
      <c r="E604" s="65"/>
      <c r="F604" s="69"/>
      <c r="G604" s="35"/>
      <c r="H604" s="35"/>
      <c r="I604" s="35"/>
    </row>
    <row r="605" spans="3:9" ht="13.5" customHeight="1" x14ac:dyDescent="0.25">
      <c r="C605" s="16"/>
      <c r="D605" s="16"/>
      <c r="E605" s="64"/>
      <c r="F605" s="64"/>
      <c r="G605" s="16"/>
      <c r="H605" s="16"/>
      <c r="I605" s="16"/>
    </row>
    <row r="606" spans="3:9" ht="13.5" customHeight="1" x14ac:dyDescent="0.25">
      <c r="C606" s="35"/>
      <c r="D606" s="35"/>
      <c r="E606" s="65"/>
      <c r="F606" s="69"/>
      <c r="G606" s="35"/>
      <c r="H606" s="35"/>
      <c r="I606" s="35"/>
    </row>
    <row r="607" spans="3:9" ht="13.5" customHeight="1" x14ac:dyDescent="0.25">
      <c r="C607" s="16"/>
      <c r="D607" s="16"/>
      <c r="E607" s="64"/>
      <c r="F607" s="64"/>
      <c r="G607" s="16"/>
      <c r="H607" s="16"/>
      <c r="I607" s="16"/>
    </row>
    <row r="608" spans="3:9" ht="13.5" customHeight="1" x14ac:dyDescent="0.25">
      <c r="C608" s="35"/>
      <c r="D608" s="35"/>
      <c r="E608" s="65"/>
      <c r="F608" s="69"/>
      <c r="G608" s="35"/>
      <c r="H608" s="35"/>
      <c r="I608" s="35"/>
    </row>
    <row r="609" spans="3:9" ht="13.5" customHeight="1" x14ac:dyDescent="0.25">
      <c r="C609" s="16"/>
      <c r="D609" s="16"/>
      <c r="E609" s="64"/>
      <c r="F609" s="64"/>
      <c r="G609" s="16"/>
      <c r="H609" s="16"/>
      <c r="I609" s="16"/>
    </row>
    <row r="610" spans="3:9" ht="13.5" customHeight="1" x14ac:dyDescent="0.25">
      <c r="C610" s="35"/>
      <c r="D610" s="35"/>
      <c r="E610" s="65"/>
      <c r="F610" s="69"/>
      <c r="G610" s="35"/>
      <c r="H610" s="35"/>
      <c r="I610" s="35"/>
    </row>
    <row r="611" spans="3:9" ht="13.5" customHeight="1" x14ac:dyDescent="0.25">
      <c r="C611" s="16"/>
      <c r="D611" s="16"/>
      <c r="E611" s="64"/>
      <c r="F611" s="64"/>
      <c r="G611" s="16"/>
      <c r="H611" s="16"/>
      <c r="I611" s="16"/>
    </row>
    <row r="612" spans="3:9" ht="13.5" customHeight="1" x14ac:dyDescent="0.25">
      <c r="C612" s="35"/>
      <c r="D612" s="35"/>
      <c r="E612" s="65"/>
      <c r="F612" s="69"/>
      <c r="G612" s="35"/>
      <c r="H612" s="35"/>
      <c r="I612" s="35"/>
    </row>
    <row r="613" spans="3:9" ht="13.5" customHeight="1" x14ac:dyDescent="0.25">
      <c r="C613" s="16"/>
      <c r="D613" s="16"/>
      <c r="E613" s="64"/>
      <c r="F613" s="64"/>
      <c r="G613" s="16"/>
      <c r="H613" s="16"/>
      <c r="I613" s="16"/>
    </row>
    <row r="614" spans="3:9" ht="13.5" customHeight="1" x14ac:dyDescent="0.25">
      <c r="C614" s="35"/>
      <c r="D614" s="35"/>
      <c r="E614" s="65"/>
      <c r="F614" s="69"/>
      <c r="G614" s="35"/>
      <c r="H614" s="35"/>
      <c r="I614" s="35"/>
    </row>
    <row r="615" spans="3:9" ht="13.5" customHeight="1" x14ac:dyDescent="0.25">
      <c r="C615" s="16"/>
      <c r="D615" s="16"/>
      <c r="E615" s="64"/>
      <c r="F615" s="64"/>
      <c r="G615" s="16"/>
      <c r="H615" s="16"/>
      <c r="I615" s="16"/>
    </row>
    <row r="616" spans="3:9" ht="13.5" customHeight="1" x14ac:dyDescent="0.25">
      <c r="C616" s="35"/>
      <c r="D616" s="35"/>
      <c r="E616" s="65"/>
      <c r="F616" s="69"/>
      <c r="G616" s="35"/>
      <c r="H616" s="35"/>
      <c r="I616" s="35"/>
    </row>
    <row r="617" spans="3:9" ht="13.5" customHeight="1" x14ac:dyDescent="0.25">
      <c r="C617" s="16"/>
      <c r="D617" s="16"/>
      <c r="E617" s="64"/>
      <c r="F617" s="64"/>
      <c r="G617" s="16"/>
      <c r="H617" s="16"/>
      <c r="I617" s="16"/>
    </row>
    <row r="618" spans="3:9" ht="13.5" customHeight="1" x14ac:dyDescent="0.25">
      <c r="C618" s="35"/>
      <c r="D618" s="35"/>
      <c r="E618" s="65"/>
      <c r="F618" s="69"/>
      <c r="G618" s="35"/>
      <c r="H618" s="35"/>
      <c r="I618" s="35"/>
    </row>
    <row r="619" spans="3:9" ht="13.5" customHeight="1" x14ac:dyDescent="0.25">
      <c r="C619" s="16"/>
      <c r="D619" s="16"/>
      <c r="E619" s="64"/>
      <c r="F619" s="64"/>
      <c r="G619" s="16"/>
      <c r="H619" s="16"/>
      <c r="I619" s="16"/>
    </row>
    <row r="620" spans="3:9" ht="13.5" customHeight="1" x14ac:dyDescent="0.25">
      <c r="C620" s="35"/>
      <c r="D620" s="35"/>
      <c r="E620" s="65"/>
      <c r="F620" s="69"/>
      <c r="G620" s="35"/>
      <c r="H620" s="35"/>
      <c r="I620" s="35"/>
    </row>
    <row r="621" spans="3:9" ht="13.5" customHeight="1" x14ac:dyDescent="0.25">
      <c r="C621" s="16"/>
      <c r="D621" s="16"/>
      <c r="E621" s="64"/>
      <c r="F621" s="64"/>
      <c r="G621" s="16"/>
      <c r="H621" s="16"/>
      <c r="I621" s="16"/>
    </row>
    <row r="622" spans="3:9" ht="13.5" customHeight="1" x14ac:dyDescent="0.25">
      <c r="C622" s="35"/>
      <c r="D622" s="35"/>
      <c r="E622" s="65"/>
      <c r="F622" s="69"/>
      <c r="G622" s="35"/>
      <c r="H622" s="35"/>
      <c r="I622" s="35"/>
    </row>
    <row r="623" spans="3:9" ht="13.5" customHeight="1" x14ac:dyDescent="0.25">
      <c r="C623" s="16"/>
      <c r="D623" s="16"/>
      <c r="E623" s="64"/>
      <c r="F623" s="64"/>
      <c r="G623" s="16"/>
      <c r="H623" s="16"/>
      <c r="I623" s="16"/>
    </row>
    <row r="624" spans="3:9" ht="13.5" customHeight="1" x14ac:dyDescent="0.25">
      <c r="C624" s="35"/>
      <c r="D624" s="35"/>
      <c r="E624" s="65"/>
      <c r="F624" s="69"/>
      <c r="G624" s="35"/>
      <c r="H624" s="35"/>
      <c r="I624" s="35"/>
    </row>
    <row r="625" spans="3:9" ht="13.5" customHeight="1" x14ac:dyDescent="0.25">
      <c r="C625" s="16"/>
      <c r="D625" s="16"/>
      <c r="E625" s="64"/>
      <c r="F625" s="64"/>
      <c r="G625" s="16"/>
      <c r="H625" s="16"/>
      <c r="I625" s="16"/>
    </row>
    <row r="626" spans="3:9" ht="13.5" customHeight="1" x14ac:dyDescent="0.25">
      <c r="C626" s="35"/>
      <c r="D626" s="35"/>
      <c r="E626" s="65"/>
      <c r="F626" s="69"/>
      <c r="G626" s="35"/>
      <c r="H626" s="35"/>
      <c r="I626" s="35"/>
    </row>
    <row r="627" spans="3:9" ht="13.5" customHeight="1" x14ac:dyDescent="0.25">
      <c r="C627" s="16"/>
      <c r="D627" s="16"/>
      <c r="E627" s="64"/>
      <c r="F627" s="64"/>
      <c r="G627" s="16"/>
      <c r="H627" s="16"/>
      <c r="I627" s="16"/>
    </row>
    <row r="628" spans="3:9" ht="13.5" customHeight="1" x14ac:dyDescent="0.25">
      <c r="C628" s="35"/>
      <c r="D628" s="35"/>
      <c r="E628" s="65"/>
      <c r="F628" s="69"/>
      <c r="G628" s="35"/>
      <c r="H628" s="35"/>
      <c r="I628" s="35"/>
    </row>
    <row r="629" spans="3:9" ht="13.5" customHeight="1" x14ac:dyDescent="0.25">
      <c r="C629" s="16"/>
      <c r="D629" s="16"/>
      <c r="E629" s="64"/>
      <c r="F629" s="64"/>
      <c r="G629" s="16"/>
      <c r="H629" s="16"/>
      <c r="I629" s="16"/>
    </row>
    <row r="630" spans="3:9" ht="13.5" customHeight="1" x14ac:dyDescent="0.25">
      <c r="C630" s="35"/>
      <c r="D630" s="35"/>
      <c r="E630" s="65"/>
      <c r="F630" s="69"/>
      <c r="G630" s="35"/>
      <c r="H630" s="35"/>
      <c r="I630" s="35"/>
    </row>
    <row r="631" spans="3:9" ht="13.5" customHeight="1" x14ac:dyDescent="0.25">
      <c r="C631" s="16"/>
      <c r="D631" s="16"/>
      <c r="E631" s="64"/>
      <c r="F631" s="64"/>
      <c r="G631" s="16"/>
      <c r="H631" s="16"/>
      <c r="I631" s="16"/>
    </row>
    <row r="632" spans="3:9" ht="13.5" customHeight="1" x14ac:dyDescent="0.25">
      <c r="C632" s="35"/>
      <c r="D632" s="35"/>
      <c r="E632" s="65"/>
      <c r="F632" s="69"/>
      <c r="G632" s="35"/>
      <c r="H632" s="35"/>
      <c r="I632" s="35"/>
    </row>
    <row r="633" spans="3:9" ht="13.5" customHeight="1" x14ac:dyDescent="0.25">
      <c r="C633" s="16"/>
      <c r="D633" s="16"/>
      <c r="E633" s="64"/>
      <c r="F633" s="64"/>
      <c r="G633" s="16"/>
      <c r="H633" s="16"/>
      <c r="I633" s="16"/>
    </row>
    <row r="634" spans="3:9" ht="13.5" customHeight="1" x14ac:dyDescent="0.25">
      <c r="C634" s="35"/>
      <c r="D634" s="35"/>
      <c r="E634" s="65"/>
      <c r="F634" s="69"/>
      <c r="G634" s="35"/>
      <c r="H634" s="35"/>
      <c r="I634" s="35"/>
    </row>
    <row r="635" spans="3:9" ht="13.5" customHeight="1" x14ac:dyDescent="0.25">
      <c r="C635" s="16"/>
      <c r="D635" s="16"/>
      <c r="E635" s="64"/>
      <c r="F635" s="64"/>
      <c r="G635" s="16"/>
      <c r="H635" s="16"/>
      <c r="I635" s="16"/>
    </row>
    <row r="636" spans="3:9" ht="13.5" customHeight="1" x14ac:dyDescent="0.25">
      <c r="C636" s="35"/>
      <c r="D636" s="35"/>
      <c r="E636" s="65"/>
      <c r="F636" s="69"/>
      <c r="G636" s="35"/>
      <c r="H636" s="35"/>
      <c r="I636" s="35"/>
    </row>
    <row r="637" spans="3:9" ht="13.5" customHeight="1" x14ac:dyDescent="0.25">
      <c r="C637" s="16"/>
      <c r="D637" s="16"/>
      <c r="E637" s="64"/>
      <c r="F637" s="64"/>
      <c r="G637" s="16"/>
      <c r="H637" s="16"/>
      <c r="I637" s="16"/>
    </row>
    <row r="638" spans="3:9" ht="13.5" customHeight="1" x14ac:dyDescent="0.25">
      <c r="C638" s="35"/>
      <c r="D638" s="35"/>
      <c r="E638" s="65"/>
      <c r="F638" s="69"/>
      <c r="G638" s="35"/>
      <c r="H638" s="35"/>
      <c r="I638" s="35"/>
    </row>
    <row r="639" spans="3:9" ht="13.5" customHeight="1" x14ac:dyDescent="0.25">
      <c r="C639" s="16"/>
      <c r="D639" s="16"/>
      <c r="E639" s="64"/>
      <c r="F639" s="64"/>
      <c r="G639" s="16"/>
      <c r="H639" s="16"/>
      <c r="I639" s="16"/>
    </row>
    <row r="640" spans="3:9" ht="13.5" customHeight="1" x14ac:dyDescent="0.25">
      <c r="C640" s="35"/>
      <c r="D640" s="35"/>
      <c r="E640" s="65"/>
      <c r="F640" s="69"/>
      <c r="G640" s="35"/>
      <c r="H640" s="35"/>
      <c r="I640" s="35"/>
    </row>
    <row r="641" spans="3:9" ht="13.5" customHeight="1" x14ac:dyDescent="0.25">
      <c r="C641" s="16"/>
      <c r="D641" s="16"/>
      <c r="E641" s="64"/>
      <c r="F641" s="64"/>
      <c r="G641" s="16"/>
      <c r="H641" s="16"/>
      <c r="I641" s="16"/>
    </row>
    <row r="642" spans="3:9" ht="13.5" customHeight="1" x14ac:dyDescent="0.25">
      <c r="C642" s="35"/>
      <c r="D642" s="35"/>
      <c r="E642" s="65"/>
      <c r="F642" s="69"/>
      <c r="G642" s="35"/>
      <c r="H642" s="35"/>
      <c r="I642" s="35"/>
    </row>
    <row r="643" spans="3:9" ht="13.5" customHeight="1" x14ac:dyDescent="0.25">
      <c r="C643" s="16"/>
      <c r="D643" s="16"/>
      <c r="E643" s="64"/>
      <c r="F643" s="64"/>
      <c r="G643" s="16"/>
      <c r="H643" s="16"/>
      <c r="I643" s="16"/>
    </row>
    <row r="644" spans="3:9" ht="13.5" customHeight="1" x14ac:dyDescent="0.25">
      <c r="C644" s="35"/>
      <c r="D644" s="35"/>
      <c r="E644" s="65"/>
      <c r="F644" s="69"/>
      <c r="G644" s="35"/>
      <c r="H644" s="35"/>
      <c r="I644" s="35"/>
    </row>
    <row r="645" spans="3:9" ht="13.5" customHeight="1" x14ac:dyDescent="0.25">
      <c r="C645" s="16"/>
      <c r="D645" s="16"/>
      <c r="E645" s="64"/>
      <c r="F645" s="64"/>
      <c r="G645" s="16"/>
      <c r="H645" s="16"/>
      <c r="I645" s="16"/>
    </row>
    <row r="646" spans="3:9" ht="13.5" customHeight="1" x14ac:dyDescent="0.25">
      <c r="C646" s="35"/>
      <c r="D646" s="35"/>
      <c r="E646" s="65"/>
      <c r="F646" s="69"/>
      <c r="G646" s="35"/>
      <c r="H646" s="35"/>
      <c r="I646" s="35"/>
    </row>
    <row r="647" spans="3:9" ht="13.5" customHeight="1" x14ac:dyDescent="0.25">
      <c r="C647" s="16"/>
      <c r="D647" s="16"/>
      <c r="E647" s="64"/>
      <c r="F647" s="64"/>
      <c r="G647" s="16"/>
      <c r="H647" s="16"/>
      <c r="I647" s="16"/>
    </row>
    <row r="648" spans="3:9" ht="13.5" customHeight="1" x14ac:dyDescent="0.25">
      <c r="C648" s="35"/>
      <c r="D648" s="35"/>
      <c r="E648" s="65"/>
      <c r="F648" s="69"/>
      <c r="G648" s="35"/>
      <c r="H648" s="35"/>
      <c r="I648" s="35"/>
    </row>
    <row r="649" spans="3:9" ht="13.5" customHeight="1" x14ac:dyDescent="0.25">
      <c r="C649" s="16"/>
      <c r="D649" s="16"/>
      <c r="E649" s="64"/>
      <c r="F649" s="64"/>
      <c r="G649" s="16"/>
      <c r="H649" s="16"/>
      <c r="I649" s="16"/>
    </row>
    <row r="650" spans="3:9" ht="13.5" customHeight="1" x14ac:dyDescent="0.25">
      <c r="C650" s="35"/>
      <c r="D650" s="35"/>
      <c r="E650" s="65"/>
      <c r="F650" s="69"/>
      <c r="G650" s="35"/>
      <c r="H650" s="35"/>
      <c r="I650" s="35"/>
    </row>
    <row r="651" spans="3:9" ht="13.5" customHeight="1" x14ac:dyDescent="0.25">
      <c r="C651" s="16"/>
      <c r="D651" s="16"/>
      <c r="E651" s="64"/>
      <c r="F651" s="64"/>
      <c r="G651" s="16"/>
      <c r="H651" s="16"/>
      <c r="I651" s="16"/>
    </row>
    <row r="652" spans="3:9" ht="13.5" customHeight="1" x14ac:dyDescent="0.25">
      <c r="C652" s="35"/>
      <c r="D652" s="35"/>
      <c r="E652" s="65"/>
      <c r="F652" s="69"/>
      <c r="G652" s="35"/>
      <c r="H652" s="35"/>
      <c r="I652" s="35"/>
    </row>
    <row r="653" spans="3:9" ht="13.5" customHeight="1" x14ac:dyDescent="0.25">
      <c r="C653" s="16"/>
      <c r="D653" s="16"/>
      <c r="E653" s="64"/>
      <c r="F653" s="64"/>
      <c r="G653" s="16"/>
      <c r="H653" s="16"/>
      <c r="I653" s="16"/>
    </row>
    <row r="654" spans="3:9" ht="13.5" customHeight="1" x14ac:dyDescent="0.25">
      <c r="C654" s="35"/>
      <c r="D654" s="35"/>
      <c r="E654" s="65"/>
      <c r="F654" s="69"/>
      <c r="G654" s="35"/>
      <c r="H654" s="35"/>
      <c r="I654" s="35"/>
    </row>
    <row r="655" spans="3:9" ht="13.5" customHeight="1" x14ac:dyDescent="0.25">
      <c r="C655" s="16"/>
      <c r="D655" s="16"/>
      <c r="E655" s="64"/>
      <c r="F655" s="64"/>
      <c r="G655" s="16"/>
      <c r="H655" s="16"/>
      <c r="I655" s="16"/>
    </row>
    <row r="656" spans="3:9" ht="13.5" customHeight="1" x14ac:dyDescent="0.25">
      <c r="C656" s="35"/>
      <c r="D656" s="35"/>
      <c r="E656" s="65"/>
      <c r="F656" s="69"/>
      <c r="G656" s="35"/>
      <c r="H656" s="35"/>
      <c r="I656" s="35"/>
    </row>
    <row r="657" spans="3:9" ht="13.5" customHeight="1" x14ac:dyDescent="0.25">
      <c r="C657" s="16"/>
      <c r="D657" s="16"/>
      <c r="E657" s="64"/>
      <c r="F657" s="64"/>
      <c r="G657" s="16"/>
      <c r="H657" s="16"/>
      <c r="I657" s="16"/>
    </row>
    <row r="658" spans="3:9" ht="13.5" customHeight="1" x14ac:dyDescent="0.25">
      <c r="C658" s="35"/>
      <c r="D658" s="35"/>
      <c r="E658" s="65"/>
      <c r="F658" s="69"/>
      <c r="G658" s="35"/>
      <c r="H658" s="35"/>
      <c r="I658" s="35"/>
    </row>
    <row r="659" spans="3:9" ht="13.5" customHeight="1" x14ac:dyDescent="0.25">
      <c r="C659" s="16"/>
      <c r="D659" s="16"/>
      <c r="E659" s="64"/>
      <c r="F659" s="64"/>
      <c r="G659" s="16"/>
      <c r="H659" s="16"/>
      <c r="I659" s="16"/>
    </row>
    <row r="660" spans="3:9" ht="13.5" customHeight="1" x14ac:dyDescent="0.25">
      <c r="C660" s="35"/>
      <c r="D660" s="35"/>
      <c r="E660" s="65"/>
      <c r="F660" s="69"/>
      <c r="G660" s="35"/>
      <c r="H660" s="35"/>
      <c r="I660" s="35"/>
    </row>
    <row r="661" spans="3:9" ht="13.5" customHeight="1" x14ac:dyDescent="0.25">
      <c r="C661" s="16"/>
      <c r="D661" s="16"/>
      <c r="E661" s="64"/>
      <c r="F661" s="64"/>
      <c r="G661" s="16"/>
      <c r="H661" s="16"/>
      <c r="I661" s="16"/>
    </row>
    <row r="662" spans="3:9" ht="13.5" customHeight="1" x14ac:dyDescent="0.25">
      <c r="C662" s="35"/>
      <c r="D662" s="35"/>
      <c r="E662" s="65"/>
      <c r="F662" s="69"/>
      <c r="G662" s="35"/>
      <c r="H662" s="35"/>
      <c r="I662" s="35"/>
    </row>
    <row r="663" spans="3:9" ht="13.5" customHeight="1" x14ac:dyDescent="0.25">
      <c r="C663" s="16"/>
      <c r="D663" s="16"/>
      <c r="E663" s="64"/>
      <c r="F663" s="64"/>
      <c r="G663" s="16"/>
      <c r="H663" s="16"/>
      <c r="I663" s="16"/>
    </row>
    <row r="664" spans="3:9" ht="13.5" customHeight="1" x14ac:dyDescent="0.25">
      <c r="C664" s="35"/>
      <c r="D664" s="35"/>
      <c r="E664" s="65"/>
      <c r="F664" s="69"/>
      <c r="G664" s="35"/>
      <c r="H664" s="35"/>
      <c r="I664" s="35"/>
    </row>
    <row r="665" spans="3:9" ht="13.5" customHeight="1" x14ac:dyDescent="0.25">
      <c r="C665" s="16"/>
      <c r="D665" s="16"/>
      <c r="E665" s="64"/>
      <c r="F665" s="64"/>
      <c r="G665" s="16"/>
      <c r="H665" s="16"/>
      <c r="I665" s="16"/>
    </row>
    <row r="666" spans="3:9" ht="13.5" customHeight="1" x14ac:dyDescent="0.25">
      <c r="C666" s="35"/>
      <c r="D666" s="35"/>
      <c r="E666" s="65"/>
      <c r="F666" s="69"/>
      <c r="G666" s="35"/>
      <c r="H666" s="35"/>
      <c r="I666" s="35"/>
    </row>
    <row r="667" spans="3:9" ht="13.5" customHeight="1" x14ac:dyDescent="0.25">
      <c r="C667" s="16"/>
      <c r="D667" s="16"/>
      <c r="E667" s="64"/>
      <c r="F667" s="64"/>
      <c r="G667" s="16"/>
      <c r="H667" s="16"/>
      <c r="I667" s="16"/>
    </row>
    <row r="668" spans="3:9" ht="13.5" customHeight="1" x14ac:dyDescent="0.25">
      <c r="C668" s="35"/>
      <c r="D668" s="35"/>
      <c r="E668" s="65"/>
      <c r="F668" s="69"/>
      <c r="G668" s="35"/>
      <c r="H668" s="35"/>
      <c r="I668" s="35"/>
    </row>
    <row r="669" spans="3:9" ht="13.5" customHeight="1" x14ac:dyDescent="0.25">
      <c r="C669" s="16"/>
      <c r="D669" s="16"/>
      <c r="E669" s="64"/>
      <c r="F669" s="64"/>
      <c r="G669" s="16"/>
      <c r="H669" s="16"/>
      <c r="I669" s="16"/>
    </row>
    <row r="670" spans="3:9" ht="13.5" customHeight="1" x14ac:dyDescent="0.25">
      <c r="C670" s="35"/>
      <c r="D670" s="35"/>
      <c r="E670" s="65"/>
      <c r="F670" s="69"/>
      <c r="G670" s="35"/>
      <c r="H670" s="35"/>
      <c r="I670" s="35"/>
    </row>
    <row r="671" spans="3:9" ht="13.5" customHeight="1" x14ac:dyDescent="0.25">
      <c r="C671" s="16"/>
      <c r="D671" s="16"/>
      <c r="E671" s="64"/>
      <c r="F671" s="64"/>
      <c r="G671" s="16"/>
      <c r="H671" s="16"/>
      <c r="I671" s="16"/>
    </row>
    <row r="672" spans="3:9" ht="13.5" customHeight="1" x14ac:dyDescent="0.25">
      <c r="C672" s="35"/>
      <c r="D672" s="35"/>
      <c r="E672" s="65"/>
      <c r="F672" s="69"/>
      <c r="G672" s="35"/>
      <c r="H672" s="35"/>
      <c r="I672" s="35"/>
    </row>
    <row r="673" spans="3:9" ht="13.5" customHeight="1" x14ac:dyDescent="0.25">
      <c r="C673" s="16"/>
      <c r="D673" s="16"/>
      <c r="E673" s="64"/>
      <c r="F673" s="64"/>
      <c r="G673" s="16"/>
      <c r="H673" s="16"/>
      <c r="I673" s="16"/>
    </row>
    <row r="674" spans="3:9" ht="13.5" customHeight="1" x14ac:dyDescent="0.25">
      <c r="C674" s="35"/>
      <c r="D674" s="35"/>
      <c r="E674" s="65"/>
      <c r="F674" s="69"/>
      <c r="G674" s="35"/>
      <c r="H674" s="35"/>
      <c r="I674" s="35"/>
    </row>
    <row r="675" spans="3:9" ht="13.5" customHeight="1" x14ac:dyDescent="0.25">
      <c r="C675" s="16"/>
      <c r="D675" s="16"/>
      <c r="E675" s="64"/>
      <c r="F675" s="64"/>
      <c r="G675" s="16"/>
      <c r="H675" s="16"/>
      <c r="I675" s="16"/>
    </row>
    <row r="676" spans="3:9" ht="13.5" customHeight="1" x14ac:dyDescent="0.25">
      <c r="C676" s="35"/>
      <c r="D676" s="35"/>
      <c r="E676" s="65"/>
      <c r="F676" s="69"/>
      <c r="G676" s="35"/>
      <c r="H676" s="35"/>
      <c r="I676" s="35"/>
    </row>
    <row r="677" spans="3:9" ht="13.5" customHeight="1" x14ac:dyDescent="0.25">
      <c r="C677" s="16"/>
      <c r="D677" s="16"/>
      <c r="E677" s="64"/>
      <c r="F677" s="64"/>
      <c r="G677" s="16"/>
      <c r="H677" s="16"/>
      <c r="I677" s="16"/>
    </row>
    <row r="678" spans="3:9" ht="13.5" customHeight="1" x14ac:dyDescent="0.25">
      <c r="C678" s="35"/>
      <c r="D678" s="35"/>
      <c r="E678" s="65"/>
      <c r="F678" s="69"/>
      <c r="G678" s="35"/>
      <c r="H678" s="35"/>
      <c r="I678" s="35"/>
    </row>
    <row r="679" spans="3:9" ht="13.5" customHeight="1" x14ac:dyDescent="0.25">
      <c r="C679" s="16"/>
      <c r="D679" s="16"/>
      <c r="E679" s="64"/>
      <c r="F679" s="64"/>
      <c r="G679" s="16"/>
      <c r="H679" s="16"/>
      <c r="I679" s="16"/>
    </row>
    <row r="680" spans="3:9" ht="13.5" customHeight="1" x14ac:dyDescent="0.25">
      <c r="C680" s="35"/>
      <c r="D680" s="35"/>
      <c r="E680" s="65"/>
      <c r="F680" s="69"/>
      <c r="G680" s="35"/>
      <c r="H680" s="35"/>
      <c r="I680" s="35"/>
    </row>
    <row r="681" spans="3:9" ht="13.5" customHeight="1" x14ac:dyDescent="0.25">
      <c r="C681" s="16"/>
      <c r="D681" s="16"/>
      <c r="E681" s="64"/>
      <c r="F681" s="64"/>
      <c r="G681" s="16"/>
      <c r="H681" s="16"/>
      <c r="I681" s="16"/>
    </row>
    <row r="682" spans="3:9" ht="13.5" customHeight="1" x14ac:dyDescent="0.25">
      <c r="C682" s="35"/>
      <c r="D682" s="35"/>
      <c r="E682" s="65"/>
      <c r="F682" s="69"/>
      <c r="G682" s="35"/>
      <c r="H682" s="35"/>
      <c r="I682" s="35"/>
    </row>
    <row r="683" spans="3:9" ht="13.5" customHeight="1" x14ac:dyDescent="0.25">
      <c r="C683" s="16"/>
      <c r="D683" s="16"/>
      <c r="E683" s="64"/>
      <c r="F683" s="64"/>
      <c r="G683" s="16"/>
      <c r="H683" s="16"/>
      <c r="I683" s="16"/>
    </row>
    <row r="684" spans="3:9" ht="13.5" customHeight="1" x14ac:dyDescent="0.25">
      <c r="C684" s="35"/>
      <c r="D684" s="35"/>
      <c r="E684" s="65"/>
      <c r="F684" s="69"/>
      <c r="G684" s="35"/>
      <c r="H684" s="35"/>
      <c r="I684" s="35"/>
    </row>
    <row r="685" spans="3:9" ht="13.5" customHeight="1" x14ac:dyDescent="0.25">
      <c r="C685" s="16"/>
      <c r="D685" s="16"/>
      <c r="E685" s="64"/>
      <c r="F685" s="64"/>
      <c r="G685" s="16"/>
      <c r="H685" s="16"/>
      <c r="I685" s="16"/>
    </row>
    <row r="686" spans="3:9" ht="13.5" customHeight="1" x14ac:dyDescent="0.25">
      <c r="C686" s="35"/>
      <c r="D686" s="35"/>
      <c r="E686" s="65"/>
      <c r="F686" s="69"/>
      <c r="G686" s="35"/>
      <c r="H686" s="35"/>
      <c r="I686" s="35"/>
    </row>
    <row r="687" spans="3:9" ht="13.5" customHeight="1" x14ac:dyDescent="0.25">
      <c r="C687" s="16"/>
      <c r="D687" s="16"/>
      <c r="E687" s="64"/>
      <c r="F687" s="64"/>
      <c r="G687" s="16"/>
      <c r="H687" s="16"/>
      <c r="I687" s="16"/>
    </row>
    <row r="688" spans="3:9" ht="13.5" customHeight="1" x14ac:dyDescent="0.25">
      <c r="C688" s="35"/>
      <c r="D688" s="35"/>
      <c r="E688" s="65"/>
      <c r="F688" s="69"/>
      <c r="G688" s="35"/>
      <c r="H688" s="35"/>
      <c r="I688" s="35"/>
    </row>
    <row r="689" spans="3:9" ht="13.5" customHeight="1" x14ac:dyDescent="0.25">
      <c r="C689" s="16"/>
      <c r="D689" s="16"/>
      <c r="E689" s="64"/>
      <c r="F689" s="64"/>
      <c r="G689" s="16"/>
      <c r="H689" s="16"/>
      <c r="I689" s="16"/>
    </row>
    <row r="690" spans="3:9" ht="13.5" customHeight="1" x14ac:dyDescent="0.25">
      <c r="C690" s="35"/>
      <c r="D690" s="35"/>
      <c r="E690" s="65"/>
      <c r="F690" s="69"/>
      <c r="G690" s="35"/>
      <c r="H690" s="35"/>
      <c r="I690" s="35"/>
    </row>
    <row r="691" spans="3:9" ht="13.5" customHeight="1" x14ac:dyDescent="0.25">
      <c r="C691" s="16"/>
      <c r="D691" s="16"/>
      <c r="E691" s="64"/>
      <c r="F691" s="64"/>
      <c r="G691" s="16"/>
      <c r="H691" s="16"/>
      <c r="I691" s="16"/>
    </row>
    <row r="692" spans="3:9" ht="13.5" customHeight="1" x14ac:dyDescent="0.25">
      <c r="C692" s="35"/>
      <c r="D692" s="35"/>
      <c r="E692" s="65"/>
      <c r="F692" s="69"/>
      <c r="G692" s="35"/>
      <c r="H692" s="35"/>
      <c r="I692" s="35"/>
    </row>
    <row r="693" spans="3:9" ht="13.5" customHeight="1" x14ac:dyDescent="0.25">
      <c r="C693" s="16"/>
      <c r="D693" s="16"/>
      <c r="E693" s="64"/>
      <c r="F693" s="64"/>
      <c r="G693" s="16"/>
      <c r="H693" s="16"/>
      <c r="I693" s="16"/>
    </row>
    <row r="694" spans="3:9" ht="13.5" customHeight="1" x14ac:dyDescent="0.25">
      <c r="C694" s="35"/>
      <c r="D694" s="35"/>
      <c r="E694" s="65"/>
      <c r="F694" s="69"/>
      <c r="G694" s="35"/>
      <c r="H694" s="35"/>
      <c r="I694" s="35"/>
    </row>
    <row r="695" spans="3:9" ht="13.5" customHeight="1" x14ac:dyDescent="0.25">
      <c r="C695" s="16"/>
      <c r="D695" s="16"/>
      <c r="E695" s="64"/>
      <c r="F695" s="64"/>
      <c r="G695" s="16"/>
      <c r="H695" s="16"/>
      <c r="I695" s="16"/>
    </row>
    <row r="696" spans="3:9" ht="13.5" customHeight="1" x14ac:dyDescent="0.25">
      <c r="C696" s="35"/>
      <c r="D696" s="35"/>
      <c r="E696" s="65"/>
      <c r="F696" s="69"/>
      <c r="G696" s="35"/>
      <c r="H696" s="35"/>
      <c r="I696" s="35"/>
    </row>
    <row r="697" spans="3:9" ht="13.5" customHeight="1" x14ac:dyDescent="0.25">
      <c r="C697" s="16"/>
      <c r="D697" s="16"/>
      <c r="E697" s="64"/>
      <c r="F697" s="64"/>
      <c r="G697" s="16"/>
      <c r="H697" s="16"/>
      <c r="I697" s="16"/>
    </row>
    <row r="698" spans="3:9" ht="13.5" customHeight="1" x14ac:dyDescent="0.25">
      <c r="C698" s="35"/>
      <c r="D698" s="35"/>
      <c r="E698" s="65"/>
      <c r="F698" s="69"/>
      <c r="G698" s="35"/>
      <c r="H698" s="35"/>
      <c r="I698" s="35"/>
    </row>
    <row r="699" spans="3:9" ht="13.5" customHeight="1" x14ac:dyDescent="0.25">
      <c r="C699" s="16"/>
      <c r="D699" s="16"/>
      <c r="E699" s="64"/>
      <c r="F699" s="64"/>
      <c r="G699" s="16"/>
      <c r="H699" s="16"/>
      <c r="I699" s="16"/>
    </row>
    <row r="700" spans="3:9" ht="13.5" customHeight="1" x14ac:dyDescent="0.25">
      <c r="C700" s="35"/>
      <c r="D700" s="35"/>
      <c r="E700" s="65"/>
      <c r="F700" s="69"/>
      <c r="G700" s="35"/>
      <c r="H700" s="35"/>
      <c r="I700" s="35"/>
    </row>
    <row r="701" spans="3:9" ht="13.5" customHeight="1" x14ac:dyDescent="0.25">
      <c r="C701" s="16"/>
      <c r="D701" s="16"/>
      <c r="E701" s="64"/>
      <c r="F701" s="64"/>
      <c r="G701" s="16"/>
      <c r="H701" s="16"/>
      <c r="I701" s="16"/>
    </row>
    <row r="702" spans="3:9" ht="13.5" customHeight="1" x14ac:dyDescent="0.25">
      <c r="C702" s="35"/>
      <c r="D702" s="35"/>
      <c r="E702" s="65"/>
      <c r="F702" s="69"/>
      <c r="G702" s="35"/>
      <c r="H702" s="35"/>
      <c r="I702" s="35"/>
    </row>
    <row r="703" spans="3:9" ht="13.5" customHeight="1" x14ac:dyDescent="0.25">
      <c r="C703" s="16"/>
      <c r="D703" s="16"/>
      <c r="E703" s="64"/>
      <c r="F703" s="64"/>
      <c r="G703" s="16"/>
      <c r="H703" s="16"/>
      <c r="I703" s="16"/>
    </row>
    <row r="704" spans="3:9" ht="13.5" customHeight="1" x14ac:dyDescent="0.25">
      <c r="C704" s="35"/>
      <c r="D704" s="35"/>
      <c r="E704" s="65"/>
      <c r="F704" s="69"/>
      <c r="G704" s="35"/>
      <c r="H704" s="35"/>
      <c r="I704" s="35"/>
    </row>
    <row r="705" spans="3:9" ht="13.5" customHeight="1" x14ac:dyDescent="0.25">
      <c r="C705" s="16"/>
      <c r="D705" s="16"/>
      <c r="E705" s="64"/>
      <c r="F705" s="64"/>
      <c r="G705" s="16"/>
      <c r="H705" s="16"/>
      <c r="I705" s="16"/>
    </row>
    <row r="706" spans="3:9" ht="13.5" customHeight="1" x14ac:dyDescent="0.25">
      <c r="C706" s="35"/>
      <c r="D706" s="35"/>
      <c r="E706" s="65"/>
      <c r="F706" s="69"/>
      <c r="G706" s="35"/>
      <c r="H706" s="35"/>
      <c r="I706" s="35"/>
    </row>
    <row r="707" spans="3:9" ht="13.5" customHeight="1" x14ac:dyDescent="0.25">
      <c r="C707" s="16"/>
      <c r="D707" s="16"/>
      <c r="E707" s="64"/>
      <c r="F707" s="64"/>
      <c r="G707" s="16"/>
      <c r="H707" s="16"/>
      <c r="I707" s="16"/>
    </row>
    <row r="708" spans="3:9" ht="13.5" customHeight="1" x14ac:dyDescent="0.25">
      <c r="C708" s="35"/>
      <c r="D708" s="35"/>
      <c r="E708" s="65"/>
      <c r="F708" s="69"/>
      <c r="G708" s="35"/>
      <c r="H708" s="35"/>
      <c r="I708" s="35"/>
    </row>
    <row r="709" spans="3:9" ht="13.5" customHeight="1" x14ac:dyDescent="0.25">
      <c r="C709" s="16"/>
      <c r="D709" s="16"/>
      <c r="E709" s="64"/>
      <c r="F709" s="64"/>
      <c r="G709" s="16"/>
      <c r="H709" s="16"/>
      <c r="I709" s="16"/>
    </row>
    <row r="710" spans="3:9" ht="13.5" customHeight="1" x14ac:dyDescent="0.25">
      <c r="C710" s="35"/>
      <c r="D710" s="35"/>
      <c r="E710" s="65"/>
      <c r="F710" s="69"/>
      <c r="G710" s="35"/>
      <c r="H710" s="35"/>
      <c r="I710" s="35"/>
    </row>
    <row r="711" spans="3:9" ht="13.5" customHeight="1" x14ac:dyDescent="0.25">
      <c r="C711" s="16"/>
      <c r="D711" s="16"/>
      <c r="E711" s="64"/>
      <c r="F711" s="64"/>
      <c r="G711" s="16"/>
      <c r="H711" s="16"/>
      <c r="I711" s="16"/>
    </row>
    <row r="712" spans="3:9" ht="13.5" customHeight="1" x14ac:dyDescent="0.25">
      <c r="C712" s="35"/>
      <c r="D712" s="35"/>
      <c r="E712" s="65"/>
      <c r="F712" s="69"/>
      <c r="G712" s="35"/>
      <c r="H712" s="35"/>
      <c r="I712" s="35"/>
    </row>
    <row r="713" spans="3:9" ht="13.5" customHeight="1" x14ac:dyDescent="0.25">
      <c r="C713" s="16"/>
      <c r="D713" s="16"/>
      <c r="E713" s="64"/>
      <c r="F713" s="64"/>
      <c r="G713" s="16"/>
      <c r="H713" s="16"/>
      <c r="I713" s="16"/>
    </row>
    <row r="714" spans="3:9" ht="13.5" customHeight="1" x14ac:dyDescent="0.25">
      <c r="C714" s="35"/>
      <c r="D714" s="35"/>
      <c r="E714" s="65"/>
      <c r="F714" s="69"/>
      <c r="G714" s="35"/>
      <c r="H714" s="35"/>
      <c r="I714" s="35"/>
    </row>
    <row r="715" spans="3:9" ht="13.5" customHeight="1" x14ac:dyDescent="0.25">
      <c r="C715" s="16"/>
      <c r="D715" s="16"/>
      <c r="E715" s="64"/>
      <c r="F715" s="64"/>
      <c r="G715" s="16"/>
      <c r="H715" s="16"/>
      <c r="I715" s="16"/>
    </row>
    <row r="716" spans="3:9" ht="13.5" customHeight="1" x14ac:dyDescent="0.25">
      <c r="C716" s="35"/>
      <c r="D716" s="35"/>
      <c r="E716" s="65"/>
      <c r="F716" s="69"/>
      <c r="G716" s="35"/>
      <c r="H716" s="35"/>
      <c r="I716" s="35"/>
    </row>
    <row r="717" spans="3:9" ht="13.5" customHeight="1" x14ac:dyDescent="0.25">
      <c r="C717" s="16"/>
      <c r="D717" s="16"/>
      <c r="E717" s="64"/>
      <c r="F717" s="64"/>
      <c r="G717" s="16"/>
      <c r="H717" s="16"/>
      <c r="I717" s="16"/>
    </row>
    <row r="718" spans="3:9" ht="13.5" customHeight="1" x14ac:dyDescent="0.25">
      <c r="C718" s="35"/>
      <c r="D718" s="35"/>
      <c r="E718" s="65"/>
      <c r="F718" s="69"/>
      <c r="G718" s="35"/>
      <c r="H718" s="35"/>
      <c r="I718" s="35"/>
    </row>
    <row r="719" spans="3:9" ht="13.5" customHeight="1" x14ac:dyDescent="0.25">
      <c r="C719" s="16"/>
      <c r="D719" s="16"/>
      <c r="E719" s="64"/>
      <c r="F719" s="64"/>
      <c r="G719" s="16"/>
      <c r="H719" s="16"/>
      <c r="I719" s="16"/>
    </row>
    <row r="720" spans="3:9" ht="13.5" customHeight="1" x14ac:dyDescent="0.25">
      <c r="C720" s="35"/>
      <c r="D720" s="35"/>
      <c r="E720" s="65"/>
      <c r="F720" s="69"/>
      <c r="G720" s="35"/>
      <c r="H720" s="35"/>
      <c r="I720" s="35"/>
    </row>
    <row r="721" spans="3:9" ht="13.5" customHeight="1" x14ac:dyDescent="0.25">
      <c r="C721" s="16"/>
      <c r="D721" s="16"/>
      <c r="E721" s="64"/>
      <c r="F721" s="64"/>
      <c r="G721" s="16"/>
      <c r="H721" s="16"/>
      <c r="I721" s="16"/>
    </row>
    <row r="722" spans="3:9" ht="13.5" customHeight="1" x14ac:dyDescent="0.25">
      <c r="C722" s="35"/>
      <c r="D722" s="35"/>
      <c r="E722" s="65"/>
      <c r="F722" s="69"/>
      <c r="G722" s="35"/>
      <c r="H722" s="35"/>
      <c r="I722" s="35"/>
    </row>
    <row r="723" spans="3:9" ht="13.5" customHeight="1" x14ac:dyDescent="0.25">
      <c r="C723" s="16"/>
      <c r="D723" s="16"/>
      <c r="E723" s="64"/>
      <c r="F723" s="64"/>
      <c r="G723" s="16"/>
      <c r="H723" s="16"/>
      <c r="I723" s="16"/>
    </row>
    <row r="724" spans="3:9" ht="13.5" customHeight="1" x14ac:dyDescent="0.25">
      <c r="C724" s="35"/>
      <c r="D724" s="35"/>
      <c r="E724" s="65"/>
      <c r="F724" s="69"/>
      <c r="G724" s="35"/>
      <c r="H724" s="35"/>
      <c r="I724" s="35"/>
    </row>
    <row r="725" spans="3:9" ht="13.5" customHeight="1" x14ac:dyDescent="0.25">
      <c r="C725" s="16"/>
      <c r="D725" s="16"/>
      <c r="E725" s="64"/>
      <c r="F725" s="64"/>
      <c r="G725" s="16"/>
      <c r="H725" s="16"/>
      <c r="I725" s="16"/>
    </row>
    <row r="726" spans="3:9" ht="13.5" customHeight="1" x14ac:dyDescent="0.25">
      <c r="C726" s="35"/>
      <c r="D726" s="35"/>
      <c r="E726" s="65"/>
      <c r="F726" s="69"/>
      <c r="G726" s="35"/>
      <c r="H726" s="35"/>
      <c r="I726" s="35"/>
    </row>
    <row r="727" spans="3:9" ht="13.5" customHeight="1" x14ac:dyDescent="0.25">
      <c r="C727" s="16"/>
      <c r="D727" s="16"/>
      <c r="E727" s="64"/>
      <c r="F727" s="64"/>
      <c r="G727" s="16"/>
      <c r="H727" s="16"/>
      <c r="I727" s="16"/>
    </row>
    <row r="728" spans="3:9" ht="13.5" customHeight="1" x14ac:dyDescent="0.25">
      <c r="C728" s="35"/>
      <c r="D728" s="35"/>
      <c r="E728" s="65"/>
      <c r="F728" s="69"/>
      <c r="G728" s="35"/>
      <c r="H728" s="35"/>
      <c r="I728" s="35"/>
    </row>
    <row r="729" spans="3:9" ht="13.5" customHeight="1" x14ac:dyDescent="0.25">
      <c r="C729" s="16"/>
      <c r="D729" s="16"/>
      <c r="E729" s="64"/>
      <c r="F729" s="64"/>
      <c r="G729" s="16"/>
      <c r="H729" s="16"/>
      <c r="I729" s="16"/>
    </row>
    <row r="730" spans="3:9" ht="13.5" customHeight="1" x14ac:dyDescent="0.25">
      <c r="C730" s="35"/>
      <c r="D730" s="35"/>
      <c r="E730" s="65"/>
      <c r="F730" s="69"/>
      <c r="G730" s="35"/>
      <c r="H730" s="35"/>
      <c r="I730" s="35"/>
    </row>
    <row r="731" spans="3:9" ht="13.5" customHeight="1" x14ac:dyDescent="0.25">
      <c r="C731" s="16"/>
      <c r="D731" s="16"/>
      <c r="E731" s="64"/>
      <c r="F731" s="64"/>
      <c r="G731" s="16"/>
      <c r="H731" s="16"/>
      <c r="I731" s="16"/>
    </row>
    <row r="732" spans="3:9" ht="13.5" customHeight="1" x14ac:dyDescent="0.25">
      <c r="C732" s="35"/>
      <c r="D732" s="35"/>
      <c r="E732" s="65"/>
      <c r="F732" s="69"/>
      <c r="G732" s="35"/>
      <c r="H732" s="35"/>
      <c r="I732" s="35"/>
    </row>
    <row r="733" spans="3:9" ht="13.5" customHeight="1" x14ac:dyDescent="0.25">
      <c r="C733" s="16"/>
      <c r="D733" s="16"/>
      <c r="E733" s="64"/>
      <c r="F733" s="64"/>
      <c r="G733" s="16"/>
      <c r="H733" s="16"/>
      <c r="I733" s="16"/>
    </row>
    <row r="734" spans="3:9" ht="13.5" customHeight="1" x14ac:dyDescent="0.25">
      <c r="C734" s="35"/>
      <c r="D734" s="35"/>
      <c r="E734" s="65"/>
      <c r="F734" s="69"/>
      <c r="G734" s="35"/>
      <c r="H734" s="35"/>
      <c r="I734" s="35"/>
    </row>
    <row r="735" spans="3:9" ht="13.5" customHeight="1" x14ac:dyDescent="0.25">
      <c r="C735" s="16"/>
      <c r="D735" s="16"/>
      <c r="E735" s="64"/>
      <c r="F735" s="64"/>
      <c r="G735" s="16"/>
      <c r="H735" s="16"/>
      <c r="I735" s="16"/>
    </row>
    <row r="736" spans="3:9" ht="13.5" customHeight="1" x14ac:dyDescent="0.25">
      <c r="C736" s="35"/>
      <c r="D736" s="35"/>
      <c r="E736" s="65"/>
      <c r="F736" s="69"/>
      <c r="G736" s="35"/>
      <c r="H736" s="35"/>
      <c r="I736" s="35"/>
    </row>
    <row r="737" spans="3:9" ht="13.5" customHeight="1" x14ac:dyDescent="0.25">
      <c r="C737" s="16"/>
      <c r="D737" s="16"/>
      <c r="E737" s="64"/>
      <c r="F737" s="64"/>
      <c r="G737" s="16"/>
      <c r="H737" s="16"/>
      <c r="I737" s="16"/>
    </row>
    <row r="738" spans="3:9" ht="13.5" customHeight="1" x14ac:dyDescent="0.25">
      <c r="C738" s="35"/>
      <c r="D738" s="35"/>
      <c r="E738" s="65"/>
      <c r="F738" s="69"/>
      <c r="G738" s="35"/>
      <c r="H738" s="35"/>
      <c r="I738" s="35"/>
    </row>
    <row r="739" spans="3:9" ht="13.5" customHeight="1" x14ac:dyDescent="0.25">
      <c r="C739" s="16"/>
      <c r="D739" s="16"/>
      <c r="E739" s="64"/>
      <c r="F739" s="64"/>
      <c r="G739" s="16"/>
      <c r="H739" s="16"/>
      <c r="I739" s="16"/>
    </row>
    <row r="740" spans="3:9" ht="13.5" customHeight="1" x14ac:dyDescent="0.25">
      <c r="C740" s="35"/>
      <c r="D740" s="35"/>
      <c r="E740" s="65"/>
      <c r="F740" s="69"/>
      <c r="G740" s="35"/>
      <c r="H740" s="35"/>
      <c r="I740" s="35"/>
    </row>
    <row r="741" spans="3:9" ht="13.5" customHeight="1" x14ac:dyDescent="0.25">
      <c r="C741" s="16"/>
      <c r="D741" s="16"/>
      <c r="E741" s="64"/>
      <c r="F741" s="64"/>
      <c r="G741" s="16"/>
      <c r="H741" s="16"/>
      <c r="I741" s="16"/>
    </row>
    <row r="742" spans="3:9" ht="13.5" customHeight="1" x14ac:dyDescent="0.25">
      <c r="C742" s="35"/>
      <c r="D742" s="35"/>
      <c r="E742" s="65"/>
      <c r="F742" s="69"/>
      <c r="G742" s="35"/>
      <c r="H742" s="35"/>
      <c r="I742" s="35"/>
    </row>
    <row r="743" spans="3:9" ht="13.5" customHeight="1" x14ac:dyDescent="0.25">
      <c r="C743" s="16"/>
      <c r="D743" s="16"/>
      <c r="E743" s="64"/>
      <c r="F743" s="64"/>
      <c r="G743" s="16"/>
      <c r="H743" s="16"/>
      <c r="I743" s="16"/>
    </row>
    <row r="744" spans="3:9" ht="13.5" customHeight="1" x14ac:dyDescent="0.25">
      <c r="C744" s="35"/>
      <c r="D744" s="35"/>
      <c r="E744" s="65"/>
      <c r="F744" s="69"/>
      <c r="G744" s="35"/>
      <c r="H744" s="35"/>
      <c r="I744" s="35"/>
    </row>
    <row r="745" spans="3:9" ht="13.5" customHeight="1" x14ac:dyDescent="0.25">
      <c r="C745" s="16"/>
      <c r="D745" s="16"/>
      <c r="E745" s="64"/>
      <c r="F745" s="64"/>
      <c r="G745" s="16"/>
      <c r="H745" s="16"/>
      <c r="I745" s="16"/>
    </row>
    <row r="746" spans="3:9" ht="13.5" customHeight="1" x14ac:dyDescent="0.25">
      <c r="C746" s="35"/>
      <c r="D746" s="35"/>
      <c r="E746" s="65"/>
      <c r="F746" s="69"/>
      <c r="G746" s="35"/>
      <c r="H746" s="35"/>
      <c r="I746" s="35"/>
    </row>
    <row r="747" spans="3:9" ht="13.5" customHeight="1" x14ac:dyDescent="0.25">
      <c r="C747" s="16"/>
      <c r="D747" s="16"/>
      <c r="E747" s="64"/>
      <c r="F747" s="64"/>
      <c r="G747" s="16"/>
      <c r="H747" s="16"/>
      <c r="I747" s="16"/>
    </row>
    <row r="748" spans="3:9" ht="13.5" customHeight="1" x14ac:dyDescent="0.25">
      <c r="C748" s="35"/>
      <c r="D748" s="35"/>
      <c r="E748" s="65"/>
      <c r="F748" s="69"/>
      <c r="G748" s="35"/>
      <c r="H748" s="35"/>
      <c r="I748" s="35"/>
    </row>
    <row r="749" spans="3:9" ht="13.5" customHeight="1" x14ac:dyDescent="0.25">
      <c r="C749" s="16"/>
      <c r="D749" s="16"/>
      <c r="E749" s="64"/>
      <c r="F749" s="64"/>
      <c r="G749" s="16"/>
      <c r="H749" s="16"/>
      <c r="I749" s="16"/>
    </row>
    <row r="750" spans="3:9" ht="13.5" customHeight="1" x14ac:dyDescent="0.25">
      <c r="C750" s="35"/>
      <c r="D750" s="35"/>
      <c r="E750" s="65"/>
      <c r="F750" s="69"/>
      <c r="G750" s="35"/>
      <c r="H750" s="35"/>
      <c r="I750" s="35"/>
    </row>
    <row r="751" spans="3:9" ht="13.5" customHeight="1" x14ac:dyDescent="0.25">
      <c r="C751" s="16"/>
      <c r="D751" s="16"/>
      <c r="E751" s="64"/>
      <c r="F751" s="64"/>
      <c r="G751" s="16"/>
      <c r="H751" s="16"/>
      <c r="I751" s="16"/>
    </row>
    <row r="752" spans="3:9" ht="13.5" customHeight="1" x14ac:dyDescent="0.25">
      <c r="C752" s="35"/>
      <c r="D752" s="35"/>
      <c r="E752" s="65"/>
      <c r="F752" s="69"/>
      <c r="G752" s="35"/>
      <c r="H752" s="35"/>
      <c r="I752" s="35"/>
    </row>
    <row r="753" spans="3:9" ht="13.5" customHeight="1" x14ac:dyDescent="0.25">
      <c r="C753" s="16"/>
      <c r="D753" s="16"/>
      <c r="E753" s="64"/>
      <c r="F753" s="64"/>
      <c r="G753" s="16"/>
      <c r="H753" s="16"/>
      <c r="I753" s="16"/>
    </row>
    <row r="754" spans="3:9" ht="13.5" customHeight="1" x14ac:dyDescent="0.25">
      <c r="C754" s="35"/>
      <c r="D754" s="35"/>
      <c r="E754" s="65"/>
      <c r="F754" s="69"/>
      <c r="G754" s="35"/>
      <c r="H754" s="35"/>
      <c r="I754" s="35"/>
    </row>
    <row r="755" spans="3:9" ht="13.5" customHeight="1" x14ac:dyDescent="0.25">
      <c r="C755" s="16"/>
      <c r="D755" s="16"/>
      <c r="E755" s="64"/>
      <c r="F755" s="64"/>
      <c r="G755" s="16"/>
      <c r="H755" s="16"/>
      <c r="I755" s="16"/>
    </row>
    <row r="756" spans="3:9" ht="13.5" customHeight="1" x14ac:dyDescent="0.25">
      <c r="C756" s="35"/>
      <c r="D756" s="35"/>
      <c r="E756" s="65"/>
      <c r="F756" s="69"/>
      <c r="G756" s="35"/>
      <c r="H756" s="35"/>
      <c r="I756" s="35"/>
    </row>
    <row r="757" spans="3:9" ht="13.5" customHeight="1" x14ac:dyDescent="0.25">
      <c r="C757" s="16"/>
      <c r="D757" s="16"/>
      <c r="E757" s="64"/>
      <c r="F757" s="64"/>
      <c r="G757" s="16"/>
      <c r="H757" s="16"/>
      <c r="I757" s="16"/>
    </row>
    <row r="758" spans="3:9" ht="13.5" customHeight="1" x14ac:dyDescent="0.25">
      <c r="C758" s="35"/>
      <c r="D758" s="35"/>
      <c r="E758" s="65"/>
      <c r="F758" s="69"/>
      <c r="G758" s="35"/>
      <c r="H758" s="35"/>
      <c r="I758" s="35"/>
    </row>
    <row r="759" spans="3:9" ht="13.5" customHeight="1" x14ac:dyDescent="0.25">
      <c r="C759" s="16"/>
      <c r="D759" s="16"/>
      <c r="E759" s="64"/>
      <c r="F759" s="64"/>
      <c r="G759" s="16"/>
      <c r="H759" s="16"/>
      <c r="I759" s="16"/>
    </row>
    <row r="760" spans="3:9" ht="13.5" customHeight="1" x14ac:dyDescent="0.25">
      <c r="C760" s="35"/>
      <c r="D760" s="35"/>
      <c r="E760" s="65"/>
      <c r="F760" s="69"/>
      <c r="G760" s="35"/>
      <c r="H760" s="35"/>
      <c r="I760" s="35"/>
    </row>
    <row r="761" spans="3:9" ht="13.5" customHeight="1" x14ac:dyDescent="0.25">
      <c r="C761" s="16"/>
      <c r="D761" s="16"/>
      <c r="E761" s="64"/>
      <c r="F761" s="64"/>
      <c r="G761" s="16"/>
      <c r="H761" s="16"/>
      <c r="I761" s="16"/>
    </row>
    <row r="762" spans="3:9" ht="13.5" customHeight="1" x14ac:dyDescent="0.25">
      <c r="C762" s="35"/>
      <c r="D762" s="35"/>
      <c r="E762" s="65"/>
      <c r="F762" s="69"/>
      <c r="G762" s="35"/>
      <c r="H762" s="35"/>
      <c r="I762" s="35"/>
    </row>
    <row r="763" spans="3:9" ht="13.5" customHeight="1" x14ac:dyDescent="0.25">
      <c r="C763" s="16"/>
      <c r="D763" s="16"/>
      <c r="E763" s="64"/>
      <c r="F763" s="64"/>
      <c r="G763" s="16"/>
      <c r="H763" s="16"/>
      <c r="I763" s="16"/>
    </row>
    <row r="764" spans="3:9" ht="13.5" customHeight="1" x14ac:dyDescent="0.25">
      <c r="C764" s="35"/>
      <c r="D764" s="35"/>
      <c r="E764" s="65"/>
      <c r="F764" s="69"/>
      <c r="G764" s="35"/>
      <c r="H764" s="35"/>
      <c r="I764" s="35"/>
    </row>
    <row r="765" spans="3:9" ht="13.5" customHeight="1" x14ac:dyDescent="0.25">
      <c r="C765" s="16"/>
      <c r="D765" s="16"/>
      <c r="E765" s="64"/>
      <c r="F765" s="64"/>
      <c r="G765" s="16"/>
      <c r="H765" s="16"/>
      <c r="I765" s="16"/>
    </row>
    <row r="766" spans="3:9" ht="13.5" customHeight="1" x14ac:dyDescent="0.25">
      <c r="C766" s="35"/>
      <c r="D766" s="35"/>
      <c r="E766" s="65"/>
      <c r="F766" s="69"/>
      <c r="G766" s="35"/>
      <c r="H766" s="35"/>
      <c r="I766" s="35"/>
    </row>
    <row r="767" spans="3:9" ht="13.5" customHeight="1" x14ac:dyDescent="0.25">
      <c r="C767" s="16"/>
      <c r="D767" s="16"/>
      <c r="E767" s="64"/>
      <c r="F767" s="64"/>
      <c r="G767" s="16"/>
      <c r="H767" s="16"/>
      <c r="I767" s="16"/>
    </row>
    <row r="768" spans="3:9" ht="13.5" customHeight="1" x14ac:dyDescent="0.25">
      <c r="C768" s="35"/>
      <c r="D768" s="35"/>
      <c r="E768" s="65"/>
      <c r="F768" s="69"/>
      <c r="G768" s="35"/>
      <c r="H768" s="35"/>
      <c r="I768" s="35"/>
    </row>
    <row r="769" spans="3:9" ht="13.5" customHeight="1" x14ac:dyDescent="0.25">
      <c r="C769" s="16"/>
      <c r="D769" s="16"/>
      <c r="E769" s="64"/>
      <c r="F769" s="64"/>
      <c r="G769" s="16"/>
      <c r="H769" s="16"/>
      <c r="I769" s="16"/>
    </row>
    <row r="770" spans="3:9" ht="13.5" customHeight="1" x14ac:dyDescent="0.25">
      <c r="C770" s="35"/>
      <c r="D770" s="35"/>
      <c r="E770" s="65"/>
      <c r="F770" s="69"/>
      <c r="G770" s="35"/>
      <c r="H770" s="35"/>
      <c r="I770" s="35"/>
    </row>
    <row r="771" spans="3:9" ht="13.5" customHeight="1" x14ac:dyDescent="0.25">
      <c r="C771" s="16"/>
      <c r="D771" s="16"/>
      <c r="E771" s="64"/>
      <c r="F771" s="64"/>
      <c r="G771" s="16"/>
      <c r="H771" s="16"/>
      <c r="I771" s="16"/>
    </row>
    <row r="772" spans="3:9" ht="13.5" customHeight="1" x14ac:dyDescent="0.25">
      <c r="C772" s="35"/>
      <c r="D772" s="35"/>
      <c r="E772" s="65"/>
      <c r="F772" s="69"/>
      <c r="G772" s="35"/>
      <c r="H772" s="35"/>
      <c r="I772" s="35"/>
    </row>
    <row r="773" spans="3:9" ht="13.5" customHeight="1" x14ac:dyDescent="0.25">
      <c r="C773" s="16"/>
      <c r="D773" s="16"/>
      <c r="E773" s="64"/>
      <c r="F773" s="64"/>
      <c r="G773" s="16"/>
      <c r="H773" s="16"/>
      <c r="I773" s="16"/>
    </row>
    <row r="774" spans="3:9" ht="13.5" customHeight="1" x14ac:dyDescent="0.25">
      <c r="C774" s="35"/>
      <c r="D774" s="35"/>
      <c r="E774" s="65"/>
      <c r="F774" s="69"/>
      <c r="G774" s="35"/>
      <c r="H774" s="35"/>
      <c r="I774" s="35"/>
    </row>
    <row r="775" spans="3:9" ht="13.5" customHeight="1" x14ac:dyDescent="0.25">
      <c r="C775" s="16"/>
      <c r="D775" s="16"/>
      <c r="E775" s="64"/>
      <c r="F775" s="64"/>
      <c r="G775" s="16"/>
      <c r="H775" s="16"/>
      <c r="I775" s="16"/>
    </row>
    <row r="776" spans="3:9" ht="13.5" customHeight="1" x14ac:dyDescent="0.25">
      <c r="C776" s="35"/>
      <c r="D776" s="35"/>
      <c r="E776" s="65"/>
      <c r="F776" s="69"/>
      <c r="G776" s="35"/>
      <c r="H776" s="35"/>
      <c r="I776" s="35"/>
    </row>
    <row r="777" spans="3:9" ht="13.5" customHeight="1" x14ac:dyDescent="0.25">
      <c r="C777" s="16"/>
      <c r="D777" s="16"/>
      <c r="E777" s="64"/>
      <c r="F777" s="64"/>
      <c r="G777" s="16"/>
      <c r="H777" s="16"/>
      <c r="I777" s="16"/>
    </row>
    <row r="778" spans="3:9" ht="13.5" customHeight="1" x14ac:dyDescent="0.25">
      <c r="C778" s="35"/>
      <c r="D778" s="35"/>
      <c r="E778" s="65"/>
      <c r="F778" s="69"/>
      <c r="G778" s="35"/>
      <c r="H778" s="35"/>
      <c r="I778" s="35"/>
    </row>
    <row r="779" spans="3:9" ht="13.5" customHeight="1" x14ac:dyDescent="0.25">
      <c r="C779" s="16"/>
      <c r="D779" s="16"/>
      <c r="E779" s="64"/>
      <c r="F779" s="64"/>
      <c r="G779" s="16"/>
      <c r="H779" s="16"/>
      <c r="I779" s="16"/>
    </row>
    <row r="780" spans="3:9" ht="13.5" customHeight="1" x14ac:dyDescent="0.25">
      <c r="C780" s="35"/>
      <c r="D780" s="35"/>
      <c r="E780" s="65"/>
      <c r="F780" s="69"/>
      <c r="G780" s="35"/>
      <c r="H780" s="35"/>
      <c r="I780" s="35"/>
    </row>
    <row r="781" spans="3:9" ht="13.5" customHeight="1" x14ac:dyDescent="0.25">
      <c r="C781" s="16"/>
      <c r="D781" s="16"/>
      <c r="E781" s="64"/>
      <c r="F781" s="64"/>
      <c r="G781" s="16"/>
      <c r="H781" s="16"/>
      <c r="I781" s="16"/>
    </row>
    <row r="782" spans="3:9" ht="13.5" customHeight="1" x14ac:dyDescent="0.25">
      <c r="C782" s="35"/>
      <c r="D782" s="35"/>
      <c r="E782" s="65"/>
      <c r="F782" s="69"/>
      <c r="G782" s="35"/>
      <c r="H782" s="35"/>
      <c r="I782" s="35"/>
    </row>
    <row r="783" spans="3:9" ht="13.5" customHeight="1" x14ac:dyDescent="0.25">
      <c r="C783" s="16"/>
      <c r="D783" s="16"/>
      <c r="E783" s="64"/>
      <c r="F783" s="64"/>
      <c r="G783" s="16"/>
      <c r="H783" s="16"/>
      <c r="I783" s="16"/>
    </row>
    <row r="784" spans="3:9" ht="13.5" customHeight="1" x14ac:dyDescent="0.25">
      <c r="C784" s="35"/>
      <c r="D784" s="35"/>
      <c r="E784" s="65"/>
      <c r="F784" s="69"/>
      <c r="G784" s="35"/>
      <c r="H784" s="35"/>
      <c r="I784" s="35"/>
    </row>
    <row r="785" spans="3:9" ht="13.5" customHeight="1" x14ac:dyDescent="0.25">
      <c r="C785" s="16"/>
      <c r="D785" s="16"/>
      <c r="E785" s="64"/>
      <c r="F785" s="64"/>
      <c r="G785" s="16"/>
      <c r="H785" s="16"/>
      <c r="I785" s="16"/>
    </row>
    <row r="786" spans="3:9" ht="13.5" customHeight="1" x14ac:dyDescent="0.25">
      <c r="C786" s="35"/>
      <c r="D786" s="35"/>
      <c r="E786" s="65"/>
      <c r="F786" s="69"/>
      <c r="G786" s="35"/>
      <c r="H786" s="35"/>
      <c r="I786" s="35"/>
    </row>
    <row r="787" spans="3:9" ht="13.5" customHeight="1" x14ac:dyDescent="0.25">
      <c r="C787" s="16"/>
      <c r="D787" s="16"/>
      <c r="E787" s="64"/>
      <c r="F787" s="64"/>
      <c r="G787" s="16"/>
      <c r="H787" s="16"/>
      <c r="I787" s="16"/>
    </row>
    <row r="788" spans="3:9" ht="13.5" customHeight="1" x14ac:dyDescent="0.25">
      <c r="C788" s="35"/>
      <c r="D788" s="35"/>
      <c r="E788" s="65"/>
      <c r="F788" s="69"/>
      <c r="G788" s="35"/>
      <c r="H788" s="35"/>
      <c r="I788" s="35"/>
    </row>
    <row r="789" spans="3:9" ht="13.5" customHeight="1" x14ac:dyDescent="0.25">
      <c r="C789" s="16"/>
      <c r="D789" s="16"/>
      <c r="E789" s="64"/>
      <c r="F789" s="64"/>
      <c r="G789" s="16"/>
      <c r="H789" s="16"/>
      <c r="I789" s="16"/>
    </row>
    <row r="790" spans="3:9" ht="13.5" customHeight="1" x14ac:dyDescent="0.25">
      <c r="C790" s="35"/>
      <c r="D790" s="35"/>
      <c r="E790" s="65"/>
      <c r="F790" s="69"/>
      <c r="G790" s="35"/>
      <c r="H790" s="35"/>
      <c r="I790" s="35"/>
    </row>
    <row r="791" spans="3:9" ht="13.5" customHeight="1" x14ac:dyDescent="0.25">
      <c r="C791" s="16"/>
      <c r="D791" s="16"/>
      <c r="E791" s="64"/>
      <c r="F791" s="64"/>
      <c r="G791" s="16"/>
      <c r="H791" s="16"/>
      <c r="I791" s="16"/>
    </row>
    <row r="792" spans="3:9" ht="13.5" customHeight="1" x14ac:dyDescent="0.25">
      <c r="C792" s="35"/>
      <c r="D792" s="35"/>
      <c r="E792" s="65"/>
      <c r="F792" s="69"/>
      <c r="G792" s="35"/>
      <c r="H792" s="35"/>
      <c r="I792" s="35"/>
    </row>
    <row r="793" spans="3:9" ht="13.5" customHeight="1" x14ac:dyDescent="0.25">
      <c r="C793" s="16"/>
      <c r="D793" s="16"/>
      <c r="E793" s="64"/>
      <c r="F793" s="64"/>
      <c r="G793" s="16"/>
      <c r="H793" s="16"/>
      <c r="I793" s="16"/>
    </row>
    <row r="794" spans="3:9" ht="13.5" customHeight="1" x14ac:dyDescent="0.25">
      <c r="C794" s="35"/>
      <c r="D794" s="35"/>
      <c r="E794" s="65"/>
      <c r="F794" s="69"/>
      <c r="G794" s="35"/>
      <c r="H794" s="35"/>
      <c r="I794" s="35"/>
    </row>
    <row r="795" spans="3:9" ht="13.5" customHeight="1" x14ac:dyDescent="0.25">
      <c r="C795" s="16"/>
      <c r="D795" s="16"/>
      <c r="E795" s="64"/>
      <c r="F795" s="64"/>
      <c r="G795" s="16"/>
      <c r="H795" s="16"/>
      <c r="I795" s="16"/>
    </row>
    <row r="796" spans="3:9" ht="13.5" customHeight="1" x14ac:dyDescent="0.25">
      <c r="C796" s="35"/>
      <c r="D796" s="35"/>
      <c r="E796" s="65"/>
      <c r="F796" s="69"/>
      <c r="G796" s="35"/>
      <c r="H796" s="35"/>
      <c r="I796" s="35"/>
    </row>
    <row r="797" spans="3:9" ht="13.5" customHeight="1" x14ac:dyDescent="0.25">
      <c r="C797" s="16"/>
      <c r="D797" s="16"/>
      <c r="E797" s="64"/>
      <c r="F797" s="64"/>
      <c r="G797" s="16"/>
      <c r="H797" s="16"/>
      <c r="I797" s="16"/>
    </row>
    <row r="798" spans="3:9" ht="13.5" customHeight="1" x14ac:dyDescent="0.25">
      <c r="C798" s="35"/>
      <c r="D798" s="35"/>
      <c r="E798" s="65"/>
      <c r="F798" s="69"/>
      <c r="G798" s="35"/>
      <c r="H798" s="35"/>
      <c r="I798" s="35"/>
    </row>
    <row r="799" spans="3:9" ht="13.5" customHeight="1" x14ac:dyDescent="0.25">
      <c r="C799" s="16"/>
      <c r="D799" s="16"/>
      <c r="E799" s="64"/>
      <c r="F799" s="64"/>
      <c r="G799" s="16"/>
      <c r="H799" s="16"/>
      <c r="I799" s="16"/>
    </row>
    <row r="800" spans="3:9" ht="13.5" customHeight="1" x14ac:dyDescent="0.25">
      <c r="C800" s="35"/>
      <c r="D800" s="35"/>
      <c r="E800" s="65"/>
      <c r="F800" s="69"/>
      <c r="G800" s="35"/>
      <c r="H800" s="35"/>
      <c r="I800" s="35"/>
    </row>
    <row r="801" spans="3:9" ht="13.5" customHeight="1" x14ac:dyDescent="0.25">
      <c r="C801" s="16"/>
      <c r="D801" s="16"/>
      <c r="E801" s="64"/>
      <c r="F801" s="64"/>
      <c r="G801" s="16"/>
      <c r="H801" s="16"/>
      <c r="I801" s="16"/>
    </row>
    <row r="802" spans="3:9" ht="13.5" customHeight="1" x14ac:dyDescent="0.25">
      <c r="C802" s="35"/>
      <c r="D802" s="35"/>
      <c r="E802" s="65"/>
      <c r="F802" s="69"/>
      <c r="G802" s="35"/>
      <c r="H802" s="35"/>
      <c r="I802" s="35"/>
    </row>
    <row r="803" spans="3:9" ht="13.5" customHeight="1" x14ac:dyDescent="0.25">
      <c r="C803" s="16"/>
      <c r="D803" s="16"/>
      <c r="E803" s="64"/>
      <c r="F803" s="64"/>
      <c r="G803" s="16"/>
      <c r="H803" s="16"/>
      <c r="I803" s="16"/>
    </row>
    <row r="804" spans="3:9" ht="13.5" customHeight="1" x14ac:dyDescent="0.25">
      <c r="C804" s="35"/>
      <c r="D804" s="35"/>
      <c r="E804" s="65"/>
      <c r="F804" s="69"/>
      <c r="G804" s="35"/>
      <c r="H804" s="35"/>
      <c r="I804" s="35"/>
    </row>
    <row r="805" spans="3:9" ht="13.5" customHeight="1" x14ac:dyDescent="0.25">
      <c r="C805" s="16"/>
      <c r="D805" s="16"/>
      <c r="E805" s="64"/>
      <c r="F805" s="64"/>
      <c r="G805" s="16"/>
      <c r="H805" s="16"/>
      <c r="I805" s="16"/>
    </row>
    <row r="806" spans="3:9" ht="13.5" customHeight="1" x14ac:dyDescent="0.25">
      <c r="C806" s="35"/>
      <c r="D806" s="35"/>
      <c r="E806" s="65"/>
      <c r="F806" s="69"/>
      <c r="G806" s="35"/>
      <c r="H806" s="35"/>
      <c r="I806" s="35"/>
    </row>
    <row r="807" spans="3:9" ht="13.5" customHeight="1" x14ac:dyDescent="0.25">
      <c r="C807" s="16"/>
      <c r="D807" s="16"/>
      <c r="E807" s="64"/>
      <c r="F807" s="64"/>
      <c r="G807" s="16"/>
      <c r="H807" s="16"/>
      <c r="I807" s="16"/>
    </row>
    <row r="808" spans="3:9" ht="13.5" customHeight="1" x14ac:dyDescent="0.25">
      <c r="C808" s="35"/>
      <c r="D808" s="35"/>
      <c r="E808" s="65"/>
      <c r="F808" s="69"/>
      <c r="G808" s="35"/>
      <c r="H808" s="35"/>
      <c r="I808" s="35"/>
    </row>
    <row r="809" spans="3:9" ht="13.5" customHeight="1" x14ac:dyDescent="0.25">
      <c r="C809" s="16"/>
      <c r="D809" s="16"/>
      <c r="E809" s="64"/>
      <c r="F809" s="64"/>
      <c r="G809" s="16"/>
      <c r="H809" s="16"/>
      <c r="I809" s="16"/>
    </row>
    <row r="810" spans="3:9" ht="13.5" customHeight="1" x14ac:dyDescent="0.25">
      <c r="C810" s="35"/>
      <c r="D810" s="35"/>
      <c r="E810" s="65"/>
      <c r="F810" s="69"/>
      <c r="G810" s="35"/>
      <c r="H810" s="35"/>
      <c r="I810" s="35"/>
    </row>
    <row r="811" spans="3:9" ht="13.5" customHeight="1" x14ac:dyDescent="0.25">
      <c r="C811" s="16"/>
      <c r="D811" s="16"/>
      <c r="E811" s="64"/>
      <c r="F811" s="64"/>
      <c r="G811" s="16"/>
      <c r="H811" s="16"/>
      <c r="I811" s="16"/>
    </row>
    <row r="812" spans="3:9" ht="13.5" customHeight="1" x14ac:dyDescent="0.25">
      <c r="C812" s="35"/>
      <c r="D812" s="35"/>
      <c r="E812" s="65"/>
      <c r="F812" s="69"/>
      <c r="G812" s="35"/>
      <c r="H812" s="35"/>
      <c r="I812" s="35"/>
    </row>
    <row r="813" spans="3:9" ht="13.5" customHeight="1" x14ac:dyDescent="0.25">
      <c r="C813" s="16"/>
      <c r="D813" s="16"/>
      <c r="E813" s="64"/>
      <c r="F813" s="64"/>
      <c r="G813" s="16"/>
      <c r="H813" s="16"/>
      <c r="I813" s="16"/>
    </row>
    <row r="814" spans="3:9" ht="13.5" customHeight="1" x14ac:dyDescent="0.25">
      <c r="C814" s="35"/>
      <c r="D814" s="35"/>
      <c r="E814" s="65"/>
      <c r="F814" s="69"/>
      <c r="G814" s="35"/>
      <c r="H814" s="35"/>
      <c r="I814" s="35"/>
    </row>
    <row r="815" spans="3:9" ht="13.5" customHeight="1" x14ac:dyDescent="0.25">
      <c r="C815" s="16"/>
      <c r="D815" s="16"/>
      <c r="E815" s="64"/>
      <c r="F815" s="64"/>
      <c r="G815" s="16"/>
      <c r="H815" s="16"/>
      <c r="I815" s="16"/>
    </row>
    <row r="816" spans="3:9" ht="13.5" customHeight="1" x14ac:dyDescent="0.25">
      <c r="C816" s="35"/>
      <c r="D816" s="35"/>
      <c r="E816" s="65"/>
      <c r="F816" s="69"/>
      <c r="G816" s="35"/>
      <c r="H816" s="35"/>
      <c r="I816" s="35"/>
    </row>
    <row r="817" spans="3:9" ht="13.5" customHeight="1" x14ac:dyDescent="0.25">
      <c r="C817" s="16"/>
      <c r="D817" s="16"/>
      <c r="E817" s="64"/>
      <c r="F817" s="64"/>
      <c r="G817" s="16"/>
      <c r="H817" s="16"/>
      <c r="I817" s="16"/>
    </row>
    <row r="818" spans="3:9" ht="13.5" customHeight="1" x14ac:dyDescent="0.25">
      <c r="C818" s="35"/>
      <c r="D818" s="35"/>
      <c r="E818" s="65"/>
      <c r="F818" s="69"/>
      <c r="G818" s="35"/>
      <c r="H818" s="35"/>
      <c r="I818" s="35"/>
    </row>
    <row r="819" spans="3:9" ht="13.5" customHeight="1" x14ac:dyDescent="0.25">
      <c r="C819" s="16"/>
      <c r="D819" s="16"/>
      <c r="E819" s="64"/>
      <c r="F819" s="64"/>
      <c r="G819" s="16"/>
      <c r="H819" s="16"/>
      <c r="I819" s="16"/>
    </row>
    <row r="820" spans="3:9" ht="13.5" customHeight="1" x14ac:dyDescent="0.25">
      <c r="C820" s="35"/>
      <c r="D820" s="35"/>
      <c r="E820" s="65"/>
      <c r="F820" s="69"/>
      <c r="G820" s="35"/>
      <c r="H820" s="35"/>
      <c r="I820" s="35"/>
    </row>
    <row r="821" spans="3:9" ht="13.5" customHeight="1" x14ac:dyDescent="0.25">
      <c r="C821" s="16"/>
      <c r="D821" s="16"/>
      <c r="E821" s="64"/>
      <c r="F821" s="64"/>
      <c r="G821" s="16"/>
      <c r="H821" s="16"/>
      <c r="I821" s="16"/>
    </row>
    <row r="822" spans="3:9" ht="13.5" customHeight="1" x14ac:dyDescent="0.25">
      <c r="C822" s="35"/>
      <c r="D822" s="35"/>
      <c r="E822" s="65"/>
      <c r="F822" s="69"/>
      <c r="G822" s="35"/>
      <c r="H822" s="35"/>
      <c r="I822" s="35"/>
    </row>
    <row r="823" spans="3:9" ht="13.5" customHeight="1" x14ac:dyDescent="0.25">
      <c r="C823" s="16"/>
      <c r="D823" s="16"/>
      <c r="E823" s="64"/>
      <c r="F823" s="64"/>
      <c r="G823" s="16"/>
      <c r="H823" s="16"/>
      <c r="I823" s="16"/>
    </row>
    <row r="824" spans="3:9" ht="13.5" customHeight="1" x14ac:dyDescent="0.25">
      <c r="C824" s="35"/>
      <c r="D824" s="35"/>
      <c r="E824" s="65"/>
      <c r="F824" s="69"/>
      <c r="G824" s="35"/>
      <c r="H824" s="35"/>
      <c r="I824" s="35"/>
    </row>
    <row r="825" spans="3:9" ht="13.5" customHeight="1" x14ac:dyDescent="0.25">
      <c r="C825" s="16"/>
      <c r="D825" s="16"/>
      <c r="E825" s="64"/>
      <c r="F825" s="64"/>
      <c r="G825" s="16"/>
      <c r="H825" s="16"/>
      <c r="I825" s="16"/>
    </row>
    <row r="826" spans="3:9" ht="13.5" customHeight="1" x14ac:dyDescent="0.25">
      <c r="C826" s="35"/>
      <c r="D826" s="35"/>
      <c r="E826" s="65"/>
      <c r="F826" s="69"/>
      <c r="G826" s="35"/>
      <c r="H826" s="35"/>
      <c r="I826" s="35"/>
    </row>
    <row r="827" spans="3:9" ht="13.5" customHeight="1" x14ac:dyDescent="0.25">
      <c r="C827" s="16"/>
      <c r="D827" s="16"/>
      <c r="E827" s="64"/>
      <c r="F827" s="64"/>
      <c r="G827" s="16"/>
      <c r="H827" s="16"/>
      <c r="I827" s="16"/>
    </row>
    <row r="828" spans="3:9" ht="13.5" customHeight="1" x14ac:dyDescent="0.25">
      <c r="C828" s="35"/>
      <c r="D828" s="35"/>
      <c r="E828" s="65"/>
      <c r="F828" s="69"/>
      <c r="G828" s="35"/>
      <c r="H828" s="35"/>
      <c r="I828" s="35"/>
    </row>
    <row r="829" spans="3:9" ht="13.5" customHeight="1" x14ac:dyDescent="0.25">
      <c r="C829" s="16"/>
      <c r="D829" s="16"/>
      <c r="E829" s="64"/>
      <c r="F829" s="64"/>
      <c r="G829" s="16"/>
      <c r="H829" s="16"/>
      <c r="I829" s="16"/>
    </row>
    <row r="830" spans="3:9" ht="13.5" customHeight="1" x14ac:dyDescent="0.25">
      <c r="C830" s="35"/>
      <c r="D830" s="35"/>
      <c r="E830" s="65"/>
      <c r="F830" s="69"/>
      <c r="G830" s="35"/>
      <c r="H830" s="35"/>
      <c r="I830" s="35"/>
    </row>
    <row r="831" spans="3:9" ht="13.5" customHeight="1" x14ac:dyDescent="0.25">
      <c r="C831" s="16"/>
      <c r="D831" s="16"/>
      <c r="E831" s="64"/>
      <c r="F831" s="64"/>
      <c r="G831" s="16"/>
      <c r="H831" s="16"/>
      <c r="I831" s="16"/>
    </row>
    <row r="832" spans="3:9" ht="13.5" customHeight="1" x14ac:dyDescent="0.25">
      <c r="C832" s="35"/>
      <c r="D832" s="35"/>
      <c r="E832" s="65"/>
      <c r="F832" s="69"/>
      <c r="G832" s="35"/>
      <c r="H832" s="35"/>
      <c r="I832" s="35"/>
    </row>
    <row r="833" spans="3:9" ht="13.5" customHeight="1" x14ac:dyDescent="0.25">
      <c r="C833" s="16"/>
      <c r="D833" s="16"/>
      <c r="E833" s="64"/>
      <c r="F833" s="64"/>
      <c r="G833" s="16"/>
      <c r="H833" s="16"/>
      <c r="I833" s="16"/>
    </row>
    <row r="834" spans="3:9" ht="13.5" customHeight="1" x14ac:dyDescent="0.25">
      <c r="C834" s="35"/>
      <c r="D834" s="35"/>
      <c r="E834" s="65"/>
      <c r="F834" s="69"/>
      <c r="G834" s="35"/>
      <c r="H834" s="35"/>
      <c r="I834" s="35"/>
    </row>
    <row r="835" spans="3:9" ht="13.5" customHeight="1" x14ac:dyDescent="0.25">
      <c r="C835" s="16"/>
      <c r="D835" s="16"/>
      <c r="E835" s="64"/>
      <c r="F835" s="64"/>
      <c r="G835" s="16"/>
      <c r="H835" s="16"/>
      <c r="I835" s="16"/>
    </row>
    <row r="836" spans="3:9" ht="13.5" customHeight="1" x14ac:dyDescent="0.25">
      <c r="C836" s="35"/>
      <c r="D836" s="35"/>
      <c r="E836" s="65"/>
      <c r="F836" s="69"/>
      <c r="G836" s="35"/>
      <c r="H836" s="35"/>
      <c r="I836" s="35"/>
    </row>
    <row r="837" spans="3:9" ht="13.5" customHeight="1" x14ac:dyDescent="0.25">
      <c r="C837" s="16"/>
      <c r="D837" s="16"/>
      <c r="E837" s="64"/>
      <c r="F837" s="64"/>
      <c r="G837" s="16"/>
      <c r="H837" s="16"/>
      <c r="I837" s="16"/>
    </row>
    <row r="838" spans="3:9" ht="13.5" customHeight="1" x14ac:dyDescent="0.25">
      <c r="C838" s="35"/>
      <c r="D838" s="35"/>
      <c r="E838" s="65"/>
      <c r="F838" s="69"/>
      <c r="G838" s="35"/>
      <c r="H838" s="35"/>
      <c r="I838" s="35"/>
    </row>
    <row r="839" spans="3:9" ht="13.5" customHeight="1" x14ac:dyDescent="0.25">
      <c r="C839" s="16"/>
      <c r="D839" s="16"/>
      <c r="E839" s="64"/>
      <c r="F839" s="64"/>
      <c r="G839" s="16"/>
      <c r="H839" s="16"/>
      <c r="I839" s="16"/>
    </row>
    <row r="840" spans="3:9" ht="13.5" customHeight="1" x14ac:dyDescent="0.25">
      <c r="C840" s="35"/>
      <c r="D840" s="35"/>
      <c r="E840" s="65"/>
      <c r="F840" s="69"/>
      <c r="G840" s="35"/>
      <c r="H840" s="35"/>
      <c r="I840" s="35"/>
    </row>
    <row r="841" spans="3:9" ht="13.5" customHeight="1" x14ac:dyDescent="0.25">
      <c r="C841" s="16"/>
      <c r="D841" s="16"/>
      <c r="E841" s="64"/>
      <c r="F841" s="64"/>
      <c r="G841" s="16"/>
      <c r="H841" s="16"/>
      <c r="I841" s="16"/>
    </row>
    <row r="842" spans="3:9" ht="13.5" customHeight="1" x14ac:dyDescent="0.25">
      <c r="C842" s="35"/>
      <c r="D842" s="35"/>
      <c r="E842" s="65"/>
      <c r="F842" s="69"/>
      <c r="G842" s="35"/>
      <c r="H842" s="35"/>
      <c r="I842" s="35"/>
    </row>
    <row r="843" spans="3:9" ht="13.5" customHeight="1" x14ac:dyDescent="0.25">
      <c r="C843" s="16"/>
      <c r="D843" s="16"/>
      <c r="E843" s="64"/>
      <c r="F843" s="64"/>
      <c r="G843" s="16"/>
      <c r="H843" s="16"/>
      <c r="I843" s="16"/>
    </row>
    <row r="844" spans="3:9" ht="13.5" customHeight="1" x14ac:dyDescent="0.25">
      <c r="C844" s="35"/>
      <c r="D844" s="35"/>
      <c r="E844" s="65"/>
      <c r="F844" s="69"/>
      <c r="G844" s="35"/>
      <c r="H844" s="35"/>
      <c r="I844" s="35"/>
    </row>
    <row r="845" spans="3:9" ht="13.5" customHeight="1" x14ac:dyDescent="0.25">
      <c r="C845" s="16"/>
      <c r="D845" s="16"/>
      <c r="E845" s="64"/>
      <c r="F845" s="64"/>
      <c r="G845" s="16"/>
      <c r="H845" s="16"/>
      <c r="I845" s="16"/>
    </row>
    <row r="846" spans="3:9" ht="13.5" customHeight="1" x14ac:dyDescent="0.25">
      <c r="C846" s="35"/>
      <c r="D846" s="35"/>
      <c r="E846" s="65"/>
      <c r="F846" s="69"/>
      <c r="G846" s="35"/>
      <c r="H846" s="35"/>
      <c r="I846" s="35"/>
    </row>
    <row r="847" spans="3:9" ht="13.5" customHeight="1" x14ac:dyDescent="0.25">
      <c r="C847" s="16"/>
      <c r="D847" s="16"/>
      <c r="E847" s="64"/>
      <c r="F847" s="64"/>
      <c r="G847" s="16"/>
      <c r="H847" s="16"/>
      <c r="I847" s="16"/>
    </row>
    <row r="848" spans="3:9" ht="13.5" customHeight="1" x14ac:dyDescent="0.25">
      <c r="C848" s="35"/>
      <c r="D848" s="35"/>
      <c r="E848" s="65"/>
      <c r="F848" s="69"/>
      <c r="G848" s="35"/>
      <c r="H848" s="35"/>
      <c r="I848" s="35"/>
    </row>
    <row r="849" spans="3:9" ht="13.5" customHeight="1" x14ac:dyDescent="0.25">
      <c r="C849" s="16"/>
      <c r="D849" s="16"/>
      <c r="E849" s="64"/>
      <c r="F849" s="64"/>
      <c r="G849" s="16"/>
      <c r="H849" s="16"/>
      <c r="I849" s="16"/>
    </row>
    <row r="850" spans="3:9" ht="13.5" customHeight="1" x14ac:dyDescent="0.25">
      <c r="C850" s="35"/>
      <c r="D850" s="35"/>
      <c r="E850" s="65"/>
      <c r="F850" s="69"/>
      <c r="G850" s="35"/>
      <c r="H850" s="35"/>
      <c r="I850" s="35"/>
    </row>
    <row r="851" spans="3:9" ht="13.5" customHeight="1" x14ac:dyDescent="0.25">
      <c r="C851" s="16"/>
      <c r="D851" s="16"/>
      <c r="E851" s="64"/>
      <c r="F851" s="64"/>
      <c r="G851" s="16"/>
      <c r="H851" s="16"/>
      <c r="I851" s="16"/>
    </row>
    <row r="852" spans="3:9" ht="13.5" customHeight="1" x14ac:dyDescent="0.25">
      <c r="C852" s="35"/>
      <c r="D852" s="35"/>
      <c r="E852" s="65"/>
      <c r="F852" s="69"/>
      <c r="G852" s="35"/>
      <c r="H852" s="35"/>
      <c r="I852" s="35"/>
    </row>
    <row r="853" spans="3:9" ht="13.5" customHeight="1" x14ac:dyDescent="0.25">
      <c r="C853" s="16"/>
      <c r="D853" s="16"/>
      <c r="E853" s="64"/>
      <c r="F853" s="64"/>
      <c r="G853" s="16"/>
      <c r="H853" s="16"/>
      <c r="I853" s="16"/>
    </row>
    <row r="854" spans="3:9" ht="13.5" customHeight="1" x14ac:dyDescent="0.25">
      <c r="C854" s="35"/>
      <c r="D854" s="35"/>
      <c r="E854" s="65"/>
      <c r="F854" s="69"/>
      <c r="G854" s="35"/>
      <c r="H854" s="35"/>
      <c r="I854" s="35"/>
    </row>
    <row r="855" spans="3:9" ht="13.5" customHeight="1" x14ac:dyDescent="0.25">
      <c r="C855" s="16"/>
      <c r="D855" s="16"/>
      <c r="E855" s="64"/>
      <c r="F855" s="64"/>
      <c r="G855" s="16"/>
      <c r="H855" s="16"/>
      <c r="I855" s="16"/>
    </row>
    <row r="856" spans="3:9" ht="13.5" customHeight="1" x14ac:dyDescent="0.25">
      <c r="C856" s="35"/>
      <c r="D856" s="35"/>
      <c r="E856" s="65"/>
      <c r="F856" s="69"/>
      <c r="G856" s="35"/>
      <c r="H856" s="35"/>
      <c r="I856" s="35"/>
    </row>
    <row r="857" spans="3:9" ht="13.5" customHeight="1" x14ac:dyDescent="0.25">
      <c r="C857" s="16"/>
      <c r="D857" s="16"/>
      <c r="E857" s="64"/>
      <c r="F857" s="64"/>
      <c r="G857" s="16"/>
      <c r="H857" s="16"/>
      <c r="I857" s="16"/>
    </row>
    <row r="858" spans="3:9" ht="13.5" customHeight="1" x14ac:dyDescent="0.25">
      <c r="C858" s="35"/>
      <c r="D858" s="35"/>
      <c r="E858" s="65"/>
      <c r="F858" s="69"/>
      <c r="G858" s="35"/>
      <c r="H858" s="35"/>
      <c r="I858" s="35"/>
    </row>
    <row r="859" spans="3:9" ht="13.5" customHeight="1" x14ac:dyDescent="0.25">
      <c r="C859" s="16"/>
      <c r="D859" s="16"/>
      <c r="E859" s="64"/>
      <c r="F859" s="64"/>
      <c r="G859" s="16"/>
      <c r="H859" s="16"/>
      <c r="I859" s="16"/>
    </row>
    <row r="860" spans="3:9" ht="13.5" customHeight="1" x14ac:dyDescent="0.25">
      <c r="C860" s="35"/>
      <c r="D860" s="35"/>
      <c r="E860" s="65"/>
      <c r="F860" s="69"/>
      <c r="G860" s="35"/>
      <c r="H860" s="35"/>
      <c r="I860" s="35"/>
    </row>
    <row r="861" spans="3:9" ht="13.5" customHeight="1" x14ac:dyDescent="0.25">
      <c r="C861" s="16"/>
      <c r="D861" s="16"/>
      <c r="E861" s="64"/>
      <c r="F861" s="64"/>
      <c r="G861" s="16"/>
      <c r="H861" s="16"/>
      <c r="I861" s="16"/>
    </row>
    <row r="862" spans="3:9" ht="13.5" customHeight="1" x14ac:dyDescent="0.25">
      <c r="C862" s="35"/>
      <c r="D862" s="35"/>
      <c r="E862" s="65"/>
      <c r="F862" s="69"/>
      <c r="G862" s="35"/>
      <c r="H862" s="35"/>
      <c r="I862" s="35"/>
    </row>
    <row r="863" spans="3:9" ht="13.5" customHeight="1" x14ac:dyDescent="0.25">
      <c r="C863" s="16"/>
      <c r="D863" s="16"/>
      <c r="E863" s="64"/>
      <c r="F863" s="64"/>
      <c r="G863" s="16"/>
      <c r="H863" s="16"/>
      <c r="I863" s="16"/>
    </row>
    <row r="864" spans="3:9" ht="13.5" customHeight="1" x14ac:dyDescent="0.25">
      <c r="C864" s="35"/>
      <c r="D864" s="35"/>
      <c r="E864" s="65"/>
      <c r="F864" s="69"/>
      <c r="G864" s="35"/>
      <c r="H864" s="35"/>
      <c r="I864" s="35"/>
    </row>
    <row r="865" spans="3:9" ht="13.5" customHeight="1" x14ac:dyDescent="0.25">
      <c r="C865" s="16"/>
      <c r="D865" s="16"/>
      <c r="E865" s="64"/>
      <c r="F865" s="64"/>
      <c r="G865" s="16"/>
      <c r="H865" s="16"/>
      <c r="I865" s="16"/>
    </row>
    <row r="866" spans="3:9" ht="13.5" customHeight="1" x14ac:dyDescent="0.25">
      <c r="C866" s="35"/>
      <c r="D866" s="35"/>
      <c r="E866" s="65"/>
      <c r="F866" s="69"/>
      <c r="G866" s="35"/>
      <c r="H866" s="35"/>
      <c r="I866" s="35"/>
    </row>
    <row r="867" spans="3:9" ht="13.5" customHeight="1" x14ac:dyDescent="0.25">
      <c r="C867" s="16"/>
      <c r="D867" s="16"/>
      <c r="E867" s="64"/>
      <c r="F867" s="64"/>
      <c r="G867" s="16"/>
      <c r="H867" s="16"/>
      <c r="I867" s="16"/>
    </row>
    <row r="868" spans="3:9" ht="13.5" customHeight="1" x14ac:dyDescent="0.25">
      <c r="C868" s="35"/>
      <c r="D868" s="35"/>
      <c r="E868" s="65"/>
      <c r="F868" s="69"/>
      <c r="G868" s="35"/>
      <c r="H868" s="35"/>
      <c r="I868" s="35"/>
    </row>
    <row r="869" spans="3:9" ht="13.5" customHeight="1" x14ac:dyDescent="0.25">
      <c r="C869" s="16"/>
      <c r="D869" s="16"/>
      <c r="E869" s="64"/>
      <c r="F869" s="64"/>
      <c r="G869" s="16"/>
      <c r="H869" s="16"/>
      <c r="I869" s="16"/>
    </row>
    <row r="870" spans="3:9" ht="13.5" customHeight="1" x14ac:dyDescent="0.25">
      <c r="C870" s="35"/>
      <c r="D870" s="35"/>
      <c r="E870" s="65"/>
      <c r="F870" s="69"/>
      <c r="G870" s="35"/>
      <c r="H870" s="35"/>
      <c r="I870" s="35"/>
    </row>
    <row r="871" spans="3:9" ht="13.5" customHeight="1" x14ac:dyDescent="0.25">
      <c r="C871" s="16"/>
      <c r="D871" s="16"/>
      <c r="E871" s="64"/>
      <c r="F871" s="64"/>
      <c r="G871" s="16"/>
      <c r="H871" s="16"/>
      <c r="I871" s="16"/>
    </row>
    <row r="872" spans="3:9" ht="13.5" customHeight="1" x14ac:dyDescent="0.25">
      <c r="C872" s="35"/>
      <c r="D872" s="35"/>
      <c r="E872" s="65"/>
      <c r="F872" s="69"/>
      <c r="G872" s="35"/>
      <c r="H872" s="35"/>
      <c r="I872" s="35"/>
    </row>
    <row r="873" spans="3:9" ht="13.5" customHeight="1" x14ac:dyDescent="0.25">
      <c r="C873" s="16"/>
      <c r="D873" s="16"/>
      <c r="E873" s="64"/>
      <c r="F873" s="64"/>
      <c r="G873" s="16"/>
      <c r="H873" s="16"/>
      <c r="I873" s="16"/>
    </row>
    <row r="874" spans="3:9" ht="13.5" customHeight="1" x14ac:dyDescent="0.25">
      <c r="C874" s="35"/>
      <c r="D874" s="35"/>
      <c r="E874" s="65"/>
      <c r="F874" s="69"/>
      <c r="G874" s="35"/>
      <c r="H874" s="35"/>
      <c r="I874" s="35"/>
    </row>
    <row r="875" spans="3:9" ht="13.5" customHeight="1" x14ac:dyDescent="0.25">
      <c r="C875" s="16"/>
      <c r="D875" s="16"/>
      <c r="E875" s="64"/>
      <c r="F875" s="64"/>
      <c r="G875" s="16"/>
      <c r="H875" s="16"/>
      <c r="I875" s="16"/>
    </row>
    <row r="876" spans="3:9" ht="13.5" customHeight="1" x14ac:dyDescent="0.25">
      <c r="C876" s="35"/>
      <c r="D876" s="35"/>
      <c r="E876" s="65"/>
      <c r="F876" s="69"/>
      <c r="G876" s="35"/>
      <c r="H876" s="35"/>
      <c r="I876" s="35"/>
    </row>
    <row r="877" spans="3:9" ht="13.5" customHeight="1" x14ac:dyDescent="0.25">
      <c r="C877" s="16"/>
      <c r="D877" s="16"/>
      <c r="E877" s="64"/>
      <c r="F877" s="64"/>
      <c r="G877" s="16"/>
      <c r="H877" s="16"/>
      <c r="I877" s="16"/>
    </row>
    <row r="878" spans="3:9" ht="13.5" customHeight="1" x14ac:dyDescent="0.25">
      <c r="C878" s="35"/>
      <c r="D878" s="35"/>
      <c r="E878" s="65"/>
      <c r="F878" s="69"/>
      <c r="G878" s="35"/>
      <c r="H878" s="35"/>
      <c r="I878" s="35"/>
    </row>
    <row r="879" spans="3:9" ht="13.5" customHeight="1" x14ac:dyDescent="0.25">
      <c r="C879" s="16"/>
      <c r="D879" s="16"/>
      <c r="E879" s="64"/>
      <c r="F879" s="64"/>
      <c r="G879" s="16"/>
      <c r="H879" s="16"/>
      <c r="I879" s="16"/>
    </row>
    <row r="880" spans="3:9" ht="13.5" customHeight="1" x14ac:dyDescent="0.25">
      <c r="C880" s="35"/>
      <c r="D880" s="35"/>
      <c r="E880" s="65"/>
      <c r="F880" s="69"/>
      <c r="G880" s="35"/>
      <c r="H880" s="35"/>
      <c r="I880" s="35"/>
    </row>
    <row r="881" spans="3:9" ht="13.5" customHeight="1" x14ac:dyDescent="0.25">
      <c r="C881" s="16"/>
      <c r="D881" s="16"/>
      <c r="E881" s="64"/>
      <c r="F881" s="64"/>
      <c r="G881" s="16"/>
      <c r="H881" s="16"/>
      <c r="I881" s="16"/>
    </row>
    <row r="882" spans="3:9" ht="13.5" customHeight="1" x14ac:dyDescent="0.25">
      <c r="C882" s="35"/>
      <c r="D882" s="35"/>
      <c r="E882" s="65"/>
      <c r="F882" s="69"/>
      <c r="G882" s="35"/>
      <c r="H882" s="35"/>
      <c r="I882" s="35"/>
    </row>
    <row r="883" spans="3:9" ht="13.5" customHeight="1" x14ac:dyDescent="0.25">
      <c r="C883" s="16"/>
      <c r="D883" s="16"/>
      <c r="E883" s="64"/>
      <c r="F883" s="64"/>
      <c r="G883" s="16"/>
      <c r="H883" s="16"/>
      <c r="I883" s="16"/>
    </row>
    <row r="884" spans="3:9" ht="13.5" customHeight="1" x14ac:dyDescent="0.25">
      <c r="C884" s="35"/>
      <c r="D884" s="35"/>
      <c r="E884" s="65"/>
      <c r="F884" s="69"/>
      <c r="G884" s="35"/>
      <c r="H884" s="35"/>
      <c r="I884" s="35"/>
    </row>
    <row r="885" spans="3:9" ht="13.5" customHeight="1" x14ac:dyDescent="0.25">
      <c r="C885" s="16"/>
      <c r="D885" s="16"/>
      <c r="E885" s="64"/>
      <c r="F885" s="64"/>
      <c r="G885" s="16"/>
      <c r="H885" s="16"/>
      <c r="I885" s="16"/>
    </row>
    <row r="886" spans="3:9" ht="13.5" customHeight="1" x14ac:dyDescent="0.25">
      <c r="C886" s="35"/>
      <c r="D886" s="35"/>
      <c r="E886" s="65"/>
      <c r="F886" s="69"/>
      <c r="G886" s="35"/>
      <c r="H886" s="35"/>
      <c r="I886" s="35"/>
    </row>
    <row r="887" spans="3:9" ht="13.5" customHeight="1" x14ac:dyDescent="0.25">
      <c r="C887" s="16"/>
      <c r="D887" s="16"/>
      <c r="E887" s="64"/>
      <c r="F887" s="64"/>
      <c r="G887" s="16"/>
      <c r="H887" s="16"/>
      <c r="I887" s="16"/>
    </row>
    <row r="888" spans="3:9" ht="13.5" customHeight="1" x14ac:dyDescent="0.25">
      <c r="C888" s="35"/>
      <c r="D888" s="35"/>
      <c r="E888" s="65"/>
      <c r="F888" s="69"/>
      <c r="G888" s="35"/>
      <c r="H888" s="35"/>
      <c r="I888" s="35"/>
    </row>
    <row r="889" spans="3:9" ht="13.5" customHeight="1" x14ac:dyDescent="0.25">
      <c r="C889" s="16"/>
      <c r="D889" s="16"/>
      <c r="E889" s="64"/>
      <c r="F889" s="64"/>
      <c r="G889" s="16"/>
      <c r="H889" s="16"/>
      <c r="I889" s="16"/>
    </row>
    <row r="890" spans="3:9" ht="13.5" customHeight="1" x14ac:dyDescent="0.25">
      <c r="C890" s="35"/>
      <c r="D890" s="35"/>
      <c r="E890" s="65"/>
      <c r="F890" s="69"/>
      <c r="G890" s="35"/>
      <c r="H890" s="35"/>
      <c r="I890" s="35"/>
    </row>
    <row r="891" spans="3:9" ht="13.5" customHeight="1" x14ac:dyDescent="0.25">
      <c r="C891" s="16"/>
      <c r="D891" s="16"/>
      <c r="E891" s="64"/>
      <c r="F891" s="64"/>
      <c r="G891" s="16"/>
      <c r="H891" s="16"/>
      <c r="I891" s="16"/>
    </row>
    <row r="892" spans="3:9" ht="13.5" customHeight="1" x14ac:dyDescent="0.25">
      <c r="C892" s="35"/>
      <c r="D892" s="35"/>
      <c r="E892" s="65"/>
      <c r="F892" s="69"/>
      <c r="G892" s="35"/>
      <c r="H892" s="35"/>
      <c r="I892" s="35"/>
    </row>
    <row r="893" spans="3:9" ht="13.5" customHeight="1" x14ac:dyDescent="0.25">
      <c r="C893" s="16"/>
      <c r="D893" s="16"/>
      <c r="E893" s="64"/>
      <c r="F893" s="64"/>
      <c r="G893" s="16"/>
      <c r="H893" s="16"/>
      <c r="I893" s="16"/>
    </row>
    <row r="894" spans="3:9" ht="13.5" customHeight="1" x14ac:dyDescent="0.25">
      <c r="C894" s="35"/>
      <c r="D894" s="35"/>
      <c r="E894" s="65"/>
      <c r="F894" s="69"/>
      <c r="G894" s="35"/>
      <c r="H894" s="35"/>
      <c r="I894" s="35"/>
    </row>
    <row r="895" spans="3:9" ht="13.5" customHeight="1" x14ac:dyDescent="0.25">
      <c r="C895" s="16"/>
      <c r="D895" s="16"/>
      <c r="E895" s="64"/>
      <c r="F895" s="64"/>
      <c r="G895" s="16"/>
      <c r="H895" s="16"/>
      <c r="I895" s="16"/>
    </row>
    <row r="896" spans="3:9" ht="13.5" customHeight="1" x14ac:dyDescent="0.25">
      <c r="C896" s="35"/>
      <c r="D896" s="35"/>
      <c r="E896" s="65"/>
      <c r="F896" s="69"/>
      <c r="G896" s="35"/>
      <c r="H896" s="35"/>
      <c r="I896" s="35"/>
    </row>
    <row r="897" spans="3:9" ht="13.5" customHeight="1" x14ac:dyDescent="0.25">
      <c r="C897" s="16"/>
      <c r="D897" s="16"/>
      <c r="E897" s="64"/>
      <c r="F897" s="64"/>
      <c r="G897" s="16"/>
      <c r="H897" s="16"/>
      <c r="I897" s="16"/>
    </row>
    <row r="898" spans="3:9" ht="13.5" customHeight="1" x14ac:dyDescent="0.25">
      <c r="C898" s="35"/>
      <c r="D898" s="35"/>
      <c r="E898" s="65"/>
      <c r="F898" s="69"/>
      <c r="G898" s="35"/>
      <c r="H898" s="35"/>
      <c r="I898" s="35"/>
    </row>
    <row r="899" spans="3:9" ht="13.5" customHeight="1" x14ac:dyDescent="0.25">
      <c r="C899" s="16"/>
      <c r="D899" s="16"/>
      <c r="E899" s="64"/>
      <c r="F899" s="64"/>
      <c r="G899" s="16"/>
      <c r="H899" s="16"/>
      <c r="I899" s="16"/>
    </row>
    <row r="900" spans="3:9" ht="13.5" customHeight="1" x14ac:dyDescent="0.25">
      <c r="C900" s="35"/>
      <c r="D900" s="35"/>
      <c r="E900" s="65"/>
      <c r="F900" s="69"/>
      <c r="G900" s="35"/>
      <c r="H900" s="35"/>
      <c r="I900" s="35"/>
    </row>
    <row r="901" spans="3:9" ht="13.5" customHeight="1" x14ac:dyDescent="0.25">
      <c r="C901" s="16"/>
      <c r="D901" s="16"/>
      <c r="E901" s="64"/>
      <c r="F901" s="64"/>
      <c r="G901" s="16"/>
      <c r="H901" s="16"/>
      <c r="I901" s="16"/>
    </row>
    <row r="902" spans="3:9" ht="13.5" customHeight="1" x14ac:dyDescent="0.25">
      <c r="C902" s="35"/>
      <c r="D902" s="35"/>
      <c r="E902" s="65"/>
      <c r="F902" s="69"/>
      <c r="G902" s="35"/>
      <c r="H902" s="35"/>
      <c r="I902" s="35"/>
    </row>
    <row r="903" spans="3:9" ht="13.5" customHeight="1" x14ac:dyDescent="0.25">
      <c r="C903" s="16"/>
      <c r="D903" s="16"/>
      <c r="E903" s="64"/>
      <c r="F903" s="64"/>
      <c r="G903" s="16"/>
      <c r="H903" s="16"/>
      <c r="I903" s="16"/>
    </row>
    <row r="904" spans="3:9" ht="13.5" customHeight="1" x14ac:dyDescent="0.25">
      <c r="C904" s="35"/>
      <c r="D904" s="35"/>
      <c r="E904" s="65"/>
      <c r="F904" s="69"/>
      <c r="G904" s="35"/>
      <c r="H904" s="35"/>
      <c r="I904" s="35"/>
    </row>
    <row r="905" spans="3:9" ht="13.5" customHeight="1" x14ac:dyDescent="0.25">
      <c r="C905" s="16"/>
      <c r="D905" s="16"/>
      <c r="E905" s="64"/>
      <c r="F905" s="64"/>
      <c r="G905" s="16"/>
      <c r="H905" s="16"/>
      <c r="I905" s="16"/>
    </row>
    <row r="906" spans="3:9" ht="13.5" customHeight="1" x14ac:dyDescent="0.25">
      <c r="C906" s="35"/>
      <c r="D906" s="35"/>
      <c r="E906" s="65"/>
      <c r="F906" s="69"/>
      <c r="G906" s="35"/>
      <c r="H906" s="35"/>
      <c r="I906" s="35"/>
    </row>
    <row r="907" spans="3:9" ht="13.5" customHeight="1" x14ac:dyDescent="0.25">
      <c r="C907" s="16"/>
      <c r="D907" s="16"/>
      <c r="E907" s="64"/>
      <c r="F907" s="64"/>
      <c r="G907" s="16"/>
      <c r="H907" s="16"/>
      <c r="I907" s="16"/>
    </row>
    <row r="908" spans="3:9" ht="13.5" customHeight="1" x14ac:dyDescent="0.25">
      <c r="C908" s="35"/>
      <c r="D908" s="35"/>
      <c r="E908" s="65"/>
      <c r="F908" s="69"/>
      <c r="G908" s="35"/>
      <c r="H908" s="35"/>
      <c r="I908" s="35"/>
    </row>
    <row r="909" spans="3:9" ht="13.5" customHeight="1" x14ac:dyDescent="0.25">
      <c r="C909" s="16"/>
      <c r="D909" s="16"/>
      <c r="E909" s="64"/>
      <c r="F909" s="64"/>
      <c r="G909" s="16"/>
      <c r="H909" s="16"/>
      <c r="I909" s="16"/>
    </row>
    <row r="910" spans="3:9" ht="13.5" customHeight="1" x14ac:dyDescent="0.25">
      <c r="C910" s="35"/>
      <c r="D910" s="35"/>
      <c r="E910" s="65"/>
      <c r="F910" s="69"/>
      <c r="G910" s="35"/>
      <c r="H910" s="35"/>
      <c r="I910" s="35"/>
    </row>
    <row r="911" spans="3:9" ht="13.5" customHeight="1" x14ac:dyDescent="0.25">
      <c r="C911" s="16"/>
      <c r="D911" s="16"/>
      <c r="E911" s="64"/>
      <c r="F911" s="64"/>
      <c r="G911" s="16"/>
      <c r="H911" s="16"/>
      <c r="I911" s="16"/>
    </row>
    <row r="912" spans="3:9" ht="13.5" customHeight="1" x14ac:dyDescent="0.25">
      <c r="C912" s="35"/>
      <c r="D912" s="35"/>
      <c r="E912" s="65"/>
      <c r="F912" s="69"/>
      <c r="G912" s="35"/>
      <c r="H912" s="35"/>
      <c r="I912" s="35"/>
    </row>
    <row r="913" spans="3:9" ht="13.5" customHeight="1" x14ac:dyDescent="0.25">
      <c r="C913" s="16"/>
      <c r="D913" s="16"/>
      <c r="E913" s="64"/>
      <c r="F913" s="64"/>
      <c r="G913" s="16"/>
      <c r="H913" s="16"/>
      <c r="I913" s="16"/>
    </row>
    <row r="914" spans="3:9" ht="13.5" customHeight="1" x14ac:dyDescent="0.25">
      <c r="C914" s="35"/>
      <c r="D914" s="35"/>
      <c r="E914" s="65"/>
      <c r="F914" s="69"/>
      <c r="G914" s="35"/>
      <c r="H914" s="35"/>
      <c r="I914" s="35"/>
    </row>
    <row r="915" spans="3:9" ht="13.5" customHeight="1" x14ac:dyDescent="0.25">
      <c r="C915" s="16"/>
      <c r="D915" s="16"/>
      <c r="E915" s="64"/>
      <c r="F915" s="64"/>
      <c r="G915" s="16"/>
      <c r="H915" s="16"/>
      <c r="I915" s="16"/>
    </row>
    <row r="916" spans="3:9" ht="13.5" customHeight="1" x14ac:dyDescent="0.25">
      <c r="C916" s="35"/>
      <c r="D916" s="35"/>
      <c r="E916" s="65"/>
      <c r="F916" s="69"/>
      <c r="G916" s="35"/>
      <c r="H916" s="35"/>
      <c r="I916" s="35"/>
    </row>
    <row r="917" spans="3:9" ht="13.5" customHeight="1" x14ac:dyDescent="0.25">
      <c r="C917" s="16"/>
      <c r="D917" s="16"/>
      <c r="E917" s="64"/>
      <c r="F917" s="64"/>
      <c r="G917" s="16"/>
      <c r="H917" s="16"/>
      <c r="I917" s="16"/>
    </row>
    <row r="918" spans="3:9" ht="13.5" customHeight="1" x14ac:dyDescent="0.25">
      <c r="C918" s="35"/>
      <c r="D918" s="35"/>
      <c r="E918" s="65"/>
      <c r="F918" s="69"/>
      <c r="G918" s="35"/>
      <c r="H918" s="35"/>
      <c r="I918" s="35"/>
    </row>
    <row r="919" spans="3:9" ht="13.5" customHeight="1" x14ac:dyDescent="0.25">
      <c r="C919" s="16"/>
      <c r="D919" s="16"/>
      <c r="E919" s="64"/>
      <c r="F919" s="64"/>
      <c r="G919" s="16"/>
      <c r="H919" s="16"/>
      <c r="I919" s="16"/>
    </row>
    <row r="920" spans="3:9" ht="13.5" customHeight="1" x14ac:dyDescent="0.25">
      <c r="C920" s="35"/>
      <c r="D920" s="35"/>
      <c r="E920" s="65"/>
      <c r="F920" s="69"/>
      <c r="G920" s="35"/>
      <c r="H920" s="35"/>
      <c r="I920" s="35"/>
    </row>
    <row r="921" spans="3:9" ht="13.5" customHeight="1" x14ac:dyDescent="0.25">
      <c r="C921" s="16"/>
      <c r="D921" s="16"/>
      <c r="E921" s="64"/>
      <c r="F921" s="64"/>
      <c r="G921" s="16"/>
      <c r="H921" s="16"/>
      <c r="I921" s="16"/>
    </row>
    <row r="922" spans="3:9" ht="13.5" customHeight="1" x14ac:dyDescent="0.25">
      <c r="C922" s="35"/>
      <c r="D922" s="35"/>
      <c r="E922" s="65"/>
      <c r="F922" s="69"/>
      <c r="G922" s="35"/>
      <c r="H922" s="35"/>
      <c r="I922" s="35"/>
    </row>
    <row r="923" spans="3:9" ht="13.5" customHeight="1" x14ac:dyDescent="0.25">
      <c r="C923" s="16"/>
      <c r="D923" s="16"/>
      <c r="E923" s="64"/>
      <c r="F923" s="64"/>
      <c r="G923" s="16"/>
      <c r="H923" s="16"/>
      <c r="I923" s="16"/>
    </row>
    <row r="924" spans="3:9" ht="13.5" customHeight="1" x14ac:dyDescent="0.25">
      <c r="C924" s="35"/>
      <c r="D924" s="35"/>
      <c r="E924" s="65"/>
      <c r="F924" s="69"/>
      <c r="G924" s="35"/>
      <c r="H924" s="35"/>
      <c r="I924" s="35"/>
    </row>
    <row r="925" spans="3:9" ht="13.5" customHeight="1" x14ac:dyDescent="0.25">
      <c r="C925" s="16"/>
      <c r="D925" s="16"/>
      <c r="E925" s="64"/>
      <c r="F925" s="64"/>
      <c r="G925" s="16"/>
      <c r="H925" s="16"/>
      <c r="I925" s="16"/>
    </row>
    <row r="926" spans="3:9" ht="13.5" customHeight="1" x14ac:dyDescent="0.25">
      <c r="C926" s="35"/>
      <c r="D926" s="35"/>
      <c r="E926" s="65"/>
      <c r="F926" s="69"/>
      <c r="G926" s="35"/>
      <c r="H926" s="35"/>
      <c r="I926" s="35"/>
    </row>
    <row r="927" spans="3:9" ht="13.5" customHeight="1" x14ac:dyDescent="0.25">
      <c r="C927" s="16"/>
      <c r="D927" s="16"/>
      <c r="E927" s="64"/>
      <c r="F927" s="64"/>
      <c r="G927" s="16"/>
      <c r="H927" s="16"/>
      <c r="I927" s="16"/>
    </row>
    <row r="928" spans="3:9" ht="13.5" customHeight="1" x14ac:dyDescent="0.25">
      <c r="C928" s="35"/>
      <c r="D928" s="35"/>
      <c r="E928" s="65"/>
      <c r="F928" s="69"/>
      <c r="G928" s="35"/>
      <c r="H928" s="35"/>
      <c r="I928" s="35"/>
    </row>
    <row r="929" spans="3:9" ht="13.5" customHeight="1" x14ac:dyDescent="0.25">
      <c r="C929" s="16"/>
      <c r="D929" s="16"/>
      <c r="E929" s="64"/>
      <c r="F929" s="64"/>
      <c r="G929" s="16"/>
      <c r="H929" s="16"/>
      <c r="I929" s="16"/>
    </row>
    <row r="930" spans="3:9" ht="13.5" customHeight="1" x14ac:dyDescent="0.25">
      <c r="C930" s="35"/>
      <c r="D930" s="35"/>
      <c r="E930" s="65"/>
      <c r="F930" s="69"/>
      <c r="G930" s="35"/>
      <c r="H930" s="35"/>
      <c r="I930" s="35"/>
    </row>
    <row r="931" spans="3:9" ht="13.5" customHeight="1" x14ac:dyDescent="0.25">
      <c r="C931" s="16"/>
      <c r="D931" s="16"/>
      <c r="E931" s="64"/>
      <c r="F931" s="64"/>
      <c r="G931" s="16"/>
      <c r="H931" s="16"/>
      <c r="I931" s="16"/>
    </row>
    <row r="932" spans="3:9" ht="13.5" customHeight="1" x14ac:dyDescent="0.25">
      <c r="C932" s="35"/>
      <c r="D932" s="35"/>
      <c r="E932" s="65"/>
      <c r="F932" s="69"/>
      <c r="G932" s="35"/>
      <c r="H932" s="35"/>
      <c r="I932" s="35"/>
    </row>
    <row r="933" spans="3:9" ht="13.5" customHeight="1" x14ac:dyDescent="0.25">
      <c r="C933" s="16"/>
      <c r="D933" s="16"/>
      <c r="E933" s="64"/>
      <c r="F933" s="64"/>
      <c r="G933" s="16"/>
      <c r="H933" s="16"/>
      <c r="I933" s="16"/>
    </row>
    <row r="934" spans="3:9" ht="13.5" customHeight="1" x14ac:dyDescent="0.25">
      <c r="C934" s="35"/>
      <c r="D934" s="35"/>
      <c r="E934" s="65"/>
      <c r="F934" s="69"/>
      <c r="G934" s="35"/>
      <c r="H934" s="35"/>
      <c r="I934" s="35"/>
    </row>
    <row r="935" spans="3:9" ht="13.5" customHeight="1" x14ac:dyDescent="0.25">
      <c r="C935" s="16"/>
      <c r="D935" s="16"/>
      <c r="E935" s="64"/>
      <c r="F935" s="64"/>
      <c r="G935" s="16"/>
      <c r="H935" s="16"/>
      <c r="I935" s="16"/>
    </row>
    <row r="936" spans="3:9" ht="13.5" customHeight="1" x14ac:dyDescent="0.25">
      <c r="C936" s="35"/>
      <c r="D936" s="35"/>
      <c r="E936" s="65"/>
      <c r="F936" s="69"/>
      <c r="G936" s="35"/>
      <c r="H936" s="35"/>
      <c r="I936" s="35"/>
    </row>
    <row r="937" spans="3:9" ht="13.5" customHeight="1" x14ac:dyDescent="0.25">
      <c r="C937" s="16"/>
      <c r="D937" s="16"/>
      <c r="E937" s="64"/>
      <c r="F937" s="64"/>
      <c r="G937" s="16"/>
      <c r="H937" s="16"/>
      <c r="I937" s="16"/>
    </row>
    <row r="938" spans="3:9" ht="13.5" customHeight="1" x14ac:dyDescent="0.25">
      <c r="C938" s="35"/>
      <c r="D938" s="35"/>
      <c r="E938" s="65"/>
      <c r="F938" s="69"/>
      <c r="G938" s="35"/>
      <c r="H938" s="35"/>
      <c r="I938" s="35"/>
    </row>
    <row r="939" spans="3:9" ht="13.5" customHeight="1" x14ac:dyDescent="0.25">
      <c r="C939" s="16"/>
      <c r="D939" s="16"/>
      <c r="E939" s="64"/>
      <c r="F939" s="64"/>
      <c r="G939" s="16"/>
      <c r="H939" s="16"/>
      <c r="I939" s="16"/>
    </row>
    <row r="940" spans="3:9" ht="13.5" customHeight="1" x14ac:dyDescent="0.25">
      <c r="C940" s="35"/>
      <c r="D940" s="35"/>
      <c r="E940" s="65"/>
      <c r="F940" s="69"/>
      <c r="G940" s="35"/>
      <c r="H940" s="35"/>
      <c r="I940" s="35"/>
    </row>
    <row r="941" spans="3:9" ht="13.5" customHeight="1" x14ac:dyDescent="0.25">
      <c r="C941" s="16"/>
      <c r="D941" s="16"/>
      <c r="E941" s="64"/>
      <c r="F941" s="64"/>
      <c r="G941" s="16"/>
      <c r="H941" s="16"/>
      <c r="I941" s="16"/>
    </row>
    <row r="942" spans="3:9" ht="13.5" customHeight="1" x14ac:dyDescent="0.25">
      <c r="C942" s="35"/>
      <c r="D942" s="35"/>
      <c r="E942" s="65"/>
      <c r="F942" s="69"/>
      <c r="G942" s="35"/>
      <c r="H942" s="35"/>
      <c r="I942" s="35"/>
    </row>
    <row r="943" spans="3:9" ht="13.5" customHeight="1" x14ac:dyDescent="0.25">
      <c r="C943" s="16"/>
      <c r="D943" s="16"/>
      <c r="E943" s="64"/>
      <c r="F943" s="64"/>
      <c r="G943" s="16"/>
      <c r="H943" s="16"/>
      <c r="I943" s="16"/>
    </row>
    <row r="944" spans="3:9" ht="13.5" customHeight="1" x14ac:dyDescent="0.25">
      <c r="C944" s="35"/>
      <c r="D944" s="35"/>
      <c r="E944" s="65"/>
      <c r="F944" s="69"/>
      <c r="G944" s="35"/>
      <c r="H944" s="35"/>
      <c r="I944" s="35"/>
    </row>
    <row r="945" spans="3:9" ht="13.5" customHeight="1" x14ac:dyDescent="0.25">
      <c r="C945" s="16"/>
      <c r="D945" s="16"/>
      <c r="E945" s="64"/>
      <c r="F945" s="64"/>
      <c r="G945" s="16"/>
      <c r="H945" s="16"/>
      <c r="I945" s="16"/>
    </row>
    <row r="946" spans="3:9" ht="13.5" customHeight="1" x14ac:dyDescent="0.25">
      <c r="C946" s="35"/>
      <c r="D946" s="35"/>
      <c r="E946" s="65"/>
      <c r="F946" s="69"/>
      <c r="G946" s="35"/>
      <c r="H946" s="35"/>
      <c r="I946" s="35"/>
    </row>
    <row r="947" spans="3:9" ht="13.5" customHeight="1" x14ac:dyDescent="0.25">
      <c r="C947" s="16"/>
      <c r="D947" s="16"/>
      <c r="E947" s="64"/>
      <c r="F947" s="64"/>
      <c r="G947" s="16"/>
      <c r="H947" s="16"/>
      <c r="I947" s="16"/>
    </row>
    <row r="948" spans="3:9" ht="13.5" customHeight="1" x14ac:dyDescent="0.25">
      <c r="C948" s="35"/>
      <c r="D948" s="35"/>
      <c r="E948" s="65"/>
      <c r="F948" s="69"/>
      <c r="G948" s="35"/>
      <c r="H948" s="35"/>
      <c r="I948" s="35"/>
    </row>
    <row r="949" spans="3:9" ht="13.5" customHeight="1" x14ac:dyDescent="0.25">
      <c r="C949" s="16"/>
      <c r="D949" s="16"/>
      <c r="E949" s="64"/>
      <c r="F949" s="64"/>
      <c r="G949" s="16"/>
      <c r="H949" s="16"/>
      <c r="I949" s="16"/>
    </row>
    <row r="950" spans="3:9" ht="13.5" customHeight="1" x14ac:dyDescent="0.25">
      <c r="C950" s="35"/>
      <c r="D950" s="35"/>
      <c r="E950" s="65"/>
      <c r="F950" s="69"/>
      <c r="G950" s="35"/>
      <c r="H950" s="35"/>
      <c r="I950" s="35"/>
    </row>
    <row r="951" spans="3:9" ht="13.5" customHeight="1" x14ac:dyDescent="0.25">
      <c r="C951" s="16"/>
      <c r="D951" s="16"/>
      <c r="E951" s="64"/>
      <c r="F951" s="64"/>
      <c r="G951" s="16"/>
      <c r="H951" s="16"/>
      <c r="I951" s="16"/>
    </row>
    <row r="952" spans="3:9" ht="13.5" customHeight="1" x14ac:dyDescent="0.25">
      <c r="C952" s="35"/>
      <c r="D952" s="35"/>
      <c r="E952" s="65"/>
      <c r="F952" s="69"/>
      <c r="G952" s="35"/>
      <c r="H952" s="35"/>
      <c r="I952" s="35"/>
    </row>
    <row r="953" spans="3:9" ht="13.5" customHeight="1" x14ac:dyDescent="0.25">
      <c r="C953" s="16"/>
      <c r="D953" s="16"/>
      <c r="E953" s="64"/>
      <c r="F953" s="64"/>
      <c r="G953" s="16"/>
      <c r="H953" s="16"/>
      <c r="I953" s="16"/>
    </row>
    <row r="954" spans="3:9" ht="13.5" customHeight="1" x14ac:dyDescent="0.25">
      <c r="C954" s="35"/>
      <c r="D954" s="35"/>
      <c r="E954" s="65"/>
      <c r="F954" s="69"/>
      <c r="G954" s="35"/>
      <c r="H954" s="35"/>
      <c r="I954" s="35"/>
    </row>
    <row r="955" spans="3:9" ht="13.5" customHeight="1" x14ac:dyDescent="0.25">
      <c r="C955" s="16"/>
      <c r="D955" s="16"/>
      <c r="E955" s="64"/>
      <c r="F955" s="64"/>
      <c r="G955" s="16"/>
      <c r="H955" s="16"/>
      <c r="I955" s="16"/>
    </row>
    <row r="956" spans="3:9" ht="13.5" customHeight="1" x14ac:dyDescent="0.25">
      <c r="C956" s="35"/>
      <c r="D956" s="35"/>
      <c r="E956" s="65"/>
      <c r="F956" s="69"/>
      <c r="G956" s="35"/>
      <c r="H956" s="35"/>
      <c r="I956" s="35"/>
    </row>
    <row r="957" spans="3:9" ht="13.5" customHeight="1" x14ac:dyDescent="0.25">
      <c r="C957" s="16"/>
      <c r="D957" s="16"/>
      <c r="E957" s="64"/>
      <c r="F957" s="64"/>
      <c r="G957" s="16"/>
      <c r="H957" s="16"/>
      <c r="I957" s="16"/>
    </row>
    <row r="958" spans="3:9" ht="13.5" customHeight="1" x14ac:dyDescent="0.25">
      <c r="C958" s="35"/>
      <c r="D958" s="35"/>
      <c r="E958" s="65"/>
      <c r="F958" s="69"/>
      <c r="G958" s="35"/>
      <c r="H958" s="35"/>
      <c r="I958" s="35"/>
    </row>
    <row r="959" spans="3:9" ht="13.5" customHeight="1" x14ac:dyDescent="0.25">
      <c r="C959" s="16"/>
      <c r="D959" s="16"/>
      <c r="E959" s="64"/>
      <c r="F959" s="64"/>
      <c r="G959" s="16"/>
      <c r="H959" s="16"/>
      <c r="I959" s="16"/>
    </row>
    <row r="960" spans="3:9" ht="13.5" customHeight="1" x14ac:dyDescent="0.25">
      <c r="C960" s="35"/>
      <c r="D960" s="35"/>
      <c r="E960" s="65"/>
      <c r="F960" s="69"/>
      <c r="G960" s="35"/>
      <c r="H960" s="35"/>
      <c r="I960" s="35"/>
    </row>
    <row r="961" spans="3:9" ht="13.5" customHeight="1" x14ac:dyDescent="0.25">
      <c r="C961" s="16"/>
      <c r="D961" s="16"/>
      <c r="E961" s="64"/>
      <c r="F961" s="64"/>
      <c r="G961" s="16"/>
      <c r="H961" s="16"/>
      <c r="I961" s="16"/>
    </row>
    <row r="962" spans="3:9" ht="13.5" customHeight="1" x14ac:dyDescent="0.25">
      <c r="C962" s="35"/>
      <c r="D962" s="35"/>
      <c r="E962" s="65"/>
      <c r="F962" s="69"/>
      <c r="G962" s="35"/>
      <c r="H962" s="35"/>
      <c r="I962" s="35"/>
    </row>
    <row r="963" spans="3:9" ht="13.5" customHeight="1" x14ac:dyDescent="0.25">
      <c r="C963" s="16"/>
      <c r="D963" s="16"/>
      <c r="E963" s="64"/>
      <c r="F963" s="64"/>
      <c r="G963" s="16"/>
      <c r="H963" s="16"/>
      <c r="I963" s="16"/>
    </row>
    <row r="964" spans="3:9" ht="13.5" customHeight="1" x14ac:dyDescent="0.25">
      <c r="C964" s="35"/>
      <c r="D964" s="35"/>
      <c r="E964" s="65"/>
      <c r="F964" s="69"/>
      <c r="G964" s="35"/>
      <c r="H964" s="35"/>
      <c r="I964" s="35"/>
    </row>
    <row r="965" spans="3:9" ht="13.5" customHeight="1" x14ac:dyDescent="0.25">
      <c r="C965" s="16"/>
      <c r="D965" s="16"/>
      <c r="E965" s="64"/>
      <c r="F965" s="64"/>
      <c r="G965" s="16"/>
      <c r="H965" s="16"/>
      <c r="I965" s="16"/>
    </row>
    <row r="966" spans="3:9" ht="13.5" customHeight="1" x14ac:dyDescent="0.25">
      <c r="C966" s="35"/>
      <c r="D966" s="35"/>
      <c r="E966" s="65"/>
      <c r="F966" s="69"/>
      <c r="G966" s="35"/>
      <c r="H966" s="35"/>
      <c r="I966" s="35"/>
    </row>
    <row r="967" spans="3:9" ht="13.5" customHeight="1" x14ac:dyDescent="0.25">
      <c r="C967" s="16"/>
      <c r="D967" s="16"/>
      <c r="E967" s="64"/>
      <c r="F967" s="64"/>
      <c r="G967" s="16"/>
      <c r="H967" s="16"/>
      <c r="I967" s="16"/>
    </row>
    <row r="968" spans="3:9" ht="13.5" customHeight="1" x14ac:dyDescent="0.25">
      <c r="C968" s="35"/>
      <c r="D968" s="35"/>
      <c r="E968" s="65"/>
      <c r="F968" s="69"/>
      <c r="G968" s="35"/>
      <c r="H968" s="35"/>
      <c r="I968" s="35"/>
    </row>
    <row r="969" spans="3:9" ht="13.5" customHeight="1" x14ac:dyDescent="0.25">
      <c r="C969" s="16"/>
      <c r="D969" s="16"/>
      <c r="E969" s="64"/>
      <c r="F969" s="64"/>
      <c r="G969" s="16"/>
      <c r="H969" s="16"/>
      <c r="I969" s="16"/>
    </row>
    <row r="970" spans="3:9" ht="13.5" customHeight="1" x14ac:dyDescent="0.25">
      <c r="C970" s="35"/>
      <c r="D970" s="35"/>
      <c r="E970" s="65"/>
      <c r="F970" s="69"/>
      <c r="G970" s="35"/>
      <c r="H970" s="35"/>
      <c r="I970" s="35"/>
    </row>
    <row r="971" spans="3:9" ht="13.5" customHeight="1" x14ac:dyDescent="0.25">
      <c r="C971" s="16"/>
      <c r="D971" s="16"/>
      <c r="E971" s="64"/>
      <c r="F971" s="64"/>
      <c r="G971" s="16"/>
      <c r="H971" s="16"/>
      <c r="I971" s="16"/>
    </row>
    <row r="972" spans="3:9" ht="13.5" customHeight="1" x14ac:dyDescent="0.25">
      <c r="C972" s="35"/>
      <c r="D972" s="35"/>
      <c r="E972" s="65"/>
      <c r="F972" s="69"/>
      <c r="G972" s="35"/>
      <c r="H972" s="35"/>
      <c r="I972" s="35"/>
    </row>
    <row r="973" spans="3:9" ht="13.5" customHeight="1" x14ac:dyDescent="0.25">
      <c r="C973" s="16"/>
      <c r="D973" s="16"/>
      <c r="E973" s="64"/>
      <c r="F973" s="64"/>
      <c r="G973" s="16"/>
      <c r="H973" s="16"/>
      <c r="I973" s="16"/>
    </row>
    <row r="974" spans="3:9" ht="13.5" customHeight="1" x14ac:dyDescent="0.25">
      <c r="C974" s="35"/>
      <c r="D974" s="35"/>
      <c r="E974" s="65"/>
      <c r="F974" s="69"/>
      <c r="G974" s="35"/>
      <c r="H974" s="35"/>
      <c r="I974" s="35"/>
    </row>
    <row r="975" spans="3:9" ht="13.5" customHeight="1" x14ac:dyDescent="0.25">
      <c r="C975" s="16"/>
      <c r="D975" s="16"/>
      <c r="E975" s="64"/>
      <c r="F975" s="64"/>
      <c r="G975" s="16"/>
      <c r="H975" s="16"/>
      <c r="I975" s="16"/>
    </row>
    <row r="976" spans="3:9" ht="13.5" customHeight="1" x14ac:dyDescent="0.25">
      <c r="C976" s="35"/>
      <c r="D976" s="35"/>
      <c r="E976" s="65"/>
      <c r="F976" s="69"/>
      <c r="G976" s="35"/>
      <c r="H976" s="35"/>
      <c r="I976" s="35"/>
    </row>
    <row r="977" spans="3:9" ht="13.5" customHeight="1" x14ac:dyDescent="0.25">
      <c r="C977" s="16"/>
      <c r="D977" s="16"/>
      <c r="E977" s="64"/>
      <c r="F977" s="64"/>
      <c r="G977" s="16"/>
      <c r="H977" s="16"/>
      <c r="I977" s="16"/>
    </row>
    <row r="978" spans="3:9" ht="13.5" customHeight="1" x14ac:dyDescent="0.25">
      <c r="C978" s="35"/>
      <c r="D978" s="35"/>
      <c r="E978" s="65"/>
      <c r="F978" s="69"/>
      <c r="G978" s="35"/>
      <c r="H978" s="35"/>
      <c r="I978" s="35"/>
    </row>
    <row r="979" spans="3:9" ht="13.5" customHeight="1" x14ac:dyDescent="0.25">
      <c r="C979" s="16"/>
      <c r="D979" s="16"/>
      <c r="E979" s="64"/>
      <c r="F979" s="64"/>
      <c r="G979" s="16"/>
      <c r="H979" s="16"/>
      <c r="I979" s="16"/>
    </row>
    <row r="980" spans="3:9" ht="13.5" customHeight="1" x14ac:dyDescent="0.25">
      <c r="C980" s="35"/>
      <c r="D980" s="35"/>
      <c r="E980" s="65"/>
      <c r="F980" s="69"/>
      <c r="G980" s="35"/>
      <c r="H980" s="35"/>
      <c r="I980" s="35"/>
    </row>
    <row r="981" spans="3:9" ht="13.5" customHeight="1" x14ac:dyDescent="0.25">
      <c r="C981" s="16"/>
      <c r="D981" s="16"/>
      <c r="E981" s="64"/>
      <c r="F981" s="64"/>
      <c r="G981" s="16"/>
      <c r="H981" s="16"/>
      <c r="I981" s="16"/>
    </row>
    <row r="982" spans="3:9" ht="13.5" customHeight="1" x14ac:dyDescent="0.25">
      <c r="C982" s="35"/>
      <c r="D982" s="35"/>
      <c r="E982" s="65"/>
      <c r="F982" s="69"/>
      <c r="G982" s="35"/>
      <c r="H982" s="35"/>
      <c r="I982" s="35"/>
    </row>
    <row r="983" spans="3:9" ht="13.5" customHeight="1" x14ac:dyDescent="0.25">
      <c r="C983" s="16"/>
      <c r="D983" s="16"/>
      <c r="E983" s="64"/>
      <c r="F983" s="64"/>
      <c r="G983" s="16"/>
      <c r="H983" s="16"/>
      <c r="I983" s="16"/>
    </row>
    <row r="984" spans="3:9" ht="13.5" customHeight="1" x14ac:dyDescent="0.25">
      <c r="C984" s="35"/>
      <c r="D984" s="35"/>
      <c r="E984" s="65"/>
      <c r="F984" s="69"/>
      <c r="G984" s="35"/>
      <c r="H984" s="35"/>
      <c r="I984" s="35"/>
    </row>
    <row r="985" spans="3:9" ht="13.5" customHeight="1" x14ac:dyDescent="0.25">
      <c r="C985" s="16"/>
      <c r="D985" s="16"/>
      <c r="E985" s="64"/>
      <c r="F985" s="64"/>
      <c r="G985" s="16"/>
      <c r="H985" s="16"/>
      <c r="I985" s="16"/>
    </row>
    <row r="986" spans="3:9" ht="13.5" customHeight="1" x14ac:dyDescent="0.25">
      <c r="C986" s="35"/>
      <c r="D986" s="35"/>
      <c r="E986" s="65"/>
      <c r="F986" s="69"/>
      <c r="G986" s="35"/>
      <c r="H986" s="35"/>
      <c r="I986" s="35"/>
    </row>
    <row r="987" spans="3:9" ht="13.5" customHeight="1" x14ac:dyDescent="0.25">
      <c r="C987" s="16"/>
      <c r="D987" s="16"/>
      <c r="E987" s="64"/>
      <c r="F987" s="64"/>
      <c r="G987" s="16"/>
      <c r="H987" s="16"/>
      <c r="I987" s="16"/>
    </row>
    <row r="988" spans="3:9" ht="13.5" customHeight="1" x14ac:dyDescent="0.25">
      <c r="C988" s="35"/>
      <c r="D988" s="35"/>
      <c r="E988" s="65"/>
      <c r="F988" s="69"/>
      <c r="G988" s="35"/>
      <c r="H988" s="35"/>
      <c r="I988" s="35"/>
    </row>
    <row r="989" spans="3:9" ht="13.5" customHeight="1" x14ac:dyDescent="0.25">
      <c r="C989" s="16"/>
      <c r="D989" s="16"/>
      <c r="E989" s="64"/>
      <c r="F989" s="64"/>
      <c r="G989" s="16"/>
      <c r="H989" s="16"/>
      <c r="I989" s="16"/>
    </row>
    <row r="990" spans="3:9" ht="13.5" customHeight="1" x14ac:dyDescent="0.25">
      <c r="C990" s="35"/>
      <c r="D990" s="35"/>
      <c r="E990" s="65"/>
      <c r="F990" s="69"/>
      <c r="G990" s="35"/>
      <c r="H990" s="35"/>
      <c r="I990" s="35"/>
    </row>
    <row r="991" spans="3:9" ht="13.5" customHeight="1" x14ac:dyDescent="0.25">
      <c r="C991" s="16"/>
      <c r="D991" s="16"/>
      <c r="E991" s="64"/>
      <c r="F991" s="64"/>
      <c r="G991" s="16"/>
      <c r="H991" s="16"/>
      <c r="I991" s="16"/>
    </row>
    <row r="992" spans="3:9" ht="13.5" customHeight="1" x14ac:dyDescent="0.25">
      <c r="C992" s="35"/>
      <c r="D992" s="35"/>
      <c r="E992" s="65"/>
      <c r="F992" s="69"/>
      <c r="G992" s="35"/>
      <c r="H992" s="35"/>
      <c r="I992" s="35"/>
    </row>
    <row r="993" spans="3:9" ht="13.5" customHeight="1" x14ac:dyDescent="0.25">
      <c r="C993" s="16"/>
      <c r="D993" s="16"/>
      <c r="E993" s="64"/>
      <c r="F993" s="64"/>
      <c r="G993" s="16"/>
      <c r="H993" s="16"/>
      <c r="I993" s="16"/>
    </row>
    <row r="994" spans="3:9" ht="13.5" customHeight="1" x14ac:dyDescent="0.25">
      <c r="C994" s="35"/>
      <c r="D994" s="35"/>
      <c r="E994" s="65"/>
      <c r="F994" s="69"/>
      <c r="G994" s="35"/>
      <c r="H994" s="35"/>
      <c r="I994" s="35"/>
    </row>
    <row r="995" spans="3:9" ht="13.5" customHeight="1" x14ac:dyDescent="0.25">
      <c r="C995" s="16"/>
      <c r="D995" s="16"/>
      <c r="E995" s="64"/>
      <c r="F995" s="64"/>
      <c r="G995" s="16"/>
      <c r="H995" s="16"/>
      <c r="I995" s="16"/>
    </row>
    <row r="996" spans="3:9" ht="13.5" customHeight="1" x14ac:dyDescent="0.25">
      <c r="C996" s="35"/>
      <c r="D996" s="35"/>
      <c r="E996" s="65"/>
      <c r="F996" s="69"/>
      <c r="G996" s="35"/>
      <c r="H996" s="35"/>
      <c r="I996" s="35"/>
    </row>
    <row r="997" spans="3:9" ht="13.5" customHeight="1" x14ac:dyDescent="0.25">
      <c r="C997" s="16"/>
      <c r="D997" s="16"/>
      <c r="E997" s="64"/>
      <c r="F997" s="64"/>
      <c r="G997" s="16"/>
      <c r="H997" s="16"/>
      <c r="I997" s="16"/>
    </row>
    <row r="998" spans="3:9" ht="13.5" customHeight="1" x14ac:dyDescent="0.25">
      <c r="C998" s="35"/>
      <c r="D998" s="35"/>
      <c r="E998" s="65"/>
      <c r="F998" s="69"/>
      <c r="G998" s="35"/>
      <c r="H998" s="35"/>
      <c r="I998" s="35"/>
    </row>
    <row r="999" spans="3:9" ht="13.5" customHeight="1" x14ac:dyDescent="0.25">
      <c r="C999" s="16"/>
      <c r="D999" s="16"/>
      <c r="E999" s="64"/>
      <c r="F999" s="64"/>
      <c r="G999" s="16"/>
      <c r="H999" s="16"/>
      <c r="I999" s="16"/>
    </row>
    <row r="1000" spans="3:9" ht="13.5" customHeight="1" x14ac:dyDescent="0.25">
      <c r="C1000" s="35"/>
      <c r="D1000" s="35"/>
      <c r="E1000" s="65"/>
      <c r="F1000" s="69"/>
      <c r="G1000" s="35"/>
      <c r="H1000" s="35"/>
      <c r="I1000" s="35"/>
    </row>
    <row r="1001" spans="3:9" ht="13.5" customHeight="1" x14ac:dyDescent="0.25">
      <c r="C1001" s="16"/>
      <c r="D1001" s="16"/>
      <c r="E1001" s="64"/>
      <c r="F1001" s="64"/>
      <c r="G1001" s="16"/>
      <c r="H1001" s="16"/>
      <c r="I1001" s="16"/>
    </row>
    <row r="1002" spans="3:9" ht="13.5" customHeight="1" x14ac:dyDescent="0.25">
      <c r="C1002" s="35"/>
      <c r="D1002" s="35"/>
      <c r="E1002" s="65"/>
      <c r="F1002" s="69"/>
      <c r="G1002" s="35"/>
      <c r="H1002" s="35"/>
      <c r="I1002" s="35"/>
    </row>
    <row r="1003" spans="3:9" ht="13.5" customHeight="1" x14ac:dyDescent="0.25">
      <c r="C1003" s="16"/>
      <c r="D1003" s="16"/>
      <c r="E1003" s="64"/>
      <c r="F1003" s="64"/>
      <c r="G1003" s="16"/>
      <c r="H1003" s="16"/>
      <c r="I1003" s="16"/>
    </row>
    <row r="1004" spans="3:9" ht="13.5" customHeight="1" x14ac:dyDescent="0.25">
      <c r="C1004" s="35"/>
      <c r="D1004" s="35"/>
      <c r="E1004" s="65"/>
      <c r="F1004" s="69"/>
      <c r="G1004" s="35"/>
      <c r="H1004" s="35"/>
      <c r="I1004" s="35"/>
    </row>
    <row r="1005" spans="3:9" ht="13.5" customHeight="1" x14ac:dyDescent="0.25">
      <c r="C1005" s="16"/>
      <c r="D1005" s="16"/>
      <c r="E1005" s="64"/>
      <c r="F1005" s="64"/>
      <c r="G1005" s="16"/>
      <c r="H1005" s="16"/>
      <c r="I1005" s="16"/>
    </row>
    <row r="1006" spans="3:9" ht="13.5" customHeight="1" x14ac:dyDescent="0.25">
      <c r="C1006" s="35"/>
      <c r="D1006" s="35"/>
      <c r="E1006" s="65"/>
      <c r="F1006" s="69"/>
      <c r="G1006" s="35"/>
      <c r="H1006" s="35"/>
      <c r="I1006" s="35"/>
    </row>
    <row r="1007" spans="3:9" ht="13.5" customHeight="1" x14ac:dyDescent="0.25">
      <c r="C1007" s="16"/>
      <c r="D1007" s="16"/>
      <c r="E1007" s="64"/>
      <c r="F1007" s="64"/>
      <c r="G1007" s="16"/>
      <c r="H1007" s="16"/>
      <c r="I1007" s="16"/>
    </row>
    <row r="1008" spans="3:9" ht="13.5" customHeight="1" x14ac:dyDescent="0.25">
      <c r="C1008" s="35"/>
      <c r="D1008" s="35"/>
      <c r="E1008" s="65"/>
      <c r="F1008" s="69"/>
      <c r="G1008" s="35"/>
      <c r="H1008" s="35"/>
      <c r="I1008" s="35"/>
    </row>
    <row r="1009" spans="3:9" ht="13.5" customHeight="1" x14ac:dyDescent="0.25">
      <c r="C1009" s="16"/>
      <c r="D1009" s="16"/>
      <c r="E1009" s="64"/>
      <c r="F1009" s="64"/>
      <c r="G1009" s="16"/>
      <c r="H1009" s="16"/>
      <c r="I1009" s="16"/>
    </row>
    <row r="1010" spans="3:9" ht="13.5" customHeight="1" x14ac:dyDescent="0.25">
      <c r="C1010" s="35"/>
      <c r="D1010" s="35"/>
      <c r="E1010" s="65"/>
      <c r="F1010" s="69"/>
      <c r="G1010" s="35"/>
      <c r="H1010" s="35"/>
      <c r="I1010" s="35"/>
    </row>
    <row r="1011" spans="3:9" ht="13.5" customHeight="1" x14ac:dyDescent="0.25">
      <c r="C1011" s="16"/>
      <c r="D1011" s="16"/>
      <c r="E1011" s="64"/>
      <c r="F1011" s="64"/>
      <c r="G1011" s="16"/>
      <c r="H1011" s="16"/>
      <c r="I1011" s="16"/>
    </row>
    <row r="1012" spans="3:9" ht="13.5" customHeight="1" x14ac:dyDescent="0.25">
      <c r="C1012" s="35"/>
      <c r="D1012" s="35"/>
      <c r="E1012" s="65"/>
      <c r="F1012" s="69"/>
      <c r="G1012" s="35"/>
      <c r="H1012" s="35"/>
      <c r="I1012" s="35"/>
    </row>
    <row r="1013" spans="3:9" ht="13.5" customHeight="1" x14ac:dyDescent="0.25">
      <c r="C1013" s="16"/>
      <c r="D1013" s="16"/>
      <c r="E1013" s="64"/>
      <c r="F1013" s="64"/>
      <c r="G1013" s="16"/>
      <c r="H1013" s="16"/>
      <c r="I1013" s="16"/>
    </row>
    <row r="1014" spans="3:9" ht="13.5" customHeight="1" x14ac:dyDescent="0.25">
      <c r="C1014" s="35"/>
      <c r="D1014" s="35"/>
      <c r="E1014" s="65"/>
      <c r="F1014" s="69"/>
      <c r="G1014" s="35"/>
      <c r="H1014" s="35"/>
      <c r="I1014" s="35"/>
    </row>
    <row r="1015" spans="3:9" ht="13.5" customHeight="1" x14ac:dyDescent="0.25">
      <c r="C1015" s="16"/>
      <c r="D1015" s="16"/>
      <c r="E1015" s="64"/>
      <c r="F1015" s="64"/>
      <c r="G1015" s="16"/>
      <c r="H1015" s="16"/>
      <c r="I1015" s="16"/>
    </row>
    <row r="1016" spans="3:9" ht="13.5" customHeight="1" x14ac:dyDescent="0.25">
      <c r="C1016" s="35"/>
      <c r="D1016" s="35"/>
      <c r="E1016" s="65"/>
      <c r="F1016" s="69"/>
      <c r="G1016" s="35"/>
      <c r="H1016" s="35"/>
      <c r="I1016" s="35"/>
    </row>
    <row r="1017" spans="3:9" ht="13.5" customHeight="1" x14ac:dyDescent="0.25">
      <c r="C1017" s="16"/>
      <c r="D1017" s="16"/>
      <c r="E1017" s="64"/>
      <c r="F1017" s="64"/>
      <c r="G1017" s="16"/>
      <c r="H1017" s="16"/>
      <c r="I1017" s="16"/>
    </row>
    <row r="1018" spans="3:9" ht="13.5" customHeight="1" x14ac:dyDescent="0.25">
      <c r="C1018" s="35"/>
      <c r="D1018" s="35"/>
      <c r="E1018" s="65"/>
      <c r="F1018" s="69"/>
      <c r="G1018" s="35"/>
      <c r="H1018" s="35"/>
      <c r="I1018" s="35"/>
    </row>
    <row r="1019" spans="3:9" ht="13.5" customHeight="1" x14ac:dyDescent="0.25">
      <c r="C1019" s="16"/>
      <c r="D1019" s="16"/>
      <c r="E1019" s="64"/>
      <c r="F1019" s="64"/>
      <c r="G1019" s="16"/>
      <c r="H1019" s="16"/>
      <c r="I1019" s="16"/>
    </row>
    <row r="1020" spans="3:9" ht="13.5" customHeight="1" x14ac:dyDescent="0.25">
      <c r="C1020" s="35"/>
      <c r="D1020" s="35"/>
      <c r="E1020" s="65"/>
      <c r="F1020" s="69"/>
      <c r="G1020" s="35"/>
      <c r="H1020" s="35"/>
      <c r="I1020" s="35"/>
    </row>
    <row r="1021" spans="3:9" ht="13.5" customHeight="1" x14ac:dyDescent="0.25">
      <c r="C1021" s="16"/>
      <c r="D1021" s="16"/>
      <c r="E1021" s="64"/>
      <c r="F1021" s="64"/>
      <c r="G1021" s="16"/>
      <c r="H1021" s="16"/>
      <c r="I1021" s="16"/>
    </row>
    <row r="1022" spans="3:9" ht="13.5" customHeight="1" x14ac:dyDescent="0.25">
      <c r="C1022" s="35"/>
      <c r="D1022" s="35"/>
      <c r="E1022" s="65"/>
      <c r="F1022" s="69"/>
      <c r="G1022" s="35"/>
      <c r="H1022" s="35"/>
      <c r="I1022" s="35"/>
    </row>
    <row r="1023" spans="3:9" ht="13.5" customHeight="1" x14ac:dyDescent="0.25">
      <c r="C1023" s="16"/>
      <c r="D1023" s="16"/>
      <c r="E1023" s="64"/>
      <c r="F1023" s="64"/>
      <c r="G1023" s="16"/>
      <c r="H1023" s="16"/>
      <c r="I1023" s="16"/>
    </row>
    <row r="1024" spans="3:9" ht="13.5" customHeight="1" x14ac:dyDescent="0.25">
      <c r="C1024" s="35"/>
      <c r="D1024" s="35"/>
      <c r="E1024" s="65"/>
      <c r="F1024" s="69"/>
      <c r="G1024" s="35"/>
      <c r="H1024" s="35"/>
      <c r="I1024" s="35"/>
    </row>
    <row r="1025" spans="3:9" ht="13.5" customHeight="1" x14ac:dyDescent="0.25">
      <c r="C1025" s="16"/>
      <c r="D1025" s="16"/>
      <c r="E1025" s="64"/>
      <c r="F1025" s="64"/>
      <c r="G1025" s="16"/>
      <c r="H1025" s="16"/>
      <c r="I1025" s="16"/>
    </row>
    <row r="1026" spans="3:9" ht="13.5" customHeight="1" x14ac:dyDescent="0.25">
      <c r="C1026" s="35"/>
      <c r="D1026" s="35"/>
      <c r="E1026" s="65"/>
      <c r="F1026" s="69"/>
      <c r="G1026" s="35"/>
      <c r="H1026" s="35"/>
      <c r="I1026" s="35"/>
    </row>
    <row r="1027" spans="3:9" ht="13.5" customHeight="1" x14ac:dyDescent="0.25">
      <c r="C1027" s="16"/>
      <c r="D1027" s="16"/>
      <c r="E1027" s="64"/>
      <c r="F1027" s="64"/>
      <c r="G1027" s="16"/>
      <c r="H1027" s="16"/>
      <c r="I1027" s="16"/>
    </row>
    <row r="1028" spans="3:9" ht="13.5" customHeight="1" x14ac:dyDescent="0.25">
      <c r="C1028" s="35"/>
      <c r="D1028" s="35"/>
      <c r="E1028" s="65"/>
      <c r="F1028" s="69"/>
      <c r="G1028" s="35"/>
      <c r="H1028" s="35"/>
      <c r="I1028" s="35"/>
    </row>
    <row r="1029" spans="3:9" ht="13.5" customHeight="1" x14ac:dyDescent="0.25">
      <c r="C1029" s="16"/>
      <c r="D1029" s="16"/>
      <c r="E1029" s="64"/>
      <c r="F1029" s="64"/>
      <c r="G1029" s="16"/>
      <c r="H1029" s="16"/>
      <c r="I1029" s="16"/>
    </row>
    <row r="1030" spans="3:9" ht="13.5" customHeight="1" x14ac:dyDescent="0.25">
      <c r="C1030" s="35"/>
      <c r="D1030" s="35"/>
      <c r="E1030" s="65"/>
      <c r="F1030" s="69"/>
      <c r="G1030" s="35"/>
      <c r="H1030" s="35"/>
      <c r="I1030" s="35"/>
    </row>
    <row r="1031" spans="3:9" ht="13.5" customHeight="1" x14ac:dyDescent="0.25">
      <c r="C1031" s="16"/>
      <c r="D1031" s="16"/>
      <c r="E1031" s="64"/>
      <c r="F1031" s="64"/>
      <c r="G1031" s="16"/>
      <c r="H1031" s="16"/>
      <c r="I1031" s="16"/>
    </row>
    <row r="1032" spans="3:9" ht="13.5" customHeight="1" x14ac:dyDescent="0.25">
      <c r="C1032" s="35"/>
      <c r="D1032" s="35"/>
      <c r="E1032" s="65"/>
      <c r="F1032" s="69"/>
      <c r="G1032" s="35"/>
      <c r="H1032" s="35"/>
      <c r="I1032" s="35"/>
    </row>
    <row r="1033" spans="3:9" ht="13.5" customHeight="1" x14ac:dyDescent="0.25">
      <c r="C1033" s="16"/>
      <c r="D1033" s="16"/>
      <c r="E1033" s="64"/>
      <c r="F1033" s="64"/>
      <c r="G1033" s="16"/>
      <c r="H1033" s="16"/>
      <c r="I1033" s="16"/>
    </row>
    <row r="1034" spans="3:9" ht="13.5" customHeight="1" x14ac:dyDescent="0.25">
      <c r="C1034" s="35"/>
      <c r="D1034" s="35"/>
      <c r="E1034" s="65"/>
      <c r="F1034" s="69"/>
      <c r="G1034" s="35"/>
      <c r="H1034" s="35"/>
      <c r="I1034" s="35"/>
    </row>
    <row r="1035" spans="3:9" ht="13.5" customHeight="1" x14ac:dyDescent="0.25">
      <c r="C1035" s="16"/>
      <c r="D1035" s="16"/>
      <c r="E1035" s="64"/>
      <c r="F1035" s="64"/>
      <c r="G1035" s="16"/>
      <c r="H1035" s="16"/>
      <c r="I1035" s="16"/>
    </row>
    <row r="1036" spans="3:9" ht="13.5" customHeight="1" x14ac:dyDescent="0.25">
      <c r="C1036" s="35"/>
      <c r="D1036" s="35"/>
      <c r="E1036" s="65"/>
      <c r="F1036" s="69"/>
      <c r="G1036" s="35"/>
      <c r="H1036" s="35"/>
      <c r="I1036" s="35"/>
    </row>
    <row r="1037" spans="3:9" ht="13.5" customHeight="1" x14ac:dyDescent="0.25">
      <c r="C1037" s="16"/>
      <c r="D1037" s="16"/>
      <c r="E1037" s="64"/>
      <c r="F1037" s="64"/>
      <c r="G1037" s="16"/>
      <c r="H1037" s="16"/>
      <c r="I1037" s="16"/>
    </row>
    <row r="1038" spans="3:9" ht="13.5" customHeight="1" x14ac:dyDescent="0.25">
      <c r="C1038" s="35"/>
      <c r="D1038" s="35"/>
      <c r="E1038" s="65"/>
      <c r="F1038" s="69"/>
      <c r="G1038" s="35"/>
      <c r="H1038" s="35"/>
      <c r="I1038" s="35"/>
    </row>
    <row r="1039" spans="3:9" ht="13.5" customHeight="1" x14ac:dyDescent="0.25">
      <c r="C1039" s="16"/>
      <c r="D1039" s="16"/>
      <c r="E1039" s="64"/>
      <c r="F1039" s="64"/>
      <c r="G1039" s="16"/>
      <c r="H1039" s="16"/>
      <c r="I1039" s="16"/>
    </row>
    <row r="1040" spans="3:9" ht="13.5" customHeight="1" x14ac:dyDescent="0.25">
      <c r="C1040" s="35"/>
      <c r="D1040" s="35"/>
      <c r="E1040" s="65"/>
      <c r="F1040" s="69"/>
      <c r="G1040" s="35"/>
      <c r="H1040" s="35"/>
      <c r="I1040" s="35"/>
    </row>
    <row r="1041" spans="3:9" ht="13.5" customHeight="1" x14ac:dyDescent="0.25">
      <c r="C1041" s="16"/>
      <c r="D1041" s="16"/>
      <c r="E1041" s="64"/>
      <c r="F1041" s="64"/>
      <c r="G1041" s="16"/>
      <c r="H1041" s="16"/>
      <c r="I1041" s="16"/>
    </row>
    <row r="1042" spans="3:9" ht="13.5" customHeight="1" x14ac:dyDescent="0.25">
      <c r="C1042" s="35"/>
      <c r="D1042" s="35"/>
      <c r="E1042" s="65"/>
      <c r="F1042" s="69"/>
      <c r="G1042" s="35"/>
      <c r="H1042" s="35"/>
      <c r="I1042" s="35"/>
    </row>
    <row r="1043" spans="3:9" ht="13.5" customHeight="1" x14ac:dyDescent="0.25">
      <c r="C1043" s="16"/>
      <c r="D1043" s="16"/>
      <c r="E1043" s="64"/>
      <c r="F1043" s="64"/>
      <c r="G1043" s="16"/>
      <c r="H1043" s="16"/>
      <c r="I1043" s="16"/>
    </row>
    <row r="1044" spans="3:9" ht="13.5" customHeight="1" x14ac:dyDescent="0.25">
      <c r="C1044" s="35"/>
      <c r="D1044" s="35"/>
      <c r="E1044" s="65"/>
      <c r="F1044" s="69"/>
      <c r="G1044" s="35"/>
      <c r="H1044" s="35"/>
      <c r="I1044" s="35"/>
    </row>
    <row r="1045" spans="3:9" ht="13.5" customHeight="1" x14ac:dyDescent="0.25">
      <c r="C1045" s="16"/>
      <c r="D1045" s="16"/>
      <c r="E1045" s="64"/>
      <c r="F1045" s="64"/>
      <c r="G1045" s="16"/>
      <c r="H1045" s="16"/>
      <c r="I1045" s="16"/>
    </row>
    <row r="1046" spans="3:9" ht="13.5" customHeight="1" x14ac:dyDescent="0.25">
      <c r="C1046" s="35"/>
      <c r="D1046" s="35"/>
      <c r="E1046" s="65"/>
      <c r="F1046" s="69"/>
      <c r="G1046" s="35"/>
      <c r="H1046" s="35"/>
      <c r="I1046" s="35"/>
    </row>
    <row r="1047" spans="3:9" ht="13.5" customHeight="1" x14ac:dyDescent="0.25">
      <c r="C1047" s="16"/>
      <c r="D1047" s="16"/>
      <c r="E1047" s="64"/>
      <c r="F1047" s="64"/>
      <c r="G1047" s="16"/>
      <c r="H1047" s="16"/>
      <c r="I1047" s="16"/>
    </row>
    <row r="1048" spans="3:9" ht="13.5" customHeight="1" x14ac:dyDescent="0.25">
      <c r="C1048" s="35"/>
      <c r="D1048" s="35"/>
      <c r="E1048" s="65"/>
      <c r="F1048" s="69"/>
      <c r="G1048" s="35"/>
      <c r="H1048" s="35"/>
      <c r="I1048" s="35"/>
    </row>
    <row r="1049" spans="3:9" ht="13.5" customHeight="1" x14ac:dyDescent="0.25">
      <c r="C1049" s="16"/>
      <c r="D1049" s="16"/>
      <c r="E1049" s="64"/>
      <c r="F1049" s="64"/>
      <c r="G1049" s="16"/>
      <c r="H1049" s="16"/>
      <c r="I1049" s="16"/>
    </row>
    <row r="1050" spans="3:9" ht="13.5" customHeight="1" x14ac:dyDescent="0.25">
      <c r="C1050" s="35"/>
      <c r="D1050" s="35"/>
      <c r="E1050" s="65"/>
      <c r="F1050" s="69"/>
      <c r="G1050" s="35"/>
      <c r="H1050" s="35"/>
      <c r="I1050" s="35"/>
    </row>
    <row r="1051" spans="3:9" ht="13.5" customHeight="1" x14ac:dyDescent="0.25">
      <c r="C1051" s="16"/>
      <c r="D1051" s="16"/>
      <c r="E1051" s="64"/>
      <c r="F1051" s="64"/>
      <c r="G1051" s="16"/>
      <c r="H1051" s="16"/>
      <c r="I1051" s="16"/>
    </row>
    <row r="1052" spans="3:9" ht="13.5" customHeight="1" x14ac:dyDescent="0.25">
      <c r="C1052" s="35"/>
      <c r="D1052" s="35"/>
      <c r="E1052" s="65"/>
      <c r="F1052" s="69"/>
      <c r="G1052" s="35"/>
      <c r="H1052" s="35"/>
      <c r="I1052" s="35"/>
    </row>
    <row r="1053" spans="3:9" ht="13.5" customHeight="1" x14ac:dyDescent="0.25">
      <c r="C1053" s="16"/>
      <c r="D1053" s="16"/>
      <c r="E1053" s="64"/>
      <c r="F1053" s="64"/>
      <c r="G1053" s="16"/>
      <c r="H1053" s="16"/>
      <c r="I1053" s="16"/>
    </row>
    <row r="1054" spans="3:9" ht="13.5" customHeight="1" x14ac:dyDescent="0.25">
      <c r="C1054" s="35"/>
      <c r="D1054" s="35"/>
      <c r="E1054" s="65"/>
      <c r="F1054" s="69"/>
      <c r="G1054" s="35"/>
      <c r="H1054" s="35"/>
      <c r="I1054" s="35"/>
    </row>
    <row r="1055" spans="3:9" ht="13.5" customHeight="1" x14ac:dyDescent="0.25">
      <c r="C1055" s="16"/>
      <c r="D1055" s="16"/>
      <c r="E1055" s="64"/>
      <c r="F1055" s="64"/>
      <c r="G1055" s="16"/>
      <c r="H1055" s="16"/>
      <c r="I1055" s="16"/>
    </row>
    <row r="1056" spans="3:9" ht="13.5" customHeight="1" x14ac:dyDescent="0.25">
      <c r="C1056" s="35"/>
      <c r="D1056" s="35"/>
      <c r="E1056" s="65"/>
      <c r="F1056" s="69"/>
      <c r="G1056" s="35"/>
      <c r="H1056" s="35"/>
      <c r="I1056" s="35"/>
    </row>
    <row r="1057" spans="3:9" ht="13.5" customHeight="1" x14ac:dyDescent="0.25">
      <c r="C1057" s="16"/>
      <c r="D1057" s="16"/>
      <c r="E1057" s="64"/>
      <c r="F1057" s="64"/>
      <c r="G1057" s="16"/>
      <c r="H1057" s="16"/>
      <c r="I1057" s="16"/>
    </row>
    <row r="1058" spans="3:9" ht="13.5" customHeight="1" x14ac:dyDescent="0.25">
      <c r="C1058" s="35"/>
      <c r="D1058" s="35"/>
      <c r="E1058" s="65"/>
      <c r="F1058" s="69"/>
      <c r="G1058" s="35"/>
      <c r="H1058" s="35"/>
      <c r="I1058" s="35"/>
    </row>
    <row r="1059" spans="3:9" ht="13.5" customHeight="1" x14ac:dyDescent="0.25">
      <c r="C1059" s="16"/>
      <c r="D1059" s="16"/>
      <c r="E1059" s="64"/>
      <c r="F1059" s="64"/>
      <c r="G1059" s="16"/>
      <c r="H1059" s="16"/>
      <c r="I1059" s="16"/>
    </row>
    <row r="1060" spans="3:9" ht="13.5" customHeight="1" x14ac:dyDescent="0.25">
      <c r="C1060" s="35"/>
      <c r="D1060" s="35"/>
      <c r="E1060" s="65"/>
      <c r="F1060" s="69"/>
      <c r="G1060" s="35"/>
      <c r="H1060" s="35"/>
      <c r="I1060" s="35"/>
    </row>
    <row r="1061" spans="3:9" ht="13.5" customHeight="1" x14ac:dyDescent="0.25">
      <c r="C1061" s="16"/>
      <c r="D1061" s="16"/>
      <c r="E1061" s="64"/>
      <c r="F1061" s="64"/>
      <c r="G1061" s="16"/>
      <c r="H1061" s="16"/>
      <c r="I1061" s="16"/>
    </row>
    <row r="1062" spans="3:9" ht="13.5" customHeight="1" x14ac:dyDescent="0.25">
      <c r="C1062" s="35"/>
      <c r="D1062" s="35"/>
      <c r="E1062" s="65"/>
      <c r="F1062" s="69"/>
      <c r="G1062" s="35"/>
      <c r="H1062" s="35"/>
      <c r="I1062" s="35"/>
    </row>
    <row r="1063" spans="3:9" ht="13.5" customHeight="1" x14ac:dyDescent="0.25">
      <c r="C1063" s="16"/>
      <c r="D1063" s="16"/>
      <c r="E1063" s="64"/>
      <c r="F1063" s="64"/>
      <c r="G1063" s="16"/>
      <c r="H1063" s="16"/>
      <c r="I1063" s="16"/>
    </row>
    <row r="1064" spans="3:9" ht="13.5" customHeight="1" x14ac:dyDescent="0.25">
      <c r="C1064" s="35"/>
      <c r="D1064" s="35"/>
      <c r="E1064" s="65"/>
      <c r="F1064" s="69"/>
      <c r="G1064" s="35"/>
      <c r="H1064" s="35"/>
      <c r="I1064" s="35"/>
    </row>
    <row r="1065" spans="3:9" ht="13.5" customHeight="1" x14ac:dyDescent="0.25">
      <c r="C1065" s="16"/>
      <c r="D1065" s="16"/>
      <c r="E1065" s="64"/>
      <c r="F1065" s="64"/>
      <c r="G1065" s="16"/>
      <c r="H1065" s="16"/>
      <c r="I1065" s="16"/>
    </row>
    <row r="1066" spans="3:9" ht="13.5" customHeight="1" x14ac:dyDescent="0.25">
      <c r="C1066" s="35"/>
      <c r="D1066" s="35"/>
      <c r="E1066" s="65"/>
      <c r="F1066" s="69"/>
      <c r="G1066" s="35"/>
      <c r="H1066" s="35"/>
      <c r="I1066" s="35"/>
    </row>
    <row r="1067" spans="3:9" ht="13.5" customHeight="1" x14ac:dyDescent="0.25">
      <c r="C1067" s="16"/>
      <c r="D1067" s="16"/>
      <c r="E1067" s="64"/>
      <c r="F1067" s="64"/>
      <c r="G1067" s="16"/>
      <c r="H1067" s="16"/>
      <c r="I1067" s="16"/>
    </row>
    <row r="1068" spans="3:9" ht="13.5" customHeight="1" x14ac:dyDescent="0.25">
      <c r="C1068" s="35"/>
      <c r="D1068" s="35"/>
      <c r="E1068" s="65"/>
      <c r="F1068" s="69"/>
      <c r="G1068" s="35"/>
      <c r="H1068" s="35"/>
      <c r="I1068" s="35"/>
    </row>
    <row r="1069" spans="3:9" ht="13.5" customHeight="1" x14ac:dyDescent="0.25">
      <c r="C1069" s="16"/>
      <c r="D1069" s="16"/>
      <c r="E1069" s="64"/>
      <c r="F1069" s="64"/>
      <c r="G1069" s="16"/>
      <c r="H1069" s="16"/>
      <c r="I1069" s="16"/>
    </row>
    <row r="1070" spans="3:9" ht="13.5" customHeight="1" x14ac:dyDescent="0.25">
      <c r="C1070" s="35"/>
      <c r="D1070" s="35"/>
      <c r="E1070" s="65"/>
      <c r="F1070" s="69"/>
      <c r="G1070" s="35"/>
      <c r="H1070" s="35"/>
      <c r="I1070" s="35"/>
    </row>
    <row r="1071" spans="3:9" ht="13.5" customHeight="1" x14ac:dyDescent="0.25">
      <c r="C1071" s="16"/>
      <c r="D1071" s="16"/>
      <c r="E1071" s="64"/>
      <c r="F1071" s="64"/>
      <c r="G1071" s="16"/>
      <c r="H1071" s="16"/>
      <c r="I1071" s="16"/>
    </row>
    <row r="1072" spans="3:9" ht="13.5" customHeight="1" x14ac:dyDescent="0.25">
      <c r="C1072" s="35"/>
      <c r="D1072" s="35"/>
      <c r="E1072" s="65"/>
      <c r="F1072" s="69"/>
      <c r="G1072" s="35"/>
      <c r="H1072" s="35"/>
      <c r="I1072" s="35"/>
    </row>
    <row r="1073" spans="3:9" ht="13.5" customHeight="1" x14ac:dyDescent="0.25">
      <c r="C1073" s="16"/>
      <c r="D1073" s="16"/>
      <c r="E1073" s="64"/>
      <c r="F1073" s="64"/>
      <c r="G1073" s="16"/>
      <c r="H1073" s="16"/>
      <c r="I1073" s="16"/>
    </row>
    <row r="1074" spans="3:9" ht="13.5" customHeight="1" x14ac:dyDescent="0.25">
      <c r="C1074" s="35"/>
      <c r="D1074" s="35"/>
      <c r="E1074" s="65"/>
      <c r="F1074" s="69"/>
      <c r="G1074" s="35"/>
      <c r="H1074" s="35"/>
      <c r="I1074" s="35"/>
    </row>
    <row r="1075" spans="3:9" ht="13.5" customHeight="1" x14ac:dyDescent="0.25">
      <c r="C1075" s="16"/>
      <c r="D1075" s="16"/>
      <c r="E1075" s="64"/>
      <c r="F1075" s="64"/>
      <c r="G1075" s="16"/>
      <c r="H1075" s="16"/>
      <c r="I1075" s="16"/>
    </row>
    <row r="1076" spans="3:9" ht="13.5" customHeight="1" x14ac:dyDescent="0.25">
      <c r="C1076" s="35"/>
      <c r="D1076" s="35"/>
      <c r="E1076" s="65"/>
      <c r="F1076" s="69"/>
      <c r="G1076" s="35"/>
      <c r="H1076" s="35"/>
      <c r="I1076" s="35"/>
    </row>
    <row r="1077" spans="3:9" ht="13.5" customHeight="1" x14ac:dyDescent="0.25">
      <c r="C1077" s="16"/>
      <c r="D1077" s="16"/>
      <c r="E1077" s="64"/>
      <c r="F1077" s="64"/>
      <c r="G1077" s="16"/>
      <c r="H1077" s="16"/>
      <c r="I1077" s="16"/>
    </row>
    <row r="1078" spans="3:9" ht="13.5" customHeight="1" x14ac:dyDescent="0.25">
      <c r="C1078" s="35"/>
      <c r="D1078" s="35"/>
      <c r="E1078" s="65"/>
      <c r="F1078" s="69"/>
      <c r="G1078" s="35"/>
      <c r="H1078" s="35"/>
      <c r="I1078" s="35"/>
    </row>
    <row r="1079" spans="3:9" ht="13.5" customHeight="1" x14ac:dyDescent="0.25">
      <c r="C1079" s="16"/>
      <c r="D1079" s="16"/>
      <c r="E1079" s="64"/>
      <c r="F1079" s="64"/>
      <c r="G1079" s="16"/>
      <c r="H1079" s="16"/>
      <c r="I1079" s="16"/>
    </row>
    <row r="1080" spans="3:9" ht="13.5" customHeight="1" x14ac:dyDescent="0.25">
      <c r="C1080" s="35"/>
      <c r="D1080" s="35"/>
      <c r="E1080" s="65"/>
      <c r="F1080" s="69"/>
      <c r="G1080" s="35"/>
      <c r="H1080" s="35"/>
      <c r="I1080" s="35"/>
    </row>
    <row r="1081" spans="3:9" ht="13.5" customHeight="1" x14ac:dyDescent="0.25">
      <c r="C1081" s="16"/>
      <c r="D1081" s="16"/>
      <c r="E1081" s="64"/>
      <c r="F1081" s="64"/>
      <c r="G1081" s="16"/>
      <c r="H1081" s="16"/>
      <c r="I1081" s="16"/>
    </row>
    <row r="1082" spans="3:9" ht="13.5" customHeight="1" x14ac:dyDescent="0.25">
      <c r="C1082" s="35"/>
      <c r="D1082" s="35"/>
      <c r="E1082" s="65"/>
      <c r="F1082" s="69"/>
      <c r="G1082" s="35"/>
      <c r="H1082" s="35"/>
      <c r="I1082" s="35"/>
    </row>
    <row r="1083" spans="3:9" ht="13.5" customHeight="1" x14ac:dyDescent="0.25">
      <c r="C1083" s="16"/>
      <c r="D1083" s="16"/>
      <c r="E1083" s="64"/>
      <c r="F1083" s="64"/>
      <c r="G1083" s="16"/>
      <c r="H1083" s="16"/>
      <c r="I1083" s="16"/>
    </row>
    <row r="1084" spans="3:9" ht="13.5" customHeight="1" x14ac:dyDescent="0.25">
      <c r="C1084" s="35"/>
      <c r="D1084" s="35"/>
      <c r="E1084" s="65"/>
      <c r="F1084" s="69"/>
      <c r="G1084" s="35"/>
      <c r="H1084" s="35"/>
      <c r="I1084" s="35"/>
    </row>
    <row r="1085" spans="3:9" ht="13.5" customHeight="1" x14ac:dyDescent="0.25">
      <c r="C1085" s="16"/>
      <c r="D1085" s="16"/>
      <c r="E1085" s="64"/>
      <c r="F1085" s="64"/>
      <c r="G1085" s="16"/>
      <c r="H1085" s="16"/>
      <c r="I1085" s="16"/>
    </row>
    <row r="1086" spans="3:9" ht="13.5" customHeight="1" x14ac:dyDescent="0.25">
      <c r="C1086" s="35"/>
      <c r="D1086" s="35"/>
      <c r="E1086" s="65"/>
      <c r="F1086" s="69"/>
      <c r="G1086" s="35"/>
      <c r="H1086" s="35"/>
      <c r="I1086" s="35"/>
    </row>
    <row r="1087" spans="3:9" ht="13.5" customHeight="1" x14ac:dyDescent="0.25">
      <c r="C1087" s="16"/>
      <c r="D1087" s="16"/>
      <c r="E1087" s="64"/>
      <c r="F1087" s="64"/>
      <c r="G1087" s="16"/>
      <c r="H1087" s="16"/>
      <c r="I1087" s="16"/>
    </row>
    <row r="1088" spans="3:9" ht="13.5" customHeight="1" x14ac:dyDescent="0.25">
      <c r="C1088" s="35"/>
      <c r="D1088" s="35"/>
      <c r="E1088" s="65"/>
      <c r="F1088" s="69"/>
      <c r="G1088" s="35"/>
      <c r="H1088" s="35"/>
      <c r="I1088" s="35"/>
    </row>
    <row r="1089" spans="3:9" ht="13.5" customHeight="1" x14ac:dyDescent="0.25">
      <c r="C1089" s="16"/>
      <c r="D1089" s="16"/>
      <c r="E1089" s="64"/>
      <c r="F1089" s="64"/>
      <c r="G1089" s="16"/>
      <c r="H1089" s="16"/>
      <c r="I1089" s="16"/>
    </row>
    <row r="1090" spans="3:9" ht="13.5" customHeight="1" x14ac:dyDescent="0.25">
      <c r="C1090" s="35"/>
      <c r="D1090" s="35"/>
      <c r="E1090" s="65"/>
      <c r="F1090" s="69"/>
      <c r="G1090" s="35"/>
      <c r="H1090" s="35"/>
      <c r="I1090" s="35"/>
    </row>
    <row r="1091" spans="3:9" ht="13.5" customHeight="1" x14ac:dyDescent="0.25">
      <c r="C1091" s="16"/>
      <c r="D1091" s="16"/>
      <c r="E1091" s="64"/>
      <c r="F1091" s="64"/>
      <c r="G1091" s="16"/>
      <c r="H1091" s="16"/>
      <c r="I1091" s="16"/>
    </row>
    <row r="1092" spans="3:9" ht="13.5" customHeight="1" x14ac:dyDescent="0.25">
      <c r="C1092" s="35"/>
      <c r="D1092" s="35"/>
      <c r="E1092" s="65"/>
      <c r="F1092" s="69"/>
      <c r="G1092" s="35"/>
      <c r="H1092" s="35"/>
      <c r="I1092" s="35"/>
    </row>
    <row r="1093" spans="3:9" ht="13.5" customHeight="1" x14ac:dyDescent="0.25">
      <c r="C1093" s="16"/>
      <c r="D1093" s="16"/>
      <c r="E1093" s="64"/>
      <c r="F1093" s="64"/>
      <c r="G1093" s="16"/>
      <c r="H1093" s="16"/>
      <c r="I1093" s="16"/>
    </row>
    <row r="1094" spans="3:9" ht="13.5" customHeight="1" x14ac:dyDescent="0.25">
      <c r="C1094" s="35"/>
      <c r="D1094" s="35"/>
      <c r="E1094" s="65"/>
      <c r="F1094" s="69"/>
      <c r="G1094" s="35"/>
      <c r="H1094" s="35"/>
      <c r="I1094" s="35"/>
    </row>
    <row r="1095" spans="3:9" ht="13.5" customHeight="1" x14ac:dyDescent="0.25">
      <c r="C1095" s="16"/>
      <c r="D1095" s="16"/>
      <c r="E1095" s="64"/>
      <c r="F1095" s="64"/>
      <c r="G1095" s="16"/>
      <c r="H1095" s="16"/>
      <c r="I1095" s="16"/>
    </row>
    <row r="1096" spans="3:9" ht="13.5" customHeight="1" x14ac:dyDescent="0.25">
      <c r="C1096" s="35"/>
      <c r="D1096" s="35"/>
      <c r="E1096" s="65"/>
      <c r="F1096" s="69"/>
      <c r="G1096" s="35"/>
      <c r="H1096" s="35"/>
      <c r="I1096" s="35"/>
    </row>
    <row r="1097" spans="3:9" ht="13.5" customHeight="1" x14ac:dyDescent="0.25">
      <c r="C1097" s="16"/>
      <c r="D1097" s="16"/>
      <c r="E1097" s="64"/>
      <c r="F1097" s="64"/>
      <c r="G1097" s="16"/>
      <c r="H1097" s="16"/>
      <c r="I1097" s="16"/>
    </row>
    <row r="1098" spans="3:9" ht="13.5" customHeight="1" x14ac:dyDescent="0.25">
      <c r="C1098" s="35"/>
      <c r="D1098" s="35"/>
      <c r="E1098" s="65"/>
      <c r="F1098" s="69"/>
      <c r="G1098" s="35"/>
      <c r="H1098" s="35"/>
      <c r="I1098" s="35"/>
    </row>
    <row r="1099" spans="3:9" ht="13.5" customHeight="1" x14ac:dyDescent="0.25">
      <c r="C1099" s="16"/>
      <c r="D1099" s="16"/>
      <c r="E1099" s="64"/>
      <c r="F1099" s="64"/>
      <c r="G1099" s="16"/>
      <c r="H1099" s="16"/>
      <c r="I1099" s="16"/>
    </row>
    <row r="1100" spans="3:9" ht="13.5" customHeight="1" x14ac:dyDescent="0.25">
      <c r="C1100" s="35"/>
      <c r="D1100" s="35"/>
      <c r="E1100" s="65"/>
      <c r="F1100" s="69"/>
      <c r="G1100" s="35"/>
      <c r="H1100" s="35"/>
      <c r="I1100" s="35"/>
    </row>
    <row r="1101" spans="3:9" ht="13.5" customHeight="1" x14ac:dyDescent="0.25">
      <c r="C1101" s="16"/>
      <c r="D1101" s="16"/>
      <c r="E1101" s="64"/>
      <c r="F1101" s="64"/>
      <c r="G1101" s="16"/>
      <c r="H1101" s="16"/>
      <c r="I1101" s="16"/>
    </row>
    <row r="1102" spans="3:9" ht="13.5" customHeight="1" x14ac:dyDescent="0.25">
      <c r="C1102" s="35"/>
      <c r="D1102" s="35"/>
      <c r="E1102" s="65"/>
      <c r="F1102" s="69"/>
      <c r="G1102" s="35"/>
      <c r="H1102" s="35"/>
      <c r="I1102" s="35"/>
    </row>
    <row r="1103" spans="3:9" ht="13.5" customHeight="1" x14ac:dyDescent="0.25">
      <c r="C1103" s="16"/>
      <c r="D1103" s="16"/>
      <c r="E1103" s="64"/>
      <c r="F1103" s="64"/>
      <c r="G1103" s="16"/>
      <c r="H1103" s="16"/>
      <c r="I1103" s="16"/>
    </row>
    <row r="1104" spans="3:9" ht="13.5" customHeight="1" x14ac:dyDescent="0.25">
      <c r="C1104" s="35"/>
      <c r="D1104" s="35"/>
      <c r="E1104" s="65"/>
      <c r="F1104" s="69"/>
      <c r="G1104" s="35"/>
      <c r="H1104" s="35"/>
      <c r="I1104" s="35"/>
    </row>
    <row r="1105" spans="3:9" ht="13.5" customHeight="1" x14ac:dyDescent="0.25">
      <c r="C1105" s="16"/>
      <c r="D1105" s="16"/>
      <c r="E1105" s="64"/>
      <c r="F1105" s="64"/>
      <c r="G1105" s="16"/>
      <c r="H1105" s="16"/>
      <c r="I1105" s="16"/>
    </row>
    <row r="1106" spans="3:9" ht="13.5" customHeight="1" x14ac:dyDescent="0.25">
      <c r="C1106" s="35"/>
      <c r="D1106" s="35"/>
      <c r="E1106" s="65"/>
      <c r="F1106" s="69"/>
      <c r="G1106" s="35"/>
      <c r="H1106" s="35"/>
      <c r="I1106" s="35"/>
    </row>
    <row r="1107" spans="3:9" ht="13.5" customHeight="1" x14ac:dyDescent="0.25">
      <c r="C1107" s="16"/>
      <c r="D1107" s="16"/>
      <c r="E1107" s="64"/>
      <c r="F1107" s="64"/>
      <c r="G1107" s="16"/>
      <c r="H1107" s="16"/>
      <c r="I1107" s="16"/>
    </row>
    <row r="1108" spans="3:9" ht="13.5" customHeight="1" x14ac:dyDescent="0.25">
      <c r="C1108" s="35"/>
      <c r="D1108" s="35"/>
      <c r="E1108" s="65"/>
      <c r="F1108" s="69"/>
      <c r="G1108" s="35"/>
      <c r="H1108" s="35"/>
      <c r="I1108" s="35"/>
    </row>
    <row r="1109" spans="3:9" ht="13.5" customHeight="1" x14ac:dyDescent="0.25">
      <c r="C1109" s="16"/>
      <c r="D1109" s="16"/>
      <c r="E1109" s="64"/>
      <c r="F1109" s="64"/>
      <c r="G1109" s="16"/>
      <c r="H1109" s="16"/>
      <c r="I1109" s="16"/>
    </row>
    <row r="1110" spans="3:9" ht="13.5" customHeight="1" x14ac:dyDescent="0.25">
      <c r="C1110" s="35"/>
      <c r="D1110" s="35"/>
      <c r="E1110" s="65"/>
      <c r="F1110" s="69"/>
      <c r="G1110" s="35"/>
      <c r="H1110" s="35"/>
      <c r="I1110" s="35"/>
    </row>
    <row r="1111" spans="3:9" ht="13.5" customHeight="1" x14ac:dyDescent="0.25">
      <c r="C1111" s="16"/>
      <c r="D1111" s="16"/>
      <c r="E1111" s="64"/>
      <c r="F1111" s="64"/>
      <c r="G1111" s="16"/>
      <c r="H1111" s="16"/>
      <c r="I1111" s="16"/>
    </row>
    <row r="1112" spans="3:9" ht="13.5" customHeight="1" x14ac:dyDescent="0.25">
      <c r="C1112" s="35"/>
      <c r="D1112" s="35"/>
      <c r="E1112" s="65"/>
      <c r="F1112" s="69"/>
      <c r="G1112" s="35"/>
      <c r="H1112" s="35"/>
      <c r="I1112" s="35"/>
    </row>
    <row r="1113" spans="3:9" ht="13.5" customHeight="1" x14ac:dyDescent="0.25">
      <c r="C1113" s="16"/>
      <c r="D1113" s="16"/>
      <c r="E1113" s="64"/>
      <c r="F1113" s="64"/>
      <c r="G1113" s="16"/>
      <c r="H1113" s="16"/>
      <c r="I1113" s="16"/>
    </row>
    <row r="1114" spans="3:9" ht="13.5" customHeight="1" x14ac:dyDescent="0.25">
      <c r="C1114" s="35"/>
      <c r="D1114" s="35"/>
      <c r="E1114" s="65"/>
      <c r="F1114" s="69"/>
      <c r="G1114" s="35"/>
      <c r="H1114" s="35"/>
      <c r="I1114" s="35"/>
    </row>
    <row r="1115" spans="3:9" ht="13.5" customHeight="1" x14ac:dyDescent="0.25">
      <c r="C1115" s="16"/>
      <c r="D1115" s="16"/>
      <c r="E1115" s="64"/>
      <c r="F1115" s="64"/>
      <c r="G1115" s="16"/>
      <c r="H1115" s="16"/>
      <c r="I1115" s="16"/>
    </row>
    <row r="1116" spans="3:9" ht="13.5" customHeight="1" x14ac:dyDescent="0.25">
      <c r="C1116" s="35"/>
      <c r="D1116" s="35"/>
      <c r="E1116" s="65"/>
      <c r="F1116" s="69"/>
      <c r="G1116" s="35"/>
      <c r="H1116" s="35"/>
      <c r="I1116" s="35"/>
    </row>
    <row r="1117" spans="3:9" ht="13.5" customHeight="1" x14ac:dyDescent="0.25">
      <c r="C1117" s="16"/>
      <c r="D1117" s="16"/>
      <c r="E1117" s="64"/>
      <c r="F1117" s="64"/>
      <c r="G1117" s="16"/>
      <c r="H1117" s="16"/>
      <c r="I1117" s="16"/>
    </row>
    <row r="1118" spans="3:9" ht="13.5" customHeight="1" x14ac:dyDescent="0.25">
      <c r="C1118" s="35"/>
      <c r="D1118" s="35"/>
      <c r="E1118" s="65"/>
      <c r="F1118" s="69"/>
      <c r="G1118" s="35"/>
      <c r="H1118" s="35"/>
      <c r="I1118" s="35"/>
    </row>
    <row r="1119" spans="3:9" ht="13.5" customHeight="1" x14ac:dyDescent="0.25">
      <c r="C1119" s="16"/>
      <c r="D1119" s="16"/>
      <c r="E1119" s="64"/>
      <c r="F1119" s="64"/>
      <c r="G1119" s="16"/>
      <c r="H1119" s="16"/>
      <c r="I1119" s="16"/>
    </row>
    <row r="1120" spans="3:9" ht="13.5" customHeight="1" x14ac:dyDescent="0.25">
      <c r="C1120" s="35"/>
      <c r="D1120" s="35"/>
      <c r="E1120" s="65"/>
      <c r="F1120" s="69"/>
      <c r="G1120" s="35"/>
      <c r="H1120" s="35"/>
      <c r="I1120" s="35"/>
    </row>
    <row r="1121" spans="3:9" ht="13.5" customHeight="1" x14ac:dyDescent="0.25">
      <c r="C1121" s="16"/>
      <c r="D1121" s="16"/>
      <c r="E1121" s="64"/>
      <c r="F1121" s="64"/>
      <c r="G1121" s="16"/>
      <c r="H1121" s="16"/>
      <c r="I1121" s="16"/>
    </row>
    <row r="1122" spans="3:9" ht="13.5" customHeight="1" x14ac:dyDescent="0.25">
      <c r="C1122" s="35"/>
      <c r="D1122" s="35"/>
      <c r="E1122" s="65"/>
      <c r="F1122" s="69"/>
      <c r="G1122" s="35"/>
      <c r="H1122" s="35"/>
      <c r="I1122" s="35"/>
    </row>
    <row r="1123" spans="3:9" ht="13.5" customHeight="1" x14ac:dyDescent="0.25">
      <c r="C1123" s="16"/>
      <c r="D1123" s="16"/>
      <c r="E1123" s="64"/>
      <c r="F1123" s="64"/>
      <c r="G1123" s="16"/>
      <c r="H1123" s="16"/>
      <c r="I1123" s="16"/>
    </row>
    <row r="1124" spans="3:9" ht="13.5" customHeight="1" x14ac:dyDescent="0.25">
      <c r="C1124" s="35"/>
      <c r="D1124" s="35"/>
      <c r="E1124" s="65"/>
      <c r="F1124" s="69"/>
      <c r="G1124" s="35"/>
      <c r="H1124" s="35"/>
      <c r="I1124" s="35"/>
    </row>
    <row r="1125" spans="3:9" ht="13.5" customHeight="1" x14ac:dyDescent="0.25">
      <c r="C1125" s="16"/>
      <c r="D1125" s="16"/>
      <c r="E1125" s="64"/>
      <c r="F1125" s="64"/>
      <c r="G1125" s="16"/>
      <c r="H1125" s="16"/>
      <c r="I1125" s="16"/>
    </row>
    <row r="1126" spans="3:9" ht="13.5" customHeight="1" x14ac:dyDescent="0.25">
      <c r="C1126" s="35"/>
      <c r="D1126" s="35"/>
      <c r="E1126" s="65"/>
      <c r="F1126" s="69"/>
      <c r="G1126" s="35"/>
      <c r="H1126" s="35"/>
      <c r="I1126" s="35"/>
    </row>
    <row r="1127" spans="3:9" ht="13.5" customHeight="1" x14ac:dyDescent="0.25">
      <c r="C1127" s="16"/>
      <c r="D1127" s="16"/>
      <c r="E1127" s="64"/>
      <c r="F1127" s="64"/>
      <c r="G1127" s="16"/>
      <c r="H1127" s="16"/>
      <c r="I1127" s="16"/>
    </row>
    <row r="1128" spans="3:9" ht="13.5" customHeight="1" x14ac:dyDescent="0.25">
      <c r="C1128" s="35"/>
      <c r="D1128" s="35"/>
      <c r="E1128" s="65"/>
      <c r="F1128" s="69"/>
      <c r="G1128" s="35"/>
      <c r="H1128" s="35"/>
      <c r="I1128" s="35"/>
    </row>
    <row r="1129" spans="3:9" ht="13.5" customHeight="1" x14ac:dyDescent="0.25">
      <c r="C1129" s="16"/>
      <c r="D1129" s="16"/>
      <c r="E1129" s="64"/>
      <c r="F1129" s="64"/>
      <c r="G1129" s="16"/>
      <c r="H1129" s="16"/>
      <c r="I1129" s="16"/>
    </row>
    <row r="1130" spans="3:9" ht="13.5" customHeight="1" x14ac:dyDescent="0.25">
      <c r="C1130" s="35"/>
      <c r="D1130" s="35"/>
      <c r="E1130" s="65"/>
      <c r="F1130" s="69"/>
      <c r="G1130" s="35"/>
      <c r="H1130" s="35"/>
      <c r="I1130" s="35"/>
    </row>
    <row r="1131" spans="3:9" ht="13.5" customHeight="1" x14ac:dyDescent="0.25">
      <c r="C1131" s="16"/>
      <c r="D1131" s="16"/>
      <c r="E1131" s="64"/>
      <c r="F1131" s="64"/>
      <c r="G1131" s="16"/>
      <c r="H1131" s="16"/>
      <c r="I1131" s="16"/>
    </row>
    <row r="1132" spans="3:9" ht="13.5" customHeight="1" x14ac:dyDescent="0.25">
      <c r="C1132" s="35"/>
      <c r="D1132" s="35"/>
      <c r="E1132" s="65"/>
      <c r="F1132" s="69"/>
      <c r="G1132" s="35"/>
      <c r="H1132" s="35"/>
      <c r="I1132" s="35"/>
    </row>
    <row r="1133" spans="3:9" ht="13.5" customHeight="1" x14ac:dyDescent="0.25">
      <c r="C1133" s="16"/>
      <c r="D1133" s="16"/>
      <c r="E1133" s="64"/>
      <c r="F1133" s="64"/>
      <c r="G1133" s="16"/>
      <c r="H1133" s="16"/>
      <c r="I1133" s="16"/>
    </row>
    <row r="1134" spans="3:9" ht="13.5" customHeight="1" x14ac:dyDescent="0.25">
      <c r="C1134" s="35"/>
      <c r="D1134" s="35"/>
      <c r="E1134" s="65"/>
      <c r="F1134" s="69"/>
      <c r="G1134" s="35"/>
      <c r="H1134" s="35"/>
      <c r="I1134" s="35"/>
    </row>
    <row r="1135" spans="3:9" ht="13.5" customHeight="1" x14ac:dyDescent="0.25">
      <c r="C1135" s="16"/>
      <c r="D1135" s="16"/>
      <c r="E1135" s="64"/>
      <c r="F1135" s="64"/>
      <c r="G1135" s="16"/>
      <c r="H1135" s="16"/>
      <c r="I1135" s="16"/>
    </row>
    <row r="1136" spans="3:9" ht="13.5" customHeight="1" x14ac:dyDescent="0.25">
      <c r="C1136" s="35"/>
      <c r="D1136" s="35"/>
      <c r="E1136" s="65"/>
      <c r="F1136" s="69"/>
      <c r="G1136" s="35"/>
      <c r="H1136" s="35"/>
      <c r="I1136" s="35"/>
    </row>
    <row r="1137" spans="3:9" ht="13.5" customHeight="1" x14ac:dyDescent="0.25">
      <c r="C1137" s="16"/>
      <c r="D1137" s="16"/>
      <c r="E1137" s="64"/>
      <c r="F1137" s="64"/>
      <c r="G1137" s="16"/>
      <c r="H1137" s="16"/>
      <c r="I1137" s="16"/>
    </row>
    <row r="1138" spans="3:9" ht="13.5" customHeight="1" x14ac:dyDescent="0.25">
      <c r="C1138" s="35"/>
      <c r="D1138" s="35"/>
      <c r="E1138" s="65"/>
      <c r="F1138" s="69"/>
      <c r="G1138" s="35"/>
      <c r="H1138" s="35"/>
      <c r="I1138" s="35"/>
    </row>
    <row r="1139" spans="3:9" ht="13.5" customHeight="1" x14ac:dyDescent="0.25">
      <c r="C1139" s="16"/>
      <c r="D1139" s="16"/>
      <c r="E1139" s="64"/>
      <c r="F1139" s="64"/>
      <c r="G1139" s="16"/>
      <c r="H1139" s="16"/>
      <c r="I1139" s="16"/>
    </row>
    <row r="1140" spans="3:9" ht="13.5" customHeight="1" x14ac:dyDescent="0.25">
      <c r="C1140" s="35"/>
      <c r="D1140" s="35"/>
      <c r="E1140" s="65"/>
      <c r="F1140" s="69"/>
      <c r="G1140" s="35"/>
      <c r="H1140" s="35"/>
      <c r="I1140" s="35"/>
    </row>
    <row r="1141" spans="3:9" ht="13.5" customHeight="1" x14ac:dyDescent="0.25">
      <c r="C1141" s="16"/>
      <c r="D1141" s="16"/>
      <c r="E1141" s="64"/>
      <c r="F1141" s="64"/>
      <c r="G1141" s="16"/>
      <c r="H1141" s="16"/>
      <c r="I1141" s="16"/>
    </row>
    <row r="1142" spans="3:9" ht="13.5" customHeight="1" x14ac:dyDescent="0.25">
      <c r="C1142" s="35"/>
      <c r="D1142" s="35"/>
      <c r="E1142" s="65"/>
      <c r="F1142" s="69"/>
      <c r="G1142" s="35"/>
      <c r="H1142" s="35"/>
      <c r="I1142" s="35"/>
    </row>
    <row r="1143" spans="3:9" ht="13.5" customHeight="1" x14ac:dyDescent="0.25">
      <c r="C1143" s="16"/>
      <c r="D1143" s="16"/>
      <c r="E1143" s="64"/>
      <c r="F1143" s="64"/>
      <c r="G1143" s="16"/>
      <c r="H1143" s="16"/>
      <c r="I1143" s="16"/>
    </row>
    <row r="1144" spans="3:9" ht="13.5" customHeight="1" x14ac:dyDescent="0.25">
      <c r="C1144" s="35"/>
      <c r="D1144" s="35"/>
      <c r="E1144" s="65"/>
      <c r="F1144" s="69"/>
      <c r="G1144" s="35"/>
      <c r="H1144" s="35"/>
      <c r="I1144" s="35"/>
    </row>
    <row r="1145" spans="3:9" ht="13.5" customHeight="1" x14ac:dyDescent="0.25">
      <c r="C1145" s="16"/>
      <c r="D1145" s="16"/>
      <c r="E1145" s="64"/>
      <c r="F1145" s="64"/>
      <c r="G1145" s="16"/>
      <c r="H1145" s="16"/>
      <c r="I1145" s="16"/>
    </row>
    <row r="1146" spans="3:9" ht="13.5" customHeight="1" x14ac:dyDescent="0.25">
      <c r="C1146" s="35"/>
      <c r="D1146" s="35"/>
      <c r="E1146" s="65"/>
      <c r="F1146" s="69"/>
      <c r="G1146" s="35"/>
      <c r="H1146" s="35"/>
      <c r="I1146" s="35"/>
    </row>
    <row r="1147" spans="3:9" ht="13.5" customHeight="1" x14ac:dyDescent="0.25">
      <c r="C1147" s="16"/>
      <c r="D1147" s="16"/>
      <c r="E1147" s="64"/>
      <c r="F1147" s="64"/>
      <c r="G1147" s="16"/>
      <c r="H1147" s="16"/>
      <c r="I1147" s="16"/>
    </row>
    <row r="1148" spans="3:9" ht="13.5" customHeight="1" x14ac:dyDescent="0.25">
      <c r="C1148" s="35"/>
      <c r="D1148" s="35"/>
      <c r="E1148" s="65"/>
      <c r="F1148" s="69"/>
      <c r="G1148" s="35"/>
      <c r="H1148" s="35"/>
      <c r="I1148" s="35"/>
    </row>
    <row r="1149" spans="3:9" ht="13.5" customHeight="1" x14ac:dyDescent="0.25">
      <c r="C1149" s="16"/>
      <c r="D1149" s="16"/>
      <c r="E1149" s="64"/>
      <c r="F1149" s="64"/>
      <c r="G1149" s="16"/>
      <c r="H1149" s="16"/>
      <c r="I1149" s="16"/>
    </row>
    <row r="1150" spans="3:9" ht="13.5" customHeight="1" x14ac:dyDescent="0.25">
      <c r="C1150" s="35"/>
      <c r="D1150" s="35"/>
      <c r="E1150" s="65"/>
      <c r="F1150" s="69"/>
      <c r="G1150" s="35"/>
      <c r="H1150" s="35"/>
      <c r="I1150" s="35"/>
    </row>
    <row r="1151" spans="3:9" ht="13.5" customHeight="1" x14ac:dyDescent="0.25">
      <c r="C1151" s="16"/>
      <c r="D1151" s="16"/>
      <c r="E1151" s="64"/>
      <c r="F1151" s="64"/>
      <c r="G1151" s="16"/>
      <c r="H1151" s="16"/>
      <c r="I1151" s="16"/>
    </row>
    <row r="1152" spans="3:9" ht="13.5" customHeight="1" x14ac:dyDescent="0.25">
      <c r="C1152" s="35"/>
      <c r="D1152" s="35"/>
      <c r="E1152" s="65"/>
      <c r="F1152" s="69"/>
      <c r="G1152" s="35"/>
      <c r="H1152" s="35"/>
      <c r="I1152" s="35"/>
    </row>
    <row r="1153" spans="3:9" ht="13.5" customHeight="1" x14ac:dyDescent="0.25">
      <c r="C1153" s="16"/>
      <c r="D1153" s="16"/>
      <c r="E1153" s="64"/>
      <c r="F1153" s="64"/>
      <c r="G1153" s="16"/>
      <c r="H1153" s="16"/>
      <c r="I1153" s="16"/>
    </row>
    <row r="1154" spans="3:9" ht="13.5" customHeight="1" x14ac:dyDescent="0.25">
      <c r="C1154" s="35"/>
      <c r="D1154" s="35"/>
      <c r="E1154" s="65"/>
      <c r="F1154" s="69"/>
      <c r="G1154" s="35"/>
      <c r="H1154" s="35"/>
      <c r="I1154" s="35"/>
    </row>
    <row r="1155" spans="3:9" ht="13.5" customHeight="1" x14ac:dyDescent="0.25">
      <c r="C1155" s="16"/>
      <c r="D1155" s="16"/>
      <c r="E1155" s="64"/>
      <c r="F1155" s="64"/>
      <c r="G1155" s="16"/>
      <c r="H1155" s="16"/>
      <c r="I1155" s="16"/>
    </row>
    <row r="1156" spans="3:9" ht="13.5" customHeight="1" x14ac:dyDescent="0.25">
      <c r="C1156" s="35"/>
      <c r="D1156" s="35"/>
      <c r="E1156" s="65"/>
      <c r="F1156" s="69"/>
      <c r="G1156" s="35"/>
      <c r="H1156" s="35"/>
      <c r="I1156" s="35"/>
    </row>
    <row r="1157" spans="3:9" ht="13.5" customHeight="1" x14ac:dyDescent="0.25">
      <c r="C1157" s="16"/>
      <c r="D1157" s="16"/>
      <c r="E1157" s="64"/>
      <c r="F1157" s="64"/>
      <c r="G1157" s="16"/>
      <c r="H1157" s="16"/>
      <c r="I1157" s="16"/>
    </row>
    <row r="1158" spans="3:9" ht="13.5" customHeight="1" x14ac:dyDescent="0.25">
      <c r="C1158" s="35"/>
      <c r="D1158" s="35"/>
      <c r="E1158" s="65"/>
      <c r="F1158" s="69"/>
      <c r="G1158" s="35"/>
      <c r="H1158" s="35"/>
      <c r="I1158" s="35"/>
    </row>
    <row r="1159" spans="3:9" ht="13.5" customHeight="1" x14ac:dyDescent="0.25">
      <c r="C1159" s="16"/>
      <c r="D1159" s="16"/>
      <c r="E1159" s="64"/>
      <c r="F1159" s="64"/>
      <c r="G1159" s="16"/>
      <c r="H1159" s="16"/>
      <c r="I1159" s="16"/>
    </row>
    <row r="1160" spans="3:9" ht="13.5" customHeight="1" x14ac:dyDescent="0.25">
      <c r="C1160" s="35"/>
      <c r="D1160" s="35"/>
      <c r="E1160" s="65"/>
      <c r="F1160" s="69"/>
      <c r="G1160" s="35"/>
      <c r="H1160" s="35"/>
      <c r="I1160" s="35"/>
    </row>
    <row r="1161" spans="3:9" ht="13.5" customHeight="1" x14ac:dyDescent="0.25">
      <c r="C1161" s="16"/>
      <c r="D1161" s="16"/>
      <c r="E1161" s="64"/>
      <c r="F1161" s="64"/>
      <c r="G1161" s="16"/>
      <c r="H1161" s="16"/>
      <c r="I1161" s="16"/>
    </row>
    <row r="1162" spans="3:9" ht="13.5" customHeight="1" x14ac:dyDescent="0.25">
      <c r="C1162" s="35"/>
      <c r="D1162" s="35"/>
      <c r="E1162" s="65"/>
      <c r="F1162" s="69"/>
      <c r="G1162" s="35"/>
      <c r="H1162" s="35"/>
      <c r="I1162" s="35"/>
    </row>
    <row r="1163" spans="3:9" ht="13.5" customHeight="1" x14ac:dyDescent="0.25">
      <c r="C1163" s="16"/>
      <c r="D1163" s="16"/>
      <c r="E1163" s="64"/>
      <c r="F1163" s="64"/>
      <c r="G1163" s="16"/>
      <c r="H1163" s="16"/>
      <c r="I1163" s="16"/>
    </row>
    <row r="1164" spans="3:9" ht="13.5" customHeight="1" x14ac:dyDescent="0.25">
      <c r="C1164" s="35"/>
      <c r="D1164" s="35"/>
      <c r="E1164" s="65"/>
      <c r="F1164" s="69"/>
      <c r="G1164" s="35"/>
      <c r="H1164" s="35"/>
      <c r="I1164" s="35"/>
    </row>
    <row r="1165" spans="3:9" ht="13.5" customHeight="1" x14ac:dyDescent="0.25">
      <c r="C1165" s="16"/>
      <c r="D1165" s="16"/>
      <c r="E1165" s="64"/>
      <c r="F1165" s="64"/>
      <c r="G1165" s="16"/>
      <c r="H1165" s="16"/>
      <c r="I1165" s="16"/>
    </row>
    <row r="1166" spans="3:9" ht="13.5" customHeight="1" x14ac:dyDescent="0.25">
      <c r="C1166" s="35"/>
      <c r="D1166" s="35"/>
      <c r="E1166" s="65"/>
      <c r="F1166" s="69"/>
      <c r="G1166" s="35"/>
      <c r="H1166" s="35"/>
      <c r="I1166" s="35"/>
    </row>
    <row r="1167" spans="3:9" ht="13.5" customHeight="1" x14ac:dyDescent="0.25">
      <c r="C1167" s="16"/>
      <c r="D1167" s="16"/>
      <c r="E1167" s="64"/>
      <c r="F1167" s="64"/>
      <c r="G1167" s="16"/>
      <c r="H1167" s="16"/>
      <c r="I1167" s="16"/>
    </row>
    <row r="1168" spans="3:9" ht="13.5" customHeight="1" x14ac:dyDescent="0.25">
      <c r="C1168" s="35"/>
      <c r="D1168" s="35"/>
      <c r="E1168" s="65"/>
      <c r="F1168" s="69"/>
      <c r="G1168" s="35"/>
      <c r="H1168" s="35"/>
      <c r="I1168" s="35"/>
    </row>
    <row r="1169" spans="3:9" ht="13.5" customHeight="1" x14ac:dyDescent="0.25">
      <c r="C1169" s="16"/>
      <c r="D1169" s="16"/>
      <c r="E1169" s="64"/>
      <c r="F1169" s="64"/>
      <c r="G1169" s="16"/>
      <c r="H1169" s="16"/>
      <c r="I1169" s="16"/>
    </row>
    <row r="1170" spans="3:9" ht="13.5" customHeight="1" x14ac:dyDescent="0.25">
      <c r="C1170" s="35"/>
      <c r="D1170" s="35"/>
      <c r="E1170" s="65"/>
      <c r="F1170" s="69"/>
      <c r="G1170" s="35"/>
      <c r="H1170" s="35"/>
      <c r="I1170" s="35"/>
    </row>
    <row r="1171" spans="3:9" ht="13.5" customHeight="1" x14ac:dyDescent="0.25">
      <c r="C1171" s="16"/>
      <c r="D1171" s="16"/>
      <c r="E1171" s="64"/>
      <c r="F1171" s="64"/>
      <c r="G1171" s="16"/>
      <c r="H1171" s="16"/>
      <c r="I1171" s="16"/>
    </row>
    <row r="1172" spans="3:9" ht="13.5" customHeight="1" x14ac:dyDescent="0.25">
      <c r="C1172" s="35"/>
      <c r="D1172" s="35"/>
      <c r="E1172" s="65"/>
      <c r="F1172" s="69"/>
      <c r="G1172" s="35"/>
      <c r="H1172" s="35"/>
      <c r="I1172" s="35"/>
    </row>
    <row r="1173" spans="3:9" ht="13.5" customHeight="1" x14ac:dyDescent="0.25">
      <c r="C1173" s="16"/>
      <c r="D1173" s="16"/>
      <c r="E1173" s="64"/>
      <c r="F1173" s="64"/>
      <c r="G1173" s="16"/>
      <c r="H1173" s="16"/>
      <c r="I1173" s="16"/>
    </row>
    <row r="1174" spans="3:9" ht="13.5" customHeight="1" x14ac:dyDescent="0.25">
      <c r="C1174" s="35"/>
      <c r="D1174" s="35"/>
      <c r="E1174" s="65"/>
      <c r="F1174" s="69"/>
      <c r="G1174" s="35"/>
      <c r="H1174" s="35"/>
      <c r="I1174" s="35"/>
    </row>
    <row r="1175" spans="3:9" ht="13.5" customHeight="1" x14ac:dyDescent="0.25">
      <c r="C1175" s="16"/>
      <c r="D1175" s="16"/>
      <c r="E1175" s="64"/>
      <c r="F1175" s="64"/>
      <c r="G1175" s="16"/>
      <c r="H1175" s="16"/>
      <c r="I1175" s="16"/>
    </row>
    <row r="1176" spans="3:9" ht="13.5" customHeight="1" x14ac:dyDescent="0.25">
      <c r="C1176" s="35"/>
      <c r="D1176" s="35"/>
      <c r="E1176" s="65"/>
      <c r="F1176" s="69"/>
      <c r="G1176" s="35"/>
      <c r="H1176" s="35"/>
      <c r="I1176" s="35"/>
    </row>
    <row r="1177" spans="3:9" ht="13.5" customHeight="1" x14ac:dyDescent="0.25">
      <c r="C1177" s="16"/>
      <c r="D1177" s="16"/>
      <c r="E1177" s="64"/>
      <c r="F1177" s="64"/>
      <c r="G1177" s="16"/>
      <c r="H1177" s="16"/>
      <c r="I1177" s="16"/>
    </row>
    <row r="1178" spans="3:9" ht="13.5" customHeight="1" x14ac:dyDescent="0.25">
      <c r="C1178" s="35"/>
      <c r="D1178" s="35"/>
      <c r="E1178" s="65"/>
      <c r="F1178" s="69"/>
      <c r="G1178" s="35"/>
      <c r="H1178" s="35"/>
      <c r="I1178" s="35"/>
    </row>
    <row r="1179" spans="3:9" ht="13.5" customHeight="1" x14ac:dyDescent="0.25">
      <c r="C1179" s="16"/>
      <c r="D1179" s="16"/>
      <c r="E1179" s="64"/>
      <c r="F1179" s="64"/>
      <c r="G1179" s="16"/>
      <c r="H1179" s="16"/>
      <c r="I1179" s="16"/>
    </row>
    <row r="1180" spans="3:9" ht="13.5" customHeight="1" x14ac:dyDescent="0.25">
      <c r="C1180" s="35"/>
      <c r="D1180" s="35"/>
      <c r="E1180" s="65"/>
      <c r="F1180" s="69"/>
      <c r="G1180" s="35"/>
      <c r="H1180" s="35"/>
      <c r="I1180" s="35"/>
    </row>
    <row r="1181" spans="3:9" ht="13.5" customHeight="1" x14ac:dyDescent="0.25">
      <c r="C1181" s="16"/>
      <c r="D1181" s="16"/>
      <c r="E1181" s="64"/>
      <c r="F1181" s="64"/>
      <c r="G1181" s="16"/>
      <c r="H1181" s="16"/>
      <c r="I1181" s="16"/>
    </row>
    <row r="1182" spans="3:9" ht="13.5" customHeight="1" x14ac:dyDescent="0.25">
      <c r="C1182" s="35"/>
      <c r="D1182" s="35"/>
      <c r="E1182" s="65"/>
      <c r="F1182" s="69"/>
      <c r="G1182" s="35"/>
      <c r="H1182" s="35"/>
      <c r="I1182" s="35"/>
    </row>
    <row r="1183" spans="3:9" ht="13.5" customHeight="1" x14ac:dyDescent="0.25">
      <c r="C1183" s="16"/>
      <c r="D1183" s="16"/>
      <c r="E1183" s="64"/>
      <c r="F1183" s="64"/>
      <c r="G1183" s="16"/>
      <c r="H1183" s="16"/>
      <c r="I1183" s="16"/>
    </row>
    <row r="1184" spans="3:9" ht="13.5" customHeight="1" x14ac:dyDescent="0.25">
      <c r="C1184" s="35"/>
      <c r="D1184" s="35"/>
      <c r="E1184" s="65"/>
      <c r="F1184" s="69"/>
      <c r="G1184" s="35"/>
      <c r="H1184" s="35"/>
      <c r="I1184" s="35"/>
    </row>
    <row r="1185" spans="3:9" ht="13.5" customHeight="1" x14ac:dyDescent="0.25">
      <c r="C1185" s="16"/>
      <c r="D1185" s="16"/>
      <c r="E1185" s="64"/>
      <c r="F1185" s="64"/>
      <c r="G1185" s="16"/>
      <c r="H1185" s="16"/>
      <c r="I1185" s="16"/>
    </row>
    <row r="1186" spans="3:9" ht="13.5" customHeight="1" x14ac:dyDescent="0.25">
      <c r="C1186" s="35"/>
      <c r="D1186" s="35"/>
      <c r="E1186" s="65"/>
      <c r="F1186" s="69"/>
      <c r="G1186" s="35"/>
      <c r="H1186" s="35"/>
      <c r="I1186" s="35"/>
    </row>
    <row r="1187" spans="3:9" ht="13.5" customHeight="1" x14ac:dyDescent="0.25">
      <c r="C1187" s="16"/>
      <c r="D1187" s="16"/>
      <c r="E1187" s="64"/>
      <c r="F1187" s="64"/>
      <c r="G1187" s="16"/>
      <c r="H1187" s="16"/>
      <c r="I1187" s="16"/>
    </row>
    <row r="1188" spans="3:9" ht="13.5" customHeight="1" x14ac:dyDescent="0.25">
      <c r="C1188" s="35"/>
      <c r="D1188" s="35"/>
      <c r="E1188" s="65"/>
      <c r="F1188" s="69"/>
      <c r="G1188" s="35"/>
      <c r="H1188" s="35"/>
      <c r="I1188" s="35"/>
    </row>
    <row r="1189" spans="3:9" ht="13.5" customHeight="1" x14ac:dyDescent="0.25">
      <c r="C1189" s="16"/>
      <c r="D1189" s="16"/>
      <c r="E1189" s="64"/>
      <c r="F1189" s="64"/>
      <c r="G1189" s="16"/>
      <c r="H1189" s="16"/>
      <c r="I1189" s="16"/>
    </row>
    <row r="1190" spans="3:9" ht="13.5" customHeight="1" x14ac:dyDescent="0.25">
      <c r="C1190" s="35"/>
      <c r="D1190" s="35"/>
      <c r="E1190" s="65"/>
      <c r="F1190" s="69"/>
      <c r="G1190" s="35"/>
      <c r="H1190" s="35"/>
      <c r="I1190" s="35"/>
    </row>
    <row r="1191" spans="3:9" ht="13.5" customHeight="1" x14ac:dyDescent="0.25">
      <c r="C1191" s="16"/>
      <c r="D1191" s="16"/>
      <c r="E1191" s="64"/>
      <c r="F1191" s="64"/>
      <c r="G1191" s="16"/>
      <c r="H1191" s="16"/>
      <c r="I1191" s="16"/>
    </row>
    <row r="1192" spans="3:9" ht="13.5" customHeight="1" x14ac:dyDescent="0.25">
      <c r="C1192" s="35"/>
      <c r="D1192" s="35"/>
      <c r="E1192" s="65"/>
      <c r="F1192" s="69"/>
      <c r="G1192" s="35"/>
      <c r="H1192" s="35"/>
      <c r="I1192" s="35"/>
    </row>
    <row r="1193" spans="3:9" ht="13.5" customHeight="1" x14ac:dyDescent="0.25">
      <c r="C1193" s="16"/>
      <c r="D1193" s="16"/>
      <c r="E1193" s="64"/>
      <c r="F1193" s="64"/>
      <c r="G1193" s="16"/>
      <c r="H1193" s="16"/>
      <c r="I1193" s="16"/>
    </row>
    <row r="1194" spans="3:9" ht="13.5" customHeight="1" x14ac:dyDescent="0.25">
      <c r="C1194" s="35"/>
      <c r="D1194" s="35"/>
      <c r="E1194" s="65"/>
      <c r="F1194" s="69"/>
      <c r="G1194" s="35"/>
      <c r="H1194" s="35"/>
      <c r="I1194" s="35"/>
    </row>
    <row r="1195" spans="3:9" ht="13.5" customHeight="1" x14ac:dyDescent="0.25">
      <c r="C1195" s="16"/>
      <c r="D1195" s="16"/>
      <c r="E1195" s="64"/>
      <c r="F1195" s="64"/>
      <c r="G1195" s="16"/>
      <c r="H1195" s="16"/>
      <c r="I1195" s="16"/>
    </row>
    <row r="1196" spans="3:9" ht="13.5" customHeight="1" x14ac:dyDescent="0.25">
      <c r="C1196" s="35"/>
      <c r="D1196" s="35"/>
      <c r="E1196" s="65"/>
      <c r="F1196" s="69"/>
      <c r="G1196" s="35"/>
      <c r="H1196" s="35"/>
      <c r="I1196" s="35"/>
    </row>
    <row r="1197" spans="3:9" ht="13.5" customHeight="1" x14ac:dyDescent="0.25">
      <c r="C1197" s="16"/>
      <c r="D1197" s="16"/>
      <c r="E1197" s="64"/>
      <c r="F1197" s="64"/>
      <c r="G1197" s="16"/>
      <c r="H1197" s="16"/>
      <c r="I1197" s="16"/>
    </row>
    <row r="1198" spans="3:9" ht="13.5" customHeight="1" x14ac:dyDescent="0.25">
      <c r="C1198" s="35"/>
      <c r="D1198" s="35"/>
      <c r="E1198" s="65"/>
      <c r="F1198" s="69"/>
      <c r="G1198" s="35"/>
      <c r="H1198" s="35"/>
      <c r="I1198" s="35"/>
    </row>
    <row r="1199" spans="3:9" ht="13.5" customHeight="1" x14ac:dyDescent="0.25">
      <c r="C1199" s="16"/>
      <c r="D1199" s="16"/>
      <c r="E1199" s="64"/>
      <c r="F1199" s="64"/>
      <c r="G1199" s="16"/>
      <c r="H1199" s="16"/>
      <c r="I1199" s="16"/>
    </row>
    <row r="1200" spans="3:9" ht="13.5" customHeight="1" x14ac:dyDescent="0.25">
      <c r="C1200" s="35"/>
      <c r="D1200" s="35"/>
      <c r="E1200" s="65"/>
      <c r="F1200" s="69"/>
      <c r="G1200" s="35"/>
      <c r="H1200" s="35"/>
      <c r="I1200" s="35"/>
    </row>
    <row r="1201" spans="3:9" ht="13.5" customHeight="1" x14ac:dyDescent="0.25">
      <c r="C1201" s="16"/>
      <c r="D1201" s="16"/>
      <c r="E1201" s="64"/>
      <c r="F1201" s="64"/>
      <c r="G1201" s="16"/>
      <c r="H1201" s="16"/>
      <c r="I1201" s="16"/>
    </row>
    <row r="1202" spans="3:9" ht="13.5" customHeight="1" x14ac:dyDescent="0.25">
      <c r="C1202" s="35"/>
      <c r="D1202" s="35"/>
      <c r="E1202" s="65"/>
      <c r="F1202" s="69"/>
      <c r="G1202" s="35"/>
      <c r="H1202" s="35"/>
      <c r="I1202" s="35"/>
    </row>
    <row r="1203" spans="3:9" ht="13.5" customHeight="1" x14ac:dyDescent="0.25">
      <c r="C1203" s="16"/>
      <c r="D1203" s="16"/>
      <c r="E1203" s="64"/>
      <c r="F1203" s="64"/>
      <c r="G1203" s="16"/>
      <c r="H1203" s="16"/>
      <c r="I1203" s="16"/>
    </row>
    <row r="1204" spans="3:9" ht="13.5" customHeight="1" x14ac:dyDescent="0.25">
      <c r="C1204" s="35"/>
      <c r="D1204" s="35"/>
      <c r="E1204" s="65"/>
      <c r="F1204" s="69"/>
      <c r="G1204" s="35"/>
      <c r="H1204" s="35"/>
      <c r="I1204" s="35"/>
    </row>
    <row r="1205" spans="3:9" ht="13.5" customHeight="1" x14ac:dyDescent="0.25">
      <c r="C1205" s="16"/>
      <c r="D1205" s="16"/>
      <c r="E1205" s="64"/>
      <c r="F1205" s="64"/>
      <c r="G1205" s="16"/>
      <c r="H1205" s="16"/>
      <c r="I1205" s="16"/>
    </row>
    <row r="1206" spans="3:9" ht="13.5" customHeight="1" x14ac:dyDescent="0.25">
      <c r="C1206" s="35"/>
      <c r="D1206" s="35"/>
      <c r="E1206" s="65"/>
      <c r="F1206" s="69"/>
      <c r="G1206" s="35"/>
      <c r="H1206" s="35"/>
      <c r="I1206" s="35"/>
    </row>
    <row r="1207" spans="3:9" ht="13.5" customHeight="1" x14ac:dyDescent="0.25">
      <c r="C1207" s="16"/>
      <c r="D1207" s="16"/>
      <c r="E1207" s="64"/>
      <c r="F1207" s="64"/>
      <c r="G1207" s="16"/>
      <c r="H1207" s="16"/>
      <c r="I1207" s="16"/>
    </row>
    <row r="1208" spans="3:9" ht="13.5" customHeight="1" x14ac:dyDescent="0.25">
      <c r="C1208" s="35"/>
      <c r="D1208" s="35"/>
      <c r="E1208" s="65"/>
      <c r="F1208" s="69"/>
      <c r="G1208" s="35"/>
      <c r="H1208" s="35"/>
      <c r="I1208" s="35"/>
    </row>
    <row r="1209" spans="3:9" ht="13.5" customHeight="1" x14ac:dyDescent="0.25">
      <c r="C1209" s="16"/>
      <c r="D1209" s="16"/>
      <c r="E1209" s="64"/>
      <c r="F1209" s="64"/>
      <c r="G1209" s="16"/>
      <c r="H1209" s="16"/>
      <c r="I1209" s="16"/>
    </row>
    <row r="1210" spans="3:9" ht="13.5" customHeight="1" x14ac:dyDescent="0.25">
      <c r="C1210" s="35"/>
      <c r="D1210" s="35"/>
      <c r="E1210" s="65"/>
      <c r="F1210" s="69"/>
      <c r="G1210" s="35"/>
      <c r="H1210" s="35"/>
      <c r="I1210" s="35"/>
    </row>
    <row r="1211" spans="3:9" ht="13.5" customHeight="1" x14ac:dyDescent="0.25">
      <c r="C1211" s="16"/>
      <c r="D1211" s="16"/>
      <c r="E1211" s="64"/>
      <c r="F1211" s="64"/>
      <c r="G1211" s="16"/>
      <c r="H1211" s="16"/>
      <c r="I1211" s="16"/>
    </row>
    <row r="1212" spans="3:9" ht="13.5" customHeight="1" x14ac:dyDescent="0.25">
      <c r="C1212" s="35"/>
      <c r="D1212" s="35"/>
      <c r="E1212" s="65"/>
      <c r="F1212" s="69"/>
      <c r="G1212" s="35"/>
      <c r="H1212" s="35"/>
      <c r="I1212" s="35"/>
    </row>
    <row r="1213" spans="3:9" ht="13.5" customHeight="1" x14ac:dyDescent="0.25">
      <c r="C1213" s="16"/>
      <c r="D1213" s="16"/>
      <c r="E1213" s="64"/>
      <c r="F1213" s="64"/>
      <c r="G1213" s="16"/>
      <c r="H1213" s="16"/>
      <c r="I1213" s="16"/>
    </row>
    <row r="1214" spans="3:9" ht="13.5" customHeight="1" x14ac:dyDescent="0.25">
      <c r="C1214" s="35"/>
      <c r="D1214" s="35"/>
      <c r="E1214" s="65"/>
      <c r="F1214" s="69"/>
      <c r="G1214" s="35"/>
      <c r="H1214" s="35"/>
      <c r="I1214" s="35"/>
    </row>
    <row r="1215" spans="3:9" ht="13.5" customHeight="1" x14ac:dyDescent="0.25">
      <c r="C1215" s="16"/>
      <c r="D1215" s="16"/>
      <c r="E1215" s="64"/>
      <c r="F1215" s="64"/>
      <c r="G1215" s="16"/>
      <c r="H1215" s="16"/>
      <c r="I1215" s="16"/>
    </row>
    <row r="1216" spans="3:9" ht="13.5" customHeight="1" x14ac:dyDescent="0.25">
      <c r="C1216" s="35"/>
      <c r="D1216" s="35"/>
      <c r="E1216" s="65"/>
      <c r="F1216" s="69"/>
      <c r="G1216" s="35"/>
      <c r="H1216" s="35"/>
      <c r="I1216" s="35"/>
    </row>
    <row r="1217" spans="3:9" ht="13.5" customHeight="1" x14ac:dyDescent="0.25">
      <c r="C1217" s="16"/>
      <c r="D1217" s="16"/>
      <c r="E1217" s="64"/>
      <c r="F1217" s="64"/>
      <c r="G1217" s="16"/>
      <c r="H1217" s="16"/>
      <c r="I1217" s="16"/>
    </row>
    <row r="1218" spans="3:9" ht="13.5" customHeight="1" x14ac:dyDescent="0.25">
      <c r="C1218" s="35"/>
      <c r="D1218" s="35"/>
      <c r="E1218" s="65"/>
      <c r="F1218" s="69"/>
      <c r="G1218" s="35"/>
      <c r="H1218" s="35"/>
      <c r="I1218" s="35"/>
    </row>
    <row r="1219" spans="3:9" ht="13.5" customHeight="1" x14ac:dyDescent="0.25">
      <c r="C1219" s="16"/>
      <c r="D1219" s="16"/>
      <c r="E1219" s="64"/>
      <c r="F1219" s="64"/>
      <c r="G1219" s="16"/>
      <c r="H1219" s="16"/>
      <c r="I1219" s="16"/>
    </row>
    <row r="1220" spans="3:9" ht="13.5" customHeight="1" x14ac:dyDescent="0.25">
      <c r="C1220" s="35"/>
      <c r="D1220" s="35"/>
      <c r="E1220" s="65"/>
      <c r="F1220" s="69"/>
      <c r="G1220" s="35"/>
      <c r="H1220" s="35"/>
      <c r="I1220" s="35"/>
    </row>
    <row r="1221" spans="3:9" ht="13.5" customHeight="1" x14ac:dyDescent="0.25">
      <c r="C1221" s="16"/>
      <c r="D1221" s="16"/>
      <c r="E1221" s="64"/>
      <c r="F1221" s="64"/>
      <c r="G1221" s="16"/>
      <c r="H1221" s="16"/>
      <c r="I1221" s="16"/>
    </row>
    <row r="1222" spans="3:9" ht="13.5" customHeight="1" x14ac:dyDescent="0.25">
      <c r="C1222" s="35"/>
      <c r="D1222" s="35"/>
      <c r="E1222" s="65"/>
      <c r="F1222" s="69"/>
      <c r="G1222" s="35"/>
      <c r="H1222" s="35"/>
      <c r="I1222" s="35"/>
    </row>
    <row r="1223" spans="3:9" ht="13.5" customHeight="1" x14ac:dyDescent="0.25">
      <c r="C1223" s="16"/>
      <c r="D1223" s="16"/>
      <c r="E1223" s="64"/>
      <c r="F1223" s="64"/>
      <c r="G1223" s="16"/>
      <c r="H1223" s="16"/>
      <c r="I1223" s="16"/>
    </row>
    <row r="1224" spans="3:9" ht="13.5" customHeight="1" x14ac:dyDescent="0.25">
      <c r="C1224" s="35"/>
      <c r="D1224" s="35"/>
      <c r="E1224" s="65"/>
      <c r="F1224" s="69"/>
      <c r="G1224" s="35"/>
      <c r="H1224" s="35"/>
      <c r="I1224" s="35"/>
    </row>
    <row r="1225" spans="3:9" ht="13.5" customHeight="1" x14ac:dyDescent="0.25">
      <c r="C1225" s="16"/>
      <c r="D1225" s="16"/>
      <c r="E1225" s="64"/>
      <c r="F1225" s="64"/>
      <c r="G1225" s="16"/>
      <c r="H1225" s="16"/>
      <c r="I1225" s="16"/>
    </row>
    <row r="1226" spans="3:9" ht="13.5" customHeight="1" x14ac:dyDescent="0.25">
      <c r="C1226" s="35"/>
      <c r="D1226" s="35"/>
      <c r="E1226" s="65"/>
      <c r="F1226" s="69"/>
      <c r="G1226" s="35"/>
      <c r="H1226" s="35"/>
      <c r="I1226" s="35"/>
    </row>
    <row r="1227" spans="3:9" ht="13.5" customHeight="1" x14ac:dyDescent="0.25">
      <c r="C1227" s="16"/>
      <c r="D1227" s="16"/>
      <c r="E1227" s="64"/>
      <c r="F1227" s="64"/>
      <c r="G1227" s="16"/>
      <c r="H1227" s="16"/>
      <c r="I1227" s="16"/>
    </row>
    <row r="1228" spans="3:9" ht="13.5" customHeight="1" x14ac:dyDescent="0.25">
      <c r="C1228" s="35"/>
      <c r="D1228" s="35"/>
      <c r="E1228" s="65"/>
      <c r="F1228" s="69"/>
      <c r="G1228" s="35"/>
      <c r="H1228" s="35"/>
      <c r="I1228" s="35"/>
    </row>
    <row r="1229" spans="3:9" ht="13.5" customHeight="1" x14ac:dyDescent="0.25">
      <c r="C1229" s="16"/>
      <c r="D1229" s="16"/>
      <c r="E1229" s="64"/>
      <c r="F1229" s="64"/>
      <c r="G1229" s="16"/>
      <c r="H1229" s="16"/>
      <c r="I1229" s="16"/>
    </row>
    <row r="1230" spans="3:9" ht="13.5" customHeight="1" x14ac:dyDescent="0.25">
      <c r="C1230" s="35"/>
      <c r="D1230" s="35"/>
      <c r="E1230" s="65"/>
      <c r="F1230" s="69"/>
      <c r="G1230" s="35"/>
      <c r="H1230" s="35"/>
      <c r="I1230" s="35"/>
    </row>
    <row r="1231" spans="3:9" ht="13.5" customHeight="1" x14ac:dyDescent="0.25">
      <c r="C1231" s="16"/>
      <c r="D1231" s="16"/>
      <c r="E1231" s="64"/>
      <c r="F1231" s="64"/>
      <c r="G1231" s="16"/>
      <c r="H1231" s="16"/>
      <c r="I1231" s="16"/>
    </row>
    <row r="1232" spans="3:9" ht="13.5" customHeight="1" x14ac:dyDescent="0.25">
      <c r="C1232" s="35"/>
      <c r="D1232" s="35"/>
      <c r="E1232" s="65"/>
      <c r="F1232" s="69"/>
      <c r="G1232" s="35"/>
      <c r="H1232" s="35"/>
      <c r="I1232" s="35"/>
    </row>
    <row r="1233" spans="3:9" ht="13.5" customHeight="1" x14ac:dyDescent="0.25">
      <c r="C1233" s="16"/>
      <c r="D1233" s="16"/>
      <c r="E1233" s="64"/>
      <c r="F1233" s="64"/>
      <c r="G1233" s="16"/>
      <c r="H1233" s="16"/>
      <c r="I1233" s="16"/>
    </row>
    <row r="1234" spans="3:9" ht="13.5" customHeight="1" x14ac:dyDescent="0.25">
      <c r="C1234" s="35"/>
      <c r="D1234" s="35"/>
      <c r="E1234" s="65"/>
      <c r="F1234" s="69"/>
      <c r="G1234" s="35"/>
      <c r="H1234" s="35"/>
      <c r="I1234" s="35"/>
    </row>
    <row r="1235" spans="3:9" ht="13.5" customHeight="1" x14ac:dyDescent="0.25">
      <c r="C1235" s="16"/>
      <c r="D1235" s="16"/>
      <c r="E1235" s="64"/>
      <c r="F1235" s="64"/>
      <c r="G1235" s="16"/>
      <c r="H1235" s="16"/>
      <c r="I1235" s="16"/>
    </row>
    <row r="1236" spans="3:9" ht="13.5" customHeight="1" x14ac:dyDescent="0.25">
      <c r="C1236" s="35"/>
      <c r="D1236" s="35"/>
      <c r="E1236" s="65"/>
      <c r="F1236" s="69"/>
      <c r="G1236" s="35"/>
      <c r="H1236" s="35"/>
      <c r="I1236" s="35"/>
    </row>
    <row r="1237" spans="3:9" ht="13.5" customHeight="1" x14ac:dyDescent="0.25">
      <c r="C1237" s="16"/>
      <c r="D1237" s="16"/>
      <c r="E1237" s="64"/>
      <c r="F1237" s="64"/>
      <c r="G1237" s="16"/>
      <c r="H1237" s="16"/>
      <c r="I1237" s="16"/>
    </row>
    <row r="1238" spans="3:9" ht="13.5" customHeight="1" x14ac:dyDescent="0.25">
      <c r="C1238" s="35"/>
      <c r="D1238" s="35"/>
      <c r="E1238" s="65"/>
      <c r="F1238" s="69"/>
      <c r="G1238" s="35"/>
      <c r="H1238" s="35"/>
      <c r="I1238" s="35"/>
    </row>
    <row r="1239" spans="3:9" ht="13.5" customHeight="1" x14ac:dyDescent="0.25">
      <c r="C1239" s="16"/>
      <c r="D1239" s="16"/>
      <c r="E1239" s="64"/>
      <c r="F1239" s="64"/>
      <c r="G1239" s="16"/>
      <c r="H1239" s="16"/>
      <c r="I1239" s="16"/>
    </row>
    <row r="1240" spans="3:9" ht="13.5" customHeight="1" x14ac:dyDescent="0.25">
      <c r="C1240" s="35"/>
      <c r="D1240" s="35"/>
      <c r="E1240" s="65"/>
      <c r="F1240" s="69"/>
      <c r="G1240" s="35"/>
      <c r="H1240" s="35"/>
      <c r="I1240" s="35"/>
    </row>
    <row r="1241" spans="3:9" ht="13.5" customHeight="1" x14ac:dyDescent="0.25">
      <c r="C1241" s="16"/>
      <c r="D1241" s="16"/>
      <c r="E1241" s="64"/>
      <c r="F1241" s="64"/>
      <c r="G1241" s="16"/>
      <c r="H1241" s="16"/>
      <c r="I1241" s="16"/>
    </row>
    <row r="1242" spans="3:9" ht="13.5" customHeight="1" x14ac:dyDescent="0.25">
      <c r="C1242" s="35"/>
      <c r="D1242" s="35"/>
      <c r="E1242" s="65"/>
      <c r="F1242" s="69"/>
      <c r="G1242" s="35"/>
      <c r="H1242" s="35"/>
      <c r="I1242" s="35"/>
    </row>
    <row r="1243" spans="3:9" ht="13.5" customHeight="1" x14ac:dyDescent="0.25">
      <c r="C1243" s="16"/>
      <c r="D1243" s="16"/>
      <c r="E1243" s="64"/>
      <c r="F1243" s="64"/>
      <c r="G1243" s="16"/>
      <c r="H1243" s="16"/>
      <c r="I1243" s="16"/>
    </row>
    <row r="1244" spans="3:9" ht="13.5" customHeight="1" x14ac:dyDescent="0.25">
      <c r="C1244" s="35"/>
      <c r="D1244" s="35"/>
      <c r="E1244" s="65"/>
      <c r="F1244" s="69"/>
      <c r="G1244" s="35"/>
      <c r="H1244" s="35"/>
      <c r="I1244" s="35"/>
    </row>
    <row r="1245" spans="3:9" ht="13.5" customHeight="1" x14ac:dyDescent="0.25">
      <c r="C1245" s="16"/>
      <c r="D1245" s="16"/>
      <c r="E1245" s="64"/>
      <c r="F1245" s="64"/>
      <c r="G1245" s="16"/>
      <c r="H1245" s="16"/>
      <c r="I1245" s="16"/>
    </row>
    <row r="1246" spans="3:9" ht="13.5" customHeight="1" x14ac:dyDescent="0.25">
      <c r="C1246" s="35"/>
      <c r="D1246" s="35"/>
      <c r="E1246" s="65"/>
      <c r="F1246" s="69"/>
      <c r="G1246" s="35"/>
      <c r="H1246" s="35"/>
      <c r="I1246" s="35"/>
    </row>
    <row r="1247" spans="3:9" ht="13.5" customHeight="1" x14ac:dyDescent="0.25">
      <c r="C1247" s="16"/>
      <c r="D1247" s="16"/>
      <c r="E1247" s="64"/>
      <c r="F1247" s="64"/>
      <c r="G1247" s="16"/>
      <c r="H1247" s="16"/>
      <c r="I1247" s="16"/>
    </row>
    <row r="1248" spans="3:9" ht="13.5" customHeight="1" x14ac:dyDescent="0.25">
      <c r="C1248" s="35"/>
      <c r="D1248" s="35"/>
      <c r="E1248" s="65"/>
      <c r="F1248" s="69"/>
      <c r="G1248" s="35"/>
      <c r="H1248" s="35"/>
      <c r="I1248" s="35"/>
    </row>
    <row r="1249" spans="3:9" ht="13.5" customHeight="1" x14ac:dyDescent="0.25">
      <c r="C1249" s="16"/>
      <c r="D1249" s="16"/>
      <c r="E1249" s="64"/>
      <c r="F1249" s="64"/>
      <c r="G1249" s="16"/>
      <c r="H1249" s="16"/>
      <c r="I1249" s="16"/>
    </row>
    <row r="1250" spans="3:9" ht="13.5" customHeight="1" x14ac:dyDescent="0.25">
      <c r="C1250" s="35"/>
      <c r="D1250" s="35"/>
      <c r="E1250" s="65"/>
      <c r="F1250" s="69"/>
      <c r="G1250" s="35"/>
      <c r="H1250" s="35"/>
      <c r="I1250" s="35"/>
    </row>
    <row r="1251" spans="3:9" ht="13.5" customHeight="1" x14ac:dyDescent="0.25">
      <c r="C1251" s="16"/>
      <c r="D1251" s="16"/>
      <c r="E1251" s="64"/>
      <c r="F1251" s="64"/>
      <c r="G1251" s="16"/>
      <c r="H1251" s="16"/>
      <c r="I1251" s="16"/>
    </row>
    <row r="1252" spans="3:9" ht="13.5" customHeight="1" x14ac:dyDescent="0.25">
      <c r="C1252" s="35"/>
      <c r="D1252" s="35"/>
      <c r="E1252" s="65"/>
      <c r="F1252" s="69"/>
      <c r="G1252" s="35"/>
      <c r="H1252" s="35"/>
      <c r="I1252" s="35"/>
    </row>
    <row r="1253" spans="3:9" ht="13.5" customHeight="1" x14ac:dyDescent="0.25">
      <c r="C1253" s="16"/>
      <c r="D1253" s="16"/>
      <c r="E1253" s="64"/>
      <c r="F1253" s="64"/>
      <c r="G1253" s="16"/>
      <c r="H1253" s="16"/>
      <c r="I1253" s="16"/>
    </row>
    <row r="1254" spans="3:9" ht="13.5" customHeight="1" x14ac:dyDescent="0.25">
      <c r="C1254" s="35"/>
      <c r="D1254" s="35"/>
      <c r="E1254" s="65"/>
      <c r="F1254" s="69"/>
      <c r="G1254" s="35"/>
      <c r="H1254" s="35"/>
      <c r="I1254" s="35"/>
    </row>
    <row r="1255" spans="3:9" ht="13.5" customHeight="1" x14ac:dyDescent="0.25">
      <c r="C1255" s="16"/>
      <c r="D1255" s="16"/>
      <c r="E1255" s="64"/>
      <c r="F1255" s="64"/>
      <c r="G1255" s="16"/>
      <c r="H1255" s="16"/>
      <c r="I1255" s="16"/>
    </row>
    <row r="1256" spans="3:9" ht="13.5" customHeight="1" x14ac:dyDescent="0.25">
      <c r="C1256" s="35"/>
      <c r="D1256" s="35"/>
      <c r="E1256" s="65"/>
      <c r="F1256" s="69"/>
      <c r="G1256" s="35"/>
      <c r="H1256" s="35"/>
      <c r="I1256" s="35"/>
    </row>
    <row r="1257" spans="3:9" ht="13.5" customHeight="1" x14ac:dyDescent="0.25">
      <c r="C1257" s="16"/>
      <c r="D1257" s="16"/>
      <c r="E1257" s="64"/>
      <c r="F1257" s="64"/>
      <c r="G1257" s="16"/>
      <c r="H1257" s="16"/>
      <c r="I1257" s="16"/>
    </row>
    <row r="1258" spans="3:9" ht="13.5" customHeight="1" x14ac:dyDescent="0.25">
      <c r="C1258" s="35"/>
      <c r="D1258" s="35"/>
      <c r="E1258" s="65"/>
      <c r="F1258" s="69"/>
      <c r="G1258" s="35"/>
      <c r="H1258" s="35"/>
      <c r="I1258" s="35"/>
    </row>
    <row r="1259" spans="3:9" ht="13.5" customHeight="1" x14ac:dyDescent="0.25">
      <c r="C1259" s="16"/>
      <c r="D1259" s="16"/>
      <c r="E1259" s="64"/>
      <c r="F1259" s="64"/>
      <c r="G1259" s="16"/>
      <c r="H1259" s="16"/>
      <c r="I1259" s="16"/>
    </row>
    <row r="1260" spans="3:9" ht="13.5" customHeight="1" x14ac:dyDescent="0.25">
      <c r="C1260" s="35"/>
      <c r="D1260" s="35"/>
      <c r="E1260" s="65"/>
      <c r="F1260" s="69"/>
      <c r="G1260" s="35"/>
      <c r="H1260" s="35"/>
      <c r="I1260" s="35"/>
    </row>
    <row r="1261" spans="3:9" ht="13.5" customHeight="1" x14ac:dyDescent="0.25">
      <c r="C1261" s="16"/>
      <c r="D1261" s="16"/>
      <c r="E1261" s="64"/>
      <c r="F1261" s="64"/>
      <c r="G1261" s="16"/>
      <c r="H1261" s="16"/>
      <c r="I1261" s="16"/>
    </row>
    <row r="1262" spans="3:9" ht="13.5" customHeight="1" x14ac:dyDescent="0.25">
      <c r="C1262" s="35"/>
      <c r="D1262" s="35"/>
      <c r="E1262" s="65"/>
      <c r="F1262" s="69"/>
      <c r="G1262" s="35"/>
      <c r="H1262" s="35"/>
      <c r="I1262" s="35"/>
    </row>
    <row r="1263" spans="3:9" ht="13.5" customHeight="1" x14ac:dyDescent="0.25">
      <c r="C1263" s="16"/>
      <c r="D1263" s="16"/>
      <c r="E1263" s="64"/>
      <c r="F1263" s="64"/>
      <c r="G1263" s="16"/>
      <c r="H1263" s="16"/>
      <c r="I1263" s="16"/>
    </row>
    <row r="1264" spans="3:9" ht="13.5" customHeight="1" x14ac:dyDescent="0.25">
      <c r="C1264" s="35"/>
      <c r="D1264" s="35"/>
      <c r="E1264" s="65"/>
      <c r="F1264" s="69"/>
      <c r="G1264" s="35"/>
      <c r="H1264" s="35"/>
      <c r="I1264" s="35"/>
    </row>
    <row r="1265" spans="3:9" ht="13.5" customHeight="1" x14ac:dyDescent="0.25">
      <c r="C1265" s="16"/>
      <c r="D1265" s="16"/>
      <c r="E1265" s="64"/>
      <c r="F1265" s="64"/>
      <c r="G1265" s="16"/>
      <c r="H1265" s="16"/>
      <c r="I1265" s="16"/>
    </row>
    <row r="1266" spans="3:9" ht="13.5" customHeight="1" x14ac:dyDescent="0.25">
      <c r="C1266" s="35"/>
      <c r="D1266" s="35"/>
      <c r="E1266" s="65"/>
      <c r="F1266" s="69"/>
      <c r="G1266" s="35"/>
      <c r="H1266" s="35"/>
      <c r="I1266" s="35"/>
    </row>
    <row r="1267" spans="3:9" ht="13.5" customHeight="1" x14ac:dyDescent="0.25">
      <c r="C1267" s="16"/>
      <c r="D1267" s="16"/>
      <c r="E1267" s="64"/>
      <c r="F1267" s="64"/>
      <c r="G1267" s="16"/>
      <c r="H1267" s="16"/>
      <c r="I1267" s="16"/>
    </row>
    <row r="1268" spans="3:9" ht="13.5" customHeight="1" x14ac:dyDescent="0.25">
      <c r="C1268" s="35"/>
      <c r="D1268" s="35"/>
      <c r="E1268" s="65"/>
      <c r="F1268" s="69"/>
      <c r="G1268" s="35"/>
      <c r="H1268" s="35"/>
      <c r="I1268" s="35"/>
    </row>
    <row r="1269" spans="3:9" ht="13.5" customHeight="1" x14ac:dyDescent="0.25">
      <c r="C1269" s="16"/>
      <c r="D1269" s="16"/>
      <c r="E1269" s="64"/>
      <c r="F1269" s="64"/>
      <c r="G1269" s="16"/>
      <c r="H1269" s="16"/>
      <c r="I1269" s="16"/>
    </row>
    <row r="1270" spans="3:9" ht="13.5" customHeight="1" x14ac:dyDescent="0.25">
      <c r="C1270" s="35"/>
      <c r="D1270" s="35"/>
      <c r="E1270" s="65"/>
      <c r="F1270" s="69"/>
      <c r="G1270" s="35"/>
      <c r="H1270" s="35"/>
      <c r="I1270" s="35"/>
    </row>
    <row r="1271" spans="3:9" ht="13.5" customHeight="1" x14ac:dyDescent="0.25">
      <c r="C1271" s="16"/>
      <c r="D1271" s="16"/>
      <c r="E1271" s="64"/>
      <c r="F1271" s="64"/>
      <c r="G1271" s="16"/>
      <c r="H1271" s="16"/>
      <c r="I1271" s="16"/>
    </row>
    <row r="1272" spans="3:9" ht="13.5" customHeight="1" x14ac:dyDescent="0.25">
      <c r="C1272" s="35"/>
      <c r="D1272" s="35"/>
      <c r="E1272" s="65"/>
      <c r="F1272" s="69"/>
      <c r="G1272" s="35"/>
      <c r="H1272" s="35"/>
      <c r="I1272" s="35"/>
    </row>
    <row r="1273" spans="3:9" ht="13.5" customHeight="1" x14ac:dyDescent="0.25">
      <c r="C1273" s="16"/>
      <c r="D1273" s="16"/>
      <c r="E1273" s="64"/>
      <c r="F1273" s="64"/>
      <c r="G1273" s="16"/>
      <c r="H1273" s="16"/>
      <c r="I1273" s="16"/>
    </row>
    <row r="1274" spans="3:9" ht="13.5" customHeight="1" x14ac:dyDescent="0.25">
      <c r="C1274" s="35"/>
      <c r="D1274" s="35"/>
      <c r="E1274" s="65"/>
      <c r="F1274" s="69"/>
      <c r="G1274" s="35"/>
      <c r="H1274" s="35"/>
      <c r="I1274" s="35"/>
    </row>
    <row r="1275" spans="3:9" ht="13.5" customHeight="1" x14ac:dyDescent="0.25">
      <c r="C1275" s="16"/>
      <c r="D1275" s="16"/>
      <c r="E1275" s="64"/>
      <c r="F1275" s="64"/>
      <c r="G1275" s="16"/>
      <c r="H1275" s="16"/>
      <c r="I1275" s="16"/>
    </row>
    <row r="1276" spans="3:9" ht="13.5" customHeight="1" x14ac:dyDescent="0.25">
      <c r="C1276" s="35"/>
      <c r="D1276" s="35"/>
      <c r="E1276" s="65"/>
      <c r="F1276" s="69"/>
      <c r="G1276" s="35"/>
      <c r="H1276" s="35"/>
      <c r="I1276" s="35"/>
    </row>
    <row r="1277" spans="3:9" ht="13.5" customHeight="1" x14ac:dyDescent="0.25">
      <c r="C1277" s="16"/>
      <c r="D1277" s="16"/>
      <c r="E1277" s="64"/>
      <c r="F1277" s="64"/>
      <c r="G1277" s="16"/>
      <c r="H1277" s="16"/>
      <c r="I1277" s="16"/>
    </row>
    <row r="1278" spans="3:9" ht="13.5" customHeight="1" x14ac:dyDescent="0.25">
      <c r="C1278" s="35"/>
      <c r="D1278" s="35"/>
      <c r="E1278" s="65"/>
      <c r="F1278" s="69"/>
      <c r="G1278" s="35"/>
      <c r="H1278" s="35"/>
      <c r="I1278" s="35"/>
    </row>
    <row r="1279" spans="3:9" ht="13.5" customHeight="1" x14ac:dyDescent="0.25">
      <c r="C1279" s="16"/>
      <c r="D1279" s="16"/>
      <c r="E1279" s="64"/>
      <c r="F1279" s="64"/>
      <c r="G1279" s="16"/>
      <c r="H1279" s="16"/>
      <c r="I1279" s="16"/>
    </row>
    <row r="1280" spans="3:9" ht="13.5" customHeight="1" x14ac:dyDescent="0.25">
      <c r="C1280" s="35"/>
      <c r="D1280" s="35"/>
      <c r="E1280" s="65"/>
      <c r="F1280" s="69"/>
      <c r="G1280" s="35"/>
      <c r="H1280" s="35"/>
      <c r="I1280" s="35"/>
    </row>
    <row r="1281" spans="3:9" ht="13.5" customHeight="1" x14ac:dyDescent="0.25">
      <c r="C1281" s="16"/>
      <c r="D1281" s="16"/>
      <c r="E1281" s="64"/>
      <c r="F1281" s="64"/>
      <c r="G1281" s="16"/>
      <c r="H1281" s="16"/>
      <c r="I1281" s="16"/>
    </row>
    <row r="1282" spans="3:9" ht="13.5" customHeight="1" x14ac:dyDescent="0.25">
      <c r="C1282" s="35"/>
      <c r="D1282" s="35"/>
      <c r="E1282" s="65"/>
      <c r="F1282" s="69"/>
      <c r="G1282" s="35"/>
      <c r="H1282" s="35"/>
      <c r="I1282" s="35"/>
    </row>
    <row r="1283" spans="3:9" ht="13.5" customHeight="1" x14ac:dyDescent="0.25">
      <c r="C1283" s="16"/>
      <c r="D1283" s="16"/>
      <c r="E1283" s="64"/>
      <c r="F1283" s="64"/>
      <c r="G1283" s="16"/>
      <c r="H1283" s="16"/>
      <c r="I1283" s="16"/>
    </row>
    <row r="1284" spans="3:9" ht="13.5" customHeight="1" x14ac:dyDescent="0.25">
      <c r="C1284" s="35"/>
      <c r="D1284" s="35"/>
      <c r="E1284" s="65"/>
      <c r="F1284" s="69"/>
      <c r="G1284" s="35"/>
      <c r="H1284" s="35"/>
      <c r="I1284" s="35"/>
    </row>
    <row r="1285" spans="3:9" ht="13.5" customHeight="1" x14ac:dyDescent="0.25">
      <c r="C1285" s="16"/>
      <c r="D1285" s="16"/>
      <c r="E1285" s="64"/>
      <c r="F1285" s="64"/>
      <c r="G1285" s="16"/>
      <c r="H1285" s="16"/>
      <c r="I1285" s="16"/>
    </row>
    <row r="1286" spans="3:9" ht="13.5" customHeight="1" x14ac:dyDescent="0.25">
      <c r="C1286" s="35"/>
      <c r="D1286" s="35"/>
      <c r="E1286" s="65"/>
      <c r="F1286" s="69"/>
      <c r="G1286" s="35"/>
      <c r="H1286" s="35"/>
      <c r="I1286" s="35"/>
    </row>
    <row r="1287" spans="3:9" ht="13.5" customHeight="1" x14ac:dyDescent="0.25">
      <c r="C1287" s="16"/>
      <c r="D1287" s="16"/>
      <c r="E1287" s="64"/>
      <c r="F1287" s="64"/>
      <c r="G1287" s="16"/>
      <c r="H1287" s="16"/>
      <c r="I1287" s="16"/>
    </row>
    <row r="1288" spans="3:9" ht="13.5" customHeight="1" x14ac:dyDescent="0.25">
      <c r="C1288" s="35"/>
      <c r="D1288" s="35"/>
      <c r="E1288" s="65"/>
      <c r="F1288" s="69"/>
      <c r="G1288" s="35"/>
      <c r="H1288" s="35"/>
      <c r="I1288" s="35"/>
    </row>
    <row r="1289" spans="3:9" ht="13.5" customHeight="1" x14ac:dyDescent="0.25">
      <c r="C1289" s="16"/>
      <c r="D1289" s="16"/>
      <c r="E1289" s="64"/>
      <c r="F1289" s="64"/>
      <c r="G1289" s="16"/>
      <c r="H1289" s="16"/>
      <c r="I1289" s="16"/>
    </row>
    <row r="1290" spans="3:9" ht="13.5" customHeight="1" x14ac:dyDescent="0.25">
      <c r="C1290" s="35"/>
      <c r="D1290" s="35"/>
      <c r="E1290" s="65"/>
      <c r="F1290" s="69"/>
      <c r="G1290" s="35"/>
      <c r="H1290" s="35"/>
      <c r="I1290" s="35"/>
    </row>
    <row r="1291" spans="3:9" ht="13.5" customHeight="1" x14ac:dyDescent="0.25">
      <c r="C1291" s="16"/>
      <c r="D1291" s="16"/>
      <c r="E1291" s="64"/>
      <c r="F1291" s="64"/>
      <c r="G1291" s="16"/>
      <c r="H1291" s="16"/>
      <c r="I1291" s="16"/>
    </row>
    <row r="1292" spans="3:9" ht="13.5" customHeight="1" x14ac:dyDescent="0.25">
      <c r="C1292" s="35"/>
      <c r="D1292" s="35"/>
      <c r="E1292" s="65"/>
      <c r="F1292" s="69"/>
      <c r="G1292" s="35"/>
      <c r="H1292" s="35"/>
      <c r="I1292" s="35"/>
    </row>
    <row r="1293" spans="3:9" ht="13.5" customHeight="1" x14ac:dyDescent="0.25">
      <c r="C1293" s="16"/>
      <c r="D1293" s="16"/>
      <c r="E1293" s="64"/>
      <c r="F1293" s="64"/>
      <c r="G1293" s="16"/>
      <c r="H1293" s="16"/>
      <c r="I1293" s="16"/>
    </row>
    <row r="1294" spans="3:9" ht="13.5" customHeight="1" x14ac:dyDescent="0.25">
      <c r="C1294" s="35"/>
      <c r="D1294" s="35"/>
      <c r="E1294" s="65"/>
      <c r="F1294" s="69"/>
      <c r="G1294" s="35"/>
      <c r="H1294" s="35"/>
      <c r="I1294" s="35"/>
    </row>
    <row r="1295" spans="3:9" ht="13.5" customHeight="1" x14ac:dyDescent="0.25">
      <c r="C1295" s="16"/>
      <c r="D1295" s="16"/>
      <c r="E1295" s="64"/>
      <c r="F1295" s="64"/>
      <c r="G1295" s="16"/>
      <c r="H1295" s="16"/>
      <c r="I1295" s="16"/>
    </row>
    <row r="1296" spans="3:9" ht="13.5" customHeight="1" x14ac:dyDescent="0.25">
      <c r="C1296" s="35"/>
      <c r="D1296" s="35"/>
      <c r="E1296" s="65"/>
      <c r="F1296" s="69"/>
      <c r="G1296" s="35"/>
      <c r="H1296" s="35"/>
      <c r="I1296" s="35"/>
    </row>
    <row r="1297" spans="3:9" ht="13.5" customHeight="1" x14ac:dyDescent="0.25">
      <c r="C1297" s="16"/>
      <c r="D1297" s="16"/>
      <c r="E1297" s="64"/>
      <c r="F1297" s="64"/>
      <c r="G1297" s="16"/>
      <c r="H1297" s="16"/>
      <c r="I1297" s="16"/>
    </row>
    <row r="1298" spans="3:9" ht="13.5" customHeight="1" x14ac:dyDescent="0.25">
      <c r="C1298" s="35"/>
      <c r="D1298" s="35"/>
      <c r="E1298" s="65"/>
      <c r="F1298" s="69"/>
      <c r="G1298" s="35"/>
      <c r="H1298" s="35"/>
      <c r="I1298" s="35"/>
    </row>
    <row r="1299" spans="3:9" ht="13.5" customHeight="1" x14ac:dyDescent="0.25">
      <c r="C1299" s="16"/>
      <c r="D1299" s="16"/>
      <c r="E1299" s="64"/>
      <c r="F1299" s="64"/>
      <c r="G1299" s="16"/>
      <c r="H1299" s="16"/>
      <c r="I1299" s="16"/>
    </row>
    <row r="1300" spans="3:9" ht="13.5" customHeight="1" x14ac:dyDescent="0.25">
      <c r="C1300" s="35"/>
      <c r="D1300" s="35"/>
      <c r="E1300" s="65"/>
      <c r="F1300" s="69"/>
      <c r="G1300" s="35"/>
      <c r="H1300" s="35"/>
      <c r="I1300" s="35"/>
    </row>
    <row r="1301" spans="3:9" ht="13.5" customHeight="1" x14ac:dyDescent="0.25">
      <c r="C1301" s="16"/>
      <c r="D1301" s="16"/>
      <c r="E1301" s="64"/>
      <c r="F1301" s="64"/>
      <c r="G1301" s="16"/>
      <c r="H1301" s="16"/>
      <c r="I1301" s="16"/>
    </row>
    <row r="1302" spans="3:9" ht="13.5" customHeight="1" x14ac:dyDescent="0.25">
      <c r="C1302" s="35"/>
      <c r="D1302" s="35"/>
      <c r="E1302" s="65"/>
      <c r="F1302" s="69"/>
      <c r="G1302" s="35"/>
      <c r="H1302" s="35"/>
      <c r="I1302" s="35"/>
    </row>
    <row r="1303" spans="3:9" ht="13.5" customHeight="1" x14ac:dyDescent="0.25">
      <c r="C1303" s="16"/>
      <c r="D1303" s="16"/>
      <c r="E1303" s="64"/>
      <c r="F1303" s="64"/>
      <c r="G1303" s="16"/>
      <c r="H1303" s="16"/>
      <c r="I1303" s="16"/>
    </row>
    <row r="1304" spans="3:9" ht="13.5" customHeight="1" x14ac:dyDescent="0.25">
      <c r="C1304" s="35"/>
      <c r="D1304" s="35"/>
      <c r="E1304" s="65"/>
      <c r="F1304" s="69"/>
      <c r="G1304" s="35"/>
      <c r="H1304" s="35"/>
      <c r="I1304" s="35"/>
    </row>
    <row r="1305" spans="3:9" ht="13.5" customHeight="1" x14ac:dyDescent="0.25">
      <c r="C1305" s="16"/>
      <c r="D1305" s="16"/>
      <c r="E1305" s="64"/>
      <c r="F1305" s="64"/>
      <c r="G1305" s="16"/>
      <c r="H1305" s="16"/>
      <c r="I1305" s="16"/>
    </row>
    <row r="1306" spans="3:9" ht="13.5" customHeight="1" x14ac:dyDescent="0.25">
      <c r="C1306" s="35"/>
      <c r="D1306" s="35"/>
      <c r="E1306" s="65"/>
      <c r="F1306" s="69"/>
      <c r="G1306" s="35"/>
      <c r="H1306" s="35"/>
      <c r="I1306" s="35"/>
    </row>
    <row r="1307" spans="3:9" ht="13.5" customHeight="1" x14ac:dyDescent="0.25">
      <c r="C1307" s="16"/>
      <c r="D1307" s="16"/>
      <c r="E1307" s="64"/>
      <c r="F1307" s="64"/>
      <c r="G1307" s="16"/>
      <c r="H1307" s="16"/>
      <c r="I1307" s="16"/>
    </row>
    <row r="1308" spans="3:9" ht="13.5" customHeight="1" x14ac:dyDescent="0.25">
      <c r="C1308" s="35"/>
      <c r="D1308" s="35"/>
      <c r="E1308" s="65"/>
      <c r="F1308" s="69"/>
      <c r="G1308" s="35"/>
      <c r="H1308" s="35"/>
      <c r="I1308" s="35"/>
    </row>
    <row r="1309" spans="3:9" ht="13.5" customHeight="1" x14ac:dyDescent="0.25">
      <c r="C1309" s="16"/>
      <c r="D1309" s="16"/>
      <c r="E1309" s="64"/>
      <c r="F1309" s="64"/>
      <c r="G1309" s="16"/>
      <c r="H1309" s="16"/>
      <c r="I1309" s="16"/>
    </row>
    <row r="1310" spans="3:9" ht="13.5" customHeight="1" x14ac:dyDescent="0.25">
      <c r="C1310" s="35"/>
      <c r="D1310" s="35"/>
      <c r="E1310" s="65"/>
      <c r="F1310" s="69"/>
      <c r="G1310" s="35"/>
      <c r="H1310" s="35"/>
      <c r="I1310" s="35"/>
    </row>
    <row r="1311" spans="3:9" ht="13.5" customHeight="1" x14ac:dyDescent="0.25">
      <c r="C1311" s="16"/>
      <c r="D1311" s="16"/>
      <c r="E1311" s="64"/>
      <c r="F1311" s="64"/>
      <c r="G1311" s="16"/>
      <c r="H1311" s="16"/>
      <c r="I1311" s="16"/>
    </row>
    <row r="1312" spans="3:9" ht="13.5" customHeight="1" x14ac:dyDescent="0.25">
      <c r="C1312" s="35"/>
      <c r="D1312" s="35"/>
      <c r="E1312" s="65"/>
      <c r="F1312" s="69"/>
      <c r="G1312" s="35"/>
      <c r="H1312" s="35"/>
      <c r="I1312" s="35"/>
    </row>
    <row r="1313" spans="3:9" ht="13.5" customHeight="1" x14ac:dyDescent="0.25">
      <c r="C1313" s="16"/>
      <c r="D1313" s="16"/>
      <c r="E1313" s="64"/>
      <c r="F1313" s="64"/>
      <c r="G1313" s="16"/>
      <c r="H1313" s="16"/>
      <c r="I1313" s="16"/>
    </row>
    <row r="1314" spans="3:9" ht="13.5" customHeight="1" x14ac:dyDescent="0.25">
      <c r="C1314" s="35"/>
      <c r="D1314" s="35"/>
      <c r="E1314" s="65"/>
      <c r="F1314" s="69"/>
      <c r="G1314" s="35"/>
      <c r="H1314" s="35"/>
      <c r="I1314" s="35"/>
    </row>
    <row r="1315" spans="3:9" ht="13.5" customHeight="1" x14ac:dyDescent="0.25">
      <c r="C1315" s="16"/>
      <c r="D1315" s="16"/>
      <c r="E1315" s="64"/>
      <c r="F1315" s="64"/>
      <c r="G1315" s="16"/>
      <c r="H1315" s="16"/>
      <c r="I1315" s="16"/>
    </row>
    <row r="1316" spans="3:9" ht="13.5" customHeight="1" x14ac:dyDescent="0.25">
      <c r="C1316" s="35"/>
      <c r="D1316" s="35"/>
      <c r="E1316" s="65"/>
      <c r="F1316" s="69"/>
      <c r="G1316" s="35"/>
      <c r="H1316" s="35"/>
      <c r="I1316" s="35"/>
    </row>
    <row r="1317" spans="3:9" ht="13.5" customHeight="1" x14ac:dyDescent="0.25">
      <c r="C1317" s="16"/>
      <c r="D1317" s="16"/>
      <c r="E1317" s="64"/>
      <c r="F1317" s="64"/>
      <c r="G1317" s="16"/>
      <c r="H1317" s="16"/>
      <c r="I1317" s="16"/>
    </row>
    <row r="1318" spans="3:9" ht="13.5" customHeight="1" x14ac:dyDescent="0.25">
      <c r="C1318" s="35"/>
      <c r="D1318" s="35"/>
      <c r="E1318" s="65"/>
      <c r="F1318" s="69"/>
      <c r="G1318" s="35"/>
      <c r="H1318" s="35"/>
      <c r="I1318" s="35"/>
    </row>
    <row r="1319" spans="3:9" ht="13.5" customHeight="1" x14ac:dyDescent="0.25">
      <c r="C1319" s="16"/>
      <c r="D1319" s="16"/>
      <c r="E1319" s="64"/>
      <c r="F1319" s="64"/>
      <c r="G1319" s="16"/>
      <c r="H1319" s="16"/>
      <c r="I1319" s="16"/>
    </row>
    <row r="1320" spans="3:9" ht="13.5" customHeight="1" x14ac:dyDescent="0.25">
      <c r="C1320" s="35"/>
      <c r="D1320" s="35"/>
      <c r="E1320" s="65"/>
      <c r="F1320" s="69"/>
      <c r="G1320" s="35"/>
      <c r="H1320" s="35"/>
      <c r="I1320" s="35"/>
    </row>
    <row r="1321" spans="3:9" ht="13.5" customHeight="1" x14ac:dyDescent="0.25">
      <c r="C1321" s="16"/>
      <c r="D1321" s="16"/>
      <c r="E1321" s="64"/>
      <c r="F1321" s="64"/>
      <c r="G1321" s="16"/>
      <c r="H1321" s="16"/>
      <c r="I1321" s="16"/>
    </row>
    <row r="1322" spans="3:9" ht="13.5" customHeight="1" x14ac:dyDescent="0.25">
      <c r="C1322" s="35"/>
      <c r="D1322" s="35"/>
      <c r="E1322" s="65"/>
      <c r="F1322" s="69"/>
      <c r="G1322" s="35"/>
      <c r="H1322" s="35"/>
      <c r="I1322" s="35"/>
    </row>
    <row r="1323" spans="3:9" ht="13.5" customHeight="1" x14ac:dyDescent="0.25">
      <c r="C1323" s="16"/>
      <c r="D1323" s="16"/>
      <c r="E1323" s="64"/>
      <c r="F1323" s="64"/>
      <c r="G1323" s="16"/>
      <c r="H1323" s="16"/>
      <c r="I1323" s="16"/>
    </row>
    <row r="1324" spans="3:9" ht="13.5" customHeight="1" x14ac:dyDescent="0.25">
      <c r="C1324" s="35"/>
      <c r="D1324" s="35"/>
      <c r="E1324" s="65"/>
      <c r="F1324" s="69"/>
      <c r="G1324" s="35"/>
      <c r="H1324" s="35"/>
      <c r="I1324" s="35"/>
    </row>
    <row r="1325" spans="3:9" ht="13.5" customHeight="1" x14ac:dyDescent="0.25">
      <c r="C1325" s="16"/>
      <c r="D1325" s="16"/>
      <c r="E1325" s="64"/>
      <c r="F1325" s="64"/>
      <c r="G1325" s="16"/>
      <c r="H1325" s="16"/>
      <c r="I1325" s="16"/>
    </row>
    <row r="1326" spans="3:9" ht="13.5" customHeight="1" x14ac:dyDescent="0.25">
      <c r="C1326" s="35"/>
      <c r="D1326" s="35"/>
      <c r="E1326" s="65"/>
      <c r="F1326" s="69"/>
      <c r="G1326" s="35"/>
      <c r="H1326" s="35"/>
      <c r="I1326" s="35"/>
    </row>
    <row r="1327" spans="3:9" ht="13.5" customHeight="1" x14ac:dyDescent="0.25">
      <c r="C1327" s="16"/>
      <c r="D1327" s="16"/>
      <c r="E1327" s="64"/>
      <c r="F1327" s="64"/>
      <c r="G1327" s="16"/>
      <c r="H1327" s="16"/>
      <c r="I1327" s="16"/>
    </row>
    <row r="1328" spans="3:9" ht="13.5" customHeight="1" x14ac:dyDescent="0.25">
      <c r="C1328" s="35"/>
      <c r="D1328" s="35"/>
      <c r="E1328" s="65"/>
      <c r="F1328" s="69"/>
      <c r="G1328" s="35"/>
      <c r="H1328" s="35"/>
      <c r="I1328" s="35"/>
    </row>
    <row r="1329" spans="3:9" ht="13.5" customHeight="1" x14ac:dyDescent="0.25">
      <c r="C1329" s="16"/>
      <c r="D1329" s="16"/>
      <c r="E1329" s="64"/>
      <c r="F1329" s="64"/>
      <c r="G1329" s="16"/>
      <c r="H1329" s="16"/>
      <c r="I1329" s="16"/>
    </row>
    <row r="1330" spans="3:9" ht="13.5" customHeight="1" x14ac:dyDescent="0.25">
      <c r="C1330" s="35"/>
      <c r="D1330" s="35"/>
      <c r="E1330" s="65"/>
      <c r="F1330" s="69"/>
      <c r="G1330" s="35"/>
      <c r="H1330" s="35"/>
      <c r="I1330" s="35"/>
    </row>
    <row r="1331" spans="3:9" ht="13.5" customHeight="1" x14ac:dyDescent="0.25">
      <c r="C1331" s="16"/>
      <c r="D1331" s="16"/>
      <c r="E1331" s="64"/>
      <c r="F1331" s="64"/>
      <c r="G1331" s="16"/>
      <c r="H1331" s="16"/>
      <c r="I1331" s="16"/>
    </row>
    <row r="1332" spans="3:9" ht="13.5" customHeight="1" x14ac:dyDescent="0.25">
      <c r="C1332" s="35"/>
      <c r="D1332" s="35"/>
      <c r="E1332" s="65"/>
      <c r="F1332" s="69"/>
      <c r="G1332" s="35"/>
      <c r="H1332" s="35"/>
      <c r="I1332" s="35"/>
    </row>
    <row r="1333" spans="3:9" ht="13.5" customHeight="1" x14ac:dyDescent="0.25">
      <c r="C1333" s="16"/>
      <c r="D1333" s="16"/>
      <c r="E1333" s="64"/>
      <c r="F1333" s="64"/>
      <c r="G1333" s="16"/>
      <c r="H1333" s="16"/>
      <c r="I1333" s="16"/>
    </row>
    <row r="1334" spans="3:9" ht="13.5" customHeight="1" x14ac:dyDescent="0.25">
      <c r="C1334" s="35"/>
      <c r="D1334" s="35"/>
      <c r="E1334" s="65"/>
      <c r="F1334" s="69"/>
      <c r="G1334" s="35"/>
      <c r="H1334" s="35"/>
      <c r="I1334" s="35"/>
    </row>
    <row r="1335" spans="3:9" ht="13.5" customHeight="1" x14ac:dyDescent="0.25">
      <c r="C1335" s="16"/>
      <c r="D1335" s="16"/>
      <c r="E1335" s="64"/>
      <c r="F1335" s="64"/>
      <c r="G1335" s="16"/>
      <c r="H1335" s="16"/>
      <c r="I1335" s="16"/>
    </row>
    <row r="1336" spans="3:9" ht="13.5" customHeight="1" x14ac:dyDescent="0.25">
      <c r="C1336" s="35"/>
      <c r="D1336" s="35"/>
      <c r="E1336" s="65"/>
      <c r="F1336" s="69"/>
      <c r="G1336" s="35"/>
      <c r="H1336" s="35"/>
      <c r="I1336" s="35"/>
    </row>
    <row r="1337" spans="3:9" ht="13.5" customHeight="1" x14ac:dyDescent="0.25">
      <c r="C1337" s="16"/>
      <c r="D1337" s="16"/>
      <c r="E1337" s="64"/>
      <c r="F1337" s="64"/>
      <c r="G1337" s="16"/>
      <c r="H1337" s="16"/>
      <c r="I1337" s="16"/>
    </row>
    <row r="1338" spans="3:9" ht="13.5" customHeight="1" x14ac:dyDescent="0.25">
      <c r="C1338" s="35"/>
      <c r="D1338" s="35"/>
      <c r="E1338" s="65"/>
      <c r="F1338" s="69"/>
      <c r="G1338" s="35"/>
      <c r="H1338" s="35"/>
      <c r="I1338" s="35"/>
    </row>
    <row r="1339" spans="3:9" ht="13.5" customHeight="1" x14ac:dyDescent="0.25">
      <c r="C1339" s="16"/>
      <c r="D1339" s="16"/>
      <c r="E1339" s="64"/>
      <c r="F1339" s="64"/>
      <c r="G1339" s="16"/>
      <c r="H1339" s="16"/>
      <c r="I1339" s="16"/>
    </row>
    <row r="1340" spans="3:9" ht="13.5" customHeight="1" x14ac:dyDescent="0.25">
      <c r="C1340" s="35"/>
      <c r="D1340" s="35"/>
      <c r="E1340" s="65"/>
      <c r="F1340" s="69"/>
      <c r="G1340" s="35"/>
      <c r="H1340" s="35"/>
      <c r="I1340" s="35"/>
    </row>
    <row r="1341" spans="3:9" ht="13.5" customHeight="1" x14ac:dyDescent="0.25">
      <c r="C1341" s="16"/>
      <c r="D1341" s="16"/>
      <c r="E1341" s="64"/>
      <c r="F1341" s="64"/>
      <c r="G1341" s="16"/>
      <c r="H1341" s="16"/>
      <c r="I1341" s="16"/>
    </row>
    <row r="1342" spans="3:9" ht="13.5" customHeight="1" x14ac:dyDescent="0.25">
      <c r="C1342" s="35"/>
      <c r="D1342" s="35"/>
      <c r="E1342" s="65"/>
      <c r="F1342" s="69"/>
      <c r="G1342" s="35"/>
      <c r="H1342" s="35"/>
      <c r="I1342" s="35"/>
    </row>
    <row r="1343" spans="3:9" ht="13.5" customHeight="1" x14ac:dyDescent="0.25">
      <c r="C1343" s="16"/>
      <c r="D1343" s="16"/>
      <c r="E1343" s="64"/>
      <c r="F1343" s="64"/>
      <c r="G1343" s="16"/>
      <c r="H1343" s="16"/>
      <c r="I1343" s="16"/>
    </row>
    <row r="1344" spans="3:9" ht="13.5" customHeight="1" x14ac:dyDescent="0.25">
      <c r="C1344" s="35"/>
      <c r="D1344" s="35"/>
      <c r="E1344" s="65"/>
      <c r="F1344" s="69"/>
      <c r="G1344" s="35"/>
      <c r="H1344" s="35"/>
      <c r="I1344" s="35"/>
    </row>
    <row r="1345" spans="3:9" ht="13.5" customHeight="1" x14ac:dyDescent="0.25">
      <c r="C1345" s="16"/>
      <c r="D1345" s="16"/>
      <c r="E1345" s="64"/>
      <c r="F1345" s="64"/>
      <c r="G1345" s="16"/>
      <c r="H1345" s="16"/>
      <c r="I1345" s="16"/>
    </row>
    <row r="1346" spans="3:9" ht="13.5" customHeight="1" x14ac:dyDescent="0.25">
      <c r="C1346" s="35"/>
      <c r="D1346" s="35"/>
      <c r="E1346" s="65"/>
      <c r="F1346" s="69"/>
      <c r="G1346" s="35"/>
      <c r="H1346" s="35"/>
      <c r="I1346" s="35"/>
    </row>
    <row r="1347" spans="3:9" ht="13.5" customHeight="1" x14ac:dyDescent="0.25">
      <c r="C1347" s="16"/>
      <c r="D1347" s="16"/>
      <c r="E1347" s="64"/>
      <c r="F1347" s="64"/>
      <c r="G1347" s="16"/>
      <c r="H1347" s="16"/>
      <c r="I1347" s="16"/>
    </row>
    <row r="1348" spans="3:9" ht="13.5" customHeight="1" x14ac:dyDescent="0.25">
      <c r="C1348" s="35"/>
      <c r="D1348" s="35"/>
      <c r="E1348" s="65"/>
      <c r="F1348" s="69"/>
      <c r="G1348" s="35"/>
      <c r="H1348" s="35"/>
      <c r="I1348" s="35"/>
    </row>
    <row r="1349" spans="3:9" ht="13.5" customHeight="1" x14ac:dyDescent="0.25">
      <c r="C1349" s="16"/>
      <c r="D1349" s="16"/>
      <c r="E1349" s="64"/>
      <c r="F1349" s="64"/>
      <c r="G1349" s="16"/>
      <c r="H1349" s="16"/>
      <c r="I1349" s="16"/>
    </row>
    <row r="1350" spans="3:9" ht="13.5" customHeight="1" x14ac:dyDescent="0.25">
      <c r="C1350" s="35"/>
      <c r="D1350" s="35"/>
      <c r="E1350" s="65"/>
      <c r="F1350" s="69"/>
      <c r="G1350" s="35"/>
      <c r="H1350" s="35"/>
      <c r="I1350" s="35"/>
    </row>
    <row r="1351" spans="3:9" ht="13.5" customHeight="1" x14ac:dyDescent="0.25">
      <c r="C1351" s="16"/>
      <c r="D1351" s="16"/>
      <c r="E1351" s="64"/>
      <c r="F1351" s="64"/>
      <c r="G1351" s="16"/>
      <c r="H1351" s="16"/>
      <c r="I1351" s="16"/>
    </row>
    <row r="1352" spans="3:9" ht="13.5" customHeight="1" x14ac:dyDescent="0.25">
      <c r="C1352" s="35"/>
      <c r="D1352" s="35"/>
      <c r="E1352" s="65"/>
      <c r="F1352" s="69"/>
      <c r="G1352" s="35"/>
      <c r="H1352" s="35"/>
      <c r="I1352" s="35"/>
    </row>
    <row r="1353" spans="3:9" ht="13.5" customHeight="1" x14ac:dyDescent="0.25">
      <c r="C1353" s="16"/>
      <c r="D1353" s="16"/>
      <c r="E1353" s="64"/>
      <c r="F1353" s="64"/>
      <c r="G1353" s="16"/>
      <c r="H1353" s="16"/>
      <c r="I1353" s="16"/>
    </row>
    <row r="1354" spans="3:9" ht="13.5" customHeight="1" x14ac:dyDescent="0.25">
      <c r="C1354" s="35"/>
      <c r="D1354" s="35"/>
      <c r="E1354" s="65"/>
      <c r="F1354" s="69"/>
      <c r="G1354" s="35"/>
      <c r="H1354" s="35"/>
      <c r="I1354" s="35"/>
    </row>
    <row r="1355" spans="3:9" ht="13.5" customHeight="1" x14ac:dyDescent="0.25">
      <c r="C1355" s="16"/>
      <c r="D1355" s="16"/>
      <c r="E1355" s="64"/>
      <c r="F1355" s="64"/>
      <c r="G1355" s="16"/>
      <c r="H1355" s="16"/>
      <c r="I1355" s="16"/>
    </row>
    <row r="1356" spans="3:9" ht="13.5" customHeight="1" x14ac:dyDescent="0.25">
      <c r="C1356" s="35"/>
      <c r="D1356" s="35"/>
      <c r="E1356" s="65"/>
      <c r="F1356" s="69"/>
      <c r="G1356" s="35"/>
      <c r="H1356" s="35"/>
      <c r="I1356" s="35"/>
    </row>
    <row r="1357" spans="3:9" ht="13.5" customHeight="1" x14ac:dyDescent="0.25">
      <c r="C1357" s="16"/>
      <c r="D1357" s="16"/>
      <c r="E1357" s="64"/>
      <c r="F1357" s="64"/>
      <c r="G1357" s="16"/>
      <c r="H1357" s="16"/>
      <c r="I1357" s="16"/>
    </row>
    <row r="1358" spans="3:9" ht="13.5" customHeight="1" x14ac:dyDescent="0.25">
      <c r="C1358" s="35"/>
      <c r="D1358" s="35"/>
      <c r="E1358" s="65"/>
      <c r="F1358" s="69"/>
      <c r="G1358" s="35"/>
      <c r="H1358" s="35"/>
      <c r="I1358" s="35"/>
    </row>
    <row r="1359" spans="3:9" ht="13.5" customHeight="1" x14ac:dyDescent="0.25">
      <c r="C1359" s="16"/>
      <c r="D1359" s="16"/>
      <c r="E1359" s="64"/>
      <c r="F1359" s="64"/>
      <c r="G1359" s="16"/>
      <c r="H1359" s="16"/>
      <c r="I1359" s="16"/>
    </row>
    <row r="1360" spans="3:9" ht="13.5" customHeight="1" x14ac:dyDescent="0.25">
      <c r="C1360" s="35"/>
      <c r="D1360" s="35"/>
      <c r="E1360" s="65"/>
      <c r="F1360" s="69"/>
      <c r="G1360" s="35"/>
      <c r="H1360" s="35"/>
      <c r="I1360" s="35"/>
    </row>
    <row r="1361" spans="3:9" ht="13.5" customHeight="1" x14ac:dyDescent="0.25">
      <c r="C1361" s="16"/>
      <c r="D1361" s="16"/>
      <c r="E1361" s="64"/>
      <c r="F1361" s="64"/>
      <c r="G1361" s="16"/>
      <c r="H1361" s="16"/>
      <c r="I1361" s="16"/>
    </row>
    <row r="1362" spans="3:9" ht="13.5" customHeight="1" x14ac:dyDescent="0.25">
      <c r="C1362" s="35"/>
      <c r="D1362" s="35"/>
      <c r="E1362" s="65"/>
      <c r="F1362" s="69"/>
      <c r="G1362" s="35"/>
      <c r="H1362" s="35"/>
      <c r="I1362" s="35"/>
    </row>
    <row r="1363" spans="3:9" ht="13.5" customHeight="1" x14ac:dyDescent="0.25">
      <c r="C1363" s="16"/>
      <c r="D1363" s="16"/>
      <c r="E1363" s="64"/>
      <c r="F1363" s="64"/>
      <c r="G1363" s="16"/>
      <c r="H1363" s="16"/>
      <c r="I1363" s="16"/>
    </row>
    <row r="1364" spans="3:9" ht="13.5" customHeight="1" x14ac:dyDescent="0.25">
      <c r="C1364" s="35"/>
      <c r="D1364" s="35"/>
      <c r="E1364" s="65"/>
      <c r="F1364" s="69"/>
      <c r="G1364" s="35"/>
      <c r="H1364" s="35"/>
      <c r="I1364" s="35"/>
    </row>
    <row r="1365" spans="3:9" ht="13.5" customHeight="1" x14ac:dyDescent="0.25">
      <c r="C1365" s="16"/>
      <c r="D1365" s="16"/>
      <c r="E1365" s="64"/>
      <c r="F1365" s="64"/>
      <c r="G1365" s="16"/>
      <c r="H1365" s="16"/>
      <c r="I1365" s="16"/>
    </row>
    <row r="1366" spans="3:9" ht="13.5" customHeight="1" x14ac:dyDescent="0.25">
      <c r="C1366" s="35"/>
      <c r="D1366" s="35"/>
      <c r="E1366" s="65"/>
      <c r="F1366" s="69"/>
      <c r="G1366" s="35"/>
      <c r="H1366" s="35"/>
      <c r="I1366" s="35"/>
    </row>
    <row r="1367" spans="3:9" ht="13.5" customHeight="1" x14ac:dyDescent="0.25">
      <c r="C1367" s="16"/>
      <c r="D1367" s="16"/>
      <c r="E1367" s="64"/>
      <c r="F1367" s="64"/>
      <c r="G1367" s="16"/>
      <c r="H1367" s="16"/>
      <c r="I1367" s="16"/>
    </row>
    <row r="1368" spans="3:9" ht="13.5" customHeight="1" x14ac:dyDescent="0.25">
      <c r="C1368" s="35"/>
      <c r="D1368" s="35"/>
      <c r="E1368" s="65"/>
      <c r="F1368" s="69"/>
      <c r="G1368" s="35"/>
      <c r="H1368" s="35"/>
      <c r="I1368" s="35"/>
    </row>
    <row r="1369" spans="3:9" ht="13.5" customHeight="1" x14ac:dyDescent="0.25">
      <c r="C1369" s="16"/>
      <c r="D1369" s="16"/>
      <c r="E1369" s="64"/>
      <c r="F1369" s="64"/>
      <c r="G1369" s="16"/>
      <c r="H1369" s="16"/>
      <c r="I1369" s="16"/>
    </row>
    <row r="1370" spans="3:9" ht="13.5" customHeight="1" x14ac:dyDescent="0.25">
      <c r="C1370" s="35"/>
      <c r="D1370" s="35"/>
      <c r="E1370" s="65"/>
      <c r="F1370" s="69"/>
      <c r="G1370" s="35"/>
      <c r="H1370" s="35"/>
      <c r="I1370" s="35"/>
    </row>
    <row r="1371" spans="3:9" ht="13.5" customHeight="1" x14ac:dyDescent="0.25">
      <c r="C1371" s="16"/>
      <c r="D1371" s="16"/>
      <c r="E1371" s="64"/>
      <c r="F1371" s="64"/>
      <c r="G1371" s="16"/>
      <c r="H1371" s="16"/>
      <c r="I1371" s="16"/>
    </row>
    <row r="1372" spans="3:9" ht="13.5" customHeight="1" x14ac:dyDescent="0.25">
      <c r="C1372" s="35"/>
      <c r="D1372" s="35"/>
      <c r="E1372" s="65"/>
      <c r="F1372" s="69"/>
      <c r="G1372" s="35"/>
      <c r="H1372" s="35"/>
      <c r="I1372" s="35"/>
    </row>
    <row r="1373" spans="3:9" ht="13.5" customHeight="1" x14ac:dyDescent="0.25">
      <c r="C1373" s="16"/>
      <c r="D1373" s="16"/>
      <c r="E1373" s="64"/>
      <c r="F1373" s="64"/>
      <c r="G1373" s="16"/>
      <c r="H1373" s="16"/>
      <c r="I1373" s="16"/>
    </row>
    <row r="1374" spans="3:9" ht="13.5" customHeight="1" x14ac:dyDescent="0.25">
      <c r="C1374" s="35"/>
      <c r="D1374" s="35"/>
      <c r="E1374" s="65"/>
      <c r="F1374" s="69"/>
      <c r="G1374" s="35"/>
      <c r="H1374" s="35"/>
      <c r="I1374" s="35"/>
    </row>
    <row r="1375" spans="3:9" ht="13.5" customHeight="1" x14ac:dyDescent="0.25">
      <c r="C1375" s="16"/>
      <c r="D1375" s="16"/>
      <c r="E1375" s="64"/>
      <c r="F1375" s="64"/>
      <c r="G1375" s="16"/>
      <c r="H1375" s="16"/>
      <c r="I1375" s="16"/>
    </row>
    <row r="1376" spans="3:9" ht="13.5" customHeight="1" x14ac:dyDescent="0.25">
      <c r="C1376" s="35"/>
      <c r="D1376" s="35"/>
      <c r="E1376" s="65"/>
      <c r="F1376" s="69"/>
      <c r="G1376" s="35"/>
      <c r="H1376" s="35"/>
      <c r="I1376" s="35"/>
    </row>
    <row r="1377" spans="3:9" ht="13.5" customHeight="1" x14ac:dyDescent="0.25">
      <c r="C1377" s="16"/>
      <c r="D1377" s="16"/>
      <c r="E1377" s="64"/>
      <c r="F1377" s="64"/>
      <c r="G1377" s="16"/>
      <c r="H1377" s="16"/>
      <c r="I1377" s="16"/>
    </row>
    <row r="1378" spans="3:9" ht="13.5" customHeight="1" x14ac:dyDescent="0.25">
      <c r="C1378" s="35"/>
      <c r="D1378" s="35"/>
      <c r="E1378" s="65"/>
      <c r="F1378" s="69"/>
      <c r="G1378" s="35"/>
      <c r="H1378" s="35"/>
      <c r="I1378" s="35"/>
    </row>
    <row r="1379" spans="3:9" ht="13.5" customHeight="1" x14ac:dyDescent="0.25">
      <c r="C1379" s="16"/>
      <c r="D1379" s="16"/>
      <c r="E1379" s="64"/>
      <c r="F1379" s="64"/>
      <c r="G1379" s="16"/>
      <c r="H1379" s="16"/>
      <c r="I1379" s="16"/>
    </row>
    <row r="1380" spans="3:9" ht="13.5" customHeight="1" x14ac:dyDescent="0.25">
      <c r="C1380" s="35"/>
      <c r="D1380" s="35"/>
      <c r="E1380" s="65"/>
      <c r="F1380" s="69"/>
      <c r="G1380" s="35"/>
      <c r="H1380" s="35"/>
      <c r="I1380" s="35"/>
    </row>
    <row r="1381" spans="3:9" ht="13.5" customHeight="1" x14ac:dyDescent="0.25">
      <c r="C1381" s="16"/>
      <c r="D1381" s="16"/>
      <c r="E1381" s="64"/>
      <c r="F1381" s="64"/>
      <c r="G1381" s="16"/>
      <c r="H1381" s="16"/>
      <c r="I1381" s="16"/>
    </row>
    <row r="1382" spans="3:9" ht="13.5" customHeight="1" x14ac:dyDescent="0.25">
      <c r="C1382" s="35"/>
      <c r="D1382" s="35"/>
      <c r="E1382" s="65"/>
      <c r="F1382" s="69"/>
      <c r="G1382" s="35"/>
      <c r="H1382" s="35"/>
      <c r="I1382" s="35"/>
    </row>
    <row r="1383" spans="3:9" ht="13.5" customHeight="1" x14ac:dyDescent="0.25">
      <c r="C1383" s="16"/>
      <c r="D1383" s="16"/>
      <c r="E1383" s="64"/>
      <c r="F1383" s="64"/>
      <c r="G1383" s="16"/>
      <c r="H1383" s="16"/>
      <c r="I1383" s="16"/>
    </row>
    <row r="1384" spans="3:9" ht="13.5" customHeight="1" x14ac:dyDescent="0.25">
      <c r="C1384" s="35"/>
      <c r="D1384" s="35"/>
      <c r="E1384" s="65"/>
      <c r="F1384" s="69"/>
      <c r="G1384" s="35"/>
      <c r="H1384" s="35"/>
      <c r="I1384" s="35"/>
    </row>
    <row r="1385" spans="3:9" ht="13.5" customHeight="1" x14ac:dyDescent="0.25">
      <c r="C1385" s="16"/>
      <c r="D1385" s="16"/>
      <c r="E1385" s="64"/>
      <c r="F1385" s="64"/>
      <c r="G1385" s="16"/>
      <c r="H1385" s="16"/>
      <c r="I1385" s="16"/>
    </row>
    <row r="1386" spans="3:9" ht="13.5" customHeight="1" x14ac:dyDescent="0.25">
      <c r="C1386" s="35"/>
      <c r="D1386" s="35"/>
      <c r="E1386" s="65"/>
      <c r="F1386" s="69"/>
      <c r="G1386" s="35"/>
      <c r="H1386" s="35"/>
      <c r="I1386" s="35"/>
    </row>
    <row r="1387" spans="3:9" ht="13.5" customHeight="1" x14ac:dyDescent="0.25">
      <c r="C1387" s="16"/>
      <c r="D1387" s="16"/>
      <c r="E1387" s="64"/>
      <c r="F1387" s="64"/>
      <c r="G1387" s="16"/>
      <c r="H1387" s="16"/>
      <c r="I1387" s="16"/>
    </row>
    <row r="1388" spans="3:9" ht="13.5" customHeight="1" x14ac:dyDescent="0.25">
      <c r="C1388" s="35"/>
      <c r="D1388" s="35"/>
      <c r="E1388" s="65"/>
      <c r="F1388" s="69"/>
      <c r="G1388" s="35"/>
      <c r="H1388" s="35"/>
      <c r="I1388" s="35"/>
    </row>
    <row r="1389" spans="3:9" ht="13.5" customHeight="1" x14ac:dyDescent="0.25">
      <c r="C1389" s="16"/>
      <c r="D1389" s="16"/>
      <c r="E1389" s="64"/>
      <c r="F1389" s="64"/>
      <c r="G1389" s="16"/>
      <c r="H1389" s="16"/>
      <c r="I1389" s="16"/>
    </row>
    <row r="1390" spans="3:9" ht="13.5" customHeight="1" x14ac:dyDescent="0.25">
      <c r="C1390" s="35"/>
      <c r="D1390" s="35"/>
      <c r="E1390" s="65"/>
      <c r="F1390" s="69"/>
      <c r="G1390" s="35"/>
      <c r="H1390" s="35"/>
      <c r="I1390" s="35"/>
    </row>
    <row r="1391" spans="3:9" ht="13.5" customHeight="1" x14ac:dyDescent="0.25">
      <c r="C1391" s="16"/>
      <c r="D1391" s="16"/>
      <c r="E1391" s="64"/>
      <c r="F1391" s="64"/>
      <c r="G1391" s="16"/>
      <c r="H1391" s="16"/>
      <c r="I1391" s="16"/>
    </row>
    <row r="1392" spans="3:9" ht="13.5" customHeight="1" x14ac:dyDescent="0.25">
      <c r="C1392" s="35"/>
      <c r="D1392" s="35"/>
      <c r="E1392" s="65"/>
      <c r="F1392" s="69"/>
      <c r="G1392" s="35"/>
      <c r="H1392" s="35"/>
      <c r="I1392" s="35"/>
    </row>
    <row r="1393" spans="3:9" ht="13.5" customHeight="1" x14ac:dyDescent="0.25">
      <c r="C1393" s="16"/>
      <c r="D1393" s="16"/>
      <c r="E1393" s="64"/>
      <c r="F1393" s="64"/>
      <c r="G1393" s="16"/>
      <c r="H1393" s="16"/>
      <c r="I1393" s="16"/>
    </row>
    <row r="1394" spans="3:9" ht="13.5" customHeight="1" x14ac:dyDescent="0.25">
      <c r="C1394" s="35"/>
      <c r="D1394" s="35"/>
      <c r="E1394" s="65"/>
      <c r="F1394" s="69"/>
      <c r="G1394" s="35"/>
      <c r="H1394" s="35"/>
      <c r="I1394" s="35"/>
    </row>
    <row r="1395" spans="3:9" ht="13.5" customHeight="1" x14ac:dyDescent="0.25">
      <c r="C1395" s="16"/>
      <c r="D1395" s="16"/>
      <c r="E1395" s="64"/>
      <c r="F1395" s="64"/>
      <c r="G1395" s="16"/>
      <c r="H1395" s="16"/>
      <c r="I1395" s="16"/>
    </row>
    <row r="1396" spans="3:9" ht="13.5" customHeight="1" x14ac:dyDescent="0.25">
      <c r="C1396" s="35"/>
      <c r="D1396" s="35"/>
      <c r="E1396" s="65"/>
      <c r="F1396" s="69"/>
      <c r="G1396" s="35"/>
      <c r="H1396" s="35"/>
      <c r="I1396" s="35"/>
    </row>
    <row r="1397" spans="3:9" ht="13.5" customHeight="1" x14ac:dyDescent="0.25">
      <c r="C1397" s="16"/>
      <c r="D1397" s="16"/>
      <c r="E1397" s="64"/>
      <c r="F1397" s="64"/>
      <c r="G1397" s="16"/>
      <c r="H1397" s="16"/>
      <c r="I1397" s="16"/>
    </row>
    <row r="1398" spans="3:9" ht="13.5" customHeight="1" x14ac:dyDescent="0.25">
      <c r="C1398" s="35"/>
      <c r="D1398" s="35"/>
      <c r="E1398" s="65"/>
      <c r="F1398" s="69"/>
      <c r="G1398" s="35"/>
      <c r="H1398" s="35"/>
      <c r="I1398" s="35"/>
    </row>
    <row r="1399" spans="3:9" ht="13.5" customHeight="1" x14ac:dyDescent="0.25">
      <c r="C1399" s="16"/>
      <c r="D1399" s="16"/>
      <c r="E1399" s="64"/>
      <c r="F1399" s="64"/>
      <c r="G1399" s="16"/>
      <c r="H1399" s="16"/>
      <c r="I1399" s="16"/>
    </row>
    <row r="1400" spans="3:9" ht="13.5" customHeight="1" x14ac:dyDescent="0.25">
      <c r="C1400" s="35"/>
      <c r="D1400" s="35"/>
      <c r="E1400" s="65"/>
      <c r="F1400" s="69"/>
      <c r="G1400" s="35"/>
      <c r="H1400" s="35"/>
      <c r="I1400" s="35"/>
    </row>
    <row r="1401" spans="3:9" ht="13.5" customHeight="1" x14ac:dyDescent="0.25">
      <c r="C1401" s="16"/>
      <c r="D1401" s="16"/>
      <c r="E1401" s="64"/>
      <c r="F1401" s="64"/>
      <c r="G1401" s="16"/>
      <c r="H1401" s="16"/>
      <c r="I1401" s="16"/>
    </row>
    <row r="1402" spans="3:9" ht="13.5" customHeight="1" x14ac:dyDescent="0.25">
      <c r="C1402" s="35"/>
      <c r="D1402" s="35"/>
      <c r="E1402" s="65"/>
      <c r="F1402" s="69"/>
      <c r="G1402" s="35"/>
      <c r="H1402" s="35"/>
      <c r="I1402" s="35"/>
    </row>
    <row r="1403" spans="3:9" ht="13.5" customHeight="1" x14ac:dyDescent="0.25">
      <c r="C1403" s="16"/>
      <c r="D1403" s="16"/>
      <c r="E1403" s="64"/>
      <c r="F1403" s="64"/>
      <c r="G1403" s="16"/>
      <c r="H1403" s="16"/>
      <c r="I1403" s="16"/>
    </row>
    <row r="1404" spans="3:9" ht="13.5" customHeight="1" x14ac:dyDescent="0.25">
      <c r="C1404" s="35"/>
      <c r="D1404" s="35"/>
      <c r="E1404" s="65"/>
      <c r="F1404" s="69"/>
      <c r="G1404" s="35"/>
      <c r="H1404" s="35"/>
      <c r="I1404" s="35"/>
    </row>
    <row r="1405" spans="3:9" ht="13.5" customHeight="1" x14ac:dyDescent="0.25">
      <c r="C1405" s="16"/>
      <c r="D1405" s="16"/>
      <c r="E1405" s="64"/>
      <c r="F1405" s="64"/>
      <c r="G1405" s="16"/>
      <c r="H1405" s="16"/>
      <c r="I1405" s="16"/>
    </row>
    <row r="1406" spans="3:9" ht="13.5" customHeight="1" x14ac:dyDescent="0.25">
      <c r="C1406" s="35"/>
      <c r="D1406" s="35"/>
      <c r="E1406" s="65"/>
      <c r="F1406" s="69"/>
      <c r="G1406" s="35"/>
      <c r="H1406" s="35"/>
      <c r="I1406" s="35"/>
    </row>
    <row r="1407" spans="3:9" ht="13.5" customHeight="1" x14ac:dyDescent="0.25">
      <c r="C1407" s="16"/>
      <c r="D1407" s="16"/>
      <c r="E1407" s="64"/>
      <c r="F1407" s="64"/>
      <c r="G1407" s="16"/>
      <c r="H1407" s="16"/>
      <c r="I1407" s="16"/>
    </row>
    <row r="1408" spans="3:9" ht="13.5" customHeight="1" x14ac:dyDescent="0.25">
      <c r="C1408" s="35"/>
      <c r="D1408" s="35"/>
      <c r="E1408" s="65"/>
      <c r="F1408" s="69"/>
      <c r="G1408" s="35"/>
      <c r="H1408" s="35"/>
      <c r="I1408" s="35"/>
    </row>
    <row r="1409" spans="3:9" ht="13.5" customHeight="1" x14ac:dyDescent="0.25">
      <c r="C1409" s="16"/>
      <c r="D1409" s="16"/>
      <c r="E1409" s="64"/>
      <c r="F1409" s="64"/>
      <c r="G1409" s="16"/>
      <c r="H1409" s="16"/>
      <c r="I1409" s="16"/>
    </row>
    <row r="1410" spans="3:9" ht="13.5" customHeight="1" x14ac:dyDescent="0.25">
      <c r="C1410" s="35"/>
      <c r="D1410" s="35"/>
      <c r="E1410" s="65"/>
      <c r="F1410" s="69"/>
      <c r="G1410" s="35"/>
      <c r="H1410" s="35"/>
      <c r="I1410" s="35"/>
    </row>
    <row r="1411" spans="3:9" ht="13.5" customHeight="1" x14ac:dyDescent="0.25">
      <c r="C1411" s="16"/>
      <c r="D1411" s="16"/>
      <c r="E1411" s="64"/>
      <c r="F1411" s="64"/>
      <c r="G1411" s="16"/>
      <c r="H1411" s="16"/>
      <c r="I1411" s="16"/>
    </row>
    <row r="1412" spans="3:9" ht="13.5" customHeight="1" x14ac:dyDescent="0.25">
      <c r="C1412" s="35"/>
      <c r="D1412" s="35"/>
      <c r="E1412" s="65"/>
      <c r="F1412" s="69"/>
      <c r="G1412" s="35"/>
      <c r="H1412" s="35"/>
      <c r="I1412" s="35"/>
    </row>
    <row r="1413" spans="3:9" ht="13.5" customHeight="1" x14ac:dyDescent="0.25">
      <c r="C1413" s="16"/>
      <c r="D1413" s="16"/>
      <c r="E1413" s="64"/>
      <c r="F1413" s="64"/>
      <c r="G1413" s="16"/>
      <c r="H1413" s="16"/>
      <c r="I1413" s="16"/>
    </row>
    <row r="1414" spans="3:9" ht="13.5" customHeight="1" x14ac:dyDescent="0.25">
      <c r="C1414" s="35"/>
      <c r="D1414" s="35"/>
      <c r="E1414" s="65"/>
      <c r="F1414" s="69"/>
      <c r="G1414" s="35"/>
      <c r="H1414" s="35"/>
      <c r="I1414" s="35"/>
    </row>
    <row r="1415" spans="3:9" ht="13.5" customHeight="1" x14ac:dyDescent="0.25">
      <c r="C1415" s="16"/>
      <c r="D1415" s="16"/>
      <c r="E1415" s="64"/>
      <c r="F1415" s="64"/>
      <c r="G1415" s="16"/>
      <c r="H1415" s="16"/>
      <c r="I1415" s="16"/>
    </row>
    <row r="1416" spans="3:9" ht="13.5" customHeight="1" x14ac:dyDescent="0.25">
      <c r="C1416" s="35"/>
      <c r="D1416" s="35"/>
      <c r="E1416" s="65"/>
      <c r="F1416" s="69"/>
      <c r="G1416" s="35"/>
      <c r="H1416" s="35"/>
      <c r="I1416" s="35"/>
    </row>
    <row r="1417" spans="3:9" ht="13.5" customHeight="1" x14ac:dyDescent="0.25">
      <c r="C1417" s="16"/>
      <c r="D1417" s="16"/>
      <c r="E1417" s="64"/>
      <c r="F1417" s="64"/>
      <c r="G1417" s="16"/>
      <c r="H1417" s="16"/>
      <c r="I1417" s="16"/>
    </row>
    <row r="1418" spans="3:9" ht="13.5" customHeight="1" x14ac:dyDescent="0.25">
      <c r="C1418" s="35"/>
      <c r="D1418" s="35"/>
      <c r="E1418" s="65"/>
      <c r="F1418" s="69"/>
      <c r="G1418" s="35"/>
      <c r="H1418" s="35"/>
      <c r="I1418" s="35"/>
    </row>
    <row r="1419" spans="3:9" ht="13.5" customHeight="1" x14ac:dyDescent="0.25">
      <c r="C1419" s="16"/>
      <c r="D1419" s="16"/>
      <c r="E1419" s="64"/>
      <c r="F1419" s="64"/>
      <c r="G1419" s="16"/>
      <c r="H1419" s="16"/>
      <c r="I1419" s="16"/>
    </row>
    <row r="1420" spans="3:9" ht="13.5" customHeight="1" x14ac:dyDescent="0.25">
      <c r="C1420" s="35"/>
      <c r="D1420" s="35"/>
      <c r="E1420" s="65"/>
      <c r="F1420" s="69"/>
      <c r="G1420" s="35"/>
      <c r="H1420" s="35"/>
      <c r="I1420" s="35"/>
    </row>
    <row r="1421" spans="3:9" ht="13.5" customHeight="1" x14ac:dyDescent="0.25">
      <c r="C1421" s="16"/>
      <c r="D1421" s="16"/>
      <c r="E1421" s="64"/>
      <c r="F1421" s="64"/>
      <c r="G1421" s="16"/>
      <c r="H1421" s="16"/>
      <c r="I1421" s="16"/>
    </row>
    <row r="1422" spans="3:9" ht="13.5" customHeight="1" x14ac:dyDescent="0.25">
      <c r="C1422" s="35"/>
      <c r="D1422" s="35"/>
      <c r="E1422" s="65"/>
      <c r="F1422" s="69"/>
      <c r="G1422" s="35"/>
      <c r="H1422" s="35"/>
      <c r="I1422" s="35"/>
    </row>
    <row r="1423" spans="3:9" ht="13.5" customHeight="1" x14ac:dyDescent="0.25">
      <c r="C1423" s="16"/>
      <c r="D1423" s="16"/>
      <c r="E1423" s="64"/>
      <c r="F1423" s="64"/>
      <c r="G1423" s="16"/>
      <c r="H1423" s="16"/>
      <c r="I1423" s="16"/>
    </row>
    <row r="1424" spans="3:9" ht="13.5" customHeight="1" x14ac:dyDescent="0.25">
      <c r="C1424" s="35"/>
      <c r="D1424" s="35"/>
      <c r="E1424" s="65"/>
      <c r="F1424" s="69"/>
      <c r="G1424" s="35"/>
      <c r="H1424" s="35"/>
      <c r="I1424" s="35"/>
    </row>
    <row r="1425" spans="3:9" ht="13.5" customHeight="1" x14ac:dyDescent="0.25">
      <c r="C1425" s="16"/>
      <c r="D1425" s="16"/>
      <c r="E1425" s="64"/>
      <c r="F1425" s="64"/>
      <c r="G1425" s="16"/>
      <c r="H1425" s="16"/>
      <c r="I1425" s="16"/>
    </row>
    <row r="1426" spans="3:9" ht="13.5" customHeight="1" x14ac:dyDescent="0.25">
      <c r="C1426" s="35"/>
      <c r="D1426" s="35"/>
      <c r="E1426" s="65"/>
      <c r="F1426" s="69"/>
      <c r="G1426" s="35"/>
      <c r="H1426" s="35"/>
      <c r="I1426" s="35"/>
    </row>
    <row r="1427" spans="3:9" ht="13.5" customHeight="1" x14ac:dyDescent="0.25">
      <c r="C1427" s="16"/>
      <c r="D1427" s="16"/>
      <c r="E1427" s="64"/>
      <c r="F1427" s="64"/>
      <c r="G1427" s="16"/>
      <c r="H1427" s="16"/>
      <c r="I1427" s="16"/>
    </row>
    <row r="1428" spans="3:9" ht="13.5" customHeight="1" x14ac:dyDescent="0.25">
      <c r="C1428" s="35"/>
      <c r="D1428" s="35"/>
      <c r="E1428" s="65"/>
      <c r="F1428" s="69"/>
      <c r="G1428" s="35"/>
      <c r="H1428" s="35"/>
      <c r="I1428" s="35"/>
    </row>
    <row r="1429" spans="3:9" ht="13.5" customHeight="1" x14ac:dyDescent="0.25">
      <c r="C1429" s="16"/>
      <c r="D1429" s="16"/>
      <c r="E1429" s="64"/>
      <c r="F1429" s="64"/>
      <c r="G1429" s="16"/>
      <c r="H1429" s="16"/>
      <c r="I1429" s="16"/>
    </row>
    <row r="1430" spans="3:9" ht="13.5" customHeight="1" x14ac:dyDescent="0.25">
      <c r="C1430" s="35"/>
      <c r="D1430" s="35"/>
      <c r="E1430" s="65"/>
      <c r="F1430" s="69"/>
      <c r="G1430" s="35"/>
      <c r="H1430" s="35"/>
      <c r="I1430" s="35"/>
    </row>
    <row r="1431" spans="3:9" ht="13.5" customHeight="1" x14ac:dyDescent="0.25">
      <c r="C1431" s="16"/>
      <c r="D1431" s="16"/>
      <c r="E1431" s="64"/>
      <c r="F1431" s="64"/>
      <c r="G1431" s="16"/>
      <c r="H1431" s="16"/>
      <c r="I1431" s="16"/>
    </row>
    <row r="1432" spans="3:9" ht="13.5" customHeight="1" x14ac:dyDescent="0.25">
      <c r="C1432" s="35"/>
      <c r="D1432" s="35"/>
      <c r="E1432" s="65"/>
      <c r="F1432" s="69"/>
      <c r="G1432" s="35"/>
      <c r="H1432" s="35"/>
      <c r="I1432" s="35"/>
    </row>
    <row r="1433" spans="3:9" ht="13.5" customHeight="1" x14ac:dyDescent="0.25">
      <c r="C1433" s="16"/>
      <c r="D1433" s="16"/>
      <c r="E1433" s="64"/>
      <c r="F1433" s="64"/>
      <c r="G1433" s="16"/>
      <c r="H1433" s="16"/>
      <c r="I1433" s="16"/>
    </row>
    <row r="1434" spans="3:9" ht="13.5" customHeight="1" x14ac:dyDescent="0.25">
      <c r="C1434" s="35"/>
      <c r="D1434" s="35"/>
      <c r="E1434" s="65"/>
      <c r="F1434" s="69"/>
      <c r="G1434" s="35"/>
      <c r="H1434" s="35"/>
      <c r="I1434" s="35"/>
    </row>
    <row r="1435" spans="3:9" ht="13.5" customHeight="1" x14ac:dyDescent="0.25">
      <c r="C1435" s="16"/>
      <c r="D1435" s="16"/>
      <c r="E1435" s="64"/>
      <c r="F1435" s="64"/>
      <c r="G1435" s="16"/>
      <c r="H1435" s="16"/>
      <c r="I1435" s="16"/>
    </row>
    <row r="1436" spans="3:9" ht="13.5" customHeight="1" x14ac:dyDescent="0.25">
      <c r="C1436" s="35"/>
      <c r="D1436" s="35"/>
      <c r="E1436" s="65"/>
      <c r="F1436" s="69"/>
      <c r="G1436" s="35"/>
      <c r="H1436" s="35"/>
      <c r="I1436" s="35"/>
    </row>
    <row r="1437" spans="3:9" ht="13.5" customHeight="1" x14ac:dyDescent="0.25">
      <c r="C1437" s="16"/>
      <c r="D1437" s="16"/>
      <c r="E1437" s="64"/>
      <c r="F1437" s="64"/>
      <c r="G1437" s="16"/>
      <c r="H1437" s="16"/>
      <c r="I1437" s="16"/>
    </row>
    <row r="1438" spans="3:9" ht="13.5" customHeight="1" x14ac:dyDescent="0.25">
      <c r="C1438" s="35"/>
      <c r="D1438" s="35"/>
      <c r="E1438" s="65"/>
      <c r="F1438" s="69"/>
      <c r="G1438" s="35"/>
      <c r="H1438" s="35"/>
      <c r="I1438" s="35"/>
    </row>
    <row r="1439" spans="3:9" ht="13.5" customHeight="1" x14ac:dyDescent="0.25">
      <c r="C1439" s="16"/>
      <c r="D1439" s="16"/>
      <c r="E1439" s="64"/>
      <c r="F1439" s="64"/>
      <c r="G1439" s="16"/>
      <c r="H1439" s="16"/>
      <c r="I1439" s="16"/>
    </row>
    <row r="1440" spans="3:9" ht="13.5" customHeight="1" x14ac:dyDescent="0.25">
      <c r="C1440" s="35"/>
      <c r="D1440" s="35"/>
      <c r="E1440" s="65"/>
      <c r="F1440" s="69"/>
      <c r="G1440" s="35"/>
      <c r="H1440" s="35"/>
      <c r="I1440" s="35"/>
    </row>
    <row r="1441" spans="3:9" ht="13.5" customHeight="1" x14ac:dyDescent="0.25">
      <c r="C1441" s="16"/>
      <c r="D1441" s="16"/>
      <c r="E1441" s="64"/>
      <c r="F1441" s="64"/>
      <c r="G1441" s="16"/>
      <c r="H1441" s="16"/>
      <c r="I1441" s="16"/>
    </row>
    <row r="1442" spans="3:9" ht="13.5" customHeight="1" x14ac:dyDescent="0.25">
      <c r="C1442" s="35"/>
      <c r="D1442" s="35"/>
      <c r="E1442" s="65"/>
      <c r="F1442" s="69"/>
      <c r="G1442" s="35"/>
      <c r="H1442" s="35"/>
      <c r="I1442" s="35"/>
    </row>
    <row r="1443" spans="3:9" ht="13.5" customHeight="1" x14ac:dyDescent="0.25">
      <c r="C1443" s="16"/>
      <c r="D1443" s="16"/>
      <c r="E1443" s="64"/>
      <c r="F1443" s="64"/>
      <c r="G1443" s="16"/>
      <c r="H1443" s="16"/>
      <c r="I1443" s="16"/>
    </row>
    <row r="1444" spans="3:9" ht="13.5" customHeight="1" x14ac:dyDescent="0.25">
      <c r="C1444" s="35"/>
      <c r="D1444" s="35"/>
      <c r="E1444" s="65"/>
      <c r="F1444" s="69"/>
      <c r="G1444" s="35"/>
      <c r="H1444" s="35"/>
      <c r="I1444" s="35"/>
    </row>
    <row r="1445" spans="3:9" ht="13.5" customHeight="1" x14ac:dyDescent="0.25">
      <c r="C1445" s="16"/>
      <c r="D1445" s="16"/>
      <c r="E1445" s="64"/>
      <c r="F1445" s="64"/>
      <c r="G1445" s="16"/>
      <c r="H1445" s="16"/>
      <c r="I1445" s="16"/>
    </row>
    <row r="1446" spans="3:9" ht="13.5" customHeight="1" x14ac:dyDescent="0.25">
      <c r="C1446" s="35"/>
      <c r="D1446" s="35"/>
      <c r="E1446" s="65"/>
      <c r="F1446" s="69"/>
      <c r="G1446" s="35"/>
      <c r="H1446" s="35"/>
      <c r="I1446" s="35"/>
    </row>
    <row r="1447" spans="3:9" ht="13.5" customHeight="1" x14ac:dyDescent="0.25">
      <c r="C1447" s="16"/>
      <c r="D1447" s="16"/>
      <c r="E1447" s="64"/>
      <c r="F1447" s="64"/>
      <c r="G1447" s="16"/>
      <c r="H1447" s="16"/>
      <c r="I1447" s="16"/>
    </row>
    <row r="1448" spans="3:9" ht="13.5" customHeight="1" x14ac:dyDescent="0.25">
      <c r="C1448" s="35"/>
      <c r="D1448" s="35"/>
      <c r="E1448" s="65"/>
      <c r="F1448" s="69"/>
      <c r="G1448" s="35"/>
      <c r="H1448" s="35"/>
      <c r="I1448" s="35"/>
    </row>
    <row r="1449" spans="3:9" ht="13.5" customHeight="1" x14ac:dyDescent="0.25">
      <c r="C1449" s="16"/>
      <c r="D1449" s="16"/>
      <c r="E1449" s="64"/>
      <c r="F1449" s="64"/>
      <c r="G1449" s="16"/>
      <c r="H1449" s="16"/>
      <c r="I1449" s="16"/>
    </row>
    <row r="1450" spans="3:9" ht="13.5" customHeight="1" x14ac:dyDescent="0.25">
      <c r="C1450" s="35"/>
      <c r="D1450" s="35"/>
      <c r="E1450" s="65"/>
      <c r="F1450" s="69"/>
      <c r="G1450" s="35"/>
      <c r="H1450" s="35"/>
      <c r="I1450" s="35"/>
    </row>
    <row r="1451" spans="3:9" ht="13.5" customHeight="1" x14ac:dyDescent="0.25">
      <c r="C1451" s="16"/>
      <c r="D1451" s="16"/>
      <c r="E1451" s="64"/>
      <c r="F1451" s="64"/>
      <c r="G1451" s="16"/>
      <c r="H1451" s="16"/>
      <c r="I1451" s="16"/>
    </row>
    <row r="1452" spans="3:9" ht="13.5" customHeight="1" x14ac:dyDescent="0.25">
      <c r="C1452" s="35"/>
      <c r="D1452" s="35"/>
      <c r="E1452" s="65"/>
      <c r="F1452" s="69"/>
      <c r="G1452" s="35"/>
      <c r="H1452" s="35"/>
      <c r="I1452" s="35"/>
    </row>
    <row r="1453" spans="3:9" ht="13.5" customHeight="1" x14ac:dyDescent="0.25">
      <c r="C1453" s="16"/>
      <c r="D1453" s="16"/>
      <c r="E1453" s="64"/>
      <c r="F1453" s="64"/>
      <c r="G1453" s="16"/>
      <c r="H1453" s="16"/>
      <c r="I1453" s="16"/>
    </row>
    <row r="1454" spans="3:9" ht="13.5" customHeight="1" x14ac:dyDescent="0.25">
      <c r="C1454" s="35"/>
      <c r="D1454" s="35"/>
      <c r="E1454" s="65"/>
      <c r="F1454" s="69"/>
      <c r="G1454" s="35"/>
      <c r="H1454" s="35"/>
      <c r="I1454" s="35"/>
    </row>
    <row r="1455" spans="3:9" ht="13.5" customHeight="1" x14ac:dyDescent="0.25">
      <c r="C1455" s="16"/>
      <c r="D1455" s="16"/>
      <c r="E1455" s="64"/>
      <c r="F1455" s="64"/>
      <c r="G1455" s="16"/>
      <c r="H1455" s="16"/>
      <c r="I1455" s="16"/>
    </row>
    <row r="1456" spans="3:9" ht="13.5" customHeight="1" x14ac:dyDescent="0.25">
      <c r="C1456" s="35"/>
      <c r="D1456" s="35"/>
      <c r="E1456" s="65"/>
      <c r="F1456" s="69"/>
      <c r="G1456" s="35"/>
      <c r="H1456" s="35"/>
      <c r="I1456" s="35"/>
    </row>
    <row r="1457" spans="3:9" ht="13.5" customHeight="1" x14ac:dyDescent="0.25">
      <c r="C1457" s="16"/>
      <c r="D1457" s="16"/>
      <c r="E1457" s="64"/>
      <c r="F1457" s="64"/>
      <c r="G1457" s="16"/>
      <c r="H1457" s="16"/>
      <c r="I1457" s="16"/>
    </row>
    <row r="1458" spans="3:9" ht="13.5" customHeight="1" x14ac:dyDescent="0.25">
      <c r="C1458" s="35"/>
      <c r="D1458" s="35"/>
      <c r="E1458" s="65"/>
      <c r="F1458" s="69"/>
      <c r="G1458" s="35"/>
      <c r="H1458" s="35"/>
      <c r="I1458" s="35"/>
    </row>
    <row r="1459" spans="3:9" ht="13.5" customHeight="1" x14ac:dyDescent="0.25">
      <c r="C1459" s="16"/>
      <c r="D1459" s="16"/>
      <c r="E1459" s="64"/>
      <c r="F1459" s="64"/>
      <c r="G1459" s="16"/>
      <c r="H1459" s="16"/>
      <c r="I1459" s="16"/>
    </row>
    <row r="1460" spans="3:9" ht="13.5" customHeight="1" x14ac:dyDescent="0.25">
      <c r="C1460" s="35"/>
      <c r="D1460" s="35"/>
      <c r="E1460" s="65"/>
      <c r="F1460" s="69"/>
      <c r="G1460" s="35"/>
      <c r="H1460" s="35"/>
      <c r="I1460" s="35"/>
    </row>
    <row r="1461" spans="3:9" ht="13.5" customHeight="1" x14ac:dyDescent="0.25">
      <c r="C1461" s="16"/>
      <c r="D1461" s="16"/>
      <c r="E1461" s="64"/>
      <c r="F1461" s="64"/>
      <c r="G1461" s="16"/>
      <c r="H1461" s="16"/>
      <c r="I1461" s="16"/>
    </row>
    <row r="1462" spans="3:9" ht="13.5" customHeight="1" x14ac:dyDescent="0.25">
      <c r="C1462" s="35"/>
      <c r="D1462" s="35"/>
      <c r="E1462" s="65"/>
      <c r="F1462" s="69"/>
      <c r="G1462" s="35"/>
      <c r="H1462" s="35"/>
      <c r="I1462" s="35"/>
    </row>
    <row r="1463" spans="3:9" ht="13.5" customHeight="1" x14ac:dyDescent="0.25">
      <c r="C1463" s="16"/>
      <c r="D1463" s="16"/>
      <c r="E1463" s="64"/>
      <c r="F1463" s="64"/>
      <c r="G1463" s="16"/>
      <c r="H1463" s="16"/>
      <c r="I1463" s="16"/>
    </row>
    <row r="1464" spans="3:9" ht="13.5" customHeight="1" x14ac:dyDescent="0.25">
      <c r="C1464" s="35"/>
      <c r="D1464" s="35"/>
      <c r="E1464" s="65"/>
      <c r="F1464" s="69"/>
      <c r="G1464" s="35"/>
      <c r="H1464" s="35"/>
      <c r="I1464" s="35"/>
    </row>
    <row r="1465" spans="3:9" ht="13.5" customHeight="1" x14ac:dyDescent="0.25">
      <c r="C1465" s="16"/>
      <c r="D1465" s="16"/>
      <c r="E1465" s="64"/>
      <c r="F1465" s="64"/>
      <c r="G1465" s="16"/>
      <c r="H1465" s="16"/>
      <c r="I1465" s="16"/>
    </row>
    <row r="1466" spans="3:9" ht="13.5" customHeight="1" x14ac:dyDescent="0.25">
      <c r="C1466" s="35"/>
      <c r="D1466" s="35"/>
      <c r="E1466" s="65"/>
      <c r="F1466" s="69"/>
      <c r="G1466" s="35"/>
      <c r="H1466" s="35"/>
      <c r="I1466" s="35"/>
    </row>
    <row r="1467" spans="3:9" ht="13.5" customHeight="1" x14ac:dyDescent="0.25">
      <c r="C1467" s="16"/>
      <c r="D1467" s="16"/>
      <c r="E1467" s="64"/>
      <c r="F1467" s="64"/>
      <c r="G1467" s="16"/>
      <c r="H1467" s="16"/>
      <c r="I1467" s="16"/>
    </row>
    <row r="1468" spans="3:9" ht="13.5" customHeight="1" x14ac:dyDescent="0.25">
      <c r="C1468" s="35"/>
      <c r="D1468" s="35"/>
      <c r="E1468" s="65"/>
      <c r="F1468" s="69"/>
      <c r="G1468" s="35"/>
      <c r="H1468" s="35"/>
      <c r="I1468" s="35"/>
    </row>
    <row r="1469" spans="3:9" ht="13.5" customHeight="1" x14ac:dyDescent="0.25">
      <c r="C1469" s="16"/>
      <c r="D1469" s="16"/>
      <c r="E1469" s="64"/>
      <c r="F1469" s="64"/>
      <c r="G1469" s="16"/>
      <c r="H1469" s="16"/>
      <c r="I1469" s="16"/>
    </row>
    <row r="1470" spans="3:9" ht="13.5" customHeight="1" x14ac:dyDescent="0.25">
      <c r="C1470" s="35"/>
      <c r="D1470" s="35"/>
      <c r="E1470" s="65"/>
      <c r="F1470" s="69"/>
      <c r="G1470" s="35"/>
      <c r="H1470" s="35"/>
      <c r="I1470" s="35"/>
    </row>
    <row r="1471" spans="3:9" ht="13.5" customHeight="1" x14ac:dyDescent="0.25">
      <c r="C1471" s="16"/>
      <c r="D1471" s="16"/>
      <c r="E1471" s="64"/>
      <c r="F1471" s="64"/>
      <c r="G1471" s="16"/>
      <c r="H1471" s="16"/>
      <c r="I1471" s="16"/>
    </row>
    <row r="1472" spans="3:9" ht="13.5" customHeight="1" x14ac:dyDescent="0.25">
      <c r="C1472" s="35"/>
      <c r="D1472" s="35"/>
      <c r="E1472" s="65"/>
      <c r="F1472" s="69"/>
      <c r="G1472" s="35"/>
      <c r="H1472" s="35"/>
      <c r="I1472" s="35"/>
    </row>
    <row r="1473" spans="3:9" ht="13.5" customHeight="1" x14ac:dyDescent="0.25">
      <c r="C1473" s="16"/>
      <c r="D1473" s="16"/>
      <c r="E1473" s="64"/>
      <c r="F1473" s="64"/>
      <c r="G1473" s="16"/>
      <c r="H1473" s="16"/>
      <c r="I1473" s="16"/>
    </row>
    <row r="1474" spans="3:9" ht="13.5" customHeight="1" x14ac:dyDescent="0.25">
      <c r="C1474" s="35"/>
      <c r="D1474" s="35"/>
      <c r="E1474" s="65"/>
      <c r="F1474" s="69"/>
      <c r="G1474" s="35"/>
      <c r="H1474" s="35"/>
      <c r="I1474" s="35"/>
    </row>
    <row r="1475" spans="3:9" ht="13.5" customHeight="1" x14ac:dyDescent="0.25">
      <c r="C1475" s="16"/>
      <c r="D1475" s="16"/>
      <c r="E1475" s="64"/>
      <c r="F1475" s="64"/>
      <c r="G1475" s="16"/>
      <c r="H1475" s="16"/>
      <c r="I1475" s="16"/>
    </row>
    <row r="1476" spans="3:9" ht="13.5" customHeight="1" x14ac:dyDescent="0.25">
      <c r="C1476" s="35"/>
      <c r="D1476" s="35"/>
      <c r="E1476" s="65"/>
      <c r="F1476" s="69"/>
      <c r="G1476" s="35"/>
      <c r="H1476" s="35"/>
      <c r="I1476" s="35"/>
    </row>
    <row r="1477" spans="3:9" ht="13.5" customHeight="1" x14ac:dyDescent="0.25">
      <c r="C1477" s="16"/>
      <c r="D1477" s="16"/>
      <c r="E1477" s="64"/>
      <c r="F1477" s="64"/>
      <c r="G1477" s="16"/>
      <c r="H1477" s="16"/>
      <c r="I1477" s="16"/>
    </row>
    <row r="1478" spans="3:9" ht="13.5" customHeight="1" x14ac:dyDescent="0.25">
      <c r="C1478" s="35"/>
      <c r="D1478" s="35"/>
      <c r="E1478" s="65"/>
      <c r="F1478" s="69"/>
      <c r="G1478" s="35"/>
      <c r="H1478" s="35"/>
      <c r="I1478" s="35"/>
    </row>
    <row r="1479" spans="3:9" ht="13.5" customHeight="1" x14ac:dyDescent="0.25">
      <c r="C1479" s="16"/>
      <c r="D1479" s="16"/>
      <c r="E1479" s="64"/>
      <c r="F1479" s="64"/>
      <c r="G1479" s="16"/>
      <c r="H1479" s="16"/>
      <c r="I1479" s="16"/>
    </row>
    <row r="1480" spans="3:9" ht="13.5" customHeight="1" x14ac:dyDescent="0.25">
      <c r="C1480" s="35"/>
      <c r="D1480" s="35"/>
      <c r="E1480" s="65"/>
      <c r="F1480" s="69"/>
      <c r="G1480" s="35"/>
      <c r="H1480" s="35"/>
      <c r="I1480" s="35"/>
    </row>
    <row r="1481" spans="3:9" ht="13.5" customHeight="1" x14ac:dyDescent="0.25">
      <c r="C1481" s="16"/>
      <c r="D1481" s="16"/>
      <c r="E1481" s="64"/>
      <c r="F1481" s="64"/>
      <c r="G1481" s="16"/>
      <c r="H1481" s="16"/>
      <c r="I1481" s="16"/>
    </row>
    <row r="1482" spans="3:9" ht="13.5" customHeight="1" x14ac:dyDescent="0.25">
      <c r="C1482" s="35"/>
      <c r="D1482" s="35"/>
      <c r="E1482" s="65"/>
      <c r="F1482" s="69"/>
      <c r="G1482" s="35"/>
      <c r="H1482" s="35"/>
      <c r="I1482" s="35"/>
    </row>
    <row r="1483" spans="3:9" ht="13.5" customHeight="1" x14ac:dyDescent="0.25">
      <c r="C1483" s="16"/>
      <c r="D1483" s="16"/>
      <c r="E1483" s="64"/>
      <c r="F1483" s="64"/>
      <c r="G1483" s="16"/>
      <c r="H1483" s="16"/>
      <c r="I1483" s="16"/>
    </row>
    <row r="1484" spans="3:9" ht="13.5" customHeight="1" x14ac:dyDescent="0.25">
      <c r="C1484" s="35"/>
      <c r="D1484" s="35"/>
      <c r="E1484" s="65"/>
      <c r="F1484" s="69"/>
      <c r="G1484" s="35"/>
      <c r="H1484" s="35"/>
      <c r="I1484" s="35"/>
    </row>
    <row r="1485" spans="3:9" ht="13.5" customHeight="1" x14ac:dyDescent="0.25">
      <c r="C1485" s="16"/>
      <c r="D1485" s="16"/>
      <c r="E1485" s="64"/>
      <c r="F1485" s="64"/>
      <c r="G1485" s="16"/>
      <c r="H1485" s="16"/>
      <c r="I1485" s="16"/>
    </row>
    <row r="1486" spans="3:9" ht="13.5" customHeight="1" x14ac:dyDescent="0.25">
      <c r="C1486" s="35"/>
      <c r="D1486" s="35"/>
      <c r="E1486" s="65"/>
      <c r="F1486" s="69"/>
      <c r="G1486" s="35"/>
      <c r="H1486" s="35"/>
      <c r="I1486" s="35"/>
    </row>
    <row r="1487" spans="3:9" ht="13.5" customHeight="1" x14ac:dyDescent="0.25">
      <c r="C1487" s="16"/>
      <c r="D1487" s="16"/>
      <c r="E1487" s="64"/>
      <c r="F1487" s="64"/>
      <c r="G1487" s="16"/>
      <c r="H1487" s="16"/>
      <c r="I1487" s="16"/>
    </row>
    <row r="1488" spans="3:9" ht="13.5" customHeight="1" x14ac:dyDescent="0.25">
      <c r="C1488" s="35"/>
      <c r="D1488" s="35"/>
      <c r="E1488" s="65"/>
      <c r="F1488" s="69"/>
      <c r="G1488" s="35"/>
      <c r="H1488" s="35"/>
      <c r="I1488" s="35"/>
    </row>
    <row r="1489" spans="3:9" ht="13.5" customHeight="1" x14ac:dyDescent="0.25">
      <c r="C1489" s="16"/>
      <c r="D1489" s="16"/>
      <c r="E1489" s="64"/>
      <c r="F1489" s="64"/>
      <c r="G1489" s="16"/>
      <c r="H1489" s="16"/>
      <c r="I1489" s="16"/>
    </row>
    <row r="1490" spans="3:9" ht="13.5" customHeight="1" x14ac:dyDescent="0.25">
      <c r="C1490" s="35"/>
      <c r="D1490" s="35"/>
      <c r="E1490" s="65"/>
      <c r="F1490" s="69"/>
      <c r="G1490" s="35"/>
      <c r="H1490" s="35"/>
      <c r="I1490" s="35"/>
    </row>
    <row r="1491" spans="3:9" ht="13.5" customHeight="1" x14ac:dyDescent="0.25">
      <c r="C1491" s="16"/>
      <c r="D1491" s="16"/>
      <c r="E1491" s="64"/>
      <c r="F1491" s="64"/>
      <c r="G1491" s="16"/>
      <c r="H1491" s="16"/>
      <c r="I1491" s="16"/>
    </row>
    <row r="1492" spans="3:9" ht="13.5" customHeight="1" x14ac:dyDescent="0.25">
      <c r="C1492" s="35"/>
      <c r="D1492" s="35"/>
      <c r="E1492" s="65"/>
      <c r="F1492" s="69"/>
      <c r="G1492" s="35"/>
      <c r="H1492" s="35"/>
      <c r="I1492" s="35"/>
    </row>
    <row r="1493" spans="3:9" ht="13.5" customHeight="1" x14ac:dyDescent="0.25">
      <c r="C1493" s="16"/>
      <c r="D1493" s="16"/>
      <c r="E1493" s="64"/>
      <c r="F1493" s="64"/>
      <c r="G1493" s="16"/>
      <c r="H1493" s="16"/>
      <c r="I1493" s="16"/>
    </row>
    <row r="1494" spans="3:9" ht="13.5" customHeight="1" x14ac:dyDescent="0.25">
      <c r="C1494" s="35"/>
      <c r="D1494" s="35"/>
      <c r="E1494" s="65"/>
      <c r="F1494" s="69"/>
      <c r="G1494" s="35"/>
      <c r="H1494" s="35"/>
      <c r="I1494" s="35"/>
    </row>
    <row r="1495" spans="3:9" ht="13.5" customHeight="1" x14ac:dyDescent="0.25">
      <c r="C1495" s="16"/>
      <c r="D1495" s="16"/>
      <c r="E1495" s="64"/>
      <c r="F1495" s="64"/>
      <c r="G1495" s="16"/>
      <c r="H1495" s="16"/>
      <c r="I1495" s="16"/>
    </row>
    <row r="1496" spans="3:9" ht="13.5" customHeight="1" x14ac:dyDescent="0.25">
      <c r="C1496" s="35"/>
      <c r="D1496" s="35"/>
      <c r="E1496" s="65"/>
      <c r="F1496" s="69"/>
      <c r="G1496" s="35"/>
      <c r="H1496" s="35"/>
      <c r="I1496" s="35"/>
    </row>
    <row r="1497" spans="3:9" ht="13.5" customHeight="1" x14ac:dyDescent="0.25">
      <c r="C1497" s="16"/>
      <c r="D1497" s="16"/>
      <c r="E1497" s="64"/>
      <c r="F1497" s="64"/>
      <c r="G1497" s="16"/>
      <c r="H1497" s="16"/>
      <c r="I1497" s="16"/>
    </row>
    <row r="1498" spans="3:9" ht="13.5" customHeight="1" x14ac:dyDescent="0.25">
      <c r="C1498" s="35"/>
      <c r="D1498" s="35"/>
      <c r="E1498" s="65"/>
      <c r="F1498" s="69"/>
      <c r="G1498" s="35"/>
      <c r="H1498" s="35"/>
      <c r="I1498" s="35"/>
    </row>
    <row r="1499" spans="3:9" ht="13.5" customHeight="1" x14ac:dyDescent="0.25">
      <c r="C1499" s="16"/>
      <c r="D1499" s="16"/>
      <c r="E1499" s="64"/>
      <c r="F1499" s="64"/>
      <c r="G1499" s="16"/>
      <c r="H1499" s="16"/>
      <c r="I1499" s="16"/>
    </row>
    <row r="1500" spans="3:9" ht="13.5" customHeight="1" x14ac:dyDescent="0.25">
      <c r="C1500" s="35"/>
      <c r="D1500" s="35"/>
      <c r="E1500" s="65"/>
      <c r="F1500" s="69"/>
      <c r="G1500" s="35"/>
      <c r="H1500" s="35"/>
      <c r="I1500" s="35"/>
    </row>
  </sheetData>
  <autoFilter ref="C14:I730" xr:uid="{F4034A84-C7EC-45FC-8994-B0C7F04DA996}"/>
  <mergeCells count="11">
    <mergeCell ref="D9:E9"/>
    <mergeCell ref="H9:I9"/>
    <mergeCell ref="D10:E10"/>
    <mergeCell ref="H10:I10"/>
    <mergeCell ref="C13:I13"/>
    <mergeCell ref="D6:E6"/>
    <mergeCell ref="H6:I6"/>
    <mergeCell ref="D7:E7"/>
    <mergeCell ref="H7:I7"/>
    <mergeCell ref="D8:E8"/>
    <mergeCell ref="H8:I8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891BE-6DFA-48FE-8A4D-B2FB1DB5DB7B}">
  <sheetPr codeName="Sheet34">
    <tabColor theme="1" tint="4.9989318521683403E-2"/>
  </sheetPr>
  <dimension ref="A1:Q1500"/>
  <sheetViews>
    <sheetView topLeftCell="A4" zoomScale="115" zoomScaleNormal="115" workbookViewId="0">
      <selection activeCell="I16" sqref="I16"/>
    </sheetView>
  </sheetViews>
  <sheetFormatPr defaultColWidth="0" defaultRowHeight="13.5" customHeight="1" x14ac:dyDescent="0.25"/>
  <cols>
    <col min="1" max="1" width="2.7109375" style="1" customWidth="1"/>
    <col min="2" max="2" width="1.7109375" style="1" customWidth="1"/>
    <col min="3" max="3" width="11.85546875" style="1" customWidth="1"/>
    <col min="4" max="4" width="6.85546875" style="1" bestFit="1" customWidth="1"/>
    <col min="5" max="5" width="40.28515625" style="66" customWidth="1"/>
    <col min="6" max="6" width="36.7109375" style="66" customWidth="1"/>
    <col min="7" max="7" width="24.28515625" style="1" customWidth="1"/>
    <col min="8" max="8" width="16.7109375" style="1" customWidth="1"/>
    <col min="9" max="9" width="11.85546875" style="1" customWidth="1"/>
    <col min="10" max="11" width="1.7109375" style="1" customWidth="1"/>
    <col min="12" max="12" width="2.7109375" style="1" hidden="1" customWidth="1"/>
    <col min="13" max="13" width="15.140625" style="1" hidden="1" customWidth="1"/>
    <col min="14" max="14" width="1.7109375" style="1" hidden="1" customWidth="1"/>
    <col min="15" max="15" width="2.7109375" style="1" hidden="1" customWidth="1"/>
    <col min="16" max="17" width="0" style="1" hidden="1" customWidth="1"/>
    <col min="18" max="16384" width="9.140625" style="1" hidden="1"/>
  </cols>
  <sheetData>
    <row r="1" spans="1:13" x14ac:dyDescent="0.25">
      <c r="A1" s="43"/>
      <c r="B1" s="43"/>
      <c r="C1" s="43"/>
      <c r="D1" s="43"/>
      <c r="E1" s="60"/>
      <c r="F1" s="60"/>
      <c r="G1" s="43"/>
      <c r="H1" s="43"/>
      <c r="I1" s="43"/>
      <c r="J1" s="43"/>
      <c r="K1" s="43"/>
      <c r="L1" s="43"/>
      <c r="M1" s="43"/>
    </row>
    <row r="2" spans="1:13" x14ac:dyDescent="0.25">
      <c r="A2" s="43"/>
      <c r="B2" s="43"/>
      <c r="C2" s="43"/>
      <c r="D2" s="43"/>
      <c r="E2" s="60"/>
      <c r="F2" s="60"/>
      <c r="G2" s="43"/>
      <c r="H2" s="43"/>
      <c r="I2" s="43"/>
      <c r="J2" s="43"/>
      <c r="K2" s="43"/>
      <c r="L2" s="43"/>
      <c r="M2" s="43"/>
    </row>
    <row r="3" spans="1:13" x14ac:dyDescent="0.25">
      <c r="A3" s="43"/>
      <c r="B3" s="43"/>
      <c r="C3" s="43"/>
      <c r="D3" s="43"/>
      <c r="E3" s="60"/>
      <c r="F3" s="60"/>
      <c r="G3" s="43"/>
      <c r="H3" s="43"/>
      <c r="I3" s="43"/>
      <c r="J3" s="43"/>
      <c r="K3" s="43"/>
      <c r="L3" s="43"/>
      <c r="M3" s="43"/>
    </row>
    <row r="4" spans="1:13" x14ac:dyDescent="0.25">
      <c r="A4" s="43"/>
      <c r="B4" s="43"/>
      <c r="C4" s="43"/>
      <c r="D4" s="43"/>
      <c r="E4" s="60"/>
      <c r="F4" s="60"/>
      <c r="G4" s="43"/>
      <c r="H4" s="43"/>
      <c r="I4" s="43"/>
      <c r="J4" s="43"/>
      <c r="K4" s="43"/>
      <c r="L4" s="43"/>
      <c r="M4" s="43"/>
    </row>
    <row r="5" spans="1:13" ht="9.9499999999999993" customHeight="1" x14ac:dyDescent="0.25">
      <c r="A5" s="43"/>
      <c r="B5" s="9"/>
      <c r="C5" s="10"/>
      <c r="D5" s="10"/>
      <c r="E5" s="61"/>
      <c r="F5" s="61"/>
      <c r="G5" s="45"/>
      <c r="H5" s="10"/>
      <c r="I5" s="10"/>
      <c r="J5" s="11"/>
      <c r="K5" s="43"/>
    </row>
    <row r="6" spans="1:13" ht="14.25" x14ac:dyDescent="0.3">
      <c r="A6" s="43"/>
      <c r="B6" s="4"/>
      <c r="C6" s="44" t="s">
        <v>0</v>
      </c>
      <c r="D6" s="93">
        <f>IF('Project Details'!D6=0,"", 'Project Details'!D6)</f>
        <v>45217</v>
      </c>
      <c r="E6" s="93"/>
      <c r="F6" s="67"/>
      <c r="G6" s="44" t="s">
        <v>90</v>
      </c>
      <c r="H6" s="95">
        <f>IF('Project Details'!J6=0,"", 'Project Details'!J6)</f>
        <v>1</v>
      </c>
      <c r="I6" s="95"/>
      <c r="J6" s="5"/>
      <c r="K6" s="43"/>
    </row>
    <row r="7" spans="1:13" ht="14.25" x14ac:dyDescent="0.3">
      <c r="A7" s="43"/>
      <c r="B7" s="4"/>
      <c r="C7" s="44" t="s">
        <v>1</v>
      </c>
      <c r="D7" s="95" t="str">
        <f>IF('Project Details'!D7=0,"", 'Project Details'!D7)</f>
        <v>William Andrew Bulaquena</v>
      </c>
      <c r="E7" s="95"/>
      <c r="F7" s="67"/>
      <c r="G7" s="44" t="s">
        <v>91</v>
      </c>
      <c r="H7" s="95">
        <f>IF('Project Details'!J7=0,"", 'Project Details'!J7)</f>
        <v>1</v>
      </c>
      <c r="I7" s="95"/>
      <c r="J7" s="5"/>
      <c r="K7" s="43"/>
    </row>
    <row r="8" spans="1:13" ht="14.25" x14ac:dyDescent="0.3">
      <c r="A8" s="43"/>
      <c r="B8" s="4"/>
      <c r="C8" s="44" t="s">
        <v>730</v>
      </c>
      <c r="D8" s="95" t="str">
        <f>IF('Project Details'!D8=0,"", 'Project Details'!D8)</f>
        <v>Banilad</v>
      </c>
      <c r="E8" s="95"/>
      <c r="F8" s="67"/>
      <c r="G8" s="44" t="s">
        <v>92</v>
      </c>
      <c r="H8" s="95">
        <f>IF('Project Details'!J8=0,"", 'Project Details'!J8)</f>
        <v>12345</v>
      </c>
      <c r="I8" s="95"/>
      <c r="J8" s="5"/>
      <c r="K8" s="43"/>
    </row>
    <row r="9" spans="1:13" ht="14.25" x14ac:dyDescent="0.3">
      <c r="A9" s="43"/>
      <c r="B9" s="4"/>
      <c r="C9" s="44" t="s">
        <v>62</v>
      </c>
      <c r="D9" s="95">
        <f>IF('Project Details'!D9=0,"", 'Project Details'!D9)</f>
        <v>9123456789</v>
      </c>
      <c r="E9" s="95"/>
      <c r="F9" s="67"/>
      <c r="G9" s="44" t="s">
        <v>93</v>
      </c>
      <c r="H9" s="95" t="str">
        <f>IF('Project Details'!J9=0,"", 'Project Details'!J9)</f>
        <v>Kunstof</v>
      </c>
      <c r="I9" s="95"/>
      <c r="J9" s="5"/>
      <c r="K9" s="43"/>
    </row>
    <row r="10" spans="1:13" ht="14.25" x14ac:dyDescent="0.3">
      <c r="A10" s="43"/>
      <c r="B10" s="4"/>
      <c r="C10" s="44" t="s">
        <v>63</v>
      </c>
      <c r="D10" s="95" t="str">
        <f>IF('Project Details'!D10=0,"", 'Project Details'!D10)</f>
        <v>williamgbulaquena@gmail.com</v>
      </c>
      <c r="E10" s="95"/>
      <c r="F10" s="67"/>
      <c r="G10" s="44" t="s">
        <v>94</v>
      </c>
      <c r="H10" s="95" t="str">
        <f>IF('Project Details'!J10=0,"", 'Project Details'!J10)</f>
        <v>Kunstof</v>
      </c>
      <c r="I10" s="95"/>
      <c r="J10" s="5"/>
      <c r="K10" s="43"/>
    </row>
    <row r="11" spans="1:13" ht="9.9499999999999993" customHeight="1" x14ac:dyDescent="0.25">
      <c r="A11" s="43"/>
      <c r="B11" s="6"/>
      <c r="C11" s="7"/>
      <c r="D11" s="7"/>
      <c r="E11" s="62"/>
      <c r="F11" s="62"/>
      <c r="G11" s="7"/>
      <c r="H11" s="14"/>
      <c r="I11" s="7"/>
      <c r="J11" s="8"/>
      <c r="K11" s="43"/>
    </row>
    <row r="12" spans="1:13" x14ac:dyDescent="0.25">
      <c r="A12" s="43"/>
      <c r="B12" s="43"/>
      <c r="C12" s="43"/>
      <c r="D12" s="43"/>
      <c r="E12" s="60"/>
      <c r="F12" s="60"/>
      <c r="G12" s="43"/>
      <c r="H12" s="43"/>
      <c r="I12" s="43"/>
      <c r="J12" s="43"/>
      <c r="K12" s="43"/>
    </row>
    <row r="13" spans="1:13" x14ac:dyDescent="0.25">
      <c r="A13" s="43"/>
      <c r="B13" s="43"/>
      <c r="C13" s="109" t="s">
        <v>194</v>
      </c>
      <c r="D13" s="110"/>
      <c r="E13" s="110"/>
      <c r="F13" s="110"/>
      <c r="G13" s="110"/>
      <c r="H13" s="110"/>
      <c r="I13" s="111"/>
      <c r="J13" s="43"/>
      <c r="K13" s="43"/>
    </row>
    <row r="14" spans="1:13" s="83" customFormat="1" x14ac:dyDescent="0.25">
      <c r="A14" s="82"/>
      <c r="B14" s="82"/>
      <c r="C14" s="37" t="s">
        <v>3</v>
      </c>
      <c r="D14" s="37" t="s">
        <v>134</v>
      </c>
      <c r="E14" s="37" t="s">
        <v>96</v>
      </c>
      <c r="F14" s="38" t="s">
        <v>95</v>
      </c>
      <c r="G14" s="37" t="s">
        <v>5</v>
      </c>
      <c r="H14" s="37" t="s">
        <v>135</v>
      </c>
      <c r="I14" s="37" t="s">
        <v>136</v>
      </c>
      <c r="J14" s="82"/>
      <c r="K14" s="82"/>
    </row>
    <row r="15" spans="1:13" x14ac:dyDescent="0.25">
      <c r="A15" s="43"/>
      <c r="B15" s="43"/>
      <c r="C15" s="16" t="str" cm="1">
        <f t="array" ref="C15">IFERROR(_xlfn._xlws.FILTER(cl_unmerged!C16:C2307, (cl_unmerged!$D$16:$D$2307&lt;&gt;"") * (ISNUMBER(SEARCH("steel", cl_unmerged!$F$16:$F$2307)))), "")</f>
        <v/>
      </c>
      <c r="D15" s="16" t="str" cm="1">
        <f t="array" ref="D15">IFERROR(_xlfn._xlws.FILTER(cl_unmerged!D16:D2307, (cl_unmerged!$H$16:$H$2307&lt;&gt;"") * (ISNUMBER(SEARCH("steel", cl_unmerged!$F$16:$F$2307)))), "")</f>
        <v/>
      </c>
      <c r="E15" s="64" t="str" cm="1">
        <f t="array" ref="E15">IFERROR(_xlfn._xlws.FILTER(cl_unmerged!E16:E2307, (cl_unmerged!$D$16:$D$2307&lt;&gt;"") * (ISNUMBER(SEARCH("steel", cl_unmerged!$F$16:$F$2307)))), "")</f>
        <v/>
      </c>
      <c r="F15" s="64" t="str" cm="1">
        <f t="array" ref="F15">IFERROR(IF(_xlfn._xlws.FILTER(cl_unmerged!F16:F2307, (cl_unmerged!$D$16:$D$2307&lt;&gt;"") * (ISNUMBER(SEARCH("steel", cl_unmerged!$F$16:$F$2307))))=0,"",_xlfn._xlws.FILTER(cl_unmerged!F16:F2307, (cl_unmerged!$D$16:$D$2307&lt;&gt;"") * (ISNUMBER(SEARCH("steel", cl_unmerged!$F$16:$F$2307))))), "")</f>
        <v/>
      </c>
      <c r="G15" s="16" t="str" cm="1">
        <f t="array" ref="G15">IFERROR(IF(_xlfn._xlws.FILTER(cl_unmerged!G16:G2307, (cl_unmerged!$H$16:$H$2307&lt;&gt;"") * (ISNUMBER(SEARCH("steel", cl_unmerged!$F$16:$F$2307))))=0,"",_xlfn._xlws.FILTER(cl_unmerged!G16:G2307, (cl_unmerged!$H$16:$H$2307&lt;&gt;"") * (ISNUMBER(SEARCH("steel", cl_unmerged!$F$16:$F$2307))))), "")</f>
        <v/>
      </c>
      <c r="H15" s="16" t="str" cm="1">
        <f t="array" ref="H15">IFERROR(IF(_xlfn._xlws.FILTER(cl_unmerged!H16:H2307, (cl_unmerged!$D$16:$D$2307&lt;&gt;"") * (ISNUMBER(SEARCH("steel", cl_unmerged!$F$16:$F$2307))))=0,"",_xlfn._xlws.FILTER(cl_unmerged!H16:H2307, (cl_unmerged!$D$16:$D$2307&lt;&gt;"") * (ISNUMBER(SEARCH("steel", cl_unmerged!$F$16:$F$2307))))), "")</f>
        <v/>
      </c>
      <c r="I15" s="16" t="str" cm="1">
        <f t="array" ref="I15">IFERROR(IF(_xlfn._xlws.FILTER(cl_unmerged!I16:I2307, (cl_unmerged!$D$16:$D$2307&lt;&gt;"") * (ISNUMBER(SEARCH("steel", cl_unmerged!$F$16:$F$2307))))=0,"",_xlfn._xlws.FILTER(cl_unmerged!I16:I2307, (cl_unmerged!$D$16:$D$2307&lt;&gt;"") * (ISNUMBER(SEARCH("steel", cl_unmerged!$F$16:$F$2307))))), "")</f>
        <v/>
      </c>
      <c r="J15" s="43"/>
      <c r="K15" s="43"/>
    </row>
    <row r="16" spans="1:13" x14ac:dyDescent="0.25">
      <c r="A16" s="43"/>
      <c r="B16" s="43"/>
      <c r="C16" s="35"/>
      <c r="D16" s="35"/>
      <c r="E16" s="65"/>
      <c r="F16" s="69"/>
      <c r="G16" s="35"/>
      <c r="H16" s="35"/>
      <c r="I16" s="35"/>
      <c r="J16" s="43"/>
      <c r="K16" s="43"/>
    </row>
    <row r="17" spans="1:11" x14ac:dyDescent="0.25">
      <c r="A17" s="43"/>
      <c r="B17" s="43"/>
      <c r="C17" s="16"/>
      <c r="D17" s="16"/>
      <c r="E17" s="64"/>
      <c r="F17" s="64"/>
      <c r="G17" s="16"/>
      <c r="H17" s="16"/>
      <c r="I17" s="16"/>
      <c r="J17" s="43"/>
      <c r="K17" s="43"/>
    </row>
    <row r="18" spans="1:11" x14ac:dyDescent="0.25">
      <c r="A18" s="43"/>
      <c r="B18" s="43"/>
      <c r="C18" s="35"/>
      <c r="D18" s="35"/>
      <c r="E18" s="65"/>
      <c r="F18" s="69"/>
      <c r="G18" s="35"/>
      <c r="H18" s="35"/>
      <c r="I18" s="35"/>
      <c r="J18" s="43"/>
      <c r="K18" s="43"/>
    </row>
    <row r="19" spans="1:11" x14ac:dyDescent="0.25">
      <c r="A19" s="43"/>
      <c r="B19" s="43"/>
      <c r="C19" s="16"/>
      <c r="D19" s="16"/>
      <c r="E19" s="64"/>
      <c r="F19" s="64"/>
      <c r="G19" s="16"/>
      <c r="H19" s="16"/>
      <c r="I19" s="16"/>
      <c r="J19" s="43"/>
      <c r="K19" s="43"/>
    </row>
    <row r="20" spans="1:11" x14ac:dyDescent="0.25">
      <c r="A20" s="43"/>
      <c r="B20" s="43"/>
      <c r="C20" s="35"/>
      <c r="D20" s="35"/>
      <c r="E20" s="65"/>
      <c r="F20" s="69"/>
      <c r="G20" s="35"/>
      <c r="H20" s="35"/>
      <c r="I20" s="35"/>
      <c r="J20" s="43"/>
      <c r="K20" s="43"/>
    </row>
    <row r="21" spans="1:11" x14ac:dyDescent="0.25">
      <c r="A21" s="43"/>
      <c r="B21" s="43"/>
      <c r="C21" s="16"/>
      <c r="D21" s="16"/>
      <c r="E21" s="64"/>
      <c r="F21" s="64"/>
      <c r="G21" s="16"/>
      <c r="H21" s="16"/>
      <c r="I21" s="16"/>
      <c r="J21" s="43"/>
      <c r="K21" s="43"/>
    </row>
    <row r="22" spans="1:11" x14ac:dyDescent="0.25">
      <c r="A22" s="43"/>
      <c r="B22" s="43"/>
      <c r="C22" s="35"/>
      <c r="D22" s="35"/>
      <c r="E22" s="65"/>
      <c r="F22" s="69"/>
      <c r="G22" s="35"/>
      <c r="H22" s="35"/>
      <c r="I22" s="35"/>
      <c r="J22" s="43"/>
      <c r="K22" s="43"/>
    </row>
    <row r="23" spans="1:11" x14ac:dyDescent="0.25">
      <c r="A23" s="43"/>
      <c r="B23" s="43"/>
      <c r="C23" s="16"/>
      <c r="D23" s="16"/>
      <c r="E23" s="64"/>
      <c r="F23" s="64"/>
      <c r="G23" s="16"/>
      <c r="H23" s="16"/>
      <c r="I23" s="16"/>
      <c r="J23" s="43"/>
      <c r="K23" s="43"/>
    </row>
    <row r="24" spans="1:11" x14ac:dyDescent="0.25">
      <c r="A24" s="43"/>
      <c r="B24" s="43"/>
      <c r="C24" s="35"/>
      <c r="D24" s="35"/>
      <c r="E24" s="65"/>
      <c r="F24" s="69"/>
      <c r="G24" s="35"/>
      <c r="H24" s="35"/>
      <c r="I24" s="35"/>
      <c r="J24" s="43"/>
      <c r="K24" s="43"/>
    </row>
    <row r="25" spans="1:11" x14ac:dyDescent="0.25">
      <c r="A25" s="43"/>
      <c r="B25" s="43"/>
      <c r="C25" s="16"/>
      <c r="D25" s="16"/>
      <c r="E25" s="64"/>
      <c r="F25" s="64"/>
      <c r="G25" s="16"/>
      <c r="H25" s="16"/>
      <c r="I25" s="16"/>
      <c r="J25" s="43"/>
      <c r="K25" s="43"/>
    </row>
    <row r="26" spans="1:11" x14ac:dyDescent="0.25">
      <c r="A26" s="43"/>
      <c r="B26" s="43"/>
      <c r="C26" s="35"/>
      <c r="D26" s="35"/>
      <c r="E26" s="65"/>
      <c r="F26" s="69"/>
      <c r="G26" s="35"/>
      <c r="H26" s="35"/>
      <c r="I26" s="35"/>
      <c r="J26" s="43"/>
      <c r="K26" s="43"/>
    </row>
    <row r="27" spans="1:11" x14ac:dyDescent="0.25">
      <c r="A27" s="43"/>
      <c r="B27" s="43"/>
      <c r="C27" s="16"/>
      <c r="D27" s="16"/>
      <c r="E27" s="64"/>
      <c r="F27" s="64"/>
      <c r="G27" s="16"/>
      <c r="H27" s="16"/>
      <c r="I27" s="16"/>
      <c r="J27" s="43"/>
      <c r="K27" s="43"/>
    </row>
    <row r="28" spans="1:11" x14ac:dyDescent="0.25">
      <c r="A28" s="43"/>
      <c r="B28" s="43"/>
      <c r="C28" s="35"/>
      <c r="D28" s="35"/>
      <c r="E28" s="65"/>
      <c r="F28" s="69"/>
      <c r="G28" s="35"/>
      <c r="H28" s="35"/>
      <c r="I28" s="35"/>
      <c r="J28" s="43"/>
      <c r="K28" s="43"/>
    </row>
    <row r="29" spans="1:11" x14ac:dyDescent="0.25">
      <c r="A29" s="43"/>
      <c r="B29" s="43"/>
      <c r="C29" s="16"/>
      <c r="D29" s="16"/>
      <c r="E29" s="64"/>
      <c r="F29" s="64"/>
      <c r="G29" s="16"/>
      <c r="H29" s="16"/>
      <c r="I29" s="16"/>
      <c r="J29" s="43"/>
      <c r="K29" s="43"/>
    </row>
    <row r="30" spans="1:11" x14ac:dyDescent="0.25">
      <c r="A30" s="43"/>
      <c r="B30" s="43"/>
      <c r="C30" s="35"/>
      <c r="D30" s="35"/>
      <c r="E30" s="65"/>
      <c r="F30" s="69"/>
      <c r="G30" s="35"/>
      <c r="H30" s="35"/>
      <c r="I30" s="35"/>
      <c r="J30" s="43"/>
      <c r="K30" s="43"/>
    </row>
    <row r="31" spans="1:11" x14ac:dyDescent="0.25">
      <c r="A31" s="43"/>
      <c r="B31" s="43"/>
      <c r="C31" s="16"/>
      <c r="D31" s="16"/>
      <c r="E31" s="64"/>
      <c r="F31" s="64"/>
      <c r="G31" s="16"/>
      <c r="H31" s="16"/>
      <c r="I31" s="16"/>
      <c r="J31" s="43"/>
      <c r="K31" s="43"/>
    </row>
    <row r="32" spans="1:11" x14ac:dyDescent="0.25">
      <c r="A32" s="43"/>
      <c r="B32" s="43"/>
      <c r="C32" s="35"/>
      <c r="D32" s="35"/>
      <c r="E32" s="65"/>
      <c r="F32" s="69"/>
      <c r="G32" s="35"/>
      <c r="H32" s="35"/>
      <c r="I32" s="35"/>
      <c r="J32" s="43"/>
      <c r="K32" s="43"/>
    </row>
    <row r="33" spans="1:11" x14ac:dyDescent="0.25">
      <c r="A33" s="43"/>
      <c r="B33" s="43"/>
      <c r="C33" s="16"/>
      <c r="D33" s="16"/>
      <c r="E33" s="64"/>
      <c r="F33" s="64"/>
      <c r="G33" s="16"/>
      <c r="H33" s="16"/>
      <c r="I33" s="16"/>
      <c r="J33" s="43"/>
      <c r="K33" s="43"/>
    </row>
    <row r="34" spans="1:11" ht="13.5" customHeight="1" x14ac:dyDescent="0.25">
      <c r="A34" s="43"/>
      <c r="B34" s="43"/>
      <c r="C34" s="35"/>
      <c r="D34" s="35"/>
      <c r="E34" s="65"/>
      <c r="F34" s="69"/>
      <c r="G34" s="35"/>
      <c r="H34" s="35"/>
      <c r="I34" s="35"/>
      <c r="J34" s="43"/>
      <c r="K34" s="43"/>
    </row>
    <row r="35" spans="1:11" ht="13.5" customHeight="1" x14ac:dyDescent="0.25">
      <c r="A35" s="43"/>
      <c r="B35" s="43"/>
      <c r="C35" s="16"/>
      <c r="D35" s="16"/>
      <c r="E35" s="64"/>
      <c r="F35" s="64"/>
      <c r="G35" s="16"/>
      <c r="H35" s="16"/>
      <c r="I35" s="16"/>
      <c r="J35" s="43"/>
      <c r="K35" s="43"/>
    </row>
    <row r="36" spans="1:11" ht="13.5" customHeight="1" x14ac:dyDescent="0.25">
      <c r="A36" s="43"/>
      <c r="B36" s="43"/>
      <c r="C36" s="35"/>
      <c r="D36" s="35"/>
      <c r="E36" s="65"/>
      <c r="F36" s="69"/>
      <c r="G36" s="35"/>
      <c r="H36" s="35"/>
      <c r="I36" s="35"/>
      <c r="J36" s="43"/>
      <c r="K36" s="43"/>
    </row>
    <row r="37" spans="1:11" ht="13.5" customHeight="1" x14ac:dyDescent="0.25">
      <c r="A37" s="43"/>
      <c r="B37" s="43"/>
      <c r="C37" s="16"/>
      <c r="D37" s="16"/>
      <c r="E37" s="64"/>
      <c r="F37" s="64"/>
      <c r="G37" s="16"/>
      <c r="H37" s="16"/>
      <c r="I37" s="16"/>
      <c r="J37" s="43"/>
      <c r="K37" s="43"/>
    </row>
    <row r="38" spans="1:11" ht="13.5" customHeight="1" x14ac:dyDescent="0.25">
      <c r="A38" s="43"/>
      <c r="B38" s="43"/>
      <c r="C38" s="35"/>
      <c r="D38" s="35"/>
      <c r="E38" s="65"/>
      <c r="F38" s="69"/>
      <c r="G38" s="35"/>
      <c r="H38" s="35"/>
      <c r="I38" s="35"/>
      <c r="J38" s="43"/>
      <c r="K38" s="43"/>
    </row>
    <row r="39" spans="1:11" ht="13.5" customHeight="1" x14ac:dyDescent="0.25">
      <c r="A39" s="43"/>
      <c r="B39" s="43"/>
      <c r="C39" s="16"/>
      <c r="D39" s="16"/>
      <c r="E39" s="64"/>
      <c r="F39" s="64"/>
      <c r="G39" s="16"/>
      <c r="H39" s="16"/>
      <c r="I39" s="16"/>
      <c r="J39" s="43"/>
      <c r="K39" s="43"/>
    </row>
    <row r="40" spans="1:11" ht="13.5" customHeight="1" x14ac:dyDescent="0.25">
      <c r="A40" s="43"/>
      <c r="B40" s="43"/>
      <c r="C40" s="35"/>
      <c r="D40" s="35"/>
      <c r="E40" s="65"/>
      <c r="F40" s="69"/>
      <c r="G40" s="35"/>
      <c r="H40" s="35"/>
      <c r="I40" s="35"/>
      <c r="J40" s="43"/>
      <c r="K40" s="43"/>
    </row>
    <row r="41" spans="1:11" ht="13.5" customHeight="1" x14ac:dyDescent="0.25">
      <c r="A41" s="43"/>
      <c r="B41" s="43"/>
      <c r="C41" s="16"/>
      <c r="D41" s="16"/>
      <c r="E41" s="64"/>
      <c r="F41" s="64"/>
      <c r="G41" s="16"/>
      <c r="H41" s="16"/>
      <c r="I41" s="16"/>
      <c r="J41" s="43"/>
      <c r="K41" s="43"/>
    </row>
    <row r="42" spans="1:11" ht="13.5" customHeight="1" x14ac:dyDescent="0.25">
      <c r="A42" s="43"/>
      <c r="B42" s="43"/>
      <c r="C42" s="35"/>
      <c r="D42" s="35"/>
      <c r="E42" s="65"/>
      <c r="F42" s="69"/>
      <c r="G42" s="35"/>
      <c r="H42" s="35"/>
      <c r="I42" s="35"/>
      <c r="J42" s="43"/>
      <c r="K42" s="43"/>
    </row>
    <row r="43" spans="1:11" ht="13.5" customHeight="1" x14ac:dyDescent="0.25">
      <c r="A43" s="43"/>
      <c r="B43" s="43"/>
      <c r="C43" s="16"/>
      <c r="D43" s="16"/>
      <c r="E43" s="64"/>
      <c r="F43" s="64"/>
      <c r="G43" s="16"/>
      <c r="H43" s="16"/>
      <c r="I43" s="16"/>
      <c r="J43" s="43"/>
      <c r="K43" s="43"/>
    </row>
    <row r="44" spans="1:11" ht="13.5" customHeight="1" x14ac:dyDescent="0.25">
      <c r="A44" s="43"/>
      <c r="B44" s="43"/>
      <c r="C44" s="35"/>
      <c r="D44" s="35"/>
      <c r="E44" s="65"/>
      <c r="F44" s="69"/>
      <c r="G44" s="35"/>
      <c r="H44" s="35"/>
      <c r="I44" s="35"/>
      <c r="J44" s="43"/>
      <c r="K44" s="43"/>
    </row>
    <row r="45" spans="1:11" ht="13.5" customHeight="1" x14ac:dyDescent="0.25">
      <c r="A45" s="43"/>
      <c r="B45" s="43"/>
      <c r="C45" s="16"/>
      <c r="D45" s="16"/>
      <c r="E45" s="64"/>
      <c r="F45" s="64"/>
      <c r="G45" s="16"/>
      <c r="H45" s="16"/>
      <c r="I45" s="16"/>
      <c r="J45" s="43"/>
      <c r="K45" s="43"/>
    </row>
    <row r="46" spans="1:11" ht="13.5" customHeight="1" x14ac:dyDescent="0.25">
      <c r="A46" s="43"/>
      <c r="B46" s="43"/>
      <c r="C46" s="35"/>
      <c r="D46" s="35"/>
      <c r="E46" s="65"/>
      <c r="F46" s="69"/>
      <c r="G46" s="35"/>
      <c r="H46" s="35"/>
      <c r="I46" s="35"/>
      <c r="J46" s="43"/>
      <c r="K46" s="43"/>
    </row>
    <row r="47" spans="1:11" ht="13.5" customHeight="1" x14ac:dyDescent="0.25">
      <c r="A47" s="43"/>
      <c r="B47" s="43"/>
      <c r="C47" s="16"/>
      <c r="D47" s="16"/>
      <c r="E47" s="64"/>
      <c r="F47" s="64"/>
      <c r="G47" s="16"/>
      <c r="H47" s="16"/>
      <c r="I47" s="16"/>
      <c r="J47" s="43"/>
      <c r="K47" s="43"/>
    </row>
    <row r="48" spans="1:11" ht="13.5" customHeight="1" x14ac:dyDescent="0.25">
      <c r="A48" s="43"/>
      <c r="B48" s="43"/>
      <c r="C48" s="35"/>
      <c r="D48" s="35"/>
      <c r="E48" s="65"/>
      <c r="F48" s="69"/>
      <c r="G48" s="35"/>
      <c r="H48" s="35"/>
      <c r="I48" s="35"/>
      <c r="J48" s="43"/>
      <c r="K48" s="43"/>
    </row>
    <row r="49" spans="1:11" ht="13.5" customHeight="1" x14ac:dyDescent="0.25">
      <c r="A49" s="43"/>
      <c r="B49" s="43"/>
      <c r="C49" s="16"/>
      <c r="D49" s="16"/>
      <c r="E49" s="64"/>
      <c r="F49" s="64"/>
      <c r="G49" s="16"/>
      <c r="H49" s="16"/>
      <c r="I49" s="16"/>
      <c r="J49" s="43"/>
      <c r="K49" s="43"/>
    </row>
    <row r="50" spans="1:11" ht="13.5" customHeight="1" x14ac:dyDescent="0.25">
      <c r="A50" s="43"/>
      <c r="B50" s="43"/>
      <c r="C50" s="35"/>
      <c r="D50" s="35"/>
      <c r="E50" s="65"/>
      <c r="F50" s="69"/>
      <c r="G50" s="35"/>
      <c r="H50" s="35"/>
      <c r="I50" s="35"/>
      <c r="J50" s="43"/>
      <c r="K50" s="43"/>
    </row>
    <row r="51" spans="1:11" ht="13.5" customHeight="1" x14ac:dyDescent="0.25">
      <c r="A51" s="43"/>
      <c r="B51" s="43"/>
      <c r="C51" s="16"/>
      <c r="D51" s="16"/>
      <c r="E51" s="64"/>
      <c r="F51" s="64"/>
      <c r="G51" s="16"/>
      <c r="H51" s="16"/>
      <c r="I51" s="16"/>
      <c r="J51" s="43"/>
      <c r="K51" s="43"/>
    </row>
    <row r="52" spans="1:11" ht="13.5" customHeight="1" x14ac:dyDescent="0.25">
      <c r="A52" s="43"/>
      <c r="B52" s="43"/>
      <c r="C52" s="35"/>
      <c r="D52" s="35"/>
      <c r="E52" s="65"/>
      <c r="F52" s="69"/>
      <c r="G52" s="35"/>
      <c r="H52" s="35"/>
      <c r="I52" s="35"/>
      <c r="J52" s="43"/>
      <c r="K52" s="43"/>
    </row>
    <row r="53" spans="1:11" ht="13.5" customHeight="1" x14ac:dyDescent="0.25">
      <c r="A53" s="43"/>
      <c r="B53" s="43"/>
      <c r="C53" s="16"/>
      <c r="D53" s="16"/>
      <c r="E53" s="64"/>
      <c r="F53" s="64"/>
      <c r="G53" s="16"/>
      <c r="H53" s="16"/>
      <c r="I53" s="16"/>
      <c r="J53" s="43"/>
      <c r="K53" s="43"/>
    </row>
    <row r="54" spans="1:11" ht="13.5" customHeight="1" x14ac:dyDescent="0.25">
      <c r="A54" s="43"/>
      <c r="B54" s="43"/>
      <c r="C54" s="35"/>
      <c r="D54" s="35"/>
      <c r="E54" s="65"/>
      <c r="F54" s="69"/>
      <c r="G54" s="35"/>
      <c r="H54" s="35"/>
      <c r="I54" s="35"/>
      <c r="J54" s="43"/>
      <c r="K54" s="43"/>
    </row>
    <row r="55" spans="1:11" ht="13.5" customHeight="1" collapsed="1" x14ac:dyDescent="0.25">
      <c r="A55" s="43"/>
      <c r="B55" s="43"/>
      <c r="C55" s="16"/>
      <c r="D55" s="16"/>
      <c r="E55" s="64"/>
      <c r="F55" s="64"/>
      <c r="G55" s="16"/>
      <c r="H55" s="16"/>
      <c r="I55" s="16"/>
      <c r="J55" s="43"/>
      <c r="K55" s="43"/>
    </row>
    <row r="56" spans="1:11" ht="13.5" customHeight="1" x14ac:dyDescent="0.25">
      <c r="A56" s="43"/>
      <c r="B56" s="43"/>
      <c r="C56" s="35"/>
      <c r="D56" s="35"/>
      <c r="E56" s="65"/>
      <c r="F56" s="69"/>
      <c r="G56" s="35"/>
      <c r="H56" s="35"/>
      <c r="I56" s="35"/>
      <c r="J56" s="43"/>
      <c r="K56" s="43"/>
    </row>
    <row r="57" spans="1:11" ht="13.5" customHeight="1" x14ac:dyDescent="0.25">
      <c r="A57" s="43"/>
      <c r="B57" s="43"/>
      <c r="C57" s="16"/>
      <c r="D57" s="16"/>
      <c r="E57" s="64"/>
      <c r="F57" s="64"/>
      <c r="G57" s="16"/>
      <c r="H57" s="16"/>
      <c r="I57" s="16"/>
      <c r="J57" s="43"/>
      <c r="K57" s="43"/>
    </row>
    <row r="58" spans="1:11" ht="13.5" customHeight="1" x14ac:dyDescent="0.25">
      <c r="A58" s="43"/>
      <c r="B58" s="43"/>
      <c r="C58" s="35"/>
      <c r="D58" s="35"/>
      <c r="E58" s="65"/>
      <c r="F58" s="69"/>
      <c r="G58" s="35"/>
      <c r="H58" s="35"/>
      <c r="I58" s="35"/>
      <c r="J58" s="43"/>
      <c r="K58" s="43"/>
    </row>
    <row r="59" spans="1:11" ht="13.5" customHeight="1" x14ac:dyDescent="0.25">
      <c r="A59" s="43"/>
      <c r="B59" s="43"/>
      <c r="C59" s="16"/>
      <c r="D59" s="16"/>
      <c r="E59" s="64"/>
      <c r="F59" s="64"/>
      <c r="G59" s="16"/>
      <c r="H59" s="16"/>
      <c r="I59" s="16"/>
      <c r="J59" s="43"/>
      <c r="K59" s="43"/>
    </row>
    <row r="60" spans="1:11" ht="13.5" customHeight="1" x14ac:dyDescent="0.25">
      <c r="A60" s="43"/>
      <c r="B60" s="43"/>
      <c r="C60" s="35"/>
      <c r="D60" s="35"/>
      <c r="E60" s="65"/>
      <c r="F60" s="69"/>
      <c r="G60" s="35"/>
      <c r="H60" s="35"/>
      <c r="I60" s="35"/>
      <c r="J60" s="43"/>
      <c r="K60" s="43"/>
    </row>
    <row r="61" spans="1:11" ht="13.5" customHeight="1" x14ac:dyDescent="0.25">
      <c r="A61" s="43"/>
      <c r="B61" s="43"/>
      <c r="C61" s="16"/>
      <c r="D61" s="16"/>
      <c r="E61" s="64"/>
      <c r="F61" s="64"/>
      <c r="G61" s="16"/>
      <c r="H61" s="16"/>
      <c r="I61" s="16"/>
      <c r="J61" s="43"/>
      <c r="K61" s="43"/>
    </row>
    <row r="62" spans="1:11" ht="13.5" customHeight="1" x14ac:dyDescent="0.25">
      <c r="A62" s="43"/>
      <c r="B62" s="43"/>
      <c r="C62" s="35"/>
      <c r="D62" s="35"/>
      <c r="E62" s="65"/>
      <c r="F62" s="69"/>
      <c r="G62" s="35"/>
      <c r="H62" s="35"/>
      <c r="I62" s="35"/>
      <c r="J62" s="43"/>
      <c r="K62" s="43"/>
    </row>
    <row r="63" spans="1:11" ht="13.5" customHeight="1" x14ac:dyDescent="0.25">
      <c r="A63" s="43"/>
      <c r="B63" s="43"/>
      <c r="C63" s="16"/>
      <c r="D63" s="16"/>
      <c r="E63" s="64"/>
      <c r="F63" s="64"/>
      <c r="G63" s="16"/>
      <c r="H63" s="16"/>
      <c r="I63" s="16"/>
      <c r="J63" s="43"/>
      <c r="K63" s="43"/>
    </row>
    <row r="64" spans="1:11" ht="13.5" customHeight="1" x14ac:dyDescent="0.25">
      <c r="A64" s="43"/>
      <c r="B64" s="43"/>
      <c r="C64" s="35"/>
      <c r="D64" s="35"/>
      <c r="E64" s="65"/>
      <c r="F64" s="69"/>
      <c r="G64" s="35"/>
      <c r="H64" s="35"/>
      <c r="I64" s="35"/>
      <c r="J64" s="43"/>
      <c r="K64" s="43"/>
    </row>
    <row r="65" spans="1:11" ht="13.5" customHeight="1" x14ac:dyDescent="0.25">
      <c r="A65" s="43"/>
      <c r="B65" s="43"/>
      <c r="C65" s="16"/>
      <c r="D65" s="16"/>
      <c r="E65" s="64"/>
      <c r="F65" s="64"/>
      <c r="G65" s="16"/>
      <c r="H65" s="16"/>
      <c r="I65" s="16"/>
      <c r="J65" s="43"/>
      <c r="K65" s="43"/>
    </row>
    <row r="66" spans="1:11" x14ac:dyDescent="0.25">
      <c r="A66" s="43"/>
      <c r="B66" s="43"/>
      <c r="C66" s="35"/>
      <c r="D66" s="35"/>
      <c r="E66" s="65"/>
      <c r="F66" s="69"/>
      <c r="G66" s="35"/>
      <c r="H66" s="35"/>
      <c r="I66" s="35"/>
      <c r="J66" s="43"/>
      <c r="K66" s="43"/>
    </row>
    <row r="67" spans="1:11" x14ac:dyDescent="0.25">
      <c r="A67" s="43"/>
      <c r="B67" s="43"/>
      <c r="C67" s="16"/>
      <c r="D67" s="16"/>
      <c r="E67" s="64"/>
      <c r="F67" s="64"/>
      <c r="G67" s="16"/>
      <c r="H67" s="16"/>
      <c r="I67" s="16"/>
      <c r="J67" s="43"/>
      <c r="K67" s="43"/>
    </row>
    <row r="68" spans="1:11" x14ac:dyDescent="0.25">
      <c r="A68" s="43"/>
      <c r="B68" s="43"/>
      <c r="C68" s="35"/>
      <c r="D68" s="35"/>
      <c r="E68" s="65"/>
      <c r="F68" s="69"/>
      <c r="G68" s="35"/>
      <c r="H68" s="35"/>
      <c r="I68" s="35"/>
      <c r="J68" s="43"/>
      <c r="K68" s="43"/>
    </row>
    <row r="69" spans="1:11" x14ac:dyDescent="0.25">
      <c r="A69" s="43"/>
      <c r="B69" s="43"/>
      <c r="C69" s="16"/>
      <c r="D69" s="16"/>
      <c r="E69" s="64"/>
      <c r="F69" s="64"/>
      <c r="G69" s="16"/>
      <c r="H69" s="16"/>
      <c r="I69" s="16"/>
      <c r="J69" s="43"/>
      <c r="K69" s="43"/>
    </row>
    <row r="70" spans="1:11" x14ac:dyDescent="0.25">
      <c r="A70" s="43"/>
      <c r="B70" s="43"/>
      <c r="C70" s="35"/>
      <c r="D70" s="35"/>
      <c r="E70" s="65"/>
      <c r="F70" s="69"/>
      <c r="G70" s="35"/>
      <c r="H70" s="35"/>
      <c r="I70" s="35"/>
      <c r="J70" s="43"/>
      <c r="K70" s="43"/>
    </row>
    <row r="71" spans="1:11" x14ac:dyDescent="0.25">
      <c r="A71" s="43"/>
      <c r="B71" s="43"/>
      <c r="C71" s="16"/>
      <c r="D71" s="16"/>
      <c r="E71" s="64"/>
      <c r="F71" s="64"/>
      <c r="G71" s="16"/>
      <c r="H71" s="16"/>
      <c r="I71" s="16"/>
      <c r="J71" s="43"/>
      <c r="K71" s="43"/>
    </row>
    <row r="72" spans="1:11" x14ac:dyDescent="0.25">
      <c r="A72" s="43"/>
      <c r="B72" s="43"/>
      <c r="C72" s="35"/>
      <c r="D72" s="35"/>
      <c r="E72" s="65"/>
      <c r="F72" s="69"/>
      <c r="G72" s="35"/>
      <c r="H72" s="35"/>
      <c r="I72" s="35"/>
      <c r="J72" s="43"/>
      <c r="K72" s="43"/>
    </row>
    <row r="73" spans="1:11" x14ac:dyDescent="0.25">
      <c r="A73" s="43"/>
      <c r="B73" s="43"/>
      <c r="C73" s="16"/>
      <c r="D73" s="16"/>
      <c r="E73" s="64"/>
      <c r="F73" s="64"/>
      <c r="G73" s="16"/>
      <c r="H73" s="16"/>
      <c r="I73" s="16"/>
      <c r="J73" s="43"/>
      <c r="K73" s="43"/>
    </row>
    <row r="74" spans="1:11" x14ac:dyDescent="0.25">
      <c r="A74" s="43"/>
      <c r="B74" s="43"/>
      <c r="C74" s="35"/>
      <c r="D74" s="35"/>
      <c r="E74" s="65"/>
      <c r="F74" s="69"/>
      <c r="G74" s="35"/>
      <c r="H74" s="35"/>
      <c r="I74" s="35"/>
      <c r="J74" s="43"/>
      <c r="K74" s="43"/>
    </row>
    <row r="75" spans="1:11" x14ac:dyDescent="0.25">
      <c r="A75" s="43"/>
      <c r="B75" s="43"/>
      <c r="C75" s="16"/>
      <c r="D75" s="16"/>
      <c r="E75" s="64"/>
      <c r="F75" s="64"/>
      <c r="G75" s="16"/>
      <c r="H75" s="16"/>
      <c r="I75" s="16"/>
      <c r="J75" s="43"/>
      <c r="K75" s="43"/>
    </row>
    <row r="76" spans="1:11" x14ac:dyDescent="0.25">
      <c r="A76" s="43"/>
      <c r="B76" s="43"/>
      <c r="C76" s="35"/>
      <c r="D76" s="35"/>
      <c r="E76" s="65"/>
      <c r="F76" s="69"/>
      <c r="G76" s="35"/>
      <c r="H76" s="35"/>
      <c r="I76" s="35"/>
      <c r="J76" s="43"/>
      <c r="K76" s="43"/>
    </row>
    <row r="77" spans="1:11" x14ac:dyDescent="0.25">
      <c r="A77" s="43"/>
      <c r="B77" s="43"/>
      <c r="C77" s="16"/>
      <c r="D77" s="16"/>
      <c r="E77" s="64"/>
      <c r="F77" s="64"/>
      <c r="G77" s="16"/>
      <c r="H77" s="16"/>
      <c r="I77" s="16"/>
      <c r="J77" s="43"/>
      <c r="K77" s="43"/>
    </row>
    <row r="78" spans="1:11" x14ac:dyDescent="0.25">
      <c r="A78" s="43"/>
      <c r="B78" s="43"/>
      <c r="C78" s="35"/>
      <c r="D78" s="35"/>
      <c r="E78" s="65"/>
      <c r="F78" s="69"/>
      <c r="G78" s="35"/>
      <c r="H78" s="35"/>
      <c r="I78" s="35"/>
      <c r="J78" s="43"/>
      <c r="K78" s="43"/>
    </row>
    <row r="79" spans="1:11" x14ac:dyDescent="0.25">
      <c r="A79" s="43"/>
      <c r="B79" s="43"/>
      <c r="C79" s="16"/>
      <c r="D79" s="16"/>
      <c r="E79" s="64"/>
      <c r="F79" s="64"/>
      <c r="G79" s="16"/>
      <c r="H79" s="16"/>
      <c r="I79" s="16"/>
      <c r="J79" s="43"/>
      <c r="K79" s="43"/>
    </row>
    <row r="80" spans="1:11" x14ac:dyDescent="0.25">
      <c r="A80" s="43"/>
      <c r="B80" s="43"/>
      <c r="C80" s="35"/>
      <c r="D80" s="35"/>
      <c r="E80" s="65"/>
      <c r="F80" s="69"/>
      <c r="G80" s="35"/>
      <c r="H80" s="35"/>
      <c r="I80" s="35"/>
      <c r="J80" s="43"/>
      <c r="K80" s="43"/>
    </row>
    <row r="81" spans="1:11" x14ac:dyDescent="0.25">
      <c r="A81" s="43"/>
      <c r="B81" s="43"/>
      <c r="C81" s="16"/>
      <c r="D81" s="16"/>
      <c r="E81" s="64"/>
      <c r="F81" s="64"/>
      <c r="G81" s="16"/>
      <c r="H81" s="16"/>
      <c r="I81" s="16"/>
      <c r="J81" s="43"/>
      <c r="K81" s="43"/>
    </row>
    <row r="82" spans="1:11" x14ac:dyDescent="0.25">
      <c r="A82" s="43"/>
      <c r="B82" s="43"/>
      <c r="C82" s="35"/>
      <c r="D82" s="35"/>
      <c r="E82" s="65"/>
      <c r="F82" s="69"/>
      <c r="G82" s="35"/>
      <c r="H82" s="35"/>
      <c r="I82" s="35"/>
      <c r="J82" s="43"/>
      <c r="K82" s="43"/>
    </row>
    <row r="83" spans="1:11" x14ac:dyDescent="0.25">
      <c r="A83" s="43"/>
      <c r="B83" s="43"/>
      <c r="C83" s="16"/>
      <c r="D83" s="16"/>
      <c r="E83" s="64"/>
      <c r="F83" s="64"/>
      <c r="G83" s="16"/>
      <c r="H83" s="16"/>
      <c r="I83" s="16"/>
      <c r="J83" s="43"/>
      <c r="K83" s="43"/>
    </row>
    <row r="84" spans="1:11" x14ac:dyDescent="0.25">
      <c r="A84" s="43"/>
      <c r="B84" s="43"/>
      <c r="C84" s="35"/>
      <c r="D84" s="35"/>
      <c r="E84" s="65"/>
      <c r="F84" s="69"/>
      <c r="G84" s="35"/>
      <c r="H84" s="35"/>
      <c r="I84" s="35"/>
      <c r="J84" s="43"/>
      <c r="K84" s="43"/>
    </row>
    <row r="85" spans="1:11" ht="13.5" customHeight="1" x14ac:dyDescent="0.25">
      <c r="A85" s="43"/>
      <c r="B85" s="43"/>
      <c r="C85" s="16"/>
      <c r="D85" s="16"/>
      <c r="E85" s="64"/>
      <c r="F85" s="64"/>
      <c r="G85" s="16"/>
      <c r="H85" s="16"/>
      <c r="I85" s="16"/>
      <c r="J85" s="43"/>
      <c r="K85" s="43"/>
    </row>
    <row r="86" spans="1:11" ht="13.5" customHeight="1" x14ac:dyDescent="0.25">
      <c r="A86" s="43"/>
      <c r="B86" s="43"/>
      <c r="C86" s="35"/>
      <c r="D86" s="35"/>
      <c r="E86" s="65"/>
      <c r="F86" s="69"/>
      <c r="G86" s="35"/>
      <c r="H86" s="35"/>
      <c r="I86" s="35"/>
      <c r="J86" s="43"/>
      <c r="K86" s="43"/>
    </row>
    <row r="87" spans="1:11" ht="13.5" customHeight="1" x14ac:dyDescent="0.25">
      <c r="A87" s="43"/>
      <c r="B87" s="43"/>
      <c r="C87" s="16"/>
      <c r="D87" s="16"/>
      <c r="E87" s="64"/>
      <c r="F87" s="64"/>
      <c r="G87" s="16"/>
      <c r="H87" s="16"/>
      <c r="I87" s="16"/>
      <c r="J87" s="43"/>
      <c r="K87" s="43"/>
    </row>
    <row r="88" spans="1:11" ht="13.5" customHeight="1" x14ac:dyDescent="0.25">
      <c r="A88" s="43"/>
      <c r="B88" s="43"/>
      <c r="C88" s="35"/>
      <c r="D88" s="35"/>
      <c r="E88" s="65"/>
      <c r="F88" s="69"/>
      <c r="G88" s="35"/>
      <c r="H88" s="35"/>
      <c r="I88" s="35"/>
      <c r="J88" s="43"/>
      <c r="K88" s="43"/>
    </row>
    <row r="89" spans="1:11" ht="13.5" customHeight="1" x14ac:dyDescent="0.25">
      <c r="A89" s="43"/>
      <c r="B89" s="43"/>
      <c r="C89" s="16"/>
      <c r="D89" s="16"/>
      <c r="E89" s="64"/>
      <c r="F89" s="64"/>
      <c r="G89" s="16"/>
      <c r="H89" s="16"/>
      <c r="I89" s="16"/>
      <c r="J89" s="43"/>
      <c r="K89" s="43"/>
    </row>
    <row r="90" spans="1:11" ht="13.5" customHeight="1" x14ac:dyDescent="0.25">
      <c r="A90" s="43"/>
      <c r="B90" s="43"/>
      <c r="C90" s="35"/>
      <c r="D90" s="35"/>
      <c r="E90" s="65"/>
      <c r="F90" s="69"/>
      <c r="G90" s="35"/>
      <c r="H90" s="35"/>
      <c r="I90" s="35"/>
      <c r="J90" s="43"/>
      <c r="K90" s="43"/>
    </row>
    <row r="91" spans="1:11" ht="13.5" customHeight="1" x14ac:dyDescent="0.25">
      <c r="A91" s="43"/>
      <c r="B91" s="43"/>
      <c r="C91" s="16"/>
      <c r="D91" s="16"/>
      <c r="E91" s="64"/>
      <c r="F91" s="64"/>
      <c r="G91" s="16"/>
      <c r="H91" s="16"/>
      <c r="I91" s="16"/>
      <c r="J91" s="43"/>
      <c r="K91" s="43"/>
    </row>
    <row r="92" spans="1:11" ht="13.5" customHeight="1" x14ac:dyDescent="0.25">
      <c r="A92" s="43"/>
      <c r="B92" s="43"/>
      <c r="C92" s="35"/>
      <c r="D92" s="35"/>
      <c r="E92" s="65"/>
      <c r="F92" s="69"/>
      <c r="G92" s="35"/>
      <c r="H92" s="35"/>
      <c r="I92" s="35"/>
      <c r="J92" s="43"/>
      <c r="K92" s="43"/>
    </row>
    <row r="93" spans="1:11" ht="13.5" customHeight="1" x14ac:dyDescent="0.25">
      <c r="A93" s="43"/>
      <c r="B93" s="43"/>
      <c r="C93" s="16"/>
      <c r="D93" s="16"/>
      <c r="E93" s="64"/>
      <c r="F93" s="64"/>
      <c r="G93" s="16"/>
      <c r="H93" s="16"/>
      <c r="I93" s="16"/>
      <c r="J93" s="43"/>
      <c r="K93" s="43"/>
    </row>
    <row r="94" spans="1:11" ht="13.5" customHeight="1" x14ac:dyDescent="0.25">
      <c r="A94" s="43"/>
      <c r="B94" s="43"/>
      <c r="C94" s="35"/>
      <c r="D94" s="35"/>
      <c r="E94" s="65"/>
      <c r="F94" s="69"/>
      <c r="G94" s="35"/>
      <c r="H94" s="35"/>
      <c r="I94" s="35"/>
      <c r="J94" s="43"/>
      <c r="K94" s="43"/>
    </row>
    <row r="95" spans="1:11" ht="13.5" customHeight="1" x14ac:dyDescent="0.25">
      <c r="A95" s="43"/>
      <c r="B95" s="43"/>
      <c r="C95" s="16"/>
      <c r="D95" s="16"/>
      <c r="E95" s="64"/>
      <c r="F95" s="64"/>
      <c r="G95" s="16"/>
      <c r="H95" s="16"/>
      <c r="I95" s="16"/>
      <c r="J95" s="43"/>
      <c r="K95" s="43"/>
    </row>
    <row r="96" spans="1:11" ht="13.5" customHeight="1" x14ac:dyDescent="0.25">
      <c r="A96" s="43"/>
      <c r="B96" s="43"/>
      <c r="C96" s="35"/>
      <c r="D96" s="35"/>
      <c r="E96" s="65"/>
      <c r="F96" s="69"/>
      <c r="G96" s="35"/>
      <c r="H96" s="35"/>
      <c r="I96" s="35"/>
      <c r="J96" s="43"/>
      <c r="K96" s="43"/>
    </row>
    <row r="97" spans="1:11" ht="13.5" customHeight="1" x14ac:dyDescent="0.25">
      <c r="A97" s="43"/>
      <c r="B97" s="43"/>
      <c r="C97" s="16"/>
      <c r="D97" s="16"/>
      <c r="E97" s="64"/>
      <c r="F97" s="64"/>
      <c r="G97" s="16"/>
      <c r="H97" s="16"/>
      <c r="I97" s="16"/>
      <c r="J97" s="43"/>
      <c r="K97" s="43"/>
    </row>
    <row r="98" spans="1:11" ht="13.5" customHeight="1" x14ac:dyDescent="0.25">
      <c r="A98" s="43"/>
      <c r="B98" s="43"/>
      <c r="C98" s="35"/>
      <c r="D98" s="35"/>
      <c r="E98" s="65"/>
      <c r="F98" s="69"/>
      <c r="G98" s="35"/>
      <c r="H98" s="35"/>
      <c r="I98" s="35"/>
      <c r="J98" s="43"/>
      <c r="K98" s="43"/>
    </row>
    <row r="99" spans="1:11" ht="13.5" customHeight="1" x14ac:dyDescent="0.25">
      <c r="A99" s="43"/>
      <c r="B99" s="43"/>
      <c r="C99" s="16"/>
      <c r="D99" s="16"/>
      <c r="E99" s="64"/>
      <c r="F99" s="64"/>
      <c r="G99" s="16"/>
      <c r="H99" s="16"/>
      <c r="I99" s="16"/>
      <c r="J99" s="43"/>
      <c r="K99" s="43"/>
    </row>
    <row r="100" spans="1:11" ht="13.5" customHeight="1" x14ac:dyDescent="0.25">
      <c r="A100" s="43"/>
      <c r="B100" s="43"/>
      <c r="C100" s="35"/>
      <c r="D100" s="35"/>
      <c r="E100" s="65"/>
      <c r="F100" s="69"/>
      <c r="G100" s="35"/>
      <c r="H100" s="35"/>
      <c r="I100" s="35"/>
      <c r="J100" s="43"/>
      <c r="K100" s="43"/>
    </row>
    <row r="101" spans="1:11" ht="13.5" customHeight="1" x14ac:dyDescent="0.25">
      <c r="A101" s="43"/>
      <c r="B101" s="43"/>
      <c r="C101" s="16"/>
      <c r="D101" s="16"/>
      <c r="E101" s="64"/>
      <c r="F101" s="64"/>
      <c r="G101" s="16"/>
      <c r="H101" s="16"/>
      <c r="I101" s="16"/>
      <c r="J101" s="43"/>
      <c r="K101" s="43"/>
    </row>
    <row r="102" spans="1:11" ht="13.5" customHeight="1" x14ac:dyDescent="0.25">
      <c r="A102" s="43"/>
      <c r="B102" s="43"/>
      <c r="C102" s="35"/>
      <c r="D102" s="35"/>
      <c r="E102" s="65"/>
      <c r="F102" s="69"/>
      <c r="G102" s="35"/>
      <c r="H102" s="35"/>
      <c r="I102" s="35"/>
      <c r="J102" s="43"/>
      <c r="K102" s="43"/>
    </row>
    <row r="103" spans="1:11" ht="13.5" customHeight="1" x14ac:dyDescent="0.25">
      <c r="A103" s="43"/>
      <c r="B103" s="43"/>
      <c r="C103" s="16"/>
      <c r="D103" s="16"/>
      <c r="E103" s="64"/>
      <c r="F103" s="64"/>
      <c r="G103" s="16"/>
      <c r="H103" s="16"/>
      <c r="I103" s="16"/>
      <c r="J103" s="43"/>
      <c r="K103" s="43"/>
    </row>
    <row r="104" spans="1:11" ht="13.5" customHeight="1" x14ac:dyDescent="0.25">
      <c r="A104" s="43"/>
      <c r="B104" s="43"/>
      <c r="C104" s="35"/>
      <c r="D104" s="35"/>
      <c r="E104" s="65"/>
      <c r="F104" s="69"/>
      <c r="G104" s="35"/>
      <c r="H104" s="35"/>
      <c r="I104" s="35"/>
      <c r="J104" s="43"/>
      <c r="K104" s="43"/>
    </row>
    <row r="105" spans="1:11" ht="13.5" customHeight="1" x14ac:dyDescent="0.25">
      <c r="A105" s="43"/>
      <c r="B105" s="43"/>
      <c r="C105" s="16"/>
      <c r="D105" s="16"/>
      <c r="E105" s="64"/>
      <c r="F105" s="64"/>
      <c r="G105" s="16"/>
      <c r="H105" s="16"/>
      <c r="I105" s="16"/>
      <c r="J105" s="43"/>
      <c r="K105" s="43"/>
    </row>
    <row r="106" spans="1:11" ht="13.5" customHeight="1" x14ac:dyDescent="0.25">
      <c r="A106" s="43"/>
      <c r="B106" s="43"/>
      <c r="C106" s="35"/>
      <c r="D106" s="35"/>
      <c r="E106" s="65"/>
      <c r="F106" s="69"/>
      <c r="G106" s="35"/>
      <c r="H106" s="35"/>
      <c r="I106" s="35"/>
      <c r="J106" s="43"/>
      <c r="K106" s="43"/>
    </row>
    <row r="107" spans="1:11" ht="13.5" customHeight="1" x14ac:dyDescent="0.25">
      <c r="A107" s="43"/>
      <c r="B107" s="43"/>
      <c r="C107" s="16"/>
      <c r="D107" s="16"/>
      <c r="E107" s="64"/>
      <c r="F107" s="64"/>
      <c r="G107" s="16"/>
      <c r="H107" s="16"/>
      <c r="I107" s="16"/>
      <c r="J107" s="43"/>
      <c r="K107" s="43"/>
    </row>
    <row r="108" spans="1:11" ht="13.5" customHeight="1" x14ac:dyDescent="0.25">
      <c r="A108" s="43"/>
      <c r="B108" s="43"/>
      <c r="C108" s="35"/>
      <c r="D108" s="35"/>
      <c r="E108" s="65"/>
      <c r="F108" s="69"/>
      <c r="G108" s="35"/>
      <c r="H108" s="35"/>
      <c r="I108" s="35"/>
      <c r="J108" s="43"/>
      <c r="K108" s="43"/>
    </row>
    <row r="109" spans="1:11" ht="13.5" customHeight="1" x14ac:dyDescent="0.25">
      <c r="A109" s="43"/>
      <c r="B109" s="43"/>
      <c r="C109" s="16"/>
      <c r="D109" s="16"/>
      <c r="E109" s="64"/>
      <c r="F109" s="64"/>
      <c r="G109" s="16"/>
      <c r="H109" s="16"/>
      <c r="I109" s="16"/>
      <c r="J109" s="43"/>
      <c r="K109" s="43"/>
    </row>
    <row r="110" spans="1:11" ht="13.5" customHeight="1" x14ac:dyDescent="0.25">
      <c r="A110" s="43"/>
      <c r="B110" s="43"/>
      <c r="C110" s="35"/>
      <c r="D110" s="35"/>
      <c r="E110" s="65"/>
      <c r="F110" s="69"/>
      <c r="G110" s="35"/>
      <c r="H110" s="35"/>
      <c r="I110" s="35"/>
      <c r="J110" s="43"/>
      <c r="K110" s="43"/>
    </row>
    <row r="111" spans="1:11" ht="13.5" customHeight="1" x14ac:dyDescent="0.25">
      <c r="A111" s="43"/>
      <c r="B111" s="43"/>
      <c r="C111" s="16"/>
      <c r="D111" s="16"/>
      <c r="E111" s="64"/>
      <c r="F111" s="64"/>
      <c r="G111" s="16"/>
      <c r="H111" s="16"/>
      <c r="I111" s="16"/>
      <c r="J111" s="43"/>
      <c r="K111" s="43"/>
    </row>
    <row r="112" spans="1:11" ht="13.5" customHeight="1" x14ac:dyDescent="0.25">
      <c r="A112" s="43"/>
      <c r="B112" s="43"/>
      <c r="C112" s="35"/>
      <c r="D112" s="35"/>
      <c r="E112" s="65"/>
      <c r="F112" s="69"/>
      <c r="G112" s="35"/>
      <c r="H112" s="35"/>
      <c r="I112" s="35"/>
      <c r="J112" s="43"/>
      <c r="K112" s="43"/>
    </row>
    <row r="113" spans="1:11" ht="13.5" customHeight="1" x14ac:dyDescent="0.25">
      <c r="A113" s="43"/>
      <c r="B113" s="43"/>
      <c r="C113" s="16"/>
      <c r="D113" s="16"/>
      <c r="E113" s="64"/>
      <c r="F113" s="64"/>
      <c r="G113" s="16"/>
      <c r="H113" s="16"/>
      <c r="I113" s="16"/>
      <c r="J113" s="43"/>
      <c r="K113" s="43"/>
    </row>
    <row r="114" spans="1:11" ht="13.5" customHeight="1" x14ac:dyDescent="0.25">
      <c r="A114" s="43"/>
      <c r="B114" s="43"/>
      <c r="C114" s="35"/>
      <c r="D114" s="35"/>
      <c r="E114" s="65"/>
      <c r="F114" s="69"/>
      <c r="G114" s="35"/>
      <c r="H114" s="35"/>
      <c r="I114" s="35"/>
      <c r="J114" s="43"/>
      <c r="K114" s="43"/>
    </row>
    <row r="115" spans="1:11" ht="13.5" customHeight="1" x14ac:dyDescent="0.25">
      <c r="A115" s="43"/>
      <c r="B115" s="43"/>
      <c r="C115" s="16"/>
      <c r="D115" s="16"/>
      <c r="E115" s="64"/>
      <c r="F115" s="64"/>
      <c r="G115" s="16"/>
      <c r="H115" s="16"/>
      <c r="I115" s="16"/>
      <c r="J115" s="43"/>
      <c r="K115" s="43"/>
    </row>
    <row r="116" spans="1:11" ht="13.5" customHeight="1" x14ac:dyDescent="0.25">
      <c r="A116" s="43"/>
      <c r="B116" s="43"/>
      <c r="C116" s="35"/>
      <c r="D116" s="35"/>
      <c r="E116" s="65"/>
      <c r="F116" s="69"/>
      <c r="G116" s="35"/>
      <c r="H116" s="35"/>
      <c r="I116" s="35"/>
      <c r="J116" s="43"/>
      <c r="K116" s="43"/>
    </row>
    <row r="117" spans="1:11" ht="13.5" customHeight="1" x14ac:dyDescent="0.25">
      <c r="A117" s="43"/>
      <c r="B117" s="43"/>
      <c r="C117" s="16"/>
      <c r="D117" s="16"/>
      <c r="E117" s="64"/>
      <c r="F117" s="64"/>
      <c r="G117" s="16"/>
      <c r="H117" s="16"/>
      <c r="I117" s="16"/>
      <c r="J117" s="43"/>
      <c r="K117" s="43"/>
    </row>
    <row r="118" spans="1:11" ht="13.5" customHeight="1" x14ac:dyDescent="0.25">
      <c r="A118" s="43"/>
      <c r="B118" s="43"/>
      <c r="C118" s="35"/>
      <c r="D118" s="35"/>
      <c r="E118" s="65"/>
      <c r="F118" s="69"/>
      <c r="G118" s="35"/>
      <c r="H118" s="35"/>
      <c r="I118" s="35"/>
      <c r="J118" s="43"/>
      <c r="K118" s="43"/>
    </row>
    <row r="119" spans="1:11" ht="13.5" customHeight="1" x14ac:dyDescent="0.25">
      <c r="A119" s="43"/>
      <c r="B119" s="43"/>
      <c r="C119" s="16"/>
      <c r="D119" s="16"/>
      <c r="E119" s="64"/>
      <c r="F119" s="64"/>
      <c r="G119" s="16"/>
      <c r="H119" s="16"/>
      <c r="I119" s="16"/>
      <c r="J119" s="43"/>
      <c r="K119" s="43"/>
    </row>
    <row r="120" spans="1:11" ht="13.5" customHeight="1" x14ac:dyDescent="0.25">
      <c r="A120" s="43"/>
      <c r="B120" s="43"/>
      <c r="C120" s="35"/>
      <c r="D120" s="35"/>
      <c r="E120" s="65"/>
      <c r="F120" s="69"/>
      <c r="G120" s="35"/>
      <c r="H120" s="35"/>
      <c r="I120" s="35"/>
      <c r="J120" s="43"/>
      <c r="K120" s="43"/>
    </row>
    <row r="121" spans="1:11" ht="13.5" customHeight="1" x14ac:dyDescent="0.25">
      <c r="A121" s="43"/>
      <c r="B121" s="43"/>
      <c r="C121" s="16"/>
      <c r="D121" s="16"/>
      <c r="E121" s="64"/>
      <c r="F121" s="64"/>
      <c r="G121" s="16"/>
      <c r="H121" s="16"/>
      <c r="I121" s="16"/>
      <c r="J121" s="43"/>
      <c r="K121" s="43"/>
    </row>
    <row r="122" spans="1:11" ht="13.5" customHeight="1" x14ac:dyDescent="0.25">
      <c r="A122" s="43"/>
      <c r="B122" s="43"/>
      <c r="C122" s="35"/>
      <c r="D122" s="35"/>
      <c r="E122" s="65"/>
      <c r="F122" s="69"/>
      <c r="G122" s="35"/>
      <c r="H122" s="35"/>
      <c r="I122" s="35"/>
      <c r="J122" s="43"/>
      <c r="K122" s="43"/>
    </row>
    <row r="123" spans="1:11" ht="13.5" customHeight="1" x14ac:dyDescent="0.25">
      <c r="A123" s="43"/>
      <c r="B123" s="43"/>
      <c r="C123" s="16"/>
      <c r="D123" s="16"/>
      <c r="E123" s="64"/>
      <c r="F123" s="64"/>
      <c r="G123" s="16"/>
      <c r="H123" s="16"/>
      <c r="I123" s="16"/>
      <c r="J123" s="43"/>
      <c r="K123" s="43"/>
    </row>
    <row r="124" spans="1:11" ht="13.5" customHeight="1" x14ac:dyDescent="0.25">
      <c r="A124" s="43"/>
      <c r="B124" s="43"/>
      <c r="C124" s="35"/>
      <c r="D124" s="35"/>
      <c r="E124" s="65"/>
      <c r="F124" s="69"/>
      <c r="G124" s="35"/>
      <c r="H124" s="35"/>
      <c r="I124" s="35"/>
      <c r="J124" s="43"/>
      <c r="K124" s="43"/>
    </row>
    <row r="125" spans="1:11" ht="13.5" customHeight="1" x14ac:dyDescent="0.25">
      <c r="A125" s="43"/>
      <c r="B125" s="43"/>
      <c r="C125" s="16"/>
      <c r="D125" s="16"/>
      <c r="E125" s="64"/>
      <c r="F125" s="64"/>
      <c r="G125" s="16"/>
      <c r="H125" s="16"/>
      <c r="I125" s="16"/>
      <c r="J125" s="43"/>
      <c r="K125" s="43"/>
    </row>
    <row r="126" spans="1:11" ht="13.5" customHeight="1" x14ac:dyDescent="0.25">
      <c r="A126" s="43"/>
      <c r="B126" s="43"/>
      <c r="C126" s="35"/>
      <c r="D126" s="35"/>
      <c r="E126" s="65"/>
      <c r="F126" s="69"/>
      <c r="G126" s="35"/>
      <c r="H126" s="35"/>
      <c r="I126" s="35"/>
      <c r="J126" s="43"/>
      <c r="K126" s="43"/>
    </row>
    <row r="127" spans="1:11" ht="13.5" customHeight="1" x14ac:dyDescent="0.25">
      <c r="A127" s="43"/>
      <c r="B127" s="43"/>
      <c r="C127" s="16"/>
      <c r="D127" s="16"/>
      <c r="E127" s="64"/>
      <c r="F127" s="64"/>
      <c r="G127" s="16"/>
      <c r="H127" s="16"/>
      <c r="I127" s="16"/>
      <c r="J127" s="43"/>
      <c r="K127" s="43"/>
    </row>
    <row r="128" spans="1:11" ht="13.5" customHeight="1" x14ac:dyDescent="0.25">
      <c r="A128" s="43"/>
      <c r="B128" s="43"/>
      <c r="C128" s="35"/>
      <c r="D128" s="35"/>
      <c r="E128" s="65"/>
      <c r="F128" s="69"/>
      <c r="G128" s="35"/>
      <c r="H128" s="35"/>
      <c r="I128" s="35"/>
      <c r="J128" s="43"/>
      <c r="K128" s="43"/>
    </row>
    <row r="129" spans="1:11" ht="13.5" customHeight="1" x14ac:dyDescent="0.25">
      <c r="A129" s="43"/>
      <c r="B129" s="43"/>
      <c r="C129" s="16"/>
      <c r="D129" s="16"/>
      <c r="E129" s="64"/>
      <c r="F129" s="64"/>
      <c r="G129" s="16"/>
      <c r="H129" s="16"/>
      <c r="I129" s="16"/>
      <c r="J129" s="43"/>
      <c r="K129" s="43"/>
    </row>
    <row r="130" spans="1:11" ht="13.5" customHeight="1" x14ac:dyDescent="0.25">
      <c r="A130" s="43"/>
      <c r="B130" s="43"/>
      <c r="C130" s="35"/>
      <c r="D130" s="35"/>
      <c r="E130" s="65"/>
      <c r="F130" s="69"/>
      <c r="G130" s="35"/>
      <c r="H130" s="35"/>
      <c r="I130" s="35"/>
      <c r="J130" s="43"/>
      <c r="K130" s="43"/>
    </row>
    <row r="131" spans="1:11" ht="13.5" customHeight="1" x14ac:dyDescent="0.25">
      <c r="A131" s="43"/>
      <c r="B131" s="43"/>
      <c r="C131" s="16"/>
      <c r="D131" s="16"/>
      <c r="E131" s="64"/>
      <c r="F131" s="64"/>
      <c r="G131" s="16"/>
      <c r="H131" s="16"/>
      <c r="I131" s="16"/>
      <c r="J131" s="43"/>
      <c r="K131" s="43"/>
    </row>
    <row r="132" spans="1:11" ht="13.5" customHeight="1" x14ac:dyDescent="0.25">
      <c r="A132" s="43"/>
      <c r="B132" s="43"/>
      <c r="C132" s="35"/>
      <c r="D132" s="35"/>
      <c r="E132" s="65"/>
      <c r="F132" s="69"/>
      <c r="G132" s="35"/>
      <c r="H132" s="35"/>
      <c r="I132" s="35"/>
      <c r="J132" s="43"/>
      <c r="K132" s="43"/>
    </row>
    <row r="133" spans="1:11" ht="13.5" customHeight="1" x14ac:dyDescent="0.25">
      <c r="A133" s="43"/>
      <c r="B133" s="43"/>
      <c r="C133" s="16"/>
      <c r="D133" s="16"/>
      <c r="E133" s="64"/>
      <c r="F133" s="64"/>
      <c r="G133" s="16"/>
      <c r="H133" s="16"/>
      <c r="I133" s="16"/>
      <c r="J133" s="43"/>
      <c r="K133" s="43"/>
    </row>
    <row r="134" spans="1:11" ht="13.5" customHeight="1" x14ac:dyDescent="0.25">
      <c r="A134" s="43"/>
      <c r="B134" s="43"/>
      <c r="C134" s="35"/>
      <c r="D134" s="35"/>
      <c r="E134" s="65"/>
      <c r="F134" s="69"/>
      <c r="G134" s="35"/>
      <c r="H134" s="35"/>
      <c r="I134" s="35"/>
      <c r="J134" s="43"/>
      <c r="K134" s="43"/>
    </row>
    <row r="135" spans="1:11" ht="13.5" customHeight="1" x14ac:dyDescent="0.25">
      <c r="A135" s="43"/>
      <c r="B135" s="43"/>
      <c r="C135" s="16"/>
      <c r="D135" s="16"/>
      <c r="E135" s="64"/>
      <c r="F135" s="64"/>
      <c r="G135" s="16"/>
      <c r="H135" s="16"/>
      <c r="I135" s="16"/>
      <c r="J135" s="43"/>
      <c r="K135" s="43"/>
    </row>
    <row r="136" spans="1:11" ht="13.5" customHeight="1" x14ac:dyDescent="0.25">
      <c r="A136" s="43"/>
      <c r="B136" s="43"/>
      <c r="C136" s="35"/>
      <c r="D136" s="35"/>
      <c r="E136" s="65"/>
      <c r="F136" s="69"/>
      <c r="G136" s="35"/>
      <c r="H136" s="35"/>
      <c r="I136" s="35"/>
      <c r="J136" s="43"/>
      <c r="K136" s="43"/>
    </row>
    <row r="137" spans="1:11" ht="13.5" customHeight="1" x14ac:dyDescent="0.25">
      <c r="A137" s="43"/>
      <c r="B137" s="43"/>
      <c r="C137" s="16"/>
      <c r="D137" s="16"/>
      <c r="E137" s="64"/>
      <c r="F137" s="64"/>
      <c r="G137" s="16"/>
      <c r="H137" s="16"/>
      <c r="I137" s="16"/>
      <c r="J137" s="43"/>
      <c r="K137" s="43"/>
    </row>
    <row r="138" spans="1:11" ht="13.5" customHeight="1" x14ac:dyDescent="0.25">
      <c r="A138" s="43"/>
      <c r="B138" s="43"/>
      <c r="C138" s="35"/>
      <c r="D138" s="35"/>
      <c r="E138" s="65"/>
      <c r="F138" s="69"/>
      <c r="G138" s="35"/>
      <c r="H138" s="35"/>
      <c r="I138" s="35"/>
      <c r="J138" s="43"/>
      <c r="K138" s="43"/>
    </row>
    <row r="139" spans="1:11" ht="13.5" customHeight="1" x14ac:dyDescent="0.25">
      <c r="A139" s="43"/>
      <c r="B139" s="43"/>
      <c r="C139" s="16"/>
      <c r="D139" s="16"/>
      <c r="E139" s="64"/>
      <c r="F139" s="64"/>
      <c r="G139" s="16"/>
      <c r="H139" s="16"/>
      <c r="I139" s="16"/>
      <c r="J139" s="43"/>
      <c r="K139" s="43"/>
    </row>
    <row r="140" spans="1:11" ht="13.5" customHeight="1" x14ac:dyDescent="0.25">
      <c r="A140" s="43"/>
      <c r="B140" s="43"/>
      <c r="C140" s="35"/>
      <c r="D140" s="35"/>
      <c r="E140" s="65"/>
      <c r="F140" s="69"/>
      <c r="G140" s="35"/>
      <c r="H140" s="35"/>
      <c r="I140" s="35"/>
      <c r="J140" s="43"/>
      <c r="K140" s="43"/>
    </row>
    <row r="141" spans="1:11" ht="13.5" customHeight="1" x14ac:dyDescent="0.25">
      <c r="A141" s="43"/>
      <c r="B141" s="43"/>
      <c r="C141" s="16"/>
      <c r="D141" s="16"/>
      <c r="E141" s="64"/>
      <c r="F141" s="64"/>
      <c r="G141" s="16"/>
      <c r="H141" s="16"/>
      <c r="I141" s="16"/>
      <c r="J141" s="43"/>
      <c r="K141" s="43"/>
    </row>
    <row r="142" spans="1:11" ht="13.5" customHeight="1" x14ac:dyDescent="0.25">
      <c r="A142" s="43"/>
      <c r="B142" s="43"/>
      <c r="C142" s="35"/>
      <c r="D142" s="35"/>
      <c r="E142" s="65"/>
      <c r="F142" s="69"/>
      <c r="G142" s="35"/>
      <c r="H142" s="35"/>
      <c r="I142" s="35"/>
      <c r="J142" s="43"/>
      <c r="K142" s="43"/>
    </row>
    <row r="143" spans="1:11" ht="13.5" customHeight="1" x14ac:dyDescent="0.25">
      <c r="A143" s="43"/>
      <c r="B143" s="43"/>
      <c r="C143" s="16"/>
      <c r="D143" s="16"/>
      <c r="E143" s="64"/>
      <c r="F143" s="64"/>
      <c r="G143" s="16"/>
      <c r="H143" s="16"/>
      <c r="I143" s="16"/>
      <c r="J143" s="43"/>
      <c r="K143" s="43"/>
    </row>
    <row r="144" spans="1:11" ht="13.5" customHeight="1" x14ac:dyDescent="0.25">
      <c r="A144" s="43"/>
      <c r="B144" s="43"/>
      <c r="C144" s="35"/>
      <c r="D144" s="35"/>
      <c r="E144" s="65"/>
      <c r="F144" s="69"/>
      <c r="G144" s="35"/>
      <c r="H144" s="35"/>
      <c r="I144" s="35"/>
      <c r="J144" s="43"/>
      <c r="K144" s="43"/>
    </row>
    <row r="145" spans="1:11" ht="13.5" customHeight="1" x14ac:dyDescent="0.25">
      <c r="A145" s="43"/>
      <c r="B145" s="43"/>
      <c r="C145" s="16"/>
      <c r="D145" s="16"/>
      <c r="E145" s="64"/>
      <c r="F145" s="64"/>
      <c r="G145" s="16"/>
      <c r="H145" s="16"/>
      <c r="I145" s="16"/>
      <c r="J145" s="43"/>
      <c r="K145" s="43"/>
    </row>
    <row r="146" spans="1:11" ht="13.5" customHeight="1" x14ac:dyDescent="0.25">
      <c r="A146" s="43"/>
      <c r="B146" s="43"/>
      <c r="C146" s="35"/>
      <c r="D146" s="35"/>
      <c r="E146" s="65"/>
      <c r="F146" s="69"/>
      <c r="G146" s="35"/>
      <c r="H146" s="35"/>
      <c r="I146" s="35"/>
      <c r="J146" s="43"/>
      <c r="K146" s="43"/>
    </row>
    <row r="147" spans="1:11" ht="13.5" customHeight="1" x14ac:dyDescent="0.25">
      <c r="A147" s="43"/>
      <c r="B147" s="43"/>
      <c r="C147" s="16"/>
      <c r="D147" s="16"/>
      <c r="E147" s="64"/>
      <c r="F147" s="64"/>
      <c r="G147" s="16"/>
      <c r="H147" s="16"/>
      <c r="I147" s="16"/>
      <c r="J147" s="43"/>
      <c r="K147" s="43"/>
    </row>
    <row r="148" spans="1:11" ht="13.5" customHeight="1" x14ac:dyDescent="0.25">
      <c r="A148" s="43"/>
      <c r="B148" s="43"/>
      <c r="C148" s="35"/>
      <c r="D148" s="35"/>
      <c r="E148" s="65"/>
      <c r="F148" s="69"/>
      <c r="G148" s="35"/>
      <c r="H148" s="35"/>
      <c r="I148" s="35"/>
      <c r="J148" s="43"/>
      <c r="K148" s="43"/>
    </row>
    <row r="149" spans="1:11" ht="13.5" customHeight="1" x14ac:dyDescent="0.25">
      <c r="A149" s="43"/>
      <c r="B149" s="43"/>
      <c r="C149" s="16"/>
      <c r="D149" s="16"/>
      <c r="E149" s="64"/>
      <c r="F149" s="64"/>
      <c r="G149" s="16"/>
      <c r="H149" s="16"/>
      <c r="I149" s="16"/>
      <c r="J149" s="43"/>
      <c r="K149" s="43"/>
    </row>
    <row r="150" spans="1:11" ht="13.5" customHeight="1" x14ac:dyDescent="0.25">
      <c r="A150" s="43"/>
      <c r="B150" s="43"/>
      <c r="C150" s="35"/>
      <c r="D150" s="35"/>
      <c r="E150" s="65"/>
      <c r="F150" s="69"/>
      <c r="G150" s="35"/>
      <c r="H150" s="35"/>
      <c r="I150" s="35"/>
      <c r="J150" s="43"/>
      <c r="K150" s="43"/>
    </row>
    <row r="151" spans="1:11" ht="13.5" customHeight="1" x14ac:dyDescent="0.25">
      <c r="A151" s="43"/>
      <c r="B151" s="43"/>
      <c r="C151" s="16"/>
      <c r="D151" s="16"/>
      <c r="E151" s="64"/>
      <c r="F151" s="64"/>
      <c r="G151" s="16"/>
      <c r="H151" s="16"/>
      <c r="I151" s="16"/>
      <c r="J151" s="43"/>
      <c r="K151" s="43"/>
    </row>
    <row r="152" spans="1:11" ht="13.5" customHeight="1" x14ac:dyDescent="0.25">
      <c r="A152" s="43"/>
      <c r="B152" s="43"/>
      <c r="C152" s="35"/>
      <c r="D152" s="35"/>
      <c r="E152" s="65"/>
      <c r="F152" s="69"/>
      <c r="G152" s="35"/>
      <c r="H152" s="35"/>
      <c r="I152" s="35"/>
      <c r="J152" s="43"/>
      <c r="K152" s="43"/>
    </row>
    <row r="153" spans="1:11" ht="13.5" customHeight="1" x14ac:dyDescent="0.25">
      <c r="A153" s="43"/>
      <c r="B153" s="43"/>
      <c r="C153" s="16"/>
      <c r="D153" s="16"/>
      <c r="E153" s="64"/>
      <c r="F153" s="64"/>
      <c r="G153" s="16"/>
      <c r="H153" s="16"/>
      <c r="I153" s="16"/>
      <c r="J153" s="43"/>
      <c r="K153" s="43"/>
    </row>
    <row r="154" spans="1:11" ht="13.5" customHeight="1" x14ac:dyDescent="0.25">
      <c r="A154" s="43"/>
      <c r="B154" s="43"/>
      <c r="C154" s="35"/>
      <c r="D154" s="35"/>
      <c r="E154" s="65"/>
      <c r="F154" s="69"/>
      <c r="G154" s="35"/>
      <c r="H154" s="35"/>
      <c r="I154" s="35"/>
      <c r="J154" s="43"/>
      <c r="K154" s="43"/>
    </row>
    <row r="155" spans="1:11" ht="13.5" customHeight="1" x14ac:dyDescent="0.25">
      <c r="A155" s="43"/>
      <c r="B155" s="43"/>
      <c r="C155" s="16"/>
      <c r="D155" s="16"/>
      <c r="E155" s="64"/>
      <c r="F155" s="64"/>
      <c r="G155" s="16"/>
      <c r="H155" s="16"/>
      <c r="I155" s="16"/>
      <c r="J155" s="43"/>
      <c r="K155" s="43"/>
    </row>
    <row r="156" spans="1:11" ht="13.5" customHeight="1" x14ac:dyDescent="0.25">
      <c r="A156" s="43"/>
      <c r="B156" s="43"/>
      <c r="C156" s="35"/>
      <c r="D156" s="35"/>
      <c r="E156" s="65"/>
      <c r="F156" s="69"/>
      <c r="G156" s="35"/>
      <c r="H156" s="35"/>
      <c r="I156" s="35"/>
      <c r="J156" s="43"/>
      <c r="K156" s="43"/>
    </row>
    <row r="157" spans="1:11" ht="13.5" customHeight="1" x14ac:dyDescent="0.25">
      <c r="A157" s="43"/>
      <c r="B157" s="43"/>
      <c r="C157" s="16"/>
      <c r="D157" s="16"/>
      <c r="E157" s="64"/>
      <c r="F157" s="64"/>
      <c r="G157" s="16"/>
      <c r="H157" s="16"/>
      <c r="I157" s="16"/>
      <c r="J157" s="43"/>
      <c r="K157" s="43"/>
    </row>
    <row r="158" spans="1:11" ht="13.5" customHeight="1" x14ac:dyDescent="0.25">
      <c r="A158" s="43"/>
      <c r="B158" s="43"/>
      <c r="C158" s="35"/>
      <c r="D158" s="35"/>
      <c r="E158" s="65"/>
      <c r="F158" s="69"/>
      <c r="G158" s="35"/>
      <c r="H158" s="35"/>
      <c r="I158" s="35"/>
      <c r="J158" s="43"/>
      <c r="K158" s="43"/>
    </row>
    <row r="159" spans="1:11" ht="13.5" customHeight="1" x14ac:dyDescent="0.25">
      <c r="A159" s="43"/>
      <c r="B159" s="43"/>
      <c r="C159" s="16"/>
      <c r="D159" s="16"/>
      <c r="E159" s="64"/>
      <c r="F159" s="64"/>
      <c r="G159" s="16"/>
      <c r="H159" s="16"/>
      <c r="I159" s="16"/>
      <c r="J159" s="43"/>
      <c r="K159" s="43"/>
    </row>
    <row r="160" spans="1:11" ht="13.5" customHeight="1" x14ac:dyDescent="0.25">
      <c r="A160" s="43"/>
      <c r="B160" s="43"/>
      <c r="C160" s="35"/>
      <c r="D160" s="35"/>
      <c r="E160" s="65"/>
      <c r="F160" s="69"/>
      <c r="G160" s="35"/>
      <c r="H160" s="35"/>
      <c r="I160" s="35"/>
      <c r="J160" s="43"/>
      <c r="K160" s="43"/>
    </row>
    <row r="161" spans="1:11" ht="13.5" customHeight="1" x14ac:dyDescent="0.25">
      <c r="A161" s="43"/>
      <c r="B161" s="43"/>
      <c r="C161" s="16"/>
      <c r="D161" s="16"/>
      <c r="E161" s="64"/>
      <c r="F161" s="64"/>
      <c r="G161" s="16"/>
      <c r="H161" s="16"/>
      <c r="I161" s="16"/>
      <c r="J161" s="43"/>
      <c r="K161" s="43"/>
    </row>
    <row r="162" spans="1:11" ht="13.5" customHeight="1" x14ac:dyDescent="0.25">
      <c r="A162" s="43"/>
      <c r="B162" s="43"/>
      <c r="C162" s="35"/>
      <c r="D162" s="35"/>
      <c r="E162" s="65"/>
      <c r="F162" s="69"/>
      <c r="G162" s="35"/>
      <c r="H162" s="35"/>
      <c r="I162" s="35"/>
      <c r="J162" s="43"/>
      <c r="K162" s="43"/>
    </row>
    <row r="163" spans="1:11" ht="13.5" customHeight="1" x14ac:dyDescent="0.25">
      <c r="A163" s="43"/>
      <c r="B163" s="43"/>
      <c r="C163" s="16"/>
      <c r="D163" s="16"/>
      <c r="E163" s="64"/>
      <c r="F163" s="64"/>
      <c r="G163" s="16"/>
      <c r="H163" s="16"/>
      <c r="I163" s="16"/>
      <c r="J163" s="43"/>
      <c r="K163" s="43"/>
    </row>
    <row r="164" spans="1:11" ht="13.5" customHeight="1" x14ac:dyDescent="0.25">
      <c r="A164" s="43"/>
      <c r="B164" s="43"/>
      <c r="C164" s="35"/>
      <c r="D164" s="35"/>
      <c r="E164" s="65"/>
      <c r="F164" s="69"/>
      <c r="G164" s="35"/>
      <c r="H164" s="35"/>
      <c r="I164" s="35"/>
      <c r="J164" s="43"/>
      <c r="K164" s="43"/>
    </row>
    <row r="165" spans="1:11" ht="13.5" customHeight="1" x14ac:dyDescent="0.25">
      <c r="A165" s="43"/>
      <c r="B165" s="43"/>
      <c r="C165" s="16"/>
      <c r="D165" s="16"/>
      <c r="E165" s="64"/>
      <c r="F165" s="64"/>
      <c r="G165" s="16"/>
      <c r="H165" s="16"/>
      <c r="I165" s="16"/>
      <c r="J165" s="43"/>
      <c r="K165" s="43"/>
    </row>
    <row r="166" spans="1:11" ht="13.5" customHeight="1" x14ac:dyDescent="0.25">
      <c r="A166" s="43"/>
      <c r="B166" s="43"/>
      <c r="C166" s="35"/>
      <c r="D166" s="35"/>
      <c r="E166" s="65"/>
      <c r="F166" s="69"/>
      <c r="G166" s="35"/>
      <c r="H166" s="35"/>
      <c r="I166" s="35"/>
      <c r="J166" s="43"/>
      <c r="K166" s="43"/>
    </row>
    <row r="167" spans="1:11" ht="13.5" customHeight="1" x14ac:dyDescent="0.25">
      <c r="A167" s="43"/>
      <c r="B167" s="43"/>
      <c r="C167" s="16"/>
      <c r="D167" s="16"/>
      <c r="E167" s="64"/>
      <c r="F167" s="64"/>
      <c r="G167" s="16"/>
      <c r="H167" s="16"/>
      <c r="I167" s="16"/>
      <c r="J167" s="43"/>
      <c r="K167" s="43"/>
    </row>
    <row r="168" spans="1:11" ht="13.5" customHeight="1" x14ac:dyDescent="0.25">
      <c r="A168" s="43"/>
      <c r="B168" s="43"/>
      <c r="C168" s="35"/>
      <c r="D168" s="35"/>
      <c r="E168" s="65"/>
      <c r="F168" s="69"/>
      <c r="G168" s="35"/>
      <c r="H168" s="35"/>
      <c r="I168" s="35"/>
      <c r="J168" s="43"/>
      <c r="K168" s="43"/>
    </row>
    <row r="169" spans="1:11" ht="13.5" customHeight="1" x14ac:dyDescent="0.25">
      <c r="A169" s="43"/>
      <c r="B169" s="43"/>
      <c r="C169" s="16"/>
      <c r="D169" s="16"/>
      <c r="E169" s="64"/>
      <c r="F169" s="64"/>
      <c r="G169" s="16"/>
      <c r="H169" s="16"/>
      <c r="I169" s="16"/>
      <c r="J169" s="43"/>
      <c r="K169" s="43"/>
    </row>
    <row r="170" spans="1:11" ht="13.5" customHeight="1" x14ac:dyDescent="0.25">
      <c r="A170" s="43"/>
      <c r="B170" s="43"/>
      <c r="C170" s="35"/>
      <c r="D170" s="35"/>
      <c r="E170" s="65"/>
      <c r="F170" s="69"/>
      <c r="G170" s="35"/>
      <c r="H170" s="35"/>
      <c r="I170" s="35"/>
      <c r="J170" s="43"/>
      <c r="K170" s="43"/>
    </row>
    <row r="171" spans="1:11" ht="13.5" customHeight="1" x14ac:dyDescent="0.25">
      <c r="A171" s="43"/>
      <c r="B171" s="43"/>
      <c r="C171" s="16"/>
      <c r="D171" s="16"/>
      <c r="E171" s="64"/>
      <c r="F171" s="64"/>
      <c r="G171" s="16"/>
      <c r="H171" s="16"/>
      <c r="I171" s="16"/>
      <c r="J171" s="43"/>
      <c r="K171" s="43"/>
    </row>
    <row r="172" spans="1:11" ht="13.5" customHeight="1" x14ac:dyDescent="0.25">
      <c r="A172" s="43"/>
      <c r="B172" s="43"/>
      <c r="C172" s="35"/>
      <c r="D172" s="35"/>
      <c r="E172" s="65"/>
      <c r="F172" s="69"/>
      <c r="G172" s="35"/>
      <c r="H172" s="35"/>
      <c r="I172" s="35"/>
      <c r="J172" s="43"/>
      <c r="K172" s="43"/>
    </row>
    <row r="173" spans="1:11" ht="13.5" customHeight="1" x14ac:dyDescent="0.25">
      <c r="A173" s="43"/>
      <c r="B173" s="43"/>
      <c r="C173" s="16"/>
      <c r="D173" s="16"/>
      <c r="E173" s="64"/>
      <c r="F173" s="64"/>
      <c r="G173" s="16"/>
      <c r="H173" s="16"/>
      <c r="I173" s="16"/>
      <c r="J173" s="43"/>
      <c r="K173" s="43"/>
    </row>
    <row r="174" spans="1:11" ht="13.5" customHeight="1" x14ac:dyDescent="0.25">
      <c r="A174" s="43"/>
      <c r="B174" s="43"/>
      <c r="C174" s="35"/>
      <c r="D174" s="35"/>
      <c r="E174" s="65"/>
      <c r="F174" s="69"/>
      <c r="G174" s="35"/>
      <c r="H174" s="35"/>
      <c r="I174" s="35"/>
      <c r="J174" s="43"/>
      <c r="K174" s="43"/>
    </row>
    <row r="175" spans="1:11" ht="13.5" customHeight="1" x14ac:dyDescent="0.25">
      <c r="A175" s="43"/>
      <c r="B175" s="43"/>
      <c r="C175" s="16"/>
      <c r="D175" s="16"/>
      <c r="E175" s="64"/>
      <c r="F175" s="64"/>
      <c r="G175" s="16"/>
      <c r="H175" s="16"/>
      <c r="I175" s="16"/>
      <c r="J175" s="43"/>
      <c r="K175" s="43"/>
    </row>
    <row r="176" spans="1:11" ht="13.5" customHeight="1" x14ac:dyDescent="0.25">
      <c r="A176" s="43"/>
      <c r="B176" s="43"/>
      <c r="C176" s="35"/>
      <c r="D176" s="35"/>
      <c r="E176" s="65"/>
      <c r="F176" s="69"/>
      <c r="G176" s="35"/>
      <c r="H176" s="35"/>
      <c r="I176" s="35"/>
      <c r="J176" s="43"/>
      <c r="K176" s="43"/>
    </row>
    <row r="177" spans="1:11" ht="13.5" customHeight="1" x14ac:dyDescent="0.25">
      <c r="A177" s="43"/>
      <c r="B177" s="43"/>
      <c r="C177" s="16"/>
      <c r="D177" s="16"/>
      <c r="E177" s="64"/>
      <c r="F177" s="64"/>
      <c r="G177" s="16"/>
      <c r="H177" s="16"/>
      <c r="I177" s="16"/>
      <c r="J177" s="43"/>
      <c r="K177" s="43"/>
    </row>
    <row r="178" spans="1:11" ht="13.5" customHeight="1" x14ac:dyDescent="0.25">
      <c r="A178" s="43"/>
      <c r="B178" s="43"/>
      <c r="C178" s="35"/>
      <c r="D178" s="35"/>
      <c r="E178" s="65"/>
      <c r="F178" s="69"/>
      <c r="G178" s="35"/>
      <c r="H178" s="35"/>
      <c r="I178" s="35"/>
      <c r="J178" s="43"/>
      <c r="K178" s="43"/>
    </row>
    <row r="179" spans="1:11" ht="13.5" customHeight="1" x14ac:dyDescent="0.25">
      <c r="A179" s="43"/>
      <c r="B179" s="43"/>
      <c r="C179" s="16"/>
      <c r="D179" s="16"/>
      <c r="E179" s="64"/>
      <c r="F179" s="64"/>
      <c r="G179" s="16"/>
      <c r="H179" s="16"/>
      <c r="I179" s="16"/>
      <c r="J179" s="43"/>
      <c r="K179" s="43"/>
    </row>
    <row r="180" spans="1:11" ht="13.5" customHeight="1" x14ac:dyDescent="0.25">
      <c r="A180" s="43"/>
      <c r="B180" s="43"/>
      <c r="C180" s="35"/>
      <c r="D180" s="35"/>
      <c r="E180" s="65"/>
      <c r="F180" s="69"/>
      <c r="G180" s="35"/>
      <c r="H180" s="35"/>
      <c r="I180" s="35"/>
      <c r="J180" s="43"/>
      <c r="K180" s="43"/>
    </row>
    <row r="181" spans="1:11" ht="13.5" customHeight="1" x14ac:dyDescent="0.25">
      <c r="A181" s="43"/>
      <c r="B181" s="43"/>
      <c r="C181" s="16"/>
      <c r="D181" s="16"/>
      <c r="E181" s="64"/>
      <c r="F181" s="64"/>
      <c r="G181" s="16"/>
      <c r="H181" s="16"/>
      <c r="I181" s="16"/>
      <c r="J181" s="43"/>
      <c r="K181" s="43"/>
    </row>
    <row r="182" spans="1:11" ht="13.5" customHeight="1" x14ac:dyDescent="0.25">
      <c r="A182" s="43"/>
      <c r="B182" s="43"/>
      <c r="C182" s="35"/>
      <c r="D182" s="35"/>
      <c r="E182" s="65"/>
      <c r="F182" s="69"/>
      <c r="G182" s="35"/>
      <c r="H182" s="35"/>
      <c r="I182" s="35"/>
      <c r="J182" s="43"/>
      <c r="K182" s="43"/>
    </row>
    <row r="183" spans="1:11" ht="13.5" customHeight="1" x14ac:dyDescent="0.25">
      <c r="A183" s="43"/>
      <c r="B183" s="43"/>
      <c r="C183" s="16"/>
      <c r="D183" s="16"/>
      <c r="E183" s="64"/>
      <c r="F183" s="64"/>
      <c r="G183" s="16"/>
      <c r="H183" s="16"/>
      <c r="I183" s="16"/>
      <c r="J183" s="43"/>
      <c r="K183" s="43"/>
    </row>
    <row r="184" spans="1:11" ht="13.5" customHeight="1" x14ac:dyDescent="0.25">
      <c r="A184" s="43"/>
      <c r="B184" s="43"/>
      <c r="C184" s="35"/>
      <c r="D184" s="35"/>
      <c r="E184" s="65"/>
      <c r="F184" s="69"/>
      <c r="G184" s="35"/>
      <c r="H184" s="35"/>
      <c r="I184" s="35"/>
      <c r="J184" s="43"/>
      <c r="K184" s="43"/>
    </row>
    <row r="185" spans="1:11" ht="13.5" customHeight="1" x14ac:dyDescent="0.25">
      <c r="A185" s="43"/>
      <c r="B185" s="43"/>
      <c r="C185" s="16"/>
      <c r="D185" s="16"/>
      <c r="E185" s="64"/>
      <c r="F185" s="64"/>
      <c r="G185" s="16"/>
      <c r="H185" s="16"/>
      <c r="I185" s="16"/>
      <c r="J185" s="43"/>
      <c r="K185" s="43"/>
    </row>
    <row r="186" spans="1:11" ht="13.5" customHeight="1" x14ac:dyDescent="0.25">
      <c r="A186" s="43"/>
      <c r="B186" s="43"/>
      <c r="C186" s="35"/>
      <c r="D186" s="35"/>
      <c r="E186" s="65"/>
      <c r="F186" s="69"/>
      <c r="G186" s="35"/>
      <c r="H186" s="35"/>
      <c r="I186" s="35"/>
      <c r="J186" s="43"/>
      <c r="K186" s="43"/>
    </row>
    <row r="187" spans="1:11" ht="13.5" customHeight="1" x14ac:dyDescent="0.25">
      <c r="A187" s="43"/>
      <c r="B187" s="43"/>
      <c r="C187" s="16"/>
      <c r="D187" s="16"/>
      <c r="E187" s="64"/>
      <c r="F187" s="64"/>
      <c r="G187" s="16"/>
      <c r="H187" s="16"/>
      <c r="I187" s="16"/>
      <c r="J187" s="43"/>
      <c r="K187" s="43"/>
    </row>
    <row r="188" spans="1:11" ht="13.5" customHeight="1" x14ac:dyDescent="0.25">
      <c r="A188" s="43"/>
      <c r="B188" s="43"/>
      <c r="C188" s="35"/>
      <c r="D188" s="35"/>
      <c r="E188" s="65"/>
      <c r="F188" s="69"/>
      <c r="G188" s="35"/>
      <c r="H188" s="35"/>
      <c r="I188" s="35"/>
      <c r="J188" s="43"/>
      <c r="K188" s="43"/>
    </row>
    <row r="189" spans="1:11" ht="13.5" customHeight="1" x14ac:dyDescent="0.25">
      <c r="A189" s="43"/>
      <c r="B189" s="43"/>
      <c r="C189" s="16"/>
      <c r="D189" s="16"/>
      <c r="E189" s="64"/>
      <c r="F189" s="64"/>
      <c r="G189" s="16"/>
      <c r="H189" s="16"/>
      <c r="I189" s="16"/>
      <c r="J189" s="43"/>
      <c r="K189" s="43"/>
    </row>
    <row r="190" spans="1:11" ht="13.5" customHeight="1" x14ac:dyDescent="0.25">
      <c r="A190" s="43"/>
      <c r="B190" s="43"/>
      <c r="C190" s="35"/>
      <c r="D190" s="35"/>
      <c r="E190" s="65"/>
      <c r="F190" s="69"/>
      <c r="G190" s="35"/>
      <c r="H190" s="35"/>
      <c r="I190" s="35"/>
      <c r="J190" s="43"/>
      <c r="K190" s="43"/>
    </row>
    <row r="191" spans="1:11" ht="13.5" customHeight="1" x14ac:dyDescent="0.25">
      <c r="A191" s="43"/>
      <c r="B191" s="43"/>
      <c r="C191" s="16"/>
      <c r="D191" s="16"/>
      <c r="E191" s="64"/>
      <c r="F191" s="64"/>
      <c r="G191" s="16"/>
      <c r="H191" s="16"/>
      <c r="I191" s="16"/>
      <c r="J191" s="43"/>
      <c r="K191" s="43"/>
    </row>
    <row r="192" spans="1:11" ht="13.5" customHeight="1" x14ac:dyDescent="0.25">
      <c r="A192" s="43"/>
      <c r="B192" s="43"/>
      <c r="C192" s="35"/>
      <c r="D192" s="35"/>
      <c r="E192" s="65"/>
      <c r="F192" s="69"/>
      <c r="G192" s="35"/>
      <c r="H192" s="35"/>
      <c r="I192" s="35"/>
      <c r="J192" s="43"/>
      <c r="K192" s="43"/>
    </row>
    <row r="193" spans="1:11" ht="13.5" customHeight="1" x14ac:dyDescent="0.25">
      <c r="A193" s="43"/>
      <c r="B193" s="43"/>
      <c r="C193" s="16"/>
      <c r="D193" s="16"/>
      <c r="E193" s="64"/>
      <c r="F193" s="64"/>
      <c r="G193" s="16"/>
      <c r="H193" s="16"/>
      <c r="I193" s="16"/>
      <c r="J193" s="43"/>
      <c r="K193" s="43"/>
    </row>
    <row r="194" spans="1:11" ht="13.5" customHeight="1" x14ac:dyDescent="0.25">
      <c r="A194" s="43"/>
      <c r="B194" s="43"/>
      <c r="C194" s="35"/>
      <c r="D194" s="35"/>
      <c r="E194" s="65"/>
      <c r="F194" s="69"/>
      <c r="G194" s="35"/>
      <c r="H194" s="35"/>
      <c r="I194" s="35"/>
      <c r="J194" s="43"/>
      <c r="K194" s="43"/>
    </row>
    <row r="195" spans="1:11" ht="13.5" customHeight="1" x14ac:dyDescent="0.25">
      <c r="A195" s="43"/>
      <c r="B195" s="43"/>
      <c r="C195" s="16"/>
      <c r="D195" s="16"/>
      <c r="E195" s="64"/>
      <c r="F195" s="64"/>
      <c r="G195" s="16"/>
      <c r="H195" s="16"/>
      <c r="I195" s="16"/>
      <c r="J195" s="43"/>
      <c r="K195" s="43"/>
    </row>
    <row r="196" spans="1:11" ht="13.5" customHeight="1" x14ac:dyDescent="0.25">
      <c r="A196" s="43"/>
      <c r="B196" s="43"/>
      <c r="C196" s="35"/>
      <c r="D196" s="35"/>
      <c r="E196" s="65"/>
      <c r="F196" s="69"/>
      <c r="G196" s="35"/>
      <c r="H196" s="35"/>
      <c r="I196" s="35"/>
      <c r="J196" s="43"/>
      <c r="K196" s="43"/>
    </row>
    <row r="197" spans="1:11" ht="13.5" customHeight="1" x14ac:dyDescent="0.25">
      <c r="A197" s="43"/>
      <c r="B197" s="43"/>
      <c r="C197" s="16"/>
      <c r="D197" s="16"/>
      <c r="E197" s="64"/>
      <c r="F197" s="64"/>
      <c r="G197" s="16"/>
      <c r="H197" s="16"/>
      <c r="I197" s="16"/>
      <c r="J197" s="43"/>
      <c r="K197" s="43"/>
    </row>
    <row r="198" spans="1:11" ht="13.5" customHeight="1" x14ac:dyDescent="0.25">
      <c r="A198" s="43"/>
      <c r="B198" s="43"/>
      <c r="C198" s="35"/>
      <c r="D198" s="35"/>
      <c r="E198" s="65"/>
      <c r="F198" s="69"/>
      <c r="G198" s="35"/>
      <c r="H198" s="35"/>
      <c r="I198" s="35"/>
      <c r="J198" s="43"/>
      <c r="K198" s="43"/>
    </row>
    <row r="199" spans="1:11" ht="13.5" customHeight="1" x14ac:dyDescent="0.25">
      <c r="A199" s="43"/>
      <c r="B199" s="43"/>
      <c r="C199" s="16"/>
      <c r="D199" s="16"/>
      <c r="E199" s="64"/>
      <c r="F199" s="64"/>
      <c r="G199" s="16"/>
      <c r="H199" s="16"/>
      <c r="I199" s="16"/>
      <c r="J199" s="43"/>
      <c r="K199" s="43"/>
    </row>
    <row r="200" spans="1:11" ht="13.5" customHeight="1" x14ac:dyDescent="0.25">
      <c r="A200" s="43"/>
      <c r="B200" s="43"/>
      <c r="C200" s="35"/>
      <c r="D200" s="35"/>
      <c r="E200" s="65"/>
      <c r="F200" s="69"/>
      <c r="G200" s="35"/>
      <c r="H200" s="35"/>
      <c r="I200" s="35"/>
      <c r="J200" s="43"/>
      <c r="K200" s="43"/>
    </row>
    <row r="201" spans="1:11" ht="13.5" customHeight="1" x14ac:dyDescent="0.25">
      <c r="A201" s="43"/>
      <c r="B201" s="43"/>
      <c r="C201" s="16"/>
      <c r="D201" s="16"/>
      <c r="E201" s="64"/>
      <c r="F201" s="64"/>
      <c r="G201" s="16"/>
      <c r="H201" s="16"/>
      <c r="I201" s="16"/>
      <c r="J201" s="43"/>
      <c r="K201" s="43"/>
    </row>
    <row r="202" spans="1:11" ht="13.5" customHeight="1" x14ac:dyDescent="0.25">
      <c r="A202" s="43"/>
      <c r="B202" s="43"/>
      <c r="C202" s="35"/>
      <c r="D202" s="35"/>
      <c r="E202" s="65"/>
      <c r="F202" s="69"/>
      <c r="G202" s="35"/>
      <c r="H202" s="35"/>
      <c r="I202" s="35"/>
      <c r="J202" s="43"/>
      <c r="K202" s="43"/>
    </row>
    <row r="203" spans="1:11" ht="13.5" customHeight="1" x14ac:dyDescent="0.25">
      <c r="A203" s="43"/>
      <c r="B203" s="43"/>
      <c r="C203" s="16"/>
      <c r="D203" s="16"/>
      <c r="E203" s="64"/>
      <c r="F203" s="64"/>
      <c r="G203" s="16"/>
      <c r="H203" s="16"/>
      <c r="I203" s="16"/>
      <c r="J203" s="43"/>
      <c r="K203" s="43"/>
    </row>
    <row r="204" spans="1:11" ht="13.5" customHeight="1" x14ac:dyDescent="0.25">
      <c r="A204" s="43"/>
      <c r="B204" s="43"/>
      <c r="C204" s="35"/>
      <c r="D204" s="35"/>
      <c r="E204" s="65"/>
      <c r="F204" s="69"/>
      <c r="G204" s="35"/>
      <c r="H204" s="35"/>
      <c r="I204" s="35"/>
      <c r="J204" s="43"/>
      <c r="K204" s="43"/>
    </row>
    <row r="205" spans="1:11" ht="13.5" customHeight="1" x14ac:dyDescent="0.25">
      <c r="A205" s="43"/>
      <c r="B205" s="43"/>
      <c r="C205" s="16"/>
      <c r="D205" s="16"/>
      <c r="E205" s="64"/>
      <c r="F205" s="64"/>
      <c r="G205" s="16"/>
      <c r="H205" s="16"/>
      <c r="I205" s="16"/>
      <c r="J205" s="43"/>
      <c r="K205" s="43"/>
    </row>
    <row r="206" spans="1:11" ht="13.5" customHeight="1" x14ac:dyDescent="0.25">
      <c r="A206" s="43"/>
      <c r="B206" s="43"/>
      <c r="C206" s="35"/>
      <c r="D206" s="35"/>
      <c r="E206" s="65"/>
      <c r="F206" s="69"/>
      <c r="G206" s="35"/>
      <c r="H206" s="35"/>
      <c r="I206" s="35"/>
      <c r="J206" s="43"/>
      <c r="K206" s="43"/>
    </row>
    <row r="207" spans="1:11" ht="13.5" customHeight="1" x14ac:dyDescent="0.25">
      <c r="A207" s="43"/>
      <c r="B207" s="43"/>
      <c r="C207" s="16"/>
      <c r="D207" s="16"/>
      <c r="E207" s="64"/>
      <c r="F207" s="64"/>
      <c r="G207" s="16"/>
      <c r="H207" s="16"/>
      <c r="I207" s="16"/>
      <c r="J207" s="43"/>
      <c r="K207" s="43"/>
    </row>
    <row r="208" spans="1:11" ht="13.5" customHeight="1" x14ac:dyDescent="0.25">
      <c r="A208" s="43"/>
      <c r="B208" s="43"/>
      <c r="C208" s="35"/>
      <c r="D208" s="35"/>
      <c r="E208" s="65"/>
      <c r="F208" s="69"/>
      <c r="G208" s="35"/>
      <c r="H208" s="35"/>
      <c r="I208" s="35"/>
      <c r="J208" s="43"/>
      <c r="K208" s="43"/>
    </row>
    <row r="209" spans="1:11" ht="13.5" customHeight="1" x14ac:dyDescent="0.25">
      <c r="A209" s="43"/>
      <c r="B209" s="43"/>
      <c r="C209" s="16"/>
      <c r="D209" s="16"/>
      <c r="E209" s="64"/>
      <c r="F209" s="64"/>
      <c r="G209" s="16"/>
      <c r="H209" s="16"/>
      <c r="I209" s="16"/>
      <c r="J209" s="43"/>
      <c r="K209" s="43"/>
    </row>
    <row r="210" spans="1:11" ht="13.5" customHeight="1" x14ac:dyDescent="0.25">
      <c r="A210" s="43"/>
      <c r="B210" s="43"/>
      <c r="C210" s="35"/>
      <c r="D210" s="35"/>
      <c r="E210" s="65"/>
      <c r="F210" s="69"/>
      <c r="G210" s="35"/>
      <c r="H210" s="35"/>
      <c r="I210" s="35"/>
      <c r="J210" s="43"/>
      <c r="K210" s="43"/>
    </row>
    <row r="211" spans="1:11" ht="13.5" customHeight="1" x14ac:dyDescent="0.25">
      <c r="A211" s="43"/>
      <c r="B211" s="43"/>
      <c r="C211" s="16"/>
      <c r="D211" s="16"/>
      <c r="E211" s="64"/>
      <c r="F211" s="64"/>
      <c r="G211" s="16"/>
      <c r="H211" s="16"/>
      <c r="I211" s="16"/>
      <c r="J211" s="43"/>
      <c r="K211" s="43"/>
    </row>
    <row r="212" spans="1:11" ht="13.5" customHeight="1" x14ac:dyDescent="0.25">
      <c r="A212" s="43"/>
      <c r="B212" s="43"/>
      <c r="C212" s="35"/>
      <c r="D212" s="35"/>
      <c r="E212" s="65"/>
      <c r="F212" s="69"/>
      <c r="G212" s="35"/>
      <c r="H212" s="35"/>
      <c r="I212" s="35"/>
      <c r="J212" s="43"/>
      <c r="K212" s="43"/>
    </row>
    <row r="213" spans="1:11" ht="13.5" customHeight="1" x14ac:dyDescent="0.25">
      <c r="A213" s="43"/>
      <c r="B213" s="43"/>
      <c r="C213" s="16"/>
      <c r="D213" s="16"/>
      <c r="E213" s="64"/>
      <c r="F213" s="64"/>
      <c r="G213" s="16"/>
      <c r="H213" s="16"/>
      <c r="I213" s="16"/>
      <c r="J213" s="43"/>
      <c r="K213" s="43"/>
    </row>
    <row r="214" spans="1:11" ht="13.5" customHeight="1" x14ac:dyDescent="0.25">
      <c r="A214" s="43"/>
      <c r="B214" s="43"/>
      <c r="C214" s="35"/>
      <c r="D214" s="35"/>
      <c r="E214" s="65"/>
      <c r="F214" s="69"/>
      <c r="G214" s="35"/>
      <c r="H214" s="35"/>
      <c r="I214" s="35"/>
      <c r="J214" s="43"/>
      <c r="K214" s="43"/>
    </row>
    <row r="215" spans="1:11" ht="13.5" customHeight="1" x14ac:dyDescent="0.25">
      <c r="A215" s="43"/>
      <c r="B215" s="43"/>
      <c r="C215" s="16"/>
      <c r="D215" s="16"/>
      <c r="E215" s="64"/>
      <c r="F215" s="64"/>
      <c r="G215" s="16"/>
      <c r="H215" s="16"/>
      <c r="I215" s="16"/>
      <c r="J215" s="43"/>
      <c r="K215" s="43"/>
    </row>
    <row r="216" spans="1:11" ht="13.5" customHeight="1" x14ac:dyDescent="0.25">
      <c r="A216" s="43"/>
      <c r="B216" s="43"/>
      <c r="C216" s="35"/>
      <c r="D216" s="35"/>
      <c r="E216" s="65"/>
      <c r="F216" s="69"/>
      <c r="G216" s="35"/>
      <c r="H216" s="35"/>
      <c r="I216" s="35"/>
      <c r="J216" s="43"/>
      <c r="K216" s="43"/>
    </row>
    <row r="217" spans="1:11" ht="13.5" customHeight="1" x14ac:dyDescent="0.25">
      <c r="A217" s="43"/>
      <c r="B217" s="43"/>
      <c r="C217" s="16"/>
      <c r="D217" s="16"/>
      <c r="E217" s="64"/>
      <c r="F217" s="64"/>
      <c r="G217" s="16"/>
      <c r="H217" s="16"/>
      <c r="I217" s="16"/>
      <c r="J217" s="43"/>
      <c r="K217" s="43"/>
    </row>
    <row r="218" spans="1:11" ht="13.5" customHeight="1" x14ac:dyDescent="0.25">
      <c r="A218" s="43"/>
      <c r="B218" s="43"/>
      <c r="C218" s="35"/>
      <c r="D218" s="35"/>
      <c r="E218" s="65"/>
      <c r="F218" s="69"/>
      <c r="G218" s="35"/>
      <c r="H218" s="35"/>
      <c r="I218" s="35"/>
      <c r="J218" s="43"/>
      <c r="K218" s="43"/>
    </row>
    <row r="219" spans="1:11" ht="13.5" customHeight="1" x14ac:dyDescent="0.25">
      <c r="A219" s="43"/>
      <c r="B219" s="43"/>
      <c r="C219" s="16"/>
      <c r="D219" s="16"/>
      <c r="E219" s="64"/>
      <c r="F219" s="64"/>
      <c r="G219" s="16"/>
      <c r="H219" s="16"/>
      <c r="I219" s="16"/>
      <c r="J219" s="43"/>
      <c r="K219" s="43"/>
    </row>
    <row r="220" spans="1:11" ht="13.5" customHeight="1" x14ac:dyDescent="0.25">
      <c r="A220" s="43"/>
      <c r="B220" s="43"/>
      <c r="C220" s="35"/>
      <c r="D220" s="35"/>
      <c r="E220" s="65"/>
      <c r="F220" s="69"/>
      <c r="G220" s="35"/>
      <c r="H220" s="35"/>
      <c r="I220" s="35"/>
      <c r="J220" s="43"/>
      <c r="K220" s="43"/>
    </row>
    <row r="221" spans="1:11" ht="13.5" customHeight="1" x14ac:dyDescent="0.25">
      <c r="A221" s="43"/>
      <c r="B221" s="43"/>
      <c r="C221" s="16"/>
      <c r="D221" s="16"/>
      <c r="E221" s="64"/>
      <c r="F221" s="64"/>
      <c r="G221" s="16"/>
      <c r="H221" s="16"/>
      <c r="I221" s="16"/>
      <c r="J221" s="43"/>
      <c r="K221" s="43"/>
    </row>
    <row r="222" spans="1:11" ht="13.5" customHeight="1" x14ac:dyDescent="0.25">
      <c r="A222" s="43"/>
      <c r="B222" s="43"/>
      <c r="C222" s="35"/>
      <c r="D222" s="35"/>
      <c r="E222" s="65"/>
      <c r="F222" s="69"/>
      <c r="G222" s="35"/>
      <c r="H222" s="35"/>
      <c r="I222" s="35"/>
      <c r="J222" s="43"/>
      <c r="K222" s="43"/>
    </row>
    <row r="223" spans="1:11" ht="13.5" customHeight="1" x14ac:dyDescent="0.25">
      <c r="A223" s="43"/>
      <c r="B223" s="43"/>
      <c r="C223" s="16"/>
      <c r="D223" s="16"/>
      <c r="E223" s="64"/>
      <c r="F223" s="64"/>
      <c r="G223" s="16"/>
      <c r="H223" s="16"/>
      <c r="I223" s="16"/>
      <c r="J223" s="43"/>
      <c r="K223" s="43"/>
    </row>
    <row r="224" spans="1:11" ht="13.5" customHeight="1" x14ac:dyDescent="0.25">
      <c r="A224" s="43"/>
      <c r="B224" s="43"/>
      <c r="C224" s="35"/>
      <c r="D224" s="35"/>
      <c r="E224" s="65"/>
      <c r="F224" s="69"/>
      <c r="G224" s="35"/>
      <c r="H224" s="35"/>
      <c r="I224" s="35"/>
      <c r="J224" s="43"/>
      <c r="K224" s="43"/>
    </row>
    <row r="225" spans="1:11" ht="13.5" customHeight="1" x14ac:dyDescent="0.25">
      <c r="A225" s="43"/>
      <c r="B225" s="43"/>
      <c r="C225" s="16"/>
      <c r="D225" s="16"/>
      <c r="E225" s="64"/>
      <c r="F225" s="64"/>
      <c r="G225" s="16"/>
      <c r="H225" s="16"/>
      <c r="I225" s="16"/>
      <c r="J225" s="43"/>
      <c r="K225" s="43"/>
    </row>
    <row r="226" spans="1:11" ht="13.5" customHeight="1" x14ac:dyDescent="0.25">
      <c r="A226" s="43"/>
      <c r="B226" s="43"/>
      <c r="C226" s="35"/>
      <c r="D226" s="35"/>
      <c r="E226" s="65"/>
      <c r="F226" s="69"/>
      <c r="G226" s="35"/>
      <c r="H226" s="35"/>
      <c r="I226" s="35"/>
      <c r="J226" s="43"/>
      <c r="K226" s="43"/>
    </row>
    <row r="227" spans="1:11" ht="13.5" customHeight="1" x14ac:dyDescent="0.25">
      <c r="A227" s="43"/>
      <c r="B227" s="43"/>
      <c r="C227" s="16"/>
      <c r="D227" s="16"/>
      <c r="E227" s="64"/>
      <c r="F227" s="64"/>
      <c r="G227" s="16"/>
      <c r="H227" s="16"/>
      <c r="I227" s="16"/>
      <c r="J227" s="43"/>
      <c r="K227" s="43"/>
    </row>
    <row r="228" spans="1:11" ht="13.5" customHeight="1" x14ac:dyDescent="0.25">
      <c r="A228" s="43"/>
      <c r="B228" s="43"/>
      <c r="C228" s="35"/>
      <c r="D228" s="35"/>
      <c r="E228" s="65"/>
      <c r="F228" s="69"/>
      <c r="G228" s="35"/>
      <c r="H228" s="35"/>
      <c r="I228" s="35"/>
      <c r="J228" s="43"/>
      <c r="K228" s="43"/>
    </row>
    <row r="229" spans="1:11" ht="13.5" customHeight="1" x14ac:dyDescent="0.25">
      <c r="A229" s="43"/>
      <c r="B229" s="43"/>
      <c r="C229" s="16"/>
      <c r="D229" s="16"/>
      <c r="E229" s="64"/>
      <c r="F229" s="64"/>
      <c r="G229" s="16"/>
      <c r="H229" s="16"/>
      <c r="I229" s="16"/>
      <c r="J229" s="43"/>
      <c r="K229" s="43"/>
    </row>
    <row r="230" spans="1:11" ht="13.5" customHeight="1" x14ac:dyDescent="0.25">
      <c r="A230" s="43"/>
      <c r="B230" s="43"/>
      <c r="C230" s="35"/>
      <c r="D230" s="35"/>
      <c r="E230" s="65"/>
      <c r="F230" s="69"/>
      <c r="G230" s="35"/>
      <c r="H230" s="35"/>
      <c r="I230" s="35"/>
      <c r="J230" s="43"/>
      <c r="K230" s="43"/>
    </row>
    <row r="231" spans="1:11" ht="13.5" customHeight="1" x14ac:dyDescent="0.25">
      <c r="A231" s="43"/>
      <c r="B231" s="43"/>
      <c r="C231" s="16"/>
      <c r="D231" s="16"/>
      <c r="E231" s="64"/>
      <c r="F231" s="64"/>
      <c r="G231" s="16"/>
      <c r="H231" s="16"/>
      <c r="I231" s="16"/>
      <c r="J231" s="43"/>
      <c r="K231" s="43"/>
    </row>
    <row r="232" spans="1:11" ht="13.5" customHeight="1" x14ac:dyDescent="0.25">
      <c r="A232" s="43"/>
      <c r="B232" s="43"/>
      <c r="C232" s="35"/>
      <c r="D232" s="35"/>
      <c r="E232" s="65"/>
      <c r="F232" s="69"/>
      <c r="G232" s="35"/>
      <c r="H232" s="35"/>
      <c r="I232" s="35"/>
      <c r="J232" s="43"/>
      <c r="K232" s="43"/>
    </row>
    <row r="233" spans="1:11" ht="13.5" customHeight="1" x14ac:dyDescent="0.25">
      <c r="A233" s="43"/>
      <c r="B233" s="43"/>
      <c r="C233" s="16"/>
      <c r="D233" s="16"/>
      <c r="E233" s="64"/>
      <c r="F233" s="64"/>
      <c r="G233" s="16"/>
      <c r="H233" s="16"/>
      <c r="I233" s="16"/>
      <c r="J233" s="43"/>
      <c r="K233" s="43"/>
    </row>
    <row r="234" spans="1:11" ht="13.5" customHeight="1" x14ac:dyDescent="0.25">
      <c r="A234" s="43"/>
      <c r="B234" s="43"/>
      <c r="C234" s="35"/>
      <c r="D234" s="35"/>
      <c r="E234" s="65"/>
      <c r="F234" s="69"/>
      <c r="G234" s="35"/>
      <c r="H234" s="35"/>
      <c r="I234" s="35"/>
      <c r="J234" s="43"/>
      <c r="K234" s="43"/>
    </row>
    <row r="235" spans="1:11" ht="13.5" customHeight="1" x14ac:dyDescent="0.25">
      <c r="A235" s="43"/>
      <c r="B235" s="43"/>
      <c r="C235" s="16"/>
      <c r="D235" s="16"/>
      <c r="E235" s="64"/>
      <c r="F235" s="64"/>
      <c r="G235" s="16"/>
      <c r="H235" s="16"/>
      <c r="I235" s="16"/>
      <c r="J235" s="43"/>
      <c r="K235" s="43"/>
    </row>
    <row r="236" spans="1:11" ht="13.5" customHeight="1" x14ac:dyDescent="0.25">
      <c r="A236" s="43"/>
      <c r="B236" s="43"/>
      <c r="C236" s="35"/>
      <c r="D236" s="35"/>
      <c r="E236" s="65"/>
      <c r="F236" s="69"/>
      <c r="G236" s="35"/>
      <c r="H236" s="35"/>
      <c r="I236" s="35"/>
      <c r="J236" s="43"/>
      <c r="K236" s="43"/>
    </row>
    <row r="237" spans="1:11" ht="13.5" customHeight="1" x14ac:dyDescent="0.25">
      <c r="A237" s="43"/>
      <c r="B237" s="43"/>
      <c r="C237" s="16"/>
      <c r="D237" s="16"/>
      <c r="E237" s="64"/>
      <c r="F237" s="64"/>
      <c r="G237" s="16"/>
      <c r="H237" s="16"/>
      <c r="I237" s="16"/>
      <c r="J237" s="43"/>
      <c r="K237" s="43"/>
    </row>
    <row r="238" spans="1:11" ht="13.5" customHeight="1" x14ac:dyDescent="0.25">
      <c r="A238" s="43"/>
      <c r="B238" s="43"/>
      <c r="C238" s="35"/>
      <c r="D238" s="35"/>
      <c r="E238" s="65"/>
      <c r="F238" s="69"/>
      <c r="G238" s="35"/>
      <c r="H238" s="35"/>
      <c r="I238" s="35"/>
      <c r="J238" s="43"/>
      <c r="K238" s="43"/>
    </row>
    <row r="239" spans="1:11" ht="13.5" customHeight="1" x14ac:dyDescent="0.25">
      <c r="A239" s="43"/>
      <c r="B239" s="43"/>
      <c r="C239" s="16"/>
      <c r="D239" s="16"/>
      <c r="E239" s="64"/>
      <c r="F239" s="64"/>
      <c r="G239" s="16"/>
      <c r="H239" s="16"/>
      <c r="I239" s="16"/>
      <c r="J239" s="43"/>
      <c r="K239" s="43"/>
    </row>
    <row r="240" spans="1:11" ht="13.5" customHeight="1" x14ac:dyDescent="0.25">
      <c r="A240" s="43"/>
      <c r="B240" s="43"/>
      <c r="C240" s="35"/>
      <c r="D240" s="35"/>
      <c r="E240" s="65"/>
      <c r="F240" s="69"/>
      <c r="G240" s="35"/>
      <c r="H240" s="35"/>
      <c r="I240" s="35"/>
      <c r="J240" s="43"/>
      <c r="K240" s="43"/>
    </row>
    <row r="241" spans="1:11" ht="13.5" customHeight="1" x14ac:dyDescent="0.25">
      <c r="A241" s="43"/>
      <c r="B241" s="43"/>
      <c r="C241" s="16"/>
      <c r="D241" s="16"/>
      <c r="E241" s="64"/>
      <c r="F241" s="64"/>
      <c r="G241" s="16"/>
      <c r="H241" s="16"/>
      <c r="I241" s="16"/>
      <c r="J241" s="43"/>
      <c r="K241" s="43"/>
    </row>
    <row r="242" spans="1:11" ht="13.5" customHeight="1" x14ac:dyDescent="0.25">
      <c r="A242" s="43"/>
      <c r="B242" s="43"/>
      <c r="C242" s="35"/>
      <c r="D242" s="35"/>
      <c r="E242" s="65"/>
      <c r="F242" s="69"/>
      <c r="G242" s="35"/>
      <c r="H242" s="35"/>
      <c r="I242" s="35"/>
      <c r="J242" s="43"/>
      <c r="K242" s="43"/>
    </row>
    <row r="243" spans="1:11" ht="13.5" customHeight="1" x14ac:dyDescent="0.25">
      <c r="A243" s="43"/>
      <c r="B243" s="43"/>
      <c r="C243" s="16"/>
      <c r="D243" s="16"/>
      <c r="E243" s="64"/>
      <c r="F243" s="64"/>
      <c r="G243" s="16"/>
      <c r="H243" s="16"/>
      <c r="I243" s="16"/>
      <c r="J243" s="43"/>
      <c r="K243" s="43"/>
    </row>
    <row r="244" spans="1:11" ht="13.5" customHeight="1" x14ac:dyDescent="0.25">
      <c r="A244" s="43"/>
      <c r="B244" s="43"/>
      <c r="C244" s="35"/>
      <c r="D244" s="35"/>
      <c r="E244" s="65"/>
      <c r="F244" s="69"/>
      <c r="G244" s="35"/>
      <c r="H244" s="35"/>
      <c r="I244" s="35"/>
      <c r="J244" s="43"/>
      <c r="K244" s="43"/>
    </row>
    <row r="245" spans="1:11" ht="13.5" customHeight="1" x14ac:dyDescent="0.25">
      <c r="A245" s="43"/>
      <c r="B245" s="43"/>
      <c r="C245" s="16"/>
      <c r="D245" s="16"/>
      <c r="E245" s="64"/>
      <c r="F245" s="64"/>
      <c r="G245" s="16"/>
      <c r="H245" s="16"/>
      <c r="I245" s="16"/>
      <c r="J245" s="43"/>
      <c r="K245" s="43"/>
    </row>
    <row r="246" spans="1:11" ht="13.5" customHeight="1" x14ac:dyDescent="0.25">
      <c r="A246" s="43"/>
      <c r="B246" s="43"/>
      <c r="C246" s="35"/>
      <c r="D246" s="35"/>
      <c r="E246" s="65"/>
      <c r="F246" s="69"/>
      <c r="G246" s="35"/>
      <c r="H246" s="35"/>
      <c r="I246" s="35"/>
      <c r="J246" s="43"/>
      <c r="K246" s="43"/>
    </row>
    <row r="247" spans="1:11" ht="13.5" customHeight="1" x14ac:dyDescent="0.25">
      <c r="A247" s="43"/>
      <c r="B247" s="43"/>
      <c r="C247" s="16"/>
      <c r="D247" s="16"/>
      <c r="E247" s="64"/>
      <c r="F247" s="64"/>
      <c r="G247" s="16"/>
      <c r="H247" s="16"/>
      <c r="I247" s="16"/>
      <c r="J247" s="43"/>
      <c r="K247" s="43"/>
    </row>
    <row r="248" spans="1:11" ht="13.5" customHeight="1" x14ac:dyDescent="0.25">
      <c r="A248" s="43"/>
      <c r="B248" s="43"/>
      <c r="C248" s="35"/>
      <c r="D248" s="35"/>
      <c r="E248" s="65"/>
      <c r="F248" s="69"/>
      <c r="G248" s="35"/>
      <c r="H248" s="35"/>
      <c r="I248" s="35"/>
      <c r="J248" s="43"/>
      <c r="K248" s="43"/>
    </row>
    <row r="249" spans="1:11" ht="13.5" customHeight="1" x14ac:dyDescent="0.25">
      <c r="A249" s="43"/>
      <c r="B249" s="43"/>
      <c r="C249" s="16"/>
      <c r="D249" s="16"/>
      <c r="E249" s="64"/>
      <c r="F249" s="64"/>
      <c r="G249" s="16"/>
      <c r="H249" s="16"/>
      <c r="I249" s="16"/>
      <c r="J249" s="43"/>
      <c r="K249" s="43"/>
    </row>
    <row r="250" spans="1:11" ht="13.5" customHeight="1" x14ac:dyDescent="0.25">
      <c r="A250" s="43"/>
      <c r="B250" s="43"/>
      <c r="C250" s="35"/>
      <c r="D250" s="35"/>
      <c r="E250" s="65"/>
      <c r="F250" s="69"/>
      <c r="G250" s="35"/>
      <c r="H250" s="35"/>
      <c r="I250" s="35"/>
      <c r="J250" s="43"/>
      <c r="K250" s="43"/>
    </row>
    <row r="251" spans="1:11" ht="13.5" customHeight="1" x14ac:dyDescent="0.25">
      <c r="A251" s="43"/>
      <c r="B251" s="43"/>
      <c r="C251" s="16"/>
      <c r="D251" s="16"/>
      <c r="E251" s="64"/>
      <c r="F251" s="64"/>
      <c r="G251" s="16"/>
      <c r="H251" s="16"/>
      <c r="I251" s="16"/>
      <c r="J251" s="43"/>
      <c r="K251" s="43"/>
    </row>
    <row r="252" spans="1:11" ht="13.5" customHeight="1" x14ac:dyDescent="0.25">
      <c r="A252" s="43"/>
      <c r="B252" s="43"/>
      <c r="C252" s="35"/>
      <c r="D252" s="35"/>
      <c r="E252" s="65"/>
      <c r="F252" s="69"/>
      <c r="G252" s="35"/>
      <c r="H252" s="35"/>
      <c r="I252" s="35"/>
      <c r="J252" s="43"/>
      <c r="K252" s="43"/>
    </row>
    <row r="253" spans="1:11" ht="13.5" customHeight="1" x14ac:dyDescent="0.25">
      <c r="A253" s="43"/>
      <c r="B253" s="43"/>
      <c r="C253" s="16"/>
      <c r="D253" s="16"/>
      <c r="E253" s="64"/>
      <c r="F253" s="64"/>
      <c r="G253" s="16"/>
      <c r="H253" s="16"/>
      <c r="I253" s="16"/>
      <c r="J253" s="43"/>
      <c r="K253" s="43"/>
    </row>
    <row r="254" spans="1:11" ht="13.5" customHeight="1" x14ac:dyDescent="0.25">
      <c r="A254" s="43"/>
      <c r="B254" s="43"/>
      <c r="C254" s="35"/>
      <c r="D254" s="35"/>
      <c r="E254" s="65"/>
      <c r="F254" s="69"/>
      <c r="G254" s="35"/>
      <c r="H254" s="35"/>
      <c r="I254" s="35"/>
      <c r="J254" s="43"/>
      <c r="K254" s="43"/>
    </row>
    <row r="255" spans="1:11" ht="13.5" customHeight="1" x14ac:dyDescent="0.25">
      <c r="A255" s="43"/>
      <c r="B255" s="43"/>
      <c r="C255" s="16"/>
      <c r="D255" s="16"/>
      <c r="E255" s="64"/>
      <c r="F255" s="64"/>
      <c r="G255" s="16"/>
      <c r="H255" s="16"/>
      <c r="I255" s="16"/>
      <c r="J255" s="43"/>
      <c r="K255" s="43"/>
    </row>
    <row r="256" spans="1:11" ht="13.5" customHeight="1" x14ac:dyDescent="0.25">
      <c r="A256" s="43"/>
      <c r="B256" s="43"/>
      <c r="C256" s="35"/>
      <c r="D256" s="35"/>
      <c r="E256" s="65"/>
      <c r="F256" s="69"/>
      <c r="G256" s="35"/>
      <c r="H256" s="35"/>
      <c r="I256" s="35"/>
      <c r="J256" s="43"/>
      <c r="K256" s="43"/>
    </row>
    <row r="257" spans="1:11" ht="13.5" customHeight="1" x14ac:dyDescent="0.25">
      <c r="A257" s="43"/>
      <c r="B257" s="43"/>
      <c r="C257" s="16"/>
      <c r="D257" s="16"/>
      <c r="E257" s="64"/>
      <c r="F257" s="64"/>
      <c r="G257" s="16"/>
      <c r="H257" s="16"/>
      <c r="I257" s="16"/>
      <c r="J257" s="43"/>
      <c r="K257" s="43"/>
    </row>
    <row r="258" spans="1:11" ht="13.5" customHeight="1" x14ac:dyDescent="0.25">
      <c r="A258" s="43"/>
      <c r="B258" s="43"/>
      <c r="C258" s="35"/>
      <c r="D258" s="35"/>
      <c r="E258" s="65"/>
      <c r="F258" s="69"/>
      <c r="G258" s="35"/>
      <c r="H258" s="35"/>
      <c r="I258" s="35"/>
      <c r="J258" s="43"/>
      <c r="K258" s="43"/>
    </row>
    <row r="259" spans="1:11" ht="13.5" customHeight="1" x14ac:dyDescent="0.25">
      <c r="A259" s="43"/>
      <c r="B259" s="43"/>
      <c r="C259" s="16"/>
      <c r="D259" s="16"/>
      <c r="E259" s="64"/>
      <c r="F259" s="64"/>
      <c r="G259" s="16"/>
      <c r="H259" s="16"/>
      <c r="I259" s="16"/>
      <c r="J259" s="43"/>
      <c r="K259" s="43"/>
    </row>
    <row r="260" spans="1:11" ht="13.5" customHeight="1" x14ac:dyDescent="0.25">
      <c r="A260" s="43"/>
      <c r="B260" s="43"/>
      <c r="C260" s="35"/>
      <c r="D260" s="35"/>
      <c r="E260" s="65"/>
      <c r="F260" s="69"/>
      <c r="G260" s="35"/>
      <c r="H260" s="35"/>
      <c r="I260" s="35"/>
      <c r="J260" s="43"/>
      <c r="K260" s="43"/>
    </row>
    <row r="261" spans="1:11" ht="13.5" customHeight="1" x14ac:dyDescent="0.25">
      <c r="A261" s="43"/>
      <c r="B261" s="43"/>
      <c r="C261" s="16"/>
      <c r="D261" s="16"/>
      <c r="E261" s="64"/>
      <c r="F261" s="64"/>
      <c r="G261" s="16"/>
      <c r="H261" s="16"/>
      <c r="I261" s="16"/>
      <c r="J261" s="43"/>
      <c r="K261" s="43"/>
    </row>
    <row r="262" spans="1:11" ht="13.5" customHeight="1" x14ac:dyDescent="0.25">
      <c r="A262" s="43"/>
      <c r="B262" s="43"/>
      <c r="C262" s="35"/>
      <c r="D262" s="35"/>
      <c r="E262" s="65"/>
      <c r="F262" s="69"/>
      <c r="G262" s="35"/>
      <c r="H262" s="35"/>
      <c r="I262" s="35"/>
      <c r="J262" s="43"/>
      <c r="K262" s="43"/>
    </row>
    <row r="263" spans="1:11" ht="13.5" customHeight="1" x14ac:dyDescent="0.25">
      <c r="A263" s="43"/>
      <c r="B263" s="43"/>
      <c r="C263" s="16"/>
      <c r="D263" s="16"/>
      <c r="E263" s="64"/>
      <c r="F263" s="64"/>
      <c r="G263" s="16"/>
      <c r="H263" s="16"/>
      <c r="I263" s="16"/>
      <c r="J263" s="43"/>
      <c r="K263" s="43"/>
    </row>
    <row r="264" spans="1:11" ht="13.5" customHeight="1" x14ac:dyDescent="0.25">
      <c r="A264" s="43"/>
      <c r="B264" s="43"/>
      <c r="C264" s="35"/>
      <c r="D264" s="35"/>
      <c r="E264" s="65"/>
      <c r="F264" s="69"/>
      <c r="G264" s="35"/>
      <c r="H264" s="35"/>
      <c r="I264" s="35"/>
      <c r="J264" s="43"/>
      <c r="K264" s="43"/>
    </row>
    <row r="265" spans="1:11" ht="13.5" customHeight="1" x14ac:dyDescent="0.25">
      <c r="A265" s="43"/>
      <c r="B265" s="43"/>
      <c r="C265" s="16"/>
      <c r="D265" s="16"/>
      <c r="E265" s="64"/>
      <c r="F265" s="64"/>
      <c r="G265" s="16"/>
      <c r="H265" s="16"/>
      <c r="I265" s="16"/>
      <c r="J265" s="43"/>
      <c r="K265" s="43"/>
    </row>
    <row r="266" spans="1:11" ht="13.5" customHeight="1" x14ac:dyDescent="0.25">
      <c r="A266" s="43"/>
      <c r="B266" s="43"/>
      <c r="C266" s="35"/>
      <c r="D266" s="35"/>
      <c r="E266" s="65"/>
      <c r="F266" s="69"/>
      <c r="G266" s="35"/>
      <c r="H266" s="35"/>
      <c r="I266" s="35"/>
      <c r="J266" s="43"/>
      <c r="K266" s="43"/>
    </row>
    <row r="267" spans="1:11" ht="13.5" customHeight="1" x14ac:dyDescent="0.25">
      <c r="A267" s="43"/>
      <c r="B267" s="43"/>
      <c r="C267" s="16"/>
      <c r="D267" s="16"/>
      <c r="E267" s="64"/>
      <c r="F267" s="64"/>
      <c r="G267" s="16"/>
      <c r="H267" s="16"/>
      <c r="I267" s="16"/>
      <c r="J267" s="43"/>
      <c r="K267" s="43"/>
    </row>
    <row r="268" spans="1:11" ht="13.5" customHeight="1" x14ac:dyDescent="0.25">
      <c r="A268" s="43"/>
      <c r="B268" s="43"/>
      <c r="C268" s="35"/>
      <c r="D268" s="35"/>
      <c r="E268" s="65"/>
      <c r="F268" s="69"/>
      <c r="G268" s="35"/>
      <c r="H268" s="35"/>
      <c r="I268" s="35"/>
      <c r="J268" s="43"/>
      <c r="K268" s="43"/>
    </row>
    <row r="269" spans="1:11" ht="13.5" customHeight="1" x14ac:dyDescent="0.25">
      <c r="A269" s="43"/>
      <c r="B269" s="43"/>
      <c r="C269" s="16"/>
      <c r="D269" s="16"/>
      <c r="E269" s="64"/>
      <c r="F269" s="64"/>
      <c r="G269" s="16"/>
      <c r="H269" s="16"/>
      <c r="I269" s="16"/>
      <c r="J269" s="43"/>
      <c r="K269" s="43"/>
    </row>
    <row r="270" spans="1:11" ht="13.5" customHeight="1" x14ac:dyDescent="0.25">
      <c r="A270" s="43"/>
      <c r="B270" s="43"/>
      <c r="C270" s="35"/>
      <c r="D270" s="35"/>
      <c r="E270" s="65"/>
      <c r="F270" s="69"/>
      <c r="G270" s="35"/>
      <c r="H270" s="35"/>
      <c r="I270" s="35"/>
      <c r="J270" s="43"/>
      <c r="K270" s="43"/>
    </row>
    <row r="271" spans="1:11" ht="13.5" customHeight="1" x14ac:dyDescent="0.25">
      <c r="A271" s="43"/>
      <c r="B271" s="43"/>
      <c r="C271" s="16"/>
      <c r="D271" s="16"/>
      <c r="E271" s="64"/>
      <c r="F271" s="64"/>
      <c r="G271" s="16"/>
      <c r="H271" s="16"/>
      <c r="I271" s="16"/>
      <c r="J271" s="43"/>
      <c r="K271" s="43"/>
    </row>
    <row r="272" spans="1:11" ht="13.5" customHeight="1" x14ac:dyDescent="0.25">
      <c r="A272" s="43"/>
      <c r="B272" s="43"/>
      <c r="C272" s="35"/>
      <c r="D272" s="35"/>
      <c r="E272" s="65"/>
      <c r="F272" s="69"/>
      <c r="G272" s="35"/>
      <c r="H272" s="35"/>
      <c r="I272" s="35"/>
      <c r="J272" s="43"/>
      <c r="K272" s="43"/>
    </row>
    <row r="273" spans="1:11" ht="13.5" customHeight="1" x14ac:dyDescent="0.25">
      <c r="A273" s="43"/>
      <c r="B273" s="43"/>
      <c r="C273" s="16"/>
      <c r="D273" s="16"/>
      <c r="E273" s="64"/>
      <c r="F273" s="64"/>
      <c r="G273" s="16"/>
      <c r="H273" s="16"/>
      <c r="I273" s="16"/>
      <c r="J273" s="43"/>
      <c r="K273" s="43"/>
    </row>
    <row r="274" spans="1:11" ht="13.5" customHeight="1" x14ac:dyDescent="0.25">
      <c r="A274" s="43"/>
      <c r="B274" s="43"/>
      <c r="C274" s="35"/>
      <c r="D274" s="35"/>
      <c r="E274" s="65"/>
      <c r="F274" s="69"/>
      <c r="G274" s="35"/>
      <c r="H274" s="35"/>
      <c r="I274" s="35"/>
      <c r="J274" s="43"/>
      <c r="K274" s="43"/>
    </row>
    <row r="275" spans="1:11" ht="13.5" customHeight="1" x14ac:dyDescent="0.25">
      <c r="A275" s="43"/>
      <c r="B275" s="43"/>
      <c r="C275" s="16"/>
      <c r="D275" s="16"/>
      <c r="E275" s="64"/>
      <c r="F275" s="64"/>
      <c r="G275" s="16"/>
      <c r="H275" s="16"/>
      <c r="I275" s="16"/>
      <c r="J275" s="43"/>
      <c r="K275" s="43"/>
    </row>
    <row r="276" spans="1:11" ht="13.5" customHeight="1" x14ac:dyDescent="0.25">
      <c r="A276" s="43"/>
      <c r="B276" s="43"/>
      <c r="C276" s="35"/>
      <c r="D276" s="35"/>
      <c r="E276" s="65"/>
      <c r="F276" s="69"/>
      <c r="G276" s="35"/>
      <c r="H276" s="35"/>
      <c r="I276" s="35"/>
      <c r="J276" s="43"/>
      <c r="K276" s="43"/>
    </row>
    <row r="277" spans="1:11" ht="13.5" customHeight="1" x14ac:dyDescent="0.25">
      <c r="A277" s="43"/>
      <c r="B277" s="43"/>
      <c r="C277" s="16"/>
      <c r="D277" s="16"/>
      <c r="E277" s="64"/>
      <c r="F277" s="64"/>
      <c r="G277" s="16"/>
      <c r="H277" s="16"/>
      <c r="I277" s="16"/>
      <c r="J277" s="43"/>
      <c r="K277" s="43"/>
    </row>
    <row r="278" spans="1:11" ht="13.5" customHeight="1" x14ac:dyDescent="0.25">
      <c r="A278" s="43"/>
      <c r="B278" s="43"/>
      <c r="C278" s="35"/>
      <c r="D278" s="35"/>
      <c r="E278" s="65"/>
      <c r="F278" s="69"/>
      <c r="G278" s="35"/>
      <c r="H278" s="35"/>
      <c r="I278" s="35"/>
      <c r="J278" s="43"/>
      <c r="K278" s="43"/>
    </row>
    <row r="279" spans="1:11" ht="13.5" customHeight="1" x14ac:dyDescent="0.25">
      <c r="A279" s="43"/>
      <c r="B279" s="43"/>
      <c r="C279" s="16"/>
      <c r="D279" s="16"/>
      <c r="E279" s="64"/>
      <c r="F279" s="64"/>
      <c r="G279" s="16"/>
      <c r="H279" s="16"/>
      <c r="I279" s="16"/>
      <c r="J279" s="43"/>
      <c r="K279" s="43"/>
    </row>
    <row r="280" spans="1:11" ht="13.5" customHeight="1" x14ac:dyDescent="0.25">
      <c r="A280" s="43"/>
      <c r="B280" s="43"/>
      <c r="C280" s="35"/>
      <c r="D280" s="35"/>
      <c r="E280" s="65"/>
      <c r="F280" s="69"/>
      <c r="G280" s="35"/>
      <c r="H280" s="35"/>
      <c r="I280" s="35"/>
      <c r="J280" s="43"/>
      <c r="K280" s="43"/>
    </row>
    <row r="281" spans="1:11" ht="13.5" customHeight="1" x14ac:dyDescent="0.25">
      <c r="A281" s="43"/>
      <c r="B281" s="43"/>
      <c r="C281" s="16"/>
      <c r="D281" s="16"/>
      <c r="E281" s="64"/>
      <c r="F281" s="64"/>
      <c r="G281" s="16"/>
      <c r="H281" s="16"/>
      <c r="I281" s="16"/>
      <c r="J281" s="43"/>
      <c r="K281" s="43"/>
    </row>
    <row r="282" spans="1:11" ht="13.5" customHeight="1" x14ac:dyDescent="0.25">
      <c r="A282" s="43"/>
      <c r="B282" s="43"/>
      <c r="C282" s="35"/>
      <c r="D282" s="35"/>
      <c r="E282" s="65"/>
      <c r="F282" s="69"/>
      <c r="G282" s="35"/>
      <c r="H282" s="35"/>
      <c r="I282" s="35"/>
      <c r="J282" s="43"/>
      <c r="K282" s="43"/>
    </row>
    <row r="283" spans="1:11" ht="13.5" customHeight="1" x14ac:dyDescent="0.25">
      <c r="A283" s="43"/>
      <c r="B283" s="43"/>
      <c r="C283" s="16"/>
      <c r="D283" s="16"/>
      <c r="E283" s="64"/>
      <c r="F283" s="64"/>
      <c r="G283" s="16"/>
      <c r="H283" s="16"/>
      <c r="I283" s="16"/>
      <c r="J283" s="43"/>
      <c r="K283" s="43"/>
    </row>
    <row r="284" spans="1:11" ht="13.5" customHeight="1" x14ac:dyDescent="0.25">
      <c r="A284" s="43"/>
      <c r="B284" s="43"/>
      <c r="C284" s="35"/>
      <c r="D284" s="35"/>
      <c r="E284" s="65"/>
      <c r="F284" s="69"/>
      <c r="G284" s="35"/>
      <c r="H284" s="35"/>
      <c r="I284" s="35"/>
      <c r="J284" s="43"/>
      <c r="K284" s="43"/>
    </row>
    <row r="285" spans="1:11" ht="13.5" customHeight="1" x14ac:dyDescent="0.25">
      <c r="A285" s="43"/>
      <c r="B285" s="43"/>
      <c r="C285" s="16"/>
      <c r="D285" s="16"/>
      <c r="E285" s="64"/>
      <c r="F285" s="64"/>
      <c r="G285" s="16"/>
      <c r="H285" s="16"/>
      <c r="I285" s="16"/>
      <c r="J285" s="43"/>
      <c r="K285" s="43"/>
    </row>
    <row r="286" spans="1:11" ht="13.5" customHeight="1" x14ac:dyDescent="0.25">
      <c r="A286" s="43"/>
      <c r="B286" s="43"/>
      <c r="C286" s="35"/>
      <c r="D286" s="35"/>
      <c r="E286" s="65"/>
      <c r="F286" s="69"/>
      <c r="G286" s="35"/>
      <c r="H286" s="35"/>
      <c r="I286" s="35"/>
      <c r="J286" s="43"/>
      <c r="K286" s="43"/>
    </row>
    <row r="287" spans="1:11" ht="13.5" customHeight="1" x14ac:dyDescent="0.25">
      <c r="A287" s="43"/>
      <c r="B287" s="43"/>
      <c r="C287" s="16"/>
      <c r="D287" s="16"/>
      <c r="E287" s="64"/>
      <c r="F287" s="64"/>
      <c r="G287" s="16"/>
      <c r="H287" s="16"/>
      <c r="I287" s="16"/>
      <c r="J287" s="43"/>
      <c r="K287" s="43"/>
    </row>
    <row r="288" spans="1:11" ht="13.5" customHeight="1" x14ac:dyDescent="0.25">
      <c r="A288" s="43"/>
      <c r="B288" s="43"/>
      <c r="C288" s="35"/>
      <c r="D288" s="35"/>
      <c r="E288" s="65"/>
      <c r="F288" s="69"/>
      <c r="G288" s="35"/>
      <c r="H288" s="35"/>
      <c r="I288" s="35"/>
      <c r="J288" s="43"/>
      <c r="K288" s="43"/>
    </row>
    <row r="289" spans="1:11" ht="13.5" customHeight="1" x14ac:dyDescent="0.25">
      <c r="A289" s="43"/>
      <c r="B289" s="43"/>
      <c r="C289" s="16"/>
      <c r="D289" s="16"/>
      <c r="E289" s="64"/>
      <c r="F289" s="64"/>
      <c r="G289" s="16"/>
      <c r="H289" s="16"/>
      <c r="I289" s="16"/>
      <c r="J289" s="43"/>
      <c r="K289" s="43"/>
    </row>
    <row r="290" spans="1:11" ht="13.5" customHeight="1" x14ac:dyDescent="0.25">
      <c r="A290" s="43"/>
      <c r="B290" s="43"/>
      <c r="C290" s="35"/>
      <c r="D290" s="35"/>
      <c r="E290" s="65"/>
      <c r="F290" s="69"/>
      <c r="G290" s="35"/>
      <c r="H290" s="35"/>
      <c r="I290" s="35"/>
      <c r="J290" s="43"/>
      <c r="K290" s="43"/>
    </row>
    <row r="291" spans="1:11" ht="13.5" customHeight="1" x14ac:dyDescent="0.25">
      <c r="A291" s="43"/>
      <c r="B291" s="43"/>
      <c r="C291" s="16"/>
      <c r="D291" s="16"/>
      <c r="E291" s="64"/>
      <c r="F291" s="64"/>
      <c r="G291" s="16"/>
      <c r="H291" s="16"/>
      <c r="I291" s="16"/>
      <c r="J291" s="43"/>
      <c r="K291" s="43"/>
    </row>
    <row r="292" spans="1:11" ht="13.5" customHeight="1" x14ac:dyDescent="0.25">
      <c r="A292" s="43"/>
      <c r="B292" s="43"/>
      <c r="C292" s="35"/>
      <c r="D292" s="35"/>
      <c r="E292" s="65"/>
      <c r="F292" s="69"/>
      <c r="G292" s="35"/>
      <c r="H292" s="35"/>
      <c r="I292" s="35"/>
      <c r="J292" s="43"/>
      <c r="K292" s="43"/>
    </row>
    <row r="293" spans="1:11" ht="13.5" customHeight="1" x14ac:dyDescent="0.25">
      <c r="A293" s="43"/>
      <c r="B293" s="43"/>
      <c r="C293" s="16"/>
      <c r="D293" s="16"/>
      <c r="E293" s="64"/>
      <c r="F293" s="64"/>
      <c r="G293" s="16"/>
      <c r="H293" s="16"/>
      <c r="I293" s="16"/>
      <c r="J293" s="43"/>
      <c r="K293" s="43"/>
    </row>
    <row r="294" spans="1:11" ht="13.5" customHeight="1" x14ac:dyDescent="0.25">
      <c r="A294" s="43"/>
      <c r="B294" s="43"/>
      <c r="C294" s="35"/>
      <c r="D294" s="35"/>
      <c r="E294" s="65"/>
      <c r="F294" s="69"/>
      <c r="G294" s="35"/>
      <c r="H294" s="35"/>
      <c r="I294" s="35"/>
      <c r="J294" s="43"/>
      <c r="K294" s="43"/>
    </row>
    <row r="295" spans="1:11" ht="13.5" customHeight="1" x14ac:dyDescent="0.25">
      <c r="A295" s="43"/>
      <c r="B295" s="43"/>
      <c r="C295" s="16"/>
      <c r="D295" s="16"/>
      <c r="E295" s="64"/>
      <c r="F295" s="64"/>
      <c r="G295" s="16"/>
      <c r="H295" s="16"/>
      <c r="I295" s="16"/>
      <c r="J295" s="43"/>
      <c r="K295" s="43"/>
    </row>
    <row r="296" spans="1:11" ht="13.5" customHeight="1" x14ac:dyDescent="0.25">
      <c r="A296" s="43"/>
      <c r="B296" s="43"/>
      <c r="C296" s="35"/>
      <c r="D296" s="35"/>
      <c r="E296" s="65"/>
      <c r="F296" s="69"/>
      <c r="G296" s="35"/>
      <c r="H296" s="35"/>
      <c r="I296" s="35"/>
      <c r="J296" s="43"/>
      <c r="K296" s="43"/>
    </row>
    <row r="297" spans="1:11" ht="13.5" customHeight="1" x14ac:dyDescent="0.25">
      <c r="A297" s="43"/>
      <c r="B297" s="43"/>
      <c r="C297" s="16"/>
      <c r="D297" s="16"/>
      <c r="E297" s="64"/>
      <c r="F297" s="64"/>
      <c r="G297" s="16"/>
      <c r="H297" s="16"/>
      <c r="I297" s="16"/>
      <c r="J297" s="43"/>
      <c r="K297" s="43"/>
    </row>
    <row r="298" spans="1:11" ht="13.5" customHeight="1" x14ac:dyDescent="0.25">
      <c r="A298" s="43"/>
      <c r="B298" s="43"/>
      <c r="C298" s="35"/>
      <c r="D298" s="35"/>
      <c r="E298" s="65"/>
      <c r="F298" s="69"/>
      <c r="G298" s="35"/>
      <c r="H298" s="35"/>
      <c r="I298" s="35"/>
      <c r="J298" s="43"/>
      <c r="K298" s="43"/>
    </row>
    <row r="299" spans="1:11" ht="13.5" customHeight="1" x14ac:dyDescent="0.25">
      <c r="A299" s="43"/>
      <c r="B299" s="43"/>
      <c r="C299" s="16"/>
      <c r="D299" s="16"/>
      <c r="E299" s="64"/>
      <c r="F299" s="64"/>
      <c r="G299" s="16"/>
      <c r="H299" s="16"/>
      <c r="I299" s="16"/>
      <c r="J299" s="43"/>
      <c r="K299" s="43"/>
    </row>
    <row r="300" spans="1:11" ht="13.5" customHeight="1" x14ac:dyDescent="0.25">
      <c r="A300" s="43"/>
      <c r="B300" s="43"/>
      <c r="C300" s="35"/>
      <c r="D300" s="35"/>
      <c r="E300" s="65"/>
      <c r="F300" s="69"/>
      <c r="G300" s="35"/>
      <c r="H300" s="35"/>
      <c r="I300" s="35"/>
      <c r="J300" s="43"/>
      <c r="K300" s="43"/>
    </row>
    <row r="301" spans="1:11" ht="13.5" customHeight="1" x14ac:dyDescent="0.25">
      <c r="A301" s="43"/>
      <c r="B301" s="43"/>
      <c r="C301" s="16"/>
      <c r="D301" s="16"/>
      <c r="E301" s="64"/>
      <c r="F301" s="64"/>
      <c r="G301" s="16"/>
      <c r="H301" s="16"/>
      <c r="I301" s="16"/>
      <c r="J301" s="43"/>
      <c r="K301" s="43"/>
    </row>
    <row r="302" spans="1:11" ht="13.5" customHeight="1" x14ac:dyDescent="0.25">
      <c r="A302" s="43"/>
      <c r="B302" s="43"/>
      <c r="C302" s="35"/>
      <c r="D302" s="35"/>
      <c r="E302" s="65"/>
      <c r="F302" s="69"/>
      <c r="G302" s="35"/>
      <c r="H302" s="35"/>
      <c r="I302" s="35"/>
      <c r="J302" s="43"/>
      <c r="K302" s="43"/>
    </row>
    <row r="303" spans="1:11" ht="13.5" customHeight="1" x14ac:dyDescent="0.25">
      <c r="A303" s="43"/>
      <c r="B303" s="43"/>
      <c r="C303" s="16"/>
      <c r="D303" s="16"/>
      <c r="E303" s="64"/>
      <c r="F303" s="64"/>
      <c r="G303" s="16"/>
      <c r="H303" s="16"/>
      <c r="I303" s="16"/>
      <c r="J303" s="43"/>
      <c r="K303" s="43"/>
    </row>
    <row r="304" spans="1:11" ht="13.5" customHeight="1" x14ac:dyDescent="0.25">
      <c r="A304" s="43"/>
      <c r="B304" s="43"/>
      <c r="C304" s="35"/>
      <c r="D304" s="35"/>
      <c r="E304" s="65"/>
      <c r="F304" s="69"/>
      <c r="G304" s="35"/>
      <c r="H304" s="35"/>
      <c r="I304" s="35"/>
      <c r="J304" s="43"/>
      <c r="K304" s="43"/>
    </row>
    <row r="305" spans="1:11" ht="13.5" customHeight="1" x14ac:dyDescent="0.25">
      <c r="A305" s="43"/>
      <c r="B305" s="43"/>
      <c r="C305" s="16"/>
      <c r="D305" s="16"/>
      <c r="E305" s="64"/>
      <c r="F305" s="64"/>
      <c r="G305" s="16"/>
      <c r="H305" s="16"/>
      <c r="I305" s="16"/>
      <c r="J305" s="43"/>
      <c r="K305" s="43"/>
    </row>
    <row r="306" spans="1:11" ht="13.5" customHeight="1" x14ac:dyDescent="0.25">
      <c r="A306" s="43"/>
      <c r="B306" s="43"/>
      <c r="C306" s="35"/>
      <c r="D306" s="35"/>
      <c r="E306" s="65"/>
      <c r="F306" s="69"/>
      <c r="G306" s="35"/>
      <c r="H306" s="35"/>
      <c r="I306" s="35"/>
      <c r="J306" s="43"/>
      <c r="K306" s="43"/>
    </row>
    <row r="307" spans="1:11" ht="13.5" customHeight="1" x14ac:dyDescent="0.25">
      <c r="A307" s="43"/>
      <c r="B307" s="43"/>
      <c r="C307" s="16"/>
      <c r="D307" s="16"/>
      <c r="E307" s="64"/>
      <c r="F307" s="64"/>
      <c r="G307" s="16"/>
      <c r="H307" s="16"/>
      <c r="I307" s="16"/>
      <c r="J307" s="43"/>
      <c r="K307" s="43"/>
    </row>
    <row r="308" spans="1:11" ht="13.5" customHeight="1" x14ac:dyDescent="0.25">
      <c r="A308" s="43"/>
      <c r="B308" s="43"/>
      <c r="C308" s="35"/>
      <c r="D308" s="35"/>
      <c r="E308" s="65"/>
      <c r="F308" s="69"/>
      <c r="G308" s="35"/>
      <c r="H308" s="35"/>
      <c r="I308" s="35"/>
      <c r="J308" s="43"/>
      <c r="K308" s="43"/>
    </row>
    <row r="309" spans="1:11" ht="13.5" customHeight="1" x14ac:dyDescent="0.25">
      <c r="A309" s="43"/>
      <c r="B309" s="43"/>
      <c r="C309" s="16"/>
      <c r="D309" s="16"/>
      <c r="E309" s="64"/>
      <c r="F309" s="64"/>
      <c r="G309" s="16"/>
      <c r="H309" s="16"/>
      <c r="I309" s="16"/>
      <c r="J309" s="43"/>
      <c r="K309" s="43"/>
    </row>
    <row r="310" spans="1:11" ht="13.5" customHeight="1" x14ac:dyDescent="0.25">
      <c r="A310" s="43"/>
      <c r="B310" s="43"/>
      <c r="C310" s="35"/>
      <c r="D310" s="35"/>
      <c r="E310" s="65"/>
      <c r="F310" s="69"/>
      <c r="G310" s="35"/>
      <c r="H310" s="35"/>
      <c r="I310" s="35"/>
      <c r="J310" s="43"/>
      <c r="K310" s="43"/>
    </row>
    <row r="311" spans="1:11" ht="13.5" customHeight="1" x14ac:dyDescent="0.25">
      <c r="A311" s="43"/>
      <c r="B311" s="43"/>
      <c r="C311" s="16"/>
      <c r="D311" s="16"/>
      <c r="E311" s="64"/>
      <c r="F311" s="64"/>
      <c r="G311" s="16"/>
      <c r="H311" s="16"/>
      <c r="I311" s="16"/>
      <c r="J311" s="43"/>
      <c r="K311" s="43"/>
    </row>
    <row r="312" spans="1:11" ht="13.5" customHeight="1" x14ac:dyDescent="0.25">
      <c r="A312" s="43"/>
      <c r="B312" s="43"/>
      <c r="C312" s="35"/>
      <c r="D312" s="35"/>
      <c r="E312" s="65"/>
      <c r="F312" s="69"/>
      <c r="G312" s="35"/>
      <c r="H312" s="35"/>
      <c r="I312" s="35"/>
      <c r="J312" s="43"/>
      <c r="K312" s="43"/>
    </row>
    <row r="313" spans="1:11" ht="13.5" customHeight="1" x14ac:dyDescent="0.25">
      <c r="A313" s="43"/>
      <c r="B313" s="43"/>
      <c r="C313" s="16"/>
      <c r="D313" s="16"/>
      <c r="E313" s="64"/>
      <c r="F313" s="64"/>
      <c r="G313" s="16"/>
      <c r="H313" s="16"/>
      <c r="I313" s="16"/>
      <c r="J313" s="43"/>
      <c r="K313" s="43"/>
    </row>
    <row r="314" spans="1:11" ht="13.5" customHeight="1" x14ac:dyDescent="0.25">
      <c r="A314" s="43"/>
      <c r="B314" s="43"/>
      <c r="C314" s="35"/>
      <c r="D314" s="35"/>
      <c r="E314" s="65"/>
      <c r="F314" s="69"/>
      <c r="G314" s="35"/>
      <c r="H314" s="35"/>
      <c r="I314" s="35"/>
      <c r="J314" s="43"/>
      <c r="K314" s="43"/>
    </row>
    <row r="315" spans="1:11" ht="13.5" customHeight="1" x14ac:dyDescent="0.25">
      <c r="A315" s="43"/>
      <c r="B315" s="43"/>
      <c r="C315" s="16"/>
      <c r="D315" s="16"/>
      <c r="E315" s="64"/>
      <c r="F315" s="64"/>
      <c r="G315" s="16"/>
      <c r="H315" s="16"/>
      <c r="I315" s="16"/>
      <c r="J315" s="43"/>
      <c r="K315" s="43"/>
    </row>
    <row r="316" spans="1:11" ht="13.5" customHeight="1" x14ac:dyDescent="0.25">
      <c r="A316" s="43"/>
      <c r="B316" s="43"/>
      <c r="C316" s="35"/>
      <c r="D316" s="35"/>
      <c r="E316" s="65"/>
      <c r="F316" s="69"/>
      <c r="G316" s="35"/>
      <c r="H316" s="35"/>
      <c r="I316" s="35"/>
      <c r="J316" s="43"/>
      <c r="K316" s="43"/>
    </row>
    <row r="317" spans="1:11" ht="13.5" customHeight="1" x14ac:dyDescent="0.25">
      <c r="A317" s="43"/>
      <c r="B317" s="43"/>
      <c r="C317" s="16"/>
      <c r="D317" s="16"/>
      <c r="E317" s="64"/>
      <c r="F317" s="64"/>
      <c r="G317" s="16"/>
      <c r="H317" s="16"/>
      <c r="I317" s="16"/>
      <c r="J317" s="43"/>
      <c r="K317" s="43"/>
    </row>
    <row r="318" spans="1:11" ht="13.5" customHeight="1" x14ac:dyDescent="0.25">
      <c r="A318" s="43"/>
      <c r="B318" s="43"/>
      <c r="C318" s="35"/>
      <c r="D318" s="35"/>
      <c r="E318" s="65"/>
      <c r="F318" s="69"/>
      <c r="G318" s="35"/>
      <c r="H318" s="35"/>
      <c r="I318" s="35"/>
      <c r="J318" s="43"/>
      <c r="K318" s="43"/>
    </row>
    <row r="319" spans="1:11" ht="13.5" customHeight="1" x14ac:dyDescent="0.25">
      <c r="A319" s="43"/>
      <c r="B319" s="43"/>
      <c r="C319" s="16"/>
      <c r="D319" s="16"/>
      <c r="E319" s="64"/>
      <c r="F319" s="64"/>
      <c r="G319" s="16"/>
      <c r="H319" s="16"/>
      <c r="I319" s="16"/>
      <c r="J319" s="43"/>
      <c r="K319" s="43"/>
    </row>
    <row r="320" spans="1:11" ht="13.5" customHeight="1" x14ac:dyDescent="0.25">
      <c r="A320" s="43"/>
      <c r="B320" s="43"/>
      <c r="C320" s="35"/>
      <c r="D320" s="35"/>
      <c r="E320" s="65"/>
      <c r="F320" s="69"/>
      <c r="G320" s="35"/>
      <c r="H320" s="35"/>
      <c r="I320" s="35"/>
      <c r="J320" s="43"/>
      <c r="K320" s="43"/>
    </row>
    <row r="321" spans="1:11" ht="13.5" customHeight="1" x14ac:dyDescent="0.25">
      <c r="A321" s="43"/>
      <c r="B321" s="43"/>
      <c r="C321" s="16"/>
      <c r="D321" s="16"/>
      <c r="E321" s="64"/>
      <c r="F321" s="64"/>
      <c r="G321" s="16"/>
      <c r="H321" s="16"/>
      <c r="I321" s="16"/>
      <c r="J321" s="43"/>
      <c r="K321" s="43"/>
    </row>
    <row r="322" spans="1:11" ht="13.5" customHeight="1" x14ac:dyDescent="0.25">
      <c r="A322" s="43"/>
      <c r="B322" s="43"/>
      <c r="C322" s="35"/>
      <c r="D322" s="35"/>
      <c r="E322" s="65"/>
      <c r="F322" s="69"/>
      <c r="G322" s="35"/>
      <c r="H322" s="35"/>
      <c r="I322" s="35"/>
      <c r="J322" s="43"/>
      <c r="K322" s="43"/>
    </row>
    <row r="323" spans="1:11" ht="13.5" customHeight="1" x14ac:dyDescent="0.25">
      <c r="A323" s="43"/>
      <c r="B323" s="43"/>
      <c r="C323" s="16"/>
      <c r="D323" s="16"/>
      <c r="E323" s="64"/>
      <c r="F323" s="64"/>
      <c r="G323" s="16"/>
      <c r="H323" s="16"/>
      <c r="I323" s="16"/>
      <c r="J323" s="43"/>
      <c r="K323" s="43"/>
    </row>
    <row r="324" spans="1:11" ht="13.5" customHeight="1" x14ac:dyDescent="0.25">
      <c r="A324" s="43"/>
      <c r="B324" s="43"/>
      <c r="C324" s="35"/>
      <c r="D324" s="35"/>
      <c r="E324" s="65"/>
      <c r="F324" s="69"/>
      <c r="G324" s="35"/>
      <c r="H324" s="35"/>
      <c r="I324" s="35"/>
      <c r="J324" s="43"/>
      <c r="K324" s="43"/>
    </row>
    <row r="325" spans="1:11" ht="13.5" customHeight="1" x14ac:dyDescent="0.25">
      <c r="A325" s="43"/>
      <c r="B325" s="43"/>
      <c r="C325" s="16"/>
      <c r="D325" s="16"/>
      <c r="E325" s="64"/>
      <c r="F325" s="64"/>
      <c r="G325" s="16"/>
      <c r="H325" s="16"/>
      <c r="I325" s="16"/>
      <c r="J325" s="43"/>
      <c r="K325" s="43"/>
    </row>
    <row r="326" spans="1:11" ht="13.5" customHeight="1" x14ac:dyDescent="0.25">
      <c r="A326" s="43"/>
      <c r="B326" s="43"/>
      <c r="C326" s="35"/>
      <c r="D326" s="35"/>
      <c r="E326" s="65"/>
      <c r="F326" s="69"/>
      <c r="G326" s="35"/>
      <c r="H326" s="35"/>
      <c r="I326" s="35"/>
      <c r="J326" s="43"/>
      <c r="K326" s="43"/>
    </row>
    <row r="327" spans="1:11" ht="13.5" customHeight="1" x14ac:dyDescent="0.25">
      <c r="A327" s="43"/>
      <c r="B327" s="43"/>
      <c r="C327" s="16"/>
      <c r="D327" s="16"/>
      <c r="E327" s="64"/>
      <c r="F327" s="64"/>
      <c r="G327" s="16"/>
      <c r="H327" s="16"/>
      <c r="I327" s="16"/>
      <c r="J327" s="43"/>
      <c r="K327" s="43"/>
    </row>
    <row r="328" spans="1:11" ht="13.5" customHeight="1" x14ac:dyDescent="0.25">
      <c r="A328" s="43"/>
      <c r="B328" s="43"/>
      <c r="C328" s="35"/>
      <c r="D328" s="35"/>
      <c r="E328" s="65"/>
      <c r="F328" s="69"/>
      <c r="G328" s="35"/>
      <c r="H328" s="35"/>
      <c r="I328" s="35"/>
      <c r="J328" s="43"/>
      <c r="K328" s="43"/>
    </row>
    <row r="329" spans="1:11" ht="13.5" customHeight="1" x14ac:dyDescent="0.25">
      <c r="A329" s="43"/>
      <c r="B329" s="43"/>
      <c r="C329" s="16"/>
      <c r="D329" s="16"/>
      <c r="E329" s="64"/>
      <c r="F329" s="64"/>
      <c r="G329" s="16"/>
      <c r="H329" s="16"/>
      <c r="I329" s="16"/>
      <c r="J329" s="43"/>
      <c r="K329" s="43"/>
    </row>
    <row r="330" spans="1:11" ht="13.5" customHeight="1" x14ac:dyDescent="0.25">
      <c r="A330" s="43"/>
      <c r="B330" s="43"/>
      <c r="C330" s="35"/>
      <c r="D330" s="35"/>
      <c r="E330" s="65"/>
      <c r="F330" s="69"/>
      <c r="G330" s="35"/>
      <c r="H330" s="35"/>
      <c r="I330" s="35"/>
      <c r="J330" s="43"/>
      <c r="K330" s="43"/>
    </row>
    <row r="331" spans="1:11" ht="13.5" customHeight="1" x14ac:dyDescent="0.25">
      <c r="A331" s="43"/>
      <c r="B331" s="43"/>
      <c r="C331" s="16"/>
      <c r="D331" s="16"/>
      <c r="E331" s="64"/>
      <c r="F331" s="64"/>
      <c r="G331" s="16"/>
      <c r="H331" s="16"/>
      <c r="I331" s="16"/>
      <c r="J331" s="43"/>
      <c r="K331" s="43"/>
    </row>
    <row r="332" spans="1:11" ht="13.5" customHeight="1" x14ac:dyDescent="0.25">
      <c r="A332" s="43"/>
      <c r="B332" s="43"/>
      <c r="C332" s="35"/>
      <c r="D332" s="35"/>
      <c r="E332" s="65"/>
      <c r="F332" s="69"/>
      <c r="G332" s="35"/>
      <c r="H332" s="35"/>
      <c r="I332" s="35"/>
      <c r="J332" s="43"/>
      <c r="K332" s="43"/>
    </row>
    <row r="333" spans="1:11" ht="13.5" customHeight="1" x14ac:dyDescent="0.25">
      <c r="A333" s="43"/>
      <c r="B333" s="43"/>
      <c r="C333" s="16"/>
      <c r="D333" s="16"/>
      <c r="E333" s="64"/>
      <c r="F333" s="64"/>
      <c r="G333" s="16"/>
      <c r="H333" s="16"/>
      <c r="I333" s="16"/>
      <c r="J333" s="43"/>
      <c r="K333" s="43"/>
    </row>
    <row r="334" spans="1:11" ht="13.5" customHeight="1" x14ac:dyDescent="0.25">
      <c r="A334" s="43"/>
      <c r="B334" s="43"/>
      <c r="C334" s="35"/>
      <c r="D334" s="35"/>
      <c r="E334" s="65"/>
      <c r="F334" s="69"/>
      <c r="G334" s="35"/>
      <c r="H334" s="35"/>
      <c r="I334" s="35"/>
      <c r="J334" s="43"/>
      <c r="K334" s="43"/>
    </row>
    <row r="335" spans="1:11" ht="13.5" customHeight="1" x14ac:dyDescent="0.25">
      <c r="A335" s="43"/>
      <c r="B335" s="43"/>
      <c r="C335" s="16"/>
      <c r="D335" s="16"/>
      <c r="E335" s="64"/>
      <c r="F335" s="64"/>
      <c r="G335" s="16"/>
      <c r="H335" s="16"/>
      <c r="I335" s="16"/>
      <c r="J335" s="43"/>
      <c r="K335" s="43"/>
    </row>
    <row r="336" spans="1:11" ht="13.5" customHeight="1" x14ac:dyDescent="0.25">
      <c r="A336" s="43"/>
      <c r="B336" s="43"/>
      <c r="C336" s="35"/>
      <c r="D336" s="35"/>
      <c r="E336" s="65"/>
      <c r="F336" s="69"/>
      <c r="G336" s="35"/>
      <c r="H336" s="35"/>
      <c r="I336" s="35"/>
      <c r="J336" s="43"/>
      <c r="K336" s="43"/>
    </row>
    <row r="337" spans="1:11" ht="13.5" customHeight="1" x14ac:dyDescent="0.25">
      <c r="A337" s="43"/>
      <c r="B337" s="43"/>
      <c r="C337" s="16"/>
      <c r="D337" s="16"/>
      <c r="E337" s="64"/>
      <c r="F337" s="64"/>
      <c r="G337" s="16"/>
      <c r="H337" s="16"/>
      <c r="I337" s="16"/>
      <c r="J337" s="43"/>
      <c r="K337" s="43"/>
    </row>
    <row r="338" spans="1:11" ht="13.5" customHeight="1" x14ac:dyDescent="0.25">
      <c r="A338" s="43"/>
      <c r="B338" s="43"/>
      <c r="C338" s="35"/>
      <c r="D338" s="35"/>
      <c r="E338" s="65"/>
      <c r="F338" s="69"/>
      <c r="G338" s="35"/>
      <c r="H338" s="35"/>
      <c r="I338" s="35"/>
      <c r="J338" s="43"/>
      <c r="K338" s="43"/>
    </row>
    <row r="339" spans="1:11" ht="13.5" customHeight="1" x14ac:dyDescent="0.25">
      <c r="A339" s="43"/>
      <c r="B339" s="43"/>
      <c r="C339" s="16"/>
      <c r="D339" s="16"/>
      <c r="E339" s="64"/>
      <c r="F339" s="64"/>
      <c r="G339" s="16"/>
      <c r="H339" s="16"/>
      <c r="I339" s="16"/>
      <c r="J339" s="43"/>
      <c r="K339" s="43"/>
    </row>
    <row r="340" spans="1:11" ht="13.5" customHeight="1" x14ac:dyDescent="0.25">
      <c r="A340" s="43"/>
      <c r="B340" s="43"/>
      <c r="C340" s="35"/>
      <c r="D340" s="35"/>
      <c r="E340" s="65"/>
      <c r="F340" s="69"/>
      <c r="G340" s="35"/>
      <c r="H340" s="35"/>
      <c r="I340" s="35"/>
      <c r="J340" s="43"/>
      <c r="K340" s="43"/>
    </row>
    <row r="341" spans="1:11" ht="13.5" customHeight="1" x14ac:dyDescent="0.25">
      <c r="A341" s="43"/>
      <c r="B341" s="43"/>
      <c r="C341" s="16"/>
      <c r="D341" s="16"/>
      <c r="E341" s="64"/>
      <c r="F341" s="64"/>
      <c r="G341" s="16"/>
      <c r="H341" s="16"/>
      <c r="I341" s="16"/>
      <c r="J341" s="43"/>
      <c r="K341" s="43"/>
    </row>
    <row r="342" spans="1:11" ht="13.5" customHeight="1" x14ac:dyDescent="0.25">
      <c r="A342" s="43"/>
      <c r="B342" s="43"/>
      <c r="C342" s="35"/>
      <c r="D342" s="35"/>
      <c r="E342" s="65"/>
      <c r="F342" s="69"/>
      <c r="G342" s="35"/>
      <c r="H342" s="35"/>
      <c r="I342" s="35"/>
      <c r="J342" s="43"/>
      <c r="K342" s="43"/>
    </row>
    <row r="343" spans="1:11" ht="13.5" customHeight="1" x14ac:dyDescent="0.25">
      <c r="A343" s="43"/>
      <c r="B343" s="43"/>
      <c r="C343" s="16"/>
      <c r="D343" s="16"/>
      <c r="E343" s="64"/>
      <c r="F343" s="64"/>
      <c r="G343" s="16"/>
      <c r="H343" s="16"/>
      <c r="I343" s="16"/>
      <c r="J343" s="43"/>
      <c r="K343" s="43"/>
    </row>
    <row r="344" spans="1:11" ht="13.5" customHeight="1" x14ac:dyDescent="0.25">
      <c r="A344" s="43"/>
      <c r="B344" s="43"/>
      <c r="C344" s="35"/>
      <c r="D344" s="35"/>
      <c r="E344" s="65"/>
      <c r="F344" s="69"/>
      <c r="G344" s="35"/>
      <c r="H344" s="35"/>
      <c r="I344" s="35"/>
      <c r="J344" s="43"/>
      <c r="K344" s="43"/>
    </row>
    <row r="345" spans="1:11" ht="13.5" customHeight="1" x14ac:dyDescent="0.25">
      <c r="A345" s="43"/>
      <c r="B345" s="43"/>
      <c r="C345" s="16"/>
      <c r="D345" s="16"/>
      <c r="E345" s="64"/>
      <c r="F345" s="64"/>
      <c r="G345" s="16"/>
      <c r="H345" s="16"/>
      <c r="I345" s="16"/>
      <c r="J345" s="43"/>
      <c r="K345" s="43"/>
    </row>
    <row r="346" spans="1:11" ht="13.5" customHeight="1" x14ac:dyDescent="0.25">
      <c r="A346" s="43"/>
      <c r="B346" s="43"/>
      <c r="C346" s="35"/>
      <c r="D346" s="35"/>
      <c r="E346" s="65"/>
      <c r="F346" s="69"/>
      <c r="G346" s="35"/>
      <c r="H346" s="35"/>
      <c r="I346" s="35"/>
      <c r="J346" s="43"/>
      <c r="K346" s="43"/>
    </row>
    <row r="347" spans="1:11" ht="13.5" customHeight="1" x14ac:dyDescent="0.25">
      <c r="A347" s="43"/>
      <c r="B347" s="43"/>
      <c r="C347" s="16"/>
      <c r="D347" s="16"/>
      <c r="E347" s="64"/>
      <c r="F347" s="64"/>
      <c r="G347" s="16"/>
      <c r="H347" s="16"/>
      <c r="I347" s="16"/>
      <c r="J347" s="43"/>
      <c r="K347" s="43"/>
    </row>
    <row r="348" spans="1:11" ht="13.5" customHeight="1" x14ac:dyDescent="0.25">
      <c r="A348" s="43"/>
      <c r="B348" s="43"/>
      <c r="C348" s="35"/>
      <c r="D348" s="35"/>
      <c r="E348" s="65"/>
      <c r="F348" s="69"/>
      <c r="G348" s="35"/>
      <c r="H348" s="35"/>
      <c r="I348" s="35"/>
      <c r="J348" s="43"/>
      <c r="K348" s="43"/>
    </row>
    <row r="349" spans="1:11" ht="13.5" customHeight="1" x14ac:dyDescent="0.25">
      <c r="A349" s="43"/>
      <c r="B349" s="43"/>
      <c r="C349" s="16"/>
      <c r="D349" s="16"/>
      <c r="E349" s="64"/>
      <c r="F349" s="64"/>
      <c r="G349" s="16"/>
      <c r="H349" s="16"/>
      <c r="I349" s="16"/>
      <c r="J349" s="43"/>
      <c r="K349" s="43"/>
    </row>
    <row r="350" spans="1:11" ht="13.5" customHeight="1" x14ac:dyDescent="0.25">
      <c r="A350" s="43"/>
      <c r="B350" s="43"/>
      <c r="C350" s="35"/>
      <c r="D350" s="35"/>
      <c r="E350" s="65"/>
      <c r="F350" s="69"/>
      <c r="G350" s="35"/>
      <c r="H350" s="35"/>
      <c r="I350" s="35"/>
      <c r="J350" s="43"/>
      <c r="K350" s="43"/>
    </row>
    <row r="351" spans="1:11" ht="13.5" customHeight="1" x14ac:dyDescent="0.25">
      <c r="A351" s="43"/>
      <c r="B351" s="43"/>
      <c r="C351" s="16"/>
      <c r="D351" s="16"/>
      <c r="E351" s="64"/>
      <c r="F351" s="64"/>
      <c r="G351" s="16"/>
      <c r="H351" s="16"/>
      <c r="I351" s="16"/>
      <c r="J351" s="43"/>
      <c r="K351" s="43"/>
    </row>
    <row r="352" spans="1:11" ht="13.5" customHeight="1" x14ac:dyDescent="0.25">
      <c r="A352" s="43"/>
      <c r="B352" s="43"/>
      <c r="C352" s="35"/>
      <c r="D352" s="35"/>
      <c r="E352" s="65"/>
      <c r="F352" s="69"/>
      <c r="G352" s="35"/>
      <c r="H352" s="35"/>
      <c r="I352" s="35"/>
      <c r="J352" s="43"/>
      <c r="K352" s="43"/>
    </row>
    <row r="353" spans="1:11" ht="13.5" customHeight="1" x14ac:dyDescent="0.25">
      <c r="A353" s="43"/>
      <c r="B353" s="43"/>
      <c r="C353" s="16"/>
      <c r="D353" s="16"/>
      <c r="E353" s="64"/>
      <c r="F353" s="64"/>
      <c r="G353" s="16"/>
      <c r="H353" s="16"/>
      <c r="I353" s="16"/>
      <c r="J353" s="43"/>
      <c r="K353" s="43"/>
    </row>
    <row r="354" spans="1:11" ht="13.5" customHeight="1" x14ac:dyDescent="0.25">
      <c r="A354" s="43"/>
      <c r="B354" s="43"/>
      <c r="C354" s="35"/>
      <c r="D354" s="35"/>
      <c r="E354" s="65"/>
      <c r="F354" s="69"/>
      <c r="G354" s="35"/>
      <c r="H354" s="35"/>
      <c r="I354" s="35"/>
      <c r="J354" s="43"/>
      <c r="K354" s="43"/>
    </row>
    <row r="355" spans="1:11" ht="13.5" customHeight="1" x14ac:dyDescent="0.25">
      <c r="A355" s="43"/>
      <c r="B355" s="43"/>
      <c r="C355" s="16"/>
      <c r="D355" s="16"/>
      <c r="E355" s="64"/>
      <c r="F355" s="64"/>
      <c r="G355" s="16"/>
      <c r="H355" s="16"/>
      <c r="I355" s="16"/>
      <c r="J355" s="43"/>
      <c r="K355" s="43"/>
    </row>
    <row r="356" spans="1:11" ht="13.5" customHeight="1" x14ac:dyDescent="0.25">
      <c r="A356" s="43"/>
      <c r="B356" s="43"/>
      <c r="C356" s="35"/>
      <c r="D356" s="35"/>
      <c r="E356" s="65"/>
      <c r="F356" s="69"/>
      <c r="G356" s="35"/>
      <c r="H356" s="35"/>
      <c r="I356" s="35"/>
      <c r="J356" s="43"/>
      <c r="K356" s="43"/>
    </row>
    <row r="357" spans="1:11" ht="13.5" customHeight="1" x14ac:dyDescent="0.25">
      <c r="A357" s="43"/>
      <c r="B357" s="43"/>
      <c r="C357" s="16"/>
      <c r="D357" s="16"/>
      <c r="E357" s="64"/>
      <c r="F357" s="64"/>
      <c r="G357" s="16"/>
      <c r="H357" s="16"/>
      <c r="I357" s="16"/>
      <c r="J357" s="43"/>
      <c r="K357" s="43"/>
    </row>
    <row r="358" spans="1:11" ht="13.5" customHeight="1" x14ac:dyDescent="0.25">
      <c r="A358" s="43"/>
      <c r="B358" s="43"/>
      <c r="C358" s="35"/>
      <c r="D358" s="35"/>
      <c r="E358" s="65"/>
      <c r="F358" s="69"/>
      <c r="G358" s="35"/>
      <c r="H358" s="35"/>
      <c r="I358" s="35"/>
      <c r="J358" s="43"/>
      <c r="K358" s="43"/>
    </row>
    <row r="359" spans="1:11" ht="13.5" customHeight="1" x14ac:dyDescent="0.25">
      <c r="A359" s="43"/>
      <c r="B359" s="43"/>
      <c r="C359" s="16"/>
      <c r="D359" s="16"/>
      <c r="E359" s="64"/>
      <c r="F359" s="64"/>
      <c r="G359" s="16"/>
      <c r="H359" s="16"/>
      <c r="I359" s="16"/>
      <c r="J359" s="43"/>
      <c r="K359" s="43"/>
    </row>
    <row r="360" spans="1:11" ht="13.5" customHeight="1" x14ac:dyDescent="0.25">
      <c r="A360" s="43"/>
      <c r="B360" s="43"/>
      <c r="C360" s="35"/>
      <c r="D360" s="35"/>
      <c r="E360" s="65"/>
      <c r="F360" s="69"/>
      <c r="G360" s="35"/>
      <c r="H360" s="35"/>
      <c r="I360" s="35"/>
      <c r="J360" s="43"/>
      <c r="K360" s="43"/>
    </row>
    <row r="361" spans="1:11" ht="13.5" customHeight="1" x14ac:dyDescent="0.25">
      <c r="A361" s="43"/>
      <c r="B361" s="43"/>
      <c r="C361" s="16"/>
      <c r="D361" s="16"/>
      <c r="E361" s="64"/>
      <c r="F361" s="64"/>
      <c r="G361" s="16"/>
      <c r="H361" s="16"/>
      <c r="I361" s="16"/>
      <c r="J361" s="43"/>
      <c r="K361" s="43"/>
    </row>
    <row r="362" spans="1:11" ht="13.5" customHeight="1" x14ac:dyDescent="0.25">
      <c r="A362" s="43"/>
      <c r="B362" s="43"/>
      <c r="C362" s="35"/>
      <c r="D362" s="35"/>
      <c r="E362" s="65"/>
      <c r="F362" s="69"/>
      <c r="G362" s="35"/>
      <c r="H362" s="35"/>
      <c r="I362" s="35"/>
      <c r="J362" s="43"/>
      <c r="K362" s="43"/>
    </row>
    <row r="363" spans="1:11" ht="13.5" customHeight="1" x14ac:dyDescent="0.25">
      <c r="A363" s="43"/>
      <c r="B363" s="43"/>
      <c r="C363" s="16"/>
      <c r="D363" s="16"/>
      <c r="E363" s="64"/>
      <c r="F363" s="64"/>
      <c r="G363" s="16"/>
      <c r="H363" s="16"/>
      <c r="I363" s="16"/>
      <c r="J363" s="43"/>
      <c r="K363" s="43"/>
    </row>
    <row r="364" spans="1:11" ht="13.5" customHeight="1" x14ac:dyDescent="0.25">
      <c r="A364" s="43"/>
      <c r="B364" s="43"/>
      <c r="C364" s="35"/>
      <c r="D364" s="35"/>
      <c r="E364" s="65"/>
      <c r="F364" s="69"/>
      <c r="G364" s="35"/>
      <c r="H364" s="35"/>
      <c r="I364" s="35"/>
      <c r="J364" s="43"/>
      <c r="K364" s="43"/>
    </row>
    <row r="365" spans="1:11" ht="13.5" customHeight="1" x14ac:dyDescent="0.25">
      <c r="A365" s="43"/>
      <c r="B365" s="43"/>
      <c r="C365" s="16"/>
      <c r="D365" s="16"/>
      <c r="E365" s="64"/>
      <c r="F365" s="64"/>
      <c r="G365" s="16"/>
      <c r="H365" s="16"/>
      <c r="I365" s="16"/>
      <c r="J365" s="43"/>
      <c r="K365" s="43"/>
    </row>
    <row r="366" spans="1:11" ht="13.5" customHeight="1" x14ac:dyDescent="0.25">
      <c r="A366" s="43"/>
      <c r="B366" s="43"/>
      <c r="C366" s="35"/>
      <c r="D366" s="35"/>
      <c r="E366" s="65"/>
      <c r="F366" s="69"/>
      <c r="G366" s="35"/>
      <c r="H366" s="35"/>
      <c r="I366" s="35"/>
      <c r="J366" s="43"/>
      <c r="K366" s="43"/>
    </row>
    <row r="367" spans="1:11" ht="13.5" customHeight="1" x14ac:dyDescent="0.25">
      <c r="A367" s="43"/>
      <c r="B367" s="43"/>
      <c r="C367" s="16"/>
      <c r="D367" s="16"/>
      <c r="E367" s="64"/>
      <c r="F367" s="64"/>
      <c r="G367" s="16"/>
      <c r="H367" s="16"/>
      <c r="I367" s="16"/>
      <c r="J367" s="43"/>
      <c r="K367" s="43"/>
    </row>
    <row r="368" spans="1:11" ht="13.5" customHeight="1" x14ac:dyDescent="0.25">
      <c r="A368" s="43"/>
      <c r="B368" s="43"/>
      <c r="C368" s="35"/>
      <c r="D368" s="35"/>
      <c r="E368" s="65"/>
      <c r="F368" s="69"/>
      <c r="G368" s="35"/>
      <c r="H368" s="35"/>
      <c r="I368" s="35"/>
      <c r="J368" s="43"/>
      <c r="K368" s="43"/>
    </row>
    <row r="369" spans="1:11" ht="13.5" customHeight="1" x14ac:dyDescent="0.25">
      <c r="A369" s="43"/>
      <c r="B369" s="43"/>
      <c r="C369" s="16"/>
      <c r="D369" s="16"/>
      <c r="E369" s="64"/>
      <c r="F369" s="64"/>
      <c r="G369" s="16"/>
      <c r="H369" s="16"/>
      <c r="I369" s="16"/>
      <c r="J369" s="43"/>
      <c r="K369" s="43"/>
    </row>
    <row r="370" spans="1:11" ht="13.5" customHeight="1" x14ac:dyDescent="0.25">
      <c r="A370" s="43"/>
      <c r="B370" s="43"/>
      <c r="C370" s="35"/>
      <c r="D370" s="35"/>
      <c r="E370" s="65"/>
      <c r="F370" s="69"/>
      <c r="G370" s="35"/>
      <c r="H370" s="35"/>
      <c r="I370" s="35"/>
      <c r="J370" s="43"/>
      <c r="K370" s="43"/>
    </row>
    <row r="371" spans="1:11" ht="13.5" customHeight="1" x14ac:dyDescent="0.25">
      <c r="A371" s="43"/>
      <c r="B371" s="43"/>
      <c r="C371" s="16"/>
      <c r="D371" s="16"/>
      <c r="E371" s="64"/>
      <c r="F371" s="64"/>
      <c r="G371" s="16"/>
      <c r="H371" s="16"/>
      <c r="I371" s="16"/>
      <c r="J371" s="43"/>
      <c r="K371" s="43"/>
    </row>
    <row r="372" spans="1:11" ht="13.5" customHeight="1" x14ac:dyDescent="0.25">
      <c r="A372" s="43"/>
      <c r="B372" s="43"/>
      <c r="C372" s="35"/>
      <c r="D372" s="35"/>
      <c r="E372" s="65"/>
      <c r="F372" s="69"/>
      <c r="G372" s="35"/>
      <c r="H372" s="35"/>
      <c r="I372" s="35"/>
      <c r="J372" s="43"/>
      <c r="K372" s="43"/>
    </row>
    <row r="373" spans="1:11" ht="13.5" customHeight="1" x14ac:dyDescent="0.25">
      <c r="A373" s="43"/>
      <c r="B373" s="43"/>
      <c r="C373" s="16"/>
      <c r="D373" s="16"/>
      <c r="E373" s="64"/>
      <c r="F373" s="64"/>
      <c r="G373" s="16"/>
      <c r="H373" s="16"/>
      <c r="I373" s="16"/>
      <c r="J373" s="43"/>
      <c r="K373" s="43"/>
    </row>
    <row r="374" spans="1:11" ht="13.5" customHeight="1" x14ac:dyDescent="0.25">
      <c r="A374" s="43"/>
      <c r="B374" s="43"/>
      <c r="C374" s="35"/>
      <c r="D374" s="35"/>
      <c r="E374" s="65"/>
      <c r="F374" s="69"/>
      <c r="G374" s="35"/>
      <c r="H374" s="35"/>
      <c r="I374" s="35"/>
      <c r="J374" s="43"/>
      <c r="K374" s="43"/>
    </row>
    <row r="375" spans="1:11" ht="13.5" customHeight="1" x14ac:dyDescent="0.25">
      <c r="A375" s="43"/>
      <c r="B375" s="43"/>
      <c r="C375" s="16"/>
      <c r="D375" s="16"/>
      <c r="E375" s="64"/>
      <c r="F375" s="64"/>
      <c r="G375" s="16"/>
      <c r="H375" s="16"/>
      <c r="I375" s="16"/>
      <c r="J375" s="43"/>
      <c r="K375" s="43"/>
    </row>
    <row r="376" spans="1:11" ht="13.5" customHeight="1" x14ac:dyDescent="0.25">
      <c r="A376" s="43"/>
      <c r="B376" s="43"/>
      <c r="C376" s="35"/>
      <c r="D376" s="35"/>
      <c r="E376" s="65"/>
      <c r="F376" s="69"/>
      <c r="G376" s="35"/>
      <c r="H376" s="35"/>
      <c r="I376" s="35"/>
      <c r="J376" s="43"/>
      <c r="K376" s="43"/>
    </row>
    <row r="377" spans="1:11" ht="13.5" customHeight="1" x14ac:dyDescent="0.25">
      <c r="A377" s="43"/>
      <c r="B377" s="43"/>
      <c r="C377" s="16"/>
      <c r="D377" s="16"/>
      <c r="E377" s="64"/>
      <c r="F377" s="64"/>
      <c r="G377" s="16"/>
      <c r="H377" s="16"/>
      <c r="I377" s="16"/>
      <c r="J377" s="43"/>
      <c r="K377" s="43"/>
    </row>
    <row r="378" spans="1:11" ht="13.5" customHeight="1" x14ac:dyDescent="0.25">
      <c r="A378" s="43"/>
      <c r="B378" s="43"/>
      <c r="C378" s="35"/>
      <c r="D378" s="35"/>
      <c r="E378" s="65"/>
      <c r="F378" s="69"/>
      <c r="G378" s="35"/>
      <c r="H378" s="35"/>
      <c r="I378" s="35"/>
      <c r="J378" s="43"/>
      <c r="K378" s="43"/>
    </row>
    <row r="379" spans="1:11" ht="13.5" customHeight="1" x14ac:dyDescent="0.25">
      <c r="A379" s="43"/>
      <c r="B379" s="43"/>
      <c r="C379" s="16"/>
      <c r="D379" s="16"/>
      <c r="E379" s="64"/>
      <c r="F379" s="64"/>
      <c r="G379" s="16"/>
      <c r="H379" s="16"/>
      <c r="I379" s="16"/>
      <c r="J379" s="43"/>
      <c r="K379" s="43"/>
    </row>
    <row r="380" spans="1:11" ht="13.5" customHeight="1" x14ac:dyDescent="0.25">
      <c r="A380" s="43"/>
      <c r="B380" s="43"/>
      <c r="C380" s="35"/>
      <c r="D380" s="35"/>
      <c r="E380" s="65"/>
      <c r="F380" s="69"/>
      <c r="G380" s="35"/>
      <c r="H380" s="35"/>
      <c r="I380" s="35"/>
      <c r="J380" s="43"/>
      <c r="K380" s="43"/>
    </row>
    <row r="381" spans="1:11" ht="13.5" customHeight="1" x14ac:dyDescent="0.25">
      <c r="A381" s="43"/>
      <c r="B381" s="43"/>
      <c r="C381" s="16"/>
      <c r="D381" s="16"/>
      <c r="E381" s="64"/>
      <c r="F381" s="64"/>
      <c r="G381" s="16"/>
      <c r="H381" s="16"/>
      <c r="I381" s="16"/>
      <c r="J381" s="43"/>
      <c r="K381" s="43"/>
    </row>
    <row r="382" spans="1:11" ht="13.5" customHeight="1" x14ac:dyDescent="0.25">
      <c r="A382" s="43"/>
      <c r="B382" s="43"/>
      <c r="C382" s="35"/>
      <c r="D382" s="35"/>
      <c r="E382" s="65"/>
      <c r="F382" s="69"/>
      <c r="G382" s="35"/>
      <c r="H382" s="35"/>
      <c r="I382" s="35"/>
      <c r="J382" s="43"/>
      <c r="K382" s="43"/>
    </row>
    <row r="383" spans="1:11" ht="13.5" customHeight="1" x14ac:dyDescent="0.25">
      <c r="A383" s="43"/>
      <c r="B383" s="43"/>
      <c r="C383" s="16"/>
      <c r="D383" s="16"/>
      <c r="E383" s="64"/>
      <c r="F383" s="64"/>
      <c r="G383" s="16"/>
      <c r="H383" s="16"/>
      <c r="I383" s="16"/>
      <c r="J383" s="43"/>
      <c r="K383" s="43"/>
    </row>
    <row r="384" spans="1:11" ht="13.5" customHeight="1" x14ac:dyDescent="0.25">
      <c r="A384" s="43"/>
      <c r="B384" s="43"/>
      <c r="C384" s="35"/>
      <c r="D384" s="35"/>
      <c r="E384" s="65"/>
      <c r="F384" s="69"/>
      <c r="G384" s="35"/>
      <c r="H384" s="35"/>
      <c r="I384" s="35"/>
      <c r="J384" s="43"/>
      <c r="K384" s="43"/>
    </row>
    <row r="385" spans="1:11" ht="13.5" customHeight="1" x14ac:dyDescent="0.25">
      <c r="A385" s="43"/>
      <c r="B385" s="43"/>
      <c r="C385" s="16"/>
      <c r="D385" s="16"/>
      <c r="E385" s="64"/>
      <c r="F385" s="64"/>
      <c r="G385" s="16"/>
      <c r="H385" s="16"/>
      <c r="I385" s="16"/>
      <c r="J385" s="43"/>
      <c r="K385" s="43"/>
    </row>
    <row r="386" spans="1:11" ht="13.5" customHeight="1" x14ac:dyDescent="0.25">
      <c r="A386" s="43"/>
      <c r="B386" s="43"/>
      <c r="C386" s="35"/>
      <c r="D386" s="35"/>
      <c r="E386" s="65"/>
      <c r="F386" s="69"/>
      <c r="G386" s="35"/>
      <c r="H386" s="35"/>
      <c r="I386" s="35"/>
      <c r="J386" s="43"/>
      <c r="K386" s="43"/>
    </row>
    <row r="387" spans="1:11" ht="13.5" customHeight="1" x14ac:dyDescent="0.25">
      <c r="A387" s="43"/>
      <c r="B387" s="43"/>
      <c r="C387" s="16"/>
      <c r="D387" s="16"/>
      <c r="E387" s="64"/>
      <c r="F387" s="64"/>
      <c r="G387" s="16"/>
      <c r="H387" s="16"/>
      <c r="I387" s="16"/>
      <c r="J387" s="43"/>
      <c r="K387" s="43"/>
    </row>
    <row r="388" spans="1:11" ht="13.5" customHeight="1" x14ac:dyDescent="0.25">
      <c r="A388" s="43"/>
      <c r="B388" s="43"/>
      <c r="C388" s="35"/>
      <c r="D388" s="35"/>
      <c r="E388" s="65"/>
      <c r="F388" s="69"/>
      <c r="G388" s="35"/>
      <c r="H388" s="35"/>
      <c r="I388" s="35"/>
      <c r="J388" s="43"/>
      <c r="K388" s="43"/>
    </row>
    <row r="389" spans="1:11" ht="13.5" customHeight="1" x14ac:dyDescent="0.25">
      <c r="A389" s="43"/>
      <c r="B389" s="43"/>
      <c r="C389" s="16"/>
      <c r="D389" s="16"/>
      <c r="E389" s="64"/>
      <c r="F389" s="64"/>
      <c r="G389" s="16"/>
      <c r="H389" s="16"/>
      <c r="I389" s="16"/>
      <c r="J389" s="43"/>
      <c r="K389" s="43"/>
    </row>
    <row r="390" spans="1:11" ht="13.5" customHeight="1" x14ac:dyDescent="0.25">
      <c r="A390" s="43"/>
      <c r="B390" s="43"/>
      <c r="C390" s="35"/>
      <c r="D390" s="35"/>
      <c r="E390" s="65"/>
      <c r="F390" s="69"/>
      <c r="G390" s="35"/>
      <c r="H390" s="35"/>
      <c r="I390" s="35"/>
      <c r="J390" s="43"/>
      <c r="K390" s="43"/>
    </row>
    <row r="391" spans="1:11" ht="13.5" customHeight="1" x14ac:dyDescent="0.25">
      <c r="A391" s="43"/>
      <c r="B391" s="43"/>
      <c r="C391" s="16"/>
      <c r="D391" s="16"/>
      <c r="E391" s="64"/>
      <c r="F391" s="64"/>
      <c r="G391" s="16"/>
      <c r="H391" s="16"/>
      <c r="I391" s="16"/>
      <c r="J391" s="43"/>
      <c r="K391" s="43"/>
    </row>
    <row r="392" spans="1:11" ht="13.5" customHeight="1" x14ac:dyDescent="0.25">
      <c r="A392" s="43"/>
      <c r="B392" s="43"/>
      <c r="C392" s="35"/>
      <c r="D392" s="35"/>
      <c r="E392" s="65"/>
      <c r="F392" s="69"/>
      <c r="G392" s="35"/>
      <c r="H392" s="35"/>
      <c r="I392" s="35"/>
      <c r="J392" s="43"/>
      <c r="K392" s="43"/>
    </row>
    <row r="393" spans="1:11" ht="13.5" customHeight="1" x14ac:dyDescent="0.25">
      <c r="A393" s="43"/>
      <c r="B393" s="43"/>
      <c r="C393" s="16"/>
      <c r="D393" s="16"/>
      <c r="E393" s="64"/>
      <c r="F393" s="64"/>
      <c r="G393" s="16"/>
      <c r="H393" s="16"/>
      <c r="I393" s="16"/>
      <c r="J393" s="43"/>
      <c r="K393" s="43"/>
    </row>
    <row r="394" spans="1:11" ht="13.5" customHeight="1" x14ac:dyDescent="0.25">
      <c r="A394" s="43"/>
      <c r="B394" s="43"/>
      <c r="C394" s="35"/>
      <c r="D394" s="35"/>
      <c r="E394" s="65"/>
      <c r="F394" s="69"/>
      <c r="G394" s="35"/>
      <c r="H394" s="35"/>
      <c r="I394" s="35"/>
      <c r="J394" s="43"/>
      <c r="K394" s="43"/>
    </row>
    <row r="395" spans="1:11" ht="13.5" customHeight="1" x14ac:dyDescent="0.25">
      <c r="A395" s="43"/>
      <c r="B395" s="43"/>
      <c r="C395" s="16"/>
      <c r="D395" s="16"/>
      <c r="E395" s="64"/>
      <c r="F395" s="64"/>
      <c r="G395" s="16"/>
      <c r="H395" s="16"/>
      <c r="I395" s="16"/>
      <c r="J395" s="43"/>
      <c r="K395" s="43"/>
    </row>
    <row r="396" spans="1:11" ht="13.5" customHeight="1" x14ac:dyDescent="0.25">
      <c r="A396" s="43"/>
      <c r="B396" s="43"/>
      <c r="C396" s="35"/>
      <c r="D396" s="35"/>
      <c r="E396" s="65"/>
      <c r="F396" s="69"/>
      <c r="G396" s="35"/>
      <c r="H396" s="35"/>
      <c r="I396" s="35"/>
      <c r="J396" s="43"/>
      <c r="K396" s="43"/>
    </row>
    <row r="397" spans="1:11" ht="13.5" customHeight="1" x14ac:dyDescent="0.25">
      <c r="A397" s="43"/>
      <c r="B397" s="43"/>
      <c r="C397" s="16"/>
      <c r="D397" s="16"/>
      <c r="E397" s="64"/>
      <c r="F397" s="64"/>
      <c r="G397" s="16"/>
      <c r="H397" s="16"/>
      <c r="I397" s="16"/>
      <c r="J397" s="43"/>
      <c r="K397" s="43"/>
    </row>
    <row r="398" spans="1:11" ht="13.5" customHeight="1" x14ac:dyDescent="0.25">
      <c r="A398" s="43"/>
      <c r="B398" s="43"/>
      <c r="C398" s="35"/>
      <c r="D398" s="35"/>
      <c r="E398" s="65"/>
      <c r="F398" s="69"/>
      <c r="G398" s="35"/>
      <c r="H398" s="35"/>
      <c r="I398" s="35"/>
      <c r="J398" s="43"/>
      <c r="K398" s="43"/>
    </row>
    <row r="399" spans="1:11" ht="13.5" customHeight="1" x14ac:dyDescent="0.25">
      <c r="A399" s="43"/>
      <c r="B399" s="43"/>
      <c r="C399" s="16"/>
      <c r="D399" s="16"/>
      <c r="E399" s="64"/>
      <c r="F399" s="64"/>
      <c r="G399" s="16"/>
      <c r="H399" s="16"/>
      <c r="I399" s="16"/>
      <c r="J399" s="43"/>
      <c r="K399" s="43"/>
    </row>
    <row r="400" spans="1:11" ht="13.5" customHeight="1" x14ac:dyDescent="0.25">
      <c r="A400" s="43"/>
      <c r="B400" s="43"/>
      <c r="C400" s="35"/>
      <c r="D400" s="35"/>
      <c r="E400" s="65"/>
      <c r="F400" s="69"/>
      <c r="G400" s="35"/>
      <c r="H400" s="35"/>
      <c r="I400" s="35"/>
      <c r="J400" s="43"/>
      <c r="K400" s="43"/>
    </row>
    <row r="401" spans="1:11" ht="13.5" customHeight="1" x14ac:dyDescent="0.25">
      <c r="A401" s="43"/>
      <c r="B401" s="43"/>
      <c r="C401" s="16"/>
      <c r="D401" s="16"/>
      <c r="E401" s="64"/>
      <c r="F401" s="64"/>
      <c r="G401" s="16"/>
      <c r="H401" s="16"/>
      <c r="I401" s="16"/>
      <c r="J401" s="43"/>
      <c r="K401" s="43"/>
    </row>
    <row r="402" spans="1:11" ht="13.5" customHeight="1" x14ac:dyDescent="0.25">
      <c r="A402" s="43"/>
      <c r="B402" s="43"/>
      <c r="C402" s="35"/>
      <c r="D402" s="35"/>
      <c r="E402" s="65"/>
      <c r="F402" s="69"/>
      <c r="G402" s="35"/>
      <c r="H402" s="35"/>
      <c r="I402" s="35"/>
      <c r="J402" s="43"/>
      <c r="K402" s="43"/>
    </row>
    <row r="403" spans="1:11" ht="13.5" customHeight="1" x14ac:dyDescent="0.25">
      <c r="A403" s="43"/>
      <c r="B403" s="43"/>
      <c r="C403" s="16"/>
      <c r="D403" s="16"/>
      <c r="E403" s="64"/>
      <c r="F403" s="64"/>
      <c r="G403" s="16"/>
      <c r="H403" s="16"/>
      <c r="I403" s="16"/>
      <c r="J403" s="43"/>
      <c r="K403" s="43"/>
    </row>
    <row r="404" spans="1:11" ht="13.5" customHeight="1" x14ac:dyDescent="0.25">
      <c r="A404" s="43"/>
      <c r="B404" s="43"/>
      <c r="C404" s="35"/>
      <c r="D404" s="35"/>
      <c r="E404" s="65"/>
      <c r="F404" s="69"/>
      <c r="G404" s="35"/>
      <c r="H404" s="35"/>
      <c r="I404" s="35"/>
      <c r="J404" s="43"/>
      <c r="K404" s="43"/>
    </row>
    <row r="405" spans="1:11" ht="13.5" customHeight="1" x14ac:dyDescent="0.25">
      <c r="A405" s="43"/>
      <c r="B405" s="43"/>
      <c r="C405" s="16"/>
      <c r="D405" s="16"/>
      <c r="E405" s="64"/>
      <c r="F405" s="64"/>
      <c r="G405" s="16"/>
      <c r="H405" s="16"/>
      <c r="I405" s="16"/>
      <c r="J405" s="43"/>
      <c r="K405" s="43"/>
    </row>
    <row r="406" spans="1:11" ht="13.5" customHeight="1" x14ac:dyDescent="0.25">
      <c r="A406" s="43"/>
      <c r="B406" s="43"/>
      <c r="C406" s="35"/>
      <c r="D406" s="35"/>
      <c r="E406" s="65"/>
      <c r="F406" s="69"/>
      <c r="G406" s="35"/>
      <c r="H406" s="35"/>
      <c r="I406" s="35"/>
      <c r="J406" s="43"/>
      <c r="K406" s="43"/>
    </row>
    <row r="407" spans="1:11" ht="13.5" customHeight="1" x14ac:dyDescent="0.25">
      <c r="A407" s="43"/>
      <c r="B407" s="43"/>
      <c r="C407" s="16"/>
      <c r="D407" s="16"/>
      <c r="E407" s="64"/>
      <c r="F407" s="64"/>
      <c r="G407" s="16"/>
      <c r="H407" s="16"/>
      <c r="I407" s="16"/>
      <c r="J407" s="43"/>
      <c r="K407" s="43"/>
    </row>
    <row r="408" spans="1:11" ht="13.5" customHeight="1" x14ac:dyDescent="0.25">
      <c r="A408" s="43"/>
      <c r="B408" s="43"/>
      <c r="C408" s="35"/>
      <c r="D408" s="35"/>
      <c r="E408" s="65"/>
      <c r="F408" s="69"/>
      <c r="G408" s="35"/>
      <c r="H408" s="35"/>
      <c r="I408" s="35"/>
      <c r="J408" s="43"/>
      <c r="K408" s="43"/>
    </row>
    <row r="409" spans="1:11" ht="13.5" customHeight="1" x14ac:dyDescent="0.25">
      <c r="A409" s="43"/>
      <c r="B409" s="43"/>
      <c r="C409" s="16"/>
      <c r="D409" s="16"/>
      <c r="E409" s="64"/>
      <c r="F409" s="64"/>
      <c r="G409" s="16"/>
      <c r="H409" s="16"/>
      <c r="I409" s="16"/>
      <c r="J409" s="43"/>
      <c r="K409" s="43"/>
    </row>
    <row r="410" spans="1:11" ht="13.5" customHeight="1" x14ac:dyDescent="0.25">
      <c r="A410" s="43"/>
      <c r="B410" s="43"/>
      <c r="C410" s="35"/>
      <c r="D410" s="35"/>
      <c r="E410" s="65"/>
      <c r="F410" s="69"/>
      <c r="G410" s="35"/>
      <c r="H410" s="35"/>
      <c r="I410" s="35"/>
      <c r="J410" s="43"/>
      <c r="K410" s="43"/>
    </row>
    <row r="411" spans="1:11" ht="13.5" customHeight="1" x14ac:dyDescent="0.25">
      <c r="A411" s="43"/>
      <c r="B411" s="43"/>
      <c r="C411" s="16"/>
      <c r="D411" s="16"/>
      <c r="E411" s="64"/>
      <c r="F411" s="64"/>
      <c r="G411" s="16"/>
      <c r="H411" s="16"/>
      <c r="I411" s="16"/>
      <c r="J411" s="43"/>
      <c r="K411" s="43"/>
    </row>
    <row r="412" spans="1:11" ht="13.5" customHeight="1" x14ac:dyDescent="0.25">
      <c r="A412" s="43"/>
      <c r="B412" s="43"/>
      <c r="C412" s="35"/>
      <c r="D412" s="35"/>
      <c r="E412" s="65"/>
      <c r="F412" s="69"/>
      <c r="G412" s="35"/>
      <c r="H412" s="35"/>
      <c r="I412" s="35"/>
      <c r="J412" s="43"/>
      <c r="K412" s="43"/>
    </row>
    <row r="413" spans="1:11" ht="13.5" customHeight="1" x14ac:dyDescent="0.25">
      <c r="A413" s="43"/>
      <c r="B413" s="43"/>
      <c r="C413" s="16"/>
      <c r="D413" s="16"/>
      <c r="E413" s="64"/>
      <c r="F413" s="64"/>
      <c r="G413" s="16"/>
      <c r="H413" s="16"/>
      <c r="I413" s="16"/>
      <c r="J413" s="43"/>
      <c r="K413" s="43"/>
    </row>
    <row r="414" spans="1:11" ht="13.5" customHeight="1" x14ac:dyDescent="0.25">
      <c r="A414" s="43"/>
      <c r="B414" s="43"/>
      <c r="C414" s="35"/>
      <c r="D414" s="35"/>
      <c r="E414" s="65"/>
      <c r="F414" s="69"/>
      <c r="G414" s="35"/>
      <c r="H414" s="35"/>
      <c r="I414" s="35"/>
      <c r="J414" s="43"/>
      <c r="K414" s="43"/>
    </row>
    <row r="415" spans="1:11" ht="13.5" customHeight="1" x14ac:dyDescent="0.25">
      <c r="A415" s="43"/>
      <c r="B415" s="43"/>
      <c r="C415" s="16"/>
      <c r="D415" s="16"/>
      <c r="E415" s="64"/>
      <c r="F415" s="64"/>
      <c r="G415" s="16"/>
      <c r="H415" s="16"/>
      <c r="I415" s="16"/>
      <c r="J415" s="43"/>
      <c r="K415" s="43"/>
    </row>
    <row r="416" spans="1:11" ht="13.5" customHeight="1" x14ac:dyDescent="0.25">
      <c r="A416" s="43"/>
      <c r="B416" s="43"/>
      <c r="C416" s="35"/>
      <c r="D416" s="35"/>
      <c r="E416" s="65"/>
      <c r="F416" s="69"/>
      <c r="G416" s="35"/>
      <c r="H416" s="35"/>
      <c r="I416" s="35"/>
      <c r="J416" s="43"/>
      <c r="K416" s="43"/>
    </row>
    <row r="417" spans="1:11" ht="13.5" customHeight="1" x14ac:dyDescent="0.25">
      <c r="A417" s="43"/>
      <c r="B417" s="43"/>
      <c r="C417" s="16"/>
      <c r="D417" s="16"/>
      <c r="E417" s="64"/>
      <c r="F417" s="64"/>
      <c r="G417" s="16"/>
      <c r="H417" s="16"/>
      <c r="I417" s="16"/>
      <c r="J417" s="43"/>
      <c r="K417" s="43"/>
    </row>
    <row r="418" spans="1:11" ht="13.5" customHeight="1" x14ac:dyDescent="0.25">
      <c r="A418" s="43"/>
      <c r="B418" s="43"/>
      <c r="C418" s="35"/>
      <c r="D418" s="35"/>
      <c r="E418" s="65"/>
      <c r="F418" s="69"/>
      <c r="G418" s="35"/>
      <c r="H418" s="35"/>
      <c r="I418" s="35"/>
      <c r="J418" s="43"/>
      <c r="K418" s="43"/>
    </row>
    <row r="419" spans="1:11" ht="13.5" customHeight="1" x14ac:dyDescent="0.25">
      <c r="A419" s="43"/>
      <c r="B419" s="43"/>
      <c r="C419" s="16"/>
      <c r="D419" s="16"/>
      <c r="E419" s="64"/>
      <c r="F419" s="64"/>
      <c r="G419" s="16"/>
      <c r="H419" s="16"/>
      <c r="I419" s="16"/>
      <c r="J419" s="43"/>
      <c r="K419" s="43"/>
    </row>
    <row r="420" spans="1:11" ht="13.5" customHeight="1" x14ac:dyDescent="0.25">
      <c r="A420" s="43"/>
      <c r="B420" s="43"/>
      <c r="C420" s="35"/>
      <c r="D420" s="35"/>
      <c r="E420" s="65"/>
      <c r="F420" s="69"/>
      <c r="G420" s="35"/>
      <c r="H420" s="35"/>
      <c r="I420" s="35"/>
      <c r="J420" s="43"/>
      <c r="K420" s="43"/>
    </row>
    <row r="421" spans="1:11" ht="13.5" customHeight="1" x14ac:dyDescent="0.25">
      <c r="A421" s="43"/>
      <c r="B421" s="43"/>
      <c r="C421" s="16"/>
      <c r="D421" s="16"/>
      <c r="E421" s="64"/>
      <c r="F421" s="64"/>
      <c r="G421" s="16"/>
      <c r="H421" s="16"/>
      <c r="I421" s="16"/>
      <c r="J421" s="43"/>
      <c r="K421" s="43"/>
    </row>
    <row r="422" spans="1:11" ht="13.5" customHeight="1" x14ac:dyDescent="0.25">
      <c r="A422" s="43"/>
      <c r="B422" s="43"/>
      <c r="C422" s="35"/>
      <c r="D422" s="35"/>
      <c r="E422" s="65"/>
      <c r="F422" s="69"/>
      <c r="G422" s="35"/>
      <c r="H422" s="35"/>
      <c r="I422" s="35"/>
      <c r="J422" s="43"/>
      <c r="K422" s="43"/>
    </row>
    <row r="423" spans="1:11" ht="13.5" customHeight="1" x14ac:dyDescent="0.25">
      <c r="A423" s="43"/>
      <c r="B423" s="43"/>
      <c r="C423" s="16"/>
      <c r="D423" s="16"/>
      <c r="E423" s="64"/>
      <c r="F423" s="64"/>
      <c r="G423" s="16"/>
      <c r="H423" s="16"/>
      <c r="I423" s="16"/>
      <c r="J423" s="43"/>
      <c r="K423" s="43"/>
    </row>
    <row r="424" spans="1:11" ht="13.5" customHeight="1" x14ac:dyDescent="0.25">
      <c r="A424" s="43"/>
      <c r="B424" s="43"/>
      <c r="C424" s="35"/>
      <c r="D424" s="35"/>
      <c r="E424" s="65"/>
      <c r="F424" s="69"/>
      <c r="G424" s="35"/>
      <c r="H424" s="35"/>
      <c r="I424" s="35"/>
      <c r="J424" s="43"/>
      <c r="K424" s="43"/>
    </row>
    <row r="425" spans="1:11" ht="13.5" customHeight="1" x14ac:dyDescent="0.25">
      <c r="A425" s="43"/>
      <c r="B425" s="43"/>
      <c r="C425" s="16"/>
      <c r="D425" s="16"/>
      <c r="E425" s="64"/>
      <c r="F425" s="64"/>
      <c r="G425" s="16"/>
      <c r="H425" s="16"/>
      <c r="I425" s="16"/>
      <c r="J425" s="43"/>
      <c r="K425" s="43"/>
    </row>
    <row r="426" spans="1:11" ht="13.5" customHeight="1" x14ac:dyDescent="0.25">
      <c r="A426" s="43"/>
      <c r="B426" s="43"/>
      <c r="C426" s="35"/>
      <c r="D426" s="35"/>
      <c r="E426" s="65"/>
      <c r="F426" s="69"/>
      <c r="G426" s="35"/>
      <c r="H426" s="35"/>
      <c r="I426" s="35"/>
      <c r="J426" s="43"/>
      <c r="K426" s="43"/>
    </row>
    <row r="427" spans="1:11" ht="13.5" customHeight="1" x14ac:dyDescent="0.25">
      <c r="A427" s="43"/>
      <c r="B427" s="43"/>
      <c r="C427" s="16"/>
      <c r="D427" s="16"/>
      <c r="E427" s="64"/>
      <c r="F427" s="64"/>
      <c r="G427" s="16"/>
      <c r="H427" s="16"/>
      <c r="I427" s="16"/>
      <c r="J427" s="43"/>
      <c r="K427" s="43"/>
    </row>
    <row r="428" spans="1:11" ht="13.5" customHeight="1" x14ac:dyDescent="0.25">
      <c r="A428" s="43"/>
      <c r="B428" s="43"/>
      <c r="C428" s="35"/>
      <c r="D428" s="35"/>
      <c r="E428" s="65"/>
      <c r="F428" s="69"/>
      <c r="G428" s="35"/>
      <c r="H428" s="35"/>
      <c r="I428" s="35"/>
      <c r="J428" s="43"/>
      <c r="K428" s="43"/>
    </row>
    <row r="429" spans="1:11" ht="13.5" customHeight="1" x14ac:dyDescent="0.25">
      <c r="A429" s="43"/>
      <c r="B429" s="43"/>
      <c r="C429" s="16"/>
      <c r="D429" s="16"/>
      <c r="E429" s="64"/>
      <c r="F429" s="64"/>
      <c r="G429" s="16"/>
      <c r="H429" s="16"/>
      <c r="I429" s="16"/>
      <c r="J429" s="43"/>
      <c r="K429" s="43"/>
    </row>
    <row r="430" spans="1:11" ht="13.5" customHeight="1" x14ac:dyDescent="0.25">
      <c r="A430" s="43"/>
      <c r="B430" s="43"/>
      <c r="C430" s="35"/>
      <c r="D430" s="35"/>
      <c r="E430" s="65"/>
      <c r="F430" s="69"/>
      <c r="G430" s="35"/>
      <c r="H430" s="35"/>
      <c r="I430" s="35"/>
      <c r="J430" s="43"/>
      <c r="K430" s="43"/>
    </row>
    <row r="431" spans="1:11" ht="13.5" customHeight="1" x14ac:dyDescent="0.25">
      <c r="A431" s="43"/>
      <c r="B431" s="43"/>
      <c r="C431" s="16"/>
      <c r="D431" s="16"/>
      <c r="E431" s="64"/>
      <c r="F431" s="64"/>
      <c r="G431" s="16"/>
      <c r="H431" s="16"/>
      <c r="I431" s="16"/>
      <c r="J431" s="43"/>
      <c r="K431" s="43"/>
    </row>
    <row r="432" spans="1:11" ht="13.5" customHeight="1" x14ac:dyDescent="0.25">
      <c r="A432" s="43"/>
      <c r="B432" s="43"/>
      <c r="C432" s="35"/>
      <c r="D432" s="35"/>
      <c r="E432" s="65"/>
      <c r="F432" s="69"/>
      <c r="G432" s="35"/>
      <c r="H432" s="35"/>
      <c r="I432" s="35"/>
      <c r="J432" s="43"/>
      <c r="K432" s="43"/>
    </row>
    <row r="433" spans="1:11" ht="13.5" customHeight="1" x14ac:dyDescent="0.25">
      <c r="A433" s="43"/>
      <c r="B433" s="43"/>
      <c r="C433" s="16"/>
      <c r="D433" s="16"/>
      <c r="E433" s="64"/>
      <c r="F433" s="64"/>
      <c r="G433" s="16"/>
      <c r="H433" s="16"/>
      <c r="I433" s="16"/>
      <c r="J433" s="43"/>
      <c r="K433" s="43"/>
    </row>
    <row r="434" spans="1:11" ht="13.5" customHeight="1" x14ac:dyDescent="0.25">
      <c r="A434" s="43"/>
      <c r="B434" s="43"/>
      <c r="C434" s="35"/>
      <c r="D434" s="35"/>
      <c r="E434" s="65"/>
      <c r="F434" s="69"/>
      <c r="G434" s="35"/>
      <c r="H434" s="35"/>
      <c r="I434" s="35"/>
      <c r="J434" s="43"/>
      <c r="K434" s="43"/>
    </row>
    <row r="435" spans="1:11" ht="13.5" customHeight="1" x14ac:dyDescent="0.25">
      <c r="A435" s="43"/>
      <c r="B435" s="43"/>
      <c r="C435" s="16"/>
      <c r="D435" s="16"/>
      <c r="E435" s="64"/>
      <c r="F435" s="64"/>
      <c r="G435" s="16"/>
      <c r="H435" s="16"/>
      <c r="I435" s="16"/>
      <c r="J435" s="43"/>
      <c r="K435" s="43"/>
    </row>
    <row r="436" spans="1:11" ht="13.5" customHeight="1" x14ac:dyDescent="0.25">
      <c r="A436" s="43"/>
      <c r="B436" s="43"/>
      <c r="C436" s="35"/>
      <c r="D436" s="35"/>
      <c r="E436" s="65"/>
      <c r="F436" s="69"/>
      <c r="G436" s="35"/>
      <c r="H436" s="35"/>
      <c r="I436" s="35"/>
      <c r="J436" s="43"/>
      <c r="K436" s="43"/>
    </row>
    <row r="437" spans="1:11" ht="13.5" customHeight="1" x14ac:dyDescent="0.25">
      <c r="A437" s="43"/>
      <c r="B437" s="43"/>
      <c r="C437" s="16"/>
      <c r="D437" s="16"/>
      <c r="E437" s="64"/>
      <c r="F437" s="64"/>
      <c r="G437" s="16"/>
      <c r="H437" s="16"/>
      <c r="I437" s="16"/>
      <c r="J437" s="43"/>
      <c r="K437" s="43"/>
    </row>
    <row r="438" spans="1:11" ht="13.5" customHeight="1" x14ac:dyDescent="0.25">
      <c r="A438" s="43"/>
      <c r="B438" s="43"/>
      <c r="C438" s="35"/>
      <c r="D438" s="35"/>
      <c r="E438" s="65"/>
      <c r="F438" s="69"/>
      <c r="G438" s="35"/>
      <c r="H438" s="35"/>
      <c r="I438" s="35"/>
      <c r="J438" s="43"/>
      <c r="K438" s="43"/>
    </row>
    <row r="439" spans="1:11" ht="13.5" customHeight="1" x14ac:dyDescent="0.25">
      <c r="A439" s="43"/>
      <c r="B439" s="43"/>
      <c r="C439" s="16"/>
      <c r="D439" s="16"/>
      <c r="E439" s="64"/>
      <c r="F439" s="64"/>
      <c r="G439" s="16"/>
      <c r="H439" s="16"/>
      <c r="I439" s="16"/>
      <c r="J439" s="43"/>
      <c r="K439" s="43"/>
    </row>
    <row r="440" spans="1:11" ht="13.5" customHeight="1" x14ac:dyDescent="0.25">
      <c r="A440" s="43"/>
      <c r="B440" s="43"/>
      <c r="C440" s="35"/>
      <c r="D440" s="35"/>
      <c r="E440" s="65"/>
      <c r="F440" s="69"/>
      <c r="G440" s="35"/>
      <c r="H440" s="35"/>
      <c r="I440" s="35"/>
      <c r="J440" s="43"/>
      <c r="K440" s="43"/>
    </row>
    <row r="441" spans="1:11" ht="13.5" customHeight="1" x14ac:dyDescent="0.25">
      <c r="A441" s="43"/>
      <c r="B441" s="43"/>
      <c r="C441" s="16"/>
      <c r="D441" s="16"/>
      <c r="E441" s="64"/>
      <c r="F441" s="64"/>
      <c r="G441" s="16"/>
      <c r="H441" s="16"/>
      <c r="I441" s="16"/>
      <c r="J441" s="43"/>
      <c r="K441" s="43"/>
    </row>
    <row r="442" spans="1:11" ht="13.5" customHeight="1" x14ac:dyDescent="0.25">
      <c r="A442" s="43"/>
      <c r="B442" s="43"/>
      <c r="C442" s="35"/>
      <c r="D442" s="35"/>
      <c r="E442" s="65"/>
      <c r="F442" s="69"/>
      <c r="G442" s="35"/>
      <c r="H442" s="35"/>
      <c r="I442" s="35"/>
      <c r="J442" s="43"/>
      <c r="K442" s="43"/>
    </row>
    <row r="443" spans="1:11" ht="13.5" customHeight="1" x14ac:dyDescent="0.25">
      <c r="A443" s="43"/>
      <c r="B443" s="43"/>
      <c r="C443" s="16"/>
      <c r="D443" s="16"/>
      <c r="E443" s="64"/>
      <c r="F443" s="64"/>
      <c r="G443" s="16"/>
      <c r="H443" s="16"/>
      <c r="I443" s="16"/>
      <c r="J443" s="43"/>
      <c r="K443" s="43"/>
    </row>
    <row r="444" spans="1:11" ht="13.5" customHeight="1" x14ac:dyDescent="0.25">
      <c r="A444" s="43"/>
      <c r="B444" s="43"/>
      <c r="C444" s="35"/>
      <c r="D444" s="35"/>
      <c r="E444" s="65"/>
      <c r="F444" s="69"/>
      <c r="G444" s="35"/>
      <c r="H444" s="35"/>
      <c r="I444" s="35"/>
      <c r="J444" s="43"/>
      <c r="K444" s="43"/>
    </row>
    <row r="445" spans="1:11" ht="13.5" customHeight="1" x14ac:dyDescent="0.25">
      <c r="A445" s="43"/>
      <c r="B445" s="43"/>
      <c r="C445" s="16"/>
      <c r="D445" s="16"/>
      <c r="E445" s="64"/>
      <c r="F445" s="64"/>
      <c r="G445" s="16"/>
      <c r="H445" s="16"/>
      <c r="I445" s="16"/>
      <c r="J445" s="43"/>
      <c r="K445" s="43"/>
    </row>
    <row r="446" spans="1:11" ht="13.5" customHeight="1" x14ac:dyDescent="0.25">
      <c r="A446" s="43"/>
      <c r="B446" s="43"/>
      <c r="C446" s="35"/>
      <c r="D446" s="35"/>
      <c r="E446" s="65"/>
      <c r="F446" s="69"/>
      <c r="G446" s="35"/>
      <c r="H446" s="35"/>
      <c r="I446" s="35"/>
      <c r="J446" s="43"/>
      <c r="K446" s="43"/>
    </row>
    <row r="447" spans="1:11" ht="13.5" customHeight="1" x14ac:dyDescent="0.25">
      <c r="A447" s="43"/>
      <c r="B447" s="43"/>
      <c r="C447" s="16"/>
      <c r="D447" s="16"/>
      <c r="E447" s="64"/>
      <c r="F447" s="64"/>
      <c r="G447" s="16"/>
      <c r="H447" s="16"/>
      <c r="I447" s="16"/>
      <c r="J447" s="43"/>
      <c r="K447" s="43"/>
    </row>
    <row r="448" spans="1:11" ht="13.5" customHeight="1" x14ac:dyDescent="0.25">
      <c r="A448" s="43"/>
      <c r="B448" s="43"/>
      <c r="C448" s="35"/>
      <c r="D448" s="35"/>
      <c r="E448" s="65"/>
      <c r="F448" s="69"/>
      <c r="G448" s="35"/>
      <c r="H448" s="35"/>
      <c r="I448" s="35"/>
      <c r="J448" s="43"/>
      <c r="K448" s="43"/>
    </row>
    <row r="449" spans="1:11" ht="13.5" customHeight="1" x14ac:dyDescent="0.25">
      <c r="A449" s="43"/>
      <c r="B449" s="43"/>
      <c r="C449" s="16"/>
      <c r="D449" s="16"/>
      <c r="E449" s="64"/>
      <c r="F449" s="64"/>
      <c r="G449" s="16"/>
      <c r="H449" s="16"/>
      <c r="I449" s="16"/>
      <c r="J449" s="43"/>
      <c r="K449" s="43"/>
    </row>
    <row r="450" spans="1:11" ht="13.5" customHeight="1" x14ac:dyDescent="0.25">
      <c r="A450" s="43"/>
      <c r="B450" s="43"/>
      <c r="C450" s="35"/>
      <c r="D450" s="35"/>
      <c r="E450" s="65"/>
      <c r="F450" s="69"/>
      <c r="G450" s="35"/>
      <c r="H450" s="35"/>
      <c r="I450" s="35"/>
      <c r="J450" s="43"/>
      <c r="K450" s="43"/>
    </row>
    <row r="451" spans="1:11" ht="13.5" customHeight="1" x14ac:dyDescent="0.25">
      <c r="A451" s="43"/>
      <c r="B451" s="43"/>
      <c r="C451" s="16"/>
      <c r="D451" s="16"/>
      <c r="E451" s="64"/>
      <c r="F451" s="64"/>
      <c r="G451" s="16"/>
      <c r="H451" s="16"/>
      <c r="I451" s="16"/>
      <c r="J451" s="43"/>
      <c r="K451" s="43"/>
    </row>
    <row r="452" spans="1:11" ht="13.5" customHeight="1" x14ac:dyDescent="0.25">
      <c r="A452" s="43"/>
      <c r="B452" s="43"/>
      <c r="C452" s="35"/>
      <c r="D452" s="35"/>
      <c r="E452" s="65"/>
      <c r="F452" s="69"/>
      <c r="G452" s="35"/>
      <c r="H452" s="35"/>
      <c r="I452" s="35"/>
      <c r="J452" s="43"/>
      <c r="K452" s="43"/>
    </row>
    <row r="453" spans="1:11" ht="13.5" customHeight="1" x14ac:dyDescent="0.25">
      <c r="A453" s="43"/>
      <c r="B453" s="43"/>
      <c r="C453" s="16"/>
      <c r="D453" s="16"/>
      <c r="E453" s="64"/>
      <c r="F453" s="64"/>
      <c r="G453" s="16"/>
      <c r="H453" s="16"/>
      <c r="I453" s="16"/>
      <c r="J453" s="43"/>
      <c r="K453" s="43"/>
    </row>
    <row r="454" spans="1:11" ht="13.5" customHeight="1" x14ac:dyDescent="0.25">
      <c r="A454" s="43"/>
      <c r="B454" s="43"/>
      <c r="C454" s="35"/>
      <c r="D454" s="35"/>
      <c r="E454" s="65"/>
      <c r="F454" s="69"/>
      <c r="G454" s="35"/>
      <c r="H454" s="35"/>
      <c r="I454" s="35"/>
      <c r="J454" s="43"/>
      <c r="K454" s="43"/>
    </row>
    <row r="455" spans="1:11" ht="13.5" customHeight="1" x14ac:dyDescent="0.25">
      <c r="A455" s="43"/>
      <c r="B455" s="43"/>
      <c r="C455" s="16"/>
      <c r="D455" s="16"/>
      <c r="E455" s="64"/>
      <c r="F455" s="64"/>
      <c r="G455" s="16"/>
      <c r="H455" s="16"/>
      <c r="I455" s="16"/>
      <c r="J455" s="43"/>
      <c r="K455" s="43"/>
    </row>
    <row r="456" spans="1:11" ht="13.5" customHeight="1" x14ac:dyDescent="0.25">
      <c r="A456" s="43"/>
      <c r="B456" s="43"/>
      <c r="C456" s="35"/>
      <c r="D456" s="35"/>
      <c r="E456" s="65"/>
      <c r="F456" s="69"/>
      <c r="G456" s="35"/>
      <c r="H456" s="35"/>
      <c r="I456" s="35"/>
      <c r="J456" s="43"/>
      <c r="K456" s="43"/>
    </row>
    <row r="457" spans="1:11" ht="13.5" customHeight="1" x14ac:dyDescent="0.25">
      <c r="A457" s="43"/>
      <c r="B457" s="43"/>
      <c r="C457" s="16"/>
      <c r="D457" s="16"/>
      <c r="E457" s="64"/>
      <c r="F457" s="64"/>
      <c r="G457" s="16"/>
      <c r="H457" s="16"/>
      <c r="I457" s="16"/>
      <c r="J457" s="43"/>
      <c r="K457" s="43"/>
    </row>
    <row r="458" spans="1:11" ht="13.5" customHeight="1" x14ac:dyDescent="0.25">
      <c r="A458" s="43"/>
      <c r="B458" s="43"/>
      <c r="C458" s="35"/>
      <c r="D458" s="35"/>
      <c r="E458" s="65"/>
      <c r="F458" s="69"/>
      <c r="G458" s="35"/>
      <c r="H458" s="35"/>
      <c r="I458" s="35"/>
      <c r="J458" s="43"/>
      <c r="K458" s="43"/>
    </row>
    <row r="459" spans="1:11" ht="13.5" customHeight="1" x14ac:dyDescent="0.25">
      <c r="A459" s="43"/>
      <c r="B459" s="43"/>
      <c r="C459" s="16"/>
      <c r="D459" s="16"/>
      <c r="E459" s="64"/>
      <c r="F459" s="64"/>
      <c r="G459" s="16"/>
      <c r="H459" s="16"/>
      <c r="I459" s="16"/>
      <c r="J459" s="43"/>
      <c r="K459" s="43"/>
    </row>
    <row r="460" spans="1:11" ht="13.5" customHeight="1" x14ac:dyDescent="0.25">
      <c r="A460" s="43"/>
      <c r="B460" s="43"/>
      <c r="C460" s="35"/>
      <c r="D460" s="35"/>
      <c r="E460" s="65"/>
      <c r="F460" s="69"/>
      <c r="G460" s="35"/>
      <c r="H460" s="35"/>
      <c r="I460" s="35"/>
      <c r="J460" s="43"/>
      <c r="K460" s="43"/>
    </row>
    <row r="461" spans="1:11" ht="13.5" customHeight="1" x14ac:dyDescent="0.25">
      <c r="A461" s="43"/>
      <c r="B461" s="43"/>
      <c r="C461" s="16"/>
      <c r="D461" s="16"/>
      <c r="E461" s="64"/>
      <c r="F461" s="64"/>
      <c r="G461" s="16"/>
      <c r="H461" s="16"/>
      <c r="I461" s="16"/>
      <c r="J461" s="43"/>
      <c r="K461" s="43"/>
    </row>
    <row r="462" spans="1:11" ht="13.5" customHeight="1" x14ac:dyDescent="0.25">
      <c r="A462" s="43"/>
      <c r="B462" s="43"/>
      <c r="C462" s="35"/>
      <c r="D462" s="35"/>
      <c r="E462" s="65"/>
      <c r="F462" s="69"/>
      <c r="G462" s="35"/>
      <c r="H462" s="35"/>
      <c r="I462" s="35"/>
      <c r="J462" s="43"/>
      <c r="K462" s="43"/>
    </row>
    <row r="463" spans="1:11" ht="13.5" customHeight="1" x14ac:dyDescent="0.25">
      <c r="A463" s="43"/>
      <c r="B463" s="43"/>
      <c r="C463" s="16"/>
      <c r="D463" s="16"/>
      <c r="E463" s="64"/>
      <c r="F463" s="64"/>
      <c r="G463" s="16"/>
      <c r="H463" s="16"/>
      <c r="I463" s="16"/>
      <c r="J463" s="43"/>
      <c r="K463" s="43"/>
    </row>
    <row r="464" spans="1:11" ht="13.5" customHeight="1" x14ac:dyDescent="0.25">
      <c r="A464" s="43"/>
      <c r="B464" s="43"/>
      <c r="C464" s="35"/>
      <c r="D464" s="35"/>
      <c r="E464" s="65"/>
      <c r="F464" s="69"/>
      <c r="G464" s="35"/>
      <c r="H464" s="35"/>
      <c r="I464" s="35"/>
      <c r="J464" s="43"/>
      <c r="K464" s="43"/>
    </row>
    <row r="465" spans="1:11" ht="13.5" customHeight="1" x14ac:dyDescent="0.25">
      <c r="A465" s="43"/>
      <c r="B465" s="43"/>
      <c r="C465" s="16"/>
      <c r="D465" s="16"/>
      <c r="E465" s="64"/>
      <c r="F465" s="64"/>
      <c r="G465" s="16"/>
      <c r="H465" s="16"/>
      <c r="I465" s="16"/>
      <c r="J465" s="43"/>
      <c r="K465" s="43"/>
    </row>
    <row r="466" spans="1:11" ht="13.5" customHeight="1" x14ac:dyDescent="0.25">
      <c r="A466" s="43"/>
      <c r="B466" s="43"/>
      <c r="C466" s="35"/>
      <c r="D466" s="35"/>
      <c r="E466" s="65"/>
      <c r="F466" s="69"/>
      <c r="G466" s="35"/>
      <c r="H466" s="35"/>
      <c r="I466" s="35"/>
      <c r="J466" s="43"/>
      <c r="K466" s="43"/>
    </row>
    <row r="467" spans="1:11" ht="13.5" customHeight="1" x14ac:dyDescent="0.25">
      <c r="A467" s="43"/>
      <c r="B467" s="43"/>
      <c r="C467" s="16"/>
      <c r="D467" s="16"/>
      <c r="E467" s="64"/>
      <c r="F467" s="64"/>
      <c r="G467" s="16"/>
      <c r="H467" s="16"/>
      <c r="I467" s="16"/>
      <c r="J467" s="43"/>
      <c r="K467" s="43"/>
    </row>
    <row r="468" spans="1:11" ht="13.5" customHeight="1" x14ac:dyDescent="0.25">
      <c r="A468" s="43"/>
      <c r="B468" s="43"/>
      <c r="C468" s="35"/>
      <c r="D468" s="35"/>
      <c r="E468" s="65"/>
      <c r="F468" s="69"/>
      <c r="G468" s="35"/>
      <c r="H468" s="35"/>
      <c r="I468" s="35"/>
      <c r="J468" s="43"/>
      <c r="K468" s="43"/>
    </row>
    <row r="469" spans="1:11" ht="13.5" customHeight="1" x14ac:dyDescent="0.25">
      <c r="A469" s="43"/>
      <c r="B469" s="43"/>
      <c r="C469" s="16"/>
      <c r="D469" s="16"/>
      <c r="E469" s="64"/>
      <c r="F469" s="64"/>
      <c r="G469" s="16"/>
      <c r="H469" s="16"/>
      <c r="I469" s="16"/>
      <c r="J469" s="43"/>
      <c r="K469" s="43"/>
    </row>
    <row r="470" spans="1:11" ht="13.5" customHeight="1" x14ac:dyDescent="0.25">
      <c r="A470" s="43"/>
      <c r="B470" s="43"/>
      <c r="C470" s="35"/>
      <c r="D470" s="35"/>
      <c r="E470" s="65"/>
      <c r="F470" s="69"/>
      <c r="G470" s="35"/>
      <c r="H470" s="35"/>
      <c r="I470" s="35"/>
      <c r="J470" s="43"/>
      <c r="K470" s="43"/>
    </row>
    <row r="471" spans="1:11" ht="13.5" customHeight="1" x14ac:dyDescent="0.25">
      <c r="A471" s="43"/>
      <c r="B471" s="43"/>
      <c r="C471" s="16"/>
      <c r="D471" s="16"/>
      <c r="E471" s="64"/>
      <c r="F471" s="64"/>
      <c r="G471" s="16"/>
      <c r="H471" s="16"/>
      <c r="I471" s="16"/>
      <c r="J471" s="43"/>
      <c r="K471" s="43"/>
    </row>
    <row r="472" spans="1:11" ht="13.5" customHeight="1" x14ac:dyDescent="0.25">
      <c r="A472" s="43"/>
      <c r="B472" s="43"/>
      <c r="C472" s="35"/>
      <c r="D472" s="35"/>
      <c r="E472" s="65"/>
      <c r="F472" s="69"/>
      <c r="G472" s="35"/>
      <c r="H472" s="35"/>
      <c r="I472" s="35"/>
      <c r="J472" s="43"/>
      <c r="K472" s="43"/>
    </row>
    <row r="473" spans="1:11" ht="13.5" customHeight="1" x14ac:dyDescent="0.25">
      <c r="A473" s="43"/>
      <c r="B473" s="43"/>
      <c r="C473" s="16"/>
      <c r="D473" s="16"/>
      <c r="E473" s="64"/>
      <c r="F473" s="64"/>
      <c r="G473" s="16"/>
      <c r="H473" s="16"/>
      <c r="I473" s="16"/>
      <c r="J473" s="43"/>
      <c r="K473" s="43"/>
    </row>
    <row r="474" spans="1:11" ht="13.5" customHeight="1" x14ac:dyDescent="0.25">
      <c r="A474" s="43"/>
      <c r="B474" s="43"/>
      <c r="C474" s="35"/>
      <c r="D474" s="35"/>
      <c r="E474" s="65"/>
      <c r="F474" s="69"/>
      <c r="G474" s="35"/>
      <c r="H474" s="35"/>
      <c r="I474" s="35"/>
      <c r="J474" s="43"/>
      <c r="K474" s="43"/>
    </row>
    <row r="475" spans="1:11" ht="13.5" customHeight="1" x14ac:dyDescent="0.25">
      <c r="A475" s="43"/>
      <c r="B475" s="43"/>
      <c r="C475" s="16"/>
      <c r="D475" s="16"/>
      <c r="E475" s="64"/>
      <c r="F475" s="64"/>
      <c r="G475" s="16"/>
      <c r="H475" s="16"/>
      <c r="I475" s="16"/>
      <c r="J475" s="43"/>
      <c r="K475" s="43"/>
    </row>
    <row r="476" spans="1:11" ht="13.5" customHeight="1" x14ac:dyDescent="0.25">
      <c r="A476" s="43"/>
      <c r="B476" s="43"/>
      <c r="C476" s="35"/>
      <c r="D476" s="35"/>
      <c r="E476" s="65"/>
      <c r="F476" s="69"/>
      <c r="G476" s="35"/>
      <c r="H476" s="35"/>
      <c r="I476" s="35"/>
      <c r="J476" s="43"/>
      <c r="K476" s="43"/>
    </row>
    <row r="477" spans="1:11" ht="13.5" customHeight="1" x14ac:dyDescent="0.25">
      <c r="A477" s="43"/>
      <c r="B477" s="43"/>
      <c r="C477" s="16"/>
      <c r="D477" s="16"/>
      <c r="E477" s="64"/>
      <c r="F477" s="64"/>
      <c r="G477" s="16"/>
      <c r="H477" s="16"/>
      <c r="I477" s="16"/>
      <c r="J477" s="43"/>
      <c r="K477" s="43"/>
    </row>
    <row r="478" spans="1:11" ht="13.5" customHeight="1" x14ac:dyDescent="0.25">
      <c r="A478" s="43"/>
      <c r="B478" s="43"/>
      <c r="C478" s="35"/>
      <c r="D478" s="35"/>
      <c r="E478" s="65"/>
      <c r="F478" s="69"/>
      <c r="G478" s="35"/>
      <c r="H478" s="35"/>
      <c r="I478" s="35"/>
      <c r="J478" s="43"/>
      <c r="K478" s="43"/>
    </row>
    <row r="479" spans="1:11" ht="13.5" customHeight="1" x14ac:dyDescent="0.25">
      <c r="A479" s="43"/>
      <c r="B479" s="43"/>
      <c r="C479" s="16"/>
      <c r="D479" s="16"/>
      <c r="E479" s="64"/>
      <c r="F479" s="64"/>
      <c r="G479" s="16"/>
      <c r="H479" s="16"/>
      <c r="I479" s="16"/>
      <c r="J479" s="43"/>
      <c r="K479" s="43"/>
    </row>
    <row r="480" spans="1:11" ht="13.5" customHeight="1" x14ac:dyDescent="0.25">
      <c r="A480" s="43"/>
      <c r="B480" s="43"/>
      <c r="C480" s="35"/>
      <c r="D480" s="35"/>
      <c r="E480" s="65"/>
      <c r="F480" s="69"/>
      <c r="G480" s="35"/>
      <c r="H480" s="35"/>
      <c r="I480" s="35"/>
      <c r="J480" s="43"/>
      <c r="K480" s="43"/>
    </row>
    <row r="481" spans="1:11" ht="13.5" customHeight="1" x14ac:dyDescent="0.25">
      <c r="A481" s="43"/>
      <c r="B481" s="43"/>
      <c r="C481" s="16"/>
      <c r="D481" s="16"/>
      <c r="E481" s="64"/>
      <c r="F481" s="64"/>
      <c r="G481" s="16"/>
      <c r="H481" s="16"/>
      <c r="I481" s="16"/>
      <c r="J481" s="43"/>
      <c r="K481" s="43"/>
    </row>
    <row r="482" spans="1:11" ht="13.5" customHeight="1" x14ac:dyDescent="0.25">
      <c r="A482" s="43"/>
      <c r="B482" s="43"/>
      <c r="C482" s="35"/>
      <c r="D482" s="35"/>
      <c r="E482" s="65"/>
      <c r="F482" s="69"/>
      <c r="G482" s="35"/>
      <c r="H482" s="35"/>
      <c r="I482" s="35"/>
      <c r="J482" s="43"/>
      <c r="K482" s="43"/>
    </row>
    <row r="483" spans="1:11" ht="13.5" customHeight="1" x14ac:dyDescent="0.25">
      <c r="A483" s="43"/>
      <c r="B483" s="43"/>
      <c r="C483" s="16"/>
      <c r="D483" s="16"/>
      <c r="E483" s="64"/>
      <c r="F483" s="64"/>
      <c r="G483" s="16"/>
      <c r="H483" s="16"/>
      <c r="I483" s="16"/>
      <c r="J483" s="43"/>
      <c r="K483" s="43"/>
    </row>
    <row r="484" spans="1:11" ht="13.5" customHeight="1" x14ac:dyDescent="0.25">
      <c r="A484" s="43"/>
      <c r="B484" s="43"/>
      <c r="C484" s="35"/>
      <c r="D484" s="35"/>
      <c r="E484" s="65"/>
      <c r="F484" s="69"/>
      <c r="G484" s="35"/>
      <c r="H484" s="35"/>
      <c r="I484" s="35"/>
      <c r="J484" s="43"/>
      <c r="K484" s="43"/>
    </row>
    <row r="485" spans="1:11" ht="13.5" customHeight="1" x14ac:dyDescent="0.25">
      <c r="A485" s="43"/>
      <c r="B485" s="43"/>
      <c r="C485" s="16"/>
      <c r="D485" s="16"/>
      <c r="E485" s="64"/>
      <c r="F485" s="64"/>
      <c r="G485" s="16"/>
      <c r="H485" s="16"/>
      <c r="I485" s="16"/>
      <c r="J485" s="43"/>
      <c r="K485" s="43"/>
    </row>
    <row r="486" spans="1:11" ht="13.5" customHeight="1" x14ac:dyDescent="0.25">
      <c r="A486" s="43"/>
      <c r="B486" s="43"/>
      <c r="C486" s="35"/>
      <c r="D486" s="35"/>
      <c r="E486" s="65"/>
      <c r="F486" s="69"/>
      <c r="G486" s="35"/>
      <c r="H486" s="35"/>
      <c r="I486" s="35"/>
      <c r="J486" s="43"/>
      <c r="K486" s="43"/>
    </row>
    <row r="487" spans="1:11" ht="13.5" customHeight="1" x14ac:dyDescent="0.25">
      <c r="A487" s="43"/>
      <c r="B487" s="43"/>
      <c r="C487" s="16"/>
      <c r="D487" s="16"/>
      <c r="E487" s="64"/>
      <c r="F487" s="64"/>
      <c r="G487" s="16"/>
      <c r="H487" s="16"/>
      <c r="I487" s="16"/>
      <c r="J487" s="43"/>
      <c r="K487" s="43"/>
    </row>
    <row r="488" spans="1:11" ht="13.5" customHeight="1" x14ac:dyDescent="0.25">
      <c r="A488" s="43"/>
      <c r="B488" s="43"/>
      <c r="C488" s="35"/>
      <c r="D488" s="35"/>
      <c r="E488" s="65"/>
      <c r="F488" s="69"/>
      <c r="G488" s="35"/>
      <c r="H488" s="35"/>
      <c r="I488" s="35"/>
      <c r="J488" s="43"/>
      <c r="K488" s="43"/>
    </row>
    <row r="489" spans="1:11" ht="13.5" customHeight="1" x14ac:dyDescent="0.25">
      <c r="A489" s="43"/>
      <c r="B489" s="43"/>
      <c r="C489" s="16"/>
      <c r="D489" s="16"/>
      <c r="E489" s="64"/>
      <c r="F489" s="64"/>
      <c r="G489" s="16"/>
      <c r="H489" s="16"/>
      <c r="I489" s="16"/>
      <c r="J489" s="43"/>
      <c r="K489" s="43"/>
    </row>
    <row r="490" spans="1:11" ht="13.5" customHeight="1" x14ac:dyDescent="0.25">
      <c r="A490" s="43"/>
      <c r="B490" s="43"/>
      <c r="C490" s="35"/>
      <c r="D490" s="35"/>
      <c r="E490" s="65"/>
      <c r="F490" s="69"/>
      <c r="G490" s="35"/>
      <c r="H490" s="35"/>
      <c r="I490" s="35"/>
      <c r="J490" s="43"/>
      <c r="K490" s="43"/>
    </row>
    <row r="491" spans="1:11" ht="13.5" customHeight="1" x14ac:dyDescent="0.25">
      <c r="A491" s="43"/>
      <c r="B491" s="43"/>
      <c r="C491" s="16"/>
      <c r="D491" s="16"/>
      <c r="E491" s="64"/>
      <c r="F491" s="64"/>
      <c r="G491" s="16"/>
      <c r="H491" s="16"/>
      <c r="I491" s="16"/>
      <c r="J491" s="43"/>
      <c r="K491" s="43"/>
    </row>
    <row r="492" spans="1:11" ht="13.5" customHeight="1" x14ac:dyDescent="0.25">
      <c r="A492" s="43"/>
      <c r="B492" s="43"/>
      <c r="C492" s="35"/>
      <c r="D492" s="35"/>
      <c r="E492" s="65"/>
      <c r="F492" s="69"/>
      <c r="G492" s="35"/>
      <c r="H492" s="35"/>
      <c r="I492" s="35"/>
      <c r="J492" s="43"/>
      <c r="K492" s="43"/>
    </row>
    <row r="493" spans="1:11" ht="13.5" customHeight="1" x14ac:dyDescent="0.25">
      <c r="A493" s="43"/>
      <c r="B493" s="43"/>
      <c r="C493" s="16"/>
      <c r="D493" s="16"/>
      <c r="E493" s="64"/>
      <c r="F493" s="64"/>
      <c r="G493" s="16"/>
      <c r="H493" s="16"/>
      <c r="I493" s="16"/>
      <c r="J493" s="43"/>
      <c r="K493" s="43"/>
    </row>
    <row r="494" spans="1:11" ht="13.5" customHeight="1" x14ac:dyDescent="0.25">
      <c r="A494" s="43"/>
      <c r="B494" s="43"/>
      <c r="C494" s="35"/>
      <c r="D494" s="35"/>
      <c r="E494" s="65"/>
      <c r="F494" s="69"/>
      <c r="G494" s="35"/>
      <c r="H494" s="35"/>
      <c r="I494" s="35"/>
      <c r="J494" s="43"/>
      <c r="K494" s="43"/>
    </row>
    <row r="495" spans="1:11" ht="13.5" customHeight="1" x14ac:dyDescent="0.25">
      <c r="A495" s="43"/>
      <c r="B495" s="43"/>
      <c r="C495" s="16"/>
      <c r="D495" s="16"/>
      <c r="E495" s="64"/>
      <c r="F495" s="64"/>
      <c r="G495" s="16"/>
      <c r="H495" s="16"/>
      <c r="I495" s="16"/>
      <c r="J495" s="43"/>
      <c r="K495" s="43"/>
    </row>
    <row r="496" spans="1:11" ht="13.5" customHeight="1" x14ac:dyDescent="0.25">
      <c r="A496" s="43"/>
      <c r="B496" s="43"/>
      <c r="C496" s="35"/>
      <c r="D496" s="35"/>
      <c r="E496" s="65"/>
      <c r="F496" s="69"/>
      <c r="G496" s="35"/>
      <c r="H496" s="35"/>
      <c r="I496" s="35"/>
      <c r="J496" s="43"/>
      <c r="K496" s="43"/>
    </row>
    <row r="497" spans="1:11" ht="13.5" customHeight="1" x14ac:dyDescent="0.25">
      <c r="A497" s="43"/>
      <c r="B497" s="43"/>
      <c r="C497" s="16"/>
      <c r="D497" s="16"/>
      <c r="E497" s="64"/>
      <c r="F497" s="64"/>
      <c r="G497" s="16"/>
      <c r="H497" s="16"/>
      <c r="I497" s="16"/>
      <c r="J497" s="43"/>
      <c r="K497" s="43"/>
    </row>
    <row r="498" spans="1:11" ht="13.5" customHeight="1" x14ac:dyDescent="0.25">
      <c r="A498" s="43"/>
      <c r="B498" s="43"/>
      <c r="C498" s="35"/>
      <c r="D498" s="35"/>
      <c r="E498" s="65"/>
      <c r="F498" s="69"/>
      <c r="G498" s="35"/>
      <c r="H498" s="35"/>
      <c r="I498" s="35"/>
      <c r="J498" s="43"/>
      <c r="K498" s="43"/>
    </row>
    <row r="499" spans="1:11" ht="13.5" customHeight="1" x14ac:dyDescent="0.25">
      <c r="A499" s="43"/>
      <c r="B499" s="43"/>
      <c r="C499" s="16"/>
      <c r="D499" s="16"/>
      <c r="E499" s="64"/>
      <c r="F499" s="64"/>
      <c r="G499" s="16"/>
      <c r="H499" s="16"/>
      <c r="I499" s="16"/>
      <c r="J499" s="43"/>
      <c r="K499" s="43"/>
    </row>
    <row r="500" spans="1:11" ht="13.5" customHeight="1" x14ac:dyDescent="0.25">
      <c r="A500" s="43"/>
      <c r="B500" s="43"/>
      <c r="C500" s="35"/>
      <c r="D500" s="35"/>
      <c r="E500" s="65"/>
      <c r="F500" s="69"/>
      <c r="G500" s="35"/>
      <c r="H500" s="35"/>
      <c r="I500" s="35"/>
      <c r="J500" s="43"/>
      <c r="K500" s="43"/>
    </row>
    <row r="501" spans="1:11" ht="13.5" customHeight="1" x14ac:dyDescent="0.25">
      <c r="A501" s="43"/>
      <c r="B501" s="43"/>
      <c r="C501" s="16"/>
      <c r="D501" s="16"/>
      <c r="E501" s="64"/>
      <c r="F501" s="64"/>
      <c r="G501" s="16"/>
      <c r="H501" s="16"/>
      <c r="I501" s="16"/>
      <c r="J501" s="43"/>
      <c r="K501" s="43"/>
    </row>
    <row r="502" spans="1:11" ht="13.5" customHeight="1" x14ac:dyDescent="0.25">
      <c r="A502" s="43"/>
      <c r="B502" s="43"/>
      <c r="C502" s="35"/>
      <c r="D502" s="35"/>
      <c r="E502" s="65"/>
      <c r="F502" s="69"/>
      <c r="G502" s="35"/>
      <c r="H502" s="35"/>
      <c r="I502" s="35"/>
      <c r="J502" s="43"/>
      <c r="K502" s="43"/>
    </row>
    <row r="503" spans="1:11" ht="13.5" customHeight="1" x14ac:dyDescent="0.25">
      <c r="A503" s="43"/>
      <c r="B503" s="43"/>
      <c r="C503" s="16"/>
      <c r="D503" s="16"/>
      <c r="E503" s="64"/>
      <c r="F503" s="64"/>
      <c r="G503" s="16"/>
      <c r="H503" s="16"/>
      <c r="I503" s="16"/>
      <c r="J503" s="43"/>
      <c r="K503" s="43"/>
    </row>
    <row r="504" spans="1:11" ht="13.5" customHeight="1" x14ac:dyDescent="0.25">
      <c r="A504" s="43"/>
      <c r="B504" s="43"/>
      <c r="C504" s="35"/>
      <c r="D504" s="35"/>
      <c r="E504" s="65"/>
      <c r="F504" s="69"/>
      <c r="G504" s="35"/>
      <c r="H504" s="35"/>
      <c r="I504" s="35"/>
      <c r="J504" s="43"/>
      <c r="K504" s="43"/>
    </row>
    <row r="505" spans="1:11" ht="13.5" customHeight="1" x14ac:dyDescent="0.25">
      <c r="A505" s="43"/>
      <c r="B505" s="43"/>
      <c r="C505" s="16"/>
      <c r="D505" s="16"/>
      <c r="E505" s="64"/>
      <c r="F505" s="64"/>
      <c r="G505" s="16"/>
      <c r="H505" s="16"/>
      <c r="I505" s="16"/>
      <c r="J505" s="43"/>
      <c r="K505" s="43"/>
    </row>
    <row r="506" spans="1:11" ht="13.5" customHeight="1" x14ac:dyDescent="0.25">
      <c r="A506" s="43"/>
      <c r="B506" s="43"/>
      <c r="C506" s="35"/>
      <c r="D506" s="35"/>
      <c r="E506" s="65"/>
      <c r="F506" s="69"/>
      <c r="G506" s="35"/>
      <c r="H506" s="35"/>
      <c r="I506" s="35"/>
      <c r="J506" s="43"/>
      <c r="K506" s="43"/>
    </row>
    <row r="507" spans="1:11" ht="13.5" customHeight="1" x14ac:dyDescent="0.25">
      <c r="A507" s="43"/>
      <c r="B507" s="43"/>
      <c r="C507" s="16"/>
      <c r="D507" s="16"/>
      <c r="E507" s="64"/>
      <c r="F507" s="64"/>
      <c r="G507" s="16"/>
      <c r="H507" s="16"/>
      <c r="I507" s="16"/>
      <c r="J507" s="43"/>
      <c r="K507" s="43"/>
    </row>
    <row r="508" spans="1:11" ht="13.5" customHeight="1" x14ac:dyDescent="0.25">
      <c r="A508" s="43"/>
      <c r="B508" s="43"/>
      <c r="C508" s="35"/>
      <c r="D508" s="35"/>
      <c r="E508" s="65"/>
      <c r="F508" s="69"/>
      <c r="G508" s="35"/>
      <c r="H508" s="35"/>
      <c r="I508" s="35"/>
      <c r="J508" s="43"/>
      <c r="K508" s="43"/>
    </row>
    <row r="509" spans="1:11" ht="13.5" customHeight="1" x14ac:dyDescent="0.25">
      <c r="A509" s="43"/>
      <c r="B509" s="43"/>
      <c r="C509" s="16"/>
      <c r="D509" s="16"/>
      <c r="E509" s="64"/>
      <c r="F509" s="64"/>
      <c r="G509" s="16"/>
      <c r="H509" s="16"/>
      <c r="I509" s="16"/>
      <c r="J509" s="43"/>
      <c r="K509" s="43"/>
    </row>
    <row r="510" spans="1:11" ht="13.5" customHeight="1" x14ac:dyDescent="0.25">
      <c r="A510" s="43"/>
      <c r="B510" s="43"/>
      <c r="C510" s="35"/>
      <c r="D510" s="35"/>
      <c r="E510" s="65"/>
      <c r="F510" s="69"/>
      <c r="G510" s="35"/>
      <c r="H510" s="35"/>
      <c r="I510" s="35"/>
      <c r="J510" s="43"/>
    </row>
    <row r="511" spans="1:11" ht="13.5" customHeight="1" x14ac:dyDescent="0.25">
      <c r="A511" s="43"/>
      <c r="B511" s="43"/>
      <c r="C511" s="16"/>
      <c r="D511" s="16"/>
      <c r="E511" s="64"/>
      <c r="F511" s="64"/>
      <c r="G511" s="16"/>
      <c r="H511" s="16"/>
      <c r="I511" s="16"/>
      <c r="J511" s="43"/>
    </row>
    <row r="512" spans="1:11" ht="13.5" customHeight="1" x14ac:dyDescent="0.25">
      <c r="A512" s="43"/>
      <c r="B512" s="43"/>
      <c r="C512" s="35"/>
      <c r="D512" s="35"/>
      <c r="E512" s="65"/>
      <c r="F512" s="69"/>
      <c r="G512" s="35"/>
      <c r="H512" s="35"/>
      <c r="I512" s="35"/>
      <c r="J512" s="43"/>
    </row>
    <row r="513" spans="1:10" ht="13.5" customHeight="1" x14ac:dyDescent="0.25">
      <c r="A513" s="43"/>
      <c r="B513" s="43"/>
      <c r="C513" s="16"/>
      <c r="D513" s="16"/>
      <c r="E513" s="64"/>
      <c r="F513" s="64"/>
      <c r="G513" s="16"/>
      <c r="H513" s="16"/>
      <c r="I513" s="16"/>
      <c r="J513" s="43"/>
    </row>
    <row r="514" spans="1:10" ht="13.5" customHeight="1" x14ac:dyDescent="0.25">
      <c r="A514" s="43"/>
      <c r="B514" s="43"/>
      <c r="C514" s="35"/>
      <c r="D514" s="35"/>
      <c r="E514" s="65"/>
      <c r="F514" s="69"/>
      <c r="G514" s="35"/>
      <c r="H514" s="35"/>
      <c r="I514" s="35"/>
      <c r="J514" s="43"/>
    </row>
    <row r="515" spans="1:10" ht="13.5" customHeight="1" x14ac:dyDescent="0.25">
      <c r="A515" s="43"/>
      <c r="B515" s="43"/>
      <c r="C515" s="16"/>
      <c r="D515" s="16"/>
      <c r="E515" s="64"/>
      <c r="F515" s="64"/>
      <c r="G515" s="16"/>
      <c r="H515" s="16"/>
      <c r="I515" s="16"/>
      <c r="J515" s="43"/>
    </row>
    <row r="516" spans="1:10" ht="13.5" customHeight="1" x14ac:dyDescent="0.25">
      <c r="A516" s="43"/>
      <c r="B516" s="43"/>
      <c r="C516" s="35"/>
      <c r="D516" s="35"/>
      <c r="E516" s="65"/>
      <c r="F516" s="69"/>
      <c r="G516" s="35"/>
      <c r="H516" s="35"/>
      <c r="I516" s="35"/>
      <c r="J516" s="43"/>
    </row>
    <row r="517" spans="1:10" ht="13.5" customHeight="1" x14ac:dyDescent="0.25">
      <c r="A517" s="43"/>
      <c r="B517" s="43"/>
      <c r="C517" s="16"/>
      <c r="D517" s="16"/>
      <c r="E517" s="64"/>
      <c r="F517" s="64"/>
      <c r="G517" s="16"/>
      <c r="H517" s="16"/>
      <c r="I517" s="16"/>
      <c r="J517" s="43"/>
    </row>
    <row r="518" spans="1:10" ht="13.5" customHeight="1" x14ac:dyDescent="0.25">
      <c r="C518" s="35"/>
      <c r="D518" s="35"/>
      <c r="E518" s="65"/>
      <c r="F518" s="69"/>
      <c r="G518" s="35"/>
      <c r="H518" s="35"/>
      <c r="I518" s="35"/>
    </row>
    <row r="519" spans="1:10" ht="13.5" customHeight="1" x14ac:dyDescent="0.25">
      <c r="C519" s="16"/>
      <c r="D519" s="16"/>
      <c r="E519" s="64"/>
      <c r="F519" s="64"/>
      <c r="G519" s="16"/>
      <c r="H519" s="16"/>
      <c r="I519" s="16"/>
    </row>
    <row r="520" spans="1:10" ht="13.5" customHeight="1" x14ac:dyDescent="0.25">
      <c r="C520" s="35"/>
      <c r="D520" s="35"/>
      <c r="E520" s="65"/>
      <c r="F520" s="69"/>
      <c r="G520" s="35"/>
      <c r="H520" s="35"/>
      <c r="I520" s="35"/>
    </row>
    <row r="521" spans="1:10" ht="13.5" customHeight="1" x14ac:dyDescent="0.25">
      <c r="C521" s="16"/>
      <c r="D521" s="16"/>
      <c r="E521" s="64"/>
      <c r="F521" s="64"/>
      <c r="G521" s="16"/>
      <c r="H521" s="16"/>
      <c r="I521" s="16"/>
    </row>
    <row r="522" spans="1:10" ht="13.5" customHeight="1" x14ac:dyDescent="0.25">
      <c r="C522" s="35"/>
      <c r="D522" s="35"/>
      <c r="E522" s="65"/>
      <c r="F522" s="69"/>
      <c r="G522" s="35"/>
      <c r="H522" s="35"/>
      <c r="I522" s="35"/>
    </row>
    <row r="523" spans="1:10" ht="13.5" customHeight="1" x14ac:dyDescent="0.25">
      <c r="C523" s="16"/>
      <c r="D523" s="16"/>
      <c r="E523" s="64"/>
      <c r="F523" s="64"/>
      <c r="G523" s="16"/>
      <c r="H523" s="16"/>
      <c r="I523" s="16"/>
    </row>
    <row r="524" spans="1:10" ht="13.5" customHeight="1" x14ac:dyDescent="0.25">
      <c r="C524" s="35"/>
      <c r="D524" s="35"/>
      <c r="E524" s="65"/>
      <c r="F524" s="69"/>
      <c r="G524" s="35"/>
      <c r="H524" s="35"/>
      <c r="I524" s="35"/>
    </row>
    <row r="525" spans="1:10" ht="13.5" customHeight="1" x14ac:dyDescent="0.25">
      <c r="C525" s="16"/>
      <c r="D525" s="16"/>
      <c r="E525" s="64"/>
      <c r="F525" s="64"/>
      <c r="G525" s="16"/>
      <c r="H525" s="16"/>
      <c r="I525" s="16"/>
    </row>
    <row r="526" spans="1:10" ht="13.5" customHeight="1" x14ac:dyDescent="0.25">
      <c r="C526" s="35"/>
      <c r="D526" s="35"/>
      <c r="E526" s="65"/>
      <c r="F526" s="69"/>
      <c r="G526" s="35"/>
      <c r="H526" s="35"/>
      <c r="I526" s="35"/>
    </row>
    <row r="527" spans="1:10" ht="13.5" customHeight="1" x14ac:dyDescent="0.25">
      <c r="C527" s="16"/>
      <c r="D527" s="16"/>
      <c r="E527" s="64"/>
      <c r="F527" s="64"/>
      <c r="G527" s="16"/>
      <c r="H527" s="16"/>
      <c r="I527" s="16"/>
    </row>
    <row r="528" spans="1:10" ht="13.5" customHeight="1" x14ac:dyDescent="0.25">
      <c r="C528" s="35"/>
      <c r="D528" s="35"/>
      <c r="E528" s="65"/>
      <c r="F528" s="69"/>
      <c r="G528" s="35"/>
      <c r="H528" s="35"/>
      <c r="I528" s="35"/>
    </row>
    <row r="529" spans="3:9" ht="13.5" customHeight="1" x14ac:dyDescent="0.25">
      <c r="C529" s="16"/>
      <c r="D529" s="16"/>
      <c r="E529" s="64"/>
      <c r="F529" s="64"/>
      <c r="G529" s="16"/>
      <c r="H529" s="16"/>
      <c r="I529" s="16"/>
    </row>
    <row r="530" spans="3:9" ht="13.5" customHeight="1" x14ac:dyDescent="0.25">
      <c r="C530" s="35"/>
      <c r="D530" s="35"/>
      <c r="E530" s="65"/>
      <c r="F530" s="69"/>
      <c r="G530" s="35"/>
      <c r="H530" s="35"/>
      <c r="I530" s="35"/>
    </row>
    <row r="531" spans="3:9" ht="13.5" customHeight="1" x14ac:dyDescent="0.25">
      <c r="C531" s="16"/>
      <c r="D531" s="16"/>
      <c r="E531" s="64"/>
      <c r="F531" s="64"/>
      <c r="G531" s="16"/>
      <c r="H531" s="16"/>
      <c r="I531" s="16"/>
    </row>
    <row r="532" spans="3:9" ht="13.5" customHeight="1" x14ac:dyDescent="0.25">
      <c r="C532" s="35"/>
      <c r="D532" s="35"/>
      <c r="E532" s="65"/>
      <c r="F532" s="69"/>
      <c r="G532" s="35"/>
      <c r="H532" s="35"/>
      <c r="I532" s="35"/>
    </row>
    <row r="533" spans="3:9" ht="13.5" customHeight="1" x14ac:dyDescent="0.25">
      <c r="C533" s="16"/>
      <c r="D533" s="16"/>
      <c r="E533" s="64"/>
      <c r="F533" s="64"/>
      <c r="G533" s="16"/>
      <c r="H533" s="16"/>
      <c r="I533" s="16"/>
    </row>
    <row r="534" spans="3:9" ht="13.5" customHeight="1" x14ac:dyDescent="0.25">
      <c r="C534" s="35"/>
      <c r="D534" s="35"/>
      <c r="E534" s="65"/>
      <c r="F534" s="69"/>
      <c r="G534" s="35"/>
      <c r="H534" s="35"/>
      <c r="I534" s="35"/>
    </row>
    <row r="535" spans="3:9" ht="13.5" customHeight="1" x14ac:dyDescent="0.25">
      <c r="C535" s="16"/>
      <c r="D535" s="16"/>
      <c r="E535" s="64"/>
      <c r="F535" s="64"/>
      <c r="G535" s="16"/>
      <c r="H535" s="16"/>
      <c r="I535" s="16"/>
    </row>
    <row r="536" spans="3:9" ht="13.5" customHeight="1" x14ac:dyDescent="0.25">
      <c r="C536" s="35"/>
      <c r="D536" s="35"/>
      <c r="E536" s="65"/>
      <c r="F536" s="69"/>
      <c r="G536" s="35"/>
      <c r="H536" s="35"/>
      <c r="I536" s="35"/>
    </row>
    <row r="537" spans="3:9" ht="13.5" customHeight="1" x14ac:dyDescent="0.25">
      <c r="C537" s="16"/>
      <c r="D537" s="16"/>
      <c r="E537" s="64"/>
      <c r="F537" s="64"/>
      <c r="G537" s="16"/>
      <c r="H537" s="16"/>
      <c r="I537" s="16"/>
    </row>
    <row r="538" spans="3:9" ht="13.5" customHeight="1" x14ac:dyDescent="0.25">
      <c r="C538" s="35"/>
      <c r="D538" s="35"/>
      <c r="E538" s="65"/>
      <c r="F538" s="69"/>
      <c r="G538" s="35"/>
      <c r="H538" s="35"/>
      <c r="I538" s="35"/>
    </row>
    <row r="539" spans="3:9" ht="13.5" customHeight="1" x14ac:dyDescent="0.25">
      <c r="C539" s="16"/>
      <c r="D539" s="16"/>
      <c r="E539" s="64"/>
      <c r="F539" s="64"/>
      <c r="G539" s="16"/>
      <c r="H539" s="16"/>
      <c r="I539" s="16"/>
    </row>
    <row r="540" spans="3:9" ht="13.5" customHeight="1" x14ac:dyDescent="0.25">
      <c r="C540" s="35"/>
      <c r="D540" s="35"/>
      <c r="E540" s="65"/>
      <c r="F540" s="69"/>
      <c r="G540" s="35"/>
      <c r="H540" s="35"/>
      <c r="I540" s="35"/>
    </row>
    <row r="541" spans="3:9" ht="13.5" customHeight="1" x14ac:dyDescent="0.25">
      <c r="C541" s="16"/>
      <c r="D541" s="16"/>
      <c r="E541" s="64"/>
      <c r="F541" s="64"/>
      <c r="G541" s="16"/>
      <c r="H541" s="16"/>
      <c r="I541" s="16"/>
    </row>
    <row r="542" spans="3:9" ht="13.5" customHeight="1" x14ac:dyDescent="0.25">
      <c r="C542" s="35"/>
      <c r="D542" s="35"/>
      <c r="E542" s="65"/>
      <c r="F542" s="69"/>
      <c r="G542" s="35"/>
      <c r="H542" s="35"/>
      <c r="I542" s="35"/>
    </row>
    <row r="543" spans="3:9" ht="13.5" customHeight="1" x14ac:dyDescent="0.25">
      <c r="C543" s="16"/>
      <c r="D543" s="16"/>
      <c r="E543" s="64"/>
      <c r="F543" s="64"/>
      <c r="G543" s="16"/>
      <c r="H543" s="16"/>
      <c r="I543" s="16"/>
    </row>
    <row r="544" spans="3:9" ht="13.5" customHeight="1" x14ac:dyDescent="0.25">
      <c r="C544" s="35"/>
      <c r="D544" s="35"/>
      <c r="E544" s="65"/>
      <c r="F544" s="69"/>
      <c r="G544" s="35"/>
      <c r="H544" s="35"/>
      <c r="I544" s="35"/>
    </row>
    <row r="545" spans="3:9" ht="13.5" customHeight="1" x14ac:dyDescent="0.25">
      <c r="C545" s="16"/>
      <c r="D545" s="16"/>
      <c r="E545" s="64"/>
      <c r="F545" s="64"/>
      <c r="G545" s="16"/>
      <c r="H545" s="16"/>
      <c r="I545" s="16"/>
    </row>
    <row r="546" spans="3:9" ht="13.5" customHeight="1" x14ac:dyDescent="0.25">
      <c r="C546" s="35"/>
      <c r="D546" s="35"/>
      <c r="E546" s="65"/>
      <c r="F546" s="69"/>
      <c r="G546" s="35"/>
      <c r="H546" s="35"/>
      <c r="I546" s="35"/>
    </row>
    <row r="547" spans="3:9" ht="13.5" customHeight="1" x14ac:dyDescent="0.25">
      <c r="C547" s="16"/>
      <c r="D547" s="16"/>
      <c r="E547" s="64"/>
      <c r="F547" s="64"/>
      <c r="G547" s="16"/>
      <c r="H547" s="16"/>
      <c r="I547" s="16"/>
    </row>
    <row r="548" spans="3:9" ht="13.5" customHeight="1" x14ac:dyDescent="0.25">
      <c r="C548" s="35"/>
      <c r="D548" s="35"/>
      <c r="E548" s="65"/>
      <c r="F548" s="69"/>
      <c r="G548" s="35"/>
      <c r="H548" s="35"/>
      <c r="I548" s="35"/>
    </row>
    <row r="549" spans="3:9" ht="13.5" customHeight="1" x14ac:dyDescent="0.25">
      <c r="C549" s="16"/>
      <c r="D549" s="16"/>
      <c r="E549" s="64"/>
      <c r="F549" s="64"/>
      <c r="G549" s="16"/>
      <c r="H549" s="16"/>
      <c r="I549" s="16"/>
    </row>
    <row r="550" spans="3:9" ht="13.5" customHeight="1" x14ac:dyDescent="0.25">
      <c r="C550" s="35"/>
      <c r="D550" s="35"/>
      <c r="E550" s="65"/>
      <c r="F550" s="69"/>
      <c r="G550" s="35"/>
      <c r="H550" s="35"/>
      <c r="I550" s="35"/>
    </row>
    <row r="551" spans="3:9" ht="13.5" customHeight="1" x14ac:dyDescent="0.25">
      <c r="C551" s="16"/>
      <c r="D551" s="16"/>
      <c r="E551" s="64"/>
      <c r="F551" s="64"/>
      <c r="G551" s="16"/>
      <c r="H551" s="16"/>
      <c r="I551" s="16"/>
    </row>
    <row r="552" spans="3:9" ht="13.5" customHeight="1" x14ac:dyDescent="0.25">
      <c r="C552" s="35"/>
      <c r="D552" s="35"/>
      <c r="E552" s="65"/>
      <c r="F552" s="69"/>
      <c r="G552" s="35"/>
      <c r="H552" s="35"/>
      <c r="I552" s="35"/>
    </row>
    <row r="553" spans="3:9" ht="13.5" customHeight="1" x14ac:dyDescent="0.25">
      <c r="C553" s="16"/>
      <c r="D553" s="16"/>
      <c r="E553" s="64"/>
      <c r="F553" s="64"/>
      <c r="G553" s="16"/>
      <c r="H553" s="16"/>
      <c r="I553" s="16"/>
    </row>
    <row r="554" spans="3:9" ht="13.5" customHeight="1" x14ac:dyDescent="0.25">
      <c r="C554" s="35"/>
      <c r="D554" s="35"/>
      <c r="E554" s="65"/>
      <c r="F554" s="69"/>
      <c r="G554" s="35"/>
      <c r="H554" s="35"/>
      <c r="I554" s="35"/>
    </row>
    <row r="555" spans="3:9" ht="13.5" customHeight="1" x14ac:dyDescent="0.25">
      <c r="C555" s="16"/>
      <c r="D555" s="16"/>
      <c r="E555" s="64"/>
      <c r="F555" s="64"/>
      <c r="G555" s="16"/>
      <c r="H555" s="16"/>
      <c r="I555" s="16"/>
    </row>
    <row r="556" spans="3:9" ht="13.5" customHeight="1" x14ac:dyDescent="0.25">
      <c r="C556" s="35"/>
      <c r="D556" s="35"/>
      <c r="E556" s="65"/>
      <c r="F556" s="69"/>
      <c r="G556" s="35"/>
      <c r="H556" s="35"/>
      <c r="I556" s="35"/>
    </row>
    <row r="557" spans="3:9" ht="13.5" customHeight="1" x14ac:dyDescent="0.25">
      <c r="C557" s="16"/>
      <c r="D557" s="16"/>
      <c r="E557" s="64"/>
      <c r="F557" s="64"/>
      <c r="G557" s="16"/>
      <c r="H557" s="16"/>
      <c r="I557" s="16"/>
    </row>
    <row r="558" spans="3:9" ht="13.5" customHeight="1" x14ac:dyDescent="0.25">
      <c r="C558" s="35"/>
      <c r="D558" s="35"/>
      <c r="E558" s="65"/>
      <c r="F558" s="69"/>
      <c r="G558" s="35"/>
      <c r="H558" s="35"/>
      <c r="I558" s="35"/>
    </row>
    <row r="559" spans="3:9" ht="13.5" customHeight="1" x14ac:dyDescent="0.25">
      <c r="C559" s="16"/>
      <c r="D559" s="16"/>
      <c r="E559" s="64"/>
      <c r="F559" s="64"/>
      <c r="G559" s="16"/>
      <c r="H559" s="16"/>
      <c r="I559" s="16"/>
    </row>
    <row r="560" spans="3:9" ht="13.5" customHeight="1" x14ac:dyDescent="0.25">
      <c r="C560" s="35"/>
      <c r="D560" s="35"/>
      <c r="E560" s="65"/>
      <c r="F560" s="69"/>
      <c r="G560" s="35"/>
      <c r="H560" s="35"/>
      <c r="I560" s="35"/>
    </row>
    <row r="561" spans="3:9" ht="13.5" customHeight="1" x14ac:dyDescent="0.25">
      <c r="C561" s="16"/>
      <c r="D561" s="16"/>
      <c r="E561" s="64"/>
      <c r="F561" s="64"/>
      <c r="G561" s="16"/>
      <c r="H561" s="16"/>
      <c r="I561" s="16"/>
    </row>
    <row r="562" spans="3:9" ht="13.5" customHeight="1" x14ac:dyDescent="0.25">
      <c r="C562" s="35"/>
      <c r="D562" s="35"/>
      <c r="E562" s="65"/>
      <c r="F562" s="69"/>
      <c r="G562" s="35"/>
      <c r="H562" s="35"/>
      <c r="I562" s="35"/>
    </row>
    <row r="563" spans="3:9" ht="13.5" customHeight="1" x14ac:dyDescent="0.25">
      <c r="C563" s="16"/>
      <c r="D563" s="16"/>
      <c r="E563" s="64"/>
      <c r="F563" s="64"/>
      <c r="G563" s="16"/>
      <c r="H563" s="16"/>
      <c r="I563" s="16"/>
    </row>
    <row r="564" spans="3:9" ht="13.5" customHeight="1" x14ac:dyDescent="0.25">
      <c r="C564" s="35"/>
      <c r="D564" s="35"/>
      <c r="E564" s="65"/>
      <c r="F564" s="69"/>
      <c r="G564" s="35"/>
      <c r="H564" s="35"/>
      <c r="I564" s="35"/>
    </row>
    <row r="565" spans="3:9" ht="13.5" customHeight="1" x14ac:dyDescent="0.25">
      <c r="C565" s="16"/>
      <c r="D565" s="16"/>
      <c r="E565" s="64"/>
      <c r="F565" s="64"/>
      <c r="G565" s="16"/>
      <c r="H565" s="16"/>
      <c r="I565" s="16"/>
    </row>
    <row r="566" spans="3:9" ht="13.5" customHeight="1" x14ac:dyDescent="0.25">
      <c r="C566" s="35"/>
      <c r="D566" s="35"/>
      <c r="E566" s="65"/>
      <c r="F566" s="69"/>
      <c r="G566" s="35"/>
      <c r="H566" s="35"/>
      <c r="I566" s="35"/>
    </row>
    <row r="567" spans="3:9" ht="13.5" customHeight="1" x14ac:dyDescent="0.25">
      <c r="C567" s="16"/>
      <c r="D567" s="16"/>
      <c r="E567" s="64"/>
      <c r="F567" s="64"/>
      <c r="G567" s="16"/>
      <c r="H567" s="16"/>
      <c r="I567" s="16"/>
    </row>
    <row r="568" spans="3:9" ht="13.5" customHeight="1" x14ac:dyDescent="0.25">
      <c r="C568" s="35"/>
      <c r="D568" s="35"/>
      <c r="E568" s="65"/>
      <c r="F568" s="69"/>
      <c r="G568" s="35"/>
      <c r="H568" s="35"/>
      <c r="I568" s="35"/>
    </row>
    <row r="569" spans="3:9" ht="13.5" customHeight="1" x14ac:dyDescent="0.25">
      <c r="C569" s="16"/>
      <c r="D569" s="16"/>
      <c r="E569" s="64"/>
      <c r="F569" s="64"/>
      <c r="G569" s="16"/>
      <c r="H569" s="16"/>
      <c r="I569" s="16"/>
    </row>
    <row r="570" spans="3:9" ht="13.5" customHeight="1" x14ac:dyDescent="0.25">
      <c r="C570" s="35"/>
      <c r="D570" s="35"/>
      <c r="E570" s="65"/>
      <c r="F570" s="69"/>
      <c r="G570" s="35"/>
      <c r="H570" s="35"/>
      <c r="I570" s="35"/>
    </row>
    <row r="571" spans="3:9" ht="13.5" customHeight="1" x14ac:dyDescent="0.25">
      <c r="C571" s="16"/>
      <c r="D571" s="16"/>
      <c r="E571" s="64"/>
      <c r="F571" s="64"/>
      <c r="G571" s="16"/>
      <c r="H571" s="16"/>
      <c r="I571" s="16"/>
    </row>
    <row r="572" spans="3:9" ht="13.5" customHeight="1" x14ac:dyDescent="0.25">
      <c r="C572" s="35"/>
      <c r="D572" s="35"/>
      <c r="E572" s="65"/>
      <c r="F572" s="69"/>
      <c r="G572" s="35"/>
      <c r="H572" s="35"/>
      <c r="I572" s="35"/>
    </row>
    <row r="573" spans="3:9" ht="13.5" customHeight="1" x14ac:dyDescent="0.25">
      <c r="C573" s="16"/>
      <c r="D573" s="16"/>
      <c r="E573" s="64"/>
      <c r="F573" s="64"/>
      <c r="G573" s="16"/>
      <c r="H573" s="16"/>
      <c r="I573" s="16"/>
    </row>
    <row r="574" spans="3:9" ht="13.5" customHeight="1" x14ac:dyDescent="0.25">
      <c r="C574" s="35"/>
      <c r="D574" s="35"/>
      <c r="E574" s="65"/>
      <c r="F574" s="69"/>
      <c r="G574" s="35"/>
      <c r="H574" s="35"/>
      <c r="I574" s="35"/>
    </row>
    <row r="575" spans="3:9" ht="13.5" customHeight="1" x14ac:dyDescent="0.25">
      <c r="C575" s="16"/>
      <c r="D575" s="16"/>
      <c r="E575" s="64"/>
      <c r="F575" s="64"/>
      <c r="G575" s="16"/>
      <c r="H575" s="16"/>
      <c r="I575" s="16"/>
    </row>
    <row r="576" spans="3:9" ht="13.5" customHeight="1" x14ac:dyDescent="0.25">
      <c r="C576" s="35"/>
      <c r="D576" s="35"/>
      <c r="E576" s="65"/>
      <c r="F576" s="69"/>
      <c r="G576" s="35"/>
      <c r="H576" s="35"/>
      <c r="I576" s="35"/>
    </row>
    <row r="577" spans="3:9" ht="13.5" customHeight="1" x14ac:dyDescent="0.25">
      <c r="C577" s="16"/>
      <c r="D577" s="16"/>
      <c r="E577" s="64"/>
      <c r="F577" s="64"/>
      <c r="G577" s="16"/>
      <c r="H577" s="16"/>
      <c r="I577" s="16"/>
    </row>
    <row r="578" spans="3:9" ht="13.5" customHeight="1" x14ac:dyDescent="0.25">
      <c r="C578" s="35"/>
      <c r="D578" s="35"/>
      <c r="E578" s="65"/>
      <c r="F578" s="69"/>
      <c r="G578" s="35"/>
      <c r="H578" s="35"/>
      <c r="I578" s="35"/>
    </row>
    <row r="579" spans="3:9" ht="13.5" customHeight="1" x14ac:dyDescent="0.25">
      <c r="C579" s="16"/>
      <c r="D579" s="16"/>
      <c r="E579" s="64"/>
      <c r="F579" s="64"/>
      <c r="G579" s="16"/>
      <c r="H579" s="16"/>
      <c r="I579" s="16"/>
    </row>
    <row r="580" spans="3:9" ht="13.5" customHeight="1" x14ac:dyDescent="0.25">
      <c r="C580" s="35"/>
      <c r="D580" s="35"/>
      <c r="E580" s="65"/>
      <c r="F580" s="69"/>
      <c r="G580" s="35"/>
      <c r="H580" s="35"/>
      <c r="I580" s="35"/>
    </row>
    <row r="581" spans="3:9" ht="13.5" customHeight="1" x14ac:dyDescent="0.25">
      <c r="C581" s="16"/>
      <c r="D581" s="16"/>
      <c r="E581" s="64"/>
      <c r="F581" s="64"/>
      <c r="G581" s="16"/>
      <c r="H581" s="16"/>
      <c r="I581" s="16"/>
    </row>
    <row r="582" spans="3:9" ht="13.5" customHeight="1" x14ac:dyDescent="0.25">
      <c r="C582" s="35"/>
      <c r="D582" s="35"/>
      <c r="E582" s="65"/>
      <c r="F582" s="69"/>
      <c r="G582" s="35"/>
      <c r="H582" s="35"/>
      <c r="I582" s="35"/>
    </row>
    <row r="583" spans="3:9" ht="13.5" customHeight="1" x14ac:dyDescent="0.25">
      <c r="C583" s="16"/>
      <c r="D583" s="16"/>
      <c r="E583" s="64"/>
      <c r="F583" s="64"/>
      <c r="G583" s="16"/>
      <c r="H583" s="16"/>
      <c r="I583" s="16"/>
    </row>
    <row r="584" spans="3:9" ht="13.5" customHeight="1" x14ac:dyDescent="0.25">
      <c r="C584" s="35"/>
      <c r="D584" s="35"/>
      <c r="E584" s="65"/>
      <c r="F584" s="69"/>
      <c r="G584" s="35"/>
      <c r="H584" s="35"/>
      <c r="I584" s="35"/>
    </row>
    <row r="585" spans="3:9" ht="13.5" customHeight="1" x14ac:dyDescent="0.25">
      <c r="C585" s="16"/>
      <c r="D585" s="16"/>
      <c r="E585" s="64"/>
      <c r="F585" s="64"/>
      <c r="G585" s="16"/>
      <c r="H585" s="16"/>
      <c r="I585" s="16"/>
    </row>
    <row r="586" spans="3:9" ht="13.5" customHeight="1" x14ac:dyDescent="0.25">
      <c r="C586" s="35"/>
      <c r="D586" s="35"/>
      <c r="E586" s="65"/>
      <c r="F586" s="69"/>
      <c r="G586" s="35"/>
      <c r="H586" s="35"/>
      <c r="I586" s="35"/>
    </row>
    <row r="587" spans="3:9" ht="13.5" customHeight="1" x14ac:dyDescent="0.25">
      <c r="C587" s="16"/>
      <c r="D587" s="16"/>
      <c r="E587" s="64"/>
      <c r="F587" s="64"/>
      <c r="G587" s="16"/>
      <c r="H587" s="16"/>
      <c r="I587" s="16"/>
    </row>
    <row r="588" spans="3:9" ht="13.5" customHeight="1" x14ac:dyDescent="0.25">
      <c r="C588" s="35"/>
      <c r="D588" s="35"/>
      <c r="E588" s="65"/>
      <c r="F588" s="69"/>
      <c r="G588" s="35"/>
      <c r="H588" s="35"/>
      <c r="I588" s="35"/>
    </row>
    <row r="589" spans="3:9" ht="13.5" customHeight="1" x14ac:dyDescent="0.25">
      <c r="C589" s="16"/>
      <c r="D589" s="16"/>
      <c r="E589" s="64"/>
      <c r="F589" s="64"/>
      <c r="G589" s="16"/>
      <c r="H589" s="16"/>
      <c r="I589" s="16"/>
    </row>
    <row r="590" spans="3:9" ht="13.5" customHeight="1" x14ac:dyDescent="0.25">
      <c r="C590" s="35"/>
      <c r="D590" s="35"/>
      <c r="E590" s="65"/>
      <c r="F590" s="69"/>
      <c r="G590" s="35"/>
      <c r="H590" s="35"/>
      <c r="I590" s="35"/>
    </row>
    <row r="591" spans="3:9" ht="13.5" customHeight="1" x14ac:dyDescent="0.25">
      <c r="C591" s="16"/>
      <c r="D591" s="16"/>
      <c r="E591" s="64"/>
      <c r="F591" s="64"/>
      <c r="G591" s="16"/>
      <c r="H591" s="16"/>
      <c r="I591" s="16"/>
    </row>
    <row r="592" spans="3:9" ht="13.5" customHeight="1" x14ac:dyDescent="0.25">
      <c r="C592" s="35"/>
      <c r="D592" s="35"/>
      <c r="E592" s="65"/>
      <c r="F592" s="69"/>
      <c r="G592" s="35"/>
      <c r="H592" s="35"/>
      <c r="I592" s="35"/>
    </row>
    <row r="593" spans="3:9" ht="13.5" customHeight="1" x14ac:dyDescent="0.25">
      <c r="C593" s="16"/>
      <c r="D593" s="16"/>
      <c r="E593" s="64"/>
      <c r="F593" s="64"/>
      <c r="G593" s="16"/>
      <c r="H593" s="16"/>
      <c r="I593" s="16"/>
    </row>
    <row r="594" spans="3:9" ht="13.5" customHeight="1" x14ac:dyDescent="0.25">
      <c r="C594" s="35"/>
      <c r="D594" s="35"/>
      <c r="E594" s="65"/>
      <c r="F594" s="69"/>
      <c r="G594" s="35"/>
      <c r="H594" s="35"/>
      <c r="I594" s="35"/>
    </row>
    <row r="595" spans="3:9" ht="13.5" customHeight="1" x14ac:dyDescent="0.25">
      <c r="C595" s="16"/>
      <c r="D595" s="16"/>
      <c r="E595" s="64"/>
      <c r="F595" s="64"/>
      <c r="G595" s="16"/>
      <c r="H595" s="16"/>
      <c r="I595" s="16"/>
    </row>
    <row r="596" spans="3:9" ht="13.5" customHeight="1" x14ac:dyDescent="0.25">
      <c r="C596" s="35"/>
      <c r="D596" s="35"/>
      <c r="E596" s="65"/>
      <c r="F596" s="69"/>
      <c r="G596" s="35"/>
      <c r="H596" s="35"/>
      <c r="I596" s="35"/>
    </row>
    <row r="597" spans="3:9" ht="13.5" customHeight="1" x14ac:dyDescent="0.25">
      <c r="C597" s="16"/>
      <c r="D597" s="16"/>
      <c r="E597" s="64"/>
      <c r="F597" s="64"/>
      <c r="G597" s="16"/>
      <c r="H597" s="16"/>
      <c r="I597" s="16"/>
    </row>
    <row r="598" spans="3:9" ht="13.5" customHeight="1" x14ac:dyDescent="0.25">
      <c r="C598" s="35"/>
      <c r="D598" s="35"/>
      <c r="E598" s="65"/>
      <c r="F598" s="69"/>
      <c r="G598" s="35"/>
      <c r="H598" s="35"/>
      <c r="I598" s="35"/>
    </row>
    <row r="599" spans="3:9" ht="13.5" customHeight="1" x14ac:dyDescent="0.25">
      <c r="C599" s="16"/>
      <c r="D599" s="16"/>
      <c r="E599" s="64"/>
      <c r="F599" s="64"/>
      <c r="G599" s="16"/>
      <c r="H599" s="16"/>
      <c r="I599" s="16"/>
    </row>
    <row r="600" spans="3:9" ht="13.5" customHeight="1" x14ac:dyDescent="0.25">
      <c r="C600" s="35"/>
      <c r="D600" s="35"/>
      <c r="E600" s="65"/>
      <c r="F600" s="69"/>
      <c r="G600" s="35"/>
      <c r="H600" s="35"/>
      <c r="I600" s="35"/>
    </row>
    <row r="601" spans="3:9" ht="13.5" customHeight="1" x14ac:dyDescent="0.25">
      <c r="C601" s="16"/>
      <c r="D601" s="16"/>
      <c r="E601" s="64"/>
      <c r="F601" s="64"/>
      <c r="G601" s="16"/>
      <c r="H601" s="16"/>
      <c r="I601" s="16"/>
    </row>
    <row r="602" spans="3:9" ht="13.5" customHeight="1" x14ac:dyDescent="0.25">
      <c r="C602" s="35"/>
      <c r="D602" s="35"/>
      <c r="E602" s="65"/>
      <c r="F602" s="69"/>
      <c r="G602" s="35"/>
      <c r="H602" s="35"/>
      <c r="I602" s="35"/>
    </row>
    <row r="603" spans="3:9" ht="13.5" customHeight="1" x14ac:dyDescent="0.25">
      <c r="C603" s="16"/>
      <c r="D603" s="16"/>
      <c r="E603" s="64"/>
      <c r="F603" s="64"/>
      <c r="G603" s="16"/>
      <c r="H603" s="16"/>
      <c r="I603" s="16"/>
    </row>
    <row r="604" spans="3:9" ht="13.5" customHeight="1" x14ac:dyDescent="0.25">
      <c r="C604" s="35"/>
      <c r="D604" s="35"/>
      <c r="E604" s="65"/>
      <c r="F604" s="69"/>
      <c r="G604" s="35"/>
      <c r="H604" s="35"/>
      <c r="I604" s="35"/>
    </row>
    <row r="605" spans="3:9" ht="13.5" customHeight="1" x14ac:dyDescent="0.25">
      <c r="C605" s="16"/>
      <c r="D605" s="16"/>
      <c r="E605" s="64"/>
      <c r="F605" s="64"/>
      <c r="G605" s="16"/>
      <c r="H605" s="16"/>
      <c r="I605" s="16"/>
    </row>
    <row r="606" spans="3:9" ht="13.5" customHeight="1" x14ac:dyDescent="0.25">
      <c r="C606" s="35"/>
      <c r="D606" s="35"/>
      <c r="E606" s="65"/>
      <c r="F606" s="69"/>
      <c r="G606" s="35"/>
      <c r="H606" s="35"/>
      <c r="I606" s="35"/>
    </row>
    <row r="607" spans="3:9" ht="13.5" customHeight="1" x14ac:dyDescent="0.25">
      <c r="C607" s="16"/>
      <c r="D607" s="16"/>
      <c r="E607" s="64"/>
      <c r="F607" s="64"/>
      <c r="G607" s="16"/>
      <c r="H607" s="16"/>
      <c r="I607" s="16"/>
    </row>
    <row r="608" spans="3:9" ht="13.5" customHeight="1" x14ac:dyDescent="0.25">
      <c r="C608" s="35"/>
      <c r="D608" s="35"/>
      <c r="E608" s="65"/>
      <c r="F608" s="69"/>
      <c r="G608" s="35"/>
      <c r="H608" s="35"/>
      <c r="I608" s="35"/>
    </row>
    <row r="609" spans="3:9" ht="13.5" customHeight="1" x14ac:dyDescent="0.25">
      <c r="C609" s="16"/>
      <c r="D609" s="16"/>
      <c r="E609" s="64"/>
      <c r="F609" s="64"/>
      <c r="G609" s="16"/>
      <c r="H609" s="16"/>
      <c r="I609" s="16"/>
    </row>
    <row r="610" spans="3:9" ht="13.5" customHeight="1" x14ac:dyDescent="0.25">
      <c r="C610" s="35"/>
      <c r="D610" s="35"/>
      <c r="E610" s="65"/>
      <c r="F610" s="69"/>
      <c r="G610" s="35"/>
      <c r="H610" s="35"/>
      <c r="I610" s="35"/>
    </row>
    <row r="611" spans="3:9" ht="13.5" customHeight="1" x14ac:dyDescent="0.25">
      <c r="C611" s="16"/>
      <c r="D611" s="16"/>
      <c r="E611" s="64"/>
      <c r="F611" s="64"/>
      <c r="G611" s="16"/>
      <c r="H611" s="16"/>
      <c r="I611" s="16"/>
    </row>
    <row r="612" spans="3:9" ht="13.5" customHeight="1" x14ac:dyDescent="0.25">
      <c r="C612" s="35"/>
      <c r="D612" s="35"/>
      <c r="E612" s="65"/>
      <c r="F612" s="69"/>
      <c r="G612" s="35"/>
      <c r="H612" s="35"/>
      <c r="I612" s="35"/>
    </row>
    <row r="613" spans="3:9" ht="13.5" customHeight="1" x14ac:dyDescent="0.25">
      <c r="C613" s="16"/>
      <c r="D613" s="16"/>
      <c r="E613" s="64"/>
      <c r="F613" s="64"/>
      <c r="G613" s="16"/>
      <c r="H613" s="16"/>
      <c r="I613" s="16"/>
    </row>
    <row r="614" spans="3:9" ht="13.5" customHeight="1" x14ac:dyDescent="0.25">
      <c r="C614" s="35"/>
      <c r="D614" s="35"/>
      <c r="E614" s="65"/>
      <c r="F614" s="69"/>
      <c r="G614" s="35"/>
      <c r="H614" s="35"/>
      <c r="I614" s="35"/>
    </row>
    <row r="615" spans="3:9" ht="13.5" customHeight="1" x14ac:dyDescent="0.25">
      <c r="C615" s="16"/>
      <c r="D615" s="16"/>
      <c r="E615" s="64"/>
      <c r="F615" s="64"/>
      <c r="G615" s="16"/>
      <c r="H615" s="16"/>
      <c r="I615" s="16"/>
    </row>
    <row r="616" spans="3:9" ht="13.5" customHeight="1" x14ac:dyDescent="0.25">
      <c r="C616" s="35"/>
      <c r="D616" s="35"/>
      <c r="E616" s="65"/>
      <c r="F616" s="69"/>
      <c r="G616" s="35"/>
      <c r="H616" s="35"/>
      <c r="I616" s="35"/>
    </row>
    <row r="617" spans="3:9" ht="13.5" customHeight="1" x14ac:dyDescent="0.25">
      <c r="C617" s="16"/>
      <c r="D617" s="16"/>
      <c r="E617" s="64"/>
      <c r="F617" s="64"/>
      <c r="G617" s="16"/>
      <c r="H617" s="16"/>
      <c r="I617" s="16"/>
    </row>
    <row r="618" spans="3:9" ht="13.5" customHeight="1" x14ac:dyDescent="0.25">
      <c r="C618" s="35"/>
      <c r="D618" s="35"/>
      <c r="E618" s="65"/>
      <c r="F618" s="69"/>
      <c r="G618" s="35"/>
      <c r="H618" s="35"/>
      <c r="I618" s="35"/>
    </row>
    <row r="619" spans="3:9" ht="13.5" customHeight="1" x14ac:dyDescent="0.25">
      <c r="C619" s="16"/>
      <c r="D619" s="16"/>
      <c r="E619" s="64"/>
      <c r="F619" s="64"/>
      <c r="G619" s="16"/>
      <c r="H619" s="16"/>
      <c r="I619" s="16"/>
    </row>
    <row r="620" spans="3:9" ht="13.5" customHeight="1" x14ac:dyDescent="0.25">
      <c r="C620" s="35"/>
      <c r="D620" s="35"/>
      <c r="E620" s="65"/>
      <c r="F620" s="69"/>
      <c r="G620" s="35"/>
      <c r="H620" s="35"/>
      <c r="I620" s="35"/>
    </row>
    <row r="621" spans="3:9" ht="13.5" customHeight="1" x14ac:dyDescent="0.25">
      <c r="C621" s="16"/>
      <c r="D621" s="16"/>
      <c r="E621" s="64"/>
      <c r="F621" s="64"/>
      <c r="G621" s="16"/>
      <c r="H621" s="16"/>
      <c r="I621" s="16"/>
    </row>
    <row r="622" spans="3:9" ht="13.5" customHeight="1" x14ac:dyDescent="0.25">
      <c r="C622" s="35"/>
      <c r="D622" s="35"/>
      <c r="E622" s="65"/>
      <c r="F622" s="69"/>
      <c r="G622" s="35"/>
      <c r="H622" s="35"/>
      <c r="I622" s="35"/>
    </row>
    <row r="623" spans="3:9" ht="13.5" customHeight="1" x14ac:dyDescent="0.25">
      <c r="C623" s="16"/>
      <c r="D623" s="16"/>
      <c r="E623" s="64"/>
      <c r="F623" s="64"/>
      <c r="G623" s="16"/>
      <c r="H623" s="16"/>
      <c r="I623" s="16"/>
    </row>
    <row r="624" spans="3:9" ht="13.5" customHeight="1" x14ac:dyDescent="0.25">
      <c r="C624" s="35"/>
      <c r="D624" s="35"/>
      <c r="E624" s="65"/>
      <c r="F624" s="69"/>
      <c r="G624" s="35"/>
      <c r="H624" s="35"/>
      <c r="I624" s="35"/>
    </row>
    <row r="625" spans="3:9" ht="13.5" customHeight="1" x14ac:dyDescent="0.25">
      <c r="C625" s="16"/>
      <c r="D625" s="16"/>
      <c r="E625" s="64"/>
      <c r="F625" s="64"/>
      <c r="G625" s="16"/>
      <c r="H625" s="16"/>
      <c r="I625" s="16"/>
    </row>
    <row r="626" spans="3:9" ht="13.5" customHeight="1" x14ac:dyDescent="0.25">
      <c r="C626" s="35"/>
      <c r="D626" s="35"/>
      <c r="E626" s="65"/>
      <c r="F626" s="69"/>
      <c r="G626" s="35"/>
      <c r="H626" s="35"/>
      <c r="I626" s="35"/>
    </row>
    <row r="627" spans="3:9" ht="13.5" customHeight="1" x14ac:dyDescent="0.25">
      <c r="C627" s="16"/>
      <c r="D627" s="16"/>
      <c r="E627" s="64"/>
      <c r="F627" s="64"/>
      <c r="G627" s="16"/>
      <c r="H627" s="16"/>
      <c r="I627" s="16"/>
    </row>
    <row r="628" spans="3:9" ht="13.5" customHeight="1" x14ac:dyDescent="0.25">
      <c r="C628" s="35"/>
      <c r="D628" s="35"/>
      <c r="E628" s="65"/>
      <c r="F628" s="69"/>
      <c r="G628" s="35"/>
      <c r="H628" s="35"/>
      <c r="I628" s="35"/>
    </row>
    <row r="629" spans="3:9" ht="13.5" customHeight="1" x14ac:dyDescent="0.25">
      <c r="C629" s="16"/>
      <c r="D629" s="16"/>
      <c r="E629" s="64"/>
      <c r="F629" s="64"/>
      <c r="G629" s="16"/>
      <c r="H629" s="16"/>
      <c r="I629" s="16"/>
    </row>
    <row r="630" spans="3:9" ht="13.5" customHeight="1" x14ac:dyDescent="0.25">
      <c r="C630" s="35"/>
      <c r="D630" s="35"/>
      <c r="E630" s="65"/>
      <c r="F630" s="69"/>
      <c r="G630" s="35"/>
      <c r="H630" s="35"/>
      <c r="I630" s="35"/>
    </row>
    <row r="631" spans="3:9" ht="13.5" customHeight="1" x14ac:dyDescent="0.25">
      <c r="C631" s="16"/>
      <c r="D631" s="16"/>
      <c r="E631" s="64"/>
      <c r="F631" s="64"/>
      <c r="G631" s="16"/>
      <c r="H631" s="16"/>
      <c r="I631" s="16"/>
    </row>
    <row r="632" spans="3:9" ht="13.5" customHeight="1" x14ac:dyDescent="0.25">
      <c r="C632" s="35"/>
      <c r="D632" s="35"/>
      <c r="E632" s="65"/>
      <c r="F632" s="69"/>
      <c r="G632" s="35"/>
      <c r="H632" s="35"/>
      <c r="I632" s="35"/>
    </row>
    <row r="633" spans="3:9" ht="13.5" customHeight="1" x14ac:dyDescent="0.25">
      <c r="C633" s="16"/>
      <c r="D633" s="16"/>
      <c r="E633" s="64"/>
      <c r="F633" s="64"/>
      <c r="G633" s="16"/>
      <c r="H633" s="16"/>
      <c r="I633" s="16"/>
    </row>
    <row r="634" spans="3:9" ht="13.5" customHeight="1" x14ac:dyDescent="0.25">
      <c r="C634" s="35"/>
      <c r="D634" s="35"/>
      <c r="E634" s="65"/>
      <c r="F634" s="69"/>
      <c r="G634" s="35"/>
      <c r="H634" s="35"/>
      <c r="I634" s="35"/>
    </row>
    <row r="635" spans="3:9" ht="13.5" customHeight="1" x14ac:dyDescent="0.25">
      <c r="C635" s="16"/>
      <c r="D635" s="16"/>
      <c r="E635" s="64"/>
      <c r="F635" s="64"/>
      <c r="G635" s="16"/>
      <c r="H635" s="16"/>
      <c r="I635" s="16"/>
    </row>
    <row r="636" spans="3:9" ht="13.5" customHeight="1" x14ac:dyDescent="0.25">
      <c r="C636" s="35"/>
      <c r="D636" s="35"/>
      <c r="E636" s="65"/>
      <c r="F636" s="69"/>
      <c r="G636" s="35"/>
      <c r="H636" s="35"/>
      <c r="I636" s="35"/>
    </row>
    <row r="637" spans="3:9" ht="13.5" customHeight="1" x14ac:dyDescent="0.25">
      <c r="C637" s="16"/>
      <c r="D637" s="16"/>
      <c r="E637" s="64"/>
      <c r="F637" s="64"/>
      <c r="G637" s="16"/>
      <c r="H637" s="16"/>
      <c r="I637" s="16"/>
    </row>
    <row r="638" spans="3:9" ht="13.5" customHeight="1" x14ac:dyDescent="0.25">
      <c r="C638" s="35"/>
      <c r="D638" s="35"/>
      <c r="E638" s="65"/>
      <c r="F638" s="69"/>
      <c r="G638" s="35"/>
      <c r="H638" s="35"/>
      <c r="I638" s="35"/>
    </row>
    <row r="639" spans="3:9" ht="13.5" customHeight="1" x14ac:dyDescent="0.25">
      <c r="C639" s="16"/>
      <c r="D639" s="16"/>
      <c r="E639" s="64"/>
      <c r="F639" s="64"/>
      <c r="G639" s="16"/>
      <c r="H639" s="16"/>
      <c r="I639" s="16"/>
    </row>
    <row r="640" spans="3:9" ht="13.5" customHeight="1" x14ac:dyDescent="0.25">
      <c r="C640" s="35"/>
      <c r="D640" s="35"/>
      <c r="E640" s="65"/>
      <c r="F640" s="69"/>
      <c r="G640" s="35"/>
      <c r="H640" s="35"/>
      <c r="I640" s="35"/>
    </row>
    <row r="641" spans="3:9" ht="13.5" customHeight="1" x14ac:dyDescent="0.25">
      <c r="C641" s="16"/>
      <c r="D641" s="16"/>
      <c r="E641" s="64"/>
      <c r="F641" s="64"/>
      <c r="G641" s="16"/>
      <c r="H641" s="16"/>
      <c r="I641" s="16"/>
    </row>
    <row r="642" spans="3:9" ht="13.5" customHeight="1" x14ac:dyDescent="0.25">
      <c r="C642" s="35"/>
      <c r="D642" s="35"/>
      <c r="E642" s="65"/>
      <c r="F642" s="69"/>
      <c r="G642" s="35"/>
      <c r="H642" s="35"/>
      <c r="I642" s="35"/>
    </row>
    <row r="643" spans="3:9" ht="13.5" customHeight="1" x14ac:dyDescent="0.25">
      <c r="C643" s="16"/>
      <c r="D643" s="16"/>
      <c r="E643" s="64"/>
      <c r="F643" s="64"/>
      <c r="G643" s="16"/>
      <c r="H643" s="16"/>
      <c r="I643" s="16"/>
    </row>
    <row r="644" spans="3:9" ht="13.5" customHeight="1" x14ac:dyDescent="0.25">
      <c r="C644" s="35"/>
      <c r="D644" s="35"/>
      <c r="E644" s="65"/>
      <c r="F644" s="69"/>
      <c r="G644" s="35"/>
      <c r="H644" s="35"/>
      <c r="I644" s="35"/>
    </row>
    <row r="645" spans="3:9" ht="13.5" customHeight="1" x14ac:dyDescent="0.25">
      <c r="C645" s="16"/>
      <c r="D645" s="16"/>
      <c r="E645" s="64"/>
      <c r="F645" s="64"/>
      <c r="G645" s="16"/>
      <c r="H645" s="16"/>
      <c r="I645" s="16"/>
    </row>
    <row r="646" spans="3:9" ht="13.5" customHeight="1" x14ac:dyDescent="0.25">
      <c r="C646" s="35"/>
      <c r="D646" s="35"/>
      <c r="E646" s="65"/>
      <c r="F646" s="69"/>
      <c r="G646" s="35"/>
      <c r="H646" s="35"/>
      <c r="I646" s="35"/>
    </row>
    <row r="647" spans="3:9" ht="13.5" customHeight="1" x14ac:dyDescent="0.25">
      <c r="C647" s="16"/>
      <c r="D647" s="16"/>
      <c r="E647" s="64"/>
      <c r="F647" s="64"/>
      <c r="G647" s="16"/>
      <c r="H647" s="16"/>
      <c r="I647" s="16"/>
    </row>
    <row r="648" spans="3:9" ht="13.5" customHeight="1" x14ac:dyDescent="0.25">
      <c r="C648" s="35"/>
      <c r="D648" s="35"/>
      <c r="E648" s="65"/>
      <c r="F648" s="69"/>
      <c r="G648" s="35"/>
      <c r="H648" s="35"/>
      <c r="I648" s="35"/>
    </row>
    <row r="649" spans="3:9" ht="13.5" customHeight="1" x14ac:dyDescent="0.25">
      <c r="C649" s="16"/>
      <c r="D649" s="16"/>
      <c r="E649" s="64"/>
      <c r="F649" s="64"/>
      <c r="G649" s="16"/>
      <c r="H649" s="16"/>
      <c r="I649" s="16"/>
    </row>
    <row r="650" spans="3:9" ht="13.5" customHeight="1" x14ac:dyDescent="0.25">
      <c r="C650" s="35"/>
      <c r="D650" s="35"/>
      <c r="E650" s="65"/>
      <c r="F650" s="69"/>
      <c r="G650" s="35"/>
      <c r="H650" s="35"/>
      <c r="I650" s="35"/>
    </row>
    <row r="651" spans="3:9" ht="13.5" customHeight="1" x14ac:dyDescent="0.25">
      <c r="C651" s="16"/>
      <c r="D651" s="16"/>
      <c r="E651" s="64"/>
      <c r="F651" s="64"/>
      <c r="G651" s="16"/>
      <c r="H651" s="16"/>
      <c r="I651" s="16"/>
    </row>
    <row r="652" spans="3:9" ht="13.5" customHeight="1" x14ac:dyDescent="0.25">
      <c r="C652" s="35"/>
      <c r="D652" s="35"/>
      <c r="E652" s="65"/>
      <c r="F652" s="69"/>
      <c r="G652" s="35"/>
      <c r="H652" s="35"/>
      <c r="I652" s="35"/>
    </row>
    <row r="653" spans="3:9" ht="13.5" customHeight="1" x14ac:dyDescent="0.25">
      <c r="C653" s="16"/>
      <c r="D653" s="16"/>
      <c r="E653" s="64"/>
      <c r="F653" s="64"/>
      <c r="G653" s="16"/>
      <c r="H653" s="16"/>
      <c r="I653" s="16"/>
    </row>
    <row r="654" spans="3:9" ht="13.5" customHeight="1" x14ac:dyDescent="0.25">
      <c r="C654" s="35"/>
      <c r="D654" s="35"/>
      <c r="E654" s="65"/>
      <c r="F654" s="69"/>
      <c r="G654" s="35"/>
      <c r="H654" s="35"/>
      <c r="I654" s="35"/>
    </row>
    <row r="655" spans="3:9" ht="13.5" customHeight="1" x14ac:dyDescent="0.25">
      <c r="C655" s="16"/>
      <c r="D655" s="16"/>
      <c r="E655" s="64"/>
      <c r="F655" s="64"/>
      <c r="G655" s="16"/>
      <c r="H655" s="16"/>
      <c r="I655" s="16"/>
    </row>
    <row r="656" spans="3:9" ht="13.5" customHeight="1" x14ac:dyDescent="0.25">
      <c r="C656" s="35"/>
      <c r="D656" s="35"/>
      <c r="E656" s="65"/>
      <c r="F656" s="69"/>
      <c r="G656" s="35"/>
      <c r="H656" s="35"/>
      <c r="I656" s="35"/>
    </row>
    <row r="657" spans="3:9" ht="13.5" customHeight="1" x14ac:dyDescent="0.25">
      <c r="C657" s="16"/>
      <c r="D657" s="16"/>
      <c r="E657" s="64"/>
      <c r="F657" s="64"/>
      <c r="G657" s="16"/>
      <c r="H657" s="16"/>
      <c r="I657" s="16"/>
    </row>
    <row r="658" spans="3:9" ht="13.5" customHeight="1" x14ac:dyDescent="0.25">
      <c r="C658" s="35"/>
      <c r="D658" s="35"/>
      <c r="E658" s="65"/>
      <c r="F658" s="69"/>
      <c r="G658" s="35"/>
      <c r="H658" s="35"/>
      <c r="I658" s="35"/>
    </row>
    <row r="659" spans="3:9" ht="13.5" customHeight="1" x14ac:dyDescent="0.25">
      <c r="C659" s="16"/>
      <c r="D659" s="16"/>
      <c r="E659" s="64"/>
      <c r="F659" s="64"/>
      <c r="G659" s="16"/>
      <c r="H659" s="16"/>
      <c r="I659" s="16"/>
    </row>
    <row r="660" spans="3:9" ht="13.5" customHeight="1" x14ac:dyDescent="0.25">
      <c r="C660" s="35"/>
      <c r="D660" s="35"/>
      <c r="E660" s="65"/>
      <c r="F660" s="69"/>
      <c r="G660" s="35"/>
      <c r="H660" s="35"/>
      <c r="I660" s="35"/>
    </row>
    <row r="661" spans="3:9" ht="13.5" customHeight="1" x14ac:dyDescent="0.25">
      <c r="C661" s="16"/>
      <c r="D661" s="16"/>
      <c r="E661" s="64"/>
      <c r="F661" s="64"/>
      <c r="G661" s="16"/>
      <c r="H661" s="16"/>
      <c r="I661" s="16"/>
    </row>
    <row r="662" spans="3:9" ht="13.5" customHeight="1" x14ac:dyDescent="0.25">
      <c r="C662" s="35"/>
      <c r="D662" s="35"/>
      <c r="E662" s="65"/>
      <c r="F662" s="69"/>
      <c r="G662" s="35"/>
      <c r="H662" s="35"/>
      <c r="I662" s="35"/>
    </row>
    <row r="663" spans="3:9" ht="13.5" customHeight="1" x14ac:dyDescent="0.25">
      <c r="C663" s="16"/>
      <c r="D663" s="16"/>
      <c r="E663" s="64"/>
      <c r="F663" s="64"/>
      <c r="G663" s="16"/>
      <c r="H663" s="16"/>
      <c r="I663" s="16"/>
    </row>
    <row r="664" spans="3:9" ht="13.5" customHeight="1" x14ac:dyDescent="0.25">
      <c r="C664" s="35"/>
      <c r="D664" s="35"/>
      <c r="E664" s="65"/>
      <c r="F664" s="69"/>
      <c r="G664" s="35"/>
      <c r="H664" s="35"/>
      <c r="I664" s="35"/>
    </row>
    <row r="665" spans="3:9" ht="13.5" customHeight="1" x14ac:dyDescent="0.25">
      <c r="C665" s="16"/>
      <c r="D665" s="16"/>
      <c r="E665" s="64"/>
      <c r="F665" s="64"/>
      <c r="G665" s="16"/>
      <c r="H665" s="16"/>
      <c r="I665" s="16"/>
    </row>
    <row r="666" spans="3:9" ht="13.5" customHeight="1" x14ac:dyDescent="0.25">
      <c r="C666" s="35"/>
      <c r="D666" s="35"/>
      <c r="E666" s="65"/>
      <c r="F666" s="69"/>
      <c r="G666" s="35"/>
      <c r="H666" s="35"/>
      <c r="I666" s="35"/>
    </row>
    <row r="667" spans="3:9" ht="13.5" customHeight="1" x14ac:dyDescent="0.25">
      <c r="C667" s="16"/>
      <c r="D667" s="16"/>
      <c r="E667" s="64"/>
      <c r="F667" s="64"/>
      <c r="G667" s="16"/>
      <c r="H667" s="16"/>
      <c r="I667" s="16"/>
    </row>
    <row r="668" spans="3:9" ht="13.5" customHeight="1" x14ac:dyDescent="0.25">
      <c r="C668" s="35"/>
      <c r="D668" s="35"/>
      <c r="E668" s="65"/>
      <c r="F668" s="69"/>
      <c r="G668" s="35"/>
      <c r="H668" s="35"/>
      <c r="I668" s="35"/>
    </row>
    <row r="669" spans="3:9" ht="13.5" customHeight="1" x14ac:dyDescent="0.25">
      <c r="C669" s="16"/>
      <c r="D669" s="16"/>
      <c r="E669" s="64"/>
      <c r="F669" s="64"/>
      <c r="G669" s="16"/>
      <c r="H669" s="16"/>
      <c r="I669" s="16"/>
    </row>
    <row r="670" spans="3:9" ht="13.5" customHeight="1" x14ac:dyDescent="0.25">
      <c r="C670" s="35"/>
      <c r="D670" s="35"/>
      <c r="E670" s="65"/>
      <c r="F670" s="69"/>
      <c r="G670" s="35"/>
      <c r="H670" s="35"/>
      <c r="I670" s="35"/>
    </row>
    <row r="671" spans="3:9" ht="13.5" customHeight="1" x14ac:dyDescent="0.25">
      <c r="C671" s="16"/>
      <c r="D671" s="16"/>
      <c r="E671" s="64"/>
      <c r="F671" s="64"/>
      <c r="G671" s="16"/>
      <c r="H671" s="16"/>
      <c r="I671" s="16"/>
    </row>
    <row r="672" spans="3:9" ht="13.5" customHeight="1" x14ac:dyDescent="0.25">
      <c r="C672" s="35"/>
      <c r="D672" s="35"/>
      <c r="E672" s="65"/>
      <c r="F672" s="69"/>
      <c r="G672" s="35"/>
      <c r="H672" s="35"/>
      <c r="I672" s="35"/>
    </row>
    <row r="673" spans="3:9" ht="13.5" customHeight="1" x14ac:dyDescent="0.25">
      <c r="C673" s="16"/>
      <c r="D673" s="16"/>
      <c r="E673" s="64"/>
      <c r="F673" s="64"/>
      <c r="G673" s="16"/>
      <c r="H673" s="16"/>
      <c r="I673" s="16"/>
    </row>
    <row r="674" spans="3:9" ht="13.5" customHeight="1" x14ac:dyDescent="0.25">
      <c r="C674" s="35"/>
      <c r="D674" s="35"/>
      <c r="E674" s="65"/>
      <c r="F674" s="69"/>
      <c r="G674" s="35"/>
      <c r="H674" s="35"/>
      <c r="I674" s="35"/>
    </row>
    <row r="675" spans="3:9" ht="13.5" customHeight="1" x14ac:dyDescent="0.25">
      <c r="C675" s="16"/>
      <c r="D675" s="16"/>
      <c r="E675" s="64"/>
      <c r="F675" s="64"/>
      <c r="G675" s="16"/>
      <c r="H675" s="16"/>
      <c r="I675" s="16"/>
    </row>
    <row r="676" spans="3:9" ht="13.5" customHeight="1" x14ac:dyDescent="0.25">
      <c r="C676" s="35"/>
      <c r="D676" s="35"/>
      <c r="E676" s="65"/>
      <c r="F676" s="69"/>
      <c r="G676" s="35"/>
      <c r="H676" s="35"/>
      <c r="I676" s="35"/>
    </row>
    <row r="677" spans="3:9" ht="13.5" customHeight="1" x14ac:dyDescent="0.25">
      <c r="C677" s="16"/>
      <c r="D677" s="16"/>
      <c r="E677" s="64"/>
      <c r="F677" s="64"/>
      <c r="G677" s="16"/>
      <c r="H677" s="16"/>
      <c r="I677" s="16"/>
    </row>
    <row r="678" spans="3:9" ht="13.5" customHeight="1" x14ac:dyDescent="0.25">
      <c r="C678" s="35"/>
      <c r="D678" s="35"/>
      <c r="E678" s="65"/>
      <c r="F678" s="69"/>
      <c r="G678" s="35"/>
      <c r="H678" s="35"/>
      <c r="I678" s="35"/>
    </row>
    <row r="679" spans="3:9" ht="13.5" customHeight="1" x14ac:dyDescent="0.25">
      <c r="C679" s="16"/>
      <c r="D679" s="16"/>
      <c r="E679" s="64"/>
      <c r="F679" s="64"/>
      <c r="G679" s="16"/>
      <c r="H679" s="16"/>
      <c r="I679" s="16"/>
    </row>
    <row r="680" spans="3:9" ht="13.5" customHeight="1" x14ac:dyDescent="0.25">
      <c r="C680" s="35"/>
      <c r="D680" s="35"/>
      <c r="E680" s="65"/>
      <c r="F680" s="69"/>
      <c r="G680" s="35"/>
      <c r="H680" s="35"/>
      <c r="I680" s="35"/>
    </row>
    <row r="681" spans="3:9" ht="13.5" customHeight="1" x14ac:dyDescent="0.25">
      <c r="C681" s="16"/>
      <c r="D681" s="16"/>
      <c r="E681" s="64"/>
      <c r="F681" s="64"/>
      <c r="G681" s="16"/>
      <c r="H681" s="16"/>
      <c r="I681" s="16"/>
    </row>
    <row r="682" spans="3:9" ht="13.5" customHeight="1" x14ac:dyDescent="0.25">
      <c r="C682" s="35"/>
      <c r="D682" s="35"/>
      <c r="E682" s="65"/>
      <c r="F682" s="69"/>
      <c r="G682" s="35"/>
      <c r="H682" s="35"/>
      <c r="I682" s="35"/>
    </row>
    <row r="683" spans="3:9" ht="13.5" customHeight="1" x14ac:dyDescent="0.25">
      <c r="C683" s="16"/>
      <c r="D683" s="16"/>
      <c r="E683" s="64"/>
      <c r="F683" s="64"/>
      <c r="G683" s="16"/>
      <c r="H683" s="16"/>
      <c r="I683" s="16"/>
    </row>
    <row r="684" spans="3:9" ht="13.5" customHeight="1" x14ac:dyDescent="0.25">
      <c r="C684" s="35"/>
      <c r="D684" s="35"/>
      <c r="E684" s="65"/>
      <c r="F684" s="69"/>
      <c r="G684" s="35"/>
      <c r="H684" s="35"/>
      <c r="I684" s="35"/>
    </row>
    <row r="685" spans="3:9" ht="13.5" customHeight="1" x14ac:dyDescent="0.25">
      <c r="C685" s="16"/>
      <c r="D685" s="16"/>
      <c r="E685" s="64"/>
      <c r="F685" s="64"/>
      <c r="G685" s="16"/>
      <c r="H685" s="16"/>
      <c r="I685" s="16"/>
    </row>
    <row r="686" spans="3:9" ht="13.5" customHeight="1" x14ac:dyDescent="0.25">
      <c r="C686" s="35"/>
      <c r="D686" s="35"/>
      <c r="E686" s="65"/>
      <c r="F686" s="69"/>
      <c r="G686" s="35"/>
      <c r="H686" s="35"/>
      <c r="I686" s="35"/>
    </row>
    <row r="687" spans="3:9" ht="13.5" customHeight="1" x14ac:dyDescent="0.25">
      <c r="C687" s="16"/>
      <c r="D687" s="16"/>
      <c r="E687" s="64"/>
      <c r="F687" s="64"/>
      <c r="G687" s="16"/>
      <c r="H687" s="16"/>
      <c r="I687" s="16"/>
    </row>
    <row r="688" spans="3:9" ht="13.5" customHeight="1" x14ac:dyDescent="0.25">
      <c r="C688" s="35"/>
      <c r="D688" s="35"/>
      <c r="E688" s="65"/>
      <c r="F688" s="69"/>
      <c r="G688" s="35"/>
      <c r="H688" s="35"/>
      <c r="I688" s="35"/>
    </row>
    <row r="689" spans="3:9" ht="13.5" customHeight="1" x14ac:dyDescent="0.25">
      <c r="C689" s="16"/>
      <c r="D689" s="16"/>
      <c r="E689" s="64"/>
      <c r="F689" s="64"/>
      <c r="G689" s="16"/>
      <c r="H689" s="16"/>
      <c r="I689" s="16"/>
    </row>
    <row r="690" spans="3:9" ht="13.5" customHeight="1" x14ac:dyDescent="0.25">
      <c r="C690" s="35"/>
      <c r="D690" s="35"/>
      <c r="E690" s="65"/>
      <c r="F690" s="69"/>
      <c r="G690" s="35"/>
      <c r="H690" s="35"/>
      <c r="I690" s="35"/>
    </row>
    <row r="691" spans="3:9" ht="13.5" customHeight="1" x14ac:dyDescent="0.25">
      <c r="C691" s="16"/>
      <c r="D691" s="16"/>
      <c r="E691" s="64"/>
      <c r="F691" s="64"/>
      <c r="G691" s="16"/>
      <c r="H691" s="16"/>
      <c r="I691" s="16"/>
    </row>
    <row r="692" spans="3:9" ht="13.5" customHeight="1" x14ac:dyDescent="0.25">
      <c r="C692" s="35"/>
      <c r="D692" s="35"/>
      <c r="E692" s="65"/>
      <c r="F692" s="69"/>
      <c r="G692" s="35"/>
      <c r="H692" s="35"/>
      <c r="I692" s="35"/>
    </row>
    <row r="693" spans="3:9" ht="13.5" customHeight="1" x14ac:dyDescent="0.25">
      <c r="C693" s="16"/>
      <c r="D693" s="16"/>
      <c r="E693" s="64"/>
      <c r="F693" s="64"/>
      <c r="G693" s="16"/>
      <c r="H693" s="16"/>
      <c r="I693" s="16"/>
    </row>
    <row r="694" spans="3:9" ht="13.5" customHeight="1" x14ac:dyDescent="0.25">
      <c r="C694" s="35"/>
      <c r="D694" s="35"/>
      <c r="E694" s="65"/>
      <c r="F694" s="69"/>
      <c r="G694" s="35"/>
      <c r="H694" s="35"/>
      <c r="I694" s="35"/>
    </row>
    <row r="695" spans="3:9" ht="13.5" customHeight="1" x14ac:dyDescent="0.25">
      <c r="C695" s="16"/>
      <c r="D695" s="16"/>
      <c r="E695" s="64"/>
      <c r="F695" s="64"/>
      <c r="G695" s="16"/>
      <c r="H695" s="16"/>
      <c r="I695" s="16"/>
    </row>
    <row r="696" spans="3:9" ht="13.5" customHeight="1" x14ac:dyDescent="0.25">
      <c r="C696" s="35"/>
      <c r="D696" s="35"/>
      <c r="E696" s="65"/>
      <c r="F696" s="69"/>
      <c r="G696" s="35"/>
      <c r="H696" s="35"/>
      <c r="I696" s="35"/>
    </row>
    <row r="697" spans="3:9" ht="13.5" customHeight="1" x14ac:dyDescent="0.25">
      <c r="C697" s="16"/>
      <c r="D697" s="16"/>
      <c r="E697" s="64"/>
      <c r="F697" s="64"/>
      <c r="G697" s="16"/>
      <c r="H697" s="16"/>
      <c r="I697" s="16"/>
    </row>
    <row r="698" spans="3:9" ht="13.5" customHeight="1" x14ac:dyDescent="0.25">
      <c r="C698" s="35"/>
      <c r="D698" s="35"/>
      <c r="E698" s="65"/>
      <c r="F698" s="69"/>
      <c r="G698" s="35"/>
      <c r="H698" s="35"/>
      <c r="I698" s="35"/>
    </row>
    <row r="699" spans="3:9" ht="13.5" customHeight="1" x14ac:dyDescent="0.25">
      <c r="C699" s="16"/>
      <c r="D699" s="16"/>
      <c r="E699" s="64"/>
      <c r="F699" s="64"/>
      <c r="G699" s="16"/>
      <c r="H699" s="16"/>
      <c r="I699" s="16"/>
    </row>
    <row r="700" spans="3:9" ht="13.5" customHeight="1" x14ac:dyDescent="0.25">
      <c r="C700" s="35"/>
      <c r="D700" s="35"/>
      <c r="E700" s="65"/>
      <c r="F700" s="69"/>
      <c r="G700" s="35"/>
      <c r="H700" s="35"/>
      <c r="I700" s="35"/>
    </row>
    <row r="701" spans="3:9" ht="13.5" customHeight="1" x14ac:dyDescent="0.25">
      <c r="C701" s="16"/>
      <c r="D701" s="16"/>
      <c r="E701" s="64"/>
      <c r="F701" s="64"/>
      <c r="G701" s="16"/>
      <c r="H701" s="16"/>
      <c r="I701" s="16"/>
    </row>
    <row r="702" spans="3:9" ht="13.5" customHeight="1" x14ac:dyDescent="0.25">
      <c r="C702" s="35"/>
      <c r="D702" s="35"/>
      <c r="E702" s="65"/>
      <c r="F702" s="69"/>
      <c r="G702" s="35"/>
      <c r="H702" s="35"/>
      <c r="I702" s="35"/>
    </row>
    <row r="703" spans="3:9" ht="13.5" customHeight="1" x14ac:dyDescent="0.25">
      <c r="C703" s="16"/>
      <c r="D703" s="16"/>
      <c r="E703" s="64"/>
      <c r="F703" s="64"/>
      <c r="G703" s="16"/>
      <c r="H703" s="16"/>
      <c r="I703" s="16"/>
    </row>
    <row r="704" spans="3:9" ht="13.5" customHeight="1" x14ac:dyDescent="0.25">
      <c r="C704" s="35"/>
      <c r="D704" s="35"/>
      <c r="E704" s="65"/>
      <c r="F704" s="69"/>
      <c r="G704" s="35"/>
      <c r="H704" s="35"/>
      <c r="I704" s="35"/>
    </row>
    <row r="705" spans="3:9" ht="13.5" customHeight="1" x14ac:dyDescent="0.25">
      <c r="C705" s="16"/>
      <c r="D705" s="16"/>
      <c r="E705" s="64"/>
      <c r="F705" s="64"/>
      <c r="G705" s="16"/>
      <c r="H705" s="16"/>
      <c r="I705" s="16"/>
    </row>
    <row r="706" spans="3:9" ht="13.5" customHeight="1" x14ac:dyDescent="0.25">
      <c r="C706" s="35"/>
      <c r="D706" s="35"/>
      <c r="E706" s="65"/>
      <c r="F706" s="69"/>
      <c r="G706" s="35"/>
      <c r="H706" s="35"/>
      <c r="I706" s="35"/>
    </row>
    <row r="707" spans="3:9" ht="13.5" customHeight="1" x14ac:dyDescent="0.25">
      <c r="C707" s="16"/>
      <c r="D707" s="16"/>
      <c r="E707" s="64"/>
      <c r="F707" s="64"/>
      <c r="G707" s="16"/>
      <c r="H707" s="16"/>
      <c r="I707" s="16"/>
    </row>
    <row r="708" spans="3:9" ht="13.5" customHeight="1" x14ac:dyDescent="0.25">
      <c r="C708" s="35"/>
      <c r="D708" s="35"/>
      <c r="E708" s="65"/>
      <c r="F708" s="69"/>
      <c r="G708" s="35"/>
      <c r="H708" s="35"/>
      <c r="I708" s="35"/>
    </row>
    <row r="709" spans="3:9" ht="13.5" customHeight="1" x14ac:dyDescent="0.25">
      <c r="C709" s="16"/>
      <c r="D709" s="16"/>
      <c r="E709" s="64"/>
      <c r="F709" s="64"/>
      <c r="G709" s="16"/>
      <c r="H709" s="16"/>
      <c r="I709" s="16"/>
    </row>
    <row r="710" spans="3:9" ht="13.5" customHeight="1" x14ac:dyDescent="0.25">
      <c r="C710" s="35"/>
      <c r="D710" s="35"/>
      <c r="E710" s="65"/>
      <c r="F710" s="69"/>
      <c r="G710" s="35"/>
      <c r="H710" s="35"/>
      <c r="I710" s="35"/>
    </row>
    <row r="711" spans="3:9" ht="13.5" customHeight="1" x14ac:dyDescent="0.25">
      <c r="C711" s="16"/>
      <c r="D711" s="16"/>
      <c r="E711" s="64"/>
      <c r="F711" s="64"/>
      <c r="G711" s="16"/>
      <c r="H711" s="16"/>
      <c r="I711" s="16"/>
    </row>
    <row r="712" spans="3:9" ht="13.5" customHeight="1" x14ac:dyDescent="0.25">
      <c r="C712" s="35"/>
      <c r="D712" s="35"/>
      <c r="E712" s="65"/>
      <c r="F712" s="69"/>
      <c r="G712" s="35"/>
      <c r="H712" s="35"/>
      <c r="I712" s="35"/>
    </row>
    <row r="713" spans="3:9" ht="13.5" customHeight="1" x14ac:dyDescent="0.25">
      <c r="C713" s="16"/>
      <c r="D713" s="16"/>
      <c r="E713" s="64"/>
      <c r="F713" s="64"/>
      <c r="G713" s="16"/>
      <c r="H713" s="16"/>
      <c r="I713" s="16"/>
    </row>
    <row r="714" spans="3:9" ht="13.5" customHeight="1" x14ac:dyDescent="0.25">
      <c r="C714" s="35"/>
      <c r="D714" s="35"/>
      <c r="E714" s="65"/>
      <c r="F714" s="69"/>
      <c r="G714" s="35"/>
      <c r="H714" s="35"/>
      <c r="I714" s="35"/>
    </row>
    <row r="715" spans="3:9" ht="13.5" customHeight="1" x14ac:dyDescent="0.25">
      <c r="C715" s="16"/>
      <c r="D715" s="16"/>
      <c r="E715" s="64"/>
      <c r="F715" s="64"/>
      <c r="G715" s="16"/>
      <c r="H715" s="16"/>
      <c r="I715" s="16"/>
    </row>
    <row r="716" spans="3:9" ht="13.5" customHeight="1" x14ac:dyDescent="0.25">
      <c r="C716" s="35"/>
      <c r="D716" s="35"/>
      <c r="E716" s="65"/>
      <c r="F716" s="69"/>
      <c r="G716" s="35"/>
      <c r="H716" s="35"/>
      <c r="I716" s="35"/>
    </row>
    <row r="717" spans="3:9" ht="13.5" customHeight="1" x14ac:dyDescent="0.25">
      <c r="C717" s="16"/>
      <c r="D717" s="16"/>
      <c r="E717" s="64"/>
      <c r="F717" s="64"/>
      <c r="G717" s="16"/>
      <c r="H717" s="16"/>
      <c r="I717" s="16"/>
    </row>
    <row r="718" spans="3:9" ht="13.5" customHeight="1" x14ac:dyDescent="0.25">
      <c r="C718" s="35"/>
      <c r="D718" s="35"/>
      <c r="E718" s="65"/>
      <c r="F718" s="69"/>
      <c r="G718" s="35"/>
      <c r="H718" s="35"/>
      <c r="I718" s="35"/>
    </row>
    <row r="719" spans="3:9" ht="13.5" customHeight="1" x14ac:dyDescent="0.25">
      <c r="C719" s="16"/>
      <c r="D719" s="16"/>
      <c r="E719" s="64"/>
      <c r="F719" s="64"/>
      <c r="G719" s="16"/>
      <c r="H719" s="16"/>
      <c r="I719" s="16"/>
    </row>
    <row r="720" spans="3:9" ht="13.5" customHeight="1" x14ac:dyDescent="0.25">
      <c r="C720" s="35"/>
      <c r="D720" s="35"/>
      <c r="E720" s="65"/>
      <c r="F720" s="69"/>
      <c r="G720" s="35"/>
      <c r="H720" s="35"/>
      <c r="I720" s="35"/>
    </row>
    <row r="721" spans="3:9" ht="13.5" customHeight="1" x14ac:dyDescent="0.25">
      <c r="C721" s="16"/>
      <c r="D721" s="16"/>
      <c r="E721" s="64"/>
      <c r="F721" s="64"/>
      <c r="G721" s="16"/>
      <c r="H721" s="16"/>
      <c r="I721" s="16"/>
    </row>
    <row r="722" spans="3:9" ht="13.5" customHeight="1" x14ac:dyDescent="0.25">
      <c r="C722" s="35"/>
      <c r="D722" s="35"/>
      <c r="E722" s="65"/>
      <c r="F722" s="69"/>
      <c r="G722" s="35"/>
      <c r="H722" s="35"/>
      <c r="I722" s="35"/>
    </row>
    <row r="723" spans="3:9" ht="13.5" customHeight="1" x14ac:dyDescent="0.25">
      <c r="C723" s="16"/>
      <c r="D723" s="16"/>
      <c r="E723" s="64"/>
      <c r="F723" s="64"/>
      <c r="G723" s="16"/>
      <c r="H723" s="16"/>
      <c r="I723" s="16"/>
    </row>
    <row r="724" spans="3:9" ht="13.5" customHeight="1" x14ac:dyDescent="0.25">
      <c r="C724" s="35"/>
      <c r="D724" s="35"/>
      <c r="E724" s="65"/>
      <c r="F724" s="69"/>
      <c r="G724" s="35"/>
      <c r="H724" s="35"/>
      <c r="I724" s="35"/>
    </row>
    <row r="725" spans="3:9" ht="13.5" customHeight="1" x14ac:dyDescent="0.25">
      <c r="C725" s="16"/>
      <c r="D725" s="16"/>
      <c r="E725" s="64"/>
      <c r="F725" s="64"/>
      <c r="G725" s="16"/>
      <c r="H725" s="16"/>
      <c r="I725" s="16"/>
    </row>
    <row r="726" spans="3:9" ht="13.5" customHeight="1" x14ac:dyDescent="0.25">
      <c r="C726" s="35"/>
      <c r="D726" s="35"/>
      <c r="E726" s="65"/>
      <c r="F726" s="69"/>
      <c r="G726" s="35"/>
      <c r="H726" s="35"/>
      <c r="I726" s="35"/>
    </row>
    <row r="727" spans="3:9" ht="13.5" customHeight="1" x14ac:dyDescent="0.25">
      <c r="C727" s="16"/>
      <c r="D727" s="16"/>
      <c r="E727" s="64"/>
      <c r="F727" s="64"/>
      <c r="G727" s="16"/>
      <c r="H727" s="16"/>
      <c r="I727" s="16"/>
    </row>
    <row r="728" spans="3:9" ht="13.5" customHeight="1" x14ac:dyDescent="0.25">
      <c r="C728" s="35"/>
      <c r="D728" s="35"/>
      <c r="E728" s="65"/>
      <c r="F728" s="69"/>
      <c r="G728" s="35"/>
      <c r="H728" s="35"/>
      <c r="I728" s="35"/>
    </row>
    <row r="729" spans="3:9" ht="13.5" customHeight="1" x14ac:dyDescent="0.25">
      <c r="C729" s="16"/>
      <c r="D729" s="16"/>
      <c r="E729" s="64"/>
      <c r="F729" s="64"/>
      <c r="G729" s="16"/>
      <c r="H729" s="16"/>
      <c r="I729" s="16"/>
    </row>
    <row r="730" spans="3:9" ht="13.5" customHeight="1" x14ac:dyDescent="0.25">
      <c r="C730" s="35"/>
      <c r="D730" s="35"/>
      <c r="E730" s="65"/>
      <c r="F730" s="69"/>
      <c r="G730" s="35"/>
      <c r="H730" s="35"/>
      <c r="I730" s="35"/>
    </row>
    <row r="731" spans="3:9" ht="13.5" customHeight="1" x14ac:dyDescent="0.25">
      <c r="C731" s="16"/>
      <c r="D731" s="16"/>
      <c r="E731" s="64"/>
      <c r="F731" s="64"/>
      <c r="G731" s="16"/>
      <c r="H731" s="16"/>
      <c r="I731" s="16"/>
    </row>
    <row r="732" spans="3:9" ht="13.5" customHeight="1" x14ac:dyDescent="0.25">
      <c r="C732" s="35"/>
      <c r="D732" s="35"/>
      <c r="E732" s="65"/>
      <c r="F732" s="69"/>
      <c r="G732" s="35"/>
      <c r="H732" s="35"/>
      <c r="I732" s="35"/>
    </row>
    <row r="733" spans="3:9" ht="13.5" customHeight="1" x14ac:dyDescent="0.25">
      <c r="C733" s="16"/>
      <c r="D733" s="16"/>
      <c r="E733" s="64"/>
      <c r="F733" s="64"/>
      <c r="G733" s="16"/>
      <c r="H733" s="16"/>
      <c r="I733" s="16"/>
    </row>
    <row r="734" spans="3:9" ht="13.5" customHeight="1" x14ac:dyDescent="0.25">
      <c r="C734" s="35"/>
      <c r="D734" s="35"/>
      <c r="E734" s="65"/>
      <c r="F734" s="69"/>
      <c r="G734" s="35"/>
      <c r="H734" s="35"/>
      <c r="I734" s="35"/>
    </row>
    <row r="735" spans="3:9" ht="13.5" customHeight="1" x14ac:dyDescent="0.25">
      <c r="C735" s="16"/>
      <c r="D735" s="16"/>
      <c r="E735" s="64"/>
      <c r="F735" s="64"/>
      <c r="G735" s="16"/>
      <c r="H735" s="16"/>
      <c r="I735" s="16"/>
    </row>
    <row r="736" spans="3:9" ht="13.5" customHeight="1" x14ac:dyDescent="0.25">
      <c r="C736" s="35"/>
      <c r="D736" s="35"/>
      <c r="E736" s="65"/>
      <c r="F736" s="69"/>
      <c r="G736" s="35"/>
      <c r="H736" s="35"/>
      <c r="I736" s="35"/>
    </row>
    <row r="737" spans="3:9" ht="13.5" customHeight="1" x14ac:dyDescent="0.25">
      <c r="C737" s="16"/>
      <c r="D737" s="16"/>
      <c r="E737" s="64"/>
      <c r="F737" s="64"/>
      <c r="G737" s="16"/>
      <c r="H737" s="16"/>
      <c r="I737" s="16"/>
    </row>
    <row r="738" spans="3:9" ht="13.5" customHeight="1" x14ac:dyDescent="0.25">
      <c r="C738" s="35"/>
      <c r="D738" s="35"/>
      <c r="E738" s="65"/>
      <c r="F738" s="69"/>
      <c r="G738" s="35"/>
      <c r="H738" s="35"/>
      <c r="I738" s="35"/>
    </row>
    <row r="739" spans="3:9" ht="13.5" customHeight="1" x14ac:dyDescent="0.25">
      <c r="C739" s="16"/>
      <c r="D739" s="16"/>
      <c r="E739" s="64"/>
      <c r="F739" s="64"/>
      <c r="G739" s="16"/>
      <c r="H739" s="16"/>
      <c r="I739" s="16"/>
    </row>
    <row r="740" spans="3:9" ht="13.5" customHeight="1" x14ac:dyDescent="0.25">
      <c r="C740" s="35"/>
      <c r="D740" s="35"/>
      <c r="E740" s="65"/>
      <c r="F740" s="69"/>
      <c r="G740" s="35"/>
      <c r="H740" s="35"/>
      <c r="I740" s="35"/>
    </row>
    <row r="741" spans="3:9" ht="13.5" customHeight="1" x14ac:dyDescent="0.25">
      <c r="C741" s="16"/>
      <c r="D741" s="16"/>
      <c r="E741" s="64"/>
      <c r="F741" s="64"/>
      <c r="G741" s="16"/>
      <c r="H741" s="16"/>
      <c r="I741" s="16"/>
    </row>
    <row r="742" spans="3:9" ht="13.5" customHeight="1" x14ac:dyDescent="0.25">
      <c r="C742" s="35"/>
      <c r="D742" s="35"/>
      <c r="E742" s="65"/>
      <c r="F742" s="69"/>
      <c r="G742" s="35"/>
      <c r="H742" s="35"/>
      <c r="I742" s="35"/>
    </row>
    <row r="743" spans="3:9" ht="13.5" customHeight="1" x14ac:dyDescent="0.25">
      <c r="C743" s="16"/>
      <c r="D743" s="16"/>
      <c r="E743" s="64"/>
      <c r="F743" s="64"/>
      <c r="G743" s="16"/>
      <c r="H743" s="16"/>
      <c r="I743" s="16"/>
    </row>
    <row r="744" spans="3:9" ht="13.5" customHeight="1" x14ac:dyDescent="0.25">
      <c r="C744" s="35"/>
      <c r="D744" s="35"/>
      <c r="E744" s="65"/>
      <c r="F744" s="69"/>
      <c r="G744" s="35"/>
      <c r="H744" s="35"/>
      <c r="I744" s="35"/>
    </row>
    <row r="745" spans="3:9" ht="13.5" customHeight="1" x14ac:dyDescent="0.25">
      <c r="C745" s="16"/>
      <c r="D745" s="16"/>
      <c r="E745" s="64"/>
      <c r="F745" s="64"/>
      <c r="G745" s="16"/>
      <c r="H745" s="16"/>
      <c r="I745" s="16"/>
    </row>
    <row r="746" spans="3:9" ht="13.5" customHeight="1" x14ac:dyDescent="0.25">
      <c r="C746" s="35"/>
      <c r="D746" s="35"/>
      <c r="E746" s="65"/>
      <c r="F746" s="69"/>
      <c r="G746" s="35"/>
      <c r="H746" s="35"/>
      <c r="I746" s="35"/>
    </row>
    <row r="747" spans="3:9" ht="13.5" customHeight="1" x14ac:dyDescent="0.25">
      <c r="C747" s="16"/>
      <c r="D747" s="16"/>
      <c r="E747" s="64"/>
      <c r="F747" s="64"/>
      <c r="G747" s="16"/>
      <c r="H747" s="16"/>
      <c r="I747" s="16"/>
    </row>
    <row r="748" spans="3:9" ht="13.5" customHeight="1" x14ac:dyDescent="0.25">
      <c r="C748" s="35"/>
      <c r="D748" s="35"/>
      <c r="E748" s="65"/>
      <c r="F748" s="69"/>
      <c r="G748" s="35"/>
      <c r="H748" s="35"/>
      <c r="I748" s="35"/>
    </row>
    <row r="749" spans="3:9" ht="13.5" customHeight="1" x14ac:dyDescent="0.25">
      <c r="C749" s="16"/>
      <c r="D749" s="16"/>
      <c r="E749" s="64"/>
      <c r="F749" s="64"/>
      <c r="G749" s="16"/>
      <c r="H749" s="16"/>
      <c r="I749" s="16"/>
    </row>
    <row r="750" spans="3:9" ht="13.5" customHeight="1" x14ac:dyDescent="0.25">
      <c r="C750" s="35"/>
      <c r="D750" s="35"/>
      <c r="E750" s="65"/>
      <c r="F750" s="69"/>
      <c r="G750" s="35"/>
      <c r="H750" s="35"/>
      <c r="I750" s="35"/>
    </row>
    <row r="751" spans="3:9" ht="13.5" customHeight="1" x14ac:dyDescent="0.25">
      <c r="C751" s="16"/>
      <c r="D751" s="16"/>
      <c r="E751" s="64"/>
      <c r="F751" s="64"/>
      <c r="G751" s="16"/>
      <c r="H751" s="16"/>
      <c r="I751" s="16"/>
    </row>
    <row r="752" spans="3:9" ht="13.5" customHeight="1" x14ac:dyDescent="0.25">
      <c r="C752" s="35"/>
      <c r="D752" s="35"/>
      <c r="E752" s="65"/>
      <c r="F752" s="69"/>
      <c r="G752" s="35"/>
      <c r="H752" s="35"/>
      <c r="I752" s="35"/>
    </row>
    <row r="753" spans="3:9" ht="13.5" customHeight="1" x14ac:dyDescent="0.25">
      <c r="C753" s="16"/>
      <c r="D753" s="16"/>
      <c r="E753" s="64"/>
      <c r="F753" s="64"/>
      <c r="G753" s="16"/>
      <c r="H753" s="16"/>
      <c r="I753" s="16"/>
    </row>
    <row r="754" spans="3:9" ht="13.5" customHeight="1" x14ac:dyDescent="0.25">
      <c r="C754" s="35"/>
      <c r="D754" s="35"/>
      <c r="E754" s="65"/>
      <c r="F754" s="69"/>
      <c r="G754" s="35"/>
      <c r="H754" s="35"/>
      <c r="I754" s="35"/>
    </row>
    <row r="755" spans="3:9" ht="13.5" customHeight="1" x14ac:dyDescent="0.25">
      <c r="C755" s="16"/>
      <c r="D755" s="16"/>
      <c r="E755" s="64"/>
      <c r="F755" s="64"/>
      <c r="G755" s="16"/>
      <c r="H755" s="16"/>
      <c r="I755" s="16"/>
    </row>
    <row r="756" spans="3:9" ht="13.5" customHeight="1" x14ac:dyDescent="0.25">
      <c r="C756" s="35"/>
      <c r="D756" s="35"/>
      <c r="E756" s="65"/>
      <c r="F756" s="69"/>
      <c r="G756" s="35"/>
      <c r="H756" s="35"/>
      <c r="I756" s="35"/>
    </row>
    <row r="757" spans="3:9" ht="13.5" customHeight="1" x14ac:dyDescent="0.25">
      <c r="C757" s="16"/>
      <c r="D757" s="16"/>
      <c r="E757" s="64"/>
      <c r="F757" s="64"/>
      <c r="G757" s="16"/>
      <c r="H757" s="16"/>
      <c r="I757" s="16"/>
    </row>
    <row r="758" spans="3:9" ht="13.5" customHeight="1" x14ac:dyDescent="0.25">
      <c r="C758" s="35"/>
      <c r="D758" s="35"/>
      <c r="E758" s="65"/>
      <c r="F758" s="69"/>
      <c r="G758" s="35"/>
      <c r="H758" s="35"/>
      <c r="I758" s="35"/>
    </row>
    <row r="759" spans="3:9" ht="13.5" customHeight="1" x14ac:dyDescent="0.25">
      <c r="C759" s="16"/>
      <c r="D759" s="16"/>
      <c r="E759" s="64"/>
      <c r="F759" s="64"/>
      <c r="G759" s="16"/>
      <c r="H759" s="16"/>
      <c r="I759" s="16"/>
    </row>
    <row r="760" spans="3:9" ht="13.5" customHeight="1" x14ac:dyDescent="0.25">
      <c r="C760" s="35"/>
      <c r="D760" s="35"/>
      <c r="E760" s="65"/>
      <c r="F760" s="69"/>
      <c r="G760" s="35"/>
      <c r="H760" s="35"/>
      <c r="I760" s="35"/>
    </row>
    <row r="761" spans="3:9" ht="13.5" customHeight="1" x14ac:dyDescent="0.25">
      <c r="C761" s="16"/>
      <c r="D761" s="16"/>
      <c r="E761" s="64"/>
      <c r="F761" s="64"/>
      <c r="G761" s="16"/>
      <c r="H761" s="16"/>
      <c r="I761" s="16"/>
    </row>
    <row r="762" spans="3:9" ht="13.5" customHeight="1" x14ac:dyDescent="0.25">
      <c r="C762" s="35"/>
      <c r="D762" s="35"/>
      <c r="E762" s="65"/>
      <c r="F762" s="69"/>
      <c r="G762" s="35"/>
      <c r="H762" s="35"/>
      <c r="I762" s="35"/>
    </row>
    <row r="763" spans="3:9" ht="13.5" customHeight="1" x14ac:dyDescent="0.25">
      <c r="C763" s="16"/>
      <c r="D763" s="16"/>
      <c r="E763" s="64"/>
      <c r="F763" s="64"/>
      <c r="G763" s="16"/>
      <c r="H763" s="16"/>
      <c r="I763" s="16"/>
    </row>
    <row r="764" spans="3:9" ht="13.5" customHeight="1" x14ac:dyDescent="0.25">
      <c r="C764" s="35"/>
      <c r="D764" s="35"/>
      <c r="E764" s="65"/>
      <c r="F764" s="69"/>
      <c r="G764" s="35"/>
      <c r="H764" s="35"/>
      <c r="I764" s="35"/>
    </row>
    <row r="765" spans="3:9" ht="13.5" customHeight="1" x14ac:dyDescent="0.25">
      <c r="C765" s="16"/>
      <c r="D765" s="16"/>
      <c r="E765" s="64"/>
      <c r="F765" s="64"/>
      <c r="G765" s="16"/>
      <c r="H765" s="16"/>
      <c r="I765" s="16"/>
    </row>
    <row r="766" spans="3:9" ht="13.5" customHeight="1" x14ac:dyDescent="0.25">
      <c r="C766" s="35"/>
      <c r="D766" s="35"/>
      <c r="E766" s="65"/>
      <c r="F766" s="69"/>
      <c r="G766" s="35"/>
      <c r="H766" s="35"/>
      <c r="I766" s="35"/>
    </row>
    <row r="767" spans="3:9" ht="13.5" customHeight="1" x14ac:dyDescent="0.25">
      <c r="C767" s="16"/>
      <c r="D767" s="16"/>
      <c r="E767" s="64"/>
      <c r="F767" s="64"/>
      <c r="G767" s="16"/>
      <c r="H767" s="16"/>
      <c r="I767" s="16"/>
    </row>
    <row r="768" spans="3:9" ht="13.5" customHeight="1" x14ac:dyDescent="0.25">
      <c r="C768" s="35"/>
      <c r="D768" s="35"/>
      <c r="E768" s="65"/>
      <c r="F768" s="69"/>
      <c r="G768" s="35"/>
      <c r="H768" s="35"/>
      <c r="I768" s="35"/>
    </row>
    <row r="769" spans="3:9" ht="13.5" customHeight="1" x14ac:dyDescent="0.25">
      <c r="C769" s="16"/>
      <c r="D769" s="16"/>
      <c r="E769" s="64"/>
      <c r="F769" s="64"/>
      <c r="G769" s="16"/>
      <c r="H769" s="16"/>
      <c r="I769" s="16"/>
    </row>
    <row r="770" spans="3:9" ht="13.5" customHeight="1" x14ac:dyDescent="0.25">
      <c r="C770" s="35"/>
      <c r="D770" s="35"/>
      <c r="E770" s="65"/>
      <c r="F770" s="69"/>
      <c r="G770" s="35"/>
      <c r="H770" s="35"/>
      <c r="I770" s="35"/>
    </row>
    <row r="771" spans="3:9" ht="13.5" customHeight="1" x14ac:dyDescent="0.25">
      <c r="C771" s="16"/>
      <c r="D771" s="16"/>
      <c r="E771" s="64"/>
      <c r="F771" s="64"/>
      <c r="G771" s="16"/>
      <c r="H771" s="16"/>
      <c r="I771" s="16"/>
    </row>
    <row r="772" spans="3:9" ht="13.5" customHeight="1" x14ac:dyDescent="0.25">
      <c r="C772" s="35"/>
      <c r="D772" s="35"/>
      <c r="E772" s="65"/>
      <c r="F772" s="69"/>
      <c r="G772" s="35"/>
      <c r="H772" s="35"/>
      <c r="I772" s="35"/>
    </row>
    <row r="773" spans="3:9" ht="13.5" customHeight="1" x14ac:dyDescent="0.25">
      <c r="C773" s="16"/>
      <c r="D773" s="16"/>
      <c r="E773" s="64"/>
      <c r="F773" s="64"/>
      <c r="G773" s="16"/>
      <c r="H773" s="16"/>
      <c r="I773" s="16"/>
    </row>
    <row r="774" spans="3:9" ht="13.5" customHeight="1" x14ac:dyDescent="0.25">
      <c r="C774" s="35"/>
      <c r="D774" s="35"/>
      <c r="E774" s="65"/>
      <c r="F774" s="69"/>
      <c r="G774" s="35"/>
      <c r="H774" s="35"/>
      <c r="I774" s="35"/>
    </row>
    <row r="775" spans="3:9" ht="13.5" customHeight="1" x14ac:dyDescent="0.25">
      <c r="C775" s="16"/>
      <c r="D775" s="16"/>
      <c r="E775" s="64"/>
      <c r="F775" s="64"/>
      <c r="G775" s="16"/>
      <c r="H775" s="16"/>
      <c r="I775" s="16"/>
    </row>
    <row r="776" spans="3:9" ht="13.5" customHeight="1" x14ac:dyDescent="0.25">
      <c r="C776" s="35"/>
      <c r="D776" s="35"/>
      <c r="E776" s="65"/>
      <c r="F776" s="69"/>
      <c r="G776" s="35"/>
      <c r="H776" s="35"/>
      <c r="I776" s="35"/>
    </row>
    <row r="777" spans="3:9" ht="13.5" customHeight="1" x14ac:dyDescent="0.25">
      <c r="C777" s="16"/>
      <c r="D777" s="16"/>
      <c r="E777" s="64"/>
      <c r="F777" s="64"/>
      <c r="G777" s="16"/>
      <c r="H777" s="16"/>
      <c r="I777" s="16"/>
    </row>
    <row r="778" spans="3:9" ht="13.5" customHeight="1" x14ac:dyDescent="0.25">
      <c r="C778" s="35"/>
      <c r="D778" s="35"/>
      <c r="E778" s="65"/>
      <c r="F778" s="69"/>
      <c r="G778" s="35"/>
      <c r="H778" s="35"/>
      <c r="I778" s="35"/>
    </row>
    <row r="779" spans="3:9" ht="13.5" customHeight="1" x14ac:dyDescent="0.25">
      <c r="C779" s="16"/>
      <c r="D779" s="16"/>
      <c r="E779" s="64"/>
      <c r="F779" s="64"/>
      <c r="G779" s="16"/>
      <c r="H779" s="16"/>
      <c r="I779" s="16"/>
    </row>
    <row r="780" spans="3:9" ht="13.5" customHeight="1" x14ac:dyDescent="0.25">
      <c r="C780" s="35"/>
      <c r="D780" s="35"/>
      <c r="E780" s="65"/>
      <c r="F780" s="69"/>
      <c r="G780" s="35"/>
      <c r="H780" s="35"/>
      <c r="I780" s="35"/>
    </row>
    <row r="781" spans="3:9" ht="13.5" customHeight="1" x14ac:dyDescent="0.25">
      <c r="C781" s="16"/>
      <c r="D781" s="16"/>
      <c r="E781" s="64"/>
      <c r="F781" s="64"/>
      <c r="G781" s="16"/>
      <c r="H781" s="16"/>
      <c r="I781" s="16"/>
    </row>
    <row r="782" spans="3:9" ht="13.5" customHeight="1" x14ac:dyDescent="0.25">
      <c r="C782" s="35"/>
      <c r="D782" s="35"/>
      <c r="E782" s="65"/>
      <c r="F782" s="69"/>
      <c r="G782" s="35"/>
      <c r="H782" s="35"/>
      <c r="I782" s="35"/>
    </row>
    <row r="783" spans="3:9" ht="13.5" customHeight="1" x14ac:dyDescent="0.25">
      <c r="C783" s="16"/>
      <c r="D783" s="16"/>
      <c r="E783" s="64"/>
      <c r="F783" s="64"/>
      <c r="G783" s="16"/>
      <c r="H783" s="16"/>
      <c r="I783" s="16"/>
    </row>
    <row r="784" spans="3:9" ht="13.5" customHeight="1" x14ac:dyDescent="0.25">
      <c r="C784" s="35"/>
      <c r="D784" s="35"/>
      <c r="E784" s="65"/>
      <c r="F784" s="69"/>
      <c r="G784" s="35"/>
      <c r="H784" s="35"/>
      <c r="I784" s="35"/>
    </row>
    <row r="785" spans="3:9" ht="13.5" customHeight="1" x14ac:dyDescent="0.25">
      <c r="C785" s="16"/>
      <c r="D785" s="16"/>
      <c r="E785" s="64"/>
      <c r="F785" s="64"/>
      <c r="G785" s="16"/>
      <c r="H785" s="16"/>
      <c r="I785" s="16"/>
    </row>
    <row r="786" spans="3:9" ht="13.5" customHeight="1" x14ac:dyDescent="0.25">
      <c r="C786" s="35"/>
      <c r="D786" s="35"/>
      <c r="E786" s="65"/>
      <c r="F786" s="69"/>
      <c r="G786" s="35"/>
      <c r="H786" s="35"/>
      <c r="I786" s="35"/>
    </row>
    <row r="787" spans="3:9" ht="13.5" customHeight="1" x14ac:dyDescent="0.25">
      <c r="C787" s="16"/>
      <c r="D787" s="16"/>
      <c r="E787" s="64"/>
      <c r="F787" s="64"/>
      <c r="G787" s="16"/>
      <c r="H787" s="16"/>
      <c r="I787" s="16"/>
    </row>
    <row r="788" spans="3:9" ht="13.5" customHeight="1" x14ac:dyDescent="0.25">
      <c r="C788" s="35"/>
      <c r="D788" s="35"/>
      <c r="E788" s="65"/>
      <c r="F788" s="69"/>
      <c r="G788" s="35"/>
      <c r="H788" s="35"/>
      <c r="I788" s="35"/>
    </row>
    <row r="789" spans="3:9" ht="13.5" customHeight="1" x14ac:dyDescent="0.25">
      <c r="C789" s="16"/>
      <c r="D789" s="16"/>
      <c r="E789" s="64"/>
      <c r="F789" s="64"/>
      <c r="G789" s="16"/>
      <c r="H789" s="16"/>
      <c r="I789" s="16"/>
    </row>
    <row r="790" spans="3:9" ht="13.5" customHeight="1" x14ac:dyDescent="0.25">
      <c r="C790" s="35"/>
      <c r="D790" s="35"/>
      <c r="E790" s="65"/>
      <c r="F790" s="69"/>
      <c r="G790" s="35"/>
      <c r="H790" s="35"/>
      <c r="I790" s="35"/>
    </row>
    <row r="791" spans="3:9" ht="13.5" customHeight="1" x14ac:dyDescent="0.25">
      <c r="C791" s="16"/>
      <c r="D791" s="16"/>
      <c r="E791" s="64"/>
      <c r="F791" s="64"/>
      <c r="G791" s="16"/>
      <c r="H791" s="16"/>
      <c r="I791" s="16"/>
    </row>
    <row r="792" spans="3:9" ht="13.5" customHeight="1" x14ac:dyDescent="0.25">
      <c r="C792" s="35"/>
      <c r="D792" s="35"/>
      <c r="E792" s="65"/>
      <c r="F792" s="69"/>
      <c r="G792" s="35"/>
      <c r="H792" s="35"/>
      <c r="I792" s="35"/>
    </row>
    <row r="793" spans="3:9" ht="13.5" customHeight="1" x14ac:dyDescent="0.25">
      <c r="C793" s="16"/>
      <c r="D793" s="16"/>
      <c r="E793" s="64"/>
      <c r="F793" s="64"/>
      <c r="G793" s="16"/>
      <c r="H793" s="16"/>
      <c r="I793" s="16"/>
    </row>
    <row r="794" spans="3:9" ht="13.5" customHeight="1" x14ac:dyDescent="0.25">
      <c r="C794" s="35"/>
      <c r="D794" s="35"/>
      <c r="E794" s="65"/>
      <c r="F794" s="69"/>
      <c r="G794" s="35"/>
      <c r="H794" s="35"/>
      <c r="I794" s="35"/>
    </row>
    <row r="795" spans="3:9" ht="13.5" customHeight="1" x14ac:dyDescent="0.25">
      <c r="C795" s="16"/>
      <c r="D795" s="16"/>
      <c r="E795" s="64"/>
      <c r="F795" s="64"/>
      <c r="G795" s="16"/>
      <c r="H795" s="16"/>
      <c r="I795" s="16"/>
    </row>
    <row r="796" spans="3:9" ht="13.5" customHeight="1" x14ac:dyDescent="0.25">
      <c r="C796" s="35"/>
      <c r="D796" s="35"/>
      <c r="E796" s="65"/>
      <c r="F796" s="69"/>
      <c r="G796" s="35"/>
      <c r="H796" s="35"/>
      <c r="I796" s="35"/>
    </row>
    <row r="797" spans="3:9" ht="13.5" customHeight="1" x14ac:dyDescent="0.25">
      <c r="C797" s="16"/>
      <c r="D797" s="16"/>
      <c r="E797" s="64"/>
      <c r="F797" s="64"/>
      <c r="G797" s="16"/>
      <c r="H797" s="16"/>
      <c r="I797" s="16"/>
    </row>
    <row r="798" spans="3:9" ht="13.5" customHeight="1" x14ac:dyDescent="0.25">
      <c r="C798" s="35"/>
      <c r="D798" s="35"/>
      <c r="E798" s="65"/>
      <c r="F798" s="69"/>
      <c r="G798" s="35"/>
      <c r="H798" s="35"/>
      <c r="I798" s="35"/>
    </row>
    <row r="799" spans="3:9" ht="13.5" customHeight="1" x14ac:dyDescent="0.25">
      <c r="C799" s="16"/>
      <c r="D799" s="16"/>
      <c r="E799" s="64"/>
      <c r="F799" s="64"/>
      <c r="G799" s="16"/>
      <c r="H799" s="16"/>
      <c r="I799" s="16"/>
    </row>
    <row r="800" spans="3:9" ht="13.5" customHeight="1" x14ac:dyDescent="0.25">
      <c r="C800" s="35"/>
      <c r="D800" s="35"/>
      <c r="E800" s="65"/>
      <c r="F800" s="69"/>
      <c r="G800" s="35"/>
      <c r="H800" s="35"/>
      <c r="I800" s="35"/>
    </row>
    <row r="801" spans="3:9" ht="13.5" customHeight="1" x14ac:dyDescent="0.25">
      <c r="C801" s="16"/>
      <c r="D801" s="16"/>
      <c r="E801" s="64"/>
      <c r="F801" s="64"/>
      <c r="G801" s="16"/>
      <c r="H801" s="16"/>
      <c r="I801" s="16"/>
    </row>
    <row r="802" spans="3:9" ht="13.5" customHeight="1" x14ac:dyDescent="0.25">
      <c r="C802" s="35"/>
      <c r="D802" s="35"/>
      <c r="E802" s="65"/>
      <c r="F802" s="69"/>
      <c r="G802" s="35"/>
      <c r="H802" s="35"/>
      <c r="I802" s="35"/>
    </row>
    <row r="803" spans="3:9" ht="13.5" customHeight="1" x14ac:dyDescent="0.25">
      <c r="C803" s="16"/>
      <c r="D803" s="16"/>
      <c r="E803" s="64"/>
      <c r="F803" s="64"/>
      <c r="G803" s="16"/>
      <c r="H803" s="16"/>
      <c r="I803" s="16"/>
    </row>
    <row r="804" spans="3:9" ht="13.5" customHeight="1" x14ac:dyDescent="0.25">
      <c r="C804" s="35"/>
      <c r="D804" s="35"/>
      <c r="E804" s="65"/>
      <c r="F804" s="69"/>
      <c r="G804" s="35"/>
      <c r="H804" s="35"/>
      <c r="I804" s="35"/>
    </row>
    <row r="805" spans="3:9" ht="13.5" customHeight="1" x14ac:dyDescent="0.25">
      <c r="C805" s="16"/>
      <c r="D805" s="16"/>
      <c r="E805" s="64"/>
      <c r="F805" s="64"/>
      <c r="G805" s="16"/>
      <c r="H805" s="16"/>
      <c r="I805" s="16"/>
    </row>
    <row r="806" spans="3:9" ht="13.5" customHeight="1" x14ac:dyDescent="0.25">
      <c r="C806" s="35"/>
      <c r="D806" s="35"/>
      <c r="E806" s="65"/>
      <c r="F806" s="69"/>
      <c r="G806" s="35"/>
      <c r="H806" s="35"/>
      <c r="I806" s="35"/>
    </row>
    <row r="807" spans="3:9" ht="13.5" customHeight="1" x14ac:dyDescent="0.25">
      <c r="C807" s="16"/>
      <c r="D807" s="16"/>
      <c r="E807" s="64"/>
      <c r="F807" s="64"/>
      <c r="G807" s="16"/>
      <c r="H807" s="16"/>
      <c r="I807" s="16"/>
    </row>
    <row r="808" spans="3:9" ht="13.5" customHeight="1" x14ac:dyDescent="0.25">
      <c r="C808" s="35"/>
      <c r="D808" s="35"/>
      <c r="E808" s="65"/>
      <c r="F808" s="69"/>
      <c r="G808" s="35"/>
      <c r="H808" s="35"/>
      <c r="I808" s="35"/>
    </row>
    <row r="809" spans="3:9" ht="13.5" customHeight="1" x14ac:dyDescent="0.25">
      <c r="C809" s="16"/>
      <c r="D809" s="16"/>
      <c r="E809" s="64"/>
      <c r="F809" s="64"/>
      <c r="G809" s="16"/>
      <c r="H809" s="16"/>
      <c r="I809" s="16"/>
    </row>
    <row r="810" spans="3:9" ht="13.5" customHeight="1" x14ac:dyDescent="0.25">
      <c r="C810" s="35"/>
      <c r="D810" s="35"/>
      <c r="E810" s="65"/>
      <c r="F810" s="69"/>
      <c r="G810" s="35"/>
      <c r="H810" s="35"/>
      <c r="I810" s="35"/>
    </row>
    <row r="811" spans="3:9" ht="13.5" customHeight="1" x14ac:dyDescent="0.25">
      <c r="C811" s="16"/>
      <c r="D811" s="16"/>
      <c r="E811" s="64"/>
      <c r="F811" s="64"/>
      <c r="G811" s="16"/>
      <c r="H811" s="16"/>
      <c r="I811" s="16"/>
    </row>
    <row r="812" spans="3:9" ht="13.5" customHeight="1" x14ac:dyDescent="0.25">
      <c r="C812" s="35"/>
      <c r="D812" s="35"/>
      <c r="E812" s="65"/>
      <c r="F812" s="69"/>
      <c r="G812" s="35"/>
      <c r="H812" s="35"/>
      <c r="I812" s="35"/>
    </row>
    <row r="813" spans="3:9" ht="13.5" customHeight="1" x14ac:dyDescent="0.25">
      <c r="C813" s="16"/>
      <c r="D813" s="16"/>
      <c r="E813" s="64"/>
      <c r="F813" s="64"/>
      <c r="G813" s="16"/>
      <c r="H813" s="16"/>
      <c r="I813" s="16"/>
    </row>
    <row r="814" spans="3:9" ht="13.5" customHeight="1" x14ac:dyDescent="0.25">
      <c r="C814" s="35"/>
      <c r="D814" s="35"/>
      <c r="E814" s="65"/>
      <c r="F814" s="69"/>
      <c r="G814" s="35"/>
      <c r="H814" s="35"/>
      <c r="I814" s="35"/>
    </row>
    <row r="815" spans="3:9" ht="13.5" customHeight="1" x14ac:dyDescent="0.25">
      <c r="C815" s="16"/>
      <c r="D815" s="16"/>
      <c r="E815" s="64"/>
      <c r="F815" s="64"/>
      <c r="G815" s="16"/>
      <c r="H815" s="16"/>
      <c r="I815" s="16"/>
    </row>
    <row r="816" spans="3:9" ht="13.5" customHeight="1" x14ac:dyDescent="0.25">
      <c r="C816" s="35"/>
      <c r="D816" s="35"/>
      <c r="E816" s="65"/>
      <c r="F816" s="69"/>
      <c r="G816" s="35"/>
      <c r="H816" s="35"/>
      <c r="I816" s="35"/>
    </row>
    <row r="817" spans="3:9" ht="13.5" customHeight="1" x14ac:dyDescent="0.25">
      <c r="C817" s="16"/>
      <c r="D817" s="16"/>
      <c r="E817" s="64"/>
      <c r="F817" s="64"/>
      <c r="G817" s="16"/>
      <c r="H817" s="16"/>
      <c r="I817" s="16"/>
    </row>
    <row r="818" spans="3:9" ht="13.5" customHeight="1" x14ac:dyDescent="0.25">
      <c r="C818" s="35"/>
      <c r="D818" s="35"/>
      <c r="E818" s="65"/>
      <c r="F818" s="69"/>
      <c r="G818" s="35"/>
      <c r="H818" s="35"/>
      <c r="I818" s="35"/>
    </row>
    <row r="819" spans="3:9" ht="13.5" customHeight="1" x14ac:dyDescent="0.25">
      <c r="C819" s="16"/>
      <c r="D819" s="16"/>
      <c r="E819" s="64"/>
      <c r="F819" s="64"/>
      <c r="G819" s="16"/>
      <c r="H819" s="16"/>
      <c r="I819" s="16"/>
    </row>
    <row r="820" spans="3:9" ht="13.5" customHeight="1" x14ac:dyDescent="0.25">
      <c r="C820" s="35"/>
      <c r="D820" s="35"/>
      <c r="E820" s="65"/>
      <c r="F820" s="69"/>
      <c r="G820" s="35"/>
      <c r="H820" s="35"/>
      <c r="I820" s="35"/>
    </row>
    <row r="821" spans="3:9" ht="13.5" customHeight="1" x14ac:dyDescent="0.25">
      <c r="C821" s="16"/>
      <c r="D821" s="16"/>
      <c r="E821" s="64"/>
      <c r="F821" s="64"/>
      <c r="G821" s="16"/>
      <c r="H821" s="16"/>
      <c r="I821" s="16"/>
    </row>
    <row r="822" spans="3:9" ht="13.5" customHeight="1" x14ac:dyDescent="0.25">
      <c r="C822" s="35"/>
      <c r="D822" s="35"/>
      <c r="E822" s="65"/>
      <c r="F822" s="69"/>
      <c r="G822" s="35"/>
      <c r="H822" s="35"/>
      <c r="I822" s="35"/>
    </row>
    <row r="823" spans="3:9" ht="13.5" customHeight="1" x14ac:dyDescent="0.25">
      <c r="C823" s="16"/>
      <c r="D823" s="16"/>
      <c r="E823" s="64"/>
      <c r="F823" s="64"/>
      <c r="G823" s="16"/>
      <c r="H823" s="16"/>
      <c r="I823" s="16"/>
    </row>
    <row r="824" spans="3:9" ht="13.5" customHeight="1" x14ac:dyDescent="0.25">
      <c r="C824" s="35"/>
      <c r="D824" s="35"/>
      <c r="E824" s="65"/>
      <c r="F824" s="69"/>
      <c r="G824" s="35"/>
      <c r="H824" s="35"/>
      <c r="I824" s="35"/>
    </row>
    <row r="825" spans="3:9" ht="13.5" customHeight="1" x14ac:dyDescent="0.25">
      <c r="C825" s="16"/>
      <c r="D825" s="16"/>
      <c r="E825" s="64"/>
      <c r="F825" s="64"/>
      <c r="G825" s="16"/>
      <c r="H825" s="16"/>
      <c r="I825" s="16"/>
    </row>
    <row r="826" spans="3:9" ht="13.5" customHeight="1" x14ac:dyDescent="0.25">
      <c r="C826" s="35"/>
      <c r="D826" s="35"/>
      <c r="E826" s="65"/>
      <c r="F826" s="69"/>
      <c r="G826" s="35"/>
      <c r="H826" s="35"/>
      <c r="I826" s="35"/>
    </row>
    <row r="827" spans="3:9" ht="13.5" customHeight="1" x14ac:dyDescent="0.25">
      <c r="C827" s="16"/>
      <c r="D827" s="16"/>
      <c r="E827" s="64"/>
      <c r="F827" s="64"/>
      <c r="G827" s="16"/>
      <c r="H827" s="16"/>
      <c r="I827" s="16"/>
    </row>
    <row r="828" spans="3:9" ht="13.5" customHeight="1" x14ac:dyDescent="0.25">
      <c r="C828" s="35"/>
      <c r="D828" s="35"/>
      <c r="E828" s="65"/>
      <c r="F828" s="69"/>
      <c r="G828" s="35"/>
      <c r="H828" s="35"/>
      <c r="I828" s="35"/>
    </row>
    <row r="829" spans="3:9" ht="13.5" customHeight="1" x14ac:dyDescent="0.25">
      <c r="C829" s="16"/>
      <c r="D829" s="16"/>
      <c r="E829" s="64"/>
      <c r="F829" s="64"/>
      <c r="G829" s="16"/>
      <c r="H829" s="16"/>
      <c r="I829" s="16"/>
    </row>
    <row r="830" spans="3:9" ht="13.5" customHeight="1" x14ac:dyDescent="0.25">
      <c r="C830" s="35"/>
      <c r="D830" s="35"/>
      <c r="E830" s="65"/>
      <c r="F830" s="69"/>
      <c r="G830" s="35"/>
      <c r="H830" s="35"/>
      <c r="I830" s="35"/>
    </row>
    <row r="831" spans="3:9" ht="13.5" customHeight="1" x14ac:dyDescent="0.25">
      <c r="C831" s="16"/>
      <c r="D831" s="16"/>
      <c r="E831" s="64"/>
      <c r="F831" s="64"/>
      <c r="G831" s="16"/>
      <c r="H831" s="16"/>
      <c r="I831" s="16"/>
    </row>
    <row r="832" spans="3:9" ht="13.5" customHeight="1" x14ac:dyDescent="0.25">
      <c r="C832" s="35"/>
      <c r="D832" s="35"/>
      <c r="E832" s="65"/>
      <c r="F832" s="69"/>
      <c r="G832" s="35"/>
      <c r="H832" s="35"/>
      <c r="I832" s="35"/>
    </row>
    <row r="833" spans="3:9" ht="13.5" customHeight="1" x14ac:dyDescent="0.25">
      <c r="C833" s="16"/>
      <c r="D833" s="16"/>
      <c r="E833" s="64"/>
      <c r="F833" s="64"/>
      <c r="G833" s="16"/>
      <c r="H833" s="16"/>
      <c r="I833" s="16"/>
    </row>
    <row r="834" spans="3:9" ht="13.5" customHeight="1" x14ac:dyDescent="0.25">
      <c r="C834" s="35"/>
      <c r="D834" s="35"/>
      <c r="E834" s="65"/>
      <c r="F834" s="69"/>
      <c r="G834" s="35"/>
      <c r="H834" s="35"/>
      <c r="I834" s="35"/>
    </row>
    <row r="835" spans="3:9" ht="13.5" customHeight="1" x14ac:dyDescent="0.25">
      <c r="C835" s="16"/>
      <c r="D835" s="16"/>
      <c r="E835" s="64"/>
      <c r="F835" s="64"/>
      <c r="G835" s="16"/>
      <c r="H835" s="16"/>
      <c r="I835" s="16"/>
    </row>
    <row r="836" spans="3:9" ht="13.5" customHeight="1" x14ac:dyDescent="0.25">
      <c r="C836" s="35"/>
      <c r="D836" s="35"/>
      <c r="E836" s="65"/>
      <c r="F836" s="69"/>
      <c r="G836" s="35"/>
      <c r="H836" s="35"/>
      <c r="I836" s="35"/>
    </row>
    <row r="837" spans="3:9" ht="13.5" customHeight="1" x14ac:dyDescent="0.25">
      <c r="C837" s="16"/>
      <c r="D837" s="16"/>
      <c r="E837" s="64"/>
      <c r="F837" s="64"/>
      <c r="G837" s="16"/>
      <c r="H837" s="16"/>
      <c r="I837" s="16"/>
    </row>
    <row r="838" spans="3:9" ht="13.5" customHeight="1" x14ac:dyDescent="0.25">
      <c r="C838" s="35"/>
      <c r="D838" s="35"/>
      <c r="E838" s="65"/>
      <c r="F838" s="69"/>
      <c r="G838" s="35"/>
      <c r="H838" s="35"/>
      <c r="I838" s="35"/>
    </row>
    <row r="839" spans="3:9" ht="13.5" customHeight="1" x14ac:dyDescent="0.25">
      <c r="C839" s="16"/>
      <c r="D839" s="16"/>
      <c r="E839" s="64"/>
      <c r="F839" s="64"/>
      <c r="G839" s="16"/>
      <c r="H839" s="16"/>
      <c r="I839" s="16"/>
    </row>
    <row r="840" spans="3:9" ht="13.5" customHeight="1" x14ac:dyDescent="0.25">
      <c r="C840" s="35"/>
      <c r="D840" s="35"/>
      <c r="E840" s="65"/>
      <c r="F840" s="69"/>
      <c r="G840" s="35"/>
      <c r="H840" s="35"/>
      <c r="I840" s="35"/>
    </row>
    <row r="841" spans="3:9" ht="13.5" customHeight="1" x14ac:dyDescent="0.25">
      <c r="C841" s="16"/>
      <c r="D841" s="16"/>
      <c r="E841" s="64"/>
      <c r="F841" s="64"/>
      <c r="G841" s="16"/>
      <c r="H841" s="16"/>
      <c r="I841" s="16"/>
    </row>
    <row r="842" spans="3:9" ht="13.5" customHeight="1" x14ac:dyDescent="0.25">
      <c r="C842" s="35"/>
      <c r="D842" s="35"/>
      <c r="E842" s="65"/>
      <c r="F842" s="69"/>
      <c r="G842" s="35"/>
      <c r="H842" s="35"/>
      <c r="I842" s="35"/>
    </row>
    <row r="843" spans="3:9" ht="13.5" customHeight="1" x14ac:dyDescent="0.25">
      <c r="C843" s="16"/>
      <c r="D843" s="16"/>
      <c r="E843" s="64"/>
      <c r="F843" s="64"/>
      <c r="G843" s="16"/>
      <c r="H843" s="16"/>
      <c r="I843" s="16"/>
    </row>
    <row r="844" spans="3:9" ht="13.5" customHeight="1" x14ac:dyDescent="0.25">
      <c r="C844" s="35"/>
      <c r="D844" s="35"/>
      <c r="E844" s="65"/>
      <c r="F844" s="69"/>
      <c r="G844" s="35"/>
      <c r="H844" s="35"/>
      <c r="I844" s="35"/>
    </row>
    <row r="845" spans="3:9" ht="13.5" customHeight="1" x14ac:dyDescent="0.25">
      <c r="C845" s="16"/>
      <c r="D845" s="16"/>
      <c r="E845" s="64"/>
      <c r="F845" s="64"/>
      <c r="G845" s="16"/>
      <c r="H845" s="16"/>
      <c r="I845" s="16"/>
    </row>
    <row r="846" spans="3:9" ht="13.5" customHeight="1" x14ac:dyDescent="0.25">
      <c r="C846" s="35"/>
      <c r="D846" s="35"/>
      <c r="E846" s="65"/>
      <c r="F846" s="69"/>
      <c r="G846" s="35"/>
      <c r="H846" s="35"/>
      <c r="I846" s="35"/>
    </row>
    <row r="847" spans="3:9" ht="13.5" customHeight="1" x14ac:dyDescent="0.25">
      <c r="C847" s="16"/>
      <c r="D847" s="16"/>
      <c r="E847" s="64"/>
      <c r="F847" s="64"/>
      <c r="G847" s="16"/>
      <c r="H847" s="16"/>
      <c r="I847" s="16"/>
    </row>
    <row r="848" spans="3:9" ht="13.5" customHeight="1" x14ac:dyDescent="0.25">
      <c r="C848" s="35"/>
      <c r="D848" s="35"/>
      <c r="E848" s="65"/>
      <c r="F848" s="69"/>
      <c r="G848" s="35"/>
      <c r="H848" s="35"/>
      <c r="I848" s="35"/>
    </row>
    <row r="849" spans="3:9" ht="13.5" customHeight="1" x14ac:dyDescent="0.25">
      <c r="C849" s="16"/>
      <c r="D849" s="16"/>
      <c r="E849" s="64"/>
      <c r="F849" s="64"/>
      <c r="G849" s="16"/>
      <c r="H849" s="16"/>
      <c r="I849" s="16"/>
    </row>
    <row r="850" spans="3:9" ht="13.5" customHeight="1" x14ac:dyDescent="0.25">
      <c r="C850" s="35"/>
      <c r="D850" s="35"/>
      <c r="E850" s="65"/>
      <c r="F850" s="69"/>
      <c r="G850" s="35"/>
      <c r="H850" s="35"/>
      <c r="I850" s="35"/>
    </row>
    <row r="851" spans="3:9" ht="13.5" customHeight="1" x14ac:dyDescent="0.25">
      <c r="C851" s="16"/>
      <c r="D851" s="16"/>
      <c r="E851" s="64"/>
      <c r="F851" s="64"/>
      <c r="G851" s="16"/>
      <c r="H851" s="16"/>
      <c r="I851" s="16"/>
    </row>
    <row r="852" spans="3:9" ht="13.5" customHeight="1" x14ac:dyDescent="0.25">
      <c r="C852" s="35"/>
      <c r="D852" s="35"/>
      <c r="E852" s="65"/>
      <c r="F852" s="69"/>
      <c r="G852" s="35"/>
      <c r="H852" s="35"/>
      <c r="I852" s="35"/>
    </row>
    <row r="853" spans="3:9" ht="13.5" customHeight="1" x14ac:dyDescent="0.25">
      <c r="C853" s="16"/>
      <c r="D853" s="16"/>
      <c r="E853" s="64"/>
      <c r="F853" s="64"/>
      <c r="G853" s="16"/>
      <c r="H853" s="16"/>
      <c r="I853" s="16"/>
    </row>
    <row r="854" spans="3:9" ht="13.5" customHeight="1" x14ac:dyDescent="0.25">
      <c r="C854" s="35"/>
      <c r="D854" s="35"/>
      <c r="E854" s="65"/>
      <c r="F854" s="69"/>
      <c r="G854" s="35"/>
      <c r="H854" s="35"/>
      <c r="I854" s="35"/>
    </row>
    <row r="855" spans="3:9" ht="13.5" customHeight="1" x14ac:dyDescent="0.25">
      <c r="C855" s="16"/>
      <c r="D855" s="16"/>
      <c r="E855" s="64"/>
      <c r="F855" s="64"/>
      <c r="G855" s="16"/>
      <c r="H855" s="16"/>
      <c r="I855" s="16"/>
    </row>
    <row r="856" spans="3:9" ht="13.5" customHeight="1" x14ac:dyDescent="0.25">
      <c r="C856" s="35"/>
      <c r="D856" s="35"/>
      <c r="E856" s="65"/>
      <c r="F856" s="69"/>
      <c r="G856" s="35"/>
      <c r="H856" s="35"/>
      <c r="I856" s="35"/>
    </row>
    <row r="857" spans="3:9" ht="13.5" customHeight="1" x14ac:dyDescent="0.25">
      <c r="C857" s="16"/>
      <c r="D857" s="16"/>
      <c r="E857" s="64"/>
      <c r="F857" s="64"/>
      <c r="G857" s="16"/>
      <c r="H857" s="16"/>
      <c r="I857" s="16"/>
    </row>
    <row r="858" spans="3:9" ht="13.5" customHeight="1" x14ac:dyDescent="0.25">
      <c r="C858" s="35"/>
      <c r="D858" s="35"/>
      <c r="E858" s="65"/>
      <c r="F858" s="69"/>
      <c r="G858" s="35"/>
      <c r="H858" s="35"/>
      <c r="I858" s="35"/>
    </row>
    <row r="859" spans="3:9" ht="13.5" customHeight="1" x14ac:dyDescent="0.25">
      <c r="C859" s="16"/>
      <c r="D859" s="16"/>
      <c r="E859" s="64"/>
      <c r="F859" s="64"/>
      <c r="G859" s="16"/>
      <c r="H859" s="16"/>
      <c r="I859" s="16"/>
    </row>
    <row r="860" spans="3:9" ht="13.5" customHeight="1" x14ac:dyDescent="0.25">
      <c r="C860" s="35"/>
      <c r="D860" s="35"/>
      <c r="E860" s="65"/>
      <c r="F860" s="69"/>
      <c r="G860" s="35"/>
      <c r="H860" s="35"/>
      <c r="I860" s="35"/>
    </row>
    <row r="861" spans="3:9" ht="13.5" customHeight="1" x14ac:dyDescent="0.25">
      <c r="C861" s="16"/>
      <c r="D861" s="16"/>
      <c r="E861" s="64"/>
      <c r="F861" s="64"/>
      <c r="G861" s="16"/>
      <c r="H861" s="16"/>
      <c r="I861" s="16"/>
    </row>
    <row r="862" spans="3:9" ht="13.5" customHeight="1" x14ac:dyDescent="0.25">
      <c r="C862" s="35"/>
      <c r="D862" s="35"/>
      <c r="E862" s="65"/>
      <c r="F862" s="69"/>
      <c r="G862" s="35"/>
      <c r="H862" s="35"/>
      <c r="I862" s="35"/>
    </row>
    <row r="863" spans="3:9" ht="13.5" customHeight="1" x14ac:dyDescent="0.25">
      <c r="C863" s="16"/>
      <c r="D863" s="16"/>
      <c r="E863" s="64"/>
      <c r="F863" s="64"/>
      <c r="G863" s="16"/>
      <c r="H863" s="16"/>
      <c r="I863" s="16"/>
    </row>
    <row r="864" spans="3:9" ht="13.5" customHeight="1" x14ac:dyDescent="0.25">
      <c r="C864" s="35"/>
      <c r="D864" s="35"/>
      <c r="E864" s="65"/>
      <c r="F864" s="69"/>
      <c r="G864" s="35"/>
      <c r="H864" s="35"/>
      <c r="I864" s="35"/>
    </row>
    <row r="865" spans="3:9" ht="13.5" customHeight="1" x14ac:dyDescent="0.25">
      <c r="C865" s="16"/>
      <c r="D865" s="16"/>
      <c r="E865" s="64"/>
      <c r="F865" s="64"/>
      <c r="G865" s="16"/>
      <c r="H865" s="16"/>
      <c r="I865" s="16"/>
    </row>
    <row r="866" spans="3:9" ht="13.5" customHeight="1" x14ac:dyDescent="0.25">
      <c r="C866" s="35"/>
      <c r="D866" s="35"/>
      <c r="E866" s="65"/>
      <c r="F866" s="69"/>
      <c r="G866" s="35"/>
      <c r="H866" s="35"/>
      <c r="I866" s="35"/>
    </row>
    <row r="867" spans="3:9" ht="13.5" customHeight="1" x14ac:dyDescent="0.25">
      <c r="C867" s="16"/>
      <c r="D867" s="16"/>
      <c r="E867" s="64"/>
      <c r="F867" s="64"/>
      <c r="G867" s="16"/>
      <c r="H867" s="16"/>
      <c r="I867" s="16"/>
    </row>
    <row r="868" spans="3:9" ht="13.5" customHeight="1" x14ac:dyDescent="0.25">
      <c r="C868" s="35"/>
      <c r="D868" s="35"/>
      <c r="E868" s="65"/>
      <c r="F868" s="69"/>
      <c r="G868" s="35"/>
      <c r="H868" s="35"/>
      <c r="I868" s="35"/>
    </row>
    <row r="869" spans="3:9" ht="13.5" customHeight="1" x14ac:dyDescent="0.25">
      <c r="C869" s="16"/>
      <c r="D869" s="16"/>
      <c r="E869" s="64"/>
      <c r="F869" s="64"/>
      <c r="G869" s="16"/>
      <c r="H869" s="16"/>
      <c r="I869" s="16"/>
    </row>
    <row r="870" spans="3:9" ht="13.5" customHeight="1" x14ac:dyDescent="0.25">
      <c r="C870" s="35"/>
      <c r="D870" s="35"/>
      <c r="E870" s="65"/>
      <c r="F870" s="69"/>
      <c r="G870" s="35"/>
      <c r="H870" s="35"/>
      <c r="I870" s="35"/>
    </row>
    <row r="871" spans="3:9" ht="13.5" customHeight="1" x14ac:dyDescent="0.25">
      <c r="C871" s="16"/>
      <c r="D871" s="16"/>
      <c r="E871" s="64"/>
      <c r="F871" s="64"/>
      <c r="G871" s="16"/>
      <c r="H871" s="16"/>
      <c r="I871" s="16"/>
    </row>
    <row r="872" spans="3:9" ht="13.5" customHeight="1" x14ac:dyDescent="0.25">
      <c r="C872" s="35"/>
      <c r="D872" s="35"/>
      <c r="E872" s="65"/>
      <c r="F872" s="69"/>
      <c r="G872" s="35"/>
      <c r="H872" s="35"/>
      <c r="I872" s="35"/>
    </row>
    <row r="873" spans="3:9" ht="13.5" customHeight="1" x14ac:dyDescent="0.25">
      <c r="C873" s="16"/>
      <c r="D873" s="16"/>
      <c r="E873" s="64"/>
      <c r="F873" s="64"/>
      <c r="G873" s="16"/>
      <c r="H873" s="16"/>
      <c r="I873" s="16"/>
    </row>
    <row r="874" spans="3:9" ht="13.5" customHeight="1" x14ac:dyDescent="0.25">
      <c r="C874" s="35"/>
      <c r="D874" s="35"/>
      <c r="E874" s="65"/>
      <c r="F874" s="69"/>
      <c r="G874" s="35"/>
      <c r="H874" s="35"/>
      <c r="I874" s="35"/>
    </row>
    <row r="875" spans="3:9" ht="13.5" customHeight="1" x14ac:dyDescent="0.25">
      <c r="C875" s="16"/>
      <c r="D875" s="16"/>
      <c r="E875" s="64"/>
      <c r="F875" s="64"/>
      <c r="G875" s="16"/>
      <c r="H875" s="16"/>
      <c r="I875" s="16"/>
    </row>
    <row r="876" spans="3:9" ht="13.5" customHeight="1" x14ac:dyDescent="0.25">
      <c r="C876" s="35"/>
      <c r="D876" s="35"/>
      <c r="E876" s="65"/>
      <c r="F876" s="69"/>
      <c r="G876" s="35"/>
      <c r="H876" s="35"/>
      <c r="I876" s="35"/>
    </row>
    <row r="877" spans="3:9" ht="13.5" customHeight="1" x14ac:dyDescent="0.25">
      <c r="C877" s="16"/>
      <c r="D877" s="16"/>
      <c r="E877" s="64"/>
      <c r="F877" s="64"/>
      <c r="G877" s="16"/>
      <c r="H877" s="16"/>
      <c r="I877" s="16"/>
    </row>
    <row r="878" spans="3:9" ht="13.5" customHeight="1" x14ac:dyDescent="0.25">
      <c r="C878" s="35"/>
      <c r="D878" s="35"/>
      <c r="E878" s="65"/>
      <c r="F878" s="69"/>
      <c r="G878" s="35"/>
      <c r="H878" s="35"/>
      <c r="I878" s="35"/>
    </row>
    <row r="879" spans="3:9" ht="13.5" customHeight="1" x14ac:dyDescent="0.25">
      <c r="C879" s="16"/>
      <c r="D879" s="16"/>
      <c r="E879" s="64"/>
      <c r="F879" s="64"/>
      <c r="G879" s="16"/>
      <c r="H879" s="16"/>
      <c r="I879" s="16"/>
    </row>
    <row r="880" spans="3:9" ht="13.5" customHeight="1" x14ac:dyDescent="0.25">
      <c r="C880" s="35"/>
      <c r="D880" s="35"/>
      <c r="E880" s="65"/>
      <c r="F880" s="69"/>
      <c r="G880" s="35"/>
      <c r="H880" s="35"/>
      <c r="I880" s="35"/>
    </row>
    <row r="881" spans="3:9" ht="13.5" customHeight="1" x14ac:dyDescent="0.25">
      <c r="C881" s="16"/>
      <c r="D881" s="16"/>
      <c r="E881" s="64"/>
      <c r="F881" s="64"/>
      <c r="G881" s="16"/>
      <c r="H881" s="16"/>
      <c r="I881" s="16"/>
    </row>
    <row r="882" spans="3:9" ht="13.5" customHeight="1" x14ac:dyDescent="0.25">
      <c r="C882" s="35"/>
      <c r="D882" s="35"/>
      <c r="E882" s="65"/>
      <c r="F882" s="69"/>
      <c r="G882" s="35"/>
      <c r="H882" s="35"/>
      <c r="I882" s="35"/>
    </row>
    <row r="883" spans="3:9" ht="13.5" customHeight="1" x14ac:dyDescent="0.25">
      <c r="C883" s="16"/>
      <c r="D883" s="16"/>
      <c r="E883" s="64"/>
      <c r="F883" s="64"/>
      <c r="G883" s="16"/>
      <c r="H883" s="16"/>
      <c r="I883" s="16"/>
    </row>
    <row r="884" spans="3:9" ht="13.5" customHeight="1" x14ac:dyDescent="0.25">
      <c r="C884" s="35"/>
      <c r="D884" s="35"/>
      <c r="E884" s="65"/>
      <c r="F884" s="69"/>
      <c r="G884" s="35"/>
      <c r="H884" s="35"/>
      <c r="I884" s="35"/>
    </row>
    <row r="885" spans="3:9" ht="13.5" customHeight="1" x14ac:dyDescent="0.25">
      <c r="C885" s="16"/>
      <c r="D885" s="16"/>
      <c r="E885" s="64"/>
      <c r="F885" s="64"/>
      <c r="G885" s="16"/>
      <c r="H885" s="16"/>
      <c r="I885" s="16"/>
    </row>
    <row r="886" spans="3:9" ht="13.5" customHeight="1" x14ac:dyDescent="0.25">
      <c r="C886" s="35"/>
      <c r="D886" s="35"/>
      <c r="E886" s="65"/>
      <c r="F886" s="69"/>
      <c r="G886" s="35"/>
      <c r="H886" s="35"/>
      <c r="I886" s="35"/>
    </row>
    <row r="887" spans="3:9" ht="13.5" customHeight="1" x14ac:dyDescent="0.25">
      <c r="C887" s="16"/>
      <c r="D887" s="16"/>
      <c r="E887" s="64"/>
      <c r="F887" s="64"/>
      <c r="G887" s="16"/>
      <c r="H887" s="16"/>
      <c r="I887" s="16"/>
    </row>
    <row r="888" spans="3:9" ht="13.5" customHeight="1" x14ac:dyDescent="0.25">
      <c r="C888" s="35"/>
      <c r="D888" s="35"/>
      <c r="E888" s="65"/>
      <c r="F888" s="69"/>
      <c r="G888" s="35"/>
      <c r="H888" s="35"/>
      <c r="I888" s="35"/>
    </row>
    <row r="889" spans="3:9" ht="13.5" customHeight="1" x14ac:dyDescent="0.25">
      <c r="C889" s="16"/>
      <c r="D889" s="16"/>
      <c r="E889" s="64"/>
      <c r="F889" s="64"/>
      <c r="G889" s="16"/>
      <c r="H889" s="16"/>
      <c r="I889" s="16"/>
    </row>
    <row r="890" spans="3:9" ht="13.5" customHeight="1" x14ac:dyDescent="0.25">
      <c r="C890" s="35"/>
      <c r="D890" s="35"/>
      <c r="E890" s="65"/>
      <c r="F890" s="69"/>
      <c r="G890" s="35"/>
      <c r="H890" s="35"/>
      <c r="I890" s="35"/>
    </row>
    <row r="891" spans="3:9" ht="13.5" customHeight="1" x14ac:dyDescent="0.25">
      <c r="C891" s="16"/>
      <c r="D891" s="16"/>
      <c r="E891" s="64"/>
      <c r="F891" s="64"/>
      <c r="G891" s="16"/>
      <c r="H891" s="16"/>
      <c r="I891" s="16"/>
    </row>
    <row r="892" spans="3:9" ht="13.5" customHeight="1" x14ac:dyDescent="0.25">
      <c r="C892" s="35"/>
      <c r="D892" s="35"/>
      <c r="E892" s="65"/>
      <c r="F892" s="69"/>
      <c r="G892" s="35"/>
      <c r="H892" s="35"/>
      <c r="I892" s="35"/>
    </row>
    <row r="893" spans="3:9" ht="13.5" customHeight="1" x14ac:dyDescent="0.25">
      <c r="C893" s="16"/>
      <c r="D893" s="16"/>
      <c r="E893" s="64"/>
      <c r="F893" s="64"/>
      <c r="G893" s="16"/>
      <c r="H893" s="16"/>
      <c r="I893" s="16"/>
    </row>
    <row r="894" spans="3:9" ht="13.5" customHeight="1" x14ac:dyDescent="0.25">
      <c r="C894" s="35"/>
      <c r="D894" s="35"/>
      <c r="E894" s="65"/>
      <c r="F894" s="69"/>
      <c r="G894" s="35"/>
      <c r="H894" s="35"/>
      <c r="I894" s="35"/>
    </row>
    <row r="895" spans="3:9" ht="13.5" customHeight="1" x14ac:dyDescent="0.25">
      <c r="C895" s="16"/>
      <c r="D895" s="16"/>
      <c r="E895" s="64"/>
      <c r="F895" s="64"/>
      <c r="G895" s="16"/>
      <c r="H895" s="16"/>
      <c r="I895" s="16"/>
    </row>
    <row r="896" spans="3:9" ht="13.5" customHeight="1" x14ac:dyDescent="0.25">
      <c r="C896" s="35"/>
      <c r="D896" s="35"/>
      <c r="E896" s="65"/>
      <c r="F896" s="69"/>
      <c r="G896" s="35"/>
      <c r="H896" s="35"/>
      <c r="I896" s="35"/>
    </row>
    <row r="897" spans="3:9" ht="13.5" customHeight="1" x14ac:dyDescent="0.25">
      <c r="C897" s="16"/>
      <c r="D897" s="16"/>
      <c r="E897" s="64"/>
      <c r="F897" s="64"/>
      <c r="G897" s="16"/>
      <c r="H897" s="16"/>
      <c r="I897" s="16"/>
    </row>
    <row r="898" spans="3:9" ht="13.5" customHeight="1" x14ac:dyDescent="0.25">
      <c r="C898" s="35"/>
      <c r="D898" s="35"/>
      <c r="E898" s="65"/>
      <c r="F898" s="69"/>
      <c r="G898" s="35"/>
      <c r="H898" s="35"/>
      <c r="I898" s="35"/>
    </row>
    <row r="899" spans="3:9" ht="13.5" customHeight="1" x14ac:dyDescent="0.25">
      <c r="C899" s="16"/>
      <c r="D899" s="16"/>
      <c r="E899" s="64"/>
      <c r="F899" s="64"/>
      <c r="G899" s="16"/>
      <c r="H899" s="16"/>
      <c r="I899" s="16"/>
    </row>
    <row r="900" spans="3:9" ht="13.5" customHeight="1" x14ac:dyDescent="0.25">
      <c r="C900" s="35"/>
      <c r="D900" s="35"/>
      <c r="E900" s="65"/>
      <c r="F900" s="69"/>
      <c r="G900" s="35"/>
      <c r="H900" s="35"/>
      <c r="I900" s="35"/>
    </row>
    <row r="901" spans="3:9" ht="13.5" customHeight="1" x14ac:dyDescent="0.25">
      <c r="C901" s="16"/>
      <c r="D901" s="16"/>
      <c r="E901" s="64"/>
      <c r="F901" s="64"/>
      <c r="G901" s="16"/>
      <c r="H901" s="16"/>
      <c r="I901" s="16"/>
    </row>
    <row r="902" spans="3:9" ht="13.5" customHeight="1" x14ac:dyDescent="0.25">
      <c r="C902" s="35"/>
      <c r="D902" s="35"/>
      <c r="E902" s="65"/>
      <c r="F902" s="69"/>
      <c r="G902" s="35"/>
      <c r="H902" s="35"/>
      <c r="I902" s="35"/>
    </row>
    <row r="903" spans="3:9" ht="13.5" customHeight="1" x14ac:dyDescent="0.25">
      <c r="C903" s="16"/>
      <c r="D903" s="16"/>
      <c r="E903" s="64"/>
      <c r="F903" s="64"/>
      <c r="G903" s="16"/>
      <c r="H903" s="16"/>
      <c r="I903" s="16"/>
    </row>
    <row r="904" spans="3:9" ht="13.5" customHeight="1" x14ac:dyDescent="0.25">
      <c r="C904" s="35"/>
      <c r="D904" s="35"/>
      <c r="E904" s="65"/>
      <c r="F904" s="69"/>
      <c r="G904" s="35"/>
      <c r="H904" s="35"/>
      <c r="I904" s="35"/>
    </row>
    <row r="905" spans="3:9" ht="13.5" customHeight="1" x14ac:dyDescent="0.25">
      <c r="C905" s="16"/>
      <c r="D905" s="16"/>
      <c r="E905" s="64"/>
      <c r="F905" s="64"/>
      <c r="G905" s="16"/>
      <c r="H905" s="16"/>
      <c r="I905" s="16"/>
    </row>
    <row r="906" spans="3:9" ht="13.5" customHeight="1" x14ac:dyDescent="0.25">
      <c r="C906" s="35"/>
      <c r="D906" s="35"/>
      <c r="E906" s="65"/>
      <c r="F906" s="69"/>
      <c r="G906" s="35"/>
      <c r="H906" s="35"/>
      <c r="I906" s="35"/>
    </row>
    <row r="907" spans="3:9" ht="13.5" customHeight="1" x14ac:dyDescent="0.25">
      <c r="C907" s="16"/>
      <c r="D907" s="16"/>
      <c r="E907" s="64"/>
      <c r="F907" s="64"/>
      <c r="G907" s="16"/>
      <c r="H907" s="16"/>
      <c r="I907" s="16"/>
    </row>
    <row r="908" spans="3:9" ht="13.5" customHeight="1" x14ac:dyDescent="0.25">
      <c r="C908" s="35"/>
      <c r="D908" s="35"/>
      <c r="E908" s="65"/>
      <c r="F908" s="69"/>
      <c r="G908" s="35"/>
      <c r="H908" s="35"/>
      <c r="I908" s="35"/>
    </row>
    <row r="909" spans="3:9" ht="13.5" customHeight="1" x14ac:dyDescent="0.25">
      <c r="C909" s="16"/>
      <c r="D909" s="16"/>
      <c r="E909" s="64"/>
      <c r="F909" s="64"/>
      <c r="G909" s="16"/>
      <c r="H909" s="16"/>
      <c r="I909" s="16"/>
    </row>
    <row r="910" spans="3:9" ht="13.5" customHeight="1" x14ac:dyDescent="0.25">
      <c r="C910" s="35"/>
      <c r="D910" s="35"/>
      <c r="E910" s="65"/>
      <c r="F910" s="69"/>
      <c r="G910" s="35"/>
      <c r="H910" s="35"/>
      <c r="I910" s="35"/>
    </row>
    <row r="911" spans="3:9" ht="13.5" customHeight="1" x14ac:dyDescent="0.25">
      <c r="C911" s="16"/>
      <c r="D911" s="16"/>
      <c r="E911" s="64"/>
      <c r="F911" s="64"/>
      <c r="G911" s="16"/>
      <c r="H911" s="16"/>
      <c r="I911" s="16"/>
    </row>
    <row r="912" spans="3:9" ht="13.5" customHeight="1" x14ac:dyDescent="0.25">
      <c r="C912" s="35"/>
      <c r="D912" s="35"/>
      <c r="E912" s="65"/>
      <c r="F912" s="69"/>
      <c r="G912" s="35"/>
      <c r="H912" s="35"/>
      <c r="I912" s="35"/>
    </row>
    <row r="913" spans="3:9" ht="13.5" customHeight="1" x14ac:dyDescent="0.25">
      <c r="C913" s="16"/>
      <c r="D913" s="16"/>
      <c r="E913" s="64"/>
      <c r="F913" s="64"/>
      <c r="G913" s="16"/>
      <c r="H913" s="16"/>
      <c r="I913" s="16"/>
    </row>
    <row r="914" spans="3:9" ht="13.5" customHeight="1" x14ac:dyDescent="0.25">
      <c r="C914" s="35"/>
      <c r="D914" s="35"/>
      <c r="E914" s="65"/>
      <c r="F914" s="69"/>
      <c r="G914" s="35"/>
      <c r="H914" s="35"/>
      <c r="I914" s="35"/>
    </row>
    <row r="915" spans="3:9" ht="13.5" customHeight="1" x14ac:dyDescent="0.25">
      <c r="C915" s="16"/>
      <c r="D915" s="16"/>
      <c r="E915" s="64"/>
      <c r="F915" s="64"/>
      <c r="G915" s="16"/>
      <c r="H915" s="16"/>
      <c r="I915" s="16"/>
    </row>
    <row r="916" spans="3:9" ht="13.5" customHeight="1" x14ac:dyDescent="0.25">
      <c r="C916" s="35"/>
      <c r="D916" s="35"/>
      <c r="E916" s="65"/>
      <c r="F916" s="69"/>
      <c r="G916" s="35"/>
      <c r="H916" s="35"/>
      <c r="I916" s="35"/>
    </row>
    <row r="917" spans="3:9" ht="13.5" customHeight="1" x14ac:dyDescent="0.25">
      <c r="C917" s="16"/>
      <c r="D917" s="16"/>
      <c r="E917" s="64"/>
      <c r="F917" s="64"/>
      <c r="G917" s="16"/>
      <c r="H917" s="16"/>
      <c r="I917" s="16"/>
    </row>
    <row r="918" spans="3:9" ht="13.5" customHeight="1" x14ac:dyDescent="0.25">
      <c r="C918" s="35"/>
      <c r="D918" s="35"/>
      <c r="E918" s="65"/>
      <c r="F918" s="69"/>
      <c r="G918" s="35"/>
      <c r="H918" s="35"/>
      <c r="I918" s="35"/>
    </row>
    <row r="919" spans="3:9" ht="13.5" customHeight="1" x14ac:dyDescent="0.25">
      <c r="C919" s="16"/>
      <c r="D919" s="16"/>
      <c r="E919" s="64"/>
      <c r="F919" s="64"/>
      <c r="G919" s="16"/>
      <c r="H919" s="16"/>
      <c r="I919" s="16"/>
    </row>
    <row r="920" spans="3:9" ht="13.5" customHeight="1" x14ac:dyDescent="0.25">
      <c r="C920" s="35"/>
      <c r="D920" s="35"/>
      <c r="E920" s="65"/>
      <c r="F920" s="69"/>
      <c r="G920" s="35"/>
      <c r="H920" s="35"/>
      <c r="I920" s="35"/>
    </row>
    <row r="921" spans="3:9" ht="13.5" customHeight="1" x14ac:dyDescent="0.25">
      <c r="C921" s="16"/>
      <c r="D921" s="16"/>
      <c r="E921" s="64"/>
      <c r="F921" s="64"/>
      <c r="G921" s="16"/>
      <c r="H921" s="16"/>
      <c r="I921" s="16"/>
    </row>
    <row r="922" spans="3:9" ht="13.5" customHeight="1" x14ac:dyDescent="0.25">
      <c r="C922" s="35"/>
      <c r="D922" s="35"/>
      <c r="E922" s="65"/>
      <c r="F922" s="69"/>
      <c r="G922" s="35"/>
      <c r="H922" s="35"/>
      <c r="I922" s="35"/>
    </row>
    <row r="923" spans="3:9" ht="13.5" customHeight="1" x14ac:dyDescent="0.25">
      <c r="C923" s="16"/>
      <c r="D923" s="16"/>
      <c r="E923" s="64"/>
      <c r="F923" s="64"/>
      <c r="G923" s="16"/>
      <c r="H923" s="16"/>
      <c r="I923" s="16"/>
    </row>
    <row r="924" spans="3:9" ht="13.5" customHeight="1" x14ac:dyDescent="0.25">
      <c r="C924" s="35"/>
      <c r="D924" s="35"/>
      <c r="E924" s="65"/>
      <c r="F924" s="69"/>
      <c r="G924" s="35"/>
      <c r="H924" s="35"/>
      <c r="I924" s="35"/>
    </row>
    <row r="925" spans="3:9" ht="13.5" customHeight="1" x14ac:dyDescent="0.25">
      <c r="C925" s="16"/>
      <c r="D925" s="16"/>
      <c r="E925" s="64"/>
      <c r="F925" s="64"/>
      <c r="G925" s="16"/>
      <c r="H925" s="16"/>
      <c r="I925" s="16"/>
    </row>
    <row r="926" spans="3:9" ht="13.5" customHeight="1" x14ac:dyDescent="0.25">
      <c r="C926" s="35"/>
      <c r="D926" s="35"/>
      <c r="E926" s="65"/>
      <c r="F926" s="69"/>
      <c r="G926" s="35"/>
      <c r="H926" s="35"/>
      <c r="I926" s="35"/>
    </row>
    <row r="927" spans="3:9" ht="13.5" customHeight="1" x14ac:dyDescent="0.25">
      <c r="C927" s="16"/>
      <c r="D927" s="16"/>
      <c r="E927" s="64"/>
      <c r="F927" s="64"/>
      <c r="G927" s="16"/>
      <c r="H927" s="16"/>
      <c r="I927" s="16"/>
    </row>
    <row r="928" spans="3:9" ht="13.5" customHeight="1" x14ac:dyDescent="0.25">
      <c r="C928" s="35"/>
      <c r="D928" s="35"/>
      <c r="E928" s="65"/>
      <c r="F928" s="69"/>
      <c r="G928" s="35"/>
      <c r="H928" s="35"/>
      <c r="I928" s="35"/>
    </row>
    <row r="929" spans="3:9" ht="13.5" customHeight="1" x14ac:dyDescent="0.25">
      <c r="C929" s="16"/>
      <c r="D929" s="16"/>
      <c r="E929" s="64"/>
      <c r="F929" s="64"/>
      <c r="G929" s="16"/>
      <c r="H929" s="16"/>
      <c r="I929" s="16"/>
    </row>
    <row r="930" spans="3:9" ht="13.5" customHeight="1" x14ac:dyDescent="0.25">
      <c r="C930" s="35"/>
      <c r="D930" s="35"/>
      <c r="E930" s="65"/>
      <c r="F930" s="69"/>
      <c r="G930" s="35"/>
      <c r="H930" s="35"/>
      <c r="I930" s="35"/>
    </row>
    <row r="931" spans="3:9" ht="13.5" customHeight="1" x14ac:dyDescent="0.25">
      <c r="C931" s="16"/>
      <c r="D931" s="16"/>
      <c r="E931" s="64"/>
      <c r="F931" s="64"/>
      <c r="G931" s="16"/>
      <c r="H931" s="16"/>
      <c r="I931" s="16"/>
    </row>
    <row r="932" spans="3:9" ht="13.5" customHeight="1" x14ac:dyDescent="0.25">
      <c r="C932" s="35"/>
      <c r="D932" s="35"/>
      <c r="E932" s="65"/>
      <c r="F932" s="69"/>
      <c r="G932" s="35"/>
      <c r="H932" s="35"/>
      <c r="I932" s="35"/>
    </row>
    <row r="933" spans="3:9" ht="13.5" customHeight="1" x14ac:dyDescent="0.25">
      <c r="C933" s="16"/>
      <c r="D933" s="16"/>
      <c r="E933" s="64"/>
      <c r="F933" s="64"/>
      <c r="G933" s="16"/>
      <c r="H933" s="16"/>
      <c r="I933" s="16"/>
    </row>
    <row r="934" spans="3:9" ht="13.5" customHeight="1" x14ac:dyDescent="0.25">
      <c r="C934" s="35"/>
      <c r="D934" s="35"/>
      <c r="E934" s="65"/>
      <c r="F934" s="69"/>
      <c r="G934" s="35"/>
      <c r="H934" s="35"/>
      <c r="I934" s="35"/>
    </row>
    <row r="935" spans="3:9" ht="13.5" customHeight="1" x14ac:dyDescent="0.25">
      <c r="C935" s="16"/>
      <c r="D935" s="16"/>
      <c r="E935" s="64"/>
      <c r="F935" s="64"/>
      <c r="G935" s="16"/>
      <c r="H935" s="16"/>
      <c r="I935" s="16"/>
    </row>
    <row r="936" spans="3:9" ht="13.5" customHeight="1" x14ac:dyDescent="0.25">
      <c r="C936" s="35"/>
      <c r="D936" s="35"/>
      <c r="E936" s="65"/>
      <c r="F936" s="69"/>
      <c r="G936" s="35"/>
      <c r="H936" s="35"/>
      <c r="I936" s="35"/>
    </row>
    <row r="937" spans="3:9" ht="13.5" customHeight="1" x14ac:dyDescent="0.25">
      <c r="C937" s="16"/>
      <c r="D937" s="16"/>
      <c r="E937" s="64"/>
      <c r="F937" s="64"/>
      <c r="G937" s="16"/>
      <c r="H937" s="16"/>
      <c r="I937" s="16"/>
    </row>
    <row r="938" spans="3:9" ht="13.5" customHeight="1" x14ac:dyDescent="0.25">
      <c r="C938" s="35"/>
      <c r="D938" s="35"/>
      <c r="E938" s="65"/>
      <c r="F938" s="69"/>
      <c r="G938" s="35"/>
      <c r="H938" s="35"/>
      <c r="I938" s="35"/>
    </row>
    <row r="939" spans="3:9" ht="13.5" customHeight="1" x14ac:dyDescent="0.25">
      <c r="C939" s="16"/>
      <c r="D939" s="16"/>
      <c r="E939" s="64"/>
      <c r="F939" s="64"/>
      <c r="G939" s="16"/>
      <c r="H939" s="16"/>
      <c r="I939" s="16"/>
    </row>
    <row r="940" spans="3:9" ht="13.5" customHeight="1" x14ac:dyDescent="0.25">
      <c r="C940" s="35"/>
      <c r="D940" s="35"/>
      <c r="E940" s="65"/>
      <c r="F940" s="69"/>
      <c r="G940" s="35"/>
      <c r="H940" s="35"/>
      <c r="I940" s="35"/>
    </row>
    <row r="941" spans="3:9" ht="13.5" customHeight="1" x14ac:dyDescent="0.25">
      <c r="C941" s="16"/>
      <c r="D941" s="16"/>
      <c r="E941" s="64"/>
      <c r="F941" s="64"/>
      <c r="G941" s="16"/>
      <c r="H941" s="16"/>
      <c r="I941" s="16"/>
    </row>
    <row r="942" spans="3:9" ht="13.5" customHeight="1" x14ac:dyDescent="0.25">
      <c r="C942" s="35"/>
      <c r="D942" s="35"/>
      <c r="E942" s="65"/>
      <c r="F942" s="69"/>
      <c r="G942" s="35"/>
      <c r="H942" s="35"/>
      <c r="I942" s="35"/>
    </row>
    <row r="943" spans="3:9" ht="13.5" customHeight="1" x14ac:dyDescent="0.25">
      <c r="C943" s="16"/>
      <c r="D943" s="16"/>
      <c r="E943" s="64"/>
      <c r="F943" s="64"/>
      <c r="G943" s="16"/>
      <c r="H943" s="16"/>
      <c r="I943" s="16"/>
    </row>
    <row r="944" spans="3:9" ht="13.5" customHeight="1" x14ac:dyDescent="0.25">
      <c r="C944" s="35"/>
      <c r="D944" s="35"/>
      <c r="E944" s="65"/>
      <c r="F944" s="69"/>
      <c r="G944" s="35"/>
      <c r="H944" s="35"/>
      <c r="I944" s="35"/>
    </row>
    <row r="945" spans="3:9" ht="13.5" customHeight="1" x14ac:dyDescent="0.25">
      <c r="C945" s="16"/>
      <c r="D945" s="16"/>
      <c r="E945" s="64"/>
      <c r="F945" s="64"/>
      <c r="G945" s="16"/>
      <c r="H945" s="16"/>
      <c r="I945" s="16"/>
    </row>
    <row r="946" spans="3:9" ht="13.5" customHeight="1" x14ac:dyDescent="0.25">
      <c r="C946" s="35"/>
      <c r="D946" s="35"/>
      <c r="E946" s="65"/>
      <c r="F946" s="69"/>
      <c r="G946" s="35"/>
      <c r="H946" s="35"/>
      <c r="I946" s="35"/>
    </row>
    <row r="947" spans="3:9" ht="13.5" customHeight="1" x14ac:dyDescent="0.25">
      <c r="C947" s="16"/>
      <c r="D947" s="16"/>
      <c r="E947" s="64"/>
      <c r="F947" s="64"/>
      <c r="G947" s="16"/>
      <c r="H947" s="16"/>
      <c r="I947" s="16"/>
    </row>
    <row r="948" spans="3:9" ht="13.5" customHeight="1" x14ac:dyDescent="0.25">
      <c r="C948" s="35"/>
      <c r="D948" s="35"/>
      <c r="E948" s="65"/>
      <c r="F948" s="69"/>
      <c r="G948" s="35"/>
      <c r="H948" s="35"/>
      <c r="I948" s="35"/>
    </row>
    <row r="949" spans="3:9" ht="13.5" customHeight="1" x14ac:dyDescent="0.25">
      <c r="C949" s="16"/>
      <c r="D949" s="16"/>
      <c r="E949" s="64"/>
      <c r="F949" s="64"/>
      <c r="G949" s="16"/>
      <c r="H949" s="16"/>
      <c r="I949" s="16"/>
    </row>
    <row r="950" spans="3:9" ht="13.5" customHeight="1" x14ac:dyDescent="0.25">
      <c r="C950" s="35"/>
      <c r="D950" s="35"/>
      <c r="E950" s="65"/>
      <c r="F950" s="69"/>
      <c r="G950" s="35"/>
      <c r="H950" s="35"/>
      <c r="I950" s="35"/>
    </row>
    <row r="951" spans="3:9" ht="13.5" customHeight="1" x14ac:dyDescent="0.25">
      <c r="C951" s="16"/>
      <c r="D951" s="16"/>
      <c r="E951" s="64"/>
      <c r="F951" s="64"/>
      <c r="G951" s="16"/>
      <c r="H951" s="16"/>
      <c r="I951" s="16"/>
    </row>
    <row r="952" spans="3:9" ht="13.5" customHeight="1" x14ac:dyDescent="0.25">
      <c r="C952" s="35"/>
      <c r="D952" s="35"/>
      <c r="E952" s="65"/>
      <c r="F952" s="69"/>
      <c r="G952" s="35"/>
      <c r="H952" s="35"/>
      <c r="I952" s="35"/>
    </row>
    <row r="953" spans="3:9" ht="13.5" customHeight="1" x14ac:dyDescent="0.25">
      <c r="C953" s="16"/>
      <c r="D953" s="16"/>
      <c r="E953" s="64"/>
      <c r="F953" s="64"/>
      <c r="G953" s="16"/>
      <c r="H953" s="16"/>
      <c r="I953" s="16"/>
    </row>
    <row r="954" spans="3:9" ht="13.5" customHeight="1" x14ac:dyDescent="0.25">
      <c r="C954" s="35"/>
      <c r="D954" s="35"/>
      <c r="E954" s="65"/>
      <c r="F954" s="69"/>
      <c r="G954" s="35"/>
      <c r="H954" s="35"/>
      <c r="I954" s="35"/>
    </row>
    <row r="955" spans="3:9" ht="13.5" customHeight="1" x14ac:dyDescent="0.25">
      <c r="C955" s="16"/>
      <c r="D955" s="16"/>
      <c r="E955" s="64"/>
      <c r="F955" s="64"/>
      <c r="G955" s="16"/>
      <c r="H955" s="16"/>
      <c r="I955" s="16"/>
    </row>
    <row r="956" spans="3:9" ht="13.5" customHeight="1" x14ac:dyDescent="0.25">
      <c r="C956" s="35"/>
      <c r="D956" s="35"/>
      <c r="E956" s="65"/>
      <c r="F956" s="69"/>
      <c r="G956" s="35"/>
      <c r="H956" s="35"/>
      <c r="I956" s="35"/>
    </row>
    <row r="957" spans="3:9" ht="13.5" customHeight="1" x14ac:dyDescent="0.25">
      <c r="C957" s="16"/>
      <c r="D957" s="16"/>
      <c r="E957" s="64"/>
      <c r="F957" s="64"/>
      <c r="G957" s="16"/>
      <c r="H957" s="16"/>
      <c r="I957" s="16"/>
    </row>
    <row r="958" spans="3:9" ht="13.5" customHeight="1" x14ac:dyDescent="0.25">
      <c r="C958" s="35"/>
      <c r="D958" s="35"/>
      <c r="E958" s="65"/>
      <c r="F958" s="69"/>
      <c r="G958" s="35"/>
      <c r="H958" s="35"/>
      <c r="I958" s="35"/>
    </row>
    <row r="959" spans="3:9" ht="13.5" customHeight="1" x14ac:dyDescent="0.25">
      <c r="C959" s="16"/>
      <c r="D959" s="16"/>
      <c r="E959" s="64"/>
      <c r="F959" s="64"/>
      <c r="G959" s="16"/>
      <c r="H959" s="16"/>
      <c r="I959" s="16"/>
    </row>
    <row r="960" spans="3:9" ht="13.5" customHeight="1" x14ac:dyDescent="0.25">
      <c r="C960" s="35"/>
      <c r="D960" s="35"/>
      <c r="E960" s="65"/>
      <c r="F960" s="69"/>
      <c r="G960" s="35"/>
      <c r="H960" s="35"/>
      <c r="I960" s="35"/>
    </row>
    <row r="961" spans="3:9" ht="13.5" customHeight="1" x14ac:dyDescent="0.25">
      <c r="C961" s="16"/>
      <c r="D961" s="16"/>
      <c r="E961" s="64"/>
      <c r="F961" s="64"/>
      <c r="G961" s="16"/>
      <c r="H961" s="16"/>
      <c r="I961" s="16"/>
    </row>
    <row r="962" spans="3:9" ht="13.5" customHeight="1" x14ac:dyDescent="0.25">
      <c r="C962" s="35"/>
      <c r="D962" s="35"/>
      <c r="E962" s="65"/>
      <c r="F962" s="69"/>
      <c r="G962" s="35"/>
      <c r="H962" s="35"/>
      <c r="I962" s="35"/>
    </row>
    <row r="963" spans="3:9" ht="13.5" customHeight="1" x14ac:dyDescent="0.25">
      <c r="C963" s="16"/>
      <c r="D963" s="16"/>
      <c r="E963" s="64"/>
      <c r="F963" s="64"/>
      <c r="G963" s="16"/>
      <c r="H963" s="16"/>
      <c r="I963" s="16"/>
    </row>
    <row r="964" spans="3:9" ht="13.5" customHeight="1" x14ac:dyDescent="0.25">
      <c r="C964" s="35"/>
      <c r="D964" s="35"/>
      <c r="E964" s="65"/>
      <c r="F964" s="69"/>
      <c r="G964" s="35"/>
      <c r="H964" s="35"/>
      <c r="I964" s="35"/>
    </row>
    <row r="965" spans="3:9" ht="13.5" customHeight="1" x14ac:dyDescent="0.25">
      <c r="C965" s="16"/>
      <c r="D965" s="16"/>
      <c r="E965" s="64"/>
      <c r="F965" s="64"/>
      <c r="G965" s="16"/>
      <c r="H965" s="16"/>
      <c r="I965" s="16"/>
    </row>
    <row r="966" spans="3:9" ht="13.5" customHeight="1" x14ac:dyDescent="0.25">
      <c r="C966" s="35"/>
      <c r="D966" s="35"/>
      <c r="E966" s="65"/>
      <c r="F966" s="69"/>
      <c r="G966" s="35"/>
      <c r="H966" s="35"/>
      <c r="I966" s="35"/>
    </row>
    <row r="967" spans="3:9" ht="13.5" customHeight="1" x14ac:dyDescent="0.25">
      <c r="C967" s="16"/>
      <c r="D967" s="16"/>
      <c r="E967" s="64"/>
      <c r="F967" s="64"/>
      <c r="G967" s="16"/>
      <c r="H967" s="16"/>
      <c r="I967" s="16"/>
    </row>
    <row r="968" spans="3:9" ht="13.5" customHeight="1" x14ac:dyDescent="0.25">
      <c r="C968" s="35"/>
      <c r="D968" s="35"/>
      <c r="E968" s="65"/>
      <c r="F968" s="69"/>
      <c r="G968" s="35"/>
      <c r="H968" s="35"/>
      <c r="I968" s="35"/>
    </row>
    <row r="969" spans="3:9" ht="13.5" customHeight="1" x14ac:dyDescent="0.25">
      <c r="C969" s="16"/>
      <c r="D969" s="16"/>
      <c r="E969" s="64"/>
      <c r="F969" s="64"/>
      <c r="G969" s="16"/>
      <c r="H969" s="16"/>
      <c r="I969" s="16"/>
    </row>
    <row r="970" spans="3:9" ht="13.5" customHeight="1" x14ac:dyDescent="0.25">
      <c r="C970" s="35"/>
      <c r="D970" s="35"/>
      <c r="E970" s="65"/>
      <c r="F970" s="69"/>
      <c r="G970" s="35"/>
      <c r="H970" s="35"/>
      <c r="I970" s="35"/>
    </row>
    <row r="971" spans="3:9" ht="13.5" customHeight="1" x14ac:dyDescent="0.25">
      <c r="C971" s="16"/>
      <c r="D971" s="16"/>
      <c r="E971" s="64"/>
      <c r="F971" s="64"/>
      <c r="G971" s="16"/>
      <c r="H971" s="16"/>
      <c r="I971" s="16"/>
    </row>
    <row r="972" spans="3:9" ht="13.5" customHeight="1" x14ac:dyDescent="0.25">
      <c r="C972" s="35"/>
      <c r="D972" s="35"/>
      <c r="E972" s="65"/>
      <c r="F972" s="69"/>
      <c r="G972" s="35"/>
      <c r="H972" s="35"/>
      <c r="I972" s="35"/>
    </row>
    <row r="973" spans="3:9" ht="13.5" customHeight="1" x14ac:dyDescent="0.25">
      <c r="C973" s="16"/>
      <c r="D973" s="16"/>
      <c r="E973" s="64"/>
      <c r="F973" s="64"/>
      <c r="G973" s="16"/>
      <c r="H973" s="16"/>
      <c r="I973" s="16"/>
    </row>
    <row r="974" spans="3:9" ht="13.5" customHeight="1" x14ac:dyDescent="0.25">
      <c r="C974" s="35"/>
      <c r="D974" s="35"/>
      <c r="E974" s="65"/>
      <c r="F974" s="69"/>
      <c r="G974" s="35"/>
      <c r="H974" s="35"/>
      <c r="I974" s="35"/>
    </row>
    <row r="975" spans="3:9" ht="13.5" customHeight="1" x14ac:dyDescent="0.25">
      <c r="C975" s="16"/>
      <c r="D975" s="16"/>
      <c r="E975" s="64"/>
      <c r="F975" s="64"/>
      <c r="G975" s="16"/>
      <c r="H975" s="16"/>
      <c r="I975" s="16"/>
    </row>
    <row r="976" spans="3:9" ht="13.5" customHeight="1" x14ac:dyDescent="0.25">
      <c r="C976" s="35"/>
      <c r="D976" s="35"/>
      <c r="E976" s="65"/>
      <c r="F976" s="69"/>
      <c r="G976" s="35"/>
      <c r="H976" s="35"/>
      <c r="I976" s="35"/>
    </row>
    <row r="977" spans="3:9" ht="13.5" customHeight="1" x14ac:dyDescent="0.25">
      <c r="C977" s="16"/>
      <c r="D977" s="16"/>
      <c r="E977" s="64"/>
      <c r="F977" s="64"/>
      <c r="G977" s="16"/>
      <c r="H977" s="16"/>
      <c r="I977" s="16"/>
    </row>
    <row r="978" spans="3:9" ht="13.5" customHeight="1" x14ac:dyDescent="0.25">
      <c r="C978" s="35"/>
      <c r="D978" s="35"/>
      <c r="E978" s="65"/>
      <c r="F978" s="69"/>
      <c r="G978" s="35"/>
      <c r="H978" s="35"/>
      <c r="I978" s="35"/>
    </row>
    <row r="979" spans="3:9" ht="13.5" customHeight="1" x14ac:dyDescent="0.25">
      <c r="C979" s="16"/>
      <c r="D979" s="16"/>
      <c r="E979" s="64"/>
      <c r="F979" s="64"/>
      <c r="G979" s="16"/>
      <c r="H979" s="16"/>
      <c r="I979" s="16"/>
    </row>
    <row r="980" spans="3:9" ht="13.5" customHeight="1" x14ac:dyDescent="0.25">
      <c r="C980" s="35"/>
      <c r="D980" s="35"/>
      <c r="E980" s="65"/>
      <c r="F980" s="69"/>
      <c r="G980" s="35"/>
      <c r="H980" s="35"/>
      <c r="I980" s="35"/>
    </row>
    <row r="981" spans="3:9" ht="13.5" customHeight="1" x14ac:dyDescent="0.25">
      <c r="C981" s="16"/>
      <c r="D981" s="16"/>
      <c r="E981" s="64"/>
      <c r="F981" s="64"/>
      <c r="G981" s="16"/>
      <c r="H981" s="16"/>
      <c r="I981" s="16"/>
    </row>
    <row r="982" spans="3:9" ht="13.5" customHeight="1" x14ac:dyDescent="0.25">
      <c r="C982" s="35"/>
      <c r="D982" s="35"/>
      <c r="E982" s="65"/>
      <c r="F982" s="69"/>
      <c r="G982" s="35"/>
      <c r="H982" s="35"/>
      <c r="I982" s="35"/>
    </row>
    <row r="983" spans="3:9" ht="13.5" customHeight="1" x14ac:dyDescent="0.25">
      <c r="C983" s="16"/>
      <c r="D983" s="16"/>
      <c r="E983" s="64"/>
      <c r="F983" s="64"/>
      <c r="G983" s="16"/>
      <c r="H983" s="16"/>
      <c r="I983" s="16"/>
    </row>
    <row r="984" spans="3:9" ht="13.5" customHeight="1" x14ac:dyDescent="0.25">
      <c r="C984" s="35"/>
      <c r="D984" s="35"/>
      <c r="E984" s="65"/>
      <c r="F984" s="69"/>
      <c r="G984" s="35"/>
      <c r="H984" s="35"/>
      <c r="I984" s="35"/>
    </row>
    <row r="985" spans="3:9" ht="13.5" customHeight="1" x14ac:dyDescent="0.25">
      <c r="C985" s="16"/>
      <c r="D985" s="16"/>
      <c r="E985" s="64"/>
      <c r="F985" s="64"/>
      <c r="G985" s="16"/>
      <c r="H985" s="16"/>
      <c r="I985" s="16"/>
    </row>
    <row r="986" spans="3:9" ht="13.5" customHeight="1" x14ac:dyDescent="0.25">
      <c r="C986" s="35"/>
      <c r="D986" s="35"/>
      <c r="E986" s="65"/>
      <c r="F986" s="69"/>
      <c r="G986" s="35"/>
      <c r="H986" s="35"/>
      <c r="I986" s="35"/>
    </row>
    <row r="987" spans="3:9" ht="13.5" customHeight="1" x14ac:dyDescent="0.25">
      <c r="C987" s="16"/>
      <c r="D987" s="16"/>
      <c r="E987" s="64"/>
      <c r="F987" s="64"/>
      <c r="G987" s="16"/>
      <c r="H987" s="16"/>
      <c r="I987" s="16"/>
    </row>
    <row r="988" spans="3:9" ht="13.5" customHeight="1" x14ac:dyDescent="0.25">
      <c r="C988" s="35"/>
      <c r="D988" s="35"/>
      <c r="E988" s="65"/>
      <c r="F988" s="69"/>
      <c r="G988" s="35"/>
      <c r="H988" s="35"/>
      <c r="I988" s="35"/>
    </row>
    <row r="989" spans="3:9" ht="13.5" customHeight="1" x14ac:dyDescent="0.25">
      <c r="C989" s="16"/>
      <c r="D989" s="16"/>
      <c r="E989" s="64"/>
      <c r="F989" s="64"/>
      <c r="G989" s="16"/>
      <c r="H989" s="16"/>
      <c r="I989" s="16"/>
    </row>
    <row r="990" spans="3:9" ht="13.5" customHeight="1" x14ac:dyDescent="0.25">
      <c r="C990" s="35"/>
      <c r="D990" s="35"/>
      <c r="E990" s="65"/>
      <c r="F990" s="69"/>
      <c r="G990" s="35"/>
      <c r="H990" s="35"/>
      <c r="I990" s="35"/>
    </row>
    <row r="991" spans="3:9" ht="13.5" customHeight="1" x14ac:dyDescent="0.25">
      <c r="C991" s="16"/>
      <c r="D991" s="16"/>
      <c r="E991" s="64"/>
      <c r="F991" s="64"/>
      <c r="G991" s="16"/>
      <c r="H991" s="16"/>
      <c r="I991" s="16"/>
    </row>
    <row r="992" spans="3:9" ht="13.5" customHeight="1" x14ac:dyDescent="0.25">
      <c r="C992" s="35"/>
      <c r="D992" s="35"/>
      <c r="E992" s="65"/>
      <c r="F992" s="69"/>
      <c r="G992" s="35"/>
      <c r="H992" s="35"/>
      <c r="I992" s="35"/>
    </row>
    <row r="993" spans="3:9" ht="13.5" customHeight="1" x14ac:dyDescent="0.25">
      <c r="C993" s="16"/>
      <c r="D993" s="16"/>
      <c r="E993" s="64"/>
      <c r="F993" s="64"/>
      <c r="G993" s="16"/>
      <c r="H993" s="16"/>
      <c r="I993" s="16"/>
    </row>
    <row r="994" spans="3:9" ht="13.5" customHeight="1" x14ac:dyDescent="0.25">
      <c r="C994" s="35"/>
      <c r="D994" s="35"/>
      <c r="E994" s="65"/>
      <c r="F994" s="69"/>
      <c r="G994" s="35"/>
      <c r="H994" s="35"/>
      <c r="I994" s="35"/>
    </row>
    <row r="995" spans="3:9" ht="13.5" customHeight="1" x14ac:dyDescent="0.25">
      <c r="C995" s="16"/>
      <c r="D995" s="16"/>
      <c r="E995" s="64"/>
      <c r="F995" s="64"/>
      <c r="G995" s="16"/>
      <c r="H995" s="16"/>
      <c r="I995" s="16"/>
    </row>
    <row r="996" spans="3:9" ht="13.5" customHeight="1" x14ac:dyDescent="0.25">
      <c r="C996" s="35"/>
      <c r="D996" s="35"/>
      <c r="E996" s="65"/>
      <c r="F996" s="69"/>
      <c r="G996" s="35"/>
      <c r="H996" s="35"/>
      <c r="I996" s="35"/>
    </row>
    <row r="997" spans="3:9" ht="13.5" customHeight="1" x14ac:dyDescent="0.25">
      <c r="C997" s="16"/>
      <c r="D997" s="16"/>
      <c r="E997" s="64"/>
      <c r="F997" s="64"/>
      <c r="G997" s="16"/>
      <c r="H997" s="16"/>
      <c r="I997" s="16"/>
    </row>
    <row r="998" spans="3:9" ht="13.5" customHeight="1" x14ac:dyDescent="0.25">
      <c r="C998" s="35"/>
      <c r="D998" s="35"/>
      <c r="E998" s="65"/>
      <c r="F998" s="69"/>
      <c r="G998" s="35"/>
      <c r="H998" s="35"/>
      <c r="I998" s="35"/>
    </row>
    <row r="999" spans="3:9" ht="13.5" customHeight="1" x14ac:dyDescent="0.25">
      <c r="C999" s="16"/>
      <c r="D999" s="16"/>
      <c r="E999" s="64"/>
      <c r="F999" s="64"/>
      <c r="G999" s="16"/>
      <c r="H999" s="16"/>
      <c r="I999" s="16"/>
    </row>
    <row r="1000" spans="3:9" ht="13.5" customHeight="1" x14ac:dyDescent="0.25">
      <c r="C1000" s="35"/>
      <c r="D1000" s="35"/>
      <c r="E1000" s="65"/>
      <c r="F1000" s="69"/>
      <c r="G1000" s="35"/>
      <c r="H1000" s="35"/>
      <c r="I1000" s="35"/>
    </row>
    <row r="1001" spans="3:9" ht="13.5" customHeight="1" x14ac:dyDescent="0.25">
      <c r="C1001" s="16"/>
      <c r="D1001" s="16"/>
      <c r="E1001" s="64"/>
      <c r="F1001" s="64"/>
      <c r="G1001" s="16"/>
      <c r="H1001" s="16"/>
      <c r="I1001" s="16"/>
    </row>
    <row r="1002" spans="3:9" ht="13.5" customHeight="1" x14ac:dyDescent="0.25">
      <c r="C1002" s="35"/>
      <c r="D1002" s="35"/>
      <c r="E1002" s="65"/>
      <c r="F1002" s="69"/>
      <c r="G1002" s="35"/>
      <c r="H1002" s="35"/>
      <c r="I1002" s="35"/>
    </row>
    <row r="1003" spans="3:9" ht="13.5" customHeight="1" x14ac:dyDescent="0.25">
      <c r="C1003" s="16"/>
      <c r="D1003" s="16"/>
      <c r="E1003" s="64"/>
      <c r="F1003" s="64"/>
      <c r="G1003" s="16"/>
      <c r="H1003" s="16"/>
      <c r="I1003" s="16"/>
    </row>
    <row r="1004" spans="3:9" ht="13.5" customHeight="1" x14ac:dyDescent="0.25">
      <c r="C1004" s="35"/>
      <c r="D1004" s="35"/>
      <c r="E1004" s="65"/>
      <c r="F1004" s="69"/>
      <c r="G1004" s="35"/>
      <c r="H1004" s="35"/>
      <c r="I1004" s="35"/>
    </row>
    <row r="1005" spans="3:9" ht="13.5" customHeight="1" x14ac:dyDescent="0.25">
      <c r="C1005" s="16"/>
      <c r="D1005" s="16"/>
      <c r="E1005" s="64"/>
      <c r="F1005" s="64"/>
      <c r="G1005" s="16"/>
      <c r="H1005" s="16"/>
      <c r="I1005" s="16"/>
    </row>
    <row r="1006" spans="3:9" ht="13.5" customHeight="1" x14ac:dyDescent="0.25">
      <c r="C1006" s="35"/>
      <c r="D1006" s="35"/>
      <c r="E1006" s="65"/>
      <c r="F1006" s="69"/>
      <c r="G1006" s="35"/>
      <c r="H1006" s="35"/>
      <c r="I1006" s="35"/>
    </row>
    <row r="1007" spans="3:9" ht="13.5" customHeight="1" x14ac:dyDescent="0.25">
      <c r="C1007" s="16"/>
      <c r="D1007" s="16"/>
      <c r="E1007" s="64"/>
      <c r="F1007" s="64"/>
      <c r="G1007" s="16"/>
      <c r="H1007" s="16"/>
      <c r="I1007" s="16"/>
    </row>
    <row r="1008" spans="3:9" ht="13.5" customHeight="1" x14ac:dyDescent="0.25">
      <c r="C1008" s="35"/>
      <c r="D1008" s="35"/>
      <c r="E1008" s="65"/>
      <c r="F1008" s="69"/>
      <c r="G1008" s="35"/>
      <c r="H1008" s="35"/>
      <c r="I1008" s="35"/>
    </row>
    <row r="1009" spans="3:9" ht="13.5" customHeight="1" x14ac:dyDescent="0.25">
      <c r="C1009" s="16"/>
      <c r="D1009" s="16"/>
      <c r="E1009" s="64"/>
      <c r="F1009" s="64"/>
      <c r="G1009" s="16"/>
      <c r="H1009" s="16"/>
      <c r="I1009" s="16"/>
    </row>
    <row r="1010" spans="3:9" ht="13.5" customHeight="1" x14ac:dyDescent="0.25">
      <c r="C1010" s="35"/>
      <c r="D1010" s="35"/>
      <c r="E1010" s="65"/>
      <c r="F1010" s="69"/>
      <c r="G1010" s="35"/>
      <c r="H1010" s="35"/>
      <c r="I1010" s="35"/>
    </row>
    <row r="1011" spans="3:9" ht="13.5" customHeight="1" x14ac:dyDescent="0.25">
      <c r="C1011" s="16"/>
      <c r="D1011" s="16"/>
      <c r="E1011" s="64"/>
      <c r="F1011" s="64"/>
      <c r="G1011" s="16"/>
      <c r="H1011" s="16"/>
      <c r="I1011" s="16"/>
    </row>
    <row r="1012" spans="3:9" ht="13.5" customHeight="1" x14ac:dyDescent="0.25">
      <c r="C1012" s="35"/>
      <c r="D1012" s="35"/>
      <c r="E1012" s="65"/>
      <c r="F1012" s="69"/>
      <c r="G1012" s="35"/>
      <c r="H1012" s="35"/>
      <c r="I1012" s="35"/>
    </row>
    <row r="1013" spans="3:9" ht="13.5" customHeight="1" x14ac:dyDescent="0.25">
      <c r="C1013" s="16"/>
      <c r="D1013" s="16"/>
      <c r="E1013" s="64"/>
      <c r="F1013" s="64"/>
      <c r="G1013" s="16"/>
      <c r="H1013" s="16"/>
      <c r="I1013" s="16"/>
    </row>
    <row r="1014" spans="3:9" ht="13.5" customHeight="1" x14ac:dyDescent="0.25">
      <c r="C1014" s="35"/>
      <c r="D1014" s="35"/>
      <c r="E1014" s="65"/>
      <c r="F1014" s="69"/>
      <c r="G1014" s="35"/>
      <c r="H1014" s="35"/>
      <c r="I1014" s="35"/>
    </row>
    <row r="1015" spans="3:9" ht="13.5" customHeight="1" x14ac:dyDescent="0.25">
      <c r="C1015" s="16"/>
      <c r="D1015" s="16"/>
      <c r="E1015" s="64"/>
      <c r="F1015" s="64"/>
      <c r="G1015" s="16"/>
      <c r="H1015" s="16"/>
      <c r="I1015" s="16"/>
    </row>
    <row r="1016" spans="3:9" ht="13.5" customHeight="1" x14ac:dyDescent="0.25">
      <c r="C1016" s="35"/>
      <c r="D1016" s="35"/>
      <c r="E1016" s="65"/>
      <c r="F1016" s="69"/>
      <c r="G1016" s="35"/>
      <c r="H1016" s="35"/>
      <c r="I1016" s="35"/>
    </row>
    <row r="1017" spans="3:9" ht="13.5" customHeight="1" x14ac:dyDescent="0.25">
      <c r="C1017" s="16"/>
      <c r="D1017" s="16"/>
      <c r="E1017" s="64"/>
      <c r="F1017" s="64"/>
      <c r="G1017" s="16"/>
      <c r="H1017" s="16"/>
      <c r="I1017" s="16"/>
    </row>
    <row r="1018" spans="3:9" ht="13.5" customHeight="1" x14ac:dyDescent="0.25">
      <c r="C1018" s="35"/>
      <c r="D1018" s="35"/>
      <c r="E1018" s="65"/>
      <c r="F1018" s="69"/>
      <c r="G1018" s="35"/>
      <c r="H1018" s="35"/>
      <c r="I1018" s="35"/>
    </row>
    <row r="1019" spans="3:9" ht="13.5" customHeight="1" x14ac:dyDescent="0.25">
      <c r="C1019" s="16"/>
      <c r="D1019" s="16"/>
      <c r="E1019" s="64"/>
      <c r="F1019" s="64"/>
      <c r="G1019" s="16"/>
      <c r="H1019" s="16"/>
      <c r="I1019" s="16"/>
    </row>
    <row r="1020" spans="3:9" ht="13.5" customHeight="1" x14ac:dyDescent="0.25">
      <c r="C1020" s="35"/>
      <c r="D1020" s="35"/>
      <c r="E1020" s="65"/>
      <c r="F1020" s="69"/>
      <c r="G1020" s="35"/>
      <c r="H1020" s="35"/>
      <c r="I1020" s="35"/>
    </row>
    <row r="1021" spans="3:9" ht="13.5" customHeight="1" x14ac:dyDescent="0.25">
      <c r="C1021" s="16"/>
      <c r="D1021" s="16"/>
      <c r="E1021" s="64"/>
      <c r="F1021" s="64"/>
      <c r="G1021" s="16"/>
      <c r="H1021" s="16"/>
      <c r="I1021" s="16"/>
    </row>
    <row r="1022" spans="3:9" ht="13.5" customHeight="1" x14ac:dyDescent="0.25">
      <c r="C1022" s="35"/>
      <c r="D1022" s="35"/>
      <c r="E1022" s="65"/>
      <c r="F1022" s="69"/>
      <c r="G1022" s="35"/>
      <c r="H1022" s="35"/>
      <c r="I1022" s="35"/>
    </row>
    <row r="1023" spans="3:9" ht="13.5" customHeight="1" x14ac:dyDescent="0.25">
      <c r="C1023" s="16"/>
      <c r="D1023" s="16"/>
      <c r="E1023" s="64"/>
      <c r="F1023" s="64"/>
      <c r="G1023" s="16"/>
      <c r="H1023" s="16"/>
      <c r="I1023" s="16"/>
    </row>
    <row r="1024" spans="3:9" ht="13.5" customHeight="1" x14ac:dyDescent="0.25">
      <c r="C1024" s="35"/>
      <c r="D1024" s="35"/>
      <c r="E1024" s="65"/>
      <c r="F1024" s="69"/>
      <c r="G1024" s="35"/>
      <c r="H1024" s="35"/>
      <c r="I1024" s="35"/>
    </row>
    <row r="1025" spans="3:9" ht="13.5" customHeight="1" x14ac:dyDescent="0.25">
      <c r="C1025" s="16"/>
      <c r="D1025" s="16"/>
      <c r="E1025" s="64"/>
      <c r="F1025" s="64"/>
      <c r="G1025" s="16"/>
      <c r="H1025" s="16"/>
      <c r="I1025" s="16"/>
    </row>
    <row r="1026" spans="3:9" ht="13.5" customHeight="1" x14ac:dyDescent="0.25">
      <c r="C1026" s="35"/>
      <c r="D1026" s="35"/>
      <c r="E1026" s="65"/>
      <c r="F1026" s="69"/>
      <c r="G1026" s="35"/>
      <c r="H1026" s="35"/>
      <c r="I1026" s="35"/>
    </row>
    <row r="1027" spans="3:9" ht="13.5" customHeight="1" x14ac:dyDescent="0.25">
      <c r="C1027" s="16"/>
      <c r="D1027" s="16"/>
      <c r="E1027" s="64"/>
      <c r="F1027" s="64"/>
      <c r="G1027" s="16"/>
      <c r="H1027" s="16"/>
      <c r="I1027" s="16"/>
    </row>
    <row r="1028" spans="3:9" ht="13.5" customHeight="1" x14ac:dyDescent="0.25">
      <c r="C1028" s="35"/>
      <c r="D1028" s="35"/>
      <c r="E1028" s="65"/>
      <c r="F1028" s="69"/>
      <c r="G1028" s="35"/>
      <c r="H1028" s="35"/>
      <c r="I1028" s="35"/>
    </row>
    <row r="1029" spans="3:9" ht="13.5" customHeight="1" x14ac:dyDescent="0.25">
      <c r="C1029" s="16"/>
      <c r="D1029" s="16"/>
      <c r="E1029" s="64"/>
      <c r="F1029" s="64"/>
      <c r="G1029" s="16"/>
      <c r="H1029" s="16"/>
      <c r="I1029" s="16"/>
    </row>
    <row r="1030" spans="3:9" ht="13.5" customHeight="1" x14ac:dyDescent="0.25">
      <c r="C1030" s="35"/>
      <c r="D1030" s="35"/>
      <c r="E1030" s="65"/>
      <c r="F1030" s="69"/>
      <c r="G1030" s="35"/>
      <c r="H1030" s="35"/>
      <c r="I1030" s="35"/>
    </row>
    <row r="1031" spans="3:9" ht="13.5" customHeight="1" x14ac:dyDescent="0.25">
      <c r="C1031" s="16"/>
      <c r="D1031" s="16"/>
      <c r="E1031" s="64"/>
      <c r="F1031" s="64"/>
      <c r="G1031" s="16"/>
      <c r="H1031" s="16"/>
      <c r="I1031" s="16"/>
    </row>
    <row r="1032" spans="3:9" ht="13.5" customHeight="1" x14ac:dyDescent="0.25">
      <c r="C1032" s="35"/>
      <c r="D1032" s="35"/>
      <c r="E1032" s="65"/>
      <c r="F1032" s="69"/>
      <c r="G1032" s="35"/>
      <c r="H1032" s="35"/>
      <c r="I1032" s="35"/>
    </row>
    <row r="1033" spans="3:9" ht="13.5" customHeight="1" x14ac:dyDescent="0.25">
      <c r="C1033" s="16"/>
      <c r="D1033" s="16"/>
      <c r="E1033" s="64"/>
      <c r="F1033" s="64"/>
      <c r="G1033" s="16"/>
      <c r="H1033" s="16"/>
      <c r="I1033" s="16"/>
    </row>
    <row r="1034" spans="3:9" ht="13.5" customHeight="1" x14ac:dyDescent="0.25">
      <c r="C1034" s="35"/>
      <c r="D1034" s="35"/>
      <c r="E1034" s="65"/>
      <c r="F1034" s="69"/>
      <c r="G1034" s="35"/>
      <c r="H1034" s="35"/>
      <c r="I1034" s="35"/>
    </row>
    <row r="1035" spans="3:9" ht="13.5" customHeight="1" x14ac:dyDescent="0.25">
      <c r="C1035" s="16"/>
      <c r="D1035" s="16"/>
      <c r="E1035" s="64"/>
      <c r="F1035" s="64"/>
      <c r="G1035" s="16"/>
      <c r="H1035" s="16"/>
      <c r="I1035" s="16"/>
    </row>
    <row r="1036" spans="3:9" ht="13.5" customHeight="1" x14ac:dyDescent="0.25">
      <c r="C1036" s="35"/>
      <c r="D1036" s="35"/>
      <c r="E1036" s="65"/>
      <c r="F1036" s="69"/>
      <c r="G1036" s="35"/>
      <c r="H1036" s="35"/>
      <c r="I1036" s="35"/>
    </row>
    <row r="1037" spans="3:9" ht="13.5" customHeight="1" x14ac:dyDescent="0.25">
      <c r="C1037" s="16"/>
      <c r="D1037" s="16"/>
      <c r="E1037" s="64"/>
      <c r="F1037" s="64"/>
      <c r="G1037" s="16"/>
      <c r="H1037" s="16"/>
      <c r="I1037" s="16"/>
    </row>
    <row r="1038" spans="3:9" ht="13.5" customHeight="1" x14ac:dyDescent="0.25">
      <c r="C1038" s="35"/>
      <c r="D1038" s="35"/>
      <c r="E1038" s="65"/>
      <c r="F1038" s="69"/>
      <c r="G1038" s="35"/>
      <c r="H1038" s="35"/>
      <c r="I1038" s="35"/>
    </row>
    <row r="1039" spans="3:9" ht="13.5" customHeight="1" x14ac:dyDescent="0.25">
      <c r="C1039" s="16"/>
      <c r="D1039" s="16"/>
      <c r="E1039" s="64"/>
      <c r="F1039" s="64"/>
      <c r="G1039" s="16"/>
      <c r="H1039" s="16"/>
      <c r="I1039" s="16"/>
    </row>
    <row r="1040" spans="3:9" ht="13.5" customHeight="1" x14ac:dyDescent="0.25">
      <c r="C1040" s="35"/>
      <c r="D1040" s="35"/>
      <c r="E1040" s="65"/>
      <c r="F1040" s="69"/>
      <c r="G1040" s="35"/>
      <c r="H1040" s="35"/>
      <c r="I1040" s="35"/>
    </row>
    <row r="1041" spans="3:9" ht="13.5" customHeight="1" x14ac:dyDescent="0.25">
      <c r="C1041" s="16"/>
      <c r="D1041" s="16"/>
      <c r="E1041" s="64"/>
      <c r="F1041" s="64"/>
      <c r="G1041" s="16"/>
      <c r="H1041" s="16"/>
      <c r="I1041" s="16"/>
    </row>
    <row r="1042" spans="3:9" ht="13.5" customHeight="1" x14ac:dyDescent="0.25">
      <c r="C1042" s="35"/>
      <c r="D1042" s="35"/>
      <c r="E1042" s="65"/>
      <c r="F1042" s="69"/>
      <c r="G1042" s="35"/>
      <c r="H1042" s="35"/>
      <c r="I1042" s="35"/>
    </row>
    <row r="1043" spans="3:9" ht="13.5" customHeight="1" x14ac:dyDescent="0.25">
      <c r="C1043" s="16"/>
      <c r="D1043" s="16"/>
      <c r="E1043" s="64"/>
      <c r="F1043" s="64"/>
      <c r="G1043" s="16"/>
      <c r="H1043" s="16"/>
      <c r="I1043" s="16"/>
    </row>
    <row r="1044" spans="3:9" ht="13.5" customHeight="1" x14ac:dyDescent="0.25">
      <c r="C1044" s="35"/>
      <c r="D1044" s="35"/>
      <c r="E1044" s="65"/>
      <c r="F1044" s="69"/>
      <c r="G1044" s="35"/>
      <c r="H1044" s="35"/>
      <c r="I1044" s="35"/>
    </row>
    <row r="1045" spans="3:9" ht="13.5" customHeight="1" x14ac:dyDescent="0.25">
      <c r="C1045" s="16"/>
      <c r="D1045" s="16"/>
      <c r="E1045" s="64"/>
      <c r="F1045" s="64"/>
      <c r="G1045" s="16"/>
      <c r="H1045" s="16"/>
      <c r="I1045" s="16"/>
    </row>
    <row r="1046" spans="3:9" ht="13.5" customHeight="1" x14ac:dyDescent="0.25">
      <c r="C1046" s="35"/>
      <c r="D1046" s="35"/>
      <c r="E1046" s="65"/>
      <c r="F1046" s="69"/>
      <c r="G1046" s="35"/>
      <c r="H1046" s="35"/>
      <c r="I1046" s="35"/>
    </row>
    <row r="1047" spans="3:9" ht="13.5" customHeight="1" x14ac:dyDescent="0.25">
      <c r="C1047" s="16"/>
      <c r="D1047" s="16"/>
      <c r="E1047" s="64"/>
      <c r="F1047" s="64"/>
      <c r="G1047" s="16"/>
      <c r="H1047" s="16"/>
      <c r="I1047" s="16"/>
    </row>
    <row r="1048" spans="3:9" ht="13.5" customHeight="1" x14ac:dyDescent="0.25">
      <c r="C1048" s="35"/>
      <c r="D1048" s="35"/>
      <c r="E1048" s="65"/>
      <c r="F1048" s="69"/>
      <c r="G1048" s="35"/>
      <c r="H1048" s="35"/>
      <c r="I1048" s="35"/>
    </row>
    <row r="1049" spans="3:9" ht="13.5" customHeight="1" x14ac:dyDescent="0.25">
      <c r="C1049" s="16"/>
      <c r="D1049" s="16"/>
      <c r="E1049" s="64"/>
      <c r="F1049" s="64"/>
      <c r="G1049" s="16"/>
      <c r="H1049" s="16"/>
      <c r="I1049" s="16"/>
    </row>
    <row r="1050" spans="3:9" ht="13.5" customHeight="1" x14ac:dyDescent="0.25">
      <c r="C1050" s="35"/>
      <c r="D1050" s="35"/>
      <c r="E1050" s="65"/>
      <c r="F1050" s="69"/>
      <c r="G1050" s="35"/>
      <c r="H1050" s="35"/>
      <c r="I1050" s="35"/>
    </row>
    <row r="1051" spans="3:9" ht="13.5" customHeight="1" x14ac:dyDescent="0.25">
      <c r="C1051" s="16"/>
      <c r="D1051" s="16"/>
      <c r="E1051" s="64"/>
      <c r="F1051" s="64"/>
      <c r="G1051" s="16"/>
      <c r="H1051" s="16"/>
      <c r="I1051" s="16"/>
    </row>
    <row r="1052" spans="3:9" ht="13.5" customHeight="1" x14ac:dyDescent="0.25">
      <c r="C1052" s="35"/>
      <c r="D1052" s="35"/>
      <c r="E1052" s="65"/>
      <c r="F1052" s="69"/>
      <c r="G1052" s="35"/>
      <c r="H1052" s="35"/>
      <c r="I1052" s="35"/>
    </row>
    <row r="1053" spans="3:9" ht="13.5" customHeight="1" x14ac:dyDescent="0.25">
      <c r="C1053" s="16"/>
      <c r="D1053" s="16"/>
      <c r="E1053" s="64"/>
      <c r="F1053" s="64"/>
      <c r="G1053" s="16"/>
      <c r="H1053" s="16"/>
      <c r="I1053" s="16"/>
    </row>
    <row r="1054" spans="3:9" ht="13.5" customHeight="1" x14ac:dyDescent="0.25">
      <c r="C1054" s="35"/>
      <c r="D1054" s="35"/>
      <c r="E1054" s="65"/>
      <c r="F1054" s="69"/>
      <c r="G1054" s="35"/>
      <c r="H1054" s="35"/>
      <c r="I1054" s="35"/>
    </row>
    <row r="1055" spans="3:9" ht="13.5" customHeight="1" x14ac:dyDescent="0.25">
      <c r="C1055" s="16"/>
      <c r="D1055" s="16"/>
      <c r="E1055" s="64"/>
      <c r="F1055" s="64"/>
      <c r="G1055" s="16"/>
      <c r="H1055" s="16"/>
      <c r="I1055" s="16"/>
    </row>
    <row r="1056" spans="3:9" ht="13.5" customHeight="1" x14ac:dyDescent="0.25">
      <c r="C1056" s="35"/>
      <c r="D1056" s="35"/>
      <c r="E1056" s="65"/>
      <c r="F1056" s="69"/>
      <c r="G1056" s="35"/>
      <c r="H1056" s="35"/>
      <c r="I1056" s="35"/>
    </row>
    <row r="1057" spans="3:9" ht="13.5" customHeight="1" x14ac:dyDescent="0.25">
      <c r="C1057" s="16"/>
      <c r="D1057" s="16"/>
      <c r="E1057" s="64"/>
      <c r="F1057" s="64"/>
      <c r="G1057" s="16"/>
      <c r="H1057" s="16"/>
      <c r="I1057" s="16"/>
    </row>
    <row r="1058" spans="3:9" ht="13.5" customHeight="1" x14ac:dyDescent="0.25">
      <c r="C1058" s="35"/>
      <c r="D1058" s="35"/>
      <c r="E1058" s="65"/>
      <c r="F1058" s="69"/>
      <c r="G1058" s="35"/>
      <c r="H1058" s="35"/>
      <c r="I1058" s="35"/>
    </row>
    <row r="1059" spans="3:9" ht="13.5" customHeight="1" x14ac:dyDescent="0.25">
      <c r="C1059" s="16"/>
      <c r="D1059" s="16"/>
      <c r="E1059" s="64"/>
      <c r="F1059" s="64"/>
      <c r="G1059" s="16"/>
      <c r="H1059" s="16"/>
      <c r="I1059" s="16"/>
    </row>
    <row r="1060" spans="3:9" ht="13.5" customHeight="1" x14ac:dyDescent="0.25">
      <c r="C1060" s="35"/>
      <c r="D1060" s="35"/>
      <c r="E1060" s="65"/>
      <c r="F1060" s="69"/>
      <c r="G1060" s="35"/>
      <c r="H1060" s="35"/>
      <c r="I1060" s="35"/>
    </row>
    <row r="1061" spans="3:9" ht="13.5" customHeight="1" x14ac:dyDescent="0.25">
      <c r="C1061" s="16"/>
      <c r="D1061" s="16"/>
      <c r="E1061" s="64"/>
      <c r="F1061" s="64"/>
      <c r="G1061" s="16"/>
      <c r="H1061" s="16"/>
      <c r="I1061" s="16"/>
    </row>
    <row r="1062" spans="3:9" ht="13.5" customHeight="1" x14ac:dyDescent="0.25">
      <c r="C1062" s="35"/>
      <c r="D1062" s="35"/>
      <c r="E1062" s="65"/>
      <c r="F1062" s="69"/>
      <c r="G1062" s="35"/>
      <c r="H1062" s="35"/>
      <c r="I1062" s="35"/>
    </row>
    <row r="1063" spans="3:9" ht="13.5" customHeight="1" x14ac:dyDescent="0.25">
      <c r="C1063" s="16"/>
      <c r="D1063" s="16"/>
      <c r="E1063" s="64"/>
      <c r="F1063" s="64"/>
      <c r="G1063" s="16"/>
      <c r="H1063" s="16"/>
      <c r="I1063" s="16"/>
    </row>
    <row r="1064" spans="3:9" ht="13.5" customHeight="1" x14ac:dyDescent="0.25">
      <c r="C1064" s="35"/>
      <c r="D1064" s="35"/>
      <c r="E1064" s="65"/>
      <c r="F1064" s="69"/>
      <c r="G1064" s="35"/>
      <c r="H1064" s="35"/>
      <c r="I1064" s="35"/>
    </row>
    <row r="1065" spans="3:9" ht="13.5" customHeight="1" x14ac:dyDescent="0.25">
      <c r="C1065" s="16"/>
      <c r="D1065" s="16"/>
      <c r="E1065" s="64"/>
      <c r="F1065" s="64"/>
      <c r="G1065" s="16"/>
      <c r="H1065" s="16"/>
      <c r="I1065" s="16"/>
    </row>
    <row r="1066" spans="3:9" ht="13.5" customHeight="1" x14ac:dyDescent="0.25">
      <c r="C1066" s="35"/>
      <c r="D1066" s="35"/>
      <c r="E1066" s="65"/>
      <c r="F1066" s="69"/>
      <c r="G1066" s="35"/>
      <c r="H1066" s="35"/>
      <c r="I1066" s="35"/>
    </row>
    <row r="1067" spans="3:9" ht="13.5" customHeight="1" x14ac:dyDescent="0.25">
      <c r="C1067" s="16"/>
      <c r="D1067" s="16"/>
      <c r="E1067" s="64"/>
      <c r="F1067" s="64"/>
      <c r="G1067" s="16"/>
      <c r="H1067" s="16"/>
      <c r="I1067" s="16"/>
    </row>
    <row r="1068" spans="3:9" ht="13.5" customHeight="1" x14ac:dyDescent="0.25">
      <c r="C1068" s="35"/>
      <c r="D1068" s="35"/>
      <c r="E1068" s="65"/>
      <c r="F1068" s="69"/>
      <c r="G1068" s="35"/>
      <c r="H1068" s="35"/>
      <c r="I1068" s="35"/>
    </row>
    <row r="1069" spans="3:9" ht="13.5" customHeight="1" x14ac:dyDescent="0.25">
      <c r="C1069" s="16"/>
      <c r="D1069" s="16"/>
      <c r="E1069" s="64"/>
      <c r="F1069" s="64"/>
      <c r="G1069" s="16"/>
      <c r="H1069" s="16"/>
      <c r="I1069" s="16"/>
    </row>
    <row r="1070" spans="3:9" ht="13.5" customHeight="1" x14ac:dyDescent="0.25">
      <c r="C1070" s="35"/>
      <c r="D1070" s="35"/>
      <c r="E1070" s="65"/>
      <c r="F1070" s="69"/>
      <c r="G1070" s="35"/>
      <c r="H1070" s="35"/>
      <c r="I1070" s="35"/>
    </row>
    <row r="1071" spans="3:9" ht="13.5" customHeight="1" x14ac:dyDescent="0.25">
      <c r="C1071" s="16"/>
      <c r="D1071" s="16"/>
      <c r="E1071" s="64"/>
      <c r="F1071" s="64"/>
      <c r="G1071" s="16"/>
      <c r="H1071" s="16"/>
      <c r="I1071" s="16"/>
    </row>
    <row r="1072" spans="3:9" ht="13.5" customHeight="1" x14ac:dyDescent="0.25">
      <c r="C1072" s="35"/>
      <c r="D1072" s="35"/>
      <c r="E1072" s="65"/>
      <c r="F1072" s="69"/>
      <c r="G1072" s="35"/>
      <c r="H1072" s="35"/>
      <c r="I1072" s="35"/>
    </row>
    <row r="1073" spans="3:9" ht="13.5" customHeight="1" x14ac:dyDescent="0.25">
      <c r="C1073" s="16"/>
      <c r="D1073" s="16"/>
      <c r="E1073" s="64"/>
      <c r="F1073" s="64"/>
      <c r="G1073" s="16"/>
      <c r="H1073" s="16"/>
      <c r="I1073" s="16"/>
    </row>
    <row r="1074" spans="3:9" ht="13.5" customHeight="1" x14ac:dyDescent="0.25">
      <c r="C1074" s="35"/>
      <c r="D1074" s="35"/>
      <c r="E1074" s="65"/>
      <c r="F1074" s="69"/>
      <c r="G1074" s="35"/>
      <c r="H1074" s="35"/>
      <c r="I1074" s="35"/>
    </row>
    <row r="1075" spans="3:9" ht="13.5" customHeight="1" x14ac:dyDescent="0.25">
      <c r="C1075" s="16"/>
      <c r="D1075" s="16"/>
      <c r="E1075" s="64"/>
      <c r="F1075" s="64"/>
      <c r="G1075" s="16"/>
      <c r="H1075" s="16"/>
      <c r="I1075" s="16"/>
    </row>
    <row r="1076" spans="3:9" ht="13.5" customHeight="1" x14ac:dyDescent="0.25">
      <c r="C1076" s="35"/>
      <c r="D1076" s="35"/>
      <c r="E1076" s="65"/>
      <c r="F1076" s="69"/>
      <c r="G1076" s="35"/>
      <c r="H1076" s="35"/>
      <c r="I1076" s="35"/>
    </row>
    <row r="1077" spans="3:9" ht="13.5" customHeight="1" x14ac:dyDescent="0.25">
      <c r="C1077" s="16"/>
      <c r="D1077" s="16"/>
      <c r="E1077" s="64"/>
      <c r="F1077" s="64"/>
      <c r="G1077" s="16"/>
      <c r="H1077" s="16"/>
      <c r="I1077" s="16"/>
    </row>
    <row r="1078" spans="3:9" ht="13.5" customHeight="1" x14ac:dyDescent="0.25">
      <c r="C1078" s="35"/>
      <c r="D1078" s="35"/>
      <c r="E1078" s="65"/>
      <c r="F1078" s="69"/>
      <c r="G1078" s="35"/>
      <c r="H1078" s="35"/>
      <c r="I1078" s="35"/>
    </row>
    <row r="1079" spans="3:9" ht="13.5" customHeight="1" x14ac:dyDescent="0.25">
      <c r="C1079" s="16"/>
      <c r="D1079" s="16"/>
      <c r="E1079" s="64"/>
      <c r="F1079" s="64"/>
      <c r="G1079" s="16"/>
      <c r="H1079" s="16"/>
      <c r="I1079" s="16"/>
    </row>
    <row r="1080" spans="3:9" ht="13.5" customHeight="1" x14ac:dyDescent="0.25">
      <c r="C1080" s="35"/>
      <c r="D1080" s="35"/>
      <c r="E1080" s="65"/>
      <c r="F1080" s="69"/>
      <c r="G1080" s="35"/>
      <c r="H1080" s="35"/>
      <c r="I1080" s="35"/>
    </row>
    <row r="1081" spans="3:9" ht="13.5" customHeight="1" x14ac:dyDescent="0.25">
      <c r="C1081" s="16"/>
      <c r="D1081" s="16"/>
      <c r="E1081" s="64"/>
      <c r="F1081" s="64"/>
      <c r="G1081" s="16"/>
      <c r="H1081" s="16"/>
      <c r="I1081" s="16"/>
    </row>
    <row r="1082" spans="3:9" ht="13.5" customHeight="1" x14ac:dyDescent="0.25">
      <c r="C1082" s="35"/>
      <c r="D1082" s="35"/>
      <c r="E1082" s="65"/>
      <c r="F1082" s="69"/>
      <c r="G1082" s="35"/>
      <c r="H1082" s="35"/>
      <c r="I1082" s="35"/>
    </row>
    <row r="1083" spans="3:9" ht="13.5" customHeight="1" x14ac:dyDescent="0.25">
      <c r="C1083" s="16"/>
      <c r="D1083" s="16"/>
      <c r="E1083" s="64"/>
      <c r="F1083" s="64"/>
      <c r="G1083" s="16"/>
      <c r="H1083" s="16"/>
      <c r="I1083" s="16"/>
    </row>
    <row r="1084" spans="3:9" ht="13.5" customHeight="1" x14ac:dyDescent="0.25">
      <c r="C1084" s="35"/>
      <c r="D1084" s="35"/>
      <c r="E1084" s="65"/>
      <c r="F1084" s="69"/>
      <c r="G1084" s="35"/>
      <c r="H1084" s="35"/>
      <c r="I1084" s="35"/>
    </row>
    <row r="1085" spans="3:9" ht="13.5" customHeight="1" x14ac:dyDescent="0.25">
      <c r="C1085" s="16"/>
      <c r="D1085" s="16"/>
      <c r="E1085" s="64"/>
      <c r="F1085" s="64"/>
      <c r="G1085" s="16"/>
      <c r="H1085" s="16"/>
      <c r="I1085" s="16"/>
    </row>
    <row r="1086" spans="3:9" ht="13.5" customHeight="1" x14ac:dyDescent="0.25">
      <c r="C1086" s="35"/>
      <c r="D1086" s="35"/>
      <c r="E1086" s="65"/>
      <c r="F1086" s="69"/>
      <c r="G1086" s="35"/>
      <c r="H1086" s="35"/>
      <c r="I1086" s="35"/>
    </row>
    <row r="1087" spans="3:9" ht="13.5" customHeight="1" x14ac:dyDescent="0.25">
      <c r="C1087" s="16"/>
      <c r="D1087" s="16"/>
      <c r="E1087" s="64"/>
      <c r="F1087" s="64"/>
      <c r="G1087" s="16"/>
      <c r="H1087" s="16"/>
      <c r="I1087" s="16"/>
    </row>
    <row r="1088" spans="3:9" ht="13.5" customHeight="1" x14ac:dyDescent="0.25">
      <c r="C1088" s="35"/>
      <c r="D1088" s="35"/>
      <c r="E1088" s="65"/>
      <c r="F1088" s="69"/>
      <c r="G1088" s="35"/>
      <c r="H1088" s="35"/>
      <c r="I1088" s="35"/>
    </row>
    <row r="1089" spans="3:9" ht="13.5" customHeight="1" x14ac:dyDescent="0.25">
      <c r="C1089" s="16"/>
      <c r="D1089" s="16"/>
      <c r="E1089" s="64"/>
      <c r="F1089" s="64"/>
      <c r="G1089" s="16"/>
      <c r="H1089" s="16"/>
      <c r="I1089" s="16"/>
    </row>
    <row r="1090" spans="3:9" ht="13.5" customHeight="1" x14ac:dyDescent="0.25">
      <c r="C1090" s="35"/>
      <c r="D1090" s="35"/>
      <c r="E1090" s="65"/>
      <c r="F1090" s="69"/>
      <c r="G1090" s="35"/>
      <c r="H1090" s="35"/>
      <c r="I1090" s="35"/>
    </row>
    <row r="1091" spans="3:9" ht="13.5" customHeight="1" x14ac:dyDescent="0.25">
      <c r="C1091" s="16"/>
      <c r="D1091" s="16"/>
      <c r="E1091" s="64"/>
      <c r="F1091" s="64"/>
      <c r="G1091" s="16"/>
      <c r="H1091" s="16"/>
      <c r="I1091" s="16"/>
    </row>
    <row r="1092" spans="3:9" ht="13.5" customHeight="1" x14ac:dyDescent="0.25">
      <c r="C1092" s="35"/>
      <c r="D1092" s="35"/>
      <c r="E1092" s="65"/>
      <c r="F1092" s="69"/>
      <c r="G1092" s="35"/>
      <c r="H1092" s="35"/>
      <c r="I1092" s="35"/>
    </row>
    <row r="1093" spans="3:9" ht="13.5" customHeight="1" x14ac:dyDescent="0.25">
      <c r="C1093" s="16"/>
      <c r="D1093" s="16"/>
      <c r="E1093" s="64"/>
      <c r="F1093" s="64"/>
      <c r="G1093" s="16"/>
      <c r="H1093" s="16"/>
      <c r="I1093" s="16"/>
    </row>
    <row r="1094" spans="3:9" ht="13.5" customHeight="1" x14ac:dyDescent="0.25">
      <c r="C1094" s="35"/>
      <c r="D1094" s="35"/>
      <c r="E1094" s="65"/>
      <c r="F1094" s="69"/>
      <c r="G1094" s="35"/>
      <c r="H1094" s="35"/>
      <c r="I1094" s="35"/>
    </row>
    <row r="1095" spans="3:9" ht="13.5" customHeight="1" x14ac:dyDescent="0.25">
      <c r="C1095" s="16"/>
      <c r="D1095" s="16"/>
      <c r="E1095" s="64"/>
      <c r="F1095" s="64"/>
      <c r="G1095" s="16"/>
      <c r="H1095" s="16"/>
      <c r="I1095" s="16"/>
    </row>
    <row r="1096" spans="3:9" ht="13.5" customHeight="1" x14ac:dyDescent="0.25">
      <c r="C1096" s="35"/>
      <c r="D1096" s="35"/>
      <c r="E1096" s="65"/>
      <c r="F1096" s="69"/>
      <c r="G1096" s="35"/>
      <c r="H1096" s="35"/>
      <c r="I1096" s="35"/>
    </row>
    <row r="1097" spans="3:9" ht="13.5" customHeight="1" x14ac:dyDescent="0.25">
      <c r="C1097" s="16"/>
      <c r="D1097" s="16"/>
      <c r="E1097" s="64"/>
      <c r="F1097" s="64"/>
      <c r="G1097" s="16"/>
      <c r="H1097" s="16"/>
      <c r="I1097" s="16"/>
    </row>
    <row r="1098" spans="3:9" ht="13.5" customHeight="1" x14ac:dyDescent="0.25">
      <c r="C1098" s="35"/>
      <c r="D1098" s="35"/>
      <c r="E1098" s="65"/>
      <c r="F1098" s="69"/>
      <c r="G1098" s="35"/>
      <c r="H1098" s="35"/>
      <c r="I1098" s="35"/>
    </row>
    <row r="1099" spans="3:9" ht="13.5" customHeight="1" x14ac:dyDescent="0.25">
      <c r="C1099" s="16"/>
      <c r="D1099" s="16"/>
      <c r="E1099" s="64"/>
      <c r="F1099" s="64"/>
      <c r="G1099" s="16"/>
      <c r="H1099" s="16"/>
      <c r="I1099" s="16"/>
    </row>
    <row r="1100" spans="3:9" ht="13.5" customHeight="1" x14ac:dyDescent="0.25">
      <c r="C1100" s="35"/>
      <c r="D1100" s="35"/>
      <c r="E1100" s="65"/>
      <c r="F1100" s="69"/>
      <c r="G1100" s="35"/>
      <c r="H1100" s="35"/>
      <c r="I1100" s="35"/>
    </row>
    <row r="1101" spans="3:9" ht="13.5" customHeight="1" x14ac:dyDescent="0.25">
      <c r="C1101" s="16"/>
      <c r="D1101" s="16"/>
      <c r="E1101" s="64"/>
      <c r="F1101" s="64"/>
      <c r="G1101" s="16"/>
      <c r="H1101" s="16"/>
      <c r="I1101" s="16"/>
    </row>
    <row r="1102" spans="3:9" ht="13.5" customHeight="1" x14ac:dyDescent="0.25">
      <c r="C1102" s="35"/>
      <c r="D1102" s="35"/>
      <c r="E1102" s="65"/>
      <c r="F1102" s="69"/>
      <c r="G1102" s="35"/>
      <c r="H1102" s="35"/>
      <c r="I1102" s="35"/>
    </row>
    <row r="1103" spans="3:9" ht="13.5" customHeight="1" x14ac:dyDescent="0.25">
      <c r="C1103" s="16"/>
      <c r="D1103" s="16"/>
      <c r="E1103" s="64"/>
      <c r="F1103" s="64"/>
      <c r="G1103" s="16"/>
      <c r="H1103" s="16"/>
      <c r="I1103" s="16"/>
    </row>
    <row r="1104" spans="3:9" ht="13.5" customHeight="1" x14ac:dyDescent="0.25">
      <c r="C1104" s="35"/>
      <c r="D1104" s="35"/>
      <c r="E1104" s="65"/>
      <c r="F1104" s="69"/>
      <c r="G1104" s="35"/>
      <c r="H1104" s="35"/>
      <c r="I1104" s="35"/>
    </row>
    <row r="1105" spans="3:9" ht="13.5" customHeight="1" x14ac:dyDescent="0.25">
      <c r="C1105" s="16"/>
      <c r="D1105" s="16"/>
      <c r="E1105" s="64"/>
      <c r="F1105" s="64"/>
      <c r="G1105" s="16"/>
      <c r="H1105" s="16"/>
      <c r="I1105" s="16"/>
    </row>
    <row r="1106" spans="3:9" ht="13.5" customHeight="1" x14ac:dyDescent="0.25">
      <c r="C1106" s="35"/>
      <c r="D1106" s="35"/>
      <c r="E1106" s="65"/>
      <c r="F1106" s="69"/>
      <c r="G1106" s="35"/>
      <c r="H1106" s="35"/>
      <c r="I1106" s="35"/>
    </row>
    <row r="1107" spans="3:9" ht="13.5" customHeight="1" x14ac:dyDescent="0.25">
      <c r="C1107" s="16"/>
      <c r="D1107" s="16"/>
      <c r="E1107" s="64"/>
      <c r="F1107" s="64"/>
      <c r="G1107" s="16"/>
      <c r="H1107" s="16"/>
      <c r="I1107" s="16"/>
    </row>
    <row r="1108" spans="3:9" ht="13.5" customHeight="1" x14ac:dyDescent="0.25">
      <c r="C1108" s="35"/>
      <c r="D1108" s="35"/>
      <c r="E1108" s="65"/>
      <c r="F1108" s="69"/>
      <c r="G1108" s="35"/>
      <c r="H1108" s="35"/>
      <c r="I1108" s="35"/>
    </row>
    <row r="1109" spans="3:9" ht="13.5" customHeight="1" x14ac:dyDescent="0.25">
      <c r="C1109" s="16"/>
      <c r="D1109" s="16"/>
      <c r="E1109" s="64"/>
      <c r="F1109" s="64"/>
      <c r="G1109" s="16"/>
      <c r="H1109" s="16"/>
      <c r="I1109" s="16"/>
    </row>
    <row r="1110" spans="3:9" ht="13.5" customHeight="1" x14ac:dyDescent="0.25">
      <c r="C1110" s="35"/>
      <c r="D1110" s="35"/>
      <c r="E1110" s="65"/>
      <c r="F1110" s="69"/>
      <c r="G1110" s="35"/>
      <c r="H1110" s="35"/>
      <c r="I1110" s="35"/>
    </row>
    <row r="1111" spans="3:9" ht="13.5" customHeight="1" x14ac:dyDescent="0.25">
      <c r="C1111" s="16"/>
      <c r="D1111" s="16"/>
      <c r="E1111" s="64"/>
      <c r="F1111" s="64"/>
      <c r="G1111" s="16"/>
      <c r="H1111" s="16"/>
      <c r="I1111" s="16"/>
    </row>
    <row r="1112" spans="3:9" ht="13.5" customHeight="1" x14ac:dyDescent="0.25">
      <c r="C1112" s="35"/>
      <c r="D1112" s="35"/>
      <c r="E1112" s="65"/>
      <c r="F1112" s="69"/>
      <c r="G1112" s="35"/>
      <c r="H1112" s="35"/>
      <c r="I1112" s="35"/>
    </row>
    <row r="1113" spans="3:9" ht="13.5" customHeight="1" x14ac:dyDescent="0.25">
      <c r="C1113" s="16"/>
      <c r="D1113" s="16"/>
      <c r="E1113" s="64"/>
      <c r="F1113" s="64"/>
      <c r="G1113" s="16"/>
      <c r="H1113" s="16"/>
      <c r="I1113" s="16"/>
    </row>
    <row r="1114" spans="3:9" ht="13.5" customHeight="1" x14ac:dyDescent="0.25">
      <c r="C1114" s="35"/>
      <c r="D1114" s="35"/>
      <c r="E1114" s="65"/>
      <c r="F1114" s="69"/>
      <c r="G1114" s="35"/>
      <c r="H1114" s="35"/>
      <c r="I1114" s="35"/>
    </row>
    <row r="1115" spans="3:9" ht="13.5" customHeight="1" x14ac:dyDescent="0.25">
      <c r="C1115" s="16"/>
      <c r="D1115" s="16"/>
      <c r="E1115" s="64"/>
      <c r="F1115" s="64"/>
      <c r="G1115" s="16"/>
      <c r="H1115" s="16"/>
      <c r="I1115" s="16"/>
    </row>
    <row r="1116" spans="3:9" ht="13.5" customHeight="1" x14ac:dyDescent="0.25">
      <c r="C1116" s="35"/>
      <c r="D1116" s="35"/>
      <c r="E1116" s="65"/>
      <c r="F1116" s="69"/>
      <c r="G1116" s="35"/>
      <c r="H1116" s="35"/>
      <c r="I1116" s="35"/>
    </row>
    <row r="1117" spans="3:9" ht="13.5" customHeight="1" x14ac:dyDescent="0.25">
      <c r="C1117" s="16"/>
      <c r="D1117" s="16"/>
      <c r="E1117" s="64"/>
      <c r="F1117" s="64"/>
      <c r="G1117" s="16"/>
      <c r="H1117" s="16"/>
      <c r="I1117" s="16"/>
    </row>
    <row r="1118" spans="3:9" ht="13.5" customHeight="1" x14ac:dyDescent="0.25">
      <c r="C1118" s="35"/>
      <c r="D1118" s="35"/>
      <c r="E1118" s="65"/>
      <c r="F1118" s="69"/>
      <c r="G1118" s="35"/>
      <c r="H1118" s="35"/>
      <c r="I1118" s="35"/>
    </row>
    <row r="1119" spans="3:9" ht="13.5" customHeight="1" x14ac:dyDescent="0.25">
      <c r="C1119" s="16"/>
      <c r="D1119" s="16"/>
      <c r="E1119" s="64"/>
      <c r="F1119" s="64"/>
      <c r="G1119" s="16"/>
      <c r="H1119" s="16"/>
      <c r="I1119" s="16"/>
    </row>
    <row r="1120" spans="3:9" ht="13.5" customHeight="1" x14ac:dyDescent="0.25">
      <c r="C1120" s="35"/>
      <c r="D1120" s="35"/>
      <c r="E1120" s="65"/>
      <c r="F1120" s="69"/>
      <c r="G1120" s="35"/>
      <c r="H1120" s="35"/>
      <c r="I1120" s="35"/>
    </row>
    <row r="1121" spans="3:9" ht="13.5" customHeight="1" x14ac:dyDescent="0.25">
      <c r="C1121" s="16"/>
      <c r="D1121" s="16"/>
      <c r="E1121" s="64"/>
      <c r="F1121" s="64"/>
      <c r="G1121" s="16"/>
      <c r="H1121" s="16"/>
      <c r="I1121" s="16"/>
    </row>
    <row r="1122" spans="3:9" ht="13.5" customHeight="1" x14ac:dyDescent="0.25">
      <c r="C1122" s="35"/>
      <c r="D1122" s="35"/>
      <c r="E1122" s="65"/>
      <c r="F1122" s="69"/>
      <c r="G1122" s="35"/>
      <c r="H1122" s="35"/>
      <c r="I1122" s="35"/>
    </row>
    <row r="1123" spans="3:9" ht="13.5" customHeight="1" x14ac:dyDescent="0.25">
      <c r="C1123" s="16"/>
      <c r="D1123" s="16"/>
      <c r="E1123" s="64"/>
      <c r="F1123" s="64"/>
      <c r="G1123" s="16"/>
      <c r="H1123" s="16"/>
      <c r="I1123" s="16"/>
    </row>
    <row r="1124" spans="3:9" ht="13.5" customHeight="1" x14ac:dyDescent="0.25">
      <c r="C1124" s="35"/>
      <c r="D1124" s="35"/>
      <c r="E1124" s="65"/>
      <c r="F1124" s="69"/>
      <c r="G1124" s="35"/>
      <c r="H1124" s="35"/>
      <c r="I1124" s="35"/>
    </row>
    <row r="1125" spans="3:9" ht="13.5" customHeight="1" x14ac:dyDescent="0.25">
      <c r="C1125" s="16"/>
      <c r="D1125" s="16"/>
      <c r="E1125" s="64"/>
      <c r="F1125" s="64"/>
      <c r="G1125" s="16"/>
      <c r="H1125" s="16"/>
      <c r="I1125" s="16"/>
    </row>
    <row r="1126" spans="3:9" ht="13.5" customHeight="1" x14ac:dyDescent="0.25">
      <c r="C1126" s="35"/>
      <c r="D1126" s="35"/>
      <c r="E1126" s="65"/>
      <c r="F1126" s="69"/>
      <c r="G1126" s="35"/>
      <c r="H1126" s="35"/>
      <c r="I1126" s="35"/>
    </row>
    <row r="1127" spans="3:9" ht="13.5" customHeight="1" x14ac:dyDescent="0.25">
      <c r="C1127" s="16"/>
      <c r="D1127" s="16"/>
      <c r="E1127" s="64"/>
      <c r="F1127" s="64"/>
      <c r="G1127" s="16"/>
      <c r="H1127" s="16"/>
      <c r="I1127" s="16"/>
    </row>
    <row r="1128" spans="3:9" ht="13.5" customHeight="1" x14ac:dyDescent="0.25">
      <c r="C1128" s="35"/>
      <c r="D1128" s="35"/>
      <c r="E1128" s="65"/>
      <c r="F1128" s="69"/>
      <c r="G1128" s="35"/>
      <c r="H1128" s="35"/>
      <c r="I1128" s="35"/>
    </row>
    <row r="1129" spans="3:9" ht="13.5" customHeight="1" x14ac:dyDescent="0.25">
      <c r="C1129" s="16"/>
      <c r="D1129" s="16"/>
      <c r="E1129" s="64"/>
      <c r="F1129" s="64"/>
      <c r="G1129" s="16"/>
      <c r="H1129" s="16"/>
      <c r="I1129" s="16"/>
    </row>
    <row r="1130" spans="3:9" ht="13.5" customHeight="1" x14ac:dyDescent="0.25">
      <c r="C1130" s="35"/>
      <c r="D1130" s="35"/>
      <c r="E1130" s="65"/>
      <c r="F1130" s="69"/>
      <c r="G1130" s="35"/>
      <c r="H1130" s="35"/>
      <c r="I1130" s="35"/>
    </row>
    <row r="1131" spans="3:9" ht="13.5" customHeight="1" x14ac:dyDescent="0.25">
      <c r="C1131" s="16"/>
      <c r="D1131" s="16"/>
      <c r="E1131" s="64"/>
      <c r="F1131" s="64"/>
      <c r="G1131" s="16"/>
      <c r="H1131" s="16"/>
      <c r="I1131" s="16"/>
    </row>
    <row r="1132" spans="3:9" ht="13.5" customHeight="1" x14ac:dyDescent="0.25">
      <c r="C1132" s="35"/>
      <c r="D1132" s="35"/>
      <c r="E1132" s="65"/>
      <c r="F1132" s="69"/>
      <c r="G1132" s="35"/>
      <c r="H1132" s="35"/>
      <c r="I1132" s="35"/>
    </row>
    <row r="1133" spans="3:9" ht="13.5" customHeight="1" x14ac:dyDescent="0.25">
      <c r="C1133" s="16"/>
      <c r="D1133" s="16"/>
      <c r="E1133" s="64"/>
      <c r="F1133" s="64"/>
      <c r="G1133" s="16"/>
      <c r="H1133" s="16"/>
      <c r="I1133" s="16"/>
    </row>
    <row r="1134" spans="3:9" ht="13.5" customHeight="1" x14ac:dyDescent="0.25">
      <c r="C1134" s="35"/>
      <c r="D1134" s="35"/>
      <c r="E1134" s="65"/>
      <c r="F1134" s="69"/>
      <c r="G1134" s="35"/>
      <c r="H1134" s="35"/>
      <c r="I1134" s="35"/>
    </row>
    <row r="1135" spans="3:9" ht="13.5" customHeight="1" x14ac:dyDescent="0.25">
      <c r="C1135" s="16"/>
      <c r="D1135" s="16"/>
      <c r="E1135" s="64"/>
      <c r="F1135" s="64"/>
      <c r="G1135" s="16"/>
      <c r="H1135" s="16"/>
      <c r="I1135" s="16"/>
    </row>
    <row r="1136" spans="3:9" ht="13.5" customHeight="1" x14ac:dyDescent="0.25">
      <c r="C1136" s="35"/>
      <c r="D1136" s="35"/>
      <c r="E1136" s="65"/>
      <c r="F1136" s="69"/>
      <c r="G1136" s="35"/>
      <c r="H1136" s="35"/>
      <c r="I1136" s="35"/>
    </row>
    <row r="1137" spans="3:9" ht="13.5" customHeight="1" x14ac:dyDescent="0.25">
      <c r="C1137" s="16"/>
      <c r="D1137" s="16"/>
      <c r="E1137" s="64"/>
      <c r="F1137" s="64"/>
      <c r="G1137" s="16"/>
      <c r="H1137" s="16"/>
      <c r="I1137" s="16"/>
    </row>
    <row r="1138" spans="3:9" ht="13.5" customHeight="1" x14ac:dyDescent="0.25">
      <c r="C1138" s="35"/>
      <c r="D1138" s="35"/>
      <c r="E1138" s="65"/>
      <c r="F1138" s="69"/>
      <c r="G1138" s="35"/>
      <c r="H1138" s="35"/>
      <c r="I1138" s="35"/>
    </row>
    <row r="1139" spans="3:9" ht="13.5" customHeight="1" x14ac:dyDescent="0.25">
      <c r="C1139" s="16"/>
      <c r="D1139" s="16"/>
      <c r="E1139" s="64"/>
      <c r="F1139" s="64"/>
      <c r="G1139" s="16"/>
      <c r="H1139" s="16"/>
      <c r="I1139" s="16"/>
    </row>
    <row r="1140" spans="3:9" ht="13.5" customHeight="1" x14ac:dyDescent="0.25">
      <c r="C1140" s="35"/>
      <c r="D1140" s="35"/>
      <c r="E1140" s="65"/>
      <c r="F1140" s="69"/>
      <c r="G1140" s="35"/>
      <c r="H1140" s="35"/>
      <c r="I1140" s="35"/>
    </row>
    <row r="1141" spans="3:9" ht="13.5" customHeight="1" x14ac:dyDescent="0.25">
      <c r="C1141" s="16"/>
      <c r="D1141" s="16"/>
      <c r="E1141" s="64"/>
      <c r="F1141" s="64"/>
      <c r="G1141" s="16"/>
      <c r="H1141" s="16"/>
      <c r="I1141" s="16"/>
    </row>
    <row r="1142" spans="3:9" ht="13.5" customHeight="1" x14ac:dyDescent="0.25">
      <c r="C1142" s="35"/>
      <c r="D1142" s="35"/>
      <c r="E1142" s="65"/>
      <c r="F1142" s="69"/>
      <c r="G1142" s="35"/>
      <c r="H1142" s="35"/>
      <c r="I1142" s="35"/>
    </row>
    <row r="1143" spans="3:9" ht="13.5" customHeight="1" x14ac:dyDescent="0.25">
      <c r="C1143" s="16"/>
      <c r="D1143" s="16"/>
      <c r="E1143" s="64"/>
      <c r="F1143" s="64"/>
      <c r="G1143" s="16"/>
      <c r="H1143" s="16"/>
      <c r="I1143" s="16"/>
    </row>
    <row r="1144" spans="3:9" ht="13.5" customHeight="1" x14ac:dyDescent="0.25">
      <c r="C1144" s="35"/>
      <c r="D1144" s="35"/>
      <c r="E1144" s="65"/>
      <c r="F1144" s="69"/>
      <c r="G1144" s="35"/>
      <c r="H1144" s="35"/>
      <c r="I1144" s="35"/>
    </row>
    <row r="1145" spans="3:9" ht="13.5" customHeight="1" x14ac:dyDescent="0.25">
      <c r="C1145" s="16"/>
      <c r="D1145" s="16"/>
      <c r="E1145" s="64"/>
      <c r="F1145" s="64"/>
      <c r="G1145" s="16"/>
      <c r="H1145" s="16"/>
      <c r="I1145" s="16"/>
    </row>
    <row r="1146" spans="3:9" ht="13.5" customHeight="1" x14ac:dyDescent="0.25">
      <c r="C1146" s="35"/>
      <c r="D1146" s="35"/>
      <c r="E1146" s="65"/>
      <c r="F1146" s="69"/>
      <c r="G1146" s="35"/>
      <c r="H1146" s="35"/>
      <c r="I1146" s="35"/>
    </row>
    <row r="1147" spans="3:9" ht="13.5" customHeight="1" x14ac:dyDescent="0.25">
      <c r="C1147" s="16"/>
      <c r="D1147" s="16"/>
      <c r="E1147" s="64"/>
      <c r="F1147" s="64"/>
      <c r="G1147" s="16"/>
      <c r="H1147" s="16"/>
      <c r="I1147" s="16"/>
    </row>
    <row r="1148" spans="3:9" ht="13.5" customHeight="1" x14ac:dyDescent="0.25">
      <c r="C1148" s="35"/>
      <c r="D1148" s="35"/>
      <c r="E1148" s="65"/>
      <c r="F1148" s="69"/>
      <c r="G1148" s="35"/>
      <c r="H1148" s="35"/>
      <c r="I1148" s="35"/>
    </row>
    <row r="1149" spans="3:9" ht="13.5" customHeight="1" x14ac:dyDescent="0.25">
      <c r="C1149" s="16"/>
      <c r="D1149" s="16"/>
      <c r="E1149" s="64"/>
      <c r="F1149" s="64"/>
      <c r="G1149" s="16"/>
      <c r="H1149" s="16"/>
      <c r="I1149" s="16"/>
    </row>
    <row r="1150" spans="3:9" ht="13.5" customHeight="1" x14ac:dyDescent="0.25">
      <c r="C1150" s="35"/>
      <c r="D1150" s="35"/>
      <c r="E1150" s="65"/>
      <c r="F1150" s="69"/>
      <c r="G1150" s="35"/>
      <c r="H1150" s="35"/>
      <c r="I1150" s="35"/>
    </row>
    <row r="1151" spans="3:9" ht="13.5" customHeight="1" x14ac:dyDescent="0.25">
      <c r="C1151" s="16"/>
      <c r="D1151" s="16"/>
      <c r="E1151" s="64"/>
      <c r="F1151" s="64"/>
      <c r="G1151" s="16"/>
      <c r="H1151" s="16"/>
      <c r="I1151" s="16"/>
    </row>
    <row r="1152" spans="3:9" ht="13.5" customHeight="1" x14ac:dyDescent="0.25">
      <c r="C1152" s="35"/>
      <c r="D1152" s="35"/>
      <c r="E1152" s="65"/>
      <c r="F1152" s="69"/>
      <c r="G1152" s="35"/>
      <c r="H1152" s="35"/>
      <c r="I1152" s="35"/>
    </row>
    <row r="1153" spans="3:9" ht="13.5" customHeight="1" x14ac:dyDescent="0.25">
      <c r="C1153" s="16"/>
      <c r="D1153" s="16"/>
      <c r="E1153" s="64"/>
      <c r="F1153" s="64"/>
      <c r="G1153" s="16"/>
      <c r="H1153" s="16"/>
      <c r="I1153" s="16"/>
    </row>
    <row r="1154" spans="3:9" ht="13.5" customHeight="1" x14ac:dyDescent="0.25">
      <c r="C1154" s="35"/>
      <c r="D1154" s="35"/>
      <c r="E1154" s="65"/>
      <c r="F1154" s="69"/>
      <c r="G1154" s="35"/>
      <c r="H1154" s="35"/>
      <c r="I1154" s="35"/>
    </row>
    <row r="1155" spans="3:9" ht="13.5" customHeight="1" x14ac:dyDescent="0.25">
      <c r="C1155" s="16"/>
      <c r="D1155" s="16"/>
      <c r="E1155" s="64"/>
      <c r="F1155" s="64"/>
      <c r="G1155" s="16"/>
      <c r="H1155" s="16"/>
      <c r="I1155" s="16"/>
    </row>
    <row r="1156" spans="3:9" ht="13.5" customHeight="1" x14ac:dyDescent="0.25">
      <c r="C1156" s="35"/>
      <c r="D1156" s="35"/>
      <c r="E1156" s="65"/>
      <c r="F1156" s="69"/>
      <c r="G1156" s="35"/>
      <c r="H1156" s="35"/>
      <c r="I1156" s="35"/>
    </row>
    <row r="1157" spans="3:9" ht="13.5" customHeight="1" x14ac:dyDescent="0.25">
      <c r="C1157" s="16"/>
      <c r="D1157" s="16"/>
      <c r="E1157" s="64"/>
      <c r="F1157" s="64"/>
      <c r="G1157" s="16"/>
      <c r="H1157" s="16"/>
      <c r="I1157" s="16"/>
    </row>
    <row r="1158" spans="3:9" ht="13.5" customHeight="1" x14ac:dyDescent="0.25">
      <c r="C1158" s="35"/>
      <c r="D1158" s="35"/>
      <c r="E1158" s="65"/>
      <c r="F1158" s="69"/>
      <c r="G1158" s="35"/>
      <c r="H1158" s="35"/>
      <c r="I1158" s="35"/>
    </row>
    <row r="1159" spans="3:9" ht="13.5" customHeight="1" x14ac:dyDescent="0.25">
      <c r="C1159" s="16"/>
      <c r="D1159" s="16"/>
      <c r="E1159" s="64"/>
      <c r="F1159" s="64"/>
      <c r="G1159" s="16"/>
      <c r="H1159" s="16"/>
      <c r="I1159" s="16"/>
    </row>
    <row r="1160" spans="3:9" ht="13.5" customHeight="1" x14ac:dyDescent="0.25">
      <c r="C1160" s="35"/>
      <c r="D1160" s="35"/>
      <c r="E1160" s="65"/>
      <c r="F1160" s="69"/>
      <c r="G1160" s="35"/>
      <c r="H1160" s="35"/>
      <c r="I1160" s="35"/>
    </row>
    <row r="1161" spans="3:9" ht="13.5" customHeight="1" x14ac:dyDescent="0.25">
      <c r="C1161" s="16"/>
      <c r="D1161" s="16"/>
      <c r="E1161" s="64"/>
      <c r="F1161" s="64"/>
      <c r="G1161" s="16"/>
      <c r="H1161" s="16"/>
      <c r="I1161" s="16"/>
    </row>
    <row r="1162" spans="3:9" ht="13.5" customHeight="1" x14ac:dyDescent="0.25">
      <c r="C1162" s="35"/>
      <c r="D1162" s="35"/>
      <c r="E1162" s="65"/>
      <c r="F1162" s="69"/>
      <c r="G1162" s="35"/>
      <c r="H1162" s="35"/>
      <c r="I1162" s="35"/>
    </row>
    <row r="1163" spans="3:9" ht="13.5" customHeight="1" x14ac:dyDescent="0.25">
      <c r="C1163" s="16"/>
      <c r="D1163" s="16"/>
      <c r="E1163" s="64"/>
      <c r="F1163" s="64"/>
      <c r="G1163" s="16"/>
      <c r="H1163" s="16"/>
      <c r="I1163" s="16"/>
    </row>
    <row r="1164" spans="3:9" ht="13.5" customHeight="1" x14ac:dyDescent="0.25">
      <c r="C1164" s="35"/>
      <c r="D1164" s="35"/>
      <c r="E1164" s="65"/>
      <c r="F1164" s="69"/>
      <c r="G1164" s="35"/>
      <c r="H1164" s="35"/>
      <c r="I1164" s="35"/>
    </row>
    <row r="1165" spans="3:9" ht="13.5" customHeight="1" x14ac:dyDescent="0.25">
      <c r="C1165" s="16"/>
      <c r="D1165" s="16"/>
      <c r="E1165" s="64"/>
      <c r="F1165" s="64"/>
      <c r="G1165" s="16"/>
      <c r="H1165" s="16"/>
      <c r="I1165" s="16"/>
    </row>
    <row r="1166" spans="3:9" ht="13.5" customHeight="1" x14ac:dyDescent="0.25">
      <c r="C1166" s="35"/>
      <c r="D1166" s="35"/>
      <c r="E1166" s="65"/>
      <c r="F1166" s="69"/>
      <c r="G1166" s="35"/>
      <c r="H1166" s="35"/>
      <c r="I1166" s="35"/>
    </row>
    <row r="1167" spans="3:9" ht="13.5" customHeight="1" x14ac:dyDescent="0.25">
      <c r="C1167" s="16"/>
      <c r="D1167" s="16"/>
      <c r="E1167" s="64"/>
      <c r="F1167" s="64"/>
      <c r="G1167" s="16"/>
      <c r="H1167" s="16"/>
      <c r="I1167" s="16"/>
    </row>
    <row r="1168" spans="3:9" ht="13.5" customHeight="1" x14ac:dyDescent="0.25">
      <c r="C1168" s="35"/>
      <c r="D1168" s="35"/>
      <c r="E1168" s="65"/>
      <c r="F1168" s="69"/>
      <c r="G1168" s="35"/>
      <c r="H1168" s="35"/>
      <c r="I1168" s="35"/>
    </row>
    <row r="1169" spans="3:9" ht="13.5" customHeight="1" x14ac:dyDescent="0.25">
      <c r="C1169" s="16"/>
      <c r="D1169" s="16"/>
      <c r="E1169" s="64"/>
      <c r="F1169" s="64"/>
      <c r="G1169" s="16"/>
      <c r="H1169" s="16"/>
      <c r="I1169" s="16"/>
    </row>
    <row r="1170" spans="3:9" ht="13.5" customHeight="1" x14ac:dyDescent="0.25">
      <c r="C1170" s="35"/>
      <c r="D1170" s="35"/>
      <c r="E1170" s="65"/>
      <c r="F1170" s="69"/>
      <c r="G1170" s="35"/>
      <c r="H1170" s="35"/>
      <c r="I1170" s="35"/>
    </row>
    <row r="1171" spans="3:9" ht="13.5" customHeight="1" x14ac:dyDescent="0.25">
      <c r="C1171" s="16"/>
      <c r="D1171" s="16"/>
      <c r="E1171" s="64"/>
      <c r="F1171" s="64"/>
      <c r="G1171" s="16"/>
      <c r="H1171" s="16"/>
      <c r="I1171" s="16"/>
    </row>
    <row r="1172" spans="3:9" ht="13.5" customHeight="1" x14ac:dyDescent="0.25">
      <c r="C1172" s="35"/>
      <c r="D1172" s="35"/>
      <c r="E1172" s="65"/>
      <c r="F1172" s="69"/>
      <c r="G1172" s="35"/>
      <c r="H1172" s="35"/>
      <c r="I1172" s="35"/>
    </row>
    <row r="1173" spans="3:9" ht="13.5" customHeight="1" x14ac:dyDescent="0.25">
      <c r="C1173" s="16"/>
      <c r="D1173" s="16"/>
      <c r="E1173" s="64"/>
      <c r="F1173" s="64"/>
      <c r="G1173" s="16"/>
      <c r="H1173" s="16"/>
      <c r="I1173" s="16"/>
    </row>
    <row r="1174" spans="3:9" ht="13.5" customHeight="1" x14ac:dyDescent="0.25">
      <c r="C1174" s="35"/>
      <c r="D1174" s="35"/>
      <c r="E1174" s="65"/>
      <c r="F1174" s="69"/>
      <c r="G1174" s="35"/>
      <c r="H1174" s="35"/>
      <c r="I1174" s="35"/>
    </row>
    <row r="1175" spans="3:9" ht="13.5" customHeight="1" x14ac:dyDescent="0.25">
      <c r="C1175" s="16"/>
      <c r="D1175" s="16"/>
      <c r="E1175" s="64"/>
      <c r="F1175" s="64"/>
      <c r="G1175" s="16"/>
      <c r="H1175" s="16"/>
      <c r="I1175" s="16"/>
    </row>
    <row r="1176" spans="3:9" ht="13.5" customHeight="1" x14ac:dyDescent="0.25">
      <c r="C1176" s="35"/>
      <c r="D1176" s="35"/>
      <c r="E1176" s="65"/>
      <c r="F1176" s="69"/>
      <c r="G1176" s="35"/>
      <c r="H1176" s="35"/>
      <c r="I1176" s="35"/>
    </row>
    <row r="1177" spans="3:9" ht="13.5" customHeight="1" x14ac:dyDescent="0.25">
      <c r="C1177" s="16"/>
      <c r="D1177" s="16"/>
      <c r="E1177" s="64"/>
      <c r="F1177" s="64"/>
      <c r="G1177" s="16"/>
      <c r="H1177" s="16"/>
      <c r="I1177" s="16"/>
    </row>
    <row r="1178" spans="3:9" ht="13.5" customHeight="1" x14ac:dyDescent="0.25">
      <c r="C1178" s="35"/>
      <c r="D1178" s="35"/>
      <c r="E1178" s="65"/>
      <c r="F1178" s="69"/>
      <c r="G1178" s="35"/>
      <c r="H1178" s="35"/>
      <c r="I1178" s="35"/>
    </row>
    <row r="1179" spans="3:9" ht="13.5" customHeight="1" x14ac:dyDescent="0.25">
      <c r="C1179" s="16"/>
      <c r="D1179" s="16"/>
      <c r="E1179" s="64"/>
      <c r="F1179" s="64"/>
      <c r="G1179" s="16"/>
      <c r="H1179" s="16"/>
      <c r="I1179" s="16"/>
    </row>
    <row r="1180" spans="3:9" ht="13.5" customHeight="1" x14ac:dyDescent="0.25">
      <c r="C1180" s="35"/>
      <c r="D1180" s="35"/>
      <c r="E1180" s="65"/>
      <c r="F1180" s="69"/>
      <c r="G1180" s="35"/>
      <c r="H1180" s="35"/>
      <c r="I1180" s="35"/>
    </row>
    <row r="1181" spans="3:9" ht="13.5" customHeight="1" x14ac:dyDescent="0.25">
      <c r="C1181" s="16"/>
      <c r="D1181" s="16"/>
      <c r="E1181" s="64"/>
      <c r="F1181" s="64"/>
      <c r="G1181" s="16"/>
      <c r="H1181" s="16"/>
      <c r="I1181" s="16"/>
    </row>
    <row r="1182" spans="3:9" ht="13.5" customHeight="1" x14ac:dyDescent="0.25">
      <c r="C1182" s="35"/>
      <c r="D1182" s="35"/>
      <c r="E1182" s="65"/>
      <c r="F1182" s="69"/>
      <c r="G1182" s="35"/>
      <c r="H1182" s="35"/>
      <c r="I1182" s="35"/>
    </row>
    <row r="1183" spans="3:9" ht="13.5" customHeight="1" x14ac:dyDescent="0.25">
      <c r="C1183" s="16"/>
      <c r="D1183" s="16"/>
      <c r="E1183" s="64"/>
      <c r="F1183" s="64"/>
      <c r="G1183" s="16"/>
      <c r="H1183" s="16"/>
      <c r="I1183" s="16"/>
    </row>
    <row r="1184" spans="3:9" ht="13.5" customHeight="1" x14ac:dyDescent="0.25">
      <c r="C1184" s="35"/>
      <c r="D1184" s="35"/>
      <c r="E1184" s="65"/>
      <c r="F1184" s="69"/>
      <c r="G1184" s="35"/>
      <c r="H1184" s="35"/>
      <c r="I1184" s="35"/>
    </row>
    <row r="1185" spans="3:9" ht="13.5" customHeight="1" x14ac:dyDescent="0.25">
      <c r="C1185" s="16"/>
      <c r="D1185" s="16"/>
      <c r="E1185" s="64"/>
      <c r="F1185" s="64"/>
      <c r="G1185" s="16"/>
      <c r="H1185" s="16"/>
      <c r="I1185" s="16"/>
    </row>
    <row r="1186" spans="3:9" ht="13.5" customHeight="1" x14ac:dyDescent="0.25">
      <c r="C1186" s="35"/>
      <c r="D1186" s="35"/>
      <c r="E1186" s="65"/>
      <c r="F1186" s="69"/>
      <c r="G1186" s="35"/>
      <c r="H1186" s="35"/>
      <c r="I1186" s="35"/>
    </row>
    <row r="1187" spans="3:9" ht="13.5" customHeight="1" x14ac:dyDescent="0.25">
      <c r="C1187" s="16"/>
      <c r="D1187" s="16"/>
      <c r="E1187" s="64"/>
      <c r="F1187" s="64"/>
      <c r="G1187" s="16"/>
      <c r="H1187" s="16"/>
      <c r="I1187" s="16"/>
    </row>
    <row r="1188" spans="3:9" ht="13.5" customHeight="1" x14ac:dyDescent="0.25">
      <c r="C1188" s="35"/>
      <c r="D1188" s="35"/>
      <c r="E1188" s="65"/>
      <c r="F1188" s="69"/>
      <c r="G1188" s="35"/>
      <c r="H1188" s="35"/>
      <c r="I1188" s="35"/>
    </row>
    <row r="1189" spans="3:9" ht="13.5" customHeight="1" x14ac:dyDescent="0.25">
      <c r="C1189" s="16"/>
      <c r="D1189" s="16"/>
      <c r="E1189" s="64"/>
      <c r="F1189" s="64"/>
      <c r="G1189" s="16"/>
      <c r="H1189" s="16"/>
      <c r="I1189" s="16"/>
    </row>
    <row r="1190" spans="3:9" ht="13.5" customHeight="1" x14ac:dyDescent="0.25">
      <c r="C1190" s="35"/>
      <c r="D1190" s="35"/>
      <c r="E1190" s="65"/>
      <c r="F1190" s="69"/>
      <c r="G1190" s="35"/>
      <c r="H1190" s="35"/>
      <c r="I1190" s="35"/>
    </row>
    <row r="1191" spans="3:9" ht="13.5" customHeight="1" x14ac:dyDescent="0.25">
      <c r="C1191" s="16"/>
      <c r="D1191" s="16"/>
      <c r="E1191" s="64"/>
      <c r="F1191" s="64"/>
      <c r="G1191" s="16"/>
      <c r="H1191" s="16"/>
      <c r="I1191" s="16"/>
    </row>
    <row r="1192" spans="3:9" ht="13.5" customHeight="1" x14ac:dyDescent="0.25">
      <c r="C1192" s="35"/>
      <c r="D1192" s="35"/>
      <c r="E1192" s="65"/>
      <c r="F1192" s="69"/>
      <c r="G1192" s="35"/>
      <c r="H1192" s="35"/>
      <c r="I1192" s="35"/>
    </row>
    <row r="1193" spans="3:9" ht="13.5" customHeight="1" x14ac:dyDescent="0.25">
      <c r="C1193" s="16"/>
      <c r="D1193" s="16"/>
      <c r="E1193" s="64"/>
      <c r="F1193" s="64"/>
      <c r="G1193" s="16"/>
      <c r="H1193" s="16"/>
      <c r="I1193" s="16"/>
    </row>
    <row r="1194" spans="3:9" ht="13.5" customHeight="1" x14ac:dyDescent="0.25">
      <c r="C1194" s="35"/>
      <c r="D1194" s="35"/>
      <c r="E1194" s="65"/>
      <c r="F1194" s="69"/>
      <c r="G1194" s="35"/>
      <c r="H1194" s="35"/>
      <c r="I1194" s="35"/>
    </row>
    <row r="1195" spans="3:9" ht="13.5" customHeight="1" x14ac:dyDescent="0.25">
      <c r="C1195" s="16"/>
      <c r="D1195" s="16"/>
      <c r="E1195" s="64"/>
      <c r="F1195" s="64"/>
      <c r="G1195" s="16"/>
      <c r="H1195" s="16"/>
      <c r="I1195" s="16"/>
    </row>
    <row r="1196" spans="3:9" ht="13.5" customHeight="1" x14ac:dyDescent="0.25">
      <c r="C1196" s="35"/>
      <c r="D1196" s="35"/>
      <c r="E1196" s="65"/>
      <c r="F1196" s="69"/>
      <c r="G1196" s="35"/>
      <c r="H1196" s="35"/>
      <c r="I1196" s="35"/>
    </row>
    <row r="1197" spans="3:9" ht="13.5" customHeight="1" x14ac:dyDescent="0.25">
      <c r="C1197" s="16"/>
      <c r="D1197" s="16"/>
      <c r="E1197" s="64"/>
      <c r="F1197" s="64"/>
      <c r="G1197" s="16"/>
      <c r="H1197" s="16"/>
      <c r="I1197" s="16"/>
    </row>
    <row r="1198" spans="3:9" ht="13.5" customHeight="1" x14ac:dyDescent="0.25">
      <c r="C1198" s="35"/>
      <c r="D1198" s="35"/>
      <c r="E1198" s="65"/>
      <c r="F1198" s="69"/>
      <c r="G1198" s="35"/>
      <c r="H1198" s="35"/>
      <c r="I1198" s="35"/>
    </row>
    <row r="1199" spans="3:9" ht="13.5" customHeight="1" x14ac:dyDescent="0.25">
      <c r="C1199" s="16"/>
      <c r="D1199" s="16"/>
      <c r="E1199" s="64"/>
      <c r="F1199" s="64"/>
      <c r="G1199" s="16"/>
      <c r="H1199" s="16"/>
      <c r="I1199" s="16"/>
    </row>
    <row r="1200" spans="3:9" ht="13.5" customHeight="1" x14ac:dyDescent="0.25">
      <c r="C1200" s="35"/>
      <c r="D1200" s="35"/>
      <c r="E1200" s="65"/>
      <c r="F1200" s="69"/>
      <c r="G1200" s="35"/>
      <c r="H1200" s="35"/>
      <c r="I1200" s="35"/>
    </row>
    <row r="1201" spans="3:9" ht="13.5" customHeight="1" x14ac:dyDescent="0.25">
      <c r="C1201" s="16"/>
      <c r="D1201" s="16"/>
      <c r="E1201" s="64"/>
      <c r="F1201" s="64"/>
      <c r="G1201" s="16"/>
      <c r="H1201" s="16"/>
      <c r="I1201" s="16"/>
    </row>
    <row r="1202" spans="3:9" ht="13.5" customHeight="1" x14ac:dyDescent="0.25">
      <c r="C1202" s="35"/>
      <c r="D1202" s="35"/>
      <c r="E1202" s="65"/>
      <c r="F1202" s="69"/>
      <c r="G1202" s="35"/>
      <c r="H1202" s="35"/>
      <c r="I1202" s="35"/>
    </row>
    <row r="1203" spans="3:9" ht="13.5" customHeight="1" x14ac:dyDescent="0.25">
      <c r="C1203" s="16"/>
      <c r="D1203" s="16"/>
      <c r="E1203" s="64"/>
      <c r="F1203" s="64"/>
      <c r="G1203" s="16"/>
      <c r="H1203" s="16"/>
      <c r="I1203" s="16"/>
    </row>
    <row r="1204" spans="3:9" ht="13.5" customHeight="1" x14ac:dyDescent="0.25">
      <c r="C1204" s="35"/>
      <c r="D1204" s="35"/>
      <c r="E1204" s="65"/>
      <c r="F1204" s="69"/>
      <c r="G1204" s="35"/>
      <c r="H1204" s="35"/>
      <c r="I1204" s="35"/>
    </row>
    <row r="1205" spans="3:9" ht="13.5" customHeight="1" x14ac:dyDescent="0.25">
      <c r="C1205" s="16"/>
      <c r="D1205" s="16"/>
      <c r="E1205" s="64"/>
      <c r="F1205" s="64"/>
      <c r="G1205" s="16"/>
      <c r="H1205" s="16"/>
      <c r="I1205" s="16"/>
    </row>
    <row r="1206" spans="3:9" ht="13.5" customHeight="1" x14ac:dyDescent="0.25">
      <c r="C1206" s="35"/>
      <c r="D1206" s="35"/>
      <c r="E1206" s="65"/>
      <c r="F1206" s="69"/>
      <c r="G1206" s="35"/>
      <c r="H1206" s="35"/>
      <c r="I1206" s="35"/>
    </row>
    <row r="1207" spans="3:9" ht="13.5" customHeight="1" x14ac:dyDescent="0.25">
      <c r="C1207" s="16"/>
      <c r="D1207" s="16"/>
      <c r="E1207" s="64"/>
      <c r="F1207" s="64"/>
      <c r="G1207" s="16"/>
      <c r="H1207" s="16"/>
      <c r="I1207" s="16"/>
    </row>
    <row r="1208" spans="3:9" ht="13.5" customHeight="1" x14ac:dyDescent="0.25">
      <c r="C1208" s="35"/>
      <c r="D1208" s="35"/>
      <c r="E1208" s="65"/>
      <c r="F1208" s="69"/>
      <c r="G1208" s="35"/>
      <c r="H1208" s="35"/>
      <c r="I1208" s="35"/>
    </row>
    <row r="1209" spans="3:9" ht="13.5" customHeight="1" x14ac:dyDescent="0.25">
      <c r="C1209" s="16"/>
      <c r="D1209" s="16"/>
      <c r="E1209" s="64"/>
      <c r="F1209" s="64"/>
      <c r="G1209" s="16"/>
      <c r="H1209" s="16"/>
      <c r="I1209" s="16"/>
    </row>
    <row r="1210" spans="3:9" ht="13.5" customHeight="1" x14ac:dyDescent="0.25">
      <c r="C1210" s="35"/>
      <c r="D1210" s="35"/>
      <c r="E1210" s="65"/>
      <c r="F1210" s="69"/>
      <c r="G1210" s="35"/>
      <c r="H1210" s="35"/>
      <c r="I1210" s="35"/>
    </row>
    <row r="1211" spans="3:9" ht="13.5" customHeight="1" x14ac:dyDescent="0.25">
      <c r="C1211" s="16"/>
      <c r="D1211" s="16"/>
      <c r="E1211" s="64"/>
      <c r="F1211" s="64"/>
      <c r="G1211" s="16"/>
      <c r="H1211" s="16"/>
      <c r="I1211" s="16"/>
    </row>
    <row r="1212" spans="3:9" ht="13.5" customHeight="1" x14ac:dyDescent="0.25">
      <c r="C1212" s="35"/>
      <c r="D1212" s="35"/>
      <c r="E1212" s="65"/>
      <c r="F1212" s="69"/>
      <c r="G1212" s="35"/>
      <c r="H1212" s="35"/>
      <c r="I1212" s="35"/>
    </row>
    <row r="1213" spans="3:9" ht="13.5" customHeight="1" x14ac:dyDescent="0.25">
      <c r="C1213" s="16"/>
      <c r="D1213" s="16"/>
      <c r="E1213" s="64"/>
      <c r="F1213" s="64"/>
      <c r="G1213" s="16"/>
      <c r="H1213" s="16"/>
      <c r="I1213" s="16"/>
    </row>
    <row r="1214" spans="3:9" ht="13.5" customHeight="1" x14ac:dyDescent="0.25">
      <c r="C1214" s="35"/>
      <c r="D1214" s="35"/>
      <c r="E1214" s="65"/>
      <c r="F1214" s="69"/>
      <c r="G1214" s="35"/>
      <c r="H1214" s="35"/>
      <c r="I1214" s="35"/>
    </row>
    <row r="1215" spans="3:9" ht="13.5" customHeight="1" x14ac:dyDescent="0.25">
      <c r="C1215" s="16"/>
      <c r="D1215" s="16"/>
      <c r="E1215" s="64"/>
      <c r="F1215" s="64"/>
      <c r="G1215" s="16"/>
      <c r="H1215" s="16"/>
      <c r="I1215" s="16"/>
    </row>
    <row r="1216" spans="3:9" ht="13.5" customHeight="1" x14ac:dyDescent="0.25">
      <c r="C1216" s="35"/>
      <c r="D1216" s="35"/>
      <c r="E1216" s="65"/>
      <c r="F1216" s="69"/>
      <c r="G1216" s="35"/>
      <c r="H1216" s="35"/>
      <c r="I1216" s="35"/>
    </row>
    <row r="1217" spans="3:9" ht="13.5" customHeight="1" x14ac:dyDescent="0.25">
      <c r="C1217" s="16"/>
      <c r="D1217" s="16"/>
      <c r="E1217" s="64"/>
      <c r="F1217" s="64"/>
      <c r="G1217" s="16"/>
      <c r="H1217" s="16"/>
      <c r="I1217" s="16"/>
    </row>
    <row r="1218" spans="3:9" ht="13.5" customHeight="1" x14ac:dyDescent="0.25">
      <c r="C1218" s="35"/>
      <c r="D1218" s="35"/>
      <c r="E1218" s="65"/>
      <c r="F1218" s="69"/>
      <c r="G1218" s="35"/>
      <c r="H1218" s="35"/>
      <c r="I1218" s="35"/>
    </row>
    <row r="1219" spans="3:9" ht="13.5" customHeight="1" x14ac:dyDescent="0.25">
      <c r="C1219" s="16"/>
      <c r="D1219" s="16"/>
      <c r="E1219" s="64"/>
      <c r="F1219" s="64"/>
      <c r="G1219" s="16"/>
      <c r="H1219" s="16"/>
      <c r="I1219" s="16"/>
    </row>
    <row r="1220" spans="3:9" ht="13.5" customHeight="1" x14ac:dyDescent="0.25">
      <c r="C1220" s="35"/>
      <c r="D1220" s="35"/>
      <c r="E1220" s="65"/>
      <c r="F1220" s="69"/>
      <c r="G1220" s="35"/>
      <c r="H1220" s="35"/>
      <c r="I1220" s="35"/>
    </row>
    <row r="1221" spans="3:9" ht="13.5" customHeight="1" x14ac:dyDescent="0.25">
      <c r="C1221" s="16"/>
      <c r="D1221" s="16"/>
      <c r="E1221" s="64"/>
      <c r="F1221" s="64"/>
      <c r="G1221" s="16"/>
      <c r="H1221" s="16"/>
      <c r="I1221" s="16"/>
    </row>
    <row r="1222" spans="3:9" ht="13.5" customHeight="1" x14ac:dyDescent="0.25">
      <c r="C1222" s="35"/>
      <c r="D1222" s="35"/>
      <c r="E1222" s="65"/>
      <c r="F1222" s="69"/>
      <c r="G1222" s="35"/>
      <c r="H1222" s="35"/>
      <c r="I1222" s="35"/>
    </row>
    <row r="1223" spans="3:9" ht="13.5" customHeight="1" x14ac:dyDescent="0.25">
      <c r="C1223" s="16"/>
      <c r="D1223" s="16"/>
      <c r="E1223" s="64"/>
      <c r="F1223" s="64"/>
      <c r="G1223" s="16"/>
      <c r="H1223" s="16"/>
      <c r="I1223" s="16"/>
    </row>
    <row r="1224" spans="3:9" ht="13.5" customHeight="1" x14ac:dyDescent="0.25">
      <c r="C1224" s="35"/>
      <c r="D1224" s="35"/>
      <c r="E1224" s="65"/>
      <c r="F1224" s="69"/>
      <c r="G1224" s="35"/>
      <c r="H1224" s="35"/>
      <c r="I1224" s="35"/>
    </row>
    <row r="1225" spans="3:9" ht="13.5" customHeight="1" x14ac:dyDescent="0.25">
      <c r="C1225" s="16"/>
      <c r="D1225" s="16"/>
      <c r="E1225" s="64"/>
      <c r="F1225" s="64"/>
      <c r="G1225" s="16"/>
      <c r="H1225" s="16"/>
      <c r="I1225" s="16"/>
    </row>
    <row r="1226" spans="3:9" ht="13.5" customHeight="1" x14ac:dyDescent="0.25">
      <c r="C1226" s="35"/>
      <c r="D1226" s="35"/>
      <c r="E1226" s="65"/>
      <c r="F1226" s="69"/>
      <c r="G1226" s="35"/>
      <c r="H1226" s="35"/>
      <c r="I1226" s="35"/>
    </row>
    <row r="1227" spans="3:9" ht="13.5" customHeight="1" x14ac:dyDescent="0.25">
      <c r="C1227" s="16"/>
      <c r="D1227" s="16"/>
      <c r="E1227" s="64"/>
      <c r="F1227" s="64"/>
      <c r="G1227" s="16"/>
      <c r="H1227" s="16"/>
      <c r="I1227" s="16"/>
    </row>
    <row r="1228" spans="3:9" ht="13.5" customHeight="1" x14ac:dyDescent="0.25">
      <c r="C1228" s="35"/>
      <c r="D1228" s="35"/>
      <c r="E1228" s="65"/>
      <c r="F1228" s="69"/>
      <c r="G1228" s="35"/>
      <c r="H1228" s="35"/>
      <c r="I1228" s="35"/>
    </row>
    <row r="1229" spans="3:9" ht="13.5" customHeight="1" x14ac:dyDescent="0.25">
      <c r="C1229" s="16"/>
      <c r="D1229" s="16"/>
      <c r="E1229" s="64"/>
      <c r="F1229" s="64"/>
      <c r="G1229" s="16"/>
      <c r="H1229" s="16"/>
      <c r="I1229" s="16"/>
    </row>
    <row r="1230" spans="3:9" ht="13.5" customHeight="1" x14ac:dyDescent="0.25">
      <c r="C1230" s="35"/>
      <c r="D1230" s="35"/>
      <c r="E1230" s="65"/>
      <c r="F1230" s="69"/>
      <c r="G1230" s="35"/>
      <c r="H1230" s="35"/>
      <c r="I1230" s="35"/>
    </row>
    <row r="1231" spans="3:9" ht="13.5" customHeight="1" x14ac:dyDescent="0.25">
      <c r="C1231" s="16"/>
      <c r="D1231" s="16"/>
      <c r="E1231" s="64"/>
      <c r="F1231" s="64"/>
      <c r="G1231" s="16"/>
      <c r="H1231" s="16"/>
      <c r="I1231" s="16"/>
    </row>
    <row r="1232" spans="3:9" ht="13.5" customHeight="1" x14ac:dyDescent="0.25">
      <c r="C1232" s="35"/>
      <c r="D1232" s="35"/>
      <c r="E1232" s="65"/>
      <c r="F1232" s="69"/>
      <c r="G1232" s="35"/>
      <c r="H1232" s="35"/>
      <c r="I1232" s="35"/>
    </row>
    <row r="1233" spans="3:9" ht="13.5" customHeight="1" x14ac:dyDescent="0.25">
      <c r="C1233" s="16"/>
      <c r="D1233" s="16"/>
      <c r="E1233" s="64"/>
      <c r="F1233" s="64"/>
      <c r="G1233" s="16"/>
      <c r="H1233" s="16"/>
      <c r="I1233" s="16"/>
    </row>
    <row r="1234" spans="3:9" ht="13.5" customHeight="1" x14ac:dyDescent="0.25">
      <c r="C1234" s="35"/>
      <c r="D1234" s="35"/>
      <c r="E1234" s="65"/>
      <c r="F1234" s="69"/>
      <c r="G1234" s="35"/>
      <c r="H1234" s="35"/>
      <c r="I1234" s="35"/>
    </row>
    <row r="1235" spans="3:9" ht="13.5" customHeight="1" x14ac:dyDescent="0.25">
      <c r="C1235" s="16"/>
      <c r="D1235" s="16"/>
      <c r="E1235" s="64"/>
      <c r="F1235" s="64"/>
      <c r="G1235" s="16"/>
      <c r="H1235" s="16"/>
      <c r="I1235" s="16"/>
    </row>
    <row r="1236" spans="3:9" ht="13.5" customHeight="1" x14ac:dyDescent="0.25">
      <c r="C1236" s="35"/>
      <c r="D1236" s="35"/>
      <c r="E1236" s="65"/>
      <c r="F1236" s="69"/>
      <c r="G1236" s="35"/>
      <c r="H1236" s="35"/>
      <c r="I1236" s="35"/>
    </row>
    <row r="1237" spans="3:9" ht="13.5" customHeight="1" x14ac:dyDescent="0.25">
      <c r="C1237" s="16"/>
      <c r="D1237" s="16"/>
      <c r="E1237" s="64"/>
      <c r="F1237" s="64"/>
      <c r="G1237" s="16"/>
      <c r="H1237" s="16"/>
      <c r="I1237" s="16"/>
    </row>
    <row r="1238" spans="3:9" ht="13.5" customHeight="1" x14ac:dyDescent="0.25">
      <c r="C1238" s="35"/>
      <c r="D1238" s="35"/>
      <c r="E1238" s="65"/>
      <c r="F1238" s="69"/>
      <c r="G1238" s="35"/>
      <c r="H1238" s="35"/>
      <c r="I1238" s="35"/>
    </row>
    <row r="1239" spans="3:9" ht="13.5" customHeight="1" x14ac:dyDescent="0.25">
      <c r="C1239" s="16"/>
      <c r="D1239" s="16"/>
      <c r="E1239" s="64"/>
      <c r="F1239" s="64"/>
      <c r="G1239" s="16"/>
      <c r="H1239" s="16"/>
      <c r="I1239" s="16"/>
    </row>
    <row r="1240" spans="3:9" ht="13.5" customHeight="1" x14ac:dyDescent="0.25">
      <c r="C1240" s="35"/>
      <c r="D1240" s="35"/>
      <c r="E1240" s="65"/>
      <c r="F1240" s="69"/>
      <c r="G1240" s="35"/>
      <c r="H1240" s="35"/>
      <c r="I1240" s="35"/>
    </row>
    <row r="1241" spans="3:9" ht="13.5" customHeight="1" x14ac:dyDescent="0.25">
      <c r="C1241" s="16"/>
      <c r="D1241" s="16"/>
      <c r="E1241" s="64"/>
      <c r="F1241" s="64"/>
      <c r="G1241" s="16"/>
      <c r="H1241" s="16"/>
      <c r="I1241" s="16"/>
    </row>
    <row r="1242" spans="3:9" ht="13.5" customHeight="1" x14ac:dyDescent="0.25">
      <c r="C1242" s="35"/>
      <c r="D1242" s="35"/>
      <c r="E1242" s="65"/>
      <c r="F1242" s="69"/>
      <c r="G1242" s="35"/>
      <c r="H1242" s="35"/>
      <c r="I1242" s="35"/>
    </row>
    <row r="1243" spans="3:9" ht="13.5" customHeight="1" x14ac:dyDescent="0.25">
      <c r="C1243" s="16"/>
      <c r="D1243" s="16"/>
      <c r="E1243" s="64"/>
      <c r="F1243" s="64"/>
      <c r="G1243" s="16"/>
      <c r="H1243" s="16"/>
      <c r="I1243" s="16"/>
    </row>
    <row r="1244" spans="3:9" ht="13.5" customHeight="1" x14ac:dyDescent="0.25">
      <c r="C1244" s="35"/>
      <c r="D1244" s="35"/>
      <c r="E1244" s="65"/>
      <c r="F1244" s="69"/>
      <c r="G1244" s="35"/>
      <c r="H1244" s="35"/>
      <c r="I1244" s="35"/>
    </row>
    <row r="1245" spans="3:9" ht="13.5" customHeight="1" x14ac:dyDescent="0.25">
      <c r="C1245" s="16"/>
      <c r="D1245" s="16"/>
      <c r="E1245" s="64"/>
      <c r="F1245" s="64"/>
      <c r="G1245" s="16"/>
      <c r="H1245" s="16"/>
      <c r="I1245" s="16"/>
    </row>
    <row r="1246" spans="3:9" ht="13.5" customHeight="1" x14ac:dyDescent="0.25">
      <c r="C1246" s="35"/>
      <c r="D1246" s="35"/>
      <c r="E1246" s="65"/>
      <c r="F1246" s="69"/>
      <c r="G1246" s="35"/>
      <c r="H1246" s="35"/>
      <c r="I1246" s="35"/>
    </row>
    <row r="1247" spans="3:9" ht="13.5" customHeight="1" x14ac:dyDescent="0.25">
      <c r="C1247" s="16"/>
      <c r="D1247" s="16"/>
      <c r="E1247" s="64"/>
      <c r="F1247" s="64"/>
      <c r="G1247" s="16"/>
      <c r="H1247" s="16"/>
      <c r="I1247" s="16"/>
    </row>
    <row r="1248" spans="3:9" ht="13.5" customHeight="1" x14ac:dyDescent="0.25">
      <c r="C1248" s="35"/>
      <c r="D1248" s="35"/>
      <c r="E1248" s="65"/>
      <c r="F1248" s="69"/>
      <c r="G1248" s="35"/>
      <c r="H1248" s="35"/>
      <c r="I1248" s="35"/>
    </row>
    <row r="1249" spans="3:9" ht="13.5" customHeight="1" x14ac:dyDescent="0.25">
      <c r="C1249" s="16"/>
      <c r="D1249" s="16"/>
      <c r="E1249" s="64"/>
      <c r="F1249" s="64"/>
      <c r="G1249" s="16"/>
      <c r="H1249" s="16"/>
      <c r="I1249" s="16"/>
    </row>
    <row r="1250" spans="3:9" ht="13.5" customHeight="1" x14ac:dyDescent="0.25">
      <c r="C1250" s="35"/>
      <c r="D1250" s="35"/>
      <c r="E1250" s="65"/>
      <c r="F1250" s="69"/>
      <c r="G1250" s="35"/>
      <c r="H1250" s="35"/>
      <c r="I1250" s="35"/>
    </row>
    <row r="1251" spans="3:9" ht="13.5" customHeight="1" x14ac:dyDescent="0.25">
      <c r="C1251" s="16"/>
      <c r="D1251" s="16"/>
      <c r="E1251" s="64"/>
      <c r="F1251" s="64"/>
      <c r="G1251" s="16"/>
      <c r="H1251" s="16"/>
      <c r="I1251" s="16"/>
    </row>
    <row r="1252" spans="3:9" ht="13.5" customHeight="1" x14ac:dyDescent="0.25">
      <c r="C1252" s="35"/>
      <c r="D1252" s="35"/>
      <c r="E1252" s="65"/>
      <c r="F1252" s="69"/>
      <c r="G1252" s="35"/>
      <c r="H1252" s="35"/>
      <c r="I1252" s="35"/>
    </row>
    <row r="1253" spans="3:9" ht="13.5" customHeight="1" x14ac:dyDescent="0.25">
      <c r="C1253" s="16"/>
      <c r="D1253" s="16"/>
      <c r="E1253" s="64"/>
      <c r="F1253" s="64"/>
      <c r="G1253" s="16"/>
      <c r="H1253" s="16"/>
      <c r="I1253" s="16"/>
    </row>
    <row r="1254" spans="3:9" ht="13.5" customHeight="1" x14ac:dyDescent="0.25">
      <c r="C1254" s="35"/>
      <c r="D1254" s="35"/>
      <c r="E1254" s="65"/>
      <c r="F1254" s="69"/>
      <c r="G1254" s="35"/>
      <c r="H1254" s="35"/>
      <c r="I1254" s="35"/>
    </row>
    <row r="1255" spans="3:9" ht="13.5" customHeight="1" x14ac:dyDescent="0.25">
      <c r="C1255" s="16"/>
      <c r="D1255" s="16"/>
      <c r="E1255" s="64"/>
      <c r="F1255" s="64"/>
      <c r="G1255" s="16"/>
      <c r="H1255" s="16"/>
      <c r="I1255" s="16"/>
    </row>
    <row r="1256" spans="3:9" ht="13.5" customHeight="1" x14ac:dyDescent="0.25">
      <c r="C1256" s="35"/>
      <c r="D1256" s="35"/>
      <c r="E1256" s="65"/>
      <c r="F1256" s="69"/>
      <c r="G1256" s="35"/>
      <c r="H1256" s="35"/>
      <c r="I1256" s="35"/>
    </row>
    <row r="1257" spans="3:9" ht="13.5" customHeight="1" x14ac:dyDescent="0.25">
      <c r="C1257" s="16"/>
      <c r="D1257" s="16"/>
      <c r="E1257" s="64"/>
      <c r="F1257" s="64"/>
      <c r="G1257" s="16"/>
      <c r="H1257" s="16"/>
      <c r="I1257" s="16"/>
    </row>
    <row r="1258" spans="3:9" ht="13.5" customHeight="1" x14ac:dyDescent="0.25">
      <c r="C1258" s="35"/>
      <c r="D1258" s="35"/>
      <c r="E1258" s="65"/>
      <c r="F1258" s="69"/>
      <c r="G1258" s="35"/>
      <c r="H1258" s="35"/>
      <c r="I1258" s="35"/>
    </row>
    <row r="1259" spans="3:9" ht="13.5" customHeight="1" x14ac:dyDescent="0.25">
      <c r="C1259" s="16"/>
      <c r="D1259" s="16"/>
      <c r="E1259" s="64"/>
      <c r="F1259" s="64"/>
      <c r="G1259" s="16"/>
      <c r="H1259" s="16"/>
      <c r="I1259" s="16"/>
    </row>
    <row r="1260" spans="3:9" ht="13.5" customHeight="1" x14ac:dyDescent="0.25">
      <c r="C1260" s="35"/>
      <c r="D1260" s="35"/>
      <c r="E1260" s="65"/>
      <c r="F1260" s="69"/>
      <c r="G1260" s="35"/>
      <c r="H1260" s="35"/>
      <c r="I1260" s="35"/>
    </row>
    <row r="1261" spans="3:9" ht="13.5" customHeight="1" x14ac:dyDescent="0.25">
      <c r="C1261" s="16"/>
      <c r="D1261" s="16"/>
      <c r="E1261" s="64"/>
      <c r="F1261" s="64"/>
      <c r="G1261" s="16"/>
      <c r="H1261" s="16"/>
      <c r="I1261" s="16"/>
    </row>
    <row r="1262" spans="3:9" ht="13.5" customHeight="1" x14ac:dyDescent="0.25">
      <c r="C1262" s="35"/>
      <c r="D1262" s="35"/>
      <c r="E1262" s="65"/>
      <c r="F1262" s="69"/>
      <c r="G1262" s="35"/>
      <c r="H1262" s="35"/>
      <c r="I1262" s="35"/>
    </row>
    <row r="1263" spans="3:9" ht="13.5" customHeight="1" x14ac:dyDescent="0.25">
      <c r="C1263" s="16"/>
      <c r="D1263" s="16"/>
      <c r="E1263" s="64"/>
      <c r="F1263" s="64"/>
      <c r="G1263" s="16"/>
      <c r="H1263" s="16"/>
      <c r="I1263" s="16"/>
    </row>
    <row r="1264" spans="3:9" ht="13.5" customHeight="1" x14ac:dyDescent="0.25">
      <c r="C1264" s="35"/>
      <c r="D1264" s="35"/>
      <c r="E1264" s="65"/>
      <c r="F1264" s="69"/>
      <c r="G1264" s="35"/>
      <c r="H1264" s="35"/>
      <c r="I1264" s="35"/>
    </row>
    <row r="1265" spans="3:9" ht="13.5" customHeight="1" x14ac:dyDescent="0.25">
      <c r="C1265" s="16"/>
      <c r="D1265" s="16"/>
      <c r="E1265" s="64"/>
      <c r="F1265" s="64"/>
      <c r="G1265" s="16"/>
      <c r="H1265" s="16"/>
      <c r="I1265" s="16"/>
    </row>
    <row r="1266" spans="3:9" ht="13.5" customHeight="1" x14ac:dyDescent="0.25">
      <c r="C1266" s="35"/>
      <c r="D1266" s="35"/>
      <c r="E1266" s="65"/>
      <c r="F1266" s="69"/>
      <c r="G1266" s="35"/>
      <c r="H1266" s="35"/>
      <c r="I1266" s="35"/>
    </row>
    <row r="1267" spans="3:9" ht="13.5" customHeight="1" x14ac:dyDescent="0.25">
      <c r="C1267" s="16"/>
      <c r="D1267" s="16"/>
      <c r="E1267" s="64"/>
      <c r="F1267" s="64"/>
      <c r="G1267" s="16"/>
      <c r="H1267" s="16"/>
      <c r="I1267" s="16"/>
    </row>
    <row r="1268" spans="3:9" ht="13.5" customHeight="1" x14ac:dyDescent="0.25">
      <c r="C1268" s="35"/>
      <c r="D1268" s="35"/>
      <c r="E1268" s="65"/>
      <c r="F1268" s="69"/>
      <c r="G1268" s="35"/>
      <c r="H1268" s="35"/>
      <c r="I1268" s="35"/>
    </row>
    <row r="1269" spans="3:9" ht="13.5" customHeight="1" x14ac:dyDescent="0.25">
      <c r="C1269" s="16"/>
      <c r="D1269" s="16"/>
      <c r="E1269" s="64"/>
      <c r="F1269" s="64"/>
      <c r="G1269" s="16"/>
      <c r="H1269" s="16"/>
      <c r="I1269" s="16"/>
    </row>
    <row r="1270" spans="3:9" ht="13.5" customHeight="1" x14ac:dyDescent="0.25">
      <c r="C1270" s="35"/>
      <c r="D1270" s="35"/>
      <c r="E1270" s="65"/>
      <c r="F1270" s="69"/>
      <c r="G1270" s="35"/>
      <c r="H1270" s="35"/>
      <c r="I1270" s="35"/>
    </row>
    <row r="1271" spans="3:9" ht="13.5" customHeight="1" x14ac:dyDescent="0.25">
      <c r="C1271" s="16"/>
      <c r="D1271" s="16"/>
      <c r="E1271" s="64"/>
      <c r="F1271" s="64"/>
      <c r="G1271" s="16"/>
      <c r="H1271" s="16"/>
      <c r="I1271" s="16"/>
    </row>
    <row r="1272" spans="3:9" ht="13.5" customHeight="1" x14ac:dyDescent="0.25">
      <c r="C1272" s="35"/>
      <c r="D1272" s="35"/>
      <c r="E1272" s="65"/>
      <c r="F1272" s="69"/>
      <c r="G1272" s="35"/>
      <c r="H1272" s="35"/>
      <c r="I1272" s="35"/>
    </row>
    <row r="1273" spans="3:9" ht="13.5" customHeight="1" x14ac:dyDescent="0.25">
      <c r="C1273" s="16"/>
      <c r="D1273" s="16"/>
      <c r="E1273" s="64"/>
      <c r="F1273" s="64"/>
      <c r="G1273" s="16"/>
      <c r="H1273" s="16"/>
      <c r="I1273" s="16"/>
    </row>
    <row r="1274" spans="3:9" ht="13.5" customHeight="1" x14ac:dyDescent="0.25">
      <c r="C1274" s="35"/>
      <c r="D1274" s="35"/>
      <c r="E1274" s="65"/>
      <c r="F1274" s="69"/>
      <c r="G1274" s="35"/>
      <c r="H1274" s="35"/>
      <c r="I1274" s="35"/>
    </row>
    <row r="1275" spans="3:9" ht="13.5" customHeight="1" x14ac:dyDescent="0.25">
      <c r="C1275" s="16"/>
      <c r="D1275" s="16"/>
      <c r="E1275" s="64"/>
      <c r="F1275" s="64"/>
      <c r="G1275" s="16"/>
      <c r="H1275" s="16"/>
      <c r="I1275" s="16"/>
    </row>
    <row r="1276" spans="3:9" ht="13.5" customHeight="1" x14ac:dyDescent="0.25">
      <c r="C1276" s="35"/>
      <c r="D1276" s="35"/>
      <c r="E1276" s="65"/>
      <c r="F1276" s="69"/>
      <c r="G1276" s="35"/>
      <c r="H1276" s="35"/>
      <c r="I1276" s="35"/>
    </row>
    <row r="1277" spans="3:9" ht="13.5" customHeight="1" x14ac:dyDescent="0.25">
      <c r="C1277" s="16"/>
      <c r="D1277" s="16"/>
      <c r="E1277" s="64"/>
      <c r="F1277" s="64"/>
      <c r="G1277" s="16"/>
      <c r="H1277" s="16"/>
      <c r="I1277" s="16"/>
    </row>
    <row r="1278" spans="3:9" ht="13.5" customHeight="1" x14ac:dyDescent="0.25">
      <c r="C1278" s="35"/>
      <c r="D1278" s="35"/>
      <c r="E1278" s="65"/>
      <c r="F1278" s="69"/>
      <c r="G1278" s="35"/>
      <c r="H1278" s="35"/>
      <c r="I1278" s="35"/>
    </row>
    <row r="1279" spans="3:9" ht="13.5" customHeight="1" x14ac:dyDescent="0.25">
      <c r="C1279" s="16"/>
      <c r="D1279" s="16"/>
      <c r="E1279" s="64"/>
      <c r="F1279" s="64"/>
      <c r="G1279" s="16"/>
      <c r="H1279" s="16"/>
      <c r="I1279" s="16"/>
    </row>
    <row r="1280" spans="3:9" ht="13.5" customHeight="1" x14ac:dyDescent="0.25">
      <c r="C1280" s="35"/>
      <c r="D1280" s="35"/>
      <c r="E1280" s="65"/>
      <c r="F1280" s="69"/>
      <c r="G1280" s="35"/>
      <c r="H1280" s="35"/>
      <c r="I1280" s="35"/>
    </row>
    <row r="1281" spans="3:9" ht="13.5" customHeight="1" x14ac:dyDescent="0.25">
      <c r="C1281" s="16"/>
      <c r="D1281" s="16"/>
      <c r="E1281" s="64"/>
      <c r="F1281" s="64"/>
      <c r="G1281" s="16"/>
      <c r="H1281" s="16"/>
      <c r="I1281" s="16"/>
    </row>
    <row r="1282" spans="3:9" ht="13.5" customHeight="1" x14ac:dyDescent="0.25">
      <c r="C1282" s="35"/>
      <c r="D1282" s="35"/>
      <c r="E1282" s="65"/>
      <c r="F1282" s="69"/>
      <c r="G1282" s="35"/>
      <c r="H1282" s="35"/>
      <c r="I1282" s="35"/>
    </row>
    <row r="1283" spans="3:9" ht="13.5" customHeight="1" x14ac:dyDescent="0.25">
      <c r="C1283" s="16"/>
      <c r="D1283" s="16"/>
      <c r="E1283" s="64"/>
      <c r="F1283" s="64"/>
      <c r="G1283" s="16"/>
      <c r="H1283" s="16"/>
      <c r="I1283" s="16"/>
    </row>
    <row r="1284" spans="3:9" ht="13.5" customHeight="1" x14ac:dyDescent="0.25">
      <c r="C1284" s="35"/>
      <c r="D1284" s="35"/>
      <c r="E1284" s="65"/>
      <c r="F1284" s="69"/>
      <c r="G1284" s="35"/>
      <c r="H1284" s="35"/>
      <c r="I1284" s="35"/>
    </row>
    <row r="1285" spans="3:9" ht="13.5" customHeight="1" x14ac:dyDescent="0.25">
      <c r="C1285" s="16"/>
      <c r="D1285" s="16"/>
      <c r="E1285" s="64"/>
      <c r="F1285" s="64"/>
      <c r="G1285" s="16"/>
      <c r="H1285" s="16"/>
      <c r="I1285" s="16"/>
    </row>
    <row r="1286" spans="3:9" ht="13.5" customHeight="1" x14ac:dyDescent="0.25">
      <c r="C1286" s="35"/>
      <c r="D1286" s="35"/>
      <c r="E1286" s="65"/>
      <c r="F1286" s="69"/>
      <c r="G1286" s="35"/>
      <c r="H1286" s="35"/>
      <c r="I1286" s="35"/>
    </row>
    <row r="1287" spans="3:9" ht="13.5" customHeight="1" x14ac:dyDescent="0.25">
      <c r="C1287" s="16"/>
      <c r="D1287" s="16"/>
      <c r="E1287" s="64"/>
      <c r="F1287" s="64"/>
      <c r="G1287" s="16"/>
      <c r="H1287" s="16"/>
      <c r="I1287" s="16"/>
    </row>
    <row r="1288" spans="3:9" ht="13.5" customHeight="1" x14ac:dyDescent="0.25">
      <c r="C1288" s="35"/>
      <c r="D1288" s="35"/>
      <c r="E1288" s="65"/>
      <c r="F1288" s="69"/>
      <c r="G1288" s="35"/>
      <c r="H1288" s="35"/>
      <c r="I1288" s="35"/>
    </row>
    <row r="1289" spans="3:9" ht="13.5" customHeight="1" x14ac:dyDescent="0.25">
      <c r="C1289" s="16"/>
      <c r="D1289" s="16"/>
      <c r="E1289" s="64"/>
      <c r="F1289" s="64"/>
      <c r="G1289" s="16"/>
      <c r="H1289" s="16"/>
      <c r="I1289" s="16"/>
    </row>
    <row r="1290" spans="3:9" ht="13.5" customHeight="1" x14ac:dyDescent="0.25">
      <c r="C1290" s="35"/>
      <c r="D1290" s="35"/>
      <c r="E1290" s="65"/>
      <c r="F1290" s="69"/>
      <c r="G1290" s="35"/>
      <c r="H1290" s="35"/>
      <c r="I1290" s="35"/>
    </row>
    <row r="1291" spans="3:9" ht="13.5" customHeight="1" x14ac:dyDescent="0.25">
      <c r="C1291" s="16"/>
      <c r="D1291" s="16"/>
      <c r="E1291" s="64"/>
      <c r="F1291" s="64"/>
      <c r="G1291" s="16"/>
      <c r="H1291" s="16"/>
      <c r="I1291" s="16"/>
    </row>
    <row r="1292" spans="3:9" ht="13.5" customHeight="1" x14ac:dyDescent="0.25">
      <c r="C1292" s="35"/>
      <c r="D1292" s="35"/>
      <c r="E1292" s="65"/>
      <c r="F1292" s="69"/>
      <c r="G1292" s="35"/>
      <c r="H1292" s="35"/>
      <c r="I1292" s="35"/>
    </row>
    <row r="1293" spans="3:9" ht="13.5" customHeight="1" x14ac:dyDescent="0.25">
      <c r="C1293" s="16"/>
      <c r="D1293" s="16"/>
      <c r="E1293" s="64"/>
      <c r="F1293" s="64"/>
      <c r="G1293" s="16"/>
      <c r="H1293" s="16"/>
      <c r="I1293" s="16"/>
    </row>
    <row r="1294" spans="3:9" ht="13.5" customHeight="1" x14ac:dyDescent="0.25">
      <c r="C1294" s="35"/>
      <c r="D1294" s="35"/>
      <c r="E1294" s="65"/>
      <c r="F1294" s="69"/>
      <c r="G1294" s="35"/>
      <c r="H1294" s="35"/>
      <c r="I1294" s="35"/>
    </row>
    <row r="1295" spans="3:9" ht="13.5" customHeight="1" x14ac:dyDescent="0.25">
      <c r="C1295" s="16"/>
      <c r="D1295" s="16"/>
      <c r="E1295" s="64"/>
      <c r="F1295" s="64"/>
      <c r="G1295" s="16"/>
      <c r="H1295" s="16"/>
      <c r="I1295" s="16"/>
    </row>
    <row r="1296" spans="3:9" ht="13.5" customHeight="1" x14ac:dyDescent="0.25">
      <c r="C1296" s="35"/>
      <c r="D1296" s="35"/>
      <c r="E1296" s="65"/>
      <c r="F1296" s="69"/>
      <c r="G1296" s="35"/>
      <c r="H1296" s="35"/>
      <c r="I1296" s="35"/>
    </row>
    <row r="1297" spans="3:9" ht="13.5" customHeight="1" x14ac:dyDescent="0.25">
      <c r="C1297" s="16"/>
      <c r="D1297" s="16"/>
      <c r="E1297" s="64"/>
      <c r="F1297" s="64"/>
      <c r="G1297" s="16"/>
      <c r="H1297" s="16"/>
      <c r="I1297" s="16"/>
    </row>
    <row r="1298" spans="3:9" ht="13.5" customHeight="1" x14ac:dyDescent="0.25">
      <c r="C1298" s="35"/>
      <c r="D1298" s="35"/>
      <c r="E1298" s="65"/>
      <c r="F1298" s="69"/>
      <c r="G1298" s="35"/>
      <c r="H1298" s="35"/>
      <c r="I1298" s="35"/>
    </row>
    <row r="1299" spans="3:9" ht="13.5" customHeight="1" x14ac:dyDescent="0.25">
      <c r="C1299" s="16"/>
      <c r="D1299" s="16"/>
      <c r="E1299" s="64"/>
      <c r="F1299" s="64"/>
      <c r="G1299" s="16"/>
      <c r="H1299" s="16"/>
      <c r="I1299" s="16"/>
    </row>
    <row r="1300" spans="3:9" ht="13.5" customHeight="1" x14ac:dyDescent="0.25">
      <c r="C1300" s="35"/>
      <c r="D1300" s="35"/>
      <c r="E1300" s="65"/>
      <c r="F1300" s="69"/>
      <c r="G1300" s="35"/>
      <c r="H1300" s="35"/>
      <c r="I1300" s="35"/>
    </row>
    <row r="1301" spans="3:9" ht="13.5" customHeight="1" x14ac:dyDescent="0.25">
      <c r="C1301" s="16"/>
      <c r="D1301" s="16"/>
      <c r="E1301" s="64"/>
      <c r="F1301" s="64"/>
      <c r="G1301" s="16"/>
      <c r="H1301" s="16"/>
      <c r="I1301" s="16"/>
    </row>
    <row r="1302" spans="3:9" ht="13.5" customHeight="1" x14ac:dyDescent="0.25">
      <c r="C1302" s="35"/>
      <c r="D1302" s="35"/>
      <c r="E1302" s="65"/>
      <c r="F1302" s="69"/>
      <c r="G1302" s="35"/>
      <c r="H1302" s="35"/>
      <c r="I1302" s="35"/>
    </row>
    <row r="1303" spans="3:9" ht="13.5" customHeight="1" x14ac:dyDescent="0.25">
      <c r="C1303" s="16"/>
      <c r="D1303" s="16"/>
      <c r="E1303" s="64"/>
      <c r="F1303" s="64"/>
      <c r="G1303" s="16"/>
      <c r="H1303" s="16"/>
      <c r="I1303" s="16"/>
    </row>
    <row r="1304" spans="3:9" ht="13.5" customHeight="1" x14ac:dyDescent="0.25">
      <c r="C1304" s="35"/>
      <c r="D1304" s="35"/>
      <c r="E1304" s="65"/>
      <c r="F1304" s="69"/>
      <c r="G1304" s="35"/>
      <c r="H1304" s="35"/>
      <c r="I1304" s="35"/>
    </row>
    <row r="1305" spans="3:9" ht="13.5" customHeight="1" x14ac:dyDescent="0.25">
      <c r="C1305" s="16"/>
      <c r="D1305" s="16"/>
      <c r="E1305" s="64"/>
      <c r="F1305" s="64"/>
      <c r="G1305" s="16"/>
      <c r="H1305" s="16"/>
      <c r="I1305" s="16"/>
    </row>
    <row r="1306" spans="3:9" ht="13.5" customHeight="1" x14ac:dyDescent="0.25">
      <c r="C1306" s="35"/>
      <c r="D1306" s="35"/>
      <c r="E1306" s="65"/>
      <c r="F1306" s="69"/>
      <c r="G1306" s="35"/>
      <c r="H1306" s="35"/>
      <c r="I1306" s="35"/>
    </row>
    <row r="1307" spans="3:9" ht="13.5" customHeight="1" x14ac:dyDescent="0.25">
      <c r="C1307" s="16"/>
      <c r="D1307" s="16"/>
      <c r="E1307" s="64"/>
      <c r="F1307" s="64"/>
      <c r="G1307" s="16"/>
      <c r="H1307" s="16"/>
      <c r="I1307" s="16"/>
    </row>
    <row r="1308" spans="3:9" ht="13.5" customHeight="1" x14ac:dyDescent="0.25">
      <c r="C1308" s="35"/>
      <c r="D1308" s="35"/>
      <c r="E1308" s="65"/>
      <c r="F1308" s="69"/>
      <c r="G1308" s="35"/>
      <c r="H1308" s="35"/>
      <c r="I1308" s="35"/>
    </row>
    <row r="1309" spans="3:9" ht="13.5" customHeight="1" x14ac:dyDescent="0.25">
      <c r="C1309" s="16"/>
      <c r="D1309" s="16"/>
      <c r="E1309" s="64"/>
      <c r="F1309" s="64"/>
      <c r="G1309" s="16"/>
      <c r="H1309" s="16"/>
      <c r="I1309" s="16"/>
    </row>
    <row r="1310" spans="3:9" ht="13.5" customHeight="1" x14ac:dyDescent="0.25">
      <c r="C1310" s="35"/>
      <c r="D1310" s="35"/>
      <c r="E1310" s="65"/>
      <c r="F1310" s="69"/>
      <c r="G1310" s="35"/>
      <c r="H1310" s="35"/>
      <c r="I1310" s="35"/>
    </row>
    <row r="1311" spans="3:9" ht="13.5" customHeight="1" x14ac:dyDescent="0.25">
      <c r="C1311" s="16"/>
      <c r="D1311" s="16"/>
      <c r="E1311" s="64"/>
      <c r="F1311" s="64"/>
      <c r="G1311" s="16"/>
      <c r="H1311" s="16"/>
      <c r="I1311" s="16"/>
    </row>
    <row r="1312" spans="3:9" ht="13.5" customHeight="1" x14ac:dyDescent="0.25">
      <c r="C1312" s="35"/>
      <c r="D1312" s="35"/>
      <c r="E1312" s="65"/>
      <c r="F1312" s="69"/>
      <c r="G1312" s="35"/>
      <c r="H1312" s="35"/>
      <c r="I1312" s="35"/>
    </row>
    <row r="1313" spans="3:9" ht="13.5" customHeight="1" x14ac:dyDescent="0.25">
      <c r="C1313" s="16"/>
      <c r="D1313" s="16"/>
      <c r="E1313" s="64"/>
      <c r="F1313" s="64"/>
      <c r="G1313" s="16"/>
      <c r="H1313" s="16"/>
      <c r="I1313" s="16"/>
    </row>
    <row r="1314" spans="3:9" ht="13.5" customHeight="1" x14ac:dyDescent="0.25">
      <c r="C1314" s="35"/>
      <c r="D1314" s="35"/>
      <c r="E1314" s="65"/>
      <c r="F1314" s="69"/>
      <c r="G1314" s="35"/>
      <c r="H1314" s="35"/>
      <c r="I1314" s="35"/>
    </row>
    <row r="1315" spans="3:9" ht="13.5" customHeight="1" x14ac:dyDescent="0.25">
      <c r="C1315" s="16"/>
      <c r="D1315" s="16"/>
      <c r="E1315" s="64"/>
      <c r="F1315" s="64"/>
      <c r="G1315" s="16"/>
      <c r="H1315" s="16"/>
      <c r="I1315" s="16"/>
    </row>
    <row r="1316" spans="3:9" ht="13.5" customHeight="1" x14ac:dyDescent="0.25">
      <c r="C1316" s="35"/>
      <c r="D1316" s="35"/>
      <c r="E1316" s="65"/>
      <c r="F1316" s="69"/>
      <c r="G1316" s="35"/>
      <c r="H1316" s="35"/>
      <c r="I1316" s="35"/>
    </row>
    <row r="1317" spans="3:9" ht="13.5" customHeight="1" x14ac:dyDescent="0.25">
      <c r="C1317" s="16"/>
      <c r="D1317" s="16"/>
      <c r="E1317" s="64"/>
      <c r="F1317" s="64"/>
      <c r="G1317" s="16"/>
      <c r="H1317" s="16"/>
      <c r="I1317" s="16"/>
    </row>
    <row r="1318" spans="3:9" ht="13.5" customHeight="1" x14ac:dyDescent="0.25">
      <c r="C1318" s="35"/>
      <c r="D1318" s="35"/>
      <c r="E1318" s="65"/>
      <c r="F1318" s="69"/>
      <c r="G1318" s="35"/>
      <c r="H1318" s="35"/>
      <c r="I1318" s="35"/>
    </row>
    <row r="1319" spans="3:9" ht="13.5" customHeight="1" x14ac:dyDescent="0.25">
      <c r="C1319" s="16"/>
      <c r="D1319" s="16"/>
      <c r="E1319" s="64"/>
      <c r="F1319" s="64"/>
      <c r="G1319" s="16"/>
      <c r="H1319" s="16"/>
      <c r="I1319" s="16"/>
    </row>
    <row r="1320" spans="3:9" ht="13.5" customHeight="1" x14ac:dyDescent="0.25">
      <c r="C1320" s="35"/>
      <c r="D1320" s="35"/>
      <c r="E1320" s="65"/>
      <c r="F1320" s="69"/>
      <c r="G1320" s="35"/>
      <c r="H1320" s="35"/>
      <c r="I1320" s="35"/>
    </row>
    <row r="1321" spans="3:9" ht="13.5" customHeight="1" x14ac:dyDescent="0.25">
      <c r="C1321" s="16"/>
      <c r="D1321" s="16"/>
      <c r="E1321" s="64"/>
      <c r="F1321" s="64"/>
      <c r="G1321" s="16"/>
      <c r="H1321" s="16"/>
      <c r="I1321" s="16"/>
    </row>
    <row r="1322" spans="3:9" ht="13.5" customHeight="1" x14ac:dyDescent="0.25">
      <c r="C1322" s="35"/>
      <c r="D1322" s="35"/>
      <c r="E1322" s="65"/>
      <c r="F1322" s="69"/>
      <c r="G1322" s="35"/>
      <c r="H1322" s="35"/>
      <c r="I1322" s="35"/>
    </row>
    <row r="1323" spans="3:9" ht="13.5" customHeight="1" x14ac:dyDescent="0.25">
      <c r="C1323" s="16"/>
      <c r="D1323" s="16"/>
      <c r="E1323" s="64"/>
      <c r="F1323" s="64"/>
      <c r="G1323" s="16"/>
      <c r="H1323" s="16"/>
      <c r="I1323" s="16"/>
    </row>
    <row r="1324" spans="3:9" ht="13.5" customHeight="1" x14ac:dyDescent="0.25">
      <c r="C1324" s="35"/>
      <c r="D1324" s="35"/>
      <c r="E1324" s="65"/>
      <c r="F1324" s="69"/>
      <c r="G1324" s="35"/>
      <c r="H1324" s="35"/>
      <c r="I1324" s="35"/>
    </row>
    <row r="1325" spans="3:9" ht="13.5" customHeight="1" x14ac:dyDescent="0.25">
      <c r="C1325" s="16"/>
      <c r="D1325" s="16"/>
      <c r="E1325" s="64"/>
      <c r="F1325" s="64"/>
      <c r="G1325" s="16"/>
      <c r="H1325" s="16"/>
      <c r="I1325" s="16"/>
    </row>
    <row r="1326" spans="3:9" ht="13.5" customHeight="1" x14ac:dyDescent="0.25">
      <c r="C1326" s="35"/>
      <c r="D1326" s="35"/>
      <c r="E1326" s="65"/>
      <c r="F1326" s="69"/>
      <c r="G1326" s="35"/>
      <c r="H1326" s="35"/>
      <c r="I1326" s="35"/>
    </row>
    <row r="1327" spans="3:9" ht="13.5" customHeight="1" x14ac:dyDescent="0.25">
      <c r="C1327" s="16"/>
      <c r="D1327" s="16"/>
      <c r="E1327" s="64"/>
      <c r="F1327" s="64"/>
      <c r="G1327" s="16"/>
      <c r="H1327" s="16"/>
      <c r="I1327" s="16"/>
    </row>
    <row r="1328" spans="3:9" ht="13.5" customHeight="1" x14ac:dyDescent="0.25">
      <c r="C1328" s="35"/>
      <c r="D1328" s="35"/>
      <c r="E1328" s="65"/>
      <c r="F1328" s="69"/>
      <c r="G1328" s="35"/>
      <c r="H1328" s="35"/>
      <c r="I1328" s="35"/>
    </row>
    <row r="1329" spans="3:9" ht="13.5" customHeight="1" x14ac:dyDescent="0.25">
      <c r="C1329" s="16"/>
      <c r="D1329" s="16"/>
      <c r="E1329" s="64"/>
      <c r="F1329" s="64"/>
      <c r="G1329" s="16"/>
      <c r="H1329" s="16"/>
      <c r="I1329" s="16"/>
    </row>
    <row r="1330" spans="3:9" ht="13.5" customHeight="1" x14ac:dyDescent="0.25">
      <c r="C1330" s="35"/>
      <c r="D1330" s="35"/>
      <c r="E1330" s="65"/>
      <c r="F1330" s="69"/>
      <c r="G1330" s="35"/>
      <c r="H1330" s="35"/>
      <c r="I1330" s="35"/>
    </row>
    <row r="1331" spans="3:9" ht="13.5" customHeight="1" x14ac:dyDescent="0.25">
      <c r="C1331" s="16"/>
      <c r="D1331" s="16"/>
      <c r="E1331" s="64"/>
      <c r="F1331" s="64"/>
      <c r="G1331" s="16"/>
      <c r="H1331" s="16"/>
      <c r="I1331" s="16"/>
    </row>
    <row r="1332" spans="3:9" ht="13.5" customHeight="1" x14ac:dyDescent="0.25">
      <c r="C1332" s="35"/>
      <c r="D1332" s="35"/>
      <c r="E1332" s="65"/>
      <c r="F1332" s="69"/>
      <c r="G1332" s="35"/>
      <c r="H1332" s="35"/>
      <c r="I1332" s="35"/>
    </row>
    <row r="1333" spans="3:9" ht="13.5" customHeight="1" x14ac:dyDescent="0.25">
      <c r="C1333" s="16"/>
      <c r="D1333" s="16"/>
      <c r="E1333" s="64"/>
      <c r="F1333" s="64"/>
      <c r="G1333" s="16"/>
      <c r="H1333" s="16"/>
      <c r="I1333" s="16"/>
    </row>
    <row r="1334" spans="3:9" ht="13.5" customHeight="1" x14ac:dyDescent="0.25">
      <c r="C1334" s="35"/>
      <c r="D1334" s="35"/>
      <c r="E1334" s="65"/>
      <c r="F1334" s="69"/>
      <c r="G1334" s="35"/>
      <c r="H1334" s="35"/>
      <c r="I1334" s="35"/>
    </row>
    <row r="1335" spans="3:9" ht="13.5" customHeight="1" x14ac:dyDescent="0.25">
      <c r="C1335" s="16"/>
      <c r="D1335" s="16"/>
      <c r="E1335" s="64"/>
      <c r="F1335" s="64"/>
      <c r="G1335" s="16"/>
      <c r="H1335" s="16"/>
      <c r="I1335" s="16"/>
    </row>
    <row r="1336" spans="3:9" ht="13.5" customHeight="1" x14ac:dyDescent="0.25">
      <c r="C1336" s="35"/>
      <c r="D1336" s="35"/>
      <c r="E1336" s="65"/>
      <c r="F1336" s="69"/>
      <c r="G1336" s="35"/>
      <c r="H1336" s="35"/>
      <c r="I1336" s="35"/>
    </row>
    <row r="1337" spans="3:9" ht="13.5" customHeight="1" x14ac:dyDescent="0.25">
      <c r="C1337" s="16"/>
      <c r="D1337" s="16"/>
      <c r="E1337" s="64"/>
      <c r="F1337" s="64"/>
      <c r="G1337" s="16"/>
      <c r="H1337" s="16"/>
      <c r="I1337" s="16"/>
    </row>
    <row r="1338" spans="3:9" ht="13.5" customHeight="1" x14ac:dyDescent="0.25">
      <c r="C1338" s="35"/>
      <c r="D1338" s="35"/>
      <c r="E1338" s="65"/>
      <c r="F1338" s="69"/>
      <c r="G1338" s="35"/>
      <c r="H1338" s="35"/>
      <c r="I1338" s="35"/>
    </row>
    <row r="1339" spans="3:9" ht="13.5" customHeight="1" x14ac:dyDescent="0.25">
      <c r="C1339" s="16"/>
      <c r="D1339" s="16"/>
      <c r="E1339" s="64"/>
      <c r="F1339" s="64"/>
      <c r="G1339" s="16"/>
      <c r="H1339" s="16"/>
      <c r="I1339" s="16"/>
    </row>
    <row r="1340" spans="3:9" ht="13.5" customHeight="1" x14ac:dyDescent="0.25">
      <c r="C1340" s="35"/>
      <c r="D1340" s="35"/>
      <c r="E1340" s="65"/>
      <c r="F1340" s="69"/>
      <c r="G1340" s="35"/>
      <c r="H1340" s="35"/>
      <c r="I1340" s="35"/>
    </row>
    <row r="1341" spans="3:9" ht="13.5" customHeight="1" x14ac:dyDescent="0.25">
      <c r="C1341" s="16"/>
      <c r="D1341" s="16"/>
      <c r="E1341" s="64"/>
      <c r="F1341" s="64"/>
      <c r="G1341" s="16"/>
      <c r="H1341" s="16"/>
      <c r="I1341" s="16"/>
    </row>
    <row r="1342" spans="3:9" ht="13.5" customHeight="1" x14ac:dyDescent="0.25">
      <c r="C1342" s="35"/>
      <c r="D1342" s="35"/>
      <c r="E1342" s="65"/>
      <c r="F1342" s="69"/>
      <c r="G1342" s="35"/>
      <c r="H1342" s="35"/>
      <c r="I1342" s="35"/>
    </row>
    <row r="1343" spans="3:9" ht="13.5" customHeight="1" x14ac:dyDescent="0.25">
      <c r="C1343" s="16"/>
      <c r="D1343" s="16"/>
      <c r="E1343" s="64"/>
      <c r="F1343" s="64"/>
      <c r="G1343" s="16"/>
      <c r="H1343" s="16"/>
      <c r="I1343" s="16"/>
    </row>
    <row r="1344" spans="3:9" ht="13.5" customHeight="1" x14ac:dyDescent="0.25">
      <c r="C1344" s="35"/>
      <c r="D1344" s="35"/>
      <c r="E1344" s="65"/>
      <c r="F1344" s="69"/>
      <c r="G1344" s="35"/>
      <c r="H1344" s="35"/>
      <c r="I1344" s="35"/>
    </row>
    <row r="1345" spans="3:9" ht="13.5" customHeight="1" x14ac:dyDescent="0.25">
      <c r="C1345" s="16"/>
      <c r="D1345" s="16"/>
      <c r="E1345" s="64"/>
      <c r="F1345" s="64"/>
      <c r="G1345" s="16"/>
      <c r="H1345" s="16"/>
      <c r="I1345" s="16"/>
    </row>
    <row r="1346" spans="3:9" ht="13.5" customHeight="1" x14ac:dyDescent="0.25">
      <c r="C1346" s="35"/>
      <c r="D1346" s="35"/>
      <c r="E1346" s="65"/>
      <c r="F1346" s="69"/>
      <c r="G1346" s="35"/>
      <c r="H1346" s="35"/>
      <c r="I1346" s="35"/>
    </row>
    <row r="1347" spans="3:9" ht="13.5" customHeight="1" x14ac:dyDescent="0.25">
      <c r="C1347" s="16"/>
      <c r="D1347" s="16"/>
      <c r="E1347" s="64"/>
      <c r="F1347" s="64"/>
      <c r="G1347" s="16"/>
      <c r="H1347" s="16"/>
      <c r="I1347" s="16"/>
    </row>
    <row r="1348" spans="3:9" ht="13.5" customHeight="1" x14ac:dyDescent="0.25">
      <c r="C1348" s="35"/>
      <c r="D1348" s="35"/>
      <c r="E1348" s="65"/>
      <c r="F1348" s="69"/>
      <c r="G1348" s="35"/>
      <c r="H1348" s="35"/>
      <c r="I1348" s="35"/>
    </row>
    <row r="1349" spans="3:9" ht="13.5" customHeight="1" x14ac:dyDescent="0.25">
      <c r="C1349" s="16"/>
      <c r="D1349" s="16"/>
      <c r="E1349" s="64"/>
      <c r="F1349" s="64"/>
      <c r="G1349" s="16"/>
      <c r="H1349" s="16"/>
      <c r="I1349" s="16"/>
    </row>
    <row r="1350" spans="3:9" ht="13.5" customHeight="1" x14ac:dyDescent="0.25">
      <c r="C1350" s="35"/>
      <c r="D1350" s="35"/>
      <c r="E1350" s="65"/>
      <c r="F1350" s="69"/>
      <c r="G1350" s="35"/>
      <c r="H1350" s="35"/>
      <c r="I1350" s="35"/>
    </row>
    <row r="1351" spans="3:9" ht="13.5" customHeight="1" x14ac:dyDescent="0.25">
      <c r="C1351" s="16"/>
      <c r="D1351" s="16"/>
      <c r="E1351" s="64"/>
      <c r="F1351" s="64"/>
      <c r="G1351" s="16"/>
      <c r="H1351" s="16"/>
      <c r="I1351" s="16"/>
    </row>
    <row r="1352" spans="3:9" ht="13.5" customHeight="1" x14ac:dyDescent="0.25">
      <c r="C1352" s="35"/>
      <c r="D1352" s="35"/>
      <c r="E1352" s="65"/>
      <c r="F1352" s="69"/>
      <c r="G1352" s="35"/>
      <c r="H1352" s="35"/>
      <c r="I1352" s="35"/>
    </row>
    <row r="1353" spans="3:9" ht="13.5" customHeight="1" x14ac:dyDescent="0.25">
      <c r="C1353" s="16"/>
      <c r="D1353" s="16"/>
      <c r="E1353" s="64"/>
      <c r="F1353" s="64"/>
      <c r="G1353" s="16"/>
      <c r="H1353" s="16"/>
      <c r="I1353" s="16"/>
    </row>
    <row r="1354" spans="3:9" ht="13.5" customHeight="1" x14ac:dyDescent="0.25">
      <c r="C1354" s="35"/>
      <c r="D1354" s="35"/>
      <c r="E1354" s="65"/>
      <c r="F1354" s="69"/>
      <c r="G1354" s="35"/>
      <c r="H1354" s="35"/>
      <c r="I1354" s="35"/>
    </row>
    <row r="1355" spans="3:9" ht="13.5" customHeight="1" x14ac:dyDescent="0.25">
      <c r="C1355" s="16"/>
      <c r="D1355" s="16"/>
      <c r="E1355" s="64"/>
      <c r="F1355" s="64"/>
      <c r="G1355" s="16"/>
      <c r="H1355" s="16"/>
      <c r="I1355" s="16"/>
    </row>
    <row r="1356" spans="3:9" ht="13.5" customHeight="1" x14ac:dyDescent="0.25">
      <c r="C1356" s="35"/>
      <c r="D1356" s="35"/>
      <c r="E1356" s="65"/>
      <c r="F1356" s="69"/>
      <c r="G1356" s="35"/>
      <c r="H1356" s="35"/>
      <c r="I1356" s="35"/>
    </row>
    <row r="1357" spans="3:9" ht="13.5" customHeight="1" x14ac:dyDescent="0.25">
      <c r="C1357" s="16"/>
      <c r="D1357" s="16"/>
      <c r="E1357" s="64"/>
      <c r="F1357" s="64"/>
      <c r="G1357" s="16"/>
      <c r="H1357" s="16"/>
      <c r="I1357" s="16"/>
    </row>
    <row r="1358" spans="3:9" ht="13.5" customHeight="1" x14ac:dyDescent="0.25">
      <c r="C1358" s="35"/>
      <c r="D1358" s="35"/>
      <c r="E1358" s="65"/>
      <c r="F1358" s="69"/>
      <c r="G1358" s="35"/>
      <c r="H1358" s="35"/>
      <c r="I1358" s="35"/>
    </row>
    <row r="1359" spans="3:9" ht="13.5" customHeight="1" x14ac:dyDescent="0.25">
      <c r="C1359" s="16"/>
      <c r="D1359" s="16"/>
      <c r="E1359" s="64"/>
      <c r="F1359" s="64"/>
      <c r="G1359" s="16"/>
      <c r="H1359" s="16"/>
      <c r="I1359" s="16"/>
    </row>
    <row r="1360" spans="3:9" ht="13.5" customHeight="1" x14ac:dyDescent="0.25">
      <c r="C1360" s="35"/>
      <c r="D1360" s="35"/>
      <c r="E1360" s="65"/>
      <c r="F1360" s="69"/>
      <c r="G1360" s="35"/>
      <c r="H1360" s="35"/>
      <c r="I1360" s="35"/>
    </row>
    <row r="1361" spans="3:9" ht="13.5" customHeight="1" x14ac:dyDescent="0.25">
      <c r="C1361" s="16"/>
      <c r="D1361" s="16"/>
      <c r="E1361" s="64"/>
      <c r="F1361" s="64"/>
      <c r="G1361" s="16"/>
      <c r="H1361" s="16"/>
      <c r="I1361" s="16"/>
    </row>
    <row r="1362" spans="3:9" ht="13.5" customHeight="1" x14ac:dyDescent="0.25">
      <c r="C1362" s="35"/>
      <c r="D1362" s="35"/>
      <c r="E1362" s="65"/>
      <c r="F1362" s="69"/>
      <c r="G1362" s="35"/>
      <c r="H1362" s="35"/>
      <c r="I1362" s="35"/>
    </row>
    <row r="1363" spans="3:9" ht="13.5" customHeight="1" x14ac:dyDescent="0.25">
      <c r="C1363" s="16"/>
      <c r="D1363" s="16"/>
      <c r="E1363" s="64"/>
      <c r="F1363" s="64"/>
      <c r="G1363" s="16"/>
      <c r="H1363" s="16"/>
      <c r="I1363" s="16"/>
    </row>
    <row r="1364" spans="3:9" ht="13.5" customHeight="1" x14ac:dyDescent="0.25">
      <c r="C1364" s="35"/>
      <c r="D1364" s="35"/>
      <c r="E1364" s="65"/>
      <c r="F1364" s="69"/>
      <c r="G1364" s="35"/>
      <c r="H1364" s="35"/>
      <c r="I1364" s="35"/>
    </row>
    <row r="1365" spans="3:9" ht="13.5" customHeight="1" x14ac:dyDescent="0.25">
      <c r="C1365" s="16"/>
      <c r="D1365" s="16"/>
      <c r="E1365" s="64"/>
      <c r="F1365" s="64"/>
      <c r="G1365" s="16"/>
      <c r="H1365" s="16"/>
      <c r="I1365" s="16"/>
    </row>
    <row r="1366" spans="3:9" ht="13.5" customHeight="1" x14ac:dyDescent="0.25">
      <c r="C1366" s="35"/>
      <c r="D1366" s="35"/>
      <c r="E1366" s="65"/>
      <c r="F1366" s="69"/>
      <c r="G1366" s="35"/>
      <c r="H1366" s="35"/>
      <c r="I1366" s="35"/>
    </row>
    <row r="1367" spans="3:9" ht="13.5" customHeight="1" x14ac:dyDescent="0.25">
      <c r="C1367" s="16"/>
      <c r="D1367" s="16"/>
      <c r="E1367" s="64"/>
      <c r="F1367" s="64"/>
      <c r="G1367" s="16"/>
      <c r="H1367" s="16"/>
      <c r="I1367" s="16"/>
    </row>
    <row r="1368" spans="3:9" ht="13.5" customHeight="1" x14ac:dyDescent="0.25">
      <c r="C1368" s="35"/>
      <c r="D1368" s="35"/>
      <c r="E1368" s="65"/>
      <c r="F1368" s="69"/>
      <c r="G1368" s="35"/>
      <c r="H1368" s="35"/>
      <c r="I1368" s="35"/>
    </row>
    <row r="1369" spans="3:9" ht="13.5" customHeight="1" x14ac:dyDescent="0.25">
      <c r="C1369" s="16"/>
      <c r="D1369" s="16"/>
      <c r="E1369" s="64"/>
      <c r="F1369" s="64"/>
      <c r="G1369" s="16"/>
      <c r="H1369" s="16"/>
      <c r="I1369" s="16"/>
    </row>
    <row r="1370" spans="3:9" ht="13.5" customHeight="1" x14ac:dyDescent="0.25">
      <c r="C1370" s="35"/>
      <c r="D1370" s="35"/>
      <c r="E1370" s="65"/>
      <c r="F1370" s="69"/>
      <c r="G1370" s="35"/>
      <c r="H1370" s="35"/>
      <c r="I1370" s="35"/>
    </row>
    <row r="1371" spans="3:9" ht="13.5" customHeight="1" x14ac:dyDescent="0.25">
      <c r="C1371" s="16"/>
      <c r="D1371" s="16"/>
      <c r="E1371" s="64"/>
      <c r="F1371" s="64"/>
      <c r="G1371" s="16"/>
      <c r="H1371" s="16"/>
      <c r="I1371" s="16"/>
    </row>
    <row r="1372" spans="3:9" ht="13.5" customHeight="1" x14ac:dyDescent="0.25">
      <c r="C1372" s="35"/>
      <c r="D1372" s="35"/>
      <c r="E1372" s="65"/>
      <c r="F1372" s="69"/>
      <c r="G1372" s="35"/>
      <c r="H1372" s="35"/>
      <c r="I1372" s="35"/>
    </row>
    <row r="1373" spans="3:9" ht="13.5" customHeight="1" x14ac:dyDescent="0.25">
      <c r="C1373" s="16"/>
      <c r="D1373" s="16"/>
      <c r="E1373" s="64"/>
      <c r="F1373" s="64"/>
      <c r="G1373" s="16"/>
      <c r="H1373" s="16"/>
      <c r="I1373" s="16"/>
    </row>
    <row r="1374" spans="3:9" ht="13.5" customHeight="1" x14ac:dyDescent="0.25">
      <c r="C1374" s="35"/>
      <c r="D1374" s="35"/>
      <c r="E1374" s="65"/>
      <c r="F1374" s="69"/>
      <c r="G1374" s="35"/>
      <c r="H1374" s="35"/>
      <c r="I1374" s="35"/>
    </row>
    <row r="1375" spans="3:9" ht="13.5" customHeight="1" x14ac:dyDescent="0.25">
      <c r="C1375" s="16"/>
      <c r="D1375" s="16"/>
      <c r="E1375" s="64"/>
      <c r="F1375" s="64"/>
      <c r="G1375" s="16"/>
      <c r="H1375" s="16"/>
      <c r="I1375" s="16"/>
    </row>
    <row r="1376" spans="3:9" ht="13.5" customHeight="1" x14ac:dyDescent="0.25">
      <c r="C1376" s="35"/>
      <c r="D1376" s="35"/>
      <c r="E1376" s="65"/>
      <c r="F1376" s="69"/>
      <c r="G1376" s="35"/>
      <c r="H1376" s="35"/>
      <c r="I1376" s="35"/>
    </row>
    <row r="1377" spans="3:9" ht="13.5" customHeight="1" x14ac:dyDescent="0.25">
      <c r="C1377" s="16"/>
      <c r="D1377" s="16"/>
      <c r="E1377" s="64"/>
      <c r="F1377" s="64"/>
      <c r="G1377" s="16"/>
      <c r="H1377" s="16"/>
      <c r="I1377" s="16"/>
    </row>
    <row r="1378" spans="3:9" ht="13.5" customHeight="1" x14ac:dyDescent="0.25">
      <c r="C1378" s="35"/>
      <c r="D1378" s="35"/>
      <c r="E1378" s="65"/>
      <c r="F1378" s="69"/>
      <c r="G1378" s="35"/>
      <c r="H1378" s="35"/>
      <c r="I1378" s="35"/>
    </row>
    <row r="1379" spans="3:9" ht="13.5" customHeight="1" x14ac:dyDescent="0.25">
      <c r="C1379" s="16"/>
      <c r="D1379" s="16"/>
      <c r="E1379" s="64"/>
      <c r="F1379" s="64"/>
      <c r="G1379" s="16"/>
      <c r="H1379" s="16"/>
      <c r="I1379" s="16"/>
    </row>
    <row r="1380" spans="3:9" ht="13.5" customHeight="1" x14ac:dyDescent="0.25">
      <c r="C1380" s="35"/>
      <c r="D1380" s="35"/>
      <c r="E1380" s="65"/>
      <c r="F1380" s="69"/>
      <c r="G1380" s="35"/>
      <c r="H1380" s="35"/>
      <c r="I1380" s="35"/>
    </row>
    <row r="1381" spans="3:9" ht="13.5" customHeight="1" x14ac:dyDescent="0.25">
      <c r="C1381" s="16"/>
      <c r="D1381" s="16"/>
      <c r="E1381" s="64"/>
      <c r="F1381" s="64"/>
      <c r="G1381" s="16"/>
      <c r="H1381" s="16"/>
      <c r="I1381" s="16"/>
    </row>
    <row r="1382" spans="3:9" ht="13.5" customHeight="1" x14ac:dyDescent="0.25">
      <c r="C1382" s="35"/>
      <c r="D1382" s="35"/>
      <c r="E1382" s="65"/>
      <c r="F1382" s="69"/>
      <c r="G1382" s="35"/>
      <c r="H1382" s="35"/>
      <c r="I1382" s="35"/>
    </row>
    <row r="1383" spans="3:9" ht="13.5" customHeight="1" x14ac:dyDescent="0.25">
      <c r="C1383" s="16"/>
      <c r="D1383" s="16"/>
      <c r="E1383" s="64"/>
      <c r="F1383" s="64"/>
      <c r="G1383" s="16"/>
      <c r="H1383" s="16"/>
      <c r="I1383" s="16"/>
    </row>
    <row r="1384" spans="3:9" ht="13.5" customHeight="1" x14ac:dyDescent="0.25">
      <c r="C1384" s="35"/>
      <c r="D1384" s="35"/>
      <c r="E1384" s="65"/>
      <c r="F1384" s="69"/>
      <c r="G1384" s="35"/>
      <c r="H1384" s="35"/>
      <c r="I1384" s="35"/>
    </row>
    <row r="1385" spans="3:9" ht="13.5" customHeight="1" x14ac:dyDescent="0.25">
      <c r="C1385" s="16"/>
      <c r="D1385" s="16"/>
      <c r="E1385" s="64"/>
      <c r="F1385" s="64"/>
      <c r="G1385" s="16"/>
      <c r="H1385" s="16"/>
      <c r="I1385" s="16"/>
    </row>
    <row r="1386" spans="3:9" ht="13.5" customHeight="1" x14ac:dyDescent="0.25">
      <c r="C1386" s="35"/>
      <c r="D1386" s="35"/>
      <c r="E1386" s="65"/>
      <c r="F1386" s="69"/>
      <c r="G1386" s="35"/>
      <c r="H1386" s="35"/>
      <c r="I1386" s="35"/>
    </row>
    <row r="1387" spans="3:9" ht="13.5" customHeight="1" x14ac:dyDescent="0.25">
      <c r="C1387" s="16"/>
      <c r="D1387" s="16"/>
      <c r="E1387" s="64"/>
      <c r="F1387" s="64"/>
      <c r="G1387" s="16"/>
      <c r="H1387" s="16"/>
      <c r="I1387" s="16"/>
    </row>
    <row r="1388" spans="3:9" ht="13.5" customHeight="1" x14ac:dyDescent="0.25">
      <c r="C1388" s="35"/>
      <c r="D1388" s="35"/>
      <c r="E1388" s="65"/>
      <c r="F1388" s="69"/>
      <c r="G1388" s="35"/>
      <c r="H1388" s="35"/>
      <c r="I1388" s="35"/>
    </row>
    <row r="1389" spans="3:9" ht="13.5" customHeight="1" x14ac:dyDescent="0.25">
      <c r="C1389" s="16"/>
      <c r="D1389" s="16"/>
      <c r="E1389" s="64"/>
      <c r="F1389" s="64"/>
      <c r="G1389" s="16"/>
      <c r="H1389" s="16"/>
      <c r="I1389" s="16"/>
    </row>
    <row r="1390" spans="3:9" ht="13.5" customHeight="1" x14ac:dyDescent="0.25">
      <c r="C1390" s="35"/>
      <c r="D1390" s="35"/>
      <c r="E1390" s="65"/>
      <c r="F1390" s="69"/>
      <c r="G1390" s="35"/>
      <c r="H1390" s="35"/>
      <c r="I1390" s="35"/>
    </row>
    <row r="1391" spans="3:9" ht="13.5" customHeight="1" x14ac:dyDescent="0.25">
      <c r="C1391" s="16"/>
      <c r="D1391" s="16"/>
      <c r="E1391" s="64"/>
      <c r="F1391" s="64"/>
      <c r="G1391" s="16"/>
      <c r="H1391" s="16"/>
      <c r="I1391" s="16"/>
    </row>
    <row r="1392" spans="3:9" ht="13.5" customHeight="1" x14ac:dyDescent="0.25">
      <c r="C1392" s="35"/>
      <c r="D1392" s="35"/>
      <c r="E1392" s="65"/>
      <c r="F1392" s="69"/>
      <c r="G1392" s="35"/>
      <c r="H1392" s="35"/>
      <c r="I1392" s="35"/>
    </row>
    <row r="1393" spans="3:9" ht="13.5" customHeight="1" x14ac:dyDescent="0.25">
      <c r="C1393" s="16"/>
      <c r="D1393" s="16"/>
      <c r="E1393" s="64"/>
      <c r="F1393" s="64"/>
      <c r="G1393" s="16"/>
      <c r="H1393" s="16"/>
      <c r="I1393" s="16"/>
    </row>
    <row r="1394" spans="3:9" ht="13.5" customHeight="1" x14ac:dyDescent="0.25">
      <c r="C1394" s="35"/>
      <c r="D1394" s="35"/>
      <c r="E1394" s="65"/>
      <c r="F1394" s="69"/>
      <c r="G1394" s="35"/>
      <c r="H1394" s="35"/>
      <c r="I1394" s="35"/>
    </row>
    <row r="1395" spans="3:9" ht="13.5" customHeight="1" x14ac:dyDescent="0.25">
      <c r="C1395" s="16"/>
      <c r="D1395" s="16"/>
      <c r="E1395" s="64"/>
      <c r="F1395" s="64"/>
      <c r="G1395" s="16"/>
      <c r="H1395" s="16"/>
      <c r="I1395" s="16"/>
    </row>
    <row r="1396" spans="3:9" ht="13.5" customHeight="1" x14ac:dyDescent="0.25">
      <c r="C1396" s="35"/>
      <c r="D1396" s="35"/>
      <c r="E1396" s="65"/>
      <c r="F1396" s="69"/>
      <c r="G1396" s="35"/>
      <c r="H1396" s="35"/>
      <c r="I1396" s="35"/>
    </row>
    <row r="1397" spans="3:9" ht="13.5" customHeight="1" x14ac:dyDescent="0.25">
      <c r="C1397" s="16"/>
      <c r="D1397" s="16"/>
      <c r="E1397" s="64"/>
      <c r="F1397" s="64"/>
      <c r="G1397" s="16"/>
      <c r="H1397" s="16"/>
      <c r="I1397" s="16"/>
    </row>
    <row r="1398" spans="3:9" ht="13.5" customHeight="1" x14ac:dyDescent="0.25">
      <c r="C1398" s="35"/>
      <c r="D1398" s="35"/>
      <c r="E1398" s="65"/>
      <c r="F1398" s="69"/>
      <c r="G1398" s="35"/>
      <c r="H1398" s="35"/>
      <c r="I1398" s="35"/>
    </row>
    <row r="1399" spans="3:9" ht="13.5" customHeight="1" x14ac:dyDescent="0.25">
      <c r="C1399" s="16"/>
      <c r="D1399" s="16"/>
      <c r="E1399" s="64"/>
      <c r="F1399" s="64"/>
      <c r="G1399" s="16"/>
      <c r="H1399" s="16"/>
      <c r="I1399" s="16"/>
    </row>
    <row r="1400" spans="3:9" ht="13.5" customHeight="1" x14ac:dyDescent="0.25">
      <c r="C1400" s="35"/>
      <c r="D1400" s="35"/>
      <c r="E1400" s="65"/>
      <c r="F1400" s="69"/>
      <c r="G1400" s="35"/>
      <c r="H1400" s="35"/>
      <c r="I1400" s="35"/>
    </row>
    <row r="1401" spans="3:9" ht="13.5" customHeight="1" x14ac:dyDescent="0.25">
      <c r="C1401" s="16"/>
      <c r="D1401" s="16"/>
      <c r="E1401" s="64"/>
      <c r="F1401" s="64"/>
      <c r="G1401" s="16"/>
      <c r="H1401" s="16"/>
      <c r="I1401" s="16"/>
    </row>
    <row r="1402" spans="3:9" ht="13.5" customHeight="1" x14ac:dyDescent="0.25">
      <c r="C1402" s="35"/>
      <c r="D1402" s="35"/>
      <c r="E1402" s="65"/>
      <c r="F1402" s="69"/>
      <c r="G1402" s="35"/>
      <c r="H1402" s="35"/>
      <c r="I1402" s="35"/>
    </row>
    <row r="1403" spans="3:9" ht="13.5" customHeight="1" x14ac:dyDescent="0.25">
      <c r="C1403" s="16"/>
      <c r="D1403" s="16"/>
      <c r="E1403" s="64"/>
      <c r="F1403" s="64"/>
      <c r="G1403" s="16"/>
      <c r="H1403" s="16"/>
      <c r="I1403" s="16"/>
    </row>
    <row r="1404" spans="3:9" ht="13.5" customHeight="1" x14ac:dyDescent="0.25">
      <c r="C1404" s="35"/>
      <c r="D1404" s="35"/>
      <c r="E1404" s="65"/>
      <c r="F1404" s="69"/>
      <c r="G1404" s="35"/>
      <c r="H1404" s="35"/>
      <c r="I1404" s="35"/>
    </row>
    <row r="1405" spans="3:9" ht="13.5" customHeight="1" x14ac:dyDescent="0.25">
      <c r="C1405" s="16"/>
      <c r="D1405" s="16"/>
      <c r="E1405" s="64"/>
      <c r="F1405" s="64"/>
      <c r="G1405" s="16"/>
      <c r="H1405" s="16"/>
      <c r="I1405" s="16"/>
    </row>
    <row r="1406" spans="3:9" ht="13.5" customHeight="1" x14ac:dyDescent="0.25">
      <c r="C1406" s="35"/>
      <c r="D1406" s="35"/>
      <c r="E1406" s="65"/>
      <c r="F1406" s="69"/>
      <c r="G1406" s="35"/>
      <c r="H1406" s="35"/>
      <c r="I1406" s="35"/>
    </row>
    <row r="1407" spans="3:9" ht="13.5" customHeight="1" x14ac:dyDescent="0.25">
      <c r="C1407" s="16"/>
      <c r="D1407" s="16"/>
      <c r="E1407" s="64"/>
      <c r="F1407" s="64"/>
      <c r="G1407" s="16"/>
      <c r="H1407" s="16"/>
      <c r="I1407" s="16"/>
    </row>
    <row r="1408" spans="3:9" ht="13.5" customHeight="1" x14ac:dyDescent="0.25">
      <c r="C1408" s="35"/>
      <c r="D1408" s="35"/>
      <c r="E1408" s="65"/>
      <c r="F1408" s="69"/>
      <c r="G1408" s="35"/>
      <c r="H1408" s="35"/>
      <c r="I1408" s="35"/>
    </row>
    <row r="1409" spans="3:9" ht="13.5" customHeight="1" x14ac:dyDescent="0.25">
      <c r="C1409" s="16"/>
      <c r="D1409" s="16"/>
      <c r="E1409" s="64"/>
      <c r="F1409" s="64"/>
      <c r="G1409" s="16"/>
      <c r="H1409" s="16"/>
      <c r="I1409" s="16"/>
    </row>
    <row r="1410" spans="3:9" ht="13.5" customHeight="1" x14ac:dyDescent="0.25">
      <c r="C1410" s="35"/>
      <c r="D1410" s="35"/>
      <c r="E1410" s="65"/>
      <c r="F1410" s="69"/>
      <c r="G1410" s="35"/>
      <c r="H1410" s="35"/>
      <c r="I1410" s="35"/>
    </row>
    <row r="1411" spans="3:9" ht="13.5" customHeight="1" x14ac:dyDescent="0.25">
      <c r="C1411" s="16"/>
      <c r="D1411" s="16"/>
      <c r="E1411" s="64"/>
      <c r="F1411" s="64"/>
      <c r="G1411" s="16"/>
      <c r="H1411" s="16"/>
      <c r="I1411" s="16"/>
    </row>
    <row r="1412" spans="3:9" ht="13.5" customHeight="1" x14ac:dyDescent="0.25">
      <c r="C1412" s="35"/>
      <c r="D1412" s="35"/>
      <c r="E1412" s="65"/>
      <c r="F1412" s="69"/>
      <c r="G1412" s="35"/>
      <c r="H1412" s="35"/>
      <c r="I1412" s="35"/>
    </row>
    <row r="1413" spans="3:9" ht="13.5" customHeight="1" x14ac:dyDescent="0.25">
      <c r="C1413" s="16"/>
      <c r="D1413" s="16"/>
      <c r="E1413" s="64"/>
      <c r="F1413" s="64"/>
      <c r="G1413" s="16"/>
      <c r="H1413" s="16"/>
      <c r="I1413" s="16"/>
    </row>
    <row r="1414" spans="3:9" ht="13.5" customHeight="1" x14ac:dyDescent="0.25">
      <c r="C1414" s="35"/>
      <c r="D1414" s="35"/>
      <c r="E1414" s="65"/>
      <c r="F1414" s="69"/>
      <c r="G1414" s="35"/>
      <c r="H1414" s="35"/>
      <c r="I1414" s="35"/>
    </row>
    <row r="1415" spans="3:9" ht="13.5" customHeight="1" x14ac:dyDescent="0.25">
      <c r="C1415" s="16"/>
      <c r="D1415" s="16"/>
      <c r="E1415" s="64"/>
      <c r="F1415" s="64"/>
      <c r="G1415" s="16"/>
      <c r="H1415" s="16"/>
      <c r="I1415" s="16"/>
    </row>
    <row r="1416" spans="3:9" ht="13.5" customHeight="1" x14ac:dyDescent="0.25">
      <c r="C1416" s="35"/>
      <c r="D1416" s="35"/>
      <c r="E1416" s="65"/>
      <c r="F1416" s="69"/>
      <c r="G1416" s="35"/>
      <c r="H1416" s="35"/>
      <c r="I1416" s="35"/>
    </row>
    <row r="1417" spans="3:9" ht="13.5" customHeight="1" x14ac:dyDescent="0.25">
      <c r="C1417" s="16"/>
      <c r="D1417" s="16"/>
      <c r="E1417" s="64"/>
      <c r="F1417" s="64"/>
      <c r="G1417" s="16"/>
      <c r="H1417" s="16"/>
      <c r="I1417" s="16"/>
    </row>
    <row r="1418" spans="3:9" ht="13.5" customHeight="1" x14ac:dyDescent="0.25">
      <c r="C1418" s="35"/>
      <c r="D1418" s="35"/>
      <c r="E1418" s="65"/>
      <c r="F1418" s="69"/>
      <c r="G1418" s="35"/>
      <c r="H1418" s="35"/>
      <c r="I1418" s="35"/>
    </row>
    <row r="1419" spans="3:9" ht="13.5" customHeight="1" x14ac:dyDescent="0.25">
      <c r="C1419" s="16"/>
      <c r="D1419" s="16"/>
      <c r="E1419" s="64"/>
      <c r="F1419" s="64"/>
      <c r="G1419" s="16"/>
      <c r="H1419" s="16"/>
      <c r="I1419" s="16"/>
    </row>
    <row r="1420" spans="3:9" ht="13.5" customHeight="1" x14ac:dyDescent="0.25">
      <c r="C1420" s="35"/>
      <c r="D1420" s="35"/>
      <c r="E1420" s="65"/>
      <c r="F1420" s="69"/>
      <c r="G1420" s="35"/>
      <c r="H1420" s="35"/>
      <c r="I1420" s="35"/>
    </row>
    <row r="1421" spans="3:9" ht="13.5" customHeight="1" x14ac:dyDescent="0.25">
      <c r="C1421" s="16"/>
      <c r="D1421" s="16"/>
      <c r="E1421" s="64"/>
      <c r="F1421" s="64"/>
      <c r="G1421" s="16"/>
      <c r="H1421" s="16"/>
      <c r="I1421" s="16"/>
    </row>
    <row r="1422" spans="3:9" ht="13.5" customHeight="1" x14ac:dyDescent="0.25">
      <c r="C1422" s="35"/>
      <c r="D1422" s="35"/>
      <c r="E1422" s="65"/>
      <c r="F1422" s="69"/>
      <c r="G1422" s="35"/>
      <c r="H1422" s="35"/>
      <c r="I1422" s="35"/>
    </row>
    <row r="1423" spans="3:9" ht="13.5" customHeight="1" x14ac:dyDescent="0.25">
      <c r="C1423" s="16"/>
      <c r="D1423" s="16"/>
      <c r="E1423" s="64"/>
      <c r="F1423" s="64"/>
      <c r="G1423" s="16"/>
      <c r="H1423" s="16"/>
      <c r="I1423" s="16"/>
    </row>
    <row r="1424" spans="3:9" ht="13.5" customHeight="1" x14ac:dyDescent="0.25">
      <c r="C1424" s="35"/>
      <c r="D1424" s="35"/>
      <c r="E1424" s="65"/>
      <c r="F1424" s="69"/>
      <c r="G1424" s="35"/>
      <c r="H1424" s="35"/>
      <c r="I1424" s="35"/>
    </row>
    <row r="1425" spans="3:9" ht="13.5" customHeight="1" x14ac:dyDescent="0.25">
      <c r="C1425" s="16"/>
      <c r="D1425" s="16"/>
      <c r="E1425" s="64"/>
      <c r="F1425" s="64"/>
      <c r="G1425" s="16"/>
      <c r="H1425" s="16"/>
      <c r="I1425" s="16"/>
    </row>
    <row r="1426" spans="3:9" ht="13.5" customHeight="1" x14ac:dyDescent="0.25">
      <c r="C1426" s="35"/>
      <c r="D1426" s="35"/>
      <c r="E1426" s="65"/>
      <c r="F1426" s="69"/>
      <c r="G1426" s="35"/>
      <c r="H1426" s="35"/>
      <c r="I1426" s="35"/>
    </row>
    <row r="1427" spans="3:9" ht="13.5" customHeight="1" x14ac:dyDescent="0.25">
      <c r="C1427" s="16"/>
      <c r="D1427" s="16"/>
      <c r="E1427" s="64"/>
      <c r="F1427" s="64"/>
      <c r="G1427" s="16"/>
      <c r="H1427" s="16"/>
      <c r="I1427" s="16"/>
    </row>
    <row r="1428" spans="3:9" ht="13.5" customHeight="1" x14ac:dyDescent="0.25">
      <c r="C1428" s="35"/>
      <c r="D1428" s="35"/>
      <c r="E1428" s="65"/>
      <c r="F1428" s="69"/>
      <c r="G1428" s="35"/>
      <c r="H1428" s="35"/>
      <c r="I1428" s="35"/>
    </row>
    <row r="1429" spans="3:9" ht="13.5" customHeight="1" x14ac:dyDescent="0.25">
      <c r="C1429" s="16"/>
      <c r="D1429" s="16"/>
      <c r="E1429" s="64"/>
      <c r="F1429" s="64"/>
      <c r="G1429" s="16"/>
      <c r="H1429" s="16"/>
      <c r="I1429" s="16"/>
    </row>
    <row r="1430" spans="3:9" ht="13.5" customHeight="1" x14ac:dyDescent="0.25">
      <c r="C1430" s="35"/>
      <c r="D1430" s="35"/>
      <c r="E1430" s="65"/>
      <c r="F1430" s="69"/>
      <c r="G1430" s="35"/>
      <c r="H1430" s="35"/>
      <c r="I1430" s="35"/>
    </row>
    <row r="1431" spans="3:9" ht="13.5" customHeight="1" x14ac:dyDescent="0.25">
      <c r="C1431" s="16"/>
      <c r="D1431" s="16"/>
      <c r="E1431" s="64"/>
      <c r="F1431" s="64"/>
      <c r="G1431" s="16"/>
      <c r="H1431" s="16"/>
      <c r="I1431" s="16"/>
    </row>
    <row r="1432" spans="3:9" ht="13.5" customHeight="1" x14ac:dyDescent="0.25">
      <c r="C1432" s="35"/>
      <c r="D1432" s="35"/>
      <c r="E1432" s="65"/>
      <c r="F1432" s="69"/>
      <c r="G1432" s="35"/>
      <c r="H1432" s="35"/>
      <c r="I1432" s="35"/>
    </row>
    <row r="1433" spans="3:9" ht="13.5" customHeight="1" x14ac:dyDescent="0.25">
      <c r="C1433" s="16"/>
      <c r="D1433" s="16"/>
      <c r="E1433" s="64"/>
      <c r="F1433" s="64"/>
      <c r="G1433" s="16"/>
      <c r="H1433" s="16"/>
      <c r="I1433" s="16"/>
    </row>
    <row r="1434" spans="3:9" ht="13.5" customHeight="1" x14ac:dyDescent="0.25">
      <c r="C1434" s="35"/>
      <c r="D1434" s="35"/>
      <c r="E1434" s="65"/>
      <c r="F1434" s="69"/>
      <c r="G1434" s="35"/>
      <c r="H1434" s="35"/>
      <c r="I1434" s="35"/>
    </row>
    <row r="1435" spans="3:9" ht="13.5" customHeight="1" x14ac:dyDescent="0.25">
      <c r="C1435" s="16"/>
      <c r="D1435" s="16"/>
      <c r="E1435" s="64"/>
      <c r="F1435" s="64"/>
      <c r="G1435" s="16"/>
      <c r="H1435" s="16"/>
      <c r="I1435" s="16"/>
    </row>
    <row r="1436" spans="3:9" ht="13.5" customHeight="1" x14ac:dyDescent="0.25">
      <c r="C1436" s="35"/>
      <c r="D1436" s="35"/>
      <c r="E1436" s="65"/>
      <c r="F1436" s="69"/>
      <c r="G1436" s="35"/>
      <c r="H1436" s="35"/>
      <c r="I1436" s="35"/>
    </row>
    <row r="1437" spans="3:9" ht="13.5" customHeight="1" x14ac:dyDescent="0.25">
      <c r="C1437" s="16"/>
      <c r="D1437" s="16"/>
      <c r="E1437" s="64"/>
      <c r="F1437" s="64"/>
      <c r="G1437" s="16"/>
      <c r="H1437" s="16"/>
      <c r="I1437" s="16"/>
    </row>
    <row r="1438" spans="3:9" ht="13.5" customHeight="1" x14ac:dyDescent="0.25">
      <c r="C1438" s="35"/>
      <c r="D1438" s="35"/>
      <c r="E1438" s="65"/>
      <c r="F1438" s="69"/>
      <c r="G1438" s="35"/>
      <c r="H1438" s="35"/>
      <c r="I1438" s="35"/>
    </row>
    <row r="1439" spans="3:9" ht="13.5" customHeight="1" x14ac:dyDescent="0.25">
      <c r="C1439" s="16"/>
      <c r="D1439" s="16"/>
      <c r="E1439" s="64"/>
      <c r="F1439" s="64"/>
      <c r="G1439" s="16"/>
      <c r="H1439" s="16"/>
      <c r="I1439" s="16"/>
    </row>
    <row r="1440" spans="3:9" ht="13.5" customHeight="1" x14ac:dyDescent="0.25">
      <c r="C1440" s="35"/>
      <c r="D1440" s="35"/>
      <c r="E1440" s="65"/>
      <c r="F1440" s="69"/>
      <c r="G1440" s="35"/>
      <c r="H1440" s="35"/>
      <c r="I1440" s="35"/>
    </row>
    <row r="1441" spans="3:9" ht="13.5" customHeight="1" x14ac:dyDescent="0.25">
      <c r="C1441" s="16"/>
      <c r="D1441" s="16"/>
      <c r="E1441" s="64"/>
      <c r="F1441" s="64"/>
      <c r="G1441" s="16"/>
      <c r="H1441" s="16"/>
      <c r="I1441" s="16"/>
    </row>
    <row r="1442" spans="3:9" ht="13.5" customHeight="1" x14ac:dyDescent="0.25">
      <c r="C1442" s="35"/>
      <c r="D1442" s="35"/>
      <c r="E1442" s="65"/>
      <c r="F1442" s="69"/>
      <c r="G1442" s="35"/>
      <c r="H1442" s="35"/>
      <c r="I1442" s="35"/>
    </row>
    <row r="1443" spans="3:9" ht="13.5" customHeight="1" x14ac:dyDescent="0.25">
      <c r="C1443" s="16"/>
      <c r="D1443" s="16"/>
      <c r="E1443" s="64"/>
      <c r="F1443" s="64"/>
      <c r="G1443" s="16"/>
      <c r="H1443" s="16"/>
      <c r="I1443" s="16"/>
    </row>
    <row r="1444" spans="3:9" ht="13.5" customHeight="1" x14ac:dyDescent="0.25">
      <c r="C1444" s="35"/>
      <c r="D1444" s="35"/>
      <c r="E1444" s="65"/>
      <c r="F1444" s="69"/>
      <c r="G1444" s="35"/>
      <c r="H1444" s="35"/>
      <c r="I1444" s="35"/>
    </row>
    <row r="1445" spans="3:9" ht="13.5" customHeight="1" x14ac:dyDescent="0.25">
      <c r="C1445" s="16"/>
      <c r="D1445" s="16"/>
      <c r="E1445" s="64"/>
      <c r="F1445" s="64"/>
      <c r="G1445" s="16"/>
      <c r="H1445" s="16"/>
      <c r="I1445" s="16"/>
    </row>
    <row r="1446" spans="3:9" ht="13.5" customHeight="1" x14ac:dyDescent="0.25">
      <c r="C1446" s="35"/>
      <c r="D1446" s="35"/>
      <c r="E1446" s="65"/>
      <c r="F1446" s="69"/>
      <c r="G1446" s="35"/>
      <c r="H1446" s="35"/>
      <c r="I1446" s="35"/>
    </row>
    <row r="1447" spans="3:9" ht="13.5" customHeight="1" x14ac:dyDescent="0.25">
      <c r="C1447" s="16"/>
      <c r="D1447" s="16"/>
      <c r="E1447" s="64"/>
      <c r="F1447" s="64"/>
      <c r="G1447" s="16"/>
      <c r="H1447" s="16"/>
      <c r="I1447" s="16"/>
    </row>
    <row r="1448" spans="3:9" ht="13.5" customHeight="1" x14ac:dyDescent="0.25">
      <c r="C1448" s="35"/>
      <c r="D1448" s="35"/>
      <c r="E1448" s="65"/>
      <c r="F1448" s="69"/>
      <c r="G1448" s="35"/>
      <c r="H1448" s="35"/>
      <c r="I1448" s="35"/>
    </row>
    <row r="1449" spans="3:9" ht="13.5" customHeight="1" x14ac:dyDescent="0.25">
      <c r="C1449" s="16"/>
      <c r="D1449" s="16"/>
      <c r="E1449" s="64"/>
      <c r="F1449" s="64"/>
      <c r="G1449" s="16"/>
      <c r="H1449" s="16"/>
      <c r="I1449" s="16"/>
    </row>
    <row r="1450" spans="3:9" ht="13.5" customHeight="1" x14ac:dyDescent="0.25">
      <c r="C1450" s="35"/>
      <c r="D1450" s="35"/>
      <c r="E1450" s="65"/>
      <c r="F1450" s="69"/>
      <c r="G1450" s="35"/>
      <c r="H1450" s="35"/>
      <c r="I1450" s="35"/>
    </row>
    <row r="1451" spans="3:9" ht="13.5" customHeight="1" x14ac:dyDescent="0.25">
      <c r="C1451" s="16"/>
      <c r="D1451" s="16"/>
      <c r="E1451" s="64"/>
      <c r="F1451" s="64"/>
      <c r="G1451" s="16"/>
      <c r="H1451" s="16"/>
      <c r="I1451" s="16"/>
    </row>
    <row r="1452" spans="3:9" ht="13.5" customHeight="1" x14ac:dyDescent="0.25">
      <c r="C1452" s="35"/>
      <c r="D1452" s="35"/>
      <c r="E1452" s="65"/>
      <c r="F1452" s="69"/>
      <c r="G1452" s="35"/>
      <c r="H1452" s="35"/>
      <c r="I1452" s="35"/>
    </row>
    <row r="1453" spans="3:9" ht="13.5" customHeight="1" x14ac:dyDescent="0.25">
      <c r="C1453" s="16"/>
      <c r="D1453" s="16"/>
      <c r="E1453" s="64"/>
      <c r="F1453" s="64"/>
      <c r="G1453" s="16"/>
      <c r="H1453" s="16"/>
      <c r="I1453" s="16"/>
    </row>
    <row r="1454" spans="3:9" ht="13.5" customHeight="1" x14ac:dyDescent="0.25">
      <c r="C1454" s="35"/>
      <c r="D1454" s="35"/>
      <c r="E1454" s="65"/>
      <c r="F1454" s="69"/>
      <c r="G1454" s="35"/>
      <c r="H1454" s="35"/>
      <c r="I1454" s="35"/>
    </row>
    <row r="1455" spans="3:9" ht="13.5" customHeight="1" x14ac:dyDescent="0.25">
      <c r="C1455" s="16"/>
      <c r="D1455" s="16"/>
      <c r="E1455" s="64"/>
      <c r="F1455" s="64"/>
      <c r="G1455" s="16"/>
      <c r="H1455" s="16"/>
      <c r="I1455" s="16"/>
    </row>
    <row r="1456" spans="3:9" ht="13.5" customHeight="1" x14ac:dyDescent="0.25">
      <c r="C1456" s="35"/>
      <c r="D1456" s="35"/>
      <c r="E1456" s="65"/>
      <c r="F1456" s="69"/>
      <c r="G1456" s="35"/>
      <c r="H1456" s="35"/>
      <c r="I1456" s="35"/>
    </row>
    <row r="1457" spans="3:9" ht="13.5" customHeight="1" x14ac:dyDescent="0.25">
      <c r="C1457" s="16"/>
      <c r="D1457" s="16"/>
      <c r="E1457" s="64"/>
      <c r="F1457" s="64"/>
      <c r="G1457" s="16"/>
      <c r="H1457" s="16"/>
      <c r="I1457" s="16"/>
    </row>
    <row r="1458" spans="3:9" ht="13.5" customHeight="1" x14ac:dyDescent="0.25">
      <c r="C1458" s="35"/>
      <c r="D1458" s="35"/>
      <c r="E1458" s="65"/>
      <c r="F1458" s="69"/>
      <c r="G1458" s="35"/>
      <c r="H1458" s="35"/>
      <c r="I1458" s="35"/>
    </row>
    <row r="1459" spans="3:9" ht="13.5" customHeight="1" x14ac:dyDescent="0.25">
      <c r="C1459" s="16"/>
      <c r="D1459" s="16"/>
      <c r="E1459" s="64"/>
      <c r="F1459" s="64"/>
      <c r="G1459" s="16"/>
      <c r="H1459" s="16"/>
      <c r="I1459" s="16"/>
    </row>
    <row r="1460" spans="3:9" ht="13.5" customHeight="1" x14ac:dyDescent="0.25">
      <c r="C1460" s="35"/>
      <c r="D1460" s="35"/>
      <c r="E1460" s="65"/>
      <c r="F1460" s="69"/>
      <c r="G1460" s="35"/>
      <c r="H1460" s="35"/>
      <c r="I1460" s="35"/>
    </row>
    <row r="1461" spans="3:9" ht="13.5" customHeight="1" x14ac:dyDescent="0.25">
      <c r="C1461" s="16"/>
      <c r="D1461" s="16"/>
      <c r="E1461" s="64"/>
      <c r="F1461" s="64"/>
      <c r="G1461" s="16"/>
      <c r="H1461" s="16"/>
      <c r="I1461" s="16"/>
    </row>
    <row r="1462" spans="3:9" ht="13.5" customHeight="1" x14ac:dyDescent="0.25">
      <c r="C1462" s="35"/>
      <c r="D1462" s="35"/>
      <c r="E1462" s="65"/>
      <c r="F1462" s="69"/>
      <c r="G1462" s="35"/>
      <c r="H1462" s="35"/>
      <c r="I1462" s="35"/>
    </row>
    <row r="1463" spans="3:9" ht="13.5" customHeight="1" x14ac:dyDescent="0.25">
      <c r="C1463" s="16"/>
      <c r="D1463" s="16"/>
      <c r="E1463" s="64"/>
      <c r="F1463" s="64"/>
      <c r="G1463" s="16"/>
      <c r="H1463" s="16"/>
      <c r="I1463" s="16"/>
    </row>
    <row r="1464" spans="3:9" ht="13.5" customHeight="1" x14ac:dyDescent="0.25">
      <c r="C1464" s="35"/>
      <c r="D1464" s="35"/>
      <c r="E1464" s="65"/>
      <c r="F1464" s="69"/>
      <c r="G1464" s="35"/>
      <c r="H1464" s="35"/>
      <c r="I1464" s="35"/>
    </row>
    <row r="1465" spans="3:9" ht="13.5" customHeight="1" x14ac:dyDescent="0.25">
      <c r="C1465" s="16"/>
      <c r="D1465" s="16"/>
      <c r="E1465" s="64"/>
      <c r="F1465" s="64"/>
      <c r="G1465" s="16"/>
      <c r="H1465" s="16"/>
      <c r="I1465" s="16"/>
    </row>
    <row r="1466" spans="3:9" ht="13.5" customHeight="1" x14ac:dyDescent="0.25">
      <c r="C1466" s="35"/>
      <c r="D1466" s="35"/>
      <c r="E1466" s="65"/>
      <c r="F1466" s="69"/>
      <c r="G1466" s="35"/>
      <c r="H1466" s="35"/>
      <c r="I1466" s="35"/>
    </row>
    <row r="1467" spans="3:9" ht="13.5" customHeight="1" x14ac:dyDescent="0.25">
      <c r="C1467" s="16"/>
      <c r="D1467" s="16"/>
      <c r="E1467" s="64"/>
      <c r="F1467" s="64"/>
      <c r="G1467" s="16"/>
      <c r="H1467" s="16"/>
      <c r="I1467" s="16"/>
    </row>
    <row r="1468" spans="3:9" ht="13.5" customHeight="1" x14ac:dyDescent="0.25">
      <c r="C1468" s="35"/>
      <c r="D1468" s="35"/>
      <c r="E1468" s="65"/>
      <c r="F1468" s="69"/>
      <c r="G1468" s="35"/>
      <c r="H1468" s="35"/>
      <c r="I1468" s="35"/>
    </row>
    <row r="1469" spans="3:9" ht="13.5" customHeight="1" x14ac:dyDescent="0.25">
      <c r="C1469" s="16"/>
      <c r="D1469" s="16"/>
      <c r="E1469" s="64"/>
      <c r="F1469" s="64"/>
      <c r="G1469" s="16"/>
      <c r="H1469" s="16"/>
      <c r="I1469" s="16"/>
    </row>
    <row r="1470" spans="3:9" ht="13.5" customHeight="1" x14ac:dyDescent="0.25">
      <c r="C1470" s="35"/>
      <c r="D1470" s="35"/>
      <c r="E1470" s="65"/>
      <c r="F1470" s="69"/>
      <c r="G1470" s="35"/>
      <c r="H1470" s="35"/>
      <c r="I1470" s="35"/>
    </row>
    <row r="1471" spans="3:9" ht="13.5" customHeight="1" x14ac:dyDescent="0.25">
      <c r="C1471" s="16"/>
      <c r="D1471" s="16"/>
      <c r="E1471" s="64"/>
      <c r="F1471" s="64"/>
      <c r="G1471" s="16"/>
      <c r="H1471" s="16"/>
      <c r="I1471" s="16"/>
    </row>
    <row r="1472" spans="3:9" ht="13.5" customHeight="1" x14ac:dyDescent="0.25">
      <c r="C1472" s="35"/>
      <c r="D1472" s="35"/>
      <c r="E1472" s="65"/>
      <c r="F1472" s="69"/>
      <c r="G1472" s="35"/>
      <c r="H1472" s="35"/>
      <c r="I1472" s="35"/>
    </row>
    <row r="1473" spans="3:9" ht="13.5" customHeight="1" x14ac:dyDescent="0.25">
      <c r="C1473" s="16"/>
      <c r="D1473" s="16"/>
      <c r="E1473" s="64"/>
      <c r="F1473" s="64"/>
      <c r="G1473" s="16"/>
      <c r="H1473" s="16"/>
      <c r="I1473" s="16"/>
    </row>
    <row r="1474" spans="3:9" ht="13.5" customHeight="1" x14ac:dyDescent="0.25">
      <c r="C1474" s="35"/>
      <c r="D1474" s="35"/>
      <c r="E1474" s="65"/>
      <c r="F1474" s="69"/>
      <c r="G1474" s="35"/>
      <c r="H1474" s="35"/>
      <c r="I1474" s="35"/>
    </row>
    <row r="1475" spans="3:9" ht="13.5" customHeight="1" x14ac:dyDescent="0.25">
      <c r="C1475" s="16"/>
      <c r="D1475" s="16"/>
      <c r="E1475" s="64"/>
      <c r="F1475" s="64"/>
      <c r="G1475" s="16"/>
      <c r="H1475" s="16"/>
      <c r="I1475" s="16"/>
    </row>
    <row r="1476" spans="3:9" ht="13.5" customHeight="1" x14ac:dyDescent="0.25">
      <c r="C1476" s="35"/>
      <c r="D1476" s="35"/>
      <c r="E1476" s="65"/>
      <c r="F1476" s="69"/>
      <c r="G1476" s="35"/>
      <c r="H1476" s="35"/>
      <c r="I1476" s="35"/>
    </row>
    <row r="1477" spans="3:9" ht="13.5" customHeight="1" x14ac:dyDescent="0.25">
      <c r="C1477" s="16"/>
      <c r="D1477" s="16"/>
      <c r="E1477" s="64"/>
      <c r="F1477" s="64"/>
      <c r="G1477" s="16"/>
      <c r="H1477" s="16"/>
      <c r="I1477" s="16"/>
    </row>
    <row r="1478" spans="3:9" ht="13.5" customHeight="1" x14ac:dyDescent="0.25">
      <c r="C1478" s="35"/>
      <c r="D1478" s="35"/>
      <c r="E1478" s="65"/>
      <c r="F1478" s="69"/>
      <c r="G1478" s="35"/>
      <c r="H1478" s="35"/>
      <c r="I1478" s="35"/>
    </row>
    <row r="1479" spans="3:9" ht="13.5" customHeight="1" x14ac:dyDescent="0.25">
      <c r="C1479" s="16"/>
      <c r="D1479" s="16"/>
      <c r="E1479" s="64"/>
      <c r="F1479" s="64"/>
      <c r="G1479" s="16"/>
      <c r="H1479" s="16"/>
      <c r="I1479" s="16"/>
    </row>
    <row r="1480" spans="3:9" ht="13.5" customHeight="1" x14ac:dyDescent="0.25">
      <c r="C1480" s="35"/>
      <c r="D1480" s="35"/>
      <c r="E1480" s="65"/>
      <c r="F1480" s="69"/>
      <c r="G1480" s="35"/>
      <c r="H1480" s="35"/>
      <c r="I1480" s="35"/>
    </row>
    <row r="1481" spans="3:9" ht="13.5" customHeight="1" x14ac:dyDescent="0.25">
      <c r="C1481" s="16"/>
      <c r="D1481" s="16"/>
      <c r="E1481" s="64"/>
      <c r="F1481" s="64"/>
      <c r="G1481" s="16"/>
      <c r="H1481" s="16"/>
      <c r="I1481" s="16"/>
    </row>
    <row r="1482" spans="3:9" ht="13.5" customHeight="1" x14ac:dyDescent="0.25">
      <c r="C1482" s="35"/>
      <c r="D1482" s="35"/>
      <c r="E1482" s="65"/>
      <c r="F1482" s="69"/>
      <c r="G1482" s="35"/>
      <c r="H1482" s="35"/>
      <c r="I1482" s="35"/>
    </row>
    <row r="1483" spans="3:9" ht="13.5" customHeight="1" x14ac:dyDescent="0.25">
      <c r="C1483" s="16"/>
      <c r="D1483" s="16"/>
      <c r="E1483" s="64"/>
      <c r="F1483" s="64"/>
      <c r="G1483" s="16"/>
      <c r="H1483" s="16"/>
      <c r="I1483" s="16"/>
    </row>
    <row r="1484" spans="3:9" ht="13.5" customHeight="1" x14ac:dyDescent="0.25">
      <c r="C1484" s="35"/>
      <c r="D1484" s="35"/>
      <c r="E1484" s="65"/>
      <c r="F1484" s="69"/>
      <c r="G1484" s="35"/>
      <c r="H1484" s="35"/>
      <c r="I1484" s="35"/>
    </row>
    <row r="1485" spans="3:9" ht="13.5" customHeight="1" x14ac:dyDescent="0.25">
      <c r="C1485" s="16"/>
      <c r="D1485" s="16"/>
      <c r="E1485" s="64"/>
      <c r="F1485" s="64"/>
      <c r="G1485" s="16"/>
      <c r="H1485" s="16"/>
      <c r="I1485" s="16"/>
    </row>
    <row r="1486" spans="3:9" ht="13.5" customHeight="1" x14ac:dyDescent="0.25">
      <c r="C1486" s="35"/>
      <c r="D1486" s="35"/>
      <c r="E1486" s="65"/>
      <c r="F1486" s="69"/>
      <c r="G1486" s="35"/>
      <c r="H1486" s="35"/>
      <c r="I1486" s="35"/>
    </row>
    <row r="1487" spans="3:9" ht="13.5" customHeight="1" x14ac:dyDescent="0.25">
      <c r="C1487" s="16"/>
      <c r="D1487" s="16"/>
      <c r="E1487" s="64"/>
      <c r="F1487" s="64"/>
      <c r="G1487" s="16"/>
      <c r="H1487" s="16"/>
      <c r="I1487" s="16"/>
    </row>
    <row r="1488" spans="3:9" ht="13.5" customHeight="1" x14ac:dyDescent="0.25">
      <c r="C1488" s="35"/>
      <c r="D1488" s="35"/>
      <c r="E1488" s="65"/>
      <c r="F1488" s="69"/>
      <c r="G1488" s="35"/>
      <c r="H1488" s="35"/>
      <c r="I1488" s="35"/>
    </row>
    <row r="1489" spans="3:9" ht="13.5" customHeight="1" x14ac:dyDescent="0.25">
      <c r="C1489" s="16"/>
      <c r="D1489" s="16"/>
      <c r="E1489" s="64"/>
      <c r="F1489" s="64"/>
      <c r="G1489" s="16"/>
      <c r="H1489" s="16"/>
      <c r="I1489" s="16"/>
    </row>
    <row r="1490" spans="3:9" ht="13.5" customHeight="1" x14ac:dyDescent="0.25">
      <c r="C1490" s="35"/>
      <c r="D1490" s="35"/>
      <c r="E1490" s="65"/>
      <c r="F1490" s="69"/>
      <c r="G1490" s="35"/>
      <c r="H1490" s="35"/>
      <c r="I1490" s="35"/>
    </row>
    <row r="1491" spans="3:9" ht="13.5" customHeight="1" x14ac:dyDescent="0.25">
      <c r="C1491" s="16"/>
      <c r="D1491" s="16"/>
      <c r="E1491" s="64"/>
      <c r="F1491" s="64"/>
      <c r="G1491" s="16"/>
      <c r="H1491" s="16"/>
      <c r="I1491" s="16"/>
    </row>
    <row r="1492" spans="3:9" ht="13.5" customHeight="1" x14ac:dyDescent="0.25">
      <c r="C1492" s="35"/>
      <c r="D1492" s="35"/>
      <c r="E1492" s="65"/>
      <c r="F1492" s="69"/>
      <c r="G1492" s="35"/>
      <c r="H1492" s="35"/>
      <c r="I1492" s="35"/>
    </row>
    <row r="1493" spans="3:9" ht="13.5" customHeight="1" x14ac:dyDescent="0.25">
      <c r="C1493" s="16"/>
      <c r="D1493" s="16"/>
      <c r="E1493" s="64"/>
      <c r="F1493" s="64"/>
      <c r="G1493" s="16"/>
      <c r="H1493" s="16"/>
      <c r="I1493" s="16"/>
    </row>
    <row r="1494" spans="3:9" ht="13.5" customHeight="1" x14ac:dyDescent="0.25">
      <c r="C1494" s="35"/>
      <c r="D1494" s="35"/>
      <c r="E1494" s="65"/>
      <c r="F1494" s="69"/>
      <c r="G1494" s="35"/>
      <c r="H1494" s="35"/>
      <c r="I1494" s="35"/>
    </row>
    <row r="1495" spans="3:9" ht="13.5" customHeight="1" x14ac:dyDescent="0.25">
      <c r="C1495" s="16"/>
      <c r="D1495" s="16"/>
      <c r="E1495" s="64"/>
      <c r="F1495" s="64"/>
      <c r="G1495" s="16"/>
      <c r="H1495" s="16"/>
      <c r="I1495" s="16"/>
    </row>
    <row r="1496" spans="3:9" ht="13.5" customHeight="1" x14ac:dyDescent="0.25">
      <c r="C1496" s="35"/>
      <c r="D1496" s="35"/>
      <c r="E1496" s="65"/>
      <c r="F1496" s="69"/>
      <c r="G1496" s="35"/>
      <c r="H1496" s="35"/>
      <c r="I1496" s="35"/>
    </row>
    <row r="1497" spans="3:9" ht="13.5" customHeight="1" x14ac:dyDescent="0.25">
      <c r="C1497" s="16"/>
      <c r="D1497" s="16"/>
      <c r="E1497" s="64"/>
      <c r="F1497" s="64"/>
      <c r="G1497" s="16"/>
      <c r="H1497" s="16"/>
      <c r="I1497" s="16"/>
    </row>
    <row r="1498" spans="3:9" ht="13.5" customHeight="1" x14ac:dyDescent="0.25">
      <c r="C1498" s="35"/>
      <c r="D1498" s="35"/>
      <c r="E1498" s="65"/>
      <c r="F1498" s="69"/>
      <c r="G1498" s="35"/>
      <c r="H1498" s="35"/>
      <c r="I1498" s="35"/>
    </row>
    <row r="1499" spans="3:9" ht="13.5" customHeight="1" x14ac:dyDescent="0.25">
      <c r="C1499" s="16"/>
      <c r="D1499" s="16"/>
      <c r="E1499" s="64"/>
      <c r="F1499" s="64"/>
      <c r="G1499" s="16"/>
      <c r="H1499" s="16"/>
      <c r="I1499" s="16"/>
    </row>
    <row r="1500" spans="3:9" ht="13.5" customHeight="1" x14ac:dyDescent="0.25">
      <c r="C1500" s="35"/>
      <c r="D1500" s="35"/>
      <c r="E1500" s="65"/>
      <c r="F1500" s="69"/>
      <c r="G1500" s="35"/>
      <c r="H1500" s="35"/>
      <c r="I1500" s="35"/>
    </row>
  </sheetData>
  <autoFilter ref="C14:I730" xr:uid="{A1E891BE-6DFA-48FE-8A4D-B2FB1DB5DB7B}"/>
  <mergeCells count="11">
    <mergeCell ref="D9:E9"/>
    <mergeCell ref="H9:I9"/>
    <mergeCell ref="D10:E10"/>
    <mergeCell ref="H10:I10"/>
    <mergeCell ref="C13:I13"/>
    <mergeCell ref="D6:E6"/>
    <mergeCell ref="H6:I6"/>
    <mergeCell ref="D7:E7"/>
    <mergeCell ref="H7:I7"/>
    <mergeCell ref="D8:E8"/>
    <mergeCell ref="H8:I8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86ECB-0A0C-4DAA-A037-C1470B0761C2}">
  <sheetPr codeName="Sheet8">
    <tabColor theme="1" tint="4.9989318521683403E-2"/>
  </sheetPr>
  <dimension ref="A1:P1500"/>
  <sheetViews>
    <sheetView zoomScale="130" zoomScaleNormal="130" workbookViewId="0">
      <selection activeCell="E15" sqref="E15"/>
    </sheetView>
  </sheetViews>
  <sheetFormatPr defaultColWidth="0" defaultRowHeight="13.5" x14ac:dyDescent="0.25"/>
  <cols>
    <col min="1" max="1" width="2.7109375" style="1" customWidth="1"/>
    <col min="2" max="2" width="1.7109375" style="1" customWidth="1"/>
    <col min="3" max="3" width="11.85546875" style="1" customWidth="1"/>
    <col min="4" max="4" width="6.85546875" style="1" bestFit="1" customWidth="1"/>
    <col min="5" max="5" width="40.28515625" style="66" customWidth="1"/>
    <col min="6" max="6" width="15.7109375" style="1" customWidth="1"/>
    <col min="7" max="7" width="35" style="66" bestFit="1" customWidth="1"/>
    <col min="8" max="9" width="20.5703125" style="1" customWidth="1"/>
    <col min="10" max="10" width="14" style="1" customWidth="1"/>
    <col min="11" max="12" width="1.7109375" style="1" customWidth="1"/>
    <col min="13" max="13" width="2.7109375" style="1" hidden="1" customWidth="1"/>
    <col min="14" max="14" width="15.140625" style="1" hidden="1" customWidth="1"/>
    <col min="15" max="15" width="1.7109375" style="1" hidden="1" customWidth="1"/>
    <col min="16" max="16" width="2.7109375" style="1" hidden="1" customWidth="1"/>
    <col min="17" max="16384" width="9.140625" style="1" hidden="1"/>
  </cols>
  <sheetData>
    <row r="1" spans="1:12" s="43" customFormat="1" x14ac:dyDescent="0.25">
      <c r="E1" s="60"/>
      <c r="G1" s="60"/>
    </row>
    <row r="2" spans="1:12" s="43" customFormat="1" x14ac:dyDescent="0.25">
      <c r="E2" s="60"/>
      <c r="G2" s="60"/>
    </row>
    <row r="3" spans="1:12" s="43" customFormat="1" x14ac:dyDescent="0.25">
      <c r="E3" s="60"/>
      <c r="G3" s="60"/>
    </row>
    <row r="4" spans="1:12" s="43" customFormat="1" x14ac:dyDescent="0.25">
      <c r="E4" s="60"/>
      <c r="G4" s="60"/>
    </row>
    <row r="5" spans="1:12" x14ac:dyDescent="0.25">
      <c r="A5" s="43"/>
      <c r="B5" s="9"/>
      <c r="C5" s="10"/>
      <c r="D5" s="10"/>
      <c r="E5" s="61"/>
      <c r="F5" s="10"/>
      <c r="G5" s="61"/>
      <c r="H5" s="10"/>
      <c r="I5" s="10"/>
      <c r="J5" s="10"/>
      <c r="K5" s="11"/>
      <c r="L5" s="43"/>
    </row>
    <row r="6" spans="1:12" ht="14.25" x14ac:dyDescent="0.3">
      <c r="A6" s="43"/>
      <c r="B6" s="4"/>
      <c r="C6" s="12" t="s">
        <v>0</v>
      </c>
      <c r="D6" s="93">
        <f>IF('Project Details'!D6=0,"", 'Project Details'!D6)</f>
        <v>45217</v>
      </c>
      <c r="E6" s="93"/>
      <c r="F6" s="13"/>
      <c r="G6" s="67"/>
      <c r="H6" s="12" t="s">
        <v>90</v>
      </c>
      <c r="I6" s="95">
        <f>IF('Project Details'!J6=0,"", 'Project Details'!J6)</f>
        <v>1</v>
      </c>
      <c r="J6" s="95"/>
      <c r="K6" s="5"/>
      <c r="L6" s="43"/>
    </row>
    <row r="7" spans="1:12" ht="14.25" x14ac:dyDescent="0.3">
      <c r="A7" s="43"/>
      <c r="B7" s="4"/>
      <c r="C7" s="12" t="s">
        <v>1</v>
      </c>
      <c r="D7" s="95" t="str">
        <f>IF('Project Details'!D7=0,"", 'Project Details'!D7)</f>
        <v>William Andrew Bulaquena</v>
      </c>
      <c r="E7" s="95"/>
      <c r="F7" s="13"/>
      <c r="G7" s="67"/>
      <c r="H7" s="12" t="s">
        <v>91</v>
      </c>
      <c r="I7" s="95">
        <f>IF('Project Details'!J7=0,"", 'Project Details'!J7)</f>
        <v>1</v>
      </c>
      <c r="J7" s="95"/>
      <c r="K7" s="5"/>
      <c r="L7" s="43"/>
    </row>
    <row r="8" spans="1:12" ht="14.25" x14ac:dyDescent="0.3">
      <c r="A8" s="43"/>
      <c r="B8" s="4"/>
      <c r="C8" s="12" t="s">
        <v>730</v>
      </c>
      <c r="D8" s="95" t="str">
        <f>IF('Project Details'!D8=0,"", 'Project Details'!D8)</f>
        <v>Banilad</v>
      </c>
      <c r="E8" s="95"/>
      <c r="F8" s="13"/>
      <c r="G8" s="67"/>
      <c r="H8" s="12" t="s">
        <v>92</v>
      </c>
      <c r="I8" s="95">
        <f>IF('Project Details'!J8=0,"", 'Project Details'!J8)</f>
        <v>12345</v>
      </c>
      <c r="J8" s="95"/>
      <c r="K8" s="5"/>
      <c r="L8" s="43"/>
    </row>
    <row r="9" spans="1:12" ht="14.25" x14ac:dyDescent="0.3">
      <c r="A9" s="43"/>
      <c r="B9" s="4"/>
      <c r="C9" s="12" t="s">
        <v>62</v>
      </c>
      <c r="D9" s="95">
        <f>IF('Project Details'!D9=0,"", 'Project Details'!D9)</f>
        <v>9123456789</v>
      </c>
      <c r="E9" s="95"/>
      <c r="F9" s="13"/>
      <c r="G9" s="67"/>
      <c r="H9" s="12" t="s">
        <v>93</v>
      </c>
      <c r="I9" s="95" t="str">
        <f>IF('Project Details'!J9=0,"", 'Project Details'!J9)</f>
        <v>Kunstof</v>
      </c>
      <c r="J9" s="95"/>
      <c r="K9" s="5"/>
      <c r="L9" s="43"/>
    </row>
    <row r="10" spans="1:12" ht="14.25" x14ac:dyDescent="0.3">
      <c r="A10" s="43"/>
      <c r="B10" s="4"/>
      <c r="C10" s="12" t="s">
        <v>63</v>
      </c>
      <c r="D10" s="95" t="str">
        <f>IF('Project Details'!D10=0,"", 'Project Details'!D10)</f>
        <v>williamgbulaquena@gmail.com</v>
      </c>
      <c r="E10" s="95"/>
      <c r="F10" s="13"/>
      <c r="G10" s="67"/>
      <c r="H10" s="12" t="s">
        <v>94</v>
      </c>
      <c r="I10" s="95" t="str">
        <f>IF('Project Details'!J10=0,"", 'Project Details'!J10)</f>
        <v>Kunstof</v>
      </c>
      <c r="J10" s="95"/>
      <c r="K10" s="5"/>
      <c r="L10" s="43"/>
    </row>
    <row r="11" spans="1:12" x14ac:dyDescent="0.25">
      <c r="A11" s="43"/>
      <c r="B11" s="6"/>
      <c r="C11" s="7"/>
      <c r="D11" s="7"/>
      <c r="E11" s="62"/>
      <c r="F11" s="7"/>
      <c r="G11" s="62"/>
      <c r="H11" s="7"/>
      <c r="I11" s="14"/>
      <c r="J11" s="7"/>
      <c r="K11" s="8"/>
      <c r="L11" s="43"/>
    </row>
    <row r="12" spans="1:12" x14ac:dyDescent="0.25">
      <c r="A12" s="43"/>
      <c r="B12" s="43"/>
      <c r="C12" s="43"/>
      <c r="D12" s="43"/>
      <c r="E12" s="60"/>
      <c r="F12" s="43"/>
      <c r="G12" s="60"/>
      <c r="H12" s="43"/>
      <c r="I12" s="43"/>
      <c r="J12" s="43"/>
      <c r="K12" s="43"/>
      <c r="L12" s="43"/>
    </row>
    <row r="13" spans="1:12" x14ac:dyDescent="0.25">
      <c r="A13" s="43"/>
      <c r="B13" s="43"/>
      <c r="C13" s="109" t="s">
        <v>195</v>
      </c>
      <c r="D13" s="110"/>
      <c r="E13" s="110"/>
      <c r="F13" s="110"/>
      <c r="G13" s="110"/>
      <c r="H13" s="110"/>
      <c r="I13" s="110"/>
      <c r="J13" s="111"/>
      <c r="K13" s="43"/>
      <c r="L13" s="43"/>
    </row>
    <row r="14" spans="1:12" x14ac:dyDescent="0.25">
      <c r="A14" s="43"/>
      <c r="B14" s="43"/>
      <c r="C14" s="37" t="s">
        <v>3</v>
      </c>
      <c r="D14" s="37" t="s">
        <v>134</v>
      </c>
      <c r="E14" s="37" t="s">
        <v>4</v>
      </c>
      <c r="F14" s="38" t="s">
        <v>825</v>
      </c>
      <c r="G14" s="37" t="s">
        <v>826</v>
      </c>
      <c r="H14" s="37" t="s">
        <v>193</v>
      </c>
      <c r="I14" s="37" t="s">
        <v>192</v>
      </c>
      <c r="J14" s="37" t="s">
        <v>136</v>
      </c>
      <c r="K14" s="43"/>
      <c r="L14" s="43"/>
    </row>
    <row r="15" spans="1:12" x14ac:dyDescent="0.25">
      <c r="A15" s="43"/>
      <c r="B15" s="43"/>
      <c r="C15" s="16" t="str" cm="1">
        <f t="array" ref="C15">IF(IFERROR(_xlfn._xlws.FILTER(gl_unmerged!C15:C2162,gl_unmerged!$D$15:$D$2162&lt;&gt;""),"")=0,"",IFERROR(_xlfn._xlws.FILTER(gl_unmerged!C15:C2162,gl_unmerged!$D$15:$D$2162&lt;&gt;""),""))</f>
        <v/>
      </c>
      <c r="D15" s="16" t="str" cm="1">
        <f t="array" ref="D15">IF(IFERROR(_xlfn._xlws.FILTER(gl_unmerged!D15:D2162,gl_unmerged!$D$15:$D$2162&lt;&gt;""),"")=0,"",IFERROR(_xlfn._xlws.FILTER(gl_unmerged!D15:D2162,gl_unmerged!$D$15:$D$2162&lt;&gt;""),""))</f>
        <v/>
      </c>
      <c r="E15" s="64" t="str" cm="1">
        <f t="array" ref="E15">IF(IFERROR(_xlfn._xlws.FILTER(gl_unmerged!E15:E2162,gl_unmerged!$D$15:$D$2162&lt;&gt;""),"")=0,"",IFERROR(_xlfn._xlws.FILTER(gl_unmerged!E15:E2162,gl_unmerged!$D$15:$D$2162&lt;&gt;""),""))</f>
        <v/>
      </c>
      <c r="F15" s="16" t="str" cm="1">
        <f t="array" ref="F15">IF(IFERROR(_xlfn._xlws.FILTER(gl_unmerged!F15:F2162,gl_unmerged!$D$15:$D$2162&lt;&gt;""),"")=0,"",IFERROR(_xlfn._xlws.FILTER(gl_unmerged!F15:F2162,gl_unmerged!$D$15:$D$2162&lt;&gt;""),""))</f>
        <v/>
      </c>
      <c r="G15" s="64" t="str" cm="1">
        <f t="array" ref="G15">IF(IFERROR(_xlfn._xlws.FILTER(gl_unmerged!G15:G2162,gl_unmerged!$D$15:$D$2162&lt;&gt;""),"")=0,"",IFERROR(_xlfn._xlws.FILTER(gl_unmerged!G15:G2162,gl_unmerged!$D$15:$D$2162&lt;&gt;""),""))</f>
        <v/>
      </c>
      <c r="H15" s="16" t="str" cm="1">
        <f t="array" ref="H15">IF(IFERROR(_xlfn._xlws.FILTER(gl_unmerged!H15:H2162,gl_unmerged!$D$15:$D$2162&lt;&gt;""),"")=0,"",IFERROR(_xlfn._xlws.FILTER(gl_unmerged!H15:H2162,gl_unmerged!$D$15:$D$2162&lt;&gt;""),""))</f>
        <v/>
      </c>
      <c r="I15" s="16" t="str" cm="1">
        <f t="array" ref="I15">IF(IFERROR(_xlfn._xlws.FILTER(gl_unmerged!I15:I2162,gl_unmerged!$D$15:$D$2162&lt;&gt;""),"")=0,"",IFERROR(_xlfn._xlws.FILTER(gl_unmerged!I15:I2162,gl_unmerged!$D$15:$D$2162&lt;&gt;""),""))</f>
        <v/>
      </c>
      <c r="J15" s="16" t="str" cm="1">
        <f t="array" ref="J15">IF(IFERROR(_xlfn._xlws.FILTER(gl_unmerged!J15:J2162,gl_unmerged!$D$15:$D$2162&lt;&gt;""),"")=0,"",IFERROR(_xlfn._xlws.FILTER(gl_unmerged!J15:J2162,gl_unmerged!$D$15:$D$2162&lt;&gt;""),""))</f>
        <v/>
      </c>
      <c r="K15" s="43"/>
      <c r="L15" s="43"/>
    </row>
    <row r="16" spans="1:12" x14ac:dyDescent="0.25">
      <c r="A16" s="43"/>
      <c r="B16" s="43"/>
      <c r="C16" s="35"/>
      <c r="D16" s="35"/>
      <c r="E16" s="65"/>
      <c r="F16" s="36"/>
      <c r="G16" s="69"/>
      <c r="H16" s="35"/>
      <c r="I16" s="35"/>
      <c r="J16" s="35"/>
      <c r="K16" s="43"/>
      <c r="L16" s="43"/>
    </row>
    <row r="17" spans="1:12" x14ac:dyDescent="0.25">
      <c r="A17" s="43"/>
      <c r="B17" s="43"/>
      <c r="C17" s="16"/>
      <c r="D17" s="16"/>
      <c r="E17" s="64"/>
      <c r="F17" s="33"/>
      <c r="G17" s="70"/>
      <c r="H17" s="16"/>
      <c r="I17" s="16"/>
      <c r="J17" s="16"/>
      <c r="K17" s="43"/>
      <c r="L17" s="43"/>
    </row>
    <row r="18" spans="1:12" x14ac:dyDescent="0.25">
      <c r="A18" s="43"/>
      <c r="B18" s="43"/>
      <c r="C18" s="35"/>
      <c r="D18" s="35"/>
      <c r="E18" s="65"/>
      <c r="F18" s="36"/>
      <c r="G18" s="69"/>
      <c r="H18" s="35"/>
      <c r="I18" s="35"/>
      <c r="J18" s="35"/>
      <c r="K18" s="43"/>
      <c r="L18" s="43"/>
    </row>
    <row r="19" spans="1:12" x14ac:dyDescent="0.25">
      <c r="A19" s="43"/>
      <c r="B19" s="43"/>
      <c r="C19" s="16"/>
      <c r="D19" s="16"/>
      <c r="E19" s="64"/>
      <c r="F19" s="33"/>
      <c r="G19" s="70"/>
      <c r="H19" s="16"/>
      <c r="I19" s="16"/>
      <c r="J19" s="16"/>
      <c r="K19" s="43"/>
      <c r="L19" s="43"/>
    </row>
    <row r="20" spans="1:12" x14ac:dyDescent="0.25">
      <c r="A20" s="43"/>
      <c r="B20" s="43"/>
      <c r="C20" s="35"/>
      <c r="D20" s="35"/>
      <c r="E20" s="65"/>
      <c r="F20" s="36"/>
      <c r="G20" s="69"/>
      <c r="H20" s="35"/>
      <c r="I20" s="35"/>
      <c r="J20" s="35"/>
      <c r="K20" s="43"/>
      <c r="L20" s="43"/>
    </row>
    <row r="21" spans="1:12" x14ac:dyDescent="0.25">
      <c r="A21" s="43"/>
      <c r="B21" s="43"/>
      <c r="C21" s="16"/>
      <c r="D21" s="16"/>
      <c r="E21" s="64"/>
      <c r="F21" s="33"/>
      <c r="G21" s="70"/>
      <c r="H21" s="16"/>
      <c r="I21" s="16"/>
      <c r="J21" s="16"/>
      <c r="K21" s="43"/>
      <c r="L21" s="43"/>
    </row>
    <row r="22" spans="1:12" x14ac:dyDescent="0.25">
      <c r="A22" s="43"/>
      <c r="B22" s="43"/>
      <c r="C22" s="35"/>
      <c r="D22" s="35"/>
      <c r="E22" s="65"/>
      <c r="F22" s="36"/>
      <c r="G22" s="69"/>
      <c r="H22" s="35"/>
      <c r="I22" s="35"/>
      <c r="J22" s="35"/>
      <c r="K22" s="43"/>
      <c r="L22" s="43"/>
    </row>
    <row r="23" spans="1:12" x14ac:dyDescent="0.25">
      <c r="A23" s="43"/>
      <c r="B23" s="43"/>
      <c r="C23" s="16"/>
      <c r="D23" s="16"/>
      <c r="E23" s="64"/>
      <c r="F23" s="33"/>
      <c r="G23" s="70"/>
      <c r="H23" s="16"/>
      <c r="I23" s="16"/>
      <c r="J23" s="16"/>
      <c r="K23" s="43"/>
      <c r="L23" s="43"/>
    </row>
    <row r="24" spans="1:12" x14ac:dyDescent="0.25">
      <c r="A24" s="43"/>
      <c r="B24" s="43"/>
      <c r="C24" s="35"/>
      <c r="D24" s="35"/>
      <c r="E24" s="65"/>
      <c r="F24" s="36"/>
      <c r="G24" s="69"/>
      <c r="H24" s="35"/>
      <c r="I24" s="35"/>
      <c r="J24" s="35"/>
      <c r="K24" s="43"/>
      <c r="L24" s="43"/>
    </row>
    <row r="25" spans="1:12" x14ac:dyDescent="0.25">
      <c r="A25" s="43"/>
      <c r="B25" s="43"/>
      <c r="C25" s="16"/>
      <c r="D25" s="16"/>
      <c r="E25" s="64"/>
      <c r="F25" s="33"/>
      <c r="G25" s="70"/>
      <c r="H25" s="16"/>
      <c r="I25" s="16"/>
      <c r="J25" s="16"/>
      <c r="K25" s="43"/>
      <c r="L25" s="43"/>
    </row>
    <row r="26" spans="1:12" x14ac:dyDescent="0.25">
      <c r="A26" s="43"/>
      <c r="B26" s="43"/>
      <c r="C26" s="35"/>
      <c r="D26" s="35"/>
      <c r="E26" s="65"/>
      <c r="F26" s="36"/>
      <c r="G26" s="69"/>
      <c r="H26" s="35"/>
      <c r="I26" s="35"/>
      <c r="J26" s="35"/>
      <c r="K26" s="43"/>
      <c r="L26" s="43"/>
    </row>
    <row r="27" spans="1:12" x14ac:dyDescent="0.25">
      <c r="A27" s="43"/>
      <c r="B27" s="43"/>
      <c r="C27" s="16"/>
      <c r="D27" s="16"/>
      <c r="E27" s="64"/>
      <c r="F27" s="33"/>
      <c r="G27" s="70"/>
      <c r="H27" s="16"/>
      <c r="I27" s="16"/>
      <c r="J27" s="16"/>
      <c r="K27" s="43"/>
      <c r="L27" s="43"/>
    </row>
    <row r="28" spans="1:12" x14ac:dyDescent="0.25">
      <c r="A28" s="43"/>
      <c r="B28" s="43"/>
      <c r="C28" s="35"/>
      <c r="D28" s="35"/>
      <c r="E28" s="65"/>
      <c r="F28" s="36"/>
      <c r="G28" s="69"/>
      <c r="H28" s="35"/>
      <c r="I28" s="35"/>
      <c r="J28" s="35"/>
      <c r="K28" s="43"/>
      <c r="L28" s="43"/>
    </row>
    <row r="29" spans="1:12" x14ac:dyDescent="0.25">
      <c r="A29" s="43"/>
      <c r="B29" s="43"/>
      <c r="C29" s="16"/>
      <c r="D29" s="16"/>
      <c r="E29" s="64"/>
      <c r="F29" s="33"/>
      <c r="G29" s="70"/>
      <c r="H29" s="16"/>
      <c r="I29" s="16"/>
      <c r="J29" s="16"/>
      <c r="K29" s="43"/>
      <c r="L29" s="43"/>
    </row>
    <row r="30" spans="1:12" x14ac:dyDescent="0.25">
      <c r="A30" s="43"/>
      <c r="B30" s="43"/>
      <c r="C30" s="35"/>
      <c r="D30" s="35"/>
      <c r="E30" s="65"/>
      <c r="F30" s="36"/>
      <c r="G30" s="69"/>
      <c r="H30" s="35"/>
      <c r="I30" s="35"/>
      <c r="J30" s="35"/>
      <c r="K30" s="43"/>
      <c r="L30" s="43"/>
    </row>
    <row r="31" spans="1:12" x14ac:dyDescent="0.25">
      <c r="A31" s="43"/>
      <c r="B31" s="43"/>
      <c r="C31" s="16"/>
      <c r="D31" s="16"/>
      <c r="E31" s="64"/>
      <c r="F31" s="33"/>
      <c r="G31" s="70"/>
      <c r="H31" s="16"/>
      <c r="I31" s="16"/>
      <c r="J31" s="16"/>
      <c r="K31" s="43"/>
      <c r="L31" s="43"/>
    </row>
    <row r="32" spans="1:12" x14ac:dyDescent="0.25">
      <c r="A32" s="43"/>
      <c r="B32" s="43"/>
      <c r="C32" s="35"/>
      <c r="D32" s="35"/>
      <c r="E32" s="65"/>
      <c r="F32" s="36"/>
      <c r="G32" s="69"/>
      <c r="H32" s="35"/>
      <c r="I32" s="35"/>
      <c r="J32" s="35"/>
      <c r="K32" s="43"/>
      <c r="L32" s="43"/>
    </row>
    <row r="33" spans="1:12" x14ac:dyDescent="0.25">
      <c r="A33" s="43"/>
      <c r="B33" s="43"/>
      <c r="C33" s="16"/>
      <c r="D33" s="16"/>
      <c r="E33" s="64"/>
      <c r="F33" s="33"/>
      <c r="G33" s="70"/>
      <c r="H33" s="16"/>
      <c r="I33" s="16"/>
      <c r="J33" s="16"/>
      <c r="K33" s="43"/>
      <c r="L33" s="43"/>
    </row>
    <row r="34" spans="1:12" x14ac:dyDescent="0.25">
      <c r="A34" s="43"/>
      <c r="B34" s="43"/>
      <c r="C34" s="35"/>
      <c r="D34" s="35"/>
      <c r="E34" s="65"/>
      <c r="F34" s="36"/>
      <c r="G34" s="69"/>
      <c r="H34" s="35"/>
      <c r="I34" s="35"/>
      <c r="J34" s="35"/>
      <c r="K34" s="43"/>
      <c r="L34" s="43"/>
    </row>
    <row r="35" spans="1:12" x14ac:dyDescent="0.25">
      <c r="A35" s="43"/>
      <c r="B35" s="43"/>
      <c r="C35" s="16"/>
      <c r="D35" s="16"/>
      <c r="E35" s="64"/>
      <c r="F35" s="33"/>
      <c r="G35" s="70"/>
      <c r="H35" s="16"/>
      <c r="I35" s="16"/>
      <c r="J35" s="16"/>
      <c r="K35" s="43"/>
      <c r="L35" s="43"/>
    </row>
    <row r="36" spans="1:12" x14ac:dyDescent="0.25">
      <c r="A36" s="43"/>
      <c r="B36" s="43"/>
      <c r="C36" s="35"/>
      <c r="D36" s="35"/>
      <c r="E36" s="65"/>
      <c r="F36" s="36"/>
      <c r="G36" s="69"/>
      <c r="H36" s="35"/>
      <c r="I36" s="35"/>
      <c r="J36" s="35"/>
      <c r="K36" s="43"/>
      <c r="L36" s="43"/>
    </row>
    <row r="37" spans="1:12" x14ac:dyDescent="0.25">
      <c r="A37" s="43"/>
      <c r="B37" s="43"/>
      <c r="C37" s="16"/>
      <c r="D37" s="16"/>
      <c r="E37" s="64"/>
      <c r="F37" s="33"/>
      <c r="G37" s="70"/>
      <c r="H37" s="16"/>
      <c r="I37" s="16"/>
      <c r="J37" s="16"/>
      <c r="K37" s="43"/>
      <c r="L37" s="43"/>
    </row>
    <row r="38" spans="1:12" x14ac:dyDescent="0.25">
      <c r="A38" s="43"/>
      <c r="B38" s="43"/>
      <c r="C38" s="35"/>
      <c r="D38" s="35"/>
      <c r="E38" s="65"/>
      <c r="F38" s="36"/>
      <c r="G38" s="69"/>
      <c r="H38" s="35"/>
      <c r="I38" s="35"/>
      <c r="J38" s="35"/>
      <c r="K38" s="43"/>
      <c r="L38" s="43"/>
    </row>
    <row r="39" spans="1:12" x14ac:dyDescent="0.25">
      <c r="A39" s="43"/>
      <c r="B39" s="43"/>
      <c r="C39" s="16"/>
      <c r="D39" s="16"/>
      <c r="E39" s="64"/>
      <c r="F39" s="33"/>
      <c r="G39" s="70"/>
      <c r="H39" s="16"/>
      <c r="I39" s="16"/>
      <c r="J39" s="16"/>
      <c r="K39" s="43"/>
      <c r="L39" s="43"/>
    </row>
    <row r="40" spans="1:12" x14ac:dyDescent="0.25">
      <c r="A40" s="43"/>
      <c r="B40" s="43"/>
      <c r="C40" s="35"/>
      <c r="D40" s="35"/>
      <c r="E40" s="65"/>
      <c r="F40" s="36"/>
      <c r="G40" s="69"/>
      <c r="H40" s="35"/>
      <c r="I40" s="35"/>
      <c r="J40" s="35"/>
      <c r="K40" s="43"/>
      <c r="L40" s="43"/>
    </row>
    <row r="41" spans="1:12" x14ac:dyDescent="0.25">
      <c r="A41" s="43"/>
      <c r="B41" s="43"/>
      <c r="C41" s="16"/>
      <c r="D41" s="16"/>
      <c r="E41" s="64"/>
      <c r="F41" s="33"/>
      <c r="G41" s="70"/>
      <c r="H41" s="16"/>
      <c r="I41" s="16"/>
      <c r="J41" s="16"/>
      <c r="K41" s="43"/>
      <c r="L41" s="43"/>
    </row>
    <row r="42" spans="1:12" x14ac:dyDescent="0.25">
      <c r="A42" s="43"/>
      <c r="B42" s="43"/>
      <c r="C42" s="35"/>
      <c r="D42" s="35"/>
      <c r="E42" s="65"/>
      <c r="F42" s="36"/>
      <c r="G42" s="69"/>
      <c r="H42" s="35"/>
      <c r="I42" s="35"/>
      <c r="J42" s="35"/>
      <c r="K42" s="43"/>
      <c r="L42" s="43"/>
    </row>
    <row r="43" spans="1:12" x14ac:dyDescent="0.25">
      <c r="A43" s="43"/>
      <c r="B43" s="43"/>
      <c r="C43" s="16"/>
      <c r="D43" s="16"/>
      <c r="E43" s="64"/>
      <c r="F43" s="33"/>
      <c r="G43" s="70"/>
      <c r="H43" s="16"/>
      <c r="I43" s="16"/>
      <c r="J43" s="16"/>
      <c r="K43" s="43"/>
      <c r="L43" s="43"/>
    </row>
    <row r="44" spans="1:12" x14ac:dyDescent="0.25">
      <c r="A44" s="43"/>
      <c r="B44" s="43"/>
      <c r="C44" s="35"/>
      <c r="D44" s="35"/>
      <c r="E44" s="65"/>
      <c r="F44" s="36"/>
      <c r="G44" s="69"/>
      <c r="H44" s="35"/>
      <c r="I44" s="35"/>
      <c r="J44" s="35"/>
      <c r="K44" s="43"/>
      <c r="L44" s="43"/>
    </row>
    <row r="45" spans="1:12" x14ac:dyDescent="0.25">
      <c r="A45" s="43"/>
      <c r="B45" s="43"/>
      <c r="C45" s="16"/>
      <c r="D45" s="16"/>
      <c r="E45" s="64"/>
      <c r="F45" s="33"/>
      <c r="G45" s="70"/>
      <c r="H45" s="16"/>
      <c r="I45" s="16"/>
      <c r="J45" s="16"/>
      <c r="K45" s="43"/>
      <c r="L45" s="43"/>
    </row>
    <row r="46" spans="1:12" x14ac:dyDescent="0.25">
      <c r="A46" s="43"/>
      <c r="B46" s="43"/>
      <c r="C46" s="35"/>
      <c r="D46" s="35"/>
      <c r="E46" s="65"/>
      <c r="F46" s="36"/>
      <c r="G46" s="69"/>
      <c r="H46" s="35"/>
      <c r="I46" s="35"/>
      <c r="J46" s="35"/>
      <c r="K46" s="43"/>
      <c r="L46" s="43"/>
    </row>
    <row r="47" spans="1:12" x14ac:dyDescent="0.25">
      <c r="A47" s="43"/>
      <c r="B47" s="43"/>
      <c r="C47" s="16"/>
      <c r="D47" s="16"/>
      <c r="E47" s="64"/>
      <c r="F47" s="33"/>
      <c r="G47" s="70"/>
      <c r="H47" s="16"/>
      <c r="I47" s="16"/>
      <c r="J47" s="16"/>
      <c r="K47" s="43"/>
      <c r="L47" s="43"/>
    </row>
    <row r="48" spans="1:12" x14ac:dyDescent="0.25">
      <c r="A48" s="43"/>
      <c r="B48" s="43"/>
      <c r="C48" s="35"/>
      <c r="D48" s="35"/>
      <c r="E48" s="65"/>
      <c r="F48" s="36"/>
      <c r="G48" s="69"/>
      <c r="H48" s="35"/>
      <c r="I48" s="35"/>
      <c r="J48" s="35"/>
      <c r="K48" s="43"/>
      <c r="L48" s="43"/>
    </row>
    <row r="49" spans="1:12" x14ac:dyDescent="0.25">
      <c r="A49" s="43"/>
      <c r="B49" s="43"/>
      <c r="C49" s="16"/>
      <c r="D49" s="16"/>
      <c r="E49" s="64"/>
      <c r="F49" s="33"/>
      <c r="G49" s="70"/>
      <c r="H49" s="16"/>
      <c r="I49" s="16"/>
      <c r="J49" s="16"/>
      <c r="K49" s="43"/>
      <c r="L49" s="43"/>
    </row>
    <row r="50" spans="1:12" x14ac:dyDescent="0.25">
      <c r="A50" s="43"/>
      <c r="B50" s="43"/>
      <c r="C50" s="35"/>
      <c r="D50" s="35"/>
      <c r="E50" s="65"/>
      <c r="F50" s="36"/>
      <c r="G50" s="69"/>
      <c r="H50" s="35"/>
      <c r="I50" s="35"/>
      <c r="J50" s="35"/>
      <c r="K50" s="43"/>
      <c r="L50" s="43"/>
    </row>
    <row r="51" spans="1:12" x14ac:dyDescent="0.25">
      <c r="A51" s="43"/>
      <c r="B51" s="43"/>
      <c r="C51" s="16"/>
      <c r="D51" s="16"/>
      <c r="E51" s="64"/>
      <c r="F51" s="33"/>
      <c r="G51" s="70"/>
      <c r="H51" s="16"/>
      <c r="I51" s="16"/>
      <c r="J51" s="16"/>
      <c r="K51" s="43"/>
      <c r="L51" s="43"/>
    </row>
    <row r="52" spans="1:12" x14ac:dyDescent="0.25">
      <c r="A52" s="43"/>
      <c r="B52" s="43"/>
      <c r="C52" s="35"/>
      <c r="D52" s="35"/>
      <c r="E52" s="65"/>
      <c r="F52" s="36"/>
      <c r="G52" s="69"/>
      <c r="H52" s="35"/>
      <c r="I52" s="35"/>
      <c r="J52" s="35"/>
      <c r="K52" s="43"/>
      <c r="L52" s="43"/>
    </row>
    <row r="53" spans="1:12" x14ac:dyDescent="0.25">
      <c r="A53" s="43"/>
      <c r="B53" s="43"/>
      <c r="C53" s="16"/>
      <c r="D53" s="16"/>
      <c r="E53" s="64"/>
      <c r="F53" s="33"/>
      <c r="G53" s="70"/>
      <c r="H53" s="16"/>
      <c r="I53" s="16"/>
      <c r="J53" s="16"/>
      <c r="K53" s="43"/>
      <c r="L53" s="43"/>
    </row>
    <row r="54" spans="1:12" x14ac:dyDescent="0.25">
      <c r="A54" s="43"/>
      <c r="B54" s="43"/>
      <c r="C54" s="35"/>
      <c r="D54" s="35"/>
      <c r="E54" s="65"/>
      <c r="F54" s="36"/>
      <c r="G54" s="69"/>
      <c r="H54" s="35"/>
      <c r="I54" s="35"/>
      <c r="J54" s="35"/>
      <c r="K54" s="43"/>
      <c r="L54" s="43"/>
    </row>
    <row r="55" spans="1:12" collapsed="1" x14ac:dyDescent="0.25">
      <c r="A55" s="43"/>
      <c r="B55" s="43"/>
      <c r="C55" s="16"/>
      <c r="D55" s="16"/>
      <c r="E55" s="64"/>
      <c r="F55" s="33"/>
      <c r="G55" s="70"/>
      <c r="H55" s="16"/>
      <c r="I55" s="16"/>
      <c r="J55" s="16"/>
      <c r="K55" s="43"/>
      <c r="L55" s="43"/>
    </row>
    <row r="56" spans="1:12" x14ac:dyDescent="0.25">
      <c r="A56" s="43"/>
      <c r="B56" s="43"/>
      <c r="C56" s="35"/>
      <c r="D56" s="35"/>
      <c r="E56" s="65"/>
      <c r="F56" s="36"/>
      <c r="G56" s="69"/>
      <c r="H56" s="35"/>
      <c r="I56" s="35"/>
      <c r="J56" s="35"/>
      <c r="K56" s="43"/>
      <c r="L56" s="43"/>
    </row>
    <row r="57" spans="1:12" x14ac:dyDescent="0.25">
      <c r="A57" s="43"/>
      <c r="B57" s="43"/>
      <c r="C57" s="16"/>
      <c r="D57" s="16"/>
      <c r="E57" s="64"/>
      <c r="F57" s="33"/>
      <c r="G57" s="70"/>
      <c r="H57" s="16"/>
      <c r="I57" s="16"/>
      <c r="J57" s="16"/>
      <c r="K57" s="43"/>
      <c r="L57" s="43"/>
    </row>
    <row r="58" spans="1:12" x14ac:dyDescent="0.25">
      <c r="A58" s="43"/>
      <c r="B58" s="43"/>
      <c r="C58" s="35"/>
      <c r="D58" s="35"/>
      <c r="E58" s="65"/>
      <c r="F58" s="36"/>
      <c r="G58" s="69"/>
      <c r="H58" s="35"/>
      <c r="I58" s="35"/>
      <c r="J58" s="35"/>
      <c r="K58" s="43"/>
      <c r="L58" s="43"/>
    </row>
    <row r="59" spans="1:12" x14ac:dyDescent="0.25">
      <c r="A59" s="43"/>
      <c r="B59" s="43"/>
      <c r="C59" s="16"/>
      <c r="D59" s="16"/>
      <c r="E59" s="64"/>
      <c r="F59" s="33"/>
      <c r="G59" s="70"/>
      <c r="H59" s="16"/>
      <c r="I59" s="16"/>
      <c r="J59" s="16"/>
      <c r="K59" s="43"/>
      <c r="L59" s="43"/>
    </row>
    <row r="60" spans="1:12" x14ac:dyDescent="0.25">
      <c r="A60" s="43"/>
      <c r="B60" s="43"/>
      <c r="C60" s="35"/>
      <c r="D60" s="35"/>
      <c r="E60" s="65"/>
      <c r="F60" s="36"/>
      <c r="G60" s="69"/>
      <c r="H60" s="35"/>
      <c r="I60" s="35"/>
      <c r="J60" s="35"/>
      <c r="K60" s="43"/>
      <c r="L60" s="43"/>
    </row>
    <row r="61" spans="1:12" x14ac:dyDescent="0.25">
      <c r="A61" s="43"/>
      <c r="B61" s="43"/>
      <c r="C61" s="16"/>
      <c r="D61" s="16"/>
      <c r="E61" s="64"/>
      <c r="F61" s="33"/>
      <c r="G61" s="70"/>
      <c r="H61" s="16"/>
      <c r="I61" s="16"/>
      <c r="J61" s="16"/>
      <c r="K61" s="43"/>
      <c r="L61" s="43"/>
    </row>
    <row r="62" spans="1:12" x14ac:dyDescent="0.25">
      <c r="A62" s="43"/>
      <c r="B62" s="43"/>
      <c r="C62" s="35"/>
      <c r="D62" s="35"/>
      <c r="E62" s="65"/>
      <c r="F62" s="36"/>
      <c r="G62" s="69"/>
      <c r="H62" s="35"/>
      <c r="I62" s="35"/>
      <c r="J62" s="35"/>
      <c r="K62" s="43"/>
      <c r="L62" s="43"/>
    </row>
    <row r="63" spans="1:12" x14ac:dyDescent="0.25">
      <c r="A63" s="43"/>
      <c r="B63" s="43"/>
      <c r="C63" s="16"/>
      <c r="D63" s="16"/>
      <c r="E63" s="64"/>
      <c r="F63" s="33"/>
      <c r="G63" s="70"/>
      <c r="H63" s="16"/>
      <c r="I63" s="16"/>
      <c r="J63" s="16"/>
      <c r="K63" s="43"/>
      <c r="L63" s="43"/>
    </row>
    <row r="64" spans="1:12" x14ac:dyDescent="0.25">
      <c r="A64" s="43"/>
      <c r="B64" s="43"/>
      <c r="C64" s="35"/>
      <c r="D64" s="35"/>
      <c r="E64" s="65"/>
      <c r="F64" s="36"/>
      <c r="G64" s="69"/>
      <c r="H64" s="35"/>
      <c r="I64" s="35"/>
      <c r="J64" s="35"/>
      <c r="K64" s="43"/>
      <c r="L64" s="43"/>
    </row>
    <row r="65" spans="1:12" x14ac:dyDescent="0.25">
      <c r="A65" s="43"/>
      <c r="B65" s="43"/>
      <c r="C65" s="16"/>
      <c r="D65" s="16"/>
      <c r="E65" s="64"/>
      <c r="F65" s="33"/>
      <c r="G65" s="70"/>
      <c r="H65" s="16"/>
      <c r="I65" s="16"/>
      <c r="J65" s="16"/>
      <c r="K65" s="43"/>
      <c r="L65" s="43"/>
    </row>
    <row r="66" spans="1:12" x14ac:dyDescent="0.25">
      <c r="A66" s="43"/>
      <c r="B66" s="43"/>
      <c r="C66" s="35"/>
      <c r="D66" s="35"/>
      <c r="E66" s="65"/>
      <c r="F66" s="36"/>
      <c r="G66" s="69"/>
      <c r="H66" s="35"/>
      <c r="I66" s="35"/>
      <c r="J66" s="35"/>
      <c r="K66" s="43"/>
      <c r="L66" s="43"/>
    </row>
    <row r="67" spans="1:12" x14ac:dyDescent="0.25">
      <c r="A67" s="43"/>
      <c r="B67" s="43"/>
      <c r="C67" s="16"/>
      <c r="D67" s="16"/>
      <c r="E67" s="64"/>
      <c r="F67" s="33"/>
      <c r="G67" s="70"/>
      <c r="H67" s="16"/>
      <c r="I67" s="16"/>
      <c r="J67" s="16"/>
      <c r="K67" s="43"/>
      <c r="L67" s="43"/>
    </row>
    <row r="68" spans="1:12" x14ac:dyDescent="0.25">
      <c r="A68" s="43"/>
      <c r="B68" s="43"/>
      <c r="C68" s="35"/>
      <c r="D68" s="35"/>
      <c r="E68" s="65"/>
      <c r="F68" s="36"/>
      <c r="G68" s="69"/>
      <c r="H68" s="35"/>
      <c r="I68" s="35"/>
      <c r="J68" s="35"/>
      <c r="K68" s="43"/>
      <c r="L68" s="43"/>
    </row>
    <row r="69" spans="1:12" x14ac:dyDescent="0.25">
      <c r="A69" s="43"/>
      <c r="B69" s="43"/>
      <c r="C69" s="16"/>
      <c r="D69" s="16"/>
      <c r="E69" s="64"/>
      <c r="F69" s="33"/>
      <c r="G69" s="70"/>
      <c r="H69" s="16"/>
      <c r="I69" s="16"/>
      <c r="J69" s="16"/>
      <c r="K69" s="43"/>
      <c r="L69" s="43"/>
    </row>
    <row r="70" spans="1:12" x14ac:dyDescent="0.25">
      <c r="A70" s="43"/>
      <c r="B70" s="43"/>
      <c r="C70" s="35"/>
      <c r="D70" s="35"/>
      <c r="E70" s="65"/>
      <c r="F70" s="36"/>
      <c r="G70" s="69"/>
      <c r="H70" s="35"/>
      <c r="I70" s="35"/>
      <c r="J70" s="35"/>
      <c r="K70" s="43"/>
      <c r="L70" s="43"/>
    </row>
    <row r="71" spans="1:12" x14ac:dyDescent="0.25">
      <c r="A71" s="43"/>
      <c r="B71" s="43"/>
      <c r="C71" s="16"/>
      <c r="D71" s="16"/>
      <c r="E71" s="64"/>
      <c r="F71" s="33"/>
      <c r="G71" s="70"/>
      <c r="H71" s="16"/>
      <c r="I71" s="16"/>
      <c r="J71" s="16"/>
      <c r="K71" s="43"/>
      <c r="L71" s="43"/>
    </row>
    <row r="72" spans="1:12" x14ac:dyDescent="0.25">
      <c r="A72" s="43"/>
      <c r="B72" s="43"/>
      <c r="C72" s="35"/>
      <c r="D72" s="35"/>
      <c r="E72" s="65"/>
      <c r="F72" s="36"/>
      <c r="G72" s="69"/>
      <c r="H72" s="35"/>
      <c r="I72" s="35"/>
      <c r="J72" s="35"/>
      <c r="K72" s="43"/>
      <c r="L72" s="43"/>
    </row>
    <row r="73" spans="1:12" x14ac:dyDescent="0.25">
      <c r="A73" s="43"/>
      <c r="B73" s="43"/>
      <c r="C73" s="16"/>
      <c r="D73" s="16"/>
      <c r="E73" s="64"/>
      <c r="F73" s="33"/>
      <c r="G73" s="70"/>
      <c r="H73" s="16"/>
      <c r="I73" s="16"/>
      <c r="J73" s="16"/>
      <c r="K73" s="43"/>
      <c r="L73" s="43"/>
    </row>
    <row r="74" spans="1:12" x14ac:dyDescent="0.25">
      <c r="A74" s="43"/>
      <c r="B74" s="43"/>
      <c r="C74" s="35"/>
      <c r="D74" s="35"/>
      <c r="E74" s="65"/>
      <c r="F74" s="36"/>
      <c r="G74" s="69"/>
      <c r="H74" s="35"/>
      <c r="I74" s="35"/>
      <c r="J74" s="35"/>
      <c r="K74" s="43"/>
      <c r="L74" s="43"/>
    </row>
    <row r="75" spans="1:12" x14ac:dyDescent="0.25">
      <c r="A75" s="43"/>
      <c r="B75" s="43"/>
      <c r="C75" s="16"/>
      <c r="D75" s="16"/>
      <c r="E75" s="64"/>
      <c r="F75" s="33"/>
      <c r="G75" s="70"/>
      <c r="H75" s="16"/>
      <c r="I75" s="16"/>
      <c r="J75" s="16"/>
      <c r="K75" s="43"/>
      <c r="L75" s="43"/>
    </row>
    <row r="76" spans="1:12" x14ac:dyDescent="0.25">
      <c r="A76" s="43"/>
      <c r="B76" s="43"/>
      <c r="C76" s="35"/>
      <c r="D76" s="35"/>
      <c r="E76" s="65"/>
      <c r="F76" s="36"/>
      <c r="G76" s="69"/>
      <c r="H76" s="35"/>
      <c r="I76" s="35"/>
      <c r="J76" s="35"/>
      <c r="K76" s="43"/>
      <c r="L76" s="43"/>
    </row>
    <row r="77" spans="1:12" x14ac:dyDescent="0.25">
      <c r="A77" s="43"/>
      <c r="B77" s="43"/>
      <c r="C77" s="16"/>
      <c r="D77" s="16"/>
      <c r="E77" s="64"/>
      <c r="F77" s="33"/>
      <c r="G77" s="70"/>
      <c r="H77" s="16"/>
      <c r="I77" s="16"/>
      <c r="J77" s="16"/>
      <c r="K77" s="43"/>
      <c r="L77" s="43"/>
    </row>
    <row r="78" spans="1:12" x14ac:dyDescent="0.25">
      <c r="A78" s="43"/>
      <c r="B78" s="43"/>
      <c r="C78" s="35"/>
      <c r="D78" s="35"/>
      <c r="E78" s="65"/>
      <c r="F78" s="36"/>
      <c r="G78" s="69"/>
      <c r="H78" s="35"/>
      <c r="I78" s="35"/>
      <c r="J78" s="35"/>
      <c r="K78" s="43"/>
      <c r="L78" s="43"/>
    </row>
    <row r="79" spans="1:12" x14ac:dyDescent="0.25">
      <c r="A79" s="43"/>
      <c r="B79" s="43"/>
      <c r="C79" s="16"/>
      <c r="D79" s="16"/>
      <c r="E79" s="64"/>
      <c r="F79" s="33"/>
      <c r="G79" s="70"/>
      <c r="H79" s="16"/>
      <c r="I79" s="16"/>
      <c r="J79" s="16"/>
      <c r="K79" s="43"/>
      <c r="L79" s="43"/>
    </row>
    <row r="80" spans="1:12" x14ac:dyDescent="0.25">
      <c r="A80" s="43"/>
      <c r="B80" s="43"/>
      <c r="C80" s="35"/>
      <c r="D80" s="35"/>
      <c r="E80" s="65"/>
      <c r="F80" s="36"/>
      <c r="G80" s="69"/>
      <c r="H80" s="35"/>
      <c r="I80" s="35"/>
      <c r="J80" s="35"/>
      <c r="K80" s="43"/>
      <c r="L80" s="43"/>
    </row>
    <row r="81" spans="1:12" x14ac:dyDescent="0.25">
      <c r="A81" s="43"/>
      <c r="B81" s="43"/>
      <c r="C81" s="16"/>
      <c r="D81" s="16"/>
      <c r="E81" s="64"/>
      <c r="F81" s="33"/>
      <c r="G81" s="70"/>
      <c r="H81" s="16"/>
      <c r="I81" s="16"/>
      <c r="J81" s="16"/>
      <c r="K81" s="43"/>
      <c r="L81" s="43"/>
    </row>
    <row r="82" spans="1:12" x14ac:dyDescent="0.25">
      <c r="A82" s="43"/>
      <c r="B82" s="43"/>
      <c r="C82" s="35"/>
      <c r="D82" s="35"/>
      <c r="E82" s="65"/>
      <c r="F82" s="36"/>
      <c r="G82" s="69"/>
      <c r="H82" s="35"/>
      <c r="I82" s="35"/>
      <c r="J82" s="35"/>
      <c r="K82" s="43"/>
      <c r="L82" s="43"/>
    </row>
    <row r="83" spans="1:12" x14ac:dyDescent="0.25">
      <c r="A83" s="43"/>
      <c r="B83" s="43"/>
      <c r="C83" s="16"/>
      <c r="D83" s="16"/>
      <c r="E83" s="64"/>
      <c r="F83" s="33"/>
      <c r="G83" s="70"/>
      <c r="H83" s="16"/>
      <c r="I83" s="16"/>
      <c r="J83" s="16"/>
      <c r="K83" s="43"/>
      <c r="L83" s="43"/>
    </row>
    <row r="84" spans="1:12" x14ac:dyDescent="0.25">
      <c r="A84" s="43"/>
      <c r="B84" s="43"/>
      <c r="C84" s="35"/>
      <c r="D84" s="35"/>
      <c r="E84" s="65"/>
      <c r="F84" s="36"/>
      <c r="G84" s="69"/>
      <c r="H84" s="35"/>
      <c r="I84" s="35"/>
      <c r="J84" s="35"/>
      <c r="K84" s="43"/>
      <c r="L84" s="43"/>
    </row>
    <row r="85" spans="1:12" x14ac:dyDescent="0.25">
      <c r="A85" s="43"/>
      <c r="B85" s="43"/>
      <c r="C85" s="16"/>
      <c r="D85" s="16"/>
      <c r="E85" s="64"/>
      <c r="F85" s="33"/>
      <c r="G85" s="70"/>
      <c r="H85" s="16"/>
      <c r="I85" s="16"/>
      <c r="J85" s="16"/>
      <c r="K85" s="43"/>
      <c r="L85" s="43"/>
    </row>
    <row r="86" spans="1:12" x14ac:dyDescent="0.25">
      <c r="A86" s="43"/>
      <c r="B86" s="43"/>
      <c r="C86" s="35"/>
      <c r="D86" s="35"/>
      <c r="E86" s="65"/>
      <c r="F86" s="36"/>
      <c r="G86" s="69"/>
      <c r="H86" s="35"/>
      <c r="I86" s="35"/>
      <c r="J86" s="35"/>
      <c r="K86" s="43"/>
      <c r="L86" s="43"/>
    </row>
    <row r="87" spans="1:12" x14ac:dyDescent="0.25">
      <c r="A87" s="43"/>
      <c r="B87" s="43"/>
      <c r="C87" s="16"/>
      <c r="D87" s="16"/>
      <c r="E87" s="64"/>
      <c r="F87" s="33"/>
      <c r="G87" s="70"/>
      <c r="H87" s="16"/>
      <c r="I87" s="16"/>
      <c r="J87" s="16"/>
      <c r="K87" s="43"/>
      <c r="L87" s="43"/>
    </row>
    <row r="88" spans="1:12" x14ac:dyDescent="0.25">
      <c r="A88" s="43"/>
      <c r="B88" s="43"/>
      <c r="C88" s="35"/>
      <c r="D88" s="35"/>
      <c r="E88" s="65"/>
      <c r="F88" s="36"/>
      <c r="G88" s="69"/>
      <c r="H88" s="35"/>
      <c r="I88" s="35"/>
      <c r="J88" s="35"/>
      <c r="K88" s="43"/>
      <c r="L88" s="43"/>
    </row>
    <row r="89" spans="1:12" x14ac:dyDescent="0.25">
      <c r="A89" s="43"/>
      <c r="B89" s="43"/>
      <c r="C89" s="16"/>
      <c r="D89" s="16"/>
      <c r="E89" s="64"/>
      <c r="F89" s="33"/>
      <c r="G89" s="70"/>
      <c r="H89" s="16"/>
      <c r="I89" s="16"/>
      <c r="J89" s="16"/>
      <c r="K89" s="43"/>
      <c r="L89" s="43"/>
    </row>
    <row r="90" spans="1:12" x14ac:dyDescent="0.25">
      <c r="A90" s="43"/>
      <c r="B90" s="43"/>
      <c r="C90" s="35"/>
      <c r="D90" s="35"/>
      <c r="E90" s="65"/>
      <c r="F90" s="36"/>
      <c r="G90" s="69"/>
      <c r="H90" s="35"/>
      <c r="I90" s="35"/>
      <c r="J90" s="35"/>
      <c r="K90" s="43"/>
      <c r="L90" s="43"/>
    </row>
    <row r="91" spans="1:12" x14ac:dyDescent="0.25">
      <c r="A91" s="43"/>
      <c r="B91" s="43"/>
      <c r="C91" s="16"/>
      <c r="D91" s="16"/>
      <c r="E91" s="64"/>
      <c r="F91" s="33"/>
      <c r="G91" s="70"/>
      <c r="H91" s="16"/>
      <c r="I91" s="16"/>
      <c r="J91" s="16"/>
      <c r="K91" s="43"/>
      <c r="L91" s="43"/>
    </row>
    <row r="92" spans="1:12" x14ac:dyDescent="0.25">
      <c r="A92" s="43"/>
      <c r="B92" s="43"/>
      <c r="C92" s="35"/>
      <c r="D92" s="35"/>
      <c r="E92" s="65"/>
      <c r="F92" s="36"/>
      <c r="G92" s="69"/>
      <c r="H92" s="35"/>
      <c r="I92" s="35"/>
      <c r="J92" s="35"/>
      <c r="K92" s="43"/>
      <c r="L92" s="43"/>
    </row>
    <row r="93" spans="1:12" x14ac:dyDescent="0.25">
      <c r="A93" s="43"/>
      <c r="B93" s="43"/>
      <c r="C93" s="16"/>
      <c r="D93" s="16"/>
      <c r="E93" s="64"/>
      <c r="F93" s="33"/>
      <c r="G93" s="70"/>
      <c r="H93" s="16"/>
      <c r="I93" s="16"/>
      <c r="J93" s="16"/>
      <c r="K93" s="43"/>
      <c r="L93" s="43"/>
    </row>
    <row r="94" spans="1:12" x14ac:dyDescent="0.25">
      <c r="A94" s="43"/>
      <c r="B94" s="43"/>
      <c r="C94" s="35"/>
      <c r="D94" s="35"/>
      <c r="E94" s="65"/>
      <c r="F94" s="36"/>
      <c r="G94" s="69"/>
      <c r="H94" s="35"/>
      <c r="I94" s="35"/>
      <c r="J94" s="35"/>
      <c r="K94" s="43"/>
      <c r="L94" s="43"/>
    </row>
    <row r="95" spans="1:12" x14ac:dyDescent="0.25">
      <c r="A95" s="43"/>
      <c r="B95" s="43"/>
      <c r="C95" s="16"/>
      <c r="D95" s="16"/>
      <c r="E95" s="64"/>
      <c r="F95" s="33"/>
      <c r="G95" s="70"/>
      <c r="H95" s="16"/>
      <c r="I95" s="16"/>
      <c r="J95" s="16"/>
      <c r="K95" s="43"/>
      <c r="L95" s="43"/>
    </row>
    <row r="96" spans="1:12" x14ac:dyDescent="0.25">
      <c r="A96" s="43"/>
      <c r="B96" s="43"/>
      <c r="C96" s="35"/>
      <c r="D96" s="35"/>
      <c r="E96" s="65"/>
      <c r="F96" s="36"/>
      <c r="G96" s="69"/>
      <c r="H96" s="35"/>
      <c r="I96" s="35"/>
      <c r="J96" s="35"/>
      <c r="K96" s="43"/>
      <c r="L96" s="43"/>
    </row>
    <row r="97" spans="1:12" x14ac:dyDescent="0.25">
      <c r="A97" s="43"/>
      <c r="B97" s="43"/>
      <c r="C97" s="16"/>
      <c r="D97" s="16"/>
      <c r="E97" s="64"/>
      <c r="F97" s="33"/>
      <c r="G97" s="70"/>
      <c r="H97" s="16"/>
      <c r="I97" s="16"/>
      <c r="J97" s="16"/>
      <c r="K97" s="43"/>
      <c r="L97" s="43"/>
    </row>
    <row r="98" spans="1:12" x14ac:dyDescent="0.25">
      <c r="A98" s="43"/>
      <c r="B98" s="43"/>
      <c r="C98" s="35"/>
      <c r="D98" s="35"/>
      <c r="E98" s="65"/>
      <c r="F98" s="36"/>
      <c r="G98" s="69"/>
      <c r="H98" s="35"/>
      <c r="I98" s="35"/>
      <c r="J98" s="35"/>
      <c r="K98" s="43"/>
      <c r="L98" s="43"/>
    </row>
    <row r="99" spans="1:12" x14ac:dyDescent="0.25">
      <c r="A99" s="43"/>
      <c r="B99" s="43"/>
      <c r="C99" s="16"/>
      <c r="D99" s="16"/>
      <c r="E99" s="64"/>
      <c r="F99" s="33"/>
      <c r="G99" s="70"/>
      <c r="H99" s="16"/>
      <c r="I99" s="16"/>
      <c r="J99" s="16"/>
      <c r="K99" s="43"/>
      <c r="L99" s="43"/>
    </row>
    <row r="100" spans="1:12" x14ac:dyDescent="0.25">
      <c r="A100" s="43"/>
      <c r="B100" s="43"/>
      <c r="C100" s="35"/>
      <c r="D100" s="35"/>
      <c r="E100" s="65"/>
      <c r="F100" s="36"/>
      <c r="G100" s="69"/>
      <c r="H100" s="35"/>
      <c r="I100" s="35"/>
      <c r="J100" s="35"/>
      <c r="K100" s="43"/>
      <c r="L100" s="43"/>
    </row>
    <row r="101" spans="1:12" x14ac:dyDescent="0.25">
      <c r="A101" s="43"/>
      <c r="B101" s="43"/>
      <c r="C101" s="16"/>
      <c r="D101" s="16"/>
      <c r="E101" s="64"/>
      <c r="F101" s="33"/>
      <c r="G101" s="70"/>
      <c r="H101" s="16"/>
      <c r="I101" s="16"/>
      <c r="J101" s="16"/>
      <c r="K101" s="43"/>
      <c r="L101" s="43"/>
    </row>
    <row r="102" spans="1:12" x14ac:dyDescent="0.25">
      <c r="A102" s="43"/>
      <c r="B102" s="43"/>
      <c r="C102" s="35"/>
      <c r="D102" s="35"/>
      <c r="E102" s="65"/>
      <c r="F102" s="36"/>
      <c r="G102" s="69"/>
      <c r="H102" s="35"/>
      <c r="I102" s="35"/>
      <c r="J102" s="35"/>
      <c r="K102" s="43"/>
      <c r="L102" s="43"/>
    </row>
    <row r="103" spans="1:12" x14ac:dyDescent="0.25">
      <c r="A103" s="43"/>
      <c r="B103" s="43"/>
      <c r="C103" s="16"/>
      <c r="D103" s="16"/>
      <c r="E103" s="64"/>
      <c r="F103" s="33"/>
      <c r="G103" s="70"/>
      <c r="H103" s="16"/>
      <c r="I103" s="16"/>
      <c r="J103" s="16"/>
      <c r="K103" s="43"/>
      <c r="L103" s="43"/>
    </row>
    <row r="104" spans="1:12" x14ac:dyDescent="0.25">
      <c r="A104" s="43"/>
      <c r="B104" s="43"/>
      <c r="C104" s="35"/>
      <c r="D104" s="35"/>
      <c r="E104" s="65"/>
      <c r="F104" s="36"/>
      <c r="G104" s="69"/>
      <c r="H104" s="35"/>
      <c r="I104" s="35"/>
      <c r="J104" s="35"/>
      <c r="K104" s="43"/>
      <c r="L104" s="43"/>
    </row>
    <row r="105" spans="1:12" x14ac:dyDescent="0.25">
      <c r="A105" s="43"/>
      <c r="B105" s="43"/>
      <c r="C105" s="16"/>
      <c r="D105" s="16"/>
      <c r="E105" s="64"/>
      <c r="F105" s="33"/>
      <c r="G105" s="70"/>
      <c r="H105" s="16"/>
      <c r="I105" s="16"/>
      <c r="J105" s="16"/>
      <c r="K105" s="43"/>
      <c r="L105" s="43"/>
    </row>
    <row r="106" spans="1:12" x14ac:dyDescent="0.25">
      <c r="A106" s="43"/>
      <c r="B106" s="43"/>
      <c r="C106" s="35"/>
      <c r="D106" s="35"/>
      <c r="E106" s="65"/>
      <c r="F106" s="36"/>
      <c r="G106" s="69"/>
      <c r="H106" s="35"/>
      <c r="I106" s="35"/>
      <c r="J106" s="35"/>
      <c r="K106" s="43"/>
      <c r="L106" s="43"/>
    </row>
    <row r="107" spans="1:12" x14ac:dyDescent="0.25">
      <c r="A107" s="43"/>
      <c r="B107" s="43"/>
      <c r="C107" s="16"/>
      <c r="D107" s="16"/>
      <c r="E107" s="64"/>
      <c r="F107" s="33"/>
      <c r="G107" s="70"/>
      <c r="H107" s="16"/>
      <c r="I107" s="16"/>
      <c r="J107" s="16"/>
      <c r="K107" s="43"/>
      <c r="L107" s="43"/>
    </row>
    <row r="108" spans="1:12" x14ac:dyDescent="0.25">
      <c r="A108" s="43"/>
      <c r="B108" s="43"/>
      <c r="C108" s="35"/>
      <c r="D108" s="35"/>
      <c r="E108" s="65"/>
      <c r="F108" s="36"/>
      <c r="G108" s="69"/>
      <c r="H108" s="35"/>
      <c r="I108" s="35"/>
      <c r="J108" s="35"/>
      <c r="K108" s="43"/>
      <c r="L108" s="43"/>
    </row>
    <row r="109" spans="1:12" x14ac:dyDescent="0.25">
      <c r="A109" s="43"/>
      <c r="B109" s="43"/>
      <c r="C109" s="16"/>
      <c r="D109" s="16"/>
      <c r="E109" s="64"/>
      <c r="F109" s="33"/>
      <c r="G109" s="70"/>
      <c r="H109" s="16"/>
      <c r="I109" s="16"/>
      <c r="J109" s="16"/>
      <c r="K109" s="43"/>
      <c r="L109" s="43"/>
    </row>
    <row r="110" spans="1:12" x14ac:dyDescent="0.25">
      <c r="A110" s="43"/>
      <c r="B110" s="43"/>
      <c r="C110" s="35"/>
      <c r="D110" s="35"/>
      <c r="E110" s="65"/>
      <c r="F110" s="36"/>
      <c r="G110" s="69"/>
      <c r="H110" s="35"/>
      <c r="I110" s="35"/>
      <c r="J110" s="35"/>
      <c r="K110" s="43"/>
      <c r="L110" s="43"/>
    </row>
    <row r="111" spans="1:12" x14ac:dyDescent="0.25">
      <c r="A111" s="43"/>
      <c r="B111" s="43"/>
      <c r="C111" s="16"/>
      <c r="D111" s="16"/>
      <c r="E111" s="64"/>
      <c r="F111" s="33"/>
      <c r="G111" s="70"/>
      <c r="H111" s="16"/>
      <c r="I111" s="16"/>
      <c r="J111" s="16"/>
      <c r="K111" s="43"/>
      <c r="L111" s="43"/>
    </row>
    <row r="112" spans="1:12" x14ac:dyDescent="0.25">
      <c r="A112" s="43"/>
      <c r="B112" s="43"/>
      <c r="C112" s="35"/>
      <c r="D112" s="35"/>
      <c r="E112" s="65"/>
      <c r="F112" s="36"/>
      <c r="G112" s="69"/>
      <c r="H112" s="35"/>
      <c r="I112" s="35"/>
      <c r="J112" s="35"/>
      <c r="K112" s="43"/>
      <c r="L112" s="43"/>
    </row>
    <row r="113" spans="1:12" x14ac:dyDescent="0.25">
      <c r="A113" s="43"/>
      <c r="B113" s="43"/>
      <c r="C113" s="16"/>
      <c r="D113" s="16"/>
      <c r="E113" s="64"/>
      <c r="F113" s="33"/>
      <c r="G113" s="70"/>
      <c r="H113" s="16"/>
      <c r="I113" s="16"/>
      <c r="J113" s="16"/>
      <c r="K113" s="43"/>
      <c r="L113" s="43"/>
    </row>
    <row r="114" spans="1:12" x14ac:dyDescent="0.25">
      <c r="A114" s="43"/>
      <c r="B114" s="43"/>
      <c r="C114" s="35"/>
      <c r="D114" s="35"/>
      <c r="E114" s="65"/>
      <c r="F114" s="36"/>
      <c r="G114" s="69"/>
      <c r="H114" s="35"/>
      <c r="I114" s="35"/>
      <c r="J114" s="35"/>
      <c r="K114" s="43"/>
      <c r="L114" s="43"/>
    </row>
    <row r="115" spans="1:12" x14ac:dyDescent="0.25">
      <c r="A115" s="43"/>
      <c r="B115" s="43"/>
      <c r="C115" s="16"/>
      <c r="D115" s="16"/>
      <c r="E115" s="64"/>
      <c r="F115" s="33"/>
      <c r="G115" s="70"/>
      <c r="H115" s="16"/>
      <c r="I115" s="16"/>
      <c r="J115" s="16"/>
      <c r="K115" s="43"/>
      <c r="L115" s="43"/>
    </row>
    <row r="116" spans="1:12" x14ac:dyDescent="0.25">
      <c r="A116" s="43"/>
      <c r="B116" s="43"/>
      <c r="C116" s="35"/>
      <c r="D116" s="35"/>
      <c r="E116" s="65"/>
      <c r="F116" s="36"/>
      <c r="G116" s="69"/>
      <c r="H116" s="35"/>
      <c r="I116" s="35"/>
      <c r="J116" s="35"/>
      <c r="K116" s="43"/>
      <c r="L116" s="43"/>
    </row>
    <row r="117" spans="1:12" collapsed="1" x14ac:dyDescent="0.25">
      <c r="A117" s="43"/>
      <c r="B117" s="43"/>
      <c r="C117" s="16"/>
      <c r="D117" s="16"/>
      <c r="E117" s="64"/>
      <c r="F117" s="33"/>
      <c r="G117" s="70"/>
      <c r="H117" s="16"/>
      <c r="I117" s="16"/>
      <c r="J117" s="16"/>
      <c r="K117" s="43"/>
      <c r="L117" s="43"/>
    </row>
    <row r="118" spans="1:12" x14ac:dyDescent="0.25">
      <c r="A118" s="43"/>
      <c r="B118" s="43"/>
      <c r="C118" s="35"/>
      <c r="D118" s="35"/>
      <c r="E118" s="65"/>
      <c r="F118" s="36"/>
      <c r="G118" s="69"/>
      <c r="H118" s="35"/>
      <c r="I118" s="35"/>
      <c r="J118" s="35"/>
      <c r="K118" s="43"/>
      <c r="L118" s="43"/>
    </row>
    <row r="119" spans="1:12" x14ac:dyDescent="0.25">
      <c r="A119" s="43"/>
      <c r="B119" s="43"/>
      <c r="C119" s="16"/>
      <c r="D119" s="16"/>
      <c r="E119" s="64"/>
      <c r="F119" s="33"/>
      <c r="G119" s="70"/>
      <c r="H119" s="16"/>
      <c r="I119" s="16"/>
      <c r="J119" s="16"/>
      <c r="K119" s="43"/>
      <c r="L119" s="43"/>
    </row>
    <row r="120" spans="1:12" x14ac:dyDescent="0.25">
      <c r="C120" s="35"/>
      <c r="D120" s="35"/>
      <c r="E120" s="65"/>
      <c r="F120" s="36"/>
      <c r="G120" s="69"/>
      <c r="H120" s="35"/>
      <c r="I120" s="35"/>
      <c r="J120" s="35"/>
    </row>
    <row r="121" spans="1:12" x14ac:dyDescent="0.25">
      <c r="C121" s="16"/>
      <c r="D121" s="16"/>
      <c r="E121" s="64"/>
      <c r="F121" s="33"/>
      <c r="G121" s="70"/>
      <c r="H121" s="16"/>
      <c r="I121" s="16"/>
      <c r="J121" s="16"/>
    </row>
    <row r="122" spans="1:12" x14ac:dyDescent="0.25">
      <c r="C122" s="35"/>
      <c r="D122" s="35"/>
      <c r="E122" s="65"/>
      <c r="F122" s="36"/>
      <c r="G122" s="69"/>
      <c r="H122" s="35"/>
      <c r="I122" s="35"/>
      <c r="J122" s="35"/>
    </row>
    <row r="123" spans="1:12" x14ac:dyDescent="0.25">
      <c r="C123" s="16"/>
      <c r="D123" s="16"/>
      <c r="E123" s="64"/>
      <c r="F123" s="33"/>
      <c r="G123" s="70"/>
      <c r="H123" s="16"/>
      <c r="I123" s="16"/>
      <c r="J123" s="16"/>
    </row>
    <row r="124" spans="1:12" x14ac:dyDescent="0.25">
      <c r="C124" s="35"/>
      <c r="D124" s="35"/>
      <c r="E124" s="65"/>
      <c r="F124" s="36"/>
      <c r="G124" s="69"/>
      <c r="H124" s="35"/>
      <c r="I124" s="35"/>
      <c r="J124" s="35"/>
    </row>
    <row r="125" spans="1:12" x14ac:dyDescent="0.25">
      <c r="C125" s="16"/>
      <c r="D125" s="16"/>
      <c r="E125" s="64"/>
      <c r="F125" s="33"/>
      <c r="G125" s="70"/>
      <c r="H125" s="16"/>
      <c r="I125" s="16"/>
      <c r="J125" s="16"/>
    </row>
    <row r="126" spans="1:12" x14ac:dyDescent="0.25">
      <c r="C126" s="35"/>
      <c r="D126" s="35"/>
      <c r="E126" s="65"/>
      <c r="F126" s="36"/>
      <c r="G126" s="69"/>
      <c r="H126" s="35"/>
      <c r="I126" s="35"/>
      <c r="J126" s="35"/>
    </row>
    <row r="127" spans="1:12" x14ac:dyDescent="0.25">
      <c r="C127" s="16"/>
      <c r="D127" s="16"/>
      <c r="E127" s="64"/>
      <c r="F127" s="33"/>
      <c r="G127" s="70"/>
      <c r="H127" s="16"/>
      <c r="I127" s="16"/>
      <c r="J127" s="16"/>
    </row>
    <row r="128" spans="1:12" x14ac:dyDescent="0.25">
      <c r="C128" s="35"/>
      <c r="D128" s="35"/>
      <c r="E128" s="65"/>
      <c r="F128" s="36"/>
      <c r="G128" s="69"/>
      <c r="H128" s="35"/>
      <c r="I128" s="35"/>
      <c r="J128" s="35"/>
    </row>
    <row r="129" spans="3:10" x14ac:dyDescent="0.25">
      <c r="C129" s="16"/>
      <c r="D129" s="16"/>
      <c r="E129" s="64"/>
      <c r="F129" s="33"/>
      <c r="G129" s="70"/>
      <c r="H129" s="16"/>
      <c r="I129" s="16"/>
      <c r="J129" s="16"/>
    </row>
    <row r="130" spans="3:10" x14ac:dyDescent="0.25">
      <c r="C130" s="35"/>
      <c r="D130" s="35"/>
      <c r="E130" s="65"/>
      <c r="F130" s="36"/>
      <c r="G130" s="69"/>
      <c r="H130" s="35"/>
      <c r="I130" s="35"/>
      <c r="J130" s="35"/>
    </row>
    <row r="131" spans="3:10" x14ac:dyDescent="0.25">
      <c r="C131" s="16"/>
      <c r="D131" s="16"/>
      <c r="E131" s="64"/>
      <c r="F131" s="33"/>
      <c r="G131" s="70"/>
      <c r="H131" s="16"/>
      <c r="I131" s="16"/>
      <c r="J131" s="16"/>
    </row>
    <row r="132" spans="3:10" x14ac:dyDescent="0.25">
      <c r="C132" s="35"/>
      <c r="D132" s="35"/>
      <c r="E132" s="65"/>
      <c r="F132" s="36"/>
      <c r="G132" s="69"/>
      <c r="H132" s="35"/>
      <c r="I132" s="35"/>
      <c r="J132" s="35"/>
    </row>
    <row r="133" spans="3:10" x14ac:dyDescent="0.25">
      <c r="C133" s="16"/>
      <c r="D133" s="16"/>
      <c r="E133" s="64"/>
      <c r="F133" s="33"/>
      <c r="G133" s="70"/>
      <c r="H133" s="16"/>
      <c r="I133" s="16"/>
      <c r="J133" s="16"/>
    </row>
    <row r="134" spans="3:10" x14ac:dyDescent="0.25">
      <c r="C134" s="35"/>
      <c r="D134" s="35"/>
      <c r="E134" s="65"/>
      <c r="F134" s="36"/>
      <c r="G134" s="69"/>
      <c r="H134" s="35"/>
      <c r="I134" s="35"/>
      <c r="J134" s="35"/>
    </row>
    <row r="135" spans="3:10" x14ac:dyDescent="0.25">
      <c r="C135" s="16"/>
      <c r="D135" s="16"/>
      <c r="E135" s="64"/>
      <c r="F135" s="33"/>
      <c r="G135" s="70"/>
      <c r="H135" s="16"/>
      <c r="I135" s="16"/>
      <c r="J135" s="16"/>
    </row>
    <row r="136" spans="3:10" x14ac:dyDescent="0.25">
      <c r="C136" s="35"/>
      <c r="D136" s="35"/>
      <c r="E136" s="65"/>
      <c r="F136" s="36"/>
      <c r="G136" s="69"/>
      <c r="H136" s="35"/>
      <c r="I136" s="35"/>
      <c r="J136" s="35"/>
    </row>
    <row r="137" spans="3:10" x14ac:dyDescent="0.25">
      <c r="C137" s="16"/>
      <c r="D137" s="16"/>
      <c r="E137" s="64"/>
      <c r="F137" s="33"/>
      <c r="G137" s="70"/>
      <c r="H137" s="16"/>
      <c r="I137" s="16"/>
      <c r="J137" s="16"/>
    </row>
    <row r="138" spans="3:10" x14ac:dyDescent="0.25">
      <c r="C138" s="35"/>
      <c r="D138" s="35"/>
      <c r="E138" s="65"/>
      <c r="F138" s="36"/>
      <c r="G138" s="69"/>
      <c r="H138" s="35"/>
      <c r="I138" s="35"/>
      <c r="J138" s="35"/>
    </row>
    <row r="139" spans="3:10" x14ac:dyDescent="0.25">
      <c r="C139" s="16"/>
      <c r="D139" s="16"/>
      <c r="E139" s="64"/>
      <c r="F139" s="33"/>
      <c r="G139" s="70"/>
      <c r="H139" s="16"/>
      <c r="I139" s="16"/>
      <c r="J139" s="16"/>
    </row>
    <row r="140" spans="3:10" x14ac:dyDescent="0.25">
      <c r="C140" s="35"/>
      <c r="D140" s="35"/>
      <c r="E140" s="65"/>
      <c r="F140" s="36"/>
      <c r="G140" s="69"/>
      <c r="H140" s="35"/>
      <c r="I140" s="35"/>
      <c r="J140" s="35"/>
    </row>
    <row r="141" spans="3:10" x14ac:dyDescent="0.25">
      <c r="C141" s="16"/>
      <c r="D141" s="16"/>
      <c r="E141" s="64"/>
      <c r="F141" s="33"/>
      <c r="G141" s="70"/>
      <c r="H141" s="16"/>
      <c r="I141" s="16"/>
      <c r="J141" s="16"/>
    </row>
    <row r="142" spans="3:10" x14ac:dyDescent="0.25">
      <c r="C142" s="35"/>
      <c r="D142" s="35"/>
      <c r="E142" s="65"/>
      <c r="F142" s="36"/>
      <c r="G142" s="69"/>
      <c r="H142" s="35"/>
      <c r="I142" s="35"/>
      <c r="J142" s="35"/>
    </row>
    <row r="143" spans="3:10" x14ac:dyDescent="0.25">
      <c r="C143" s="16"/>
      <c r="D143" s="16"/>
      <c r="E143" s="64"/>
      <c r="F143" s="33"/>
      <c r="G143" s="70"/>
      <c r="H143" s="16"/>
      <c r="I143" s="16"/>
      <c r="J143" s="16"/>
    </row>
    <row r="144" spans="3:10" x14ac:dyDescent="0.25">
      <c r="C144" s="35"/>
      <c r="D144" s="35"/>
      <c r="E144" s="65"/>
      <c r="F144" s="36"/>
      <c r="G144" s="69"/>
      <c r="H144" s="35"/>
      <c r="I144" s="35"/>
      <c r="J144" s="35"/>
    </row>
    <row r="145" spans="3:10" x14ac:dyDescent="0.25">
      <c r="C145" s="16"/>
      <c r="D145" s="16"/>
      <c r="E145" s="64"/>
      <c r="F145" s="33"/>
      <c r="G145" s="70"/>
      <c r="H145" s="16"/>
      <c r="I145" s="16"/>
      <c r="J145" s="16"/>
    </row>
    <row r="146" spans="3:10" x14ac:dyDescent="0.25">
      <c r="C146" s="35"/>
      <c r="D146" s="35"/>
      <c r="E146" s="65"/>
      <c r="F146" s="36"/>
      <c r="G146" s="69"/>
      <c r="H146" s="35"/>
      <c r="I146" s="35"/>
      <c r="J146" s="35"/>
    </row>
    <row r="147" spans="3:10" x14ac:dyDescent="0.25">
      <c r="C147" s="16"/>
      <c r="D147" s="16"/>
      <c r="E147" s="64"/>
      <c r="F147" s="33"/>
      <c r="G147" s="70"/>
      <c r="H147" s="16"/>
      <c r="I147" s="16"/>
      <c r="J147" s="16"/>
    </row>
    <row r="148" spans="3:10" x14ac:dyDescent="0.25">
      <c r="C148" s="35"/>
      <c r="D148" s="35"/>
      <c r="E148" s="65"/>
      <c r="F148" s="36"/>
      <c r="G148" s="69"/>
      <c r="H148" s="35"/>
      <c r="I148" s="35"/>
      <c r="J148" s="35"/>
    </row>
    <row r="149" spans="3:10" x14ac:dyDescent="0.25">
      <c r="C149" s="16"/>
      <c r="D149" s="16"/>
      <c r="E149" s="64"/>
      <c r="F149" s="33"/>
      <c r="G149" s="70"/>
      <c r="H149" s="16"/>
      <c r="I149" s="16"/>
      <c r="J149" s="16"/>
    </row>
    <row r="150" spans="3:10" x14ac:dyDescent="0.25">
      <c r="C150" s="35"/>
      <c r="D150" s="35"/>
      <c r="E150" s="65"/>
      <c r="F150" s="36"/>
      <c r="G150" s="69"/>
      <c r="H150" s="35"/>
      <c r="I150" s="35"/>
      <c r="J150" s="35"/>
    </row>
    <row r="151" spans="3:10" x14ac:dyDescent="0.25">
      <c r="C151" s="16"/>
      <c r="D151" s="16"/>
      <c r="E151" s="64"/>
      <c r="F151" s="33"/>
      <c r="G151" s="70"/>
      <c r="H151" s="16"/>
      <c r="I151" s="16"/>
      <c r="J151" s="16"/>
    </row>
    <row r="152" spans="3:10" x14ac:dyDescent="0.25">
      <c r="C152" s="35"/>
      <c r="D152" s="35"/>
      <c r="E152" s="65"/>
      <c r="F152" s="36"/>
      <c r="G152" s="69"/>
      <c r="H152" s="35"/>
      <c r="I152" s="35"/>
      <c r="J152" s="35"/>
    </row>
    <row r="153" spans="3:10" x14ac:dyDescent="0.25">
      <c r="C153" s="16"/>
      <c r="D153" s="16"/>
      <c r="E153" s="64"/>
      <c r="F153" s="33"/>
      <c r="G153" s="70"/>
      <c r="H153" s="16"/>
      <c r="I153" s="16"/>
      <c r="J153" s="16"/>
    </row>
    <row r="154" spans="3:10" x14ac:dyDescent="0.25">
      <c r="C154" s="35"/>
      <c r="D154" s="35"/>
      <c r="E154" s="65"/>
      <c r="F154" s="36"/>
      <c r="G154" s="69"/>
      <c r="H154" s="35"/>
      <c r="I154" s="35"/>
      <c r="J154" s="35"/>
    </row>
    <row r="155" spans="3:10" x14ac:dyDescent="0.25">
      <c r="C155" s="16"/>
      <c r="D155" s="16"/>
      <c r="E155" s="64"/>
      <c r="F155" s="33"/>
      <c r="G155" s="70"/>
      <c r="H155" s="16"/>
      <c r="I155" s="16"/>
      <c r="J155" s="16"/>
    </row>
    <row r="156" spans="3:10" x14ac:dyDescent="0.25">
      <c r="C156" s="35"/>
      <c r="D156" s="35"/>
      <c r="E156" s="65"/>
      <c r="F156" s="36"/>
      <c r="G156" s="69"/>
      <c r="H156" s="35"/>
      <c r="I156" s="35"/>
      <c r="J156" s="35"/>
    </row>
    <row r="157" spans="3:10" x14ac:dyDescent="0.25">
      <c r="C157" s="16"/>
      <c r="D157" s="16"/>
      <c r="E157" s="64"/>
      <c r="F157" s="33"/>
      <c r="G157" s="70"/>
      <c r="H157" s="16"/>
      <c r="I157" s="16"/>
      <c r="J157" s="16"/>
    </row>
    <row r="158" spans="3:10" x14ac:dyDescent="0.25">
      <c r="C158" s="35"/>
      <c r="D158" s="35"/>
      <c r="E158" s="65"/>
      <c r="F158" s="36"/>
      <c r="G158" s="69"/>
      <c r="H158" s="35"/>
      <c r="I158" s="35"/>
      <c r="J158" s="35"/>
    </row>
    <row r="159" spans="3:10" x14ac:dyDescent="0.25">
      <c r="C159" s="16"/>
      <c r="D159" s="16"/>
      <c r="E159" s="64"/>
      <c r="F159" s="33"/>
      <c r="G159" s="70"/>
      <c r="H159" s="16"/>
      <c r="I159" s="16"/>
      <c r="J159" s="16"/>
    </row>
    <row r="160" spans="3:10" x14ac:dyDescent="0.25">
      <c r="C160" s="35"/>
      <c r="D160" s="35"/>
      <c r="E160" s="65"/>
      <c r="F160" s="36"/>
      <c r="G160" s="69"/>
      <c r="H160" s="35"/>
      <c r="I160" s="35"/>
      <c r="J160" s="35"/>
    </row>
    <row r="161" spans="3:10" x14ac:dyDescent="0.25">
      <c r="C161" s="16"/>
      <c r="D161" s="16"/>
      <c r="E161" s="64"/>
      <c r="F161" s="33"/>
      <c r="G161" s="70"/>
      <c r="H161" s="16"/>
      <c r="I161" s="16"/>
      <c r="J161" s="16"/>
    </row>
    <row r="162" spans="3:10" x14ac:dyDescent="0.25">
      <c r="C162" s="35"/>
      <c r="D162" s="35"/>
      <c r="E162" s="65"/>
      <c r="F162" s="36"/>
      <c r="G162" s="69"/>
      <c r="H162" s="35"/>
      <c r="I162" s="35"/>
      <c r="J162" s="35"/>
    </row>
    <row r="163" spans="3:10" x14ac:dyDescent="0.25">
      <c r="C163" s="16"/>
      <c r="D163" s="16"/>
      <c r="E163" s="64"/>
      <c r="F163" s="33"/>
      <c r="G163" s="70"/>
      <c r="H163" s="16"/>
      <c r="I163" s="16"/>
      <c r="J163" s="16"/>
    </row>
    <row r="164" spans="3:10" x14ac:dyDescent="0.25">
      <c r="C164" s="35"/>
      <c r="D164" s="35"/>
      <c r="E164" s="65"/>
      <c r="F164" s="36"/>
      <c r="G164" s="69"/>
      <c r="H164" s="35"/>
      <c r="I164" s="35"/>
      <c r="J164" s="35"/>
    </row>
    <row r="165" spans="3:10" x14ac:dyDescent="0.25">
      <c r="C165" s="16"/>
      <c r="D165" s="16"/>
      <c r="E165" s="64"/>
      <c r="F165" s="33"/>
      <c r="G165" s="70"/>
      <c r="H165" s="16"/>
      <c r="I165" s="16"/>
      <c r="J165" s="16"/>
    </row>
    <row r="166" spans="3:10" x14ac:dyDescent="0.25">
      <c r="C166" s="35"/>
      <c r="D166" s="35"/>
      <c r="E166" s="65"/>
      <c r="F166" s="36"/>
      <c r="G166" s="69"/>
      <c r="H166" s="35"/>
      <c r="I166" s="35"/>
      <c r="J166" s="35"/>
    </row>
    <row r="167" spans="3:10" x14ac:dyDescent="0.25">
      <c r="C167" s="16"/>
      <c r="D167" s="16"/>
      <c r="E167" s="64"/>
      <c r="F167" s="33"/>
      <c r="G167" s="70"/>
      <c r="H167" s="16"/>
      <c r="I167" s="16"/>
      <c r="J167" s="16"/>
    </row>
    <row r="168" spans="3:10" x14ac:dyDescent="0.25">
      <c r="C168" s="35"/>
      <c r="D168" s="35"/>
      <c r="E168" s="65"/>
      <c r="F168" s="36"/>
      <c r="G168" s="69"/>
      <c r="H168" s="35"/>
      <c r="I168" s="35"/>
      <c r="J168" s="35"/>
    </row>
    <row r="169" spans="3:10" x14ac:dyDescent="0.25">
      <c r="C169" s="16"/>
      <c r="D169" s="16"/>
      <c r="E169" s="64"/>
      <c r="F169" s="33"/>
      <c r="G169" s="70"/>
      <c r="H169" s="16"/>
      <c r="I169" s="16"/>
      <c r="J169" s="16"/>
    </row>
    <row r="170" spans="3:10" x14ac:dyDescent="0.25">
      <c r="C170" s="35"/>
      <c r="D170" s="35"/>
      <c r="E170" s="65"/>
      <c r="F170" s="36"/>
      <c r="G170" s="69"/>
      <c r="H170" s="35"/>
      <c r="I170" s="35"/>
      <c r="J170" s="35"/>
    </row>
    <row r="171" spans="3:10" x14ac:dyDescent="0.25">
      <c r="C171" s="16"/>
      <c r="D171" s="16"/>
      <c r="E171" s="64"/>
      <c r="F171" s="33"/>
      <c r="G171" s="70"/>
      <c r="H171" s="16"/>
      <c r="I171" s="16"/>
      <c r="J171" s="16"/>
    </row>
    <row r="172" spans="3:10" x14ac:dyDescent="0.25">
      <c r="C172" s="35"/>
      <c r="D172" s="35"/>
      <c r="E172" s="65"/>
      <c r="F172" s="36"/>
      <c r="G172" s="69"/>
      <c r="H172" s="35"/>
      <c r="I172" s="35"/>
      <c r="J172" s="35"/>
    </row>
    <row r="173" spans="3:10" x14ac:dyDescent="0.25">
      <c r="C173" s="16"/>
      <c r="D173" s="16"/>
      <c r="E173" s="64"/>
      <c r="F173" s="33"/>
      <c r="G173" s="70"/>
      <c r="H173" s="16"/>
      <c r="I173" s="16"/>
      <c r="J173" s="16"/>
    </row>
    <row r="174" spans="3:10" x14ac:dyDescent="0.25">
      <c r="C174" s="35"/>
      <c r="D174" s="35"/>
      <c r="E174" s="65"/>
      <c r="F174" s="36"/>
      <c r="G174" s="69"/>
      <c r="H174" s="35"/>
      <c r="I174" s="35"/>
      <c r="J174" s="35"/>
    </row>
    <row r="175" spans="3:10" x14ac:dyDescent="0.25">
      <c r="C175" s="16"/>
      <c r="D175" s="16"/>
      <c r="E175" s="64"/>
      <c r="F175" s="33"/>
      <c r="G175" s="70"/>
      <c r="H175" s="16"/>
      <c r="I175" s="16"/>
      <c r="J175" s="16"/>
    </row>
    <row r="176" spans="3:10" x14ac:dyDescent="0.25">
      <c r="C176" s="35"/>
      <c r="D176" s="35"/>
      <c r="E176" s="65"/>
      <c r="F176" s="36"/>
      <c r="G176" s="69"/>
      <c r="H176" s="35"/>
      <c r="I176" s="35"/>
      <c r="J176" s="35"/>
    </row>
    <row r="177" spans="3:10" x14ac:dyDescent="0.25">
      <c r="C177" s="16"/>
      <c r="D177" s="16"/>
      <c r="E177" s="64"/>
      <c r="F177" s="33"/>
      <c r="G177" s="70"/>
      <c r="H177" s="16"/>
      <c r="I177" s="16"/>
      <c r="J177" s="16"/>
    </row>
    <row r="178" spans="3:10" x14ac:dyDescent="0.25">
      <c r="C178" s="35"/>
      <c r="D178" s="35"/>
      <c r="E178" s="65"/>
      <c r="F178" s="36"/>
      <c r="G178" s="69"/>
      <c r="H178" s="35"/>
      <c r="I178" s="35"/>
      <c r="J178" s="35"/>
    </row>
    <row r="179" spans="3:10" x14ac:dyDescent="0.25">
      <c r="C179" s="16"/>
      <c r="D179" s="16"/>
      <c r="E179" s="64"/>
      <c r="F179" s="33"/>
      <c r="G179" s="70"/>
      <c r="H179" s="16"/>
      <c r="I179" s="16"/>
      <c r="J179" s="16"/>
    </row>
    <row r="180" spans="3:10" x14ac:dyDescent="0.25">
      <c r="C180" s="35"/>
      <c r="D180" s="35"/>
      <c r="E180" s="65"/>
      <c r="F180" s="36"/>
      <c r="G180" s="69"/>
      <c r="H180" s="35"/>
      <c r="I180" s="35"/>
      <c r="J180" s="35"/>
    </row>
    <row r="181" spans="3:10" x14ac:dyDescent="0.25">
      <c r="C181" s="16"/>
      <c r="D181" s="16"/>
      <c r="E181" s="64"/>
      <c r="F181" s="33"/>
      <c r="G181" s="70"/>
      <c r="H181" s="16"/>
      <c r="I181" s="16"/>
      <c r="J181" s="16"/>
    </row>
    <row r="182" spans="3:10" x14ac:dyDescent="0.25">
      <c r="C182" s="35"/>
      <c r="D182" s="35"/>
      <c r="E182" s="65"/>
      <c r="F182" s="36"/>
      <c r="G182" s="69"/>
      <c r="H182" s="35"/>
      <c r="I182" s="35"/>
      <c r="J182" s="35"/>
    </row>
    <row r="183" spans="3:10" x14ac:dyDescent="0.25">
      <c r="C183" s="16"/>
      <c r="D183" s="16"/>
      <c r="E183" s="64"/>
      <c r="F183" s="33"/>
      <c r="G183" s="70"/>
      <c r="H183" s="16"/>
      <c r="I183" s="16"/>
      <c r="J183" s="16"/>
    </row>
    <row r="184" spans="3:10" x14ac:dyDescent="0.25">
      <c r="C184" s="35"/>
      <c r="D184" s="35"/>
      <c r="E184" s="65"/>
      <c r="F184" s="36"/>
      <c r="G184" s="69"/>
      <c r="H184" s="35"/>
      <c r="I184" s="35"/>
      <c r="J184" s="35"/>
    </row>
    <row r="185" spans="3:10" x14ac:dyDescent="0.25">
      <c r="C185" s="16"/>
      <c r="D185" s="16"/>
      <c r="E185" s="64"/>
      <c r="F185" s="33"/>
      <c r="G185" s="70"/>
      <c r="H185" s="16"/>
      <c r="I185" s="16"/>
      <c r="J185" s="16"/>
    </row>
    <row r="186" spans="3:10" x14ac:dyDescent="0.25">
      <c r="C186" s="35"/>
      <c r="D186" s="35"/>
      <c r="E186" s="65"/>
      <c r="F186" s="36"/>
      <c r="G186" s="69"/>
      <c r="H186" s="35"/>
      <c r="I186" s="35"/>
      <c r="J186" s="35"/>
    </row>
    <row r="187" spans="3:10" x14ac:dyDescent="0.25">
      <c r="C187" s="16"/>
      <c r="D187" s="16"/>
      <c r="E187" s="64"/>
      <c r="F187" s="33"/>
      <c r="G187" s="70"/>
      <c r="H187" s="16"/>
      <c r="I187" s="16"/>
      <c r="J187" s="16"/>
    </row>
    <row r="188" spans="3:10" x14ac:dyDescent="0.25">
      <c r="C188" s="35"/>
      <c r="D188" s="35"/>
      <c r="E188" s="65"/>
      <c r="F188" s="36"/>
      <c r="G188" s="69"/>
      <c r="H188" s="35"/>
      <c r="I188" s="35"/>
      <c r="J188" s="35"/>
    </row>
    <row r="189" spans="3:10" x14ac:dyDescent="0.25">
      <c r="C189" s="16"/>
      <c r="D189" s="16"/>
      <c r="E189" s="64"/>
      <c r="F189" s="33"/>
      <c r="G189" s="70"/>
      <c r="H189" s="16"/>
      <c r="I189" s="16"/>
      <c r="J189" s="16"/>
    </row>
    <row r="190" spans="3:10" x14ac:dyDescent="0.25">
      <c r="C190" s="35"/>
      <c r="D190" s="35"/>
      <c r="E190" s="65"/>
      <c r="F190" s="36"/>
      <c r="G190" s="69"/>
      <c r="H190" s="35"/>
      <c r="I190" s="35"/>
      <c r="J190" s="35"/>
    </row>
    <row r="191" spans="3:10" x14ac:dyDescent="0.25">
      <c r="C191" s="16"/>
      <c r="D191" s="16"/>
      <c r="E191" s="64"/>
      <c r="F191" s="33"/>
      <c r="G191" s="70"/>
      <c r="H191" s="16"/>
      <c r="I191" s="16"/>
      <c r="J191" s="16"/>
    </row>
    <row r="192" spans="3:10" x14ac:dyDescent="0.25">
      <c r="C192" s="35"/>
      <c r="D192" s="35"/>
      <c r="E192" s="65"/>
      <c r="F192" s="36"/>
      <c r="G192" s="69"/>
      <c r="H192" s="35"/>
      <c r="I192" s="35"/>
      <c r="J192" s="35"/>
    </row>
    <row r="193" spans="3:10" x14ac:dyDescent="0.25">
      <c r="C193" s="16"/>
      <c r="D193" s="16"/>
      <c r="E193" s="64"/>
      <c r="F193" s="33"/>
      <c r="G193" s="70"/>
      <c r="H193" s="16"/>
      <c r="I193" s="16"/>
      <c r="J193" s="16"/>
    </row>
    <row r="194" spans="3:10" x14ac:dyDescent="0.25">
      <c r="C194" s="35"/>
      <c r="D194" s="35"/>
      <c r="E194" s="65"/>
      <c r="F194" s="36"/>
      <c r="G194" s="69"/>
      <c r="H194" s="35"/>
      <c r="I194" s="35"/>
      <c r="J194" s="35"/>
    </row>
    <row r="195" spans="3:10" x14ac:dyDescent="0.25">
      <c r="C195" s="16"/>
      <c r="D195" s="16"/>
      <c r="E195" s="64"/>
      <c r="F195" s="33"/>
      <c r="G195" s="70"/>
      <c r="H195" s="16"/>
      <c r="I195" s="16"/>
      <c r="J195" s="16"/>
    </row>
    <row r="196" spans="3:10" x14ac:dyDescent="0.25">
      <c r="C196" s="35"/>
      <c r="D196" s="35"/>
      <c r="E196" s="65"/>
      <c r="F196" s="36"/>
      <c r="G196" s="69"/>
      <c r="H196" s="35"/>
      <c r="I196" s="35"/>
      <c r="J196" s="35"/>
    </row>
    <row r="197" spans="3:10" x14ac:dyDescent="0.25">
      <c r="C197" s="16"/>
      <c r="D197" s="16"/>
      <c r="E197" s="64"/>
      <c r="F197" s="33"/>
      <c r="G197" s="70"/>
      <c r="H197" s="16"/>
      <c r="I197" s="16"/>
      <c r="J197" s="16"/>
    </row>
    <row r="198" spans="3:10" x14ac:dyDescent="0.25">
      <c r="C198" s="35"/>
      <c r="D198" s="35"/>
      <c r="E198" s="65"/>
      <c r="F198" s="36"/>
      <c r="G198" s="69"/>
      <c r="H198" s="35"/>
      <c r="I198" s="35"/>
      <c r="J198" s="35"/>
    </row>
    <row r="199" spans="3:10" x14ac:dyDescent="0.25">
      <c r="C199" s="16"/>
      <c r="D199" s="16"/>
      <c r="E199" s="64"/>
      <c r="F199" s="33"/>
      <c r="G199" s="70"/>
      <c r="H199" s="16"/>
      <c r="I199" s="16"/>
      <c r="J199" s="16"/>
    </row>
    <row r="200" spans="3:10" x14ac:dyDescent="0.25">
      <c r="C200" s="35"/>
      <c r="D200" s="35"/>
      <c r="E200" s="65"/>
      <c r="F200" s="36"/>
      <c r="G200" s="69"/>
      <c r="H200" s="35"/>
      <c r="I200" s="35"/>
      <c r="J200" s="35"/>
    </row>
    <row r="201" spans="3:10" x14ac:dyDescent="0.25">
      <c r="C201" s="16"/>
      <c r="D201" s="16"/>
      <c r="E201" s="64"/>
      <c r="F201" s="33"/>
      <c r="G201" s="70"/>
      <c r="H201" s="16"/>
      <c r="I201" s="16"/>
      <c r="J201" s="16"/>
    </row>
    <row r="202" spans="3:10" x14ac:dyDescent="0.25">
      <c r="C202" s="35"/>
      <c r="D202" s="35"/>
      <c r="E202" s="65"/>
      <c r="F202" s="36"/>
      <c r="G202" s="69"/>
      <c r="H202" s="35"/>
      <c r="I202" s="35"/>
      <c r="J202" s="35"/>
    </row>
    <row r="203" spans="3:10" x14ac:dyDescent="0.25">
      <c r="C203" s="16"/>
      <c r="D203" s="16"/>
      <c r="E203" s="64"/>
      <c r="F203" s="33"/>
      <c r="G203" s="70"/>
      <c r="H203" s="16"/>
      <c r="I203" s="16"/>
      <c r="J203" s="16"/>
    </row>
    <row r="204" spans="3:10" x14ac:dyDescent="0.25">
      <c r="C204" s="35"/>
      <c r="D204" s="35"/>
      <c r="E204" s="65"/>
      <c r="F204" s="36"/>
      <c r="G204" s="69"/>
      <c r="H204" s="35"/>
      <c r="I204" s="35"/>
      <c r="J204" s="35"/>
    </row>
    <row r="205" spans="3:10" x14ac:dyDescent="0.25">
      <c r="C205" s="16"/>
      <c r="D205" s="16"/>
      <c r="E205" s="64"/>
      <c r="F205" s="33"/>
      <c r="G205" s="70"/>
      <c r="H205" s="16"/>
      <c r="I205" s="16"/>
      <c r="J205" s="16"/>
    </row>
    <row r="206" spans="3:10" x14ac:dyDescent="0.25">
      <c r="C206" s="35"/>
      <c r="D206" s="35"/>
      <c r="E206" s="65"/>
      <c r="F206" s="36"/>
      <c r="G206" s="69"/>
      <c r="H206" s="35"/>
      <c r="I206" s="35"/>
      <c r="J206" s="35"/>
    </row>
    <row r="207" spans="3:10" x14ac:dyDescent="0.25">
      <c r="C207" s="16"/>
      <c r="D207" s="16"/>
      <c r="E207" s="64"/>
      <c r="F207" s="33"/>
      <c r="G207" s="70"/>
      <c r="H207" s="16"/>
      <c r="I207" s="16"/>
      <c r="J207" s="16"/>
    </row>
    <row r="208" spans="3:10" x14ac:dyDescent="0.25">
      <c r="C208" s="35"/>
      <c r="D208" s="35"/>
      <c r="E208" s="65"/>
      <c r="F208" s="36"/>
      <c r="G208" s="69"/>
      <c r="H208" s="35"/>
      <c r="I208" s="35"/>
      <c r="J208" s="35"/>
    </row>
    <row r="209" spans="3:10" x14ac:dyDescent="0.25">
      <c r="C209" s="16"/>
      <c r="D209" s="16"/>
      <c r="E209" s="64"/>
      <c r="F209" s="33"/>
      <c r="G209" s="70"/>
      <c r="H209" s="16"/>
      <c r="I209" s="16"/>
      <c r="J209" s="16"/>
    </row>
    <row r="210" spans="3:10" x14ac:dyDescent="0.25">
      <c r="C210" s="35"/>
      <c r="D210" s="35"/>
      <c r="E210" s="65"/>
      <c r="F210" s="36"/>
      <c r="G210" s="69"/>
      <c r="H210" s="35"/>
      <c r="I210" s="35"/>
      <c r="J210" s="35"/>
    </row>
    <row r="211" spans="3:10" x14ac:dyDescent="0.25">
      <c r="C211" s="16"/>
      <c r="D211" s="16"/>
      <c r="E211" s="64"/>
      <c r="F211" s="33"/>
      <c r="G211" s="70"/>
      <c r="H211" s="16"/>
      <c r="I211" s="16"/>
      <c r="J211" s="16"/>
    </row>
    <row r="212" spans="3:10" x14ac:dyDescent="0.25">
      <c r="C212" s="35"/>
      <c r="D212" s="35"/>
      <c r="E212" s="65"/>
      <c r="F212" s="36"/>
      <c r="G212" s="69"/>
      <c r="H212" s="35"/>
      <c r="I212" s="35"/>
      <c r="J212" s="35"/>
    </row>
    <row r="213" spans="3:10" x14ac:dyDescent="0.25">
      <c r="C213" s="16"/>
      <c r="D213" s="16"/>
      <c r="E213" s="64"/>
      <c r="F213" s="33"/>
      <c r="G213" s="70"/>
      <c r="H213" s="16"/>
      <c r="I213" s="16"/>
      <c r="J213" s="16"/>
    </row>
    <row r="214" spans="3:10" x14ac:dyDescent="0.25">
      <c r="C214" s="35"/>
      <c r="D214" s="35"/>
      <c r="E214" s="65"/>
      <c r="F214" s="36"/>
      <c r="G214" s="69"/>
      <c r="H214" s="35"/>
      <c r="I214" s="35"/>
      <c r="J214" s="35"/>
    </row>
    <row r="215" spans="3:10" x14ac:dyDescent="0.25">
      <c r="C215" s="16"/>
      <c r="D215" s="16"/>
      <c r="E215" s="64"/>
      <c r="F215" s="33"/>
      <c r="G215" s="70"/>
      <c r="H215" s="16"/>
      <c r="I215" s="16"/>
      <c r="J215" s="16"/>
    </row>
    <row r="216" spans="3:10" x14ac:dyDescent="0.25">
      <c r="C216" s="35"/>
      <c r="D216" s="35"/>
      <c r="E216" s="65"/>
      <c r="F216" s="36"/>
      <c r="G216" s="69"/>
      <c r="H216" s="35"/>
      <c r="I216" s="35"/>
      <c r="J216" s="35"/>
    </row>
    <row r="217" spans="3:10" x14ac:dyDescent="0.25">
      <c r="C217" s="16"/>
      <c r="D217" s="16"/>
      <c r="E217" s="64"/>
      <c r="F217" s="33"/>
      <c r="G217" s="70"/>
      <c r="H217" s="16"/>
      <c r="I217" s="16"/>
      <c r="J217" s="16"/>
    </row>
    <row r="218" spans="3:10" x14ac:dyDescent="0.25">
      <c r="C218" s="35"/>
      <c r="D218" s="35"/>
      <c r="E218" s="65"/>
      <c r="F218" s="36"/>
      <c r="G218" s="69"/>
      <c r="H218" s="35"/>
      <c r="I218" s="35"/>
      <c r="J218" s="35"/>
    </row>
    <row r="219" spans="3:10" x14ac:dyDescent="0.25">
      <c r="C219" s="16"/>
      <c r="D219" s="16"/>
      <c r="E219" s="64"/>
      <c r="F219" s="33"/>
      <c r="G219" s="70"/>
      <c r="H219" s="16"/>
      <c r="I219" s="16"/>
      <c r="J219" s="16"/>
    </row>
    <row r="220" spans="3:10" x14ac:dyDescent="0.25">
      <c r="C220" s="35"/>
      <c r="D220" s="35"/>
      <c r="E220" s="65"/>
      <c r="F220" s="36"/>
      <c r="G220" s="69"/>
      <c r="H220" s="35"/>
      <c r="I220" s="35"/>
      <c r="J220" s="35"/>
    </row>
    <row r="221" spans="3:10" x14ac:dyDescent="0.25">
      <c r="C221" s="16"/>
      <c r="D221" s="16"/>
      <c r="E221" s="64"/>
      <c r="F221" s="33"/>
      <c r="G221" s="70"/>
      <c r="H221" s="16"/>
      <c r="I221" s="16"/>
      <c r="J221" s="16"/>
    </row>
    <row r="222" spans="3:10" x14ac:dyDescent="0.25">
      <c r="C222" s="35"/>
      <c r="D222" s="35"/>
      <c r="E222" s="65"/>
      <c r="F222" s="36"/>
      <c r="G222" s="69"/>
      <c r="H222" s="35"/>
      <c r="I222" s="35"/>
      <c r="J222" s="35"/>
    </row>
    <row r="223" spans="3:10" x14ac:dyDescent="0.25">
      <c r="C223" s="16"/>
      <c r="D223" s="16"/>
      <c r="E223" s="64"/>
      <c r="F223" s="33"/>
      <c r="G223" s="70"/>
      <c r="H223" s="16"/>
      <c r="I223" s="16"/>
      <c r="J223" s="16"/>
    </row>
    <row r="224" spans="3:10" x14ac:dyDescent="0.25">
      <c r="C224" s="35"/>
      <c r="D224" s="35"/>
      <c r="E224" s="65"/>
      <c r="F224" s="36"/>
      <c r="G224" s="69"/>
      <c r="H224" s="35"/>
      <c r="I224" s="35"/>
      <c r="J224" s="35"/>
    </row>
    <row r="225" spans="3:10" x14ac:dyDescent="0.25">
      <c r="C225" s="16"/>
      <c r="D225" s="16"/>
      <c r="E225" s="64"/>
      <c r="F225" s="33"/>
      <c r="G225" s="70"/>
      <c r="H225" s="16"/>
      <c r="I225" s="16"/>
      <c r="J225" s="16"/>
    </row>
    <row r="226" spans="3:10" x14ac:dyDescent="0.25">
      <c r="C226" s="35"/>
      <c r="D226" s="35"/>
      <c r="E226" s="65"/>
      <c r="F226" s="36"/>
      <c r="G226" s="69"/>
      <c r="H226" s="35"/>
      <c r="I226" s="35"/>
      <c r="J226" s="35"/>
    </row>
    <row r="227" spans="3:10" x14ac:dyDescent="0.25">
      <c r="C227" s="16"/>
      <c r="D227" s="16"/>
      <c r="E227" s="64"/>
      <c r="F227" s="33"/>
      <c r="G227" s="70"/>
      <c r="H227" s="16"/>
      <c r="I227" s="16"/>
      <c r="J227" s="16"/>
    </row>
    <row r="228" spans="3:10" x14ac:dyDescent="0.25">
      <c r="C228" s="35"/>
      <c r="D228" s="35"/>
      <c r="E228" s="65"/>
      <c r="F228" s="36"/>
      <c r="G228" s="69"/>
      <c r="H228" s="35"/>
      <c r="I228" s="35"/>
      <c r="J228" s="35"/>
    </row>
    <row r="229" spans="3:10" x14ac:dyDescent="0.25">
      <c r="C229" s="16"/>
      <c r="D229" s="16"/>
      <c r="E229" s="64"/>
      <c r="F229" s="33"/>
      <c r="G229" s="70"/>
      <c r="H229" s="16"/>
      <c r="I229" s="16"/>
      <c r="J229" s="16"/>
    </row>
    <row r="230" spans="3:10" x14ac:dyDescent="0.25">
      <c r="C230" s="35"/>
      <c r="D230" s="35"/>
      <c r="E230" s="65"/>
      <c r="F230" s="36"/>
      <c r="G230" s="69"/>
      <c r="H230" s="35"/>
      <c r="I230" s="35"/>
      <c r="J230" s="35"/>
    </row>
    <row r="231" spans="3:10" x14ac:dyDescent="0.25">
      <c r="C231" s="16"/>
      <c r="D231" s="16"/>
      <c r="E231" s="64"/>
      <c r="F231" s="33"/>
      <c r="G231" s="70"/>
      <c r="H231" s="16"/>
      <c r="I231" s="16"/>
      <c r="J231" s="16"/>
    </row>
    <row r="232" spans="3:10" x14ac:dyDescent="0.25">
      <c r="C232" s="35"/>
      <c r="D232" s="35"/>
      <c r="E232" s="65"/>
      <c r="F232" s="36"/>
      <c r="G232" s="69"/>
      <c r="H232" s="35"/>
      <c r="I232" s="35"/>
      <c r="J232" s="35"/>
    </row>
    <row r="233" spans="3:10" x14ac:dyDescent="0.25">
      <c r="C233" s="16"/>
      <c r="D233" s="16"/>
      <c r="E233" s="64"/>
      <c r="F233" s="33"/>
      <c r="G233" s="70"/>
      <c r="H233" s="16"/>
      <c r="I233" s="16"/>
      <c r="J233" s="16"/>
    </row>
    <row r="234" spans="3:10" x14ac:dyDescent="0.25">
      <c r="C234" s="35"/>
      <c r="D234" s="35"/>
      <c r="E234" s="65"/>
      <c r="F234" s="36"/>
      <c r="G234" s="69"/>
      <c r="H234" s="35"/>
      <c r="I234" s="35"/>
      <c r="J234" s="35"/>
    </row>
    <row r="235" spans="3:10" x14ac:dyDescent="0.25">
      <c r="C235" s="16"/>
      <c r="D235" s="16"/>
      <c r="E235" s="64"/>
      <c r="F235" s="33"/>
      <c r="G235" s="70"/>
      <c r="H235" s="16"/>
      <c r="I235" s="16"/>
      <c r="J235" s="16"/>
    </row>
    <row r="236" spans="3:10" x14ac:dyDescent="0.25">
      <c r="C236" s="35"/>
      <c r="D236" s="35"/>
      <c r="E236" s="65"/>
      <c r="F236" s="36"/>
      <c r="G236" s="69"/>
      <c r="H236" s="35"/>
      <c r="I236" s="35"/>
      <c r="J236" s="35"/>
    </row>
    <row r="237" spans="3:10" x14ac:dyDescent="0.25">
      <c r="C237" s="16"/>
      <c r="D237" s="16"/>
      <c r="E237" s="64"/>
      <c r="F237" s="33"/>
      <c r="G237" s="70"/>
      <c r="H237" s="16"/>
      <c r="I237" s="16"/>
      <c r="J237" s="16"/>
    </row>
    <row r="238" spans="3:10" x14ac:dyDescent="0.25">
      <c r="C238" s="35"/>
      <c r="D238" s="35"/>
      <c r="E238" s="65"/>
      <c r="F238" s="36"/>
      <c r="G238" s="69"/>
      <c r="H238" s="35"/>
      <c r="I238" s="35"/>
      <c r="J238" s="35"/>
    </row>
    <row r="239" spans="3:10" x14ac:dyDescent="0.25">
      <c r="C239" s="16"/>
      <c r="D239" s="16"/>
      <c r="E239" s="64"/>
      <c r="F239" s="33"/>
      <c r="G239" s="70"/>
      <c r="H239" s="16"/>
      <c r="I239" s="16"/>
      <c r="J239" s="16"/>
    </row>
    <row r="240" spans="3:10" x14ac:dyDescent="0.25">
      <c r="C240" s="35"/>
      <c r="D240" s="35"/>
      <c r="E240" s="65"/>
      <c r="F240" s="36"/>
      <c r="G240" s="69"/>
      <c r="H240" s="35"/>
      <c r="I240" s="35"/>
      <c r="J240" s="35"/>
    </row>
    <row r="241" spans="3:10" x14ac:dyDescent="0.25">
      <c r="C241" s="16"/>
      <c r="D241" s="16"/>
      <c r="E241" s="64"/>
      <c r="F241" s="33"/>
      <c r="G241" s="70"/>
      <c r="H241" s="16"/>
      <c r="I241" s="16"/>
      <c r="J241" s="16"/>
    </row>
    <row r="242" spans="3:10" x14ac:dyDescent="0.25">
      <c r="C242" s="35"/>
      <c r="D242" s="35"/>
      <c r="E242" s="65"/>
      <c r="F242" s="36"/>
      <c r="G242" s="69"/>
      <c r="H242" s="35"/>
      <c r="I242" s="35"/>
      <c r="J242" s="35"/>
    </row>
    <row r="243" spans="3:10" x14ac:dyDescent="0.25">
      <c r="C243" s="16"/>
      <c r="D243" s="16"/>
      <c r="E243" s="64"/>
      <c r="F243" s="33"/>
      <c r="G243" s="70"/>
      <c r="H243" s="16"/>
      <c r="I243" s="16"/>
      <c r="J243" s="16"/>
    </row>
    <row r="244" spans="3:10" x14ac:dyDescent="0.25">
      <c r="C244" s="35"/>
      <c r="D244" s="35"/>
      <c r="E244" s="65"/>
      <c r="F244" s="36"/>
      <c r="G244" s="69"/>
      <c r="H244" s="35"/>
      <c r="I244" s="35"/>
      <c r="J244" s="35"/>
    </row>
    <row r="245" spans="3:10" x14ac:dyDescent="0.25">
      <c r="C245" s="16"/>
      <c r="D245" s="16"/>
      <c r="E245" s="64"/>
      <c r="F245" s="33"/>
      <c r="G245" s="70"/>
      <c r="H245" s="16"/>
      <c r="I245" s="16"/>
      <c r="J245" s="16"/>
    </row>
    <row r="246" spans="3:10" x14ac:dyDescent="0.25">
      <c r="C246" s="35"/>
      <c r="D246" s="35"/>
      <c r="E246" s="65"/>
      <c r="F246" s="36"/>
      <c r="G246" s="69"/>
      <c r="H246" s="35"/>
      <c r="I246" s="35"/>
      <c r="J246" s="35"/>
    </row>
    <row r="247" spans="3:10" x14ac:dyDescent="0.25">
      <c r="C247" s="16"/>
      <c r="D247" s="16"/>
      <c r="E247" s="64"/>
      <c r="F247" s="33"/>
      <c r="G247" s="70"/>
      <c r="H247" s="16"/>
      <c r="I247" s="16"/>
      <c r="J247" s="16"/>
    </row>
    <row r="248" spans="3:10" x14ac:dyDescent="0.25">
      <c r="C248" s="35"/>
      <c r="D248" s="35"/>
      <c r="E248" s="65"/>
      <c r="F248" s="36"/>
      <c r="G248" s="69"/>
      <c r="H248" s="35"/>
      <c r="I248" s="35"/>
      <c r="J248" s="35"/>
    </row>
    <row r="249" spans="3:10" x14ac:dyDescent="0.25">
      <c r="C249" s="16"/>
      <c r="D249" s="16"/>
      <c r="E249" s="64"/>
      <c r="F249" s="33"/>
      <c r="G249" s="70"/>
      <c r="H249" s="16"/>
      <c r="I249" s="16"/>
      <c r="J249" s="16"/>
    </row>
    <row r="250" spans="3:10" x14ac:dyDescent="0.25">
      <c r="C250" s="35"/>
      <c r="D250" s="35"/>
      <c r="E250" s="65"/>
      <c r="F250" s="36"/>
      <c r="G250" s="69"/>
      <c r="H250" s="35"/>
      <c r="I250" s="35"/>
      <c r="J250" s="35"/>
    </row>
    <row r="251" spans="3:10" x14ac:dyDescent="0.25">
      <c r="C251" s="16"/>
      <c r="D251" s="16"/>
      <c r="E251" s="64"/>
      <c r="F251" s="33"/>
      <c r="G251" s="70"/>
      <c r="H251" s="16"/>
      <c r="I251" s="16"/>
      <c r="J251" s="16"/>
    </row>
    <row r="252" spans="3:10" x14ac:dyDescent="0.25">
      <c r="C252" s="35"/>
      <c r="D252" s="35"/>
      <c r="E252" s="65"/>
      <c r="F252" s="36"/>
      <c r="G252" s="69"/>
      <c r="H252" s="35"/>
      <c r="I252" s="35"/>
      <c r="J252" s="35"/>
    </row>
    <row r="253" spans="3:10" x14ac:dyDescent="0.25">
      <c r="C253" s="16"/>
      <c r="D253" s="16"/>
      <c r="E253" s="64"/>
      <c r="F253" s="33"/>
      <c r="G253" s="70"/>
      <c r="H253" s="16"/>
      <c r="I253" s="16"/>
      <c r="J253" s="16"/>
    </row>
    <row r="254" spans="3:10" x14ac:dyDescent="0.25">
      <c r="C254" s="35"/>
      <c r="D254" s="35"/>
      <c r="E254" s="65"/>
      <c r="F254" s="36"/>
      <c r="G254" s="69"/>
      <c r="H254" s="35"/>
      <c r="I254" s="35"/>
      <c r="J254" s="35"/>
    </row>
    <row r="255" spans="3:10" x14ac:dyDescent="0.25">
      <c r="C255" s="16"/>
      <c r="D255" s="16"/>
      <c r="E255" s="64"/>
      <c r="F255" s="33"/>
      <c r="G255" s="70"/>
      <c r="H255" s="16"/>
      <c r="I255" s="16"/>
      <c r="J255" s="16"/>
    </row>
    <row r="256" spans="3:10" x14ac:dyDescent="0.25">
      <c r="C256" s="35"/>
      <c r="D256" s="35"/>
      <c r="E256" s="65"/>
      <c r="F256" s="36"/>
      <c r="G256" s="69"/>
      <c r="H256" s="35"/>
      <c r="I256" s="35"/>
      <c r="J256" s="35"/>
    </row>
    <row r="257" spans="3:10" x14ac:dyDescent="0.25">
      <c r="C257" s="16"/>
      <c r="D257" s="16"/>
      <c r="E257" s="64"/>
      <c r="F257" s="33"/>
      <c r="G257" s="70"/>
      <c r="H257" s="16"/>
      <c r="I257" s="16"/>
      <c r="J257" s="16"/>
    </row>
    <row r="258" spans="3:10" x14ac:dyDescent="0.25">
      <c r="C258" s="35"/>
      <c r="D258" s="35"/>
      <c r="E258" s="65"/>
      <c r="F258" s="36"/>
      <c r="G258" s="69"/>
      <c r="H258" s="35"/>
      <c r="I258" s="35"/>
      <c r="J258" s="35"/>
    </row>
    <row r="259" spans="3:10" x14ac:dyDescent="0.25">
      <c r="C259" s="16"/>
      <c r="D259" s="16"/>
      <c r="E259" s="64"/>
      <c r="F259" s="33"/>
      <c r="G259" s="70"/>
      <c r="H259" s="16"/>
      <c r="I259" s="16"/>
      <c r="J259" s="16"/>
    </row>
    <row r="260" spans="3:10" x14ac:dyDescent="0.25">
      <c r="C260" s="35"/>
      <c r="D260" s="35"/>
      <c r="E260" s="65"/>
      <c r="F260" s="36"/>
      <c r="G260" s="69"/>
      <c r="H260" s="35"/>
      <c r="I260" s="35"/>
      <c r="J260" s="35"/>
    </row>
    <row r="261" spans="3:10" x14ac:dyDescent="0.25">
      <c r="C261" s="16"/>
      <c r="D261" s="16"/>
      <c r="E261" s="64"/>
      <c r="F261" s="33"/>
      <c r="G261" s="70"/>
      <c r="H261" s="16"/>
      <c r="I261" s="16"/>
      <c r="J261" s="16"/>
    </row>
    <row r="262" spans="3:10" x14ac:dyDescent="0.25">
      <c r="C262" s="35"/>
      <c r="D262" s="35"/>
      <c r="E262" s="65"/>
      <c r="F262" s="36"/>
      <c r="G262" s="69"/>
      <c r="H262" s="35"/>
      <c r="I262" s="35"/>
      <c r="J262" s="35"/>
    </row>
    <row r="263" spans="3:10" x14ac:dyDescent="0.25">
      <c r="C263" s="16"/>
      <c r="D263" s="16"/>
      <c r="E263" s="64"/>
      <c r="F263" s="33"/>
      <c r="G263" s="70"/>
      <c r="H263" s="16"/>
      <c r="I263" s="16"/>
      <c r="J263" s="16"/>
    </row>
    <row r="264" spans="3:10" x14ac:dyDescent="0.25">
      <c r="C264" s="35"/>
      <c r="D264" s="35"/>
      <c r="E264" s="65"/>
      <c r="F264" s="36"/>
      <c r="G264" s="69"/>
      <c r="H264" s="35"/>
      <c r="I264" s="35"/>
      <c r="J264" s="35"/>
    </row>
    <row r="265" spans="3:10" x14ac:dyDescent="0.25">
      <c r="C265" s="16"/>
      <c r="D265" s="16"/>
      <c r="E265" s="64"/>
      <c r="F265" s="33"/>
      <c r="G265" s="70"/>
      <c r="H265" s="16"/>
      <c r="I265" s="16"/>
      <c r="J265" s="16"/>
    </row>
    <row r="266" spans="3:10" x14ac:dyDescent="0.25">
      <c r="C266" s="35"/>
      <c r="D266" s="35"/>
      <c r="E266" s="65"/>
      <c r="F266" s="36"/>
      <c r="G266" s="69"/>
      <c r="H266" s="35"/>
      <c r="I266" s="35"/>
      <c r="J266" s="35"/>
    </row>
    <row r="267" spans="3:10" x14ac:dyDescent="0.25">
      <c r="C267" s="16"/>
      <c r="D267" s="16"/>
      <c r="E267" s="64"/>
      <c r="F267" s="33"/>
      <c r="G267" s="70"/>
      <c r="H267" s="16"/>
      <c r="I267" s="16"/>
      <c r="J267" s="16"/>
    </row>
    <row r="268" spans="3:10" x14ac:dyDescent="0.25">
      <c r="C268" s="35"/>
      <c r="D268" s="35"/>
      <c r="E268" s="65"/>
      <c r="F268" s="36"/>
      <c r="G268" s="69"/>
      <c r="H268" s="35"/>
      <c r="I268" s="35"/>
      <c r="J268" s="35"/>
    </row>
    <row r="269" spans="3:10" x14ac:dyDescent="0.25">
      <c r="C269" s="16"/>
      <c r="D269" s="16"/>
      <c r="E269" s="64"/>
      <c r="F269" s="33"/>
      <c r="G269" s="70"/>
      <c r="H269" s="16"/>
      <c r="I269" s="16"/>
      <c r="J269" s="16"/>
    </row>
    <row r="270" spans="3:10" x14ac:dyDescent="0.25">
      <c r="C270" s="35"/>
      <c r="D270" s="35"/>
      <c r="E270" s="65"/>
      <c r="F270" s="36"/>
      <c r="G270" s="69"/>
      <c r="H270" s="35"/>
      <c r="I270" s="35"/>
      <c r="J270" s="35"/>
    </row>
    <row r="271" spans="3:10" x14ac:dyDescent="0.25">
      <c r="C271" s="16"/>
      <c r="D271" s="16"/>
      <c r="E271" s="64"/>
      <c r="F271" s="33"/>
      <c r="G271" s="70"/>
      <c r="H271" s="16"/>
      <c r="I271" s="16"/>
      <c r="J271" s="16"/>
    </row>
    <row r="272" spans="3:10" x14ac:dyDescent="0.25">
      <c r="C272" s="35"/>
      <c r="D272" s="35"/>
      <c r="E272" s="65"/>
      <c r="F272" s="36"/>
      <c r="G272" s="69"/>
      <c r="H272" s="35"/>
      <c r="I272" s="35"/>
      <c r="J272" s="35"/>
    </row>
    <row r="273" spans="3:10" x14ac:dyDescent="0.25">
      <c r="C273" s="16"/>
      <c r="D273" s="16"/>
      <c r="E273" s="64"/>
      <c r="F273" s="33"/>
      <c r="G273" s="70"/>
      <c r="H273" s="16"/>
      <c r="I273" s="16"/>
      <c r="J273" s="16"/>
    </row>
    <row r="274" spans="3:10" x14ac:dyDescent="0.25">
      <c r="C274" s="35"/>
      <c r="D274" s="35"/>
      <c r="E274" s="65"/>
      <c r="F274" s="36"/>
      <c r="G274" s="69"/>
      <c r="H274" s="35"/>
      <c r="I274" s="35"/>
      <c r="J274" s="35"/>
    </row>
    <row r="275" spans="3:10" x14ac:dyDescent="0.25">
      <c r="C275" s="16"/>
      <c r="D275" s="16"/>
      <c r="E275" s="64"/>
      <c r="F275" s="33"/>
      <c r="G275" s="70"/>
      <c r="H275" s="16"/>
      <c r="I275" s="16"/>
      <c r="J275" s="16"/>
    </row>
    <row r="276" spans="3:10" x14ac:dyDescent="0.25">
      <c r="C276" s="35"/>
      <c r="D276" s="35"/>
      <c r="E276" s="65"/>
      <c r="F276" s="36"/>
      <c r="G276" s="69"/>
      <c r="H276" s="35"/>
      <c r="I276" s="35"/>
      <c r="J276" s="35"/>
    </row>
    <row r="277" spans="3:10" x14ac:dyDescent="0.25">
      <c r="C277" s="16"/>
      <c r="D277" s="16"/>
      <c r="E277" s="64"/>
      <c r="F277" s="33"/>
      <c r="G277" s="70"/>
      <c r="H277" s="16"/>
      <c r="I277" s="16"/>
      <c r="J277" s="16"/>
    </row>
    <row r="278" spans="3:10" x14ac:dyDescent="0.25">
      <c r="C278" s="35"/>
      <c r="D278" s="35"/>
      <c r="E278" s="65"/>
      <c r="F278" s="36"/>
      <c r="G278" s="69"/>
      <c r="H278" s="35"/>
      <c r="I278" s="35"/>
      <c r="J278" s="35"/>
    </row>
    <row r="279" spans="3:10" x14ac:dyDescent="0.25">
      <c r="C279" s="16"/>
      <c r="D279" s="16"/>
      <c r="E279" s="64"/>
      <c r="F279" s="33"/>
      <c r="G279" s="70"/>
      <c r="H279" s="16"/>
      <c r="I279" s="16"/>
      <c r="J279" s="16"/>
    </row>
    <row r="280" spans="3:10" x14ac:dyDescent="0.25">
      <c r="C280" s="35"/>
      <c r="D280" s="35"/>
      <c r="E280" s="65"/>
      <c r="F280" s="36"/>
      <c r="G280" s="69"/>
      <c r="H280" s="35"/>
      <c r="I280" s="35"/>
      <c r="J280" s="35"/>
    </row>
    <row r="281" spans="3:10" x14ac:dyDescent="0.25">
      <c r="C281" s="16"/>
      <c r="D281" s="16"/>
      <c r="E281" s="64"/>
      <c r="F281" s="33"/>
      <c r="G281" s="70"/>
      <c r="H281" s="16"/>
      <c r="I281" s="16"/>
      <c r="J281" s="16"/>
    </row>
    <row r="282" spans="3:10" x14ac:dyDescent="0.25">
      <c r="C282" s="35"/>
      <c r="D282" s="35"/>
      <c r="E282" s="65"/>
      <c r="F282" s="36"/>
      <c r="G282" s="69"/>
      <c r="H282" s="35"/>
      <c r="I282" s="35"/>
      <c r="J282" s="35"/>
    </row>
    <row r="283" spans="3:10" x14ac:dyDescent="0.25">
      <c r="C283" s="16"/>
      <c r="D283" s="16"/>
      <c r="E283" s="64"/>
      <c r="F283" s="33"/>
      <c r="G283" s="70"/>
      <c r="H283" s="16"/>
      <c r="I283" s="16"/>
      <c r="J283" s="16"/>
    </row>
    <row r="284" spans="3:10" x14ac:dyDescent="0.25">
      <c r="C284" s="35"/>
      <c r="D284" s="35"/>
      <c r="E284" s="65"/>
      <c r="F284" s="36"/>
      <c r="G284" s="69"/>
      <c r="H284" s="35"/>
      <c r="I284" s="35"/>
      <c r="J284" s="35"/>
    </row>
    <row r="285" spans="3:10" x14ac:dyDescent="0.25">
      <c r="C285" s="16"/>
      <c r="D285" s="16"/>
      <c r="E285" s="64"/>
      <c r="F285" s="33"/>
      <c r="G285" s="70"/>
      <c r="H285" s="16"/>
      <c r="I285" s="16"/>
      <c r="J285" s="16"/>
    </row>
    <row r="286" spans="3:10" x14ac:dyDescent="0.25">
      <c r="C286" s="35"/>
      <c r="D286" s="35"/>
      <c r="E286" s="65"/>
      <c r="F286" s="36"/>
      <c r="G286" s="69"/>
      <c r="H286" s="35"/>
      <c r="I286" s="35"/>
      <c r="J286" s="35"/>
    </row>
    <row r="287" spans="3:10" x14ac:dyDescent="0.25">
      <c r="C287" s="16"/>
      <c r="D287" s="16"/>
      <c r="E287" s="64"/>
      <c r="F287" s="33"/>
      <c r="G287" s="70"/>
      <c r="H287" s="16"/>
      <c r="I287" s="16"/>
      <c r="J287" s="16"/>
    </row>
    <row r="288" spans="3:10" x14ac:dyDescent="0.25">
      <c r="C288" s="35"/>
      <c r="D288" s="35"/>
      <c r="E288" s="65"/>
      <c r="F288" s="36"/>
      <c r="G288" s="69"/>
      <c r="H288" s="35"/>
      <c r="I288" s="35"/>
      <c r="J288" s="35"/>
    </row>
    <row r="289" spans="3:10" x14ac:dyDescent="0.25">
      <c r="C289" s="16"/>
      <c r="D289" s="16"/>
      <c r="E289" s="64"/>
      <c r="F289" s="33"/>
      <c r="G289" s="70"/>
      <c r="H289" s="16"/>
      <c r="I289" s="16"/>
      <c r="J289" s="16"/>
    </row>
    <row r="290" spans="3:10" x14ac:dyDescent="0.25">
      <c r="C290" s="35"/>
      <c r="D290" s="35"/>
      <c r="E290" s="65"/>
      <c r="F290" s="36"/>
      <c r="G290" s="69"/>
      <c r="H290" s="35"/>
      <c r="I290" s="35"/>
      <c r="J290" s="35"/>
    </row>
    <row r="291" spans="3:10" x14ac:dyDescent="0.25">
      <c r="C291" s="16"/>
      <c r="D291" s="16"/>
      <c r="E291" s="64"/>
      <c r="F291" s="33"/>
      <c r="G291" s="70"/>
      <c r="H291" s="16"/>
      <c r="I291" s="16"/>
      <c r="J291" s="16"/>
    </row>
    <row r="292" spans="3:10" x14ac:dyDescent="0.25">
      <c r="C292" s="35"/>
      <c r="D292" s="35"/>
      <c r="E292" s="65"/>
      <c r="F292" s="36"/>
      <c r="G292" s="69"/>
      <c r="H292" s="35"/>
      <c r="I292" s="35"/>
      <c r="J292" s="35"/>
    </row>
    <row r="293" spans="3:10" x14ac:dyDescent="0.25">
      <c r="C293" s="16"/>
      <c r="D293" s="16"/>
      <c r="E293" s="64"/>
      <c r="F293" s="33"/>
      <c r="G293" s="70"/>
      <c r="H293" s="16"/>
      <c r="I293" s="16"/>
      <c r="J293" s="16"/>
    </row>
    <row r="294" spans="3:10" x14ac:dyDescent="0.25">
      <c r="C294" s="35"/>
      <c r="D294" s="35"/>
      <c r="E294" s="65"/>
      <c r="F294" s="36"/>
      <c r="G294" s="69"/>
      <c r="H294" s="35"/>
      <c r="I294" s="35"/>
      <c r="J294" s="35"/>
    </row>
    <row r="295" spans="3:10" x14ac:dyDescent="0.25">
      <c r="C295" s="16"/>
      <c r="D295" s="16"/>
      <c r="E295" s="64"/>
      <c r="F295" s="33"/>
      <c r="G295" s="70"/>
      <c r="H295" s="16"/>
      <c r="I295" s="16"/>
      <c r="J295" s="16"/>
    </row>
    <row r="296" spans="3:10" x14ac:dyDescent="0.25">
      <c r="C296" s="35"/>
      <c r="D296" s="35"/>
      <c r="E296" s="65"/>
      <c r="F296" s="36"/>
      <c r="G296" s="69"/>
      <c r="H296" s="35"/>
      <c r="I296" s="35"/>
      <c r="J296" s="35"/>
    </row>
    <row r="297" spans="3:10" x14ac:dyDescent="0.25">
      <c r="C297" s="16"/>
      <c r="D297" s="16"/>
      <c r="E297" s="64"/>
      <c r="F297" s="33"/>
      <c r="G297" s="70"/>
      <c r="H297" s="16"/>
      <c r="I297" s="16"/>
      <c r="J297" s="16"/>
    </row>
    <row r="298" spans="3:10" x14ac:dyDescent="0.25">
      <c r="C298" s="35"/>
      <c r="D298" s="35"/>
      <c r="E298" s="65"/>
      <c r="F298" s="36"/>
      <c r="G298" s="69"/>
      <c r="H298" s="35"/>
      <c r="I298" s="35"/>
      <c r="J298" s="35"/>
    </row>
    <row r="299" spans="3:10" x14ac:dyDescent="0.25">
      <c r="C299" s="16"/>
      <c r="D299" s="16"/>
      <c r="E299" s="64"/>
      <c r="F299" s="33"/>
      <c r="G299" s="70"/>
      <c r="H299" s="16"/>
      <c r="I299" s="16"/>
      <c r="J299" s="16"/>
    </row>
    <row r="300" spans="3:10" x14ac:dyDescent="0.25">
      <c r="C300" s="35"/>
      <c r="D300" s="35"/>
      <c r="E300" s="65"/>
      <c r="F300" s="36"/>
      <c r="G300" s="69"/>
      <c r="H300" s="35"/>
      <c r="I300" s="35"/>
      <c r="J300" s="35"/>
    </row>
    <row r="301" spans="3:10" x14ac:dyDescent="0.25">
      <c r="C301" s="16"/>
      <c r="D301" s="16"/>
      <c r="E301" s="64"/>
      <c r="F301" s="33"/>
      <c r="G301" s="70"/>
      <c r="H301" s="16"/>
      <c r="I301" s="16"/>
      <c r="J301" s="16"/>
    </row>
    <row r="302" spans="3:10" x14ac:dyDescent="0.25">
      <c r="C302" s="35"/>
      <c r="D302" s="35"/>
      <c r="E302" s="65"/>
      <c r="F302" s="36"/>
      <c r="G302" s="69"/>
      <c r="H302" s="35"/>
      <c r="I302" s="35"/>
      <c r="J302" s="35"/>
    </row>
    <row r="303" spans="3:10" x14ac:dyDescent="0.25">
      <c r="C303" s="16"/>
      <c r="D303" s="16"/>
      <c r="E303" s="64"/>
      <c r="F303" s="33"/>
      <c r="G303" s="70"/>
      <c r="H303" s="16"/>
      <c r="I303" s="16"/>
      <c r="J303" s="16"/>
    </row>
    <row r="304" spans="3:10" x14ac:dyDescent="0.25">
      <c r="C304" s="35"/>
      <c r="D304" s="35"/>
      <c r="E304" s="65"/>
      <c r="F304" s="36"/>
      <c r="G304" s="69"/>
      <c r="H304" s="35"/>
      <c r="I304" s="35"/>
      <c r="J304" s="35"/>
    </row>
    <row r="305" spans="3:10" x14ac:dyDescent="0.25">
      <c r="C305" s="16"/>
      <c r="D305" s="16"/>
      <c r="E305" s="64"/>
      <c r="F305" s="33"/>
      <c r="G305" s="70"/>
      <c r="H305" s="16"/>
      <c r="I305" s="16"/>
      <c r="J305" s="16"/>
    </row>
    <row r="306" spans="3:10" x14ac:dyDescent="0.25">
      <c r="C306" s="35"/>
      <c r="D306" s="35"/>
      <c r="E306" s="65"/>
      <c r="F306" s="36"/>
      <c r="G306" s="69"/>
      <c r="H306" s="35"/>
      <c r="I306" s="35"/>
      <c r="J306" s="35"/>
    </row>
    <row r="307" spans="3:10" x14ac:dyDescent="0.25">
      <c r="C307" s="16"/>
      <c r="D307" s="16"/>
      <c r="E307" s="64"/>
      <c r="F307" s="33"/>
      <c r="G307" s="70"/>
      <c r="H307" s="16"/>
      <c r="I307" s="16"/>
      <c r="J307" s="16"/>
    </row>
    <row r="308" spans="3:10" x14ac:dyDescent="0.25">
      <c r="C308" s="35"/>
      <c r="D308" s="35"/>
      <c r="E308" s="65"/>
      <c r="F308" s="36"/>
      <c r="G308" s="69"/>
      <c r="H308" s="35"/>
      <c r="I308" s="35"/>
      <c r="J308" s="35"/>
    </row>
    <row r="309" spans="3:10" x14ac:dyDescent="0.25">
      <c r="C309" s="16"/>
      <c r="D309" s="16"/>
      <c r="E309" s="64"/>
      <c r="F309" s="33"/>
      <c r="G309" s="70"/>
      <c r="H309" s="16"/>
      <c r="I309" s="16"/>
      <c r="J309" s="16"/>
    </row>
    <row r="310" spans="3:10" x14ac:dyDescent="0.25">
      <c r="C310" s="35"/>
      <c r="D310" s="35"/>
      <c r="E310" s="65"/>
      <c r="F310" s="36"/>
      <c r="G310" s="69"/>
      <c r="H310" s="35"/>
      <c r="I310" s="35"/>
      <c r="J310" s="35"/>
    </row>
    <row r="311" spans="3:10" x14ac:dyDescent="0.25">
      <c r="C311" s="16"/>
      <c r="D311" s="16"/>
      <c r="E311" s="64"/>
      <c r="F311" s="33"/>
      <c r="G311" s="70"/>
      <c r="H311" s="16"/>
      <c r="I311" s="16"/>
      <c r="J311" s="16"/>
    </row>
    <row r="312" spans="3:10" x14ac:dyDescent="0.25">
      <c r="C312" s="35"/>
      <c r="D312" s="35"/>
      <c r="E312" s="65"/>
      <c r="F312" s="36"/>
      <c r="G312" s="69"/>
      <c r="H312" s="35"/>
      <c r="I312" s="35"/>
      <c r="J312" s="35"/>
    </row>
    <row r="313" spans="3:10" x14ac:dyDescent="0.25">
      <c r="C313" s="16"/>
      <c r="D313" s="16"/>
      <c r="E313" s="64"/>
      <c r="F313" s="33"/>
      <c r="G313" s="70"/>
      <c r="H313" s="16"/>
      <c r="I313" s="16"/>
      <c r="J313" s="16"/>
    </row>
    <row r="314" spans="3:10" x14ac:dyDescent="0.25">
      <c r="C314" s="35"/>
      <c r="D314" s="35"/>
      <c r="E314" s="65"/>
      <c r="F314" s="36"/>
      <c r="G314" s="69"/>
      <c r="H314" s="35"/>
      <c r="I314" s="35"/>
      <c r="J314" s="35"/>
    </row>
    <row r="315" spans="3:10" x14ac:dyDescent="0.25">
      <c r="C315" s="16"/>
      <c r="D315" s="16"/>
      <c r="E315" s="64"/>
      <c r="F315" s="33"/>
      <c r="G315" s="70"/>
      <c r="H315" s="16"/>
      <c r="I315" s="16"/>
      <c r="J315" s="16"/>
    </row>
    <row r="316" spans="3:10" x14ac:dyDescent="0.25">
      <c r="C316" s="35"/>
      <c r="D316" s="35"/>
      <c r="E316" s="65"/>
      <c r="F316" s="36"/>
      <c r="G316" s="69"/>
      <c r="H316" s="35"/>
      <c r="I316" s="35"/>
      <c r="J316" s="35"/>
    </row>
    <row r="317" spans="3:10" x14ac:dyDescent="0.25">
      <c r="C317" s="16"/>
      <c r="D317" s="16"/>
      <c r="E317" s="64"/>
      <c r="F317" s="33"/>
      <c r="G317" s="70"/>
      <c r="H317" s="16"/>
      <c r="I317" s="16"/>
      <c r="J317" s="16"/>
    </row>
    <row r="318" spans="3:10" x14ac:dyDescent="0.25">
      <c r="C318" s="35"/>
      <c r="D318" s="35"/>
      <c r="E318" s="65"/>
      <c r="F318" s="36"/>
      <c r="G318" s="69"/>
      <c r="H318" s="35"/>
      <c r="I318" s="35"/>
      <c r="J318" s="35"/>
    </row>
    <row r="319" spans="3:10" x14ac:dyDescent="0.25">
      <c r="C319" s="16"/>
      <c r="D319" s="16"/>
      <c r="E319" s="64"/>
      <c r="F319" s="33"/>
      <c r="G319" s="70"/>
      <c r="H319" s="16"/>
      <c r="I319" s="16"/>
      <c r="J319" s="16"/>
    </row>
    <row r="320" spans="3:10" x14ac:dyDescent="0.25">
      <c r="C320" s="35"/>
      <c r="D320" s="35"/>
      <c r="E320" s="65"/>
      <c r="F320" s="36"/>
      <c r="G320" s="69"/>
      <c r="H320" s="35"/>
      <c r="I320" s="35"/>
      <c r="J320" s="35"/>
    </row>
    <row r="321" spans="3:10" x14ac:dyDescent="0.25">
      <c r="C321" s="16"/>
      <c r="D321" s="16"/>
      <c r="E321" s="64"/>
      <c r="F321" s="33"/>
      <c r="G321" s="70"/>
      <c r="H321" s="16"/>
      <c r="I321" s="16"/>
      <c r="J321" s="16"/>
    </row>
    <row r="322" spans="3:10" x14ac:dyDescent="0.25">
      <c r="C322" s="35"/>
      <c r="D322" s="35"/>
      <c r="E322" s="65"/>
      <c r="F322" s="36"/>
      <c r="G322" s="69"/>
      <c r="H322" s="35"/>
      <c r="I322" s="35"/>
      <c r="J322" s="35"/>
    </row>
    <row r="323" spans="3:10" x14ac:dyDescent="0.25">
      <c r="C323" s="16"/>
      <c r="D323" s="16"/>
      <c r="E323" s="64"/>
      <c r="F323" s="33"/>
      <c r="G323" s="70"/>
      <c r="H323" s="16"/>
      <c r="I323" s="16"/>
      <c r="J323" s="16"/>
    </row>
    <row r="324" spans="3:10" x14ac:dyDescent="0.25">
      <c r="C324" s="35"/>
      <c r="D324" s="35"/>
      <c r="E324" s="65"/>
      <c r="F324" s="36"/>
      <c r="G324" s="69"/>
      <c r="H324" s="35"/>
      <c r="I324" s="35"/>
      <c r="J324" s="35"/>
    </row>
    <row r="325" spans="3:10" x14ac:dyDescent="0.25">
      <c r="C325" s="16"/>
      <c r="D325" s="16"/>
      <c r="E325" s="64"/>
      <c r="F325" s="33"/>
      <c r="G325" s="70"/>
      <c r="H325" s="16"/>
      <c r="I325" s="16"/>
      <c r="J325" s="16"/>
    </row>
    <row r="326" spans="3:10" x14ac:dyDescent="0.25">
      <c r="C326" s="35"/>
      <c r="D326" s="35"/>
      <c r="E326" s="65"/>
      <c r="F326" s="36"/>
      <c r="G326" s="69"/>
      <c r="H326" s="35"/>
      <c r="I326" s="35"/>
      <c r="J326" s="35"/>
    </row>
    <row r="327" spans="3:10" x14ac:dyDescent="0.25">
      <c r="C327" s="16"/>
      <c r="D327" s="16"/>
      <c r="E327" s="64"/>
      <c r="F327" s="33"/>
      <c r="G327" s="70"/>
      <c r="H327" s="16"/>
      <c r="I327" s="16"/>
      <c r="J327" s="16"/>
    </row>
    <row r="328" spans="3:10" x14ac:dyDescent="0.25">
      <c r="C328" s="35"/>
      <c r="D328" s="35"/>
      <c r="E328" s="65"/>
      <c r="F328" s="36"/>
      <c r="G328" s="69"/>
      <c r="H328" s="35"/>
      <c r="I328" s="35"/>
      <c r="J328" s="35"/>
    </row>
    <row r="329" spans="3:10" x14ac:dyDescent="0.25">
      <c r="C329" s="16"/>
      <c r="D329" s="16"/>
      <c r="E329" s="64"/>
      <c r="F329" s="33"/>
      <c r="G329" s="70"/>
      <c r="H329" s="16"/>
      <c r="I329" s="16"/>
      <c r="J329" s="16"/>
    </row>
    <row r="330" spans="3:10" x14ac:dyDescent="0.25">
      <c r="C330" s="35"/>
      <c r="D330" s="35"/>
      <c r="E330" s="65"/>
      <c r="F330" s="36"/>
      <c r="G330" s="69"/>
      <c r="H330" s="35"/>
      <c r="I330" s="35"/>
      <c r="J330" s="35"/>
    </row>
    <row r="331" spans="3:10" x14ac:dyDescent="0.25">
      <c r="C331" s="16"/>
      <c r="D331" s="16"/>
      <c r="E331" s="64"/>
      <c r="F331" s="33"/>
      <c r="G331" s="70"/>
      <c r="H331" s="16"/>
      <c r="I331" s="16"/>
      <c r="J331" s="16"/>
    </row>
    <row r="332" spans="3:10" x14ac:dyDescent="0.25">
      <c r="C332" s="35"/>
      <c r="D332" s="35"/>
      <c r="E332" s="65"/>
      <c r="F332" s="36"/>
      <c r="G332" s="69"/>
      <c r="H332" s="35"/>
      <c r="I332" s="35"/>
      <c r="J332" s="35"/>
    </row>
    <row r="333" spans="3:10" x14ac:dyDescent="0.25">
      <c r="C333" s="16"/>
      <c r="D333" s="16"/>
      <c r="E333" s="64"/>
      <c r="F333" s="33"/>
      <c r="G333" s="70"/>
      <c r="H333" s="16"/>
      <c r="I333" s="16"/>
      <c r="J333" s="16"/>
    </row>
    <row r="334" spans="3:10" x14ac:dyDescent="0.25">
      <c r="C334" s="35"/>
      <c r="D334" s="35"/>
      <c r="E334" s="65"/>
      <c r="F334" s="36"/>
      <c r="G334" s="69"/>
      <c r="H334" s="35"/>
      <c r="I334" s="35"/>
      <c r="J334" s="35"/>
    </row>
    <row r="335" spans="3:10" x14ac:dyDescent="0.25">
      <c r="C335" s="16"/>
      <c r="D335" s="16"/>
      <c r="E335" s="64"/>
      <c r="F335" s="33"/>
      <c r="G335" s="70"/>
      <c r="H335" s="16"/>
      <c r="I335" s="16"/>
      <c r="J335" s="16"/>
    </row>
    <row r="336" spans="3:10" x14ac:dyDescent="0.25">
      <c r="C336" s="35"/>
      <c r="D336" s="35"/>
      <c r="E336" s="65"/>
      <c r="F336" s="36"/>
      <c r="G336" s="69"/>
      <c r="H336" s="35"/>
      <c r="I336" s="35"/>
      <c r="J336" s="35"/>
    </row>
    <row r="337" spans="3:10" x14ac:dyDescent="0.25">
      <c r="C337" s="16"/>
      <c r="D337" s="16"/>
      <c r="E337" s="64"/>
      <c r="F337" s="33"/>
      <c r="G337" s="70"/>
      <c r="H337" s="16"/>
      <c r="I337" s="16"/>
      <c r="J337" s="16"/>
    </row>
    <row r="338" spans="3:10" x14ac:dyDescent="0.25">
      <c r="C338" s="35"/>
      <c r="D338" s="35"/>
      <c r="E338" s="65"/>
      <c r="F338" s="36"/>
      <c r="G338" s="69"/>
      <c r="H338" s="35"/>
      <c r="I338" s="35"/>
      <c r="J338" s="35"/>
    </row>
    <row r="339" spans="3:10" x14ac:dyDescent="0.25">
      <c r="C339" s="16"/>
      <c r="D339" s="16"/>
      <c r="E339" s="64"/>
      <c r="F339" s="33"/>
      <c r="G339" s="70"/>
      <c r="H339" s="16"/>
      <c r="I339" s="16"/>
      <c r="J339" s="16"/>
    </row>
    <row r="340" spans="3:10" x14ac:dyDescent="0.25">
      <c r="C340" s="35"/>
      <c r="D340" s="35"/>
      <c r="E340" s="65"/>
      <c r="F340" s="36"/>
      <c r="G340" s="69"/>
      <c r="H340" s="35"/>
      <c r="I340" s="35"/>
      <c r="J340" s="35"/>
    </row>
    <row r="341" spans="3:10" x14ac:dyDescent="0.25">
      <c r="C341" s="16"/>
      <c r="D341" s="16"/>
      <c r="E341" s="64"/>
      <c r="F341" s="33"/>
      <c r="G341" s="70"/>
      <c r="H341" s="16"/>
      <c r="I341" s="16"/>
      <c r="J341" s="16"/>
    </row>
    <row r="342" spans="3:10" x14ac:dyDescent="0.25">
      <c r="C342" s="35"/>
      <c r="D342" s="35"/>
      <c r="E342" s="65"/>
      <c r="F342" s="36"/>
      <c r="G342" s="69"/>
      <c r="H342" s="35"/>
      <c r="I342" s="35"/>
      <c r="J342" s="35"/>
    </row>
    <row r="343" spans="3:10" x14ac:dyDescent="0.25">
      <c r="C343" s="16"/>
      <c r="D343" s="16"/>
      <c r="E343" s="64"/>
      <c r="F343" s="33"/>
      <c r="G343" s="70"/>
      <c r="H343" s="16"/>
      <c r="I343" s="16"/>
      <c r="J343" s="16"/>
    </row>
    <row r="344" spans="3:10" x14ac:dyDescent="0.25">
      <c r="C344" s="35"/>
      <c r="D344" s="35"/>
      <c r="E344" s="65"/>
      <c r="F344" s="36"/>
      <c r="G344" s="69"/>
      <c r="H344" s="35"/>
      <c r="I344" s="35"/>
      <c r="J344" s="35"/>
    </row>
    <row r="345" spans="3:10" x14ac:dyDescent="0.25">
      <c r="C345" s="16"/>
      <c r="D345" s="16"/>
      <c r="E345" s="64"/>
      <c r="F345" s="33"/>
      <c r="G345" s="70"/>
      <c r="H345" s="16"/>
      <c r="I345" s="16"/>
      <c r="J345" s="16"/>
    </row>
    <row r="346" spans="3:10" x14ac:dyDescent="0.25">
      <c r="C346" s="35"/>
      <c r="D346" s="35"/>
      <c r="E346" s="65"/>
      <c r="F346" s="36"/>
      <c r="G346" s="69"/>
      <c r="H346" s="35"/>
      <c r="I346" s="35"/>
      <c r="J346" s="35"/>
    </row>
    <row r="347" spans="3:10" x14ac:dyDescent="0.25">
      <c r="C347" s="16"/>
      <c r="D347" s="16"/>
      <c r="E347" s="64"/>
      <c r="F347" s="33"/>
      <c r="G347" s="70"/>
      <c r="H347" s="16"/>
      <c r="I347" s="16"/>
      <c r="J347" s="16"/>
    </row>
    <row r="348" spans="3:10" x14ac:dyDescent="0.25">
      <c r="C348" s="35"/>
      <c r="D348" s="35"/>
      <c r="E348" s="65"/>
      <c r="F348" s="36"/>
      <c r="G348" s="69"/>
      <c r="H348" s="35"/>
      <c r="I348" s="35"/>
      <c r="J348" s="35"/>
    </row>
    <row r="349" spans="3:10" x14ac:dyDescent="0.25">
      <c r="C349" s="16"/>
      <c r="D349" s="16"/>
      <c r="E349" s="64"/>
      <c r="F349" s="33"/>
      <c r="G349" s="70"/>
      <c r="H349" s="16"/>
      <c r="I349" s="16"/>
      <c r="J349" s="16"/>
    </row>
    <row r="350" spans="3:10" x14ac:dyDescent="0.25">
      <c r="C350" s="35"/>
      <c r="D350" s="35"/>
      <c r="E350" s="65"/>
      <c r="F350" s="36"/>
      <c r="G350" s="69"/>
      <c r="H350" s="35"/>
      <c r="I350" s="35"/>
      <c r="J350" s="35"/>
    </row>
    <row r="351" spans="3:10" x14ac:dyDescent="0.25">
      <c r="C351" s="16"/>
      <c r="D351" s="16"/>
      <c r="E351" s="64"/>
      <c r="F351" s="33"/>
      <c r="G351" s="70"/>
      <c r="H351" s="16"/>
      <c r="I351" s="16"/>
      <c r="J351" s="16"/>
    </row>
    <row r="352" spans="3:10" x14ac:dyDescent="0.25">
      <c r="C352" s="35"/>
      <c r="D352" s="35"/>
      <c r="E352" s="65"/>
      <c r="F352" s="36"/>
      <c r="G352" s="69"/>
      <c r="H352" s="35"/>
      <c r="I352" s="35"/>
      <c r="J352" s="35"/>
    </row>
    <row r="353" spans="3:10" x14ac:dyDescent="0.25">
      <c r="C353" s="16"/>
      <c r="D353" s="16"/>
      <c r="E353" s="64"/>
      <c r="F353" s="33"/>
      <c r="G353" s="70"/>
      <c r="H353" s="16"/>
      <c r="I353" s="16"/>
      <c r="J353" s="16"/>
    </row>
    <row r="354" spans="3:10" x14ac:dyDescent="0.25">
      <c r="C354" s="35"/>
      <c r="D354" s="35"/>
      <c r="E354" s="65"/>
      <c r="F354" s="36"/>
      <c r="G354" s="69"/>
      <c r="H354" s="35"/>
      <c r="I354" s="35"/>
      <c r="J354" s="35"/>
    </row>
    <row r="355" spans="3:10" x14ac:dyDescent="0.25">
      <c r="C355" s="16"/>
      <c r="D355" s="16"/>
      <c r="E355" s="64"/>
      <c r="F355" s="33"/>
      <c r="G355" s="70"/>
      <c r="H355" s="16"/>
      <c r="I355" s="16"/>
      <c r="J355" s="16"/>
    </row>
    <row r="356" spans="3:10" x14ac:dyDescent="0.25">
      <c r="C356" s="35"/>
      <c r="D356" s="35"/>
      <c r="E356" s="65"/>
      <c r="F356" s="36"/>
      <c r="G356" s="69"/>
      <c r="H356" s="35"/>
      <c r="I356" s="35"/>
      <c r="J356" s="35"/>
    </row>
    <row r="357" spans="3:10" x14ac:dyDescent="0.25">
      <c r="C357" s="16"/>
      <c r="D357" s="16"/>
      <c r="E357" s="64"/>
      <c r="F357" s="33"/>
      <c r="G357" s="70"/>
      <c r="H357" s="16"/>
      <c r="I357" s="16"/>
      <c r="J357" s="16"/>
    </row>
    <row r="358" spans="3:10" x14ac:dyDescent="0.25">
      <c r="C358" s="35"/>
      <c r="D358" s="35"/>
      <c r="E358" s="65"/>
      <c r="F358" s="36"/>
      <c r="G358" s="69"/>
      <c r="H358" s="35"/>
      <c r="I358" s="35"/>
      <c r="J358" s="35"/>
    </row>
    <row r="359" spans="3:10" x14ac:dyDescent="0.25">
      <c r="C359" s="16"/>
      <c r="D359" s="16"/>
      <c r="E359" s="64"/>
      <c r="F359" s="33"/>
      <c r="G359" s="70"/>
      <c r="H359" s="16"/>
      <c r="I359" s="16"/>
      <c r="J359" s="16"/>
    </row>
    <row r="360" spans="3:10" x14ac:dyDescent="0.25">
      <c r="C360" s="35"/>
      <c r="D360" s="35"/>
      <c r="E360" s="65"/>
      <c r="F360" s="36"/>
      <c r="G360" s="69"/>
      <c r="H360" s="35"/>
      <c r="I360" s="35"/>
      <c r="J360" s="35"/>
    </row>
    <row r="361" spans="3:10" x14ac:dyDescent="0.25">
      <c r="C361" s="16"/>
      <c r="D361" s="16"/>
      <c r="E361" s="64"/>
      <c r="F361" s="33"/>
      <c r="G361" s="70"/>
      <c r="H361" s="16"/>
      <c r="I361" s="16"/>
      <c r="J361" s="16"/>
    </row>
    <row r="362" spans="3:10" x14ac:dyDescent="0.25">
      <c r="C362" s="35"/>
      <c r="D362" s="35"/>
      <c r="E362" s="65"/>
      <c r="F362" s="36"/>
      <c r="G362" s="69"/>
      <c r="H362" s="35"/>
      <c r="I362" s="35"/>
      <c r="J362" s="35"/>
    </row>
    <row r="363" spans="3:10" x14ac:dyDescent="0.25">
      <c r="C363" s="16"/>
      <c r="D363" s="16"/>
      <c r="E363" s="64"/>
      <c r="F363" s="33"/>
      <c r="G363" s="70"/>
      <c r="H363" s="16"/>
      <c r="I363" s="16"/>
      <c r="J363" s="16"/>
    </row>
    <row r="364" spans="3:10" x14ac:dyDescent="0.25">
      <c r="C364" s="35"/>
      <c r="D364" s="35"/>
      <c r="E364" s="65"/>
      <c r="F364" s="36"/>
      <c r="G364" s="69"/>
      <c r="H364" s="35"/>
      <c r="I364" s="35"/>
      <c r="J364" s="35"/>
    </row>
    <row r="365" spans="3:10" x14ac:dyDescent="0.25">
      <c r="C365" s="16"/>
      <c r="D365" s="16"/>
      <c r="E365" s="64"/>
      <c r="F365" s="33"/>
      <c r="G365" s="70"/>
      <c r="H365" s="16"/>
      <c r="I365" s="16"/>
      <c r="J365" s="16"/>
    </row>
    <row r="366" spans="3:10" x14ac:dyDescent="0.25">
      <c r="C366" s="35"/>
      <c r="D366" s="35"/>
      <c r="E366" s="65"/>
      <c r="F366" s="36"/>
      <c r="G366" s="69"/>
      <c r="H366" s="35"/>
      <c r="I366" s="35"/>
      <c r="J366" s="35"/>
    </row>
    <row r="367" spans="3:10" x14ac:dyDescent="0.25">
      <c r="C367" s="16"/>
      <c r="D367" s="16"/>
      <c r="E367" s="64"/>
      <c r="F367" s="33"/>
      <c r="G367" s="70"/>
      <c r="H367" s="16"/>
      <c r="I367" s="16"/>
      <c r="J367" s="16"/>
    </row>
    <row r="368" spans="3:10" x14ac:dyDescent="0.25">
      <c r="C368" s="35"/>
      <c r="D368" s="35"/>
      <c r="E368" s="65"/>
      <c r="F368" s="36"/>
      <c r="G368" s="69"/>
      <c r="H368" s="35"/>
      <c r="I368" s="35"/>
      <c r="J368" s="35"/>
    </row>
    <row r="369" spans="3:10" x14ac:dyDescent="0.25">
      <c r="C369" s="16"/>
      <c r="D369" s="16"/>
      <c r="E369" s="64"/>
      <c r="F369" s="33"/>
      <c r="G369" s="70"/>
      <c r="H369" s="16"/>
      <c r="I369" s="16"/>
      <c r="J369" s="16"/>
    </row>
    <row r="370" spans="3:10" x14ac:dyDescent="0.25">
      <c r="C370" s="35"/>
      <c r="D370" s="35"/>
      <c r="E370" s="65"/>
      <c r="F370" s="36"/>
      <c r="G370" s="69"/>
      <c r="H370" s="35"/>
      <c r="I370" s="35"/>
      <c r="J370" s="35"/>
    </row>
    <row r="371" spans="3:10" x14ac:dyDescent="0.25">
      <c r="C371" s="16"/>
      <c r="D371" s="16"/>
      <c r="E371" s="64"/>
      <c r="F371" s="33"/>
      <c r="G371" s="70"/>
      <c r="H371" s="16"/>
      <c r="I371" s="16"/>
      <c r="J371" s="16"/>
    </row>
    <row r="372" spans="3:10" x14ac:dyDescent="0.25">
      <c r="C372" s="35"/>
      <c r="D372" s="35"/>
      <c r="E372" s="65"/>
      <c r="F372" s="36"/>
      <c r="G372" s="69"/>
      <c r="H372" s="35"/>
      <c r="I372" s="35"/>
      <c r="J372" s="35"/>
    </row>
    <row r="373" spans="3:10" x14ac:dyDescent="0.25">
      <c r="C373" s="16"/>
      <c r="D373" s="16"/>
      <c r="E373" s="64"/>
      <c r="F373" s="33"/>
      <c r="G373" s="70"/>
      <c r="H373" s="16"/>
      <c r="I373" s="16"/>
      <c r="J373" s="16"/>
    </row>
    <row r="374" spans="3:10" x14ac:dyDescent="0.25">
      <c r="C374" s="35"/>
      <c r="D374" s="35"/>
      <c r="E374" s="65"/>
      <c r="F374" s="36"/>
      <c r="G374" s="69"/>
      <c r="H374" s="35"/>
      <c r="I374" s="35"/>
      <c r="J374" s="35"/>
    </row>
    <row r="375" spans="3:10" x14ac:dyDescent="0.25">
      <c r="C375" s="16"/>
      <c r="D375" s="16"/>
      <c r="E375" s="64"/>
      <c r="F375" s="33"/>
      <c r="G375" s="70"/>
      <c r="H375" s="16"/>
      <c r="I375" s="16"/>
      <c r="J375" s="16"/>
    </row>
    <row r="376" spans="3:10" x14ac:dyDescent="0.25">
      <c r="C376" s="35"/>
      <c r="D376" s="35"/>
      <c r="E376" s="65"/>
      <c r="F376" s="36"/>
      <c r="G376" s="69"/>
      <c r="H376" s="35"/>
      <c r="I376" s="35"/>
      <c r="J376" s="35"/>
    </row>
    <row r="377" spans="3:10" x14ac:dyDescent="0.25">
      <c r="C377" s="16"/>
      <c r="D377" s="16"/>
      <c r="E377" s="64"/>
      <c r="F377" s="33"/>
      <c r="G377" s="70"/>
      <c r="H377" s="16"/>
      <c r="I377" s="16"/>
      <c r="J377" s="16"/>
    </row>
    <row r="378" spans="3:10" x14ac:dyDescent="0.25">
      <c r="C378" s="35"/>
      <c r="D378" s="35"/>
      <c r="E378" s="65"/>
      <c r="F378" s="36"/>
      <c r="G378" s="69"/>
      <c r="H378" s="35"/>
      <c r="I378" s="35"/>
      <c r="J378" s="35"/>
    </row>
    <row r="379" spans="3:10" x14ac:dyDescent="0.25">
      <c r="C379" s="16"/>
      <c r="D379" s="16"/>
      <c r="E379" s="64"/>
      <c r="F379" s="33"/>
      <c r="G379" s="70"/>
      <c r="H379" s="16"/>
      <c r="I379" s="16"/>
      <c r="J379" s="16"/>
    </row>
    <row r="380" spans="3:10" x14ac:dyDescent="0.25">
      <c r="C380" s="35"/>
      <c r="D380" s="35"/>
      <c r="E380" s="65"/>
      <c r="F380" s="36"/>
      <c r="G380" s="69"/>
      <c r="H380" s="35"/>
      <c r="I380" s="35"/>
      <c r="J380" s="35"/>
    </row>
    <row r="381" spans="3:10" x14ac:dyDescent="0.25">
      <c r="C381" s="16"/>
      <c r="D381" s="16"/>
      <c r="E381" s="64"/>
      <c r="F381" s="33"/>
      <c r="G381" s="70"/>
      <c r="H381" s="16"/>
      <c r="I381" s="16"/>
      <c r="J381" s="16"/>
    </row>
    <row r="382" spans="3:10" x14ac:dyDescent="0.25">
      <c r="C382" s="35"/>
      <c r="D382" s="35"/>
      <c r="E382" s="65"/>
      <c r="F382" s="36"/>
      <c r="G382" s="69"/>
      <c r="H382" s="35"/>
      <c r="I382" s="35"/>
      <c r="J382" s="35"/>
    </row>
    <row r="383" spans="3:10" x14ac:dyDescent="0.25">
      <c r="C383" s="16"/>
      <c r="D383" s="16"/>
      <c r="E383" s="64"/>
      <c r="F383" s="33"/>
      <c r="G383" s="70"/>
      <c r="H383" s="16"/>
      <c r="I383" s="16"/>
      <c r="J383" s="16"/>
    </row>
    <row r="384" spans="3:10" x14ac:dyDescent="0.25">
      <c r="C384" s="35"/>
      <c r="D384" s="35"/>
      <c r="E384" s="65"/>
      <c r="F384" s="36"/>
      <c r="G384" s="69"/>
      <c r="H384" s="35"/>
      <c r="I384" s="35"/>
      <c r="J384" s="35"/>
    </row>
    <row r="385" spans="3:10" x14ac:dyDescent="0.25">
      <c r="C385" s="16"/>
      <c r="D385" s="16"/>
      <c r="E385" s="64"/>
      <c r="F385" s="33"/>
      <c r="G385" s="70"/>
      <c r="H385" s="16"/>
      <c r="I385" s="16"/>
      <c r="J385" s="16"/>
    </row>
    <row r="386" spans="3:10" x14ac:dyDescent="0.25">
      <c r="C386" s="35"/>
      <c r="D386" s="35"/>
      <c r="E386" s="65"/>
      <c r="F386" s="36"/>
      <c r="G386" s="69"/>
      <c r="H386" s="35"/>
      <c r="I386" s="35"/>
      <c r="J386" s="35"/>
    </row>
    <row r="387" spans="3:10" x14ac:dyDescent="0.25">
      <c r="C387" s="16"/>
      <c r="D387" s="16"/>
      <c r="E387" s="64"/>
      <c r="F387" s="33"/>
      <c r="G387" s="70"/>
      <c r="H387" s="16"/>
      <c r="I387" s="16"/>
      <c r="J387" s="16"/>
    </row>
    <row r="388" spans="3:10" x14ac:dyDescent="0.25">
      <c r="C388" s="35"/>
      <c r="D388" s="35"/>
      <c r="E388" s="65"/>
      <c r="F388" s="36"/>
      <c r="G388" s="69"/>
      <c r="H388" s="35"/>
      <c r="I388" s="35"/>
      <c r="J388" s="35"/>
    </row>
    <row r="389" spans="3:10" x14ac:dyDescent="0.25">
      <c r="C389" s="16"/>
      <c r="D389" s="16"/>
      <c r="E389" s="64"/>
      <c r="F389" s="33"/>
      <c r="G389" s="70"/>
      <c r="H389" s="16"/>
      <c r="I389" s="16"/>
      <c r="J389" s="16"/>
    </row>
    <row r="390" spans="3:10" x14ac:dyDescent="0.25">
      <c r="C390" s="35"/>
      <c r="D390" s="35"/>
      <c r="E390" s="65"/>
      <c r="F390" s="36"/>
      <c r="G390" s="69"/>
      <c r="H390" s="35"/>
      <c r="I390" s="35"/>
      <c r="J390" s="35"/>
    </row>
    <row r="391" spans="3:10" x14ac:dyDescent="0.25">
      <c r="C391" s="16"/>
      <c r="D391" s="16"/>
      <c r="E391" s="64"/>
      <c r="F391" s="33"/>
      <c r="G391" s="70"/>
      <c r="H391" s="16"/>
      <c r="I391" s="16"/>
      <c r="J391" s="16"/>
    </row>
    <row r="392" spans="3:10" x14ac:dyDescent="0.25">
      <c r="C392" s="35"/>
      <c r="D392" s="35"/>
      <c r="E392" s="65"/>
      <c r="F392" s="36"/>
      <c r="G392" s="69"/>
      <c r="H392" s="35"/>
      <c r="I392" s="35"/>
      <c r="J392" s="35"/>
    </row>
    <row r="393" spans="3:10" x14ac:dyDescent="0.25">
      <c r="C393" s="16"/>
      <c r="D393" s="16"/>
      <c r="E393" s="64"/>
      <c r="F393" s="33"/>
      <c r="G393" s="70"/>
      <c r="H393" s="16"/>
      <c r="I393" s="16"/>
      <c r="J393" s="16"/>
    </row>
    <row r="394" spans="3:10" x14ac:dyDescent="0.25">
      <c r="C394" s="35"/>
      <c r="D394" s="35"/>
      <c r="E394" s="65"/>
      <c r="F394" s="36"/>
      <c r="G394" s="69"/>
      <c r="H394" s="35"/>
      <c r="I394" s="35"/>
      <c r="J394" s="35"/>
    </row>
    <row r="395" spans="3:10" x14ac:dyDescent="0.25">
      <c r="C395" s="16"/>
      <c r="D395" s="16"/>
      <c r="E395" s="64"/>
      <c r="F395" s="33"/>
      <c r="G395" s="70"/>
      <c r="H395" s="16"/>
      <c r="I395" s="16"/>
      <c r="J395" s="16"/>
    </row>
    <row r="396" spans="3:10" x14ac:dyDescent="0.25">
      <c r="C396" s="35"/>
      <c r="D396" s="35"/>
      <c r="E396" s="65"/>
      <c r="F396" s="36"/>
      <c r="G396" s="69"/>
      <c r="H396" s="35"/>
      <c r="I396" s="35"/>
      <c r="J396" s="35"/>
    </row>
    <row r="397" spans="3:10" x14ac:dyDescent="0.25">
      <c r="C397" s="16"/>
      <c r="D397" s="16"/>
      <c r="E397" s="64"/>
      <c r="F397" s="33"/>
      <c r="G397" s="70"/>
      <c r="H397" s="16"/>
      <c r="I397" s="16"/>
      <c r="J397" s="16"/>
    </row>
    <row r="398" spans="3:10" x14ac:dyDescent="0.25">
      <c r="C398" s="35"/>
      <c r="D398" s="35"/>
      <c r="E398" s="65"/>
      <c r="F398" s="36"/>
      <c r="G398" s="69"/>
      <c r="H398" s="35"/>
      <c r="I398" s="35"/>
      <c r="J398" s="35"/>
    </row>
    <row r="399" spans="3:10" x14ac:dyDescent="0.25">
      <c r="C399" s="16"/>
      <c r="D399" s="16"/>
      <c r="E399" s="64"/>
      <c r="F399" s="33"/>
      <c r="G399" s="70"/>
      <c r="H399" s="16"/>
      <c r="I399" s="16"/>
      <c r="J399" s="16"/>
    </row>
    <row r="400" spans="3:10" x14ac:dyDescent="0.25">
      <c r="C400" s="35"/>
      <c r="D400" s="35"/>
      <c r="E400" s="65"/>
      <c r="F400" s="36"/>
      <c r="G400" s="69"/>
      <c r="H400" s="35"/>
      <c r="I400" s="35"/>
      <c r="J400" s="35"/>
    </row>
    <row r="401" spans="3:10" x14ac:dyDescent="0.25">
      <c r="C401" s="16"/>
      <c r="D401" s="16"/>
      <c r="E401" s="64"/>
      <c r="F401" s="33"/>
      <c r="G401" s="70"/>
      <c r="H401" s="16"/>
      <c r="I401" s="16"/>
      <c r="J401" s="16"/>
    </row>
    <row r="402" spans="3:10" x14ac:dyDescent="0.25">
      <c r="C402" s="35"/>
      <c r="D402" s="35"/>
      <c r="E402" s="65"/>
      <c r="F402" s="36"/>
      <c r="G402" s="69"/>
      <c r="H402" s="35"/>
      <c r="I402" s="35"/>
      <c r="J402" s="35"/>
    </row>
    <row r="403" spans="3:10" x14ac:dyDescent="0.25">
      <c r="C403" s="16"/>
      <c r="D403" s="16"/>
      <c r="E403" s="64"/>
      <c r="F403" s="33"/>
      <c r="G403" s="70"/>
      <c r="H403" s="16"/>
      <c r="I403" s="16"/>
      <c r="J403" s="16"/>
    </row>
    <row r="404" spans="3:10" x14ac:dyDescent="0.25">
      <c r="C404" s="35"/>
      <c r="D404" s="35"/>
      <c r="E404" s="65"/>
      <c r="F404" s="36"/>
      <c r="G404" s="69"/>
      <c r="H404" s="35"/>
      <c r="I404" s="35"/>
      <c r="J404" s="35"/>
    </row>
    <row r="405" spans="3:10" x14ac:dyDescent="0.25">
      <c r="C405" s="16"/>
      <c r="D405" s="16"/>
      <c r="E405" s="64"/>
      <c r="F405" s="33"/>
      <c r="G405" s="70"/>
      <c r="H405" s="16"/>
      <c r="I405" s="16"/>
      <c r="J405" s="16"/>
    </row>
    <row r="406" spans="3:10" x14ac:dyDescent="0.25">
      <c r="C406" s="35"/>
      <c r="D406" s="35"/>
      <c r="E406" s="65"/>
      <c r="F406" s="36"/>
      <c r="G406" s="69"/>
      <c r="H406" s="35"/>
      <c r="I406" s="35"/>
      <c r="J406" s="35"/>
    </row>
    <row r="407" spans="3:10" x14ac:dyDescent="0.25">
      <c r="C407" s="16"/>
      <c r="D407" s="16"/>
      <c r="E407" s="64"/>
      <c r="F407" s="33"/>
      <c r="G407" s="70"/>
      <c r="H407" s="16"/>
      <c r="I407" s="16"/>
      <c r="J407" s="16"/>
    </row>
    <row r="408" spans="3:10" x14ac:dyDescent="0.25">
      <c r="C408" s="35"/>
      <c r="D408" s="35"/>
      <c r="E408" s="65"/>
      <c r="F408" s="36"/>
      <c r="G408" s="69"/>
      <c r="H408" s="35"/>
      <c r="I408" s="35"/>
      <c r="J408" s="35"/>
    </row>
    <row r="409" spans="3:10" x14ac:dyDescent="0.25">
      <c r="C409" s="16"/>
      <c r="D409" s="16"/>
      <c r="E409" s="64"/>
      <c r="F409" s="33"/>
      <c r="G409" s="70"/>
      <c r="H409" s="16"/>
      <c r="I409" s="16"/>
      <c r="J409" s="16"/>
    </row>
    <row r="410" spans="3:10" x14ac:dyDescent="0.25">
      <c r="C410" s="35"/>
      <c r="D410" s="35"/>
      <c r="E410" s="65"/>
      <c r="F410" s="36"/>
      <c r="G410" s="69"/>
      <c r="H410" s="35"/>
      <c r="I410" s="35"/>
      <c r="J410" s="35"/>
    </row>
    <row r="411" spans="3:10" x14ac:dyDescent="0.25">
      <c r="C411" s="16"/>
      <c r="D411" s="16"/>
      <c r="E411" s="64"/>
      <c r="F411" s="33"/>
      <c r="G411" s="70"/>
      <c r="H411" s="16"/>
      <c r="I411" s="16"/>
      <c r="J411" s="16"/>
    </row>
    <row r="412" spans="3:10" x14ac:dyDescent="0.25">
      <c r="C412" s="35"/>
      <c r="D412" s="35"/>
      <c r="E412" s="65"/>
      <c r="F412" s="36"/>
      <c r="G412" s="69"/>
      <c r="H412" s="35"/>
      <c r="I412" s="35"/>
      <c r="J412" s="35"/>
    </row>
    <row r="413" spans="3:10" x14ac:dyDescent="0.25">
      <c r="C413" s="16"/>
      <c r="D413" s="16"/>
      <c r="E413" s="64"/>
      <c r="F413" s="33"/>
      <c r="G413" s="70"/>
      <c r="H413" s="16"/>
      <c r="I413" s="16"/>
      <c r="J413" s="16"/>
    </row>
    <row r="414" spans="3:10" x14ac:dyDescent="0.25">
      <c r="C414" s="35"/>
      <c r="D414" s="35"/>
      <c r="E414" s="65"/>
      <c r="F414" s="36"/>
      <c r="G414" s="69"/>
      <c r="H414" s="35"/>
      <c r="I414" s="35"/>
      <c r="J414" s="35"/>
    </row>
    <row r="415" spans="3:10" x14ac:dyDescent="0.25">
      <c r="C415" s="16"/>
      <c r="D415" s="16"/>
      <c r="E415" s="64"/>
      <c r="F415" s="33"/>
      <c r="G415" s="70"/>
      <c r="H415" s="16"/>
      <c r="I415" s="16"/>
      <c r="J415" s="16"/>
    </row>
    <row r="416" spans="3:10" x14ac:dyDescent="0.25">
      <c r="C416" s="35"/>
      <c r="D416" s="35"/>
      <c r="E416" s="65"/>
      <c r="F416" s="36"/>
      <c r="G416" s="69"/>
      <c r="H416" s="35"/>
      <c r="I416" s="35"/>
      <c r="J416" s="35"/>
    </row>
    <row r="417" spans="3:10" x14ac:dyDescent="0.25">
      <c r="C417" s="16"/>
      <c r="D417" s="16"/>
      <c r="E417" s="64"/>
      <c r="F417" s="33"/>
      <c r="G417" s="70"/>
      <c r="H417" s="16"/>
      <c r="I417" s="16"/>
      <c r="J417" s="16"/>
    </row>
    <row r="418" spans="3:10" x14ac:dyDescent="0.25">
      <c r="C418" s="35"/>
      <c r="D418" s="35"/>
      <c r="E418" s="65"/>
      <c r="F418" s="36"/>
      <c r="G418" s="69"/>
      <c r="H418" s="35"/>
      <c r="I418" s="35"/>
      <c r="J418" s="35"/>
    </row>
    <row r="419" spans="3:10" x14ac:dyDescent="0.25">
      <c r="C419" s="16"/>
      <c r="D419" s="16"/>
      <c r="E419" s="64"/>
      <c r="F419" s="33"/>
      <c r="G419" s="70"/>
      <c r="H419" s="16"/>
      <c r="I419" s="16"/>
      <c r="J419" s="16"/>
    </row>
    <row r="420" spans="3:10" x14ac:dyDescent="0.25">
      <c r="C420" s="35"/>
      <c r="D420" s="35"/>
      <c r="E420" s="65"/>
      <c r="F420" s="36"/>
      <c r="G420" s="69"/>
      <c r="H420" s="35"/>
      <c r="I420" s="35"/>
      <c r="J420" s="35"/>
    </row>
    <row r="421" spans="3:10" x14ac:dyDescent="0.25">
      <c r="C421" s="16"/>
      <c r="D421" s="16"/>
      <c r="E421" s="64"/>
      <c r="F421" s="33"/>
      <c r="G421" s="70"/>
      <c r="H421" s="16"/>
      <c r="I421" s="16"/>
      <c r="J421" s="16"/>
    </row>
    <row r="422" spans="3:10" x14ac:dyDescent="0.25">
      <c r="C422" s="35"/>
      <c r="D422" s="35"/>
      <c r="E422" s="65"/>
      <c r="F422" s="36"/>
      <c r="G422" s="69"/>
      <c r="H422" s="35"/>
      <c r="I422" s="35"/>
      <c r="J422" s="35"/>
    </row>
    <row r="423" spans="3:10" x14ac:dyDescent="0.25">
      <c r="C423" s="16"/>
      <c r="D423" s="16"/>
      <c r="E423" s="64"/>
      <c r="F423" s="33"/>
      <c r="G423" s="70"/>
      <c r="H423" s="16"/>
      <c r="I423" s="16"/>
      <c r="J423" s="16"/>
    </row>
    <row r="424" spans="3:10" x14ac:dyDescent="0.25">
      <c r="C424" s="35"/>
      <c r="D424" s="35"/>
      <c r="E424" s="65"/>
      <c r="F424" s="36"/>
      <c r="G424" s="69"/>
      <c r="H424" s="35"/>
      <c r="I424" s="35"/>
      <c r="J424" s="35"/>
    </row>
    <row r="425" spans="3:10" x14ac:dyDescent="0.25">
      <c r="C425" s="16"/>
      <c r="D425" s="16"/>
      <c r="E425" s="64"/>
      <c r="F425" s="33"/>
      <c r="G425" s="70"/>
      <c r="H425" s="16"/>
      <c r="I425" s="16"/>
      <c r="J425" s="16"/>
    </row>
    <row r="426" spans="3:10" x14ac:dyDescent="0.25">
      <c r="C426" s="35"/>
      <c r="D426" s="35"/>
      <c r="E426" s="65"/>
      <c r="F426" s="36"/>
      <c r="G426" s="69"/>
      <c r="H426" s="35"/>
      <c r="I426" s="35"/>
      <c r="J426" s="35"/>
    </row>
    <row r="427" spans="3:10" x14ac:dyDescent="0.25">
      <c r="C427" s="16"/>
      <c r="D427" s="16"/>
      <c r="E427" s="64"/>
      <c r="F427" s="33"/>
      <c r="G427" s="70"/>
      <c r="H427" s="16"/>
      <c r="I427" s="16"/>
      <c r="J427" s="16"/>
    </row>
    <row r="428" spans="3:10" x14ac:dyDescent="0.25">
      <c r="C428" s="35"/>
      <c r="D428" s="35"/>
      <c r="E428" s="65"/>
      <c r="F428" s="36"/>
      <c r="G428" s="69"/>
      <c r="H428" s="35"/>
      <c r="I428" s="35"/>
      <c r="J428" s="35"/>
    </row>
    <row r="429" spans="3:10" x14ac:dyDescent="0.25">
      <c r="C429" s="16"/>
      <c r="D429" s="16"/>
      <c r="E429" s="64"/>
      <c r="F429" s="33"/>
      <c r="G429" s="70"/>
      <c r="H429" s="16"/>
      <c r="I429" s="16"/>
      <c r="J429" s="16"/>
    </row>
    <row r="430" spans="3:10" x14ac:dyDescent="0.25">
      <c r="C430" s="35"/>
      <c r="D430" s="35"/>
      <c r="E430" s="65"/>
      <c r="F430" s="36"/>
      <c r="G430" s="69"/>
      <c r="H430" s="35"/>
      <c r="I430" s="35"/>
      <c r="J430" s="35"/>
    </row>
    <row r="431" spans="3:10" x14ac:dyDescent="0.25">
      <c r="C431" s="16"/>
      <c r="D431" s="16"/>
      <c r="E431" s="64"/>
      <c r="F431" s="33"/>
      <c r="G431" s="70"/>
      <c r="H431" s="16"/>
      <c r="I431" s="16"/>
      <c r="J431" s="16"/>
    </row>
    <row r="432" spans="3:10" x14ac:dyDescent="0.25">
      <c r="C432" s="35"/>
      <c r="D432" s="35"/>
      <c r="E432" s="65"/>
      <c r="F432" s="36"/>
      <c r="G432" s="69"/>
      <c r="H432" s="35"/>
      <c r="I432" s="35"/>
      <c r="J432" s="35"/>
    </row>
    <row r="433" spans="3:10" x14ac:dyDescent="0.25">
      <c r="C433" s="16"/>
      <c r="D433" s="16"/>
      <c r="E433" s="64"/>
      <c r="F433" s="33"/>
      <c r="G433" s="70"/>
      <c r="H433" s="16"/>
      <c r="I433" s="16"/>
      <c r="J433" s="16"/>
    </row>
    <row r="434" spans="3:10" x14ac:dyDescent="0.25">
      <c r="C434" s="35"/>
      <c r="D434" s="35"/>
      <c r="E434" s="65"/>
      <c r="F434" s="36"/>
      <c r="G434" s="69"/>
      <c r="H434" s="35"/>
      <c r="I434" s="35"/>
      <c r="J434" s="35"/>
    </row>
    <row r="435" spans="3:10" x14ac:dyDescent="0.25">
      <c r="C435" s="16"/>
      <c r="D435" s="16"/>
      <c r="E435" s="64"/>
      <c r="F435" s="33"/>
      <c r="G435" s="70"/>
      <c r="H435" s="16"/>
      <c r="I435" s="16"/>
      <c r="J435" s="16"/>
    </row>
    <row r="436" spans="3:10" x14ac:dyDescent="0.25">
      <c r="C436" s="35"/>
      <c r="D436" s="35"/>
      <c r="E436" s="65"/>
      <c r="F436" s="36"/>
      <c r="G436" s="69"/>
      <c r="H436" s="35"/>
      <c r="I436" s="35"/>
      <c r="J436" s="35"/>
    </row>
    <row r="437" spans="3:10" x14ac:dyDescent="0.25">
      <c r="C437" s="16"/>
      <c r="D437" s="16"/>
      <c r="E437" s="64"/>
      <c r="F437" s="33"/>
      <c r="G437" s="70"/>
      <c r="H437" s="16"/>
      <c r="I437" s="16"/>
      <c r="J437" s="16"/>
    </row>
    <row r="438" spans="3:10" x14ac:dyDescent="0.25">
      <c r="C438" s="35"/>
      <c r="D438" s="35"/>
      <c r="E438" s="65"/>
      <c r="F438" s="36"/>
      <c r="G438" s="69"/>
      <c r="H438" s="35"/>
      <c r="I438" s="35"/>
      <c r="J438" s="35"/>
    </row>
    <row r="439" spans="3:10" x14ac:dyDescent="0.25">
      <c r="C439" s="16"/>
      <c r="D439" s="16"/>
      <c r="E439" s="64"/>
      <c r="F439" s="33"/>
      <c r="G439" s="70"/>
      <c r="H439" s="16"/>
      <c r="I439" s="16"/>
      <c r="J439" s="16"/>
    </row>
    <row r="440" spans="3:10" x14ac:dyDescent="0.25">
      <c r="C440" s="35"/>
      <c r="D440" s="35"/>
      <c r="E440" s="65"/>
      <c r="F440" s="36"/>
      <c r="G440" s="69"/>
      <c r="H440" s="35"/>
      <c r="I440" s="35"/>
      <c r="J440" s="35"/>
    </row>
    <row r="441" spans="3:10" x14ac:dyDescent="0.25">
      <c r="C441" s="16"/>
      <c r="D441" s="16"/>
      <c r="E441" s="64"/>
      <c r="F441" s="33"/>
      <c r="G441" s="70"/>
      <c r="H441" s="16"/>
      <c r="I441" s="16"/>
      <c r="J441" s="16"/>
    </row>
    <row r="442" spans="3:10" x14ac:dyDescent="0.25">
      <c r="C442" s="35"/>
      <c r="D442" s="35"/>
      <c r="E442" s="65"/>
      <c r="F442" s="36"/>
      <c r="G442" s="69"/>
      <c r="H442" s="35"/>
      <c r="I442" s="35"/>
      <c r="J442" s="35"/>
    </row>
    <row r="443" spans="3:10" x14ac:dyDescent="0.25">
      <c r="C443" s="16"/>
      <c r="D443" s="16"/>
      <c r="E443" s="64"/>
      <c r="F443" s="33"/>
      <c r="G443" s="70"/>
      <c r="H443" s="16"/>
      <c r="I443" s="16"/>
      <c r="J443" s="16"/>
    </row>
    <row r="444" spans="3:10" x14ac:dyDescent="0.25">
      <c r="C444" s="35"/>
      <c r="D444" s="35"/>
      <c r="E444" s="65"/>
      <c r="F444" s="36"/>
      <c r="G444" s="69"/>
      <c r="H444" s="35"/>
      <c r="I444" s="35"/>
      <c r="J444" s="35"/>
    </row>
    <row r="445" spans="3:10" x14ac:dyDescent="0.25">
      <c r="C445" s="16"/>
      <c r="D445" s="16"/>
      <c r="E445" s="64"/>
      <c r="F445" s="33"/>
      <c r="G445" s="70"/>
      <c r="H445" s="16"/>
      <c r="I445" s="16"/>
      <c r="J445" s="16"/>
    </row>
    <row r="446" spans="3:10" x14ac:dyDescent="0.25">
      <c r="C446" s="35"/>
      <c r="D446" s="35"/>
      <c r="E446" s="65"/>
      <c r="F446" s="36"/>
      <c r="G446" s="69"/>
      <c r="H446" s="35"/>
      <c r="I446" s="35"/>
      <c r="J446" s="35"/>
    </row>
    <row r="447" spans="3:10" x14ac:dyDescent="0.25">
      <c r="C447" s="16"/>
      <c r="D447" s="16"/>
      <c r="E447" s="64"/>
      <c r="F447" s="33"/>
      <c r="G447" s="70"/>
      <c r="H447" s="16"/>
      <c r="I447" s="16"/>
      <c r="J447" s="16"/>
    </row>
    <row r="448" spans="3:10" x14ac:dyDescent="0.25">
      <c r="C448" s="35"/>
      <c r="D448" s="35"/>
      <c r="E448" s="65"/>
      <c r="F448" s="36"/>
      <c r="G448" s="69"/>
      <c r="H448" s="35"/>
      <c r="I448" s="35"/>
      <c r="J448" s="35"/>
    </row>
    <row r="449" spans="3:10" x14ac:dyDescent="0.25">
      <c r="C449" s="16"/>
      <c r="D449" s="16"/>
      <c r="E449" s="64"/>
      <c r="F449" s="33"/>
      <c r="G449" s="70"/>
      <c r="H449" s="16"/>
      <c r="I449" s="16"/>
      <c r="J449" s="16"/>
    </row>
    <row r="450" spans="3:10" x14ac:dyDescent="0.25">
      <c r="C450" s="35"/>
      <c r="D450" s="35"/>
      <c r="E450" s="65"/>
      <c r="F450" s="36"/>
      <c r="G450" s="69"/>
      <c r="H450" s="35"/>
      <c r="I450" s="35"/>
      <c r="J450" s="35"/>
    </row>
    <row r="451" spans="3:10" x14ac:dyDescent="0.25">
      <c r="C451" s="16"/>
      <c r="D451" s="16"/>
      <c r="E451" s="64"/>
      <c r="F451" s="33"/>
      <c r="G451" s="70"/>
      <c r="H451" s="16"/>
      <c r="I451" s="16"/>
      <c r="J451" s="16"/>
    </row>
    <row r="452" spans="3:10" x14ac:dyDescent="0.25">
      <c r="C452" s="35"/>
      <c r="D452" s="35"/>
      <c r="E452" s="65"/>
      <c r="F452" s="36"/>
      <c r="G452" s="69"/>
      <c r="H452" s="35"/>
      <c r="I452" s="35"/>
      <c r="J452" s="35"/>
    </row>
    <row r="453" spans="3:10" x14ac:dyDescent="0.25">
      <c r="C453" s="16"/>
      <c r="D453" s="16"/>
      <c r="E453" s="64"/>
      <c r="F453" s="33"/>
      <c r="G453" s="70"/>
      <c r="H453" s="16"/>
      <c r="I453" s="16"/>
      <c r="J453" s="16"/>
    </row>
    <row r="454" spans="3:10" x14ac:dyDescent="0.25">
      <c r="C454" s="35"/>
      <c r="D454" s="35"/>
      <c r="E454" s="65"/>
      <c r="F454" s="36"/>
      <c r="G454" s="69"/>
      <c r="H454" s="35"/>
      <c r="I454" s="35"/>
      <c r="J454" s="35"/>
    </row>
    <row r="455" spans="3:10" x14ac:dyDescent="0.25">
      <c r="C455" s="16"/>
      <c r="D455" s="16"/>
      <c r="E455" s="64"/>
      <c r="F455" s="33"/>
      <c r="G455" s="70"/>
      <c r="H455" s="16"/>
      <c r="I455" s="16"/>
      <c r="J455" s="16"/>
    </row>
    <row r="456" spans="3:10" x14ac:dyDescent="0.25">
      <c r="C456" s="35"/>
      <c r="D456" s="35"/>
      <c r="E456" s="65"/>
      <c r="F456" s="36"/>
      <c r="G456" s="69"/>
      <c r="H456" s="35"/>
      <c r="I456" s="35"/>
      <c r="J456" s="35"/>
    </row>
    <row r="457" spans="3:10" x14ac:dyDescent="0.25">
      <c r="C457" s="16"/>
      <c r="D457" s="16"/>
      <c r="E457" s="64"/>
      <c r="F457" s="33"/>
      <c r="G457" s="70"/>
      <c r="H457" s="16"/>
      <c r="I457" s="16"/>
      <c r="J457" s="16"/>
    </row>
    <row r="458" spans="3:10" x14ac:dyDescent="0.25">
      <c r="C458" s="35"/>
      <c r="D458" s="35"/>
      <c r="E458" s="65"/>
      <c r="F458" s="36"/>
      <c r="G458" s="69"/>
      <c r="H458" s="35"/>
      <c r="I458" s="35"/>
      <c r="J458" s="35"/>
    </row>
    <row r="459" spans="3:10" x14ac:dyDescent="0.25">
      <c r="C459" s="16"/>
      <c r="D459" s="16"/>
      <c r="E459" s="64"/>
      <c r="F459" s="33"/>
      <c r="G459" s="70"/>
      <c r="H459" s="16"/>
      <c r="I459" s="16"/>
      <c r="J459" s="16"/>
    </row>
    <row r="460" spans="3:10" x14ac:dyDescent="0.25">
      <c r="C460" s="35"/>
      <c r="D460" s="35"/>
      <c r="E460" s="65"/>
      <c r="F460" s="36"/>
      <c r="G460" s="69"/>
      <c r="H460" s="35"/>
      <c r="I460" s="35"/>
      <c r="J460" s="35"/>
    </row>
    <row r="461" spans="3:10" x14ac:dyDescent="0.25">
      <c r="C461" s="16"/>
      <c r="D461" s="16"/>
      <c r="E461" s="64"/>
      <c r="F461" s="33"/>
      <c r="G461" s="70"/>
      <c r="H461" s="16"/>
      <c r="I461" s="16"/>
      <c r="J461" s="16"/>
    </row>
    <row r="462" spans="3:10" x14ac:dyDescent="0.25">
      <c r="C462" s="35"/>
      <c r="D462" s="35"/>
      <c r="E462" s="65"/>
      <c r="F462" s="36"/>
      <c r="G462" s="69"/>
      <c r="H462" s="35"/>
      <c r="I462" s="35"/>
      <c r="J462" s="35"/>
    </row>
    <row r="463" spans="3:10" x14ac:dyDescent="0.25">
      <c r="C463" s="16"/>
      <c r="D463" s="16"/>
      <c r="E463" s="64"/>
      <c r="F463" s="33"/>
      <c r="G463" s="70"/>
      <c r="H463" s="16"/>
      <c r="I463" s="16"/>
      <c r="J463" s="16"/>
    </row>
    <row r="464" spans="3:10" x14ac:dyDescent="0.25">
      <c r="C464" s="35"/>
      <c r="D464" s="35"/>
      <c r="E464" s="65"/>
      <c r="F464" s="36"/>
      <c r="G464" s="69"/>
      <c r="H464" s="35"/>
      <c r="I464" s="35"/>
      <c r="J464" s="35"/>
    </row>
    <row r="465" spans="3:10" x14ac:dyDescent="0.25">
      <c r="C465" s="16"/>
      <c r="D465" s="16"/>
      <c r="E465" s="64"/>
      <c r="F465" s="33"/>
      <c r="G465" s="70"/>
      <c r="H465" s="16"/>
      <c r="I465" s="16"/>
      <c r="J465" s="16"/>
    </row>
    <row r="466" spans="3:10" x14ac:dyDescent="0.25">
      <c r="C466" s="35"/>
      <c r="D466" s="35"/>
      <c r="E466" s="65"/>
      <c r="F466" s="36"/>
      <c r="G466" s="69"/>
      <c r="H466" s="35"/>
      <c r="I466" s="35"/>
      <c r="J466" s="35"/>
    </row>
    <row r="467" spans="3:10" x14ac:dyDescent="0.25">
      <c r="C467" s="16"/>
      <c r="D467" s="16"/>
      <c r="E467" s="64"/>
      <c r="F467" s="33"/>
      <c r="G467" s="70"/>
      <c r="H467" s="16"/>
      <c r="I467" s="16"/>
      <c r="J467" s="16"/>
    </row>
    <row r="468" spans="3:10" x14ac:dyDescent="0.25">
      <c r="C468" s="35"/>
      <c r="D468" s="35"/>
      <c r="E468" s="65"/>
      <c r="F468" s="36"/>
      <c r="G468" s="69"/>
      <c r="H468" s="35"/>
      <c r="I468" s="35"/>
      <c r="J468" s="35"/>
    </row>
    <row r="469" spans="3:10" x14ac:dyDescent="0.25">
      <c r="C469" s="16"/>
      <c r="D469" s="16"/>
      <c r="E469" s="64"/>
      <c r="F469" s="33"/>
      <c r="G469" s="70"/>
      <c r="H469" s="16"/>
      <c r="I469" s="16"/>
      <c r="J469" s="16"/>
    </row>
    <row r="470" spans="3:10" x14ac:dyDescent="0.25">
      <c r="C470" s="35"/>
      <c r="D470" s="35"/>
      <c r="E470" s="65"/>
      <c r="F470" s="36"/>
      <c r="G470" s="69"/>
      <c r="H470" s="35"/>
      <c r="I470" s="35"/>
      <c r="J470" s="35"/>
    </row>
    <row r="471" spans="3:10" x14ac:dyDescent="0.25">
      <c r="C471" s="16"/>
      <c r="D471" s="16"/>
      <c r="E471" s="64"/>
      <c r="F471" s="33"/>
      <c r="G471" s="70"/>
      <c r="H471" s="16"/>
      <c r="I471" s="16"/>
      <c r="J471" s="16"/>
    </row>
    <row r="472" spans="3:10" x14ac:dyDescent="0.25">
      <c r="C472" s="35"/>
      <c r="D472" s="35"/>
      <c r="E472" s="65"/>
      <c r="F472" s="36"/>
      <c r="G472" s="69"/>
      <c r="H472" s="35"/>
      <c r="I472" s="35"/>
      <c r="J472" s="35"/>
    </row>
    <row r="473" spans="3:10" x14ac:dyDescent="0.25">
      <c r="C473" s="16"/>
      <c r="D473" s="16"/>
      <c r="E473" s="64"/>
      <c r="F473" s="33"/>
      <c r="G473" s="70"/>
      <c r="H473" s="16"/>
      <c r="I473" s="16"/>
      <c r="J473" s="16"/>
    </row>
    <row r="474" spans="3:10" x14ac:dyDescent="0.25">
      <c r="C474" s="35"/>
      <c r="D474" s="35"/>
      <c r="E474" s="65"/>
      <c r="F474" s="36"/>
      <c r="G474" s="69"/>
      <c r="H474" s="35"/>
      <c r="I474" s="35"/>
      <c r="J474" s="35"/>
    </row>
    <row r="475" spans="3:10" x14ac:dyDescent="0.25">
      <c r="C475" s="16"/>
      <c r="D475" s="16"/>
      <c r="E475" s="64"/>
      <c r="F475" s="33"/>
      <c r="G475" s="70"/>
      <c r="H475" s="16"/>
      <c r="I475" s="16"/>
      <c r="J475" s="16"/>
    </row>
    <row r="476" spans="3:10" x14ac:dyDescent="0.25">
      <c r="C476" s="35"/>
      <c r="D476" s="35"/>
      <c r="E476" s="65"/>
      <c r="F476" s="36"/>
      <c r="G476" s="69"/>
      <c r="H476" s="35"/>
      <c r="I476" s="35"/>
      <c r="J476" s="35"/>
    </row>
    <row r="477" spans="3:10" x14ac:dyDescent="0.25">
      <c r="C477" s="16"/>
      <c r="D477" s="16"/>
      <c r="E477" s="64"/>
      <c r="F477" s="33"/>
      <c r="G477" s="70"/>
      <c r="H477" s="16"/>
      <c r="I477" s="16"/>
      <c r="J477" s="16"/>
    </row>
    <row r="478" spans="3:10" x14ac:dyDescent="0.25">
      <c r="C478" s="35"/>
      <c r="D478" s="35"/>
      <c r="E478" s="65"/>
      <c r="F478" s="36"/>
      <c r="G478" s="69"/>
      <c r="H478" s="35"/>
      <c r="I478" s="35"/>
      <c r="J478" s="35"/>
    </row>
    <row r="479" spans="3:10" x14ac:dyDescent="0.25">
      <c r="C479" s="16"/>
      <c r="D479" s="16"/>
      <c r="E479" s="64"/>
      <c r="F479" s="33"/>
      <c r="G479" s="70"/>
      <c r="H479" s="16"/>
      <c r="I479" s="16"/>
      <c r="J479" s="16"/>
    </row>
    <row r="480" spans="3:10" x14ac:dyDescent="0.25">
      <c r="C480" s="35"/>
      <c r="D480" s="35"/>
      <c r="E480" s="65"/>
      <c r="F480" s="36"/>
      <c r="G480" s="69"/>
      <c r="H480" s="35"/>
      <c r="I480" s="35"/>
      <c r="J480" s="35"/>
    </row>
    <row r="481" spans="3:10" x14ac:dyDescent="0.25">
      <c r="C481" s="16"/>
      <c r="D481" s="16"/>
      <c r="E481" s="64"/>
      <c r="F481" s="33"/>
      <c r="G481" s="70"/>
      <c r="H481" s="16"/>
      <c r="I481" s="16"/>
      <c r="J481" s="16"/>
    </row>
    <row r="482" spans="3:10" x14ac:dyDescent="0.25">
      <c r="C482" s="35"/>
      <c r="D482" s="35"/>
      <c r="E482" s="65"/>
      <c r="F482" s="36"/>
      <c r="G482" s="69"/>
      <c r="H482" s="35"/>
      <c r="I482" s="35"/>
      <c r="J482" s="35"/>
    </row>
    <row r="483" spans="3:10" x14ac:dyDescent="0.25">
      <c r="C483" s="16"/>
      <c r="D483" s="16"/>
      <c r="E483" s="64"/>
      <c r="F483" s="33"/>
      <c r="G483" s="70"/>
      <c r="H483" s="16"/>
      <c r="I483" s="16"/>
      <c r="J483" s="16"/>
    </row>
    <row r="484" spans="3:10" x14ac:dyDescent="0.25">
      <c r="C484" s="35"/>
      <c r="D484" s="35"/>
      <c r="E484" s="65"/>
      <c r="F484" s="36"/>
      <c r="G484" s="69"/>
      <c r="H484" s="35"/>
      <c r="I484" s="35"/>
      <c r="J484" s="35"/>
    </row>
    <row r="485" spans="3:10" x14ac:dyDescent="0.25">
      <c r="C485" s="16"/>
      <c r="D485" s="16"/>
      <c r="E485" s="64"/>
      <c r="F485" s="33"/>
      <c r="G485" s="70"/>
      <c r="H485" s="16"/>
      <c r="I485" s="16"/>
      <c r="J485" s="16"/>
    </row>
    <row r="486" spans="3:10" x14ac:dyDescent="0.25">
      <c r="C486" s="35"/>
      <c r="D486" s="35"/>
      <c r="E486" s="65"/>
      <c r="F486" s="36"/>
      <c r="G486" s="69"/>
      <c r="H486" s="35"/>
      <c r="I486" s="35"/>
      <c r="J486" s="35"/>
    </row>
    <row r="487" spans="3:10" x14ac:dyDescent="0.25">
      <c r="C487" s="16"/>
      <c r="D487" s="16"/>
      <c r="E487" s="64"/>
      <c r="F487" s="33"/>
      <c r="G487" s="70"/>
      <c r="H487" s="16"/>
      <c r="I487" s="16"/>
      <c r="J487" s="16"/>
    </row>
    <row r="488" spans="3:10" x14ac:dyDescent="0.25">
      <c r="C488" s="35"/>
      <c r="D488" s="35"/>
      <c r="E488" s="65"/>
      <c r="F488" s="36"/>
      <c r="G488" s="69"/>
      <c r="H488" s="35"/>
      <c r="I488" s="35"/>
      <c r="J488" s="35"/>
    </row>
    <row r="489" spans="3:10" x14ac:dyDescent="0.25">
      <c r="C489" s="16"/>
      <c r="D489" s="16"/>
      <c r="E489" s="64"/>
      <c r="F489" s="33"/>
      <c r="G489" s="70"/>
      <c r="H489" s="16"/>
      <c r="I489" s="16"/>
      <c r="J489" s="16"/>
    </row>
    <row r="490" spans="3:10" x14ac:dyDescent="0.25">
      <c r="C490" s="35"/>
      <c r="D490" s="35"/>
      <c r="E490" s="65"/>
      <c r="F490" s="36"/>
      <c r="G490" s="69"/>
      <c r="H490" s="35"/>
      <c r="I490" s="35"/>
      <c r="J490" s="35"/>
    </row>
    <row r="491" spans="3:10" x14ac:dyDescent="0.25">
      <c r="C491" s="16"/>
      <c r="D491" s="16"/>
      <c r="E491" s="64"/>
      <c r="F491" s="33"/>
      <c r="G491" s="70"/>
      <c r="H491" s="16"/>
      <c r="I491" s="16"/>
      <c r="J491" s="16"/>
    </row>
    <row r="492" spans="3:10" x14ac:dyDescent="0.25">
      <c r="C492" s="35"/>
      <c r="D492" s="35"/>
      <c r="E492" s="65"/>
      <c r="F492" s="36"/>
      <c r="G492" s="69"/>
      <c r="H492" s="35"/>
      <c r="I492" s="35"/>
      <c r="J492" s="35"/>
    </row>
    <row r="493" spans="3:10" x14ac:dyDescent="0.25">
      <c r="C493" s="16"/>
      <c r="D493" s="16"/>
      <c r="E493" s="64"/>
      <c r="F493" s="33"/>
      <c r="G493" s="70"/>
      <c r="H493" s="16"/>
      <c r="I493" s="16"/>
      <c r="J493" s="16"/>
    </row>
    <row r="494" spans="3:10" x14ac:dyDescent="0.25">
      <c r="C494" s="35"/>
      <c r="D494" s="35"/>
      <c r="E494" s="65"/>
      <c r="F494" s="36"/>
      <c r="G494" s="69"/>
      <c r="H494" s="35"/>
      <c r="I494" s="35"/>
      <c r="J494" s="35"/>
    </row>
    <row r="495" spans="3:10" x14ac:dyDescent="0.25">
      <c r="C495" s="16"/>
      <c r="D495" s="16"/>
      <c r="E495" s="64"/>
      <c r="F495" s="33"/>
      <c r="G495" s="70"/>
      <c r="H495" s="16"/>
      <c r="I495" s="16"/>
      <c r="J495" s="16"/>
    </row>
    <row r="496" spans="3:10" x14ac:dyDescent="0.25">
      <c r="C496" s="35"/>
      <c r="D496" s="35"/>
      <c r="E496" s="65"/>
      <c r="F496" s="36"/>
      <c r="G496" s="69"/>
      <c r="H496" s="35"/>
      <c r="I496" s="35"/>
      <c r="J496" s="35"/>
    </row>
    <row r="497" spans="3:10" x14ac:dyDescent="0.25">
      <c r="C497" s="16"/>
      <c r="D497" s="16"/>
      <c r="E497" s="64"/>
      <c r="F497" s="33"/>
      <c r="G497" s="70"/>
      <c r="H497" s="16"/>
      <c r="I497" s="16"/>
      <c r="J497" s="16"/>
    </row>
    <row r="498" spans="3:10" x14ac:dyDescent="0.25">
      <c r="C498" s="35"/>
      <c r="D498" s="35"/>
      <c r="E498" s="65"/>
      <c r="F498" s="36"/>
      <c r="G498" s="69"/>
      <c r="H498" s="35"/>
      <c r="I498" s="35"/>
      <c r="J498" s="35"/>
    </row>
    <row r="499" spans="3:10" x14ac:dyDescent="0.25">
      <c r="C499" s="16"/>
      <c r="D499" s="16"/>
      <c r="E499" s="64"/>
      <c r="F499" s="33"/>
      <c r="G499" s="70"/>
      <c r="H499" s="16"/>
      <c r="I499" s="16"/>
      <c r="J499" s="16"/>
    </row>
    <row r="500" spans="3:10" x14ac:dyDescent="0.25">
      <c r="C500" s="35"/>
      <c r="D500" s="35"/>
      <c r="E500" s="65"/>
      <c r="F500" s="36"/>
      <c r="G500" s="69"/>
      <c r="H500" s="35"/>
      <c r="I500" s="35"/>
      <c r="J500" s="35"/>
    </row>
    <row r="501" spans="3:10" x14ac:dyDescent="0.25">
      <c r="C501" s="16"/>
      <c r="D501" s="16"/>
      <c r="E501" s="64"/>
      <c r="F501" s="33"/>
      <c r="G501" s="70"/>
      <c r="H501" s="16"/>
      <c r="I501" s="16"/>
      <c r="J501" s="16"/>
    </row>
    <row r="502" spans="3:10" x14ac:dyDescent="0.25">
      <c r="C502" s="35"/>
      <c r="D502" s="35"/>
      <c r="E502" s="65"/>
      <c r="F502" s="36"/>
      <c r="G502" s="69"/>
      <c r="H502" s="35"/>
      <c r="I502" s="35"/>
      <c r="J502" s="35"/>
    </row>
    <row r="503" spans="3:10" x14ac:dyDescent="0.25">
      <c r="C503" s="16"/>
      <c r="D503" s="16"/>
      <c r="E503" s="64"/>
      <c r="F503" s="33"/>
      <c r="G503" s="70"/>
      <c r="H503" s="16"/>
      <c r="I503" s="16"/>
      <c r="J503" s="16"/>
    </row>
    <row r="504" spans="3:10" x14ac:dyDescent="0.25">
      <c r="C504" s="35"/>
      <c r="D504" s="35"/>
      <c r="E504" s="65"/>
      <c r="F504" s="36"/>
      <c r="G504" s="69"/>
      <c r="H504" s="35"/>
      <c r="I504" s="35"/>
      <c r="J504" s="35"/>
    </row>
    <row r="505" spans="3:10" x14ac:dyDescent="0.25">
      <c r="C505" s="16"/>
      <c r="D505" s="16"/>
      <c r="E505" s="64"/>
      <c r="F505" s="33"/>
      <c r="G505" s="70"/>
      <c r="H505" s="16"/>
      <c r="I505" s="16"/>
      <c r="J505" s="16"/>
    </row>
    <row r="506" spans="3:10" x14ac:dyDescent="0.25">
      <c r="C506" s="35"/>
      <c r="D506" s="35"/>
      <c r="E506" s="65"/>
      <c r="F506" s="36"/>
      <c r="G506" s="69"/>
      <c r="H506" s="35"/>
      <c r="I506" s="35"/>
      <c r="J506" s="35"/>
    </row>
    <row r="507" spans="3:10" x14ac:dyDescent="0.25">
      <c r="C507" s="16"/>
      <c r="D507" s="16"/>
      <c r="E507" s="64"/>
      <c r="F507" s="33"/>
      <c r="G507" s="70"/>
      <c r="H507" s="16"/>
      <c r="I507" s="16"/>
      <c r="J507" s="16"/>
    </row>
    <row r="508" spans="3:10" x14ac:dyDescent="0.25">
      <c r="C508" s="35"/>
      <c r="D508" s="35"/>
      <c r="E508" s="65"/>
      <c r="F508" s="36"/>
      <c r="G508" s="69"/>
      <c r="H508" s="35"/>
      <c r="I508" s="35"/>
      <c r="J508" s="35"/>
    </row>
    <row r="509" spans="3:10" x14ac:dyDescent="0.25">
      <c r="C509" s="16"/>
      <c r="D509" s="16"/>
      <c r="E509" s="64"/>
      <c r="F509" s="33"/>
      <c r="G509" s="70"/>
      <c r="H509" s="16"/>
      <c r="I509" s="16"/>
      <c r="J509" s="16"/>
    </row>
    <row r="510" spans="3:10" x14ac:dyDescent="0.25">
      <c r="C510" s="35"/>
      <c r="D510" s="35"/>
      <c r="E510" s="65"/>
      <c r="F510" s="36"/>
      <c r="G510" s="69"/>
      <c r="H510" s="35"/>
      <c r="I510" s="35"/>
      <c r="J510" s="35"/>
    </row>
    <row r="511" spans="3:10" x14ac:dyDescent="0.25">
      <c r="C511" s="16"/>
      <c r="D511" s="16"/>
      <c r="E511" s="64"/>
      <c r="F511" s="33"/>
      <c r="G511" s="70"/>
      <c r="H511" s="16"/>
      <c r="I511" s="16"/>
      <c r="J511" s="16"/>
    </row>
    <row r="512" spans="3:10" x14ac:dyDescent="0.25">
      <c r="C512" s="35"/>
      <c r="D512" s="35"/>
      <c r="E512" s="65"/>
      <c r="F512" s="36"/>
      <c r="G512" s="69"/>
      <c r="H512" s="35"/>
      <c r="I512" s="35"/>
      <c r="J512" s="35"/>
    </row>
    <row r="513" spans="3:10" x14ac:dyDescent="0.25">
      <c r="C513" s="16"/>
      <c r="D513" s="16"/>
      <c r="E513" s="64"/>
      <c r="F513" s="33"/>
      <c r="G513" s="70"/>
      <c r="H513" s="16"/>
      <c r="I513" s="16"/>
      <c r="J513" s="16"/>
    </row>
    <row r="514" spans="3:10" x14ac:dyDescent="0.25">
      <c r="C514" s="35"/>
      <c r="D514" s="35"/>
      <c r="E514" s="65"/>
      <c r="F514" s="36"/>
      <c r="G514" s="69"/>
      <c r="H514" s="35"/>
      <c r="I514" s="35"/>
      <c r="J514" s="35"/>
    </row>
    <row r="515" spans="3:10" x14ac:dyDescent="0.25">
      <c r="C515" s="16"/>
      <c r="D515" s="16"/>
      <c r="E515" s="64"/>
      <c r="F515" s="33"/>
      <c r="G515" s="70"/>
      <c r="H515" s="16"/>
      <c r="I515" s="16"/>
      <c r="J515" s="16"/>
    </row>
    <row r="516" spans="3:10" x14ac:dyDescent="0.25">
      <c r="C516" s="35"/>
      <c r="D516" s="35"/>
      <c r="E516" s="65"/>
      <c r="F516" s="36"/>
      <c r="G516" s="69"/>
      <c r="H516" s="35"/>
      <c r="I516" s="35"/>
      <c r="J516" s="35"/>
    </row>
    <row r="517" spans="3:10" x14ac:dyDescent="0.25">
      <c r="C517" s="16"/>
      <c r="D517" s="16"/>
      <c r="E517" s="64"/>
      <c r="F517" s="33"/>
      <c r="G517" s="70"/>
      <c r="H517" s="16"/>
      <c r="I517" s="16"/>
      <c r="J517" s="16"/>
    </row>
    <row r="518" spans="3:10" x14ac:dyDescent="0.25">
      <c r="C518" s="35"/>
      <c r="D518" s="35"/>
      <c r="E518" s="65"/>
      <c r="F518" s="36"/>
      <c r="G518" s="69"/>
      <c r="H518" s="35"/>
      <c r="I518" s="35"/>
      <c r="J518" s="35"/>
    </row>
    <row r="519" spans="3:10" x14ac:dyDescent="0.25">
      <c r="C519" s="16"/>
      <c r="D519" s="16"/>
      <c r="E519" s="64"/>
      <c r="F519" s="33"/>
      <c r="G519" s="70"/>
      <c r="H519" s="16"/>
      <c r="I519" s="16"/>
      <c r="J519" s="16"/>
    </row>
    <row r="520" spans="3:10" x14ac:dyDescent="0.25">
      <c r="C520" s="35"/>
      <c r="D520" s="35"/>
      <c r="E520" s="65"/>
      <c r="F520" s="36"/>
      <c r="G520" s="69"/>
      <c r="H520" s="35"/>
      <c r="I520" s="35"/>
      <c r="J520" s="35"/>
    </row>
    <row r="521" spans="3:10" x14ac:dyDescent="0.25">
      <c r="C521" s="16"/>
      <c r="D521" s="16"/>
      <c r="E521" s="64"/>
      <c r="F521" s="33"/>
      <c r="G521" s="70"/>
      <c r="H521" s="16"/>
      <c r="I521" s="16"/>
      <c r="J521" s="16"/>
    </row>
    <row r="522" spans="3:10" x14ac:dyDescent="0.25">
      <c r="C522" s="35"/>
      <c r="D522" s="35"/>
      <c r="E522" s="65"/>
      <c r="F522" s="36"/>
      <c r="G522" s="69"/>
      <c r="H522" s="35"/>
      <c r="I522" s="35"/>
      <c r="J522" s="35"/>
    </row>
    <row r="523" spans="3:10" x14ac:dyDescent="0.25">
      <c r="C523" s="16"/>
      <c r="D523" s="16"/>
      <c r="E523" s="64"/>
      <c r="F523" s="33"/>
      <c r="G523" s="70"/>
      <c r="H523" s="16"/>
      <c r="I523" s="16"/>
      <c r="J523" s="16"/>
    </row>
    <row r="524" spans="3:10" x14ac:dyDescent="0.25">
      <c r="C524" s="35"/>
      <c r="D524" s="35"/>
      <c r="E524" s="65"/>
      <c r="F524" s="36"/>
      <c r="G524" s="69"/>
      <c r="H524" s="35"/>
      <c r="I524" s="35"/>
      <c r="J524" s="35"/>
    </row>
    <row r="525" spans="3:10" x14ac:dyDescent="0.25">
      <c r="C525" s="16"/>
      <c r="D525" s="16"/>
      <c r="E525" s="64"/>
      <c r="F525" s="33"/>
      <c r="G525" s="70"/>
      <c r="H525" s="16"/>
      <c r="I525" s="16"/>
      <c r="J525" s="16"/>
    </row>
    <row r="526" spans="3:10" x14ac:dyDescent="0.25">
      <c r="C526" s="35"/>
      <c r="D526" s="35"/>
      <c r="E526" s="65"/>
      <c r="F526" s="36"/>
      <c r="G526" s="69"/>
      <c r="H526" s="35"/>
      <c r="I526" s="35"/>
      <c r="J526" s="35"/>
    </row>
    <row r="527" spans="3:10" x14ac:dyDescent="0.25">
      <c r="C527" s="16"/>
      <c r="D527" s="16"/>
      <c r="E527" s="64"/>
      <c r="F527" s="33"/>
      <c r="G527" s="70"/>
      <c r="H527" s="16"/>
      <c r="I527" s="16"/>
      <c r="J527" s="16"/>
    </row>
    <row r="528" spans="3:10" x14ac:dyDescent="0.25">
      <c r="C528" s="35"/>
      <c r="D528" s="35"/>
      <c r="E528" s="65"/>
      <c r="F528" s="36"/>
      <c r="G528" s="69"/>
      <c r="H528" s="35"/>
      <c r="I528" s="35"/>
      <c r="J528" s="35"/>
    </row>
    <row r="529" spans="3:10" x14ac:dyDescent="0.25">
      <c r="C529" s="16"/>
      <c r="D529" s="16"/>
      <c r="E529" s="64"/>
      <c r="F529" s="33"/>
      <c r="G529" s="70"/>
      <c r="H529" s="16"/>
      <c r="I529" s="16"/>
      <c r="J529" s="16"/>
    </row>
    <row r="530" spans="3:10" x14ac:dyDescent="0.25">
      <c r="C530" s="35"/>
      <c r="D530" s="35"/>
      <c r="E530" s="65"/>
      <c r="F530" s="36"/>
      <c r="G530" s="69"/>
      <c r="H530" s="35"/>
      <c r="I530" s="35"/>
      <c r="J530" s="35"/>
    </row>
    <row r="531" spans="3:10" x14ac:dyDescent="0.25">
      <c r="C531" s="16"/>
      <c r="D531" s="16"/>
      <c r="E531" s="64"/>
      <c r="F531" s="33"/>
      <c r="G531" s="70"/>
      <c r="H531" s="16"/>
      <c r="I531" s="16"/>
      <c r="J531" s="16"/>
    </row>
    <row r="532" spans="3:10" x14ac:dyDescent="0.25">
      <c r="C532" s="35"/>
      <c r="D532" s="35"/>
      <c r="E532" s="65"/>
      <c r="F532" s="36"/>
      <c r="G532" s="69"/>
      <c r="H532" s="35"/>
      <c r="I532" s="35"/>
      <c r="J532" s="35"/>
    </row>
    <row r="533" spans="3:10" x14ac:dyDescent="0.25">
      <c r="C533" s="16"/>
      <c r="D533" s="16"/>
      <c r="E533" s="64"/>
      <c r="F533" s="33"/>
      <c r="G533" s="70"/>
      <c r="H533" s="16"/>
      <c r="I533" s="16"/>
      <c r="J533" s="16"/>
    </row>
    <row r="534" spans="3:10" x14ac:dyDescent="0.25">
      <c r="C534" s="35"/>
      <c r="D534" s="35"/>
      <c r="E534" s="65"/>
      <c r="F534" s="36"/>
      <c r="G534" s="69"/>
      <c r="H534" s="35"/>
      <c r="I534" s="35"/>
      <c r="J534" s="35"/>
    </row>
    <row r="535" spans="3:10" x14ac:dyDescent="0.25">
      <c r="C535" s="16"/>
      <c r="D535" s="16"/>
      <c r="E535" s="64"/>
      <c r="F535" s="33"/>
      <c r="G535" s="70"/>
      <c r="H535" s="16"/>
      <c r="I535" s="16"/>
      <c r="J535" s="16"/>
    </row>
    <row r="536" spans="3:10" x14ac:dyDescent="0.25">
      <c r="C536" s="35"/>
      <c r="D536" s="35"/>
      <c r="E536" s="65"/>
      <c r="F536" s="36"/>
      <c r="G536" s="69"/>
      <c r="H536" s="35"/>
      <c r="I536" s="35"/>
      <c r="J536" s="35"/>
    </row>
    <row r="537" spans="3:10" x14ac:dyDescent="0.25">
      <c r="C537" s="16"/>
      <c r="D537" s="16"/>
      <c r="E537" s="64"/>
      <c r="F537" s="33"/>
      <c r="G537" s="70"/>
      <c r="H537" s="16"/>
      <c r="I537" s="16"/>
      <c r="J537" s="16"/>
    </row>
    <row r="538" spans="3:10" x14ac:dyDescent="0.25">
      <c r="C538" s="35"/>
      <c r="D538" s="35"/>
      <c r="E538" s="65"/>
      <c r="F538" s="36"/>
      <c r="G538" s="69"/>
      <c r="H538" s="35"/>
      <c r="I538" s="35"/>
      <c r="J538" s="35"/>
    </row>
    <row r="539" spans="3:10" x14ac:dyDescent="0.25">
      <c r="C539" s="16"/>
      <c r="D539" s="16"/>
      <c r="E539" s="64"/>
      <c r="F539" s="33"/>
      <c r="G539" s="70"/>
      <c r="H539" s="16"/>
      <c r="I539" s="16"/>
      <c r="J539" s="16"/>
    </row>
    <row r="540" spans="3:10" x14ac:dyDescent="0.25">
      <c r="C540" s="35"/>
      <c r="D540" s="35"/>
      <c r="E540" s="65"/>
      <c r="F540" s="36"/>
      <c r="G540" s="69"/>
      <c r="H540" s="35"/>
      <c r="I540" s="35"/>
      <c r="J540" s="35"/>
    </row>
    <row r="541" spans="3:10" x14ac:dyDescent="0.25">
      <c r="C541" s="16"/>
      <c r="D541" s="16"/>
      <c r="E541" s="64"/>
      <c r="F541" s="33"/>
      <c r="G541" s="70"/>
      <c r="H541" s="16"/>
      <c r="I541" s="16"/>
      <c r="J541" s="16"/>
    </row>
    <row r="542" spans="3:10" x14ac:dyDescent="0.25">
      <c r="C542" s="35"/>
      <c r="D542" s="35"/>
      <c r="E542" s="65"/>
      <c r="F542" s="36"/>
      <c r="G542" s="69"/>
      <c r="H542" s="35"/>
      <c r="I542" s="35"/>
      <c r="J542" s="35"/>
    </row>
    <row r="543" spans="3:10" x14ac:dyDescent="0.25">
      <c r="C543" s="16"/>
      <c r="D543" s="16"/>
      <c r="E543" s="64"/>
      <c r="F543" s="33"/>
      <c r="G543" s="70"/>
      <c r="H543" s="16"/>
      <c r="I543" s="16"/>
      <c r="J543" s="16"/>
    </row>
    <row r="544" spans="3:10" x14ac:dyDescent="0.25">
      <c r="C544" s="35"/>
      <c r="D544" s="35"/>
      <c r="E544" s="65"/>
      <c r="F544" s="36"/>
      <c r="G544" s="69"/>
      <c r="H544" s="35"/>
      <c r="I544" s="35"/>
      <c r="J544" s="35"/>
    </row>
    <row r="545" spans="3:10" x14ac:dyDescent="0.25">
      <c r="C545" s="16"/>
      <c r="D545" s="16"/>
      <c r="E545" s="64"/>
      <c r="F545" s="33"/>
      <c r="G545" s="70"/>
      <c r="H545" s="16"/>
      <c r="I545" s="16"/>
      <c r="J545" s="16"/>
    </row>
    <row r="546" spans="3:10" x14ac:dyDescent="0.25">
      <c r="C546" s="35"/>
      <c r="D546" s="35"/>
      <c r="E546" s="65"/>
      <c r="F546" s="36"/>
      <c r="G546" s="69"/>
      <c r="H546" s="35"/>
      <c r="I546" s="35"/>
      <c r="J546" s="35"/>
    </row>
    <row r="547" spans="3:10" x14ac:dyDescent="0.25">
      <c r="C547" s="16"/>
      <c r="D547" s="16"/>
      <c r="E547" s="64"/>
      <c r="F547" s="33"/>
      <c r="G547" s="70"/>
      <c r="H547" s="16"/>
      <c r="I547" s="16"/>
      <c r="J547" s="16"/>
    </row>
    <row r="548" spans="3:10" x14ac:dyDescent="0.25">
      <c r="C548" s="35"/>
      <c r="D548" s="35"/>
      <c r="E548" s="65"/>
      <c r="F548" s="36"/>
      <c r="G548" s="69"/>
      <c r="H548" s="35"/>
      <c r="I548" s="35"/>
      <c r="J548" s="35"/>
    </row>
    <row r="549" spans="3:10" x14ac:dyDescent="0.25">
      <c r="C549" s="16"/>
      <c r="D549" s="16"/>
      <c r="E549" s="64"/>
      <c r="F549" s="33"/>
      <c r="G549" s="70"/>
      <c r="H549" s="16"/>
      <c r="I549" s="16"/>
      <c r="J549" s="16"/>
    </row>
    <row r="550" spans="3:10" x14ac:dyDescent="0.25">
      <c r="C550" s="35"/>
      <c r="D550" s="35"/>
      <c r="E550" s="65"/>
      <c r="F550" s="36"/>
      <c r="G550" s="69"/>
      <c r="H550" s="35"/>
      <c r="I550" s="35"/>
      <c r="J550" s="35"/>
    </row>
    <row r="551" spans="3:10" x14ac:dyDescent="0.25">
      <c r="C551" s="16"/>
      <c r="D551" s="16"/>
      <c r="E551" s="64"/>
      <c r="F551" s="33"/>
      <c r="G551" s="70"/>
      <c r="H551" s="16"/>
      <c r="I551" s="16"/>
      <c r="J551" s="16"/>
    </row>
    <row r="552" spans="3:10" x14ac:dyDescent="0.25">
      <c r="C552" s="35"/>
      <c r="D552" s="35"/>
      <c r="E552" s="65"/>
      <c r="F552" s="36"/>
      <c r="G552" s="69"/>
      <c r="H552" s="35"/>
      <c r="I552" s="35"/>
      <c r="J552" s="35"/>
    </row>
    <row r="553" spans="3:10" x14ac:dyDescent="0.25">
      <c r="C553" s="16"/>
      <c r="D553" s="16"/>
      <c r="E553" s="64"/>
      <c r="F553" s="33"/>
      <c r="G553" s="70"/>
      <c r="H553" s="16"/>
      <c r="I553" s="16"/>
      <c r="J553" s="16"/>
    </row>
    <row r="554" spans="3:10" x14ac:dyDescent="0.25">
      <c r="C554" s="35"/>
      <c r="D554" s="35"/>
      <c r="E554" s="65"/>
      <c r="F554" s="36"/>
      <c r="G554" s="69"/>
      <c r="H554" s="35"/>
      <c r="I554" s="35"/>
      <c r="J554" s="35"/>
    </row>
    <row r="555" spans="3:10" x14ac:dyDescent="0.25">
      <c r="C555" s="16"/>
      <c r="D555" s="16"/>
      <c r="E555" s="64"/>
      <c r="F555" s="33"/>
      <c r="G555" s="70"/>
      <c r="H555" s="16"/>
      <c r="I555" s="16"/>
      <c r="J555" s="16"/>
    </row>
    <row r="556" spans="3:10" x14ac:dyDescent="0.25">
      <c r="C556" s="35"/>
      <c r="D556" s="35"/>
      <c r="E556" s="65"/>
      <c r="F556" s="36"/>
      <c r="G556" s="69"/>
      <c r="H556" s="35"/>
      <c r="I556" s="35"/>
      <c r="J556" s="35"/>
    </row>
    <row r="557" spans="3:10" x14ac:dyDescent="0.25">
      <c r="C557" s="16"/>
      <c r="D557" s="16"/>
      <c r="E557" s="64"/>
      <c r="F557" s="33"/>
      <c r="G557" s="70"/>
      <c r="H557" s="16"/>
      <c r="I557" s="16"/>
      <c r="J557" s="16"/>
    </row>
    <row r="558" spans="3:10" x14ac:dyDescent="0.25">
      <c r="C558" s="35"/>
      <c r="D558" s="35"/>
      <c r="E558" s="65"/>
      <c r="F558" s="36"/>
      <c r="G558" s="69"/>
      <c r="H558" s="35"/>
      <c r="I558" s="35"/>
      <c r="J558" s="35"/>
    </row>
    <row r="559" spans="3:10" x14ac:dyDescent="0.25">
      <c r="C559" s="16"/>
      <c r="D559" s="16"/>
      <c r="E559" s="64"/>
      <c r="F559" s="33"/>
      <c r="G559" s="70"/>
      <c r="H559" s="16"/>
      <c r="I559" s="16"/>
      <c r="J559" s="16"/>
    </row>
    <row r="560" spans="3:10" x14ac:dyDescent="0.25">
      <c r="C560" s="35"/>
      <c r="D560" s="35"/>
      <c r="E560" s="65"/>
      <c r="F560" s="36"/>
      <c r="G560" s="69"/>
      <c r="H560" s="35"/>
      <c r="I560" s="35"/>
      <c r="J560" s="35"/>
    </row>
    <row r="561" spans="3:10" x14ac:dyDescent="0.25">
      <c r="C561" s="16"/>
      <c r="D561" s="16"/>
      <c r="E561" s="64"/>
      <c r="F561" s="33"/>
      <c r="G561" s="70"/>
      <c r="H561" s="16"/>
      <c r="I561" s="16"/>
      <c r="J561" s="16"/>
    </row>
    <row r="562" spans="3:10" x14ac:dyDescent="0.25">
      <c r="C562" s="35"/>
      <c r="D562" s="35"/>
      <c r="E562" s="65"/>
      <c r="F562" s="36"/>
      <c r="G562" s="69"/>
      <c r="H562" s="35"/>
      <c r="I562" s="35"/>
      <c r="J562" s="35"/>
    </row>
    <row r="563" spans="3:10" x14ac:dyDescent="0.25">
      <c r="C563" s="16"/>
      <c r="D563" s="16"/>
      <c r="E563" s="64"/>
      <c r="F563" s="33"/>
      <c r="G563" s="70"/>
      <c r="H563" s="16"/>
      <c r="I563" s="16"/>
      <c r="J563" s="16"/>
    </row>
    <row r="564" spans="3:10" x14ac:dyDescent="0.25">
      <c r="C564" s="35"/>
      <c r="D564" s="35"/>
      <c r="E564" s="65"/>
      <c r="F564" s="36"/>
      <c r="G564" s="69"/>
      <c r="H564" s="35"/>
      <c r="I564" s="35"/>
      <c r="J564" s="35"/>
    </row>
    <row r="565" spans="3:10" x14ac:dyDescent="0.25">
      <c r="C565" s="16"/>
      <c r="D565" s="16"/>
      <c r="E565" s="64"/>
      <c r="F565" s="33"/>
      <c r="G565" s="70"/>
      <c r="H565" s="16"/>
      <c r="I565" s="16"/>
      <c r="J565" s="16"/>
    </row>
    <row r="566" spans="3:10" x14ac:dyDescent="0.25">
      <c r="C566" s="35"/>
      <c r="D566" s="35"/>
      <c r="E566" s="65"/>
      <c r="F566" s="36"/>
      <c r="G566" s="69"/>
      <c r="H566" s="35"/>
      <c r="I566" s="35"/>
      <c r="J566" s="35"/>
    </row>
    <row r="567" spans="3:10" x14ac:dyDescent="0.25">
      <c r="C567" s="16"/>
      <c r="D567" s="16"/>
      <c r="E567" s="64"/>
      <c r="F567" s="33"/>
      <c r="G567" s="70"/>
      <c r="H567" s="16"/>
      <c r="I567" s="16"/>
      <c r="J567" s="16"/>
    </row>
    <row r="568" spans="3:10" x14ac:dyDescent="0.25">
      <c r="C568" s="35"/>
      <c r="D568" s="35"/>
      <c r="E568" s="65"/>
      <c r="F568" s="36"/>
      <c r="G568" s="69"/>
      <c r="H568" s="35"/>
      <c r="I568" s="35"/>
      <c r="J568" s="35"/>
    </row>
    <row r="569" spans="3:10" x14ac:dyDescent="0.25">
      <c r="C569" s="16"/>
      <c r="D569" s="16"/>
      <c r="E569" s="64"/>
      <c r="F569" s="33"/>
      <c r="G569" s="70"/>
      <c r="H569" s="16"/>
      <c r="I569" s="16"/>
      <c r="J569" s="16"/>
    </row>
    <row r="570" spans="3:10" x14ac:dyDescent="0.25">
      <c r="C570" s="35"/>
      <c r="D570" s="35"/>
      <c r="E570" s="65"/>
      <c r="F570" s="36"/>
      <c r="G570" s="69"/>
      <c r="H570" s="35"/>
      <c r="I570" s="35"/>
      <c r="J570" s="35"/>
    </row>
    <row r="571" spans="3:10" x14ac:dyDescent="0.25">
      <c r="C571" s="16"/>
      <c r="D571" s="16"/>
      <c r="E571" s="64"/>
      <c r="F571" s="33"/>
      <c r="G571" s="70"/>
      <c r="H571" s="16"/>
      <c r="I571" s="16"/>
      <c r="J571" s="16"/>
    </row>
    <row r="572" spans="3:10" x14ac:dyDescent="0.25">
      <c r="C572" s="35"/>
      <c r="D572" s="35"/>
      <c r="E572" s="65"/>
      <c r="F572" s="36"/>
      <c r="G572" s="69"/>
      <c r="H572" s="35"/>
      <c r="I572" s="35"/>
      <c r="J572" s="35"/>
    </row>
    <row r="573" spans="3:10" x14ac:dyDescent="0.25">
      <c r="C573" s="16"/>
      <c r="D573" s="16"/>
      <c r="E573" s="64"/>
      <c r="F573" s="33"/>
      <c r="G573" s="70"/>
      <c r="H573" s="16"/>
      <c r="I573" s="16"/>
      <c r="J573" s="16"/>
    </row>
    <row r="574" spans="3:10" x14ac:dyDescent="0.25">
      <c r="C574" s="35"/>
      <c r="D574" s="35"/>
      <c r="E574" s="65"/>
      <c r="F574" s="36"/>
      <c r="G574" s="69"/>
      <c r="H574" s="35"/>
      <c r="I574" s="35"/>
      <c r="J574" s="35"/>
    </row>
    <row r="575" spans="3:10" x14ac:dyDescent="0.25">
      <c r="C575" s="16"/>
      <c r="D575" s="16"/>
      <c r="E575" s="64"/>
      <c r="F575" s="33"/>
      <c r="G575" s="70"/>
      <c r="H575" s="16"/>
      <c r="I575" s="16"/>
      <c r="J575" s="16"/>
    </row>
    <row r="576" spans="3:10" x14ac:dyDescent="0.25">
      <c r="C576" s="35"/>
      <c r="D576" s="35"/>
      <c r="E576" s="65"/>
      <c r="F576" s="36"/>
      <c r="G576" s="69"/>
      <c r="H576" s="35"/>
      <c r="I576" s="35"/>
      <c r="J576" s="35"/>
    </row>
    <row r="577" spans="3:10" x14ac:dyDescent="0.25">
      <c r="C577" s="16"/>
      <c r="D577" s="16"/>
      <c r="E577" s="64"/>
      <c r="F577" s="33"/>
      <c r="G577" s="70"/>
      <c r="H577" s="16"/>
      <c r="I577" s="16"/>
      <c r="J577" s="16"/>
    </row>
    <row r="578" spans="3:10" x14ac:dyDescent="0.25">
      <c r="C578" s="35"/>
      <c r="D578" s="35"/>
      <c r="E578" s="65"/>
      <c r="F578" s="36"/>
      <c r="G578" s="69"/>
      <c r="H578" s="35"/>
      <c r="I578" s="35"/>
      <c r="J578" s="35"/>
    </row>
    <row r="579" spans="3:10" x14ac:dyDescent="0.25">
      <c r="C579" s="16"/>
      <c r="D579" s="16"/>
      <c r="E579" s="64"/>
      <c r="F579" s="33"/>
      <c r="G579" s="70"/>
      <c r="H579" s="16"/>
      <c r="I579" s="16"/>
      <c r="J579" s="16"/>
    </row>
    <row r="580" spans="3:10" x14ac:dyDescent="0.25">
      <c r="C580" s="35"/>
      <c r="D580" s="35"/>
      <c r="E580" s="65"/>
      <c r="F580" s="36"/>
      <c r="G580" s="69"/>
      <c r="H580" s="35"/>
      <c r="I580" s="35"/>
      <c r="J580" s="35"/>
    </row>
    <row r="581" spans="3:10" x14ac:dyDescent="0.25">
      <c r="C581" s="16"/>
      <c r="D581" s="16"/>
      <c r="E581" s="64"/>
      <c r="F581" s="33"/>
      <c r="G581" s="70"/>
      <c r="H581" s="16"/>
      <c r="I581" s="16"/>
      <c r="J581" s="16"/>
    </row>
    <row r="582" spans="3:10" x14ac:dyDescent="0.25">
      <c r="C582" s="35"/>
      <c r="D582" s="35"/>
      <c r="E582" s="65"/>
      <c r="F582" s="36"/>
      <c r="G582" s="69"/>
      <c r="H582" s="35"/>
      <c r="I582" s="35"/>
      <c r="J582" s="35"/>
    </row>
    <row r="583" spans="3:10" x14ac:dyDescent="0.25">
      <c r="C583" s="16"/>
      <c r="D583" s="16"/>
      <c r="E583" s="64"/>
      <c r="F583" s="33"/>
      <c r="G583" s="70"/>
      <c r="H583" s="16"/>
      <c r="I583" s="16"/>
      <c r="J583" s="16"/>
    </row>
    <row r="584" spans="3:10" x14ac:dyDescent="0.25">
      <c r="C584" s="35"/>
      <c r="D584" s="35"/>
      <c r="E584" s="65"/>
      <c r="F584" s="36"/>
      <c r="G584" s="69"/>
      <c r="H584" s="35"/>
      <c r="I584" s="35"/>
      <c r="J584" s="35"/>
    </row>
    <row r="585" spans="3:10" x14ac:dyDescent="0.25">
      <c r="C585" s="16"/>
      <c r="D585" s="16"/>
      <c r="E585" s="64"/>
      <c r="F585" s="33"/>
      <c r="G585" s="70"/>
      <c r="H585" s="16"/>
      <c r="I585" s="16"/>
      <c r="J585" s="16"/>
    </row>
    <row r="586" spans="3:10" x14ac:dyDescent="0.25">
      <c r="C586" s="35"/>
      <c r="D586" s="35"/>
      <c r="E586" s="65"/>
      <c r="F586" s="36"/>
      <c r="G586" s="69"/>
      <c r="H586" s="35"/>
      <c r="I586" s="35"/>
      <c r="J586" s="35"/>
    </row>
    <row r="587" spans="3:10" x14ac:dyDescent="0.25">
      <c r="C587" s="16"/>
      <c r="D587" s="16"/>
      <c r="E587" s="64"/>
      <c r="F587" s="33"/>
      <c r="G587" s="70"/>
      <c r="H587" s="16"/>
      <c r="I587" s="16"/>
      <c r="J587" s="16"/>
    </row>
    <row r="588" spans="3:10" x14ac:dyDescent="0.25">
      <c r="C588" s="35"/>
      <c r="D588" s="35"/>
      <c r="E588" s="65"/>
      <c r="F588" s="36"/>
      <c r="G588" s="69"/>
      <c r="H588" s="35"/>
      <c r="I588" s="35"/>
      <c r="J588" s="35"/>
    </row>
    <row r="589" spans="3:10" x14ac:dyDescent="0.25">
      <c r="C589" s="16"/>
      <c r="D589" s="16"/>
      <c r="E589" s="64"/>
      <c r="F589" s="33"/>
      <c r="G589" s="70"/>
      <c r="H589" s="16"/>
      <c r="I589" s="16"/>
      <c r="J589" s="16"/>
    </row>
    <row r="590" spans="3:10" x14ac:dyDescent="0.25">
      <c r="C590" s="35"/>
      <c r="D590" s="35"/>
      <c r="E590" s="65"/>
      <c r="F590" s="36"/>
      <c r="G590" s="69"/>
      <c r="H590" s="35"/>
      <c r="I590" s="35"/>
      <c r="J590" s="35"/>
    </row>
    <row r="591" spans="3:10" x14ac:dyDescent="0.25">
      <c r="C591" s="16"/>
      <c r="D591" s="16"/>
      <c r="E591" s="64"/>
      <c r="F591" s="33"/>
      <c r="G591" s="70"/>
      <c r="H591" s="16"/>
      <c r="I591" s="16"/>
      <c r="J591" s="16"/>
    </row>
    <row r="592" spans="3:10" x14ac:dyDescent="0.25">
      <c r="C592" s="35"/>
      <c r="D592" s="35"/>
      <c r="E592" s="65"/>
      <c r="F592" s="36"/>
      <c r="G592" s="69"/>
      <c r="H592" s="35"/>
      <c r="I592" s="35"/>
      <c r="J592" s="35"/>
    </row>
    <row r="593" spans="3:10" x14ac:dyDescent="0.25">
      <c r="C593" s="16"/>
      <c r="D593" s="16"/>
      <c r="E593" s="64"/>
      <c r="F593" s="33"/>
      <c r="G593" s="70"/>
      <c r="H593" s="16"/>
      <c r="I593" s="16"/>
      <c r="J593" s="16"/>
    </row>
    <row r="594" spans="3:10" x14ac:dyDescent="0.25">
      <c r="C594" s="35"/>
      <c r="D594" s="35"/>
      <c r="E594" s="65"/>
      <c r="F594" s="36"/>
      <c r="G594" s="69"/>
      <c r="H594" s="35"/>
      <c r="I594" s="35"/>
      <c r="J594" s="35"/>
    </row>
    <row r="595" spans="3:10" x14ac:dyDescent="0.25">
      <c r="C595" s="16"/>
      <c r="D595" s="16"/>
      <c r="E595" s="64"/>
      <c r="F595" s="33"/>
      <c r="G595" s="70"/>
      <c r="H595" s="16"/>
      <c r="I595" s="16"/>
      <c r="J595" s="16"/>
    </row>
    <row r="596" spans="3:10" x14ac:dyDescent="0.25">
      <c r="C596" s="35"/>
      <c r="D596" s="35"/>
      <c r="E596" s="65"/>
      <c r="F596" s="36"/>
      <c r="G596" s="69"/>
      <c r="H596" s="35"/>
      <c r="I596" s="35"/>
      <c r="J596" s="35"/>
    </row>
    <row r="597" spans="3:10" x14ac:dyDescent="0.25">
      <c r="C597" s="16"/>
      <c r="D597" s="16"/>
      <c r="E597" s="64"/>
      <c r="F597" s="33"/>
      <c r="G597" s="70"/>
      <c r="H597" s="16"/>
      <c r="I597" s="16"/>
      <c r="J597" s="16"/>
    </row>
    <row r="598" spans="3:10" x14ac:dyDescent="0.25">
      <c r="C598" s="35"/>
      <c r="D598" s="35"/>
      <c r="E598" s="65"/>
      <c r="F598" s="36"/>
      <c r="G598" s="69"/>
      <c r="H598" s="35"/>
      <c r="I598" s="35"/>
      <c r="J598" s="35"/>
    </row>
    <row r="599" spans="3:10" x14ac:dyDescent="0.25">
      <c r="C599" s="16"/>
      <c r="D599" s="16"/>
      <c r="E599" s="64"/>
      <c r="F599" s="33"/>
      <c r="G599" s="70"/>
      <c r="H599" s="16"/>
      <c r="I599" s="16"/>
      <c r="J599" s="16"/>
    </row>
    <row r="600" spans="3:10" x14ac:dyDescent="0.25">
      <c r="C600" s="35"/>
      <c r="D600" s="35"/>
      <c r="E600" s="65"/>
      <c r="F600" s="36"/>
      <c r="G600" s="69"/>
      <c r="H600" s="35"/>
      <c r="I600" s="35"/>
      <c r="J600" s="35"/>
    </row>
    <row r="601" spans="3:10" x14ac:dyDescent="0.25">
      <c r="C601" s="16"/>
      <c r="D601" s="16"/>
      <c r="E601" s="64"/>
      <c r="F601" s="33"/>
      <c r="G601" s="70"/>
      <c r="H601" s="16"/>
      <c r="I601" s="16"/>
      <c r="J601" s="16"/>
    </row>
    <row r="602" spans="3:10" x14ac:dyDescent="0.25">
      <c r="C602" s="35"/>
      <c r="D602" s="35"/>
      <c r="E602" s="65"/>
      <c r="F602" s="36"/>
      <c r="G602" s="69"/>
      <c r="H602" s="35"/>
      <c r="I602" s="35"/>
      <c r="J602" s="35"/>
    </row>
    <row r="603" spans="3:10" x14ac:dyDescent="0.25">
      <c r="C603" s="16"/>
      <c r="D603" s="16"/>
      <c r="E603" s="64"/>
      <c r="F603" s="33"/>
      <c r="G603" s="70"/>
      <c r="H603" s="16"/>
      <c r="I603" s="16"/>
      <c r="J603" s="16"/>
    </row>
    <row r="604" spans="3:10" x14ac:dyDescent="0.25">
      <c r="C604" s="35"/>
      <c r="D604" s="35"/>
      <c r="E604" s="65"/>
      <c r="F604" s="36"/>
      <c r="G604" s="69"/>
      <c r="H604" s="35"/>
      <c r="I604" s="35"/>
      <c r="J604" s="35"/>
    </row>
    <row r="605" spans="3:10" x14ac:dyDescent="0.25">
      <c r="C605" s="16"/>
      <c r="D605" s="16"/>
      <c r="E605" s="64"/>
      <c r="F605" s="33"/>
      <c r="G605" s="70"/>
      <c r="H605" s="16"/>
      <c r="I605" s="16"/>
      <c r="J605" s="16"/>
    </row>
    <row r="606" spans="3:10" x14ac:dyDescent="0.25">
      <c r="C606" s="35"/>
      <c r="D606" s="35"/>
      <c r="E606" s="65"/>
      <c r="F606" s="36"/>
      <c r="G606" s="69"/>
      <c r="H606" s="35"/>
      <c r="I606" s="35"/>
      <c r="J606" s="35"/>
    </row>
    <row r="607" spans="3:10" x14ac:dyDescent="0.25">
      <c r="C607" s="16"/>
      <c r="D607" s="16"/>
      <c r="E607" s="64"/>
      <c r="F607" s="33"/>
      <c r="G607" s="70"/>
      <c r="H607" s="16"/>
      <c r="I607" s="16"/>
      <c r="J607" s="16"/>
    </row>
    <row r="608" spans="3:10" x14ac:dyDescent="0.25">
      <c r="C608" s="35"/>
      <c r="D608" s="35"/>
      <c r="E608" s="65"/>
      <c r="F608" s="36"/>
      <c r="G608" s="69"/>
      <c r="H608" s="35"/>
      <c r="I608" s="35"/>
      <c r="J608" s="35"/>
    </row>
    <row r="609" spans="3:10" x14ac:dyDescent="0.25">
      <c r="C609" s="16"/>
      <c r="D609" s="16"/>
      <c r="E609" s="64"/>
      <c r="F609" s="33"/>
      <c r="G609" s="70"/>
      <c r="H609" s="16"/>
      <c r="I609" s="16"/>
      <c r="J609" s="16"/>
    </row>
    <row r="610" spans="3:10" x14ac:dyDescent="0.25">
      <c r="C610" s="35"/>
      <c r="D610" s="35"/>
      <c r="E610" s="65"/>
      <c r="F610" s="36"/>
      <c r="G610" s="69"/>
      <c r="H610" s="35"/>
      <c r="I610" s="35"/>
      <c r="J610" s="35"/>
    </row>
    <row r="611" spans="3:10" x14ac:dyDescent="0.25">
      <c r="C611" s="16"/>
      <c r="D611" s="16"/>
      <c r="E611" s="64"/>
      <c r="F611" s="33"/>
      <c r="G611" s="70"/>
      <c r="H611" s="16"/>
      <c r="I611" s="16"/>
      <c r="J611" s="16"/>
    </row>
    <row r="612" spans="3:10" x14ac:dyDescent="0.25">
      <c r="C612" s="35"/>
      <c r="D612" s="35"/>
      <c r="E612" s="65"/>
      <c r="F612" s="36"/>
      <c r="G612" s="69"/>
      <c r="H612" s="35"/>
      <c r="I612" s="35"/>
      <c r="J612" s="35"/>
    </row>
    <row r="613" spans="3:10" x14ac:dyDescent="0.25">
      <c r="C613" s="16"/>
      <c r="D613" s="16"/>
      <c r="E613" s="64"/>
      <c r="F613" s="33"/>
      <c r="G613" s="70"/>
      <c r="H613" s="16"/>
      <c r="I613" s="16"/>
      <c r="J613" s="16"/>
    </row>
    <row r="614" spans="3:10" x14ac:dyDescent="0.25">
      <c r="C614" s="35"/>
      <c r="D614" s="35"/>
      <c r="E614" s="65"/>
      <c r="F614" s="36"/>
      <c r="G614" s="69"/>
      <c r="H614" s="35"/>
      <c r="I614" s="35"/>
      <c r="J614" s="35"/>
    </row>
    <row r="615" spans="3:10" x14ac:dyDescent="0.25">
      <c r="C615" s="16"/>
      <c r="D615" s="16"/>
      <c r="E615" s="64"/>
      <c r="F615" s="33"/>
      <c r="G615" s="70"/>
      <c r="H615" s="16"/>
      <c r="I615" s="16"/>
      <c r="J615" s="16"/>
    </row>
    <row r="616" spans="3:10" x14ac:dyDescent="0.25">
      <c r="C616" s="35"/>
      <c r="D616" s="35"/>
      <c r="E616" s="65"/>
      <c r="F616" s="36"/>
      <c r="G616" s="69"/>
      <c r="H616" s="35"/>
      <c r="I616" s="35"/>
      <c r="J616" s="35"/>
    </row>
    <row r="617" spans="3:10" x14ac:dyDescent="0.25">
      <c r="C617" s="16"/>
      <c r="D617" s="16"/>
      <c r="E617" s="64"/>
      <c r="F617" s="33"/>
      <c r="G617" s="70"/>
      <c r="H617" s="16"/>
      <c r="I617" s="16"/>
      <c r="J617" s="16"/>
    </row>
    <row r="618" spans="3:10" x14ac:dyDescent="0.25">
      <c r="C618" s="35"/>
      <c r="D618" s="35"/>
      <c r="E618" s="65"/>
      <c r="F618" s="36"/>
      <c r="G618" s="69"/>
      <c r="H618" s="35"/>
      <c r="I618" s="35"/>
      <c r="J618" s="35"/>
    </row>
    <row r="619" spans="3:10" x14ac:dyDescent="0.25">
      <c r="C619" s="16"/>
      <c r="D619" s="16"/>
      <c r="E619" s="64"/>
      <c r="F619" s="33"/>
      <c r="G619" s="70"/>
      <c r="H619" s="16"/>
      <c r="I619" s="16"/>
      <c r="J619" s="16"/>
    </row>
    <row r="620" spans="3:10" x14ac:dyDescent="0.25">
      <c r="C620" s="35"/>
      <c r="D620" s="35"/>
      <c r="E620" s="65"/>
      <c r="F620" s="36"/>
      <c r="G620" s="69"/>
      <c r="H620" s="35"/>
      <c r="I620" s="35"/>
      <c r="J620" s="35"/>
    </row>
    <row r="621" spans="3:10" x14ac:dyDescent="0.25">
      <c r="C621" s="16"/>
      <c r="D621" s="16"/>
      <c r="E621" s="64"/>
      <c r="F621" s="33"/>
      <c r="G621" s="70"/>
      <c r="H621" s="16"/>
      <c r="I621" s="16"/>
      <c r="J621" s="16"/>
    </row>
    <row r="622" spans="3:10" x14ac:dyDescent="0.25">
      <c r="C622" s="35"/>
      <c r="D622" s="35"/>
      <c r="E622" s="65"/>
      <c r="F622" s="36"/>
      <c r="G622" s="69"/>
      <c r="H622" s="35"/>
      <c r="I622" s="35"/>
      <c r="J622" s="35"/>
    </row>
    <row r="623" spans="3:10" x14ac:dyDescent="0.25">
      <c r="C623" s="16"/>
      <c r="D623" s="16"/>
      <c r="E623" s="64"/>
      <c r="F623" s="33"/>
      <c r="G623" s="70"/>
      <c r="H623" s="16"/>
      <c r="I623" s="16"/>
      <c r="J623" s="16"/>
    </row>
    <row r="624" spans="3:10" x14ac:dyDescent="0.25">
      <c r="C624" s="35"/>
      <c r="D624" s="35"/>
      <c r="E624" s="65"/>
      <c r="F624" s="36"/>
      <c r="G624" s="69"/>
      <c r="H624" s="35"/>
      <c r="I624" s="35"/>
      <c r="J624" s="35"/>
    </row>
    <row r="625" spans="3:10" x14ac:dyDescent="0.25">
      <c r="C625" s="16"/>
      <c r="D625" s="16"/>
      <c r="E625" s="64"/>
      <c r="F625" s="33"/>
      <c r="G625" s="70"/>
      <c r="H625" s="16"/>
      <c r="I625" s="16"/>
      <c r="J625" s="16"/>
    </row>
    <row r="626" spans="3:10" x14ac:dyDescent="0.25">
      <c r="C626" s="35"/>
      <c r="D626" s="35"/>
      <c r="E626" s="65"/>
      <c r="F626" s="36"/>
      <c r="G626" s="69"/>
      <c r="H626" s="35"/>
      <c r="I626" s="35"/>
      <c r="J626" s="35"/>
    </row>
    <row r="627" spans="3:10" x14ac:dyDescent="0.25">
      <c r="C627" s="16"/>
      <c r="D627" s="16"/>
      <c r="E627" s="64"/>
      <c r="F627" s="33"/>
      <c r="G627" s="70"/>
      <c r="H627" s="16"/>
      <c r="I627" s="16"/>
      <c r="J627" s="16"/>
    </row>
    <row r="628" spans="3:10" x14ac:dyDescent="0.25">
      <c r="C628" s="35"/>
      <c r="D628" s="35"/>
      <c r="E628" s="65"/>
      <c r="F628" s="36"/>
      <c r="G628" s="69"/>
      <c r="H628" s="35"/>
      <c r="I628" s="35"/>
      <c r="J628" s="35"/>
    </row>
    <row r="629" spans="3:10" x14ac:dyDescent="0.25">
      <c r="C629" s="16"/>
      <c r="D629" s="16"/>
      <c r="E629" s="64"/>
      <c r="F629" s="33"/>
      <c r="G629" s="70"/>
      <c r="H629" s="16"/>
      <c r="I629" s="16"/>
      <c r="J629" s="16"/>
    </row>
    <row r="630" spans="3:10" x14ac:dyDescent="0.25">
      <c r="C630" s="35"/>
      <c r="D630" s="35"/>
      <c r="E630" s="65"/>
      <c r="F630" s="36"/>
      <c r="G630" s="69"/>
      <c r="H630" s="35"/>
      <c r="I630" s="35"/>
      <c r="J630" s="35"/>
    </row>
    <row r="631" spans="3:10" x14ac:dyDescent="0.25">
      <c r="C631" s="16"/>
      <c r="D631" s="16"/>
      <c r="E631" s="64"/>
      <c r="F631" s="33"/>
      <c r="G631" s="70"/>
      <c r="H631" s="16"/>
      <c r="I631" s="16"/>
      <c r="J631" s="16"/>
    </row>
    <row r="632" spans="3:10" x14ac:dyDescent="0.25">
      <c r="C632" s="35"/>
      <c r="D632" s="35"/>
      <c r="E632" s="65"/>
      <c r="F632" s="36"/>
      <c r="G632" s="69"/>
      <c r="H632" s="35"/>
      <c r="I632" s="35"/>
      <c r="J632" s="35"/>
    </row>
    <row r="633" spans="3:10" x14ac:dyDescent="0.25">
      <c r="C633" s="16"/>
      <c r="D633" s="16"/>
      <c r="E633" s="64"/>
      <c r="F633" s="33"/>
      <c r="G633" s="70"/>
      <c r="H633" s="16"/>
      <c r="I633" s="16"/>
      <c r="J633" s="16"/>
    </row>
    <row r="634" spans="3:10" x14ac:dyDescent="0.25">
      <c r="C634" s="35"/>
      <c r="D634" s="35"/>
      <c r="E634" s="65"/>
      <c r="F634" s="36"/>
      <c r="G634" s="69"/>
      <c r="H634" s="35"/>
      <c r="I634" s="35"/>
      <c r="J634" s="35"/>
    </row>
    <row r="635" spans="3:10" x14ac:dyDescent="0.25">
      <c r="C635" s="16"/>
      <c r="D635" s="16"/>
      <c r="E635" s="64"/>
      <c r="F635" s="33"/>
      <c r="G635" s="70"/>
      <c r="H635" s="16"/>
      <c r="I635" s="16"/>
      <c r="J635" s="16"/>
    </row>
    <row r="636" spans="3:10" x14ac:dyDescent="0.25">
      <c r="C636" s="35"/>
      <c r="D636" s="35"/>
      <c r="E636" s="65"/>
      <c r="F636" s="36"/>
      <c r="G636" s="69"/>
      <c r="H636" s="35"/>
      <c r="I636" s="35"/>
      <c r="J636" s="35"/>
    </row>
    <row r="637" spans="3:10" x14ac:dyDescent="0.25">
      <c r="C637" s="16"/>
      <c r="D637" s="16"/>
      <c r="E637" s="64"/>
      <c r="F637" s="33"/>
      <c r="G637" s="70"/>
      <c r="H637" s="16"/>
      <c r="I637" s="16"/>
      <c r="J637" s="16"/>
    </row>
    <row r="638" spans="3:10" x14ac:dyDescent="0.25">
      <c r="C638" s="35"/>
      <c r="D638" s="35"/>
      <c r="E638" s="65"/>
      <c r="F638" s="36"/>
      <c r="G638" s="69"/>
      <c r="H638" s="35"/>
      <c r="I638" s="35"/>
      <c r="J638" s="35"/>
    </row>
    <row r="639" spans="3:10" x14ac:dyDescent="0.25">
      <c r="C639" s="16"/>
      <c r="D639" s="16"/>
      <c r="E639" s="64"/>
      <c r="F639" s="33"/>
      <c r="G639" s="70"/>
      <c r="H639" s="16"/>
      <c r="I639" s="16"/>
      <c r="J639" s="16"/>
    </row>
    <row r="640" spans="3:10" x14ac:dyDescent="0.25">
      <c r="C640" s="35"/>
      <c r="D640" s="35"/>
      <c r="E640" s="65"/>
      <c r="F640" s="36"/>
      <c r="G640" s="69"/>
      <c r="H640" s="35"/>
      <c r="I640" s="35"/>
      <c r="J640" s="35"/>
    </row>
    <row r="641" spans="3:10" x14ac:dyDescent="0.25">
      <c r="C641" s="16"/>
      <c r="D641" s="16"/>
      <c r="E641" s="64"/>
      <c r="F641" s="33"/>
      <c r="G641" s="70"/>
      <c r="H641" s="16"/>
      <c r="I641" s="16"/>
      <c r="J641" s="16"/>
    </row>
    <row r="642" spans="3:10" x14ac:dyDescent="0.25">
      <c r="C642" s="35"/>
      <c r="D642" s="35"/>
      <c r="E642" s="65"/>
      <c r="F642" s="36"/>
      <c r="G642" s="69"/>
      <c r="H642" s="35"/>
      <c r="I642" s="35"/>
      <c r="J642" s="35"/>
    </row>
    <row r="643" spans="3:10" x14ac:dyDescent="0.25">
      <c r="C643" s="16"/>
      <c r="D643" s="16"/>
      <c r="E643" s="64"/>
      <c r="F643" s="33"/>
      <c r="G643" s="70"/>
      <c r="H643" s="16"/>
      <c r="I643" s="16"/>
      <c r="J643" s="16"/>
    </row>
    <row r="644" spans="3:10" x14ac:dyDescent="0.25">
      <c r="C644" s="35"/>
      <c r="D644" s="35"/>
      <c r="E644" s="65"/>
      <c r="F644" s="36"/>
      <c r="G644" s="69"/>
      <c r="H644" s="35"/>
      <c r="I644" s="35"/>
      <c r="J644" s="35"/>
    </row>
    <row r="645" spans="3:10" x14ac:dyDescent="0.25">
      <c r="C645" s="16"/>
      <c r="D645" s="16"/>
      <c r="E645" s="64"/>
      <c r="F645" s="33"/>
      <c r="G645" s="70"/>
      <c r="H645" s="16"/>
      <c r="I645" s="16"/>
      <c r="J645" s="16"/>
    </row>
    <row r="646" spans="3:10" x14ac:dyDescent="0.25">
      <c r="C646" s="35"/>
      <c r="D646" s="35"/>
      <c r="E646" s="65"/>
      <c r="F646" s="36"/>
      <c r="G646" s="69"/>
      <c r="H646" s="35"/>
      <c r="I646" s="35"/>
      <c r="J646" s="35"/>
    </row>
    <row r="647" spans="3:10" x14ac:dyDescent="0.25">
      <c r="C647" s="16"/>
      <c r="D647" s="16"/>
      <c r="E647" s="64"/>
      <c r="F647" s="33"/>
      <c r="G647" s="70"/>
      <c r="H647" s="16"/>
      <c r="I647" s="16"/>
      <c r="J647" s="16"/>
    </row>
    <row r="648" spans="3:10" x14ac:dyDescent="0.25">
      <c r="C648" s="35"/>
      <c r="D648" s="35"/>
      <c r="E648" s="65"/>
      <c r="F648" s="36"/>
      <c r="G648" s="69"/>
      <c r="H648" s="35"/>
      <c r="I648" s="35"/>
      <c r="J648" s="35"/>
    </row>
    <row r="649" spans="3:10" x14ac:dyDescent="0.25">
      <c r="C649" s="16"/>
      <c r="D649" s="16"/>
      <c r="E649" s="64"/>
      <c r="F649" s="33"/>
      <c r="G649" s="70"/>
      <c r="H649" s="16"/>
      <c r="I649" s="16"/>
      <c r="J649" s="16"/>
    </row>
    <row r="650" spans="3:10" x14ac:dyDescent="0.25">
      <c r="C650" s="35"/>
      <c r="D650" s="35"/>
      <c r="E650" s="65"/>
      <c r="F650" s="36"/>
      <c r="G650" s="69"/>
      <c r="H650" s="35"/>
      <c r="I650" s="35"/>
      <c r="J650" s="35"/>
    </row>
    <row r="651" spans="3:10" x14ac:dyDescent="0.25">
      <c r="C651" s="16"/>
      <c r="D651" s="16"/>
      <c r="E651" s="64"/>
      <c r="F651" s="33"/>
      <c r="G651" s="70"/>
      <c r="H651" s="16"/>
      <c r="I651" s="16"/>
      <c r="J651" s="16"/>
    </row>
    <row r="652" spans="3:10" x14ac:dyDescent="0.25">
      <c r="C652" s="35"/>
      <c r="D652" s="35"/>
      <c r="E652" s="65"/>
      <c r="F652" s="36"/>
      <c r="G652" s="69"/>
      <c r="H652" s="35"/>
      <c r="I652" s="35"/>
      <c r="J652" s="35"/>
    </row>
    <row r="653" spans="3:10" x14ac:dyDescent="0.25">
      <c r="C653" s="16"/>
      <c r="D653" s="16"/>
      <c r="E653" s="64"/>
      <c r="F653" s="33"/>
      <c r="G653" s="70"/>
      <c r="H653" s="16"/>
      <c r="I653" s="16"/>
      <c r="J653" s="16"/>
    </row>
    <row r="654" spans="3:10" x14ac:dyDescent="0.25">
      <c r="C654" s="35"/>
      <c r="D654" s="35"/>
      <c r="E654" s="65"/>
      <c r="F654" s="36"/>
      <c r="G654" s="69"/>
      <c r="H654" s="35"/>
      <c r="I654" s="35"/>
      <c r="J654" s="35"/>
    </row>
    <row r="655" spans="3:10" x14ac:dyDescent="0.25">
      <c r="C655" s="16"/>
      <c r="D655" s="16"/>
      <c r="E655" s="64"/>
      <c r="F655" s="33"/>
      <c r="G655" s="70"/>
      <c r="H655" s="16"/>
      <c r="I655" s="16"/>
      <c r="J655" s="16"/>
    </row>
    <row r="656" spans="3:10" x14ac:dyDescent="0.25">
      <c r="C656" s="35"/>
      <c r="D656" s="35"/>
      <c r="E656" s="65"/>
      <c r="F656" s="36"/>
      <c r="G656" s="69"/>
      <c r="H656" s="35"/>
      <c r="I656" s="35"/>
      <c r="J656" s="35"/>
    </row>
    <row r="657" spans="3:10" x14ac:dyDescent="0.25">
      <c r="C657" s="16"/>
      <c r="D657" s="16"/>
      <c r="E657" s="64"/>
      <c r="F657" s="33"/>
      <c r="G657" s="70"/>
      <c r="H657" s="16"/>
      <c r="I657" s="16"/>
      <c r="J657" s="16"/>
    </row>
    <row r="658" spans="3:10" x14ac:dyDescent="0.25">
      <c r="C658" s="35"/>
      <c r="D658" s="35"/>
      <c r="E658" s="65"/>
      <c r="F658" s="36"/>
      <c r="G658" s="69"/>
      <c r="H658" s="35"/>
      <c r="I658" s="35"/>
      <c r="J658" s="35"/>
    </row>
    <row r="659" spans="3:10" x14ac:dyDescent="0.25">
      <c r="C659" s="16"/>
      <c r="D659" s="16"/>
      <c r="E659" s="64"/>
      <c r="F659" s="33"/>
      <c r="G659" s="70"/>
      <c r="H659" s="16"/>
      <c r="I659" s="16"/>
      <c r="J659" s="16"/>
    </row>
    <row r="660" spans="3:10" x14ac:dyDescent="0.25">
      <c r="C660" s="35"/>
      <c r="D660" s="35"/>
      <c r="E660" s="65"/>
      <c r="F660" s="36"/>
      <c r="G660" s="69"/>
      <c r="H660" s="35"/>
      <c r="I660" s="35"/>
      <c r="J660" s="35"/>
    </row>
    <row r="661" spans="3:10" x14ac:dyDescent="0.25">
      <c r="C661" s="16"/>
      <c r="D661" s="16"/>
      <c r="E661" s="64"/>
      <c r="F661" s="33"/>
      <c r="G661" s="70"/>
      <c r="H661" s="16"/>
      <c r="I661" s="16"/>
      <c r="J661" s="16"/>
    </row>
    <row r="662" spans="3:10" x14ac:dyDescent="0.25">
      <c r="C662" s="35"/>
      <c r="D662" s="35"/>
      <c r="E662" s="65"/>
      <c r="F662" s="36"/>
      <c r="G662" s="69"/>
      <c r="H662" s="35"/>
      <c r="I662" s="35"/>
      <c r="J662" s="35"/>
    </row>
    <row r="663" spans="3:10" x14ac:dyDescent="0.25">
      <c r="C663" s="16"/>
      <c r="D663" s="16"/>
      <c r="E663" s="64"/>
      <c r="F663" s="33"/>
      <c r="G663" s="70"/>
      <c r="H663" s="16"/>
      <c r="I663" s="16"/>
      <c r="J663" s="16"/>
    </row>
    <row r="664" spans="3:10" x14ac:dyDescent="0.25">
      <c r="C664" s="35"/>
      <c r="D664" s="35"/>
      <c r="E664" s="65"/>
      <c r="F664" s="36"/>
      <c r="G664" s="69"/>
      <c r="H664" s="35"/>
      <c r="I664" s="35"/>
      <c r="J664" s="35"/>
    </row>
    <row r="665" spans="3:10" x14ac:dyDescent="0.25">
      <c r="C665" s="16"/>
      <c r="D665" s="16"/>
      <c r="E665" s="64"/>
      <c r="F665" s="33"/>
      <c r="G665" s="70"/>
      <c r="H665" s="16"/>
      <c r="I665" s="16"/>
      <c r="J665" s="16"/>
    </row>
    <row r="666" spans="3:10" x14ac:dyDescent="0.25">
      <c r="C666" s="35"/>
      <c r="D666" s="35"/>
      <c r="E666" s="65"/>
      <c r="F666" s="36"/>
      <c r="G666" s="69"/>
      <c r="H666" s="35"/>
      <c r="I666" s="35"/>
      <c r="J666" s="35"/>
    </row>
    <row r="667" spans="3:10" x14ac:dyDescent="0.25">
      <c r="C667" s="16"/>
      <c r="D667" s="16"/>
      <c r="E667" s="64"/>
      <c r="F667" s="33"/>
      <c r="G667" s="70"/>
      <c r="H667" s="16"/>
      <c r="I667" s="16"/>
      <c r="J667" s="16"/>
    </row>
    <row r="668" spans="3:10" x14ac:dyDescent="0.25">
      <c r="C668" s="35"/>
      <c r="D668" s="35"/>
      <c r="E668" s="65"/>
      <c r="F668" s="36"/>
      <c r="G668" s="69"/>
      <c r="H668" s="35"/>
      <c r="I668" s="35"/>
      <c r="J668" s="35"/>
    </row>
    <row r="669" spans="3:10" x14ac:dyDescent="0.25">
      <c r="C669" s="16"/>
      <c r="D669" s="16"/>
      <c r="E669" s="64"/>
      <c r="F669" s="33"/>
      <c r="G669" s="70"/>
      <c r="H669" s="16"/>
      <c r="I669" s="16"/>
      <c r="J669" s="16"/>
    </row>
    <row r="670" spans="3:10" x14ac:dyDescent="0.25">
      <c r="C670" s="35"/>
      <c r="D670" s="35"/>
      <c r="E670" s="65"/>
      <c r="F670" s="36"/>
      <c r="G670" s="69"/>
      <c r="H670" s="35"/>
      <c r="I670" s="35"/>
      <c r="J670" s="35"/>
    </row>
    <row r="671" spans="3:10" x14ac:dyDescent="0.25">
      <c r="C671" s="16"/>
      <c r="D671" s="16"/>
      <c r="E671" s="64"/>
      <c r="F671" s="33"/>
      <c r="G671" s="70"/>
      <c r="H671" s="16"/>
      <c r="I671" s="16"/>
      <c r="J671" s="16"/>
    </row>
    <row r="672" spans="3:10" x14ac:dyDescent="0.25">
      <c r="C672" s="35"/>
      <c r="D672" s="35"/>
      <c r="E672" s="65"/>
      <c r="F672" s="36"/>
      <c r="G672" s="69"/>
      <c r="H672" s="35"/>
      <c r="I672" s="35"/>
      <c r="J672" s="35"/>
    </row>
    <row r="673" spans="3:10" x14ac:dyDescent="0.25">
      <c r="C673" s="16"/>
      <c r="D673" s="16"/>
      <c r="E673" s="64"/>
      <c r="F673" s="33"/>
      <c r="G673" s="70"/>
      <c r="H673" s="16"/>
      <c r="I673" s="16"/>
      <c r="J673" s="16"/>
    </row>
    <row r="674" spans="3:10" x14ac:dyDescent="0.25">
      <c r="C674" s="35"/>
      <c r="D674" s="35"/>
      <c r="E674" s="65"/>
      <c r="F674" s="36"/>
      <c r="G674" s="69"/>
      <c r="H674" s="35"/>
      <c r="I674" s="35"/>
      <c r="J674" s="35"/>
    </row>
    <row r="675" spans="3:10" x14ac:dyDescent="0.25">
      <c r="C675" s="16"/>
      <c r="D675" s="16"/>
      <c r="E675" s="64"/>
      <c r="F675" s="33"/>
      <c r="G675" s="70"/>
      <c r="H675" s="16"/>
      <c r="I675" s="16"/>
      <c r="J675" s="16"/>
    </row>
    <row r="676" spans="3:10" x14ac:dyDescent="0.25">
      <c r="C676" s="35"/>
      <c r="D676" s="35"/>
      <c r="E676" s="65"/>
      <c r="F676" s="36"/>
      <c r="G676" s="69"/>
      <c r="H676" s="35"/>
      <c r="I676" s="35"/>
      <c r="J676" s="35"/>
    </row>
    <row r="677" spans="3:10" x14ac:dyDescent="0.25">
      <c r="C677" s="16"/>
      <c r="D677" s="16"/>
      <c r="E677" s="64"/>
      <c r="F677" s="33"/>
      <c r="G677" s="70"/>
      <c r="H677" s="16"/>
      <c r="I677" s="16"/>
      <c r="J677" s="16"/>
    </row>
    <row r="678" spans="3:10" x14ac:dyDescent="0.25">
      <c r="C678" s="35"/>
      <c r="D678" s="35"/>
      <c r="E678" s="65"/>
      <c r="F678" s="36"/>
      <c r="G678" s="69"/>
      <c r="H678" s="35"/>
      <c r="I678" s="35"/>
      <c r="J678" s="35"/>
    </row>
    <row r="679" spans="3:10" x14ac:dyDescent="0.25">
      <c r="C679" s="16"/>
      <c r="D679" s="16"/>
      <c r="E679" s="64"/>
      <c r="F679" s="33"/>
      <c r="G679" s="70"/>
      <c r="H679" s="16"/>
      <c r="I679" s="16"/>
      <c r="J679" s="16"/>
    </row>
    <row r="680" spans="3:10" x14ac:dyDescent="0.25">
      <c r="C680" s="35"/>
      <c r="D680" s="35"/>
      <c r="E680" s="65"/>
      <c r="F680" s="36"/>
      <c r="G680" s="69"/>
      <c r="H680" s="35"/>
      <c r="I680" s="35"/>
      <c r="J680" s="35"/>
    </row>
    <row r="681" spans="3:10" x14ac:dyDescent="0.25">
      <c r="C681" s="16"/>
      <c r="D681" s="16"/>
      <c r="E681" s="64"/>
      <c r="F681" s="33"/>
      <c r="G681" s="70"/>
      <c r="H681" s="16"/>
      <c r="I681" s="16"/>
      <c r="J681" s="16"/>
    </row>
    <row r="682" spans="3:10" x14ac:dyDescent="0.25">
      <c r="C682" s="35"/>
      <c r="D682" s="35"/>
      <c r="E682" s="65"/>
      <c r="F682" s="36"/>
      <c r="G682" s="69"/>
      <c r="H682" s="35"/>
      <c r="I682" s="35"/>
      <c r="J682" s="35"/>
    </row>
    <row r="683" spans="3:10" x14ac:dyDescent="0.25">
      <c r="C683" s="16"/>
      <c r="D683" s="16"/>
      <c r="E683" s="64"/>
      <c r="F683" s="33"/>
      <c r="G683" s="70"/>
      <c r="H683" s="16"/>
      <c r="I683" s="16"/>
      <c r="J683" s="16"/>
    </row>
    <row r="684" spans="3:10" x14ac:dyDescent="0.25">
      <c r="C684" s="35"/>
      <c r="D684" s="35"/>
      <c r="E684" s="65"/>
      <c r="F684" s="36"/>
      <c r="G684" s="69"/>
      <c r="H684" s="35"/>
      <c r="I684" s="35"/>
      <c r="J684" s="35"/>
    </row>
    <row r="685" spans="3:10" x14ac:dyDescent="0.25">
      <c r="C685" s="16"/>
      <c r="D685" s="16"/>
      <c r="E685" s="64"/>
      <c r="F685" s="33"/>
      <c r="G685" s="70"/>
      <c r="H685" s="16"/>
      <c r="I685" s="16"/>
      <c r="J685" s="16"/>
    </row>
    <row r="686" spans="3:10" x14ac:dyDescent="0.25">
      <c r="C686" s="35"/>
      <c r="D686" s="35"/>
      <c r="E686" s="65"/>
      <c r="F686" s="36"/>
      <c r="G686" s="69"/>
      <c r="H686" s="35"/>
      <c r="I686" s="35"/>
      <c r="J686" s="35"/>
    </row>
    <row r="687" spans="3:10" x14ac:dyDescent="0.25">
      <c r="C687" s="16"/>
      <c r="D687" s="16"/>
      <c r="E687" s="64"/>
      <c r="F687" s="33"/>
      <c r="G687" s="70"/>
      <c r="H687" s="16"/>
      <c r="I687" s="16"/>
      <c r="J687" s="16"/>
    </row>
    <row r="688" spans="3:10" x14ac:dyDescent="0.25">
      <c r="C688" s="35"/>
      <c r="D688" s="35"/>
      <c r="E688" s="65"/>
      <c r="F688" s="36"/>
      <c r="G688" s="69"/>
      <c r="H688" s="35"/>
      <c r="I688" s="35"/>
      <c r="J688" s="35"/>
    </row>
    <row r="689" spans="3:10" x14ac:dyDescent="0.25">
      <c r="C689" s="16"/>
      <c r="D689" s="16"/>
      <c r="E689" s="64"/>
      <c r="F689" s="33"/>
      <c r="G689" s="70"/>
      <c r="H689" s="16"/>
      <c r="I689" s="16"/>
      <c r="J689" s="16"/>
    </row>
    <row r="690" spans="3:10" x14ac:dyDescent="0.25">
      <c r="C690" s="35"/>
      <c r="D690" s="35"/>
      <c r="E690" s="65"/>
      <c r="F690" s="36"/>
      <c r="G690" s="69"/>
      <c r="H690" s="35"/>
      <c r="I690" s="35"/>
      <c r="J690" s="35"/>
    </row>
    <row r="691" spans="3:10" x14ac:dyDescent="0.25">
      <c r="C691" s="16"/>
      <c r="D691" s="16"/>
      <c r="E691" s="64"/>
      <c r="F691" s="33"/>
      <c r="G691" s="70"/>
      <c r="H691" s="16"/>
      <c r="I691" s="16"/>
      <c r="J691" s="16"/>
    </row>
    <row r="692" spans="3:10" x14ac:dyDescent="0.25">
      <c r="C692" s="35"/>
      <c r="D692" s="35"/>
      <c r="E692" s="65"/>
      <c r="F692" s="36"/>
      <c r="G692" s="69"/>
      <c r="H692" s="35"/>
      <c r="I692" s="35"/>
      <c r="J692" s="35"/>
    </row>
    <row r="693" spans="3:10" x14ac:dyDescent="0.25">
      <c r="C693" s="16"/>
      <c r="D693" s="16"/>
      <c r="E693" s="64"/>
      <c r="F693" s="33"/>
      <c r="G693" s="70"/>
      <c r="H693" s="16"/>
      <c r="I693" s="16"/>
      <c r="J693" s="16"/>
    </row>
    <row r="694" spans="3:10" x14ac:dyDescent="0.25">
      <c r="C694" s="35"/>
      <c r="D694" s="35"/>
      <c r="E694" s="65"/>
      <c r="F694" s="36"/>
      <c r="G694" s="69"/>
      <c r="H694" s="35"/>
      <c r="I694" s="35"/>
      <c r="J694" s="35"/>
    </row>
    <row r="695" spans="3:10" x14ac:dyDescent="0.25">
      <c r="C695" s="16"/>
      <c r="D695" s="16"/>
      <c r="E695" s="64"/>
      <c r="F695" s="33"/>
      <c r="G695" s="70"/>
      <c r="H695" s="16"/>
      <c r="I695" s="16"/>
      <c r="J695" s="16"/>
    </row>
    <row r="696" spans="3:10" x14ac:dyDescent="0.25">
      <c r="C696" s="35"/>
      <c r="D696" s="35"/>
      <c r="E696" s="65"/>
      <c r="F696" s="36"/>
      <c r="G696" s="69"/>
      <c r="H696" s="35"/>
      <c r="I696" s="35"/>
      <c r="J696" s="35"/>
    </row>
    <row r="697" spans="3:10" x14ac:dyDescent="0.25">
      <c r="C697" s="16"/>
      <c r="D697" s="16"/>
      <c r="E697" s="64"/>
      <c r="F697" s="33"/>
      <c r="G697" s="70"/>
      <c r="H697" s="16"/>
      <c r="I697" s="16"/>
      <c r="J697" s="16"/>
    </row>
    <row r="698" spans="3:10" x14ac:dyDescent="0.25">
      <c r="C698" s="35"/>
      <c r="D698" s="35"/>
      <c r="E698" s="65"/>
      <c r="F698" s="36"/>
      <c r="G698" s="69"/>
      <c r="H698" s="35"/>
      <c r="I698" s="35"/>
      <c r="J698" s="35"/>
    </row>
    <row r="699" spans="3:10" x14ac:dyDescent="0.25">
      <c r="C699" s="16"/>
      <c r="D699" s="16"/>
      <c r="E699" s="64"/>
      <c r="F699" s="33"/>
      <c r="G699" s="70"/>
      <c r="H699" s="16"/>
      <c r="I699" s="16"/>
      <c r="J699" s="16"/>
    </row>
    <row r="700" spans="3:10" x14ac:dyDescent="0.25">
      <c r="C700" s="35"/>
      <c r="D700" s="35"/>
      <c r="E700" s="65"/>
      <c r="F700" s="36"/>
      <c r="G700" s="69"/>
      <c r="H700" s="35"/>
      <c r="I700" s="35"/>
      <c r="J700" s="35"/>
    </row>
    <row r="701" spans="3:10" x14ac:dyDescent="0.25">
      <c r="C701" s="16"/>
      <c r="D701" s="16"/>
      <c r="E701" s="64"/>
      <c r="F701" s="33"/>
      <c r="G701" s="70"/>
      <c r="H701" s="16"/>
      <c r="I701" s="16"/>
      <c r="J701" s="16"/>
    </row>
    <row r="702" spans="3:10" x14ac:dyDescent="0.25">
      <c r="C702" s="35"/>
      <c r="D702" s="35"/>
      <c r="E702" s="65"/>
      <c r="F702" s="36"/>
      <c r="G702" s="69"/>
      <c r="H702" s="35"/>
      <c r="I702" s="35"/>
      <c r="J702" s="35"/>
    </row>
    <row r="703" spans="3:10" x14ac:dyDescent="0.25">
      <c r="C703" s="16"/>
      <c r="D703" s="16"/>
      <c r="E703" s="64"/>
      <c r="F703" s="33"/>
      <c r="G703" s="70"/>
      <c r="H703" s="16"/>
      <c r="I703" s="16"/>
      <c r="J703" s="16"/>
    </row>
    <row r="704" spans="3:10" x14ac:dyDescent="0.25">
      <c r="C704" s="35"/>
      <c r="D704" s="35"/>
      <c r="E704" s="65"/>
      <c r="F704" s="36"/>
      <c r="G704" s="69"/>
      <c r="H704" s="35"/>
      <c r="I704" s="35"/>
      <c r="J704" s="35"/>
    </row>
    <row r="705" spans="3:10" x14ac:dyDescent="0.25">
      <c r="C705" s="16"/>
      <c r="D705" s="16"/>
      <c r="E705" s="64"/>
      <c r="F705" s="33"/>
      <c r="G705" s="70"/>
      <c r="H705" s="16"/>
      <c r="I705" s="16"/>
      <c r="J705" s="16"/>
    </row>
    <row r="706" spans="3:10" x14ac:dyDescent="0.25">
      <c r="C706" s="35"/>
      <c r="D706" s="35"/>
      <c r="E706" s="65"/>
      <c r="F706" s="36"/>
      <c r="G706" s="69"/>
      <c r="H706" s="35"/>
      <c r="I706" s="35"/>
      <c r="J706" s="35"/>
    </row>
    <row r="707" spans="3:10" x14ac:dyDescent="0.25">
      <c r="C707" s="16"/>
      <c r="D707" s="16"/>
      <c r="E707" s="64"/>
      <c r="F707" s="33"/>
      <c r="G707" s="70"/>
      <c r="H707" s="16"/>
      <c r="I707" s="16"/>
      <c r="J707" s="16"/>
    </row>
    <row r="708" spans="3:10" x14ac:dyDescent="0.25">
      <c r="C708" s="35"/>
      <c r="D708" s="35"/>
      <c r="E708" s="65"/>
      <c r="F708" s="36"/>
      <c r="G708" s="69"/>
      <c r="H708" s="35"/>
      <c r="I708" s="35"/>
      <c r="J708" s="35"/>
    </row>
    <row r="709" spans="3:10" x14ac:dyDescent="0.25">
      <c r="C709" s="16"/>
      <c r="D709" s="16"/>
      <c r="E709" s="64"/>
      <c r="F709" s="33"/>
      <c r="G709" s="70"/>
      <c r="H709" s="16"/>
      <c r="I709" s="16"/>
      <c r="J709" s="16"/>
    </row>
    <row r="710" spans="3:10" x14ac:dyDescent="0.25">
      <c r="C710" s="35"/>
      <c r="D710" s="35"/>
      <c r="E710" s="65"/>
      <c r="F710" s="36"/>
      <c r="G710" s="69"/>
      <c r="H710" s="35"/>
      <c r="I710" s="35"/>
      <c r="J710" s="35"/>
    </row>
    <row r="711" spans="3:10" x14ac:dyDescent="0.25">
      <c r="C711" s="16"/>
      <c r="D711" s="16"/>
      <c r="E711" s="64"/>
      <c r="F711" s="33"/>
      <c r="G711" s="70"/>
      <c r="H711" s="16"/>
      <c r="I711" s="16"/>
      <c r="J711" s="16"/>
    </row>
    <row r="712" spans="3:10" x14ac:dyDescent="0.25">
      <c r="C712" s="35"/>
      <c r="D712" s="35"/>
      <c r="E712" s="65"/>
      <c r="F712" s="36"/>
      <c r="G712" s="69"/>
      <c r="H712" s="35"/>
      <c r="I712" s="35"/>
      <c r="J712" s="35"/>
    </row>
    <row r="713" spans="3:10" x14ac:dyDescent="0.25">
      <c r="C713" s="16"/>
      <c r="D713" s="16"/>
      <c r="E713" s="64"/>
      <c r="F713" s="33"/>
      <c r="G713" s="70"/>
      <c r="H713" s="16"/>
      <c r="I713" s="16"/>
      <c r="J713" s="16"/>
    </row>
    <row r="714" spans="3:10" x14ac:dyDescent="0.25">
      <c r="C714" s="35"/>
      <c r="D714" s="35"/>
      <c r="E714" s="65"/>
      <c r="F714" s="36"/>
      <c r="G714" s="69"/>
      <c r="H714" s="35"/>
      <c r="I714" s="35"/>
      <c r="J714" s="35"/>
    </row>
    <row r="715" spans="3:10" x14ac:dyDescent="0.25">
      <c r="C715" s="16"/>
      <c r="D715" s="16"/>
      <c r="E715" s="64"/>
      <c r="F715" s="33"/>
      <c r="G715" s="70"/>
      <c r="H715" s="16"/>
      <c r="I715" s="16"/>
      <c r="J715" s="16"/>
    </row>
    <row r="716" spans="3:10" x14ac:dyDescent="0.25">
      <c r="C716" s="35"/>
      <c r="D716" s="35"/>
      <c r="E716" s="65"/>
      <c r="F716" s="36"/>
      <c r="G716" s="69"/>
      <c r="H716" s="35"/>
      <c r="I716" s="35"/>
      <c r="J716" s="35"/>
    </row>
    <row r="717" spans="3:10" x14ac:dyDescent="0.25">
      <c r="C717" s="16"/>
      <c r="D717" s="16"/>
      <c r="E717" s="64"/>
      <c r="F717" s="33"/>
      <c r="G717" s="70"/>
      <c r="H717" s="16"/>
      <c r="I717" s="16"/>
      <c r="J717" s="16"/>
    </row>
    <row r="718" spans="3:10" x14ac:dyDescent="0.25">
      <c r="C718" s="35"/>
      <c r="D718" s="35"/>
      <c r="E718" s="65"/>
      <c r="F718" s="36"/>
      <c r="G718" s="69"/>
      <c r="H718" s="35"/>
      <c r="I718" s="35"/>
      <c r="J718" s="35"/>
    </row>
    <row r="719" spans="3:10" x14ac:dyDescent="0.25">
      <c r="C719" s="16"/>
      <c r="D719" s="16"/>
      <c r="E719" s="64"/>
      <c r="F719" s="33"/>
      <c r="G719" s="70"/>
      <c r="H719" s="16"/>
      <c r="I719" s="16"/>
      <c r="J719" s="16"/>
    </row>
    <row r="720" spans="3:10" x14ac:dyDescent="0.25">
      <c r="C720" s="35"/>
      <c r="D720" s="35"/>
      <c r="E720" s="65"/>
      <c r="F720" s="36"/>
      <c r="G720" s="69"/>
      <c r="H720" s="35"/>
      <c r="I720" s="35"/>
      <c r="J720" s="35"/>
    </row>
    <row r="721" spans="3:10" x14ac:dyDescent="0.25">
      <c r="C721" s="16"/>
      <c r="D721" s="16"/>
      <c r="E721" s="64"/>
      <c r="F721" s="33"/>
      <c r="G721" s="70"/>
      <c r="H721" s="16"/>
      <c r="I721" s="16"/>
      <c r="J721" s="16"/>
    </row>
    <row r="722" spans="3:10" x14ac:dyDescent="0.25">
      <c r="C722" s="35"/>
      <c r="D722" s="35"/>
      <c r="E722" s="65"/>
      <c r="F722" s="36"/>
      <c r="G722" s="69"/>
      <c r="H722" s="35"/>
      <c r="I722" s="35"/>
      <c r="J722" s="35"/>
    </row>
    <row r="723" spans="3:10" x14ac:dyDescent="0.25">
      <c r="C723" s="16"/>
      <c r="D723" s="16"/>
      <c r="E723" s="64"/>
      <c r="F723" s="33"/>
      <c r="G723" s="70"/>
      <c r="H723" s="16"/>
      <c r="I723" s="16"/>
      <c r="J723" s="16"/>
    </row>
    <row r="724" spans="3:10" x14ac:dyDescent="0.25">
      <c r="C724" s="35"/>
      <c r="D724" s="35"/>
      <c r="E724" s="65"/>
      <c r="F724" s="36"/>
      <c r="G724" s="69"/>
      <c r="H724" s="35"/>
      <c r="I724" s="35"/>
      <c r="J724" s="35"/>
    </row>
    <row r="725" spans="3:10" x14ac:dyDescent="0.25">
      <c r="C725" s="16"/>
      <c r="D725" s="16"/>
      <c r="E725" s="64"/>
      <c r="F725" s="33"/>
      <c r="G725" s="70"/>
      <c r="H725" s="16"/>
      <c r="I725" s="16"/>
      <c r="J725" s="16"/>
    </row>
    <row r="726" spans="3:10" x14ac:dyDescent="0.25">
      <c r="C726" s="35"/>
      <c r="D726" s="35"/>
      <c r="E726" s="65"/>
      <c r="F726" s="36"/>
      <c r="G726" s="69"/>
      <c r="H726" s="35"/>
      <c r="I726" s="35"/>
      <c r="J726" s="35"/>
    </row>
    <row r="727" spans="3:10" x14ac:dyDescent="0.25">
      <c r="C727" s="16"/>
      <c r="D727" s="16"/>
      <c r="E727" s="64"/>
      <c r="F727" s="33"/>
      <c r="G727" s="70"/>
      <c r="H727" s="16"/>
      <c r="I727" s="16"/>
      <c r="J727" s="16"/>
    </row>
    <row r="728" spans="3:10" x14ac:dyDescent="0.25">
      <c r="C728" s="35"/>
      <c r="D728" s="35"/>
      <c r="E728" s="65"/>
      <c r="F728" s="36"/>
      <c r="G728" s="69"/>
      <c r="H728" s="35"/>
      <c r="I728" s="35"/>
      <c r="J728" s="35"/>
    </row>
    <row r="729" spans="3:10" x14ac:dyDescent="0.25">
      <c r="C729" s="16"/>
      <c r="D729" s="16"/>
      <c r="E729" s="64"/>
      <c r="F729" s="33"/>
      <c r="G729" s="70"/>
      <c r="H729" s="16"/>
      <c r="I729" s="16"/>
      <c r="J729" s="16"/>
    </row>
    <row r="730" spans="3:10" x14ac:dyDescent="0.25">
      <c r="C730" s="35"/>
      <c r="D730" s="35"/>
      <c r="E730" s="65"/>
      <c r="F730" s="36"/>
      <c r="G730" s="69"/>
      <c r="H730" s="35"/>
      <c r="I730" s="35"/>
      <c r="J730" s="35"/>
    </row>
    <row r="731" spans="3:10" x14ac:dyDescent="0.25">
      <c r="C731" s="16"/>
      <c r="D731" s="16"/>
      <c r="E731" s="64"/>
      <c r="F731" s="33"/>
      <c r="G731" s="70"/>
      <c r="H731" s="16"/>
      <c r="I731" s="16"/>
      <c r="J731" s="16"/>
    </row>
    <row r="732" spans="3:10" x14ac:dyDescent="0.25">
      <c r="C732" s="35"/>
      <c r="D732" s="35"/>
      <c r="E732" s="65"/>
      <c r="F732" s="36"/>
      <c r="G732" s="69"/>
      <c r="H732" s="35"/>
      <c r="I732" s="35"/>
      <c r="J732" s="35"/>
    </row>
    <row r="733" spans="3:10" x14ac:dyDescent="0.25">
      <c r="C733" s="16"/>
      <c r="D733" s="16"/>
      <c r="E733" s="64"/>
      <c r="F733" s="33"/>
      <c r="G733" s="70"/>
      <c r="H733" s="16"/>
      <c r="I733" s="16"/>
      <c r="J733" s="16"/>
    </row>
    <row r="734" spans="3:10" x14ac:dyDescent="0.25">
      <c r="C734" s="35"/>
      <c r="D734" s="35"/>
      <c r="E734" s="65"/>
      <c r="F734" s="36"/>
      <c r="G734" s="69"/>
      <c r="H734" s="35"/>
      <c r="I734" s="35"/>
      <c r="J734" s="35"/>
    </row>
    <row r="735" spans="3:10" x14ac:dyDescent="0.25">
      <c r="C735" s="16"/>
      <c r="D735" s="16"/>
      <c r="E735" s="64"/>
      <c r="F735" s="33"/>
      <c r="G735" s="70"/>
      <c r="H735" s="16"/>
      <c r="I735" s="16"/>
      <c r="J735" s="16"/>
    </row>
    <row r="736" spans="3:10" x14ac:dyDescent="0.25">
      <c r="C736" s="35"/>
      <c r="D736" s="35"/>
      <c r="E736" s="65"/>
      <c r="F736" s="36"/>
      <c r="G736" s="69"/>
      <c r="H736" s="35"/>
      <c r="I736" s="35"/>
      <c r="J736" s="35"/>
    </row>
    <row r="737" spans="3:10" x14ac:dyDescent="0.25">
      <c r="C737" s="16"/>
      <c r="D737" s="16"/>
      <c r="E737" s="64"/>
      <c r="F737" s="33"/>
      <c r="G737" s="70"/>
      <c r="H737" s="16"/>
      <c r="I737" s="16"/>
      <c r="J737" s="16"/>
    </row>
    <row r="738" spans="3:10" x14ac:dyDescent="0.25">
      <c r="C738" s="35"/>
      <c r="D738" s="35"/>
      <c r="E738" s="65"/>
      <c r="F738" s="36"/>
      <c r="G738" s="69"/>
      <c r="H738" s="35"/>
      <c r="I738" s="35"/>
      <c r="J738" s="35"/>
    </row>
    <row r="739" spans="3:10" x14ac:dyDescent="0.25">
      <c r="C739" s="16"/>
      <c r="D739" s="16"/>
      <c r="E739" s="64"/>
      <c r="F739" s="33"/>
      <c r="G739" s="70"/>
      <c r="H739" s="16"/>
      <c r="I739" s="16"/>
      <c r="J739" s="16"/>
    </row>
    <row r="740" spans="3:10" x14ac:dyDescent="0.25">
      <c r="C740" s="35"/>
      <c r="D740" s="35"/>
      <c r="E740" s="65"/>
      <c r="F740" s="36"/>
      <c r="G740" s="69"/>
      <c r="H740" s="35"/>
      <c r="I740" s="35"/>
      <c r="J740" s="35"/>
    </row>
    <row r="741" spans="3:10" x14ac:dyDescent="0.25">
      <c r="C741" s="16"/>
      <c r="D741" s="16"/>
      <c r="E741" s="64"/>
      <c r="F741" s="33"/>
      <c r="G741" s="70"/>
      <c r="H741" s="16"/>
      <c r="I741" s="16"/>
      <c r="J741" s="16"/>
    </row>
    <row r="742" spans="3:10" x14ac:dyDescent="0.25">
      <c r="C742" s="35"/>
      <c r="D742" s="35"/>
      <c r="E742" s="65"/>
      <c r="F742" s="36"/>
      <c r="G742" s="69"/>
      <c r="H742" s="35"/>
      <c r="I742" s="35"/>
      <c r="J742" s="35"/>
    </row>
    <row r="743" spans="3:10" x14ac:dyDescent="0.25">
      <c r="C743" s="16"/>
      <c r="D743" s="16"/>
      <c r="E743" s="64"/>
      <c r="F743" s="33"/>
      <c r="G743" s="70"/>
      <c r="H743" s="16"/>
      <c r="I743" s="16"/>
      <c r="J743" s="16"/>
    </row>
    <row r="744" spans="3:10" x14ac:dyDescent="0.25">
      <c r="C744" s="35"/>
      <c r="D744" s="35"/>
      <c r="E744" s="65"/>
      <c r="F744" s="36"/>
      <c r="G744" s="69"/>
      <c r="H744" s="35"/>
      <c r="I744" s="35"/>
      <c r="J744" s="35"/>
    </row>
    <row r="745" spans="3:10" x14ac:dyDescent="0.25">
      <c r="C745" s="16"/>
      <c r="D745" s="16"/>
      <c r="E745" s="64"/>
      <c r="F745" s="33"/>
      <c r="G745" s="70"/>
      <c r="H745" s="16"/>
      <c r="I745" s="16"/>
      <c r="J745" s="16"/>
    </row>
    <row r="746" spans="3:10" x14ac:dyDescent="0.25">
      <c r="C746" s="35"/>
      <c r="D746" s="35"/>
      <c r="E746" s="65"/>
      <c r="F746" s="36"/>
      <c r="G746" s="69"/>
      <c r="H746" s="35"/>
      <c r="I746" s="35"/>
      <c r="J746" s="35"/>
    </row>
    <row r="747" spans="3:10" x14ac:dyDescent="0.25">
      <c r="C747" s="16"/>
      <c r="D747" s="16"/>
      <c r="E747" s="64"/>
      <c r="F747" s="33"/>
      <c r="G747" s="70"/>
      <c r="H747" s="16"/>
      <c r="I747" s="16"/>
      <c r="J747" s="16"/>
    </row>
    <row r="748" spans="3:10" x14ac:dyDescent="0.25">
      <c r="C748" s="35"/>
      <c r="D748" s="35"/>
      <c r="E748" s="65"/>
      <c r="F748" s="36"/>
      <c r="G748" s="69"/>
      <c r="H748" s="35"/>
      <c r="I748" s="35"/>
      <c r="J748" s="35"/>
    </row>
    <row r="749" spans="3:10" x14ac:dyDescent="0.25">
      <c r="C749" s="16"/>
      <c r="D749" s="16"/>
      <c r="E749" s="64"/>
      <c r="F749" s="33"/>
      <c r="G749" s="70"/>
      <c r="H749" s="16"/>
      <c r="I749" s="16"/>
      <c r="J749" s="16"/>
    </row>
    <row r="750" spans="3:10" x14ac:dyDescent="0.25">
      <c r="C750" s="35"/>
      <c r="D750" s="35"/>
      <c r="E750" s="65"/>
      <c r="F750" s="36"/>
      <c r="G750" s="69"/>
      <c r="H750" s="35"/>
      <c r="I750" s="35"/>
      <c r="J750" s="35"/>
    </row>
    <row r="751" spans="3:10" x14ac:dyDescent="0.25">
      <c r="C751" s="16"/>
      <c r="D751" s="16"/>
      <c r="E751" s="64"/>
      <c r="F751" s="33"/>
      <c r="G751" s="70"/>
      <c r="H751" s="16"/>
      <c r="I751" s="16"/>
      <c r="J751" s="16"/>
    </row>
    <row r="752" spans="3:10" x14ac:dyDescent="0.25">
      <c r="C752" s="35"/>
      <c r="D752" s="35"/>
      <c r="E752" s="65"/>
      <c r="F752" s="36"/>
      <c r="G752" s="69"/>
      <c r="H752" s="35"/>
      <c r="I752" s="35"/>
      <c r="J752" s="35"/>
    </row>
    <row r="753" spans="3:10" x14ac:dyDescent="0.25">
      <c r="C753" s="16"/>
      <c r="D753" s="16"/>
      <c r="E753" s="64"/>
      <c r="F753" s="33"/>
      <c r="G753" s="70"/>
      <c r="H753" s="16"/>
      <c r="I753" s="16"/>
      <c r="J753" s="16"/>
    </row>
    <row r="754" spans="3:10" x14ac:dyDescent="0.25">
      <c r="C754" s="35"/>
      <c r="D754" s="35"/>
      <c r="E754" s="65"/>
      <c r="F754" s="36"/>
      <c r="G754" s="69"/>
      <c r="H754" s="35"/>
      <c r="I754" s="35"/>
      <c r="J754" s="35"/>
    </row>
    <row r="755" spans="3:10" x14ac:dyDescent="0.25">
      <c r="C755" s="16"/>
      <c r="D755" s="16"/>
      <c r="E755" s="64"/>
      <c r="F755" s="33"/>
      <c r="G755" s="70"/>
      <c r="H755" s="16"/>
      <c r="I755" s="16"/>
      <c r="J755" s="16"/>
    </row>
    <row r="756" spans="3:10" x14ac:dyDescent="0.25">
      <c r="C756" s="35"/>
      <c r="D756" s="35"/>
      <c r="E756" s="65"/>
      <c r="F756" s="36"/>
      <c r="G756" s="69"/>
      <c r="H756" s="35"/>
      <c r="I756" s="35"/>
      <c r="J756" s="35"/>
    </row>
    <row r="757" spans="3:10" x14ac:dyDescent="0.25">
      <c r="C757" s="16"/>
      <c r="D757" s="16"/>
      <c r="E757" s="64"/>
      <c r="F757" s="33"/>
      <c r="G757" s="70"/>
      <c r="H757" s="16"/>
      <c r="I757" s="16"/>
      <c r="J757" s="16"/>
    </row>
    <row r="758" spans="3:10" x14ac:dyDescent="0.25">
      <c r="C758" s="35"/>
      <c r="D758" s="35"/>
      <c r="E758" s="65"/>
      <c r="F758" s="36"/>
      <c r="G758" s="69"/>
      <c r="H758" s="35"/>
      <c r="I758" s="35"/>
      <c r="J758" s="35"/>
    </row>
    <row r="759" spans="3:10" x14ac:dyDescent="0.25">
      <c r="C759" s="16"/>
      <c r="D759" s="16"/>
      <c r="E759" s="64"/>
      <c r="F759" s="33"/>
      <c r="G759" s="70"/>
      <c r="H759" s="16"/>
      <c r="I759" s="16"/>
      <c r="J759" s="16"/>
    </row>
    <row r="760" spans="3:10" x14ac:dyDescent="0.25">
      <c r="C760" s="35"/>
      <c r="D760" s="35"/>
      <c r="E760" s="65"/>
      <c r="F760" s="36"/>
      <c r="G760" s="69"/>
      <c r="H760" s="35"/>
      <c r="I760" s="35"/>
      <c r="J760" s="35"/>
    </row>
    <row r="761" spans="3:10" x14ac:dyDescent="0.25">
      <c r="C761" s="16"/>
      <c r="D761" s="16"/>
      <c r="E761" s="64"/>
      <c r="F761" s="33"/>
      <c r="G761" s="70"/>
      <c r="H761" s="16"/>
      <c r="I761" s="16"/>
      <c r="J761" s="16"/>
    </row>
    <row r="762" spans="3:10" x14ac:dyDescent="0.25">
      <c r="C762" s="35"/>
      <c r="D762" s="35"/>
      <c r="E762" s="65"/>
      <c r="F762" s="36"/>
      <c r="G762" s="69"/>
      <c r="H762" s="35"/>
      <c r="I762" s="35"/>
      <c r="J762" s="35"/>
    </row>
    <row r="763" spans="3:10" x14ac:dyDescent="0.25">
      <c r="C763" s="16"/>
      <c r="D763" s="16"/>
      <c r="E763" s="64"/>
      <c r="F763" s="33"/>
      <c r="G763" s="70"/>
      <c r="H763" s="16"/>
      <c r="I763" s="16"/>
      <c r="J763" s="16"/>
    </row>
    <row r="764" spans="3:10" x14ac:dyDescent="0.25">
      <c r="C764" s="35"/>
      <c r="D764" s="35"/>
      <c r="E764" s="65"/>
      <c r="F764" s="36"/>
      <c r="G764" s="69"/>
      <c r="H764" s="35"/>
      <c r="I764" s="35"/>
      <c r="J764" s="35"/>
    </row>
    <row r="765" spans="3:10" x14ac:dyDescent="0.25">
      <c r="C765" s="16"/>
      <c r="D765" s="16"/>
      <c r="E765" s="64"/>
      <c r="F765" s="33"/>
      <c r="G765" s="70"/>
      <c r="H765" s="16"/>
      <c r="I765" s="16"/>
      <c r="J765" s="16"/>
    </row>
    <row r="766" spans="3:10" x14ac:dyDescent="0.25">
      <c r="C766" s="35"/>
      <c r="D766" s="35"/>
      <c r="E766" s="65"/>
      <c r="F766" s="36"/>
      <c r="G766" s="69"/>
      <c r="H766" s="35"/>
      <c r="I766" s="35"/>
      <c r="J766" s="35"/>
    </row>
    <row r="767" spans="3:10" x14ac:dyDescent="0.25">
      <c r="C767" s="16"/>
      <c r="D767" s="16"/>
      <c r="E767" s="64"/>
      <c r="F767" s="33"/>
      <c r="G767" s="70"/>
      <c r="H767" s="16"/>
      <c r="I767" s="16"/>
      <c r="J767" s="16"/>
    </row>
    <row r="768" spans="3:10" x14ac:dyDescent="0.25">
      <c r="C768" s="35"/>
      <c r="D768" s="35"/>
      <c r="E768" s="65"/>
      <c r="F768" s="36"/>
      <c r="G768" s="69"/>
      <c r="H768" s="35"/>
      <c r="I768" s="35"/>
      <c r="J768" s="35"/>
    </row>
    <row r="769" spans="3:10" x14ac:dyDescent="0.25">
      <c r="C769" s="16"/>
      <c r="D769" s="16"/>
      <c r="E769" s="64"/>
      <c r="F769" s="33"/>
      <c r="G769" s="70"/>
      <c r="H769" s="16"/>
      <c r="I769" s="16"/>
      <c r="J769" s="16"/>
    </row>
    <row r="770" spans="3:10" x14ac:dyDescent="0.25">
      <c r="C770" s="35"/>
      <c r="D770" s="35"/>
      <c r="E770" s="65"/>
      <c r="F770" s="36"/>
      <c r="G770" s="69"/>
      <c r="H770" s="35"/>
      <c r="I770" s="35"/>
      <c r="J770" s="35"/>
    </row>
    <row r="771" spans="3:10" x14ac:dyDescent="0.25">
      <c r="C771" s="16"/>
      <c r="D771" s="16"/>
      <c r="E771" s="64"/>
      <c r="F771" s="33"/>
      <c r="G771" s="70"/>
      <c r="H771" s="16"/>
      <c r="I771" s="16"/>
      <c r="J771" s="16"/>
    </row>
    <row r="772" spans="3:10" x14ac:dyDescent="0.25">
      <c r="C772" s="35"/>
      <c r="D772" s="35"/>
      <c r="E772" s="65"/>
      <c r="F772" s="36"/>
      <c r="G772" s="69"/>
      <c r="H772" s="35"/>
      <c r="I772" s="35"/>
      <c r="J772" s="35"/>
    </row>
    <row r="773" spans="3:10" x14ac:dyDescent="0.25">
      <c r="C773" s="16"/>
      <c r="D773" s="16"/>
      <c r="E773" s="64"/>
      <c r="F773" s="33"/>
      <c r="G773" s="70"/>
      <c r="H773" s="16"/>
      <c r="I773" s="16"/>
      <c r="J773" s="16"/>
    </row>
    <row r="774" spans="3:10" x14ac:dyDescent="0.25">
      <c r="C774" s="35"/>
      <c r="D774" s="35"/>
      <c r="E774" s="65"/>
      <c r="F774" s="36"/>
      <c r="G774" s="69"/>
      <c r="H774" s="35"/>
      <c r="I774" s="35"/>
      <c r="J774" s="35"/>
    </row>
    <row r="775" spans="3:10" x14ac:dyDescent="0.25">
      <c r="C775" s="16"/>
      <c r="D775" s="16"/>
      <c r="E775" s="64"/>
      <c r="F775" s="33"/>
      <c r="G775" s="70"/>
      <c r="H775" s="16"/>
      <c r="I775" s="16"/>
      <c r="J775" s="16"/>
    </row>
    <row r="776" spans="3:10" x14ac:dyDescent="0.25">
      <c r="C776" s="35"/>
      <c r="D776" s="35"/>
      <c r="E776" s="65"/>
      <c r="F776" s="36"/>
      <c r="G776" s="69"/>
      <c r="H776" s="35"/>
      <c r="I776" s="35"/>
      <c r="J776" s="35"/>
    </row>
    <row r="777" spans="3:10" x14ac:dyDescent="0.25">
      <c r="C777" s="16"/>
      <c r="D777" s="16"/>
      <c r="E777" s="64"/>
      <c r="F777" s="33"/>
      <c r="G777" s="70"/>
      <c r="H777" s="16"/>
      <c r="I777" s="16"/>
      <c r="J777" s="16"/>
    </row>
    <row r="778" spans="3:10" x14ac:dyDescent="0.25">
      <c r="C778" s="35"/>
      <c r="D778" s="35"/>
      <c r="E778" s="65"/>
      <c r="F778" s="36"/>
      <c r="G778" s="69"/>
      <c r="H778" s="35"/>
      <c r="I778" s="35"/>
      <c r="J778" s="35"/>
    </row>
    <row r="779" spans="3:10" x14ac:dyDescent="0.25">
      <c r="C779" s="16"/>
      <c r="D779" s="16"/>
      <c r="E779" s="64"/>
      <c r="F779" s="33"/>
      <c r="G779" s="70"/>
      <c r="H779" s="16"/>
      <c r="I779" s="16"/>
      <c r="J779" s="16"/>
    </row>
    <row r="780" spans="3:10" x14ac:dyDescent="0.25">
      <c r="C780" s="35"/>
      <c r="D780" s="35"/>
      <c r="E780" s="65"/>
      <c r="F780" s="36"/>
      <c r="G780" s="69"/>
      <c r="H780" s="35"/>
      <c r="I780" s="35"/>
      <c r="J780" s="35"/>
    </row>
    <row r="781" spans="3:10" x14ac:dyDescent="0.25">
      <c r="C781" s="16"/>
      <c r="D781" s="16"/>
      <c r="E781" s="64"/>
      <c r="F781" s="33"/>
      <c r="G781" s="70"/>
      <c r="H781" s="16"/>
      <c r="I781" s="16"/>
      <c r="J781" s="16"/>
    </row>
    <row r="782" spans="3:10" x14ac:dyDescent="0.25">
      <c r="C782" s="35"/>
      <c r="D782" s="35"/>
      <c r="E782" s="65"/>
      <c r="F782" s="36"/>
      <c r="G782" s="69"/>
      <c r="H782" s="35"/>
      <c r="I782" s="35"/>
      <c r="J782" s="35"/>
    </row>
    <row r="783" spans="3:10" x14ac:dyDescent="0.25">
      <c r="C783" s="16"/>
      <c r="D783" s="16"/>
      <c r="E783" s="64"/>
      <c r="F783" s="33"/>
      <c r="G783" s="70"/>
      <c r="H783" s="16"/>
      <c r="I783" s="16"/>
      <c r="J783" s="16"/>
    </row>
    <row r="784" spans="3:10" x14ac:dyDescent="0.25">
      <c r="C784" s="35"/>
      <c r="D784" s="35"/>
      <c r="E784" s="65"/>
      <c r="F784" s="36"/>
      <c r="G784" s="69"/>
      <c r="H784" s="35"/>
      <c r="I784" s="35"/>
      <c r="J784" s="35"/>
    </row>
    <row r="785" spans="3:10" x14ac:dyDescent="0.25">
      <c r="C785" s="16"/>
      <c r="D785" s="16"/>
      <c r="E785" s="64"/>
      <c r="F785" s="33"/>
      <c r="G785" s="70"/>
      <c r="H785" s="16"/>
      <c r="I785" s="16"/>
      <c r="J785" s="16"/>
    </row>
    <row r="786" spans="3:10" x14ac:dyDescent="0.25">
      <c r="C786" s="35"/>
      <c r="D786" s="35"/>
      <c r="E786" s="65"/>
      <c r="F786" s="36"/>
      <c r="G786" s="69"/>
      <c r="H786" s="35"/>
      <c r="I786" s="35"/>
      <c r="J786" s="35"/>
    </row>
    <row r="787" spans="3:10" x14ac:dyDescent="0.25">
      <c r="C787" s="16"/>
      <c r="D787" s="16"/>
      <c r="E787" s="64"/>
      <c r="F787" s="33"/>
      <c r="G787" s="70"/>
      <c r="H787" s="16"/>
      <c r="I787" s="16"/>
      <c r="J787" s="16"/>
    </row>
    <row r="788" spans="3:10" x14ac:dyDescent="0.25">
      <c r="C788" s="35"/>
      <c r="D788" s="35"/>
      <c r="E788" s="65"/>
      <c r="F788" s="36"/>
      <c r="G788" s="69"/>
      <c r="H788" s="35"/>
      <c r="I788" s="35"/>
      <c r="J788" s="35"/>
    </row>
    <row r="789" spans="3:10" x14ac:dyDescent="0.25">
      <c r="C789" s="16"/>
      <c r="D789" s="16"/>
      <c r="E789" s="64"/>
      <c r="F789" s="33"/>
      <c r="G789" s="70"/>
      <c r="H789" s="16"/>
      <c r="I789" s="16"/>
      <c r="J789" s="16"/>
    </row>
    <row r="790" spans="3:10" x14ac:dyDescent="0.25">
      <c r="C790" s="35"/>
      <c r="D790" s="35"/>
      <c r="E790" s="65"/>
      <c r="F790" s="36"/>
      <c r="G790" s="69"/>
      <c r="H790" s="35"/>
      <c r="I790" s="35"/>
      <c r="J790" s="35"/>
    </row>
    <row r="791" spans="3:10" x14ac:dyDescent="0.25">
      <c r="C791" s="16"/>
      <c r="D791" s="16"/>
      <c r="E791" s="64"/>
      <c r="F791" s="33"/>
      <c r="G791" s="70"/>
      <c r="H791" s="16"/>
      <c r="I791" s="16"/>
      <c r="J791" s="16"/>
    </row>
    <row r="792" spans="3:10" x14ac:dyDescent="0.25">
      <c r="C792" s="35"/>
      <c r="D792" s="35"/>
      <c r="E792" s="65"/>
      <c r="F792" s="36"/>
      <c r="G792" s="69"/>
      <c r="H792" s="35"/>
      <c r="I792" s="35"/>
      <c r="J792" s="35"/>
    </row>
    <row r="793" spans="3:10" x14ac:dyDescent="0.25">
      <c r="C793" s="16"/>
      <c r="D793" s="16"/>
      <c r="E793" s="64"/>
      <c r="F793" s="33"/>
      <c r="G793" s="70"/>
      <c r="H793" s="16"/>
      <c r="I793" s="16"/>
      <c r="J793" s="16"/>
    </row>
    <row r="794" spans="3:10" x14ac:dyDescent="0.25">
      <c r="C794" s="35"/>
      <c r="D794" s="35"/>
      <c r="E794" s="65"/>
      <c r="F794" s="36"/>
      <c r="G794" s="69"/>
      <c r="H794" s="35"/>
      <c r="I794" s="35"/>
      <c r="J794" s="35"/>
    </row>
    <row r="795" spans="3:10" x14ac:dyDescent="0.25">
      <c r="C795" s="16"/>
      <c r="D795" s="16"/>
      <c r="E795" s="64"/>
      <c r="F795" s="33"/>
      <c r="G795" s="70"/>
      <c r="H795" s="16"/>
      <c r="I795" s="16"/>
      <c r="J795" s="16"/>
    </row>
    <row r="796" spans="3:10" x14ac:dyDescent="0.25">
      <c r="C796" s="35"/>
      <c r="D796" s="35"/>
      <c r="E796" s="65"/>
      <c r="F796" s="36"/>
      <c r="G796" s="69"/>
      <c r="H796" s="35"/>
      <c r="I796" s="35"/>
      <c r="J796" s="35"/>
    </row>
    <row r="797" spans="3:10" x14ac:dyDescent="0.25">
      <c r="C797" s="16"/>
      <c r="D797" s="16"/>
      <c r="E797" s="64"/>
      <c r="F797" s="33"/>
      <c r="G797" s="70"/>
      <c r="H797" s="16"/>
      <c r="I797" s="16"/>
      <c r="J797" s="16"/>
    </row>
    <row r="798" spans="3:10" x14ac:dyDescent="0.25">
      <c r="C798" s="35"/>
      <c r="D798" s="35"/>
      <c r="E798" s="65"/>
      <c r="F798" s="36"/>
      <c r="G798" s="69"/>
      <c r="H798" s="35"/>
      <c r="I798" s="35"/>
      <c r="J798" s="35"/>
    </row>
    <row r="799" spans="3:10" x14ac:dyDescent="0.25">
      <c r="C799" s="16"/>
      <c r="D799" s="16"/>
      <c r="E799" s="64"/>
      <c r="F799" s="33"/>
      <c r="G799" s="70"/>
      <c r="H799" s="16"/>
      <c r="I799" s="16"/>
      <c r="J799" s="16"/>
    </row>
    <row r="800" spans="3:10" x14ac:dyDescent="0.25">
      <c r="C800" s="35"/>
      <c r="D800" s="35"/>
      <c r="E800" s="65"/>
      <c r="F800" s="36"/>
      <c r="G800" s="69"/>
      <c r="H800" s="35"/>
      <c r="I800" s="35"/>
      <c r="J800" s="35"/>
    </row>
    <row r="801" spans="3:10" x14ac:dyDescent="0.25">
      <c r="C801" s="16"/>
      <c r="D801" s="16"/>
      <c r="E801" s="64"/>
      <c r="F801" s="33"/>
      <c r="G801" s="70"/>
      <c r="H801" s="16"/>
      <c r="I801" s="16"/>
      <c r="J801" s="16"/>
    </row>
    <row r="802" spans="3:10" x14ac:dyDescent="0.25">
      <c r="C802" s="35"/>
      <c r="D802" s="35"/>
      <c r="E802" s="65"/>
      <c r="F802" s="36"/>
      <c r="G802" s="69"/>
      <c r="H802" s="35"/>
      <c r="I802" s="35"/>
      <c r="J802" s="35"/>
    </row>
    <row r="803" spans="3:10" x14ac:dyDescent="0.25">
      <c r="C803" s="16"/>
      <c r="D803" s="16"/>
      <c r="E803" s="64"/>
      <c r="F803" s="33"/>
      <c r="G803" s="70"/>
      <c r="H803" s="16"/>
      <c r="I803" s="16"/>
      <c r="J803" s="16"/>
    </row>
    <row r="804" spans="3:10" x14ac:dyDescent="0.25">
      <c r="C804" s="35"/>
      <c r="D804" s="35"/>
      <c r="E804" s="65"/>
      <c r="F804" s="36"/>
      <c r="G804" s="69"/>
      <c r="H804" s="35"/>
      <c r="I804" s="35"/>
      <c r="J804" s="35"/>
    </row>
    <row r="805" spans="3:10" x14ac:dyDescent="0.25">
      <c r="C805" s="16"/>
      <c r="D805" s="16"/>
      <c r="E805" s="64"/>
      <c r="F805" s="33"/>
      <c r="G805" s="70"/>
      <c r="H805" s="16"/>
      <c r="I805" s="16"/>
      <c r="J805" s="16"/>
    </row>
    <row r="806" spans="3:10" x14ac:dyDescent="0.25">
      <c r="C806" s="35"/>
      <c r="D806" s="35"/>
      <c r="E806" s="65"/>
      <c r="F806" s="36"/>
      <c r="G806" s="69"/>
      <c r="H806" s="35"/>
      <c r="I806" s="35"/>
      <c r="J806" s="35"/>
    </row>
    <row r="807" spans="3:10" x14ac:dyDescent="0.25">
      <c r="C807" s="16"/>
      <c r="D807" s="16"/>
      <c r="E807" s="64"/>
      <c r="F807" s="33"/>
      <c r="G807" s="70"/>
      <c r="H807" s="16"/>
      <c r="I807" s="16"/>
      <c r="J807" s="16"/>
    </row>
    <row r="808" spans="3:10" x14ac:dyDescent="0.25">
      <c r="C808" s="35"/>
      <c r="D808" s="35"/>
      <c r="E808" s="65"/>
      <c r="F808" s="36"/>
      <c r="G808" s="69"/>
      <c r="H808" s="35"/>
      <c r="I808" s="35"/>
      <c r="J808" s="35"/>
    </row>
    <row r="809" spans="3:10" x14ac:dyDescent="0.25">
      <c r="C809" s="16"/>
      <c r="D809" s="16"/>
      <c r="E809" s="64"/>
      <c r="F809" s="33"/>
      <c r="G809" s="70"/>
      <c r="H809" s="16"/>
      <c r="I809" s="16"/>
      <c r="J809" s="16"/>
    </row>
    <row r="810" spans="3:10" x14ac:dyDescent="0.25">
      <c r="C810" s="35"/>
      <c r="D810" s="35"/>
      <c r="E810" s="65"/>
      <c r="F810" s="36"/>
      <c r="G810" s="69"/>
      <c r="H810" s="35"/>
      <c r="I810" s="35"/>
      <c r="J810" s="35"/>
    </row>
    <row r="811" spans="3:10" x14ac:dyDescent="0.25">
      <c r="C811" s="16"/>
      <c r="D811" s="16"/>
      <c r="E811" s="64"/>
      <c r="F811" s="33"/>
      <c r="G811" s="70"/>
      <c r="H811" s="16"/>
      <c r="I811" s="16"/>
      <c r="J811" s="16"/>
    </row>
    <row r="812" spans="3:10" x14ac:dyDescent="0.25">
      <c r="C812" s="35"/>
      <c r="D812" s="35"/>
      <c r="E812" s="65"/>
      <c r="F812" s="36"/>
      <c r="G812" s="69"/>
      <c r="H812" s="35"/>
      <c r="I812" s="35"/>
      <c r="J812" s="35"/>
    </row>
    <row r="813" spans="3:10" x14ac:dyDescent="0.25">
      <c r="C813" s="16"/>
      <c r="D813" s="16"/>
      <c r="E813" s="64"/>
      <c r="F813" s="33"/>
      <c r="G813" s="70"/>
      <c r="H813" s="16"/>
      <c r="I813" s="16"/>
      <c r="J813" s="16"/>
    </row>
    <row r="814" spans="3:10" x14ac:dyDescent="0.25">
      <c r="C814" s="35"/>
      <c r="D814" s="35"/>
      <c r="E814" s="65"/>
      <c r="F814" s="36"/>
      <c r="G814" s="69"/>
      <c r="H814" s="35"/>
      <c r="I814" s="35"/>
      <c r="J814" s="35"/>
    </row>
    <row r="815" spans="3:10" x14ac:dyDescent="0.25">
      <c r="C815" s="16"/>
      <c r="D815" s="16"/>
      <c r="E815" s="64"/>
      <c r="F815" s="33"/>
      <c r="G815" s="70"/>
      <c r="H815" s="16"/>
      <c r="I815" s="16"/>
      <c r="J815" s="16"/>
    </row>
    <row r="816" spans="3:10" x14ac:dyDescent="0.25">
      <c r="C816" s="35"/>
      <c r="D816" s="35"/>
      <c r="E816" s="65"/>
      <c r="F816" s="36"/>
      <c r="G816" s="69"/>
      <c r="H816" s="35"/>
      <c r="I816" s="35"/>
      <c r="J816" s="35"/>
    </row>
    <row r="817" spans="3:10" x14ac:dyDescent="0.25">
      <c r="C817" s="16"/>
      <c r="D817" s="16"/>
      <c r="E817" s="64"/>
      <c r="F817" s="33"/>
      <c r="G817" s="70"/>
      <c r="H817" s="16"/>
      <c r="I817" s="16"/>
      <c r="J817" s="16"/>
    </row>
    <row r="818" spans="3:10" x14ac:dyDescent="0.25">
      <c r="C818" s="35"/>
      <c r="D818" s="35"/>
      <c r="E818" s="65"/>
      <c r="F818" s="36"/>
      <c r="G818" s="69"/>
      <c r="H818" s="35"/>
      <c r="I818" s="35"/>
      <c r="J818" s="35"/>
    </row>
    <row r="819" spans="3:10" x14ac:dyDescent="0.25">
      <c r="C819" s="16"/>
      <c r="D819" s="16"/>
      <c r="E819" s="64"/>
      <c r="F819" s="33"/>
      <c r="G819" s="70"/>
      <c r="H819" s="16"/>
      <c r="I819" s="16"/>
      <c r="J819" s="16"/>
    </row>
    <row r="820" spans="3:10" x14ac:dyDescent="0.25">
      <c r="C820" s="35"/>
      <c r="D820" s="35"/>
      <c r="E820" s="65"/>
      <c r="F820" s="36"/>
      <c r="G820" s="69"/>
      <c r="H820" s="35"/>
      <c r="I820" s="35"/>
      <c r="J820" s="35"/>
    </row>
    <row r="821" spans="3:10" x14ac:dyDescent="0.25">
      <c r="C821" s="16"/>
      <c r="D821" s="16"/>
      <c r="E821" s="64"/>
      <c r="F821" s="33"/>
      <c r="G821" s="70"/>
      <c r="H821" s="16"/>
      <c r="I821" s="16"/>
      <c r="J821" s="16"/>
    </row>
    <row r="822" spans="3:10" x14ac:dyDescent="0.25">
      <c r="C822" s="35"/>
      <c r="D822" s="35"/>
      <c r="E822" s="65"/>
      <c r="F822" s="36"/>
      <c r="G822" s="69"/>
      <c r="H822" s="35"/>
      <c r="I822" s="35"/>
      <c r="J822" s="35"/>
    </row>
    <row r="823" spans="3:10" x14ac:dyDescent="0.25">
      <c r="C823" s="16"/>
      <c r="D823" s="16"/>
      <c r="E823" s="64"/>
      <c r="F823" s="33"/>
      <c r="G823" s="70"/>
      <c r="H823" s="16"/>
      <c r="I823" s="16"/>
      <c r="J823" s="16"/>
    </row>
    <row r="824" spans="3:10" x14ac:dyDescent="0.25">
      <c r="C824" s="35"/>
      <c r="D824" s="35"/>
      <c r="E824" s="65"/>
      <c r="F824" s="36"/>
      <c r="G824" s="69"/>
      <c r="H824" s="35"/>
      <c r="I824" s="35"/>
      <c r="J824" s="35"/>
    </row>
    <row r="825" spans="3:10" x14ac:dyDescent="0.25">
      <c r="C825" s="16"/>
      <c r="D825" s="16"/>
      <c r="E825" s="64"/>
      <c r="F825" s="33"/>
      <c r="G825" s="70"/>
      <c r="H825" s="16"/>
      <c r="I825" s="16"/>
      <c r="J825" s="16"/>
    </row>
    <row r="826" spans="3:10" x14ac:dyDescent="0.25">
      <c r="C826" s="35"/>
      <c r="D826" s="35"/>
      <c r="E826" s="65"/>
      <c r="F826" s="36"/>
      <c r="G826" s="69"/>
      <c r="H826" s="35"/>
      <c r="I826" s="35"/>
      <c r="J826" s="35"/>
    </row>
    <row r="827" spans="3:10" x14ac:dyDescent="0.25">
      <c r="C827" s="16"/>
      <c r="D827" s="16"/>
      <c r="E827" s="64"/>
      <c r="F827" s="33"/>
      <c r="G827" s="70"/>
      <c r="H827" s="16"/>
      <c r="I827" s="16"/>
      <c r="J827" s="16"/>
    </row>
    <row r="828" spans="3:10" x14ac:dyDescent="0.25">
      <c r="C828" s="35"/>
      <c r="D828" s="35"/>
      <c r="E828" s="65"/>
      <c r="F828" s="36"/>
      <c r="G828" s="69"/>
      <c r="H828" s="35"/>
      <c r="I828" s="35"/>
      <c r="J828" s="35"/>
    </row>
    <row r="829" spans="3:10" x14ac:dyDescent="0.25">
      <c r="C829" s="16"/>
      <c r="D829" s="16"/>
      <c r="E829" s="64"/>
      <c r="F829" s="33"/>
      <c r="G829" s="70"/>
      <c r="H829" s="16"/>
      <c r="I829" s="16"/>
      <c r="J829" s="16"/>
    </row>
    <row r="830" spans="3:10" x14ac:dyDescent="0.25">
      <c r="C830" s="35"/>
      <c r="D830" s="35"/>
      <c r="E830" s="65"/>
      <c r="F830" s="36"/>
      <c r="G830" s="69"/>
      <c r="H830" s="35"/>
      <c r="I830" s="35"/>
      <c r="J830" s="35"/>
    </row>
    <row r="831" spans="3:10" x14ac:dyDescent="0.25">
      <c r="C831" s="16"/>
      <c r="D831" s="16"/>
      <c r="E831" s="64"/>
      <c r="F831" s="33"/>
      <c r="G831" s="70"/>
      <c r="H831" s="16"/>
      <c r="I831" s="16"/>
      <c r="J831" s="16"/>
    </row>
    <row r="832" spans="3:10" x14ac:dyDescent="0.25">
      <c r="C832" s="35"/>
      <c r="D832" s="35"/>
      <c r="E832" s="65"/>
      <c r="F832" s="36"/>
      <c r="G832" s="69"/>
      <c r="H832" s="35"/>
      <c r="I832" s="35"/>
      <c r="J832" s="35"/>
    </row>
    <row r="833" spans="3:10" x14ac:dyDescent="0.25">
      <c r="C833" s="16"/>
      <c r="D833" s="16"/>
      <c r="E833" s="64"/>
      <c r="F833" s="33"/>
      <c r="G833" s="70"/>
      <c r="H833" s="16"/>
      <c r="I833" s="16"/>
      <c r="J833" s="16"/>
    </row>
    <row r="834" spans="3:10" x14ac:dyDescent="0.25">
      <c r="C834" s="35"/>
      <c r="D834" s="35"/>
      <c r="E834" s="65"/>
      <c r="F834" s="36"/>
      <c r="G834" s="69"/>
      <c r="H834" s="35"/>
      <c r="I834" s="35"/>
      <c r="J834" s="35"/>
    </row>
    <row r="835" spans="3:10" x14ac:dyDescent="0.25">
      <c r="C835" s="16"/>
      <c r="D835" s="16"/>
      <c r="E835" s="64"/>
      <c r="F835" s="33"/>
      <c r="G835" s="70"/>
      <c r="H835" s="16"/>
      <c r="I835" s="16"/>
      <c r="J835" s="16"/>
    </row>
    <row r="836" spans="3:10" x14ac:dyDescent="0.25">
      <c r="C836" s="35"/>
      <c r="D836" s="35"/>
      <c r="E836" s="65"/>
      <c r="F836" s="36"/>
      <c r="G836" s="69"/>
      <c r="H836" s="35"/>
      <c r="I836" s="35"/>
      <c r="J836" s="35"/>
    </row>
    <row r="837" spans="3:10" x14ac:dyDescent="0.25">
      <c r="C837" s="16"/>
      <c r="D837" s="16"/>
      <c r="E837" s="64"/>
      <c r="F837" s="33"/>
      <c r="G837" s="70"/>
      <c r="H837" s="16"/>
      <c r="I837" s="16"/>
      <c r="J837" s="16"/>
    </row>
    <row r="838" spans="3:10" x14ac:dyDescent="0.25">
      <c r="C838" s="35"/>
      <c r="D838" s="35"/>
      <c r="E838" s="65"/>
      <c r="F838" s="36"/>
      <c r="G838" s="69"/>
      <c r="H838" s="35"/>
      <c r="I838" s="35"/>
      <c r="J838" s="35"/>
    </row>
    <row r="839" spans="3:10" x14ac:dyDescent="0.25">
      <c r="C839" s="16"/>
      <c r="D839" s="16"/>
      <c r="E839" s="64"/>
      <c r="F839" s="33"/>
      <c r="G839" s="70"/>
      <c r="H839" s="16"/>
      <c r="I839" s="16"/>
      <c r="J839" s="16"/>
    </row>
    <row r="840" spans="3:10" x14ac:dyDescent="0.25">
      <c r="C840" s="35"/>
      <c r="D840" s="35"/>
      <c r="E840" s="65"/>
      <c r="F840" s="36"/>
      <c r="G840" s="69"/>
      <c r="H840" s="35"/>
      <c r="I840" s="35"/>
      <c r="J840" s="35"/>
    </row>
    <row r="841" spans="3:10" x14ac:dyDescent="0.25">
      <c r="C841" s="16"/>
      <c r="D841" s="16"/>
      <c r="E841" s="64"/>
      <c r="F841" s="33"/>
      <c r="G841" s="70"/>
      <c r="H841" s="16"/>
      <c r="I841" s="16"/>
      <c r="J841" s="16"/>
    </row>
    <row r="842" spans="3:10" x14ac:dyDescent="0.25">
      <c r="C842" s="35"/>
      <c r="D842" s="35"/>
      <c r="E842" s="65"/>
      <c r="F842" s="36"/>
      <c r="G842" s="69"/>
      <c r="H842" s="35"/>
      <c r="I842" s="35"/>
      <c r="J842" s="35"/>
    </row>
    <row r="843" spans="3:10" x14ac:dyDescent="0.25">
      <c r="C843" s="16"/>
      <c r="D843" s="16"/>
      <c r="E843" s="64"/>
      <c r="F843" s="33"/>
      <c r="G843" s="70"/>
      <c r="H843" s="16"/>
      <c r="I843" s="16"/>
      <c r="J843" s="16"/>
    </row>
    <row r="844" spans="3:10" x14ac:dyDescent="0.25">
      <c r="C844" s="35"/>
      <c r="D844" s="35"/>
      <c r="E844" s="65"/>
      <c r="F844" s="36"/>
      <c r="G844" s="69"/>
      <c r="H844" s="35"/>
      <c r="I844" s="35"/>
      <c r="J844" s="35"/>
    </row>
    <row r="845" spans="3:10" x14ac:dyDescent="0.25">
      <c r="C845" s="16"/>
      <c r="D845" s="16"/>
      <c r="E845" s="64"/>
      <c r="F845" s="33"/>
      <c r="G845" s="70"/>
      <c r="H845" s="16"/>
      <c r="I845" s="16"/>
      <c r="J845" s="16"/>
    </row>
    <row r="846" spans="3:10" x14ac:dyDescent="0.25">
      <c r="C846" s="35"/>
      <c r="D846" s="35"/>
      <c r="E846" s="65"/>
      <c r="F846" s="36"/>
      <c r="G846" s="69"/>
      <c r="H846" s="35"/>
      <c r="I846" s="35"/>
      <c r="J846" s="35"/>
    </row>
    <row r="847" spans="3:10" x14ac:dyDescent="0.25">
      <c r="C847" s="16"/>
      <c r="D847" s="16"/>
      <c r="E847" s="64"/>
      <c r="F847" s="33"/>
      <c r="G847" s="70"/>
      <c r="H847" s="16"/>
      <c r="I847" s="16"/>
      <c r="J847" s="16"/>
    </row>
    <row r="848" spans="3:10" x14ac:dyDescent="0.25">
      <c r="C848" s="35"/>
      <c r="D848" s="35"/>
      <c r="E848" s="65"/>
      <c r="F848" s="36"/>
      <c r="G848" s="69"/>
      <c r="H848" s="35"/>
      <c r="I848" s="35"/>
      <c r="J848" s="35"/>
    </row>
    <row r="849" spans="3:10" x14ac:dyDescent="0.25">
      <c r="C849" s="16"/>
      <c r="D849" s="16"/>
      <c r="E849" s="64"/>
      <c r="F849" s="33"/>
      <c r="G849" s="70"/>
      <c r="H849" s="16"/>
      <c r="I849" s="16"/>
      <c r="J849" s="16"/>
    </row>
    <row r="850" spans="3:10" x14ac:dyDescent="0.25">
      <c r="C850" s="35"/>
      <c r="D850" s="35"/>
      <c r="E850" s="65"/>
      <c r="F850" s="36"/>
      <c r="G850" s="69"/>
      <c r="H850" s="35"/>
      <c r="I850" s="35"/>
      <c r="J850" s="35"/>
    </row>
    <row r="851" spans="3:10" x14ac:dyDescent="0.25">
      <c r="C851" s="16"/>
      <c r="D851" s="16"/>
      <c r="E851" s="64"/>
      <c r="F851" s="33"/>
      <c r="G851" s="70"/>
      <c r="H851" s="16"/>
      <c r="I851" s="16"/>
      <c r="J851" s="16"/>
    </row>
    <row r="852" spans="3:10" x14ac:dyDescent="0.25">
      <c r="C852" s="35"/>
      <c r="D852" s="35"/>
      <c r="E852" s="65"/>
      <c r="F852" s="36"/>
      <c r="G852" s="69"/>
      <c r="H852" s="35"/>
      <c r="I852" s="35"/>
      <c r="J852" s="35"/>
    </row>
    <row r="853" spans="3:10" x14ac:dyDescent="0.25">
      <c r="C853" s="16"/>
      <c r="D853" s="16"/>
      <c r="E853" s="64"/>
      <c r="F853" s="33"/>
      <c r="G853" s="70"/>
      <c r="H853" s="16"/>
      <c r="I853" s="16"/>
      <c r="J853" s="16"/>
    </row>
    <row r="854" spans="3:10" x14ac:dyDescent="0.25">
      <c r="C854" s="35"/>
      <c r="D854" s="35"/>
      <c r="E854" s="65"/>
      <c r="F854" s="36"/>
      <c r="G854" s="69"/>
      <c r="H854" s="35"/>
      <c r="I854" s="35"/>
      <c r="J854" s="35"/>
    </row>
    <row r="855" spans="3:10" x14ac:dyDescent="0.25">
      <c r="C855" s="16"/>
      <c r="D855" s="16"/>
      <c r="E855" s="64"/>
      <c r="F855" s="33"/>
      <c r="G855" s="70"/>
      <c r="H855" s="16"/>
      <c r="I855" s="16"/>
      <c r="J855" s="16"/>
    </row>
    <row r="856" spans="3:10" x14ac:dyDescent="0.25">
      <c r="C856" s="35"/>
      <c r="D856" s="35"/>
      <c r="E856" s="65"/>
      <c r="F856" s="36"/>
      <c r="G856" s="69"/>
      <c r="H856" s="35"/>
      <c r="I856" s="35"/>
      <c r="J856" s="35"/>
    </row>
    <row r="857" spans="3:10" x14ac:dyDescent="0.25">
      <c r="C857" s="16"/>
      <c r="D857" s="16"/>
      <c r="E857" s="64"/>
      <c r="F857" s="33"/>
      <c r="G857" s="70"/>
      <c r="H857" s="16"/>
      <c r="I857" s="16"/>
      <c r="J857" s="16"/>
    </row>
    <row r="858" spans="3:10" x14ac:dyDescent="0.25">
      <c r="C858" s="35"/>
      <c r="D858" s="35"/>
      <c r="E858" s="65"/>
      <c r="F858" s="36"/>
      <c r="G858" s="69"/>
      <c r="H858" s="35"/>
      <c r="I858" s="35"/>
      <c r="J858" s="35"/>
    </row>
    <row r="859" spans="3:10" x14ac:dyDescent="0.25">
      <c r="C859" s="16"/>
      <c r="D859" s="16"/>
      <c r="E859" s="64"/>
      <c r="F859" s="33"/>
      <c r="G859" s="70"/>
      <c r="H859" s="16"/>
      <c r="I859" s="16"/>
      <c r="J859" s="16"/>
    </row>
    <row r="860" spans="3:10" x14ac:dyDescent="0.25">
      <c r="C860" s="35"/>
      <c r="D860" s="35"/>
      <c r="E860" s="65"/>
      <c r="F860" s="36"/>
      <c r="G860" s="69"/>
      <c r="H860" s="35"/>
      <c r="I860" s="35"/>
      <c r="J860" s="35"/>
    </row>
    <row r="861" spans="3:10" x14ac:dyDescent="0.25">
      <c r="C861" s="16"/>
      <c r="D861" s="16"/>
      <c r="E861" s="64"/>
      <c r="F861" s="33"/>
      <c r="G861" s="70"/>
      <c r="H861" s="16"/>
      <c r="I861" s="16"/>
      <c r="J861" s="16"/>
    </row>
    <row r="862" spans="3:10" x14ac:dyDescent="0.25">
      <c r="C862" s="35"/>
      <c r="D862" s="35"/>
      <c r="E862" s="65"/>
      <c r="F862" s="36"/>
      <c r="G862" s="69"/>
      <c r="H862" s="35"/>
      <c r="I862" s="35"/>
      <c r="J862" s="35"/>
    </row>
    <row r="863" spans="3:10" x14ac:dyDescent="0.25">
      <c r="C863" s="16"/>
      <c r="D863" s="16"/>
      <c r="E863" s="64"/>
      <c r="F863" s="33"/>
      <c r="G863" s="70"/>
      <c r="H863" s="16"/>
      <c r="I863" s="16"/>
      <c r="J863" s="16"/>
    </row>
    <row r="864" spans="3:10" x14ac:dyDescent="0.25">
      <c r="C864" s="35"/>
      <c r="D864" s="35"/>
      <c r="E864" s="65"/>
      <c r="F864" s="36"/>
      <c r="G864" s="69"/>
      <c r="H864" s="35"/>
      <c r="I864" s="35"/>
      <c r="J864" s="35"/>
    </row>
    <row r="865" spans="3:10" x14ac:dyDescent="0.25">
      <c r="C865" s="16"/>
      <c r="D865" s="16"/>
      <c r="E865" s="64"/>
      <c r="F865" s="33"/>
      <c r="G865" s="70"/>
      <c r="H865" s="16"/>
      <c r="I865" s="16"/>
      <c r="J865" s="16"/>
    </row>
    <row r="866" spans="3:10" x14ac:dyDescent="0.25">
      <c r="C866" s="35"/>
      <c r="D866" s="35"/>
      <c r="E866" s="65"/>
      <c r="F866" s="36"/>
      <c r="G866" s="69"/>
      <c r="H866" s="35"/>
      <c r="I866" s="35"/>
      <c r="J866" s="35"/>
    </row>
    <row r="867" spans="3:10" x14ac:dyDescent="0.25">
      <c r="C867" s="16"/>
      <c r="D867" s="16"/>
      <c r="E867" s="64"/>
      <c r="F867" s="33"/>
      <c r="G867" s="70"/>
      <c r="H867" s="16"/>
      <c r="I867" s="16"/>
      <c r="J867" s="16"/>
    </row>
    <row r="868" spans="3:10" x14ac:dyDescent="0.25">
      <c r="C868" s="35"/>
      <c r="D868" s="35"/>
      <c r="E868" s="65"/>
      <c r="F868" s="36"/>
      <c r="G868" s="69"/>
      <c r="H868" s="35"/>
      <c r="I868" s="35"/>
      <c r="J868" s="35"/>
    </row>
    <row r="869" spans="3:10" x14ac:dyDescent="0.25">
      <c r="C869" s="16"/>
      <c r="D869" s="16"/>
      <c r="E869" s="64"/>
      <c r="F869" s="33"/>
      <c r="G869" s="70"/>
      <c r="H869" s="16"/>
      <c r="I869" s="16"/>
      <c r="J869" s="16"/>
    </row>
    <row r="870" spans="3:10" x14ac:dyDescent="0.25">
      <c r="C870" s="35"/>
      <c r="D870" s="35"/>
      <c r="E870" s="65"/>
      <c r="F870" s="36"/>
      <c r="G870" s="69"/>
      <c r="H870" s="35"/>
      <c r="I870" s="35"/>
      <c r="J870" s="35"/>
    </row>
    <row r="871" spans="3:10" x14ac:dyDescent="0.25">
      <c r="C871" s="16"/>
      <c r="D871" s="16"/>
      <c r="E871" s="64"/>
      <c r="F871" s="33"/>
      <c r="G871" s="70"/>
      <c r="H871" s="16"/>
      <c r="I871" s="16"/>
      <c r="J871" s="16"/>
    </row>
    <row r="872" spans="3:10" x14ac:dyDescent="0.25">
      <c r="C872" s="35"/>
      <c r="D872" s="35"/>
      <c r="E872" s="65"/>
      <c r="F872" s="36"/>
      <c r="G872" s="69"/>
      <c r="H872" s="35"/>
      <c r="I872" s="35"/>
      <c r="J872" s="35"/>
    </row>
    <row r="873" spans="3:10" x14ac:dyDescent="0.25">
      <c r="C873" s="16"/>
      <c r="D873" s="16"/>
      <c r="E873" s="64"/>
      <c r="F873" s="33"/>
      <c r="G873" s="70"/>
      <c r="H873" s="16"/>
      <c r="I873" s="16"/>
      <c r="J873" s="16"/>
    </row>
    <row r="874" spans="3:10" x14ac:dyDescent="0.25">
      <c r="C874" s="35"/>
      <c r="D874" s="35"/>
      <c r="E874" s="65"/>
      <c r="F874" s="36"/>
      <c r="G874" s="69"/>
      <c r="H874" s="35"/>
      <c r="I874" s="35"/>
      <c r="J874" s="35"/>
    </row>
    <row r="875" spans="3:10" x14ac:dyDescent="0.25">
      <c r="C875" s="16"/>
      <c r="D875" s="16"/>
      <c r="E875" s="64"/>
      <c r="F875" s="33"/>
      <c r="G875" s="70"/>
      <c r="H875" s="16"/>
      <c r="I875" s="16"/>
      <c r="J875" s="16"/>
    </row>
    <row r="876" spans="3:10" x14ac:dyDescent="0.25">
      <c r="C876" s="35"/>
      <c r="D876" s="35"/>
      <c r="E876" s="65"/>
      <c r="F876" s="36"/>
      <c r="G876" s="69"/>
      <c r="H876" s="35"/>
      <c r="I876" s="35"/>
      <c r="J876" s="35"/>
    </row>
    <row r="877" spans="3:10" x14ac:dyDescent="0.25">
      <c r="C877" s="16"/>
      <c r="D877" s="16"/>
      <c r="E877" s="64"/>
      <c r="F877" s="33"/>
      <c r="G877" s="70"/>
      <c r="H877" s="16"/>
      <c r="I877" s="16"/>
      <c r="J877" s="16"/>
    </row>
    <row r="878" spans="3:10" x14ac:dyDescent="0.25">
      <c r="C878" s="35"/>
      <c r="D878" s="35"/>
      <c r="E878" s="65"/>
      <c r="F878" s="36"/>
      <c r="G878" s="69"/>
      <c r="H878" s="35"/>
      <c r="I878" s="35"/>
      <c r="J878" s="35"/>
    </row>
    <row r="879" spans="3:10" x14ac:dyDescent="0.25">
      <c r="C879" s="16"/>
      <c r="D879" s="16"/>
      <c r="E879" s="64"/>
      <c r="F879" s="33"/>
      <c r="G879" s="70"/>
      <c r="H879" s="16"/>
      <c r="I879" s="16"/>
      <c r="J879" s="16"/>
    </row>
    <row r="880" spans="3:10" x14ac:dyDescent="0.25">
      <c r="C880" s="35"/>
      <c r="D880" s="35"/>
      <c r="E880" s="65"/>
      <c r="F880" s="36"/>
      <c r="G880" s="69"/>
      <c r="H880" s="35"/>
      <c r="I880" s="35"/>
      <c r="J880" s="35"/>
    </row>
    <row r="881" spans="3:10" x14ac:dyDescent="0.25">
      <c r="C881" s="16"/>
      <c r="D881" s="16"/>
      <c r="E881" s="64"/>
      <c r="F881" s="33"/>
      <c r="G881" s="70"/>
      <c r="H881" s="16"/>
      <c r="I881" s="16"/>
      <c r="J881" s="16"/>
    </row>
    <row r="882" spans="3:10" x14ac:dyDescent="0.25">
      <c r="C882" s="35"/>
      <c r="D882" s="35"/>
      <c r="E882" s="65"/>
      <c r="F882" s="36"/>
      <c r="G882" s="69"/>
      <c r="H882" s="35"/>
      <c r="I882" s="35"/>
      <c r="J882" s="35"/>
    </row>
    <row r="883" spans="3:10" x14ac:dyDescent="0.25">
      <c r="C883" s="16"/>
      <c r="D883" s="16"/>
      <c r="E883" s="64"/>
      <c r="F883" s="33"/>
      <c r="G883" s="70"/>
      <c r="H883" s="16"/>
      <c r="I883" s="16"/>
      <c r="J883" s="16"/>
    </row>
    <row r="884" spans="3:10" x14ac:dyDescent="0.25">
      <c r="C884" s="35"/>
      <c r="D884" s="35"/>
      <c r="E884" s="65"/>
      <c r="F884" s="36"/>
      <c r="G884" s="69"/>
      <c r="H884" s="35"/>
      <c r="I884" s="35"/>
      <c r="J884" s="35"/>
    </row>
    <row r="885" spans="3:10" x14ac:dyDescent="0.25">
      <c r="C885" s="16"/>
      <c r="D885" s="16"/>
      <c r="E885" s="64"/>
      <c r="F885" s="33"/>
      <c r="G885" s="70"/>
      <c r="H885" s="16"/>
      <c r="I885" s="16"/>
      <c r="J885" s="16"/>
    </row>
    <row r="886" spans="3:10" x14ac:dyDescent="0.25">
      <c r="C886" s="35"/>
      <c r="D886" s="35"/>
      <c r="E886" s="65"/>
      <c r="F886" s="36"/>
      <c r="G886" s="69"/>
      <c r="H886" s="35"/>
      <c r="I886" s="35"/>
      <c r="J886" s="35"/>
    </row>
    <row r="887" spans="3:10" x14ac:dyDescent="0.25">
      <c r="C887" s="16"/>
      <c r="D887" s="16"/>
      <c r="E887" s="64"/>
      <c r="F887" s="33"/>
      <c r="G887" s="70"/>
      <c r="H887" s="16"/>
      <c r="I887" s="16"/>
      <c r="J887" s="16"/>
    </row>
    <row r="888" spans="3:10" x14ac:dyDescent="0.25">
      <c r="C888" s="35"/>
      <c r="D888" s="35"/>
      <c r="E888" s="65"/>
      <c r="F888" s="36"/>
      <c r="G888" s="69"/>
      <c r="H888" s="35"/>
      <c r="I888" s="35"/>
      <c r="J888" s="35"/>
    </row>
    <row r="889" spans="3:10" x14ac:dyDescent="0.25">
      <c r="C889" s="16"/>
      <c r="D889" s="16"/>
      <c r="E889" s="64"/>
      <c r="F889" s="33"/>
      <c r="G889" s="70"/>
      <c r="H889" s="16"/>
      <c r="I889" s="16"/>
      <c r="J889" s="16"/>
    </row>
    <row r="890" spans="3:10" x14ac:dyDescent="0.25">
      <c r="C890" s="35"/>
      <c r="D890" s="35"/>
      <c r="E890" s="65"/>
      <c r="F890" s="36"/>
      <c r="G890" s="69"/>
      <c r="H890" s="35"/>
      <c r="I890" s="35"/>
      <c r="J890" s="35"/>
    </row>
    <row r="891" spans="3:10" x14ac:dyDescent="0.25">
      <c r="C891" s="16"/>
      <c r="D891" s="16"/>
      <c r="E891" s="64"/>
      <c r="F891" s="33"/>
      <c r="G891" s="70"/>
      <c r="H891" s="16"/>
      <c r="I891" s="16"/>
      <c r="J891" s="16"/>
    </row>
    <row r="892" spans="3:10" x14ac:dyDescent="0.25">
      <c r="C892" s="35"/>
      <c r="D892" s="35"/>
      <c r="E892" s="65"/>
      <c r="F892" s="36"/>
      <c r="G892" s="69"/>
      <c r="H892" s="35"/>
      <c r="I892" s="35"/>
      <c r="J892" s="35"/>
    </row>
    <row r="893" spans="3:10" x14ac:dyDescent="0.25">
      <c r="C893" s="16"/>
      <c r="D893" s="16"/>
      <c r="E893" s="64"/>
      <c r="F893" s="33"/>
      <c r="G893" s="70"/>
      <c r="H893" s="16"/>
      <c r="I893" s="16"/>
      <c r="J893" s="16"/>
    </row>
    <row r="894" spans="3:10" x14ac:dyDescent="0.25">
      <c r="C894" s="35"/>
      <c r="D894" s="35"/>
      <c r="E894" s="65"/>
      <c r="F894" s="36"/>
      <c r="G894" s="69"/>
      <c r="H894" s="35"/>
      <c r="I894" s="35"/>
      <c r="J894" s="35"/>
    </row>
    <row r="895" spans="3:10" x14ac:dyDescent="0.25">
      <c r="C895" s="16"/>
      <c r="D895" s="16"/>
      <c r="E895" s="64"/>
      <c r="F895" s="33"/>
      <c r="G895" s="70"/>
      <c r="H895" s="16"/>
      <c r="I895" s="16"/>
      <c r="J895" s="16"/>
    </row>
    <row r="896" spans="3:10" x14ac:dyDescent="0.25">
      <c r="C896" s="35"/>
      <c r="D896" s="35"/>
      <c r="E896" s="65"/>
      <c r="F896" s="36"/>
      <c r="G896" s="69"/>
      <c r="H896" s="35"/>
      <c r="I896" s="35"/>
      <c r="J896" s="35"/>
    </row>
    <row r="897" spans="3:10" x14ac:dyDescent="0.25">
      <c r="C897" s="16"/>
      <c r="D897" s="16"/>
      <c r="E897" s="64"/>
      <c r="F897" s="33"/>
      <c r="G897" s="70"/>
      <c r="H897" s="16"/>
      <c r="I897" s="16"/>
      <c r="J897" s="16"/>
    </row>
    <row r="898" spans="3:10" x14ac:dyDescent="0.25">
      <c r="C898" s="35"/>
      <c r="D898" s="35"/>
      <c r="E898" s="65"/>
      <c r="F898" s="36"/>
      <c r="G898" s="69"/>
      <c r="H898" s="35"/>
      <c r="I898" s="35"/>
      <c r="J898" s="35"/>
    </row>
    <row r="899" spans="3:10" x14ac:dyDescent="0.25">
      <c r="C899" s="16"/>
      <c r="D899" s="16"/>
      <c r="E899" s="64"/>
      <c r="F899" s="33"/>
      <c r="G899" s="70"/>
      <c r="H899" s="16"/>
      <c r="I899" s="16"/>
      <c r="J899" s="16"/>
    </row>
    <row r="900" spans="3:10" x14ac:dyDescent="0.25">
      <c r="C900" s="35"/>
      <c r="D900" s="35"/>
      <c r="E900" s="65"/>
      <c r="F900" s="36"/>
      <c r="G900" s="69"/>
      <c r="H900" s="35"/>
      <c r="I900" s="35"/>
      <c r="J900" s="35"/>
    </row>
    <row r="901" spans="3:10" x14ac:dyDescent="0.25">
      <c r="C901" s="16"/>
      <c r="D901" s="16"/>
      <c r="E901" s="64"/>
      <c r="F901" s="33"/>
      <c r="G901" s="70"/>
      <c r="H901" s="16"/>
      <c r="I901" s="16"/>
      <c r="J901" s="16"/>
    </row>
    <row r="902" spans="3:10" x14ac:dyDescent="0.25">
      <c r="C902" s="35"/>
      <c r="D902" s="35"/>
      <c r="E902" s="65"/>
      <c r="F902" s="36"/>
      <c r="G902" s="69"/>
      <c r="H902" s="35"/>
      <c r="I902" s="35"/>
      <c r="J902" s="35"/>
    </row>
    <row r="903" spans="3:10" x14ac:dyDescent="0.25">
      <c r="C903" s="16"/>
      <c r="D903" s="16"/>
      <c r="E903" s="64"/>
      <c r="F903" s="33"/>
      <c r="G903" s="70"/>
      <c r="H903" s="16"/>
      <c r="I903" s="16"/>
      <c r="J903" s="16"/>
    </row>
    <row r="904" spans="3:10" x14ac:dyDescent="0.25">
      <c r="C904" s="35"/>
      <c r="D904" s="35"/>
      <c r="E904" s="65"/>
      <c r="F904" s="36"/>
      <c r="G904" s="69"/>
      <c r="H904" s="35"/>
      <c r="I904" s="35"/>
      <c r="J904" s="35"/>
    </row>
    <row r="905" spans="3:10" x14ac:dyDescent="0.25">
      <c r="C905" s="16"/>
      <c r="D905" s="16"/>
      <c r="E905" s="64"/>
      <c r="F905" s="33"/>
      <c r="G905" s="70"/>
      <c r="H905" s="16"/>
      <c r="I905" s="16"/>
      <c r="J905" s="16"/>
    </row>
    <row r="906" spans="3:10" x14ac:dyDescent="0.25">
      <c r="C906" s="35"/>
      <c r="D906" s="35"/>
      <c r="E906" s="65"/>
      <c r="F906" s="36"/>
      <c r="G906" s="69"/>
      <c r="H906" s="35"/>
      <c r="I906" s="35"/>
      <c r="J906" s="35"/>
    </row>
    <row r="907" spans="3:10" x14ac:dyDescent="0.25">
      <c r="C907" s="16"/>
      <c r="D907" s="16"/>
      <c r="E907" s="64"/>
      <c r="F907" s="33"/>
      <c r="G907" s="70"/>
      <c r="H907" s="16"/>
      <c r="I907" s="16"/>
      <c r="J907" s="16"/>
    </row>
    <row r="908" spans="3:10" x14ac:dyDescent="0.25">
      <c r="C908" s="35"/>
      <c r="D908" s="35"/>
      <c r="E908" s="65"/>
      <c r="F908" s="36"/>
      <c r="G908" s="69"/>
      <c r="H908" s="35"/>
      <c r="I908" s="35"/>
      <c r="J908" s="35"/>
    </row>
    <row r="909" spans="3:10" x14ac:dyDescent="0.25">
      <c r="C909" s="16"/>
      <c r="D909" s="16"/>
      <c r="E909" s="64"/>
      <c r="F909" s="33"/>
      <c r="G909" s="70"/>
      <c r="H909" s="16"/>
      <c r="I909" s="16"/>
      <c r="J909" s="16"/>
    </row>
    <row r="910" spans="3:10" x14ac:dyDescent="0.25">
      <c r="C910" s="35"/>
      <c r="D910" s="35"/>
      <c r="E910" s="65"/>
      <c r="F910" s="36"/>
      <c r="G910" s="69"/>
      <c r="H910" s="35"/>
      <c r="I910" s="35"/>
      <c r="J910" s="35"/>
    </row>
    <row r="911" spans="3:10" x14ac:dyDescent="0.25">
      <c r="C911" s="16"/>
      <c r="D911" s="16"/>
      <c r="E911" s="64"/>
      <c r="F911" s="33"/>
      <c r="G911" s="70"/>
      <c r="H911" s="16"/>
      <c r="I911" s="16"/>
      <c r="J911" s="16"/>
    </row>
    <row r="912" spans="3:10" x14ac:dyDescent="0.25">
      <c r="C912" s="35"/>
      <c r="D912" s="35"/>
      <c r="E912" s="65"/>
      <c r="F912" s="36"/>
      <c r="G912" s="69"/>
      <c r="H912" s="35"/>
      <c r="I912" s="35"/>
      <c r="J912" s="35"/>
    </row>
    <row r="913" spans="3:10" x14ac:dyDescent="0.25">
      <c r="C913" s="16"/>
      <c r="D913" s="16"/>
      <c r="E913" s="64"/>
      <c r="F913" s="33"/>
      <c r="G913" s="70"/>
      <c r="H913" s="16"/>
      <c r="I913" s="16"/>
      <c r="J913" s="16"/>
    </row>
    <row r="914" spans="3:10" x14ac:dyDescent="0.25">
      <c r="C914" s="35"/>
      <c r="D914" s="35"/>
      <c r="E914" s="65"/>
      <c r="F914" s="36"/>
      <c r="G914" s="69"/>
      <c r="H914" s="35"/>
      <c r="I914" s="35"/>
      <c r="J914" s="35"/>
    </row>
    <row r="915" spans="3:10" x14ac:dyDescent="0.25">
      <c r="C915" s="16"/>
      <c r="D915" s="16"/>
      <c r="E915" s="64"/>
      <c r="F915" s="33"/>
      <c r="G915" s="70"/>
      <c r="H915" s="16"/>
      <c r="I915" s="16"/>
      <c r="J915" s="16"/>
    </row>
    <row r="916" spans="3:10" x14ac:dyDescent="0.25">
      <c r="C916" s="35"/>
      <c r="D916" s="35"/>
      <c r="E916" s="65"/>
      <c r="F916" s="36"/>
      <c r="G916" s="69"/>
      <c r="H916" s="35"/>
      <c r="I916" s="35"/>
      <c r="J916" s="35"/>
    </row>
    <row r="917" spans="3:10" x14ac:dyDescent="0.25">
      <c r="C917" s="16"/>
      <c r="D917" s="16"/>
      <c r="E917" s="64"/>
      <c r="F917" s="33"/>
      <c r="G917" s="70"/>
      <c r="H917" s="16"/>
      <c r="I917" s="16"/>
      <c r="J917" s="16"/>
    </row>
    <row r="918" spans="3:10" x14ac:dyDescent="0.25">
      <c r="C918" s="35"/>
      <c r="D918" s="35"/>
      <c r="E918" s="65"/>
      <c r="F918" s="36"/>
      <c r="G918" s="69"/>
      <c r="H918" s="35"/>
      <c r="I918" s="35"/>
      <c r="J918" s="35"/>
    </row>
    <row r="919" spans="3:10" x14ac:dyDescent="0.25">
      <c r="C919" s="16"/>
      <c r="D919" s="16"/>
      <c r="E919" s="64"/>
      <c r="F919" s="33"/>
      <c r="G919" s="70"/>
      <c r="H919" s="16"/>
      <c r="I919" s="16"/>
      <c r="J919" s="16"/>
    </row>
    <row r="920" spans="3:10" x14ac:dyDescent="0.25">
      <c r="C920" s="35"/>
      <c r="D920" s="35"/>
      <c r="E920" s="65"/>
      <c r="F920" s="36"/>
      <c r="G920" s="69"/>
      <c r="H920" s="35"/>
      <c r="I920" s="35"/>
      <c r="J920" s="35"/>
    </row>
    <row r="921" spans="3:10" x14ac:dyDescent="0.25">
      <c r="C921" s="16"/>
      <c r="D921" s="16"/>
      <c r="E921" s="64"/>
      <c r="F921" s="33"/>
      <c r="G921" s="70"/>
      <c r="H921" s="16"/>
      <c r="I921" s="16"/>
      <c r="J921" s="16"/>
    </row>
    <row r="922" spans="3:10" x14ac:dyDescent="0.25">
      <c r="C922" s="35"/>
      <c r="D922" s="35"/>
      <c r="E922" s="65"/>
      <c r="F922" s="36"/>
      <c r="G922" s="69"/>
      <c r="H922" s="35"/>
      <c r="I922" s="35"/>
      <c r="J922" s="35"/>
    </row>
    <row r="923" spans="3:10" x14ac:dyDescent="0.25">
      <c r="C923" s="16"/>
      <c r="D923" s="16"/>
      <c r="E923" s="64"/>
      <c r="F923" s="33"/>
      <c r="G923" s="70"/>
      <c r="H923" s="16"/>
      <c r="I923" s="16"/>
      <c r="J923" s="16"/>
    </row>
    <row r="924" spans="3:10" x14ac:dyDescent="0.25">
      <c r="C924" s="35"/>
      <c r="D924" s="35"/>
      <c r="E924" s="65"/>
      <c r="F924" s="36"/>
      <c r="G924" s="69"/>
      <c r="H924" s="35"/>
      <c r="I924" s="35"/>
      <c r="J924" s="35"/>
    </row>
    <row r="925" spans="3:10" x14ac:dyDescent="0.25">
      <c r="C925" s="16"/>
      <c r="D925" s="16"/>
      <c r="E925" s="64"/>
      <c r="F925" s="33"/>
      <c r="G925" s="70"/>
      <c r="H925" s="16"/>
      <c r="I925" s="16"/>
      <c r="J925" s="16"/>
    </row>
    <row r="926" spans="3:10" x14ac:dyDescent="0.25">
      <c r="C926" s="35"/>
      <c r="D926" s="35"/>
      <c r="E926" s="65"/>
      <c r="F926" s="36"/>
      <c r="G926" s="69"/>
      <c r="H926" s="35"/>
      <c r="I926" s="35"/>
      <c r="J926" s="35"/>
    </row>
    <row r="927" spans="3:10" x14ac:dyDescent="0.25">
      <c r="C927" s="16"/>
      <c r="D927" s="16"/>
      <c r="E927" s="64"/>
      <c r="F927" s="33"/>
      <c r="G927" s="70"/>
      <c r="H927" s="16"/>
      <c r="I927" s="16"/>
      <c r="J927" s="16"/>
    </row>
    <row r="928" spans="3:10" x14ac:dyDescent="0.25">
      <c r="C928" s="35"/>
      <c r="D928" s="35"/>
      <c r="E928" s="65"/>
      <c r="F928" s="36"/>
      <c r="G928" s="69"/>
      <c r="H928" s="35"/>
      <c r="I928" s="35"/>
      <c r="J928" s="35"/>
    </row>
    <row r="929" spans="3:10" x14ac:dyDescent="0.25">
      <c r="C929" s="16"/>
      <c r="D929" s="16"/>
      <c r="E929" s="64"/>
      <c r="F929" s="33"/>
      <c r="G929" s="70"/>
      <c r="H929" s="16"/>
      <c r="I929" s="16"/>
      <c r="J929" s="16"/>
    </row>
    <row r="930" spans="3:10" x14ac:dyDescent="0.25">
      <c r="C930" s="35"/>
      <c r="D930" s="35"/>
      <c r="E930" s="65"/>
      <c r="F930" s="36"/>
      <c r="G930" s="69"/>
      <c r="H930" s="35"/>
      <c r="I930" s="35"/>
      <c r="J930" s="35"/>
    </row>
    <row r="931" spans="3:10" x14ac:dyDescent="0.25">
      <c r="C931" s="16"/>
      <c r="D931" s="16"/>
      <c r="E931" s="64"/>
      <c r="F931" s="33"/>
      <c r="G931" s="70"/>
      <c r="H931" s="16"/>
      <c r="I931" s="16"/>
      <c r="J931" s="16"/>
    </row>
    <row r="932" spans="3:10" x14ac:dyDescent="0.25">
      <c r="C932" s="35"/>
      <c r="D932" s="35"/>
      <c r="E932" s="65"/>
      <c r="F932" s="36"/>
      <c r="G932" s="69"/>
      <c r="H932" s="35"/>
      <c r="I932" s="35"/>
      <c r="J932" s="35"/>
    </row>
    <row r="933" spans="3:10" x14ac:dyDescent="0.25">
      <c r="C933" s="16"/>
      <c r="D933" s="16"/>
      <c r="E933" s="64"/>
      <c r="F933" s="33"/>
      <c r="G933" s="70"/>
      <c r="H933" s="16"/>
      <c r="I933" s="16"/>
      <c r="J933" s="16"/>
    </row>
    <row r="934" spans="3:10" x14ac:dyDescent="0.25">
      <c r="C934" s="35"/>
      <c r="D934" s="35"/>
      <c r="E934" s="65"/>
      <c r="F934" s="36"/>
      <c r="G934" s="69"/>
      <c r="H934" s="35"/>
      <c r="I934" s="35"/>
      <c r="J934" s="35"/>
    </row>
    <row r="935" spans="3:10" x14ac:dyDescent="0.25">
      <c r="C935" s="16"/>
      <c r="D935" s="16"/>
      <c r="E935" s="64"/>
      <c r="F935" s="33"/>
      <c r="G935" s="70"/>
      <c r="H935" s="16"/>
      <c r="I935" s="16"/>
      <c r="J935" s="16"/>
    </row>
    <row r="936" spans="3:10" x14ac:dyDescent="0.25">
      <c r="C936" s="35"/>
      <c r="D936" s="35"/>
      <c r="E936" s="65"/>
      <c r="F936" s="36"/>
      <c r="G936" s="69"/>
      <c r="H936" s="35"/>
      <c r="I936" s="35"/>
      <c r="J936" s="35"/>
    </row>
    <row r="937" spans="3:10" x14ac:dyDescent="0.25">
      <c r="C937" s="16"/>
      <c r="D937" s="16"/>
      <c r="E937" s="64"/>
      <c r="F937" s="33"/>
      <c r="G937" s="70"/>
      <c r="H937" s="16"/>
      <c r="I937" s="16"/>
      <c r="J937" s="16"/>
    </row>
    <row r="938" spans="3:10" x14ac:dyDescent="0.25">
      <c r="C938" s="35"/>
      <c r="D938" s="35"/>
      <c r="E938" s="65"/>
      <c r="F938" s="36"/>
      <c r="G938" s="69"/>
      <c r="H938" s="35"/>
      <c r="I938" s="35"/>
      <c r="J938" s="35"/>
    </row>
    <row r="939" spans="3:10" x14ac:dyDescent="0.25">
      <c r="C939" s="16"/>
      <c r="D939" s="16"/>
      <c r="E939" s="64"/>
      <c r="F939" s="33"/>
      <c r="G939" s="70"/>
      <c r="H939" s="16"/>
      <c r="I939" s="16"/>
      <c r="J939" s="16"/>
    </row>
    <row r="940" spans="3:10" x14ac:dyDescent="0.25">
      <c r="C940" s="35"/>
      <c r="D940" s="35"/>
      <c r="E940" s="65"/>
      <c r="F940" s="36"/>
      <c r="G940" s="69"/>
      <c r="H940" s="35"/>
      <c r="I940" s="35"/>
      <c r="J940" s="35"/>
    </row>
    <row r="941" spans="3:10" x14ac:dyDescent="0.25">
      <c r="C941" s="16"/>
      <c r="D941" s="16"/>
      <c r="E941" s="64"/>
      <c r="F941" s="33"/>
      <c r="G941" s="70"/>
      <c r="H941" s="16"/>
      <c r="I941" s="16"/>
      <c r="J941" s="16"/>
    </row>
    <row r="942" spans="3:10" x14ac:dyDescent="0.25">
      <c r="C942" s="35"/>
      <c r="D942" s="35"/>
      <c r="E942" s="65"/>
      <c r="F942" s="36"/>
      <c r="G942" s="69"/>
      <c r="H942" s="35"/>
      <c r="I942" s="35"/>
      <c r="J942" s="35"/>
    </row>
    <row r="943" spans="3:10" x14ac:dyDescent="0.25">
      <c r="C943" s="16"/>
      <c r="D943" s="16"/>
      <c r="E943" s="64"/>
      <c r="F943" s="33"/>
      <c r="G943" s="70"/>
      <c r="H943" s="16"/>
      <c r="I943" s="16"/>
      <c r="J943" s="16"/>
    </row>
    <row r="944" spans="3:10" x14ac:dyDescent="0.25">
      <c r="C944" s="35"/>
      <c r="D944" s="35"/>
      <c r="E944" s="65"/>
      <c r="F944" s="36"/>
      <c r="G944" s="69"/>
      <c r="H944" s="35"/>
      <c r="I944" s="35"/>
      <c r="J944" s="35"/>
    </row>
    <row r="945" spans="3:10" x14ac:dyDescent="0.25">
      <c r="C945" s="16"/>
      <c r="D945" s="16"/>
      <c r="E945" s="64"/>
      <c r="F945" s="33"/>
      <c r="G945" s="70"/>
      <c r="H945" s="16"/>
      <c r="I945" s="16"/>
      <c r="J945" s="16"/>
    </row>
    <row r="946" spans="3:10" x14ac:dyDescent="0.25">
      <c r="C946" s="35"/>
      <c r="D946" s="35"/>
      <c r="E946" s="65"/>
      <c r="F946" s="36"/>
      <c r="G946" s="69"/>
      <c r="H946" s="35"/>
      <c r="I946" s="35"/>
      <c r="J946" s="35"/>
    </row>
    <row r="947" spans="3:10" x14ac:dyDescent="0.25">
      <c r="C947" s="16"/>
      <c r="D947" s="16"/>
      <c r="E947" s="64"/>
      <c r="F947" s="33"/>
      <c r="G947" s="70"/>
      <c r="H947" s="16"/>
      <c r="I947" s="16"/>
      <c r="J947" s="16"/>
    </row>
    <row r="948" spans="3:10" x14ac:dyDescent="0.25">
      <c r="C948" s="35"/>
      <c r="D948" s="35"/>
      <c r="E948" s="65"/>
      <c r="F948" s="36"/>
      <c r="G948" s="69"/>
      <c r="H948" s="35"/>
      <c r="I948" s="35"/>
      <c r="J948" s="35"/>
    </row>
    <row r="949" spans="3:10" x14ac:dyDescent="0.25">
      <c r="C949" s="16"/>
      <c r="D949" s="16"/>
      <c r="E949" s="64"/>
      <c r="F949" s="33"/>
      <c r="G949" s="70"/>
      <c r="H949" s="16"/>
      <c r="I949" s="16"/>
      <c r="J949" s="16"/>
    </row>
    <row r="950" spans="3:10" x14ac:dyDescent="0.25">
      <c r="C950" s="35"/>
      <c r="D950" s="35"/>
      <c r="E950" s="65"/>
      <c r="F950" s="36"/>
      <c r="G950" s="69"/>
      <c r="H950" s="35"/>
      <c r="I950" s="35"/>
      <c r="J950" s="35"/>
    </row>
    <row r="951" spans="3:10" x14ac:dyDescent="0.25">
      <c r="C951" s="16"/>
      <c r="D951" s="16"/>
      <c r="E951" s="64"/>
      <c r="F951" s="33"/>
      <c r="G951" s="70"/>
      <c r="H951" s="16"/>
      <c r="I951" s="16"/>
      <c r="J951" s="16"/>
    </row>
    <row r="952" spans="3:10" x14ac:dyDescent="0.25">
      <c r="C952" s="35"/>
      <c r="D952" s="35"/>
      <c r="E952" s="65"/>
      <c r="F952" s="36"/>
      <c r="G952" s="69"/>
      <c r="H952" s="35"/>
      <c r="I952" s="35"/>
      <c r="J952" s="35"/>
    </row>
    <row r="953" spans="3:10" x14ac:dyDescent="0.25">
      <c r="C953" s="16"/>
      <c r="D953" s="16"/>
      <c r="E953" s="64"/>
      <c r="F953" s="33"/>
      <c r="G953" s="70"/>
      <c r="H953" s="16"/>
      <c r="I953" s="16"/>
      <c r="J953" s="16"/>
    </row>
    <row r="954" spans="3:10" x14ac:dyDescent="0.25">
      <c r="C954" s="35"/>
      <c r="D954" s="35"/>
      <c r="E954" s="65"/>
      <c r="F954" s="36"/>
      <c r="G954" s="69"/>
      <c r="H954" s="35"/>
      <c r="I954" s="35"/>
      <c r="J954" s="35"/>
    </row>
    <row r="955" spans="3:10" x14ac:dyDescent="0.25">
      <c r="C955" s="16"/>
      <c r="D955" s="16"/>
      <c r="E955" s="64"/>
      <c r="F955" s="33"/>
      <c r="G955" s="70"/>
      <c r="H955" s="16"/>
      <c r="I955" s="16"/>
      <c r="J955" s="16"/>
    </row>
    <row r="956" spans="3:10" x14ac:dyDescent="0.25">
      <c r="C956" s="35"/>
      <c r="D956" s="35"/>
      <c r="E956" s="65"/>
      <c r="F956" s="36"/>
      <c r="G956" s="69"/>
      <c r="H956" s="35"/>
      <c r="I956" s="35"/>
      <c r="J956" s="35"/>
    </row>
    <row r="957" spans="3:10" x14ac:dyDescent="0.25">
      <c r="C957" s="16"/>
      <c r="D957" s="16"/>
      <c r="E957" s="64"/>
      <c r="F957" s="33"/>
      <c r="G957" s="70"/>
      <c r="H957" s="16"/>
      <c r="I957" s="16"/>
      <c r="J957" s="16"/>
    </row>
    <row r="958" spans="3:10" x14ac:dyDescent="0.25">
      <c r="C958" s="35"/>
      <c r="D958" s="35"/>
      <c r="E958" s="65"/>
      <c r="F958" s="36"/>
      <c r="G958" s="69"/>
      <c r="H958" s="35"/>
      <c r="I958" s="35"/>
      <c r="J958" s="35"/>
    </row>
    <row r="959" spans="3:10" x14ac:dyDescent="0.25">
      <c r="C959" s="16"/>
      <c r="D959" s="16"/>
      <c r="E959" s="64"/>
      <c r="F959" s="33"/>
      <c r="G959" s="70"/>
      <c r="H959" s="16"/>
      <c r="I959" s="16"/>
      <c r="J959" s="16"/>
    </row>
    <row r="960" spans="3:10" x14ac:dyDescent="0.25">
      <c r="C960" s="35"/>
      <c r="D960" s="35"/>
      <c r="E960" s="65"/>
      <c r="F960" s="36"/>
      <c r="G960" s="69"/>
      <c r="H960" s="35"/>
      <c r="I960" s="35"/>
      <c r="J960" s="35"/>
    </row>
    <row r="961" spans="3:10" x14ac:dyDescent="0.25">
      <c r="C961" s="16"/>
      <c r="D961" s="16"/>
      <c r="E961" s="64"/>
      <c r="F961" s="33"/>
      <c r="G961" s="70"/>
      <c r="H961" s="16"/>
      <c r="I961" s="16"/>
      <c r="J961" s="16"/>
    </row>
    <row r="962" spans="3:10" x14ac:dyDescent="0.25">
      <c r="C962" s="35"/>
      <c r="D962" s="35"/>
      <c r="E962" s="65"/>
      <c r="F962" s="36"/>
      <c r="G962" s="69"/>
      <c r="H962" s="35"/>
      <c r="I962" s="35"/>
      <c r="J962" s="35"/>
    </row>
    <row r="963" spans="3:10" x14ac:dyDescent="0.25">
      <c r="C963" s="16"/>
      <c r="D963" s="16"/>
      <c r="E963" s="64"/>
      <c r="F963" s="33"/>
      <c r="G963" s="70"/>
      <c r="H963" s="16"/>
      <c r="I963" s="16"/>
      <c r="J963" s="16"/>
    </row>
    <row r="964" spans="3:10" x14ac:dyDescent="0.25">
      <c r="C964" s="35"/>
      <c r="D964" s="35"/>
      <c r="E964" s="65"/>
      <c r="F964" s="36"/>
      <c r="G964" s="69"/>
      <c r="H964" s="35"/>
      <c r="I964" s="35"/>
      <c r="J964" s="35"/>
    </row>
    <row r="965" spans="3:10" x14ac:dyDescent="0.25">
      <c r="C965" s="16"/>
      <c r="D965" s="16"/>
      <c r="E965" s="64"/>
      <c r="F965" s="33"/>
      <c r="G965" s="70"/>
      <c r="H965" s="16"/>
      <c r="I965" s="16"/>
      <c r="J965" s="16"/>
    </row>
    <row r="966" spans="3:10" x14ac:dyDescent="0.25">
      <c r="C966" s="35"/>
      <c r="D966" s="35"/>
      <c r="E966" s="65"/>
      <c r="F966" s="36"/>
      <c r="G966" s="69"/>
      <c r="H966" s="35"/>
      <c r="I966" s="35"/>
      <c r="J966" s="35"/>
    </row>
    <row r="967" spans="3:10" x14ac:dyDescent="0.25">
      <c r="C967" s="16"/>
      <c r="D967" s="16"/>
      <c r="E967" s="64"/>
      <c r="F967" s="33"/>
      <c r="G967" s="70"/>
      <c r="H967" s="16"/>
      <c r="I967" s="16"/>
      <c r="J967" s="16"/>
    </row>
    <row r="968" spans="3:10" x14ac:dyDescent="0.25">
      <c r="C968" s="35"/>
      <c r="D968" s="35"/>
      <c r="E968" s="65"/>
      <c r="F968" s="36"/>
      <c r="G968" s="69"/>
      <c r="H968" s="35"/>
      <c r="I968" s="35"/>
      <c r="J968" s="35"/>
    </row>
    <row r="969" spans="3:10" x14ac:dyDescent="0.25">
      <c r="C969" s="16"/>
      <c r="D969" s="16"/>
      <c r="E969" s="64"/>
      <c r="F969" s="33"/>
      <c r="G969" s="70"/>
      <c r="H969" s="16"/>
      <c r="I969" s="16"/>
      <c r="J969" s="16"/>
    </row>
    <row r="970" spans="3:10" x14ac:dyDescent="0.25">
      <c r="C970" s="35"/>
      <c r="D970" s="35"/>
      <c r="E970" s="65"/>
      <c r="F970" s="36"/>
      <c r="G970" s="69"/>
      <c r="H970" s="35"/>
      <c r="I970" s="35"/>
      <c r="J970" s="35"/>
    </row>
    <row r="971" spans="3:10" x14ac:dyDescent="0.25">
      <c r="C971" s="16"/>
      <c r="D971" s="16"/>
      <c r="E971" s="64"/>
      <c r="F971" s="33"/>
      <c r="G971" s="70"/>
      <c r="H971" s="16"/>
      <c r="I971" s="16"/>
      <c r="J971" s="16"/>
    </row>
    <row r="972" spans="3:10" x14ac:dyDescent="0.25">
      <c r="C972" s="35"/>
      <c r="D972" s="35"/>
      <c r="E972" s="65"/>
      <c r="F972" s="36"/>
      <c r="G972" s="69"/>
      <c r="H972" s="35"/>
      <c r="I972" s="35"/>
      <c r="J972" s="35"/>
    </row>
    <row r="973" spans="3:10" x14ac:dyDescent="0.25">
      <c r="C973" s="16"/>
      <c r="D973" s="16"/>
      <c r="E973" s="64"/>
      <c r="F973" s="33"/>
      <c r="G973" s="70"/>
      <c r="H973" s="16"/>
      <c r="I973" s="16"/>
      <c r="J973" s="16"/>
    </row>
    <row r="974" spans="3:10" x14ac:dyDescent="0.25">
      <c r="C974" s="35"/>
      <c r="D974" s="35"/>
      <c r="E974" s="65"/>
      <c r="F974" s="36"/>
      <c r="G974" s="69"/>
      <c r="H974" s="35"/>
      <c r="I974" s="35"/>
      <c r="J974" s="35"/>
    </row>
    <row r="975" spans="3:10" x14ac:dyDescent="0.25">
      <c r="C975" s="16"/>
      <c r="D975" s="16"/>
      <c r="E975" s="64"/>
      <c r="F975" s="33"/>
      <c r="G975" s="70"/>
      <c r="H975" s="16"/>
      <c r="I975" s="16"/>
      <c r="J975" s="16"/>
    </row>
    <row r="976" spans="3:10" x14ac:dyDescent="0.25">
      <c r="C976" s="35"/>
      <c r="D976" s="35"/>
      <c r="E976" s="65"/>
      <c r="F976" s="36"/>
      <c r="G976" s="69"/>
      <c r="H976" s="35"/>
      <c r="I976" s="35"/>
      <c r="J976" s="35"/>
    </row>
    <row r="977" spans="3:10" x14ac:dyDescent="0.25">
      <c r="C977" s="16"/>
      <c r="D977" s="16"/>
      <c r="E977" s="64"/>
      <c r="F977" s="33"/>
      <c r="G977" s="70"/>
      <c r="H977" s="16"/>
      <c r="I977" s="16"/>
      <c r="J977" s="16"/>
    </row>
    <row r="978" spans="3:10" x14ac:dyDescent="0.25">
      <c r="C978" s="35"/>
      <c r="D978" s="35"/>
      <c r="E978" s="65"/>
      <c r="F978" s="36"/>
      <c r="G978" s="69"/>
      <c r="H978" s="35"/>
      <c r="I978" s="35"/>
      <c r="J978" s="35"/>
    </row>
    <row r="979" spans="3:10" x14ac:dyDescent="0.25">
      <c r="C979" s="16"/>
      <c r="D979" s="16"/>
      <c r="E979" s="64"/>
      <c r="F979" s="33"/>
      <c r="G979" s="70"/>
      <c r="H979" s="16"/>
      <c r="I979" s="16"/>
      <c r="J979" s="16"/>
    </row>
    <row r="980" spans="3:10" x14ac:dyDescent="0.25">
      <c r="C980" s="35"/>
      <c r="D980" s="35"/>
      <c r="E980" s="65"/>
      <c r="F980" s="36"/>
      <c r="G980" s="69"/>
      <c r="H980" s="35"/>
      <c r="I980" s="35"/>
      <c r="J980" s="35"/>
    </row>
    <row r="981" spans="3:10" x14ac:dyDescent="0.25">
      <c r="C981" s="16"/>
      <c r="D981" s="16"/>
      <c r="E981" s="64"/>
      <c r="F981" s="33"/>
      <c r="G981" s="70"/>
      <c r="H981" s="16"/>
      <c r="I981" s="16"/>
      <c r="J981" s="16"/>
    </row>
    <row r="982" spans="3:10" x14ac:dyDescent="0.25">
      <c r="C982" s="35"/>
      <c r="D982" s="35"/>
      <c r="E982" s="65"/>
      <c r="F982" s="36"/>
      <c r="G982" s="69"/>
      <c r="H982" s="35"/>
      <c r="I982" s="35"/>
      <c r="J982" s="35"/>
    </row>
    <row r="983" spans="3:10" x14ac:dyDescent="0.25">
      <c r="C983" s="16"/>
      <c r="D983" s="16"/>
      <c r="E983" s="64"/>
      <c r="F983" s="33"/>
      <c r="G983" s="70"/>
      <c r="H983" s="16"/>
      <c r="I983" s="16"/>
      <c r="J983" s="16"/>
    </row>
    <row r="984" spans="3:10" x14ac:dyDescent="0.25">
      <c r="C984" s="35"/>
      <c r="D984" s="35"/>
      <c r="E984" s="65"/>
      <c r="F984" s="36"/>
      <c r="G984" s="69"/>
      <c r="H984" s="35"/>
      <c r="I984" s="35"/>
      <c r="J984" s="35"/>
    </row>
    <row r="985" spans="3:10" x14ac:dyDescent="0.25">
      <c r="C985" s="16"/>
      <c r="D985" s="16"/>
      <c r="E985" s="64"/>
      <c r="F985" s="33"/>
      <c r="G985" s="70"/>
      <c r="H985" s="16"/>
      <c r="I985" s="16"/>
      <c r="J985" s="16"/>
    </row>
    <row r="986" spans="3:10" x14ac:dyDescent="0.25">
      <c r="C986" s="35"/>
      <c r="D986" s="35"/>
      <c r="E986" s="65"/>
      <c r="F986" s="36"/>
      <c r="G986" s="69"/>
      <c r="H986" s="35"/>
      <c r="I986" s="35"/>
      <c r="J986" s="35"/>
    </row>
    <row r="987" spans="3:10" x14ac:dyDescent="0.25">
      <c r="C987" s="16"/>
      <c r="D987" s="16"/>
      <c r="E987" s="64"/>
      <c r="F987" s="33"/>
      <c r="G987" s="70"/>
      <c r="H987" s="16"/>
      <c r="I987" s="16"/>
      <c r="J987" s="16"/>
    </row>
    <row r="988" spans="3:10" x14ac:dyDescent="0.25">
      <c r="C988" s="35"/>
      <c r="D988" s="35"/>
      <c r="E988" s="65"/>
      <c r="F988" s="36"/>
      <c r="G988" s="69"/>
      <c r="H988" s="35"/>
      <c r="I988" s="35"/>
      <c r="J988" s="35"/>
    </row>
    <row r="989" spans="3:10" x14ac:dyDescent="0.25">
      <c r="C989" s="16"/>
      <c r="D989" s="16"/>
      <c r="E989" s="64"/>
      <c r="F989" s="33"/>
      <c r="G989" s="70"/>
      <c r="H989" s="16"/>
      <c r="I989" s="16"/>
      <c r="J989" s="16"/>
    </row>
    <row r="990" spans="3:10" x14ac:dyDescent="0.25">
      <c r="C990" s="35"/>
      <c r="D990" s="35"/>
      <c r="E990" s="65"/>
      <c r="F990" s="36"/>
      <c r="G990" s="69"/>
      <c r="H990" s="35"/>
      <c r="I990" s="35"/>
      <c r="J990" s="35"/>
    </row>
    <row r="991" spans="3:10" x14ac:dyDescent="0.25">
      <c r="C991" s="16"/>
      <c r="D991" s="16"/>
      <c r="E991" s="64"/>
      <c r="F991" s="33"/>
      <c r="G991" s="70"/>
      <c r="H991" s="16"/>
      <c r="I991" s="16"/>
      <c r="J991" s="16"/>
    </row>
    <row r="992" spans="3:10" x14ac:dyDescent="0.25">
      <c r="C992" s="35"/>
      <c r="D992" s="35"/>
      <c r="E992" s="65"/>
      <c r="F992" s="36"/>
      <c r="G992" s="69"/>
      <c r="H992" s="35"/>
      <c r="I992" s="35"/>
      <c r="J992" s="35"/>
    </row>
    <row r="993" spans="3:10" x14ac:dyDescent="0.25">
      <c r="C993" s="16"/>
      <c r="D993" s="16"/>
      <c r="E993" s="64"/>
      <c r="F993" s="33"/>
      <c r="G993" s="70"/>
      <c r="H993" s="16"/>
      <c r="I993" s="16"/>
      <c r="J993" s="16"/>
    </row>
    <row r="994" spans="3:10" x14ac:dyDescent="0.25">
      <c r="C994" s="35"/>
      <c r="D994" s="35"/>
      <c r="E994" s="65"/>
      <c r="F994" s="36"/>
      <c r="G994" s="69"/>
      <c r="H994" s="35"/>
      <c r="I994" s="35"/>
      <c r="J994" s="35"/>
    </row>
    <row r="995" spans="3:10" x14ac:dyDescent="0.25">
      <c r="C995" s="16"/>
      <c r="D995" s="16"/>
      <c r="E995" s="64"/>
      <c r="F995" s="33"/>
      <c r="G995" s="70"/>
      <c r="H995" s="16"/>
      <c r="I995" s="16"/>
      <c r="J995" s="16"/>
    </row>
    <row r="996" spans="3:10" x14ac:dyDescent="0.25">
      <c r="C996" s="35"/>
      <c r="D996" s="35"/>
      <c r="E996" s="65"/>
      <c r="F996" s="36"/>
      <c r="G996" s="69"/>
      <c r="H996" s="35"/>
      <c r="I996" s="35"/>
      <c r="J996" s="35"/>
    </row>
    <row r="997" spans="3:10" x14ac:dyDescent="0.25">
      <c r="C997" s="16"/>
      <c r="D997" s="16"/>
      <c r="E997" s="64"/>
      <c r="F997" s="33"/>
      <c r="G997" s="70"/>
      <c r="H997" s="16"/>
      <c r="I997" s="16"/>
      <c r="J997" s="16"/>
    </row>
    <row r="998" spans="3:10" x14ac:dyDescent="0.25">
      <c r="C998" s="35"/>
      <c r="D998" s="35"/>
      <c r="E998" s="65"/>
      <c r="F998" s="36"/>
      <c r="G998" s="69"/>
      <c r="H998" s="35"/>
      <c r="I998" s="35"/>
      <c r="J998" s="35"/>
    </row>
    <row r="999" spans="3:10" x14ac:dyDescent="0.25">
      <c r="C999" s="16"/>
      <c r="D999" s="16"/>
      <c r="E999" s="64"/>
      <c r="F999" s="33"/>
      <c r="G999" s="70"/>
      <c r="H999" s="16"/>
      <c r="I999" s="16"/>
      <c r="J999" s="16"/>
    </row>
    <row r="1000" spans="3:10" x14ac:dyDescent="0.25">
      <c r="C1000" s="35"/>
      <c r="D1000" s="35"/>
      <c r="E1000" s="65"/>
      <c r="F1000" s="36"/>
      <c r="G1000" s="69"/>
      <c r="H1000" s="35"/>
      <c r="I1000" s="35"/>
      <c r="J1000" s="35"/>
    </row>
    <row r="1001" spans="3:10" x14ac:dyDescent="0.25">
      <c r="C1001" s="16"/>
      <c r="D1001" s="16"/>
      <c r="E1001" s="64"/>
      <c r="F1001" s="33"/>
      <c r="G1001" s="70"/>
      <c r="H1001" s="16"/>
      <c r="I1001" s="16"/>
      <c r="J1001" s="16"/>
    </row>
    <row r="1002" spans="3:10" x14ac:dyDescent="0.25">
      <c r="C1002" s="35"/>
      <c r="D1002" s="35"/>
      <c r="E1002" s="65"/>
      <c r="F1002" s="36"/>
      <c r="G1002" s="69"/>
      <c r="H1002" s="35"/>
      <c r="I1002" s="35"/>
      <c r="J1002" s="35"/>
    </row>
    <row r="1003" spans="3:10" x14ac:dyDescent="0.25">
      <c r="C1003" s="16"/>
      <c r="D1003" s="16"/>
      <c r="E1003" s="64"/>
      <c r="F1003" s="33"/>
      <c r="G1003" s="70"/>
      <c r="H1003" s="16"/>
      <c r="I1003" s="16"/>
      <c r="J1003" s="16"/>
    </row>
    <row r="1004" spans="3:10" x14ac:dyDescent="0.25">
      <c r="C1004" s="35"/>
      <c r="D1004" s="35"/>
      <c r="E1004" s="65"/>
      <c r="F1004" s="36"/>
      <c r="G1004" s="69"/>
      <c r="H1004" s="35"/>
      <c r="I1004" s="35"/>
      <c r="J1004" s="35"/>
    </row>
    <row r="1005" spans="3:10" x14ac:dyDescent="0.25">
      <c r="C1005" s="16"/>
      <c r="D1005" s="16"/>
      <c r="E1005" s="64"/>
      <c r="F1005" s="33"/>
      <c r="G1005" s="70"/>
      <c r="H1005" s="16"/>
      <c r="I1005" s="16"/>
      <c r="J1005" s="16"/>
    </row>
    <row r="1006" spans="3:10" x14ac:dyDescent="0.25">
      <c r="C1006" s="35"/>
      <c r="D1006" s="35"/>
      <c r="E1006" s="65"/>
      <c r="F1006" s="36"/>
      <c r="G1006" s="69"/>
      <c r="H1006" s="35"/>
      <c r="I1006" s="35"/>
      <c r="J1006" s="35"/>
    </row>
    <row r="1007" spans="3:10" x14ac:dyDescent="0.25">
      <c r="C1007" s="16"/>
      <c r="D1007" s="16"/>
      <c r="E1007" s="64"/>
      <c r="F1007" s="33"/>
      <c r="G1007" s="70"/>
      <c r="H1007" s="16"/>
      <c r="I1007" s="16"/>
      <c r="J1007" s="16"/>
    </row>
    <row r="1008" spans="3:10" x14ac:dyDescent="0.25">
      <c r="C1008" s="35"/>
      <c r="D1008" s="35"/>
      <c r="E1008" s="65"/>
      <c r="F1008" s="36"/>
      <c r="G1008" s="69"/>
      <c r="H1008" s="35"/>
      <c r="I1008" s="35"/>
      <c r="J1008" s="35"/>
    </row>
    <row r="1009" spans="3:10" x14ac:dyDescent="0.25">
      <c r="C1009" s="16"/>
      <c r="D1009" s="16"/>
      <c r="E1009" s="64"/>
      <c r="F1009" s="33"/>
      <c r="G1009" s="70"/>
      <c r="H1009" s="16"/>
      <c r="I1009" s="16"/>
      <c r="J1009" s="16"/>
    </row>
    <row r="1010" spans="3:10" x14ac:dyDescent="0.25">
      <c r="C1010" s="35"/>
      <c r="D1010" s="35"/>
      <c r="E1010" s="65"/>
      <c r="F1010" s="36"/>
      <c r="G1010" s="69"/>
      <c r="H1010" s="35"/>
      <c r="I1010" s="35"/>
      <c r="J1010" s="35"/>
    </row>
    <row r="1011" spans="3:10" x14ac:dyDescent="0.25">
      <c r="C1011" s="16"/>
      <c r="D1011" s="16"/>
      <c r="E1011" s="64"/>
      <c r="F1011" s="33"/>
      <c r="G1011" s="70"/>
      <c r="H1011" s="16"/>
      <c r="I1011" s="16"/>
      <c r="J1011" s="16"/>
    </row>
    <row r="1012" spans="3:10" x14ac:dyDescent="0.25">
      <c r="C1012" s="35"/>
      <c r="D1012" s="35"/>
      <c r="E1012" s="65"/>
      <c r="F1012" s="36"/>
      <c r="G1012" s="69"/>
      <c r="H1012" s="35"/>
      <c r="I1012" s="35"/>
      <c r="J1012" s="35"/>
    </row>
    <row r="1013" spans="3:10" x14ac:dyDescent="0.25">
      <c r="C1013" s="16"/>
      <c r="D1013" s="16"/>
      <c r="E1013" s="64"/>
      <c r="F1013" s="33"/>
      <c r="G1013" s="70"/>
      <c r="H1013" s="16"/>
      <c r="I1013" s="16"/>
      <c r="J1013" s="16"/>
    </row>
    <row r="1014" spans="3:10" x14ac:dyDescent="0.25">
      <c r="C1014" s="35"/>
      <c r="D1014" s="35"/>
      <c r="E1014" s="65"/>
      <c r="F1014" s="36"/>
      <c r="G1014" s="69"/>
      <c r="H1014" s="35"/>
      <c r="I1014" s="35"/>
      <c r="J1014" s="35"/>
    </row>
    <row r="1015" spans="3:10" x14ac:dyDescent="0.25">
      <c r="C1015" s="16"/>
      <c r="D1015" s="16"/>
      <c r="E1015" s="64"/>
      <c r="F1015" s="33"/>
      <c r="G1015" s="70"/>
      <c r="H1015" s="16"/>
      <c r="I1015" s="16"/>
      <c r="J1015" s="16"/>
    </row>
    <row r="1016" spans="3:10" x14ac:dyDescent="0.25">
      <c r="C1016" s="35"/>
      <c r="D1016" s="35"/>
      <c r="E1016" s="65"/>
      <c r="F1016" s="36"/>
      <c r="G1016" s="69"/>
      <c r="H1016" s="35"/>
      <c r="I1016" s="35"/>
      <c r="J1016" s="35"/>
    </row>
    <row r="1017" spans="3:10" x14ac:dyDescent="0.25">
      <c r="C1017" s="16"/>
      <c r="D1017" s="16"/>
      <c r="E1017" s="64"/>
      <c r="F1017" s="33"/>
      <c r="G1017" s="70"/>
      <c r="H1017" s="16"/>
      <c r="I1017" s="16"/>
      <c r="J1017" s="16"/>
    </row>
    <row r="1018" spans="3:10" x14ac:dyDescent="0.25">
      <c r="C1018" s="35"/>
      <c r="D1018" s="35"/>
      <c r="E1018" s="65"/>
      <c r="F1018" s="36"/>
      <c r="G1018" s="69"/>
      <c r="H1018" s="35"/>
      <c r="I1018" s="35"/>
      <c r="J1018" s="35"/>
    </row>
    <row r="1019" spans="3:10" x14ac:dyDescent="0.25">
      <c r="C1019" s="16"/>
      <c r="D1019" s="16"/>
      <c r="E1019" s="64"/>
      <c r="F1019" s="33"/>
      <c r="G1019" s="70"/>
      <c r="H1019" s="16"/>
      <c r="I1019" s="16"/>
      <c r="J1019" s="16"/>
    </row>
    <row r="1020" spans="3:10" x14ac:dyDescent="0.25">
      <c r="C1020" s="35"/>
      <c r="D1020" s="35"/>
      <c r="E1020" s="65"/>
      <c r="F1020" s="36"/>
      <c r="G1020" s="69"/>
      <c r="H1020" s="35"/>
      <c r="I1020" s="35"/>
      <c r="J1020" s="35"/>
    </row>
    <row r="1021" spans="3:10" x14ac:dyDescent="0.25">
      <c r="C1021" s="16"/>
      <c r="D1021" s="16"/>
      <c r="E1021" s="64"/>
      <c r="F1021" s="33"/>
      <c r="G1021" s="70"/>
      <c r="H1021" s="16"/>
      <c r="I1021" s="16"/>
      <c r="J1021" s="16"/>
    </row>
    <row r="1022" spans="3:10" x14ac:dyDescent="0.25">
      <c r="C1022" s="35"/>
      <c r="D1022" s="35"/>
      <c r="E1022" s="65"/>
      <c r="F1022" s="36"/>
      <c r="G1022" s="69"/>
      <c r="H1022" s="35"/>
      <c r="I1022" s="35"/>
      <c r="J1022" s="35"/>
    </row>
    <row r="1023" spans="3:10" x14ac:dyDescent="0.25">
      <c r="C1023" s="16"/>
      <c r="D1023" s="16"/>
      <c r="E1023" s="64"/>
      <c r="F1023" s="33"/>
      <c r="G1023" s="70"/>
      <c r="H1023" s="16"/>
      <c r="I1023" s="16"/>
      <c r="J1023" s="16"/>
    </row>
    <row r="1024" spans="3:10" x14ac:dyDescent="0.25">
      <c r="C1024" s="35"/>
      <c r="D1024" s="35"/>
      <c r="E1024" s="65"/>
      <c r="F1024" s="36"/>
      <c r="G1024" s="69"/>
      <c r="H1024" s="35"/>
      <c r="I1024" s="35"/>
      <c r="J1024" s="35"/>
    </row>
    <row r="1025" spans="3:10" x14ac:dyDescent="0.25">
      <c r="C1025" s="16"/>
      <c r="D1025" s="16"/>
      <c r="E1025" s="64"/>
      <c r="F1025" s="33"/>
      <c r="G1025" s="70"/>
      <c r="H1025" s="16"/>
      <c r="I1025" s="16"/>
      <c r="J1025" s="16"/>
    </row>
    <row r="1026" spans="3:10" x14ac:dyDescent="0.25">
      <c r="C1026" s="35"/>
      <c r="D1026" s="35"/>
      <c r="E1026" s="65"/>
      <c r="F1026" s="36"/>
      <c r="G1026" s="69"/>
      <c r="H1026" s="35"/>
      <c r="I1026" s="35"/>
      <c r="J1026" s="35"/>
    </row>
    <row r="1027" spans="3:10" x14ac:dyDescent="0.25">
      <c r="C1027" s="16"/>
      <c r="D1027" s="16"/>
      <c r="E1027" s="64"/>
      <c r="F1027" s="33"/>
      <c r="G1027" s="70"/>
      <c r="H1027" s="16"/>
      <c r="I1027" s="16"/>
      <c r="J1027" s="16"/>
    </row>
    <row r="1028" spans="3:10" x14ac:dyDescent="0.25">
      <c r="C1028" s="35"/>
      <c r="D1028" s="35"/>
      <c r="E1028" s="65"/>
      <c r="F1028" s="36"/>
      <c r="G1028" s="69"/>
      <c r="H1028" s="35"/>
      <c r="I1028" s="35"/>
      <c r="J1028" s="35"/>
    </row>
    <row r="1029" spans="3:10" x14ac:dyDescent="0.25">
      <c r="C1029" s="16"/>
      <c r="D1029" s="16"/>
      <c r="E1029" s="64"/>
      <c r="F1029" s="33"/>
      <c r="G1029" s="70"/>
      <c r="H1029" s="16"/>
      <c r="I1029" s="16"/>
      <c r="J1029" s="16"/>
    </row>
    <row r="1030" spans="3:10" x14ac:dyDescent="0.25">
      <c r="C1030" s="35"/>
      <c r="D1030" s="35"/>
      <c r="E1030" s="65"/>
      <c r="F1030" s="36"/>
      <c r="G1030" s="69"/>
      <c r="H1030" s="35"/>
      <c r="I1030" s="35"/>
      <c r="J1030" s="35"/>
    </row>
    <row r="1031" spans="3:10" x14ac:dyDescent="0.25">
      <c r="C1031" s="16"/>
      <c r="D1031" s="16"/>
      <c r="E1031" s="64"/>
      <c r="F1031" s="33"/>
      <c r="G1031" s="70"/>
      <c r="H1031" s="16"/>
      <c r="I1031" s="16"/>
      <c r="J1031" s="16"/>
    </row>
    <row r="1032" spans="3:10" x14ac:dyDescent="0.25">
      <c r="C1032" s="35"/>
      <c r="D1032" s="35"/>
      <c r="E1032" s="65"/>
      <c r="F1032" s="36"/>
      <c r="G1032" s="69"/>
      <c r="H1032" s="35"/>
      <c r="I1032" s="35"/>
      <c r="J1032" s="35"/>
    </row>
    <row r="1033" spans="3:10" x14ac:dyDescent="0.25">
      <c r="C1033" s="16"/>
      <c r="D1033" s="16"/>
      <c r="E1033" s="64"/>
      <c r="F1033" s="33"/>
      <c r="G1033" s="70"/>
      <c r="H1033" s="16"/>
      <c r="I1033" s="16"/>
      <c r="J1033" s="16"/>
    </row>
    <row r="1034" spans="3:10" x14ac:dyDescent="0.25">
      <c r="C1034" s="35"/>
      <c r="D1034" s="35"/>
      <c r="E1034" s="65"/>
      <c r="F1034" s="36"/>
      <c r="G1034" s="69"/>
      <c r="H1034" s="35"/>
      <c r="I1034" s="35"/>
      <c r="J1034" s="35"/>
    </row>
    <row r="1035" spans="3:10" x14ac:dyDescent="0.25">
      <c r="C1035" s="16"/>
      <c r="D1035" s="16"/>
      <c r="E1035" s="64"/>
      <c r="F1035" s="33"/>
      <c r="G1035" s="70"/>
      <c r="H1035" s="16"/>
      <c r="I1035" s="16"/>
      <c r="J1035" s="16"/>
    </row>
    <row r="1036" spans="3:10" x14ac:dyDescent="0.25">
      <c r="C1036" s="35"/>
      <c r="D1036" s="35"/>
      <c r="E1036" s="65"/>
      <c r="F1036" s="36"/>
      <c r="G1036" s="69"/>
      <c r="H1036" s="35"/>
      <c r="I1036" s="35"/>
      <c r="J1036" s="35"/>
    </row>
    <row r="1037" spans="3:10" x14ac:dyDescent="0.25">
      <c r="C1037" s="16"/>
      <c r="D1037" s="16"/>
      <c r="E1037" s="64"/>
      <c r="F1037" s="33"/>
      <c r="G1037" s="70"/>
      <c r="H1037" s="16"/>
      <c r="I1037" s="16"/>
      <c r="J1037" s="16"/>
    </row>
    <row r="1038" spans="3:10" x14ac:dyDescent="0.25">
      <c r="C1038" s="35"/>
      <c r="D1038" s="35"/>
      <c r="E1038" s="65"/>
      <c r="F1038" s="36"/>
      <c r="G1038" s="69"/>
      <c r="H1038" s="35"/>
      <c r="I1038" s="35"/>
      <c r="J1038" s="35"/>
    </row>
    <row r="1039" spans="3:10" x14ac:dyDescent="0.25">
      <c r="C1039" s="16"/>
      <c r="D1039" s="16"/>
      <c r="E1039" s="64"/>
      <c r="F1039" s="33"/>
      <c r="G1039" s="70"/>
      <c r="H1039" s="16"/>
      <c r="I1039" s="16"/>
      <c r="J1039" s="16"/>
    </row>
    <row r="1040" spans="3:10" x14ac:dyDescent="0.25">
      <c r="C1040" s="35"/>
      <c r="D1040" s="35"/>
      <c r="E1040" s="65"/>
      <c r="F1040" s="36"/>
      <c r="G1040" s="69"/>
      <c r="H1040" s="35"/>
      <c r="I1040" s="35"/>
      <c r="J1040" s="35"/>
    </row>
    <row r="1041" spans="3:10" x14ac:dyDescent="0.25">
      <c r="C1041" s="16"/>
      <c r="D1041" s="16"/>
      <c r="E1041" s="64"/>
      <c r="F1041" s="33"/>
      <c r="G1041" s="70"/>
      <c r="H1041" s="16"/>
      <c r="I1041" s="16"/>
      <c r="J1041" s="16"/>
    </row>
    <row r="1042" spans="3:10" x14ac:dyDescent="0.25">
      <c r="C1042" s="35"/>
      <c r="D1042" s="35"/>
      <c r="E1042" s="65"/>
      <c r="F1042" s="36"/>
      <c r="G1042" s="69"/>
      <c r="H1042" s="35"/>
      <c r="I1042" s="35"/>
      <c r="J1042" s="35"/>
    </row>
    <row r="1043" spans="3:10" x14ac:dyDescent="0.25">
      <c r="C1043" s="16"/>
      <c r="D1043" s="16"/>
      <c r="E1043" s="64"/>
      <c r="F1043" s="33"/>
      <c r="G1043" s="70"/>
      <c r="H1043" s="16"/>
      <c r="I1043" s="16"/>
      <c r="J1043" s="16"/>
    </row>
    <row r="1044" spans="3:10" x14ac:dyDescent="0.25">
      <c r="C1044" s="35"/>
      <c r="D1044" s="35"/>
      <c r="E1044" s="65"/>
      <c r="F1044" s="36"/>
      <c r="G1044" s="69"/>
      <c r="H1044" s="35"/>
      <c r="I1044" s="35"/>
      <c r="J1044" s="35"/>
    </row>
    <row r="1045" spans="3:10" x14ac:dyDescent="0.25">
      <c r="C1045" s="16"/>
      <c r="D1045" s="16"/>
      <c r="E1045" s="64"/>
      <c r="F1045" s="33"/>
      <c r="G1045" s="70"/>
      <c r="H1045" s="16"/>
      <c r="I1045" s="16"/>
      <c r="J1045" s="16"/>
    </row>
    <row r="1046" spans="3:10" x14ac:dyDescent="0.25">
      <c r="C1046" s="35"/>
      <c r="D1046" s="35"/>
      <c r="E1046" s="65"/>
      <c r="F1046" s="36"/>
      <c r="G1046" s="69"/>
      <c r="H1046" s="35"/>
      <c r="I1046" s="35"/>
      <c r="J1046" s="35"/>
    </row>
    <row r="1047" spans="3:10" x14ac:dyDescent="0.25">
      <c r="C1047" s="16"/>
      <c r="D1047" s="16"/>
      <c r="E1047" s="64"/>
      <c r="F1047" s="33"/>
      <c r="G1047" s="70"/>
      <c r="H1047" s="16"/>
      <c r="I1047" s="16"/>
      <c r="J1047" s="16"/>
    </row>
    <row r="1048" spans="3:10" x14ac:dyDescent="0.25">
      <c r="C1048" s="35"/>
      <c r="D1048" s="35"/>
      <c r="E1048" s="65"/>
      <c r="F1048" s="36"/>
      <c r="G1048" s="69"/>
      <c r="H1048" s="35"/>
      <c r="I1048" s="35"/>
      <c r="J1048" s="35"/>
    </row>
    <row r="1049" spans="3:10" x14ac:dyDescent="0.25">
      <c r="C1049" s="16"/>
      <c r="D1049" s="16"/>
      <c r="E1049" s="64"/>
      <c r="F1049" s="33"/>
      <c r="G1049" s="70"/>
      <c r="H1049" s="16"/>
      <c r="I1049" s="16"/>
      <c r="J1049" s="16"/>
    </row>
    <row r="1050" spans="3:10" x14ac:dyDescent="0.25">
      <c r="C1050" s="35"/>
      <c r="D1050" s="35"/>
      <c r="E1050" s="65"/>
      <c r="F1050" s="36"/>
      <c r="G1050" s="69"/>
      <c r="H1050" s="35"/>
      <c r="I1050" s="35"/>
      <c r="J1050" s="35"/>
    </row>
    <row r="1051" spans="3:10" x14ac:dyDescent="0.25">
      <c r="C1051" s="16"/>
      <c r="D1051" s="16"/>
      <c r="E1051" s="64"/>
      <c r="F1051" s="33"/>
      <c r="G1051" s="70"/>
      <c r="H1051" s="16"/>
      <c r="I1051" s="16"/>
      <c r="J1051" s="16"/>
    </row>
    <row r="1052" spans="3:10" x14ac:dyDescent="0.25">
      <c r="C1052" s="35"/>
      <c r="D1052" s="35"/>
      <c r="E1052" s="65"/>
      <c r="F1052" s="36"/>
      <c r="G1052" s="69"/>
      <c r="H1052" s="35"/>
      <c r="I1052" s="35"/>
      <c r="J1052" s="35"/>
    </row>
    <row r="1053" spans="3:10" x14ac:dyDescent="0.25">
      <c r="C1053" s="16"/>
      <c r="D1053" s="16"/>
      <c r="E1053" s="64"/>
      <c r="F1053" s="33"/>
      <c r="G1053" s="70"/>
      <c r="H1053" s="16"/>
      <c r="I1053" s="16"/>
      <c r="J1053" s="16"/>
    </row>
    <row r="1054" spans="3:10" x14ac:dyDescent="0.25">
      <c r="C1054" s="35"/>
      <c r="D1054" s="35"/>
      <c r="E1054" s="65"/>
      <c r="F1054" s="36"/>
      <c r="G1054" s="69"/>
      <c r="H1054" s="35"/>
      <c r="I1054" s="35"/>
      <c r="J1054" s="35"/>
    </row>
    <row r="1055" spans="3:10" x14ac:dyDescent="0.25">
      <c r="C1055" s="16"/>
      <c r="D1055" s="16"/>
      <c r="E1055" s="64"/>
      <c r="F1055" s="33"/>
      <c r="G1055" s="70"/>
      <c r="H1055" s="16"/>
      <c r="I1055" s="16"/>
      <c r="J1055" s="16"/>
    </row>
    <row r="1056" spans="3:10" x14ac:dyDescent="0.25">
      <c r="C1056" s="35"/>
      <c r="D1056" s="35"/>
      <c r="E1056" s="65"/>
      <c r="F1056" s="36"/>
      <c r="G1056" s="69"/>
      <c r="H1056" s="35"/>
      <c r="I1056" s="35"/>
      <c r="J1056" s="35"/>
    </row>
    <row r="1057" spans="3:10" x14ac:dyDescent="0.25">
      <c r="C1057" s="16"/>
      <c r="D1057" s="16"/>
      <c r="E1057" s="64"/>
      <c r="F1057" s="33"/>
      <c r="G1057" s="70"/>
      <c r="H1057" s="16"/>
      <c r="I1057" s="16"/>
      <c r="J1057" s="16"/>
    </row>
    <row r="1058" spans="3:10" x14ac:dyDescent="0.25">
      <c r="C1058" s="35"/>
      <c r="D1058" s="35"/>
      <c r="E1058" s="65"/>
      <c r="F1058" s="36"/>
      <c r="G1058" s="69"/>
      <c r="H1058" s="35"/>
      <c r="I1058" s="35"/>
      <c r="J1058" s="35"/>
    </row>
    <row r="1059" spans="3:10" x14ac:dyDescent="0.25">
      <c r="C1059" s="16"/>
      <c r="D1059" s="16"/>
      <c r="E1059" s="64"/>
      <c r="F1059" s="33"/>
      <c r="G1059" s="70"/>
      <c r="H1059" s="16"/>
      <c r="I1059" s="16"/>
      <c r="J1059" s="16"/>
    </row>
    <row r="1060" spans="3:10" x14ac:dyDescent="0.25">
      <c r="C1060" s="35"/>
      <c r="D1060" s="35"/>
      <c r="E1060" s="65"/>
      <c r="F1060" s="36"/>
      <c r="G1060" s="69"/>
      <c r="H1060" s="35"/>
      <c r="I1060" s="35"/>
      <c r="J1060" s="35"/>
    </row>
    <row r="1061" spans="3:10" x14ac:dyDescent="0.25">
      <c r="C1061" s="16"/>
      <c r="D1061" s="16"/>
      <c r="E1061" s="64"/>
      <c r="F1061" s="33"/>
      <c r="G1061" s="70"/>
      <c r="H1061" s="16"/>
      <c r="I1061" s="16"/>
      <c r="J1061" s="16"/>
    </row>
    <row r="1062" spans="3:10" x14ac:dyDescent="0.25">
      <c r="C1062" s="35"/>
      <c r="D1062" s="35"/>
      <c r="E1062" s="65"/>
      <c r="F1062" s="36"/>
      <c r="G1062" s="69"/>
      <c r="H1062" s="35"/>
      <c r="I1062" s="35"/>
      <c r="J1062" s="35"/>
    </row>
    <row r="1063" spans="3:10" x14ac:dyDescent="0.25">
      <c r="C1063" s="16"/>
      <c r="D1063" s="16"/>
      <c r="E1063" s="64"/>
      <c r="F1063" s="33"/>
      <c r="G1063" s="70"/>
      <c r="H1063" s="16"/>
      <c r="I1063" s="16"/>
      <c r="J1063" s="16"/>
    </row>
    <row r="1064" spans="3:10" x14ac:dyDescent="0.25">
      <c r="C1064" s="35"/>
      <c r="D1064" s="35"/>
      <c r="E1064" s="65"/>
      <c r="F1064" s="36"/>
      <c r="G1064" s="69"/>
      <c r="H1064" s="35"/>
      <c r="I1064" s="35"/>
      <c r="J1064" s="35"/>
    </row>
    <row r="1065" spans="3:10" x14ac:dyDescent="0.25">
      <c r="C1065" s="16"/>
      <c r="D1065" s="16"/>
      <c r="E1065" s="64"/>
      <c r="F1065" s="33"/>
      <c r="G1065" s="70"/>
      <c r="H1065" s="16"/>
      <c r="I1065" s="16"/>
      <c r="J1065" s="16"/>
    </row>
    <row r="1066" spans="3:10" x14ac:dyDescent="0.25">
      <c r="C1066" s="35"/>
      <c r="D1066" s="35"/>
      <c r="E1066" s="65"/>
      <c r="F1066" s="36"/>
      <c r="G1066" s="69"/>
      <c r="H1066" s="35"/>
      <c r="I1066" s="35"/>
      <c r="J1066" s="35"/>
    </row>
    <row r="1067" spans="3:10" x14ac:dyDescent="0.25">
      <c r="C1067" s="16"/>
      <c r="D1067" s="16"/>
      <c r="E1067" s="64"/>
      <c r="F1067" s="33"/>
      <c r="G1067" s="70"/>
      <c r="H1067" s="16"/>
      <c r="I1067" s="16"/>
      <c r="J1067" s="16"/>
    </row>
    <row r="1068" spans="3:10" x14ac:dyDescent="0.25">
      <c r="C1068" s="35"/>
      <c r="D1068" s="35"/>
      <c r="E1068" s="65"/>
      <c r="F1068" s="36"/>
      <c r="G1068" s="69"/>
      <c r="H1068" s="35"/>
      <c r="I1068" s="35"/>
      <c r="J1068" s="35"/>
    </row>
    <row r="1069" spans="3:10" x14ac:dyDescent="0.25">
      <c r="C1069" s="16"/>
      <c r="D1069" s="16"/>
      <c r="E1069" s="64"/>
      <c r="F1069" s="33"/>
      <c r="G1069" s="70"/>
      <c r="H1069" s="16"/>
      <c r="I1069" s="16"/>
      <c r="J1069" s="16"/>
    </row>
    <row r="1070" spans="3:10" x14ac:dyDescent="0.25">
      <c r="C1070" s="35"/>
      <c r="D1070" s="35"/>
      <c r="E1070" s="65"/>
      <c r="F1070" s="36"/>
      <c r="G1070" s="69"/>
      <c r="H1070" s="35"/>
      <c r="I1070" s="35"/>
      <c r="J1070" s="35"/>
    </row>
    <row r="1071" spans="3:10" x14ac:dyDescent="0.25">
      <c r="C1071" s="16"/>
      <c r="D1071" s="16"/>
      <c r="E1071" s="64"/>
      <c r="F1071" s="33"/>
      <c r="G1071" s="70"/>
      <c r="H1071" s="16"/>
      <c r="I1071" s="16"/>
      <c r="J1071" s="16"/>
    </row>
    <row r="1072" spans="3:10" x14ac:dyDescent="0.25">
      <c r="C1072" s="35"/>
      <c r="D1072" s="35"/>
      <c r="E1072" s="65"/>
      <c r="F1072" s="36"/>
      <c r="G1072" s="69"/>
      <c r="H1072" s="35"/>
      <c r="I1072" s="35"/>
      <c r="J1072" s="35"/>
    </row>
    <row r="1073" spans="3:10" x14ac:dyDescent="0.25">
      <c r="C1073" s="16"/>
      <c r="D1073" s="16"/>
      <c r="E1073" s="64"/>
      <c r="F1073" s="33"/>
      <c r="G1073" s="70"/>
      <c r="H1073" s="16"/>
      <c r="I1073" s="16"/>
      <c r="J1073" s="16"/>
    </row>
    <row r="1074" spans="3:10" x14ac:dyDescent="0.25">
      <c r="C1074" s="35"/>
      <c r="D1074" s="35"/>
      <c r="E1074" s="65"/>
      <c r="F1074" s="36"/>
      <c r="G1074" s="69"/>
      <c r="H1074" s="35"/>
      <c r="I1074" s="35"/>
      <c r="J1074" s="35"/>
    </row>
    <row r="1075" spans="3:10" x14ac:dyDescent="0.25">
      <c r="C1075" s="16"/>
      <c r="D1075" s="16"/>
      <c r="E1075" s="64"/>
      <c r="F1075" s="33"/>
      <c r="G1075" s="70"/>
      <c r="H1075" s="16"/>
      <c r="I1075" s="16"/>
      <c r="J1075" s="16"/>
    </row>
    <row r="1076" spans="3:10" x14ac:dyDescent="0.25">
      <c r="C1076" s="35"/>
      <c r="D1076" s="35"/>
      <c r="E1076" s="65"/>
      <c r="F1076" s="36"/>
      <c r="G1076" s="69"/>
      <c r="H1076" s="35"/>
      <c r="I1076" s="35"/>
      <c r="J1076" s="35"/>
    </row>
    <row r="1077" spans="3:10" x14ac:dyDescent="0.25">
      <c r="C1077" s="16"/>
      <c r="D1077" s="16"/>
      <c r="E1077" s="64"/>
      <c r="F1077" s="33"/>
      <c r="G1077" s="70"/>
      <c r="H1077" s="16"/>
      <c r="I1077" s="16"/>
      <c r="J1077" s="16"/>
    </row>
    <row r="1078" spans="3:10" x14ac:dyDescent="0.25">
      <c r="C1078" s="35"/>
      <c r="D1078" s="35"/>
      <c r="E1078" s="65"/>
      <c r="F1078" s="36"/>
      <c r="G1078" s="69"/>
      <c r="H1078" s="35"/>
      <c r="I1078" s="35"/>
      <c r="J1078" s="35"/>
    </row>
    <row r="1079" spans="3:10" x14ac:dyDescent="0.25">
      <c r="C1079" s="16"/>
      <c r="D1079" s="16"/>
      <c r="E1079" s="64"/>
      <c r="F1079" s="33"/>
      <c r="G1079" s="70"/>
      <c r="H1079" s="16"/>
      <c r="I1079" s="16"/>
      <c r="J1079" s="16"/>
    </row>
    <row r="1080" spans="3:10" x14ac:dyDescent="0.25">
      <c r="C1080" s="35"/>
      <c r="D1080" s="35"/>
      <c r="E1080" s="65"/>
      <c r="F1080" s="36"/>
      <c r="G1080" s="69"/>
      <c r="H1080" s="35"/>
      <c r="I1080" s="35"/>
      <c r="J1080" s="35"/>
    </row>
    <row r="1081" spans="3:10" x14ac:dyDescent="0.25">
      <c r="C1081" s="16"/>
      <c r="D1081" s="16"/>
      <c r="E1081" s="64"/>
      <c r="F1081" s="33"/>
      <c r="G1081" s="70"/>
      <c r="H1081" s="16"/>
      <c r="I1081" s="16"/>
      <c r="J1081" s="16"/>
    </row>
    <row r="1082" spans="3:10" x14ac:dyDescent="0.25">
      <c r="C1082" s="35"/>
      <c r="D1082" s="35"/>
      <c r="E1082" s="65"/>
      <c r="F1082" s="36"/>
      <c r="G1082" s="69"/>
      <c r="H1082" s="35"/>
      <c r="I1082" s="35"/>
      <c r="J1082" s="35"/>
    </row>
    <row r="1083" spans="3:10" x14ac:dyDescent="0.25">
      <c r="C1083" s="16"/>
      <c r="D1083" s="16"/>
      <c r="E1083" s="64"/>
      <c r="F1083" s="33"/>
      <c r="G1083" s="70"/>
      <c r="H1083" s="16"/>
      <c r="I1083" s="16"/>
      <c r="J1083" s="16"/>
    </row>
    <row r="1084" spans="3:10" x14ac:dyDescent="0.25">
      <c r="C1084" s="35"/>
      <c r="D1084" s="35"/>
      <c r="E1084" s="65"/>
      <c r="F1084" s="36"/>
      <c r="G1084" s="69"/>
      <c r="H1084" s="35"/>
      <c r="I1084" s="35"/>
      <c r="J1084" s="35"/>
    </row>
    <row r="1085" spans="3:10" x14ac:dyDescent="0.25">
      <c r="C1085" s="16"/>
      <c r="D1085" s="16"/>
      <c r="E1085" s="64"/>
      <c r="F1085" s="33"/>
      <c r="G1085" s="70"/>
      <c r="H1085" s="16"/>
      <c r="I1085" s="16"/>
      <c r="J1085" s="16"/>
    </row>
    <row r="1086" spans="3:10" x14ac:dyDescent="0.25">
      <c r="C1086" s="35"/>
      <c r="D1086" s="35"/>
      <c r="E1086" s="65"/>
      <c r="F1086" s="36"/>
      <c r="G1086" s="69"/>
      <c r="H1086" s="35"/>
      <c r="I1086" s="35"/>
      <c r="J1086" s="35"/>
    </row>
    <row r="1087" spans="3:10" x14ac:dyDescent="0.25">
      <c r="C1087" s="16"/>
      <c r="D1087" s="16"/>
      <c r="E1087" s="64"/>
      <c r="F1087" s="33"/>
      <c r="G1087" s="70"/>
      <c r="H1087" s="16"/>
      <c r="I1087" s="16"/>
      <c r="J1087" s="16"/>
    </row>
    <row r="1088" spans="3:10" x14ac:dyDescent="0.25">
      <c r="C1088" s="35"/>
      <c r="D1088" s="35"/>
      <c r="E1088" s="65"/>
      <c r="F1088" s="36"/>
      <c r="G1088" s="69"/>
      <c r="H1088" s="35"/>
      <c r="I1088" s="35"/>
      <c r="J1088" s="35"/>
    </row>
    <row r="1089" spans="3:10" x14ac:dyDescent="0.25">
      <c r="C1089" s="16"/>
      <c r="D1089" s="16"/>
      <c r="E1089" s="64"/>
      <c r="F1089" s="33"/>
      <c r="G1089" s="70"/>
      <c r="H1089" s="16"/>
      <c r="I1089" s="16"/>
      <c r="J1089" s="16"/>
    </row>
    <row r="1090" spans="3:10" x14ac:dyDescent="0.25">
      <c r="C1090" s="35"/>
      <c r="D1090" s="35"/>
      <c r="E1090" s="65"/>
      <c r="F1090" s="36"/>
      <c r="G1090" s="69"/>
      <c r="H1090" s="35"/>
      <c r="I1090" s="35"/>
      <c r="J1090" s="35"/>
    </row>
    <row r="1091" spans="3:10" x14ac:dyDescent="0.25">
      <c r="C1091" s="16"/>
      <c r="D1091" s="16"/>
      <c r="E1091" s="64"/>
      <c r="F1091" s="33"/>
      <c r="G1091" s="70"/>
      <c r="H1091" s="16"/>
      <c r="I1091" s="16"/>
      <c r="J1091" s="16"/>
    </row>
    <row r="1092" spans="3:10" x14ac:dyDescent="0.25">
      <c r="C1092" s="35"/>
      <c r="D1092" s="35"/>
      <c r="E1092" s="65"/>
      <c r="F1092" s="36"/>
      <c r="G1092" s="69"/>
      <c r="H1092" s="35"/>
      <c r="I1092" s="35"/>
      <c r="J1092" s="35"/>
    </row>
    <row r="1093" spans="3:10" x14ac:dyDescent="0.25">
      <c r="C1093" s="16"/>
      <c r="D1093" s="16"/>
      <c r="E1093" s="64"/>
      <c r="F1093" s="33"/>
      <c r="G1093" s="70"/>
      <c r="H1093" s="16"/>
      <c r="I1093" s="16"/>
      <c r="J1093" s="16"/>
    </row>
    <row r="1094" spans="3:10" x14ac:dyDescent="0.25">
      <c r="C1094" s="35"/>
      <c r="D1094" s="35"/>
      <c r="E1094" s="65"/>
      <c r="F1094" s="36"/>
      <c r="G1094" s="69"/>
      <c r="H1094" s="35"/>
      <c r="I1094" s="35"/>
      <c r="J1094" s="35"/>
    </row>
    <row r="1095" spans="3:10" x14ac:dyDescent="0.25">
      <c r="C1095" s="16"/>
      <c r="D1095" s="16"/>
      <c r="E1095" s="64"/>
      <c r="F1095" s="33"/>
      <c r="G1095" s="70"/>
      <c r="H1095" s="16"/>
      <c r="I1095" s="16"/>
      <c r="J1095" s="16"/>
    </row>
    <row r="1096" spans="3:10" x14ac:dyDescent="0.25">
      <c r="C1096" s="35"/>
      <c r="D1096" s="35"/>
      <c r="E1096" s="65"/>
      <c r="F1096" s="36"/>
      <c r="G1096" s="69"/>
      <c r="H1096" s="35"/>
      <c r="I1096" s="35"/>
      <c r="J1096" s="35"/>
    </row>
    <row r="1097" spans="3:10" x14ac:dyDescent="0.25">
      <c r="C1097" s="16"/>
      <c r="D1097" s="16"/>
      <c r="E1097" s="64"/>
      <c r="F1097" s="33"/>
      <c r="G1097" s="70"/>
      <c r="H1097" s="16"/>
      <c r="I1097" s="16"/>
      <c r="J1097" s="16"/>
    </row>
    <row r="1098" spans="3:10" x14ac:dyDescent="0.25">
      <c r="C1098" s="35"/>
      <c r="D1098" s="35"/>
      <c r="E1098" s="65"/>
      <c r="F1098" s="36"/>
      <c r="G1098" s="69"/>
      <c r="H1098" s="35"/>
      <c r="I1098" s="35"/>
      <c r="J1098" s="35"/>
    </row>
    <row r="1099" spans="3:10" x14ac:dyDescent="0.25">
      <c r="C1099" s="16"/>
      <c r="D1099" s="16"/>
      <c r="E1099" s="64"/>
      <c r="F1099" s="33"/>
      <c r="G1099" s="70"/>
      <c r="H1099" s="16"/>
      <c r="I1099" s="16"/>
      <c r="J1099" s="16"/>
    </row>
    <row r="1100" spans="3:10" x14ac:dyDescent="0.25">
      <c r="C1100" s="35"/>
      <c r="D1100" s="35"/>
      <c r="E1100" s="65"/>
      <c r="F1100" s="36"/>
      <c r="G1100" s="69"/>
      <c r="H1100" s="35"/>
      <c r="I1100" s="35"/>
      <c r="J1100" s="35"/>
    </row>
    <row r="1101" spans="3:10" x14ac:dyDescent="0.25">
      <c r="C1101" s="16"/>
      <c r="D1101" s="16"/>
      <c r="E1101" s="64"/>
      <c r="F1101" s="33"/>
      <c r="G1101" s="70"/>
      <c r="H1101" s="16"/>
      <c r="I1101" s="16"/>
      <c r="J1101" s="16"/>
    </row>
    <row r="1102" spans="3:10" x14ac:dyDescent="0.25">
      <c r="C1102" s="35"/>
      <c r="D1102" s="35"/>
      <c r="E1102" s="65"/>
      <c r="F1102" s="36"/>
      <c r="G1102" s="69"/>
      <c r="H1102" s="35"/>
      <c r="I1102" s="35"/>
      <c r="J1102" s="35"/>
    </row>
    <row r="1103" spans="3:10" x14ac:dyDescent="0.25">
      <c r="C1103" s="16"/>
      <c r="D1103" s="16"/>
      <c r="E1103" s="64"/>
      <c r="F1103" s="33"/>
      <c r="G1103" s="70"/>
      <c r="H1103" s="16"/>
      <c r="I1103" s="16"/>
      <c r="J1103" s="16"/>
    </row>
    <row r="1104" spans="3:10" x14ac:dyDescent="0.25">
      <c r="C1104" s="35"/>
      <c r="D1104" s="35"/>
      <c r="E1104" s="65"/>
      <c r="F1104" s="36"/>
      <c r="G1104" s="69"/>
      <c r="H1104" s="35"/>
      <c r="I1104" s="35"/>
      <c r="J1104" s="35"/>
    </row>
    <row r="1105" spans="3:10" x14ac:dyDescent="0.25">
      <c r="C1105" s="16"/>
      <c r="D1105" s="16"/>
      <c r="E1105" s="64"/>
      <c r="F1105" s="33"/>
      <c r="G1105" s="70"/>
      <c r="H1105" s="16"/>
      <c r="I1105" s="16"/>
      <c r="J1105" s="16"/>
    </row>
    <row r="1106" spans="3:10" x14ac:dyDescent="0.25">
      <c r="C1106" s="35"/>
      <c r="D1106" s="35"/>
      <c r="E1106" s="65"/>
      <c r="F1106" s="36"/>
      <c r="G1106" s="69"/>
      <c r="H1106" s="35"/>
      <c r="I1106" s="35"/>
      <c r="J1106" s="35"/>
    </row>
    <row r="1107" spans="3:10" x14ac:dyDescent="0.25">
      <c r="C1107" s="16"/>
      <c r="D1107" s="16"/>
      <c r="E1107" s="64"/>
      <c r="F1107" s="33"/>
      <c r="G1107" s="70"/>
      <c r="H1107" s="16"/>
      <c r="I1107" s="16"/>
      <c r="J1107" s="16"/>
    </row>
    <row r="1108" spans="3:10" x14ac:dyDescent="0.25">
      <c r="C1108" s="35"/>
      <c r="D1108" s="35"/>
      <c r="E1108" s="65"/>
      <c r="F1108" s="36"/>
      <c r="G1108" s="69"/>
      <c r="H1108" s="35"/>
      <c r="I1108" s="35"/>
      <c r="J1108" s="35"/>
    </row>
    <row r="1109" spans="3:10" x14ac:dyDescent="0.25">
      <c r="C1109" s="16"/>
      <c r="D1109" s="16"/>
      <c r="E1109" s="64"/>
      <c r="F1109" s="33"/>
      <c r="G1109" s="70"/>
      <c r="H1109" s="16"/>
      <c r="I1109" s="16"/>
      <c r="J1109" s="16"/>
    </row>
    <row r="1110" spans="3:10" x14ac:dyDescent="0.25">
      <c r="C1110" s="35"/>
      <c r="D1110" s="35"/>
      <c r="E1110" s="65"/>
      <c r="F1110" s="36"/>
      <c r="G1110" s="69"/>
      <c r="H1110" s="35"/>
      <c r="I1110" s="35"/>
      <c r="J1110" s="35"/>
    </row>
    <row r="1111" spans="3:10" x14ac:dyDescent="0.25">
      <c r="C1111" s="16"/>
      <c r="D1111" s="16"/>
      <c r="E1111" s="64"/>
      <c r="F1111" s="33"/>
      <c r="G1111" s="70"/>
      <c r="H1111" s="16"/>
      <c r="I1111" s="16"/>
      <c r="J1111" s="16"/>
    </row>
    <row r="1112" spans="3:10" x14ac:dyDescent="0.25">
      <c r="C1112" s="35"/>
      <c r="D1112" s="35"/>
      <c r="E1112" s="65"/>
      <c r="F1112" s="36"/>
      <c r="G1112" s="69"/>
      <c r="H1112" s="35"/>
      <c r="I1112" s="35"/>
      <c r="J1112" s="35"/>
    </row>
    <row r="1113" spans="3:10" x14ac:dyDescent="0.25">
      <c r="C1113" s="16"/>
      <c r="D1113" s="16"/>
      <c r="E1113" s="64"/>
      <c r="F1113" s="33"/>
      <c r="G1113" s="70"/>
      <c r="H1113" s="16"/>
      <c r="I1113" s="16"/>
      <c r="J1113" s="16"/>
    </row>
    <row r="1114" spans="3:10" x14ac:dyDescent="0.25">
      <c r="C1114" s="35"/>
      <c r="D1114" s="35"/>
      <c r="E1114" s="65"/>
      <c r="F1114" s="36"/>
      <c r="G1114" s="69"/>
      <c r="H1114" s="35"/>
      <c r="I1114" s="35"/>
      <c r="J1114" s="35"/>
    </row>
    <row r="1115" spans="3:10" x14ac:dyDescent="0.25">
      <c r="C1115" s="16"/>
      <c r="D1115" s="16"/>
      <c r="E1115" s="64"/>
      <c r="F1115" s="33"/>
      <c r="G1115" s="70"/>
      <c r="H1115" s="16"/>
      <c r="I1115" s="16"/>
      <c r="J1115" s="16"/>
    </row>
    <row r="1116" spans="3:10" x14ac:dyDescent="0.25">
      <c r="C1116" s="35"/>
      <c r="D1116" s="35"/>
      <c r="E1116" s="65"/>
      <c r="F1116" s="36"/>
      <c r="G1116" s="69"/>
      <c r="H1116" s="35"/>
      <c r="I1116" s="35"/>
      <c r="J1116" s="35"/>
    </row>
    <row r="1117" spans="3:10" x14ac:dyDescent="0.25">
      <c r="C1117" s="16"/>
      <c r="D1117" s="16"/>
      <c r="E1117" s="64"/>
      <c r="F1117" s="33"/>
      <c r="G1117" s="70"/>
      <c r="H1117" s="16"/>
      <c r="I1117" s="16"/>
      <c r="J1117" s="16"/>
    </row>
    <row r="1118" spans="3:10" x14ac:dyDescent="0.25">
      <c r="C1118" s="35"/>
      <c r="D1118" s="35"/>
      <c r="E1118" s="65"/>
      <c r="F1118" s="36"/>
      <c r="G1118" s="69"/>
      <c r="H1118" s="35"/>
      <c r="I1118" s="35"/>
      <c r="J1118" s="35"/>
    </row>
    <row r="1119" spans="3:10" x14ac:dyDescent="0.25">
      <c r="C1119" s="16"/>
      <c r="D1119" s="16"/>
      <c r="E1119" s="64"/>
      <c r="F1119" s="33"/>
      <c r="G1119" s="70"/>
      <c r="H1119" s="16"/>
      <c r="I1119" s="16"/>
      <c r="J1119" s="16"/>
    </row>
    <row r="1120" spans="3:10" x14ac:dyDescent="0.25">
      <c r="C1120" s="35"/>
      <c r="D1120" s="35"/>
      <c r="E1120" s="65"/>
      <c r="F1120" s="36"/>
      <c r="G1120" s="69"/>
      <c r="H1120" s="35"/>
      <c r="I1120" s="35"/>
      <c r="J1120" s="35"/>
    </row>
    <row r="1121" spans="3:10" x14ac:dyDescent="0.25">
      <c r="C1121" s="16"/>
      <c r="D1121" s="16"/>
      <c r="E1121" s="64"/>
      <c r="F1121" s="33"/>
      <c r="G1121" s="70"/>
      <c r="H1121" s="16"/>
      <c r="I1121" s="16"/>
      <c r="J1121" s="16"/>
    </row>
    <row r="1122" spans="3:10" x14ac:dyDescent="0.25">
      <c r="C1122" s="35"/>
      <c r="D1122" s="35"/>
      <c r="E1122" s="65"/>
      <c r="F1122" s="36"/>
      <c r="G1122" s="69"/>
      <c r="H1122" s="35"/>
      <c r="I1122" s="35"/>
      <c r="J1122" s="35"/>
    </row>
    <row r="1123" spans="3:10" x14ac:dyDescent="0.25">
      <c r="C1123" s="16"/>
      <c r="D1123" s="16"/>
      <c r="E1123" s="64"/>
      <c r="F1123" s="33"/>
      <c r="G1123" s="70"/>
      <c r="H1123" s="16"/>
      <c r="I1123" s="16"/>
      <c r="J1123" s="16"/>
    </row>
    <row r="1124" spans="3:10" x14ac:dyDescent="0.25">
      <c r="C1124" s="35"/>
      <c r="D1124" s="35"/>
      <c r="E1124" s="65"/>
      <c r="F1124" s="36"/>
      <c r="G1124" s="69"/>
      <c r="H1124" s="35"/>
      <c r="I1124" s="35"/>
      <c r="J1124" s="35"/>
    </row>
    <row r="1125" spans="3:10" x14ac:dyDescent="0.25">
      <c r="C1125" s="16"/>
      <c r="D1125" s="16"/>
      <c r="E1125" s="64"/>
      <c r="F1125" s="33"/>
      <c r="G1125" s="70"/>
      <c r="H1125" s="16"/>
      <c r="I1125" s="16"/>
      <c r="J1125" s="16"/>
    </row>
    <row r="1126" spans="3:10" x14ac:dyDescent="0.25">
      <c r="C1126" s="35"/>
      <c r="D1126" s="35"/>
      <c r="E1126" s="65"/>
      <c r="F1126" s="36"/>
      <c r="G1126" s="69"/>
      <c r="H1126" s="35"/>
      <c r="I1126" s="35"/>
      <c r="J1126" s="35"/>
    </row>
    <row r="1127" spans="3:10" x14ac:dyDescent="0.25">
      <c r="C1127" s="16"/>
      <c r="D1127" s="16"/>
      <c r="E1127" s="64"/>
      <c r="F1127" s="33"/>
      <c r="G1127" s="70"/>
      <c r="H1127" s="16"/>
      <c r="I1127" s="16"/>
      <c r="J1127" s="16"/>
    </row>
    <row r="1128" spans="3:10" x14ac:dyDescent="0.25">
      <c r="C1128" s="35"/>
      <c r="D1128" s="35"/>
      <c r="E1128" s="65"/>
      <c r="F1128" s="36"/>
      <c r="G1128" s="69"/>
      <c r="H1128" s="35"/>
      <c r="I1128" s="35"/>
      <c r="J1128" s="35"/>
    </row>
    <row r="1129" spans="3:10" x14ac:dyDescent="0.25">
      <c r="C1129" s="16"/>
      <c r="D1129" s="16"/>
      <c r="E1129" s="64"/>
      <c r="F1129" s="33"/>
      <c r="G1129" s="70"/>
      <c r="H1129" s="16"/>
      <c r="I1129" s="16"/>
      <c r="J1129" s="16"/>
    </row>
    <row r="1130" spans="3:10" x14ac:dyDescent="0.25">
      <c r="C1130" s="35"/>
      <c r="D1130" s="35"/>
      <c r="E1130" s="65"/>
      <c r="F1130" s="36"/>
      <c r="G1130" s="69"/>
      <c r="H1130" s="35"/>
      <c r="I1130" s="35"/>
      <c r="J1130" s="35"/>
    </row>
    <row r="1131" spans="3:10" x14ac:dyDescent="0.25">
      <c r="C1131" s="16"/>
      <c r="D1131" s="16"/>
      <c r="E1131" s="64"/>
      <c r="F1131" s="33"/>
      <c r="G1131" s="70"/>
      <c r="H1131" s="16"/>
      <c r="I1131" s="16"/>
      <c r="J1131" s="16"/>
    </row>
    <row r="1132" spans="3:10" x14ac:dyDescent="0.25">
      <c r="C1132" s="35"/>
      <c r="D1132" s="35"/>
      <c r="E1132" s="65"/>
      <c r="F1132" s="36"/>
      <c r="G1132" s="69"/>
      <c r="H1132" s="35"/>
      <c r="I1132" s="35"/>
      <c r="J1132" s="35"/>
    </row>
    <row r="1133" spans="3:10" x14ac:dyDescent="0.25">
      <c r="C1133" s="16"/>
      <c r="D1133" s="16"/>
      <c r="E1133" s="64"/>
      <c r="F1133" s="33"/>
      <c r="G1133" s="70"/>
      <c r="H1133" s="16"/>
      <c r="I1133" s="16"/>
      <c r="J1133" s="16"/>
    </row>
    <row r="1134" spans="3:10" x14ac:dyDescent="0.25">
      <c r="C1134" s="35"/>
      <c r="D1134" s="35"/>
      <c r="E1134" s="65"/>
      <c r="F1134" s="36"/>
      <c r="G1134" s="69"/>
      <c r="H1134" s="35"/>
      <c r="I1134" s="35"/>
      <c r="J1134" s="35"/>
    </row>
    <row r="1135" spans="3:10" x14ac:dyDescent="0.25">
      <c r="C1135" s="16"/>
      <c r="D1135" s="16"/>
      <c r="E1135" s="64"/>
      <c r="F1135" s="33"/>
      <c r="G1135" s="70"/>
      <c r="H1135" s="16"/>
      <c r="I1135" s="16"/>
      <c r="J1135" s="16"/>
    </row>
    <row r="1136" spans="3:10" x14ac:dyDescent="0.25">
      <c r="C1136" s="35"/>
      <c r="D1136" s="35"/>
      <c r="E1136" s="65"/>
      <c r="F1136" s="36"/>
      <c r="G1136" s="69"/>
      <c r="H1136" s="35"/>
      <c r="I1136" s="35"/>
      <c r="J1136" s="35"/>
    </row>
    <row r="1137" spans="3:10" x14ac:dyDescent="0.25">
      <c r="C1137" s="16"/>
      <c r="D1137" s="16"/>
      <c r="E1137" s="64"/>
      <c r="F1137" s="33"/>
      <c r="G1137" s="70"/>
      <c r="H1137" s="16"/>
      <c r="I1137" s="16"/>
      <c r="J1137" s="16"/>
    </row>
    <row r="1138" spans="3:10" x14ac:dyDescent="0.25">
      <c r="C1138" s="35"/>
      <c r="D1138" s="35"/>
      <c r="E1138" s="65"/>
      <c r="F1138" s="36"/>
      <c r="G1138" s="69"/>
      <c r="H1138" s="35"/>
      <c r="I1138" s="35"/>
      <c r="J1138" s="35"/>
    </row>
    <row r="1139" spans="3:10" x14ac:dyDescent="0.25">
      <c r="C1139" s="16"/>
      <c r="D1139" s="16"/>
      <c r="E1139" s="64"/>
      <c r="F1139" s="33"/>
      <c r="G1139" s="70"/>
      <c r="H1139" s="16"/>
      <c r="I1139" s="16"/>
      <c r="J1139" s="16"/>
    </row>
    <row r="1140" spans="3:10" x14ac:dyDescent="0.25">
      <c r="C1140" s="35"/>
      <c r="D1140" s="35"/>
      <c r="E1140" s="65"/>
      <c r="F1140" s="36"/>
      <c r="G1140" s="69"/>
      <c r="H1140" s="35"/>
      <c r="I1140" s="35"/>
      <c r="J1140" s="35"/>
    </row>
    <row r="1141" spans="3:10" x14ac:dyDescent="0.25">
      <c r="C1141" s="16"/>
      <c r="D1141" s="16"/>
      <c r="E1141" s="64"/>
      <c r="F1141" s="33"/>
      <c r="G1141" s="70"/>
      <c r="H1141" s="16"/>
      <c r="I1141" s="16"/>
      <c r="J1141" s="16"/>
    </row>
    <row r="1142" spans="3:10" x14ac:dyDescent="0.25">
      <c r="C1142" s="35"/>
      <c r="D1142" s="35"/>
      <c r="E1142" s="65"/>
      <c r="F1142" s="36"/>
      <c r="G1142" s="69"/>
      <c r="H1142" s="35"/>
      <c r="I1142" s="35"/>
      <c r="J1142" s="35"/>
    </row>
    <row r="1143" spans="3:10" x14ac:dyDescent="0.25">
      <c r="C1143" s="16"/>
      <c r="D1143" s="16"/>
      <c r="E1143" s="64"/>
      <c r="F1143" s="33"/>
      <c r="G1143" s="70"/>
      <c r="H1143" s="16"/>
      <c r="I1143" s="16"/>
      <c r="J1143" s="16"/>
    </row>
    <row r="1144" spans="3:10" x14ac:dyDescent="0.25">
      <c r="C1144" s="35"/>
      <c r="D1144" s="35"/>
      <c r="E1144" s="65"/>
      <c r="F1144" s="36"/>
      <c r="G1144" s="69"/>
      <c r="H1144" s="35"/>
      <c r="I1144" s="35"/>
      <c r="J1144" s="35"/>
    </row>
    <row r="1145" spans="3:10" x14ac:dyDescent="0.25">
      <c r="C1145" s="16"/>
      <c r="D1145" s="16"/>
      <c r="E1145" s="64"/>
      <c r="F1145" s="33"/>
      <c r="G1145" s="70"/>
      <c r="H1145" s="16"/>
      <c r="I1145" s="16"/>
      <c r="J1145" s="16"/>
    </row>
    <row r="1146" spans="3:10" x14ac:dyDescent="0.25">
      <c r="C1146" s="35"/>
      <c r="D1146" s="35"/>
      <c r="E1146" s="65"/>
      <c r="F1146" s="36"/>
      <c r="G1146" s="69"/>
      <c r="H1146" s="35"/>
      <c r="I1146" s="35"/>
      <c r="J1146" s="35"/>
    </row>
    <row r="1147" spans="3:10" x14ac:dyDescent="0.25">
      <c r="C1147" s="16"/>
      <c r="D1147" s="16"/>
      <c r="E1147" s="64"/>
      <c r="F1147" s="33"/>
      <c r="G1147" s="70"/>
      <c r="H1147" s="16"/>
      <c r="I1147" s="16"/>
      <c r="J1147" s="16"/>
    </row>
    <row r="1148" spans="3:10" x14ac:dyDescent="0.25">
      <c r="C1148" s="35"/>
      <c r="D1148" s="35"/>
      <c r="E1148" s="65"/>
      <c r="F1148" s="36"/>
      <c r="G1148" s="69"/>
      <c r="H1148" s="35"/>
      <c r="I1148" s="35"/>
      <c r="J1148" s="35"/>
    </row>
    <row r="1149" spans="3:10" x14ac:dyDescent="0.25">
      <c r="C1149" s="16"/>
      <c r="D1149" s="16"/>
      <c r="E1149" s="64"/>
      <c r="F1149" s="33"/>
      <c r="G1149" s="70"/>
      <c r="H1149" s="16"/>
      <c r="I1149" s="16"/>
      <c r="J1149" s="16"/>
    </row>
    <row r="1150" spans="3:10" x14ac:dyDescent="0.25">
      <c r="C1150" s="35"/>
      <c r="D1150" s="35"/>
      <c r="E1150" s="65"/>
      <c r="F1150" s="36"/>
      <c r="G1150" s="69"/>
      <c r="H1150" s="35"/>
      <c r="I1150" s="35"/>
      <c r="J1150" s="35"/>
    </row>
    <row r="1151" spans="3:10" x14ac:dyDescent="0.25">
      <c r="C1151" s="16"/>
      <c r="D1151" s="16"/>
      <c r="E1151" s="64"/>
      <c r="F1151" s="33"/>
      <c r="G1151" s="70"/>
      <c r="H1151" s="16"/>
      <c r="I1151" s="16"/>
      <c r="J1151" s="16"/>
    </row>
    <row r="1152" spans="3:10" x14ac:dyDescent="0.25">
      <c r="C1152" s="35"/>
      <c r="D1152" s="35"/>
      <c r="E1152" s="65"/>
      <c r="F1152" s="36"/>
      <c r="G1152" s="69"/>
      <c r="H1152" s="35"/>
      <c r="I1152" s="35"/>
      <c r="J1152" s="35"/>
    </row>
    <row r="1153" spans="3:10" x14ac:dyDescent="0.25">
      <c r="C1153" s="16"/>
      <c r="D1153" s="16"/>
      <c r="E1153" s="64"/>
      <c r="F1153" s="33"/>
      <c r="G1153" s="70"/>
      <c r="H1153" s="16"/>
      <c r="I1153" s="16"/>
      <c r="J1153" s="16"/>
    </row>
    <row r="1154" spans="3:10" x14ac:dyDescent="0.25">
      <c r="C1154" s="35"/>
      <c r="D1154" s="35"/>
      <c r="E1154" s="65"/>
      <c r="F1154" s="36"/>
      <c r="G1154" s="69"/>
      <c r="H1154" s="35"/>
      <c r="I1154" s="35"/>
      <c r="J1154" s="35"/>
    </row>
    <row r="1155" spans="3:10" x14ac:dyDescent="0.25">
      <c r="C1155" s="16"/>
      <c r="D1155" s="16"/>
      <c r="E1155" s="64"/>
      <c r="F1155" s="33"/>
      <c r="G1155" s="70"/>
      <c r="H1155" s="16"/>
      <c r="I1155" s="16"/>
      <c r="J1155" s="16"/>
    </row>
    <row r="1156" spans="3:10" x14ac:dyDescent="0.25">
      <c r="C1156" s="35"/>
      <c r="D1156" s="35"/>
      <c r="E1156" s="65"/>
      <c r="F1156" s="36"/>
      <c r="G1156" s="69"/>
      <c r="H1156" s="35"/>
      <c r="I1156" s="35"/>
      <c r="J1156" s="35"/>
    </row>
    <row r="1157" spans="3:10" x14ac:dyDescent="0.25">
      <c r="C1157" s="16"/>
      <c r="D1157" s="16"/>
      <c r="E1157" s="64"/>
      <c r="F1157" s="33"/>
      <c r="G1157" s="70"/>
      <c r="H1157" s="16"/>
      <c r="I1157" s="16"/>
      <c r="J1157" s="16"/>
    </row>
    <row r="1158" spans="3:10" x14ac:dyDescent="0.25">
      <c r="C1158" s="35"/>
      <c r="D1158" s="35"/>
      <c r="E1158" s="65"/>
      <c r="F1158" s="36"/>
      <c r="G1158" s="69"/>
      <c r="H1158" s="35"/>
      <c r="I1158" s="35"/>
      <c r="J1158" s="35"/>
    </row>
    <row r="1159" spans="3:10" x14ac:dyDescent="0.25">
      <c r="C1159" s="16"/>
      <c r="D1159" s="16"/>
      <c r="E1159" s="64"/>
      <c r="F1159" s="33"/>
      <c r="G1159" s="70"/>
      <c r="H1159" s="16"/>
      <c r="I1159" s="16"/>
      <c r="J1159" s="16"/>
    </row>
    <row r="1160" spans="3:10" x14ac:dyDescent="0.25">
      <c r="C1160" s="35"/>
      <c r="D1160" s="35"/>
      <c r="E1160" s="65"/>
      <c r="F1160" s="36"/>
      <c r="G1160" s="69"/>
      <c r="H1160" s="35"/>
      <c r="I1160" s="35"/>
      <c r="J1160" s="35"/>
    </row>
    <row r="1161" spans="3:10" x14ac:dyDescent="0.25">
      <c r="C1161" s="16"/>
      <c r="D1161" s="16"/>
      <c r="E1161" s="64"/>
      <c r="F1161" s="33"/>
      <c r="G1161" s="70"/>
      <c r="H1161" s="16"/>
      <c r="I1161" s="16"/>
      <c r="J1161" s="16"/>
    </row>
    <row r="1162" spans="3:10" x14ac:dyDescent="0.25">
      <c r="C1162" s="35"/>
      <c r="D1162" s="35"/>
      <c r="E1162" s="65"/>
      <c r="F1162" s="36"/>
      <c r="G1162" s="69"/>
      <c r="H1162" s="35"/>
      <c r="I1162" s="35"/>
      <c r="J1162" s="35"/>
    </row>
    <row r="1163" spans="3:10" x14ac:dyDescent="0.25">
      <c r="C1163" s="16"/>
      <c r="D1163" s="16"/>
      <c r="E1163" s="64"/>
      <c r="F1163" s="33"/>
      <c r="G1163" s="70"/>
      <c r="H1163" s="16"/>
      <c r="I1163" s="16"/>
      <c r="J1163" s="16"/>
    </row>
    <row r="1164" spans="3:10" x14ac:dyDescent="0.25">
      <c r="C1164" s="35"/>
      <c r="D1164" s="35"/>
      <c r="E1164" s="65"/>
      <c r="F1164" s="36"/>
      <c r="G1164" s="69"/>
      <c r="H1164" s="35"/>
      <c r="I1164" s="35"/>
      <c r="J1164" s="35"/>
    </row>
    <row r="1165" spans="3:10" x14ac:dyDescent="0.25">
      <c r="C1165" s="16"/>
      <c r="D1165" s="16"/>
      <c r="E1165" s="64"/>
      <c r="F1165" s="33"/>
      <c r="G1165" s="70"/>
      <c r="H1165" s="16"/>
      <c r="I1165" s="16"/>
      <c r="J1165" s="16"/>
    </row>
    <row r="1166" spans="3:10" x14ac:dyDescent="0.25">
      <c r="C1166" s="35"/>
      <c r="D1166" s="35"/>
      <c r="E1166" s="65"/>
      <c r="F1166" s="36"/>
      <c r="G1166" s="69"/>
      <c r="H1166" s="35"/>
      <c r="I1166" s="35"/>
      <c r="J1166" s="35"/>
    </row>
    <row r="1167" spans="3:10" x14ac:dyDescent="0.25">
      <c r="C1167" s="16"/>
      <c r="D1167" s="16"/>
      <c r="E1167" s="64"/>
      <c r="F1167" s="33"/>
      <c r="G1167" s="70"/>
      <c r="H1167" s="16"/>
      <c r="I1167" s="16"/>
      <c r="J1167" s="16"/>
    </row>
    <row r="1168" spans="3:10" x14ac:dyDescent="0.25">
      <c r="C1168" s="35"/>
      <c r="D1168" s="35"/>
      <c r="E1168" s="65"/>
      <c r="F1168" s="36"/>
      <c r="G1168" s="69"/>
      <c r="H1168" s="35"/>
      <c r="I1168" s="35"/>
      <c r="J1168" s="35"/>
    </row>
    <row r="1169" spans="3:10" x14ac:dyDescent="0.25">
      <c r="C1169" s="16"/>
      <c r="D1169" s="16"/>
      <c r="E1169" s="64"/>
      <c r="F1169" s="33"/>
      <c r="G1169" s="70"/>
      <c r="H1169" s="16"/>
      <c r="I1169" s="16"/>
      <c r="J1169" s="16"/>
    </row>
    <row r="1170" spans="3:10" x14ac:dyDescent="0.25">
      <c r="C1170" s="35"/>
      <c r="D1170" s="35"/>
      <c r="E1170" s="65"/>
      <c r="F1170" s="36"/>
      <c r="G1170" s="69"/>
      <c r="H1170" s="35"/>
      <c r="I1170" s="35"/>
      <c r="J1170" s="35"/>
    </row>
    <row r="1171" spans="3:10" x14ac:dyDescent="0.25">
      <c r="C1171" s="16"/>
      <c r="D1171" s="16"/>
      <c r="E1171" s="64"/>
      <c r="F1171" s="33"/>
      <c r="G1171" s="70"/>
      <c r="H1171" s="16"/>
      <c r="I1171" s="16"/>
      <c r="J1171" s="16"/>
    </row>
    <row r="1172" spans="3:10" x14ac:dyDescent="0.25">
      <c r="C1172" s="35"/>
      <c r="D1172" s="35"/>
      <c r="E1172" s="65"/>
      <c r="F1172" s="36"/>
      <c r="G1172" s="69"/>
      <c r="H1172" s="35"/>
      <c r="I1172" s="35"/>
      <c r="J1172" s="35"/>
    </row>
    <row r="1173" spans="3:10" x14ac:dyDescent="0.25">
      <c r="C1173" s="16"/>
      <c r="D1173" s="16"/>
      <c r="E1173" s="64"/>
      <c r="F1173" s="33"/>
      <c r="G1173" s="70"/>
      <c r="H1173" s="16"/>
      <c r="I1173" s="16"/>
      <c r="J1173" s="16"/>
    </row>
    <row r="1174" spans="3:10" x14ac:dyDescent="0.25">
      <c r="C1174" s="35"/>
      <c r="D1174" s="35"/>
      <c r="E1174" s="65"/>
      <c r="F1174" s="36"/>
      <c r="G1174" s="69"/>
      <c r="H1174" s="35"/>
      <c r="I1174" s="35"/>
      <c r="J1174" s="35"/>
    </row>
    <row r="1175" spans="3:10" x14ac:dyDescent="0.25">
      <c r="C1175" s="16"/>
      <c r="D1175" s="16"/>
      <c r="E1175" s="64"/>
      <c r="F1175" s="33"/>
      <c r="G1175" s="70"/>
      <c r="H1175" s="16"/>
      <c r="I1175" s="16"/>
      <c r="J1175" s="16"/>
    </row>
    <row r="1176" spans="3:10" x14ac:dyDescent="0.25">
      <c r="C1176" s="35"/>
      <c r="D1176" s="35"/>
      <c r="E1176" s="65"/>
      <c r="F1176" s="36"/>
      <c r="G1176" s="69"/>
      <c r="H1176" s="35"/>
      <c r="I1176" s="35"/>
      <c r="J1176" s="35"/>
    </row>
    <row r="1177" spans="3:10" x14ac:dyDescent="0.25">
      <c r="C1177" s="16"/>
      <c r="D1177" s="16"/>
      <c r="E1177" s="64"/>
      <c r="F1177" s="33"/>
      <c r="G1177" s="70"/>
      <c r="H1177" s="16"/>
      <c r="I1177" s="16"/>
      <c r="J1177" s="16"/>
    </row>
    <row r="1178" spans="3:10" x14ac:dyDescent="0.25">
      <c r="C1178" s="35"/>
      <c r="D1178" s="35"/>
      <c r="E1178" s="65"/>
      <c r="F1178" s="36"/>
      <c r="G1178" s="69"/>
      <c r="H1178" s="35"/>
      <c r="I1178" s="35"/>
      <c r="J1178" s="35"/>
    </row>
    <row r="1179" spans="3:10" x14ac:dyDescent="0.25">
      <c r="C1179" s="16"/>
      <c r="D1179" s="16"/>
      <c r="E1179" s="64"/>
      <c r="F1179" s="33"/>
      <c r="G1179" s="70"/>
      <c r="H1179" s="16"/>
      <c r="I1179" s="16"/>
      <c r="J1179" s="16"/>
    </row>
    <row r="1180" spans="3:10" x14ac:dyDescent="0.25">
      <c r="C1180" s="35"/>
      <c r="D1180" s="35"/>
      <c r="E1180" s="65"/>
      <c r="F1180" s="36"/>
      <c r="G1180" s="69"/>
      <c r="H1180" s="35"/>
      <c r="I1180" s="35"/>
      <c r="J1180" s="35"/>
    </row>
    <row r="1181" spans="3:10" x14ac:dyDescent="0.25">
      <c r="C1181" s="16"/>
      <c r="D1181" s="16"/>
      <c r="E1181" s="64"/>
      <c r="F1181" s="33"/>
      <c r="G1181" s="70"/>
      <c r="H1181" s="16"/>
      <c r="I1181" s="16"/>
      <c r="J1181" s="16"/>
    </row>
    <row r="1182" spans="3:10" x14ac:dyDescent="0.25">
      <c r="C1182" s="35"/>
      <c r="D1182" s="35"/>
      <c r="E1182" s="65"/>
      <c r="F1182" s="36"/>
      <c r="G1182" s="69"/>
      <c r="H1182" s="35"/>
      <c r="I1182" s="35"/>
      <c r="J1182" s="35"/>
    </row>
    <row r="1183" spans="3:10" x14ac:dyDescent="0.25">
      <c r="C1183" s="16"/>
      <c r="D1183" s="16"/>
      <c r="E1183" s="64"/>
      <c r="F1183" s="33"/>
      <c r="G1183" s="70"/>
      <c r="H1183" s="16"/>
      <c r="I1183" s="16"/>
      <c r="J1183" s="16"/>
    </row>
    <row r="1184" spans="3:10" x14ac:dyDescent="0.25">
      <c r="C1184" s="35"/>
      <c r="D1184" s="35"/>
      <c r="E1184" s="65"/>
      <c r="F1184" s="36"/>
      <c r="G1184" s="69"/>
      <c r="H1184" s="35"/>
      <c r="I1184" s="35"/>
      <c r="J1184" s="35"/>
    </row>
    <row r="1185" spans="3:10" x14ac:dyDescent="0.25">
      <c r="C1185" s="16"/>
      <c r="D1185" s="16"/>
      <c r="E1185" s="64"/>
      <c r="F1185" s="33"/>
      <c r="G1185" s="70"/>
      <c r="H1185" s="16"/>
      <c r="I1185" s="16"/>
      <c r="J1185" s="16"/>
    </row>
    <row r="1186" spans="3:10" x14ac:dyDescent="0.25">
      <c r="C1186" s="35"/>
      <c r="D1186" s="35"/>
      <c r="E1186" s="65"/>
      <c r="F1186" s="36"/>
      <c r="G1186" s="69"/>
      <c r="H1186" s="35"/>
      <c r="I1186" s="35"/>
      <c r="J1186" s="35"/>
    </row>
    <row r="1187" spans="3:10" x14ac:dyDescent="0.25">
      <c r="C1187" s="16"/>
      <c r="D1187" s="16"/>
      <c r="E1187" s="64"/>
      <c r="F1187" s="33"/>
      <c r="G1187" s="70"/>
      <c r="H1187" s="16"/>
      <c r="I1187" s="16"/>
      <c r="J1187" s="16"/>
    </row>
    <row r="1188" spans="3:10" x14ac:dyDescent="0.25">
      <c r="C1188" s="35"/>
      <c r="D1188" s="35"/>
      <c r="E1188" s="65"/>
      <c r="F1188" s="36"/>
      <c r="G1188" s="69"/>
      <c r="H1188" s="35"/>
      <c r="I1188" s="35"/>
      <c r="J1188" s="35"/>
    </row>
    <row r="1189" spans="3:10" x14ac:dyDescent="0.25">
      <c r="C1189" s="16"/>
      <c r="D1189" s="16"/>
      <c r="E1189" s="64"/>
      <c r="F1189" s="33"/>
      <c r="G1189" s="70"/>
      <c r="H1189" s="16"/>
      <c r="I1189" s="16"/>
      <c r="J1189" s="16"/>
    </row>
    <row r="1190" spans="3:10" x14ac:dyDescent="0.25">
      <c r="C1190" s="35"/>
      <c r="D1190" s="35"/>
      <c r="E1190" s="65"/>
      <c r="F1190" s="36"/>
      <c r="G1190" s="69"/>
      <c r="H1190" s="35"/>
      <c r="I1190" s="35"/>
      <c r="J1190" s="35"/>
    </row>
    <row r="1191" spans="3:10" x14ac:dyDescent="0.25">
      <c r="C1191" s="16"/>
      <c r="D1191" s="16"/>
      <c r="E1191" s="64"/>
      <c r="F1191" s="33"/>
      <c r="G1191" s="70"/>
      <c r="H1191" s="16"/>
      <c r="I1191" s="16"/>
      <c r="J1191" s="16"/>
    </row>
    <row r="1192" spans="3:10" x14ac:dyDescent="0.25">
      <c r="C1192" s="35"/>
      <c r="D1192" s="35"/>
      <c r="E1192" s="65"/>
      <c r="F1192" s="36"/>
      <c r="G1192" s="69"/>
      <c r="H1192" s="35"/>
      <c r="I1192" s="35"/>
      <c r="J1192" s="35"/>
    </row>
    <row r="1193" spans="3:10" x14ac:dyDescent="0.25">
      <c r="C1193" s="16"/>
      <c r="D1193" s="16"/>
      <c r="E1193" s="64"/>
      <c r="F1193" s="33"/>
      <c r="G1193" s="70"/>
      <c r="H1193" s="16"/>
      <c r="I1193" s="16"/>
      <c r="J1193" s="16"/>
    </row>
    <row r="1194" spans="3:10" x14ac:dyDescent="0.25">
      <c r="C1194" s="35"/>
      <c r="D1194" s="35"/>
      <c r="E1194" s="65"/>
      <c r="F1194" s="36"/>
      <c r="G1194" s="69"/>
      <c r="H1194" s="35"/>
      <c r="I1194" s="35"/>
      <c r="J1194" s="35"/>
    </row>
    <row r="1195" spans="3:10" x14ac:dyDescent="0.25">
      <c r="C1195" s="16"/>
      <c r="D1195" s="16"/>
      <c r="E1195" s="64"/>
      <c r="F1195" s="33"/>
      <c r="G1195" s="70"/>
      <c r="H1195" s="16"/>
      <c r="I1195" s="16"/>
      <c r="J1195" s="16"/>
    </row>
    <row r="1196" spans="3:10" x14ac:dyDescent="0.25">
      <c r="C1196" s="35"/>
      <c r="D1196" s="35"/>
      <c r="E1196" s="65"/>
      <c r="F1196" s="36"/>
      <c r="G1196" s="69"/>
      <c r="H1196" s="35"/>
      <c r="I1196" s="35"/>
      <c r="J1196" s="35"/>
    </row>
    <row r="1197" spans="3:10" x14ac:dyDescent="0.25">
      <c r="C1197" s="16"/>
      <c r="D1197" s="16"/>
      <c r="E1197" s="64"/>
      <c r="F1197" s="33"/>
      <c r="G1197" s="70"/>
      <c r="H1197" s="16"/>
      <c r="I1197" s="16"/>
      <c r="J1197" s="16"/>
    </row>
    <row r="1198" spans="3:10" x14ac:dyDescent="0.25">
      <c r="C1198" s="35"/>
      <c r="D1198" s="35"/>
      <c r="E1198" s="65"/>
      <c r="F1198" s="36"/>
      <c r="G1198" s="69"/>
      <c r="H1198" s="35"/>
      <c r="I1198" s="35"/>
      <c r="J1198" s="35"/>
    </row>
    <row r="1199" spans="3:10" x14ac:dyDescent="0.25">
      <c r="C1199" s="16"/>
      <c r="D1199" s="16"/>
      <c r="E1199" s="64"/>
      <c r="F1199" s="33"/>
      <c r="G1199" s="70"/>
      <c r="H1199" s="16"/>
      <c r="I1199" s="16"/>
      <c r="J1199" s="16"/>
    </row>
    <row r="1200" spans="3:10" x14ac:dyDescent="0.25">
      <c r="C1200" s="35"/>
      <c r="D1200" s="35"/>
      <c r="E1200" s="65"/>
      <c r="F1200" s="36"/>
      <c r="G1200" s="69"/>
      <c r="H1200" s="35"/>
      <c r="I1200" s="35"/>
      <c r="J1200" s="35"/>
    </row>
    <row r="1201" spans="3:10" x14ac:dyDescent="0.25">
      <c r="C1201" s="16"/>
      <c r="D1201" s="16"/>
      <c r="E1201" s="64"/>
      <c r="F1201" s="33"/>
      <c r="G1201" s="70"/>
      <c r="H1201" s="16"/>
      <c r="I1201" s="16"/>
      <c r="J1201" s="16"/>
    </row>
    <row r="1202" spans="3:10" x14ac:dyDescent="0.25">
      <c r="C1202" s="35"/>
      <c r="D1202" s="35"/>
      <c r="E1202" s="65"/>
      <c r="F1202" s="36"/>
      <c r="G1202" s="69"/>
      <c r="H1202" s="35"/>
      <c r="I1202" s="35"/>
      <c r="J1202" s="35"/>
    </row>
    <row r="1203" spans="3:10" x14ac:dyDescent="0.25">
      <c r="C1203" s="16"/>
      <c r="D1203" s="16"/>
      <c r="E1203" s="64"/>
      <c r="F1203" s="33"/>
      <c r="G1203" s="70"/>
      <c r="H1203" s="16"/>
      <c r="I1203" s="16"/>
      <c r="J1203" s="16"/>
    </row>
    <row r="1204" spans="3:10" x14ac:dyDescent="0.25">
      <c r="C1204" s="35"/>
      <c r="D1204" s="35"/>
      <c r="E1204" s="65"/>
      <c r="F1204" s="36"/>
      <c r="G1204" s="69"/>
      <c r="H1204" s="35"/>
      <c r="I1204" s="35"/>
      <c r="J1204" s="35"/>
    </row>
    <row r="1205" spans="3:10" x14ac:dyDescent="0.25">
      <c r="C1205" s="16"/>
      <c r="D1205" s="16"/>
      <c r="E1205" s="64"/>
      <c r="F1205" s="33"/>
      <c r="G1205" s="70"/>
      <c r="H1205" s="16"/>
      <c r="I1205" s="16"/>
      <c r="J1205" s="16"/>
    </row>
    <row r="1206" spans="3:10" x14ac:dyDescent="0.25">
      <c r="C1206" s="35"/>
      <c r="D1206" s="35"/>
      <c r="E1206" s="65"/>
      <c r="F1206" s="36"/>
      <c r="G1206" s="69"/>
      <c r="H1206" s="35"/>
      <c r="I1206" s="35"/>
      <c r="J1206" s="35"/>
    </row>
    <row r="1207" spans="3:10" x14ac:dyDescent="0.25">
      <c r="C1207" s="16"/>
      <c r="D1207" s="16"/>
      <c r="E1207" s="64"/>
      <c r="F1207" s="33"/>
      <c r="G1207" s="70"/>
      <c r="H1207" s="16"/>
      <c r="I1207" s="16"/>
      <c r="J1207" s="16"/>
    </row>
    <row r="1208" spans="3:10" x14ac:dyDescent="0.25">
      <c r="C1208" s="35"/>
      <c r="D1208" s="35"/>
      <c r="E1208" s="65"/>
      <c r="F1208" s="36"/>
      <c r="G1208" s="69"/>
      <c r="H1208" s="35"/>
      <c r="I1208" s="35"/>
      <c r="J1208" s="35"/>
    </row>
    <row r="1209" spans="3:10" x14ac:dyDescent="0.25">
      <c r="C1209" s="16"/>
      <c r="D1209" s="16"/>
      <c r="E1209" s="64"/>
      <c r="F1209" s="33"/>
      <c r="G1209" s="70"/>
      <c r="H1209" s="16"/>
      <c r="I1209" s="16"/>
      <c r="J1209" s="16"/>
    </row>
    <row r="1210" spans="3:10" x14ac:dyDescent="0.25">
      <c r="C1210" s="35"/>
      <c r="D1210" s="35"/>
      <c r="E1210" s="65"/>
      <c r="F1210" s="36"/>
      <c r="G1210" s="69"/>
      <c r="H1210" s="35"/>
      <c r="I1210" s="35"/>
      <c r="J1210" s="35"/>
    </row>
    <row r="1211" spans="3:10" x14ac:dyDescent="0.25">
      <c r="C1211" s="16"/>
      <c r="D1211" s="16"/>
      <c r="E1211" s="64"/>
      <c r="F1211" s="33"/>
      <c r="G1211" s="70"/>
      <c r="H1211" s="16"/>
      <c r="I1211" s="16"/>
      <c r="J1211" s="16"/>
    </row>
    <row r="1212" spans="3:10" x14ac:dyDescent="0.25">
      <c r="C1212" s="35"/>
      <c r="D1212" s="35"/>
      <c r="E1212" s="65"/>
      <c r="F1212" s="36"/>
      <c r="G1212" s="69"/>
      <c r="H1212" s="35"/>
      <c r="I1212" s="35"/>
      <c r="J1212" s="35"/>
    </row>
    <row r="1213" spans="3:10" x14ac:dyDescent="0.25">
      <c r="C1213" s="16"/>
      <c r="D1213" s="16"/>
      <c r="E1213" s="64"/>
      <c r="F1213" s="33"/>
      <c r="G1213" s="70"/>
      <c r="H1213" s="16"/>
      <c r="I1213" s="16"/>
      <c r="J1213" s="16"/>
    </row>
    <row r="1214" spans="3:10" x14ac:dyDescent="0.25">
      <c r="C1214" s="35"/>
      <c r="D1214" s="35"/>
      <c r="E1214" s="65"/>
      <c r="F1214" s="36"/>
      <c r="G1214" s="69"/>
      <c r="H1214" s="35"/>
      <c r="I1214" s="35"/>
      <c r="J1214" s="35"/>
    </row>
    <row r="1215" spans="3:10" x14ac:dyDescent="0.25">
      <c r="C1215" s="16"/>
      <c r="D1215" s="16"/>
      <c r="E1215" s="64"/>
      <c r="F1215" s="33"/>
      <c r="G1215" s="70"/>
      <c r="H1215" s="16"/>
      <c r="I1215" s="16"/>
      <c r="J1215" s="16"/>
    </row>
    <row r="1216" spans="3:10" x14ac:dyDescent="0.25">
      <c r="C1216" s="35"/>
      <c r="D1216" s="35"/>
      <c r="E1216" s="65"/>
      <c r="F1216" s="36"/>
      <c r="G1216" s="69"/>
      <c r="H1216" s="35"/>
      <c r="I1216" s="35"/>
      <c r="J1216" s="35"/>
    </row>
    <row r="1217" spans="3:10" x14ac:dyDescent="0.25">
      <c r="C1217" s="16"/>
      <c r="D1217" s="16"/>
      <c r="E1217" s="64"/>
      <c r="F1217" s="33"/>
      <c r="G1217" s="70"/>
      <c r="H1217" s="16"/>
      <c r="I1217" s="16"/>
      <c r="J1217" s="16"/>
    </row>
    <row r="1218" spans="3:10" x14ac:dyDescent="0.25">
      <c r="C1218" s="35"/>
      <c r="D1218" s="35"/>
      <c r="E1218" s="65"/>
      <c r="F1218" s="36"/>
      <c r="G1218" s="69"/>
      <c r="H1218" s="35"/>
      <c r="I1218" s="35"/>
      <c r="J1218" s="35"/>
    </row>
    <row r="1219" spans="3:10" x14ac:dyDescent="0.25">
      <c r="C1219" s="16"/>
      <c r="D1219" s="16"/>
      <c r="E1219" s="64"/>
      <c r="F1219" s="33"/>
      <c r="G1219" s="70"/>
      <c r="H1219" s="16"/>
      <c r="I1219" s="16"/>
      <c r="J1219" s="16"/>
    </row>
    <row r="1220" spans="3:10" x14ac:dyDescent="0.25">
      <c r="C1220" s="35"/>
      <c r="D1220" s="35"/>
      <c r="E1220" s="65"/>
      <c r="F1220" s="36"/>
      <c r="G1220" s="69"/>
      <c r="H1220" s="35"/>
      <c r="I1220" s="35"/>
      <c r="J1220" s="35"/>
    </row>
    <row r="1221" spans="3:10" x14ac:dyDescent="0.25">
      <c r="C1221" s="16"/>
      <c r="D1221" s="16"/>
      <c r="E1221" s="64"/>
      <c r="F1221" s="33"/>
      <c r="G1221" s="70"/>
      <c r="H1221" s="16"/>
      <c r="I1221" s="16"/>
      <c r="J1221" s="16"/>
    </row>
    <row r="1222" spans="3:10" x14ac:dyDescent="0.25">
      <c r="C1222" s="35"/>
      <c r="D1222" s="35"/>
      <c r="E1222" s="65"/>
      <c r="F1222" s="36"/>
      <c r="G1222" s="69"/>
      <c r="H1222" s="35"/>
      <c r="I1222" s="35"/>
      <c r="J1222" s="35"/>
    </row>
    <row r="1223" spans="3:10" x14ac:dyDescent="0.25">
      <c r="C1223" s="16"/>
      <c r="D1223" s="16"/>
      <c r="E1223" s="64"/>
      <c r="F1223" s="33"/>
      <c r="G1223" s="70"/>
      <c r="H1223" s="16"/>
      <c r="I1223" s="16"/>
      <c r="J1223" s="16"/>
    </row>
    <row r="1224" spans="3:10" x14ac:dyDescent="0.25">
      <c r="C1224" s="35"/>
      <c r="D1224" s="35"/>
      <c r="E1224" s="65"/>
      <c r="F1224" s="36"/>
      <c r="G1224" s="69"/>
      <c r="H1224" s="35"/>
      <c r="I1224" s="35"/>
      <c r="J1224" s="35"/>
    </row>
    <row r="1225" spans="3:10" x14ac:dyDescent="0.25">
      <c r="C1225" s="16"/>
      <c r="D1225" s="16"/>
      <c r="E1225" s="64"/>
      <c r="F1225" s="33"/>
      <c r="G1225" s="70"/>
      <c r="H1225" s="16"/>
      <c r="I1225" s="16"/>
      <c r="J1225" s="16"/>
    </row>
    <row r="1226" spans="3:10" x14ac:dyDescent="0.25">
      <c r="C1226" s="35"/>
      <c r="D1226" s="35"/>
      <c r="E1226" s="65"/>
      <c r="F1226" s="36"/>
      <c r="G1226" s="69"/>
      <c r="H1226" s="35"/>
      <c r="I1226" s="35"/>
      <c r="J1226" s="35"/>
    </row>
    <row r="1227" spans="3:10" x14ac:dyDescent="0.25">
      <c r="C1227" s="16"/>
      <c r="D1227" s="16"/>
      <c r="E1227" s="64"/>
      <c r="F1227" s="33"/>
      <c r="G1227" s="70"/>
      <c r="H1227" s="16"/>
      <c r="I1227" s="16"/>
      <c r="J1227" s="16"/>
    </row>
    <row r="1228" spans="3:10" x14ac:dyDescent="0.25">
      <c r="C1228" s="35"/>
      <c r="D1228" s="35"/>
      <c r="E1228" s="65"/>
      <c r="F1228" s="36"/>
      <c r="G1228" s="69"/>
      <c r="H1228" s="35"/>
      <c r="I1228" s="35"/>
      <c r="J1228" s="35"/>
    </row>
    <row r="1229" spans="3:10" x14ac:dyDescent="0.25">
      <c r="C1229" s="16"/>
      <c r="D1229" s="16"/>
      <c r="E1229" s="64"/>
      <c r="F1229" s="33"/>
      <c r="G1229" s="70"/>
      <c r="H1229" s="16"/>
      <c r="I1229" s="16"/>
      <c r="J1229" s="16"/>
    </row>
    <row r="1230" spans="3:10" x14ac:dyDescent="0.25">
      <c r="C1230" s="35"/>
      <c r="D1230" s="35"/>
      <c r="E1230" s="65"/>
      <c r="F1230" s="36"/>
      <c r="G1230" s="69"/>
      <c r="H1230" s="35"/>
      <c r="I1230" s="35"/>
      <c r="J1230" s="35"/>
    </row>
    <row r="1231" spans="3:10" x14ac:dyDescent="0.25">
      <c r="C1231" s="16"/>
      <c r="D1231" s="16"/>
      <c r="E1231" s="64"/>
      <c r="F1231" s="33"/>
      <c r="G1231" s="70"/>
      <c r="H1231" s="16"/>
      <c r="I1231" s="16"/>
      <c r="J1231" s="16"/>
    </row>
    <row r="1232" spans="3:10" x14ac:dyDescent="0.25">
      <c r="C1232" s="35"/>
      <c r="D1232" s="35"/>
      <c r="E1232" s="65"/>
      <c r="F1232" s="36"/>
      <c r="G1232" s="69"/>
      <c r="H1232" s="35"/>
      <c r="I1232" s="35"/>
      <c r="J1232" s="35"/>
    </row>
    <row r="1233" spans="3:10" x14ac:dyDescent="0.25">
      <c r="C1233" s="16"/>
      <c r="D1233" s="16"/>
      <c r="E1233" s="64"/>
      <c r="F1233" s="33"/>
      <c r="G1233" s="70"/>
      <c r="H1233" s="16"/>
      <c r="I1233" s="16"/>
      <c r="J1233" s="16"/>
    </row>
    <row r="1234" spans="3:10" x14ac:dyDescent="0.25">
      <c r="C1234" s="35"/>
      <c r="D1234" s="35"/>
      <c r="E1234" s="65"/>
      <c r="F1234" s="36"/>
      <c r="G1234" s="69"/>
      <c r="H1234" s="35"/>
      <c r="I1234" s="35"/>
      <c r="J1234" s="35"/>
    </row>
    <row r="1235" spans="3:10" x14ac:dyDescent="0.25">
      <c r="C1235" s="16"/>
      <c r="D1235" s="16"/>
      <c r="E1235" s="64"/>
      <c r="F1235" s="33"/>
      <c r="G1235" s="70"/>
      <c r="H1235" s="16"/>
      <c r="I1235" s="16"/>
      <c r="J1235" s="16"/>
    </row>
    <row r="1236" spans="3:10" x14ac:dyDescent="0.25">
      <c r="C1236" s="35"/>
      <c r="D1236" s="35"/>
      <c r="E1236" s="65"/>
      <c r="F1236" s="36"/>
      <c r="G1236" s="69"/>
      <c r="H1236" s="35"/>
      <c r="I1236" s="35"/>
      <c r="J1236" s="35"/>
    </row>
    <row r="1237" spans="3:10" x14ac:dyDescent="0.25">
      <c r="C1237" s="16"/>
      <c r="D1237" s="16"/>
      <c r="E1237" s="64"/>
      <c r="F1237" s="33"/>
      <c r="G1237" s="70"/>
      <c r="H1237" s="16"/>
      <c r="I1237" s="16"/>
      <c r="J1237" s="16"/>
    </row>
    <row r="1238" spans="3:10" x14ac:dyDescent="0.25">
      <c r="C1238" s="35"/>
      <c r="D1238" s="35"/>
      <c r="E1238" s="65"/>
      <c r="F1238" s="36"/>
      <c r="G1238" s="69"/>
      <c r="H1238" s="35"/>
      <c r="I1238" s="35"/>
      <c r="J1238" s="35"/>
    </row>
    <row r="1239" spans="3:10" x14ac:dyDescent="0.25">
      <c r="C1239" s="16"/>
      <c r="D1239" s="16"/>
      <c r="E1239" s="64"/>
      <c r="F1239" s="33"/>
      <c r="G1239" s="70"/>
      <c r="H1239" s="16"/>
      <c r="I1239" s="16"/>
      <c r="J1239" s="16"/>
    </row>
    <row r="1240" spans="3:10" x14ac:dyDescent="0.25">
      <c r="C1240" s="35"/>
      <c r="D1240" s="35"/>
      <c r="E1240" s="65"/>
      <c r="F1240" s="36"/>
      <c r="G1240" s="69"/>
      <c r="H1240" s="35"/>
      <c r="I1240" s="35"/>
      <c r="J1240" s="35"/>
    </row>
    <row r="1241" spans="3:10" x14ac:dyDescent="0.25">
      <c r="C1241" s="16"/>
      <c r="D1241" s="16"/>
      <c r="E1241" s="64"/>
      <c r="F1241" s="33"/>
      <c r="G1241" s="70"/>
      <c r="H1241" s="16"/>
      <c r="I1241" s="16"/>
      <c r="J1241" s="16"/>
    </row>
    <row r="1242" spans="3:10" x14ac:dyDescent="0.25">
      <c r="C1242" s="35"/>
      <c r="D1242" s="35"/>
      <c r="E1242" s="65"/>
      <c r="F1242" s="36"/>
      <c r="G1242" s="69"/>
      <c r="H1242" s="35"/>
      <c r="I1242" s="35"/>
      <c r="J1242" s="35"/>
    </row>
    <row r="1243" spans="3:10" x14ac:dyDescent="0.25">
      <c r="C1243" s="16"/>
      <c r="D1243" s="16"/>
      <c r="E1243" s="64"/>
      <c r="F1243" s="33"/>
      <c r="G1243" s="70"/>
      <c r="H1243" s="16"/>
      <c r="I1243" s="16"/>
      <c r="J1243" s="16"/>
    </row>
    <row r="1244" spans="3:10" x14ac:dyDescent="0.25">
      <c r="C1244" s="35"/>
      <c r="D1244" s="35"/>
      <c r="E1244" s="65"/>
      <c r="F1244" s="36"/>
      <c r="G1244" s="69"/>
      <c r="H1244" s="35"/>
      <c r="I1244" s="35"/>
      <c r="J1244" s="35"/>
    </row>
    <row r="1245" spans="3:10" x14ac:dyDescent="0.25">
      <c r="C1245" s="16"/>
      <c r="D1245" s="16"/>
      <c r="E1245" s="64"/>
      <c r="F1245" s="33"/>
      <c r="G1245" s="70"/>
      <c r="H1245" s="16"/>
      <c r="I1245" s="16"/>
      <c r="J1245" s="16"/>
    </row>
    <row r="1246" spans="3:10" x14ac:dyDescent="0.25">
      <c r="C1246" s="35"/>
      <c r="D1246" s="35"/>
      <c r="E1246" s="65"/>
      <c r="F1246" s="36"/>
      <c r="G1246" s="69"/>
      <c r="H1246" s="35"/>
      <c r="I1246" s="35"/>
      <c r="J1246" s="35"/>
    </row>
    <row r="1247" spans="3:10" x14ac:dyDescent="0.25">
      <c r="C1247" s="16"/>
      <c r="D1247" s="16"/>
      <c r="E1247" s="64"/>
      <c r="F1247" s="33"/>
      <c r="G1247" s="70"/>
      <c r="H1247" s="16"/>
      <c r="I1247" s="16"/>
      <c r="J1247" s="16"/>
    </row>
    <row r="1248" spans="3:10" x14ac:dyDescent="0.25">
      <c r="C1248" s="35"/>
      <c r="D1248" s="35"/>
      <c r="E1248" s="65"/>
      <c r="F1248" s="36"/>
      <c r="G1248" s="69"/>
      <c r="H1248" s="35"/>
      <c r="I1248" s="35"/>
      <c r="J1248" s="35"/>
    </row>
    <row r="1249" spans="3:10" x14ac:dyDescent="0.25">
      <c r="C1249" s="16"/>
      <c r="D1249" s="16"/>
      <c r="E1249" s="64"/>
      <c r="F1249" s="33"/>
      <c r="G1249" s="70"/>
      <c r="H1249" s="16"/>
      <c r="I1249" s="16"/>
      <c r="J1249" s="16"/>
    </row>
    <row r="1250" spans="3:10" x14ac:dyDescent="0.25">
      <c r="C1250" s="35"/>
      <c r="D1250" s="35"/>
      <c r="E1250" s="65"/>
      <c r="F1250" s="36"/>
      <c r="G1250" s="69"/>
      <c r="H1250" s="35"/>
      <c r="I1250" s="35"/>
      <c r="J1250" s="35"/>
    </row>
    <row r="1251" spans="3:10" x14ac:dyDescent="0.25">
      <c r="C1251" s="16"/>
      <c r="D1251" s="16"/>
      <c r="E1251" s="64"/>
      <c r="F1251" s="33"/>
      <c r="G1251" s="70"/>
      <c r="H1251" s="16"/>
      <c r="I1251" s="16"/>
      <c r="J1251" s="16"/>
    </row>
    <row r="1252" spans="3:10" x14ac:dyDescent="0.25">
      <c r="C1252" s="35"/>
      <c r="D1252" s="35"/>
      <c r="E1252" s="65"/>
      <c r="F1252" s="36"/>
      <c r="G1252" s="69"/>
      <c r="H1252" s="35"/>
      <c r="I1252" s="35"/>
      <c r="J1252" s="35"/>
    </row>
    <row r="1253" spans="3:10" x14ac:dyDescent="0.25">
      <c r="C1253" s="16"/>
      <c r="D1253" s="16"/>
      <c r="E1253" s="64"/>
      <c r="F1253" s="33"/>
      <c r="G1253" s="70"/>
      <c r="H1253" s="16"/>
      <c r="I1253" s="16"/>
      <c r="J1253" s="16"/>
    </row>
    <row r="1254" spans="3:10" x14ac:dyDescent="0.25">
      <c r="C1254" s="35"/>
      <c r="D1254" s="35"/>
      <c r="E1254" s="65"/>
      <c r="F1254" s="36"/>
      <c r="G1254" s="69"/>
      <c r="H1254" s="35"/>
      <c r="I1254" s="35"/>
      <c r="J1254" s="35"/>
    </row>
    <row r="1255" spans="3:10" x14ac:dyDescent="0.25">
      <c r="C1255" s="16"/>
      <c r="D1255" s="16"/>
      <c r="E1255" s="64"/>
      <c r="F1255" s="33"/>
      <c r="G1255" s="70"/>
      <c r="H1255" s="16"/>
      <c r="I1255" s="16"/>
      <c r="J1255" s="16"/>
    </row>
    <row r="1256" spans="3:10" x14ac:dyDescent="0.25">
      <c r="C1256" s="35"/>
      <c r="D1256" s="35"/>
      <c r="E1256" s="65"/>
      <c r="F1256" s="36"/>
      <c r="G1256" s="69"/>
      <c r="H1256" s="35"/>
      <c r="I1256" s="35"/>
      <c r="J1256" s="35"/>
    </row>
    <row r="1257" spans="3:10" x14ac:dyDescent="0.25">
      <c r="C1257" s="16"/>
      <c r="D1257" s="16"/>
      <c r="E1257" s="64"/>
      <c r="F1257" s="33"/>
      <c r="G1257" s="70"/>
      <c r="H1257" s="16"/>
      <c r="I1257" s="16"/>
      <c r="J1257" s="16"/>
    </row>
    <row r="1258" spans="3:10" x14ac:dyDescent="0.25">
      <c r="C1258" s="35"/>
      <c r="D1258" s="35"/>
      <c r="E1258" s="65"/>
      <c r="F1258" s="36"/>
      <c r="G1258" s="69"/>
      <c r="H1258" s="35"/>
      <c r="I1258" s="35"/>
      <c r="J1258" s="35"/>
    </row>
    <row r="1259" spans="3:10" x14ac:dyDescent="0.25">
      <c r="C1259" s="16"/>
      <c r="D1259" s="16"/>
      <c r="E1259" s="64"/>
      <c r="F1259" s="33"/>
      <c r="G1259" s="70"/>
      <c r="H1259" s="16"/>
      <c r="I1259" s="16"/>
      <c r="J1259" s="16"/>
    </row>
    <row r="1260" spans="3:10" x14ac:dyDescent="0.25">
      <c r="C1260" s="35"/>
      <c r="D1260" s="35"/>
      <c r="E1260" s="65"/>
      <c r="F1260" s="36"/>
      <c r="G1260" s="69"/>
      <c r="H1260" s="35"/>
      <c r="I1260" s="35"/>
      <c r="J1260" s="35"/>
    </row>
    <row r="1261" spans="3:10" x14ac:dyDescent="0.25">
      <c r="C1261" s="16"/>
      <c r="D1261" s="16"/>
      <c r="E1261" s="64"/>
      <c r="F1261" s="33"/>
      <c r="G1261" s="70"/>
      <c r="H1261" s="16"/>
      <c r="I1261" s="16"/>
      <c r="J1261" s="16"/>
    </row>
    <row r="1262" spans="3:10" x14ac:dyDescent="0.25">
      <c r="C1262" s="35"/>
      <c r="D1262" s="35"/>
      <c r="E1262" s="65"/>
      <c r="F1262" s="36"/>
      <c r="G1262" s="69"/>
      <c r="H1262" s="35"/>
      <c r="I1262" s="35"/>
      <c r="J1262" s="35"/>
    </row>
    <row r="1263" spans="3:10" x14ac:dyDescent="0.25">
      <c r="C1263" s="16"/>
      <c r="D1263" s="16"/>
      <c r="E1263" s="64"/>
      <c r="F1263" s="33"/>
      <c r="G1263" s="70"/>
      <c r="H1263" s="16"/>
      <c r="I1263" s="16"/>
      <c r="J1263" s="16"/>
    </row>
    <row r="1264" spans="3:10" x14ac:dyDescent="0.25">
      <c r="C1264" s="35"/>
      <c r="D1264" s="35"/>
      <c r="E1264" s="65"/>
      <c r="F1264" s="36"/>
      <c r="G1264" s="69"/>
      <c r="H1264" s="35"/>
      <c r="I1264" s="35"/>
      <c r="J1264" s="35"/>
    </row>
    <row r="1265" spans="3:10" x14ac:dyDescent="0.25">
      <c r="C1265" s="16"/>
      <c r="D1265" s="16"/>
      <c r="E1265" s="64"/>
      <c r="F1265" s="33"/>
      <c r="G1265" s="70"/>
      <c r="H1265" s="16"/>
      <c r="I1265" s="16"/>
      <c r="J1265" s="16"/>
    </row>
    <row r="1266" spans="3:10" x14ac:dyDescent="0.25">
      <c r="C1266" s="35"/>
      <c r="D1266" s="35"/>
      <c r="E1266" s="65"/>
      <c r="F1266" s="36"/>
      <c r="G1266" s="69"/>
      <c r="H1266" s="35"/>
      <c r="I1266" s="35"/>
      <c r="J1266" s="35"/>
    </row>
    <row r="1267" spans="3:10" x14ac:dyDescent="0.25">
      <c r="C1267" s="16"/>
      <c r="D1267" s="16"/>
      <c r="E1267" s="64"/>
      <c r="F1267" s="33"/>
      <c r="G1267" s="70"/>
      <c r="H1267" s="16"/>
      <c r="I1267" s="16"/>
      <c r="J1267" s="16"/>
    </row>
    <row r="1268" spans="3:10" x14ac:dyDescent="0.25">
      <c r="C1268" s="35"/>
      <c r="D1268" s="35"/>
      <c r="E1268" s="65"/>
      <c r="F1268" s="36"/>
      <c r="G1268" s="69"/>
      <c r="H1268" s="35"/>
      <c r="I1268" s="35"/>
      <c r="J1268" s="35"/>
    </row>
    <row r="1269" spans="3:10" x14ac:dyDescent="0.25">
      <c r="C1269" s="16"/>
      <c r="D1269" s="16"/>
      <c r="E1269" s="64"/>
      <c r="F1269" s="33"/>
      <c r="G1269" s="70"/>
      <c r="H1269" s="16"/>
      <c r="I1269" s="16"/>
      <c r="J1269" s="16"/>
    </row>
    <row r="1270" spans="3:10" x14ac:dyDescent="0.25">
      <c r="C1270" s="35"/>
      <c r="D1270" s="35"/>
      <c r="E1270" s="65"/>
      <c r="F1270" s="36"/>
      <c r="G1270" s="69"/>
      <c r="H1270" s="35"/>
      <c r="I1270" s="35"/>
      <c r="J1270" s="35"/>
    </row>
    <row r="1271" spans="3:10" x14ac:dyDescent="0.25">
      <c r="C1271" s="16"/>
      <c r="D1271" s="16"/>
      <c r="E1271" s="64"/>
      <c r="F1271" s="33"/>
      <c r="G1271" s="70"/>
      <c r="H1271" s="16"/>
      <c r="I1271" s="16"/>
      <c r="J1271" s="16"/>
    </row>
    <row r="1272" spans="3:10" x14ac:dyDescent="0.25">
      <c r="C1272" s="35"/>
      <c r="D1272" s="35"/>
      <c r="E1272" s="65"/>
      <c r="F1272" s="36"/>
      <c r="G1272" s="69"/>
      <c r="H1272" s="35"/>
      <c r="I1272" s="35"/>
      <c r="J1272" s="35"/>
    </row>
    <row r="1273" spans="3:10" x14ac:dyDescent="0.25">
      <c r="C1273" s="16"/>
      <c r="D1273" s="16"/>
      <c r="E1273" s="64"/>
      <c r="F1273" s="33"/>
      <c r="G1273" s="70"/>
      <c r="H1273" s="16"/>
      <c r="I1273" s="16"/>
      <c r="J1273" s="16"/>
    </row>
    <row r="1274" spans="3:10" x14ac:dyDescent="0.25">
      <c r="C1274" s="35"/>
      <c r="D1274" s="35"/>
      <c r="E1274" s="65"/>
      <c r="F1274" s="36"/>
      <c r="G1274" s="69"/>
      <c r="H1274" s="35"/>
      <c r="I1274" s="35"/>
      <c r="J1274" s="35"/>
    </row>
    <row r="1275" spans="3:10" x14ac:dyDescent="0.25">
      <c r="C1275" s="16"/>
      <c r="D1275" s="16"/>
      <c r="E1275" s="64"/>
      <c r="F1275" s="33"/>
      <c r="G1275" s="70"/>
      <c r="H1275" s="16"/>
      <c r="I1275" s="16"/>
      <c r="J1275" s="16"/>
    </row>
    <row r="1276" spans="3:10" x14ac:dyDescent="0.25">
      <c r="C1276" s="35"/>
      <c r="D1276" s="35"/>
      <c r="E1276" s="65"/>
      <c r="F1276" s="36"/>
      <c r="G1276" s="69"/>
      <c r="H1276" s="35"/>
      <c r="I1276" s="35"/>
      <c r="J1276" s="35"/>
    </row>
    <row r="1277" spans="3:10" x14ac:dyDescent="0.25">
      <c r="C1277" s="16"/>
      <c r="D1277" s="16"/>
      <c r="E1277" s="64"/>
      <c r="F1277" s="33"/>
      <c r="G1277" s="70"/>
      <c r="H1277" s="16"/>
      <c r="I1277" s="16"/>
      <c r="J1277" s="16"/>
    </row>
    <row r="1278" spans="3:10" x14ac:dyDescent="0.25">
      <c r="C1278" s="35"/>
      <c r="D1278" s="35"/>
      <c r="E1278" s="65"/>
      <c r="F1278" s="36"/>
      <c r="G1278" s="69"/>
      <c r="H1278" s="35"/>
      <c r="I1278" s="35"/>
      <c r="J1278" s="35"/>
    </row>
    <row r="1279" spans="3:10" x14ac:dyDescent="0.25">
      <c r="C1279" s="16"/>
      <c r="D1279" s="16"/>
      <c r="E1279" s="64"/>
      <c r="F1279" s="33"/>
      <c r="G1279" s="70"/>
      <c r="H1279" s="16"/>
      <c r="I1279" s="16"/>
      <c r="J1279" s="16"/>
    </row>
    <row r="1280" spans="3:10" x14ac:dyDescent="0.25">
      <c r="C1280" s="35"/>
      <c r="D1280" s="35"/>
      <c r="E1280" s="65"/>
      <c r="F1280" s="36"/>
      <c r="G1280" s="69"/>
      <c r="H1280" s="35"/>
      <c r="I1280" s="35"/>
      <c r="J1280" s="35"/>
    </row>
    <row r="1281" spans="3:10" x14ac:dyDescent="0.25">
      <c r="C1281" s="16"/>
      <c r="D1281" s="16"/>
      <c r="E1281" s="64"/>
      <c r="F1281" s="33"/>
      <c r="G1281" s="70"/>
      <c r="H1281" s="16"/>
      <c r="I1281" s="16"/>
      <c r="J1281" s="16"/>
    </row>
    <row r="1282" spans="3:10" x14ac:dyDescent="0.25">
      <c r="C1282" s="35"/>
      <c r="D1282" s="35"/>
      <c r="E1282" s="65"/>
      <c r="F1282" s="36"/>
      <c r="G1282" s="69"/>
      <c r="H1282" s="35"/>
      <c r="I1282" s="35"/>
      <c r="J1282" s="35"/>
    </row>
    <row r="1283" spans="3:10" x14ac:dyDescent="0.25">
      <c r="C1283" s="16"/>
      <c r="D1283" s="16"/>
      <c r="E1283" s="64"/>
      <c r="F1283" s="33"/>
      <c r="G1283" s="70"/>
      <c r="H1283" s="16"/>
      <c r="I1283" s="16"/>
      <c r="J1283" s="16"/>
    </row>
    <row r="1284" spans="3:10" x14ac:dyDescent="0.25">
      <c r="C1284" s="35"/>
      <c r="D1284" s="35"/>
      <c r="E1284" s="65"/>
      <c r="F1284" s="36"/>
      <c r="G1284" s="69"/>
      <c r="H1284" s="35"/>
      <c r="I1284" s="35"/>
      <c r="J1284" s="35"/>
    </row>
    <row r="1285" spans="3:10" x14ac:dyDescent="0.25">
      <c r="C1285" s="16"/>
      <c r="D1285" s="16"/>
      <c r="E1285" s="64"/>
      <c r="F1285" s="33"/>
      <c r="G1285" s="70"/>
      <c r="H1285" s="16"/>
      <c r="I1285" s="16"/>
      <c r="J1285" s="16"/>
    </row>
    <row r="1286" spans="3:10" x14ac:dyDescent="0.25">
      <c r="C1286" s="35"/>
      <c r="D1286" s="35"/>
      <c r="E1286" s="65"/>
      <c r="F1286" s="36"/>
      <c r="G1286" s="69"/>
      <c r="H1286" s="35"/>
      <c r="I1286" s="35"/>
      <c r="J1286" s="35"/>
    </row>
    <row r="1287" spans="3:10" x14ac:dyDescent="0.25">
      <c r="C1287" s="16"/>
      <c r="D1287" s="16"/>
      <c r="E1287" s="64"/>
      <c r="F1287" s="33"/>
      <c r="G1287" s="70"/>
      <c r="H1287" s="16"/>
      <c r="I1287" s="16"/>
      <c r="J1287" s="16"/>
    </row>
    <row r="1288" spans="3:10" x14ac:dyDescent="0.25">
      <c r="C1288" s="35"/>
      <c r="D1288" s="35"/>
      <c r="E1288" s="65"/>
      <c r="F1288" s="36"/>
      <c r="G1288" s="69"/>
      <c r="H1288" s="35"/>
      <c r="I1288" s="35"/>
      <c r="J1288" s="35"/>
    </row>
    <row r="1289" spans="3:10" x14ac:dyDescent="0.25">
      <c r="C1289" s="16"/>
      <c r="D1289" s="16"/>
      <c r="E1289" s="64"/>
      <c r="F1289" s="33"/>
      <c r="G1289" s="70"/>
      <c r="H1289" s="16"/>
      <c r="I1289" s="16"/>
      <c r="J1289" s="16"/>
    </row>
    <row r="1290" spans="3:10" x14ac:dyDescent="0.25">
      <c r="C1290" s="35"/>
      <c r="D1290" s="35"/>
      <c r="E1290" s="65"/>
      <c r="F1290" s="36"/>
      <c r="G1290" s="69"/>
      <c r="H1290" s="35"/>
      <c r="I1290" s="35"/>
      <c r="J1290" s="35"/>
    </row>
    <row r="1291" spans="3:10" x14ac:dyDescent="0.25">
      <c r="C1291" s="16"/>
      <c r="D1291" s="16"/>
      <c r="E1291" s="64"/>
      <c r="F1291" s="33"/>
      <c r="G1291" s="70"/>
      <c r="H1291" s="16"/>
      <c r="I1291" s="16"/>
      <c r="J1291" s="16"/>
    </row>
    <row r="1292" spans="3:10" x14ac:dyDescent="0.25">
      <c r="C1292" s="35"/>
      <c r="D1292" s="35"/>
      <c r="E1292" s="65"/>
      <c r="F1292" s="36"/>
      <c r="G1292" s="69"/>
      <c r="H1292" s="35"/>
      <c r="I1292" s="35"/>
      <c r="J1292" s="35"/>
    </row>
    <row r="1293" spans="3:10" x14ac:dyDescent="0.25">
      <c r="C1293" s="16"/>
      <c r="D1293" s="16"/>
      <c r="E1293" s="64"/>
      <c r="F1293" s="33"/>
      <c r="G1293" s="70"/>
      <c r="H1293" s="16"/>
      <c r="I1293" s="16"/>
      <c r="J1293" s="16"/>
    </row>
    <row r="1294" spans="3:10" x14ac:dyDescent="0.25">
      <c r="C1294" s="35"/>
      <c r="D1294" s="35"/>
      <c r="E1294" s="65"/>
      <c r="F1294" s="36"/>
      <c r="G1294" s="69"/>
      <c r="H1294" s="35"/>
      <c r="I1294" s="35"/>
      <c r="J1294" s="35"/>
    </row>
    <row r="1295" spans="3:10" x14ac:dyDescent="0.25">
      <c r="C1295" s="16"/>
      <c r="D1295" s="16"/>
      <c r="E1295" s="64"/>
      <c r="F1295" s="33"/>
      <c r="G1295" s="70"/>
      <c r="H1295" s="16"/>
      <c r="I1295" s="16"/>
      <c r="J1295" s="16"/>
    </row>
    <row r="1296" spans="3:10" x14ac:dyDescent="0.25">
      <c r="C1296" s="35"/>
      <c r="D1296" s="35"/>
      <c r="E1296" s="65"/>
      <c r="F1296" s="36"/>
      <c r="G1296" s="69"/>
      <c r="H1296" s="35"/>
      <c r="I1296" s="35"/>
      <c r="J1296" s="35"/>
    </row>
    <row r="1297" spans="3:10" x14ac:dyDescent="0.25">
      <c r="C1297" s="16"/>
      <c r="D1297" s="16"/>
      <c r="E1297" s="64"/>
      <c r="F1297" s="33"/>
      <c r="G1297" s="70"/>
      <c r="H1297" s="16"/>
      <c r="I1297" s="16"/>
      <c r="J1297" s="16"/>
    </row>
    <row r="1298" spans="3:10" x14ac:dyDescent="0.25">
      <c r="C1298" s="35"/>
      <c r="D1298" s="35"/>
      <c r="E1298" s="65"/>
      <c r="F1298" s="36"/>
      <c r="G1298" s="69"/>
      <c r="H1298" s="35"/>
      <c r="I1298" s="35"/>
      <c r="J1298" s="35"/>
    </row>
    <row r="1299" spans="3:10" x14ac:dyDescent="0.25">
      <c r="C1299" s="16"/>
      <c r="D1299" s="16"/>
      <c r="E1299" s="64"/>
      <c r="F1299" s="33"/>
      <c r="G1299" s="70"/>
      <c r="H1299" s="16"/>
      <c r="I1299" s="16"/>
      <c r="J1299" s="16"/>
    </row>
    <row r="1300" spans="3:10" x14ac:dyDescent="0.25">
      <c r="C1300" s="35"/>
      <c r="D1300" s="35"/>
      <c r="E1300" s="65"/>
      <c r="F1300" s="36"/>
      <c r="G1300" s="69"/>
      <c r="H1300" s="35"/>
      <c r="I1300" s="35"/>
      <c r="J1300" s="35"/>
    </row>
    <row r="1301" spans="3:10" x14ac:dyDescent="0.25">
      <c r="C1301" s="16"/>
      <c r="D1301" s="16"/>
      <c r="E1301" s="64"/>
      <c r="F1301" s="33"/>
      <c r="G1301" s="70"/>
      <c r="H1301" s="16"/>
      <c r="I1301" s="16"/>
      <c r="J1301" s="16"/>
    </row>
    <row r="1302" spans="3:10" x14ac:dyDescent="0.25">
      <c r="C1302" s="35"/>
      <c r="D1302" s="35"/>
      <c r="E1302" s="65"/>
      <c r="F1302" s="36"/>
      <c r="G1302" s="69"/>
      <c r="H1302" s="35"/>
      <c r="I1302" s="35"/>
      <c r="J1302" s="35"/>
    </row>
    <row r="1303" spans="3:10" x14ac:dyDescent="0.25">
      <c r="C1303" s="16"/>
      <c r="D1303" s="16"/>
      <c r="E1303" s="64"/>
      <c r="F1303" s="33"/>
      <c r="G1303" s="70"/>
      <c r="H1303" s="16"/>
      <c r="I1303" s="16"/>
      <c r="J1303" s="16"/>
    </row>
    <row r="1304" spans="3:10" x14ac:dyDescent="0.25">
      <c r="C1304" s="35"/>
      <c r="D1304" s="35"/>
      <c r="E1304" s="65"/>
      <c r="F1304" s="36"/>
      <c r="G1304" s="69"/>
      <c r="H1304" s="35"/>
      <c r="I1304" s="35"/>
      <c r="J1304" s="35"/>
    </row>
    <row r="1305" spans="3:10" x14ac:dyDescent="0.25">
      <c r="C1305" s="16"/>
      <c r="D1305" s="16"/>
      <c r="E1305" s="64"/>
      <c r="F1305" s="33"/>
      <c r="G1305" s="70"/>
      <c r="H1305" s="16"/>
      <c r="I1305" s="16"/>
      <c r="J1305" s="16"/>
    </row>
    <row r="1306" spans="3:10" x14ac:dyDescent="0.25">
      <c r="C1306" s="35"/>
      <c r="D1306" s="35"/>
      <c r="E1306" s="65"/>
      <c r="F1306" s="36"/>
      <c r="G1306" s="69"/>
      <c r="H1306" s="35"/>
      <c r="I1306" s="35"/>
      <c r="J1306" s="35"/>
    </row>
    <row r="1307" spans="3:10" x14ac:dyDescent="0.25">
      <c r="C1307" s="16"/>
      <c r="D1307" s="16"/>
      <c r="E1307" s="64"/>
      <c r="F1307" s="33"/>
      <c r="G1307" s="70"/>
      <c r="H1307" s="16"/>
      <c r="I1307" s="16"/>
      <c r="J1307" s="16"/>
    </row>
    <row r="1308" spans="3:10" x14ac:dyDescent="0.25">
      <c r="C1308" s="35"/>
      <c r="D1308" s="35"/>
      <c r="E1308" s="65"/>
      <c r="F1308" s="36"/>
      <c r="G1308" s="69"/>
      <c r="H1308" s="35"/>
      <c r="I1308" s="35"/>
      <c r="J1308" s="35"/>
    </row>
    <row r="1309" spans="3:10" x14ac:dyDescent="0.25">
      <c r="C1309" s="16"/>
      <c r="D1309" s="16"/>
      <c r="E1309" s="64"/>
      <c r="F1309" s="33"/>
      <c r="G1309" s="70"/>
      <c r="H1309" s="16"/>
      <c r="I1309" s="16"/>
      <c r="J1309" s="16"/>
    </row>
    <row r="1310" spans="3:10" x14ac:dyDescent="0.25">
      <c r="C1310" s="35"/>
      <c r="D1310" s="35"/>
      <c r="E1310" s="65"/>
      <c r="F1310" s="36"/>
      <c r="G1310" s="69"/>
      <c r="H1310" s="35"/>
      <c r="I1310" s="35"/>
      <c r="J1310" s="35"/>
    </row>
    <row r="1311" spans="3:10" x14ac:dyDescent="0.25">
      <c r="C1311" s="16"/>
      <c r="D1311" s="16"/>
      <c r="E1311" s="64"/>
      <c r="F1311" s="33"/>
      <c r="G1311" s="70"/>
      <c r="H1311" s="16"/>
      <c r="I1311" s="16"/>
      <c r="J1311" s="16"/>
    </row>
    <row r="1312" spans="3:10" x14ac:dyDescent="0.25">
      <c r="C1312" s="35"/>
      <c r="D1312" s="35"/>
      <c r="E1312" s="65"/>
      <c r="F1312" s="36"/>
      <c r="G1312" s="69"/>
      <c r="H1312" s="35"/>
      <c r="I1312" s="35"/>
      <c r="J1312" s="35"/>
    </row>
    <row r="1313" spans="3:10" x14ac:dyDescent="0.25">
      <c r="C1313" s="16"/>
      <c r="D1313" s="16"/>
      <c r="E1313" s="64"/>
      <c r="F1313" s="33"/>
      <c r="G1313" s="70"/>
      <c r="H1313" s="16"/>
      <c r="I1313" s="16"/>
      <c r="J1313" s="16"/>
    </row>
    <row r="1314" spans="3:10" x14ac:dyDescent="0.25">
      <c r="C1314" s="35"/>
      <c r="D1314" s="35"/>
      <c r="E1314" s="65"/>
      <c r="F1314" s="36"/>
      <c r="G1314" s="69"/>
      <c r="H1314" s="35"/>
      <c r="I1314" s="35"/>
      <c r="J1314" s="35"/>
    </row>
    <row r="1315" spans="3:10" x14ac:dyDescent="0.25">
      <c r="C1315" s="16"/>
      <c r="D1315" s="16"/>
      <c r="E1315" s="64"/>
      <c r="F1315" s="33"/>
      <c r="G1315" s="70"/>
      <c r="H1315" s="16"/>
      <c r="I1315" s="16"/>
      <c r="J1315" s="16"/>
    </row>
    <row r="1316" spans="3:10" x14ac:dyDescent="0.25">
      <c r="C1316" s="35"/>
      <c r="D1316" s="35"/>
      <c r="E1316" s="65"/>
      <c r="F1316" s="36"/>
      <c r="G1316" s="69"/>
      <c r="H1316" s="35"/>
      <c r="I1316" s="35"/>
      <c r="J1316" s="35"/>
    </row>
    <row r="1317" spans="3:10" x14ac:dyDescent="0.25">
      <c r="C1317" s="16"/>
      <c r="D1317" s="16"/>
      <c r="E1317" s="64"/>
      <c r="F1317" s="33"/>
      <c r="G1317" s="70"/>
      <c r="H1317" s="16"/>
      <c r="I1317" s="16"/>
      <c r="J1317" s="16"/>
    </row>
    <row r="1318" spans="3:10" x14ac:dyDescent="0.25">
      <c r="C1318" s="35"/>
      <c r="D1318" s="35"/>
      <c r="E1318" s="65"/>
      <c r="F1318" s="36"/>
      <c r="G1318" s="69"/>
      <c r="H1318" s="35"/>
      <c r="I1318" s="35"/>
      <c r="J1318" s="35"/>
    </row>
    <row r="1319" spans="3:10" x14ac:dyDescent="0.25">
      <c r="C1319" s="16"/>
      <c r="D1319" s="16"/>
      <c r="E1319" s="64"/>
      <c r="F1319" s="33"/>
      <c r="G1319" s="70"/>
      <c r="H1319" s="16"/>
      <c r="I1319" s="16"/>
      <c r="J1319" s="16"/>
    </row>
    <row r="1320" spans="3:10" x14ac:dyDescent="0.25">
      <c r="C1320" s="35"/>
      <c r="D1320" s="35"/>
      <c r="E1320" s="65"/>
      <c r="F1320" s="36"/>
      <c r="G1320" s="69"/>
      <c r="H1320" s="35"/>
      <c r="I1320" s="35"/>
      <c r="J1320" s="35"/>
    </row>
    <row r="1321" spans="3:10" x14ac:dyDescent="0.25">
      <c r="C1321" s="16"/>
      <c r="D1321" s="16"/>
      <c r="E1321" s="64"/>
      <c r="F1321" s="33"/>
      <c r="G1321" s="70"/>
      <c r="H1321" s="16"/>
      <c r="I1321" s="16"/>
      <c r="J1321" s="16"/>
    </row>
    <row r="1322" spans="3:10" x14ac:dyDescent="0.25">
      <c r="C1322" s="35"/>
      <c r="D1322" s="35"/>
      <c r="E1322" s="65"/>
      <c r="F1322" s="36"/>
      <c r="G1322" s="69"/>
      <c r="H1322" s="35"/>
      <c r="I1322" s="35"/>
      <c r="J1322" s="35"/>
    </row>
    <row r="1323" spans="3:10" x14ac:dyDescent="0.25">
      <c r="C1323" s="16"/>
      <c r="D1323" s="16"/>
      <c r="E1323" s="64"/>
      <c r="F1323" s="33"/>
      <c r="G1323" s="70"/>
      <c r="H1323" s="16"/>
      <c r="I1323" s="16"/>
      <c r="J1323" s="16"/>
    </row>
    <row r="1324" spans="3:10" x14ac:dyDescent="0.25">
      <c r="C1324" s="35"/>
      <c r="D1324" s="35"/>
      <c r="E1324" s="65"/>
      <c r="F1324" s="36"/>
      <c r="G1324" s="69"/>
      <c r="H1324" s="35"/>
      <c r="I1324" s="35"/>
      <c r="J1324" s="35"/>
    </row>
    <row r="1325" spans="3:10" x14ac:dyDescent="0.25">
      <c r="C1325" s="16"/>
      <c r="D1325" s="16"/>
      <c r="E1325" s="64"/>
      <c r="F1325" s="33"/>
      <c r="G1325" s="70"/>
      <c r="H1325" s="16"/>
      <c r="I1325" s="16"/>
      <c r="J1325" s="16"/>
    </row>
    <row r="1326" spans="3:10" x14ac:dyDescent="0.25">
      <c r="C1326" s="35"/>
      <c r="D1326" s="35"/>
      <c r="E1326" s="65"/>
      <c r="F1326" s="36"/>
      <c r="G1326" s="69"/>
      <c r="H1326" s="35"/>
      <c r="I1326" s="35"/>
      <c r="J1326" s="35"/>
    </row>
    <row r="1327" spans="3:10" x14ac:dyDescent="0.25">
      <c r="C1327" s="16"/>
      <c r="D1327" s="16"/>
      <c r="E1327" s="64"/>
      <c r="F1327" s="33"/>
      <c r="G1327" s="70"/>
      <c r="H1327" s="16"/>
      <c r="I1327" s="16"/>
      <c r="J1327" s="16"/>
    </row>
    <row r="1328" spans="3:10" x14ac:dyDescent="0.25">
      <c r="C1328" s="35"/>
      <c r="D1328" s="35"/>
      <c r="E1328" s="65"/>
      <c r="F1328" s="36"/>
      <c r="G1328" s="69"/>
      <c r="H1328" s="35"/>
      <c r="I1328" s="35"/>
      <c r="J1328" s="35"/>
    </row>
    <row r="1329" spans="3:10" x14ac:dyDescent="0.25">
      <c r="C1329" s="16"/>
      <c r="D1329" s="16"/>
      <c r="E1329" s="64"/>
      <c r="F1329" s="33"/>
      <c r="G1329" s="70"/>
      <c r="H1329" s="16"/>
      <c r="I1329" s="16"/>
      <c r="J1329" s="16"/>
    </row>
    <row r="1330" spans="3:10" x14ac:dyDescent="0.25">
      <c r="C1330" s="35"/>
      <c r="D1330" s="35"/>
      <c r="E1330" s="65"/>
      <c r="F1330" s="36"/>
      <c r="G1330" s="69"/>
      <c r="H1330" s="35"/>
      <c r="I1330" s="35"/>
      <c r="J1330" s="35"/>
    </row>
    <row r="1331" spans="3:10" x14ac:dyDescent="0.25">
      <c r="C1331" s="16"/>
      <c r="D1331" s="16"/>
      <c r="E1331" s="64"/>
      <c r="F1331" s="33"/>
      <c r="G1331" s="70"/>
      <c r="H1331" s="16"/>
      <c r="I1331" s="16"/>
      <c r="J1331" s="16"/>
    </row>
    <row r="1332" spans="3:10" x14ac:dyDescent="0.25">
      <c r="C1332" s="35"/>
      <c r="D1332" s="35"/>
      <c r="E1332" s="65"/>
      <c r="F1332" s="36"/>
      <c r="G1332" s="69"/>
      <c r="H1332" s="35"/>
      <c r="I1332" s="35"/>
      <c r="J1332" s="35"/>
    </row>
    <row r="1333" spans="3:10" x14ac:dyDescent="0.25">
      <c r="C1333" s="16"/>
      <c r="D1333" s="16"/>
      <c r="E1333" s="64"/>
      <c r="F1333" s="33"/>
      <c r="G1333" s="70"/>
      <c r="H1333" s="16"/>
      <c r="I1333" s="16"/>
      <c r="J1333" s="16"/>
    </row>
    <row r="1334" spans="3:10" x14ac:dyDescent="0.25">
      <c r="C1334" s="35"/>
      <c r="D1334" s="35"/>
      <c r="E1334" s="65"/>
      <c r="F1334" s="36"/>
      <c r="G1334" s="69"/>
      <c r="H1334" s="35"/>
      <c r="I1334" s="35"/>
      <c r="J1334" s="35"/>
    </row>
    <row r="1335" spans="3:10" x14ac:dyDescent="0.25">
      <c r="C1335" s="16"/>
      <c r="D1335" s="16"/>
      <c r="E1335" s="64"/>
      <c r="F1335" s="33"/>
      <c r="G1335" s="70"/>
      <c r="H1335" s="16"/>
      <c r="I1335" s="16"/>
      <c r="J1335" s="16"/>
    </row>
    <row r="1336" spans="3:10" x14ac:dyDescent="0.25">
      <c r="C1336" s="35"/>
      <c r="D1336" s="35"/>
      <c r="E1336" s="65"/>
      <c r="F1336" s="36"/>
      <c r="G1336" s="69"/>
      <c r="H1336" s="35"/>
      <c r="I1336" s="35"/>
      <c r="J1336" s="35"/>
    </row>
    <row r="1337" spans="3:10" x14ac:dyDescent="0.25">
      <c r="C1337" s="16"/>
      <c r="D1337" s="16"/>
      <c r="E1337" s="64"/>
      <c r="F1337" s="33"/>
      <c r="G1337" s="70"/>
      <c r="H1337" s="16"/>
      <c r="I1337" s="16"/>
      <c r="J1337" s="16"/>
    </row>
    <row r="1338" spans="3:10" x14ac:dyDescent="0.25">
      <c r="C1338" s="35"/>
      <c r="D1338" s="35"/>
      <c r="E1338" s="65"/>
      <c r="F1338" s="36"/>
      <c r="G1338" s="69"/>
      <c r="H1338" s="35"/>
      <c r="I1338" s="35"/>
      <c r="J1338" s="35"/>
    </row>
    <row r="1339" spans="3:10" x14ac:dyDescent="0.25">
      <c r="C1339" s="16"/>
      <c r="D1339" s="16"/>
      <c r="E1339" s="64"/>
      <c r="F1339" s="33"/>
      <c r="G1339" s="70"/>
      <c r="H1339" s="16"/>
      <c r="I1339" s="16"/>
      <c r="J1339" s="16"/>
    </row>
    <row r="1340" spans="3:10" x14ac:dyDescent="0.25">
      <c r="C1340" s="35"/>
      <c r="D1340" s="35"/>
      <c r="E1340" s="65"/>
      <c r="F1340" s="36"/>
      <c r="G1340" s="69"/>
      <c r="H1340" s="35"/>
      <c r="I1340" s="35"/>
      <c r="J1340" s="35"/>
    </row>
    <row r="1341" spans="3:10" x14ac:dyDescent="0.25">
      <c r="C1341" s="16"/>
      <c r="D1341" s="16"/>
      <c r="E1341" s="64"/>
      <c r="F1341" s="33"/>
      <c r="G1341" s="70"/>
      <c r="H1341" s="16"/>
      <c r="I1341" s="16"/>
      <c r="J1341" s="16"/>
    </row>
    <row r="1342" spans="3:10" x14ac:dyDescent="0.25">
      <c r="C1342" s="35"/>
      <c r="D1342" s="35"/>
      <c r="E1342" s="65"/>
      <c r="F1342" s="36"/>
      <c r="G1342" s="69"/>
      <c r="H1342" s="35"/>
      <c r="I1342" s="35"/>
      <c r="J1342" s="35"/>
    </row>
    <row r="1343" spans="3:10" x14ac:dyDescent="0.25">
      <c r="C1343" s="16"/>
      <c r="D1343" s="16"/>
      <c r="E1343" s="64"/>
      <c r="F1343" s="33"/>
      <c r="G1343" s="70"/>
      <c r="H1343" s="16"/>
      <c r="I1343" s="16"/>
      <c r="J1343" s="16"/>
    </row>
    <row r="1344" spans="3:10" x14ac:dyDescent="0.25">
      <c r="C1344" s="35"/>
      <c r="D1344" s="35"/>
      <c r="E1344" s="65"/>
      <c r="F1344" s="36"/>
      <c r="G1344" s="69"/>
      <c r="H1344" s="35"/>
      <c r="I1344" s="35"/>
      <c r="J1344" s="35"/>
    </row>
    <row r="1345" spans="3:10" x14ac:dyDescent="0.25">
      <c r="C1345" s="16"/>
      <c r="D1345" s="16"/>
      <c r="E1345" s="64"/>
      <c r="F1345" s="33"/>
      <c r="G1345" s="70"/>
      <c r="H1345" s="16"/>
      <c r="I1345" s="16"/>
      <c r="J1345" s="16"/>
    </row>
    <row r="1346" spans="3:10" x14ac:dyDescent="0.25">
      <c r="C1346" s="35"/>
      <c r="D1346" s="35"/>
      <c r="E1346" s="65"/>
      <c r="F1346" s="36"/>
      <c r="G1346" s="69"/>
      <c r="H1346" s="35"/>
      <c r="I1346" s="35"/>
      <c r="J1346" s="35"/>
    </row>
    <row r="1347" spans="3:10" x14ac:dyDescent="0.25">
      <c r="C1347" s="16"/>
      <c r="D1347" s="16"/>
      <c r="E1347" s="64"/>
      <c r="F1347" s="33"/>
      <c r="G1347" s="70"/>
      <c r="H1347" s="16"/>
      <c r="I1347" s="16"/>
      <c r="J1347" s="16"/>
    </row>
    <row r="1348" spans="3:10" x14ac:dyDescent="0.25">
      <c r="C1348" s="35"/>
      <c r="D1348" s="35"/>
      <c r="E1348" s="65"/>
      <c r="F1348" s="36"/>
      <c r="G1348" s="69"/>
      <c r="H1348" s="35"/>
      <c r="I1348" s="35"/>
      <c r="J1348" s="35"/>
    </row>
    <row r="1349" spans="3:10" x14ac:dyDescent="0.25">
      <c r="C1349" s="16"/>
      <c r="D1349" s="16"/>
      <c r="E1349" s="64"/>
      <c r="F1349" s="33"/>
      <c r="G1349" s="70"/>
      <c r="H1349" s="16"/>
      <c r="I1349" s="16"/>
      <c r="J1349" s="16"/>
    </row>
    <row r="1350" spans="3:10" x14ac:dyDescent="0.25">
      <c r="C1350" s="35"/>
      <c r="D1350" s="35"/>
      <c r="E1350" s="65"/>
      <c r="F1350" s="36"/>
      <c r="G1350" s="69"/>
      <c r="H1350" s="35"/>
      <c r="I1350" s="35"/>
      <c r="J1350" s="35"/>
    </row>
    <row r="1351" spans="3:10" x14ac:dyDescent="0.25">
      <c r="C1351" s="16"/>
      <c r="D1351" s="16"/>
      <c r="E1351" s="64"/>
      <c r="F1351" s="33"/>
      <c r="G1351" s="70"/>
      <c r="H1351" s="16"/>
      <c r="I1351" s="16"/>
      <c r="J1351" s="16"/>
    </row>
    <row r="1352" spans="3:10" x14ac:dyDescent="0.25">
      <c r="C1352" s="35"/>
      <c r="D1352" s="35"/>
      <c r="E1352" s="65"/>
      <c r="F1352" s="36"/>
      <c r="G1352" s="69"/>
      <c r="H1352" s="35"/>
      <c r="I1352" s="35"/>
      <c r="J1352" s="35"/>
    </row>
    <row r="1353" spans="3:10" x14ac:dyDescent="0.25">
      <c r="C1353" s="16"/>
      <c r="D1353" s="16"/>
      <c r="E1353" s="64"/>
      <c r="F1353" s="33"/>
      <c r="G1353" s="70"/>
      <c r="H1353" s="16"/>
      <c r="I1353" s="16"/>
      <c r="J1353" s="16"/>
    </row>
    <row r="1354" spans="3:10" x14ac:dyDescent="0.25">
      <c r="C1354" s="35"/>
      <c r="D1354" s="35"/>
      <c r="E1354" s="65"/>
      <c r="F1354" s="36"/>
      <c r="G1354" s="69"/>
      <c r="H1354" s="35"/>
      <c r="I1354" s="35"/>
      <c r="J1354" s="35"/>
    </row>
    <row r="1355" spans="3:10" x14ac:dyDescent="0.25">
      <c r="C1355" s="16"/>
      <c r="D1355" s="16"/>
      <c r="E1355" s="64"/>
      <c r="F1355" s="33"/>
      <c r="G1355" s="70"/>
      <c r="H1355" s="16"/>
      <c r="I1355" s="16"/>
      <c r="J1355" s="16"/>
    </row>
    <row r="1356" spans="3:10" x14ac:dyDescent="0.25">
      <c r="C1356" s="35"/>
      <c r="D1356" s="35"/>
      <c r="E1356" s="65"/>
      <c r="F1356" s="36"/>
      <c r="G1356" s="69"/>
      <c r="H1356" s="35"/>
      <c r="I1356" s="35"/>
      <c r="J1356" s="35"/>
    </row>
    <row r="1357" spans="3:10" x14ac:dyDescent="0.25">
      <c r="C1357" s="16"/>
      <c r="D1357" s="16"/>
      <c r="E1357" s="64"/>
      <c r="F1357" s="33"/>
      <c r="G1357" s="70"/>
      <c r="H1357" s="16"/>
      <c r="I1357" s="16"/>
      <c r="J1357" s="16"/>
    </row>
    <row r="1358" spans="3:10" x14ac:dyDescent="0.25">
      <c r="C1358" s="35"/>
      <c r="D1358" s="35"/>
      <c r="E1358" s="65"/>
      <c r="F1358" s="36"/>
      <c r="G1358" s="69"/>
      <c r="H1358" s="35"/>
      <c r="I1358" s="35"/>
      <c r="J1358" s="35"/>
    </row>
    <row r="1359" spans="3:10" x14ac:dyDescent="0.25">
      <c r="C1359" s="16"/>
      <c r="D1359" s="16"/>
      <c r="E1359" s="64"/>
      <c r="F1359" s="33"/>
      <c r="G1359" s="70"/>
      <c r="H1359" s="16"/>
      <c r="I1359" s="16"/>
      <c r="J1359" s="16"/>
    </row>
    <row r="1360" spans="3:10" x14ac:dyDescent="0.25">
      <c r="C1360" s="35"/>
      <c r="D1360" s="35"/>
      <c r="E1360" s="65"/>
      <c r="F1360" s="36"/>
      <c r="G1360" s="69"/>
      <c r="H1360" s="35"/>
      <c r="I1360" s="35"/>
      <c r="J1360" s="35"/>
    </row>
    <row r="1361" spans="3:10" x14ac:dyDescent="0.25">
      <c r="C1361" s="16"/>
      <c r="D1361" s="16"/>
      <c r="E1361" s="64"/>
      <c r="F1361" s="33"/>
      <c r="G1361" s="70"/>
      <c r="H1361" s="16"/>
      <c r="I1361" s="16"/>
      <c r="J1361" s="16"/>
    </row>
    <row r="1362" spans="3:10" x14ac:dyDescent="0.25">
      <c r="C1362" s="35"/>
      <c r="D1362" s="35"/>
      <c r="E1362" s="65"/>
      <c r="F1362" s="36"/>
      <c r="G1362" s="69"/>
      <c r="H1362" s="35"/>
      <c r="I1362" s="35"/>
      <c r="J1362" s="35"/>
    </row>
    <row r="1363" spans="3:10" x14ac:dyDescent="0.25">
      <c r="C1363" s="16"/>
      <c r="D1363" s="16"/>
      <c r="E1363" s="64"/>
      <c r="F1363" s="33"/>
      <c r="G1363" s="70"/>
      <c r="H1363" s="16"/>
      <c r="I1363" s="16"/>
      <c r="J1363" s="16"/>
    </row>
    <row r="1364" spans="3:10" x14ac:dyDescent="0.25">
      <c r="C1364" s="35"/>
      <c r="D1364" s="35"/>
      <c r="E1364" s="65"/>
      <c r="F1364" s="36"/>
      <c r="G1364" s="69"/>
      <c r="H1364" s="35"/>
      <c r="I1364" s="35"/>
      <c r="J1364" s="35"/>
    </row>
    <row r="1365" spans="3:10" x14ac:dyDescent="0.25">
      <c r="C1365" s="16"/>
      <c r="D1365" s="16"/>
      <c r="E1365" s="64"/>
      <c r="F1365" s="33"/>
      <c r="G1365" s="70"/>
      <c r="H1365" s="16"/>
      <c r="I1365" s="16"/>
      <c r="J1365" s="16"/>
    </row>
    <row r="1366" spans="3:10" x14ac:dyDescent="0.25">
      <c r="C1366" s="35"/>
      <c r="D1366" s="35"/>
      <c r="E1366" s="65"/>
      <c r="F1366" s="36"/>
      <c r="G1366" s="69"/>
      <c r="H1366" s="35"/>
      <c r="I1366" s="35"/>
      <c r="J1366" s="35"/>
    </row>
    <row r="1367" spans="3:10" x14ac:dyDescent="0.25">
      <c r="C1367" s="16"/>
      <c r="D1367" s="16"/>
      <c r="E1367" s="64"/>
      <c r="F1367" s="33"/>
      <c r="G1367" s="70"/>
      <c r="H1367" s="16"/>
      <c r="I1367" s="16"/>
      <c r="J1367" s="16"/>
    </row>
    <row r="1368" spans="3:10" x14ac:dyDescent="0.25">
      <c r="C1368" s="35"/>
      <c r="D1368" s="35"/>
      <c r="E1368" s="65"/>
      <c r="F1368" s="36"/>
      <c r="G1368" s="69"/>
      <c r="H1368" s="35"/>
      <c r="I1368" s="35"/>
      <c r="J1368" s="35"/>
    </row>
    <row r="1369" spans="3:10" x14ac:dyDescent="0.25">
      <c r="C1369" s="16"/>
      <c r="D1369" s="16"/>
      <c r="E1369" s="64"/>
      <c r="F1369" s="33"/>
      <c r="G1369" s="70"/>
      <c r="H1369" s="16"/>
      <c r="I1369" s="16"/>
      <c r="J1369" s="16"/>
    </row>
    <row r="1370" spans="3:10" x14ac:dyDescent="0.25">
      <c r="C1370" s="35"/>
      <c r="D1370" s="35"/>
      <c r="E1370" s="65"/>
      <c r="F1370" s="36"/>
      <c r="G1370" s="69"/>
      <c r="H1370" s="35"/>
      <c r="I1370" s="35"/>
      <c r="J1370" s="35"/>
    </row>
    <row r="1371" spans="3:10" x14ac:dyDescent="0.25">
      <c r="C1371" s="16"/>
      <c r="D1371" s="16"/>
      <c r="E1371" s="64"/>
      <c r="F1371" s="33"/>
      <c r="G1371" s="70"/>
      <c r="H1371" s="16"/>
      <c r="I1371" s="16"/>
      <c r="J1371" s="16"/>
    </row>
    <row r="1372" spans="3:10" x14ac:dyDescent="0.25">
      <c r="C1372" s="35"/>
      <c r="D1372" s="35"/>
      <c r="E1372" s="65"/>
      <c r="F1372" s="36"/>
      <c r="G1372" s="69"/>
      <c r="H1372" s="35"/>
      <c r="I1372" s="35"/>
      <c r="J1372" s="35"/>
    </row>
    <row r="1373" spans="3:10" x14ac:dyDescent="0.25">
      <c r="C1373" s="16"/>
      <c r="D1373" s="16"/>
      <c r="E1373" s="64"/>
      <c r="F1373" s="33"/>
      <c r="G1373" s="70"/>
      <c r="H1373" s="16"/>
      <c r="I1373" s="16"/>
      <c r="J1373" s="16"/>
    </row>
    <row r="1374" spans="3:10" x14ac:dyDescent="0.25">
      <c r="C1374" s="35"/>
      <c r="D1374" s="35"/>
      <c r="E1374" s="65"/>
      <c r="F1374" s="36"/>
      <c r="G1374" s="69"/>
      <c r="H1374" s="35"/>
      <c r="I1374" s="35"/>
      <c r="J1374" s="35"/>
    </row>
    <row r="1375" spans="3:10" x14ac:dyDescent="0.25">
      <c r="C1375" s="16"/>
      <c r="D1375" s="16"/>
      <c r="E1375" s="64"/>
      <c r="F1375" s="33"/>
      <c r="G1375" s="70"/>
      <c r="H1375" s="16"/>
      <c r="I1375" s="16"/>
      <c r="J1375" s="16"/>
    </row>
    <row r="1376" spans="3:10" x14ac:dyDescent="0.25">
      <c r="C1376" s="35"/>
      <c r="D1376" s="35"/>
      <c r="E1376" s="65"/>
      <c r="F1376" s="36"/>
      <c r="G1376" s="69"/>
      <c r="H1376" s="35"/>
      <c r="I1376" s="35"/>
      <c r="J1376" s="35"/>
    </row>
    <row r="1377" spans="3:10" x14ac:dyDescent="0.25">
      <c r="C1377" s="16"/>
      <c r="D1377" s="16"/>
      <c r="E1377" s="64"/>
      <c r="F1377" s="33"/>
      <c r="G1377" s="70"/>
      <c r="H1377" s="16"/>
      <c r="I1377" s="16"/>
      <c r="J1377" s="16"/>
    </row>
    <row r="1378" spans="3:10" x14ac:dyDescent="0.25">
      <c r="C1378" s="35"/>
      <c r="D1378" s="35"/>
      <c r="E1378" s="65"/>
      <c r="F1378" s="36"/>
      <c r="G1378" s="69"/>
      <c r="H1378" s="35"/>
      <c r="I1378" s="35"/>
      <c r="J1378" s="35"/>
    </row>
    <row r="1379" spans="3:10" x14ac:dyDescent="0.25">
      <c r="C1379" s="16"/>
      <c r="D1379" s="16"/>
      <c r="E1379" s="64"/>
      <c r="F1379" s="33"/>
      <c r="G1379" s="70"/>
      <c r="H1379" s="16"/>
      <c r="I1379" s="16"/>
      <c r="J1379" s="16"/>
    </row>
    <row r="1380" spans="3:10" x14ac:dyDescent="0.25">
      <c r="C1380" s="35"/>
      <c r="D1380" s="35"/>
      <c r="E1380" s="65"/>
      <c r="F1380" s="36"/>
      <c r="G1380" s="69"/>
      <c r="H1380" s="35"/>
      <c r="I1380" s="35"/>
      <c r="J1380" s="35"/>
    </row>
    <row r="1381" spans="3:10" x14ac:dyDescent="0.25">
      <c r="C1381" s="16"/>
      <c r="D1381" s="16"/>
      <c r="E1381" s="64"/>
      <c r="F1381" s="33"/>
      <c r="G1381" s="70"/>
      <c r="H1381" s="16"/>
      <c r="I1381" s="16"/>
      <c r="J1381" s="16"/>
    </row>
    <row r="1382" spans="3:10" x14ac:dyDescent="0.25">
      <c r="C1382" s="35"/>
      <c r="D1382" s="35"/>
      <c r="E1382" s="65"/>
      <c r="F1382" s="36"/>
      <c r="G1382" s="69"/>
      <c r="H1382" s="35"/>
      <c r="I1382" s="35"/>
      <c r="J1382" s="35"/>
    </row>
    <row r="1383" spans="3:10" x14ac:dyDescent="0.25">
      <c r="C1383" s="16"/>
      <c r="D1383" s="16"/>
      <c r="E1383" s="64"/>
      <c r="F1383" s="33"/>
      <c r="G1383" s="70"/>
      <c r="H1383" s="16"/>
      <c r="I1383" s="16"/>
      <c r="J1383" s="16"/>
    </row>
    <row r="1384" spans="3:10" x14ac:dyDescent="0.25">
      <c r="C1384" s="35"/>
      <c r="D1384" s="35"/>
      <c r="E1384" s="65"/>
      <c r="F1384" s="36"/>
      <c r="G1384" s="69"/>
      <c r="H1384" s="35"/>
      <c r="I1384" s="35"/>
      <c r="J1384" s="35"/>
    </row>
    <row r="1385" spans="3:10" x14ac:dyDescent="0.25">
      <c r="C1385" s="16"/>
      <c r="D1385" s="16"/>
      <c r="E1385" s="64"/>
      <c r="F1385" s="33"/>
      <c r="G1385" s="70"/>
      <c r="H1385" s="16"/>
      <c r="I1385" s="16"/>
      <c r="J1385" s="16"/>
    </row>
    <row r="1386" spans="3:10" x14ac:dyDescent="0.25">
      <c r="C1386" s="35"/>
      <c r="D1386" s="35"/>
      <c r="E1386" s="65"/>
      <c r="F1386" s="36"/>
      <c r="G1386" s="69"/>
      <c r="H1386" s="35"/>
      <c r="I1386" s="35"/>
      <c r="J1386" s="35"/>
    </row>
    <row r="1387" spans="3:10" x14ac:dyDescent="0.25">
      <c r="C1387" s="16"/>
      <c r="D1387" s="16"/>
      <c r="E1387" s="64"/>
      <c r="F1387" s="33"/>
      <c r="G1387" s="70"/>
      <c r="H1387" s="16"/>
      <c r="I1387" s="16"/>
      <c r="J1387" s="16"/>
    </row>
    <row r="1388" spans="3:10" x14ac:dyDescent="0.25">
      <c r="C1388" s="35"/>
      <c r="D1388" s="35"/>
      <c r="E1388" s="65"/>
      <c r="F1388" s="36"/>
      <c r="G1388" s="69"/>
      <c r="H1388" s="35"/>
      <c r="I1388" s="35"/>
      <c r="J1388" s="35"/>
    </row>
    <row r="1389" spans="3:10" x14ac:dyDescent="0.25">
      <c r="C1389" s="16"/>
      <c r="D1389" s="16"/>
      <c r="E1389" s="64"/>
      <c r="F1389" s="33"/>
      <c r="G1389" s="70"/>
      <c r="H1389" s="16"/>
      <c r="I1389" s="16"/>
      <c r="J1389" s="16"/>
    </row>
    <row r="1390" spans="3:10" x14ac:dyDescent="0.25">
      <c r="C1390" s="35"/>
      <c r="D1390" s="35"/>
      <c r="E1390" s="65"/>
      <c r="F1390" s="36"/>
      <c r="G1390" s="69"/>
      <c r="H1390" s="35"/>
      <c r="I1390" s="35"/>
      <c r="J1390" s="35"/>
    </row>
    <row r="1391" spans="3:10" x14ac:dyDescent="0.25">
      <c r="C1391" s="16"/>
      <c r="D1391" s="16"/>
      <c r="E1391" s="64"/>
      <c r="F1391" s="33"/>
      <c r="G1391" s="70"/>
      <c r="H1391" s="16"/>
      <c r="I1391" s="16"/>
      <c r="J1391" s="16"/>
    </row>
    <row r="1392" spans="3:10" x14ac:dyDescent="0.25">
      <c r="C1392" s="35"/>
      <c r="D1392" s="35"/>
      <c r="E1392" s="65"/>
      <c r="F1392" s="36"/>
      <c r="G1392" s="69"/>
      <c r="H1392" s="35"/>
      <c r="I1392" s="35"/>
      <c r="J1392" s="35"/>
    </row>
    <row r="1393" spans="3:10" x14ac:dyDescent="0.25">
      <c r="C1393" s="16"/>
      <c r="D1393" s="16"/>
      <c r="E1393" s="64"/>
      <c r="F1393" s="33"/>
      <c r="G1393" s="70"/>
      <c r="H1393" s="16"/>
      <c r="I1393" s="16"/>
      <c r="J1393" s="16"/>
    </row>
    <row r="1394" spans="3:10" x14ac:dyDescent="0.25">
      <c r="C1394" s="35"/>
      <c r="D1394" s="35"/>
      <c r="E1394" s="65"/>
      <c r="F1394" s="36"/>
      <c r="G1394" s="69"/>
      <c r="H1394" s="35"/>
      <c r="I1394" s="35"/>
      <c r="J1394" s="35"/>
    </row>
    <row r="1395" spans="3:10" x14ac:dyDescent="0.25">
      <c r="C1395" s="16"/>
      <c r="D1395" s="16"/>
      <c r="E1395" s="64"/>
      <c r="F1395" s="33"/>
      <c r="G1395" s="70"/>
      <c r="H1395" s="16"/>
      <c r="I1395" s="16"/>
      <c r="J1395" s="16"/>
    </row>
    <row r="1396" spans="3:10" x14ac:dyDescent="0.25">
      <c r="C1396" s="35"/>
      <c r="D1396" s="35"/>
      <c r="E1396" s="65"/>
      <c r="F1396" s="36"/>
      <c r="G1396" s="69"/>
      <c r="H1396" s="35"/>
      <c r="I1396" s="35"/>
      <c r="J1396" s="35"/>
    </row>
    <row r="1397" spans="3:10" x14ac:dyDescent="0.25">
      <c r="C1397" s="16"/>
      <c r="D1397" s="16"/>
      <c r="E1397" s="64"/>
      <c r="F1397" s="33"/>
      <c r="G1397" s="70"/>
      <c r="H1397" s="16"/>
      <c r="I1397" s="16"/>
      <c r="J1397" s="16"/>
    </row>
    <row r="1398" spans="3:10" x14ac:dyDescent="0.25">
      <c r="C1398" s="35"/>
      <c r="D1398" s="35"/>
      <c r="E1398" s="65"/>
      <c r="F1398" s="36"/>
      <c r="G1398" s="69"/>
      <c r="H1398" s="35"/>
      <c r="I1398" s="35"/>
      <c r="J1398" s="35"/>
    </row>
    <row r="1399" spans="3:10" x14ac:dyDescent="0.25">
      <c r="C1399" s="16"/>
      <c r="D1399" s="16"/>
      <c r="E1399" s="64"/>
      <c r="F1399" s="33"/>
      <c r="G1399" s="70"/>
      <c r="H1399" s="16"/>
      <c r="I1399" s="16"/>
      <c r="J1399" s="16"/>
    </row>
    <row r="1400" spans="3:10" x14ac:dyDescent="0.25">
      <c r="C1400" s="35"/>
      <c r="D1400" s="35"/>
      <c r="E1400" s="65"/>
      <c r="F1400" s="36"/>
      <c r="G1400" s="69"/>
      <c r="H1400" s="35"/>
      <c r="I1400" s="35"/>
      <c r="J1400" s="35"/>
    </row>
    <row r="1401" spans="3:10" x14ac:dyDescent="0.25">
      <c r="C1401" s="16"/>
      <c r="D1401" s="16"/>
      <c r="E1401" s="64"/>
      <c r="F1401" s="33"/>
      <c r="G1401" s="70"/>
      <c r="H1401" s="16"/>
      <c r="I1401" s="16"/>
      <c r="J1401" s="16"/>
    </row>
    <row r="1402" spans="3:10" x14ac:dyDescent="0.25">
      <c r="C1402" s="35"/>
      <c r="D1402" s="35"/>
      <c r="E1402" s="65"/>
      <c r="F1402" s="36"/>
      <c r="G1402" s="69"/>
      <c r="H1402" s="35"/>
      <c r="I1402" s="35"/>
      <c r="J1402" s="35"/>
    </row>
    <row r="1403" spans="3:10" x14ac:dyDescent="0.25">
      <c r="C1403" s="16"/>
      <c r="D1403" s="16"/>
      <c r="E1403" s="64"/>
      <c r="F1403" s="33"/>
      <c r="G1403" s="70"/>
      <c r="H1403" s="16"/>
      <c r="I1403" s="16"/>
      <c r="J1403" s="16"/>
    </row>
    <row r="1404" spans="3:10" x14ac:dyDescent="0.25">
      <c r="C1404" s="35"/>
      <c r="D1404" s="35"/>
      <c r="E1404" s="65"/>
      <c r="F1404" s="36"/>
      <c r="G1404" s="69"/>
      <c r="H1404" s="35"/>
      <c r="I1404" s="35"/>
      <c r="J1404" s="35"/>
    </row>
    <row r="1405" spans="3:10" x14ac:dyDescent="0.25">
      <c r="C1405" s="16"/>
      <c r="D1405" s="16"/>
      <c r="E1405" s="64"/>
      <c r="F1405" s="33"/>
      <c r="G1405" s="70"/>
      <c r="H1405" s="16"/>
      <c r="I1405" s="16"/>
      <c r="J1405" s="16"/>
    </row>
    <row r="1406" spans="3:10" x14ac:dyDescent="0.25">
      <c r="C1406" s="35"/>
      <c r="D1406" s="35"/>
      <c r="E1406" s="65"/>
      <c r="F1406" s="36"/>
      <c r="G1406" s="69"/>
      <c r="H1406" s="35"/>
      <c r="I1406" s="35"/>
      <c r="J1406" s="35"/>
    </row>
    <row r="1407" spans="3:10" x14ac:dyDescent="0.25">
      <c r="C1407" s="16"/>
      <c r="D1407" s="16"/>
      <c r="E1407" s="64"/>
      <c r="F1407" s="33"/>
      <c r="G1407" s="70"/>
      <c r="H1407" s="16"/>
      <c r="I1407" s="16"/>
      <c r="J1407" s="16"/>
    </row>
    <row r="1408" spans="3:10" x14ac:dyDescent="0.25">
      <c r="C1408" s="35"/>
      <c r="D1408" s="35"/>
      <c r="E1408" s="65"/>
      <c r="F1408" s="36"/>
      <c r="G1408" s="69"/>
      <c r="H1408" s="35"/>
      <c r="I1408" s="35"/>
      <c r="J1408" s="35"/>
    </row>
    <row r="1409" spans="3:10" x14ac:dyDescent="0.25">
      <c r="C1409" s="16"/>
      <c r="D1409" s="16"/>
      <c r="E1409" s="64"/>
      <c r="F1409" s="33"/>
      <c r="G1409" s="70"/>
      <c r="H1409" s="16"/>
      <c r="I1409" s="16"/>
      <c r="J1409" s="16"/>
    </row>
    <row r="1410" spans="3:10" x14ac:dyDescent="0.25">
      <c r="C1410" s="35"/>
      <c r="D1410" s="35"/>
      <c r="E1410" s="65"/>
      <c r="F1410" s="36"/>
      <c r="G1410" s="69"/>
      <c r="H1410" s="35"/>
      <c r="I1410" s="35"/>
      <c r="J1410" s="35"/>
    </row>
    <row r="1411" spans="3:10" x14ac:dyDescent="0.25">
      <c r="C1411" s="16"/>
      <c r="D1411" s="16"/>
      <c r="E1411" s="64"/>
      <c r="F1411" s="33"/>
      <c r="G1411" s="70"/>
      <c r="H1411" s="16"/>
      <c r="I1411" s="16"/>
      <c r="J1411" s="16"/>
    </row>
    <row r="1412" spans="3:10" x14ac:dyDescent="0.25">
      <c r="C1412" s="35"/>
      <c r="D1412" s="35"/>
      <c r="E1412" s="65"/>
      <c r="F1412" s="36"/>
      <c r="G1412" s="69"/>
      <c r="H1412" s="35"/>
      <c r="I1412" s="35"/>
      <c r="J1412" s="35"/>
    </row>
    <row r="1413" spans="3:10" x14ac:dyDescent="0.25">
      <c r="C1413" s="16"/>
      <c r="D1413" s="16"/>
      <c r="E1413" s="64"/>
      <c r="F1413" s="33"/>
      <c r="G1413" s="70"/>
      <c r="H1413" s="16"/>
      <c r="I1413" s="16"/>
      <c r="J1413" s="16"/>
    </row>
    <row r="1414" spans="3:10" x14ac:dyDescent="0.25">
      <c r="C1414" s="35"/>
      <c r="D1414" s="35"/>
      <c r="E1414" s="65"/>
      <c r="F1414" s="36"/>
      <c r="G1414" s="69"/>
      <c r="H1414" s="35"/>
      <c r="I1414" s="35"/>
      <c r="J1414" s="35"/>
    </row>
    <row r="1415" spans="3:10" x14ac:dyDescent="0.25">
      <c r="C1415" s="16"/>
      <c r="D1415" s="16"/>
      <c r="E1415" s="64"/>
      <c r="F1415" s="33"/>
      <c r="G1415" s="70"/>
      <c r="H1415" s="16"/>
      <c r="I1415" s="16"/>
      <c r="J1415" s="16"/>
    </row>
    <row r="1416" spans="3:10" x14ac:dyDescent="0.25">
      <c r="C1416" s="35"/>
      <c r="D1416" s="35"/>
      <c r="E1416" s="65"/>
      <c r="F1416" s="36"/>
      <c r="G1416" s="69"/>
      <c r="H1416" s="35"/>
      <c r="I1416" s="35"/>
      <c r="J1416" s="35"/>
    </row>
    <row r="1417" spans="3:10" x14ac:dyDescent="0.25">
      <c r="C1417" s="16"/>
      <c r="D1417" s="16"/>
      <c r="E1417" s="64"/>
      <c r="F1417" s="33"/>
      <c r="G1417" s="70"/>
      <c r="H1417" s="16"/>
      <c r="I1417" s="16"/>
      <c r="J1417" s="16"/>
    </row>
    <row r="1418" spans="3:10" x14ac:dyDescent="0.25">
      <c r="C1418" s="35"/>
      <c r="D1418" s="35"/>
      <c r="E1418" s="65"/>
      <c r="F1418" s="36"/>
      <c r="G1418" s="69"/>
      <c r="H1418" s="35"/>
      <c r="I1418" s="35"/>
      <c r="J1418" s="35"/>
    </row>
    <row r="1419" spans="3:10" x14ac:dyDescent="0.25">
      <c r="C1419" s="16"/>
      <c r="D1419" s="16"/>
      <c r="E1419" s="64"/>
      <c r="F1419" s="33"/>
      <c r="G1419" s="70"/>
      <c r="H1419" s="16"/>
      <c r="I1419" s="16"/>
      <c r="J1419" s="16"/>
    </row>
    <row r="1420" spans="3:10" x14ac:dyDescent="0.25">
      <c r="C1420" s="35"/>
      <c r="D1420" s="35"/>
      <c r="E1420" s="65"/>
      <c r="F1420" s="36"/>
      <c r="G1420" s="69"/>
      <c r="H1420" s="35"/>
      <c r="I1420" s="35"/>
      <c r="J1420" s="35"/>
    </row>
    <row r="1421" spans="3:10" x14ac:dyDescent="0.25">
      <c r="C1421" s="16"/>
      <c r="D1421" s="16"/>
      <c r="E1421" s="64"/>
      <c r="F1421" s="33"/>
      <c r="G1421" s="70"/>
      <c r="H1421" s="16"/>
      <c r="I1421" s="16"/>
      <c r="J1421" s="16"/>
    </row>
    <row r="1422" spans="3:10" x14ac:dyDescent="0.25">
      <c r="C1422" s="35"/>
      <c r="D1422" s="35"/>
      <c r="E1422" s="65"/>
      <c r="F1422" s="36"/>
      <c r="G1422" s="69"/>
      <c r="H1422" s="35"/>
      <c r="I1422" s="35"/>
      <c r="J1422" s="35"/>
    </row>
    <row r="1423" spans="3:10" x14ac:dyDescent="0.25">
      <c r="C1423" s="16"/>
      <c r="D1423" s="16"/>
      <c r="E1423" s="64"/>
      <c r="F1423" s="33"/>
      <c r="G1423" s="70"/>
      <c r="H1423" s="16"/>
      <c r="I1423" s="16"/>
      <c r="J1423" s="16"/>
    </row>
    <row r="1424" spans="3:10" x14ac:dyDescent="0.25">
      <c r="C1424" s="35"/>
      <c r="D1424" s="35"/>
      <c r="E1424" s="65"/>
      <c r="F1424" s="36"/>
      <c r="G1424" s="69"/>
      <c r="H1424" s="35"/>
      <c r="I1424" s="35"/>
      <c r="J1424" s="35"/>
    </row>
    <row r="1425" spans="3:10" x14ac:dyDescent="0.25">
      <c r="C1425" s="16"/>
      <c r="D1425" s="16"/>
      <c r="E1425" s="64"/>
      <c r="F1425" s="33"/>
      <c r="G1425" s="70"/>
      <c r="H1425" s="16"/>
      <c r="I1425" s="16"/>
      <c r="J1425" s="16"/>
    </row>
    <row r="1426" spans="3:10" x14ac:dyDescent="0.25">
      <c r="C1426" s="35"/>
      <c r="D1426" s="35"/>
      <c r="E1426" s="65"/>
      <c r="F1426" s="36"/>
      <c r="G1426" s="69"/>
      <c r="H1426" s="35"/>
      <c r="I1426" s="35"/>
      <c r="J1426" s="35"/>
    </row>
    <row r="1427" spans="3:10" x14ac:dyDescent="0.25">
      <c r="C1427" s="16"/>
      <c r="D1427" s="16"/>
      <c r="E1427" s="64"/>
      <c r="F1427" s="33"/>
      <c r="G1427" s="70"/>
      <c r="H1427" s="16"/>
      <c r="I1427" s="16"/>
      <c r="J1427" s="16"/>
    </row>
    <row r="1428" spans="3:10" x14ac:dyDescent="0.25">
      <c r="C1428" s="35"/>
      <c r="D1428" s="35"/>
      <c r="E1428" s="65"/>
      <c r="F1428" s="36"/>
      <c r="G1428" s="69"/>
      <c r="H1428" s="35"/>
      <c r="I1428" s="35"/>
      <c r="J1428" s="35"/>
    </row>
    <row r="1429" spans="3:10" x14ac:dyDescent="0.25">
      <c r="C1429" s="16"/>
      <c r="D1429" s="16"/>
      <c r="E1429" s="64"/>
      <c r="F1429" s="33"/>
      <c r="G1429" s="70"/>
      <c r="H1429" s="16"/>
      <c r="I1429" s="16"/>
      <c r="J1429" s="16"/>
    </row>
    <row r="1430" spans="3:10" x14ac:dyDescent="0.25">
      <c r="C1430" s="35"/>
      <c r="D1430" s="35"/>
      <c r="E1430" s="65"/>
      <c r="F1430" s="36"/>
      <c r="G1430" s="69"/>
      <c r="H1430" s="35"/>
      <c r="I1430" s="35"/>
      <c r="J1430" s="35"/>
    </row>
    <row r="1431" spans="3:10" x14ac:dyDescent="0.25">
      <c r="C1431" s="16"/>
      <c r="D1431" s="16"/>
      <c r="E1431" s="64"/>
      <c r="F1431" s="33"/>
      <c r="G1431" s="70"/>
      <c r="H1431" s="16"/>
      <c r="I1431" s="16"/>
      <c r="J1431" s="16"/>
    </row>
    <row r="1432" spans="3:10" x14ac:dyDescent="0.25">
      <c r="C1432" s="35"/>
      <c r="D1432" s="35"/>
      <c r="E1432" s="65"/>
      <c r="F1432" s="36"/>
      <c r="G1432" s="69"/>
      <c r="H1432" s="35"/>
      <c r="I1432" s="35"/>
      <c r="J1432" s="35"/>
    </row>
    <row r="1433" spans="3:10" x14ac:dyDescent="0.25">
      <c r="C1433" s="16"/>
      <c r="D1433" s="16"/>
      <c r="E1433" s="64"/>
      <c r="F1433" s="33"/>
      <c r="G1433" s="70"/>
      <c r="H1433" s="16"/>
      <c r="I1433" s="16"/>
      <c r="J1433" s="16"/>
    </row>
    <row r="1434" spans="3:10" x14ac:dyDescent="0.25">
      <c r="C1434" s="35"/>
      <c r="D1434" s="35"/>
      <c r="E1434" s="65"/>
      <c r="F1434" s="36"/>
      <c r="G1434" s="69"/>
      <c r="H1434" s="35"/>
      <c r="I1434" s="35"/>
      <c r="J1434" s="35"/>
    </row>
    <row r="1435" spans="3:10" x14ac:dyDescent="0.25">
      <c r="C1435" s="16"/>
      <c r="D1435" s="16"/>
      <c r="E1435" s="64"/>
      <c r="F1435" s="33"/>
      <c r="G1435" s="70"/>
      <c r="H1435" s="16"/>
      <c r="I1435" s="16"/>
      <c r="J1435" s="16"/>
    </row>
    <row r="1436" spans="3:10" x14ac:dyDescent="0.25">
      <c r="C1436" s="35"/>
      <c r="D1436" s="35"/>
      <c r="E1436" s="65"/>
      <c r="F1436" s="36"/>
      <c r="G1436" s="69"/>
      <c r="H1436" s="35"/>
      <c r="I1436" s="35"/>
      <c r="J1436" s="35"/>
    </row>
    <row r="1437" spans="3:10" x14ac:dyDescent="0.25">
      <c r="C1437" s="16"/>
      <c r="D1437" s="16"/>
      <c r="E1437" s="64"/>
      <c r="F1437" s="33"/>
      <c r="G1437" s="70"/>
      <c r="H1437" s="16"/>
      <c r="I1437" s="16"/>
      <c r="J1437" s="16"/>
    </row>
    <row r="1438" spans="3:10" x14ac:dyDescent="0.25">
      <c r="C1438" s="35"/>
      <c r="D1438" s="35"/>
      <c r="E1438" s="65"/>
      <c r="F1438" s="36"/>
      <c r="G1438" s="69"/>
      <c r="H1438" s="35"/>
      <c r="I1438" s="35"/>
      <c r="J1438" s="35"/>
    </row>
    <row r="1439" spans="3:10" x14ac:dyDescent="0.25">
      <c r="C1439" s="16"/>
      <c r="D1439" s="16"/>
      <c r="E1439" s="64"/>
      <c r="F1439" s="33"/>
      <c r="G1439" s="70"/>
      <c r="H1439" s="16"/>
      <c r="I1439" s="16"/>
      <c r="J1439" s="16"/>
    </row>
    <row r="1440" spans="3:10" x14ac:dyDescent="0.25">
      <c r="C1440" s="35"/>
      <c r="D1440" s="35"/>
      <c r="E1440" s="65"/>
      <c r="F1440" s="36"/>
      <c r="G1440" s="69"/>
      <c r="H1440" s="35"/>
      <c r="I1440" s="35"/>
      <c r="J1440" s="35"/>
    </row>
    <row r="1441" spans="3:10" x14ac:dyDescent="0.25">
      <c r="C1441" s="16"/>
      <c r="D1441" s="16"/>
      <c r="E1441" s="64"/>
      <c r="F1441" s="33"/>
      <c r="G1441" s="70"/>
      <c r="H1441" s="16"/>
      <c r="I1441" s="16"/>
      <c r="J1441" s="16"/>
    </row>
    <row r="1442" spans="3:10" x14ac:dyDescent="0.25">
      <c r="C1442" s="35"/>
      <c r="D1442" s="35"/>
      <c r="E1442" s="65"/>
      <c r="F1442" s="36"/>
      <c r="G1442" s="69"/>
      <c r="H1442" s="35"/>
      <c r="I1442" s="35"/>
      <c r="J1442" s="35"/>
    </row>
    <row r="1443" spans="3:10" x14ac:dyDescent="0.25">
      <c r="C1443" s="16"/>
      <c r="D1443" s="16"/>
      <c r="E1443" s="64"/>
      <c r="F1443" s="33"/>
      <c r="G1443" s="70"/>
      <c r="H1443" s="16"/>
      <c r="I1443" s="16"/>
      <c r="J1443" s="16"/>
    </row>
    <row r="1444" spans="3:10" x14ac:dyDescent="0.25">
      <c r="C1444" s="35"/>
      <c r="D1444" s="35"/>
      <c r="E1444" s="65"/>
      <c r="F1444" s="36"/>
      <c r="G1444" s="69"/>
      <c r="H1444" s="35"/>
      <c r="I1444" s="35"/>
      <c r="J1444" s="35"/>
    </row>
    <row r="1445" spans="3:10" x14ac:dyDescent="0.25">
      <c r="C1445" s="16"/>
      <c r="D1445" s="16"/>
      <c r="E1445" s="64"/>
      <c r="F1445" s="33"/>
      <c r="G1445" s="70"/>
      <c r="H1445" s="16"/>
      <c r="I1445" s="16"/>
      <c r="J1445" s="16"/>
    </row>
    <row r="1446" spans="3:10" x14ac:dyDescent="0.25">
      <c r="C1446" s="35"/>
      <c r="D1446" s="35"/>
      <c r="E1446" s="65"/>
      <c r="F1446" s="36"/>
      <c r="G1446" s="69"/>
      <c r="H1446" s="35"/>
      <c r="I1446" s="35"/>
      <c r="J1446" s="35"/>
    </row>
    <row r="1447" spans="3:10" x14ac:dyDescent="0.25">
      <c r="C1447" s="16"/>
      <c r="D1447" s="16"/>
      <c r="E1447" s="64"/>
      <c r="F1447" s="33"/>
      <c r="G1447" s="70"/>
      <c r="H1447" s="16"/>
      <c r="I1447" s="16"/>
      <c r="J1447" s="16"/>
    </row>
    <row r="1448" spans="3:10" x14ac:dyDescent="0.25">
      <c r="C1448" s="35"/>
      <c r="D1448" s="35"/>
      <c r="E1448" s="65"/>
      <c r="F1448" s="36"/>
      <c r="G1448" s="69"/>
      <c r="H1448" s="35"/>
      <c r="I1448" s="35"/>
      <c r="J1448" s="35"/>
    </row>
    <row r="1449" spans="3:10" x14ac:dyDescent="0.25">
      <c r="C1449" s="16"/>
      <c r="D1449" s="16"/>
      <c r="E1449" s="64"/>
      <c r="F1449" s="33"/>
      <c r="G1449" s="70"/>
      <c r="H1449" s="16"/>
      <c r="I1449" s="16"/>
      <c r="J1449" s="16"/>
    </row>
    <row r="1450" spans="3:10" x14ac:dyDescent="0.25">
      <c r="C1450" s="35"/>
      <c r="D1450" s="35"/>
      <c r="E1450" s="65"/>
      <c r="F1450" s="36"/>
      <c r="G1450" s="69"/>
      <c r="H1450" s="35"/>
      <c r="I1450" s="35"/>
      <c r="J1450" s="35"/>
    </row>
    <row r="1451" spans="3:10" x14ac:dyDescent="0.25">
      <c r="C1451" s="16"/>
      <c r="D1451" s="16"/>
      <c r="E1451" s="64"/>
      <c r="F1451" s="33"/>
      <c r="G1451" s="70"/>
      <c r="H1451" s="16"/>
      <c r="I1451" s="16"/>
      <c r="J1451" s="16"/>
    </row>
    <row r="1452" spans="3:10" x14ac:dyDescent="0.25">
      <c r="C1452" s="35"/>
      <c r="D1452" s="35"/>
      <c r="E1452" s="65"/>
      <c r="F1452" s="36"/>
      <c r="G1452" s="69"/>
      <c r="H1452" s="35"/>
      <c r="I1452" s="35"/>
      <c r="J1452" s="35"/>
    </row>
    <row r="1453" spans="3:10" x14ac:dyDescent="0.25">
      <c r="C1453" s="16"/>
      <c r="D1453" s="16"/>
      <c r="E1453" s="64"/>
      <c r="F1453" s="33"/>
      <c r="G1453" s="70"/>
      <c r="H1453" s="16"/>
      <c r="I1453" s="16"/>
      <c r="J1453" s="16"/>
    </row>
    <row r="1454" spans="3:10" x14ac:dyDescent="0.25">
      <c r="C1454" s="35"/>
      <c r="D1454" s="35"/>
      <c r="E1454" s="65"/>
      <c r="F1454" s="36"/>
      <c r="G1454" s="69"/>
      <c r="H1454" s="35"/>
      <c r="I1454" s="35"/>
      <c r="J1454" s="35"/>
    </row>
    <row r="1455" spans="3:10" x14ac:dyDescent="0.25">
      <c r="C1455" s="16"/>
      <c r="D1455" s="16"/>
      <c r="E1455" s="64"/>
      <c r="F1455" s="33"/>
      <c r="G1455" s="70"/>
      <c r="H1455" s="16"/>
      <c r="I1455" s="16"/>
      <c r="J1455" s="16"/>
    </row>
    <row r="1456" spans="3:10" x14ac:dyDescent="0.25">
      <c r="C1456" s="35"/>
      <c r="D1456" s="35"/>
      <c r="E1456" s="65"/>
      <c r="F1456" s="36"/>
      <c r="G1456" s="69"/>
      <c r="H1456" s="35"/>
      <c r="I1456" s="35"/>
      <c r="J1456" s="35"/>
    </row>
    <row r="1457" spans="3:10" x14ac:dyDescent="0.25">
      <c r="C1457" s="16"/>
      <c r="D1457" s="16"/>
      <c r="E1457" s="64"/>
      <c r="F1457" s="33"/>
      <c r="G1457" s="70"/>
      <c r="H1457" s="16"/>
      <c r="I1457" s="16"/>
      <c r="J1457" s="16"/>
    </row>
    <row r="1458" spans="3:10" x14ac:dyDescent="0.25">
      <c r="C1458" s="35"/>
      <c r="D1458" s="35"/>
      <c r="E1458" s="65"/>
      <c r="F1458" s="36"/>
      <c r="G1458" s="69"/>
      <c r="H1458" s="35"/>
      <c r="I1458" s="35"/>
      <c r="J1458" s="35"/>
    </row>
    <row r="1459" spans="3:10" x14ac:dyDescent="0.25">
      <c r="C1459" s="16"/>
      <c r="D1459" s="16"/>
      <c r="E1459" s="64"/>
      <c r="F1459" s="33"/>
      <c r="G1459" s="70"/>
      <c r="H1459" s="16"/>
      <c r="I1459" s="16"/>
      <c r="J1459" s="16"/>
    </row>
    <row r="1460" spans="3:10" x14ac:dyDescent="0.25">
      <c r="C1460" s="35"/>
      <c r="D1460" s="35"/>
      <c r="E1460" s="65"/>
      <c r="F1460" s="36"/>
      <c r="G1460" s="69"/>
      <c r="H1460" s="35"/>
      <c r="I1460" s="35"/>
      <c r="J1460" s="35"/>
    </row>
    <row r="1461" spans="3:10" x14ac:dyDescent="0.25">
      <c r="C1461" s="16"/>
      <c r="D1461" s="16"/>
      <c r="E1461" s="64"/>
      <c r="F1461" s="33"/>
      <c r="G1461" s="70"/>
      <c r="H1461" s="16"/>
      <c r="I1461" s="16"/>
      <c r="J1461" s="16"/>
    </row>
    <row r="1462" spans="3:10" x14ac:dyDescent="0.25">
      <c r="C1462" s="35"/>
      <c r="D1462" s="35"/>
      <c r="E1462" s="65"/>
      <c r="F1462" s="36"/>
      <c r="G1462" s="69"/>
      <c r="H1462" s="35"/>
      <c r="I1462" s="35"/>
      <c r="J1462" s="35"/>
    </row>
    <row r="1463" spans="3:10" x14ac:dyDescent="0.25">
      <c r="C1463" s="16"/>
      <c r="D1463" s="16"/>
      <c r="E1463" s="64"/>
      <c r="F1463" s="33"/>
      <c r="G1463" s="70"/>
      <c r="H1463" s="16"/>
      <c r="I1463" s="16"/>
      <c r="J1463" s="16"/>
    </row>
    <row r="1464" spans="3:10" x14ac:dyDescent="0.25">
      <c r="C1464" s="35"/>
      <c r="D1464" s="35"/>
      <c r="E1464" s="65"/>
      <c r="F1464" s="36"/>
      <c r="G1464" s="69"/>
      <c r="H1464" s="35"/>
      <c r="I1464" s="35"/>
      <c r="J1464" s="35"/>
    </row>
    <row r="1465" spans="3:10" x14ac:dyDescent="0.25">
      <c r="C1465" s="16"/>
      <c r="D1465" s="16"/>
      <c r="E1465" s="64"/>
      <c r="F1465" s="33"/>
      <c r="G1465" s="70"/>
      <c r="H1465" s="16"/>
      <c r="I1465" s="16"/>
      <c r="J1465" s="16"/>
    </row>
    <row r="1466" spans="3:10" x14ac:dyDescent="0.25">
      <c r="C1466" s="35"/>
      <c r="D1466" s="35"/>
      <c r="E1466" s="65"/>
      <c r="F1466" s="36"/>
      <c r="G1466" s="69"/>
      <c r="H1466" s="35"/>
      <c r="I1466" s="35"/>
      <c r="J1466" s="35"/>
    </row>
    <row r="1467" spans="3:10" x14ac:dyDescent="0.25">
      <c r="C1467" s="16"/>
      <c r="D1467" s="16"/>
      <c r="E1467" s="64"/>
      <c r="F1467" s="33"/>
      <c r="G1467" s="70"/>
      <c r="H1467" s="16"/>
      <c r="I1467" s="16"/>
      <c r="J1467" s="16"/>
    </row>
    <row r="1468" spans="3:10" x14ac:dyDescent="0.25">
      <c r="C1468" s="35"/>
      <c r="D1468" s="35"/>
      <c r="E1468" s="65"/>
      <c r="F1468" s="36"/>
      <c r="G1468" s="69"/>
      <c r="H1468" s="35"/>
      <c r="I1468" s="35"/>
      <c r="J1468" s="35"/>
    </row>
    <row r="1469" spans="3:10" x14ac:dyDescent="0.25">
      <c r="C1469" s="16"/>
      <c r="D1469" s="16"/>
      <c r="E1469" s="64"/>
      <c r="F1469" s="33"/>
      <c r="G1469" s="70"/>
      <c r="H1469" s="16"/>
      <c r="I1469" s="16"/>
      <c r="J1469" s="16"/>
    </row>
    <row r="1470" spans="3:10" x14ac:dyDescent="0.25">
      <c r="C1470" s="35"/>
      <c r="D1470" s="35"/>
      <c r="E1470" s="65"/>
      <c r="F1470" s="36"/>
      <c r="G1470" s="69"/>
      <c r="H1470" s="35"/>
      <c r="I1470" s="35"/>
      <c r="J1470" s="35"/>
    </row>
    <row r="1471" spans="3:10" x14ac:dyDescent="0.25">
      <c r="C1471" s="16"/>
      <c r="D1471" s="16"/>
      <c r="E1471" s="64"/>
      <c r="F1471" s="33"/>
      <c r="G1471" s="70"/>
      <c r="H1471" s="16"/>
      <c r="I1471" s="16"/>
      <c r="J1471" s="16"/>
    </row>
    <row r="1472" spans="3:10" x14ac:dyDescent="0.25">
      <c r="C1472" s="35"/>
      <c r="D1472" s="35"/>
      <c r="E1472" s="65"/>
      <c r="F1472" s="36"/>
      <c r="G1472" s="69"/>
      <c r="H1472" s="35"/>
      <c r="I1472" s="35"/>
      <c r="J1472" s="35"/>
    </row>
    <row r="1473" spans="3:10" x14ac:dyDescent="0.25">
      <c r="C1473" s="16"/>
      <c r="D1473" s="16"/>
      <c r="E1473" s="64"/>
      <c r="F1473" s="33"/>
      <c r="G1473" s="70"/>
      <c r="H1473" s="16"/>
      <c r="I1473" s="16"/>
      <c r="J1473" s="16"/>
    </row>
    <row r="1474" spans="3:10" x14ac:dyDescent="0.25">
      <c r="C1474" s="35"/>
      <c r="D1474" s="35"/>
      <c r="E1474" s="65"/>
      <c r="F1474" s="36"/>
      <c r="G1474" s="69"/>
      <c r="H1474" s="35"/>
      <c r="I1474" s="35"/>
      <c r="J1474" s="35"/>
    </row>
    <row r="1475" spans="3:10" x14ac:dyDescent="0.25">
      <c r="C1475" s="16"/>
      <c r="D1475" s="16"/>
      <c r="E1475" s="64"/>
      <c r="F1475" s="33"/>
      <c r="G1475" s="70"/>
      <c r="H1475" s="16"/>
      <c r="I1475" s="16"/>
      <c r="J1475" s="16"/>
    </row>
    <row r="1476" spans="3:10" x14ac:dyDescent="0.25">
      <c r="C1476" s="35"/>
      <c r="D1476" s="35"/>
      <c r="E1476" s="65"/>
      <c r="F1476" s="36"/>
      <c r="G1476" s="69"/>
      <c r="H1476" s="35"/>
      <c r="I1476" s="35"/>
      <c r="J1476" s="35"/>
    </row>
    <row r="1477" spans="3:10" x14ac:dyDescent="0.25">
      <c r="C1477" s="16"/>
      <c r="D1477" s="16"/>
      <c r="E1477" s="64"/>
      <c r="F1477" s="33"/>
      <c r="G1477" s="70"/>
      <c r="H1477" s="16"/>
      <c r="I1477" s="16"/>
      <c r="J1477" s="16"/>
    </row>
    <row r="1478" spans="3:10" x14ac:dyDescent="0.25">
      <c r="C1478" s="35"/>
      <c r="D1478" s="35"/>
      <c r="E1478" s="65"/>
      <c r="F1478" s="36"/>
      <c r="G1478" s="69"/>
      <c r="H1478" s="35"/>
      <c r="I1478" s="35"/>
      <c r="J1478" s="35"/>
    </row>
    <row r="1479" spans="3:10" x14ac:dyDescent="0.25">
      <c r="C1479" s="16"/>
      <c r="D1479" s="16"/>
      <c r="E1479" s="64"/>
      <c r="F1479" s="33"/>
      <c r="G1479" s="70"/>
      <c r="H1479" s="16"/>
      <c r="I1479" s="16"/>
      <c r="J1479" s="16"/>
    </row>
    <row r="1480" spans="3:10" x14ac:dyDescent="0.25">
      <c r="C1480" s="35"/>
      <c r="D1480" s="35"/>
      <c r="E1480" s="65"/>
      <c r="F1480" s="36"/>
      <c r="G1480" s="69"/>
      <c r="H1480" s="35"/>
      <c r="I1480" s="35"/>
      <c r="J1480" s="35"/>
    </row>
    <row r="1481" spans="3:10" x14ac:dyDescent="0.25">
      <c r="C1481" s="16"/>
      <c r="D1481" s="16"/>
      <c r="E1481" s="64"/>
      <c r="F1481" s="33"/>
      <c r="G1481" s="70"/>
      <c r="H1481" s="16"/>
      <c r="I1481" s="16"/>
      <c r="J1481" s="16"/>
    </row>
    <row r="1482" spans="3:10" x14ac:dyDescent="0.25">
      <c r="C1482" s="35"/>
      <c r="D1482" s="35"/>
      <c r="E1482" s="65"/>
      <c r="F1482" s="36"/>
      <c r="G1482" s="69"/>
      <c r="H1482" s="35"/>
      <c r="I1482" s="35"/>
      <c r="J1482" s="35"/>
    </row>
    <row r="1483" spans="3:10" x14ac:dyDescent="0.25">
      <c r="C1483" s="16"/>
      <c r="D1483" s="16"/>
      <c r="E1483" s="64"/>
      <c r="F1483" s="33"/>
      <c r="G1483" s="70"/>
      <c r="H1483" s="16"/>
      <c r="I1483" s="16"/>
      <c r="J1483" s="16"/>
    </row>
    <row r="1484" spans="3:10" x14ac:dyDescent="0.25">
      <c r="C1484" s="35"/>
      <c r="D1484" s="35"/>
      <c r="E1484" s="65"/>
      <c r="F1484" s="36"/>
      <c r="G1484" s="69"/>
      <c r="H1484" s="35"/>
      <c r="I1484" s="35"/>
      <c r="J1484" s="35"/>
    </row>
    <row r="1485" spans="3:10" x14ac:dyDescent="0.25">
      <c r="C1485" s="16"/>
      <c r="D1485" s="16"/>
      <c r="E1485" s="64"/>
      <c r="F1485" s="33"/>
      <c r="G1485" s="70"/>
      <c r="H1485" s="16"/>
      <c r="I1485" s="16"/>
      <c r="J1485" s="16"/>
    </row>
    <row r="1486" spans="3:10" x14ac:dyDescent="0.25">
      <c r="C1486" s="35"/>
      <c r="D1486" s="35"/>
      <c r="E1486" s="65"/>
      <c r="F1486" s="36"/>
      <c r="G1486" s="69"/>
      <c r="H1486" s="35"/>
      <c r="I1486" s="35"/>
      <c r="J1486" s="35"/>
    </row>
    <row r="1487" spans="3:10" x14ac:dyDescent="0.25">
      <c r="C1487" s="16"/>
      <c r="D1487" s="16"/>
      <c r="E1487" s="64"/>
      <c r="F1487" s="33"/>
      <c r="G1487" s="70"/>
      <c r="H1487" s="16"/>
      <c r="I1487" s="16"/>
      <c r="J1487" s="16"/>
    </row>
    <row r="1488" spans="3:10" x14ac:dyDescent="0.25">
      <c r="C1488" s="35"/>
      <c r="D1488" s="35"/>
      <c r="E1488" s="65"/>
      <c r="F1488" s="36"/>
      <c r="G1488" s="69"/>
      <c r="H1488" s="35"/>
      <c r="I1488" s="35"/>
      <c r="J1488" s="35"/>
    </row>
    <row r="1489" spans="3:10" x14ac:dyDescent="0.25">
      <c r="C1489" s="16"/>
      <c r="D1489" s="16"/>
      <c r="E1489" s="64"/>
      <c r="F1489" s="33"/>
      <c r="G1489" s="70"/>
      <c r="H1489" s="16"/>
      <c r="I1489" s="16"/>
      <c r="J1489" s="16"/>
    </row>
    <row r="1490" spans="3:10" x14ac:dyDescent="0.25">
      <c r="C1490" s="35"/>
      <c r="D1490" s="35"/>
      <c r="E1490" s="65"/>
      <c r="F1490" s="36"/>
      <c r="G1490" s="69"/>
      <c r="H1490" s="35"/>
      <c r="I1490" s="35"/>
      <c r="J1490" s="35"/>
    </row>
    <row r="1491" spans="3:10" x14ac:dyDescent="0.25">
      <c r="C1491" s="16"/>
      <c r="D1491" s="16"/>
      <c r="E1491" s="64"/>
      <c r="F1491" s="33"/>
      <c r="G1491" s="70"/>
      <c r="H1491" s="16"/>
      <c r="I1491" s="16"/>
      <c r="J1491" s="16"/>
    </row>
    <row r="1492" spans="3:10" x14ac:dyDescent="0.25">
      <c r="C1492" s="35"/>
      <c r="D1492" s="35"/>
      <c r="E1492" s="65"/>
      <c r="F1492" s="36"/>
      <c r="G1492" s="69"/>
      <c r="H1492" s="35"/>
      <c r="I1492" s="35"/>
      <c r="J1492" s="35"/>
    </row>
    <row r="1493" spans="3:10" x14ac:dyDescent="0.25">
      <c r="C1493" s="16"/>
      <c r="D1493" s="16"/>
      <c r="E1493" s="64"/>
      <c r="F1493" s="33"/>
      <c r="G1493" s="70"/>
      <c r="H1493" s="16"/>
      <c r="I1493" s="16"/>
      <c r="J1493" s="16"/>
    </row>
    <row r="1494" spans="3:10" x14ac:dyDescent="0.25">
      <c r="C1494" s="35"/>
      <c r="D1494" s="35"/>
      <c r="E1494" s="65"/>
      <c r="F1494" s="36"/>
      <c r="G1494" s="69"/>
      <c r="H1494" s="35"/>
      <c r="I1494" s="35"/>
      <c r="J1494" s="35"/>
    </row>
    <row r="1495" spans="3:10" x14ac:dyDescent="0.25">
      <c r="C1495" s="16"/>
      <c r="D1495" s="16"/>
      <c r="E1495" s="64"/>
      <c r="F1495" s="33"/>
      <c r="G1495" s="70"/>
      <c r="H1495" s="16"/>
      <c r="I1495" s="16"/>
      <c r="J1495" s="16"/>
    </row>
    <row r="1496" spans="3:10" x14ac:dyDescent="0.25">
      <c r="C1496" s="35"/>
      <c r="D1496" s="35"/>
      <c r="E1496" s="65"/>
      <c r="F1496" s="36"/>
      <c r="G1496" s="69"/>
      <c r="H1496" s="35"/>
      <c r="I1496" s="35"/>
      <c r="J1496" s="35"/>
    </row>
    <row r="1497" spans="3:10" x14ac:dyDescent="0.25">
      <c r="C1497" s="16"/>
      <c r="D1497" s="16"/>
      <c r="E1497" s="64"/>
      <c r="F1497" s="33"/>
      <c r="G1497" s="70"/>
      <c r="H1497" s="16"/>
      <c r="I1497" s="16"/>
      <c r="J1497" s="16"/>
    </row>
    <row r="1498" spans="3:10" x14ac:dyDescent="0.25">
      <c r="C1498" s="35"/>
      <c r="D1498" s="35"/>
      <c r="E1498" s="65"/>
      <c r="F1498" s="36"/>
      <c r="G1498" s="69"/>
      <c r="H1498" s="35"/>
      <c r="I1498" s="35"/>
      <c r="J1498" s="35"/>
    </row>
    <row r="1499" spans="3:10" x14ac:dyDescent="0.25">
      <c r="C1499" s="16"/>
      <c r="D1499" s="16"/>
      <c r="E1499" s="64"/>
      <c r="F1499" s="33"/>
      <c r="G1499" s="70"/>
      <c r="H1499" s="16"/>
      <c r="I1499" s="16"/>
      <c r="J1499" s="16"/>
    </row>
    <row r="1500" spans="3:10" x14ac:dyDescent="0.25">
      <c r="C1500" s="35"/>
      <c r="D1500" s="35"/>
      <c r="E1500" s="65"/>
      <c r="F1500" s="36"/>
      <c r="G1500" s="69"/>
      <c r="H1500" s="35"/>
      <c r="I1500" s="35"/>
      <c r="J1500" s="35"/>
    </row>
  </sheetData>
  <mergeCells count="11">
    <mergeCell ref="D9:E9"/>
    <mergeCell ref="I9:J9"/>
    <mergeCell ref="D10:E10"/>
    <mergeCell ref="I10:J10"/>
    <mergeCell ref="C13:J13"/>
    <mergeCell ref="D6:E6"/>
    <mergeCell ref="I6:J6"/>
    <mergeCell ref="D7:E7"/>
    <mergeCell ref="I7:J7"/>
    <mergeCell ref="D8:E8"/>
    <mergeCell ref="I8:J8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23F4B-A297-4CBA-AD8D-C7EAFC16A6D5}">
  <sheetPr codeName="Sheet9">
    <tabColor theme="1" tint="4.9989318521683403E-2"/>
  </sheetPr>
  <dimension ref="A1:P2000"/>
  <sheetViews>
    <sheetView zoomScale="115" zoomScaleNormal="115" workbookViewId="0">
      <selection activeCell="F25" sqref="F25"/>
    </sheetView>
  </sheetViews>
  <sheetFormatPr defaultColWidth="0" defaultRowHeight="13.5" customHeight="1" outlineLevelRow="1" x14ac:dyDescent="0.25"/>
  <cols>
    <col min="1" max="1" width="2.7109375" style="1" customWidth="1"/>
    <col min="2" max="2" width="1.7109375" style="1" customWidth="1"/>
    <col min="3" max="3" width="11.85546875" style="1" customWidth="1"/>
    <col min="4" max="4" width="6.85546875" style="1" bestFit="1" customWidth="1"/>
    <col min="5" max="5" width="6.85546875" style="1" customWidth="1"/>
    <col min="6" max="7" width="36.7109375" style="66" customWidth="1"/>
    <col min="8" max="9" width="20.5703125" style="1" customWidth="1"/>
    <col min="10" max="10" width="14" style="1" customWidth="1"/>
    <col min="11" max="12" width="1.7109375" style="1" customWidth="1"/>
    <col min="13" max="13" width="2.7109375" style="1" hidden="1" customWidth="1"/>
    <col min="14" max="14" width="15.140625" style="1" hidden="1" customWidth="1"/>
    <col min="15" max="15" width="1.7109375" style="1" hidden="1" customWidth="1"/>
    <col min="16" max="16" width="2.7109375" style="1" hidden="1" customWidth="1"/>
    <col min="17" max="16384" width="9.140625" style="1" hidden="1"/>
  </cols>
  <sheetData>
    <row r="1" spans="1:12" s="43" customFormat="1" x14ac:dyDescent="0.25">
      <c r="F1" s="60"/>
      <c r="G1" s="60"/>
    </row>
    <row r="2" spans="1:12" s="43" customFormat="1" x14ac:dyDescent="0.25">
      <c r="F2" s="60"/>
      <c r="G2" s="60"/>
    </row>
    <row r="3" spans="1:12" s="43" customFormat="1" x14ac:dyDescent="0.25">
      <c r="F3" s="60"/>
      <c r="G3" s="60"/>
    </row>
    <row r="4" spans="1:12" s="43" customFormat="1" x14ac:dyDescent="0.25">
      <c r="F4" s="60"/>
      <c r="G4" s="60"/>
    </row>
    <row r="5" spans="1:12" ht="9.9499999999999993" customHeight="1" x14ac:dyDescent="0.25">
      <c r="A5" s="43"/>
      <c r="B5" s="9"/>
      <c r="C5" s="10"/>
      <c r="D5" s="10"/>
      <c r="E5" s="10"/>
      <c r="F5" s="61"/>
      <c r="G5" s="61"/>
      <c r="H5" s="10"/>
      <c r="I5" s="10"/>
      <c r="J5" s="10"/>
      <c r="K5" s="11"/>
      <c r="L5" s="43"/>
    </row>
    <row r="6" spans="1:12" ht="14.25" x14ac:dyDescent="0.3">
      <c r="A6" s="43"/>
      <c r="B6" s="4"/>
      <c r="C6" s="12" t="s">
        <v>0</v>
      </c>
      <c r="D6" s="93">
        <f>IF('Project Details'!D6=0,"", 'Project Details'!D6)</f>
        <v>45217</v>
      </c>
      <c r="E6" s="93"/>
      <c r="F6" s="93"/>
      <c r="G6" s="67"/>
      <c r="H6" s="12" t="s">
        <v>90</v>
      </c>
      <c r="I6" s="95">
        <f>IF('Project Details'!J6=0,"", 'Project Details'!J6)</f>
        <v>1</v>
      </c>
      <c r="J6" s="95"/>
      <c r="K6" s="5"/>
      <c r="L6" s="43"/>
    </row>
    <row r="7" spans="1:12" ht="14.25" x14ac:dyDescent="0.3">
      <c r="A7" s="43"/>
      <c r="B7" s="4"/>
      <c r="C7" s="12" t="s">
        <v>1</v>
      </c>
      <c r="D7" s="95" t="str">
        <f>IF('Project Details'!D7=0,"", 'Project Details'!D7)</f>
        <v>William Andrew Bulaquena</v>
      </c>
      <c r="E7" s="95"/>
      <c r="F7" s="95"/>
      <c r="G7" s="67"/>
      <c r="H7" s="12" t="s">
        <v>91</v>
      </c>
      <c r="I7" s="95">
        <f>IF('Project Details'!J7=0,"", 'Project Details'!J7)</f>
        <v>1</v>
      </c>
      <c r="J7" s="95"/>
      <c r="K7" s="5"/>
      <c r="L7" s="43"/>
    </row>
    <row r="8" spans="1:12" ht="14.25" x14ac:dyDescent="0.3">
      <c r="A8" s="43"/>
      <c r="B8" s="4"/>
      <c r="C8" s="12" t="s">
        <v>730</v>
      </c>
      <c r="D8" s="95" t="str">
        <f>IF('Project Details'!D8=0,"", 'Project Details'!D8)</f>
        <v>Banilad</v>
      </c>
      <c r="E8" s="95"/>
      <c r="F8" s="95"/>
      <c r="G8" s="67"/>
      <c r="H8" s="12" t="s">
        <v>92</v>
      </c>
      <c r="I8" s="95">
        <f>IF('Project Details'!J8=0,"", 'Project Details'!J8)</f>
        <v>12345</v>
      </c>
      <c r="J8" s="95"/>
      <c r="K8" s="5"/>
      <c r="L8" s="43"/>
    </row>
    <row r="9" spans="1:12" ht="14.25" x14ac:dyDescent="0.3">
      <c r="A9" s="43"/>
      <c r="B9" s="4"/>
      <c r="C9" s="12" t="s">
        <v>62</v>
      </c>
      <c r="D9" s="95">
        <f>IF('Project Details'!D9=0,"", 'Project Details'!D9)</f>
        <v>9123456789</v>
      </c>
      <c r="E9" s="95"/>
      <c r="F9" s="95"/>
      <c r="G9" s="67"/>
      <c r="H9" s="12" t="s">
        <v>93</v>
      </c>
      <c r="I9" s="95" t="str">
        <f>IF('Project Details'!J9=0,"", 'Project Details'!J9)</f>
        <v>Kunstof</v>
      </c>
      <c r="J9" s="95"/>
      <c r="K9" s="5"/>
      <c r="L9" s="43"/>
    </row>
    <row r="10" spans="1:12" ht="14.25" x14ac:dyDescent="0.3">
      <c r="A10" s="43"/>
      <c r="B10" s="4"/>
      <c r="C10" s="12" t="s">
        <v>63</v>
      </c>
      <c r="D10" s="95" t="str">
        <f>IF('Project Details'!D10=0,"", 'Project Details'!D10)</f>
        <v>williamgbulaquena@gmail.com</v>
      </c>
      <c r="E10" s="95"/>
      <c r="F10" s="95"/>
      <c r="G10" s="67"/>
      <c r="H10" s="12" t="s">
        <v>94</v>
      </c>
      <c r="I10" s="95" t="str">
        <f>IF('Project Details'!J10=0,"", 'Project Details'!J10)</f>
        <v>Kunstof</v>
      </c>
      <c r="J10" s="95"/>
      <c r="K10" s="5"/>
      <c r="L10" s="43"/>
    </row>
    <row r="11" spans="1:12" ht="9.9499999999999993" customHeight="1" x14ac:dyDescent="0.25">
      <c r="A11" s="43"/>
      <c r="B11" s="6"/>
      <c r="C11" s="7"/>
      <c r="D11" s="7"/>
      <c r="E11" s="7"/>
      <c r="F11" s="62"/>
      <c r="G11" s="62"/>
      <c r="H11" s="7"/>
      <c r="I11" s="14"/>
      <c r="J11" s="7"/>
      <c r="K11" s="8"/>
      <c r="L11" s="43"/>
    </row>
    <row r="12" spans="1:12" x14ac:dyDescent="0.25">
      <c r="A12" s="43"/>
      <c r="B12" s="43"/>
      <c r="C12" s="43"/>
      <c r="D12" s="43"/>
      <c r="E12" s="43"/>
      <c r="F12" s="60"/>
      <c r="G12" s="60"/>
      <c r="H12" s="43"/>
      <c r="I12" s="43"/>
      <c r="J12" s="43"/>
      <c r="K12" s="43"/>
      <c r="L12" s="43"/>
    </row>
    <row r="13" spans="1:12" x14ac:dyDescent="0.25">
      <c r="A13" s="43"/>
      <c r="B13" s="43"/>
      <c r="C13" s="109" t="s">
        <v>195</v>
      </c>
      <c r="D13" s="110"/>
      <c r="E13" s="110"/>
      <c r="F13" s="110"/>
      <c r="G13" s="110"/>
      <c r="H13" s="110"/>
      <c r="I13" s="110"/>
      <c r="J13" s="111"/>
      <c r="K13" s="43"/>
      <c r="L13" s="43"/>
    </row>
    <row r="14" spans="1:12" s="83" customFormat="1" x14ac:dyDescent="0.25">
      <c r="A14" s="82"/>
      <c r="B14" s="82"/>
      <c r="C14" s="37" t="s">
        <v>3</v>
      </c>
      <c r="D14" s="37" t="s">
        <v>88</v>
      </c>
      <c r="E14" s="37" t="s">
        <v>781</v>
      </c>
      <c r="F14" s="37" t="s">
        <v>733</v>
      </c>
      <c r="G14" s="38" t="s">
        <v>95</v>
      </c>
      <c r="H14" s="37" t="s">
        <v>5</v>
      </c>
      <c r="I14" s="37" t="s">
        <v>776</v>
      </c>
      <c r="J14" s="37" t="s">
        <v>136</v>
      </c>
      <c r="K14" s="82"/>
      <c r="L14" s="82"/>
    </row>
    <row r="15" spans="1:12" x14ac:dyDescent="0.25">
      <c r="A15" s="43"/>
      <c r="B15" s="43"/>
      <c r="C15" s="16" t="str" cm="1">
        <f t="array" ref="C15">IFERROR(_xlfn._xlws.FILTER(accsry_unmerged!C15:C2513,accsry_unmerged!$K$15:$K$2513&lt;&gt;""),"")</f>
        <v/>
      </c>
      <c r="D15" s="16" t="str" cm="1">
        <f t="array" ref="D15">IFERROR(_xlfn._xlws.FILTER(accsry_unmerged!D15:D2513,accsry_unmerged!$K$15:$K$2513&lt;&gt;""),"")</f>
        <v/>
      </c>
      <c r="E15" s="16" t="str" cm="1">
        <f t="array" ref="E15">IFERROR(_xlfn._xlws.FILTER(accsry_unmerged!E15:E2513,accsry_unmerged!$K$15:$K$2513&lt;&gt;""),"")</f>
        <v/>
      </c>
      <c r="F15" s="64" t="str" cm="1">
        <f t="array" ref="F15">IFERROR(_xlfn._xlws.FILTER(accsry_unmerged!F15:F2513,accsry_unmerged!$K$15:$K$2513&lt;&gt;""),"")</f>
        <v/>
      </c>
      <c r="G15" s="64" t="str" cm="1">
        <f t="array" ref="G15">IFERROR(_xlfn._xlws.FILTER(accsry_unmerged!G15:G2513,accsry_unmerged!$K$15:$K$2513&lt;&gt;""),"")</f>
        <v/>
      </c>
      <c r="H15" s="16" t="str" cm="1">
        <f t="array" ref="H15">IFERROR(_xlfn._xlws.FILTER(accsry_unmerged!H15:H2513,accsry_unmerged!$K$15:$K$2513&lt;&gt;""),"")</f>
        <v/>
      </c>
      <c r="I15" s="16" t="str" cm="1">
        <f t="array" ref="I15">IFERROR(_xlfn._xlws.FILTER(accsry_unmerged!K15:K2513,accsry_unmerged!$K$15:$K$2513&lt;&gt;""),"")</f>
        <v/>
      </c>
      <c r="J15" s="16"/>
      <c r="K15" s="43"/>
      <c r="L15" s="43"/>
    </row>
    <row r="16" spans="1:12" x14ac:dyDescent="0.25">
      <c r="A16" s="43"/>
      <c r="B16" s="43"/>
      <c r="C16" s="35"/>
      <c r="D16" s="35"/>
      <c r="E16" s="35"/>
      <c r="F16" s="65"/>
      <c r="G16" s="69"/>
      <c r="H16" s="35"/>
      <c r="I16" s="35"/>
      <c r="J16" s="35"/>
      <c r="K16" s="43"/>
      <c r="L16" s="43"/>
    </row>
    <row r="17" spans="1:12" x14ac:dyDescent="0.25">
      <c r="A17" s="43"/>
      <c r="B17" s="43"/>
      <c r="C17" s="16"/>
      <c r="D17" s="16"/>
      <c r="E17" s="16"/>
      <c r="F17" s="64"/>
      <c r="G17" s="70"/>
      <c r="H17" s="16"/>
      <c r="I17" s="16"/>
      <c r="J17" s="16"/>
      <c r="K17" s="43"/>
      <c r="L17" s="43"/>
    </row>
    <row r="18" spans="1:12" x14ac:dyDescent="0.25">
      <c r="A18" s="43"/>
      <c r="B18" s="43"/>
      <c r="C18" s="35"/>
      <c r="D18" s="35"/>
      <c r="E18" s="35"/>
      <c r="F18" s="65"/>
      <c r="G18" s="69"/>
      <c r="H18" s="35"/>
      <c r="I18" s="35"/>
      <c r="J18" s="35"/>
      <c r="K18" s="43"/>
      <c r="L18" s="43"/>
    </row>
    <row r="19" spans="1:12" x14ac:dyDescent="0.25">
      <c r="A19" s="43"/>
      <c r="B19" s="43"/>
      <c r="C19" s="16"/>
      <c r="D19" s="16"/>
      <c r="E19" s="16"/>
      <c r="F19" s="64"/>
      <c r="G19" s="70"/>
      <c r="H19" s="16"/>
      <c r="I19" s="16"/>
      <c r="J19" s="16"/>
      <c r="K19" s="43"/>
      <c r="L19" s="43"/>
    </row>
    <row r="20" spans="1:12" x14ac:dyDescent="0.25">
      <c r="A20" s="43"/>
      <c r="B20" s="43"/>
      <c r="C20" s="35"/>
      <c r="D20" s="35"/>
      <c r="E20" s="35"/>
      <c r="F20" s="65"/>
      <c r="G20" s="69"/>
      <c r="H20" s="35"/>
      <c r="I20" s="35"/>
      <c r="J20" s="35"/>
      <c r="K20" s="43"/>
      <c r="L20" s="43"/>
    </row>
    <row r="21" spans="1:12" x14ac:dyDescent="0.25">
      <c r="A21" s="43"/>
      <c r="B21" s="43"/>
      <c r="C21" s="16"/>
      <c r="D21" s="16"/>
      <c r="E21" s="16"/>
      <c r="F21" s="64"/>
      <c r="G21" s="70"/>
      <c r="H21" s="16"/>
      <c r="I21" s="16"/>
      <c r="J21" s="16"/>
      <c r="K21" s="43"/>
      <c r="L21" s="43"/>
    </row>
    <row r="22" spans="1:12" x14ac:dyDescent="0.25">
      <c r="A22" s="43"/>
      <c r="B22" s="43"/>
      <c r="C22" s="35"/>
      <c r="D22" s="35"/>
      <c r="E22" s="35"/>
      <c r="F22" s="65"/>
      <c r="G22" s="69"/>
      <c r="H22" s="35"/>
      <c r="I22" s="35"/>
      <c r="J22" s="35"/>
      <c r="K22" s="43"/>
      <c r="L22" s="43"/>
    </row>
    <row r="23" spans="1:12" x14ac:dyDescent="0.25">
      <c r="A23" s="43"/>
      <c r="B23" s="43"/>
      <c r="C23" s="16"/>
      <c r="D23" s="16"/>
      <c r="E23" s="16"/>
      <c r="F23" s="64"/>
      <c r="G23" s="70"/>
      <c r="H23" s="16"/>
      <c r="I23" s="16"/>
      <c r="J23" s="16"/>
      <c r="K23" s="43"/>
      <c r="L23" s="43"/>
    </row>
    <row r="24" spans="1:12" x14ac:dyDescent="0.25">
      <c r="A24" s="43"/>
      <c r="B24" s="43"/>
      <c r="C24" s="35"/>
      <c r="D24" s="35"/>
      <c r="E24" s="35"/>
      <c r="F24" s="65"/>
      <c r="G24" s="69"/>
      <c r="H24" s="35"/>
      <c r="I24" s="35"/>
      <c r="J24" s="35"/>
      <c r="K24" s="43"/>
      <c r="L24" s="43"/>
    </row>
    <row r="25" spans="1:12" x14ac:dyDescent="0.25">
      <c r="A25" s="43"/>
      <c r="B25" s="43"/>
      <c r="C25" s="16"/>
      <c r="D25" s="16"/>
      <c r="E25" s="16"/>
      <c r="F25" s="64"/>
      <c r="G25" s="70"/>
      <c r="H25" s="16"/>
      <c r="I25" s="16"/>
      <c r="J25" s="16"/>
      <c r="K25" s="43"/>
      <c r="L25" s="43"/>
    </row>
    <row r="26" spans="1:12" x14ac:dyDescent="0.25">
      <c r="A26" s="43"/>
      <c r="B26" s="43"/>
      <c r="C26" s="35"/>
      <c r="D26" s="35"/>
      <c r="E26" s="35"/>
      <c r="F26" s="65"/>
      <c r="G26" s="69"/>
      <c r="H26" s="35"/>
      <c r="I26" s="35"/>
      <c r="J26" s="35"/>
      <c r="K26" s="43"/>
      <c r="L26" s="43"/>
    </row>
    <row r="27" spans="1:12" x14ac:dyDescent="0.25">
      <c r="A27" s="43"/>
      <c r="B27" s="43"/>
      <c r="C27" s="16"/>
      <c r="D27" s="16"/>
      <c r="E27" s="16"/>
      <c r="F27" s="64"/>
      <c r="G27" s="70"/>
      <c r="H27" s="16"/>
      <c r="I27" s="16"/>
      <c r="J27" s="16"/>
      <c r="K27" s="43"/>
      <c r="L27" s="43"/>
    </row>
    <row r="28" spans="1:12" x14ac:dyDescent="0.25">
      <c r="A28" s="43"/>
      <c r="B28" s="43"/>
      <c r="C28" s="35"/>
      <c r="D28" s="35"/>
      <c r="E28" s="35"/>
      <c r="F28" s="65"/>
      <c r="G28" s="69"/>
      <c r="H28" s="35"/>
      <c r="I28" s="35"/>
      <c r="J28" s="35"/>
      <c r="K28" s="43"/>
      <c r="L28" s="43"/>
    </row>
    <row r="29" spans="1:12" x14ac:dyDescent="0.25">
      <c r="A29" s="43"/>
      <c r="B29" s="43"/>
      <c r="C29" s="16"/>
      <c r="D29" s="16"/>
      <c r="E29" s="16"/>
      <c r="F29" s="64"/>
      <c r="G29" s="70"/>
      <c r="H29" s="16"/>
      <c r="I29" s="16"/>
      <c r="J29" s="16"/>
      <c r="K29" s="43"/>
      <c r="L29" s="43"/>
    </row>
    <row r="30" spans="1:12" x14ac:dyDescent="0.25">
      <c r="A30" s="43"/>
      <c r="B30" s="43"/>
      <c r="C30" s="35"/>
      <c r="D30" s="35"/>
      <c r="E30" s="35"/>
      <c r="F30" s="65"/>
      <c r="G30" s="69"/>
      <c r="H30" s="35"/>
      <c r="I30" s="35"/>
      <c r="J30" s="35"/>
      <c r="K30" s="43"/>
      <c r="L30" s="43"/>
    </row>
    <row r="31" spans="1:12" x14ac:dyDescent="0.25">
      <c r="A31" s="43"/>
      <c r="B31" s="43"/>
      <c r="C31" s="16"/>
      <c r="D31" s="16"/>
      <c r="E31" s="16"/>
      <c r="F31" s="64"/>
      <c r="G31" s="70"/>
      <c r="H31" s="16"/>
      <c r="I31" s="16"/>
      <c r="J31" s="16"/>
      <c r="K31" s="43"/>
      <c r="L31" s="43"/>
    </row>
    <row r="32" spans="1:12" x14ac:dyDescent="0.25">
      <c r="A32" s="43"/>
      <c r="B32" s="43"/>
      <c r="C32" s="35"/>
      <c r="D32" s="35"/>
      <c r="E32" s="35"/>
      <c r="F32" s="65"/>
      <c r="G32" s="69"/>
      <c r="H32" s="35"/>
      <c r="I32" s="35"/>
      <c r="J32" s="35"/>
      <c r="K32" s="43"/>
      <c r="L32" s="43"/>
    </row>
    <row r="33" spans="1:12" x14ac:dyDescent="0.25">
      <c r="A33" s="43"/>
      <c r="B33" s="43"/>
      <c r="C33" s="16"/>
      <c r="D33" s="16"/>
      <c r="E33" s="16"/>
      <c r="F33" s="64"/>
      <c r="G33" s="70"/>
      <c r="H33" s="16"/>
      <c r="I33" s="16"/>
      <c r="J33" s="16"/>
      <c r="K33" s="43"/>
      <c r="L33" s="43"/>
    </row>
    <row r="34" spans="1:12" ht="13.5" customHeight="1" x14ac:dyDescent="0.25">
      <c r="A34" s="43"/>
      <c r="B34" s="43"/>
      <c r="C34" s="35"/>
      <c r="D34" s="35"/>
      <c r="E34" s="35"/>
      <c r="F34" s="65"/>
      <c r="G34" s="69"/>
      <c r="H34" s="35"/>
      <c r="I34" s="35"/>
      <c r="J34" s="35"/>
      <c r="K34" s="43"/>
      <c r="L34" s="43"/>
    </row>
    <row r="35" spans="1:12" ht="13.5" customHeight="1" x14ac:dyDescent="0.25">
      <c r="A35" s="43"/>
      <c r="B35" s="43"/>
      <c r="C35" s="16"/>
      <c r="D35" s="16"/>
      <c r="E35" s="16"/>
      <c r="F35" s="64"/>
      <c r="G35" s="70"/>
      <c r="H35" s="16"/>
      <c r="I35" s="16"/>
      <c r="J35" s="16"/>
      <c r="K35" s="43"/>
      <c r="L35" s="43"/>
    </row>
    <row r="36" spans="1:12" ht="13.5" customHeight="1" x14ac:dyDescent="0.25">
      <c r="A36" s="43"/>
      <c r="B36" s="43"/>
      <c r="C36" s="35"/>
      <c r="D36" s="35"/>
      <c r="E36" s="35"/>
      <c r="F36" s="65"/>
      <c r="G36" s="69"/>
      <c r="H36" s="35"/>
      <c r="I36" s="35"/>
      <c r="J36" s="35"/>
      <c r="K36" s="43"/>
      <c r="L36" s="43"/>
    </row>
    <row r="37" spans="1:12" ht="13.5" customHeight="1" x14ac:dyDescent="0.25">
      <c r="A37" s="43"/>
      <c r="B37" s="43"/>
      <c r="C37" s="16"/>
      <c r="D37" s="16"/>
      <c r="E37" s="16"/>
      <c r="F37" s="64"/>
      <c r="G37" s="70"/>
      <c r="H37" s="16"/>
      <c r="I37" s="16"/>
      <c r="J37" s="16"/>
      <c r="K37" s="43"/>
      <c r="L37" s="43"/>
    </row>
    <row r="38" spans="1:12" ht="13.5" customHeight="1" x14ac:dyDescent="0.25">
      <c r="A38" s="43"/>
      <c r="B38" s="43"/>
      <c r="C38" s="35"/>
      <c r="D38" s="35"/>
      <c r="E38" s="35"/>
      <c r="F38" s="65"/>
      <c r="G38" s="69"/>
      <c r="H38" s="35"/>
      <c r="I38" s="35"/>
      <c r="J38" s="35"/>
      <c r="K38" s="43"/>
      <c r="L38" s="43"/>
    </row>
    <row r="39" spans="1:12" ht="13.5" customHeight="1" x14ac:dyDescent="0.25">
      <c r="A39" s="43"/>
      <c r="B39" s="43"/>
      <c r="C39" s="16"/>
      <c r="D39" s="16"/>
      <c r="E39" s="16"/>
      <c r="F39" s="64"/>
      <c r="G39" s="70"/>
      <c r="H39" s="16"/>
      <c r="I39" s="16"/>
      <c r="J39" s="16"/>
      <c r="K39" s="43"/>
      <c r="L39" s="43"/>
    </row>
    <row r="40" spans="1:12" ht="13.5" customHeight="1" x14ac:dyDescent="0.25">
      <c r="A40" s="43"/>
      <c r="B40" s="43"/>
      <c r="C40" s="35"/>
      <c r="D40" s="35"/>
      <c r="E40" s="35"/>
      <c r="F40" s="65"/>
      <c r="G40" s="69"/>
      <c r="H40" s="35"/>
      <c r="I40" s="35"/>
      <c r="J40" s="35"/>
      <c r="K40" s="43"/>
      <c r="L40" s="43"/>
    </row>
    <row r="41" spans="1:12" ht="13.5" customHeight="1" x14ac:dyDescent="0.25">
      <c r="A41" s="43"/>
      <c r="B41" s="43"/>
      <c r="C41" s="16"/>
      <c r="D41" s="16"/>
      <c r="E41" s="16"/>
      <c r="F41" s="64"/>
      <c r="G41" s="70"/>
      <c r="H41" s="16"/>
      <c r="I41" s="16"/>
      <c r="J41" s="16"/>
      <c r="K41" s="43"/>
      <c r="L41" s="43"/>
    </row>
    <row r="42" spans="1:12" ht="13.5" customHeight="1" x14ac:dyDescent="0.25">
      <c r="A42" s="43"/>
      <c r="B42" s="43"/>
      <c r="C42" s="35"/>
      <c r="D42" s="35"/>
      <c r="E42" s="35"/>
      <c r="F42" s="65"/>
      <c r="G42" s="69"/>
      <c r="H42" s="35"/>
      <c r="I42" s="35"/>
      <c r="J42" s="35"/>
      <c r="K42" s="43"/>
      <c r="L42" s="43"/>
    </row>
    <row r="43" spans="1:12" ht="13.5" customHeight="1" x14ac:dyDescent="0.25">
      <c r="A43" s="43"/>
      <c r="B43" s="43"/>
      <c r="C43" s="16"/>
      <c r="D43" s="16"/>
      <c r="E43" s="16"/>
      <c r="F43" s="64"/>
      <c r="G43" s="70"/>
      <c r="H43" s="16"/>
      <c r="I43" s="16"/>
      <c r="J43" s="16"/>
      <c r="K43" s="43"/>
      <c r="L43" s="43"/>
    </row>
    <row r="44" spans="1:12" ht="13.5" customHeight="1" x14ac:dyDescent="0.25">
      <c r="A44" s="43"/>
      <c r="B44" s="43"/>
      <c r="C44" s="35"/>
      <c r="D44" s="35"/>
      <c r="E44" s="35"/>
      <c r="F44" s="65"/>
      <c r="G44" s="69"/>
      <c r="H44" s="35"/>
      <c r="I44" s="35"/>
      <c r="J44" s="35"/>
      <c r="K44" s="43"/>
      <c r="L44" s="43"/>
    </row>
    <row r="45" spans="1:12" ht="13.5" customHeight="1" outlineLevel="1" x14ac:dyDescent="0.25">
      <c r="A45" s="43"/>
      <c r="B45" s="43"/>
      <c r="C45" s="16"/>
      <c r="D45" s="16"/>
      <c r="E45" s="16"/>
      <c r="F45" s="64"/>
      <c r="G45" s="70"/>
      <c r="H45" s="16"/>
      <c r="I45" s="16"/>
      <c r="J45" s="16"/>
      <c r="K45" s="43"/>
      <c r="L45" s="43"/>
    </row>
    <row r="46" spans="1:12" ht="13.5" customHeight="1" outlineLevel="1" x14ac:dyDescent="0.25">
      <c r="A46" s="43"/>
      <c r="B46" s="43"/>
      <c r="C46" s="35"/>
      <c r="D46" s="35"/>
      <c r="E46" s="35"/>
      <c r="F46" s="65"/>
      <c r="G46" s="69"/>
      <c r="H46" s="35"/>
      <c r="I46" s="35"/>
      <c r="J46" s="35"/>
      <c r="K46" s="43"/>
      <c r="L46" s="43"/>
    </row>
    <row r="47" spans="1:12" ht="13.5" customHeight="1" outlineLevel="1" x14ac:dyDescent="0.25">
      <c r="A47" s="43"/>
      <c r="B47" s="43"/>
      <c r="C47" s="16"/>
      <c r="D47" s="16"/>
      <c r="E47" s="16"/>
      <c r="F47" s="64"/>
      <c r="G47" s="70"/>
      <c r="H47" s="16"/>
      <c r="I47" s="16"/>
      <c r="J47" s="16"/>
      <c r="K47" s="43"/>
      <c r="L47" s="43"/>
    </row>
    <row r="48" spans="1:12" ht="13.5" customHeight="1" outlineLevel="1" x14ac:dyDescent="0.25">
      <c r="A48" s="43"/>
      <c r="B48" s="43"/>
      <c r="C48" s="35"/>
      <c r="D48" s="35"/>
      <c r="E48" s="35"/>
      <c r="F48" s="65"/>
      <c r="G48" s="69"/>
      <c r="H48" s="35"/>
      <c r="I48" s="35"/>
      <c r="J48" s="35"/>
      <c r="K48" s="43"/>
      <c r="L48" s="43"/>
    </row>
    <row r="49" spans="1:12" ht="13.5" customHeight="1" outlineLevel="1" x14ac:dyDescent="0.25">
      <c r="A49" s="43"/>
      <c r="B49" s="43"/>
      <c r="C49" s="16"/>
      <c r="D49" s="16"/>
      <c r="E49" s="16"/>
      <c r="F49" s="64"/>
      <c r="G49" s="70"/>
      <c r="H49" s="16"/>
      <c r="I49" s="16"/>
      <c r="J49" s="16"/>
      <c r="K49" s="43"/>
      <c r="L49" s="43"/>
    </row>
    <row r="50" spans="1:12" ht="13.5" customHeight="1" outlineLevel="1" x14ac:dyDescent="0.25">
      <c r="A50" s="43"/>
      <c r="B50" s="43"/>
      <c r="C50" s="35"/>
      <c r="D50" s="35"/>
      <c r="E50" s="35"/>
      <c r="F50" s="65"/>
      <c r="G50" s="69"/>
      <c r="H50" s="35"/>
      <c r="I50" s="35"/>
      <c r="J50" s="35"/>
      <c r="K50" s="43"/>
      <c r="L50" s="43"/>
    </row>
    <row r="51" spans="1:12" ht="13.5" customHeight="1" outlineLevel="1" x14ac:dyDescent="0.25">
      <c r="A51" s="43"/>
      <c r="B51" s="43"/>
      <c r="C51" s="16"/>
      <c r="D51" s="16"/>
      <c r="E51" s="16"/>
      <c r="F51" s="64"/>
      <c r="G51" s="70"/>
      <c r="H51" s="16"/>
      <c r="I51" s="16"/>
      <c r="J51" s="16"/>
      <c r="K51" s="43"/>
      <c r="L51" s="43"/>
    </row>
    <row r="52" spans="1:12" ht="13.5" customHeight="1" outlineLevel="1" x14ac:dyDescent="0.25">
      <c r="A52" s="43"/>
      <c r="B52" s="43"/>
      <c r="C52" s="35"/>
      <c r="D52" s="35"/>
      <c r="E52" s="35"/>
      <c r="F52" s="65"/>
      <c r="G52" s="69"/>
      <c r="H52" s="35"/>
      <c r="I52" s="35"/>
      <c r="J52" s="35"/>
      <c r="K52" s="43"/>
      <c r="L52" s="43"/>
    </row>
    <row r="53" spans="1:12" ht="13.5" customHeight="1" outlineLevel="1" x14ac:dyDescent="0.25">
      <c r="A53" s="43"/>
      <c r="B53" s="43"/>
      <c r="C53" s="16"/>
      <c r="D53" s="16"/>
      <c r="E53" s="16"/>
      <c r="F53" s="64"/>
      <c r="G53" s="70"/>
      <c r="H53" s="16"/>
      <c r="I53" s="16"/>
      <c r="J53" s="16"/>
      <c r="K53" s="43"/>
      <c r="L53" s="43"/>
    </row>
    <row r="54" spans="1:12" ht="13.5" customHeight="1" outlineLevel="1" x14ac:dyDescent="0.25">
      <c r="A54" s="43"/>
      <c r="B54" s="43"/>
      <c r="C54" s="35"/>
      <c r="D54" s="35"/>
      <c r="E54" s="35"/>
      <c r="F54" s="65"/>
      <c r="G54" s="69"/>
      <c r="H54" s="35"/>
      <c r="I54" s="35"/>
      <c r="J54" s="35"/>
      <c r="K54" s="43"/>
      <c r="L54" s="43"/>
    </row>
    <row r="55" spans="1:12" ht="13.5" customHeight="1" outlineLevel="1" collapsed="1" x14ac:dyDescent="0.25">
      <c r="A55" s="43"/>
      <c r="B55" s="43"/>
      <c r="C55" s="16"/>
      <c r="D55" s="16"/>
      <c r="E55" s="16"/>
      <c r="F55" s="64"/>
      <c r="G55" s="70"/>
      <c r="H55" s="16"/>
      <c r="I55" s="16"/>
      <c r="J55" s="16"/>
      <c r="K55" s="43"/>
      <c r="L55" s="43"/>
    </row>
    <row r="56" spans="1:12" ht="13.5" customHeight="1" outlineLevel="1" x14ac:dyDescent="0.25">
      <c r="A56" s="43"/>
      <c r="B56" s="43"/>
      <c r="C56" s="35"/>
      <c r="D56" s="35"/>
      <c r="E56" s="35"/>
      <c r="F56" s="65"/>
      <c r="G56" s="69"/>
      <c r="H56" s="35"/>
      <c r="I56" s="35"/>
      <c r="J56" s="35"/>
      <c r="K56" s="43"/>
      <c r="L56" s="43"/>
    </row>
    <row r="57" spans="1:12" ht="13.5" customHeight="1" outlineLevel="1" x14ac:dyDescent="0.25">
      <c r="A57" s="43"/>
      <c r="B57" s="43"/>
      <c r="C57" s="16"/>
      <c r="D57" s="16"/>
      <c r="E57" s="16"/>
      <c r="F57" s="64"/>
      <c r="G57" s="70"/>
      <c r="H57" s="16"/>
      <c r="I57" s="16"/>
      <c r="J57" s="16"/>
      <c r="K57" s="43"/>
      <c r="L57" s="43"/>
    </row>
    <row r="58" spans="1:12" ht="13.5" customHeight="1" outlineLevel="1" x14ac:dyDescent="0.25">
      <c r="A58" s="43"/>
      <c r="B58" s="43"/>
      <c r="C58" s="35"/>
      <c r="D58" s="35"/>
      <c r="E58" s="35"/>
      <c r="F58" s="65"/>
      <c r="G58" s="69"/>
      <c r="H58" s="35"/>
      <c r="I58" s="35"/>
      <c r="J58" s="35"/>
      <c r="K58" s="43"/>
      <c r="L58" s="43"/>
    </row>
    <row r="59" spans="1:12" ht="13.5" customHeight="1" outlineLevel="1" x14ac:dyDescent="0.25">
      <c r="A59" s="43"/>
      <c r="B59" s="43"/>
      <c r="C59" s="16"/>
      <c r="D59" s="16"/>
      <c r="E59" s="16"/>
      <c r="F59" s="64"/>
      <c r="G59" s="70"/>
      <c r="H59" s="16"/>
      <c r="I59" s="16"/>
      <c r="J59" s="16"/>
      <c r="K59" s="43"/>
      <c r="L59" s="43"/>
    </row>
    <row r="60" spans="1:12" ht="13.5" customHeight="1" outlineLevel="1" x14ac:dyDescent="0.25">
      <c r="A60" s="43"/>
      <c r="B60" s="43"/>
      <c r="C60" s="35"/>
      <c r="D60" s="35"/>
      <c r="E60" s="35"/>
      <c r="F60" s="65"/>
      <c r="G60" s="69"/>
      <c r="H60" s="35"/>
      <c r="I60" s="35"/>
      <c r="J60" s="35"/>
      <c r="K60" s="43"/>
      <c r="L60" s="43"/>
    </row>
    <row r="61" spans="1:12" ht="13.5" customHeight="1" outlineLevel="1" x14ac:dyDescent="0.25">
      <c r="A61" s="43"/>
      <c r="B61" s="43"/>
      <c r="C61" s="16"/>
      <c r="D61" s="16"/>
      <c r="E61" s="16"/>
      <c r="F61" s="64"/>
      <c r="G61" s="70"/>
      <c r="H61" s="16"/>
      <c r="I61" s="16"/>
      <c r="J61" s="16"/>
      <c r="K61" s="43"/>
      <c r="L61" s="43"/>
    </row>
    <row r="62" spans="1:12" ht="13.5" customHeight="1" outlineLevel="1" x14ac:dyDescent="0.25">
      <c r="A62" s="43"/>
      <c r="B62" s="43"/>
      <c r="C62" s="35"/>
      <c r="D62" s="35"/>
      <c r="E62" s="35"/>
      <c r="F62" s="65"/>
      <c r="G62" s="69"/>
      <c r="H62" s="35"/>
      <c r="I62" s="35"/>
      <c r="J62" s="35"/>
      <c r="K62" s="43"/>
      <c r="L62" s="43"/>
    </row>
    <row r="63" spans="1:12" ht="13.5" customHeight="1" outlineLevel="1" x14ac:dyDescent="0.25">
      <c r="A63" s="43"/>
      <c r="B63" s="43"/>
      <c r="C63" s="16"/>
      <c r="D63" s="16"/>
      <c r="E63" s="16"/>
      <c r="F63" s="64"/>
      <c r="G63" s="70"/>
      <c r="H63" s="16"/>
      <c r="I63" s="16"/>
      <c r="J63" s="16"/>
      <c r="K63" s="43"/>
      <c r="L63" s="43"/>
    </row>
    <row r="64" spans="1:12" ht="13.5" customHeight="1" outlineLevel="1" x14ac:dyDescent="0.25">
      <c r="A64" s="43"/>
      <c r="B64" s="43"/>
      <c r="C64" s="35"/>
      <c r="D64" s="35"/>
      <c r="E64" s="35"/>
      <c r="F64" s="65"/>
      <c r="G64" s="69"/>
      <c r="H64" s="35"/>
      <c r="I64" s="35"/>
      <c r="J64" s="35"/>
      <c r="K64" s="43"/>
      <c r="L64" s="43"/>
    </row>
    <row r="65" spans="1:12" ht="13.5" customHeight="1" outlineLevel="1" x14ac:dyDescent="0.25">
      <c r="A65" s="43"/>
      <c r="B65" s="43"/>
      <c r="C65" s="16"/>
      <c r="D65" s="16"/>
      <c r="E65" s="16"/>
      <c r="F65" s="64"/>
      <c r="G65" s="70"/>
      <c r="H65" s="16"/>
      <c r="I65" s="16"/>
      <c r="J65" s="16"/>
      <c r="K65" s="43"/>
      <c r="L65" s="43"/>
    </row>
    <row r="66" spans="1:12" outlineLevel="1" x14ac:dyDescent="0.25">
      <c r="A66" s="43"/>
      <c r="B66" s="43"/>
      <c r="C66" s="35"/>
      <c r="D66" s="35"/>
      <c r="E66" s="35"/>
      <c r="F66" s="65"/>
      <c r="G66" s="69"/>
      <c r="H66" s="35"/>
      <c r="I66" s="35"/>
      <c r="J66" s="35"/>
      <c r="K66" s="43"/>
      <c r="L66" s="43"/>
    </row>
    <row r="67" spans="1:12" outlineLevel="1" x14ac:dyDescent="0.25">
      <c r="A67" s="43"/>
      <c r="B67" s="43"/>
      <c r="C67" s="16"/>
      <c r="D67" s="16"/>
      <c r="E67" s="16"/>
      <c r="F67" s="64"/>
      <c r="G67" s="70"/>
      <c r="H67" s="16"/>
      <c r="I67" s="16"/>
      <c r="J67" s="16"/>
      <c r="K67" s="43"/>
      <c r="L67" s="43"/>
    </row>
    <row r="68" spans="1:12" outlineLevel="1" x14ac:dyDescent="0.25">
      <c r="A68" s="43"/>
      <c r="B68" s="43"/>
      <c r="C68" s="35"/>
      <c r="D68" s="35"/>
      <c r="E68" s="35"/>
      <c r="F68" s="65"/>
      <c r="G68" s="69"/>
      <c r="H68" s="35"/>
      <c r="I68" s="35"/>
      <c r="J68" s="35"/>
      <c r="K68" s="43"/>
      <c r="L68" s="43"/>
    </row>
    <row r="69" spans="1:12" outlineLevel="1" x14ac:dyDescent="0.25">
      <c r="A69" s="43"/>
      <c r="B69" s="43"/>
      <c r="C69" s="16"/>
      <c r="D69" s="16"/>
      <c r="E69" s="16"/>
      <c r="F69" s="64"/>
      <c r="G69" s="70"/>
      <c r="H69" s="16"/>
      <c r="I69" s="16"/>
      <c r="J69" s="16"/>
      <c r="K69" s="43"/>
      <c r="L69" s="43"/>
    </row>
    <row r="70" spans="1:12" outlineLevel="1" x14ac:dyDescent="0.25">
      <c r="A70" s="43"/>
      <c r="B70" s="43"/>
      <c r="C70" s="35"/>
      <c r="D70" s="35"/>
      <c r="E70" s="35"/>
      <c r="F70" s="65"/>
      <c r="G70" s="69"/>
      <c r="H70" s="35"/>
      <c r="I70" s="35"/>
      <c r="J70" s="35"/>
      <c r="K70" s="43"/>
      <c r="L70" s="43"/>
    </row>
    <row r="71" spans="1:12" outlineLevel="1" x14ac:dyDescent="0.25">
      <c r="A71" s="43"/>
      <c r="B71" s="43"/>
      <c r="C71" s="16"/>
      <c r="D71" s="16"/>
      <c r="E71" s="16"/>
      <c r="F71" s="64"/>
      <c r="G71" s="70"/>
      <c r="H71" s="16"/>
      <c r="I71" s="16"/>
      <c r="J71" s="16"/>
      <c r="K71" s="43"/>
      <c r="L71" s="43"/>
    </row>
    <row r="72" spans="1:12" outlineLevel="1" x14ac:dyDescent="0.25">
      <c r="A72" s="43"/>
      <c r="B72" s="43"/>
      <c r="C72" s="35"/>
      <c r="D72" s="35"/>
      <c r="E72" s="35"/>
      <c r="F72" s="65"/>
      <c r="G72" s="69"/>
      <c r="H72" s="35"/>
      <c r="I72" s="35"/>
      <c r="J72" s="35"/>
      <c r="K72" s="43"/>
      <c r="L72" s="43"/>
    </row>
    <row r="73" spans="1:12" outlineLevel="1" x14ac:dyDescent="0.25">
      <c r="A73" s="43"/>
      <c r="B73" s="43"/>
      <c r="C73" s="16"/>
      <c r="D73" s="16"/>
      <c r="E73" s="16"/>
      <c r="F73" s="64"/>
      <c r="G73" s="70"/>
      <c r="H73" s="16"/>
      <c r="I73" s="16"/>
      <c r="J73" s="16"/>
      <c r="K73" s="43"/>
      <c r="L73" s="43"/>
    </row>
    <row r="74" spans="1:12" outlineLevel="1" x14ac:dyDescent="0.25">
      <c r="A74" s="43"/>
      <c r="B74" s="43"/>
      <c r="C74" s="35"/>
      <c r="D74" s="35"/>
      <c r="E74" s="35"/>
      <c r="F74" s="65"/>
      <c r="G74" s="69"/>
      <c r="H74" s="35"/>
      <c r="I74" s="35"/>
      <c r="J74" s="35"/>
      <c r="K74" s="43"/>
      <c r="L74" s="43"/>
    </row>
    <row r="75" spans="1:12" outlineLevel="1" x14ac:dyDescent="0.25">
      <c r="A75" s="43"/>
      <c r="B75" s="43"/>
      <c r="C75" s="16"/>
      <c r="D75" s="16"/>
      <c r="E75" s="16"/>
      <c r="F75" s="64"/>
      <c r="G75" s="70"/>
      <c r="H75" s="16"/>
      <c r="I75" s="16"/>
      <c r="J75" s="16"/>
      <c r="K75" s="43"/>
      <c r="L75" s="43"/>
    </row>
    <row r="76" spans="1:12" outlineLevel="1" x14ac:dyDescent="0.25">
      <c r="A76" s="43"/>
      <c r="B76" s="43"/>
      <c r="C76" s="35"/>
      <c r="D76" s="35"/>
      <c r="E76" s="35"/>
      <c r="F76" s="65"/>
      <c r="G76" s="69"/>
      <c r="H76" s="35"/>
      <c r="I76" s="35"/>
      <c r="J76" s="35"/>
      <c r="K76" s="43"/>
      <c r="L76" s="43"/>
    </row>
    <row r="77" spans="1:12" outlineLevel="1" x14ac:dyDescent="0.25">
      <c r="A77" s="43"/>
      <c r="B77" s="43"/>
      <c r="C77" s="16"/>
      <c r="D77" s="16"/>
      <c r="E77" s="16"/>
      <c r="F77" s="64"/>
      <c r="G77" s="70"/>
      <c r="H77" s="16"/>
      <c r="I77" s="16"/>
      <c r="J77" s="16"/>
      <c r="K77" s="43"/>
      <c r="L77" s="43"/>
    </row>
    <row r="78" spans="1:12" outlineLevel="1" x14ac:dyDescent="0.25">
      <c r="A78" s="43"/>
      <c r="B78" s="43"/>
      <c r="C78" s="35"/>
      <c r="D78" s="35"/>
      <c r="E78" s="35"/>
      <c r="F78" s="65"/>
      <c r="G78" s="69"/>
      <c r="H78" s="35"/>
      <c r="I78" s="35"/>
      <c r="J78" s="35"/>
      <c r="K78" s="43"/>
      <c r="L78" s="43"/>
    </row>
    <row r="79" spans="1:12" outlineLevel="1" x14ac:dyDescent="0.25">
      <c r="A79" s="43"/>
      <c r="B79" s="43"/>
      <c r="C79" s="16"/>
      <c r="D79" s="16"/>
      <c r="E79" s="16"/>
      <c r="F79" s="64"/>
      <c r="G79" s="70"/>
      <c r="H79" s="16"/>
      <c r="I79" s="16"/>
      <c r="J79" s="16"/>
      <c r="K79" s="43"/>
      <c r="L79" s="43"/>
    </row>
    <row r="80" spans="1:12" outlineLevel="1" x14ac:dyDescent="0.25">
      <c r="A80" s="43"/>
      <c r="B80" s="43"/>
      <c r="C80" s="35"/>
      <c r="D80" s="35"/>
      <c r="E80" s="35"/>
      <c r="F80" s="65"/>
      <c r="G80" s="69"/>
      <c r="H80" s="35"/>
      <c r="I80" s="35"/>
      <c r="J80" s="35"/>
      <c r="K80" s="43"/>
      <c r="L80" s="43"/>
    </row>
    <row r="81" spans="1:12" outlineLevel="1" x14ac:dyDescent="0.25">
      <c r="A81" s="43"/>
      <c r="B81" s="43"/>
      <c r="C81" s="16"/>
      <c r="D81" s="16"/>
      <c r="E81" s="16"/>
      <c r="F81" s="64"/>
      <c r="G81" s="70"/>
      <c r="H81" s="16"/>
      <c r="I81" s="16"/>
      <c r="J81" s="16"/>
      <c r="K81" s="43"/>
      <c r="L81" s="43"/>
    </row>
    <row r="82" spans="1:12" outlineLevel="1" x14ac:dyDescent="0.25">
      <c r="A82" s="43"/>
      <c r="B82" s="43"/>
      <c r="C82" s="35"/>
      <c r="D82" s="35"/>
      <c r="E82" s="35"/>
      <c r="F82" s="65"/>
      <c r="G82" s="69"/>
      <c r="H82" s="35"/>
      <c r="I82" s="35"/>
      <c r="J82" s="35"/>
      <c r="K82" s="43"/>
      <c r="L82" s="43"/>
    </row>
    <row r="83" spans="1:12" outlineLevel="1" x14ac:dyDescent="0.25">
      <c r="A83" s="43"/>
      <c r="B83" s="43"/>
      <c r="C83" s="16"/>
      <c r="D83" s="16"/>
      <c r="E83" s="16"/>
      <c r="F83" s="64"/>
      <c r="G83" s="70"/>
      <c r="H83" s="16"/>
      <c r="I83" s="16"/>
      <c r="J83" s="16"/>
      <c r="K83" s="43"/>
      <c r="L83" s="43"/>
    </row>
    <row r="84" spans="1:12" outlineLevel="1" x14ac:dyDescent="0.25">
      <c r="A84" s="43"/>
      <c r="B84" s="43"/>
      <c r="C84" s="35"/>
      <c r="D84" s="35"/>
      <c r="E84" s="35"/>
      <c r="F84" s="65"/>
      <c r="G84" s="69"/>
      <c r="H84" s="35"/>
      <c r="I84" s="35"/>
      <c r="J84" s="35"/>
      <c r="K84" s="43"/>
      <c r="L84" s="43"/>
    </row>
    <row r="85" spans="1:12" ht="13.5" customHeight="1" outlineLevel="1" x14ac:dyDescent="0.25">
      <c r="A85" s="43"/>
      <c r="B85" s="43"/>
      <c r="C85" s="16"/>
      <c r="D85" s="16"/>
      <c r="E85" s="16"/>
      <c r="F85" s="64"/>
      <c r="G85" s="70"/>
      <c r="H85" s="16"/>
      <c r="I85" s="16"/>
      <c r="J85" s="16"/>
      <c r="K85" s="43"/>
      <c r="L85" s="43"/>
    </row>
    <row r="86" spans="1:12" ht="13.5" customHeight="1" outlineLevel="1" x14ac:dyDescent="0.25">
      <c r="A86" s="43"/>
      <c r="B86" s="43"/>
      <c r="C86" s="35"/>
      <c r="D86" s="35"/>
      <c r="E86" s="35"/>
      <c r="F86" s="65"/>
      <c r="G86" s="69"/>
      <c r="H86" s="35"/>
      <c r="I86" s="35"/>
      <c r="J86" s="35"/>
      <c r="K86" s="43"/>
      <c r="L86" s="43"/>
    </row>
    <row r="87" spans="1:12" ht="13.5" customHeight="1" outlineLevel="1" x14ac:dyDescent="0.25">
      <c r="A87" s="43"/>
      <c r="B87" s="43"/>
      <c r="C87" s="16"/>
      <c r="D87" s="16"/>
      <c r="E87" s="16"/>
      <c r="F87" s="64"/>
      <c r="G87" s="70"/>
      <c r="H87" s="16"/>
      <c r="I87" s="16"/>
      <c r="J87" s="16"/>
      <c r="K87" s="43"/>
      <c r="L87" s="43"/>
    </row>
    <row r="88" spans="1:12" ht="13.5" customHeight="1" outlineLevel="1" x14ac:dyDescent="0.25">
      <c r="A88" s="43"/>
      <c r="B88" s="43"/>
      <c r="C88" s="35"/>
      <c r="D88" s="35"/>
      <c r="E88" s="35"/>
      <c r="F88" s="65"/>
      <c r="G88" s="69"/>
      <c r="H88" s="35"/>
      <c r="I88" s="35"/>
      <c r="J88" s="35"/>
      <c r="K88" s="43"/>
      <c r="L88" s="43"/>
    </row>
    <row r="89" spans="1:12" ht="13.5" customHeight="1" outlineLevel="1" x14ac:dyDescent="0.25">
      <c r="A89" s="43"/>
      <c r="B89" s="43"/>
      <c r="C89" s="16"/>
      <c r="D89" s="16"/>
      <c r="E89" s="16"/>
      <c r="F89" s="64"/>
      <c r="G89" s="70"/>
      <c r="H89" s="16"/>
      <c r="I89" s="16"/>
      <c r="J89" s="16"/>
      <c r="K89" s="43"/>
      <c r="L89" s="43"/>
    </row>
    <row r="90" spans="1:12" ht="13.5" customHeight="1" outlineLevel="1" x14ac:dyDescent="0.25">
      <c r="A90" s="43"/>
      <c r="B90" s="43"/>
      <c r="C90" s="35"/>
      <c r="D90" s="35"/>
      <c r="E90" s="35"/>
      <c r="F90" s="65"/>
      <c r="G90" s="69"/>
      <c r="H90" s="35"/>
      <c r="I90" s="35"/>
      <c r="J90" s="35"/>
      <c r="K90" s="43"/>
      <c r="L90" s="43"/>
    </row>
    <row r="91" spans="1:12" ht="13.5" customHeight="1" outlineLevel="1" x14ac:dyDescent="0.25">
      <c r="A91" s="43"/>
      <c r="B91" s="43"/>
      <c r="C91" s="16"/>
      <c r="D91" s="16"/>
      <c r="E91" s="16"/>
      <c r="F91" s="64"/>
      <c r="G91" s="70"/>
      <c r="H91" s="16"/>
      <c r="I91" s="16"/>
      <c r="J91" s="16"/>
      <c r="K91" s="43"/>
      <c r="L91" s="43"/>
    </row>
    <row r="92" spans="1:12" ht="13.5" customHeight="1" outlineLevel="1" x14ac:dyDescent="0.25">
      <c r="A92" s="43"/>
      <c r="B92" s="43"/>
      <c r="C92" s="35"/>
      <c r="D92" s="35"/>
      <c r="E92" s="35"/>
      <c r="F92" s="65"/>
      <c r="G92" s="69"/>
      <c r="H92" s="35"/>
      <c r="I92" s="35"/>
      <c r="J92" s="35"/>
      <c r="K92" s="43"/>
      <c r="L92" s="43"/>
    </row>
    <row r="93" spans="1:12" ht="13.5" customHeight="1" outlineLevel="1" x14ac:dyDescent="0.25">
      <c r="A93" s="43"/>
      <c r="B93" s="43"/>
      <c r="C93" s="16"/>
      <c r="D93" s="16"/>
      <c r="E93" s="16"/>
      <c r="F93" s="64"/>
      <c r="G93" s="70"/>
      <c r="H93" s="16"/>
      <c r="I93" s="16"/>
      <c r="J93" s="16"/>
      <c r="K93" s="43"/>
      <c r="L93" s="43"/>
    </row>
    <row r="94" spans="1:12" ht="13.5" customHeight="1" outlineLevel="1" x14ac:dyDescent="0.25">
      <c r="A94" s="43"/>
      <c r="B94" s="43"/>
      <c r="C94" s="35"/>
      <c r="D94" s="35"/>
      <c r="E94" s="35"/>
      <c r="F94" s="65"/>
      <c r="G94" s="69"/>
      <c r="H94" s="35"/>
      <c r="I94" s="35"/>
      <c r="J94" s="35"/>
      <c r="K94" s="43"/>
      <c r="L94" s="43"/>
    </row>
    <row r="95" spans="1:12" ht="13.5" customHeight="1" outlineLevel="1" x14ac:dyDescent="0.25">
      <c r="A95" s="43"/>
      <c r="B95" s="43"/>
      <c r="C95" s="16"/>
      <c r="D95" s="16"/>
      <c r="E95" s="16"/>
      <c r="F95" s="64"/>
      <c r="G95" s="70"/>
      <c r="H95" s="16"/>
      <c r="I95" s="16"/>
      <c r="J95" s="16"/>
      <c r="K95" s="43"/>
      <c r="L95" s="43"/>
    </row>
    <row r="96" spans="1:12" ht="13.5" customHeight="1" outlineLevel="1" x14ac:dyDescent="0.25">
      <c r="A96" s="43"/>
      <c r="B96" s="43"/>
      <c r="C96" s="35"/>
      <c r="D96" s="35"/>
      <c r="E96" s="35"/>
      <c r="F96" s="65"/>
      <c r="G96" s="69"/>
      <c r="H96" s="35"/>
      <c r="I96" s="35"/>
      <c r="J96" s="35"/>
      <c r="K96" s="43"/>
      <c r="L96" s="43"/>
    </row>
    <row r="97" spans="1:12" ht="13.5" customHeight="1" outlineLevel="1" x14ac:dyDescent="0.25">
      <c r="A97" s="43"/>
      <c r="B97" s="43"/>
      <c r="C97" s="16"/>
      <c r="D97" s="16"/>
      <c r="E97" s="16"/>
      <c r="F97" s="64"/>
      <c r="G97" s="70"/>
      <c r="H97" s="16"/>
      <c r="I97" s="16"/>
      <c r="J97" s="16"/>
      <c r="K97" s="43"/>
      <c r="L97" s="43"/>
    </row>
    <row r="98" spans="1:12" ht="13.5" customHeight="1" outlineLevel="1" x14ac:dyDescent="0.25">
      <c r="A98" s="43"/>
      <c r="B98" s="43"/>
      <c r="C98" s="35"/>
      <c r="D98" s="35"/>
      <c r="E98" s="35"/>
      <c r="F98" s="65"/>
      <c r="G98" s="69"/>
      <c r="H98" s="35"/>
      <c r="I98" s="35"/>
      <c r="J98" s="35"/>
      <c r="K98" s="43"/>
      <c r="L98" s="43"/>
    </row>
    <row r="99" spans="1:12" ht="13.5" customHeight="1" outlineLevel="1" x14ac:dyDescent="0.25">
      <c r="A99" s="43"/>
      <c r="B99" s="43"/>
      <c r="C99" s="16"/>
      <c r="D99" s="16"/>
      <c r="E99" s="16"/>
      <c r="F99" s="64"/>
      <c r="G99" s="70"/>
      <c r="H99" s="16"/>
      <c r="I99" s="16"/>
      <c r="J99" s="16"/>
      <c r="K99" s="43"/>
      <c r="L99" s="43"/>
    </row>
    <row r="100" spans="1:12" ht="13.5" customHeight="1" outlineLevel="1" x14ac:dyDescent="0.25">
      <c r="A100" s="43"/>
      <c r="B100" s="43"/>
      <c r="C100" s="35"/>
      <c r="D100" s="35"/>
      <c r="E100" s="35"/>
      <c r="F100" s="65"/>
      <c r="G100" s="69"/>
      <c r="H100" s="35"/>
      <c r="I100" s="35"/>
      <c r="J100" s="35"/>
      <c r="K100" s="43"/>
      <c r="L100" s="43"/>
    </row>
    <row r="101" spans="1:12" ht="13.5" customHeight="1" outlineLevel="1" x14ac:dyDescent="0.25">
      <c r="A101" s="43"/>
      <c r="B101" s="43"/>
      <c r="C101" s="16"/>
      <c r="D101" s="16"/>
      <c r="E101" s="16"/>
      <c r="F101" s="64"/>
      <c r="G101" s="70"/>
      <c r="H101" s="16"/>
      <c r="I101" s="16"/>
      <c r="J101" s="16"/>
      <c r="K101" s="43"/>
      <c r="L101" s="43"/>
    </row>
    <row r="102" spans="1:12" ht="13.5" customHeight="1" outlineLevel="1" x14ac:dyDescent="0.25">
      <c r="A102" s="43"/>
      <c r="B102" s="43"/>
      <c r="C102" s="35"/>
      <c r="D102" s="35"/>
      <c r="E102" s="35"/>
      <c r="F102" s="65"/>
      <c r="G102" s="69"/>
      <c r="H102" s="35"/>
      <c r="I102" s="35"/>
      <c r="J102" s="35"/>
      <c r="K102" s="43"/>
      <c r="L102" s="43"/>
    </row>
    <row r="103" spans="1:12" ht="13.5" customHeight="1" outlineLevel="1" x14ac:dyDescent="0.25">
      <c r="A103" s="43"/>
      <c r="B103" s="43"/>
      <c r="C103" s="16"/>
      <c r="D103" s="16"/>
      <c r="E103" s="16"/>
      <c r="F103" s="64"/>
      <c r="G103" s="70"/>
      <c r="H103" s="16"/>
      <c r="I103" s="16"/>
      <c r="J103" s="16"/>
      <c r="K103" s="43"/>
      <c r="L103" s="43"/>
    </row>
    <row r="104" spans="1:12" ht="13.5" customHeight="1" outlineLevel="1" x14ac:dyDescent="0.25">
      <c r="A104" s="43"/>
      <c r="B104" s="43"/>
      <c r="C104" s="35"/>
      <c r="D104" s="35"/>
      <c r="E104" s="35"/>
      <c r="F104" s="65"/>
      <c r="G104" s="69"/>
      <c r="H104" s="35"/>
      <c r="I104" s="35"/>
      <c r="J104" s="35"/>
      <c r="K104" s="43"/>
      <c r="L104" s="43"/>
    </row>
    <row r="105" spans="1:12" ht="13.5" customHeight="1" outlineLevel="1" x14ac:dyDescent="0.25">
      <c r="A105" s="43"/>
      <c r="B105" s="43"/>
      <c r="C105" s="16"/>
      <c r="D105" s="16"/>
      <c r="E105" s="16"/>
      <c r="F105" s="64"/>
      <c r="G105" s="70"/>
      <c r="H105" s="16"/>
      <c r="I105" s="16"/>
      <c r="J105" s="16"/>
      <c r="K105" s="43"/>
      <c r="L105" s="43"/>
    </row>
    <row r="106" spans="1:12" ht="13.5" customHeight="1" outlineLevel="1" x14ac:dyDescent="0.25">
      <c r="A106" s="43"/>
      <c r="B106" s="43"/>
      <c r="C106" s="35"/>
      <c r="D106" s="35"/>
      <c r="E106" s="35"/>
      <c r="F106" s="65"/>
      <c r="G106" s="69"/>
      <c r="H106" s="35"/>
      <c r="I106" s="35"/>
      <c r="J106" s="35"/>
      <c r="K106" s="43"/>
      <c r="L106" s="43"/>
    </row>
    <row r="107" spans="1:12" ht="13.5" customHeight="1" outlineLevel="1" x14ac:dyDescent="0.25">
      <c r="A107" s="43"/>
      <c r="B107" s="43"/>
      <c r="C107" s="16"/>
      <c r="D107" s="16"/>
      <c r="E107" s="16"/>
      <c r="F107" s="64"/>
      <c r="G107" s="70"/>
      <c r="H107" s="16"/>
      <c r="I107" s="16"/>
      <c r="J107" s="16"/>
      <c r="K107" s="43"/>
      <c r="L107" s="43"/>
    </row>
    <row r="108" spans="1:12" ht="13.5" customHeight="1" outlineLevel="1" x14ac:dyDescent="0.25">
      <c r="A108" s="43"/>
      <c r="B108" s="43"/>
      <c r="C108" s="35"/>
      <c r="D108" s="35"/>
      <c r="E108" s="35"/>
      <c r="F108" s="65"/>
      <c r="G108" s="69"/>
      <c r="H108" s="35"/>
      <c r="I108" s="35"/>
      <c r="J108" s="35"/>
      <c r="K108" s="43"/>
      <c r="L108" s="43"/>
    </row>
    <row r="109" spans="1:12" ht="13.5" customHeight="1" outlineLevel="1" x14ac:dyDescent="0.25">
      <c r="A109" s="43"/>
      <c r="B109" s="43"/>
      <c r="C109" s="16"/>
      <c r="D109" s="16"/>
      <c r="E109" s="16"/>
      <c r="F109" s="64"/>
      <c r="G109" s="70"/>
      <c r="H109" s="16"/>
      <c r="I109" s="16"/>
      <c r="J109" s="16"/>
      <c r="K109" s="43"/>
      <c r="L109" s="43"/>
    </row>
    <row r="110" spans="1:12" ht="13.5" customHeight="1" outlineLevel="1" x14ac:dyDescent="0.25">
      <c r="A110" s="43"/>
      <c r="B110" s="43"/>
      <c r="C110" s="35"/>
      <c r="D110" s="35"/>
      <c r="E110" s="35"/>
      <c r="F110" s="65"/>
      <c r="G110" s="69"/>
      <c r="H110" s="35"/>
      <c r="I110" s="35"/>
      <c r="J110" s="35"/>
      <c r="K110" s="43"/>
      <c r="L110" s="43"/>
    </row>
    <row r="111" spans="1:12" ht="13.5" customHeight="1" outlineLevel="1" x14ac:dyDescent="0.25">
      <c r="A111" s="43"/>
      <c r="B111" s="43"/>
      <c r="C111" s="16"/>
      <c r="D111" s="16"/>
      <c r="E111" s="16"/>
      <c r="F111" s="64"/>
      <c r="G111" s="70"/>
      <c r="H111" s="16"/>
      <c r="I111" s="16"/>
      <c r="J111" s="16"/>
      <c r="K111" s="43"/>
      <c r="L111" s="43"/>
    </row>
    <row r="112" spans="1:12" ht="13.5" customHeight="1" outlineLevel="1" x14ac:dyDescent="0.25">
      <c r="A112" s="43"/>
      <c r="B112" s="43"/>
      <c r="C112" s="35"/>
      <c r="D112" s="35"/>
      <c r="E112" s="35"/>
      <c r="F112" s="65"/>
      <c r="G112" s="69"/>
      <c r="H112" s="35"/>
      <c r="I112" s="35"/>
      <c r="J112" s="35"/>
      <c r="K112" s="43"/>
      <c r="L112" s="43"/>
    </row>
    <row r="113" spans="1:12" ht="13.5" customHeight="1" outlineLevel="1" x14ac:dyDescent="0.25">
      <c r="A113" s="43"/>
      <c r="B113" s="43"/>
      <c r="C113" s="16"/>
      <c r="D113" s="16"/>
      <c r="E113" s="16"/>
      <c r="F113" s="64"/>
      <c r="G113" s="70"/>
      <c r="H113" s="16"/>
      <c r="I113" s="16"/>
      <c r="J113" s="16"/>
      <c r="K113" s="43"/>
      <c r="L113" s="43"/>
    </row>
    <row r="114" spans="1:12" ht="13.5" customHeight="1" outlineLevel="1" x14ac:dyDescent="0.25">
      <c r="A114" s="43"/>
      <c r="B114" s="43"/>
      <c r="C114" s="35"/>
      <c r="D114" s="35"/>
      <c r="E114" s="35"/>
      <c r="F114" s="65"/>
      <c r="G114" s="69"/>
      <c r="H114" s="35"/>
      <c r="I114" s="35"/>
      <c r="J114" s="35"/>
      <c r="K114" s="43"/>
      <c r="L114" s="43"/>
    </row>
    <row r="115" spans="1:12" ht="13.5" customHeight="1" outlineLevel="1" x14ac:dyDescent="0.25">
      <c r="A115" s="43"/>
      <c r="B115" s="43"/>
      <c r="C115" s="16"/>
      <c r="D115" s="16"/>
      <c r="E115" s="16"/>
      <c r="F115" s="64"/>
      <c r="G115" s="70"/>
      <c r="H115" s="16"/>
      <c r="I115" s="16"/>
      <c r="J115" s="16"/>
      <c r="K115" s="43"/>
      <c r="L115" s="43"/>
    </row>
    <row r="116" spans="1:12" ht="13.5" customHeight="1" outlineLevel="1" x14ac:dyDescent="0.25">
      <c r="A116" s="43"/>
      <c r="B116" s="43"/>
      <c r="C116" s="35"/>
      <c r="D116" s="35"/>
      <c r="E116" s="35"/>
      <c r="F116" s="65"/>
      <c r="G116" s="69"/>
      <c r="H116" s="35"/>
      <c r="I116" s="35"/>
      <c r="J116" s="35"/>
      <c r="K116" s="43"/>
      <c r="L116" s="43"/>
    </row>
    <row r="117" spans="1:12" ht="13.5" customHeight="1" x14ac:dyDescent="0.25">
      <c r="A117" s="43"/>
      <c r="B117" s="43"/>
      <c r="C117" s="16"/>
      <c r="D117" s="16"/>
      <c r="E117" s="16"/>
      <c r="F117" s="64"/>
      <c r="G117" s="70"/>
      <c r="H117" s="16"/>
      <c r="I117" s="16"/>
      <c r="J117" s="16"/>
      <c r="K117" s="43"/>
      <c r="L117" s="43"/>
    </row>
    <row r="118" spans="1:12" ht="13.5" customHeight="1" x14ac:dyDescent="0.25">
      <c r="A118" s="43"/>
      <c r="B118" s="43"/>
      <c r="C118" s="35"/>
      <c r="D118" s="35"/>
      <c r="E118" s="35"/>
      <c r="F118" s="65"/>
      <c r="G118" s="69"/>
      <c r="H118" s="35"/>
      <c r="I118" s="35"/>
      <c r="J118" s="35"/>
      <c r="K118" s="43"/>
      <c r="L118" s="43"/>
    </row>
    <row r="119" spans="1:12" ht="13.5" customHeight="1" x14ac:dyDescent="0.25">
      <c r="A119" s="43"/>
      <c r="B119" s="43"/>
      <c r="C119" s="16"/>
      <c r="D119" s="16"/>
      <c r="E119" s="16"/>
      <c r="F119" s="64"/>
      <c r="G119" s="70"/>
      <c r="H119" s="16"/>
      <c r="I119" s="16"/>
      <c r="J119" s="16"/>
      <c r="K119" s="43"/>
      <c r="L119" s="43"/>
    </row>
    <row r="120" spans="1:12" ht="13.5" customHeight="1" x14ac:dyDescent="0.25">
      <c r="C120" s="35"/>
      <c r="D120" s="35"/>
      <c r="E120" s="35"/>
      <c r="F120" s="65"/>
      <c r="G120" s="69"/>
      <c r="H120" s="35"/>
      <c r="I120" s="35"/>
      <c r="J120" s="35"/>
    </row>
    <row r="121" spans="1:12" ht="13.5" customHeight="1" x14ac:dyDescent="0.25">
      <c r="C121" s="16"/>
      <c r="D121" s="16"/>
      <c r="E121" s="16"/>
      <c r="F121" s="64"/>
      <c r="G121" s="70"/>
      <c r="H121" s="16"/>
      <c r="I121" s="16"/>
      <c r="J121" s="16"/>
    </row>
    <row r="122" spans="1:12" ht="13.5" customHeight="1" x14ac:dyDescent="0.25">
      <c r="C122" s="35"/>
      <c r="D122" s="35"/>
      <c r="E122" s="35"/>
      <c r="F122" s="65"/>
      <c r="G122" s="69"/>
      <c r="H122" s="35"/>
      <c r="I122" s="35"/>
      <c r="J122" s="35"/>
    </row>
    <row r="123" spans="1:12" ht="13.5" customHeight="1" x14ac:dyDescent="0.25">
      <c r="C123" s="16"/>
      <c r="D123" s="16"/>
      <c r="E123" s="16"/>
      <c r="F123" s="64"/>
      <c r="G123" s="70"/>
      <c r="H123" s="16"/>
      <c r="I123" s="16"/>
      <c r="J123" s="16"/>
    </row>
    <row r="124" spans="1:12" ht="13.5" customHeight="1" x14ac:dyDescent="0.25">
      <c r="C124" s="35"/>
      <c r="D124" s="35"/>
      <c r="E124" s="35"/>
      <c r="F124" s="65"/>
      <c r="G124" s="69"/>
      <c r="H124" s="35"/>
      <c r="I124" s="35"/>
      <c r="J124" s="35"/>
    </row>
    <row r="125" spans="1:12" ht="13.5" customHeight="1" x14ac:dyDescent="0.25">
      <c r="C125" s="16"/>
      <c r="D125" s="16"/>
      <c r="E125" s="16"/>
      <c r="F125" s="64"/>
      <c r="G125" s="70"/>
      <c r="H125" s="16"/>
      <c r="I125" s="16"/>
      <c r="J125" s="16"/>
    </row>
    <row r="126" spans="1:12" ht="13.5" customHeight="1" x14ac:dyDescent="0.25">
      <c r="C126" s="35"/>
      <c r="D126" s="35"/>
      <c r="E126" s="35"/>
      <c r="F126" s="65"/>
      <c r="G126" s="69"/>
      <c r="H126" s="35"/>
      <c r="I126" s="35"/>
      <c r="J126" s="35"/>
    </row>
    <row r="127" spans="1:12" ht="13.5" customHeight="1" x14ac:dyDescent="0.25">
      <c r="C127" s="16"/>
      <c r="D127" s="16"/>
      <c r="E127" s="16"/>
      <c r="F127" s="64"/>
      <c r="G127" s="70"/>
      <c r="H127" s="16"/>
      <c r="I127" s="16"/>
      <c r="J127" s="16"/>
    </row>
    <row r="128" spans="1:12" ht="13.5" customHeight="1" x14ac:dyDescent="0.25">
      <c r="C128" s="35"/>
      <c r="D128" s="35"/>
      <c r="E128" s="35"/>
      <c r="F128" s="65"/>
      <c r="G128" s="69"/>
      <c r="H128" s="35"/>
      <c r="I128" s="35"/>
      <c r="J128" s="35"/>
    </row>
    <row r="129" spans="3:10" ht="13.5" customHeight="1" x14ac:dyDescent="0.25">
      <c r="C129" s="16"/>
      <c r="D129" s="16"/>
      <c r="E129" s="16"/>
      <c r="F129" s="64"/>
      <c r="G129" s="70"/>
      <c r="H129" s="16"/>
      <c r="I129" s="16"/>
      <c r="J129" s="16"/>
    </row>
    <row r="130" spans="3:10" ht="13.5" customHeight="1" x14ac:dyDescent="0.25">
      <c r="C130" s="35"/>
      <c r="D130" s="35"/>
      <c r="E130" s="35"/>
      <c r="F130" s="65"/>
      <c r="G130" s="69"/>
      <c r="H130" s="35"/>
      <c r="I130" s="35"/>
      <c r="J130" s="35"/>
    </row>
    <row r="131" spans="3:10" ht="13.5" customHeight="1" x14ac:dyDescent="0.25">
      <c r="C131" s="16"/>
      <c r="D131" s="16"/>
      <c r="E131" s="16"/>
      <c r="F131" s="64"/>
      <c r="G131" s="70"/>
      <c r="H131" s="16"/>
      <c r="I131" s="16"/>
      <c r="J131" s="16"/>
    </row>
    <row r="132" spans="3:10" ht="13.5" customHeight="1" x14ac:dyDescent="0.25">
      <c r="C132" s="35"/>
      <c r="D132" s="35"/>
      <c r="E132" s="35"/>
      <c r="F132" s="65"/>
      <c r="G132" s="69"/>
      <c r="H132" s="35"/>
      <c r="I132" s="35"/>
      <c r="J132" s="35"/>
    </row>
    <row r="133" spans="3:10" ht="13.5" customHeight="1" x14ac:dyDescent="0.25">
      <c r="C133" s="16"/>
      <c r="D133" s="16"/>
      <c r="E133" s="16"/>
      <c r="F133" s="64"/>
      <c r="G133" s="70"/>
      <c r="H133" s="16"/>
      <c r="I133" s="16"/>
      <c r="J133" s="16"/>
    </row>
    <row r="134" spans="3:10" ht="13.5" customHeight="1" x14ac:dyDescent="0.25">
      <c r="C134" s="35"/>
      <c r="D134" s="35"/>
      <c r="E134" s="35"/>
      <c r="F134" s="65"/>
      <c r="G134" s="69"/>
      <c r="H134" s="35"/>
      <c r="I134" s="35"/>
      <c r="J134" s="35"/>
    </row>
    <row r="135" spans="3:10" ht="13.5" customHeight="1" x14ac:dyDescent="0.25">
      <c r="C135" s="16"/>
      <c r="D135" s="16"/>
      <c r="E135" s="16"/>
      <c r="F135" s="64"/>
      <c r="G135" s="70"/>
      <c r="H135" s="16"/>
      <c r="I135" s="16"/>
      <c r="J135" s="16"/>
    </row>
    <row r="136" spans="3:10" ht="13.5" customHeight="1" x14ac:dyDescent="0.25">
      <c r="C136" s="35"/>
      <c r="D136" s="35"/>
      <c r="E136" s="35"/>
      <c r="F136" s="65"/>
      <c r="G136" s="69"/>
      <c r="H136" s="35"/>
      <c r="I136" s="35"/>
      <c r="J136" s="35"/>
    </row>
    <row r="137" spans="3:10" ht="13.5" customHeight="1" x14ac:dyDescent="0.25">
      <c r="C137" s="16"/>
      <c r="D137" s="16"/>
      <c r="E137" s="16"/>
      <c r="F137" s="64"/>
      <c r="G137" s="70"/>
      <c r="H137" s="16"/>
      <c r="I137" s="16"/>
      <c r="J137" s="16"/>
    </row>
    <row r="138" spans="3:10" ht="13.5" customHeight="1" x14ac:dyDescent="0.25">
      <c r="C138" s="35"/>
      <c r="D138" s="35"/>
      <c r="E138" s="35"/>
      <c r="F138" s="65"/>
      <c r="G138" s="69"/>
      <c r="H138" s="35"/>
      <c r="I138" s="35"/>
      <c r="J138" s="35"/>
    </row>
    <row r="139" spans="3:10" ht="13.5" customHeight="1" x14ac:dyDescent="0.25">
      <c r="C139" s="16"/>
      <c r="D139" s="16"/>
      <c r="E139" s="16"/>
      <c r="F139" s="64"/>
      <c r="G139" s="70"/>
      <c r="H139" s="16"/>
      <c r="I139" s="16"/>
      <c r="J139" s="16"/>
    </row>
    <row r="140" spans="3:10" ht="13.5" customHeight="1" x14ac:dyDescent="0.25">
      <c r="C140" s="35"/>
      <c r="D140" s="35"/>
      <c r="E140" s="35"/>
      <c r="F140" s="65"/>
      <c r="G140" s="69"/>
      <c r="H140" s="35"/>
      <c r="I140" s="35"/>
      <c r="J140" s="35"/>
    </row>
    <row r="141" spans="3:10" ht="13.5" customHeight="1" x14ac:dyDescent="0.25">
      <c r="C141" s="16"/>
      <c r="D141" s="16"/>
      <c r="E141" s="16"/>
      <c r="F141" s="64"/>
      <c r="G141" s="70"/>
      <c r="H141" s="16"/>
      <c r="I141" s="16"/>
      <c r="J141" s="16"/>
    </row>
    <row r="142" spans="3:10" ht="13.5" customHeight="1" x14ac:dyDescent="0.25">
      <c r="C142" s="35"/>
      <c r="D142" s="35"/>
      <c r="E142" s="35"/>
      <c r="F142" s="65"/>
      <c r="G142" s="69"/>
      <c r="H142" s="35"/>
      <c r="I142" s="35"/>
      <c r="J142" s="35"/>
    </row>
    <row r="143" spans="3:10" ht="13.5" customHeight="1" x14ac:dyDescent="0.25">
      <c r="C143" s="16"/>
      <c r="D143" s="16"/>
      <c r="E143" s="16"/>
      <c r="F143" s="64"/>
      <c r="G143" s="70"/>
      <c r="H143" s="16"/>
      <c r="I143" s="16"/>
      <c r="J143" s="16"/>
    </row>
    <row r="144" spans="3:10" ht="13.5" customHeight="1" x14ac:dyDescent="0.25">
      <c r="C144" s="35"/>
      <c r="D144" s="35"/>
      <c r="E144" s="35"/>
      <c r="F144" s="65"/>
      <c r="G144" s="69"/>
      <c r="H144" s="35"/>
      <c r="I144" s="35"/>
      <c r="J144" s="35"/>
    </row>
    <row r="145" spans="3:10" ht="13.5" customHeight="1" x14ac:dyDescent="0.25">
      <c r="C145" s="16"/>
      <c r="D145" s="16"/>
      <c r="E145" s="16"/>
      <c r="F145" s="64"/>
      <c r="G145" s="70"/>
      <c r="H145" s="16"/>
      <c r="I145" s="16"/>
      <c r="J145" s="16"/>
    </row>
    <row r="146" spans="3:10" ht="13.5" customHeight="1" x14ac:dyDescent="0.25">
      <c r="C146" s="35"/>
      <c r="D146" s="35"/>
      <c r="E146" s="35"/>
      <c r="F146" s="65"/>
      <c r="G146" s="69"/>
      <c r="H146" s="35"/>
      <c r="I146" s="35"/>
      <c r="J146" s="35"/>
    </row>
    <row r="147" spans="3:10" ht="13.5" customHeight="1" x14ac:dyDescent="0.25">
      <c r="C147" s="16"/>
      <c r="D147" s="16"/>
      <c r="E147" s="16"/>
      <c r="F147" s="64"/>
      <c r="G147" s="70"/>
      <c r="H147" s="16"/>
      <c r="I147" s="16"/>
      <c r="J147" s="16"/>
    </row>
    <row r="148" spans="3:10" ht="13.5" customHeight="1" x14ac:dyDescent="0.25">
      <c r="C148" s="35"/>
      <c r="D148" s="35"/>
      <c r="E148" s="35"/>
      <c r="F148" s="65"/>
      <c r="G148" s="69"/>
      <c r="H148" s="35"/>
      <c r="I148" s="35"/>
      <c r="J148" s="35"/>
    </row>
    <row r="149" spans="3:10" ht="13.5" customHeight="1" x14ac:dyDescent="0.25">
      <c r="C149" s="16"/>
      <c r="D149" s="16"/>
      <c r="E149" s="16"/>
      <c r="F149" s="64"/>
      <c r="G149" s="70"/>
      <c r="H149" s="16"/>
      <c r="I149" s="16"/>
      <c r="J149" s="16"/>
    </row>
    <row r="150" spans="3:10" ht="13.5" customHeight="1" x14ac:dyDescent="0.25">
      <c r="C150" s="35"/>
      <c r="D150" s="35"/>
      <c r="E150" s="35"/>
      <c r="F150" s="65"/>
      <c r="G150" s="69"/>
      <c r="H150" s="35"/>
      <c r="I150" s="35"/>
      <c r="J150" s="35"/>
    </row>
    <row r="151" spans="3:10" ht="13.5" customHeight="1" x14ac:dyDescent="0.25">
      <c r="C151" s="16"/>
      <c r="D151" s="16"/>
      <c r="E151" s="16"/>
      <c r="F151" s="64"/>
      <c r="G151" s="70"/>
      <c r="H151" s="16"/>
      <c r="I151" s="16"/>
      <c r="J151" s="16"/>
    </row>
    <row r="152" spans="3:10" ht="13.5" customHeight="1" x14ac:dyDescent="0.25">
      <c r="C152" s="35"/>
      <c r="D152" s="35"/>
      <c r="E152" s="35"/>
      <c r="F152" s="65"/>
      <c r="G152" s="69"/>
      <c r="H152" s="35"/>
      <c r="I152" s="35"/>
      <c r="J152" s="35"/>
    </row>
    <row r="153" spans="3:10" ht="13.5" customHeight="1" x14ac:dyDescent="0.25">
      <c r="C153" s="16"/>
      <c r="D153" s="16"/>
      <c r="E153" s="16"/>
      <c r="F153" s="64"/>
      <c r="G153" s="70"/>
      <c r="H153" s="16"/>
      <c r="I153" s="16"/>
      <c r="J153" s="16"/>
    </row>
    <row r="154" spans="3:10" ht="13.5" customHeight="1" x14ac:dyDescent="0.25">
      <c r="C154" s="35"/>
      <c r="D154" s="35"/>
      <c r="E154" s="35"/>
      <c r="F154" s="65"/>
      <c r="G154" s="69"/>
      <c r="H154" s="35"/>
      <c r="I154" s="35"/>
      <c r="J154" s="35"/>
    </row>
    <row r="155" spans="3:10" ht="13.5" customHeight="1" x14ac:dyDescent="0.25">
      <c r="C155" s="16"/>
      <c r="D155" s="16"/>
      <c r="E155" s="16"/>
      <c r="F155" s="64"/>
      <c r="G155" s="70"/>
      <c r="H155" s="16"/>
      <c r="I155" s="16"/>
      <c r="J155" s="16"/>
    </row>
    <row r="156" spans="3:10" ht="13.5" customHeight="1" x14ac:dyDescent="0.25">
      <c r="C156" s="35"/>
      <c r="D156" s="35"/>
      <c r="E156" s="35"/>
      <c r="F156" s="65"/>
      <c r="G156" s="69"/>
      <c r="H156" s="35"/>
      <c r="I156" s="35"/>
      <c r="J156" s="35"/>
    </row>
    <row r="157" spans="3:10" ht="13.5" customHeight="1" x14ac:dyDescent="0.25">
      <c r="C157" s="16"/>
      <c r="D157" s="16"/>
      <c r="E157" s="16"/>
      <c r="F157" s="64"/>
      <c r="G157" s="70"/>
      <c r="H157" s="16"/>
      <c r="I157" s="16"/>
      <c r="J157" s="16"/>
    </row>
    <row r="158" spans="3:10" ht="13.5" customHeight="1" x14ac:dyDescent="0.25">
      <c r="C158" s="35"/>
      <c r="D158" s="35"/>
      <c r="E158" s="35"/>
      <c r="F158" s="65"/>
      <c r="G158" s="69"/>
      <c r="H158" s="35"/>
      <c r="I158" s="35"/>
      <c r="J158" s="35"/>
    </row>
    <row r="159" spans="3:10" ht="13.5" customHeight="1" x14ac:dyDescent="0.25">
      <c r="C159" s="16"/>
      <c r="D159" s="16"/>
      <c r="E159" s="16"/>
      <c r="F159" s="64"/>
      <c r="G159" s="70"/>
      <c r="H159" s="16"/>
      <c r="I159" s="16"/>
      <c r="J159" s="16"/>
    </row>
    <row r="160" spans="3:10" ht="13.5" customHeight="1" x14ac:dyDescent="0.25">
      <c r="C160" s="35"/>
      <c r="D160" s="35"/>
      <c r="E160" s="35"/>
      <c r="F160" s="65"/>
      <c r="G160" s="69"/>
      <c r="H160" s="35"/>
      <c r="I160" s="35"/>
      <c r="J160" s="35"/>
    </row>
    <row r="161" spans="3:10" ht="13.5" customHeight="1" x14ac:dyDescent="0.25">
      <c r="C161" s="16"/>
      <c r="D161" s="16"/>
      <c r="E161" s="16"/>
      <c r="F161" s="64"/>
      <c r="G161" s="70"/>
      <c r="H161" s="16"/>
      <c r="I161" s="16"/>
      <c r="J161" s="16"/>
    </row>
    <row r="162" spans="3:10" ht="13.5" customHeight="1" x14ac:dyDescent="0.25">
      <c r="C162" s="35"/>
      <c r="D162" s="35"/>
      <c r="E162" s="35"/>
      <c r="F162" s="65"/>
      <c r="G162" s="69"/>
      <c r="H162" s="35"/>
      <c r="I162" s="35"/>
      <c r="J162" s="35"/>
    </row>
    <row r="163" spans="3:10" ht="13.5" customHeight="1" x14ac:dyDescent="0.25">
      <c r="C163" s="16"/>
      <c r="D163" s="16"/>
      <c r="E163" s="16"/>
      <c r="F163" s="64"/>
      <c r="G163" s="70"/>
      <c r="H163" s="16"/>
      <c r="I163" s="16"/>
      <c r="J163" s="16"/>
    </row>
    <row r="164" spans="3:10" ht="13.5" customHeight="1" x14ac:dyDescent="0.25">
      <c r="C164" s="35"/>
      <c r="D164" s="35"/>
      <c r="E164" s="35"/>
      <c r="F164" s="65"/>
      <c r="G164" s="69"/>
      <c r="H164" s="35"/>
      <c r="I164" s="35"/>
      <c r="J164" s="35"/>
    </row>
    <row r="165" spans="3:10" ht="13.5" customHeight="1" x14ac:dyDescent="0.25">
      <c r="C165" s="16"/>
      <c r="D165" s="16"/>
      <c r="E165" s="16"/>
      <c r="F165" s="64"/>
      <c r="G165" s="70"/>
      <c r="H165" s="16"/>
      <c r="I165" s="16"/>
      <c r="J165" s="16"/>
    </row>
    <row r="166" spans="3:10" ht="13.5" customHeight="1" x14ac:dyDescent="0.25">
      <c r="C166" s="35"/>
      <c r="D166" s="35"/>
      <c r="E166" s="35"/>
      <c r="F166" s="65"/>
      <c r="G166" s="69"/>
      <c r="H166" s="35"/>
      <c r="I166" s="35"/>
      <c r="J166" s="35"/>
    </row>
    <row r="167" spans="3:10" ht="13.5" customHeight="1" x14ac:dyDescent="0.25">
      <c r="C167" s="16"/>
      <c r="D167" s="16"/>
      <c r="E167" s="16"/>
      <c r="F167" s="64"/>
      <c r="G167" s="70"/>
      <c r="H167" s="16"/>
      <c r="I167" s="16"/>
      <c r="J167" s="16"/>
    </row>
    <row r="168" spans="3:10" ht="13.5" customHeight="1" x14ac:dyDescent="0.25">
      <c r="C168" s="35"/>
      <c r="D168" s="35"/>
      <c r="E168" s="35"/>
      <c r="F168" s="65"/>
      <c r="G168" s="69"/>
      <c r="H168" s="35"/>
      <c r="I168" s="35"/>
      <c r="J168" s="35"/>
    </row>
    <row r="169" spans="3:10" ht="13.5" customHeight="1" x14ac:dyDescent="0.25">
      <c r="C169" s="16"/>
      <c r="D169" s="16"/>
      <c r="E169" s="16"/>
      <c r="F169" s="64"/>
      <c r="G169" s="70"/>
      <c r="H169" s="16"/>
      <c r="I169" s="16"/>
      <c r="J169" s="16"/>
    </row>
    <row r="170" spans="3:10" ht="13.5" customHeight="1" x14ac:dyDescent="0.25">
      <c r="C170" s="35"/>
      <c r="D170" s="35"/>
      <c r="E170" s="35"/>
      <c r="F170" s="65"/>
      <c r="G170" s="69"/>
      <c r="H170" s="35"/>
      <c r="I170" s="35"/>
      <c r="J170" s="35"/>
    </row>
    <row r="171" spans="3:10" ht="13.5" customHeight="1" x14ac:dyDescent="0.25">
      <c r="C171" s="16"/>
      <c r="D171" s="16"/>
      <c r="E171" s="16"/>
      <c r="F171" s="64"/>
      <c r="G171" s="70"/>
      <c r="H171" s="16"/>
      <c r="I171" s="16"/>
      <c r="J171" s="16"/>
    </row>
    <row r="172" spans="3:10" ht="13.5" customHeight="1" x14ac:dyDescent="0.25">
      <c r="C172" s="35"/>
      <c r="D172" s="35"/>
      <c r="E172" s="35"/>
      <c r="F172" s="65"/>
      <c r="G172" s="69"/>
      <c r="H172" s="35"/>
      <c r="I172" s="35"/>
      <c r="J172" s="35"/>
    </row>
    <row r="173" spans="3:10" ht="13.5" customHeight="1" x14ac:dyDescent="0.25">
      <c r="C173" s="16"/>
      <c r="D173" s="16"/>
      <c r="E173" s="16"/>
      <c r="F173" s="64"/>
      <c r="G173" s="70"/>
      <c r="H173" s="16"/>
      <c r="I173" s="16"/>
      <c r="J173" s="16"/>
    </row>
    <row r="174" spans="3:10" ht="13.5" customHeight="1" x14ac:dyDescent="0.25">
      <c r="C174" s="35"/>
      <c r="D174" s="35"/>
      <c r="E174" s="35"/>
      <c r="F174" s="65"/>
      <c r="G174" s="69"/>
      <c r="H174" s="35"/>
      <c r="I174" s="35"/>
      <c r="J174" s="35"/>
    </row>
    <row r="175" spans="3:10" ht="13.5" customHeight="1" x14ac:dyDescent="0.25">
      <c r="C175" s="16"/>
      <c r="D175" s="16"/>
      <c r="E175" s="16"/>
      <c r="F175" s="64"/>
      <c r="G175" s="70"/>
      <c r="H175" s="16"/>
      <c r="I175" s="16"/>
      <c r="J175" s="16"/>
    </row>
    <row r="176" spans="3:10" ht="13.5" customHeight="1" x14ac:dyDescent="0.25">
      <c r="C176" s="35"/>
      <c r="D176" s="35"/>
      <c r="E176" s="35"/>
      <c r="F176" s="65"/>
      <c r="G176" s="69"/>
      <c r="H176" s="35"/>
      <c r="I176" s="35"/>
      <c r="J176" s="35"/>
    </row>
    <row r="177" spans="3:10" ht="13.5" customHeight="1" x14ac:dyDescent="0.25">
      <c r="C177" s="16"/>
      <c r="D177" s="16"/>
      <c r="E177" s="16"/>
      <c r="F177" s="64"/>
      <c r="G177" s="70"/>
      <c r="H177" s="16"/>
      <c r="I177" s="16"/>
      <c r="J177" s="16"/>
    </row>
    <row r="178" spans="3:10" ht="13.5" customHeight="1" x14ac:dyDescent="0.25">
      <c r="C178" s="35"/>
      <c r="D178" s="35"/>
      <c r="E178" s="35"/>
      <c r="F178" s="65"/>
      <c r="G178" s="69"/>
      <c r="H178" s="35"/>
      <c r="I178" s="35"/>
      <c r="J178" s="35"/>
    </row>
    <row r="179" spans="3:10" ht="13.5" customHeight="1" x14ac:dyDescent="0.25">
      <c r="C179" s="16"/>
      <c r="D179" s="16"/>
      <c r="E179" s="16"/>
      <c r="F179" s="64"/>
      <c r="G179" s="70"/>
      <c r="H179" s="16"/>
      <c r="I179" s="16"/>
      <c r="J179" s="16"/>
    </row>
    <row r="180" spans="3:10" ht="13.5" customHeight="1" x14ac:dyDescent="0.25">
      <c r="C180" s="35"/>
      <c r="D180" s="35"/>
      <c r="E180" s="35"/>
      <c r="F180" s="65"/>
      <c r="G180" s="69"/>
      <c r="H180" s="35"/>
      <c r="I180" s="35"/>
      <c r="J180" s="35"/>
    </row>
    <row r="181" spans="3:10" ht="13.5" customHeight="1" x14ac:dyDescent="0.25">
      <c r="C181" s="16"/>
      <c r="D181" s="16"/>
      <c r="E181" s="16"/>
      <c r="F181" s="64"/>
      <c r="G181" s="70"/>
      <c r="H181" s="16"/>
      <c r="I181" s="16"/>
      <c r="J181" s="16"/>
    </row>
    <row r="182" spans="3:10" ht="13.5" customHeight="1" x14ac:dyDescent="0.25">
      <c r="C182" s="35"/>
      <c r="D182" s="35"/>
      <c r="E182" s="35"/>
      <c r="F182" s="65"/>
      <c r="G182" s="69"/>
      <c r="H182" s="35"/>
      <c r="I182" s="35"/>
      <c r="J182" s="35"/>
    </row>
    <row r="183" spans="3:10" ht="13.5" customHeight="1" x14ac:dyDescent="0.25">
      <c r="C183" s="16"/>
      <c r="D183" s="16"/>
      <c r="E183" s="16"/>
      <c r="F183" s="64"/>
      <c r="G183" s="70"/>
      <c r="H183" s="16"/>
      <c r="I183" s="16"/>
      <c r="J183" s="16"/>
    </row>
    <row r="184" spans="3:10" ht="13.5" customHeight="1" x14ac:dyDescent="0.25">
      <c r="C184" s="35"/>
      <c r="D184" s="35"/>
      <c r="E184" s="35"/>
      <c r="F184" s="65"/>
      <c r="G184" s="69"/>
      <c r="H184" s="35"/>
      <c r="I184" s="35"/>
      <c r="J184" s="35"/>
    </row>
    <row r="185" spans="3:10" ht="13.5" customHeight="1" x14ac:dyDescent="0.25">
      <c r="C185" s="16"/>
      <c r="D185" s="16"/>
      <c r="E185" s="16"/>
      <c r="F185" s="64"/>
      <c r="G185" s="70"/>
      <c r="H185" s="16"/>
      <c r="I185" s="16"/>
      <c r="J185" s="16"/>
    </row>
    <row r="186" spans="3:10" ht="13.5" customHeight="1" x14ac:dyDescent="0.25">
      <c r="C186" s="35"/>
      <c r="D186" s="35"/>
      <c r="E186" s="35"/>
      <c r="F186" s="65"/>
      <c r="G186" s="69"/>
      <c r="H186" s="35"/>
      <c r="I186" s="35"/>
      <c r="J186" s="35"/>
    </row>
    <row r="187" spans="3:10" ht="13.5" customHeight="1" x14ac:dyDescent="0.25">
      <c r="C187" s="16"/>
      <c r="D187" s="16"/>
      <c r="E187" s="16"/>
      <c r="F187" s="64"/>
      <c r="G187" s="70"/>
      <c r="H187" s="16"/>
      <c r="I187" s="16"/>
      <c r="J187" s="16"/>
    </row>
    <row r="188" spans="3:10" ht="13.5" customHeight="1" x14ac:dyDescent="0.25">
      <c r="C188" s="35"/>
      <c r="D188" s="35"/>
      <c r="E188" s="35"/>
      <c r="F188" s="65"/>
      <c r="G188" s="69"/>
      <c r="H188" s="35"/>
      <c r="I188" s="35"/>
      <c r="J188" s="35"/>
    </row>
    <row r="189" spans="3:10" ht="13.5" customHeight="1" x14ac:dyDescent="0.25">
      <c r="C189" s="16"/>
      <c r="D189" s="16"/>
      <c r="E189" s="16"/>
      <c r="F189" s="64"/>
      <c r="G189" s="70"/>
      <c r="H189" s="16"/>
      <c r="I189" s="16"/>
      <c r="J189" s="16"/>
    </row>
    <row r="190" spans="3:10" ht="13.5" customHeight="1" x14ac:dyDescent="0.25">
      <c r="C190" s="35"/>
      <c r="D190" s="35"/>
      <c r="E190" s="35"/>
      <c r="F190" s="65"/>
      <c r="G190" s="69"/>
      <c r="H190" s="35"/>
      <c r="I190" s="35"/>
      <c r="J190" s="35"/>
    </row>
    <row r="191" spans="3:10" ht="13.5" customHeight="1" x14ac:dyDescent="0.25">
      <c r="C191" s="16"/>
      <c r="D191" s="16"/>
      <c r="E191" s="16"/>
      <c r="F191" s="64"/>
      <c r="G191" s="70"/>
      <c r="H191" s="16"/>
      <c r="I191" s="16"/>
      <c r="J191" s="16"/>
    </row>
    <row r="192" spans="3:10" ht="13.5" customHeight="1" x14ac:dyDescent="0.25">
      <c r="C192" s="35"/>
      <c r="D192" s="35"/>
      <c r="E192" s="35"/>
      <c r="F192" s="65"/>
      <c r="G192" s="69"/>
      <c r="H192" s="35"/>
      <c r="I192" s="35"/>
      <c r="J192" s="35"/>
    </row>
    <row r="193" spans="3:10" ht="13.5" customHeight="1" x14ac:dyDescent="0.25">
      <c r="C193" s="16"/>
      <c r="D193" s="16"/>
      <c r="E193" s="16"/>
      <c r="F193" s="64"/>
      <c r="G193" s="70"/>
      <c r="H193" s="16"/>
      <c r="I193" s="16"/>
      <c r="J193" s="16"/>
    </row>
    <row r="194" spans="3:10" ht="13.5" customHeight="1" x14ac:dyDescent="0.25">
      <c r="C194" s="35"/>
      <c r="D194" s="35"/>
      <c r="E194" s="35"/>
      <c r="F194" s="65"/>
      <c r="G194" s="69"/>
      <c r="H194" s="35"/>
      <c r="I194" s="35"/>
      <c r="J194" s="35"/>
    </row>
    <row r="195" spans="3:10" ht="13.5" customHeight="1" x14ac:dyDescent="0.25">
      <c r="C195" s="16"/>
      <c r="D195" s="16"/>
      <c r="E195" s="16"/>
      <c r="F195" s="64"/>
      <c r="G195" s="70"/>
      <c r="H195" s="16"/>
      <c r="I195" s="16"/>
      <c r="J195" s="16"/>
    </row>
    <row r="196" spans="3:10" ht="13.5" customHeight="1" x14ac:dyDescent="0.25">
      <c r="C196" s="35"/>
      <c r="D196" s="35"/>
      <c r="E196" s="35"/>
      <c r="F196" s="65"/>
      <c r="G196" s="69"/>
      <c r="H196" s="35"/>
      <c r="I196" s="35"/>
      <c r="J196" s="35"/>
    </row>
    <row r="197" spans="3:10" ht="13.5" customHeight="1" x14ac:dyDescent="0.25">
      <c r="C197" s="16"/>
      <c r="D197" s="16"/>
      <c r="E197" s="16"/>
      <c r="F197" s="64"/>
      <c r="G197" s="70"/>
      <c r="H197" s="16"/>
      <c r="I197" s="16"/>
      <c r="J197" s="16"/>
    </row>
    <row r="198" spans="3:10" ht="13.5" customHeight="1" x14ac:dyDescent="0.25">
      <c r="C198" s="35"/>
      <c r="D198" s="35"/>
      <c r="E198" s="35"/>
      <c r="F198" s="65"/>
      <c r="G198" s="69"/>
      <c r="H198" s="35"/>
      <c r="I198" s="35"/>
      <c r="J198" s="35"/>
    </row>
    <row r="199" spans="3:10" ht="13.5" customHeight="1" x14ac:dyDescent="0.25">
      <c r="C199" s="16"/>
      <c r="D199" s="16"/>
      <c r="E199" s="16"/>
      <c r="F199" s="64"/>
      <c r="G199" s="70"/>
      <c r="H199" s="16"/>
      <c r="I199" s="16"/>
      <c r="J199" s="16"/>
    </row>
    <row r="200" spans="3:10" ht="13.5" customHeight="1" x14ac:dyDescent="0.25">
      <c r="C200" s="35"/>
      <c r="D200" s="35"/>
      <c r="E200" s="35"/>
      <c r="F200" s="65"/>
      <c r="G200" s="69"/>
      <c r="H200" s="35"/>
      <c r="I200" s="35"/>
      <c r="J200" s="35"/>
    </row>
    <row r="201" spans="3:10" ht="13.5" customHeight="1" x14ac:dyDescent="0.25">
      <c r="C201" s="16"/>
      <c r="D201" s="16"/>
      <c r="E201" s="16"/>
      <c r="F201" s="64"/>
      <c r="G201" s="70"/>
      <c r="H201" s="16"/>
      <c r="I201" s="16"/>
      <c r="J201" s="16"/>
    </row>
    <row r="202" spans="3:10" ht="13.5" customHeight="1" x14ac:dyDescent="0.25">
      <c r="C202" s="35"/>
      <c r="D202" s="35"/>
      <c r="E202" s="35"/>
      <c r="F202" s="65"/>
      <c r="G202" s="69"/>
      <c r="H202" s="35"/>
      <c r="I202" s="35"/>
      <c r="J202" s="35"/>
    </row>
    <row r="203" spans="3:10" ht="13.5" customHeight="1" x14ac:dyDescent="0.25">
      <c r="C203" s="16"/>
      <c r="D203" s="16"/>
      <c r="E203" s="16"/>
      <c r="F203" s="64"/>
      <c r="G203" s="70"/>
      <c r="H203" s="16"/>
      <c r="I203" s="16"/>
      <c r="J203" s="16"/>
    </row>
    <row r="204" spans="3:10" ht="13.5" customHeight="1" x14ac:dyDescent="0.25">
      <c r="C204" s="35"/>
      <c r="D204" s="35"/>
      <c r="E204" s="35"/>
      <c r="F204" s="65"/>
      <c r="G204" s="69"/>
      <c r="H204" s="35"/>
      <c r="I204" s="35"/>
      <c r="J204" s="35"/>
    </row>
    <row r="205" spans="3:10" ht="13.5" customHeight="1" x14ac:dyDescent="0.25">
      <c r="C205" s="16"/>
      <c r="D205" s="16"/>
      <c r="E205" s="16"/>
      <c r="F205" s="64"/>
      <c r="G205" s="70"/>
      <c r="H205" s="16"/>
      <c r="I205" s="16"/>
      <c r="J205" s="16"/>
    </row>
    <row r="206" spans="3:10" ht="13.5" customHeight="1" x14ac:dyDescent="0.25">
      <c r="C206" s="35"/>
      <c r="D206" s="35"/>
      <c r="E206" s="35"/>
      <c r="F206" s="65"/>
      <c r="G206" s="69"/>
      <c r="H206" s="35"/>
      <c r="I206" s="35"/>
      <c r="J206" s="35"/>
    </row>
    <row r="207" spans="3:10" ht="13.5" customHeight="1" x14ac:dyDescent="0.25">
      <c r="C207" s="16"/>
      <c r="D207" s="16"/>
      <c r="E207" s="16"/>
      <c r="F207" s="64"/>
      <c r="G207" s="70"/>
      <c r="H207" s="16"/>
      <c r="I207" s="16"/>
      <c r="J207" s="16"/>
    </row>
    <row r="208" spans="3:10" ht="13.5" customHeight="1" x14ac:dyDescent="0.25">
      <c r="C208" s="35"/>
      <c r="D208" s="35"/>
      <c r="E208" s="35"/>
      <c r="F208" s="65"/>
      <c r="G208" s="69"/>
      <c r="H208" s="35"/>
      <c r="I208" s="35"/>
      <c r="J208" s="35"/>
    </row>
    <row r="209" spans="3:10" ht="13.5" customHeight="1" x14ac:dyDescent="0.25">
      <c r="C209" s="16"/>
      <c r="D209" s="16"/>
      <c r="E209" s="16"/>
      <c r="F209" s="64"/>
      <c r="G209" s="70"/>
      <c r="H209" s="16"/>
      <c r="I209" s="16"/>
      <c r="J209" s="16"/>
    </row>
    <row r="210" spans="3:10" ht="13.5" customHeight="1" x14ac:dyDescent="0.25">
      <c r="C210" s="35"/>
      <c r="D210" s="35"/>
      <c r="E210" s="35"/>
      <c r="F210" s="65"/>
      <c r="G210" s="69"/>
      <c r="H210" s="35"/>
      <c r="I210" s="35"/>
      <c r="J210" s="35"/>
    </row>
    <row r="211" spans="3:10" ht="13.5" customHeight="1" x14ac:dyDescent="0.25">
      <c r="C211" s="16"/>
      <c r="D211" s="16"/>
      <c r="E211" s="16"/>
      <c r="F211" s="64"/>
      <c r="G211" s="70"/>
      <c r="H211" s="16"/>
      <c r="I211" s="16"/>
      <c r="J211" s="16"/>
    </row>
    <row r="212" spans="3:10" ht="13.5" customHeight="1" x14ac:dyDescent="0.25">
      <c r="C212" s="35"/>
      <c r="D212" s="35"/>
      <c r="E212" s="35"/>
      <c r="F212" s="65"/>
      <c r="G212" s="69"/>
      <c r="H212" s="35"/>
      <c r="I212" s="35"/>
      <c r="J212" s="35"/>
    </row>
    <row r="213" spans="3:10" ht="13.5" customHeight="1" x14ac:dyDescent="0.25">
      <c r="C213" s="16"/>
      <c r="D213" s="16"/>
      <c r="E213" s="16"/>
      <c r="F213" s="64"/>
      <c r="G213" s="70"/>
      <c r="H213" s="16"/>
      <c r="I213" s="16"/>
      <c r="J213" s="16"/>
    </row>
    <row r="214" spans="3:10" ht="13.5" customHeight="1" x14ac:dyDescent="0.25">
      <c r="C214" s="35"/>
      <c r="D214" s="35"/>
      <c r="E214" s="35"/>
      <c r="F214" s="65"/>
      <c r="G214" s="69"/>
      <c r="H214" s="35"/>
      <c r="I214" s="35"/>
      <c r="J214" s="35"/>
    </row>
    <row r="215" spans="3:10" ht="13.5" customHeight="1" x14ac:dyDescent="0.25">
      <c r="C215" s="16"/>
      <c r="D215" s="16"/>
      <c r="E215" s="16"/>
      <c r="F215" s="64"/>
      <c r="G215" s="70"/>
      <c r="H215" s="16"/>
      <c r="I215" s="16"/>
      <c r="J215" s="16"/>
    </row>
    <row r="216" spans="3:10" ht="13.5" customHeight="1" x14ac:dyDescent="0.25">
      <c r="C216" s="35"/>
      <c r="D216" s="35"/>
      <c r="E216" s="35"/>
      <c r="F216" s="65"/>
      <c r="G216" s="69"/>
      <c r="H216" s="35"/>
      <c r="I216" s="35"/>
      <c r="J216" s="35"/>
    </row>
    <row r="217" spans="3:10" ht="13.5" customHeight="1" x14ac:dyDescent="0.25">
      <c r="C217" s="16"/>
      <c r="D217" s="16"/>
      <c r="E217" s="16"/>
      <c r="F217" s="64"/>
      <c r="G217" s="70"/>
      <c r="H217" s="16"/>
      <c r="I217" s="16"/>
      <c r="J217" s="16"/>
    </row>
    <row r="218" spans="3:10" ht="13.5" customHeight="1" x14ac:dyDescent="0.25">
      <c r="C218" s="35"/>
      <c r="D218" s="35"/>
      <c r="E218" s="35"/>
      <c r="F218" s="65"/>
      <c r="G218" s="69"/>
      <c r="H218" s="35"/>
      <c r="I218" s="35"/>
      <c r="J218" s="35"/>
    </row>
    <row r="219" spans="3:10" ht="13.5" customHeight="1" x14ac:dyDescent="0.25">
      <c r="C219" s="16"/>
      <c r="D219" s="16"/>
      <c r="E219" s="16"/>
      <c r="F219" s="64"/>
      <c r="G219" s="70"/>
      <c r="H219" s="16"/>
      <c r="I219" s="16"/>
      <c r="J219" s="16"/>
    </row>
    <row r="220" spans="3:10" ht="13.5" customHeight="1" x14ac:dyDescent="0.25">
      <c r="C220" s="35"/>
      <c r="D220" s="35"/>
      <c r="E220" s="35"/>
      <c r="F220" s="65"/>
      <c r="G220" s="69"/>
      <c r="H220" s="35"/>
      <c r="I220" s="35"/>
      <c r="J220" s="35"/>
    </row>
    <row r="221" spans="3:10" ht="13.5" customHeight="1" x14ac:dyDescent="0.25">
      <c r="C221" s="16"/>
      <c r="D221" s="16"/>
      <c r="E221" s="16"/>
      <c r="F221" s="64"/>
      <c r="G221" s="70"/>
      <c r="H221" s="16"/>
      <c r="I221" s="16"/>
      <c r="J221" s="16"/>
    </row>
    <row r="222" spans="3:10" ht="13.5" customHeight="1" x14ac:dyDescent="0.25">
      <c r="C222" s="35"/>
      <c r="D222" s="35"/>
      <c r="E222" s="35"/>
      <c r="F222" s="65"/>
      <c r="G222" s="69"/>
      <c r="H222" s="35"/>
      <c r="I222" s="35"/>
      <c r="J222" s="35"/>
    </row>
    <row r="223" spans="3:10" ht="13.5" customHeight="1" x14ac:dyDescent="0.25">
      <c r="C223" s="16"/>
      <c r="D223" s="16"/>
      <c r="E223" s="16"/>
      <c r="F223" s="64"/>
      <c r="G223" s="70"/>
      <c r="H223" s="16"/>
      <c r="I223" s="16"/>
      <c r="J223" s="16"/>
    </row>
    <row r="224" spans="3:10" ht="13.5" customHeight="1" x14ac:dyDescent="0.25">
      <c r="C224" s="35"/>
      <c r="D224" s="35"/>
      <c r="E224" s="35"/>
      <c r="F224" s="65"/>
      <c r="G224" s="69"/>
      <c r="H224" s="35"/>
      <c r="I224" s="35"/>
      <c r="J224" s="35"/>
    </row>
    <row r="225" spans="3:10" ht="13.5" customHeight="1" x14ac:dyDescent="0.25">
      <c r="C225" s="16"/>
      <c r="D225" s="16"/>
      <c r="E225" s="16"/>
      <c r="F225" s="64"/>
      <c r="G225" s="70"/>
      <c r="H225" s="16"/>
      <c r="I225" s="16"/>
      <c r="J225" s="16"/>
    </row>
    <row r="226" spans="3:10" ht="13.5" customHeight="1" x14ac:dyDescent="0.25">
      <c r="C226" s="35"/>
      <c r="D226" s="35"/>
      <c r="E226" s="35"/>
      <c r="F226" s="65"/>
      <c r="G226" s="69"/>
      <c r="H226" s="35"/>
      <c r="I226" s="35"/>
      <c r="J226" s="35"/>
    </row>
    <row r="227" spans="3:10" ht="13.5" customHeight="1" x14ac:dyDescent="0.25">
      <c r="C227" s="16"/>
      <c r="D227" s="16"/>
      <c r="E227" s="16"/>
      <c r="F227" s="64"/>
      <c r="G227" s="70"/>
      <c r="H227" s="16"/>
      <c r="I227" s="16"/>
      <c r="J227" s="16"/>
    </row>
    <row r="228" spans="3:10" ht="13.5" customHeight="1" x14ac:dyDescent="0.25">
      <c r="C228" s="35"/>
      <c r="D228" s="35"/>
      <c r="E228" s="35"/>
      <c r="F228" s="65"/>
      <c r="G228" s="69"/>
      <c r="H228" s="35"/>
      <c r="I228" s="35"/>
      <c r="J228" s="35"/>
    </row>
    <row r="229" spans="3:10" ht="13.5" customHeight="1" x14ac:dyDescent="0.25">
      <c r="C229" s="16"/>
      <c r="D229" s="16"/>
      <c r="E229" s="16"/>
      <c r="F229" s="64"/>
      <c r="G229" s="70"/>
      <c r="H229" s="16"/>
      <c r="I229" s="16"/>
      <c r="J229" s="16"/>
    </row>
    <row r="230" spans="3:10" ht="13.5" customHeight="1" x14ac:dyDescent="0.25">
      <c r="C230" s="35"/>
      <c r="D230" s="35"/>
      <c r="E230" s="35"/>
      <c r="F230" s="65"/>
      <c r="G230" s="69"/>
      <c r="H230" s="35"/>
      <c r="I230" s="35"/>
      <c r="J230" s="35"/>
    </row>
    <row r="231" spans="3:10" ht="13.5" customHeight="1" x14ac:dyDescent="0.25">
      <c r="C231" s="16"/>
      <c r="D231" s="16"/>
      <c r="E231" s="16"/>
      <c r="F231" s="64"/>
      <c r="G231" s="70"/>
      <c r="H231" s="16"/>
      <c r="I231" s="16"/>
      <c r="J231" s="16"/>
    </row>
    <row r="232" spans="3:10" ht="13.5" customHeight="1" x14ac:dyDescent="0.25">
      <c r="C232" s="35"/>
      <c r="D232" s="35"/>
      <c r="E232" s="35"/>
      <c r="F232" s="65"/>
      <c r="G232" s="69"/>
      <c r="H232" s="35"/>
      <c r="I232" s="35"/>
      <c r="J232" s="35"/>
    </row>
    <row r="233" spans="3:10" ht="13.5" customHeight="1" x14ac:dyDescent="0.25">
      <c r="C233" s="16"/>
      <c r="D233" s="16"/>
      <c r="E233" s="16"/>
      <c r="F233" s="64"/>
      <c r="G233" s="70"/>
      <c r="H233" s="16"/>
      <c r="I233" s="16"/>
      <c r="J233" s="16"/>
    </row>
    <row r="234" spans="3:10" ht="13.5" customHeight="1" x14ac:dyDescent="0.25">
      <c r="C234" s="35"/>
      <c r="D234" s="35"/>
      <c r="E234" s="35"/>
      <c r="F234" s="65"/>
      <c r="G234" s="69"/>
      <c r="H234" s="35"/>
      <c r="I234" s="35"/>
      <c r="J234" s="35"/>
    </row>
    <row r="235" spans="3:10" ht="13.5" customHeight="1" x14ac:dyDescent="0.25">
      <c r="C235" s="16"/>
      <c r="D235" s="16"/>
      <c r="E235" s="16"/>
      <c r="F235" s="64"/>
      <c r="G235" s="70"/>
      <c r="H235" s="16"/>
      <c r="I235" s="16"/>
      <c r="J235" s="16"/>
    </row>
    <row r="236" spans="3:10" ht="13.5" customHeight="1" x14ac:dyDescent="0.25">
      <c r="C236" s="35"/>
      <c r="D236" s="35"/>
      <c r="E236" s="35"/>
      <c r="F236" s="65"/>
      <c r="G236" s="69"/>
      <c r="H236" s="35"/>
      <c r="I236" s="35"/>
      <c r="J236" s="35"/>
    </row>
    <row r="237" spans="3:10" ht="13.5" customHeight="1" x14ac:dyDescent="0.25">
      <c r="C237" s="16"/>
      <c r="D237" s="16"/>
      <c r="E237" s="16"/>
      <c r="F237" s="64"/>
      <c r="G237" s="70"/>
      <c r="H237" s="16"/>
      <c r="I237" s="16"/>
      <c r="J237" s="16"/>
    </row>
    <row r="238" spans="3:10" ht="13.5" customHeight="1" x14ac:dyDescent="0.25">
      <c r="C238" s="35"/>
      <c r="D238" s="35"/>
      <c r="E238" s="35"/>
      <c r="F238" s="65"/>
      <c r="G238" s="69"/>
      <c r="H238" s="35"/>
      <c r="I238" s="35"/>
      <c r="J238" s="35"/>
    </row>
    <row r="239" spans="3:10" ht="13.5" customHeight="1" x14ac:dyDescent="0.25">
      <c r="C239" s="16"/>
      <c r="D239" s="16"/>
      <c r="E239" s="16"/>
      <c r="F239" s="64"/>
      <c r="G239" s="70"/>
      <c r="H239" s="16"/>
      <c r="I239" s="16"/>
      <c r="J239" s="16"/>
    </row>
    <row r="240" spans="3:10" ht="13.5" customHeight="1" x14ac:dyDescent="0.25">
      <c r="C240" s="35"/>
      <c r="D240" s="35"/>
      <c r="E240" s="35"/>
      <c r="F240" s="65"/>
      <c r="G240" s="69"/>
      <c r="H240" s="35"/>
      <c r="I240" s="35"/>
      <c r="J240" s="35"/>
    </row>
    <row r="241" spans="3:10" ht="13.5" customHeight="1" x14ac:dyDescent="0.25">
      <c r="C241" s="16"/>
      <c r="D241" s="16"/>
      <c r="E241" s="16"/>
      <c r="F241" s="64"/>
      <c r="G241" s="70"/>
      <c r="H241" s="16"/>
      <c r="I241" s="16"/>
      <c r="J241" s="16"/>
    </row>
    <row r="242" spans="3:10" ht="13.5" customHeight="1" x14ac:dyDescent="0.25">
      <c r="C242" s="35"/>
      <c r="D242" s="35"/>
      <c r="E242" s="35"/>
      <c r="F242" s="65"/>
      <c r="G242" s="69"/>
      <c r="H242" s="35"/>
      <c r="I242" s="35"/>
      <c r="J242" s="35"/>
    </row>
    <row r="243" spans="3:10" ht="13.5" customHeight="1" x14ac:dyDescent="0.25">
      <c r="C243" s="16"/>
      <c r="D243" s="16"/>
      <c r="E243" s="16"/>
      <c r="F243" s="64"/>
      <c r="G243" s="70"/>
      <c r="H243" s="16"/>
      <c r="I243" s="16"/>
      <c r="J243" s="16"/>
    </row>
    <row r="244" spans="3:10" ht="13.5" customHeight="1" x14ac:dyDescent="0.25">
      <c r="C244" s="35"/>
      <c r="D244" s="35"/>
      <c r="E244" s="35"/>
      <c r="F244" s="65"/>
      <c r="G244" s="69"/>
      <c r="H244" s="35"/>
      <c r="I244" s="35"/>
      <c r="J244" s="35"/>
    </row>
    <row r="245" spans="3:10" ht="13.5" customHeight="1" x14ac:dyDescent="0.25">
      <c r="C245" s="16"/>
      <c r="D245" s="16"/>
      <c r="E245" s="16"/>
      <c r="F245" s="64"/>
      <c r="G245" s="70"/>
      <c r="H245" s="16"/>
      <c r="I245" s="16"/>
      <c r="J245" s="16"/>
    </row>
    <row r="246" spans="3:10" ht="13.5" customHeight="1" x14ac:dyDescent="0.25">
      <c r="C246" s="35"/>
      <c r="D246" s="35"/>
      <c r="E246" s="35"/>
      <c r="F246" s="65"/>
      <c r="G246" s="69"/>
      <c r="H246" s="35"/>
      <c r="I246" s="35"/>
      <c r="J246" s="35"/>
    </row>
    <row r="247" spans="3:10" ht="13.5" customHeight="1" x14ac:dyDescent="0.25">
      <c r="C247" s="16"/>
      <c r="D247" s="16"/>
      <c r="E247" s="16"/>
      <c r="F247" s="64"/>
      <c r="G247" s="70"/>
      <c r="H247" s="16"/>
      <c r="I247" s="16"/>
      <c r="J247" s="16"/>
    </row>
    <row r="248" spans="3:10" ht="13.5" customHeight="1" x14ac:dyDescent="0.25">
      <c r="C248" s="35"/>
      <c r="D248" s="35"/>
      <c r="E248" s="35"/>
      <c r="F248" s="65"/>
      <c r="G248" s="69"/>
      <c r="H248" s="35"/>
      <c r="I248" s="35"/>
      <c r="J248" s="35"/>
    </row>
    <row r="249" spans="3:10" ht="13.5" customHeight="1" x14ac:dyDescent="0.25">
      <c r="C249" s="16"/>
      <c r="D249" s="16"/>
      <c r="E249" s="16"/>
      <c r="F249" s="64"/>
      <c r="G249" s="70"/>
      <c r="H249" s="16"/>
      <c r="I249" s="16"/>
      <c r="J249" s="16"/>
    </row>
    <row r="250" spans="3:10" ht="13.5" customHeight="1" x14ac:dyDescent="0.25">
      <c r="C250" s="35"/>
      <c r="D250" s="35"/>
      <c r="E250" s="35"/>
      <c r="F250" s="65"/>
      <c r="G250" s="69"/>
      <c r="H250" s="35"/>
      <c r="I250" s="35"/>
      <c r="J250" s="35"/>
    </row>
    <row r="251" spans="3:10" ht="13.5" customHeight="1" x14ac:dyDescent="0.25">
      <c r="C251" s="16"/>
      <c r="D251" s="16"/>
      <c r="E251" s="16"/>
      <c r="F251" s="64"/>
      <c r="G251" s="70"/>
      <c r="H251" s="16"/>
      <c r="I251" s="16"/>
      <c r="J251" s="16"/>
    </row>
    <row r="252" spans="3:10" ht="13.5" customHeight="1" x14ac:dyDescent="0.25">
      <c r="C252" s="35"/>
      <c r="D252" s="35"/>
      <c r="E252" s="35"/>
      <c r="F252" s="65"/>
      <c r="G252" s="69"/>
      <c r="H252" s="35"/>
      <c r="I252" s="35"/>
      <c r="J252" s="35"/>
    </row>
    <row r="253" spans="3:10" ht="13.5" customHeight="1" x14ac:dyDescent="0.25">
      <c r="C253" s="16"/>
      <c r="D253" s="16"/>
      <c r="E253" s="16"/>
      <c r="F253" s="64"/>
      <c r="G253" s="70"/>
      <c r="H253" s="16"/>
      <c r="I253" s="16"/>
      <c r="J253" s="16"/>
    </row>
    <row r="254" spans="3:10" ht="13.5" customHeight="1" x14ac:dyDescent="0.25">
      <c r="C254" s="35"/>
      <c r="D254" s="35"/>
      <c r="E254" s="35"/>
      <c r="F254" s="65"/>
      <c r="G254" s="69"/>
      <c r="H254" s="35"/>
      <c r="I254" s="35"/>
      <c r="J254" s="35"/>
    </row>
    <row r="255" spans="3:10" ht="13.5" customHeight="1" x14ac:dyDescent="0.25">
      <c r="C255" s="16"/>
      <c r="D255" s="16"/>
      <c r="E255" s="16"/>
      <c r="F255" s="64"/>
      <c r="G255" s="70"/>
      <c r="H255" s="16"/>
      <c r="I255" s="16"/>
      <c r="J255" s="16"/>
    </row>
    <row r="256" spans="3:10" ht="13.5" customHeight="1" x14ac:dyDescent="0.25">
      <c r="C256" s="35"/>
      <c r="D256" s="35"/>
      <c r="E256" s="35"/>
      <c r="F256" s="65"/>
      <c r="G256" s="69"/>
      <c r="H256" s="35"/>
      <c r="I256" s="35"/>
      <c r="J256" s="35"/>
    </row>
    <row r="257" spans="3:10" ht="13.5" customHeight="1" x14ac:dyDescent="0.25">
      <c r="C257" s="16"/>
      <c r="D257" s="16"/>
      <c r="E257" s="16"/>
      <c r="F257" s="64"/>
      <c r="G257" s="70"/>
      <c r="H257" s="16"/>
      <c r="I257" s="16"/>
      <c r="J257" s="16"/>
    </row>
    <row r="258" spans="3:10" ht="13.5" customHeight="1" x14ac:dyDescent="0.25">
      <c r="C258" s="35"/>
      <c r="D258" s="35"/>
      <c r="E258" s="35"/>
      <c r="F258" s="65"/>
      <c r="G258" s="69"/>
      <c r="H258" s="35"/>
      <c r="I258" s="35"/>
      <c r="J258" s="35"/>
    </row>
    <row r="259" spans="3:10" ht="13.5" customHeight="1" x14ac:dyDescent="0.25">
      <c r="C259" s="16"/>
      <c r="D259" s="16"/>
      <c r="E259" s="16"/>
      <c r="F259" s="64"/>
      <c r="G259" s="70"/>
      <c r="H259" s="16"/>
      <c r="I259" s="16"/>
      <c r="J259" s="16"/>
    </row>
    <row r="260" spans="3:10" ht="13.5" customHeight="1" x14ac:dyDescent="0.25">
      <c r="C260" s="35"/>
      <c r="D260" s="35"/>
      <c r="E260" s="35"/>
      <c r="F260" s="65"/>
      <c r="G260" s="69"/>
      <c r="H260" s="35"/>
      <c r="I260" s="35"/>
      <c r="J260" s="35"/>
    </row>
    <row r="261" spans="3:10" ht="13.5" customHeight="1" x14ac:dyDescent="0.25">
      <c r="C261" s="16"/>
      <c r="D261" s="16"/>
      <c r="E261" s="16"/>
      <c r="F261" s="64"/>
      <c r="G261" s="70"/>
      <c r="H261" s="16"/>
      <c r="I261" s="16"/>
      <c r="J261" s="16"/>
    </row>
    <row r="262" spans="3:10" ht="13.5" customHeight="1" x14ac:dyDescent="0.25">
      <c r="C262" s="35"/>
      <c r="D262" s="35"/>
      <c r="E262" s="35"/>
      <c r="F262" s="65"/>
      <c r="G262" s="69"/>
      <c r="H262" s="35"/>
      <c r="I262" s="35"/>
      <c r="J262" s="35"/>
    </row>
    <row r="263" spans="3:10" ht="13.5" customHeight="1" x14ac:dyDescent="0.25">
      <c r="C263" s="16"/>
      <c r="D263" s="16"/>
      <c r="E263" s="16"/>
      <c r="F263" s="64"/>
      <c r="G263" s="70"/>
      <c r="H263" s="16"/>
      <c r="I263" s="16"/>
      <c r="J263" s="16"/>
    </row>
    <row r="264" spans="3:10" ht="13.5" customHeight="1" x14ac:dyDescent="0.25">
      <c r="C264" s="35"/>
      <c r="D264" s="35"/>
      <c r="E264" s="35"/>
      <c r="F264" s="65"/>
      <c r="G264" s="69"/>
      <c r="H264" s="35"/>
      <c r="I264" s="35"/>
      <c r="J264" s="35"/>
    </row>
    <row r="265" spans="3:10" ht="13.5" customHeight="1" x14ac:dyDescent="0.25">
      <c r="C265" s="16"/>
      <c r="D265" s="16"/>
      <c r="E265" s="16"/>
      <c r="F265" s="64"/>
      <c r="G265" s="70"/>
      <c r="H265" s="16"/>
      <c r="I265" s="16"/>
      <c r="J265" s="16"/>
    </row>
    <row r="266" spans="3:10" ht="13.5" customHeight="1" x14ac:dyDescent="0.25">
      <c r="C266" s="35"/>
      <c r="D266" s="35"/>
      <c r="E266" s="35"/>
      <c r="F266" s="65"/>
      <c r="G266" s="69"/>
      <c r="H266" s="35"/>
      <c r="I266" s="35"/>
      <c r="J266" s="35"/>
    </row>
    <row r="267" spans="3:10" ht="13.5" customHeight="1" x14ac:dyDescent="0.25">
      <c r="C267" s="16"/>
      <c r="D267" s="16"/>
      <c r="E267" s="16"/>
      <c r="F267" s="64"/>
      <c r="G267" s="70"/>
      <c r="H267" s="16"/>
      <c r="I267" s="16"/>
      <c r="J267" s="16"/>
    </row>
    <row r="268" spans="3:10" ht="13.5" customHeight="1" x14ac:dyDescent="0.25">
      <c r="C268" s="35"/>
      <c r="D268" s="35"/>
      <c r="E268" s="35"/>
      <c r="F268" s="65"/>
      <c r="G268" s="69"/>
      <c r="H268" s="35"/>
      <c r="I268" s="35"/>
      <c r="J268" s="35"/>
    </row>
    <row r="269" spans="3:10" ht="13.5" customHeight="1" x14ac:dyDescent="0.25">
      <c r="C269" s="16"/>
      <c r="D269" s="16"/>
      <c r="E269" s="16"/>
      <c r="F269" s="64"/>
      <c r="G269" s="70"/>
      <c r="H269" s="16"/>
      <c r="I269" s="16"/>
      <c r="J269" s="16"/>
    </row>
    <row r="270" spans="3:10" ht="13.5" customHeight="1" x14ac:dyDescent="0.25">
      <c r="C270" s="35"/>
      <c r="D270" s="35"/>
      <c r="E270" s="35"/>
      <c r="F270" s="65"/>
      <c r="G270" s="69"/>
      <c r="H270" s="35"/>
      <c r="I270" s="35"/>
      <c r="J270" s="35"/>
    </row>
    <row r="271" spans="3:10" ht="13.5" customHeight="1" x14ac:dyDescent="0.25">
      <c r="C271" s="16"/>
      <c r="D271" s="16"/>
      <c r="E271" s="16"/>
      <c r="F271" s="64"/>
      <c r="G271" s="70"/>
      <c r="H271" s="16"/>
      <c r="I271" s="16"/>
      <c r="J271" s="16"/>
    </row>
    <row r="272" spans="3:10" ht="13.5" customHeight="1" x14ac:dyDescent="0.25">
      <c r="C272" s="35"/>
      <c r="D272" s="35"/>
      <c r="E272" s="35"/>
      <c r="F272" s="65"/>
      <c r="G272" s="69"/>
      <c r="H272" s="35"/>
      <c r="I272" s="35"/>
      <c r="J272" s="35"/>
    </row>
    <row r="273" spans="3:10" ht="13.5" customHeight="1" x14ac:dyDescent="0.25">
      <c r="C273" s="16"/>
      <c r="D273" s="16"/>
      <c r="E273" s="16"/>
      <c r="F273" s="64"/>
      <c r="G273" s="70"/>
      <c r="H273" s="16"/>
      <c r="I273" s="16"/>
      <c r="J273" s="16"/>
    </row>
    <row r="274" spans="3:10" ht="13.5" customHeight="1" x14ac:dyDescent="0.25">
      <c r="C274" s="35"/>
      <c r="D274" s="35"/>
      <c r="E274" s="35"/>
      <c r="F274" s="65"/>
      <c r="G274" s="69"/>
      <c r="H274" s="35"/>
      <c r="I274" s="35"/>
      <c r="J274" s="35"/>
    </row>
    <row r="275" spans="3:10" ht="13.5" customHeight="1" x14ac:dyDescent="0.25">
      <c r="C275" s="16"/>
      <c r="D275" s="16"/>
      <c r="E275" s="16"/>
      <c r="F275" s="64"/>
      <c r="G275" s="70"/>
      <c r="H275" s="16"/>
      <c r="I275" s="16"/>
      <c r="J275" s="16"/>
    </row>
    <row r="276" spans="3:10" ht="13.5" customHeight="1" x14ac:dyDescent="0.25">
      <c r="C276" s="35"/>
      <c r="D276" s="35"/>
      <c r="E276" s="35"/>
      <c r="F276" s="65"/>
      <c r="G276" s="69"/>
      <c r="H276" s="35"/>
      <c r="I276" s="35"/>
      <c r="J276" s="35"/>
    </row>
    <row r="277" spans="3:10" ht="13.5" customHeight="1" x14ac:dyDescent="0.25">
      <c r="C277" s="16"/>
      <c r="D277" s="16"/>
      <c r="E277" s="16"/>
      <c r="F277" s="64"/>
      <c r="G277" s="70"/>
      <c r="H277" s="16"/>
      <c r="I277" s="16"/>
      <c r="J277" s="16"/>
    </row>
    <row r="278" spans="3:10" ht="13.5" customHeight="1" x14ac:dyDescent="0.25">
      <c r="C278" s="35"/>
      <c r="D278" s="35"/>
      <c r="E278" s="35"/>
      <c r="F278" s="65"/>
      <c r="G278" s="69"/>
      <c r="H278" s="35"/>
      <c r="I278" s="35"/>
      <c r="J278" s="35"/>
    </row>
    <row r="279" spans="3:10" ht="13.5" customHeight="1" x14ac:dyDescent="0.25">
      <c r="C279" s="16"/>
      <c r="D279" s="16"/>
      <c r="E279" s="16"/>
      <c r="F279" s="64"/>
      <c r="G279" s="70"/>
      <c r="H279" s="16"/>
      <c r="I279" s="16"/>
      <c r="J279" s="16"/>
    </row>
    <row r="280" spans="3:10" ht="13.5" customHeight="1" x14ac:dyDescent="0.25">
      <c r="C280" s="35"/>
      <c r="D280" s="35"/>
      <c r="E280" s="35"/>
      <c r="F280" s="65"/>
      <c r="G280" s="69"/>
      <c r="H280" s="35"/>
      <c r="I280" s="35"/>
      <c r="J280" s="35"/>
    </row>
    <row r="281" spans="3:10" ht="13.5" customHeight="1" x14ac:dyDescent="0.25">
      <c r="C281" s="16"/>
      <c r="D281" s="16"/>
      <c r="E281" s="16"/>
      <c r="F281" s="64"/>
      <c r="G281" s="70"/>
      <c r="H281" s="16"/>
      <c r="I281" s="16"/>
      <c r="J281" s="16"/>
    </row>
    <row r="282" spans="3:10" ht="13.5" customHeight="1" x14ac:dyDescent="0.25">
      <c r="C282" s="35"/>
      <c r="D282" s="35"/>
      <c r="E282" s="35"/>
      <c r="F282" s="65"/>
      <c r="G282" s="69"/>
      <c r="H282" s="35"/>
      <c r="I282" s="35"/>
      <c r="J282" s="35"/>
    </row>
    <row r="283" spans="3:10" ht="13.5" customHeight="1" x14ac:dyDescent="0.25">
      <c r="C283" s="16"/>
      <c r="D283" s="16"/>
      <c r="E283" s="16"/>
      <c r="F283" s="64"/>
      <c r="G283" s="70"/>
      <c r="H283" s="16"/>
      <c r="I283" s="16"/>
      <c r="J283" s="16"/>
    </row>
    <row r="284" spans="3:10" ht="13.5" customHeight="1" x14ac:dyDescent="0.25">
      <c r="C284" s="35"/>
      <c r="D284" s="35"/>
      <c r="E284" s="35"/>
      <c r="F284" s="65"/>
      <c r="G284" s="69"/>
      <c r="H284" s="35"/>
      <c r="I284" s="35"/>
      <c r="J284" s="35"/>
    </row>
    <row r="285" spans="3:10" ht="13.5" customHeight="1" x14ac:dyDescent="0.25">
      <c r="C285" s="16"/>
      <c r="D285" s="16"/>
      <c r="E285" s="16"/>
      <c r="F285" s="64"/>
      <c r="G285" s="70"/>
      <c r="H285" s="16"/>
      <c r="I285" s="16"/>
      <c r="J285" s="16"/>
    </row>
    <row r="286" spans="3:10" ht="13.5" customHeight="1" x14ac:dyDescent="0.25">
      <c r="C286" s="35"/>
      <c r="D286" s="35"/>
      <c r="E286" s="35"/>
      <c r="F286" s="65"/>
      <c r="G286" s="69"/>
      <c r="H286" s="35"/>
      <c r="I286" s="35"/>
      <c r="J286" s="35"/>
    </row>
    <row r="287" spans="3:10" ht="13.5" customHeight="1" x14ac:dyDescent="0.25">
      <c r="C287" s="16"/>
      <c r="D287" s="16"/>
      <c r="E287" s="16"/>
      <c r="F287" s="64"/>
      <c r="G287" s="70"/>
      <c r="H287" s="16"/>
      <c r="I287" s="16"/>
      <c r="J287" s="16"/>
    </row>
    <row r="288" spans="3:10" ht="13.5" customHeight="1" x14ac:dyDescent="0.25">
      <c r="C288" s="35"/>
      <c r="D288" s="35"/>
      <c r="E288" s="35"/>
      <c r="F288" s="65"/>
      <c r="G288" s="69"/>
      <c r="H288" s="35"/>
      <c r="I288" s="35"/>
      <c r="J288" s="35"/>
    </row>
    <row r="289" spans="3:10" ht="13.5" customHeight="1" x14ac:dyDescent="0.25">
      <c r="C289" s="16"/>
      <c r="D289" s="16"/>
      <c r="E289" s="16"/>
      <c r="F289" s="64"/>
      <c r="G289" s="70"/>
      <c r="H289" s="16"/>
      <c r="I289" s="16"/>
      <c r="J289" s="16"/>
    </row>
    <row r="290" spans="3:10" ht="13.5" customHeight="1" x14ac:dyDescent="0.25">
      <c r="C290" s="35"/>
      <c r="D290" s="35"/>
      <c r="E290" s="35"/>
      <c r="F290" s="65"/>
      <c r="G290" s="69"/>
      <c r="H290" s="35"/>
      <c r="I290" s="35"/>
      <c r="J290" s="35"/>
    </row>
    <row r="291" spans="3:10" ht="13.5" customHeight="1" x14ac:dyDescent="0.25">
      <c r="C291" s="16"/>
      <c r="D291" s="16"/>
      <c r="E291" s="16"/>
      <c r="F291" s="64"/>
      <c r="G291" s="70"/>
      <c r="H291" s="16"/>
      <c r="I291" s="16"/>
      <c r="J291" s="16"/>
    </row>
    <row r="292" spans="3:10" ht="13.5" customHeight="1" x14ac:dyDescent="0.25">
      <c r="C292" s="35"/>
      <c r="D292" s="35"/>
      <c r="E292" s="35"/>
      <c r="F292" s="65"/>
      <c r="G292" s="69"/>
      <c r="H292" s="35"/>
      <c r="I292" s="35"/>
      <c r="J292" s="35"/>
    </row>
    <row r="293" spans="3:10" ht="13.5" customHeight="1" x14ac:dyDescent="0.25">
      <c r="C293" s="16"/>
      <c r="D293" s="16"/>
      <c r="E293" s="16"/>
      <c r="F293" s="64"/>
      <c r="G293" s="70"/>
      <c r="H293" s="16"/>
      <c r="I293" s="16"/>
      <c r="J293" s="16"/>
    </row>
    <row r="294" spans="3:10" ht="13.5" customHeight="1" x14ac:dyDescent="0.25">
      <c r="C294" s="35"/>
      <c r="D294" s="35"/>
      <c r="E294" s="35"/>
      <c r="F294" s="65"/>
      <c r="G294" s="69"/>
      <c r="H294" s="35"/>
      <c r="I294" s="35"/>
      <c r="J294" s="35"/>
    </row>
    <row r="295" spans="3:10" ht="13.5" customHeight="1" x14ac:dyDescent="0.25">
      <c r="C295" s="16"/>
      <c r="D295" s="16"/>
      <c r="E295" s="16"/>
      <c r="F295" s="64"/>
      <c r="G295" s="70"/>
      <c r="H295" s="16"/>
      <c r="I295" s="16"/>
      <c r="J295" s="16"/>
    </row>
    <row r="296" spans="3:10" ht="13.5" customHeight="1" x14ac:dyDescent="0.25">
      <c r="C296" s="35"/>
      <c r="D296" s="35"/>
      <c r="E296" s="35"/>
      <c r="F296" s="65"/>
      <c r="G296" s="69"/>
      <c r="H296" s="35"/>
      <c r="I296" s="35"/>
      <c r="J296" s="35"/>
    </row>
    <row r="297" spans="3:10" ht="13.5" customHeight="1" x14ac:dyDescent="0.25">
      <c r="C297" s="16"/>
      <c r="D297" s="16"/>
      <c r="E297" s="16"/>
      <c r="F297" s="64"/>
      <c r="G297" s="70"/>
      <c r="H297" s="16"/>
      <c r="I297" s="16"/>
      <c r="J297" s="16"/>
    </row>
    <row r="298" spans="3:10" ht="13.5" customHeight="1" x14ac:dyDescent="0.25">
      <c r="C298" s="35"/>
      <c r="D298" s="35"/>
      <c r="E298" s="35"/>
      <c r="F298" s="65"/>
      <c r="G298" s="69"/>
      <c r="H298" s="35"/>
      <c r="I298" s="35"/>
      <c r="J298" s="35"/>
    </row>
    <row r="299" spans="3:10" ht="13.5" customHeight="1" x14ac:dyDescent="0.25">
      <c r="C299" s="16"/>
      <c r="D299" s="16"/>
      <c r="E299" s="16"/>
      <c r="F299" s="64"/>
      <c r="G299" s="70"/>
      <c r="H299" s="16"/>
      <c r="I299" s="16"/>
      <c r="J299" s="16"/>
    </row>
    <row r="300" spans="3:10" ht="13.5" customHeight="1" x14ac:dyDescent="0.25">
      <c r="C300" s="35"/>
      <c r="D300" s="35"/>
      <c r="E300" s="35"/>
      <c r="F300" s="65"/>
      <c r="G300" s="69"/>
      <c r="H300" s="35"/>
      <c r="I300" s="35"/>
      <c r="J300" s="35"/>
    </row>
    <row r="301" spans="3:10" ht="13.5" customHeight="1" x14ac:dyDescent="0.25">
      <c r="C301" s="16"/>
      <c r="D301" s="16"/>
      <c r="E301" s="16"/>
      <c r="F301" s="64"/>
      <c r="G301" s="70"/>
      <c r="H301" s="16"/>
      <c r="I301" s="16"/>
      <c r="J301" s="16"/>
    </row>
    <row r="302" spans="3:10" ht="13.5" customHeight="1" x14ac:dyDescent="0.25">
      <c r="C302" s="35"/>
      <c r="D302" s="35"/>
      <c r="E302" s="35"/>
      <c r="F302" s="65"/>
      <c r="G302" s="69"/>
      <c r="H302" s="35"/>
      <c r="I302" s="35"/>
      <c r="J302" s="35"/>
    </row>
    <row r="303" spans="3:10" ht="13.5" customHeight="1" x14ac:dyDescent="0.25">
      <c r="C303" s="16"/>
      <c r="D303" s="16"/>
      <c r="E303" s="16"/>
      <c r="F303" s="64"/>
      <c r="G303" s="70"/>
      <c r="H303" s="16"/>
      <c r="I303" s="16"/>
      <c r="J303" s="16"/>
    </row>
    <row r="304" spans="3:10" ht="13.5" customHeight="1" x14ac:dyDescent="0.25">
      <c r="C304" s="35"/>
      <c r="D304" s="35"/>
      <c r="E304" s="35"/>
      <c r="F304" s="65"/>
      <c r="G304" s="69"/>
      <c r="H304" s="35"/>
      <c r="I304" s="35"/>
      <c r="J304" s="35"/>
    </row>
    <row r="305" spans="3:10" ht="13.5" customHeight="1" x14ac:dyDescent="0.25">
      <c r="C305" s="16"/>
      <c r="D305" s="16"/>
      <c r="E305" s="16"/>
      <c r="F305" s="64"/>
      <c r="G305" s="70"/>
      <c r="H305" s="16"/>
      <c r="I305" s="16"/>
      <c r="J305" s="16"/>
    </row>
    <row r="306" spans="3:10" ht="13.5" customHeight="1" x14ac:dyDescent="0.25">
      <c r="C306" s="35"/>
      <c r="D306" s="35"/>
      <c r="E306" s="35"/>
      <c r="F306" s="65"/>
      <c r="G306" s="69"/>
      <c r="H306" s="35"/>
      <c r="I306" s="35"/>
      <c r="J306" s="35"/>
    </row>
    <row r="307" spans="3:10" ht="13.5" customHeight="1" x14ac:dyDescent="0.25">
      <c r="C307" s="16"/>
      <c r="D307" s="16"/>
      <c r="E307" s="16"/>
      <c r="F307" s="64"/>
      <c r="G307" s="70"/>
      <c r="H307" s="16"/>
      <c r="I307" s="16"/>
      <c r="J307" s="16"/>
    </row>
    <row r="308" spans="3:10" ht="13.5" customHeight="1" x14ac:dyDescent="0.25">
      <c r="C308" s="35"/>
      <c r="D308" s="35"/>
      <c r="E308" s="35"/>
      <c r="F308" s="65"/>
      <c r="G308" s="69"/>
      <c r="H308" s="35"/>
      <c r="I308" s="35"/>
      <c r="J308" s="35"/>
    </row>
    <row r="309" spans="3:10" ht="13.5" customHeight="1" x14ac:dyDescent="0.25">
      <c r="C309" s="16"/>
      <c r="D309" s="16"/>
      <c r="E309" s="16"/>
      <c r="F309" s="64"/>
      <c r="G309" s="70"/>
      <c r="H309" s="16"/>
      <c r="I309" s="16"/>
      <c r="J309" s="16"/>
    </row>
    <row r="310" spans="3:10" ht="13.5" customHeight="1" x14ac:dyDescent="0.25">
      <c r="C310" s="35"/>
      <c r="D310" s="35"/>
      <c r="E310" s="35"/>
      <c r="F310" s="65"/>
      <c r="G310" s="69"/>
      <c r="H310" s="35"/>
      <c r="I310" s="35"/>
      <c r="J310" s="35"/>
    </row>
    <row r="311" spans="3:10" ht="13.5" customHeight="1" x14ac:dyDescent="0.25">
      <c r="C311" s="16"/>
      <c r="D311" s="16"/>
      <c r="E311" s="16"/>
      <c r="F311" s="64"/>
      <c r="G311" s="70"/>
      <c r="H311" s="16"/>
      <c r="I311" s="16"/>
      <c r="J311" s="16"/>
    </row>
    <row r="312" spans="3:10" ht="13.5" customHeight="1" x14ac:dyDescent="0.25">
      <c r="C312" s="35"/>
      <c r="D312" s="35"/>
      <c r="E312" s="35"/>
      <c r="F312" s="65"/>
      <c r="G312" s="69"/>
      <c r="H312" s="35"/>
      <c r="I312" s="35"/>
      <c r="J312" s="35"/>
    </row>
    <row r="313" spans="3:10" ht="13.5" customHeight="1" x14ac:dyDescent="0.25">
      <c r="C313" s="16"/>
      <c r="D313" s="16"/>
      <c r="E313" s="16"/>
      <c r="F313" s="64"/>
      <c r="G313" s="70"/>
      <c r="H313" s="16"/>
      <c r="I313" s="16"/>
      <c r="J313" s="16"/>
    </row>
    <row r="314" spans="3:10" ht="13.5" customHeight="1" x14ac:dyDescent="0.25">
      <c r="C314" s="35"/>
      <c r="D314" s="35"/>
      <c r="E314" s="35"/>
      <c r="F314" s="65"/>
      <c r="G314" s="69"/>
      <c r="H314" s="35"/>
      <c r="I314" s="35"/>
      <c r="J314" s="35"/>
    </row>
    <row r="315" spans="3:10" ht="13.5" customHeight="1" x14ac:dyDescent="0.25">
      <c r="C315" s="16"/>
      <c r="D315" s="16"/>
      <c r="E315" s="16"/>
      <c r="F315" s="64"/>
      <c r="G315" s="70"/>
      <c r="H315" s="16"/>
      <c r="I315" s="16"/>
      <c r="J315" s="16"/>
    </row>
    <row r="316" spans="3:10" ht="13.5" customHeight="1" x14ac:dyDescent="0.25">
      <c r="C316" s="35"/>
      <c r="D316" s="35"/>
      <c r="E316" s="35"/>
      <c r="F316" s="65"/>
      <c r="G316" s="69"/>
      <c r="H316" s="35"/>
      <c r="I316" s="35"/>
      <c r="J316" s="35"/>
    </row>
    <row r="317" spans="3:10" ht="13.5" customHeight="1" x14ac:dyDescent="0.25">
      <c r="C317" s="16"/>
      <c r="D317" s="16"/>
      <c r="E317" s="16"/>
      <c r="F317" s="64"/>
      <c r="G317" s="70"/>
      <c r="H317" s="16"/>
      <c r="I317" s="16"/>
      <c r="J317" s="16"/>
    </row>
    <row r="318" spans="3:10" ht="13.5" customHeight="1" x14ac:dyDescent="0.25">
      <c r="C318" s="35"/>
      <c r="D318" s="35"/>
      <c r="E318" s="35"/>
      <c r="F318" s="65"/>
      <c r="G318" s="69"/>
      <c r="H318" s="35"/>
      <c r="I318" s="35"/>
      <c r="J318" s="35"/>
    </row>
    <row r="319" spans="3:10" ht="13.5" customHeight="1" x14ac:dyDescent="0.25">
      <c r="C319" s="16"/>
      <c r="D319" s="16"/>
      <c r="E319" s="16"/>
      <c r="F319" s="64"/>
      <c r="G319" s="70"/>
      <c r="H319" s="16"/>
      <c r="I319" s="16"/>
      <c r="J319" s="16"/>
    </row>
    <row r="320" spans="3:10" ht="13.5" customHeight="1" x14ac:dyDescent="0.25">
      <c r="C320" s="35"/>
      <c r="D320" s="35"/>
      <c r="E320" s="35"/>
      <c r="F320" s="65"/>
      <c r="G320" s="69"/>
      <c r="H320" s="35"/>
      <c r="I320" s="35"/>
      <c r="J320" s="35"/>
    </row>
    <row r="321" spans="3:10" ht="13.5" customHeight="1" x14ac:dyDescent="0.25">
      <c r="C321" s="16"/>
      <c r="D321" s="16"/>
      <c r="E321" s="16"/>
      <c r="F321" s="64"/>
      <c r="G321" s="70"/>
      <c r="H321" s="16"/>
      <c r="I321" s="16"/>
      <c r="J321" s="16"/>
    </row>
    <row r="322" spans="3:10" ht="13.5" customHeight="1" x14ac:dyDescent="0.25">
      <c r="C322" s="35"/>
      <c r="D322" s="35"/>
      <c r="E322" s="35"/>
      <c r="F322" s="65"/>
      <c r="G322" s="69"/>
      <c r="H322" s="35"/>
      <c r="I322" s="35"/>
      <c r="J322" s="35"/>
    </row>
    <row r="323" spans="3:10" ht="13.5" customHeight="1" x14ac:dyDescent="0.25">
      <c r="C323" s="16"/>
      <c r="D323" s="16"/>
      <c r="E323" s="16"/>
      <c r="F323" s="64"/>
      <c r="G323" s="70"/>
      <c r="H323" s="16"/>
      <c r="I323" s="16"/>
      <c r="J323" s="16"/>
    </row>
    <row r="324" spans="3:10" ht="13.5" customHeight="1" x14ac:dyDescent="0.25">
      <c r="C324" s="35"/>
      <c r="D324" s="35"/>
      <c r="E324" s="35"/>
      <c r="F324" s="65"/>
      <c r="G324" s="69"/>
      <c r="H324" s="35"/>
      <c r="I324" s="35"/>
      <c r="J324" s="35"/>
    </row>
    <row r="325" spans="3:10" ht="13.5" customHeight="1" x14ac:dyDescent="0.25">
      <c r="C325" s="16"/>
      <c r="D325" s="16"/>
      <c r="E325" s="16"/>
      <c r="F325" s="64"/>
      <c r="G325" s="70"/>
      <c r="H325" s="16"/>
      <c r="I325" s="16"/>
      <c r="J325" s="16"/>
    </row>
    <row r="326" spans="3:10" ht="13.5" customHeight="1" x14ac:dyDescent="0.25">
      <c r="C326" s="35"/>
      <c r="D326" s="35"/>
      <c r="E326" s="35"/>
      <c r="F326" s="65"/>
      <c r="G326" s="69"/>
      <c r="H326" s="35"/>
      <c r="I326" s="35"/>
      <c r="J326" s="35"/>
    </row>
    <row r="327" spans="3:10" ht="13.5" customHeight="1" x14ac:dyDescent="0.25">
      <c r="C327" s="16"/>
      <c r="D327" s="16"/>
      <c r="E327" s="16"/>
      <c r="F327" s="64"/>
      <c r="G327" s="70"/>
      <c r="H327" s="16"/>
      <c r="I327" s="16"/>
      <c r="J327" s="16"/>
    </row>
    <row r="328" spans="3:10" ht="13.5" customHeight="1" x14ac:dyDescent="0.25">
      <c r="C328" s="35"/>
      <c r="D328" s="35"/>
      <c r="E328" s="35"/>
      <c r="F328" s="65"/>
      <c r="G328" s="69"/>
      <c r="H328" s="35"/>
      <c r="I328" s="35"/>
      <c r="J328" s="35"/>
    </row>
    <row r="329" spans="3:10" ht="13.5" customHeight="1" x14ac:dyDescent="0.25">
      <c r="C329" s="16"/>
      <c r="D329" s="16"/>
      <c r="E329" s="16"/>
      <c r="F329" s="64"/>
      <c r="G329" s="70"/>
      <c r="H329" s="16"/>
      <c r="I329" s="16"/>
      <c r="J329" s="16"/>
    </row>
    <row r="330" spans="3:10" ht="13.5" customHeight="1" x14ac:dyDescent="0.25">
      <c r="C330" s="35"/>
      <c r="D330" s="35"/>
      <c r="E330" s="35"/>
      <c r="F330" s="65"/>
      <c r="G330" s="69"/>
      <c r="H330" s="35"/>
      <c r="I330" s="35"/>
      <c r="J330" s="35"/>
    </row>
    <row r="331" spans="3:10" ht="13.5" customHeight="1" x14ac:dyDescent="0.25">
      <c r="C331" s="16"/>
      <c r="D331" s="16"/>
      <c r="E331" s="16"/>
      <c r="F331" s="64"/>
      <c r="G331" s="70"/>
      <c r="H331" s="16"/>
      <c r="I331" s="16"/>
      <c r="J331" s="16"/>
    </row>
    <row r="332" spans="3:10" ht="13.5" customHeight="1" x14ac:dyDescent="0.25">
      <c r="C332" s="35"/>
      <c r="D332" s="35"/>
      <c r="E332" s="35"/>
      <c r="F332" s="65"/>
      <c r="G332" s="69"/>
      <c r="H332" s="35"/>
      <c r="I332" s="35"/>
      <c r="J332" s="35"/>
    </row>
    <row r="333" spans="3:10" ht="13.5" customHeight="1" x14ac:dyDescent="0.25">
      <c r="C333" s="16"/>
      <c r="D333" s="16"/>
      <c r="E333" s="16"/>
      <c r="F333" s="64"/>
      <c r="G333" s="70"/>
      <c r="H333" s="16"/>
      <c r="I333" s="16"/>
      <c r="J333" s="16"/>
    </row>
    <row r="334" spans="3:10" ht="13.5" customHeight="1" x14ac:dyDescent="0.25">
      <c r="C334" s="35"/>
      <c r="D334" s="35"/>
      <c r="E334" s="35"/>
      <c r="F334" s="65"/>
      <c r="G334" s="69"/>
      <c r="H334" s="35"/>
      <c r="I334" s="35"/>
      <c r="J334" s="35"/>
    </row>
    <row r="335" spans="3:10" ht="13.5" customHeight="1" x14ac:dyDescent="0.25">
      <c r="C335" s="16"/>
      <c r="D335" s="16"/>
      <c r="E335" s="16"/>
      <c r="F335" s="64"/>
      <c r="G335" s="70"/>
      <c r="H335" s="16"/>
      <c r="I335" s="16"/>
      <c r="J335" s="16"/>
    </row>
    <row r="336" spans="3:10" ht="13.5" customHeight="1" x14ac:dyDescent="0.25">
      <c r="C336" s="35"/>
      <c r="D336" s="35"/>
      <c r="E336" s="35"/>
      <c r="F336" s="65"/>
      <c r="G336" s="69"/>
      <c r="H336" s="35"/>
      <c r="I336" s="35"/>
      <c r="J336" s="35"/>
    </row>
    <row r="337" spans="3:10" ht="13.5" customHeight="1" x14ac:dyDescent="0.25">
      <c r="C337" s="16"/>
      <c r="D337" s="16"/>
      <c r="E337" s="16"/>
      <c r="F337" s="64"/>
      <c r="G337" s="70"/>
      <c r="H337" s="16"/>
      <c r="I337" s="16"/>
      <c r="J337" s="16"/>
    </row>
    <row r="338" spans="3:10" ht="13.5" customHeight="1" x14ac:dyDescent="0.25">
      <c r="C338" s="35"/>
      <c r="D338" s="35"/>
      <c r="E338" s="35"/>
      <c r="F338" s="65"/>
      <c r="G338" s="69"/>
      <c r="H338" s="35"/>
      <c r="I338" s="35"/>
      <c r="J338" s="35"/>
    </row>
    <row r="339" spans="3:10" ht="13.5" customHeight="1" x14ac:dyDescent="0.25">
      <c r="C339" s="16"/>
      <c r="D339" s="16"/>
      <c r="E339" s="16"/>
      <c r="F339" s="64"/>
      <c r="G339" s="70"/>
      <c r="H339" s="16"/>
      <c r="I339" s="16"/>
      <c r="J339" s="16"/>
    </row>
    <row r="340" spans="3:10" ht="13.5" customHeight="1" x14ac:dyDescent="0.25">
      <c r="C340" s="35"/>
      <c r="D340" s="35"/>
      <c r="E340" s="35"/>
      <c r="F340" s="65"/>
      <c r="G340" s="69"/>
      <c r="H340" s="35"/>
      <c r="I340" s="35"/>
      <c r="J340" s="35"/>
    </row>
    <row r="341" spans="3:10" ht="13.5" customHeight="1" x14ac:dyDescent="0.25">
      <c r="C341" s="16"/>
      <c r="D341" s="16"/>
      <c r="E341" s="16"/>
      <c r="F341" s="64"/>
      <c r="G341" s="70"/>
      <c r="H341" s="16"/>
      <c r="I341" s="16"/>
      <c r="J341" s="16"/>
    </row>
    <row r="342" spans="3:10" ht="13.5" customHeight="1" x14ac:dyDescent="0.25">
      <c r="C342" s="35"/>
      <c r="D342" s="35"/>
      <c r="E342" s="35"/>
      <c r="F342" s="65"/>
      <c r="G342" s="69"/>
      <c r="H342" s="35"/>
      <c r="I342" s="35"/>
      <c r="J342" s="35"/>
    </row>
    <row r="343" spans="3:10" ht="13.5" customHeight="1" x14ac:dyDescent="0.25">
      <c r="C343" s="16"/>
      <c r="D343" s="16"/>
      <c r="E343" s="16"/>
      <c r="F343" s="64"/>
      <c r="G343" s="70"/>
      <c r="H343" s="16"/>
      <c r="I343" s="16"/>
      <c r="J343" s="16"/>
    </row>
    <row r="344" spans="3:10" ht="13.5" customHeight="1" x14ac:dyDescent="0.25">
      <c r="C344" s="35"/>
      <c r="D344" s="35"/>
      <c r="E344" s="35"/>
      <c r="F344" s="65"/>
      <c r="G344" s="69"/>
      <c r="H344" s="35"/>
      <c r="I344" s="35"/>
      <c r="J344" s="35"/>
    </row>
    <row r="345" spans="3:10" ht="13.5" customHeight="1" x14ac:dyDescent="0.25">
      <c r="C345" s="16"/>
      <c r="D345" s="16"/>
      <c r="E345" s="16"/>
      <c r="F345" s="64"/>
      <c r="G345" s="70"/>
      <c r="H345" s="16"/>
      <c r="I345" s="16"/>
      <c r="J345" s="16"/>
    </row>
    <row r="346" spans="3:10" ht="13.5" customHeight="1" x14ac:dyDescent="0.25">
      <c r="C346" s="35"/>
      <c r="D346" s="35"/>
      <c r="E346" s="35"/>
      <c r="F346" s="65"/>
      <c r="G346" s="69"/>
      <c r="H346" s="35"/>
      <c r="I346" s="35"/>
      <c r="J346" s="35"/>
    </row>
    <row r="347" spans="3:10" ht="13.5" customHeight="1" x14ac:dyDescent="0.25">
      <c r="C347" s="16"/>
      <c r="D347" s="16"/>
      <c r="E347" s="16"/>
      <c r="F347" s="64"/>
      <c r="G347" s="70"/>
      <c r="H347" s="16"/>
      <c r="I347" s="16"/>
      <c r="J347" s="16"/>
    </row>
    <row r="348" spans="3:10" ht="13.5" customHeight="1" x14ac:dyDescent="0.25">
      <c r="C348" s="35"/>
      <c r="D348" s="35"/>
      <c r="E348" s="35"/>
      <c r="F348" s="65"/>
      <c r="G348" s="69"/>
      <c r="H348" s="35"/>
      <c r="I348" s="35"/>
      <c r="J348" s="35"/>
    </row>
    <row r="349" spans="3:10" ht="13.5" customHeight="1" x14ac:dyDescent="0.25">
      <c r="C349" s="16"/>
      <c r="D349" s="16"/>
      <c r="E349" s="16"/>
      <c r="F349" s="64"/>
      <c r="G349" s="70"/>
      <c r="H349" s="16"/>
      <c r="I349" s="16"/>
      <c r="J349" s="16"/>
    </row>
    <row r="350" spans="3:10" ht="13.5" customHeight="1" x14ac:dyDescent="0.25">
      <c r="C350" s="35"/>
      <c r="D350" s="35"/>
      <c r="E350" s="35"/>
      <c r="F350" s="65"/>
      <c r="G350" s="69"/>
      <c r="H350" s="35"/>
      <c r="I350" s="35"/>
      <c r="J350" s="35"/>
    </row>
    <row r="351" spans="3:10" ht="13.5" customHeight="1" x14ac:dyDescent="0.25">
      <c r="C351" s="16"/>
      <c r="D351" s="16"/>
      <c r="E351" s="16"/>
      <c r="F351" s="64"/>
      <c r="G351" s="70"/>
      <c r="H351" s="16"/>
      <c r="I351" s="16"/>
      <c r="J351" s="16"/>
    </row>
    <row r="352" spans="3:10" ht="13.5" customHeight="1" x14ac:dyDescent="0.25">
      <c r="C352" s="35"/>
      <c r="D352" s="35"/>
      <c r="E352" s="35"/>
      <c r="F352" s="65"/>
      <c r="G352" s="69"/>
      <c r="H352" s="35"/>
      <c r="I352" s="35"/>
      <c r="J352" s="35"/>
    </row>
    <row r="353" spans="3:10" ht="13.5" customHeight="1" x14ac:dyDescent="0.25">
      <c r="C353" s="16"/>
      <c r="D353" s="16"/>
      <c r="E353" s="16"/>
      <c r="F353" s="64"/>
      <c r="G353" s="70"/>
      <c r="H353" s="16"/>
      <c r="I353" s="16"/>
      <c r="J353" s="16"/>
    </row>
    <row r="354" spans="3:10" ht="13.5" customHeight="1" x14ac:dyDescent="0.25">
      <c r="C354" s="35"/>
      <c r="D354" s="35"/>
      <c r="E354" s="35"/>
      <c r="F354" s="65"/>
      <c r="G354" s="69"/>
      <c r="H354" s="35"/>
      <c r="I354" s="35"/>
      <c r="J354" s="35"/>
    </row>
    <row r="355" spans="3:10" ht="13.5" customHeight="1" x14ac:dyDescent="0.25">
      <c r="C355" s="16"/>
      <c r="D355" s="16"/>
      <c r="E355" s="16"/>
      <c r="F355" s="64"/>
      <c r="G355" s="70"/>
      <c r="H355" s="16"/>
      <c r="I355" s="16"/>
      <c r="J355" s="16"/>
    </row>
    <row r="356" spans="3:10" ht="13.5" customHeight="1" x14ac:dyDescent="0.25">
      <c r="C356" s="35"/>
      <c r="D356" s="35"/>
      <c r="E356" s="35"/>
      <c r="F356" s="65"/>
      <c r="G356" s="69"/>
      <c r="H356" s="35"/>
      <c r="I356" s="35"/>
      <c r="J356" s="35"/>
    </row>
    <row r="357" spans="3:10" ht="13.5" customHeight="1" x14ac:dyDescent="0.25">
      <c r="C357" s="16"/>
      <c r="D357" s="16"/>
      <c r="E357" s="16"/>
      <c r="F357" s="64"/>
      <c r="G357" s="70"/>
      <c r="H357" s="16"/>
      <c r="I357" s="16"/>
      <c r="J357" s="16"/>
    </row>
    <row r="358" spans="3:10" ht="13.5" customHeight="1" x14ac:dyDescent="0.25">
      <c r="C358" s="35"/>
      <c r="D358" s="35"/>
      <c r="E358" s="35"/>
      <c r="F358" s="65"/>
      <c r="G358" s="69"/>
      <c r="H358" s="35"/>
      <c r="I358" s="35"/>
      <c r="J358" s="35"/>
    </row>
    <row r="359" spans="3:10" ht="13.5" customHeight="1" x14ac:dyDescent="0.25">
      <c r="C359" s="16"/>
      <c r="D359" s="16"/>
      <c r="E359" s="16"/>
      <c r="F359" s="64"/>
      <c r="G359" s="70"/>
      <c r="H359" s="16"/>
      <c r="I359" s="16"/>
      <c r="J359" s="16"/>
    </row>
    <row r="360" spans="3:10" ht="13.5" customHeight="1" x14ac:dyDescent="0.25">
      <c r="C360" s="35"/>
      <c r="D360" s="35"/>
      <c r="E360" s="35"/>
      <c r="F360" s="65"/>
      <c r="G360" s="69"/>
      <c r="H360" s="35"/>
      <c r="I360" s="35"/>
      <c r="J360" s="35"/>
    </row>
    <row r="361" spans="3:10" ht="13.5" customHeight="1" x14ac:dyDescent="0.25">
      <c r="C361" s="16"/>
      <c r="D361" s="16"/>
      <c r="E361" s="16"/>
      <c r="F361" s="64"/>
      <c r="G361" s="70"/>
      <c r="H361" s="16"/>
      <c r="I361" s="16"/>
      <c r="J361" s="16"/>
    </row>
    <row r="362" spans="3:10" ht="13.5" customHeight="1" x14ac:dyDescent="0.25">
      <c r="C362" s="35"/>
      <c r="D362" s="35"/>
      <c r="E362" s="35"/>
      <c r="F362" s="65"/>
      <c r="G362" s="69"/>
      <c r="H362" s="35"/>
      <c r="I362" s="35"/>
      <c r="J362" s="35"/>
    </row>
    <row r="363" spans="3:10" ht="13.5" customHeight="1" x14ac:dyDescent="0.25">
      <c r="C363" s="16"/>
      <c r="D363" s="16"/>
      <c r="E363" s="16"/>
      <c r="F363" s="64"/>
      <c r="G363" s="70"/>
      <c r="H363" s="16"/>
      <c r="I363" s="16"/>
      <c r="J363" s="16"/>
    </row>
    <row r="364" spans="3:10" ht="13.5" customHeight="1" x14ac:dyDescent="0.25">
      <c r="C364" s="35"/>
      <c r="D364" s="35"/>
      <c r="E364" s="35"/>
      <c r="F364" s="65"/>
      <c r="G364" s="69"/>
      <c r="H364" s="35"/>
      <c r="I364" s="35"/>
      <c r="J364" s="35"/>
    </row>
    <row r="365" spans="3:10" ht="13.5" customHeight="1" x14ac:dyDescent="0.25">
      <c r="C365" s="16"/>
      <c r="D365" s="16"/>
      <c r="E365" s="16"/>
      <c r="F365" s="64"/>
      <c r="G365" s="70"/>
      <c r="H365" s="16"/>
      <c r="I365" s="16"/>
      <c r="J365" s="16"/>
    </row>
    <row r="366" spans="3:10" ht="13.5" customHeight="1" x14ac:dyDescent="0.25">
      <c r="C366" s="35"/>
      <c r="D366" s="35"/>
      <c r="E366" s="35"/>
      <c r="F366" s="65"/>
      <c r="G366" s="69"/>
      <c r="H366" s="35"/>
      <c r="I366" s="35"/>
      <c r="J366" s="35"/>
    </row>
    <row r="367" spans="3:10" ht="13.5" customHeight="1" x14ac:dyDescent="0.25">
      <c r="C367" s="16"/>
      <c r="D367" s="16"/>
      <c r="E367" s="16"/>
      <c r="F367" s="64"/>
      <c r="G367" s="70"/>
      <c r="H367" s="16"/>
      <c r="I367" s="16"/>
      <c r="J367" s="16"/>
    </row>
    <row r="368" spans="3:10" ht="13.5" customHeight="1" x14ac:dyDescent="0.25">
      <c r="C368" s="35"/>
      <c r="D368" s="35"/>
      <c r="E368" s="35"/>
      <c r="F368" s="65"/>
      <c r="G368" s="69"/>
      <c r="H368" s="35"/>
      <c r="I368" s="35"/>
      <c r="J368" s="35"/>
    </row>
    <row r="369" spans="3:10" ht="13.5" customHeight="1" x14ac:dyDescent="0.25">
      <c r="C369" s="16"/>
      <c r="D369" s="16"/>
      <c r="E369" s="16"/>
      <c r="F369" s="64"/>
      <c r="G369" s="70"/>
      <c r="H369" s="16"/>
      <c r="I369" s="16"/>
      <c r="J369" s="16"/>
    </row>
    <row r="370" spans="3:10" ht="13.5" customHeight="1" x14ac:dyDescent="0.25">
      <c r="C370" s="35"/>
      <c r="D370" s="35"/>
      <c r="E370" s="35"/>
      <c r="F370" s="65"/>
      <c r="G370" s="69"/>
      <c r="H370" s="35"/>
      <c r="I370" s="35"/>
      <c r="J370" s="35"/>
    </row>
    <row r="371" spans="3:10" ht="13.5" customHeight="1" x14ac:dyDescent="0.25">
      <c r="C371" s="16"/>
      <c r="D371" s="16"/>
      <c r="E371" s="16"/>
      <c r="F371" s="64"/>
      <c r="G371" s="70"/>
      <c r="H371" s="16"/>
      <c r="I371" s="16"/>
      <c r="J371" s="16"/>
    </row>
    <row r="372" spans="3:10" ht="13.5" customHeight="1" x14ac:dyDescent="0.25">
      <c r="C372" s="35"/>
      <c r="D372" s="35"/>
      <c r="E372" s="35"/>
      <c r="F372" s="65"/>
      <c r="G372" s="69"/>
      <c r="H372" s="35"/>
      <c r="I372" s="35"/>
      <c r="J372" s="35"/>
    </row>
    <row r="373" spans="3:10" ht="13.5" customHeight="1" x14ac:dyDescent="0.25">
      <c r="C373" s="16"/>
      <c r="D373" s="16"/>
      <c r="E373" s="16"/>
      <c r="F373" s="64"/>
      <c r="G373" s="70"/>
      <c r="H373" s="16"/>
      <c r="I373" s="16"/>
      <c r="J373" s="16"/>
    </row>
    <row r="374" spans="3:10" ht="13.5" customHeight="1" x14ac:dyDescent="0.25">
      <c r="C374" s="35"/>
      <c r="D374" s="35"/>
      <c r="E374" s="35"/>
      <c r="F374" s="65"/>
      <c r="G374" s="69"/>
      <c r="H374" s="35"/>
      <c r="I374" s="35"/>
      <c r="J374" s="35"/>
    </row>
    <row r="375" spans="3:10" ht="13.5" customHeight="1" x14ac:dyDescent="0.25">
      <c r="C375" s="16"/>
      <c r="D375" s="16"/>
      <c r="E375" s="16"/>
      <c r="F375" s="64"/>
      <c r="G375" s="70"/>
      <c r="H375" s="16"/>
      <c r="I375" s="16"/>
      <c r="J375" s="16"/>
    </row>
    <row r="376" spans="3:10" ht="13.5" customHeight="1" x14ac:dyDescent="0.25">
      <c r="C376" s="35"/>
      <c r="D376" s="35"/>
      <c r="E376" s="35"/>
      <c r="F376" s="65"/>
      <c r="G376" s="69"/>
      <c r="H376" s="35"/>
      <c r="I376" s="35"/>
      <c r="J376" s="35"/>
    </row>
    <row r="377" spans="3:10" ht="13.5" customHeight="1" x14ac:dyDescent="0.25">
      <c r="C377" s="16"/>
      <c r="D377" s="16"/>
      <c r="E377" s="16"/>
      <c r="F377" s="64"/>
      <c r="G377" s="70"/>
      <c r="H377" s="16"/>
      <c r="I377" s="16"/>
      <c r="J377" s="16"/>
    </row>
    <row r="378" spans="3:10" ht="13.5" customHeight="1" x14ac:dyDescent="0.25">
      <c r="C378" s="35"/>
      <c r="D378" s="35"/>
      <c r="E378" s="35"/>
      <c r="F378" s="65"/>
      <c r="G378" s="69"/>
      <c r="H378" s="35"/>
      <c r="I378" s="35"/>
      <c r="J378" s="35"/>
    </row>
    <row r="379" spans="3:10" ht="13.5" customHeight="1" x14ac:dyDescent="0.25">
      <c r="C379" s="16"/>
      <c r="D379" s="16"/>
      <c r="E379" s="16"/>
      <c r="F379" s="64"/>
      <c r="G379" s="70"/>
      <c r="H379" s="16"/>
      <c r="I379" s="16"/>
      <c r="J379" s="16"/>
    </row>
    <row r="380" spans="3:10" ht="13.5" customHeight="1" x14ac:dyDescent="0.25">
      <c r="C380" s="35"/>
      <c r="D380" s="35"/>
      <c r="E380" s="35"/>
      <c r="F380" s="65"/>
      <c r="G380" s="69"/>
      <c r="H380" s="35"/>
      <c r="I380" s="35"/>
      <c r="J380" s="35"/>
    </row>
    <row r="381" spans="3:10" ht="13.5" customHeight="1" x14ac:dyDescent="0.25">
      <c r="C381" s="16"/>
      <c r="D381" s="16"/>
      <c r="E381" s="16"/>
      <c r="F381" s="64"/>
      <c r="G381" s="70"/>
      <c r="H381" s="16"/>
      <c r="I381" s="16"/>
      <c r="J381" s="16"/>
    </row>
    <row r="382" spans="3:10" ht="13.5" customHeight="1" x14ac:dyDescent="0.25">
      <c r="C382" s="35"/>
      <c r="D382" s="35"/>
      <c r="E382" s="35"/>
      <c r="F382" s="65"/>
      <c r="G382" s="69"/>
      <c r="H382" s="35"/>
      <c r="I382" s="35"/>
      <c r="J382" s="35"/>
    </row>
    <row r="383" spans="3:10" ht="13.5" customHeight="1" x14ac:dyDescent="0.25">
      <c r="C383" s="16"/>
      <c r="D383" s="16"/>
      <c r="E383" s="16"/>
      <c r="F383" s="64"/>
      <c r="G383" s="70"/>
      <c r="H383" s="16"/>
      <c r="I383" s="16"/>
      <c r="J383" s="16"/>
    </row>
    <row r="384" spans="3:10" ht="13.5" customHeight="1" x14ac:dyDescent="0.25">
      <c r="C384" s="35"/>
      <c r="D384" s="35"/>
      <c r="E384" s="35"/>
      <c r="F384" s="65"/>
      <c r="G384" s="69"/>
      <c r="H384" s="35"/>
      <c r="I384" s="35"/>
      <c r="J384" s="35"/>
    </row>
    <row r="385" spans="3:10" ht="13.5" customHeight="1" x14ac:dyDescent="0.25">
      <c r="C385" s="16"/>
      <c r="D385" s="16"/>
      <c r="E385" s="16"/>
      <c r="F385" s="64"/>
      <c r="G385" s="70"/>
      <c r="H385" s="16"/>
      <c r="I385" s="16"/>
      <c r="J385" s="16"/>
    </row>
    <row r="386" spans="3:10" ht="13.5" customHeight="1" x14ac:dyDescent="0.25">
      <c r="C386" s="35"/>
      <c r="D386" s="35"/>
      <c r="E386" s="35"/>
      <c r="F386" s="65"/>
      <c r="G386" s="69"/>
      <c r="H386" s="35"/>
      <c r="I386" s="35"/>
      <c r="J386" s="35"/>
    </row>
    <row r="387" spans="3:10" ht="13.5" customHeight="1" x14ac:dyDescent="0.25">
      <c r="C387" s="16"/>
      <c r="D387" s="16"/>
      <c r="E387" s="16"/>
      <c r="F387" s="64"/>
      <c r="G387" s="70"/>
      <c r="H387" s="16"/>
      <c r="I387" s="16"/>
      <c r="J387" s="16"/>
    </row>
    <row r="388" spans="3:10" ht="13.5" customHeight="1" x14ac:dyDescent="0.25">
      <c r="C388" s="35"/>
      <c r="D388" s="35"/>
      <c r="E388" s="35"/>
      <c r="F388" s="65"/>
      <c r="G388" s="69"/>
      <c r="H388" s="35"/>
      <c r="I388" s="35"/>
      <c r="J388" s="35"/>
    </row>
    <row r="389" spans="3:10" ht="13.5" customHeight="1" x14ac:dyDescent="0.25">
      <c r="C389" s="16"/>
      <c r="D389" s="16"/>
      <c r="E389" s="16"/>
      <c r="F389" s="64"/>
      <c r="G389" s="70"/>
      <c r="H389" s="16"/>
      <c r="I389" s="16"/>
      <c r="J389" s="16"/>
    </row>
    <row r="390" spans="3:10" ht="13.5" customHeight="1" x14ac:dyDescent="0.25">
      <c r="C390" s="35"/>
      <c r="D390" s="35"/>
      <c r="E390" s="35"/>
      <c r="F390" s="65"/>
      <c r="G390" s="69"/>
      <c r="H390" s="35"/>
      <c r="I390" s="35"/>
      <c r="J390" s="35"/>
    </row>
    <row r="391" spans="3:10" ht="13.5" customHeight="1" x14ac:dyDescent="0.25">
      <c r="C391" s="16"/>
      <c r="D391" s="16"/>
      <c r="E391" s="16"/>
      <c r="F391" s="64"/>
      <c r="G391" s="70"/>
      <c r="H391" s="16"/>
      <c r="I391" s="16"/>
      <c r="J391" s="16"/>
    </row>
    <row r="392" spans="3:10" ht="13.5" customHeight="1" x14ac:dyDescent="0.25">
      <c r="C392" s="35"/>
      <c r="D392" s="35"/>
      <c r="E392" s="35"/>
      <c r="F392" s="65"/>
      <c r="G392" s="69"/>
      <c r="H392" s="35"/>
      <c r="I392" s="35"/>
      <c r="J392" s="35"/>
    </row>
    <row r="393" spans="3:10" ht="13.5" customHeight="1" x14ac:dyDescent="0.25">
      <c r="C393" s="16"/>
      <c r="D393" s="16"/>
      <c r="E393" s="16"/>
      <c r="F393" s="64"/>
      <c r="G393" s="70"/>
      <c r="H393" s="16"/>
      <c r="I393" s="16"/>
      <c r="J393" s="16"/>
    </row>
    <row r="394" spans="3:10" ht="13.5" customHeight="1" x14ac:dyDescent="0.25">
      <c r="C394" s="35"/>
      <c r="D394" s="35"/>
      <c r="E394" s="35"/>
      <c r="F394" s="65"/>
      <c r="G394" s="69"/>
      <c r="H394" s="35"/>
      <c r="I394" s="35"/>
      <c r="J394" s="35"/>
    </row>
    <row r="395" spans="3:10" ht="13.5" customHeight="1" x14ac:dyDescent="0.25">
      <c r="C395" s="16"/>
      <c r="D395" s="16"/>
      <c r="E395" s="16"/>
      <c r="F395" s="64"/>
      <c r="G395" s="70"/>
      <c r="H395" s="16"/>
      <c r="I395" s="16"/>
      <c r="J395" s="16"/>
    </row>
    <row r="396" spans="3:10" ht="13.5" customHeight="1" x14ac:dyDescent="0.25">
      <c r="C396" s="35"/>
      <c r="D396" s="35"/>
      <c r="E396" s="35"/>
      <c r="F396" s="65"/>
      <c r="G396" s="69"/>
      <c r="H396" s="35"/>
      <c r="I396" s="35"/>
      <c r="J396" s="35"/>
    </row>
    <row r="397" spans="3:10" ht="13.5" customHeight="1" x14ac:dyDescent="0.25">
      <c r="C397" s="16"/>
      <c r="D397" s="16"/>
      <c r="E397" s="16"/>
      <c r="F397" s="64"/>
      <c r="G397" s="70"/>
      <c r="H397" s="16"/>
      <c r="I397" s="16"/>
      <c r="J397" s="16"/>
    </row>
    <row r="398" spans="3:10" ht="13.5" customHeight="1" x14ac:dyDescent="0.25">
      <c r="C398" s="35"/>
      <c r="D398" s="35"/>
      <c r="E398" s="35"/>
      <c r="F398" s="65"/>
      <c r="G398" s="69"/>
      <c r="H398" s="35"/>
      <c r="I398" s="35"/>
      <c r="J398" s="35"/>
    </row>
    <row r="399" spans="3:10" ht="13.5" customHeight="1" x14ac:dyDescent="0.25">
      <c r="C399" s="16"/>
      <c r="D399" s="16"/>
      <c r="E399" s="16"/>
      <c r="F399" s="64"/>
      <c r="G399" s="70"/>
      <c r="H399" s="16"/>
      <c r="I399" s="16"/>
      <c r="J399" s="16"/>
    </row>
    <row r="400" spans="3:10" ht="13.5" customHeight="1" x14ac:dyDescent="0.25">
      <c r="C400" s="35"/>
      <c r="D400" s="35"/>
      <c r="E400" s="35"/>
      <c r="F400" s="65"/>
      <c r="G400" s="69"/>
      <c r="H400" s="35"/>
      <c r="I400" s="35"/>
      <c r="J400" s="35"/>
    </row>
    <row r="401" spans="3:10" ht="13.5" customHeight="1" x14ac:dyDescent="0.25">
      <c r="C401" s="16"/>
      <c r="D401" s="16"/>
      <c r="E401" s="16"/>
      <c r="F401" s="64"/>
      <c r="G401" s="70"/>
      <c r="H401" s="16"/>
      <c r="I401" s="16"/>
      <c r="J401" s="16"/>
    </row>
    <row r="402" spans="3:10" ht="13.5" customHeight="1" x14ac:dyDescent="0.25">
      <c r="C402" s="35"/>
      <c r="D402" s="35"/>
      <c r="E402" s="35"/>
      <c r="F402" s="65"/>
      <c r="G402" s="69"/>
      <c r="H402" s="35"/>
      <c r="I402" s="35"/>
      <c r="J402" s="35"/>
    </row>
    <row r="403" spans="3:10" ht="13.5" customHeight="1" x14ac:dyDescent="0.25">
      <c r="C403" s="16"/>
      <c r="D403" s="16"/>
      <c r="E403" s="16"/>
      <c r="F403" s="64"/>
      <c r="G403" s="70"/>
      <c r="H403" s="16"/>
      <c r="I403" s="16"/>
      <c r="J403" s="16"/>
    </row>
    <row r="404" spans="3:10" ht="13.5" customHeight="1" x14ac:dyDescent="0.25">
      <c r="C404" s="35"/>
      <c r="D404" s="35"/>
      <c r="E404" s="35"/>
      <c r="F404" s="65"/>
      <c r="G404" s="69"/>
      <c r="H404" s="35"/>
      <c r="I404" s="35"/>
      <c r="J404" s="35"/>
    </row>
    <row r="405" spans="3:10" ht="13.5" customHeight="1" x14ac:dyDescent="0.25">
      <c r="C405" s="16"/>
      <c r="D405" s="16"/>
      <c r="E405" s="16"/>
      <c r="F405" s="64"/>
      <c r="G405" s="70"/>
      <c r="H405" s="16"/>
      <c r="I405" s="16"/>
      <c r="J405" s="16"/>
    </row>
    <row r="406" spans="3:10" ht="13.5" customHeight="1" x14ac:dyDescent="0.25">
      <c r="C406" s="35"/>
      <c r="D406" s="35"/>
      <c r="E406" s="35"/>
      <c r="F406" s="65"/>
      <c r="G406" s="69"/>
      <c r="H406" s="35"/>
      <c r="I406" s="35"/>
      <c r="J406" s="35"/>
    </row>
    <row r="407" spans="3:10" ht="13.5" customHeight="1" x14ac:dyDescent="0.25">
      <c r="C407" s="16"/>
      <c r="D407" s="16"/>
      <c r="E407" s="16"/>
      <c r="F407" s="64"/>
      <c r="G407" s="70"/>
      <c r="H407" s="16"/>
      <c r="I407" s="16"/>
      <c r="J407" s="16"/>
    </row>
    <row r="408" spans="3:10" ht="13.5" customHeight="1" x14ac:dyDescent="0.25">
      <c r="C408" s="35"/>
      <c r="D408" s="35"/>
      <c r="E408" s="35"/>
      <c r="F408" s="65"/>
      <c r="G408" s="69"/>
      <c r="H408" s="35"/>
      <c r="I408" s="35"/>
      <c r="J408" s="35"/>
    </row>
    <row r="409" spans="3:10" ht="13.5" customHeight="1" x14ac:dyDescent="0.25">
      <c r="C409" s="16"/>
      <c r="D409" s="16"/>
      <c r="E409" s="16"/>
      <c r="F409" s="64"/>
      <c r="G409" s="70"/>
      <c r="H409" s="16"/>
      <c r="I409" s="16"/>
      <c r="J409" s="16"/>
    </row>
    <row r="410" spans="3:10" ht="13.5" customHeight="1" x14ac:dyDescent="0.25">
      <c r="C410" s="35"/>
      <c r="D410" s="35"/>
      <c r="E410" s="35"/>
      <c r="F410" s="65"/>
      <c r="G410" s="69"/>
      <c r="H410" s="35"/>
      <c r="I410" s="35"/>
      <c r="J410" s="35"/>
    </row>
    <row r="411" spans="3:10" ht="13.5" customHeight="1" x14ac:dyDescent="0.25">
      <c r="C411" s="16"/>
      <c r="D411" s="16"/>
      <c r="E411" s="16"/>
      <c r="F411" s="64"/>
      <c r="G411" s="70"/>
      <c r="H411" s="16"/>
      <c r="I411" s="16"/>
      <c r="J411" s="16"/>
    </row>
    <row r="412" spans="3:10" ht="13.5" customHeight="1" x14ac:dyDescent="0.25">
      <c r="C412" s="35"/>
      <c r="D412" s="35"/>
      <c r="E412" s="35"/>
      <c r="F412" s="65"/>
      <c r="G412" s="69"/>
      <c r="H412" s="35"/>
      <c r="I412" s="35"/>
      <c r="J412" s="35"/>
    </row>
    <row r="413" spans="3:10" ht="13.5" customHeight="1" x14ac:dyDescent="0.25">
      <c r="C413" s="16"/>
      <c r="D413" s="16"/>
      <c r="E413" s="16"/>
      <c r="F413" s="64"/>
      <c r="G413" s="70"/>
      <c r="H413" s="16"/>
      <c r="I413" s="16"/>
      <c r="J413" s="16"/>
    </row>
    <row r="414" spans="3:10" ht="13.5" customHeight="1" x14ac:dyDescent="0.25">
      <c r="C414" s="35"/>
      <c r="D414" s="35"/>
      <c r="E414" s="35"/>
      <c r="F414" s="65"/>
      <c r="G414" s="69"/>
      <c r="H414" s="35"/>
      <c r="I414" s="35"/>
      <c r="J414" s="35"/>
    </row>
    <row r="415" spans="3:10" ht="13.5" customHeight="1" x14ac:dyDescent="0.25">
      <c r="C415" s="16"/>
      <c r="D415" s="16"/>
      <c r="E415" s="16"/>
      <c r="F415" s="64"/>
      <c r="G415" s="70"/>
      <c r="H415" s="16"/>
      <c r="I415" s="16"/>
      <c r="J415" s="16"/>
    </row>
    <row r="416" spans="3:10" ht="13.5" customHeight="1" x14ac:dyDescent="0.25">
      <c r="C416" s="35"/>
      <c r="D416" s="35"/>
      <c r="E416" s="35"/>
      <c r="F416" s="65"/>
      <c r="G416" s="69"/>
      <c r="H416" s="35"/>
      <c r="I416" s="35"/>
      <c r="J416" s="35"/>
    </row>
    <row r="417" spans="3:10" ht="13.5" customHeight="1" x14ac:dyDescent="0.25">
      <c r="C417" s="16"/>
      <c r="D417" s="16"/>
      <c r="E417" s="16"/>
      <c r="F417" s="64"/>
      <c r="G417" s="70"/>
      <c r="H417" s="16"/>
      <c r="I417" s="16"/>
      <c r="J417" s="16"/>
    </row>
    <row r="418" spans="3:10" ht="13.5" customHeight="1" x14ac:dyDescent="0.25">
      <c r="C418" s="35"/>
      <c r="D418" s="35"/>
      <c r="E418" s="35"/>
      <c r="F418" s="65"/>
      <c r="G418" s="69"/>
      <c r="H418" s="35"/>
      <c r="I418" s="35"/>
      <c r="J418" s="35"/>
    </row>
    <row r="419" spans="3:10" ht="13.5" customHeight="1" x14ac:dyDescent="0.25">
      <c r="C419" s="16"/>
      <c r="D419" s="16"/>
      <c r="E419" s="16"/>
      <c r="F419" s="64"/>
      <c r="G419" s="70"/>
      <c r="H419" s="16"/>
      <c r="I419" s="16"/>
      <c r="J419" s="16"/>
    </row>
    <row r="420" spans="3:10" ht="13.5" customHeight="1" x14ac:dyDescent="0.25">
      <c r="C420" s="35"/>
      <c r="D420" s="35"/>
      <c r="E420" s="35"/>
      <c r="F420" s="65"/>
      <c r="G420" s="69"/>
      <c r="H420" s="35"/>
      <c r="I420" s="35"/>
      <c r="J420" s="35"/>
    </row>
    <row r="421" spans="3:10" ht="13.5" customHeight="1" x14ac:dyDescent="0.25">
      <c r="C421" s="16"/>
      <c r="D421" s="16"/>
      <c r="E421" s="16"/>
      <c r="F421" s="64"/>
      <c r="G421" s="70"/>
      <c r="H421" s="16"/>
      <c r="I421" s="16"/>
      <c r="J421" s="16"/>
    </row>
    <row r="422" spans="3:10" ht="13.5" customHeight="1" x14ac:dyDescent="0.25">
      <c r="C422" s="35"/>
      <c r="D422" s="35"/>
      <c r="E422" s="35"/>
      <c r="F422" s="65"/>
      <c r="G422" s="69"/>
      <c r="H422" s="35"/>
      <c r="I422" s="35"/>
      <c r="J422" s="35"/>
    </row>
    <row r="423" spans="3:10" ht="13.5" customHeight="1" x14ac:dyDescent="0.25">
      <c r="C423" s="16"/>
      <c r="D423" s="16"/>
      <c r="E423" s="16"/>
      <c r="F423" s="64"/>
      <c r="G423" s="70"/>
      <c r="H423" s="16"/>
      <c r="I423" s="16"/>
      <c r="J423" s="16"/>
    </row>
    <row r="424" spans="3:10" ht="13.5" customHeight="1" x14ac:dyDescent="0.25">
      <c r="C424" s="35"/>
      <c r="D424" s="35"/>
      <c r="E424" s="35"/>
      <c r="F424" s="65"/>
      <c r="G424" s="69"/>
      <c r="H424" s="35"/>
      <c r="I424" s="35"/>
      <c r="J424" s="35"/>
    </row>
    <row r="425" spans="3:10" ht="13.5" customHeight="1" x14ac:dyDescent="0.25">
      <c r="C425" s="16"/>
      <c r="D425" s="16"/>
      <c r="E425" s="16"/>
      <c r="F425" s="64"/>
      <c r="G425" s="70"/>
      <c r="H425" s="16"/>
      <c r="I425" s="16"/>
      <c r="J425" s="16"/>
    </row>
    <row r="426" spans="3:10" ht="13.5" customHeight="1" x14ac:dyDescent="0.25">
      <c r="C426" s="35"/>
      <c r="D426" s="35"/>
      <c r="E426" s="35"/>
      <c r="F426" s="65"/>
      <c r="G426" s="69"/>
      <c r="H426" s="35"/>
      <c r="I426" s="35"/>
      <c r="J426" s="35"/>
    </row>
    <row r="427" spans="3:10" ht="13.5" customHeight="1" x14ac:dyDescent="0.25">
      <c r="C427" s="16"/>
      <c r="D427" s="16"/>
      <c r="E427" s="16"/>
      <c r="F427" s="64"/>
      <c r="G427" s="70"/>
      <c r="H427" s="16"/>
      <c r="I427" s="16"/>
      <c r="J427" s="16"/>
    </row>
    <row r="428" spans="3:10" ht="13.5" customHeight="1" x14ac:dyDescent="0.25">
      <c r="C428" s="35"/>
      <c r="D428" s="35"/>
      <c r="E428" s="35"/>
      <c r="F428" s="65"/>
      <c r="G428" s="69"/>
      <c r="H428" s="35"/>
      <c r="I428" s="35"/>
      <c r="J428" s="35"/>
    </row>
    <row r="429" spans="3:10" ht="13.5" customHeight="1" x14ac:dyDescent="0.25">
      <c r="C429" s="16"/>
      <c r="D429" s="16"/>
      <c r="E429" s="16"/>
      <c r="F429" s="64"/>
      <c r="G429" s="70"/>
      <c r="H429" s="16"/>
      <c r="I429" s="16"/>
      <c r="J429" s="16"/>
    </row>
    <row r="430" spans="3:10" ht="13.5" customHeight="1" x14ac:dyDescent="0.25">
      <c r="C430" s="35"/>
      <c r="D430" s="35"/>
      <c r="E430" s="35"/>
      <c r="F430" s="65"/>
      <c r="G430" s="69"/>
      <c r="H430" s="35"/>
      <c r="I430" s="35"/>
      <c r="J430" s="35"/>
    </row>
    <row r="431" spans="3:10" ht="13.5" customHeight="1" x14ac:dyDescent="0.25">
      <c r="C431" s="16"/>
      <c r="D431" s="16"/>
      <c r="E431" s="16"/>
      <c r="F431" s="64"/>
      <c r="G431" s="70"/>
      <c r="H431" s="16"/>
      <c r="I431" s="16"/>
      <c r="J431" s="16"/>
    </row>
    <row r="432" spans="3:10" ht="13.5" customHeight="1" x14ac:dyDescent="0.25">
      <c r="C432" s="35"/>
      <c r="D432" s="35"/>
      <c r="E432" s="35"/>
      <c r="F432" s="65"/>
      <c r="G432" s="69"/>
      <c r="H432" s="35"/>
      <c r="I432" s="35"/>
      <c r="J432" s="35"/>
    </row>
    <row r="433" spans="3:10" ht="13.5" customHeight="1" x14ac:dyDescent="0.25">
      <c r="C433" s="16"/>
      <c r="D433" s="16"/>
      <c r="E433" s="16"/>
      <c r="F433" s="64"/>
      <c r="G433" s="70"/>
      <c r="H433" s="16"/>
      <c r="I433" s="16"/>
      <c r="J433" s="16"/>
    </row>
    <row r="434" spans="3:10" ht="13.5" customHeight="1" x14ac:dyDescent="0.25">
      <c r="C434" s="35"/>
      <c r="D434" s="35"/>
      <c r="E434" s="35"/>
      <c r="F434" s="65"/>
      <c r="G434" s="69"/>
      <c r="H434" s="35"/>
      <c r="I434" s="35"/>
      <c r="J434" s="35"/>
    </row>
    <row r="435" spans="3:10" ht="13.5" customHeight="1" x14ac:dyDescent="0.25">
      <c r="C435" s="16"/>
      <c r="D435" s="16"/>
      <c r="E435" s="16"/>
      <c r="F435" s="64"/>
      <c r="G435" s="70"/>
      <c r="H435" s="16"/>
      <c r="I435" s="16"/>
      <c r="J435" s="16"/>
    </row>
    <row r="436" spans="3:10" ht="13.5" customHeight="1" x14ac:dyDescent="0.25">
      <c r="C436" s="35"/>
      <c r="D436" s="35"/>
      <c r="E436" s="35"/>
      <c r="F436" s="65"/>
      <c r="G436" s="69"/>
      <c r="H436" s="35"/>
      <c r="I436" s="35"/>
      <c r="J436" s="35"/>
    </row>
    <row r="437" spans="3:10" ht="13.5" customHeight="1" x14ac:dyDescent="0.25">
      <c r="C437" s="16"/>
      <c r="D437" s="16"/>
      <c r="E437" s="16"/>
      <c r="F437" s="64"/>
      <c r="G437" s="70"/>
      <c r="H437" s="16"/>
      <c r="I437" s="16"/>
      <c r="J437" s="16"/>
    </row>
    <row r="438" spans="3:10" ht="13.5" customHeight="1" x14ac:dyDescent="0.25">
      <c r="C438" s="35"/>
      <c r="D438" s="35"/>
      <c r="E438" s="35"/>
      <c r="F438" s="65"/>
      <c r="G438" s="69"/>
      <c r="H438" s="35"/>
      <c r="I438" s="35"/>
      <c r="J438" s="35"/>
    </row>
    <row r="439" spans="3:10" ht="13.5" customHeight="1" x14ac:dyDescent="0.25">
      <c r="C439" s="16"/>
      <c r="D439" s="16"/>
      <c r="E439" s="16"/>
      <c r="F439" s="64"/>
      <c r="G439" s="70"/>
      <c r="H439" s="16"/>
      <c r="I439" s="16"/>
      <c r="J439" s="16"/>
    </row>
    <row r="440" spans="3:10" ht="13.5" customHeight="1" x14ac:dyDescent="0.25">
      <c r="C440" s="35"/>
      <c r="D440" s="35"/>
      <c r="E440" s="35"/>
      <c r="F440" s="65"/>
      <c r="G440" s="69"/>
      <c r="H440" s="35"/>
      <c r="I440" s="35"/>
      <c r="J440" s="35"/>
    </row>
    <row r="441" spans="3:10" ht="13.5" customHeight="1" x14ac:dyDescent="0.25">
      <c r="C441" s="16"/>
      <c r="D441" s="16"/>
      <c r="E441" s="16"/>
      <c r="F441" s="64"/>
      <c r="G441" s="70"/>
      <c r="H441" s="16"/>
      <c r="I441" s="16"/>
      <c r="J441" s="16"/>
    </row>
    <row r="442" spans="3:10" ht="13.5" customHeight="1" x14ac:dyDescent="0.25">
      <c r="C442" s="35"/>
      <c r="D442" s="35"/>
      <c r="E442" s="35"/>
      <c r="F442" s="65"/>
      <c r="G442" s="69"/>
      <c r="H442" s="35"/>
      <c r="I442" s="35"/>
      <c r="J442" s="35"/>
    </row>
    <row r="443" spans="3:10" ht="13.5" customHeight="1" x14ac:dyDescent="0.25">
      <c r="C443" s="16"/>
      <c r="D443" s="16"/>
      <c r="E443" s="16"/>
      <c r="F443" s="64"/>
      <c r="G443" s="70"/>
      <c r="H443" s="16"/>
      <c r="I443" s="16"/>
      <c r="J443" s="16"/>
    </row>
    <row r="444" spans="3:10" ht="13.5" customHeight="1" x14ac:dyDescent="0.25">
      <c r="C444" s="35"/>
      <c r="D444" s="35"/>
      <c r="E444" s="35"/>
      <c r="F444" s="65"/>
      <c r="G444" s="69"/>
      <c r="H444" s="35"/>
      <c r="I444" s="35"/>
      <c r="J444" s="35"/>
    </row>
    <row r="445" spans="3:10" ht="13.5" customHeight="1" x14ac:dyDescent="0.25">
      <c r="C445" s="16"/>
      <c r="D445" s="16"/>
      <c r="E445" s="16"/>
      <c r="F445" s="64"/>
      <c r="G445" s="70"/>
      <c r="H445" s="16"/>
      <c r="I445" s="16"/>
      <c r="J445" s="16"/>
    </row>
    <row r="446" spans="3:10" ht="13.5" customHeight="1" x14ac:dyDescent="0.25">
      <c r="C446" s="35"/>
      <c r="D446" s="35"/>
      <c r="E446" s="35"/>
      <c r="F446" s="65"/>
      <c r="G446" s="69"/>
      <c r="H446" s="35"/>
      <c r="I446" s="35"/>
      <c r="J446" s="35"/>
    </row>
    <row r="447" spans="3:10" ht="13.5" customHeight="1" x14ac:dyDescent="0.25">
      <c r="C447" s="16"/>
      <c r="D447" s="16"/>
      <c r="E447" s="16"/>
      <c r="F447" s="64"/>
      <c r="G447" s="70"/>
      <c r="H447" s="16"/>
      <c r="I447" s="16"/>
      <c r="J447" s="16"/>
    </row>
    <row r="448" spans="3:10" ht="13.5" customHeight="1" x14ac:dyDescent="0.25">
      <c r="C448" s="35"/>
      <c r="D448" s="35"/>
      <c r="E448" s="35"/>
      <c r="F448" s="65"/>
      <c r="G448" s="69"/>
      <c r="H448" s="35"/>
      <c r="I448" s="35"/>
      <c r="J448" s="35"/>
    </row>
    <row r="449" spans="3:10" ht="13.5" customHeight="1" x14ac:dyDescent="0.25">
      <c r="C449" s="16"/>
      <c r="D449" s="16"/>
      <c r="E449" s="16"/>
      <c r="F449" s="64"/>
      <c r="G449" s="70"/>
      <c r="H449" s="16"/>
      <c r="I449" s="16"/>
      <c r="J449" s="16"/>
    </row>
    <row r="450" spans="3:10" ht="13.5" customHeight="1" x14ac:dyDescent="0.25">
      <c r="C450" s="35"/>
      <c r="D450" s="35"/>
      <c r="E450" s="35"/>
      <c r="F450" s="65"/>
      <c r="G450" s="69"/>
      <c r="H450" s="35"/>
      <c r="I450" s="35"/>
      <c r="J450" s="35"/>
    </row>
    <row r="451" spans="3:10" ht="13.5" customHeight="1" x14ac:dyDescent="0.25">
      <c r="C451" s="16"/>
      <c r="D451" s="16"/>
      <c r="E451" s="16"/>
      <c r="F451" s="64"/>
      <c r="G451" s="70"/>
      <c r="H451" s="16"/>
      <c r="I451" s="16"/>
      <c r="J451" s="16"/>
    </row>
    <row r="452" spans="3:10" ht="13.5" customHeight="1" x14ac:dyDescent="0.25">
      <c r="C452" s="35"/>
      <c r="D452" s="35"/>
      <c r="E452" s="35"/>
      <c r="F452" s="65"/>
      <c r="G452" s="69"/>
      <c r="H452" s="35"/>
      <c r="I452" s="35"/>
      <c r="J452" s="35"/>
    </row>
    <row r="453" spans="3:10" ht="13.5" customHeight="1" x14ac:dyDescent="0.25">
      <c r="C453" s="16"/>
      <c r="D453" s="16"/>
      <c r="E453" s="16"/>
      <c r="F453" s="64"/>
      <c r="G453" s="70"/>
      <c r="H453" s="16"/>
      <c r="I453" s="16"/>
      <c r="J453" s="16"/>
    </row>
    <row r="454" spans="3:10" ht="13.5" customHeight="1" x14ac:dyDescent="0.25">
      <c r="C454" s="35"/>
      <c r="D454" s="35"/>
      <c r="E454" s="35"/>
      <c r="F454" s="65"/>
      <c r="G454" s="69"/>
      <c r="H454" s="35"/>
      <c r="I454" s="35"/>
      <c r="J454" s="35"/>
    </row>
    <row r="455" spans="3:10" ht="13.5" customHeight="1" x14ac:dyDescent="0.25">
      <c r="C455" s="16"/>
      <c r="D455" s="16"/>
      <c r="E455" s="16"/>
      <c r="F455" s="64"/>
      <c r="G455" s="70"/>
      <c r="H455" s="16"/>
      <c r="I455" s="16"/>
      <c r="J455" s="16"/>
    </row>
    <row r="456" spans="3:10" ht="13.5" customHeight="1" x14ac:dyDescent="0.25">
      <c r="C456" s="35"/>
      <c r="D456" s="35"/>
      <c r="E456" s="35"/>
      <c r="F456" s="65"/>
      <c r="G456" s="69"/>
      <c r="H456" s="35"/>
      <c r="I456" s="35"/>
      <c r="J456" s="35"/>
    </row>
    <row r="457" spans="3:10" ht="13.5" customHeight="1" x14ac:dyDescent="0.25">
      <c r="C457" s="16"/>
      <c r="D457" s="16"/>
      <c r="E457" s="16"/>
      <c r="F457" s="64"/>
      <c r="G457" s="70"/>
      <c r="H457" s="16"/>
      <c r="I457" s="16"/>
      <c r="J457" s="16"/>
    </row>
    <row r="458" spans="3:10" ht="13.5" customHeight="1" x14ac:dyDescent="0.25">
      <c r="C458" s="35"/>
      <c r="D458" s="35"/>
      <c r="E458" s="35"/>
      <c r="F458" s="65"/>
      <c r="G458" s="69"/>
      <c r="H458" s="35"/>
      <c r="I458" s="35"/>
      <c r="J458" s="35"/>
    </row>
    <row r="459" spans="3:10" ht="13.5" customHeight="1" x14ac:dyDescent="0.25">
      <c r="C459" s="16"/>
      <c r="D459" s="16"/>
      <c r="E459" s="16"/>
      <c r="F459" s="64"/>
      <c r="G459" s="70"/>
      <c r="H459" s="16"/>
      <c r="I459" s="16"/>
      <c r="J459" s="16"/>
    </row>
    <row r="460" spans="3:10" ht="13.5" customHeight="1" x14ac:dyDescent="0.25">
      <c r="C460" s="35"/>
      <c r="D460" s="35"/>
      <c r="E460" s="35"/>
      <c r="F460" s="65"/>
      <c r="G460" s="69"/>
      <c r="H460" s="35"/>
      <c r="I460" s="35"/>
      <c r="J460" s="35"/>
    </row>
    <row r="461" spans="3:10" ht="13.5" customHeight="1" x14ac:dyDescent="0.25">
      <c r="C461" s="16"/>
      <c r="D461" s="16"/>
      <c r="E461" s="16"/>
      <c r="F461" s="64"/>
      <c r="G461" s="70"/>
      <c r="H461" s="16"/>
      <c r="I461" s="16"/>
      <c r="J461" s="16"/>
    </row>
    <row r="462" spans="3:10" ht="13.5" customHeight="1" x14ac:dyDescent="0.25">
      <c r="C462" s="35"/>
      <c r="D462" s="35"/>
      <c r="E462" s="35"/>
      <c r="F462" s="65"/>
      <c r="G462" s="69"/>
      <c r="H462" s="35"/>
      <c r="I462" s="35"/>
      <c r="J462" s="35"/>
    </row>
    <row r="463" spans="3:10" ht="13.5" customHeight="1" x14ac:dyDescent="0.25">
      <c r="C463" s="16"/>
      <c r="D463" s="16"/>
      <c r="E463" s="16"/>
      <c r="F463" s="64"/>
      <c r="G463" s="70"/>
      <c r="H463" s="16"/>
      <c r="I463" s="16"/>
      <c r="J463" s="16"/>
    </row>
    <row r="464" spans="3:10" ht="13.5" customHeight="1" x14ac:dyDescent="0.25">
      <c r="C464" s="35"/>
      <c r="D464" s="35"/>
      <c r="E464" s="35"/>
      <c r="F464" s="65"/>
      <c r="G464" s="69"/>
      <c r="H464" s="35"/>
      <c r="I464" s="35"/>
      <c r="J464" s="35"/>
    </row>
    <row r="465" spans="3:10" ht="13.5" customHeight="1" x14ac:dyDescent="0.25">
      <c r="C465" s="16"/>
      <c r="D465" s="16"/>
      <c r="E465" s="16"/>
      <c r="F465" s="64"/>
      <c r="G465" s="70"/>
      <c r="H465" s="16"/>
      <c r="I465" s="16"/>
      <c r="J465" s="16"/>
    </row>
    <row r="466" spans="3:10" ht="13.5" customHeight="1" x14ac:dyDescent="0.25">
      <c r="C466" s="35"/>
      <c r="D466" s="35"/>
      <c r="E466" s="35"/>
      <c r="F466" s="65"/>
      <c r="G466" s="69"/>
      <c r="H466" s="35"/>
      <c r="I466" s="35"/>
      <c r="J466" s="35"/>
    </row>
    <row r="467" spans="3:10" ht="13.5" customHeight="1" x14ac:dyDescent="0.25">
      <c r="C467" s="16"/>
      <c r="D467" s="16"/>
      <c r="E467" s="16"/>
      <c r="F467" s="64"/>
      <c r="G467" s="70"/>
      <c r="H467" s="16"/>
      <c r="I467" s="16"/>
      <c r="J467" s="16"/>
    </row>
    <row r="468" spans="3:10" ht="13.5" customHeight="1" x14ac:dyDescent="0.25">
      <c r="C468" s="35"/>
      <c r="D468" s="35"/>
      <c r="E468" s="35"/>
      <c r="F468" s="65"/>
      <c r="G468" s="69"/>
      <c r="H468" s="35"/>
      <c r="I468" s="35"/>
      <c r="J468" s="35"/>
    </row>
    <row r="469" spans="3:10" ht="13.5" customHeight="1" x14ac:dyDescent="0.25">
      <c r="C469" s="16"/>
      <c r="D469" s="16"/>
      <c r="E469" s="16"/>
      <c r="F469" s="64"/>
      <c r="G469" s="70"/>
      <c r="H469" s="16"/>
      <c r="I469" s="16"/>
      <c r="J469" s="16"/>
    </row>
    <row r="470" spans="3:10" ht="13.5" customHeight="1" x14ac:dyDescent="0.25">
      <c r="C470" s="35"/>
      <c r="D470" s="35"/>
      <c r="E470" s="35"/>
      <c r="F470" s="65"/>
      <c r="G470" s="69"/>
      <c r="H470" s="35"/>
      <c r="I470" s="35"/>
      <c r="J470" s="35"/>
    </row>
    <row r="471" spans="3:10" ht="13.5" customHeight="1" x14ac:dyDescent="0.25">
      <c r="C471" s="16"/>
      <c r="D471" s="16"/>
      <c r="E471" s="16"/>
      <c r="F471" s="64"/>
      <c r="G471" s="70"/>
      <c r="H471" s="16"/>
      <c r="I471" s="16"/>
      <c r="J471" s="16"/>
    </row>
    <row r="472" spans="3:10" ht="13.5" customHeight="1" x14ac:dyDescent="0.25">
      <c r="C472" s="35"/>
      <c r="D472" s="35"/>
      <c r="E472" s="35"/>
      <c r="F472" s="65"/>
      <c r="G472" s="69"/>
      <c r="H472" s="35"/>
      <c r="I472" s="35"/>
      <c r="J472" s="35"/>
    </row>
    <row r="473" spans="3:10" ht="13.5" customHeight="1" x14ac:dyDescent="0.25">
      <c r="C473" s="16"/>
      <c r="D473" s="16"/>
      <c r="E473" s="16"/>
      <c r="F473" s="64"/>
      <c r="G473" s="70"/>
      <c r="H473" s="16"/>
      <c r="I473" s="16"/>
      <c r="J473" s="16"/>
    </row>
    <row r="474" spans="3:10" ht="13.5" customHeight="1" x14ac:dyDescent="0.25">
      <c r="C474" s="35"/>
      <c r="D474" s="35"/>
      <c r="E474" s="35"/>
      <c r="F474" s="65"/>
      <c r="G474" s="69"/>
      <c r="H474" s="35"/>
      <c r="I474" s="35"/>
      <c r="J474" s="35"/>
    </row>
    <row r="475" spans="3:10" ht="13.5" customHeight="1" x14ac:dyDescent="0.25">
      <c r="C475" s="16"/>
      <c r="D475" s="16"/>
      <c r="E475" s="16"/>
      <c r="F475" s="64"/>
      <c r="G475" s="70"/>
      <c r="H475" s="16"/>
      <c r="I475" s="16"/>
      <c r="J475" s="16"/>
    </row>
    <row r="476" spans="3:10" ht="13.5" customHeight="1" x14ac:dyDescent="0.25">
      <c r="C476" s="35"/>
      <c r="D476" s="35"/>
      <c r="E476" s="35"/>
      <c r="F476" s="65"/>
      <c r="G476" s="69"/>
      <c r="H476" s="35"/>
      <c r="I476" s="35"/>
      <c r="J476" s="35"/>
    </row>
    <row r="477" spans="3:10" ht="13.5" customHeight="1" x14ac:dyDescent="0.25">
      <c r="C477" s="16"/>
      <c r="D477" s="16"/>
      <c r="E477" s="16"/>
      <c r="F477" s="64"/>
      <c r="G477" s="70"/>
      <c r="H477" s="16"/>
      <c r="I477" s="16"/>
      <c r="J477" s="16"/>
    </row>
    <row r="478" spans="3:10" ht="13.5" customHeight="1" x14ac:dyDescent="0.25">
      <c r="C478" s="35"/>
      <c r="D478" s="35"/>
      <c r="E478" s="35"/>
      <c r="F478" s="65"/>
      <c r="G478" s="69"/>
      <c r="H478" s="35"/>
      <c r="I478" s="35"/>
      <c r="J478" s="35"/>
    </row>
    <row r="479" spans="3:10" ht="13.5" customHeight="1" x14ac:dyDescent="0.25">
      <c r="C479" s="16"/>
      <c r="D479" s="16"/>
      <c r="E479" s="16"/>
      <c r="F479" s="64"/>
      <c r="G479" s="70"/>
      <c r="H479" s="16"/>
      <c r="I479" s="16"/>
      <c r="J479" s="16"/>
    </row>
    <row r="480" spans="3:10" ht="13.5" customHeight="1" x14ac:dyDescent="0.25">
      <c r="C480" s="35"/>
      <c r="D480" s="35"/>
      <c r="E480" s="35"/>
      <c r="F480" s="65"/>
      <c r="G480" s="69"/>
      <c r="H480" s="35"/>
      <c r="I480" s="35"/>
      <c r="J480" s="35"/>
    </row>
    <row r="481" spans="3:10" ht="13.5" customHeight="1" x14ac:dyDescent="0.25">
      <c r="C481" s="16"/>
      <c r="D481" s="16"/>
      <c r="E481" s="16"/>
      <c r="F481" s="64"/>
      <c r="G481" s="70"/>
      <c r="H481" s="16"/>
      <c r="I481" s="16"/>
      <c r="J481" s="16"/>
    </row>
    <row r="482" spans="3:10" ht="13.5" customHeight="1" x14ac:dyDescent="0.25">
      <c r="C482" s="35"/>
      <c r="D482" s="35"/>
      <c r="E482" s="35"/>
      <c r="F482" s="65"/>
      <c r="G482" s="69"/>
      <c r="H482" s="35"/>
      <c r="I482" s="35"/>
      <c r="J482" s="35"/>
    </row>
    <row r="483" spans="3:10" ht="13.5" customHeight="1" x14ac:dyDescent="0.25">
      <c r="C483" s="16"/>
      <c r="D483" s="16"/>
      <c r="E483" s="16"/>
      <c r="F483" s="64"/>
      <c r="G483" s="70"/>
      <c r="H483" s="16"/>
      <c r="I483" s="16"/>
      <c r="J483" s="16"/>
    </row>
    <row r="484" spans="3:10" ht="13.5" customHeight="1" x14ac:dyDescent="0.25">
      <c r="C484" s="35"/>
      <c r="D484" s="35"/>
      <c r="E484" s="35"/>
      <c r="F484" s="65"/>
      <c r="G484" s="69"/>
      <c r="H484" s="35"/>
      <c r="I484" s="35"/>
      <c r="J484" s="35"/>
    </row>
    <row r="485" spans="3:10" ht="13.5" customHeight="1" x14ac:dyDescent="0.25">
      <c r="C485" s="16"/>
      <c r="D485" s="16"/>
      <c r="E485" s="16"/>
      <c r="F485" s="64"/>
      <c r="G485" s="70"/>
      <c r="H485" s="16"/>
      <c r="I485" s="16"/>
      <c r="J485" s="16"/>
    </row>
    <row r="486" spans="3:10" ht="13.5" customHeight="1" x14ac:dyDescent="0.25">
      <c r="C486" s="35"/>
      <c r="D486" s="35"/>
      <c r="E486" s="35"/>
      <c r="F486" s="65"/>
      <c r="G486" s="69"/>
      <c r="H486" s="35"/>
      <c r="I486" s="35"/>
      <c r="J486" s="35"/>
    </row>
    <row r="487" spans="3:10" ht="13.5" customHeight="1" x14ac:dyDescent="0.25">
      <c r="C487" s="16"/>
      <c r="D487" s="16"/>
      <c r="E487" s="16"/>
      <c r="F487" s="64"/>
      <c r="G487" s="70"/>
      <c r="H487" s="16"/>
      <c r="I487" s="16"/>
      <c r="J487" s="16"/>
    </row>
    <row r="488" spans="3:10" ht="13.5" customHeight="1" x14ac:dyDescent="0.25">
      <c r="C488" s="35"/>
      <c r="D488" s="35"/>
      <c r="E488" s="35"/>
      <c r="F488" s="65"/>
      <c r="G488" s="69"/>
      <c r="H488" s="35"/>
      <c r="I488" s="35"/>
      <c r="J488" s="35"/>
    </row>
    <row r="489" spans="3:10" ht="13.5" customHeight="1" x14ac:dyDescent="0.25">
      <c r="C489" s="16"/>
      <c r="D489" s="16"/>
      <c r="E489" s="16"/>
      <c r="F489" s="64"/>
      <c r="G489" s="70"/>
      <c r="H489" s="16"/>
      <c r="I489" s="16"/>
      <c r="J489" s="16"/>
    </row>
    <row r="490" spans="3:10" ht="13.5" customHeight="1" x14ac:dyDescent="0.25">
      <c r="C490" s="35"/>
      <c r="D490" s="35"/>
      <c r="E490" s="35"/>
      <c r="F490" s="65"/>
      <c r="G490" s="69"/>
      <c r="H490" s="35"/>
      <c r="I490" s="35"/>
      <c r="J490" s="35"/>
    </row>
    <row r="491" spans="3:10" ht="13.5" customHeight="1" x14ac:dyDescent="0.25">
      <c r="C491" s="16"/>
      <c r="D491" s="16"/>
      <c r="E491" s="16"/>
      <c r="F491" s="64"/>
      <c r="G491" s="70"/>
      <c r="H491" s="16"/>
      <c r="I491" s="16"/>
      <c r="J491" s="16"/>
    </row>
    <row r="492" spans="3:10" ht="13.5" customHeight="1" x14ac:dyDescent="0.25">
      <c r="C492" s="35"/>
      <c r="D492" s="35"/>
      <c r="E492" s="35"/>
      <c r="F492" s="65"/>
      <c r="G492" s="69"/>
      <c r="H492" s="35"/>
      <c r="I492" s="35"/>
      <c r="J492" s="35"/>
    </row>
    <row r="493" spans="3:10" ht="13.5" customHeight="1" x14ac:dyDescent="0.25">
      <c r="C493" s="16"/>
      <c r="D493" s="16"/>
      <c r="E493" s="16"/>
      <c r="F493" s="64"/>
      <c r="G493" s="70"/>
      <c r="H493" s="16"/>
      <c r="I493" s="16"/>
      <c r="J493" s="16"/>
    </row>
    <row r="494" spans="3:10" ht="13.5" customHeight="1" x14ac:dyDescent="0.25">
      <c r="C494" s="35"/>
      <c r="D494" s="35"/>
      <c r="E494" s="35"/>
      <c r="F494" s="65"/>
      <c r="G494" s="69"/>
      <c r="H494" s="35"/>
      <c r="I494" s="35"/>
      <c r="J494" s="35"/>
    </row>
    <row r="495" spans="3:10" ht="13.5" customHeight="1" x14ac:dyDescent="0.25">
      <c r="C495" s="16"/>
      <c r="D495" s="16"/>
      <c r="E495" s="16"/>
      <c r="F495" s="64"/>
      <c r="G495" s="70"/>
      <c r="H495" s="16"/>
      <c r="I495" s="16"/>
      <c r="J495" s="16"/>
    </row>
    <row r="496" spans="3:10" ht="13.5" customHeight="1" x14ac:dyDescent="0.25">
      <c r="C496" s="35"/>
      <c r="D496" s="35"/>
      <c r="E496" s="35"/>
      <c r="F496" s="65"/>
      <c r="G496" s="69"/>
      <c r="H496" s="35"/>
      <c r="I496" s="35"/>
      <c r="J496" s="35"/>
    </row>
    <row r="497" spans="3:10" ht="13.5" customHeight="1" x14ac:dyDescent="0.25">
      <c r="C497" s="16"/>
      <c r="D497" s="16"/>
      <c r="E497" s="16"/>
      <c r="F497" s="64"/>
      <c r="G497" s="70"/>
      <c r="H497" s="16"/>
      <c r="I497" s="16"/>
      <c r="J497" s="16"/>
    </row>
    <row r="498" spans="3:10" ht="13.5" customHeight="1" x14ac:dyDescent="0.25">
      <c r="C498" s="35"/>
      <c r="D498" s="35"/>
      <c r="E498" s="35"/>
      <c r="F498" s="65"/>
      <c r="G498" s="69"/>
      <c r="H498" s="35"/>
      <c r="I498" s="35"/>
      <c r="J498" s="35"/>
    </row>
    <row r="499" spans="3:10" ht="13.5" customHeight="1" x14ac:dyDescent="0.25">
      <c r="C499" s="16"/>
      <c r="D499" s="16"/>
      <c r="E499" s="16"/>
      <c r="F499" s="64"/>
      <c r="G499" s="70"/>
      <c r="H499" s="16"/>
      <c r="I499" s="16"/>
      <c r="J499" s="16"/>
    </row>
    <row r="500" spans="3:10" ht="13.5" customHeight="1" x14ac:dyDescent="0.25">
      <c r="C500" s="35"/>
      <c r="D500" s="35"/>
      <c r="E500" s="35"/>
      <c r="F500" s="65"/>
      <c r="G500" s="69"/>
      <c r="H500" s="35"/>
      <c r="I500" s="35"/>
      <c r="J500" s="35"/>
    </row>
    <row r="501" spans="3:10" ht="13.5" customHeight="1" x14ac:dyDescent="0.25">
      <c r="C501" s="16"/>
      <c r="D501" s="16"/>
      <c r="E501" s="16"/>
      <c r="F501" s="64"/>
      <c r="G501" s="70"/>
      <c r="H501" s="16"/>
      <c r="I501" s="16"/>
      <c r="J501" s="16"/>
    </row>
    <row r="502" spans="3:10" ht="13.5" customHeight="1" x14ac:dyDescent="0.25">
      <c r="C502" s="35"/>
      <c r="D502" s="35"/>
      <c r="E502" s="35"/>
      <c r="F502" s="65"/>
      <c r="G502" s="69"/>
      <c r="H502" s="35"/>
      <c r="I502" s="35"/>
      <c r="J502" s="35"/>
    </row>
    <row r="503" spans="3:10" ht="13.5" customHeight="1" x14ac:dyDescent="0.25">
      <c r="C503" s="16"/>
      <c r="D503" s="16"/>
      <c r="E503" s="16"/>
      <c r="F503" s="64"/>
      <c r="G503" s="70"/>
      <c r="H503" s="16"/>
      <c r="I503" s="16"/>
      <c r="J503" s="16"/>
    </row>
    <row r="504" spans="3:10" ht="13.5" customHeight="1" x14ac:dyDescent="0.25">
      <c r="C504" s="35"/>
      <c r="D504" s="35"/>
      <c r="E504" s="35"/>
      <c r="F504" s="65"/>
      <c r="G504" s="69"/>
      <c r="H504" s="35"/>
      <c r="I504" s="35"/>
      <c r="J504" s="35"/>
    </row>
    <row r="505" spans="3:10" ht="13.5" customHeight="1" x14ac:dyDescent="0.25">
      <c r="C505" s="16"/>
      <c r="D505" s="16"/>
      <c r="E505" s="16"/>
      <c r="F505" s="64"/>
      <c r="G505" s="70"/>
      <c r="H505" s="16"/>
      <c r="I505" s="16"/>
      <c r="J505" s="16"/>
    </row>
    <row r="506" spans="3:10" ht="13.5" customHeight="1" x14ac:dyDescent="0.25">
      <c r="C506" s="35"/>
      <c r="D506" s="35"/>
      <c r="E506" s="35"/>
      <c r="F506" s="65"/>
      <c r="G506" s="69"/>
      <c r="H506" s="35"/>
      <c r="I506" s="35"/>
      <c r="J506" s="35"/>
    </row>
    <row r="507" spans="3:10" ht="13.5" customHeight="1" x14ac:dyDescent="0.25">
      <c r="C507" s="16"/>
      <c r="D507" s="16"/>
      <c r="E507" s="16"/>
      <c r="F507" s="64"/>
      <c r="G507" s="70"/>
      <c r="H507" s="16"/>
      <c r="I507" s="16"/>
      <c r="J507" s="16"/>
    </row>
    <row r="508" spans="3:10" ht="13.5" customHeight="1" x14ac:dyDescent="0.25">
      <c r="C508" s="35"/>
      <c r="D508" s="35"/>
      <c r="E508" s="35"/>
      <c r="F508" s="65"/>
      <c r="G508" s="69"/>
      <c r="H508" s="35"/>
      <c r="I508" s="35"/>
      <c r="J508" s="35"/>
    </row>
    <row r="509" spans="3:10" ht="13.5" customHeight="1" x14ac:dyDescent="0.25">
      <c r="C509" s="16"/>
      <c r="D509" s="16"/>
      <c r="E509" s="16"/>
      <c r="F509" s="64"/>
      <c r="G509" s="70"/>
      <c r="H509" s="16"/>
      <c r="I509" s="16"/>
      <c r="J509" s="16"/>
    </row>
    <row r="510" spans="3:10" ht="13.5" customHeight="1" x14ac:dyDescent="0.25">
      <c r="C510" s="35"/>
      <c r="D510" s="35"/>
      <c r="E510" s="35"/>
      <c r="F510" s="65"/>
      <c r="G510" s="69"/>
      <c r="H510" s="35"/>
      <c r="I510" s="35"/>
      <c r="J510" s="35"/>
    </row>
    <row r="511" spans="3:10" ht="13.5" customHeight="1" x14ac:dyDescent="0.25">
      <c r="C511" s="16"/>
      <c r="D511" s="16"/>
      <c r="E511" s="16"/>
      <c r="F511" s="64"/>
      <c r="G511" s="70"/>
      <c r="H511" s="16"/>
      <c r="I511" s="16"/>
      <c r="J511" s="16"/>
    </row>
    <row r="512" spans="3:10" ht="13.5" customHeight="1" x14ac:dyDescent="0.25">
      <c r="C512" s="35"/>
      <c r="D512" s="35"/>
      <c r="E512" s="35"/>
      <c r="F512" s="65"/>
      <c r="G512" s="69"/>
      <c r="H512" s="35"/>
      <c r="I512" s="35"/>
      <c r="J512" s="35"/>
    </row>
    <row r="513" spans="3:10" ht="13.5" customHeight="1" x14ac:dyDescent="0.25">
      <c r="C513" s="16"/>
      <c r="D513" s="16"/>
      <c r="E513" s="16"/>
      <c r="F513" s="64"/>
      <c r="G513" s="70"/>
      <c r="H513" s="16"/>
      <c r="I513" s="16"/>
      <c r="J513" s="16"/>
    </row>
    <row r="514" spans="3:10" ht="13.5" customHeight="1" x14ac:dyDescent="0.25">
      <c r="C514" s="35"/>
      <c r="D514" s="35"/>
      <c r="E514" s="35"/>
      <c r="F514" s="65"/>
      <c r="G514" s="69"/>
      <c r="H514" s="35"/>
      <c r="I514" s="35"/>
      <c r="J514" s="35"/>
    </row>
    <row r="515" spans="3:10" ht="13.5" customHeight="1" x14ac:dyDescent="0.25">
      <c r="C515" s="16"/>
      <c r="D515" s="16"/>
      <c r="E515" s="16"/>
      <c r="F515" s="64"/>
      <c r="G515" s="70"/>
      <c r="H515" s="16"/>
      <c r="I515" s="16"/>
      <c r="J515" s="16"/>
    </row>
    <row r="516" spans="3:10" ht="13.5" customHeight="1" x14ac:dyDescent="0.25">
      <c r="C516" s="35"/>
      <c r="D516" s="35"/>
      <c r="E516" s="35"/>
      <c r="F516" s="65"/>
      <c r="G516" s="69"/>
      <c r="H516" s="35"/>
      <c r="I516" s="35"/>
      <c r="J516" s="35"/>
    </row>
    <row r="517" spans="3:10" ht="13.5" customHeight="1" x14ac:dyDescent="0.25">
      <c r="C517" s="16"/>
      <c r="D517" s="16"/>
      <c r="E517" s="16"/>
      <c r="F517" s="64"/>
      <c r="G517" s="70"/>
      <c r="H517" s="16"/>
      <c r="I517" s="16"/>
      <c r="J517" s="16"/>
    </row>
    <row r="518" spans="3:10" ht="13.5" customHeight="1" x14ac:dyDescent="0.25">
      <c r="C518" s="35"/>
      <c r="D518" s="35"/>
      <c r="E518" s="35"/>
      <c r="F518" s="65"/>
      <c r="G518" s="69"/>
      <c r="H518" s="35"/>
      <c r="I518" s="35"/>
      <c r="J518" s="35"/>
    </row>
    <row r="519" spans="3:10" ht="13.5" customHeight="1" x14ac:dyDescent="0.25">
      <c r="C519" s="16"/>
      <c r="D519" s="16"/>
      <c r="E519" s="16"/>
      <c r="F519" s="64"/>
      <c r="G519" s="70"/>
      <c r="H519" s="16"/>
      <c r="I519" s="16"/>
      <c r="J519" s="16"/>
    </row>
    <row r="520" spans="3:10" ht="13.5" customHeight="1" x14ac:dyDescent="0.25">
      <c r="C520" s="35"/>
      <c r="D520" s="35"/>
      <c r="E520" s="35"/>
      <c r="F520" s="65"/>
      <c r="G520" s="69"/>
      <c r="H520" s="35"/>
      <c r="I520" s="35"/>
      <c r="J520" s="35"/>
    </row>
    <row r="521" spans="3:10" ht="13.5" customHeight="1" x14ac:dyDescent="0.25">
      <c r="C521" s="16"/>
      <c r="D521" s="16"/>
      <c r="E521" s="16"/>
      <c r="F521" s="64"/>
      <c r="G521" s="70"/>
      <c r="H521" s="16"/>
      <c r="I521" s="16"/>
      <c r="J521" s="16"/>
    </row>
    <row r="522" spans="3:10" ht="13.5" customHeight="1" x14ac:dyDescent="0.25">
      <c r="C522" s="35"/>
      <c r="D522" s="35"/>
      <c r="E522" s="35"/>
      <c r="F522" s="65"/>
      <c r="G522" s="69"/>
      <c r="H522" s="35"/>
      <c r="I522" s="35"/>
      <c r="J522" s="35"/>
    </row>
    <row r="523" spans="3:10" ht="13.5" customHeight="1" x14ac:dyDescent="0.25">
      <c r="C523" s="16"/>
      <c r="D523" s="16"/>
      <c r="E523" s="16"/>
      <c r="F523" s="64"/>
      <c r="G523" s="70"/>
      <c r="H523" s="16"/>
      <c r="I523" s="16"/>
      <c r="J523" s="16"/>
    </row>
    <row r="524" spans="3:10" ht="13.5" customHeight="1" x14ac:dyDescent="0.25">
      <c r="C524" s="35"/>
      <c r="D524" s="35"/>
      <c r="E524" s="35"/>
      <c r="F524" s="65"/>
      <c r="G524" s="69"/>
      <c r="H524" s="35"/>
      <c r="I524" s="35"/>
      <c r="J524" s="35"/>
    </row>
    <row r="525" spans="3:10" ht="13.5" customHeight="1" x14ac:dyDescent="0.25">
      <c r="C525" s="16"/>
      <c r="D525" s="16"/>
      <c r="E525" s="16"/>
      <c r="F525" s="64"/>
      <c r="G525" s="70"/>
      <c r="H525" s="16"/>
      <c r="I525" s="16"/>
      <c r="J525" s="16"/>
    </row>
    <row r="526" spans="3:10" ht="13.5" customHeight="1" x14ac:dyDescent="0.25">
      <c r="C526" s="35"/>
      <c r="D526" s="35"/>
      <c r="E526" s="35"/>
      <c r="F526" s="65"/>
      <c r="G526" s="69"/>
      <c r="H526" s="35"/>
      <c r="I526" s="35"/>
      <c r="J526" s="35"/>
    </row>
    <row r="527" spans="3:10" ht="13.5" customHeight="1" x14ac:dyDescent="0.25">
      <c r="C527" s="16"/>
      <c r="D527" s="16"/>
      <c r="E527" s="16"/>
      <c r="F527" s="64"/>
      <c r="G527" s="70"/>
      <c r="H527" s="16"/>
      <c r="I527" s="16"/>
      <c r="J527" s="16"/>
    </row>
    <row r="528" spans="3:10" ht="13.5" customHeight="1" x14ac:dyDescent="0.25">
      <c r="C528" s="35"/>
      <c r="D528" s="35"/>
      <c r="E528" s="35"/>
      <c r="F528" s="65"/>
      <c r="G528" s="69"/>
      <c r="H528" s="35"/>
      <c r="I528" s="35"/>
      <c r="J528" s="35"/>
    </row>
    <row r="529" spans="3:10" ht="13.5" customHeight="1" x14ac:dyDescent="0.25">
      <c r="C529" s="16"/>
      <c r="D529" s="16"/>
      <c r="E529" s="16"/>
      <c r="F529" s="64"/>
      <c r="G529" s="70"/>
      <c r="H529" s="16"/>
      <c r="I529" s="16"/>
      <c r="J529" s="16"/>
    </row>
    <row r="530" spans="3:10" ht="13.5" customHeight="1" x14ac:dyDescent="0.25">
      <c r="C530" s="35"/>
      <c r="D530" s="35"/>
      <c r="E530" s="35"/>
      <c r="F530" s="65"/>
      <c r="G530" s="69"/>
      <c r="H530" s="35"/>
      <c r="I530" s="35"/>
      <c r="J530" s="35"/>
    </row>
    <row r="531" spans="3:10" ht="13.5" customHeight="1" x14ac:dyDescent="0.25">
      <c r="C531" s="16"/>
      <c r="D531" s="16"/>
      <c r="E531" s="16"/>
      <c r="F531" s="64"/>
      <c r="G531" s="70"/>
      <c r="H531" s="16"/>
      <c r="I531" s="16"/>
      <c r="J531" s="16"/>
    </row>
    <row r="532" spans="3:10" ht="13.5" customHeight="1" x14ac:dyDescent="0.25">
      <c r="C532" s="35"/>
      <c r="D532" s="35"/>
      <c r="E532" s="35"/>
      <c r="F532" s="65"/>
      <c r="G532" s="69"/>
      <c r="H532" s="35"/>
      <c r="I532" s="35"/>
      <c r="J532" s="35"/>
    </row>
    <row r="533" spans="3:10" ht="13.5" customHeight="1" x14ac:dyDescent="0.25">
      <c r="C533" s="16"/>
      <c r="D533" s="16"/>
      <c r="E533" s="16"/>
      <c r="F533" s="64"/>
      <c r="G533" s="70"/>
      <c r="H533" s="16"/>
      <c r="I533" s="16"/>
      <c r="J533" s="16"/>
    </row>
    <row r="534" spans="3:10" ht="13.5" customHeight="1" x14ac:dyDescent="0.25">
      <c r="C534" s="35"/>
      <c r="D534" s="35"/>
      <c r="E534" s="35"/>
      <c r="F534" s="65"/>
      <c r="G534" s="69"/>
      <c r="H534" s="35"/>
      <c r="I534" s="35"/>
      <c r="J534" s="35"/>
    </row>
    <row r="535" spans="3:10" ht="13.5" customHeight="1" x14ac:dyDescent="0.25">
      <c r="C535" s="16"/>
      <c r="D535" s="16"/>
      <c r="E535" s="16"/>
      <c r="F535" s="64"/>
      <c r="G535" s="70"/>
      <c r="H535" s="16"/>
      <c r="I535" s="16"/>
      <c r="J535" s="16"/>
    </row>
    <row r="536" spans="3:10" ht="13.5" customHeight="1" x14ac:dyDescent="0.25">
      <c r="C536" s="35"/>
      <c r="D536" s="35"/>
      <c r="E536" s="35"/>
      <c r="F536" s="65"/>
      <c r="G536" s="69"/>
      <c r="H536" s="35"/>
      <c r="I536" s="35"/>
      <c r="J536" s="35"/>
    </row>
    <row r="537" spans="3:10" ht="13.5" customHeight="1" x14ac:dyDescent="0.25">
      <c r="C537" s="16"/>
      <c r="D537" s="16"/>
      <c r="E537" s="16"/>
      <c r="F537" s="64"/>
      <c r="G537" s="70"/>
      <c r="H537" s="16"/>
      <c r="I537" s="16"/>
      <c r="J537" s="16"/>
    </row>
    <row r="538" spans="3:10" ht="13.5" customHeight="1" x14ac:dyDescent="0.25">
      <c r="C538" s="35"/>
      <c r="D538" s="35"/>
      <c r="E538" s="35"/>
      <c r="F538" s="65"/>
      <c r="G538" s="69"/>
      <c r="H538" s="35"/>
      <c r="I538" s="35"/>
      <c r="J538" s="35"/>
    </row>
    <row r="539" spans="3:10" ht="13.5" customHeight="1" x14ac:dyDescent="0.25">
      <c r="C539" s="16"/>
      <c r="D539" s="16"/>
      <c r="E539" s="16"/>
      <c r="F539" s="64"/>
      <c r="G539" s="70"/>
      <c r="H539" s="16"/>
      <c r="I539" s="16"/>
      <c r="J539" s="16"/>
    </row>
    <row r="540" spans="3:10" ht="13.5" customHeight="1" x14ac:dyDescent="0.25">
      <c r="C540" s="35"/>
      <c r="D540" s="35"/>
      <c r="E540" s="35"/>
      <c r="F540" s="65"/>
      <c r="G540" s="69"/>
      <c r="H540" s="35"/>
      <c r="I540" s="35"/>
      <c r="J540" s="35"/>
    </row>
    <row r="541" spans="3:10" ht="13.5" customHeight="1" x14ac:dyDescent="0.25">
      <c r="C541" s="16"/>
      <c r="D541" s="16"/>
      <c r="E541" s="16"/>
      <c r="F541" s="64"/>
      <c r="G541" s="70"/>
      <c r="H541" s="16"/>
      <c r="I541" s="16"/>
      <c r="J541" s="16"/>
    </row>
    <row r="542" spans="3:10" ht="13.5" customHeight="1" x14ac:dyDescent="0.25">
      <c r="C542" s="35"/>
      <c r="D542" s="35"/>
      <c r="E542" s="35"/>
      <c r="F542" s="65"/>
      <c r="G542" s="69"/>
      <c r="H542" s="35"/>
      <c r="I542" s="35"/>
      <c r="J542" s="35"/>
    </row>
    <row r="543" spans="3:10" ht="13.5" customHeight="1" x14ac:dyDescent="0.25">
      <c r="C543" s="16"/>
      <c r="D543" s="16"/>
      <c r="E543" s="16"/>
      <c r="F543" s="64"/>
      <c r="G543" s="70"/>
      <c r="H543" s="16"/>
      <c r="I543" s="16"/>
      <c r="J543" s="16"/>
    </row>
    <row r="544" spans="3:10" ht="13.5" customHeight="1" x14ac:dyDescent="0.25">
      <c r="C544" s="35"/>
      <c r="D544" s="35"/>
      <c r="E544" s="35"/>
      <c r="F544" s="65"/>
      <c r="G544" s="69"/>
      <c r="H544" s="35"/>
      <c r="I544" s="35"/>
      <c r="J544" s="35"/>
    </row>
    <row r="545" spans="3:10" ht="13.5" customHeight="1" x14ac:dyDescent="0.25">
      <c r="C545" s="16"/>
      <c r="D545" s="16"/>
      <c r="E545" s="16"/>
      <c r="F545" s="64"/>
      <c r="G545" s="70"/>
      <c r="H545" s="16"/>
      <c r="I545" s="16"/>
      <c r="J545" s="16"/>
    </row>
    <row r="546" spans="3:10" ht="13.5" customHeight="1" x14ac:dyDescent="0.25">
      <c r="C546" s="35"/>
      <c r="D546" s="35"/>
      <c r="E546" s="35"/>
      <c r="F546" s="65"/>
      <c r="G546" s="69"/>
      <c r="H546" s="35"/>
      <c r="I546" s="35"/>
      <c r="J546" s="35"/>
    </row>
    <row r="547" spans="3:10" ht="13.5" customHeight="1" x14ac:dyDescent="0.25">
      <c r="C547" s="16"/>
      <c r="D547" s="16"/>
      <c r="E547" s="16"/>
      <c r="F547" s="64"/>
      <c r="G547" s="70"/>
      <c r="H547" s="16"/>
      <c r="I547" s="16"/>
      <c r="J547" s="16"/>
    </row>
    <row r="548" spans="3:10" ht="13.5" customHeight="1" x14ac:dyDescent="0.25">
      <c r="C548" s="35"/>
      <c r="D548" s="35"/>
      <c r="E548" s="35"/>
      <c r="F548" s="65"/>
      <c r="G548" s="69"/>
      <c r="H548" s="35"/>
      <c r="I548" s="35"/>
      <c r="J548" s="35"/>
    </row>
    <row r="549" spans="3:10" ht="13.5" customHeight="1" x14ac:dyDescent="0.25">
      <c r="C549" s="16"/>
      <c r="D549" s="16"/>
      <c r="E549" s="16"/>
      <c r="F549" s="64"/>
      <c r="G549" s="70"/>
      <c r="H549" s="16"/>
      <c r="I549" s="16"/>
      <c r="J549" s="16"/>
    </row>
    <row r="550" spans="3:10" ht="13.5" customHeight="1" x14ac:dyDescent="0.25">
      <c r="C550" s="35"/>
      <c r="D550" s="35"/>
      <c r="E550" s="35"/>
      <c r="F550" s="65"/>
      <c r="G550" s="69"/>
      <c r="H550" s="35"/>
      <c r="I550" s="35"/>
      <c r="J550" s="35"/>
    </row>
    <row r="551" spans="3:10" ht="13.5" customHeight="1" x14ac:dyDescent="0.25">
      <c r="C551" s="16"/>
      <c r="D551" s="16"/>
      <c r="E551" s="16"/>
      <c r="F551" s="64"/>
      <c r="G551" s="70"/>
      <c r="H551" s="16"/>
      <c r="I551" s="16"/>
      <c r="J551" s="16"/>
    </row>
    <row r="552" spans="3:10" ht="13.5" customHeight="1" x14ac:dyDescent="0.25">
      <c r="C552" s="35"/>
      <c r="D552" s="35"/>
      <c r="E552" s="35"/>
      <c r="F552" s="65"/>
      <c r="G552" s="69"/>
      <c r="H552" s="35"/>
      <c r="I552" s="35"/>
      <c r="J552" s="35"/>
    </row>
    <row r="553" spans="3:10" ht="13.5" customHeight="1" x14ac:dyDescent="0.25">
      <c r="C553" s="16"/>
      <c r="D553" s="16"/>
      <c r="E553" s="16"/>
      <c r="F553" s="64"/>
      <c r="G553" s="70"/>
      <c r="H553" s="16"/>
      <c r="I553" s="16"/>
      <c r="J553" s="16"/>
    </row>
    <row r="554" spans="3:10" ht="13.5" customHeight="1" x14ac:dyDescent="0.25">
      <c r="C554" s="35"/>
      <c r="D554" s="35"/>
      <c r="E554" s="35"/>
      <c r="F554" s="65"/>
      <c r="G554" s="69"/>
      <c r="H554" s="35"/>
      <c r="I554" s="35"/>
      <c r="J554" s="35"/>
    </row>
    <row r="555" spans="3:10" ht="13.5" customHeight="1" x14ac:dyDescent="0.25">
      <c r="C555" s="16"/>
      <c r="D555" s="16"/>
      <c r="E555" s="16"/>
      <c r="F555" s="64"/>
      <c r="G555" s="70"/>
      <c r="H555" s="16"/>
      <c r="I555" s="16"/>
      <c r="J555" s="16"/>
    </row>
    <row r="556" spans="3:10" ht="13.5" customHeight="1" x14ac:dyDescent="0.25">
      <c r="C556" s="35"/>
      <c r="D556" s="35"/>
      <c r="E556" s="35"/>
      <c r="F556" s="65"/>
      <c r="G556" s="69"/>
      <c r="H556" s="35"/>
      <c r="I556" s="35"/>
      <c r="J556" s="35"/>
    </row>
    <row r="557" spans="3:10" ht="13.5" customHeight="1" x14ac:dyDescent="0.25">
      <c r="C557" s="16"/>
      <c r="D557" s="16"/>
      <c r="E557" s="16"/>
      <c r="F557" s="64"/>
      <c r="G557" s="70"/>
      <c r="H557" s="16"/>
      <c r="I557" s="16"/>
      <c r="J557" s="16"/>
    </row>
    <row r="558" spans="3:10" ht="13.5" customHeight="1" x14ac:dyDescent="0.25">
      <c r="C558" s="35"/>
      <c r="D558" s="35"/>
      <c r="E558" s="35"/>
      <c r="F558" s="65"/>
      <c r="G558" s="69"/>
      <c r="H558" s="35"/>
      <c r="I558" s="35"/>
      <c r="J558" s="35"/>
    </row>
    <row r="559" spans="3:10" ht="13.5" customHeight="1" x14ac:dyDescent="0.25">
      <c r="C559" s="16"/>
      <c r="D559" s="16"/>
      <c r="E559" s="16"/>
      <c r="F559" s="64"/>
      <c r="G559" s="70"/>
      <c r="H559" s="16"/>
      <c r="I559" s="16"/>
      <c r="J559" s="16"/>
    </row>
    <row r="560" spans="3:10" ht="13.5" customHeight="1" x14ac:dyDescent="0.25">
      <c r="C560" s="35"/>
      <c r="D560" s="35"/>
      <c r="E560" s="35"/>
      <c r="F560" s="65"/>
      <c r="G560" s="69"/>
      <c r="H560" s="35"/>
      <c r="I560" s="35"/>
      <c r="J560" s="35"/>
    </row>
    <row r="561" spans="3:10" ht="13.5" customHeight="1" x14ac:dyDescent="0.25">
      <c r="C561" s="16"/>
      <c r="D561" s="16"/>
      <c r="E561" s="16"/>
      <c r="F561" s="64"/>
      <c r="G561" s="70"/>
      <c r="H561" s="16"/>
      <c r="I561" s="16"/>
      <c r="J561" s="16"/>
    </row>
    <row r="562" spans="3:10" ht="13.5" customHeight="1" x14ac:dyDescent="0.25">
      <c r="C562" s="35"/>
      <c r="D562" s="35"/>
      <c r="E562" s="35"/>
      <c r="F562" s="65"/>
      <c r="G562" s="69"/>
      <c r="H562" s="35"/>
      <c r="I562" s="35"/>
      <c r="J562" s="35"/>
    </row>
    <row r="563" spans="3:10" ht="13.5" customHeight="1" x14ac:dyDescent="0.25">
      <c r="C563" s="16"/>
      <c r="D563" s="16"/>
      <c r="E563" s="16"/>
      <c r="F563" s="64"/>
      <c r="G563" s="70"/>
      <c r="H563" s="16"/>
      <c r="I563" s="16"/>
      <c r="J563" s="16"/>
    </row>
    <row r="564" spans="3:10" ht="13.5" customHeight="1" x14ac:dyDescent="0.25">
      <c r="C564" s="35"/>
      <c r="D564" s="35"/>
      <c r="E564" s="35"/>
      <c r="F564" s="65"/>
      <c r="G564" s="69"/>
      <c r="H564" s="35"/>
      <c r="I564" s="35"/>
      <c r="J564" s="35"/>
    </row>
    <row r="565" spans="3:10" ht="13.5" customHeight="1" x14ac:dyDescent="0.25">
      <c r="C565" s="16"/>
      <c r="D565" s="16"/>
      <c r="E565" s="16"/>
      <c r="F565" s="64"/>
      <c r="G565" s="70"/>
      <c r="H565" s="16"/>
      <c r="I565" s="16"/>
      <c r="J565" s="16"/>
    </row>
    <row r="566" spans="3:10" ht="13.5" customHeight="1" x14ac:dyDescent="0.25">
      <c r="C566" s="35"/>
      <c r="D566" s="35"/>
      <c r="E566" s="35"/>
      <c r="F566" s="65"/>
      <c r="G566" s="69"/>
      <c r="H566" s="35"/>
      <c r="I566" s="35"/>
      <c r="J566" s="35"/>
    </row>
    <row r="567" spans="3:10" ht="13.5" customHeight="1" x14ac:dyDescent="0.25">
      <c r="C567" s="16"/>
      <c r="D567" s="16"/>
      <c r="E567" s="16"/>
      <c r="F567" s="64"/>
      <c r="G567" s="70"/>
      <c r="H567" s="16"/>
      <c r="I567" s="16"/>
      <c r="J567" s="16"/>
    </row>
    <row r="568" spans="3:10" ht="13.5" customHeight="1" x14ac:dyDescent="0.25">
      <c r="C568" s="35"/>
      <c r="D568" s="35"/>
      <c r="E568" s="35"/>
      <c r="F568" s="65"/>
      <c r="G568" s="69"/>
      <c r="H568" s="35"/>
      <c r="I568" s="35"/>
      <c r="J568" s="35"/>
    </row>
    <row r="569" spans="3:10" ht="13.5" customHeight="1" x14ac:dyDescent="0.25">
      <c r="C569" s="16"/>
      <c r="D569" s="16"/>
      <c r="E569" s="16"/>
      <c r="F569" s="64"/>
      <c r="G569" s="70"/>
      <c r="H569" s="16"/>
      <c r="I569" s="16"/>
      <c r="J569" s="16"/>
    </row>
    <row r="570" spans="3:10" ht="13.5" customHeight="1" x14ac:dyDescent="0.25">
      <c r="C570" s="35"/>
      <c r="D570" s="35"/>
      <c r="E570" s="35"/>
      <c r="F570" s="65"/>
      <c r="G570" s="69"/>
      <c r="H570" s="35"/>
      <c r="I570" s="35"/>
      <c r="J570" s="35"/>
    </row>
    <row r="571" spans="3:10" ht="13.5" customHeight="1" x14ac:dyDescent="0.25">
      <c r="C571" s="16"/>
      <c r="D571" s="16"/>
      <c r="E571" s="16"/>
      <c r="F571" s="64"/>
      <c r="G571" s="70"/>
      <c r="H571" s="16"/>
      <c r="I571" s="16"/>
      <c r="J571" s="16"/>
    </row>
    <row r="572" spans="3:10" ht="13.5" customHeight="1" x14ac:dyDescent="0.25">
      <c r="C572" s="35"/>
      <c r="D572" s="35"/>
      <c r="E572" s="35"/>
      <c r="F572" s="65"/>
      <c r="G572" s="69"/>
      <c r="H572" s="35"/>
      <c r="I572" s="35"/>
      <c r="J572" s="35"/>
    </row>
    <row r="573" spans="3:10" ht="13.5" customHeight="1" x14ac:dyDescent="0.25">
      <c r="C573" s="16"/>
      <c r="D573" s="16"/>
      <c r="E573" s="16"/>
      <c r="F573" s="64"/>
      <c r="G573" s="70"/>
      <c r="H573" s="16"/>
      <c r="I573" s="16"/>
      <c r="J573" s="16"/>
    </row>
    <row r="574" spans="3:10" ht="13.5" customHeight="1" x14ac:dyDescent="0.25">
      <c r="C574" s="35"/>
      <c r="D574" s="35"/>
      <c r="E574" s="35"/>
      <c r="F574" s="65"/>
      <c r="G574" s="69"/>
      <c r="H574" s="35"/>
      <c r="I574" s="35"/>
      <c r="J574" s="35"/>
    </row>
    <row r="575" spans="3:10" ht="13.5" customHeight="1" x14ac:dyDescent="0.25">
      <c r="C575" s="16"/>
      <c r="D575" s="16"/>
      <c r="E575" s="16"/>
      <c r="F575" s="64"/>
      <c r="G575" s="70"/>
      <c r="H575" s="16"/>
      <c r="I575" s="16"/>
      <c r="J575" s="16"/>
    </row>
    <row r="576" spans="3:10" ht="13.5" customHeight="1" x14ac:dyDescent="0.25">
      <c r="C576" s="35"/>
      <c r="D576" s="35"/>
      <c r="E576" s="35"/>
      <c r="F576" s="65"/>
      <c r="G576" s="69"/>
      <c r="H576" s="35"/>
      <c r="I576" s="35"/>
      <c r="J576" s="35"/>
    </row>
    <row r="577" spans="3:10" ht="13.5" customHeight="1" x14ac:dyDescent="0.25">
      <c r="C577" s="16"/>
      <c r="D577" s="16"/>
      <c r="E577" s="16"/>
      <c r="F577" s="64"/>
      <c r="G577" s="70"/>
      <c r="H577" s="16"/>
      <c r="I577" s="16"/>
      <c r="J577" s="16"/>
    </row>
    <row r="578" spans="3:10" ht="13.5" customHeight="1" x14ac:dyDescent="0.25">
      <c r="C578" s="35"/>
      <c r="D578" s="35"/>
      <c r="E578" s="35"/>
      <c r="F578" s="65"/>
      <c r="G578" s="69"/>
      <c r="H578" s="35"/>
      <c r="I578" s="35"/>
      <c r="J578" s="35"/>
    </row>
    <row r="579" spans="3:10" ht="13.5" customHeight="1" x14ac:dyDescent="0.25">
      <c r="C579" s="16"/>
      <c r="D579" s="16"/>
      <c r="E579" s="16"/>
      <c r="F579" s="64"/>
      <c r="G579" s="70"/>
      <c r="H579" s="16"/>
      <c r="I579" s="16"/>
      <c r="J579" s="16"/>
    </row>
    <row r="580" spans="3:10" ht="13.5" customHeight="1" x14ac:dyDescent="0.25">
      <c r="C580" s="35"/>
      <c r="D580" s="35"/>
      <c r="E580" s="35"/>
      <c r="F580" s="65"/>
      <c r="G580" s="69"/>
      <c r="H580" s="35"/>
      <c r="I580" s="35"/>
      <c r="J580" s="35"/>
    </row>
    <row r="581" spans="3:10" ht="13.5" customHeight="1" x14ac:dyDescent="0.25">
      <c r="C581" s="16"/>
      <c r="D581" s="16"/>
      <c r="E581" s="16"/>
      <c r="F581" s="64"/>
      <c r="G581" s="70"/>
      <c r="H581" s="16"/>
      <c r="I581" s="16"/>
      <c r="J581" s="16"/>
    </row>
    <row r="582" spans="3:10" ht="13.5" customHeight="1" x14ac:dyDescent="0.25">
      <c r="C582" s="35"/>
      <c r="D582" s="35"/>
      <c r="E582" s="35"/>
      <c r="F582" s="65"/>
      <c r="G582" s="69"/>
      <c r="H582" s="35"/>
      <c r="I582" s="35"/>
      <c r="J582" s="35"/>
    </row>
    <row r="583" spans="3:10" ht="13.5" customHeight="1" x14ac:dyDescent="0.25">
      <c r="C583" s="16"/>
      <c r="D583" s="16"/>
      <c r="E583" s="16"/>
      <c r="F583" s="64"/>
      <c r="G583" s="70"/>
      <c r="H583" s="16"/>
      <c r="I583" s="16"/>
      <c r="J583" s="16"/>
    </row>
    <row r="584" spans="3:10" ht="13.5" customHeight="1" x14ac:dyDescent="0.25">
      <c r="C584" s="35"/>
      <c r="D584" s="35"/>
      <c r="E584" s="35"/>
      <c r="F584" s="65"/>
      <c r="G584" s="69"/>
      <c r="H584" s="35"/>
      <c r="I584" s="35"/>
      <c r="J584" s="35"/>
    </row>
    <row r="585" spans="3:10" ht="13.5" customHeight="1" x14ac:dyDescent="0.25">
      <c r="C585" s="16"/>
      <c r="D585" s="16"/>
      <c r="E585" s="16"/>
      <c r="F585" s="64"/>
      <c r="G585" s="70"/>
      <c r="H585" s="16"/>
      <c r="I585" s="16"/>
      <c r="J585" s="16"/>
    </row>
    <row r="586" spans="3:10" ht="13.5" customHeight="1" x14ac:dyDescent="0.25">
      <c r="C586" s="35"/>
      <c r="D586" s="35"/>
      <c r="E586" s="35"/>
      <c r="F586" s="65"/>
      <c r="G586" s="69"/>
      <c r="H586" s="35"/>
      <c r="I586" s="35"/>
      <c r="J586" s="35"/>
    </row>
    <row r="587" spans="3:10" ht="13.5" customHeight="1" x14ac:dyDescent="0.25">
      <c r="C587" s="16"/>
      <c r="D587" s="16"/>
      <c r="E587" s="16"/>
      <c r="F587" s="64"/>
      <c r="G587" s="70"/>
      <c r="H587" s="16"/>
      <c r="I587" s="16"/>
      <c r="J587" s="16"/>
    </row>
    <row r="588" spans="3:10" ht="13.5" customHeight="1" x14ac:dyDescent="0.25">
      <c r="C588" s="35"/>
      <c r="D588" s="35"/>
      <c r="E588" s="35"/>
      <c r="F588" s="65"/>
      <c r="G588" s="69"/>
      <c r="H588" s="35"/>
      <c r="I588" s="35"/>
      <c r="J588" s="35"/>
    </row>
    <row r="589" spans="3:10" ht="13.5" customHeight="1" x14ac:dyDescent="0.25">
      <c r="C589" s="16"/>
      <c r="D589" s="16"/>
      <c r="E589" s="16"/>
      <c r="F589" s="64"/>
      <c r="G589" s="70"/>
      <c r="H589" s="16"/>
      <c r="I589" s="16"/>
      <c r="J589" s="16"/>
    </row>
    <row r="590" spans="3:10" ht="13.5" customHeight="1" x14ac:dyDescent="0.25">
      <c r="C590" s="35"/>
      <c r="D590" s="35"/>
      <c r="E590" s="35"/>
      <c r="F590" s="65"/>
      <c r="G590" s="69"/>
      <c r="H590" s="35"/>
      <c r="I590" s="35"/>
      <c r="J590" s="35"/>
    </row>
    <row r="591" spans="3:10" ht="13.5" customHeight="1" x14ac:dyDescent="0.25">
      <c r="C591" s="16"/>
      <c r="D591" s="16"/>
      <c r="E591" s="16"/>
      <c r="F591" s="64"/>
      <c r="G591" s="70"/>
      <c r="H591" s="16"/>
      <c r="I591" s="16"/>
      <c r="J591" s="16"/>
    </row>
    <row r="592" spans="3:10" ht="13.5" customHeight="1" x14ac:dyDescent="0.25">
      <c r="C592" s="35"/>
      <c r="D592" s="35"/>
      <c r="E592" s="35"/>
      <c r="F592" s="65"/>
      <c r="G592" s="69"/>
      <c r="H592" s="35"/>
      <c r="I592" s="35"/>
      <c r="J592" s="35"/>
    </row>
    <row r="593" spans="3:10" ht="13.5" customHeight="1" x14ac:dyDescent="0.25">
      <c r="C593" s="16"/>
      <c r="D593" s="16"/>
      <c r="E593" s="16"/>
      <c r="F593" s="64"/>
      <c r="G593" s="70"/>
      <c r="H593" s="16"/>
      <c r="I593" s="16"/>
      <c r="J593" s="16"/>
    </row>
    <row r="594" spans="3:10" ht="13.5" customHeight="1" x14ac:dyDescent="0.25">
      <c r="C594" s="35"/>
      <c r="D594" s="35"/>
      <c r="E594" s="35"/>
      <c r="F594" s="65"/>
      <c r="G594" s="69"/>
      <c r="H594" s="35"/>
      <c r="I594" s="35"/>
      <c r="J594" s="35"/>
    </row>
    <row r="595" spans="3:10" ht="13.5" customHeight="1" x14ac:dyDescent="0.25">
      <c r="C595" s="16"/>
      <c r="D595" s="16"/>
      <c r="E595" s="16"/>
      <c r="F595" s="64"/>
      <c r="G595" s="70"/>
      <c r="H595" s="16"/>
      <c r="I595" s="16"/>
      <c r="J595" s="16"/>
    </row>
    <row r="596" spans="3:10" ht="13.5" customHeight="1" x14ac:dyDescent="0.25">
      <c r="C596" s="35"/>
      <c r="D596" s="35"/>
      <c r="E596" s="35"/>
      <c r="F596" s="65"/>
      <c r="G596" s="69"/>
      <c r="H596" s="35"/>
      <c r="I596" s="35"/>
      <c r="J596" s="35"/>
    </row>
    <row r="597" spans="3:10" ht="13.5" customHeight="1" x14ac:dyDescent="0.25">
      <c r="C597" s="16"/>
      <c r="D597" s="16"/>
      <c r="E597" s="16"/>
      <c r="F597" s="64"/>
      <c r="G597" s="70"/>
      <c r="H597" s="16"/>
      <c r="I597" s="16"/>
      <c r="J597" s="16"/>
    </row>
    <row r="598" spans="3:10" ht="13.5" customHeight="1" x14ac:dyDescent="0.25">
      <c r="C598" s="35"/>
      <c r="D598" s="35"/>
      <c r="E598" s="35"/>
      <c r="F598" s="65"/>
      <c r="G598" s="69"/>
      <c r="H598" s="35"/>
      <c r="I598" s="35"/>
      <c r="J598" s="35"/>
    </row>
    <row r="599" spans="3:10" ht="13.5" customHeight="1" x14ac:dyDescent="0.25">
      <c r="C599" s="16"/>
      <c r="D599" s="16"/>
      <c r="E599" s="16"/>
      <c r="F599" s="64"/>
      <c r="G599" s="70"/>
      <c r="H599" s="16"/>
      <c r="I599" s="16"/>
      <c r="J599" s="16"/>
    </row>
    <row r="600" spans="3:10" ht="13.5" customHeight="1" x14ac:dyDescent="0.25">
      <c r="C600" s="35"/>
      <c r="D600" s="35"/>
      <c r="E600" s="35"/>
      <c r="F600" s="65"/>
      <c r="G600" s="69"/>
      <c r="H600" s="35"/>
      <c r="I600" s="35"/>
      <c r="J600" s="35"/>
    </row>
    <row r="601" spans="3:10" ht="13.5" customHeight="1" x14ac:dyDescent="0.25">
      <c r="C601" s="16"/>
      <c r="D601" s="16"/>
      <c r="E601" s="16"/>
      <c r="F601" s="64"/>
      <c r="G601" s="70"/>
      <c r="H601" s="16"/>
      <c r="I601" s="16"/>
      <c r="J601" s="16"/>
    </row>
    <row r="602" spans="3:10" ht="13.5" customHeight="1" x14ac:dyDescent="0.25">
      <c r="C602" s="35"/>
      <c r="D602" s="35"/>
      <c r="E602" s="35"/>
      <c r="F602" s="65"/>
      <c r="G602" s="69"/>
      <c r="H602" s="35"/>
      <c r="I602" s="35"/>
      <c r="J602" s="35"/>
    </row>
    <row r="603" spans="3:10" ht="13.5" customHeight="1" x14ac:dyDescent="0.25">
      <c r="C603" s="16"/>
      <c r="D603" s="16"/>
      <c r="E603" s="16"/>
      <c r="F603" s="64"/>
      <c r="G603" s="70"/>
      <c r="H603" s="16"/>
      <c r="I603" s="16"/>
      <c r="J603" s="16"/>
    </row>
    <row r="604" spans="3:10" ht="13.5" customHeight="1" x14ac:dyDescent="0.25">
      <c r="C604" s="35"/>
      <c r="D604" s="35"/>
      <c r="E604" s="35"/>
      <c r="F604" s="65"/>
      <c r="G604" s="69"/>
      <c r="H604" s="35"/>
      <c r="I604" s="35"/>
      <c r="J604" s="35"/>
    </row>
    <row r="605" spans="3:10" ht="13.5" customHeight="1" x14ac:dyDescent="0.25">
      <c r="C605" s="16"/>
      <c r="D605" s="16"/>
      <c r="E605" s="16"/>
      <c r="F605" s="64"/>
      <c r="G605" s="70"/>
      <c r="H605" s="16"/>
      <c r="I605" s="16"/>
      <c r="J605" s="16"/>
    </row>
    <row r="606" spans="3:10" ht="13.5" customHeight="1" x14ac:dyDescent="0.25">
      <c r="C606" s="35"/>
      <c r="D606" s="35"/>
      <c r="E606" s="35"/>
      <c r="F606" s="65"/>
      <c r="G606" s="69"/>
      <c r="H606" s="35"/>
      <c r="I606" s="35"/>
      <c r="J606" s="35"/>
    </row>
    <row r="607" spans="3:10" ht="13.5" customHeight="1" x14ac:dyDescent="0.25">
      <c r="C607" s="16"/>
      <c r="D607" s="16"/>
      <c r="E607" s="16"/>
      <c r="F607" s="64"/>
      <c r="G607" s="70"/>
      <c r="H607" s="16"/>
      <c r="I607" s="16"/>
      <c r="J607" s="16"/>
    </row>
    <row r="608" spans="3:10" ht="13.5" customHeight="1" x14ac:dyDescent="0.25">
      <c r="C608" s="35"/>
      <c r="D608" s="35"/>
      <c r="E608" s="35"/>
      <c r="F608" s="65"/>
      <c r="G608" s="69"/>
      <c r="H608" s="35"/>
      <c r="I608" s="35"/>
      <c r="J608" s="35"/>
    </row>
    <row r="609" spans="3:10" ht="13.5" customHeight="1" x14ac:dyDescent="0.25">
      <c r="C609" s="16"/>
      <c r="D609" s="16"/>
      <c r="E609" s="16"/>
      <c r="F609" s="64"/>
      <c r="G609" s="70"/>
      <c r="H609" s="16"/>
      <c r="I609" s="16"/>
      <c r="J609" s="16"/>
    </row>
    <row r="610" spans="3:10" ht="13.5" customHeight="1" x14ac:dyDescent="0.25">
      <c r="C610" s="35"/>
      <c r="D610" s="35"/>
      <c r="E610" s="35"/>
      <c r="F610" s="65"/>
      <c r="G610" s="69"/>
      <c r="H610" s="35"/>
      <c r="I610" s="35"/>
      <c r="J610" s="35"/>
    </row>
    <row r="611" spans="3:10" ht="13.5" customHeight="1" x14ac:dyDescent="0.25">
      <c r="C611" s="16"/>
      <c r="D611" s="16"/>
      <c r="E611" s="16"/>
      <c r="F611" s="64"/>
      <c r="G611" s="70"/>
      <c r="H611" s="16"/>
      <c r="I611" s="16"/>
      <c r="J611" s="16"/>
    </row>
    <row r="612" spans="3:10" ht="13.5" customHeight="1" x14ac:dyDescent="0.25">
      <c r="C612" s="35"/>
      <c r="D612" s="35"/>
      <c r="E612" s="35"/>
      <c r="F612" s="65"/>
      <c r="G612" s="69"/>
      <c r="H612" s="35"/>
      <c r="I612" s="35"/>
      <c r="J612" s="35"/>
    </row>
    <row r="613" spans="3:10" ht="13.5" customHeight="1" x14ac:dyDescent="0.25">
      <c r="C613" s="16"/>
      <c r="D613" s="16"/>
      <c r="E613" s="16"/>
      <c r="F613" s="64"/>
      <c r="G613" s="70"/>
      <c r="H613" s="16"/>
      <c r="I613" s="16"/>
      <c r="J613" s="16"/>
    </row>
    <row r="614" spans="3:10" ht="13.5" customHeight="1" x14ac:dyDescent="0.25">
      <c r="C614" s="35"/>
      <c r="D614" s="35"/>
      <c r="E614" s="35"/>
      <c r="F614" s="65"/>
      <c r="G614" s="69"/>
      <c r="H614" s="35"/>
      <c r="I614" s="35"/>
      <c r="J614" s="35"/>
    </row>
    <row r="615" spans="3:10" ht="13.5" customHeight="1" x14ac:dyDescent="0.25">
      <c r="C615" s="16"/>
      <c r="D615" s="16"/>
      <c r="E615" s="16"/>
      <c r="F615" s="64"/>
      <c r="G615" s="70"/>
      <c r="H615" s="16"/>
      <c r="I615" s="16"/>
      <c r="J615" s="16"/>
    </row>
    <row r="616" spans="3:10" ht="13.5" customHeight="1" x14ac:dyDescent="0.25">
      <c r="C616" s="35"/>
      <c r="D616" s="35"/>
      <c r="E616" s="35"/>
      <c r="F616" s="65"/>
      <c r="G616" s="69"/>
      <c r="H616" s="35"/>
      <c r="I616" s="35"/>
      <c r="J616" s="35"/>
    </row>
    <row r="617" spans="3:10" ht="13.5" customHeight="1" x14ac:dyDescent="0.25">
      <c r="C617" s="16"/>
      <c r="D617" s="16"/>
      <c r="E617" s="16"/>
      <c r="F617" s="64"/>
      <c r="G617" s="70"/>
      <c r="H617" s="16"/>
      <c r="I617" s="16"/>
      <c r="J617" s="16"/>
    </row>
    <row r="618" spans="3:10" ht="13.5" customHeight="1" x14ac:dyDescent="0.25">
      <c r="C618" s="35"/>
      <c r="D618" s="35"/>
      <c r="E618" s="35"/>
      <c r="F618" s="65"/>
      <c r="G618" s="69"/>
      <c r="H618" s="35"/>
      <c r="I618" s="35"/>
      <c r="J618" s="35"/>
    </row>
    <row r="619" spans="3:10" ht="13.5" customHeight="1" x14ac:dyDescent="0.25">
      <c r="C619" s="16"/>
      <c r="D619" s="16"/>
      <c r="E619" s="16"/>
      <c r="F619" s="64"/>
      <c r="G619" s="70"/>
      <c r="H619" s="16"/>
      <c r="I619" s="16"/>
      <c r="J619" s="16"/>
    </row>
    <row r="620" spans="3:10" ht="13.5" customHeight="1" x14ac:dyDescent="0.25">
      <c r="C620" s="35"/>
      <c r="D620" s="35"/>
      <c r="E620" s="35"/>
      <c r="F620" s="65"/>
      <c r="G620" s="69"/>
      <c r="H620" s="35"/>
      <c r="I620" s="35"/>
      <c r="J620" s="35"/>
    </row>
    <row r="621" spans="3:10" ht="13.5" customHeight="1" x14ac:dyDescent="0.25">
      <c r="C621" s="16"/>
      <c r="D621" s="16"/>
      <c r="E621" s="16"/>
      <c r="F621" s="64"/>
      <c r="G621" s="70"/>
      <c r="H621" s="16"/>
      <c r="I621" s="16"/>
      <c r="J621" s="16"/>
    </row>
    <row r="622" spans="3:10" ht="13.5" customHeight="1" x14ac:dyDescent="0.25">
      <c r="C622" s="35"/>
      <c r="D622" s="35"/>
      <c r="E622" s="35"/>
      <c r="F622" s="65"/>
      <c r="G622" s="69"/>
      <c r="H622" s="35"/>
      <c r="I622" s="35"/>
      <c r="J622" s="35"/>
    </row>
    <row r="623" spans="3:10" ht="13.5" customHeight="1" x14ac:dyDescent="0.25">
      <c r="C623" s="16"/>
      <c r="D623" s="16"/>
      <c r="E623" s="16"/>
      <c r="F623" s="64"/>
      <c r="G623" s="70"/>
      <c r="H623" s="16"/>
      <c r="I623" s="16"/>
      <c r="J623" s="16"/>
    </row>
    <row r="624" spans="3:10" ht="13.5" customHeight="1" x14ac:dyDescent="0.25">
      <c r="C624" s="35"/>
      <c r="D624" s="35"/>
      <c r="E624" s="35"/>
      <c r="F624" s="65"/>
      <c r="G624" s="69"/>
      <c r="H624" s="35"/>
      <c r="I624" s="35"/>
      <c r="J624" s="35"/>
    </row>
    <row r="625" spans="3:10" ht="13.5" customHeight="1" x14ac:dyDescent="0.25">
      <c r="C625" s="16"/>
      <c r="D625" s="16"/>
      <c r="E625" s="16"/>
      <c r="F625" s="64"/>
      <c r="G625" s="70"/>
      <c r="H625" s="16"/>
      <c r="I625" s="16"/>
      <c r="J625" s="16"/>
    </row>
    <row r="626" spans="3:10" ht="13.5" customHeight="1" x14ac:dyDescent="0.25">
      <c r="C626" s="35"/>
      <c r="D626" s="35"/>
      <c r="E626" s="35"/>
      <c r="F626" s="65"/>
      <c r="G626" s="69"/>
      <c r="H626" s="35"/>
      <c r="I626" s="35"/>
      <c r="J626" s="35"/>
    </row>
    <row r="627" spans="3:10" ht="13.5" customHeight="1" x14ac:dyDescent="0.25">
      <c r="C627" s="16"/>
      <c r="D627" s="16"/>
      <c r="E627" s="16"/>
      <c r="F627" s="64"/>
      <c r="G627" s="70"/>
      <c r="H627" s="16"/>
      <c r="I627" s="16"/>
      <c r="J627" s="16"/>
    </row>
    <row r="628" spans="3:10" ht="13.5" customHeight="1" x14ac:dyDescent="0.25">
      <c r="C628" s="35"/>
      <c r="D628" s="35"/>
      <c r="E628" s="35"/>
      <c r="F628" s="65"/>
      <c r="G628" s="69"/>
      <c r="H628" s="35"/>
      <c r="I628" s="35"/>
      <c r="J628" s="35"/>
    </row>
    <row r="629" spans="3:10" ht="13.5" customHeight="1" x14ac:dyDescent="0.25">
      <c r="C629" s="16"/>
      <c r="D629" s="16"/>
      <c r="E629" s="16"/>
      <c r="F629" s="64"/>
      <c r="G629" s="70"/>
      <c r="H629" s="16"/>
      <c r="I629" s="16"/>
      <c r="J629" s="16"/>
    </row>
    <row r="630" spans="3:10" ht="13.5" customHeight="1" x14ac:dyDescent="0.25">
      <c r="C630" s="35"/>
      <c r="D630" s="35"/>
      <c r="E630" s="35"/>
      <c r="F630" s="65"/>
      <c r="G630" s="69"/>
      <c r="H630" s="35"/>
      <c r="I630" s="35"/>
      <c r="J630" s="35"/>
    </row>
    <row r="631" spans="3:10" ht="13.5" customHeight="1" x14ac:dyDescent="0.25">
      <c r="C631" s="16"/>
      <c r="D631" s="16"/>
      <c r="E631" s="16"/>
      <c r="F631" s="64"/>
      <c r="G631" s="70"/>
      <c r="H631" s="16"/>
      <c r="I631" s="16"/>
      <c r="J631" s="16"/>
    </row>
    <row r="632" spans="3:10" ht="13.5" customHeight="1" x14ac:dyDescent="0.25">
      <c r="C632" s="35"/>
      <c r="D632" s="35"/>
      <c r="E632" s="35"/>
      <c r="F632" s="65"/>
      <c r="G632" s="69"/>
      <c r="H632" s="35"/>
      <c r="I632" s="35"/>
      <c r="J632" s="35"/>
    </row>
    <row r="633" spans="3:10" ht="13.5" customHeight="1" x14ac:dyDescent="0.25">
      <c r="C633" s="16"/>
      <c r="D633" s="16"/>
      <c r="E633" s="16"/>
      <c r="F633" s="64"/>
      <c r="G633" s="70"/>
      <c r="H633" s="16"/>
      <c r="I633" s="16"/>
      <c r="J633" s="16"/>
    </row>
    <row r="634" spans="3:10" ht="13.5" customHeight="1" x14ac:dyDescent="0.25">
      <c r="C634" s="35"/>
      <c r="D634" s="35"/>
      <c r="E634" s="35"/>
      <c r="F634" s="65"/>
      <c r="G634" s="69"/>
      <c r="H634" s="35"/>
      <c r="I634" s="35"/>
      <c r="J634" s="35"/>
    </row>
    <row r="635" spans="3:10" ht="13.5" customHeight="1" x14ac:dyDescent="0.25">
      <c r="C635" s="16"/>
      <c r="D635" s="16"/>
      <c r="E635" s="16"/>
      <c r="F635" s="64"/>
      <c r="G635" s="70"/>
      <c r="H635" s="16"/>
      <c r="I635" s="16"/>
      <c r="J635" s="16"/>
    </row>
    <row r="636" spans="3:10" ht="13.5" customHeight="1" x14ac:dyDescent="0.25">
      <c r="C636" s="35"/>
      <c r="D636" s="35"/>
      <c r="E636" s="35"/>
      <c r="F636" s="65"/>
      <c r="G636" s="69"/>
      <c r="H636" s="35"/>
      <c r="I636" s="35"/>
      <c r="J636" s="35"/>
    </row>
    <row r="637" spans="3:10" ht="13.5" customHeight="1" x14ac:dyDescent="0.25">
      <c r="C637" s="16"/>
      <c r="D637" s="16"/>
      <c r="E637" s="16"/>
      <c r="F637" s="64"/>
      <c r="G637" s="70"/>
      <c r="H637" s="16"/>
      <c r="I637" s="16"/>
      <c r="J637" s="16"/>
    </row>
    <row r="638" spans="3:10" ht="13.5" customHeight="1" x14ac:dyDescent="0.25">
      <c r="C638" s="35"/>
      <c r="D638" s="35"/>
      <c r="E638" s="35"/>
      <c r="F638" s="65"/>
      <c r="G638" s="69"/>
      <c r="H638" s="35"/>
      <c r="I638" s="35"/>
      <c r="J638" s="35"/>
    </row>
    <row r="639" spans="3:10" ht="13.5" customHeight="1" x14ac:dyDescent="0.25">
      <c r="C639" s="16"/>
      <c r="D639" s="16"/>
      <c r="E639" s="16"/>
      <c r="F639" s="64"/>
      <c r="G639" s="70"/>
      <c r="H639" s="16"/>
      <c r="I639" s="16"/>
      <c r="J639" s="16"/>
    </row>
    <row r="640" spans="3:10" ht="13.5" customHeight="1" x14ac:dyDescent="0.25">
      <c r="C640" s="35"/>
      <c r="D640" s="35"/>
      <c r="E640" s="35"/>
      <c r="F640" s="65"/>
      <c r="G640" s="69"/>
      <c r="H640" s="35"/>
      <c r="I640" s="35"/>
      <c r="J640" s="35"/>
    </row>
    <row r="641" spans="3:10" ht="13.5" customHeight="1" x14ac:dyDescent="0.25">
      <c r="C641" s="16"/>
      <c r="D641" s="16"/>
      <c r="E641" s="16"/>
      <c r="F641" s="64"/>
      <c r="G641" s="70"/>
      <c r="H641" s="16"/>
      <c r="I641" s="16"/>
      <c r="J641" s="16"/>
    </row>
    <row r="642" spans="3:10" ht="13.5" customHeight="1" x14ac:dyDescent="0.25">
      <c r="C642" s="35"/>
      <c r="D642" s="35"/>
      <c r="E642" s="35"/>
      <c r="F642" s="65"/>
      <c r="G642" s="69"/>
      <c r="H642" s="35"/>
      <c r="I642" s="35"/>
      <c r="J642" s="35"/>
    </row>
    <row r="643" spans="3:10" ht="13.5" customHeight="1" x14ac:dyDescent="0.25">
      <c r="C643" s="16"/>
      <c r="D643" s="16"/>
      <c r="E643" s="16"/>
      <c r="F643" s="64"/>
      <c r="G643" s="70"/>
      <c r="H643" s="16"/>
      <c r="I643" s="16"/>
      <c r="J643" s="16"/>
    </row>
    <row r="644" spans="3:10" ht="13.5" customHeight="1" x14ac:dyDescent="0.25">
      <c r="C644" s="35"/>
      <c r="D644" s="35"/>
      <c r="E644" s="35"/>
      <c r="F644" s="65"/>
      <c r="G644" s="69"/>
      <c r="H644" s="35"/>
      <c r="I644" s="35"/>
      <c r="J644" s="35"/>
    </row>
    <row r="645" spans="3:10" ht="13.5" customHeight="1" x14ac:dyDescent="0.25">
      <c r="C645" s="16"/>
      <c r="D645" s="16"/>
      <c r="E645" s="16"/>
      <c r="F645" s="64"/>
      <c r="G645" s="70"/>
      <c r="H645" s="16"/>
      <c r="I645" s="16"/>
      <c r="J645" s="16"/>
    </row>
    <row r="646" spans="3:10" ht="13.5" customHeight="1" x14ac:dyDescent="0.25">
      <c r="C646" s="35"/>
      <c r="D646" s="35"/>
      <c r="E646" s="35"/>
      <c r="F646" s="65"/>
      <c r="G646" s="69"/>
      <c r="H646" s="35"/>
      <c r="I646" s="35"/>
      <c r="J646" s="35"/>
    </row>
    <row r="647" spans="3:10" ht="13.5" customHeight="1" x14ac:dyDescent="0.25">
      <c r="C647" s="16"/>
      <c r="D647" s="16"/>
      <c r="E647" s="16"/>
      <c r="F647" s="64"/>
      <c r="G647" s="70"/>
      <c r="H647" s="16"/>
      <c r="I647" s="16"/>
      <c r="J647" s="16"/>
    </row>
    <row r="648" spans="3:10" ht="13.5" customHeight="1" x14ac:dyDescent="0.25">
      <c r="C648" s="35"/>
      <c r="D648" s="35"/>
      <c r="E648" s="35"/>
      <c r="F648" s="65"/>
      <c r="G648" s="69"/>
      <c r="H648" s="35"/>
      <c r="I648" s="35"/>
      <c r="J648" s="35"/>
    </row>
    <row r="649" spans="3:10" ht="13.5" customHeight="1" x14ac:dyDescent="0.25">
      <c r="C649" s="16"/>
      <c r="D649" s="16"/>
      <c r="E649" s="16"/>
      <c r="F649" s="64"/>
      <c r="G649" s="70"/>
      <c r="H649" s="16"/>
      <c r="I649" s="16"/>
      <c r="J649" s="16"/>
    </row>
    <row r="650" spans="3:10" ht="13.5" customHeight="1" x14ac:dyDescent="0.25">
      <c r="C650" s="35"/>
      <c r="D650" s="35"/>
      <c r="E650" s="35"/>
      <c r="F650" s="65"/>
      <c r="G650" s="69"/>
      <c r="H650" s="35"/>
      <c r="I650" s="35"/>
      <c r="J650" s="35"/>
    </row>
    <row r="651" spans="3:10" ht="13.5" customHeight="1" x14ac:dyDescent="0.25">
      <c r="C651" s="16"/>
      <c r="D651" s="16"/>
      <c r="E651" s="16"/>
      <c r="F651" s="64"/>
      <c r="G651" s="70"/>
      <c r="H651" s="16"/>
      <c r="I651" s="16"/>
      <c r="J651" s="16"/>
    </row>
    <row r="652" spans="3:10" ht="13.5" customHeight="1" x14ac:dyDescent="0.25">
      <c r="C652" s="35"/>
      <c r="D652" s="35"/>
      <c r="E652" s="35"/>
      <c r="F652" s="65"/>
      <c r="G652" s="69"/>
      <c r="H652" s="35"/>
      <c r="I652" s="35"/>
      <c r="J652" s="35"/>
    </row>
    <row r="653" spans="3:10" ht="13.5" customHeight="1" x14ac:dyDescent="0.25">
      <c r="C653" s="16"/>
      <c r="D653" s="16"/>
      <c r="E653" s="16"/>
      <c r="F653" s="64"/>
      <c r="G653" s="70"/>
      <c r="H653" s="16"/>
      <c r="I653" s="16"/>
      <c r="J653" s="16"/>
    </row>
    <row r="654" spans="3:10" ht="13.5" customHeight="1" x14ac:dyDescent="0.25">
      <c r="C654" s="35"/>
      <c r="D654" s="35"/>
      <c r="E654" s="35"/>
      <c r="F654" s="65"/>
      <c r="G654" s="69"/>
      <c r="H654" s="35"/>
      <c r="I654" s="35"/>
      <c r="J654" s="35"/>
    </row>
    <row r="655" spans="3:10" ht="13.5" customHeight="1" x14ac:dyDescent="0.25">
      <c r="C655" s="16"/>
      <c r="D655" s="16"/>
      <c r="E655" s="16"/>
      <c r="F655" s="64"/>
      <c r="G655" s="70"/>
      <c r="H655" s="16"/>
      <c r="I655" s="16"/>
      <c r="J655" s="16"/>
    </row>
    <row r="656" spans="3:10" ht="13.5" customHeight="1" x14ac:dyDescent="0.25">
      <c r="C656" s="35"/>
      <c r="D656" s="35"/>
      <c r="E656" s="35"/>
      <c r="F656" s="65"/>
      <c r="G656" s="69"/>
      <c r="H656" s="35"/>
      <c r="I656" s="35"/>
      <c r="J656" s="35"/>
    </row>
    <row r="657" spans="3:10" ht="13.5" customHeight="1" x14ac:dyDescent="0.25">
      <c r="C657" s="16"/>
      <c r="D657" s="16"/>
      <c r="E657" s="16"/>
      <c r="F657" s="64"/>
      <c r="G657" s="70"/>
      <c r="H657" s="16"/>
      <c r="I657" s="16"/>
      <c r="J657" s="16"/>
    </row>
    <row r="658" spans="3:10" ht="13.5" customHeight="1" x14ac:dyDescent="0.25">
      <c r="C658" s="35"/>
      <c r="D658" s="35"/>
      <c r="E658" s="35"/>
      <c r="F658" s="65"/>
      <c r="G658" s="69"/>
      <c r="H658" s="35"/>
      <c r="I658" s="35"/>
      <c r="J658" s="35"/>
    </row>
    <row r="659" spans="3:10" ht="13.5" customHeight="1" x14ac:dyDescent="0.25">
      <c r="C659" s="16"/>
      <c r="D659" s="16"/>
      <c r="E659" s="16"/>
      <c r="F659" s="64"/>
      <c r="G659" s="70"/>
      <c r="H659" s="16"/>
      <c r="I659" s="16"/>
      <c r="J659" s="16"/>
    </row>
    <row r="660" spans="3:10" ht="13.5" customHeight="1" x14ac:dyDescent="0.25">
      <c r="C660" s="35"/>
      <c r="D660" s="35"/>
      <c r="E660" s="35"/>
      <c r="F660" s="65"/>
      <c r="G660" s="69"/>
      <c r="H660" s="35"/>
      <c r="I660" s="35"/>
      <c r="J660" s="35"/>
    </row>
    <row r="661" spans="3:10" ht="13.5" customHeight="1" x14ac:dyDescent="0.25">
      <c r="C661" s="16"/>
      <c r="D661" s="16"/>
      <c r="E661" s="16"/>
      <c r="F661" s="64"/>
      <c r="G661" s="70"/>
      <c r="H661" s="16"/>
      <c r="I661" s="16"/>
      <c r="J661" s="16"/>
    </row>
    <row r="662" spans="3:10" ht="13.5" customHeight="1" x14ac:dyDescent="0.25">
      <c r="C662" s="35"/>
      <c r="D662" s="35"/>
      <c r="E662" s="35"/>
      <c r="F662" s="65"/>
      <c r="G662" s="69"/>
      <c r="H662" s="35"/>
      <c r="I662" s="35"/>
      <c r="J662" s="35"/>
    </row>
    <row r="663" spans="3:10" ht="13.5" customHeight="1" x14ac:dyDescent="0.25">
      <c r="C663" s="16"/>
      <c r="D663" s="16"/>
      <c r="E663" s="16"/>
      <c r="F663" s="64"/>
      <c r="G663" s="70"/>
      <c r="H663" s="16"/>
      <c r="I663" s="16"/>
      <c r="J663" s="16"/>
    </row>
    <row r="664" spans="3:10" ht="13.5" customHeight="1" x14ac:dyDescent="0.25">
      <c r="C664" s="35"/>
      <c r="D664" s="35"/>
      <c r="E664" s="35"/>
      <c r="F664" s="65"/>
      <c r="G664" s="69"/>
      <c r="H664" s="35"/>
      <c r="I664" s="35"/>
      <c r="J664" s="35"/>
    </row>
    <row r="665" spans="3:10" ht="13.5" customHeight="1" x14ac:dyDescent="0.25">
      <c r="C665" s="16"/>
      <c r="D665" s="16"/>
      <c r="E665" s="16"/>
      <c r="F665" s="64"/>
      <c r="G665" s="70"/>
      <c r="H665" s="16"/>
      <c r="I665" s="16"/>
      <c r="J665" s="16"/>
    </row>
    <row r="666" spans="3:10" ht="13.5" customHeight="1" x14ac:dyDescent="0.25">
      <c r="C666" s="35"/>
      <c r="D666" s="35"/>
      <c r="E666" s="35"/>
      <c r="F666" s="65"/>
      <c r="G666" s="69"/>
      <c r="H666" s="35"/>
      <c r="I666" s="35"/>
      <c r="J666" s="35"/>
    </row>
    <row r="667" spans="3:10" ht="13.5" customHeight="1" x14ac:dyDescent="0.25">
      <c r="C667" s="16"/>
      <c r="D667" s="16"/>
      <c r="E667" s="16"/>
      <c r="F667" s="64"/>
      <c r="G667" s="70"/>
      <c r="H667" s="16"/>
      <c r="I667" s="16"/>
      <c r="J667" s="16"/>
    </row>
    <row r="668" spans="3:10" ht="13.5" customHeight="1" x14ac:dyDescent="0.25">
      <c r="C668" s="35"/>
      <c r="D668" s="35"/>
      <c r="E668" s="35"/>
      <c r="F668" s="65"/>
      <c r="G668" s="69"/>
      <c r="H668" s="35"/>
      <c r="I668" s="35"/>
      <c r="J668" s="35"/>
    </row>
    <row r="669" spans="3:10" ht="13.5" customHeight="1" x14ac:dyDescent="0.25">
      <c r="C669" s="16"/>
      <c r="D669" s="16"/>
      <c r="E669" s="16"/>
      <c r="F669" s="64"/>
      <c r="G669" s="70"/>
      <c r="H669" s="16"/>
      <c r="I669" s="16"/>
      <c r="J669" s="16"/>
    </row>
    <row r="670" spans="3:10" ht="13.5" customHeight="1" x14ac:dyDescent="0.25">
      <c r="C670" s="35"/>
      <c r="D670" s="35"/>
      <c r="E670" s="35"/>
      <c r="F670" s="65"/>
      <c r="G670" s="69"/>
      <c r="H670" s="35"/>
      <c r="I670" s="35"/>
      <c r="J670" s="35"/>
    </row>
    <row r="671" spans="3:10" ht="13.5" customHeight="1" x14ac:dyDescent="0.25">
      <c r="C671" s="16"/>
      <c r="D671" s="16"/>
      <c r="E671" s="16"/>
      <c r="F671" s="64"/>
      <c r="G671" s="70"/>
      <c r="H671" s="16"/>
      <c r="I671" s="16"/>
      <c r="J671" s="16"/>
    </row>
    <row r="672" spans="3:10" ht="13.5" customHeight="1" x14ac:dyDescent="0.25">
      <c r="C672" s="35"/>
      <c r="D672" s="35"/>
      <c r="E672" s="35"/>
      <c r="F672" s="65"/>
      <c r="G672" s="69"/>
      <c r="H672" s="35"/>
      <c r="I672" s="35"/>
      <c r="J672" s="35"/>
    </row>
    <row r="673" spans="3:10" ht="13.5" customHeight="1" x14ac:dyDescent="0.25">
      <c r="C673" s="16"/>
      <c r="D673" s="16"/>
      <c r="E673" s="16"/>
      <c r="F673" s="64"/>
      <c r="G673" s="70"/>
      <c r="H673" s="16"/>
      <c r="I673" s="16"/>
      <c r="J673" s="16"/>
    </row>
    <row r="674" spans="3:10" ht="13.5" customHeight="1" x14ac:dyDescent="0.25">
      <c r="C674" s="35"/>
      <c r="D674" s="35"/>
      <c r="E674" s="35"/>
      <c r="F674" s="65"/>
      <c r="G674" s="69"/>
      <c r="H674" s="35"/>
      <c r="I674" s="35"/>
      <c r="J674" s="35"/>
    </row>
    <row r="675" spans="3:10" ht="13.5" customHeight="1" x14ac:dyDescent="0.25">
      <c r="C675" s="16"/>
      <c r="D675" s="16"/>
      <c r="E675" s="16"/>
      <c r="F675" s="64"/>
      <c r="G675" s="70"/>
      <c r="H675" s="16"/>
      <c r="I675" s="16"/>
      <c r="J675" s="16"/>
    </row>
    <row r="676" spans="3:10" ht="13.5" customHeight="1" x14ac:dyDescent="0.25">
      <c r="C676" s="35"/>
      <c r="D676" s="35"/>
      <c r="E676" s="35"/>
      <c r="F676" s="65"/>
      <c r="G676" s="69"/>
      <c r="H676" s="35"/>
      <c r="I676" s="35"/>
      <c r="J676" s="35"/>
    </row>
    <row r="677" spans="3:10" ht="13.5" customHeight="1" x14ac:dyDescent="0.25">
      <c r="C677" s="16"/>
      <c r="D677" s="16"/>
      <c r="E677" s="16"/>
      <c r="F677" s="64"/>
      <c r="G677" s="70"/>
      <c r="H677" s="16"/>
      <c r="I677" s="16"/>
      <c r="J677" s="16"/>
    </row>
    <row r="678" spans="3:10" ht="13.5" customHeight="1" x14ac:dyDescent="0.25">
      <c r="C678" s="35"/>
      <c r="D678" s="35"/>
      <c r="E678" s="35"/>
      <c r="F678" s="65"/>
      <c r="G678" s="69"/>
      <c r="H678" s="35"/>
      <c r="I678" s="35"/>
      <c r="J678" s="35"/>
    </row>
    <row r="679" spans="3:10" ht="13.5" customHeight="1" x14ac:dyDescent="0.25">
      <c r="C679" s="16"/>
      <c r="D679" s="16"/>
      <c r="E679" s="16"/>
      <c r="F679" s="64"/>
      <c r="G679" s="70"/>
      <c r="H679" s="16"/>
      <c r="I679" s="16"/>
      <c r="J679" s="16"/>
    </row>
    <row r="680" spans="3:10" ht="13.5" customHeight="1" x14ac:dyDescent="0.25">
      <c r="C680" s="35"/>
      <c r="D680" s="35"/>
      <c r="E680" s="35"/>
      <c r="F680" s="65"/>
      <c r="G680" s="69"/>
      <c r="H680" s="35"/>
      <c r="I680" s="35"/>
      <c r="J680" s="35"/>
    </row>
    <row r="681" spans="3:10" ht="13.5" customHeight="1" x14ac:dyDescent="0.25">
      <c r="C681" s="16"/>
      <c r="D681" s="16"/>
      <c r="E681" s="16"/>
      <c r="F681" s="64"/>
      <c r="G681" s="70"/>
      <c r="H681" s="16"/>
      <c r="I681" s="16"/>
      <c r="J681" s="16"/>
    </row>
    <row r="682" spans="3:10" ht="13.5" customHeight="1" x14ac:dyDescent="0.25">
      <c r="C682" s="35"/>
      <c r="D682" s="35"/>
      <c r="E682" s="35"/>
      <c r="F682" s="65"/>
      <c r="G682" s="69"/>
      <c r="H682" s="35"/>
      <c r="I682" s="35"/>
      <c r="J682" s="35"/>
    </row>
    <row r="683" spans="3:10" ht="13.5" customHeight="1" x14ac:dyDescent="0.25">
      <c r="C683" s="16"/>
      <c r="D683" s="16"/>
      <c r="E683" s="16"/>
      <c r="F683" s="64"/>
      <c r="G683" s="70"/>
      <c r="H683" s="16"/>
      <c r="I683" s="16"/>
      <c r="J683" s="16"/>
    </row>
    <row r="684" spans="3:10" ht="13.5" customHeight="1" x14ac:dyDescent="0.25">
      <c r="C684" s="35"/>
      <c r="D684" s="35"/>
      <c r="E684" s="35"/>
      <c r="F684" s="65"/>
      <c r="G684" s="69"/>
      <c r="H684" s="35"/>
      <c r="I684" s="35"/>
      <c r="J684" s="35"/>
    </row>
    <row r="685" spans="3:10" ht="13.5" customHeight="1" x14ac:dyDescent="0.25">
      <c r="C685" s="16"/>
      <c r="D685" s="16"/>
      <c r="E685" s="16"/>
      <c r="F685" s="64"/>
      <c r="G685" s="70"/>
      <c r="H685" s="16"/>
      <c r="I685" s="16"/>
      <c r="J685" s="16"/>
    </row>
    <row r="686" spans="3:10" ht="13.5" customHeight="1" x14ac:dyDescent="0.25">
      <c r="C686" s="35"/>
      <c r="D686" s="35"/>
      <c r="E686" s="35"/>
      <c r="F686" s="65"/>
      <c r="G686" s="69"/>
      <c r="H686" s="35"/>
      <c r="I686" s="35"/>
      <c r="J686" s="35"/>
    </row>
    <row r="687" spans="3:10" ht="13.5" customHeight="1" x14ac:dyDescent="0.25">
      <c r="C687" s="16"/>
      <c r="D687" s="16"/>
      <c r="E687" s="16"/>
      <c r="F687" s="64"/>
      <c r="G687" s="70"/>
      <c r="H687" s="16"/>
      <c r="I687" s="16"/>
      <c r="J687" s="16"/>
    </row>
    <row r="688" spans="3:10" ht="13.5" customHeight="1" x14ac:dyDescent="0.25">
      <c r="C688" s="35"/>
      <c r="D688" s="35"/>
      <c r="E688" s="35"/>
      <c r="F688" s="65"/>
      <c r="G688" s="69"/>
      <c r="H688" s="35"/>
      <c r="I688" s="35"/>
      <c r="J688" s="35"/>
    </row>
    <row r="689" spans="3:10" ht="13.5" customHeight="1" x14ac:dyDescent="0.25">
      <c r="C689" s="16"/>
      <c r="D689" s="16"/>
      <c r="E689" s="16"/>
      <c r="F689" s="64"/>
      <c r="G689" s="70"/>
      <c r="H689" s="16"/>
      <c r="I689" s="16"/>
      <c r="J689" s="16"/>
    </row>
    <row r="690" spans="3:10" ht="13.5" customHeight="1" x14ac:dyDescent="0.25">
      <c r="C690" s="35"/>
      <c r="D690" s="35"/>
      <c r="E690" s="35"/>
      <c r="F690" s="65"/>
      <c r="G690" s="69"/>
      <c r="H690" s="35"/>
      <c r="I690" s="35"/>
      <c r="J690" s="35"/>
    </row>
    <row r="691" spans="3:10" ht="13.5" customHeight="1" x14ac:dyDescent="0.25">
      <c r="C691" s="16"/>
      <c r="D691" s="16"/>
      <c r="E691" s="16"/>
      <c r="F691" s="64"/>
      <c r="G691" s="70"/>
      <c r="H691" s="16"/>
      <c r="I691" s="16"/>
      <c r="J691" s="16"/>
    </row>
    <row r="692" spans="3:10" ht="13.5" customHeight="1" x14ac:dyDescent="0.25">
      <c r="C692" s="35"/>
      <c r="D692" s="35"/>
      <c r="E692" s="35"/>
      <c r="F692" s="65"/>
      <c r="G692" s="69"/>
      <c r="H692" s="35"/>
      <c r="I692" s="35"/>
      <c r="J692" s="35"/>
    </row>
    <row r="693" spans="3:10" ht="13.5" customHeight="1" x14ac:dyDescent="0.25">
      <c r="C693" s="16"/>
      <c r="D693" s="16"/>
      <c r="E693" s="16"/>
      <c r="F693" s="64"/>
      <c r="G693" s="70"/>
      <c r="H693" s="16"/>
      <c r="I693" s="16"/>
      <c r="J693" s="16"/>
    </row>
    <row r="694" spans="3:10" ht="13.5" customHeight="1" x14ac:dyDescent="0.25">
      <c r="C694" s="35"/>
      <c r="D694" s="35"/>
      <c r="E694" s="35"/>
      <c r="F694" s="65"/>
      <c r="G694" s="69"/>
      <c r="H694" s="35"/>
      <c r="I694" s="35"/>
      <c r="J694" s="35"/>
    </row>
    <row r="695" spans="3:10" ht="13.5" customHeight="1" x14ac:dyDescent="0.25">
      <c r="C695" s="16"/>
      <c r="D695" s="16"/>
      <c r="E695" s="16"/>
      <c r="F695" s="64"/>
      <c r="G695" s="70"/>
      <c r="H695" s="16"/>
      <c r="I695" s="16"/>
      <c r="J695" s="16"/>
    </row>
    <row r="696" spans="3:10" ht="13.5" customHeight="1" x14ac:dyDescent="0.25">
      <c r="C696" s="35"/>
      <c r="D696" s="35"/>
      <c r="E696" s="35"/>
      <c r="F696" s="65"/>
      <c r="G696" s="69"/>
      <c r="H696" s="35"/>
      <c r="I696" s="35"/>
      <c r="J696" s="35"/>
    </row>
    <row r="697" spans="3:10" ht="13.5" customHeight="1" x14ac:dyDescent="0.25">
      <c r="C697" s="16"/>
      <c r="D697" s="16"/>
      <c r="E697" s="16"/>
      <c r="F697" s="64"/>
      <c r="G697" s="70"/>
      <c r="H697" s="16"/>
      <c r="I697" s="16"/>
      <c r="J697" s="16"/>
    </row>
    <row r="698" spans="3:10" ht="13.5" customHeight="1" x14ac:dyDescent="0.25">
      <c r="C698" s="35"/>
      <c r="D698" s="35"/>
      <c r="E698" s="35"/>
      <c r="F698" s="65"/>
      <c r="G698" s="69"/>
      <c r="H698" s="35"/>
      <c r="I698" s="35"/>
      <c r="J698" s="35"/>
    </row>
    <row r="699" spans="3:10" ht="13.5" customHeight="1" x14ac:dyDescent="0.25">
      <c r="C699" s="16"/>
      <c r="D699" s="16"/>
      <c r="E699" s="16"/>
      <c r="F699" s="64"/>
      <c r="G699" s="70"/>
      <c r="H699" s="16"/>
      <c r="I699" s="16"/>
      <c r="J699" s="16"/>
    </row>
    <row r="700" spans="3:10" ht="13.5" customHeight="1" x14ac:dyDescent="0.25">
      <c r="C700" s="35"/>
      <c r="D700" s="35"/>
      <c r="E700" s="35"/>
      <c r="F700" s="65"/>
      <c r="G700" s="69"/>
      <c r="H700" s="35"/>
      <c r="I700" s="35"/>
      <c r="J700" s="35"/>
    </row>
    <row r="701" spans="3:10" ht="13.5" customHeight="1" x14ac:dyDescent="0.25">
      <c r="C701" s="16"/>
      <c r="D701" s="16"/>
      <c r="E701" s="16"/>
      <c r="F701" s="64"/>
      <c r="G701" s="70"/>
      <c r="H701" s="16"/>
      <c r="I701" s="16"/>
      <c r="J701" s="16"/>
    </row>
    <row r="702" spans="3:10" ht="13.5" customHeight="1" x14ac:dyDescent="0.25">
      <c r="C702" s="35"/>
      <c r="D702" s="35"/>
      <c r="E702" s="35"/>
      <c r="F702" s="65"/>
      <c r="G702" s="69"/>
      <c r="H702" s="35"/>
      <c r="I702" s="35"/>
      <c r="J702" s="35"/>
    </row>
    <row r="703" spans="3:10" ht="13.5" customHeight="1" x14ac:dyDescent="0.25">
      <c r="C703" s="16"/>
      <c r="D703" s="16"/>
      <c r="E703" s="16"/>
      <c r="F703" s="64"/>
      <c r="G703" s="70"/>
      <c r="H703" s="16"/>
      <c r="I703" s="16"/>
      <c r="J703" s="16"/>
    </row>
    <row r="704" spans="3:10" ht="13.5" customHeight="1" x14ac:dyDescent="0.25">
      <c r="C704" s="35"/>
      <c r="D704" s="35"/>
      <c r="E704" s="35"/>
      <c r="F704" s="65"/>
      <c r="G704" s="69"/>
      <c r="H704" s="35"/>
      <c r="I704" s="35"/>
      <c r="J704" s="35"/>
    </row>
    <row r="705" spans="3:10" ht="13.5" customHeight="1" x14ac:dyDescent="0.25">
      <c r="C705" s="16"/>
      <c r="D705" s="16"/>
      <c r="E705" s="16"/>
      <c r="F705" s="64"/>
      <c r="G705" s="70"/>
      <c r="H705" s="16"/>
      <c r="I705" s="16"/>
      <c r="J705" s="16"/>
    </row>
    <row r="706" spans="3:10" ht="13.5" customHeight="1" x14ac:dyDescent="0.25">
      <c r="C706" s="35"/>
      <c r="D706" s="35"/>
      <c r="E706" s="35"/>
      <c r="F706" s="65"/>
      <c r="G706" s="69"/>
      <c r="H706" s="35"/>
      <c r="I706" s="35"/>
      <c r="J706" s="35"/>
    </row>
    <row r="707" spans="3:10" ht="13.5" customHeight="1" x14ac:dyDescent="0.25">
      <c r="C707" s="16"/>
      <c r="D707" s="16"/>
      <c r="E707" s="16"/>
      <c r="F707" s="64"/>
      <c r="G707" s="70"/>
      <c r="H707" s="16"/>
      <c r="I707" s="16"/>
      <c r="J707" s="16"/>
    </row>
    <row r="708" spans="3:10" ht="13.5" customHeight="1" x14ac:dyDescent="0.25">
      <c r="C708" s="35"/>
      <c r="D708" s="35"/>
      <c r="E708" s="35"/>
      <c r="F708" s="65"/>
      <c r="G708" s="69"/>
      <c r="H708" s="35"/>
      <c r="I708" s="35"/>
      <c r="J708" s="35"/>
    </row>
    <row r="709" spans="3:10" ht="13.5" customHeight="1" x14ac:dyDescent="0.25">
      <c r="C709" s="16"/>
      <c r="D709" s="16"/>
      <c r="E709" s="16"/>
      <c r="F709" s="64"/>
      <c r="G709" s="70"/>
      <c r="H709" s="16"/>
      <c r="I709" s="16"/>
      <c r="J709" s="16"/>
    </row>
    <row r="710" spans="3:10" ht="13.5" customHeight="1" x14ac:dyDescent="0.25">
      <c r="C710" s="35"/>
      <c r="D710" s="35"/>
      <c r="E710" s="35"/>
      <c r="F710" s="65"/>
      <c r="G710" s="69"/>
      <c r="H710" s="35"/>
      <c r="I710" s="35"/>
      <c r="J710" s="35"/>
    </row>
    <row r="711" spans="3:10" ht="13.5" customHeight="1" x14ac:dyDescent="0.25">
      <c r="C711" s="16"/>
      <c r="D711" s="16"/>
      <c r="E711" s="16"/>
      <c r="F711" s="64"/>
      <c r="G711" s="70"/>
      <c r="H711" s="16"/>
      <c r="I711" s="16"/>
      <c r="J711" s="16"/>
    </row>
    <row r="712" spans="3:10" ht="13.5" customHeight="1" x14ac:dyDescent="0.25">
      <c r="C712" s="35"/>
      <c r="D712" s="35"/>
      <c r="E712" s="35"/>
      <c r="F712" s="65"/>
      <c r="G712" s="69"/>
      <c r="H712" s="35"/>
      <c r="I712" s="35"/>
      <c r="J712" s="35"/>
    </row>
    <row r="713" spans="3:10" ht="13.5" customHeight="1" x14ac:dyDescent="0.25">
      <c r="C713" s="16"/>
      <c r="D713" s="16"/>
      <c r="E713" s="16"/>
      <c r="F713" s="64"/>
      <c r="G713" s="70"/>
      <c r="H713" s="16"/>
      <c r="I713" s="16"/>
      <c r="J713" s="16"/>
    </row>
    <row r="714" spans="3:10" ht="13.5" customHeight="1" x14ac:dyDescent="0.25">
      <c r="C714" s="35"/>
      <c r="D714" s="35"/>
      <c r="E714" s="35"/>
      <c r="F714" s="65"/>
      <c r="G714" s="69"/>
      <c r="H714" s="35"/>
      <c r="I714" s="35"/>
      <c r="J714" s="35"/>
    </row>
    <row r="715" spans="3:10" ht="13.5" customHeight="1" x14ac:dyDescent="0.25">
      <c r="C715" s="16"/>
      <c r="D715" s="16"/>
      <c r="E715" s="16"/>
      <c r="F715" s="64"/>
      <c r="G715" s="70"/>
      <c r="H715" s="16"/>
      <c r="I715" s="16"/>
      <c r="J715" s="16"/>
    </row>
    <row r="716" spans="3:10" ht="13.5" customHeight="1" x14ac:dyDescent="0.25">
      <c r="C716" s="35"/>
      <c r="D716" s="35"/>
      <c r="E716" s="35"/>
      <c r="F716" s="65"/>
      <c r="G716" s="69"/>
      <c r="H716" s="35"/>
      <c r="I716" s="35"/>
      <c r="J716" s="35"/>
    </row>
    <row r="717" spans="3:10" ht="13.5" customHeight="1" x14ac:dyDescent="0.25">
      <c r="C717" s="16"/>
      <c r="D717" s="16"/>
      <c r="E717" s="16"/>
      <c r="F717" s="64"/>
      <c r="G717" s="70"/>
      <c r="H717" s="16"/>
      <c r="I717" s="16"/>
      <c r="J717" s="16"/>
    </row>
    <row r="718" spans="3:10" ht="13.5" customHeight="1" x14ac:dyDescent="0.25">
      <c r="C718" s="35"/>
      <c r="D718" s="35"/>
      <c r="E718" s="35"/>
      <c r="F718" s="65"/>
      <c r="G718" s="69"/>
      <c r="H718" s="35"/>
      <c r="I718" s="35"/>
      <c r="J718" s="35"/>
    </row>
    <row r="719" spans="3:10" ht="13.5" customHeight="1" x14ac:dyDescent="0.25">
      <c r="C719" s="16"/>
      <c r="D719" s="16"/>
      <c r="E719" s="16"/>
      <c r="F719" s="64"/>
      <c r="G719" s="70"/>
      <c r="H719" s="16"/>
      <c r="I719" s="16"/>
      <c r="J719" s="16"/>
    </row>
    <row r="720" spans="3:10" ht="13.5" customHeight="1" x14ac:dyDescent="0.25">
      <c r="C720" s="35"/>
      <c r="D720" s="35"/>
      <c r="E720" s="35"/>
      <c r="F720" s="65"/>
      <c r="G720" s="69"/>
      <c r="H720" s="35"/>
      <c r="I720" s="35"/>
      <c r="J720" s="35"/>
    </row>
    <row r="721" spans="3:10" ht="13.5" customHeight="1" x14ac:dyDescent="0.25">
      <c r="C721" s="16"/>
      <c r="D721" s="16"/>
      <c r="E721" s="16"/>
      <c r="F721" s="64"/>
      <c r="G721" s="70"/>
      <c r="H721" s="16"/>
      <c r="I721" s="16"/>
      <c r="J721" s="16"/>
    </row>
    <row r="722" spans="3:10" ht="13.5" customHeight="1" x14ac:dyDescent="0.25">
      <c r="C722" s="35"/>
      <c r="D722" s="35"/>
      <c r="E722" s="35"/>
      <c r="F722" s="65"/>
      <c r="G722" s="69"/>
      <c r="H722" s="35"/>
      <c r="I722" s="35"/>
      <c r="J722" s="35"/>
    </row>
    <row r="723" spans="3:10" ht="13.5" customHeight="1" x14ac:dyDescent="0.25">
      <c r="C723" s="16"/>
      <c r="D723" s="16"/>
      <c r="E723" s="16"/>
      <c r="F723" s="64"/>
      <c r="G723" s="70"/>
      <c r="H723" s="16"/>
      <c r="I723" s="16"/>
      <c r="J723" s="16"/>
    </row>
    <row r="724" spans="3:10" ht="13.5" customHeight="1" x14ac:dyDescent="0.25">
      <c r="C724" s="35"/>
      <c r="D724" s="35"/>
      <c r="E724" s="35"/>
      <c r="F724" s="65"/>
      <c r="G724" s="69"/>
      <c r="H724" s="35"/>
      <c r="I724" s="35"/>
      <c r="J724" s="35"/>
    </row>
    <row r="725" spans="3:10" ht="13.5" customHeight="1" x14ac:dyDescent="0.25">
      <c r="C725" s="16"/>
      <c r="D725" s="16"/>
      <c r="E725" s="16"/>
      <c r="F725" s="64"/>
      <c r="G725" s="70"/>
      <c r="H725" s="16"/>
      <c r="I725" s="16"/>
      <c r="J725" s="16"/>
    </row>
    <row r="726" spans="3:10" ht="13.5" customHeight="1" x14ac:dyDescent="0.25">
      <c r="C726" s="35"/>
      <c r="D726" s="35"/>
      <c r="E726" s="35"/>
      <c r="F726" s="65"/>
      <c r="G726" s="69"/>
      <c r="H726" s="35"/>
      <c r="I726" s="35"/>
      <c r="J726" s="35"/>
    </row>
    <row r="727" spans="3:10" ht="13.5" customHeight="1" x14ac:dyDescent="0.25">
      <c r="C727" s="16"/>
      <c r="D727" s="16"/>
      <c r="E727" s="16"/>
      <c r="F727" s="64"/>
      <c r="G727" s="70"/>
      <c r="H727" s="16"/>
      <c r="I727" s="16"/>
      <c r="J727" s="16"/>
    </row>
    <row r="728" spans="3:10" ht="13.5" customHeight="1" x14ac:dyDescent="0.25">
      <c r="C728" s="35"/>
      <c r="D728" s="35"/>
      <c r="E728" s="35"/>
      <c r="F728" s="65"/>
      <c r="G728" s="69"/>
      <c r="H728" s="35"/>
      <c r="I728" s="35"/>
      <c r="J728" s="35"/>
    </row>
    <row r="729" spans="3:10" ht="13.5" customHeight="1" x14ac:dyDescent="0.25">
      <c r="C729" s="16"/>
      <c r="D729" s="16"/>
      <c r="E729" s="16"/>
      <c r="F729" s="64"/>
      <c r="G729" s="70"/>
      <c r="H729" s="16"/>
      <c r="I729" s="16"/>
      <c r="J729" s="16"/>
    </row>
    <row r="730" spans="3:10" ht="13.5" customHeight="1" x14ac:dyDescent="0.25">
      <c r="C730" s="35"/>
      <c r="D730" s="35"/>
      <c r="E730" s="35"/>
      <c r="F730" s="65"/>
      <c r="G730" s="69"/>
      <c r="H730" s="35"/>
      <c r="I730" s="35"/>
      <c r="J730" s="35"/>
    </row>
    <row r="731" spans="3:10" ht="13.5" customHeight="1" x14ac:dyDescent="0.25">
      <c r="C731" s="16"/>
      <c r="D731" s="16"/>
      <c r="E731" s="16"/>
      <c r="F731" s="64"/>
      <c r="G731" s="70"/>
      <c r="H731" s="16"/>
      <c r="I731" s="16"/>
      <c r="J731" s="16"/>
    </row>
    <row r="732" spans="3:10" ht="13.5" customHeight="1" x14ac:dyDescent="0.25">
      <c r="C732" s="35"/>
      <c r="D732" s="35"/>
      <c r="E732" s="35"/>
      <c r="F732" s="65"/>
      <c r="G732" s="69"/>
      <c r="H732" s="35"/>
      <c r="I732" s="35"/>
      <c r="J732" s="35"/>
    </row>
    <row r="733" spans="3:10" ht="13.5" customHeight="1" x14ac:dyDescent="0.25">
      <c r="C733" s="16"/>
      <c r="D733" s="16"/>
      <c r="E733" s="16"/>
      <c r="F733" s="64"/>
      <c r="G733" s="70"/>
      <c r="H733" s="16"/>
      <c r="I733" s="16"/>
      <c r="J733" s="16"/>
    </row>
    <row r="734" spans="3:10" ht="13.5" customHeight="1" x14ac:dyDescent="0.25">
      <c r="C734" s="35"/>
      <c r="D734" s="35"/>
      <c r="E734" s="35"/>
      <c r="F734" s="65"/>
      <c r="G734" s="69"/>
      <c r="H734" s="35"/>
      <c r="I734" s="35"/>
      <c r="J734" s="35"/>
    </row>
    <row r="735" spans="3:10" ht="13.5" customHeight="1" x14ac:dyDescent="0.25">
      <c r="C735" s="16"/>
      <c r="D735" s="16"/>
      <c r="E735" s="16"/>
      <c r="F735" s="64"/>
      <c r="G735" s="70"/>
      <c r="H735" s="16"/>
      <c r="I735" s="16"/>
      <c r="J735" s="16"/>
    </row>
    <row r="736" spans="3:10" ht="13.5" customHeight="1" x14ac:dyDescent="0.25">
      <c r="C736" s="35"/>
      <c r="D736" s="35"/>
      <c r="E736" s="35"/>
      <c r="F736" s="65"/>
      <c r="G736" s="69"/>
      <c r="H736" s="35"/>
      <c r="I736" s="35"/>
      <c r="J736" s="35"/>
    </row>
    <row r="737" spans="3:10" ht="13.5" customHeight="1" x14ac:dyDescent="0.25">
      <c r="C737" s="16"/>
      <c r="D737" s="16"/>
      <c r="E737" s="16"/>
      <c r="F737" s="64"/>
      <c r="G737" s="70"/>
      <c r="H737" s="16"/>
      <c r="I737" s="16"/>
      <c r="J737" s="16"/>
    </row>
    <row r="738" spans="3:10" ht="13.5" customHeight="1" x14ac:dyDescent="0.25">
      <c r="C738" s="35"/>
      <c r="D738" s="35"/>
      <c r="E738" s="35"/>
      <c r="F738" s="65"/>
      <c r="G738" s="69"/>
      <c r="H738" s="35"/>
      <c r="I738" s="35"/>
      <c r="J738" s="35"/>
    </row>
    <row r="739" spans="3:10" ht="13.5" customHeight="1" x14ac:dyDescent="0.25">
      <c r="C739" s="16"/>
      <c r="D739" s="16"/>
      <c r="E739" s="16"/>
      <c r="F739" s="64"/>
      <c r="G739" s="70"/>
      <c r="H739" s="16"/>
      <c r="I739" s="16"/>
      <c r="J739" s="16"/>
    </row>
    <row r="740" spans="3:10" ht="13.5" customHeight="1" x14ac:dyDescent="0.25">
      <c r="C740" s="35"/>
      <c r="D740" s="35"/>
      <c r="E740" s="35"/>
      <c r="F740" s="65"/>
      <c r="G740" s="69"/>
      <c r="H740" s="35"/>
      <c r="I740" s="35"/>
      <c r="J740" s="35"/>
    </row>
    <row r="741" spans="3:10" ht="13.5" customHeight="1" x14ac:dyDescent="0.25">
      <c r="C741" s="16"/>
      <c r="D741" s="16"/>
      <c r="E741" s="16"/>
      <c r="F741" s="64"/>
      <c r="G741" s="70"/>
      <c r="H741" s="16"/>
      <c r="I741" s="16"/>
      <c r="J741" s="16"/>
    </row>
    <row r="742" spans="3:10" ht="13.5" customHeight="1" x14ac:dyDescent="0.25">
      <c r="C742" s="35"/>
      <c r="D742" s="35"/>
      <c r="E742" s="35"/>
      <c r="F742" s="65"/>
      <c r="G742" s="69"/>
      <c r="H742" s="35"/>
      <c r="I742" s="35"/>
      <c r="J742" s="35"/>
    </row>
    <row r="743" spans="3:10" ht="13.5" customHeight="1" x14ac:dyDescent="0.25">
      <c r="C743" s="16"/>
      <c r="D743" s="16"/>
      <c r="E743" s="16"/>
      <c r="F743" s="64"/>
      <c r="G743" s="70"/>
      <c r="H743" s="16"/>
      <c r="I743" s="16"/>
      <c r="J743" s="16"/>
    </row>
    <row r="744" spans="3:10" ht="13.5" customHeight="1" x14ac:dyDescent="0.25">
      <c r="C744" s="35"/>
      <c r="D744" s="35"/>
      <c r="E744" s="35"/>
      <c r="F744" s="65"/>
      <c r="G744" s="69"/>
      <c r="H744" s="35"/>
      <c r="I744" s="35"/>
      <c r="J744" s="35"/>
    </row>
    <row r="745" spans="3:10" ht="13.5" customHeight="1" x14ac:dyDescent="0.25">
      <c r="C745" s="16"/>
      <c r="D745" s="16"/>
      <c r="E745" s="16"/>
      <c r="F745" s="64"/>
      <c r="G745" s="70"/>
      <c r="H745" s="16"/>
      <c r="I745" s="16"/>
      <c r="J745" s="16"/>
    </row>
    <row r="746" spans="3:10" ht="13.5" customHeight="1" x14ac:dyDescent="0.25">
      <c r="C746" s="35"/>
      <c r="D746" s="35"/>
      <c r="E746" s="35"/>
      <c r="F746" s="65"/>
      <c r="G746" s="69"/>
      <c r="H746" s="35"/>
      <c r="I746" s="35"/>
      <c r="J746" s="35"/>
    </row>
    <row r="747" spans="3:10" ht="13.5" customHeight="1" x14ac:dyDescent="0.25">
      <c r="C747" s="16"/>
      <c r="D747" s="16"/>
      <c r="E747" s="16"/>
      <c r="F747" s="64"/>
      <c r="G747" s="70"/>
      <c r="H747" s="16"/>
      <c r="I747" s="16"/>
      <c r="J747" s="16"/>
    </row>
    <row r="748" spans="3:10" ht="13.5" customHeight="1" x14ac:dyDescent="0.25">
      <c r="C748" s="35"/>
      <c r="D748" s="35"/>
      <c r="E748" s="35"/>
      <c r="F748" s="65"/>
      <c r="G748" s="69"/>
      <c r="H748" s="35"/>
      <c r="I748" s="35"/>
      <c r="J748" s="35"/>
    </row>
    <row r="749" spans="3:10" ht="13.5" customHeight="1" x14ac:dyDescent="0.25">
      <c r="C749" s="16"/>
      <c r="D749" s="16"/>
      <c r="E749" s="16"/>
      <c r="F749" s="64"/>
      <c r="G749" s="70"/>
      <c r="H749" s="16"/>
      <c r="I749" s="16"/>
      <c r="J749" s="16"/>
    </row>
    <row r="750" spans="3:10" ht="13.5" customHeight="1" x14ac:dyDescent="0.25">
      <c r="C750" s="35"/>
      <c r="D750" s="35"/>
      <c r="E750" s="35"/>
      <c r="F750" s="65"/>
      <c r="G750" s="69"/>
      <c r="H750" s="35"/>
      <c r="I750" s="35"/>
      <c r="J750" s="35"/>
    </row>
    <row r="751" spans="3:10" ht="13.5" customHeight="1" x14ac:dyDescent="0.25">
      <c r="C751" s="16"/>
      <c r="D751" s="16"/>
      <c r="E751" s="16"/>
      <c r="F751" s="64"/>
      <c r="G751" s="70"/>
      <c r="H751" s="16"/>
      <c r="I751" s="16"/>
      <c r="J751" s="16"/>
    </row>
    <row r="752" spans="3:10" ht="13.5" customHeight="1" x14ac:dyDescent="0.25">
      <c r="C752" s="35"/>
      <c r="D752" s="35"/>
      <c r="E752" s="35"/>
      <c r="F752" s="65"/>
      <c r="G752" s="69"/>
      <c r="H752" s="35"/>
      <c r="I752" s="35"/>
      <c r="J752" s="35"/>
    </row>
    <row r="753" spans="3:10" ht="13.5" customHeight="1" x14ac:dyDescent="0.25">
      <c r="C753" s="16"/>
      <c r="D753" s="16"/>
      <c r="E753" s="16"/>
      <c r="F753" s="64"/>
      <c r="G753" s="70"/>
      <c r="H753" s="16"/>
      <c r="I753" s="16"/>
      <c r="J753" s="16"/>
    </row>
    <row r="754" spans="3:10" ht="13.5" customHeight="1" x14ac:dyDescent="0.25">
      <c r="C754" s="35"/>
      <c r="D754" s="35"/>
      <c r="E754" s="35"/>
      <c r="F754" s="65"/>
      <c r="G754" s="69"/>
      <c r="H754" s="35"/>
      <c r="I754" s="35"/>
      <c r="J754" s="35"/>
    </row>
    <row r="755" spans="3:10" ht="13.5" customHeight="1" x14ac:dyDescent="0.25">
      <c r="C755" s="16"/>
      <c r="D755" s="16"/>
      <c r="E755" s="16"/>
      <c r="F755" s="64"/>
      <c r="G755" s="70"/>
      <c r="H755" s="16"/>
      <c r="I755" s="16"/>
      <c r="J755" s="16"/>
    </row>
    <row r="756" spans="3:10" ht="13.5" customHeight="1" x14ac:dyDescent="0.25">
      <c r="C756" s="35"/>
      <c r="D756" s="35"/>
      <c r="E756" s="35"/>
      <c r="F756" s="65"/>
      <c r="G756" s="69"/>
      <c r="H756" s="35"/>
      <c r="I756" s="35"/>
      <c r="J756" s="35"/>
    </row>
    <row r="757" spans="3:10" ht="13.5" customHeight="1" x14ac:dyDescent="0.25">
      <c r="C757" s="16"/>
      <c r="D757" s="16"/>
      <c r="E757" s="16"/>
      <c r="F757" s="64"/>
      <c r="G757" s="70"/>
      <c r="H757" s="16"/>
      <c r="I757" s="16"/>
      <c r="J757" s="16"/>
    </row>
    <row r="758" spans="3:10" ht="13.5" customHeight="1" x14ac:dyDescent="0.25">
      <c r="C758" s="35"/>
      <c r="D758" s="35"/>
      <c r="E758" s="35"/>
      <c r="F758" s="65"/>
      <c r="G758" s="69"/>
      <c r="H758" s="35"/>
      <c r="I758" s="35"/>
      <c r="J758" s="35"/>
    </row>
    <row r="759" spans="3:10" ht="13.5" customHeight="1" x14ac:dyDescent="0.25">
      <c r="C759" s="16"/>
      <c r="D759" s="16"/>
      <c r="E759" s="16"/>
      <c r="F759" s="64"/>
      <c r="G759" s="70"/>
      <c r="H759" s="16"/>
      <c r="I759" s="16"/>
      <c r="J759" s="16"/>
    </row>
    <row r="760" spans="3:10" ht="13.5" customHeight="1" x14ac:dyDescent="0.25">
      <c r="C760" s="35"/>
      <c r="D760" s="35"/>
      <c r="E760" s="35"/>
      <c r="F760" s="65"/>
      <c r="G760" s="69"/>
      <c r="H760" s="35"/>
      <c r="I760" s="35"/>
      <c r="J760" s="35"/>
    </row>
    <row r="761" spans="3:10" ht="13.5" customHeight="1" x14ac:dyDescent="0.25">
      <c r="C761" s="16"/>
      <c r="D761" s="16"/>
      <c r="E761" s="16"/>
      <c r="F761" s="64"/>
      <c r="G761" s="70"/>
      <c r="H761" s="16"/>
      <c r="I761" s="16"/>
      <c r="J761" s="16"/>
    </row>
    <row r="762" spans="3:10" ht="13.5" customHeight="1" x14ac:dyDescent="0.25">
      <c r="C762" s="35"/>
      <c r="D762" s="35"/>
      <c r="E762" s="35"/>
      <c r="F762" s="65"/>
      <c r="G762" s="69"/>
      <c r="H762" s="35"/>
      <c r="I762" s="35"/>
      <c r="J762" s="35"/>
    </row>
    <row r="763" spans="3:10" ht="13.5" customHeight="1" x14ac:dyDescent="0.25">
      <c r="C763" s="16"/>
      <c r="D763" s="16"/>
      <c r="E763" s="16"/>
      <c r="F763" s="64"/>
      <c r="G763" s="70"/>
      <c r="H763" s="16"/>
      <c r="I763" s="16"/>
      <c r="J763" s="16"/>
    </row>
    <row r="764" spans="3:10" ht="13.5" customHeight="1" x14ac:dyDescent="0.25">
      <c r="C764" s="35"/>
      <c r="D764" s="35"/>
      <c r="E764" s="35"/>
      <c r="F764" s="65"/>
      <c r="G764" s="69"/>
      <c r="H764" s="35"/>
      <c r="I764" s="35"/>
      <c r="J764" s="35"/>
    </row>
    <row r="765" spans="3:10" ht="13.5" customHeight="1" x14ac:dyDescent="0.25">
      <c r="C765" s="16"/>
      <c r="D765" s="16"/>
      <c r="E765" s="16"/>
      <c r="F765" s="64"/>
      <c r="G765" s="70"/>
      <c r="H765" s="16"/>
      <c r="I765" s="16"/>
      <c r="J765" s="16"/>
    </row>
    <row r="766" spans="3:10" ht="13.5" customHeight="1" x14ac:dyDescent="0.25">
      <c r="C766" s="35"/>
      <c r="D766" s="35"/>
      <c r="E766" s="35"/>
      <c r="F766" s="65"/>
      <c r="G766" s="69"/>
      <c r="H766" s="35"/>
      <c r="I766" s="35"/>
      <c r="J766" s="35"/>
    </row>
    <row r="767" spans="3:10" ht="13.5" customHeight="1" x14ac:dyDescent="0.25">
      <c r="C767" s="16"/>
      <c r="D767" s="16"/>
      <c r="E767" s="16"/>
      <c r="F767" s="64"/>
      <c r="G767" s="70"/>
      <c r="H767" s="16"/>
      <c r="I767" s="16"/>
      <c r="J767" s="16"/>
    </row>
    <row r="768" spans="3:10" ht="13.5" customHeight="1" x14ac:dyDescent="0.25">
      <c r="C768" s="35"/>
      <c r="D768" s="35"/>
      <c r="E768" s="35"/>
      <c r="F768" s="65"/>
      <c r="G768" s="69"/>
      <c r="H768" s="35"/>
      <c r="I768" s="35"/>
      <c r="J768" s="35"/>
    </row>
    <row r="769" spans="3:10" ht="13.5" customHeight="1" x14ac:dyDescent="0.25">
      <c r="C769" s="16"/>
      <c r="D769" s="16"/>
      <c r="E769" s="16"/>
      <c r="F769" s="64"/>
      <c r="G769" s="70"/>
      <c r="H769" s="16"/>
      <c r="I769" s="16"/>
      <c r="J769" s="16"/>
    </row>
    <row r="770" spans="3:10" ht="13.5" customHeight="1" x14ac:dyDescent="0.25">
      <c r="C770" s="35"/>
      <c r="D770" s="35"/>
      <c r="E770" s="35"/>
      <c r="F770" s="65"/>
      <c r="G770" s="69"/>
      <c r="H770" s="35"/>
      <c r="I770" s="35"/>
      <c r="J770" s="35"/>
    </row>
    <row r="771" spans="3:10" ht="13.5" customHeight="1" x14ac:dyDescent="0.25">
      <c r="C771" s="16"/>
      <c r="D771" s="16"/>
      <c r="E771" s="16"/>
      <c r="F771" s="64"/>
      <c r="G771" s="70"/>
      <c r="H771" s="16"/>
      <c r="I771" s="16"/>
      <c r="J771" s="16"/>
    </row>
    <row r="772" spans="3:10" ht="13.5" customHeight="1" x14ac:dyDescent="0.25">
      <c r="C772" s="35"/>
      <c r="D772" s="35"/>
      <c r="E772" s="35"/>
      <c r="F772" s="65"/>
      <c r="G772" s="69"/>
      <c r="H772" s="35"/>
      <c r="I772" s="35"/>
      <c r="J772" s="35"/>
    </row>
    <row r="773" spans="3:10" ht="13.5" customHeight="1" x14ac:dyDescent="0.25">
      <c r="C773" s="16"/>
      <c r="D773" s="16"/>
      <c r="E773" s="16"/>
      <c r="F773" s="64"/>
      <c r="G773" s="70"/>
      <c r="H773" s="16"/>
      <c r="I773" s="16"/>
      <c r="J773" s="16"/>
    </row>
    <row r="774" spans="3:10" ht="13.5" customHeight="1" x14ac:dyDescent="0.25">
      <c r="C774" s="35"/>
      <c r="D774" s="35"/>
      <c r="E774" s="35"/>
      <c r="F774" s="65"/>
      <c r="G774" s="69"/>
      <c r="H774" s="35"/>
      <c r="I774" s="35"/>
      <c r="J774" s="35"/>
    </row>
    <row r="775" spans="3:10" ht="13.5" customHeight="1" x14ac:dyDescent="0.25">
      <c r="C775" s="16"/>
      <c r="D775" s="16"/>
      <c r="E775" s="16"/>
      <c r="F775" s="64"/>
      <c r="G775" s="70"/>
      <c r="H775" s="16"/>
      <c r="I775" s="16"/>
      <c r="J775" s="16"/>
    </row>
    <row r="776" spans="3:10" ht="13.5" customHeight="1" x14ac:dyDescent="0.25">
      <c r="C776" s="35"/>
      <c r="D776" s="35"/>
      <c r="E776" s="35"/>
      <c r="F776" s="65"/>
      <c r="G776" s="69"/>
      <c r="H776" s="35"/>
      <c r="I776" s="35"/>
      <c r="J776" s="35"/>
    </row>
    <row r="777" spans="3:10" ht="13.5" customHeight="1" x14ac:dyDescent="0.25">
      <c r="C777" s="16"/>
      <c r="D777" s="16"/>
      <c r="E777" s="16"/>
      <c r="F777" s="64"/>
      <c r="G777" s="70"/>
      <c r="H777" s="16"/>
      <c r="I777" s="16"/>
      <c r="J777" s="16"/>
    </row>
    <row r="778" spans="3:10" ht="13.5" customHeight="1" x14ac:dyDescent="0.25">
      <c r="C778" s="35"/>
      <c r="D778" s="35"/>
      <c r="E778" s="35"/>
      <c r="F778" s="65"/>
      <c r="G778" s="69"/>
      <c r="H778" s="35"/>
      <c r="I778" s="35"/>
      <c r="J778" s="35"/>
    </row>
    <row r="779" spans="3:10" ht="13.5" customHeight="1" x14ac:dyDescent="0.25">
      <c r="C779" s="16"/>
      <c r="D779" s="16"/>
      <c r="E779" s="16"/>
      <c r="F779" s="64"/>
      <c r="G779" s="70"/>
      <c r="H779" s="16"/>
      <c r="I779" s="16"/>
      <c r="J779" s="16"/>
    </row>
    <row r="780" spans="3:10" ht="13.5" customHeight="1" x14ac:dyDescent="0.25">
      <c r="C780" s="35"/>
      <c r="D780" s="35"/>
      <c r="E780" s="35"/>
      <c r="F780" s="65"/>
      <c r="G780" s="69"/>
      <c r="H780" s="35"/>
      <c r="I780" s="35"/>
      <c r="J780" s="35"/>
    </row>
    <row r="781" spans="3:10" ht="13.5" customHeight="1" x14ac:dyDescent="0.25">
      <c r="C781" s="16"/>
      <c r="D781" s="16"/>
      <c r="E781" s="16"/>
      <c r="F781" s="64"/>
      <c r="G781" s="70"/>
      <c r="H781" s="16"/>
      <c r="I781" s="16"/>
      <c r="J781" s="16"/>
    </row>
    <row r="782" spans="3:10" ht="13.5" customHeight="1" x14ac:dyDescent="0.25">
      <c r="C782" s="35"/>
      <c r="D782" s="35"/>
      <c r="E782" s="35"/>
      <c r="F782" s="65"/>
      <c r="G782" s="69"/>
      <c r="H782" s="35"/>
      <c r="I782" s="35"/>
      <c r="J782" s="35"/>
    </row>
    <row r="783" spans="3:10" ht="13.5" customHeight="1" x14ac:dyDescent="0.25">
      <c r="C783" s="16"/>
      <c r="D783" s="16"/>
      <c r="E783" s="16"/>
      <c r="F783" s="64"/>
      <c r="G783" s="70"/>
      <c r="H783" s="16"/>
      <c r="I783" s="16"/>
      <c r="J783" s="16"/>
    </row>
    <row r="784" spans="3:10" ht="13.5" customHeight="1" x14ac:dyDescent="0.25">
      <c r="C784" s="35"/>
      <c r="D784" s="35"/>
      <c r="E784" s="35"/>
      <c r="F784" s="65"/>
      <c r="G784" s="69"/>
      <c r="H784" s="35"/>
      <c r="I784" s="35"/>
      <c r="J784" s="35"/>
    </row>
    <row r="785" spans="3:10" ht="13.5" customHeight="1" x14ac:dyDescent="0.25">
      <c r="C785" s="16"/>
      <c r="D785" s="16"/>
      <c r="E785" s="16"/>
      <c r="F785" s="64"/>
      <c r="G785" s="70"/>
      <c r="H785" s="16"/>
      <c r="I785" s="16"/>
      <c r="J785" s="16"/>
    </row>
    <row r="786" spans="3:10" ht="13.5" customHeight="1" x14ac:dyDescent="0.25">
      <c r="C786" s="35"/>
      <c r="D786" s="35"/>
      <c r="E786" s="35"/>
      <c r="F786" s="65"/>
      <c r="G786" s="69"/>
      <c r="H786" s="35"/>
      <c r="I786" s="35"/>
      <c r="J786" s="35"/>
    </row>
    <row r="787" spans="3:10" ht="13.5" customHeight="1" x14ac:dyDescent="0.25">
      <c r="C787" s="16"/>
      <c r="D787" s="16"/>
      <c r="E787" s="16"/>
      <c r="F787" s="64"/>
      <c r="G787" s="70"/>
      <c r="H787" s="16"/>
      <c r="I787" s="16"/>
      <c r="J787" s="16"/>
    </row>
    <row r="788" spans="3:10" ht="13.5" customHeight="1" x14ac:dyDescent="0.25">
      <c r="C788" s="35"/>
      <c r="D788" s="35"/>
      <c r="E788" s="35"/>
      <c r="F788" s="65"/>
      <c r="G788" s="69"/>
      <c r="H788" s="35"/>
      <c r="I788" s="35"/>
      <c r="J788" s="35"/>
    </row>
    <row r="789" spans="3:10" ht="13.5" customHeight="1" x14ac:dyDescent="0.25">
      <c r="C789" s="16"/>
      <c r="D789" s="16"/>
      <c r="E789" s="16"/>
      <c r="F789" s="64"/>
      <c r="G789" s="70"/>
      <c r="H789" s="16"/>
      <c r="I789" s="16"/>
      <c r="J789" s="16"/>
    </row>
    <row r="790" spans="3:10" ht="13.5" customHeight="1" x14ac:dyDescent="0.25">
      <c r="C790" s="35"/>
      <c r="D790" s="35"/>
      <c r="E790" s="35"/>
      <c r="F790" s="65"/>
      <c r="G790" s="69"/>
      <c r="H790" s="35"/>
      <c r="I790" s="35"/>
      <c r="J790" s="35"/>
    </row>
    <row r="791" spans="3:10" ht="13.5" customHeight="1" x14ac:dyDescent="0.25">
      <c r="C791" s="16"/>
      <c r="D791" s="16"/>
      <c r="E791" s="16"/>
      <c r="F791" s="64"/>
      <c r="G791" s="70"/>
      <c r="H791" s="16"/>
      <c r="I791" s="16"/>
      <c r="J791" s="16"/>
    </row>
    <row r="792" spans="3:10" ht="13.5" customHeight="1" x14ac:dyDescent="0.25">
      <c r="C792" s="35"/>
      <c r="D792" s="35"/>
      <c r="E792" s="35"/>
      <c r="F792" s="65"/>
      <c r="G792" s="69"/>
      <c r="H792" s="35"/>
      <c r="I792" s="35"/>
      <c r="J792" s="35"/>
    </row>
    <row r="793" spans="3:10" ht="13.5" customHeight="1" x14ac:dyDescent="0.25">
      <c r="C793" s="16"/>
      <c r="D793" s="16"/>
      <c r="E793" s="16"/>
      <c r="F793" s="64"/>
      <c r="G793" s="70"/>
      <c r="H793" s="16"/>
      <c r="I793" s="16"/>
      <c r="J793" s="16"/>
    </row>
    <row r="794" spans="3:10" ht="13.5" customHeight="1" x14ac:dyDescent="0.25">
      <c r="C794" s="35"/>
      <c r="D794" s="35"/>
      <c r="E794" s="35"/>
      <c r="F794" s="65"/>
      <c r="G794" s="69"/>
      <c r="H794" s="35"/>
      <c r="I794" s="35"/>
      <c r="J794" s="35"/>
    </row>
    <row r="795" spans="3:10" ht="13.5" customHeight="1" x14ac:dyDescent="0.25">
      <c r="C795" s="16"/>
      <c r="D795" s="16"/>
      <c r="E795" s="16"/>
      <c r="F795" s="64"/>
      <c r="G795" s="70"/>
      <c r="H795" s="16"/>
      <c r="I795" s="16"/>
      <c r="J795" s="16"/>
    </row>
    <row r="796" spans="3:10" ht="13.5" customHeight="1" x14ac:dyDescent="0.25">
      <c r="C796" s="35"/>
      <c r="D796" s="35"/>
      <c r="E796" s="35"/>
      <c r="F796" s="65"/>
      <c r="G796" s="69"/>
      <c r="H796" s="35"/>
      <c r="I796" s="35"/>
      <c r="J796" s="35"/>
    </row>
    <row r="797" spans="3:10" ht="13.5" customHeight="1" x14ac:dyDescent="0.25">
      <c r="C797" s="16"/>
      <c r="D797" s="16"/>
      <c r="E797" s="16"/>
      <c r="F797" s="64"/>
      <c r="G797" s="70"/>
      <c r="H797" s="16"/>
      <c r="I797" s="16"/>
      <c r="J797" s="16"/>
    </row>
    <row r="798" spans="3:10" ht="13.5" customHeight="1" x14ac:dyDescent="0.25">
      <c r="C798" s="35"/>
      <c r="D798" s="35"/>
      <c r="E798" s="35"/>
      <c r="F798" s="65"/>
      <c r="G798" s="69"/>
      <c r="H798" s="35"/>
      <c r="I798" s="35"/>
      <c r="J798" s="35"/>
    </row>
    <row r="799" spans="3:10" ht="13.5" customHeight="1" x14ac:dyDescent="0.25">
      <c r="C799" s="16"/>
      <c r="D799" s="16"/>
      <c r="E799" s="16"/>
      <c r="F799" s="64"/>
      <c r="G799" s="70"/>
      <c r="H799" s="16"/>
      <c r="I799" s="16"/>
      <c r="J799" s="16"/>
    </row>
    <row r="800" spans="3:10" ht="13.5" customHeight="1" x14ac:dyDescent="0.25">
      <c r="C800" s="35"/>
      <c r="D800" s="35"/>
      <c r="E800" s="35"/>
      <c r="F800" s="65"/>
      <c r="G800" s="69"/>
      <c r="H800" s="35"/>
      <c r="I800" s="35"/>
      <c r="J800" s="35"/>
    </row>
    <row r="801" spans="3:10" ht="13.5" customHeight="1" x14ac:dyDescent="0.25">
      <c r="C801" s="16"/>
      <c r="D801" s="16"/>
      <c r="E801" s="16"/>
      <c r="F801" s="64"/>
      <c r="G801" s="70"/>
      <c r="H801" s="16"/>
      <c r="I801" s="16"/>
      <c r="J801" s="16"/>
    </row>
    <row r="802" spans="3:10" ht="13.5" customHeight="1" x14ac:dyDescent="0.25">
      <c r="C802" s="35"/>
      <c r="D802" s="35"/>
      <c r="E802" s="35"/>
      <c r="F802" s="65"/>
      <c r="G802" s="69"/>
      <c r="H802" s="35"/>
      <c r="I802" s="35"/>
      <c r="J802" s="35"/>
    </row>
    <row r="803" spans="3:10" ht="13.5" customHeight="1" x14ac:dyDescent="0.25">
      <c r="C803" s="16"/>
      <c r="D803" s="16"/>
      <c r="E803" s="16"/>
      <c r="F803" s="64"/>
      <c r="G803" s="70"/>
      <c r="H803" s="16"/>
      <c r="I803" s="16"/>
      <c r="J803" s="16"/>
    </row>
    <row r="804" spans="3:10" ht="13.5" customHeight="1" x14ac:dyDescent="0.25">
      <c r="C804" s="35"/>
      <c r="D804" s="35"/>
      <c r="E804" s="35"/>
      <c r="F804" s="65"/>
      <c r="G804" s="69"/>
      <c r="H804" s="35"/>
      <c r="I804" s="35"/>
      <c r="J804" s="35"/>
    </row>
    <row r="805" spans="3:10" ht="13.5" customHeight="1" x14ac:dyDescent="0.25">
      <c r="C805" s="16"/>
      <c r="D805" s="16"/>
      <c r="E805" s="16"/>
      <c r="F805" s="64"/>
      <c r="G805" s="70"/>
      <c r="H805" s="16"/>
      <c r="I805" s="16"/>
      <c r="J805" s="16"/>
    </row>
    <row r="806" spans="3:10" ht="13.5" customHeight="1" x14ac:dyDescent="0.25">
      <c r="C806" s="35"/>
      <c r="D806" s="35"/>
      <c r="E806" s="35"/>
      <c r="F806" s="65"/>
      <c r="G806" s="69"/>
      <c r="H806" s="35"/>
      <c r="I806" s="35"/>
      <c r="J806" s="35"/>
    </row>
    <row r="807" spans="3:10" ht="13.5" customHeight="1" x14ac:dyDescent="0.25">
      <c r="C807" s="16"/>
      <c r="D807" s="16"/>
      <c r="E807" s="16"/>
      <c r="F807" s="64"/>
      <c r="G807" s="70"/>
      <c r="H807" s="16"/>
      <c r="I807" s="16"/>
      <c r="J807" s="16"/>
    </row>
    <row r="808" spans="3:10" ht="13.5" customHeight="1" x14ac:dyDescent="0.25">
      <c r="C808" s="35"/>
      <c r="D808" s="35"/>
      <c r="E808" s="35"/>
      <c r="F808" s="65"/>
      <c r="G808" s="69"/>
      <c r="H808" s="35"/>
      <c r="I808" s="35"/>
      <c r="J808" s="35"/>
    </row>
    <row r="809" spans="3:10" ht="13.5" customHeight="1" x14ac:dyDescent="0.25">
      <c r="C809" s="16"/>
      <c r="D809" s="16"/>
      <c r="E809" s="16"/>
      <c r="F809" s="64"/>
      <c r="G809" s="70"/>
      <c r="H809" s="16"/>
      <c r="I809" s="16"/>
      <c r="J809" s="16"/>
    </row>
    <row r="810" spans="3:10" ht="13.5" customHeight="1" x14ac:dyDescent="0.25">
      <c r="C810" s="35"/>
      <c r="D810" s="35"/>
      <c r="E810" s="35"/>
      <c r="F810" s="65"/>
      <c r="G810" s="69"/>
      <c r="H810" s="35"/>
      <c r="I810" s="35"/>
      <c r="J810" s="35"/>
    </row>
    <row r="811" spans="3:10" ht="13.5" customHeight="1" x14ac:dyDescent="0.25">
      <c r="C811" s="16"/>
      <c r="D811" s="16"/>
      <c r="E811" s="16"/>
      <c r="F811" s="64"/>
      <c r="G811" s="70"/>
      <c r="H811" s="16"/>
      <c r="I811" s="16"/>
      <c r="J811" s="16"/>
    </row>
    <row r="812" spans="3:10" ht="13.5" customHeight="1" x14ac:dyDescent="0.25">
      <c r="C812" s="35"/>
      <c r="D812" s="35"/>
      <c r="E812" s="35"/>
      <c r="F812" s="65"/>
      <c r="G812" s="69"/>
      <c r="H812" s="35"/>
      <c r="I812" s="35"/>
      <c r="J812" s="35"/>
    </row>
    <row r="813" spans="3:10" ht="13.5" customHeight="1" x14ac:dyDescent="0.25">
      <c r="C813" s="16"/>
      <c r="D813" s="16"/>
      <c r="E813" s="16"/>
      <c r="F813" s="64"/>
      <c r="G813" s="70"/>
      <c r="H813" s="16"/>
      <c r="I813" s="16"/>
      <c r="J813" s="16"/>
    </row>
    <row r="814" spans="3:10" ht="13.5" customHeight="1" x14ac:dyDescent="0.25">
      <c r="C814" s="35"/>
      <c r="D814" s="35"/>
      <c r="E814" s="35"/>
      <c r="F814" s="65"/>
      <c r="G814" s="69"/>
      <c r="H814" s="35"/>
      <c r="I814" s="35"/>
      <c r="J814" s="35"/>
    </row>
    <row r="815" spans="3:10" ht="13.5" customHeight="1" x14ac:dyDescent="0.25">
      <c r="C815" s="16"/>
      <c r="D815" s="16"/>
      <c r="E815" s="16"/>
      <c r="F815" s="64"/>
      <c r="G815" s="70"/>
      <c r="H815" s="16"/>
      <c r="I815" s="16"/>
      <c r="J815" s="16"/>
    </row>
    <row r="816" spans="3:10" ht="13.5" customHeight="1" x14ac:dyDescent="0.25">
      <c r="C816" s="35"/>
      <c r="D816" s="35"/>
      <c r="E816" s="35"/>
      <c r="F816" s="65"/>
      <c r="G816" s="69"/>
      <c r="H816" s="35"/>
      <c r="I816" s="35"/>
      <c r="J816" s="35"/>
    </row>
    <row r="817" spans="3:10" ht="13.5" customHeight="1" x14ac:dyDescent="0.25">
      <c r="C817" s="16"/>
      <c r="D817" s="16"/>
      <c r="E817" s="16"/>
      <c r="F817" s="64"/>
      <c r="G817" s="70"/>
      <c r="H817" s="16"/>
      <c r="I817" s="16"/>
      <c r="J817" s="16"/>
    </row>
    <row r="818" spans="3:10" ht="13.5" customHeight="1" x14ac:dyDescent="0.25">
      <c r="C818" s="35"/>
      <c r="D818" s="35"/>
      <c r="E818" s="35"/>
      <c r="F818" s="65"/>
      <c r="G818" s="69"/>
      <c r="H818" s="35"/>
      <c r="I818" s="35"/>
      <c r="J818" s="35"/>
    </row>
    <row r="819" spans="3:10" ht="13.5" customHeight="1" x14ac:dyDescent="0.25">
      <c r="C819" s="16"/>
      <c r="D819" s="16"/>
      <c r="E819" s="16"/>
      <c r="F819" s="64"/>
      <c r="G819" s="70"/>
      <c r="H819" s="16"/>
      <c r="I819" s="16"/>
      <c r="J819" s="16"/>
    </row>
    <row r="820" spans="3:10" ht="13.5" customHeight="1" x14ac:dyDescent="0.25">
      <c r="C820" s="35"/>
      <c r="D820" s="35"/>
      <c r="E820" s="35"/>
      <c r="F820" s="65"/>
      <c r="G820" s="69"/>
      <c r="H820" s="35"/>
      <c r="I820" s="35"/>
      <c r="J820" s="35"/>
    </row>
    <row r="821" spans="3:10" ht="13.5" customHeight="1" x14ac:dyDescent="0.25">
      <c r="C821" s="16"/>
      <c r="D821" s="16"/>
      <c r="E821" s="16"/>
      <c r="F821" s="64"/>
      <c r="G821" s="70"/>
      <c r="H821" s="16"/>
      <c r="I821" s="16"/>
      <c r="J821" s="16"/>
    </row>
    <row r="822" spans="3:10" ht="13.5" customHeight="1" x14ac:dyDescent="0.25">
      <c r="C822" s="35"/>
      <c r="D822" s="35"/>
      <c r="E822" s="35"/>
      <c r="F822" s="65"/>
      <c r="G822" s="69"/>
      <c r="H822" s="35"/>
      <c r="I822" s="35"/>
      <c r="J822" s="35"/>
    </row>
    <row r="823" spans="3:10" ht="13.5" customHeight="1" x14ac:dyDescent="0.25">
      <c r="C823" s="16"/>
      <c r="D823" s="16"/>
      <c r="E823" s="16"/>
      <c r="F823" s="64"/>
      <c r="G823" s="70"/>
      <c r="H823" s="16"/>
      <c r="I823" s="16"/>
      <c r="J823" s="16"/>
    </row>
    <row r="824" spans="3:10" ht="13.5" customHeight="1" x14ac:dyDescent="0.25">
      <c r="C824" s="35"/>
      <c r="D824" s="35"/>
      <c r="E824" s="35"/>
      <c r="F824" s="65"/>
      <c r="G824" s="69"/>
      <c r="H824" s="35"/>
      <c r="I824" s="35"/>
      <c r="J824" s="35"/>
    </row>
    <row r="825" spans="3:10" ht="13.5" customHeight="1" x14ac:dyDescent="0.25">
      <c r="C825" s="16"/>
      <c r="D825" s="16"/>
      <c r="E825" s="16"/>
      <c r="F825" s="64"/>
      <c r="G825" s="70"/>
      <c r="H825" s="16"/>
      <c r="I825" s="16"/>
      <c r="J825" s="16"/>
    </row>
    <row r="826" spans="3:10" ht="13.5" customHeight="1" x14ac:dyDescent="0.25">
      <c r="C826" s="35"/>
      <c r="D826" s="35"/>
      <c r="E826" s="35"/>
      <c r="F826" s="65"/>
      <c r="G826" s="69"/>
      <c r="H826" s="35"/>
      <c r="I826" s="35"/>
      <c r="J826" s="35"/>
    </row>
    <row r="827" spans="3:10" ht="13.5" customHeight="1" x14ac:dyDescent="0.25">
      <c r="C827" s="16"/>
      <c r="D827" s="16"/>
      <c r="E827" s="16"/>
      <c r="F827" s="64"/>
      <c r="G827" s="70"/>
      <c r="H827" s="16"/>
      <c r="I827" s="16"/>
      <c r="J827" s="16"/>
    </row>
    <row r="828" spans="3:10" ht="13.5" customHeight="1" x14ac:dyDescent="0.25">
      <c r="C828" s="35"/>
      <c r="D828" s="35"/>
      <c r="E828" s="35"/>
      <c r="F828" s="65"/>
      <c r="G828" s="69"/>
      <c r="H828" s="35"/>
      <c r="I828" s="35"/>
      <c r="J828" s="35"/>
    </row>
    <row r="829" spans="3:10" ht="13.5" customHeight="1" x14ac:dyDescent="0.25">
      <c r="C829" s="16"/>
      <c r="D829" s="16"/>
      <c r="E829" s="16"/>
      <c r="F829" s="64"/>
      <c r="G829" s="70"/>
      <c r="H829" s="16"/>
      <c r="I829" s="16"/>
      <c r="J829" s="16"/>
    </row>
    <row r="830" spans="3:10" ht="13.5" customHeight="1" x14ac:dyDescent="0.25">
      <c r="C830" s="35"/>
      <c r="D830" s="35"/>
      <c r="E830" s="35"/>
      <c r="F830" s="65"/>
      <c r="G830" s="69"/>
      <c r="H830" s="35"/>
      <c r="I830" s="35"/>
      <c r="J830" s="35"/>
    </row>
    <row r="831" spans="3:10" ht="13.5" customHeight="1" x14ac:dyDescent="0.25">
      <c r="C831" s="16"/>
      <c r="D831" s="16"/>
      <c r="E831" s="16"/>
      <c r="F831" s="64"/>
      <c r="G831" s="70"/>
      <c r="H831" s="16"/>
      <c r="I831" s="16"/>
      <c r="J831" s="16"/>
    </row>
    <row r="832" spans="3:10" ht="13.5" customHeight="1" x14ac:dyDescent="0.25">
      <c r="C832" s="35"/>
      <c r="D832" s="35"/>
      <c r="E832" s="35"/>
      <c r="F832" s="65"/>
      <c r="G832" s="69"/>
      <c r="H832" s="35"/>
      <c r="I832" s="35"/>
      <c r="J832" s="35"/>
    </row>
    <row r="833" spans="3:10" ht="13.5" customHeight="1" x14ac:dyDescent="0.25">
      <c r="C833" s="16"/>
      <c r="D833" s="16"/>
      <c r="E833" s="16"/>
      <c r="F833" s="64"/>
      <c r="G833" s="70"/>
      <c r="H833" s="16"/>
      <c r="I833" s="16"/>
      <c r="J833" s="16"/>
    </row>
    <row r="834" spans="3:10" ht="13.5" customHeight="1" x14ac:dyDescent="0.25">
      <c r="C834" s="35"/>
      <c r="D834" s="35"/>
      <c r="E834" s="35"/>
      <c r="F834" s="65"/>
      <c r="G834" s="69"/>
      <c r="H834" s="35"/>
      <c r="I834" s="35"/>
      <c r="J834" s="35"/>
    </row>
    <row r="835" spans="3:10" ht="13.5" customHeight="1" x14ac:dyDescent="0.25">
      <c r="C835" s="16"/>
      <c r="D835" s="16"/>
      <c r="E835" s="16"/>
      <c r="F835" s="64"/>
      <c r="G835" s="70"/>
      <c r="H835" s="16"/>
      <c r="I835" s="16"/>
      <c r="J835" s="16"/>
    </row>
    <row r="836" spans="3:10" ht="13.5" customHeight="1" x14ac:dyDescent="0.25">
      <c r="C836" s="35"/>
      <c r="D836" s="35"/>
      <c r="E836" s="35"/>
      <c r="F836" s="65"/>
      <c r="G836" s="69"/>
      <c r="H836" s="35"/>
      <c r="I836" s="35"/>
      <c r="J836" s="35"/>
    </row>
    <row r="837" spans="3:10" ht="13.5" customHeight="1" x14ac:dyDescent="0.25">
      <c r="C837" s="16"/>
      <c r="D837" s="16"/>
      <c r="E837" s="16"/>
      <c r="F837" s="64"/>
      <c r="G837" s="70"/>
      <c r="H837" s="16"/>
      <c r="I837" s="16"/>
      <c r="J837" s="16"/>
    </row>
    <row r="838" spans="3:10" ht="13.5" customHeight="1" x14ac:dyDescent="0.25">
      <c r="C838" s="35"/>
      <c r="D838" s="35"/>
      <c r="E838" s="35"/>
      <c r="F838" s="65"/>
      <c r="G838" s="69"/>
      <c r="H838" s="35"/>
      <c r="I838" s="35"/>
      <c r="J838" s="35"/>
    </row>
    <row r="839" spans="3:10" ht="13.5" customHeight="1" x14ac:dyDescent="0.25">
      <c r="C839" s="16"/>
      <c r="D839" s="16"/>
      <c r="E839" s="16"/>
      <c r="F839" s="64"/>
      <c r="G839" s="70"/>
      <c r="H839" s="16"/>
      <c r="I839" s="16"/>
      <c r="J839" s="16"/>
    </row>
    <row r="840" spans="3:10" ht="13.5" customHeight="1" x14ac:dyDescent="0.25">
      <c r="C840" s="35"/>
      <c r="D840" s="35"/>
      <c r="E840" s="35"/>
      <c r="F840" s="65"/>
      <c r="G840" s="69"/>
      <c r="H840" s="35"/>
      <c r="I840" s="35"/>
      <c r="J840" s="35"/>
    </row>
    <row r="841" spans="3:10" ht="13.5" customHeight="1" x14ac:dyDescent="0.25">
      <c r="C841" s="16"/>
      <c r="D841" s="16"/>
      <c r="E841" s="16"/>
      <c r="F841" s="64"/>
      <c r="G841" s="70"/>
      <c r="H841" s="16"/>
      <c r="I841" s="16"/>
      <c r="J841" s="16"/>
    </row>
    <row r="842" spans="3:10" ht="13.5" customHeight="1" x14ac:dyDescent="0.25">
      <c r="C842" s="35"/>
      <c r="D842" s="35"/>
      <c r="E842" s="35"/>
      <c r="F842" s="65"/>
      <c r="G842" s="69"/>
      <c r="H842" s="35"/>
      <c r="I842" s="35"/>
      <c r="J842" s="35"/>
    </row>
    <row r="843" spans="3:10" ht="13.5" customHeight="1" x14ac:dyDescent="0.25">
      <c r="C843" s="16"/>
      <c r="D843" s="16"/>
      <c r="E843" s="16"/>
      <c r="F843" s="64"/>
      <c r="G843" s="70"/>
      <c r="H843" s="16"/>
      <c r="I843" s="16"/>
      <c r="J843" s="16"/>
    </row>
    <row r="844" spans="3:10" ht="13.5" customHeight="1" x14ac:dyDescent="0.25">
      <c r="C844" s="35"/>
      <c r="D844" s="35"/>
      <c r="E844" s="35"/>
      <c r="F844" s="65"/>
      <c r="G844" s="69"/>
      <c r="H844" s="35"/>
      <c r="I844" s="35"/>
      <c r="J844" s="35"/>
    </row>
    <row r="845" spans="3:10" ht="13.5" customHeight="1" x14ac:dyDescent="0.25">
      <c r="C845" s="16"/>
      <c r="D845" s="16"/>
      <c r="E845" s="16"/>
      <c r="F845" s="64"/>
      <c r="G845" s="70"/>
      <c r="H845" s="16"/>
      <c r="I845" s="16"/>
      <c r="J845" s="16"/>
    </row>
    <row r="846" spans="3:10" ht="13.5" customHeight="1" x14ac:dyDescent="0.25">
      <c r="C846" s="35"/>
      <c r="D846" s="35"/>
      <c r="E846" s="35"/>
      <c r="F846" s="65"/>
      <c r="G846" s="69"/>
      <c r="H846" s="35"/>
      <c r="I846" s="35"/>
      <c r="J846" s="35"/>
    </row>
    <row r="847" spans="3:10" ht="13.5" customHeight="1" x14ac:dyDescent="0.25">
      <c r="C847" s="16"/>
      <c r="D847" s="16"/>
      <c r="E847" s="16"/>
      <c r="F847" s="64"/>
      <c r="G847" s="70"/>
      <c r="H847" s="16"/>
      <c r="I847" s="16"/>
      <c r="J847" s="16"/>
    </row>
    <row r="848" spans="3:10" ht="13.5" customHeight="1" x14ac:dyDescent="0.25">
      <c r="C848" s="35"/>
      <c r="D848" s="35"/>
      <c r="E848" s="35"/>
      <c r="F848" s="65"/>
      <c r="G848" s="69"/>
      <c r="H848" s="35"/>
      <c r="I848" s="35"/>
      <c r="J848" s="35"/>
    </row>
    <row r="849" spans="3:10" ht="13.5" customHeight="1" x14ac:dyDescent="0.25">
      <c r="C849" s="16"/>
      <c r="D849" s="16"/>
      <c r="E849" s="16"/>
      <c r="F849" s="64"/>
      <c r="G849" s="70"/>
      <c r="H849" s="16"/>
      <c r="I849" s="16"/>
      <c r="J849" s="16"/>
    </row>
    <row r="850" spans="3:10" ht="13.5" customHeight="1" x14ac:dyDescent="0.25">
      <c r="C850" s="35"/>
      <c r="D850" s="35"/>
      <c r="E850" s="35"/>
      <c r="F850" s="65"/>
      <c r="G850" s="69"/>
      <c r="H850" s="35"/>
      <c r="I850" s="35"/>
      <c r="J850" s="35"/>
    </row>
    <row r="851" spans="3:10" ht="13.5" customHeight="1" x14ac:dyDescent="0.25">
      <c r="C851" s="16"/>
      <c r="D851" s="16"/>
      <c r="E851" s="16"/>
      <c r="F851" s="64"/>
      <c r="G851" s="70"/>
      <c r="H851" s="16"/>
      <c r="I851" s="16"/>
      <c r="J851" s="16"/>
    </row>
    <row r="852" spans="3:10" ht="13.5" customHeight="1" x14ac:dyDescent="0.25">
      <c r="C852" s="35"/>
      <c r="D852" s="35"/>
      <c r="E852" s="35"/>
      <c r="F852" s="65"/>
      <c r="G852" s="69"/>
      <c r="H852" s="35"/>
      <c r="I852" s="35"/>
      <c r="J852" s="35"/>
    </row>
    <row r="853" spans="3:10" ht="13.5" customHeight="1" x14ac:dyDescent="0.25">
      <c r="C853" s="16"/>
      <c r="D853" s="16"/>
      <c r="E853" s="16"/>
      <c r="F853" s="64"/>
      <c r="G853" s="70"/>
      <c r="H853" s="16"/>
      <c r="I853" s="16"/>
      <c r="J853" s="16"/>
    </row>
    <row r="854" spans="3:10" ht="13.5" customHeight="1" x14ac:dyDescent="0.25">
      <c r="C854" s="35"/>
      <c r="D854" s="35"/>
      <c r="E854" s="35"/>
      <c r="F854" s="65"/>
      <c r="G854" s="69"/>
      <c r="H854" s="35"/>
      <c r="I854" s="35"/>
      <c r="J854" s="35"/>
    </row>
    <row r="855" spans="3:10" ht="13.5" customHeight="1" x14ac:dyDescent="0.25">
      <c r="C855" s="16"/>
      <c r="D855" s="16"/>
      <c r="E855" s="16"/>
      <c r="F855" s="64"/>
      <c r="G855" s="70"/>
      <c r="H855" s="16"/>
      <c r="I855" s="16"/>
      <c r="J855" s="16"/>
    </row>
    <row r="856" spans="3:10" ht="13.5" customHeight="1" x14ac:dyDescent="0.25">
      <c r="C856" s="35"/>
      <c r="D856" s="35"/>
      <c r="E856" s="35"/>
      <c r="F856" s="65"/>
      <c r="G856" s="69"/>
      <c r="H856" s="35"/>
      <c r="I856" s="35"/>
      <c r="J856" s="35"/>
    </row>
    <row r="857" spans="3:10" ht="13.5" customHeight="1" x14ac:dyDescent="0.25">
      <c r="C857" s="16"/>
      <c r="D857" s="16"/>
      <c r="E857" s="16"/>
      <c r="F857" s="64"/>
      <c r="G857" s="70"/>
      <c r="H857" s="16"/>
      <c r="I857" s="16"/>
      <c r="J857" s="16"/>
    </row>
    <row r="858" spans="3:10" ht="13.5" customHeight="1" x14ac:dyDescent="0.25">
      <c r="C858" s="35"/>
      <c r="D858" s="35"/>
      <c r="E858" s="35"/>
      <c r="F858" s="65"/>
      <c r="G858" s="69"/>
      <c r="H858" s="35"/>
      <c r="I858" s="35"/>
      <c r="J858" s="35"/>
    </row>
    <row r="859" spans="3:10" ht="13.5" customHeight="1" x14ac:dyDescent="0.25">
      <c r="C859" s="16"/>
      <c r="D859" s="16"/>
      <c r="E859" s="16"/>
      <c r="F859" s="64"/>
      <c r="G859" s="70"/>
      <c r="H859" s="16"/>
      <c r="I859" s="16"/>
      <c r="J859" s="16"/>
    </row>
    <row r="860" spans="3:10" ht="13.5" customHeight="1" x14ac:dyDescent="0.25">
      <c r="C860" s="35"/>
      <c r="D860" s="35"/>
      <c r="E860" s="35"/>
      <c r="F860" s="65"/>
      <c r="G860" s="69"/>
      <c r="H860" s="35"/>
      <c r="I860" s="35"/>
      <c r="J860" s="35"/>
    </row>
    <row r="861" spans="3:10" ht="13.5" customHeight="1" x14ac:dyDescent="0.25">
      <c r="C861" s="16"/>
      <c r="D861" s="16"/>
      <c r="E861" s="16"/>
      <c r="F861" s="64"/>
      <c r="G861" s="70"/>
      <c r="H861" s="16"/>
      <c r="I861" s="16"/>
      <c r="J861" s="16"/>
    </row>
    <row r="862" spans="3:10" ht="13.5" customHeight="1" x14ac:dyDescent="0.25">
      <c r="C862" s="35"/>
      <c r="D862" s="35"/>
      <c r="E862" s="35"/>
      <c r="F862" s="65"/>
      <c r="G862" s="69"/>
      <c r="H862" s="35"/>
      <c r="I862" s="35"/>
      <c r="J862" s="35"/>
    </row>
    <row r="863" spans="3:10" ht="13.5" customHeight="1" x14ac:dyDescent="0.25">
      <c r="C863" s="16"/>
      <c r="D863" s="16"/>
      <c r="E863" s="16"/>
      <c r="F863" s="64"/>
      <c r="G863" s="70"/>
      <c r="H863" s="16"/>
      <c r="I863" s="16"/>
      <c r="J863" s="16"/>
    </row>
    <row r="864" spans="3:10" ht="13.5" customHeight="1" x14ac:dyDescent="0.25">
      <c r="C864" s="35"/>
      <c r="D864" s="35"/>
      <c r="E864" s="35"/>
      <c r="F864" s="65"/>
      <c r="G864" s="69"/>
      <c r="H864" s="35"/>
      <c r="I864" s="35"/>
      <c r="J864" s="35"/>
    </row>
    <row r="865" spans="3:10" ht="13.5" customHeight="1" x14ac:dyDescent="0.25">
      <c r="C865" s="16"/>
      <c r="D865" s="16"/>
      <c r="E865" s="16"/>
      <c r="F865" s="64"/>
      <c r="G865" s="70"/>
      <c r="H865" s="16"/>
      <c r="I865" s="16"/>
      <c r="J865" s="16"/>
    </row>
    <row r="866" spans="3:10" ht="13.5" customHeight="1" x14ac:dyDescent="0.25">
      <c r="C866" s="35"/>
      <c r="D866" s="35"/>
      <c r="E866" s="35"/>
      <c r="F866" s="65"/>
      <c r="G866" s="69"/>
      <c r="H866" s="35"/>
      <c r="I866" s="35"/>
      <c r="J866" s="35"/>
    </row>
    <row r="867" spans="3:10" ht="13.5" customHeight="1" x14ac:dyDescent="0.25">
      <c r="C867" s="16"/>
      <c r="D867" s="16"/>
      <c r="E867" s="16"/>
      <c r="F867" s="64"/>
      <c r="G867" s="70"/>
      <c r="H867" s="16"/>
      <c r="I867" s="16"/>
      <c r="J867" s="16"/>
    </row>
    <row r="868" spans="3:10" ht="13.5" customHeight="1" x14ac:dyDescent="0.25">
      <c r="C868" s="35"/>
      <c r="D868" s="35"/>
      <c r="E868" s="35"/>
      <c r="F868" s="65"/>
      <c r="G868" s="69"/>
      <c r="H868" s="35"/>
      <c r="I868" s="35"/>
      <c r="J868" s="35"/>
    </row>
    <row r="869" spans="3:10" ht="13.5" customHeight="1" x14ac:dyDescent="0.25">
      <c r="C869" s="16"/>
      <c r="D869" s="16"/>
      <c r="E869" s="16"/>
      <c r="F869" s="64"/>
      <c r="G869" s="70"/>
      <c r="H869" s="16"/>
      <c r="I869" s="16"/>
      <c r="J869" s="16"/>
    </row>
    <row r="870" spans="3:10" ht="13.5" customHeight="1" x14ac:dyDescent="0.25">
      <c r="C870" s="35"/>
      <c r="D870" s="35"/>
      <c r="E870" s="35"/>
      <c r="F870" s="65"/>
      <c r="G870" s="69"/>
      <c r="H870" s="35"/>
      <c r="I870" s="35"/>
      <c r="J870" s="35"/>
    </row>
    <row r="871" spans="3:10" ht="13.5" customHeight="1" x14ac:dyDescent="0.25">
      <c r="C871" s="16"/>
      <c r="D871" s="16"/>
      <c r="E871" s="16"/>
      <c r="F871" s="64"/>
      <c r="G871" s="70"/>
      <c r="H871" s="16"/>
      <c r="I871" s="16"/>
      <c r="J871" s="16"/>
    </row>
    <row r="872" spans="3:10" ht="13.5" customHeight="1" x14ac:dyDescent="0.25">
      <c r="C872" s="35"/>
      <c r="D872" s="35"/>
      <c r="E872" s="35"/>
      <c r="F872" s="65"/>
      <c r="G872" s="69"/>
      <c r="H872" s="35"/>
      <c r="I872" s="35"/>
      <c r="J872" s="35"/>
    </row>
    <row r="873" spans="3:10" ht="13.5" customHeight="1" x14ac:dyDescent="0.25">
      <c r="C873" s="16"/>
      <c r="D873" s="16"/>
      <c r="E873" s="16"/>
      <c r="F873" s="64"/>
      <c r="G873" s="70"/>
      <c r="H873" s="16"/>
      <c r="I873" s="16"/>
      <c r="J873" s="16"/>
    </row>
    <row r="874" spans="3:10" ht="13.5" customHeight="1" x14ac:dyDescent="0.25">
      <c r="C874" s="35"/>
      <c r="D874" s="35"/>
      <c r="E874" s="35"/>
      <c r="F874" s="65"/>
      <c r="G874" s="69"/>
      <c r="H874" s="35"/>
      <c r="I874" s="35"/>
      <c r="J874" s="35"/>
    </row>
    <row r="875" spans="3:10" ht="13.5" customHeight="1" x14ac:dyDescent="0.25">
      <c r="C875" s="16"/>
      <c r="D875" s="16"/>
      <c r="E875" s="16"/>
      <c r="F875" s="64"/>
      <c r="G875" s="70"/>
      <c r="H875" s="16"/>
      <c r="I875" s="16"/>
      <c r="J875" s="16"/>
    </row>
    <row r="876" spans="3:10" ht="13.5" customHeight="1" x14ac:dyDescent="0.25">
      <c r="C876" s="35"/>
      <c r="D876" s="35"/>
      <c r="E876" s="35"/>
      <c r="F876" s="65"/>
      <c r="G876" s="69"/>
      <c r="H876" s="35"/>
      <c r="I876" s="35"/>
      <c r="J876" s="35"/>
    </row>
    <row r="877" spans="3:10" ht="13.5" customHeight="1" x14ac:dyDescent="0.25">
      <c r="C877" s="16"/>
      <c r="D877" s="16"/>
      <c r="E877" s="16"/>
      <c r="F877" s="64"/>
      <c r="G877" s="70"/>
      <c r="H877" s="16"/>
      <c r="I877" s="16"/>
      <c r="J877" s="16"/>
    </row>
    <row r="878" spans="3:10" ht="13.5" customHeight="1" x14ac:dyDescent="0.25">
      <c r="C878" s="35"/>
      <c r="D878" s="35"/>
      <c r="E878" s="35"/>
      <c r="F878" s="65"/>
      <c r="G878" s="69"/>
      <c r="H878" s="35"/>
      <c r="I878" s="35"/>
      <c r="J878" s="35"/>
    </row>
    <row r="879" spans="3:10" ht="13.5" customHeight="1" x14ac:dyDescent="0.25">
      <c r="C879" s="16"/>
      <c r="D879" s="16"/>
      <c r="E879" s="16"/>
      <c r="F879" s="64"/>
      <c r="G879" s="70"/>
      <c r="H879" s="16"/>
      <c r="I879" s="16"/>
      <c r="J879" s="16"/>
    </row>
    <row r="880" spans="3:10" ht="13.5" customHeight="1" x14ac:dyDescent="0.25">
      <c r="C880" s="35"/>
      <c r="D880" s="35"/>
      <c r="E880" s="35"/>
      <c r="F880" s="65"/>
      <c r="G880" s="69"/>
      <c r="H880" s="35"/>
      <c r="I880" s="35"/>
      <c r="J880" s="35"/>
    </row>
    <row r="881" spans="3:10" ht="13.5" customHeight="1" x14ac:dyDescent="0.25">
      <c r="C881" s="16"/>
      <c r="D881" s="16"/>
      <c r="E881" s="16"/>
      <c r="F881" s="64"/>
      <c r="G881" s="70"/>
      <c r="H881" s="16"/>
      <c r="I881" s="16"/>
      <c r="J881" s="16"/>
    </row>
    <row r="882" spans="3:10" ht="13.5" customHeight="1" x14ac:dyDescent="0.25">
      <c r="C882" s="35"/>
      <c r="D882" s="35"/>
      <c r="E882" s="35"/>
      <c r="F882" s="65"/>
      <c r="G882" s="69"/>
      <c r="H882" s="35"/>
      <c r="I882" s="35"/>
      <c r="J882" s="35"/>
    </row>
    <row r="883" spans="3:10" ht="13.5" customHeight="1" x14ac:dyDescent="0.25">
      <c r="C883" s="16"/>
      <c r="D883" s="16"/>
      <c r="E883" s="16"/>
      <c r="F883" s="64"/>
      <c r="G883" s="70"/>
      <c r="H883" s="16"/>
      <c r="I883" s="16"/>
      <c r="J883" s="16"/>
    </row>
    <row r="884" spans="3:10" ht="13.5" customHeight="1" x14ac:dyDescent="0.25">
      <c r="C884" s="35"/>
      <c r="D884" s="35"/>
      <c r="E884" s="35"/>
      <c r="F884" s="65"/>
      <c r="G884" s="69"/>
      <c r="H884" s="35"/>
      <c r="I884" s="35"/>
      <c r="J884" s="35"/>
    </row>
    <row r="885" spans="3:10" ht="13.5" customHeight="1" x14ac:dyDescent="0.25">
      <c r="C885" s="16"/>
      <c r="D885" s="16"/>
      <c r="E885" s="16"/>
      <c r="F885" s="64"/>
      <c r="G885" s="70"/>
      <c r="H885" s="16"/>
      <c r="I885" s="16"/>
      <c r="J885" s="16"/>
    </row>
    <row r="886" spans="3:10" ht="13.5" customHeight="1" x14ac:dyDescent="0.25">
      <c r="C886" s="35"/>
      <c r="D886" s="35"/>
      <c r="E886" s="35"/>
      <c r="F886" s="65"/>
      <c r="G886" s="69"/>
      <c r="H886" s="35"/>
      <c r="I886" s="35"/>
      <c r="J886" s="35"/>
    </row>
    <row r="887" spans="3:10" ht="13.5" customHeight="1" x14ac:dyDescent="0.25">
      <c r="C887" s="16"/>
      <c r="D887" s="16"/>
      <c r="E887" s="16"/>
      <c r="F887" s="64"/>
      <c r="G887" s="70"/>
      <c r="H887" s="16"/>
      <c r="I887" s="16"/>
      <c r="J887" s="16"/>
    </row>
    <row r="888" spans="3:10" ht="13.5" customHeight="1" x14ac:dyDescent="0.25">
      <c r="C888" s="35"/>
      <c r="D888" s="35"/>
      <c r="E888" s="35"/>
      <c r="F888" s="65"/>
      <c r="G888" s="69"/>
      <c r="H888" s="35"/>
      <c r="I888" s="35"/>
      <c r="J888" s="35"/>
    </row>
    <row r="889" spans="3:10" ht="13.5" customHeight="1" x14ac:dyDescent="0.25">
      <c r="C889" s="16"/>
      <c r="D889" s="16"/>
      <c r="E889" s="16"/>
      <c r="F889" s="64"/>
      <c r="G889" s="70"/>
      <c r="H889" s="16"/>
      <c r="I889" s="16"/>
      <c r="J889" s="16"/>
    </row>
    <row r="890" spans="3:10" ht="13.5" customHeight="1" x14ac:dyDescent="0.25">
      <c r="C890" s="35"/>
      <c r="D890" s="35"/>
      <c r="E890" s="35"/>
      <c r="F890" s="65"/>
      <c r="G890" s="69"/>
      <c r="H890" s="35"/>
      <c r="I890" s="35"/>
      <c r="J890" s="35"/>
    </row>
    <row r="891" spans="3:10" ht="13.5" customHeight="1" x14ac:dyDescent="0.25">
      <c r="C891" s="16"/>
      <c r="D891" s="16"/>
      <c r="E891" s="16"/>
      <c r="F891" s="64"/>
      <c r="G891" s="70"/>
      <c r="H891" s="16"/>
      <c r="I891" s="16"/>
      <c r="J891" s="16"/>
    </row>
    <row r="892" spans="3:10" ht="13.5" customHeight="1" x14ac:dyDescent="0.25">
      <c r="C892" s="35"/>
      <c r="D892" s="35"/>
      <c r="E892" s="35"/>
      <c r="F892" s="65"/>
      <c r="G892" s="69"/>
      <c r="H892" s="35"/>
      <c r="I892" s="35"/>
      <c r="J892" s="35"/>
    </row>
    <row r="893" spans="3:10" ht="13.5" customHeight="1" x14ac:dyDescent="0.25">
      <c r="C893" s="16"/>
      <c r="D893" s="16"/>
      <c r="E893" s="16"/>
      <c r="F893" s="64"/>
      <c r="G893" s="70"/>
      <c r="H893" s="16"/>
      <c r="I893" s="16"/>
      <c r="J893" s="16"/>
    </row>
    <row r="894" spans="3:10" ht="13.5" customHeight="1" x14ac:dyDescent="0.25">
      <c r="C894" s="35"/>
      <c r="D894" s="35"/>
      <c r="E894" s="35"/>
      <c r="F894" s="65"/>
      <c r="G894" s="69"/>
      <c r="H894" s="35"/>
      <c r="I894" s="35"/>
      <c r="J894" s="35"/>
    </row>
    <row r="895" spans="3:10" ht="13.5" customHeight="1" x14ac:dyDescent="0.25">
      <c r="C895" s="16"/>
      <c r="D895" s="16"/>
      <c r="E895" s="16"/>
      <c r="F895" s="64"/>
      <c r="G895" s="70"/>
      <c r="H895" s="16"/>
      <c r="I895" s="16"/>
      <c r="J895" s="16"/>
    </row>
    <row r="896" spans="3:10" ht="13.5" customHeight="1" x14ac:dyDescent="0.25">
      <c r="C896" s="35"/>
      <c r="D896" s="35"/>
      <c r="E896" s="35"/>
      <c r="F896" s="65"/>
      <c r="G896" s="69"/>
      <c r="H896" s="35"/>
      <c r="I896" s="35"/>
      <c r="J896" s="35"/>
    </row>
    <row r="897" spans="3:10" ht="13.5" customHeight="1" x14ac:dyDescent="0.25">
      <c r="C897" s="16"/>
      <c r="D897" s="16"/>
      <c r="E897" s="16"/>
      <c r="F897" s="64"/>
      <c r="G897" s="70"/>
      <c r="H897" s="16"/>
      <c r="I897" s="16"/>
      <c r="J897" s="16"/>
    </row>
    <row r="898" spans="3:10" ht="13.5" customHeight="1" x14ac:dyDescent="0.25">
      <c r="C898" s="35"/>
      <c r="D898" s="35"/>
      <c r="E898" s="35"/>
      <c r="F898" s="65"/>
      <c r="G898" s="69"/>
      <c r="H898" s="35"/>
      <c r="I898" s="35"/>
      <c r="J898" s="35"/>
    </row>
    <row r="899" spans="3:10" ht="13.5" customHeight="1" x14ac:dyDescent="0.25">
      <c r="C899" s="16"/>
      <c r="D899" s="16"/>
      <c r="E899" s="16"/>
      <c r="F899" s="64"/>
      <c r="G899" s="70"/>
      <c r="H899" s="16"/>
      <c r="I899" s="16"/>
      <c r="J899" s="16"/>
    </row>
    <row r="900" spans="3:10" ht="13.5" customHeight="1" x14ac:dyDescent="0.25">
      <c r="C900" s="35"/>
      <c r="D900" s="35"/>
      <c r="E900" s="35"/>
      <c r="F900" s="65"/>
      <c r="G900" s="69"/>
      <c r="H900" s="35"/>
      <c r="I900" s="35"/>
      <c r="J900" s="35"/>
    </row>
    <row r="901" spans="3:10" ht="13.5" customHeight="1" x14ac:dyDescent="0.25">
      <c r="C901" s="16"/>
      <c r="D901" s="16"/>
      <c r="E901" s="16"/>
      <c r="F901" s="64"/>
      <c r="G901" s="70"/>
      <c r="H901" s="16"/>
      <c r="I901" s="16"/>
      <c r="J901" s="16"/>
    </row>
    <row r="902" spans="3:10" ht="13.5" customHeight="1" x14ac:dyDescent="0.25">
      <c r="C902" s="35"/>
      <c r="D902" s="35"/>
      <c r="E902" s="35"/>
      <c r="F902" s="65"/>
      <c r="G902" s="69"/>
      <c r="H902" s="35"/>
      <c r="I902" s="35"/>
      <c r="J902" s="35"/>
    </row>
    <row r="903" spans="3:10" ht="13.5" customHeight="1" x14ac:dyDescent="0.25">
      <c r="C903" s="16"/>
      <c r="D903" s="16"/>
      <c r="E903" s="16"/>
      <c r="F903" s="64"/>
      <c r="G903" s="70"/>
      <c r="H903" s="16"/>
      <c r="I903" s="16"/>
      <c r="J903" s="16"/>
    </row>
    <row r="904" spans="3:10" ht="13.5" customHeight="1" x14ac:dyDescent="0.25">
      <c r="C904" s="35"/>
      <c r="D904" s="35"/>
      <c r="E904" s="35"/>
      <c r="F904" s="65"/>
      <c r="G904" s="69"/>
      <c r="H904" s="35"/>
      <c r="I904" s="35"/>
      <c r="J904" s="35"/>
    </row>
    <row r="905" spans="3:10" ht="13.5" customHeight="1" x14ac:dyDescent="0.25">
      <c r="C905" s="16"/>
      <c r="D905" s="16"/>
      <c r="E905" s="16"/>
      <c r="F905" s="64"/>
      <c r="G905" s="70"/>
      <c r="H905" s="16"/>
      <c r="I905" s="16"/>
      <c r="J905" s="16"/>
    </row>
    <row r="906" spans="3:10" ht="13.5" customHeight="1" x14ac:dyDescent="0.25">
      <c r="C906" s="35"/>
      <c r="D906" s="35"/>
      <c r="E906" s="35"/>
      <c r="F906" s="65"/>
      <c r="G906" s="69"/>
      <c r="H906" s="35"/>
      <c r="I906" s="35"/>
      <c r="J906" s="35"/>
    </row>
    <row r="907" spans="3:10" ht="13.5" customHeight="1" x14ac:dyDescent="0.25">
      <c r="C907" s="16"/>
      <c r="D907" s="16"/>
      <c r="E907" s="16"/>
      <c r="F907" s="64"/>
      <c r="G907" s="70"/>
      <c r="H907" s="16"/>
      <c r="I907" s="16"/>
      <c r="J907" s="16"/>
    </row>
    <row r="908" spans="3:10" ht="13.5" customHeight="1" x14ac:dyDescent="0.25">
      <c r="C908" s="35"/>
      <c r="D908" s="35"/>
      <c r="E908" s="35"/>
      <c r="F908" s="65"/>
      <c r="G908" s="69"/>
      <c r="H908" s="35"/>
      <c r="I908" s="35"/>
      <c r="J908" s="35"/>
    </row>
    <row r="909" spans="3:10" ht="13.5" customHeight="1" x14ac:dyDescent="0.25">
      <c r="C909" s="16"/>
      <c r="D909" s="16"/>
      <c r="E909" s="16"/>
      <c r="F909" s="64"/>
      <c r="G909" s="70"/>
      <c r="H909" s="16"/>
      <c r="I909" s="16"/>
      <c r="J909" s="16"/>
    </row>
    <row r="910" spans="3:10" ht="13.5" customHeight="1" x14ac:dyDescent="0.25">
      <c r="C910" s="35"/>
      <c r="D910" s="35"/>
      <c r="E910" s="35"/>
      <c r="F910" s="65"/>
      <c r="G910" s="69"/>
      <c r="H910" s="35"/>
      <c r="I910" s="35"/>
      <c r="J910" s="35"/>
    </row>
    <row r="911" spans="3:10" ht="13.5" customHeight="1" x14ac:dyDescent="0.25">
      <c r="C911" s="16"/>
      <c r="D911" s="16"/>
      <c r="E911" s="16"/>
      <c r="F911" s="64"/>
      <c r="G911" s="70"/>
      <c r="H911" s="16"/>
      <c r="I911" s="16"/>
      <c r="J911" s="16"/>
    </row>
    <row r="912" spans="3:10" ht="13.5" customHeight="1" x14ac:dyDescent="0.25">
      <c r="C912" s="35"/>
      <c r="D912" s="35"/>
      <c r="E912" s="35"/>
      <c r="F912" s="65"/>
      <c r="G912" s="69"/>
      <c r="H912" s="35"/>
      <c r="I912" s="35"/>
      <c r="J912" s="35"/>
    </row>
    <row r="913" spans="3:10" ht="13.5" customHeight="1" x14ac:dyDescent="0.25">
      <c r="C913" s="16"/>
      <c r="D913" s="16"/>
      <c r="E913" s="16"/>
      <c r="F913" s="64"/>
      <c r="G913" s="70"/>
      <c r="H913" s="16"/>
      <c r="I913" s="16"/>
      <c r="J913" s="16"/>
    </row>
    <row r="914" spans="3:10" ht="13.5" customHeight="1" x14ac:dyDescent="0.25">
      <c r="C914" s="35"/>
      <c r="D914" s="35"/>
      <c r="E914" s="35"/>
      <c r="F914" s="65"/>
      <c r="G914" s="69"/>
      <c r="H914" s="35"/>
      <c r="I914" s="35"/>
      <c r="J914" s="35"/>
    </row>
    <row r="915" spans="3:10" ht="13.5" customHeight="1" x14ac:dyDescent="0.25">
      <c r="C915" s="16"/>
      <c r="D915" s="16"/>
      <c r="E915" s="16"/>
      <c r="F915" s="64"/>
      <c r="G915" s="70"/>
      <c r="H915" s="16"/>
      <c r="I915" s="16"/>
      <c r="J915" s="16"/>
    </row>
    <row r="916" spans="3:10" ht="13.5" customHeight="1" x14ac:dyDescent="0.25">
      <c r="C916" s="35"/>
      <c r="D916" s="35"/>
      <c r="E916" s="35"/>
      <c r="F916" s="65"/>
      <c r="G916" s="69"/>
      <c r="H916" s="35"/>
      <c r="I916" s="35"/>
      <c r="J916" s="35"/>
    </row>
    <row r="917" spans="3:10" ht="13.5" customHeight="1" x14ac:dyDescent="0.25">
      <c r="C917" s="16"/>
      <c r="D917" s="16"/>
      <c r="E917" s="16"/>
      <c r="F917" s="64"/>
      <c r="G917" s="70"/>
      <c r="H917" s="16"/>
      <c r="I917" s="16"/>
      <c r="J917" s="16"/>
    </row>
    <row r="918" spans="3:10" ht="13.5" customHeight="1" x14ac:dyDescent="0.25">
      <c r="C918" s="35"/>
      <c r="D918" s="35"/>
      <c r="E918" s="35"/>
      <c r="F918" s="65"/>
      <c r="G918" s="69"/>
      <c r="H918" s="35"/>
      <c r="I918" s="35"/>
      <c r="J918" s="35"/>
    </row>
    <row r="919" spans="3:10" ht="13.5" customHeight="1" x14ac:dyDescent="0.25">
      <c r="C919" s="16"/>
      <c r="D919" s="16"/>
      <c r="E919" s="16"/>
      <c r="F919" s="64"/>
      <c r="G919" s="70"/>
      <c r="H919" s="16"/>
      <c r="I919" s="16"/>
      <c r="J919" s="16"/>
    </row>
    <row r="920" spans="3:10" ht="13.5" customHeight="1" x14ac:dyDescent="0.25">
      <c r="C920" s="35"/>
      <c r="D920" s="35"/>
      <c r="E920" s="35"/>
      <c r="F920" s="65"/>
      <c r="G920" s="69"/>
      <c r="H920" s="35"/>
      <c r="I920" s="35"/>
      <c r="J920" s="35"/>
    </row>
    <row r="921" spans="3:10" ht="13.5" customHeight="1" x14ac:dyDescent="0.25">
      <c r="C921" s="16"/>
      <c r="D921" s="16"/>
      <c r="E921" s="16"/>
      <c r="F921" s="64"/>
      <c r="G921" s="70"/>
      <c r="H921" s="16"/>
      <c r="I921" s="16"/>
      <c r="J921" s="16"/>
    </row>
    <row r="922" spans="3:10" ht="13.5" customHeight="1" x14ac:dyDescent="0.25">
      <c r="C922" s="35"/>
      <c r="D922" s="35"/>
      <c r="E922" s="35"/>
      <c r="F922" s="65"/>
      <c r="G922" s="69"/>
      <c r="H922" s="35"/>
      <c r="I922" s="35"/>
      <c r="J922" s="35"/>
    </row>
    <row r="923" spans="3:10" ht="13.5" customHeight="1" x14ac:dyDescent="0.25">
      <c r="C923" s="16"/>
      <c r="D923" s="16"/>
      <c r="E923" s="16"/>
      <c r="F923" s="64"/>
      <c r="G923" s="70"/>
      <c r="H923" s="16"/>
      <c r="I923" s="16"/>
      <c r="J923" s="16"/>
    </row>
    <row r="924" spans="3:10" ht="13.5" customHeight="1" x14ac:dyDescent="0.25">
      <c r="C924" s="35"/>
      <c r="D924" s="35"/>
      <c r="E924" s="35"/>
      <c r="F924" s="65"/>
      <c r="G924" s="69"/>
      <c r="H924" s="35"/>
      <c r="I924" s="35"/>
      <c r="J924" s="35"/>
    </row>
    <row r="925" spans="3:10" ht="13.5" customHeight="1" x14ac:dyDescent="0.25">
      <c r="C925" s="16"/>
      <c r="D925" s="16"/>
      <c r="E925" s="16"/>
      <c r="F925" s="64"/>
      <c r="G925" s="70"/>
      <c r="H925" s="16"/>
      <c r="I925" s="16"/>
      <c r="J925" s="16"/>
    </row>
    <row r="926" spans="3:10" ht="13.5" customHeight="1" x14ac:dyDescent="0.25">
      <c r="C926" s="35"/>
      <c r="D926" s="35"/>
      <c r="E926" s="35"/>
      <c r="F926" s="65"/>
      <c r="G926" s="69"/>
      <c r="H926" s="35"/>
      <c r="I926" s="35"/>
      <c r="J926" s="35"/>
    </row>
    <row r="927" spans="3:10" ht="13.5" customHeight="1" x14ac:dyDescent="0.25">
      <c r="C927" s="16"/>
      <c r="D927" s="16"/>
      <c r="E927" s="16"/>
      <c r="F927" s="64"/>
      <c r="G927" s="70"/>
      <c r="H927" s="16"/>
      <c r="I927" s="16"/>
      <c r="J927" s="16"/>
    </row>
    <row r="928" spans="3:10" ht="13.5" customHeight="1" x14ac:dyDescent="0.25">
      <c r="C928" s="35"/>
      <c r="D928" s="35"/>
      <c r="E928" s="35"/>
      <c r="F928" s="65"/>
      <c r="G928" s="69"/>
      <c r="H928" s="35"/>
      <c r="I928" s="35"/>
      <c r="J928" s="35"/>
    </row>
    <row r="929" spans="3:10" ht="13.5" customHeight="1" x14ac:dyDescent="0.25">
      <c r="C929" s="16"/>
      <c r="D929" s="16"/>
      <c r="E929" s="16"/>
      <c r="F929" s="64"/>
      <c r="G929" s="70"/>
      <c r="H929" s="16"/>
      <c r="I929" s="16"/>
      <c r="J929" s="16"/>
    </row>
    <row r="930" spans="3:10" ht="13.5" customHeight="1" x14ac:dyDescent="0.25">
      <c r="C930" s="35"/>
      <c r="D930" s="35"/>
      <c r="E930" s="35"/>
      <c r="F930" s="65"/>
      <c r="G930" s="69"/>
      <c r="H930" s="35"/>
      <c r="I930" s="35"/>
      <c r="J930" s="35"/>
    </row>
    <row r="931" spans="3:10" ht="13.5" customHeight="1" x14ac:dyDescent="0.25">
      <c r="C931" s="16"/>
      <c r="D931" s="16"/>
      <c r="E931" s="16"/>
      <c r="F931" s="64"/>
      <c r="G931" s="70"/>
      <c r="H931" s="16"/>
      <c r="I931" s="16"/>
      <c r="J931" s="16"/>
    </row>
    <row r="932" spans="3:10" ht="13.5" customHeight="1" x14ac:dyDescent="0.25">
      <c r="C932" s="35"/>
      <c r="D932" s="35"/>
      <c r="E932" s="35"/>
      <c r="F932" s="65"/>
      <c r="G932" s="69"/>
      <c r="H932" s="35"/>
      <c r="I932" s="35"/>
      <c r="J932" s="35"/>
    </row>
    <row r="933" spans="3:10" ht="13.5" customHeight="1" x14ac:dyDescent="0.25">
      <c r="C933" s="16"/>
      <c r="D933" s="16"/>
      <c r="E933" s="16"/>
      <c r="F933" s="64"/>
      <c r="G933" s="70"/>
      <c r="H933" s="16"/>
      <c r="I933" s="16"/>
      <c r="J933" s="16"/>
    </row>
    <row r="934" spans="3:10" ht="13.5" customHeight="1" x14ac:dyDescent="0.25">
      <c r="C934" s="35"/>
      <c r="D934" s="35"/>
      <c r="E934" s="35"/>
      <c r="F934" s="65"/>
      <c r="G934" s="69"/>
      <c r="H934" s="35"/>
      <c r="I934" s="35"/>
      <c r="J934" s="35"/>
    </row>
    <row r="935" spans="3:10" ht="13.5" customHeight="1" x14ac:dyDescent="0.25">
      <c r="C935" s="16"/>
      <c r="D935" s="16"/>
      <c r="E935" s="16"/>
      <c r="F935" s="64"/>
      <c r="G935" s="70"/>
      <c r="H935" s="16"/>
      <c r="I935" s="16"/>
      <c r="J935" s="16"/>
    </row>
    <row r="936" spans="3:10" ht="13.5" customHeight="1" x14ac:dyDescent="0.25">
      <c r="C936" s="35"/>
      <c r="D936" s="35"/>
      <c r="E936" s="35"/>
      <c r="F936" s="65"/>
      <c r="G936" s="69"/>
      <c r="H936" s="35"/>
      <c r="I936" s="35"/>
      <c r="J936" s="35"/>
    </row>
    <row r="937" spans="3:10" ht="13.5" customHeight="1" x14ac:dyDescent="0.25">
      <c r="C937" s="16"/>
      <c r="D937" s="16"/>
      <c r="E937" s="16"/>
      <c r="F937" s="64"/>
      <c r="G937" s="70"/>
      <c r="H937" s="16"/>
      <c r="I937" s="16"/>
      <c r="J937" s="16"/>
    </row>
    <row r="938" spans="3:10" ht="13.5" customHeight="1" x14ac:dyDescent="0.25">
      <c r="C938" s="35"/>
      <c r="D938" s="35"/>
      <c r="E938" s="35"/>
      <c r="F938" s="65"/>
      <c r="G938" s="69"/>
      <c r="H938" s="35"/>
      <c r="I938" s="35"/>
      <c r="J938" s="35"/>
    </row>
    <row r="939" spans="3:10" ht="13.5" customHeight="1" x14ac:dyDescent="0.25">
      <c r="C939" s="16"/>
      <c r="D939" s="16"/>
      <c r="E939" s="16"/>
      <c r="F939" s="64"/>
      <c r="G939" s="70"/>
      <c r="H939" s="16"/>
      <c r="I939" s="16"/>
      <c r="J939" s="16"/>
    </row>
    <row r="940" spans="3:10" ht="13.5" customHeight="1" x14ac:dyDescent="0.25">
      <c r="C940" s="35"/>
      <c r="D940" s="35"/>
      <c r="E940" s="35"/>
      <c r="F940" s="65"/>
      <c r="G940" s="69"/>
      <c r="H940" s="35"/>
      <c r="I940" s="35"/>
      <c r="J940" s="35"/>
    </row>
    <row r="941" spans="3:10" ht="13.5" customHeight="1" x14ac:dyDescent="0.25">
      <c r="C941" s="16"/>
      <c r="D941" s="16"/>
      <c r="E941" s="16"/>
      <c r="F941" s="64"/>
      <c r="G941" s="70"/>
      <c r="H941" s="16"/>
      <c r="I941" s="16"/>
      <c r="J941" s="16"/>
    </row>
    <row r="942" spans="3:10" ht="13.5" customHeight="1" x14ac:dyDescent="0.25">
      <c r="C942" s="35"/>
      <c r="D942" s="35"/>
      <c r="E942" s="35"/>
      <c r="F942" s="65"/>
      <c r="G942" s="69"/>
      <c r="H942" s="35"/>
      <c r="I942" s="35"/>
      <c r="J942" s="35"/>
    </row>
    <row r="943" spans="3:10" ht="13.5" customHeight="1" x14ac:dyDescent="0.25">
      <c r="C943" s="16"/>
      <c r="D943" s="16"/>
      <c r="E943" s="16"/>
      <c r="F943" s="64"/>
      <c r="G943" s="70"/>
      <c r="H943" s="16"/>
      <c r="I943" s="16"/>
      <c r="J943" s="16"/>
    </row>
    <row r="944" spans="3:10" ht="13.5" customHeight="1" x14ac:dyDescent="0.25">
      <c r="C944" s="35"/>
      <c r="D944" s="35"/>
      <c r="E944" s="35"/>
      <c r="F944" s="65"/>
      <c r="G944" s="69"/>
      <c r="H944" s="35"/>
      <c r="I944" s="35"/>
      <c r="J944" s="35"/>
    </row>
    <row r="945" spans="3:10" ht="13.5" customHeight="1" x14ac:dyDescent="0.25">
      <c r="C945" s="16"/>
      <c r="D945" s="16"/>
      <c r="E945" s="16"/>
      <c r="F945" s="64"/>
      <c r="G945" s="70"/>
      <c r="H945" s="16"/>
      <c r="I945" s="16"/>
      <c r="J945" s="16"/>
    </row>
    <row r="946" spans="3:10" ht="13.5" customHeight="1" x14ac:dyDescent="0.25">
      <c r="C946" s="35"/>
      <c r="D946" s="35"/>
      <c r="E946" s="35"/>
      <c r="F946" s="65"/>
      <c r="G946" s="69"/>
      <c r="H946" s="35"/>
      <c r="I946" s="35"/>
      <c r="J946" s="35"/>
    </row>
    <row r="947" spans="3:10" ht="13.5" customHeight="1" x14ac:dyDescent="0.25">
      <c r="C947" s="16"/>
      <c r="D947" s="16"/>
      <c r="E947" s="16"/>
      <c r="F947" s="64"/>
      <c r="G947" s="70"/>
      <c r="H947" s="16"/>
      <c r="I947" s="16"/>
      <c r="J947" s="16"/>
    </row>
    <row r="948" spans="3:10" ht="13.5" customHeight="1" x14ac:dyDescent="0.25">
      <c r="C948" s="35"/>
      <c r="D948" s="35"/>
      <c r="E948" s="35"/>
      <c r="F948" s="65"/>
      <c r="G948" s="69"/>
      <c r="H948" s="35"/>
      <c r="I948" s="35"/>
      <c r="J948" s="35"/>
    </row>
    <row r="949" spans="3:10" ht="13.5" customHeight="1" x14ac:dyDescent="0.25">
      <c r="C949" s="16"/>
      <c r="D949" s="16"/>
      <c r="E949" s="16"/>
      <c r="F949" s="64"/>
      <c r="G949" s="70"/>
      <c r="H949" s="16"/>
      <c r="I949" s="16"/>
      <c r="J949" s="16"/>
    </row>
    <row r="950" spans="3:10" ht="13.5" customHeight="1" x14ac:dyDescent="0.25">
      <c r="C950" s="35"/>
      <c r="D950" s="35"/>
      <c r="E950" s="35"/>
      <c r="F950" s="65"/>
      <c r="G950" s="69"/>
      <c r="H950" s="35"/>
      <c r="I950" s="35"/>
      <c r="J950" s="35"/>
    </row>
    <row r="951" spans="3:10" ht="13.5" customHeight="1" x14ac:dyDescent="0.25">
      <c r="C951" s="16"/>
      <c r="D951" s="16"/>
      <c r="E951" s="16"/>
      <c r="F951" s="64"/>
      <c r="G951" s="70"/>
      <c r="H951" s="16"/>
      <c r="I951" s="16"/>
      <c r="J951" s="16"/>
    </row>
    <row r="952" spans="3:10" ht="13.5" customHeight="1" x14ac:dyDescent="0.25">
      <c r="C952" s="35"/>
      <c r="D952" s="35"/>
      <c r="E952" s="35"/>
      <c r="F952" s="65"/>
      <c r="G952" s="69"/>
      <c r="H952" s="35"/>
      <c r="I952" s="35"/>
      <c r="J952" s="35"/>
    </row>
    <row r="953" spans="3:10" ht="13.5" customHeight="1" x14ac:dyDescent="0.25">
      <c r="C953" s="16"/>
      <c r="D953" s="16"/>
      <c r="E953" s="16"/>
      <c r="F953" s="64"/>
      <c r="G953" s="70"/>
      <c r="H953" s="16"/>
      <c r="I953" s="16"/>
      <c r="J953" s="16"/>
    </row>
    <row r="954" spans="3:10" ht="13.5" customHeight="1" x14ac:dyDescent="0.25">
      <c r="C954" s="35"/>
      <c r="D954" s="35"/>
      <c r="E954" s="35"/>
      <c r="F954" s="65"/>
      <c r="G954" s="69"/>
      <c r="H954" s="35"/>
      <c r="I954" s="35"/>
      <c r="J954" s="35"/>
    </row>
    <row r="955" spans="3:10" ht="13.5" customHeight="1" x14ac:dyDescent="0.25">
      <c r="C955" s="16"/>
      <c r="D955" s="16"/>
      <c r="E955" s="16"/>
      <c r="F955" s="64"/>
      <c r="G955" s="70"/>
      <c r="H955" s="16"/>
      <c r="I955" s="16"/>
      <c r="J955" s="16"/>
    </row>
    <row r="956" spans="3:10" ht="13.5" customHeight="1" x14ac:dyDescent="0.25">
      <c r="C956" s="35"/>
      <c r="D956" s="35"/>
      <c r="E956" s="35"/>
      <c r="F956" s="65"/>
      <c r="G956" s="69"/>
      <c r="H956" s="35"/>
      <c r="I956" s="35"/>
      <c r="J956" s="35"/>
    </row>
    <row r="957" spans="3:10" ht="13.5" customHeight="1" x14ac:dyDescent="0.25">
      <c r="C957" s="16"/>
      <c r="D957" s="16"/>
      <c r="E957" s="16"/>
      <c r="F957" s="64"/>
      <c r="G957" s="70"/>
      <c r="H957" s="16"/>
      <c r="I957" s="16"/>
      <c r="J957" s="16"/>
    </row>
    <row r="958" spans="3:10" ht="13.5" customHeight="1" x14ac:dyDescent="0.25">
      <c r="C958" s="35"/>
      <c r="D958" s="35"/>
      <c r="E958" s="35"/>
      <c r="F958" s="65"/>
      <c r="G958" s="69"/>
      <c r="H958" s="35"/>
      <c r="I958" s="35"/>
      <c r="J958" s="35"/>
    </row>
    <row r="959" spans="3:10" ht="13.5" customHeight="1" x14ac:dyDescent="0.25">
      <c r="C959" s="16"/>
      <c r="D959" s="16"/>
      <c r="E959" s="16"/>
      <c r="F959" s="64"/>
      <c r="G959" s="70"/>
      <c r="H959" s="16"/>
      <c r="I959" s="16"/>
      <c r="J959" s="16"/>
    </row>
    <row r="960" spans="3:10" ht="13.5" customHeight="1" x14ac:dyDescent="0.25">
      <c r="C960" s="35"/>
      <c r="D960" s="35"/>
      <c r="E960" s="35"/>
      <c r="F960" s="65"/>
      <c r="G960" s="69"/>
      <c r="H960" s="35"/>
      <c r="I960" s="35"/>
      <c r="J960" s="35"/>
    </row>
    <row r="961" spans="3:10" ht="13.5" customHeight="1" x14ac:dyDescent="0.25">
      <c r="C961" s="16"/>
      <c r="D961" s="16"/>
      <c r="E961" s="16"/>
      <c r="F961" s="64"/>
      <c r="G961" s="70"/>
      <c r="H961" s="16"/>
      <c r="I961" s="16"/>
      <c r="J961" s="16"/>
    </row>
    <row r="962" spans="3:10" ht="13.5" customHeight="1" x14ac:dyDescent="0.25">
      <c r="C962" s="35"/>
      <c r="D962" s="35"/>
      <c r="E962" s="35"/>
      <c r="F962" s="65"/>
      <c r="G962" s="69"/>
      <c r="H962" s="35"/>
      <c r="I962" s="35"/>
      <c r="J962" s="35"/>
    </row>
    <row r="963" spans="3:10" ht="13.5" customHeight="1" x14ac:dyDescent="0.25">
      <c r="C963" s="16"/>
      <c r="D963" s="16"/>
      <c r="E963" s="16"/>
      <c r="F963" s="64"/>
      <c r="G963" s="70"/>
      <c r="H963" s="16"/>
      <c r="I963" s="16"/>
      <c r="J963" s="16"/>
    </row>
    <row r="964" spans="3:10" ht="13.5" customHeight="1" x14ac:dyDescent="0.25">
      <c r="C964" s="35"/>
      <c r="D964" s="35"/>
      <c r="E964" s="35"/>
      <c r="F964" s="65"/>
      <c r="G964" s="69"/>
      <c r="H964" s="35"/>
      <c r="I964" s="35"/>
      <c r="J964" s="35"/>
    </row>
    <row r="965" spans="3:10" ht="13.5" customHeight="1" x14ac:dyDescent="0.25">
      <c r="C965" s="16"/>
      <c r="D965" s="16"/>
      <c r="E965" s="16"/>
      <c r="F965" s="64"/>
      <c r="G965" s="70"/>
      <c r="H965" s="16"/>
      <c r="I965" s="16"/>
      <c r="J965" s="16"/>
    </row>
    <row r="966" spans="3:10" ht="13.5" customHeight="1" x14ac:dyDescent="0.25">
      <c r="C966" s="35"/>
      <c r="D966" s="35"/>
      <c r="E966" s="35"/>
      <c r="F966" s="65"/>
      <c r="G966" s="69"/>
      <c r="H966" s="35"/>
      <c r="I966" s="35"/>
      <c r="J966" s="35"/>
    </row>
    <row r="967" spans="3:10" ht="13.5" customHeight="1" x14ac:dyDescent="0.25">
      <c r="C967" s="16"/>
      <c r="D967" s="16"/>
      <c r="E967" s="16"/>
      <c r="F967" s="64"/>
      <c r="G967" s="70"/>
      <c r="H967" s="16"/>
      <c r="I967" s="16"/>
      <c r="J967" s="16"/>
    </row>
    <row r="968" spans="3:10" ht="13.5" customHeight="1" x14ac:dyDescent="0.25">
      <c r="C968" s="35"/>
      <c r="D968" s="35"/>
      <c r="E968" s="35"/>
      <c r="F968" s="65"/>
      <c r="G968" s="69"/>
      <c r="H968" s="35"/>
      <c r="I968" s="35"/>
      <c r="J968" s="35"/>
    </row>
    <row r="969" spans="3:10" ht="13.5" customHeight="1" x14ac:dyDescent="0.25">
      <c r="C969" s="16"/>
      <c r="D969" s="16"/>
      <c r="E969" s="16"/>
      <c r="F969" s="64"/>
      <c r="G969" s="70"/>
      <c r="H969" s="16"/>
      <c r="I969" s="16"/>
      <c r="J969" s="16"/>
    </row>
    <row r="970" spans="3:10" ht="13.5" customHeight="1" x14ac:dyDescent="0.25">
      <c r="C970" s="35"/>
      <c r="D970" s="35"/>
      <c r="E970" s="35"/>
      <c r="F970" s="65"/>
      <c r="G970" s="69"/>
      <c r="H970" s="35"/>
      <c r="I970" s="35"/>
      <c r="J970" s="35"/>
    </row>
    <row r="971" spans="3:10" ht="13.5" customHeight="1" x14ac:dyDescent="0.25">
      <c r="C971" s="16"/>
      <c r="D971" s="16"/>
      <c r="E971" s="16"/>
      <c r="F971" s="64"/>
      <c r="G971" s="70"/>
      <c r="H971" s="16"/>
      <c r="I971" s="16"/>
      <c r="J971" s="16"/>
    </row>
    <row r="972" spans="3:10" ht="13.5" customHeight="1" x14ac:dyDescent="0.25">
      <c r="C972" s="35"/>
      <c r="D972" s="35"/>
      <c r="E972" s="35"/>
      <c r="F972" s="65"/>
      <c r="G972" s="69"/>
      <c r="H972" s="35"/>
      <c r="I972" s="35"/>
      <c r="J972" s="35"/>
    </row>
    <row r="973" spans="3:10" ht="13.5" customHeight="1" x14ac:dyDescent="0.25">
      <c r="C973" s="16"/>
      <c r="D973" s="16"/>
      <c r="E973" s="16"/>
      <c r="F973" s="64"/>
      <c r="G973" s="70"/>
      <c r="H973" s="16"/>
      <c r="I973" s="16"/>
      <c r="J973" s="16"/>
    </row>
    <row r="974" spans="3:10" ht="13.5" customHeight="1" x14ac:dyDescent="0.25">
      <c r="C974" s="35"/>
      <c r="D974" s="35"/>
      <c r="E974" s="35"/>
      <c r="F974" s="65"/>
      <c r="G974" s="69"/>
      <c r="H974" s="35"/>
      <c r="I974" s="35"/>
      <c r="J974" s="35"/>
    </row>
    <row r="975" spans="3:10" ht="13.5" customHeight="1" x14ac:dyDescent="0.25">
      <c r="C975" s="16"/>
      <c r="D975" s="16"/>
      <c r="E975" s="16"/>
      <c r="F975" s="64"/>
      <c r="G975" s="70"/>
      <c r="H975" s="16"/>
      <c r="I975" s="16"/>
      <c r="J975" s="16"/>
    </row>
    <row r="976" spans="3:10" ht="13.5" customHeight="1" x14ac:dyDescent="0.25">
      <c r="C976" s="35"/>
      <c r="D976" s="35"/>
      <c r="E976" s="35"/>
      <c r="F976" s="65"/>
      <c r="G976" s="69"/>
      <c r="H976" s="35"/>
      <c r="I976" s="35"/>
      <c r="J976" s="35"/>
    </row>
    <row r="977" spans="3:10" ht="13.5" customHeight="1" x14ac:dyDescent="0.25">
      <c r="C977" s="16"/>
      <c r="D977" s="16"/>
      <c r="E977" s="16"/>
      <c r="F977" s="64"/>
      <c r="G977" s="70"/>
      <c r="H977" s="16"/>
      <c r="I977" s="16"/>
      <c r="J977" s="16"/>
    </row>
    <row r="978" spans="3:10" ht="13.5" customHeight="1" x14ac:dyDescent="0.25">
      <c r="C978" s="35"/>
      <c r="D978" s="35"/>
      <c r="E978" s="35"/>
      <c r="F978" s="65"/>
      <c r="G978" s="69"/>
      <c r="H978" s="35"/>
      <c r="I978" s="35"/>
      <c r="J978" s="35"/>
    </row>
    <row r="979" spans="3:10" ht="13.5" customHeight="1" x14ac:dyDescent="0.25">
      <c r="C979" s="16"/>
      <c r="D979" s="16"/>
      <c r="E979" s="16"/>
      <c r="F979" s="64"/>
      <c r="G979" s="70"/>
      <c r="H979" s="16"/>
      <c r="I979" s="16"/>
      <c r="J979" s="16"/>
    </row>
    <row r="980" spans="3:10" ht="13.5" customHeight="1" x14ac:dyDescent="0.25">
      <c r="C980" s="35"/>
      <c r="D980" s="35"/>
      <c r="E980" s="35"/>
      <c r="F980" s="65"/>
      <c r="G980" s="69"/>
      <c r="H980" s="35"/>
      <c r="I980" s="35"/>
      <c r="J980" s="35"/>
    </row>
    <row r="981" spans="3:10" ht="13.5" customHeight="1" x14ac:dyDescent="0.25">
      <c r="C981" s="16"/>
      <c r="D981" s="16"/>
      <c r="E981" s="16"/>
      <c r="F981" s="64"/>
      <c r="G981" s="70"/>
      <c r="H981" s="16"/>
      <c r="I981" s="16"/>
      <c r="J981" s="16"/>
    </row>
    <row r="982" spans="3:10" ht="13.5" customHeight="1" x14ac:dyDescent="0.25">
      <c r="C982" s="35"/>
      <c r="D982" s="35"/>
      <c r="E982" s="35"/>
      <c r="F982" s="65"/>
      <c r="G982" s="69"/>
      <c r="H982" s="35"/>
      <c r="I982" s="35"/>
      <c r="J982" s="35"/>
    </row>
    <row r="983" spans="3:10" ht="13.5" customHeight="1" x14ac:dyDescent="0.25">
      <c r="C983" s="16"/>
      <c r="D983" s="16"/>
      <c r="E983" s="16"/>
      <c r="F983" s="64"/>
      <c r="G983" s="70"/>
      <c r="H983" s="16"/>
      <c r="I983" s="16"/>
      <c r="J983" s="16"/>
    </row>
    <row r="984" spans="3:10" ht="13.5" customHeight="1" x14ac:dyDescent="0.25">
      <c r="C984" s="35"/>
      <c r="D984" s="35"/>
      <c r="E984" s="35"/>
      <c r="F984" s="65"/>
      <c r="G984" s="69"/>
      <c r="H984" s="35"/>
      <c r="I984" s="35"/>
      <c r="J984" s="35"/>
    </row>
    <row r="985" spans="3:10" ht="13.5" customHeight="1" x14ac:dyDescent="0.25">
      <c r="C985" s="16"/>
      <c r="D985" s="16"/>
      <c r="E985" s="16"/>
      <c r="F985" s="64"/>
      <c r="G985" s="70"/>
      <c r="H985" s="16"/>
      <c r="I985" s="16"/>
      <c r="J985" s="16"/>
    </row>
    <row r="986" spans="3:10" ht="13.5" customHeight="1" x14ac:dyDescent="0.25">
      <c r="C986" s="35"/>
      <c r="D986" s="35"/>
      <c r="E986" s="35"/>
      <c r="F986" s="65"/>
      <c r="G986" s="69"/>
      <c r="H986" s="35"/>
      <c r="I986" s="35"/>
      <c r="J986" s="35"/>
    </row>
    <row r="987" spans="3:10" ht="13.5" customHeight="1" x14ac:dyDescent="0.25">
      <c r="C987" s="16"/>
      <c r="D987" s="16"/>
      <c r="E987" s="16"/>
      <c r="F987" s="64"/>
      <c r="G987" s="70"/>
      <c r="H987" s="16"/>
      <c r="I987" s="16"/>
      <c r="J987" s="16"/>
    </row>
    <row r="988" spans="3:10" ht="13.5" customHeight="1" x14ac:dyDescent="0.25">
      <c r="C988" s="35"/>
      <c r="D988" s="35"/>
      <c r="E988" s="35"/>
      <c r="F988" s="65"/>
      <c r="G988" s="69"/>
      <c r="H988" s="35"/>
      <c r="I988" s="35"/>
      <c r="J988" s="35"/>
    </row>
    <row r="989" spans="3:10" ht="13.5" customHeight="1" x14ac:dyDescent="0.25">
      <c r="C989" s="16"/>
      <c r="D989" s="16"/>
      <c r="E989" s="16"/>
      <c r="F989" s="64"/>
      <c r="G989" s="70"/>
      <c r="H989" s="16"/>
      <c r="I989" s="16"/>
      <c r="J989" s="16"/>
    </row>
    <row r="990" spans="3:10" ht="13.5" customHeight="1" x14ac:dyDescent="0.25">
      <c r="C990" s="35"/>
      <c r="D990" s="35"/>
      <c r="E990" s="35"/>
      <c r="F990" s="65"/>
      <c r="G990" s="69"/>
      <c r="H990" s="35"/>
      <c r="I990" s="35"/>
      <c r="J990" s="35"/>
    </row>
    <row r="991" spans="3:10" ht="13.5" customHeight="1" x14ac:dyDescent="0.25">
      <c r="C991" s="16"/>
      <c r="D991" s="16"/>
      <c r="E991" s="16"/>
      <c r="F991" s="64"/>
      <c r="G991" s="70"/>
      <c r="H991" s="16"/>
      <c r="I991" s="16"/>
      <c r="J991" s="16"/>
    </row>
    <row r="992" spans="3:10" ht="13.5" customHeight="1" x14ac:dyDescent="0.25">
      <c r="C992" s="35"/>
      <c r="D992" s="35"/>
      <c r="E992" s="35"/>
      <c r="F992" s="65"/>
      <c r="G992" s="69"/>
      <c r="H992" s="35"/>
      <c r="I992" s="35"/>
      <c r="J992" s="35"/>
    </row>
    <row r="993" spans="3:10" ht="13.5" customHeight="1" x14ac:dyDescent="0.25">
      <c r="C993" s="16"/>
      <c r="D993" s="16"/>
      <c r="E993" s="16"/>
      <c r="F993" s="64"/>
      <c r="G993" s="70"/>
      <c r="H993" s="16"/>
      <c r="I993" s="16"/>
      <c r="J993" s="16"/>
    </row>
    <row r="994" spans="3:10" ht="13.5" customHeight="1" x14ac:dyDescent="0.25">
      <c r="C994" s="35"/>
      <c r="D994" s="35"/>
      <c r="E994" s="35"/>
      <c r="F994" s="65"/>
      <c r="G994" s="69"/>
      <c r="H994" s="35"/>
      <c r="I994" s="35"/>
      <c r="J994" s="35"/>
    </row>
    <row r="995" spans="3:10" ht="13.5" customHeight="1" x14ac:dyDescent="0.25">
      <c r="C995" s="16"/>
      <c r="D995" s="16"/>
      <c r="E995" s="16"/>
      <c r="F995" s="64"/>
      <c r="G995" s="70"/>
      <c r="H995" s="16"/>
      <c r="I995" s="16"/>
      <c r="J995" s="16"/>
    </row>
    <row r="996" spans="3:10" ht="13.5" customHeight="1" x14ac:dyDescent="0.25">
      <c r="C996" s="35"/>
      <c r="D996" s="35"/>
      <c r="E996" s="35"/>
      <c r="F996" s="65"/>
      <c r="G996" s="69"/>
      <c r="H996" s="35"/>
      <c r="I996" s="35"/>
      <c r="J996" s="35"/>
    </row>
    <row r="997" spans="3:10" ht="13.5" customHeight="1" x14ac:dyDescent="0.25">
      <c r="C997" s="16"/>
      <c r="D997" s="16"/>
      <c r="E997" s="16"/>
      <c r="F997" s="64"/>
      <c r="G997" s="70"/>
      <c r="H997" s="16"/>
      <c r="I997" s="16"/>
      <c r="J997" s="16"/>
    </row>
    <row r="998" spans="3:10" ht="13.5" customHeight="1" x14ac:dyDescent="0.25">
      <c r="C998" s="35"/>
      <c r="D998" s="35"/>
      <c r="E998" s="35"/>
      <c r="F998" s="65"/>
      <c r="G998" s="69"/>
      <c r="H998" s="35"/>
      <c r="I998" s="35"/>
      <c r="J998" s="35"/>
    </row>
    <row r="999" spans="3:10" ht="13.5" customHeight="1" x14ac:dyDescent="0.25">
      <c r="C999" s="16"/>
      <c r="D999" s="16"/>
      <c r="E999" s="16"/>
      <c r="F999" s="64"/>
      <c r="G999" s="70"/>
      <c r="H999" s="16"/>
      <c r="I999" s="16"/>
      <c r="J999" s="16"/>
    </row>
    <row r="1000" spans="3:10" ht="13.5" customHeight="1" x14ac:dyDescent="0.25">
      <c r="C1000" s="35"/>
      <c r="D1000" s="35"/>
      <c r="E1000" s="35"/>
      <c r="F1000" s="65"/>
      <c r="G1000" s="69"/>
      <c r="H1000" s="35"/>
      <c r="I1000" s="35"/>
      <c r="J1000" s="35"/>
    </row>
    <row r="1001" spans="3:10" ht="13.5" customHeight="1" x14ac:dyDescent="0.25">
      <c r="C1001" s="16"/>
      <c r="D1001" s="16"/>
      <c r="E1001" s="16"/>
      <c r="F1001" s="64"/>
      <c r="G1001" s="70"/>
      <c r="H1001" s="16"/>
      <c r="I1001" s="16"/>
      <c r="J1001" s="16"/>
    </row>
    <row r="1002" spans="3:10" ht="13.5" customHeight="1" x14ac:dyDescent="0.25">
      <c r="C1002" s="35"/>
      <c r="D1002" s="35"/>
      <c r="E1002" s="35"/>
      <c r="F1002" s="65"/>
      <c r="G1002" s="69"/>
      <c r="H1002" s="35"/>
      <c r="I1002" s="35"/>
      <c r="J1002" s="35"/>
    </row>
    <row r="1003" spans="3:10" ht="13.5" customHeight="1" x14ac:dyDescent="0.25">
      <c r="C1003" s="16"/>
      <c r="D1003" s="16"/>
      <c r="E1003" s="16"/>
      <c r="F1003" s="64"/>
      <c r="G1003" s="70"/>
      <c r="H1003" s="16"/>
      <c r="I1003" s="16"/>
      <c r="J1003" s="16"/>
    </row>
    <row r="1004" spans="3:10" ht="13.5" customHeight="1" x14ac:dyDescent="0.25">
      <c r="C1004" s="35"/>
      <c r="D1004" s="35"/>
      <c r="E1004" s="35"/>
      <c r="F1004" s="65"/>
      <c r="G1004" s="69"/>
      <c r="H1004" s="35"/>
      <c r="I1004" s="35"/>
      <c r="J1004" s="35"/>
    </row>
    <row r="1005" spans="3:10" ht="13.5" customHeight="1" x14ac:dyDescent="0.25">
      <c r="C1005" s="16"/>
      <c r="D1005" s="16"/>
      <c r="E1005" s="16"/>
      <c r="F1005" s="64"/>
      <c r="G1005" s="70"/>
      <c r="H1005" s="16"/>
      <c r="I1005" s="16"/>
      <c r="J1005" s="16"/>
    </row>
    <row r="1006" spans="3:10" ht="13.5" customHeight="1" x14ac:dyDescent="0.25">
      <c r="C1006" s="35"/>
      <c r="D1006" s="35"/>
      <c r="E1006" s="35"/>
      <c r="F1006" s="65"/>
      <c r="G1006" s="69"/>
      <c r="H1006" s="35"/>
      <c r="I1006" s="35"/>
      <c r="J1006" s="35"/>
    </row>
    <row r="1007" spans="3:10" ht="13.5" customHeight="1" x14ac:dyDescent="0.25">
      <c r="C1007" s="16"/>
      <c r="D1007" s="16"/>
      <c r="E1007" s="16"/>
      <c r="F1007" s="64"/>
      <c r="G1007" s="70"/>
      <c r="H1007" s="16"/>
      <c r="I1007" s="16"/>
      <c r="J1007" s="16"/>
    </row>
    <row r="1008" spans="3:10" ht="13.5" customHeight="1" x14ac:dyDescent="0.25">
      <c r="C1008" s="35"/>
      <c r="D1008" s="35"/>
      <c r="E1008" s="35"/>
      <c r="F1008" s="65"/>
      <c r="G1008" s="69"/>
      <c r="H1008" s="35"/>
      <c r="I1008" s="35"/>
      <c r="J1008" s="35"/>
    </row>
    <row r="1009" spans="3:10" ht="13.5" customHeight="1" x14ac:dyDescent="0.25">
      <c r="C1009" s="16"/>
      <c r="D1009" s="16"/>
      <c r="E1009" s="16"/>
      <c r="F1009" s="64"/>
      <c r="G1009" s="70"/>
      <c r="H1009" s="16"/>
      <c r="I1009" s="16"/>
      <c r="J1009" s="16"/>
    </row>
    <row r="1010" spans="3:10" ht="13.5" customHeight="1" x14ac:dyDescent="0.25">
      <c r="C1010" s="35"/>
      <c r="D1010" s="35"/>
      <c r="E1010" s="35"/>
      <c r="F1010" s="65"/>
      <c r="G1010" s="69"/>
      <c r="H1010" s="35"/>
      <c r="I1010" s="35"/>
      <c r="J1010" s="35"/>
    </row>
    <row r="1011" spans="3:10" ht="13.5" customHeight="1" x14ac:dyDescent="0.25">
      <c r="C1011" s="16"/>
      <c r="D1011" s="16"/>
      <c r="E1011" s="16"/>
      <c r="F1011" s="64"/>
      <c r="G1011" s="70"/>
      <c r="H1011" s="16"/>
      <c r="I1011" s="16"/>
      <c r="J1011" s="16"/>
    </row>
    <row r="1012" spans="3:10" ht="13.5" customHeight="1" x14ac:dyDescent="0.25">
      <c r="C1012" s="35"/>
      <c r="D1012" s="35"/>
      <c r="E1012" s="35"/>
      <c r="F1012" s="65"/>
      <c r="G1012" s="69"/>
      <c r="H1012" s="35"/>
      <c r="I1012" s="35"/>
      <c r="J1012" s="35"/>
    </row>
    <row r="1013" spans="3:10" ht="13.5" customHeight="1" x14ac:dyDescent="0.25">
      <c r="C1013" s="16"/>
      <c r="D1013" s="16"/>
      <c r="E1013" s="16"/>
      <c r="F1013" s="64"/>
      <c r="G1013" s="70"/>
      <c r="H1013" s="16"/>
      <c r="I1013" s="16"/>
      <c r="J1013" s="16"/>
    </row>
    <row r="1014" spans="3:10" ht="13.5" customHeight="1" x14ac:dyDescent="0.25">
      <c r="C1014" s="35"/>
      <c r="D1014" s="35"/>
      <c r="E1014" s="35"/>
      <c r="F1014" s="65"/>
      <c r="G1014" s="69"/>
      <c r="H1014" s="35"/>
      <c r="I1014" s="35"/>
      <c r="J1014" s="35"/>
    </row>
    <row r="1015" spans="3:10" ht="13.5" customHeight="1" x14ac:dyDescent="0.25">
      <c r="C1015" s="16"/>
      <c r="D1015" s="16"/>
      <c r="E1015" s="16"/>
      <c r="F1015" s="64"/>
      <c r="G1015" s="70"/>
      <c r="H1015" s="16"/>
      <c r="I1015" s="16"/>
      <c r="J1015" s="16"/>
    </row>
    <row r="1016" spans="3:10" ht="13.5" customHeight="1" x14ac:dyDescent="0.25">
      <c r="C1016" s="35"/>
      <c r="D1016" s="35"/>
      <c r="E1016" s="35"/>
      <c r="F1016" s="65"/>
      <c r="G1016" s="69"/>
      <c r="H1016" s="35"/>
      <c r="I1016" s="35"/>
      <c r="J1016" s="35"/>
    </row>
    <row r="1017" spans="3:10" ht="13.5" customHeight="1" x14ac:dyDescent="0.25">
      <c r="C1017" s="16"/>
      <c r="D1017" s="16"/>
      <c r="E1017" s="16"/>
      <c r="F1017" s="64"/>
      <c r="G1017" s="70"/>
      <c r="H1017" s="16"/>
      <c r="I1017" s="16"/>
      <c r="J1017" s="16"/>
    </row>
    <row r="1018" spans="3:10" ht="13.5" customHeight="1" x14ac:dyDescent="0.25">
      <c r="C1018" s="35"/>
      <c r="D1018" s="35"/>
      <c r="E1018" s="35"/>
      <c r="F1018" s="65"/>
      <c r="G1018" s="69"/>
      <c r="H1018" s="35"/>
      <c r="I1018" s="35"/>
      <c r="J1018" s="35"/>
    </row>
    <row r="1019" spans="3:10" ht="13.5" customHeight="1" x14ac:dyDescent="0.25">
      <c r="C1019" s="16"/>
      <c r="D1019" s="16"/>
      <c r="E1019" s="16"/>
      <c r="F1019" s="64"/>
      <c r="G1019" s="70"/>
      <c r="H1019" s="16"/>
      <c r="I1019" s="16"/>
      <c r="J1019" s="16"/>
    </row>
    <row r="1020" spans="3:10" ht="13.5" customHeight="1" x14ac:dyDescent="0.25">
      <c r="C1020" s="35"/>
      <c r="D1020" s="35"/>
      <c r="E1020" s="35"/>
      <c r="F1020" s="65"/>
      <c r="G1020" s="69"/>
      <c r="H1020" s="35"/>
      <c r="I1020" s="35"/>
      <c r="J1020" s="35"/>
    </row>
    <row r="1021" spans="3:10" ht="13.5" customHeight="1" x14ac:dyDescent="0.25">
      <c r="C1021" s="16"/>
      <c r="D1021" s="16"/>
      <c r="E1021" s="16"/>
      <c r="F1021" s="64"/>
      <c r="G1021" s="70"/>
      <c r="H1021" s="16"/>
      <c r="I1021" s="16"/>
      <c r="J1021" s="16"/>
    </row>
    <row r="1022" spans="3:10" ht="13.5" customHeight="1" x14ac:dyDescent="0.25">
      <c r="C1022" s="35"/>
      <c r="D1022" s="35"/>
      <c r="E1022" s="35"/>
      <c r="F1022" s="65"/>
      <c r="G1022" s="69"/>
      <c r="H1022" s="35"/>
      <c r="I1022" s="35"/>
      <c r="J1022" s="35"/>
    </row>
    <row r="1023" spans="3:10" ht="13.5" customHeight="1" x14ac:dyDescent="0.25">
      <c r="C1023" s="16"/>
      <c r="D1023" s="16"/>
      <c r="E1023" s="16"/>
      <c r="F1023" s="64"/>
      <c r="G1023" s="70"/>
      <c r="H1023" s="16"/>
      <c r="I1023" s="16"/>
      <c r="J1023" s="16"/>
    </row>
    <row r="1024" spans="3:10" ht="13.5" customHeight="1" x14ac:dyDescent="0.25">
      <c r="C1024" s="35"/>
      <c r="D1024" s="35"/>
      <c r="E1024" s="35"/>
      <c r="F1024" s="65"/>
      <c r="G1024" s="69"/>
      <c r="H1024" s="35"/>
      <c r="I1024" s="35"/>
      <c r="J1024" s="35"/>
    </row>
    <row r="1025" spans="3:10" ht="13.5" customHeight="1" x14ac:dyDescent="0.25">
      <c r="C1025" s="16"/>
      <c r="D1025" s="16"/>
      <c r="E1025" s="16"/>
      <c r="F1025" s="64"/>
      <c r="G1025" s="70"/>
      <c r="H1025" s="16"/>
      <c r="I1025" s="16"/>
      <c r="J1025" s="16"/>
    </row>
    <row r="1026" spans="3:10" ht="13.5" customHeight="1" x14ac:dyDescent="0.25">
      <c r="C1026" s="35"/>
      <c r="D1026" s="35"/>
      <c r="E1026" s="35"/>
      <c r="F1026" s="65"/>
      <c r="G1026" s="69"/>
      <c r="H1026" s="35"/>
      <c r="I1026" s="35"/>
      <c r="J1026" s="35"/>
    </row>
    <row r="1027" spans="3:10" ht="13.5" customHeight="1" x14ac:dyDescent="0.25">
      <c r="C1027" s="16"/>
      <c r="D1027" s="16"/>
      <c r="E1027" s="16"/>
      <c r="F1027" s="64"/>
      <c r="G1027" s="70"/>
      <c r="H1027" s="16"/>
      <c r="I1027" s="16"/>
      <c r="J1027" s="16"/>
    </row>
    <row r="1028" spans="3:10" ht="13.5" customHeight="1" x14ac:dyDescent="0.25">
      <c r="C1028" s="35"/>
      <c r="D1028" s="35"/>
      <c r="E1028" s="35"/>
      <c r="F1028" s="65"/>
      <c r="G1028" s="69"/>
      <c r="H1028" s="35"/>
      <c r="I1028" s="35"/>
      <c r="J1028" s="35"/>
    </row>
    <row r="1029" spans="3:10" ht="13.5" customHeight="1" x14ac:dyDescent="0.25">
      <c r="C1029" s="16"/>
      <c r="D1029" s="16"/>
      <c r="E1029" s="16"/>
      <c r="F1029" s="64"/>
      <c r="G1029" s="70"/>
      <c r="H1029" s="16"/>
      <c r="I1029" s="16"/>
      <c r="J1029" s="16"/>
    </row>
    <row r="1030" spans="3:10" ht="13.5" customHeight="1" x14ac:dyDescent="0.25">
      <c r="C1030" s="35"/>
      <c r="D1030" s="35"/>
      <c r="E1030" s="35"/>
      <c r="F1030" s="65"/>
      <c r="G1030" s="69"/>
      <c r="H1030" s="35"/>
      <c r="I1030" s="35"/>
      <c r="J1030" s="35"/>
    </row>
    <row r="1031" spans="3:10" ht="13.5" customHeight="1" x14ac:dyDescent="0.25">
      <c r="C1031" s="16"/>
      <c r="D1031" s="16"/>
      <c r="E1031" s="16"/>
      <c r="F1031" s="64"/>
      <c r="G1031" s="70"/>
      <c r="H1031" s="16"/>
      <c r="I1031" s="16"/>
      <c r="J1031" s="16"/>
    </row>
    <row r="1032" spans="3:10" ht="13.5" customHeight="1" x14ac:dyDescent="0.25">
      <c r="C1032" s="35"/>
      <c r="D1032" s="35"/>
      <c r="E1032" s="35"/>
      <c r="F1032" s="65"/>
      <c r="G1032" s="69"/>
      <c r="H1032" s="35"/>
      <c r="I1032" s="35"/>
      <c r="J1032" s="35"/>
    </row>
    <row r="1033" spans="3:10" ht="13.5" customHeight="1" x14ac:dyDescent="0.25">
      <c r="C1033" s="16"/>
      <c r="D1033" s="16"/>
      <c r="E1033" s="16"/>
      <c r="F1033" s="64"/>
      <c r="G1033" s="70"/>
      <c r="H1033" s="16"/>
      <c r="I1033" s="16"/>
      <c r="J1033" s="16"/>
    </row>
    <row r="1034" spans="3:10" ht="13.5" customHeight="1" x14ac:dyDescent="0.25">
      <c r="C1034" s="35"/>
      <c r="D1034" s="35"/>
      <c r="E1034" s="35"/>
      <c r="F1034" s="65"/>
      <c r="G1034" s="69"/>
      <c r="H1034" s="35"/>
      <c r="I1034" s="35"/>
      <c r="J1034" s="35"/>
    </row>
    <row r="1035" spans="3:10" ht="13.5" customHeight="1" x14ac:dyDescent="0.25">
      <c r="C1035" s="16"/>
      <c r="D1035" s="16"/>
      <c r="E1035" s="16"/>
      <c r="F1035" s="64"/>
      <c r="G1035" s="70"/>
      <c r="H1035" s="16"/>
      <c r="I1035" s="16"/>
      <c r="J1035" s="16"/>
    </row>
    <row r="1036" spans="3:10" ht="13.5" customHeight="1" x14ac:dyDescent="0.25">
      <c r="C1036" s="35"/>
      <c r="D1036" s="35"/>
      <c r="E1036" s="35"/>
      <c r="F1036" s="65"/>
      <c r="G1036" s="69"/>
      <c r="H1036" s="35"/>
      <c r="I1036" s="35"/>
      <c r="J1036" s="35"/>
    </row>
    <row r="1037" spans="3:10" ht="13.5" customHeight="1" x14ac:dyDescent="0.25">
      <c r="C1037" s="16"/>
      <c r="D1037" s="16"/>
      <c r="E1037" s="16"/>
      <c r="F1037" s="64"/>
      <c r="G1037" s="70"/>
      <c r="H1037" s="16"/>
      <c r="I1037" s="16"/>
      <c r="J1037" s="16"/>
    </row>
    <row r="1038" spans="3:10" ht="13.5" customHeight="1" x14ac:dyDescent="0.25">
      <c r="C1038" s="35"/>
      <c r="D1038" s="35"/>
      <c r="E1038" s="35"/>
      <c r="F1038" s="65"/>
      <c r="G1038" s="69"/>
      <c r="H1038" s="35"/>
      <c r="I1038" s="35"/>
      <c r="J1038" s="35"/>
    </row>
    <row r="1039" spans="3:10" ht="13.5" customHeight="1" x14ac:dyDescent="0.25">
      <c r="C1039" s="16"/>
      <c r="D1039" s="16"/>
      <c r="E1039" s="16"/>
      <c r="F1039" s="64"/>
      <c r="G1039" s="70"/>
      <c r="H1039" s="16"/>
      <c r="I1039" s="16"/>
      <c r="J1039" s="16"/>
    </row>
    <row r="1040" spans="3:10" ht="13.5" customHeight="1" x14ac:dyDescent="0.25">
      <c r="C1040" s="35"/>
      <c r="D1040" s="35"/>
      <c r="E1040" s="35"/>
      <c r="F1040" s="65"/>
      <c r="G1040" s="69"/>
      <c r="H1040" s="35"/>
      <c r="I1040" s="35"/>
      <c r="J1040" s="35"/>
    </row>
    <row r="1041" spans="3:10" ht="13.5" customHeight="1" x14ac:dyDescent="0.25">
      <c r="C1041" s="16"/>
      <c r="D1041" s="16"/>
      <c r="E1041" s="16"/>
      <c r="F1041" s="64"/>
      <c r="G1041" s="70"/>
      <c r="H1041" s="16"/>
      <c r="I1041" s="16"/>
      <c r="J1041" s="16"/>
    </row>
    <row r="1042" spans="3:10" ht="13.5" customHeight="1" x14ac:dyDescent="0.25">
      <c r="C1042" s="35"/>
      <c r="D1042" s="35"/>
      <c r="E1042" s="35"/>
      <c r="F1042" s="65"/>
      <c r="G1042" s="69"/>
      <c r="H1042" s="35"/>
      <c r="I1042" s="35"/>
      <c r="J1042" s="35"/>
    </row>
    <row r="1043" spans="3:10" ht="13.5" customHeight="1" x14ac:dyDescent="0.25">
      <c r="C1043" s="16"/>
      <c r="D1043" s="16"/>
      <c r="E1043" s="16"/>
      <c r="F1043" s="64"/>
      <c r="G1043" s="70"/>
      <c r="H1043" s="16"/>
      <c r="I1043" s="16"/>
      <c r="J1043" s="16"/>
    </row>
    <row r="1044" spans="3:10" ht="13.5" customHeight="1" x14ac:dyDescent="0.25">
      <c r="C1044" s="35"/>
      <c r="D1044" s="35"/>
      <c r="E1044" s="35"/>
      <c r="F1044" s="65"/>
      <c r="G1044" s="69"/>
      <c r="H1044" s="35"/>
      <c r="I1044" s="35"/>
      <c r="J1044" s="35"/>
    </row>
    <row r="1045" spans="3:10" ht="13.5" customHeight="1" x14ac:dyDescent="0.25">
      <c r="C1045" s="16"/>
      <c r="D1045" s="16"/>
      <c r="E1045" s="16"/>
      <c r="F1045" s="64"/>
      <c r="G1045" s="70"/>
      <c r="H1045" s="16"/>
      <c r="I1045" s="16"/>
      <c r="J1045" s="16"/>
    </row>
    <row r="1046" spans="3:10" ht="13.5" customHeight="1" x14ac:dyDescent="0.25">
      <c r="C1046" s="35"/>
      <c r="D1046" s="35"/>
      <c r="E1046" s="35"/>
      <c r="F1046" s="65"/>
      <c r="G1046" s="69"/>
      <c r="H1046" s="35"/>
      <c r="I1046" s="35"/>
      <c r="J1046" s="35"/>
    </row>
    <row r="1047" spans="3:10" ht="13.5" customHeight="1" x14ac:dyDescent="0.25">
      <c r="C1047" s="16"/>
      <c r="D1047" s="16"/>
      <c r="E1047" s="16"/>
      <c r="F1047" s="64"/>
      <c r="G1047" s="70"/>
      <c r="H1047" s="16"/>
      <c r="I1047" s="16"/>
      <c r="J1047" s="16"/>
    </row>
    <row r="1048" spans="3:10" ht="13.5" customHeight="1" x14ac:dyDescent="0.25">
      <c r="C1048" s="35"/>
      <c r="D1048" s="35"/>
      <c r="E1048" s="35"/>
      <c r="F1048" s="65"/>
      <c r="G1048" s="69"/>
      <c r="H1048" s="35"/>
      <c r="I1048" s="35"/>
      <c r="J1048" s="35"/>
    </row>
    <row r="1049" spans="3:10" ht="13.5" customHeight="1" x14ac:dyDescent="0.25">
      <c r="C1049" s="16"/>
      <c r="D1049" s="16"/>
      <c r="E1049" s="16"/>
      <c r="F1049" s="64"/>
      <c r="G1049" s="70"/>
      <c r="H1049" s="16"/>
      <c r="I1049" s="16"/>
      <c r="J1049" s="16"/>
    </row>
    <row r="1050" spans="3:10" ht="13.5" customHeight="1" x14ac:dyDescent="0.25">
      <c r="C1050" s="35"/>
      <c r="D1050" s="35"/>
      <c r="E1050" s="35"/>
      <c r="F1050" s="65"/>
      <c r="G1050" s="69"/>
      <c r="H1050" s="35"/>
      <c r="I1050" s="35"/>
      <c r="J1050" s="35"/>
    </row>
    <row r="1051" spans="3:10" ht="13.5" customHeight="1" x14ac:dyDescent="0.25">
      <c r="C1051" s="16"/>
      <c r="D1051" s="16"/>
      <c r="E1051" s="16"/>
      <c r="F1051" s="64"/>
      <c r="G1051" s="70"/>
      <c r="H1051" s="16"/>
      <c r="I1051" s="16"/>
      <c r="J1051" s="16"/>
    </row>
    <row r="1052" spans="3:10" ht="13.5" customHeight="1" x14ac:dyDescent="0.25">
      <c r="C1052" s="35"/>
      <c r="D1052" s="35"/>
      <c r="E1052" s="35"/>
      <c r="F1052" s="65"/>
      <c r="G1052" s="69"/>
      <c r="H1052" s="35"/>
      <c r="I1052" s="35"/>
      <c r="J1052" s="35"/>
    </row>
    <row r="1053" spans="3:10" ht="13.5" customHeight="1" x14ac:dyDescent="0.25">
      <c r="C1053" s="16"/>
      <c r="D1053" s="16"/>
      <c r="E1053" s="16"/>
      <c r="F1053" s="64"/>
      <c r="G1053" s="70"/>
      <c r="H1053" s="16"/>
      <c r="I1053" s="16"/>
      <c r="J1053" s="16"/>
    </row>
    <row r="1054" spans="3:10" ht="13.5" customHeight="1" x14ac:dyDescent="0.25">
      <c r="C1054" s="35"/>
      <c r="D1054" s="35"/>
      <c r="E1054" s="35"/>
      <c r="F1054" s="65"/>
      <c r="G1054" s="69"/>
      <c r="H1054" s="35"/>
      <c r="I1054" s="35"/>
      <c r="J1054" s="35"/>
    </row>
    <row r="1055" spans="3:10" ht="13.5" customHeight="1" x14ac:dyDescent="0.25">
      <c r="C1055" s="16"/>
      <c r="D1055" s="16"/>
      <c r="E1055" s="16"/>
      <c r="F1055" s="64"/>
      <c r="G1055" s="70"/>
      <c r="H1055" s="16"/>
      <c r="I1055" s="16"/>
      <c r="J1055" s="16"/>
    </row>
    <row r="1056" spans="3:10" ht="13.5" customHeight="1" x14ac:dyDescent="0.25">
      <c r="C1056" s="35"/>
      <c r="D1056" s="35"/>
      <c r="E1056" s="35"/>
      <c r="F1056" s="65"/>
      <c r="G1056" s="69"/>
      <c r="H1056" s="35"/>
      <c r="I1056" s="35"/>
      <c r="J1056" s="35"/>
    </row>
    <row r="1057" spans="3:10" ht="13.5" customHeight="1" x14ac:dyDescent="0.25">
      <c r="C1057" s="16"/>
      <c r="D1057" s="16"/>
      <c r="E1057" s="16"/>
      <c r="F1057" s="64"/>
      <c r="G1057" s="70"/>
      <c r="H1057" s="16"/>
      <c r="I1057" s="16"/>
      <c r="J1057" s="16"/>
    </row>
    <row r="1058" spans="3:10" ht="13.5" customHeight="1" x14ac:dyDescent="0.25">
      <c r="C1058" s="35"/>
      <c r="D1058" s="35"/>
      <c r="E1058" s="35"/>
      <c r="F1058" s="65"/>
      <c r="G1058" s="69"/>
      <c r="H1058" s="35"/>
      <c r="I1058" s="35"/>
      <c r="J1058" s="35"/>
    </row>
    <row r="1059" spans="3:10" ht="13.5" customHeight="1" x14ac:dyDescent="0.25">
      <c r="C1059" s="16"/>
      <c r="D1059" s="16"/>
      <c r="E1059" s="16"/>
      <c r="F1059" s="64"/>
      <c r="G1059" s="70"/>
      <c r="H1059" s="16"/>
      <c r="I1059" s="16"/>
      <c r="J1059" s="16"/>
    </row>
    <row r="1060" spans="3:10" ht="13.5" customHeight="1" x14ac:dyDescent="0.25">
      <c r="C1060" s="35"/>
      <c r="D1060" s="35"/>
      <c r="E1060" s="35"/>
      <c r="F1060" s="65"/>
      <c r="G1060" s="69"/>
      <c r="H1060" s="35"/>
      <c r="I1060" s="35"/>
      <c r="J1060" s="35"/>
    </row>
    <row r="1061" spans="3:10" ht="13.5" customHeight="1" x14ac:dyDescent="0.25">
      <c r="C1061" s="16"/>
      <c r="D1061" s="16"/>
      <c r="E1061" s="16"/>
      <c r="F1061" s="64"/>
      <c r="G1061" s="70"/>
      <c r="H1061" s="16"/>
      <c r="I1061" s="16"/>
      <c r="J1061" s="16"/>
    </row>
    <row r="1062" spans="3:10" ht="13.5" customHeight="1" x14ac:dyDescent="0.25">
      <c r="C1062" s="35"/>
      <c r="D1062" s="35"/>
      <c r="E1062" s="35"/>
      <c r="F1062" s="65"/>
      <c r="G1062" s="69"/>
      <c r="H1062" s="35"/>
      <c r="I1062" s="35"/>
      <c r="J1062" s="35"/>
    </row>
    <row r="1063" spans="3:10" ht="13.5" customHeight="1" x14ac:dyDescent="0.25">
      <c r="C1063" s="16"/>
      <c r="D1063" s="16"/>
      <c r="E1063" s="16"/>
      <c r="F1063" s="64"/>
      <c r="G1063" s="70"/>
      <c r="H1063" s="16"/>
      <c r="I1063" s="16"/>
      <c r="J1063" s="16"/>
    </row>
    <row r="1064" spans="3:10" ht="13.5" customHeight="1" x14ac:dyDescent="0.25">
      <c r="C1064" s="35"/>
      <c r="D1064" s="35"/>
      <c r="E1064" s="35"/>
      <c r="F1064" s="65"/>
      <c r="G1064" s="69"/>
      <c r="H1064" s="35"/>
      <c r="I1064" s="35"/>
      <c r="J1064" s="35"/>
    </row>
    <row r="1065" spans="3:10" ht="13.5" customHeight="1" x14ac:dyDescent="0.25">
      <c r="C1065" s="16"/>
      <c r="D1065" s="16"/>
      <c r="E1065" s="16"/>
      <c r="F1065" s="64"/>
      <c r="G1065" s="70"/>
      <c r="H1065" s="16"/>
      <c r="I1065" s="16"/>
      <c r="J1065" s="16"/>
    </row>
    <row r="1066" spans="3:10" ht="13.5" customHeight="1" x14ac:dyDescent="0.25">
      <c r="C1066" s="35"/>
      <c r="D1066" s="35"/>
      <c r="E1066" s="35"/>
      <c r="F1066" s="65"/>
      <c r="G1066" s="69"/>
      <c r="H1066" s="35"/>
      <c r="I1066" s="35"/>
      <c r="J1066" s="35"/>
    </row>
    <row r="1067" spans="3:10" ht="13.5" customHeight="1" x14ac:dyDescent="0.25">
      <c r="C1067" s="16"/>
      <c r="D1067" s="16"/>
      <c r="E1067" s="16"/>
      <c r="F1067" s="64"/>
      <c r="G1067" s="70"/>
      <c r="H1067" s="16"/>
      <c r="I1067" s="16"/>
      <c r="J1067" s="16"/>
    </row>
    <row r="1068" spans="3:10" ht="13.5" customHeight="1" x14ac:dyDescent="0.25">
      <c r="C1068" s="35"/>
      <c r="D1068" s="35"/>
      <c r="E1068" s="35"/>
      <c r="F1068" s="65"/>
      <c r="G1068" s="69"/>
      <c r="H1068" s="35"/>
      <c r="I1068" s="35"/>
      <c r="J1068" s="35"/>
    </row>
    <row r="1069" spans="3:10" ht="13.5" customHeight="1" x14ac:dyDescent="0.25">
      <c r="C1069" s="16"/>
      <c r="D1069" s="16"/>
      <c r="E1069" s="16"/>
      <c r="F1069" s="64"/>
      <c r="G1069" s="70"/>
      <c r="H1069" s="16"/>
      <c r="I1069" s="16"/>
      <c r="J1069" s="16"/>
    </row>
    <row r="1070" spans="3:10" ht="13.5" customHeight="1" x14ac:dyDescent="0.25">
      <c r="C1070" s="35"/>
      <c r="D1070" s="35"/>
      <c r="E1070" s="35"/>
      <c r="F1070" s="65"/>
      <c r="G1070" s="69"/>
      <c r="H1070" s="35"/>
      <c r="I1070" s="35"/>
      <c r="J1070" s="35"/>
    </row>
    <row r="1071" spans="3:10" ht="13.5" customHeight="1" x14ac:dyDescent="0.25">
      <c r="C1071" s="16"/>
      <c r="D1071" s="16"/>
      <c r="E1071" s="16"/>
      <c r="F1071" s="64"/>
      <c r="G1071" s="70"/>
      <c r="H1071" s="16"/>
      <c r="I1071" s="16"/>
      <c r="J1071" s="16"/>
    </row>
    <row r="1072" spans="3:10" ht="13.5" customHeight="1" x14ac:dyDescent="0.25">
      <c r="C1072" s="35"/>
      <c r="D1072" s="35"/>
      <c r="E1072" s="35"/>
      <c r="F1072" s="65"/>
      <c r="G1072" s="69"/>
      <c r="H1072" s="35"/>
      <c r="I1072" s="35"/>
      <c r="J1072" s="35"/>
    </row>
    <row r="1073" spans="3:10" ht="13.5" customHeight="1" x14ac:dyDescent="0.25">
      <c r="C1073" s="16"/>
      <c r="D1073" s="16"/>
      <c r="E1073" s="16"/>
      <c r="F1073" s="64"/>
      <c r="G1073" s="70"/>
      <c r="H1073" s="16"/>
      <c r="I1073" s="16"/>
      <c r="J1073" s="16"/>
    </row>
    <row r="1074" spans="3:10" ht="13.5" customHeight="1" x14ac:dyDescent="0.25">
      <c r="C1074" s="35"/>
      <c r="D1074" s="35"/>
      <c r="E1074" s="35"/>
      <c r="F1074" s="65"/>
      <c r="G1074" s="69"/>
      <c r="H1074" s="35"/>
      <c r="I1074" s="35"/>
      <c r="J1074" s="35"/>
    </row>
    <row r="1075" spans="3:10" ht="13.5" customHeight="1" x14ac:dyDescent="0.25">
      <c r="C1075" s="16"/>
      <c r="D1075" s="16"/>
      <c r="E1075" s="16"/>
      <c r="F1075" s="64"/>
      <c r="G1075" s="70"/>
      <c r="H1075" s="16"/>
      <c r="I1075" s="16"/>
      <c r="J1075" s="16"/>
    </row>
    <row r="1076" spans="3:10" ht="13.5" customHeight="1" x14ac:dyDescent="0.25">
      <c r="C1076" s="35"/>
      <c r="D1076" s="35"/>
      <c r="E1076" s="35"/>
      <c r="F1076" s="65"/>
      <c r="G1076" s="69"/>
      <c r="H1076" s="35"/>
      <c r="I1076" s="35"/>
      <c r="J1076" s="35"/>
    </row>
    <row r="1077" spans="3:10" ht="13.5" customHeight="1" x14ac:dyDescent="0.25">
      <c r="C1077" s="16"/>
      <c r="D1077" s="16"/>
      <c r="E1077" s="16"/>
      <c r="F1077" s="64"/>
      <c r="G1077" s="70"/>
      <c r="H1077" s="16"/>
      <c r="I1077" s="16"/>
      <c r="J1077" s="16"/>
    </row>
    <row r="1078" spans="3:10" ht="13.5" customHeight="1" x14ac:dyDescent="0.25">
      <c r="C1078" s="35"/>
      <c r="D1078" s="35"/>
      <c r="E1078" s="35"/>
      <c r="F1078" s="65"/>
      <c r="G1078" s="69"/>
      <c r="H1078" s="35"/>
      <c r="I1078" s="35"/>
      <c r="J1078" s="35"/>
    </row>
    <row r="1079" spans="3:10" ht="13.5" customHeight="1" x14ac:dyDescent="0.25">
      <c r="C1079" s="16"/>
      <c r="D1079" s="16"/>
      <c r="E1079" s="16"/>
      <c r="F1079" s="64"/>
      <c r="G1079" s="70"/>
      <c r="H1079" s="16"/>
      <c r="I1079" s="16"/>
      <c r="J1079" s="16"/>
    </row>
    <row r="1080" spans="3:10" ht="13.5" customHeight="1" x14ac:dyDescent="0.25">
      <c r="C1080" s="35"/>
      <c r="D1080" s="35"/>
      <c r="E1080" s="35"/>
      <c r="F1080" s="65"/>
      <c r="G1080" s="69"/>
      <c r="H1080" s="35"/>
      <c r="I1080" s="35"/>
      <c r="J1080" s="35"/>
    </row>
    <row r="1081" spans="3:10" ht="13.5" customHeight="1" x14ac:dyDescent="0.25">
      <c r="C1081" s="16"/>
      <c r="D1081" s="16"/>
      <c r="E1081" s="16"/>
      <c r="F1081" s="64"/>
      <c r="G1081" s="70"/>
      <c r="H1081" s="16"/>
      <c r="I1081" s="16"/>
      <c r="J1081" s="16"/>
    </row>
    <row r="1082" spans="3:10" ht="13.5" customHeight="1" x14ac:dyDescent="0.25">
      <c r="C1082" s="35"/>
      <c r="D1082" s="35"/>
      <c r="E1082" s="35"/>
      <c r="F1082" s="65"/>
      <c r="G1082" s="69"/>
      <c r="H1082" s="35"/>
      <c r="I1082" s="35"/>
      <c r="J1082" s="35"/>
    </row>
    <row r="1083" spans="3:10" ht="13.5" customHeight="1" x14ac:dyDescent="0.25">
      <c r="C1083" s="16"/>
      <c r="D1083" s="16"/>
      <c r="E1083" s="16"/>
      <c r="F1083" s="64"/>
      <c r="G1083" s="70"/>
      <c r="H1083" s="16"/>
      <c r="I1083" s="16"/>
      <c r="J1083" s="16"/>
    </row>
    <row r="1084" spans="3:10" ht="13.5" customHeight="1" x14ac:dyDescent="0.25">
      <c r="C1084" s="35"/>
      <c r="D1084" s="35"/>
      <c r="E1084" s="35"/>
      <c r="F1084" s="65"/>
      <c r="G1084" s="69"/>
      <c r="H1084" s="35"/>
      <c r="I1084" s="35"/>
      <c r="J1084" s="35"/>
    </row>
    <row r="1085" spans="3:10" ht="13.5" customHeight="1" x14ac:dyDescent="0.25">
      <c r="C1085" s="16"/>
      <c r="D1085" s="16"/>
      <c r="E1085" s="16"/>
      <c r="F1085" s="64"/>
      <c r="G1085" s="70"/>
      <c r="H1085" s="16"/>
      <c r="I1085" s="16"/>
      <c r="J1085" s="16"/>
    </row>
    <row r="1086" spans="3:10" ht="13.5" customHeight="1" x14ac:dyDescent="0.25">
      <c r="C1086" s="35"/>
      <c r="D1086" s="35"/>
      <c r="E1086" s="35"/>
      <c r="F1086" s="65"/>
      <c r="G1086" s="69"/>
      <c r="H1086" s="35"/>
      <c r="I1086" s="35"/>
      <c r="J1086" s="35"/>
    </row>
    <row r="1087" spans="3:10" ht="13.5" customHeight="1" x14ac:dyDescent="0.25">
      <c r="C1087" s="16"/>
      <c r="D1087" s="16"/>
      <c r="E1087" s="16"/>
      <c r="F1087" s="64"/>
      <c r="G1087" s="70"/>
      <c r="H1087" s="16"/>
      <c r="I1087" s="16"/>
      <c r="J1087" s="16"/>
    </row>
    <row r="1088" spans="3:10" ht="13.5" customHeight="1" x14ac:dyDescent="0.25">
      <c r="C1088" s="35"/>
      <c r="D1088" s="35"/>
      <c r="E1088" s="35"/>
      <c r="F1088" s="65"/>
      <c r="G1088" s="69"/>
      <c r="H1088" s="35"/>
      <c r="I1088" s="35"/>
      <c r="J1088" s="35"/>
    </row>
    <row r="1089" spans="3:10" ht="13.5" customHeight="1" x14ac:dyDescent="0.25">
      <c r="C1089" s="16"/>
      <c r="D1089" s="16"/>
      <c r="E1089" s="16"/>
      <c r="F1089" s="64"/>
      <c r="G1089" s="70"/>
      <c r="H1089" s="16"/>
      <c r="I1089" s="16"/>
      <c r="J1089" s="16"/>
    </row>
    <row r="1090" spans="3:10" ht="13.5" customHeight="1" x14ac:dyDescent="0.25">
      <c r="C1090" s="35"/>
      <c r="D1090" s="35"/>
      <c r="E1090" s="35"/>
      <c r="F1090" s="65"/>
      <c r="G1090" s="69"/>
      <c r="H1090" s="35"/>
      <c r="I1090" s="35"/>
      <c r="J1090" s="35"/>
    </row>
    <row r="1091" spans="3:10" ht="13.5" customHeight="1" x14ac:dyDescent="0.25">
      <c r="C1091" s="16"/>
      <c r="D1091" s="16"/>
      <c r="E1091" s="16"/>
      <c r="F1091" s="64"/>
      <c r="G1091" s="70"/>
      <c r="H1091" s="16"/>
      <c r="I1091" s="16"/>
      <c r="J1091" s="16"/>
    </row>
    <row r="1092" spans="3:10" ht="13.5" customHeight="1" x14ac:dyDescent="0.25">
      <c r="C1092" s="35"/>
      <c r="D1092" s="35"/>
      <c r="E1092" s="35"/>
      <c r="F1092" s="65"/>
      <c r="G1092" s="69"/>
      <c r="H1092" s="35"/>
      <c r="I1092" s="35"/>
      <c r="J1092" s="35"/>
    </row>
    <row r="1093" spans="3:10" ht="13.5" customHeight="1" x14ac:dyDescent="0.25">
      <c r="C1093" s="16"/>
      <c r="D1093" s="16"/>
      <c r="E1093" s="16"/>
      <c r="F1093" s="64"/>
      <c r="G1093" s="70"/>
      <c r="H1093" s="16"/>
      <c r="I1093" s="16"/>
      <c r="J1093" s="16"/>
    </row>
    <row r="1094" spans="3:10" ht="13.5" customHeight="1" x14ac:dyDescent="0.25">
      <c r="C1094" s="35"/>
      <c r="D1094" s="35"/>
      <c r="E1094" s="35"/>
      <c r="F1094" s="65"/>
      <c r="G1094" s="69"/>
      <c r="H1094" s="35"/>
      <c r="I1094" s="35"/>
      <c r="J1094" s="35"/>
    </row>
    <row r="1095" spans="3:10" ht="13.5" customHeight="1" x14ac:dyDescent="0.25">
      <c r="C1095" s="16"/>
      <c r="D1095" s="16"/>
      <c r="E1095" s="16"/>
      <c r="F1095" s="64"/>
      <c r="G1095" s="70"/>
      <c r="H1095" s="16"/>
      <c r="I1095" s="16"/>
      <c r="J1095" s="16"/>
    </row>
    <row r="1096" spans="3:10" ht="13.5" customHeight="1" x14ac:dyDescent="0.25">
      <c r="C1096" s="35"/>
      <c r="D1096" s="35"/>
      <c r="E1096" s="35"/>
      <c r="F1096" s="65"/>
      <c r="G1096" s="69"/>
      <c r="H1096" s="35"/>
      <c r="I1096" s="35"/>
      <c r="J1096" s="35"/>
    </row>
    <row r="1097" spans="3:10" ht="13.5" customHeight="1" x14ac:dyDescent="0.25">
      <c r="C1097" s="16"/>
      <c r="D1097" s="16"/>
      <c r="E1097" s="16"/>
      <c r="F1097" s="64"/>
      <c r="G1097" s="70"/>
      <c r="H1097" s="16"/>
      <c r="I1097" s="16"/>
      <c r="J1097" s="16"/>
    </row>
    <row r="1098" spans="3:10" ht="13.5" customHeight="1" x14ac:dyDescent="0.25">
      <c r="C1098" s="35"/>
      <c r="D1098" s="35"/>
      <c r="E1098" s="35"/>
      <c r="F1098" s="65"/>
      <c r="G1098" s="69"/>
      <c r="H1098" s="35"/>
      <c r="I1098" s="35"/>
      <c r="J1098" s="35"/>
    </row>
    <row r="1099" spans="3:10" ht="13.5" customHeight="1" x14ac:dyDescent="0.25">
      <c r="C1099" s="16"/>
      <c r="D1099" s="16"/>
      <c r="E1099" s="16"/>
      <c r="F1099" s="64"/>
      <c r="G1099" s="70"/>
      <c r="H1099" s="16"/>
      <c r="I1099" s="16"/>
      <c r="J1099" s="16"/>
    </row>
    <row r="1100" spans="3:10" ht="13.5" customHeight="1" x14ac:dyDescent="0.25">
      <c r="C1100" s="35"/>
      <c r="D1100" s="35"/>
      <c r="E1100" s="35"/>
      <c r="F1100" s="65"/>
      <c r="G1100" s="69"/>
      <c r="H1100" s="35"/>
      <c r="I1100" s="35"/>
      <c r="J1100" s="35"/>
    </row>
    <row r="1101" spans="3:10" ht="13.5" customHeight="1" x14ac:dyDescent="0.25">
      <c r="C1101" s="16"/>
      <c r="D1101" s="16"/>
      <c r="E1101" s="16"/>
      <c r="F1101" s="64"/>
      <c r="G1101" s="70"/>
      <c r="H1101" s="16"/>
      <c r="I1101" s="16"/>
      <c r="J1101" s="16"/>
    </row>
    <row r="1102" spans="3:10" ht="13.5" customHeight="1" x14ac:dyDescent="0.25">
      <c r="C1102" s="35"/>
      <c r="D1102" s="35"/>
      <c r="E1102" s="35"/>
      <c r="F1102" s="65"/>
      <c r="G1102" s="69"/>
      <c r="H1102" s="35"/>
      <c r="I1102" s="35"/>
      <c r="J1102" s="35"/>
    </row>
    <row r="1103" spans="3:10" ht="13.5" customHeight="1" x14ac:dyDescent="0.25">
      <c r="C1103" s="16"/>
      <c r="D1103" s="16"/>
      <c r="E1103" s="16"/>
      <c r="F1103" s="64"/>
      <c r="G1103" s="70"/>
      <c r="H1103" s="16"/>
      <c r="I1103" s="16"/>
      <c r="J1103" s="16"/>
    </row>
    <row r="1104" spans="3:10" ht="13.5" customHeight="1" x14ac:dyDescent="0.25">
      <c r="C1104" s="35"/>
      <c r="D1104" s="35"/>
      <c r="E1104" s="35"/>
      <c r="F1104" s="65"/>
      <c r="G1104" s="69"/>
      <c r="H1104" s="35"/>
      <c r="I1104" s="35"/>
      <c r="J1104" s="35"/>
    </row>
    <row r="1105" spans="3:10" ht="13.5" customHeight="1" x14ac:dyDescent="0.25">
      <c r="C1105" s="16"/>
      <c r="D1105" s="16"/>
      <c r="E1105" s="16"/>
      <c r="F1105" s="64"/>
      <c r="G1105" s="70"/>
      <c r="H1105" s="16"/>
      <c r="I1105" s="16"/>
      <c r="J1105" s="16"/>
    </row>
    <row r="1106" spans="3:10" ht="13.5" customHeight="1" x14ac:dyDescent="0.25">
      <c r="C1106" s="35"/>
      <c r="D1106" s="35"/>
      <c r="E1106" s="35"/>
      <c r="F1106" s="65"/>
      <c r="G1106" s="69"/>
      <c r="H1106" s="35"/>
      <c r="I1106" s="35"/>
      <c r="J1106" s="35"/>
    </row>
    <row r="1107" spans="3:10" ht="13.5" customHeight="1" x14ac:dyDescent="0.25">
      <c r="C1107" s="16"/>
      <c r="D1107" s="16"/>
      <c r="E1107" s="16"/>
      <c r="F1107" s="64"/>
      <c r="G1107" s="70"/>
      <c r="H1107" s="16"/>
      <c r="I1107" s="16"/>
      <c r="J1107" s="16"/>
    </row>
    <row r="1108" spans="3:10" ht="13.5" customHeight="1" x14ac:dyDescent="0.25">
      <c r="C1108" s="35"/>
      <c r="D1108" s="35"/>
      <c r="E1108" s="35"/>
      <c r="F1108" s="65"/>
      <c r="G1108" s="69"/>
      <c r="H1108" s="35"/>
      <c r="I1108" s="35"/>
      <c r="J1108" s="35"/>
    </row>
    <row r="1109" spans="3:10" ht="13.5" customHeight="1" x14ac:dyDescent="0.25">
      <c r="C1109" s="16"/>
      <c r="D1109" s="16"/>
      <c r="E1109" s="16"/>
      <c r="F1109" s="64"/>
      <c r="G1109" s="70"/>
      <c r="H1109" s="16"/>
      <c r="I1109" s="16"/>
      <c r="J1109" s="16"/>
    </row>
    <row r="1110" spans="3:10" ht="13.5" customHeight="1" x14ac:dyDescent="0.25">
      <c r="C1110" s="35"/>
      <c r="D1110" s="35"/>
      <c r="E1110" s="35"/>
      <c r="F1110" s="65"/>
      <c r="G1110" s="69"/>
      <c r="H1110" s="35"/>
      <c r="I1110" s="35"/>
      <c r="J1110" s="35"/>
    </row>
    <row r="1111" spans="3:10" ht="13.5" customHeight="1" x14ac:dyDescent="0.25">
      <c r="C1111" s="16"/>
      <c r="D1111" s="16"/>
      <c r="E1111" s="16"/>
      <c r="F1111" s="64"/>
      <c r="G1111" s="70"/>
      <c r="H1111" s="16"/>
      <c r="I1111" s="16"/>
      <c r="J1111" s="16"/>
    </row>
    <row r="1112" spans="3:10" ht="13.5" customHeight="1" x14ac:dyDescent="0.25">
      <c r="C1112" s="35"/>
      <c r="D1112" s="35"/>
      <c r="E1112" s="35"/>
      <c r="F1112" s="65"/>
      <c r="G1112" s="69"/>
      <c r="H1112" s="35"/>
      <c r="I1112" s="35"/>
      <c r="J1112" s="35"/>
    </row>
    <row r="1113" spans="3:10" ht="13.5" customHeight="1" x14ac:dyDescent="0.25">
      <c r="C1113" s="16"/>
      <c r="D1113" s="16"/>
      <c r="E1113" s="16"/>
      <c r="F1113" s="64"/>
      <c r="G1113" s="70"/>
      <c r="H1113" s="16"/>
      <c r="I1113" s="16"/>
      <c r="J1113" s="16"/>
    </row>
    <row r="1114" spans="3:10" ht="13.5" customHeight="1" x14ac:dyDescent="0.25">
      <c r="C1114" s="35"/>
      <c r="D1114" s="35"/>
      <c r="E1114" s="35"/>
      <c r="F1114" s="65"/>
      <c r="G1114" s="69"/>
      <c r="H1114" s="35"/>
      <c r="I1114" s="35"/>
      <c r="J1114" s="35"/>
    </row>
    <row r="1115" spans="3:10" ht="13.5" customHeight="1" x14ac:dyDescent="0.25">
      <c r="C1115" s="16"/>
      <c r="D1115" s="16"/>
      <c r="E1115" s="16"/>
      <c r="F1115" s="64"/>
      <c r="G1115" s="70"/>
      <c r="H1115" s="16"/>
      <c r="I1115" s="16"/>
      <c r="J1115" s="16"/>
    </row>
    <row r="1116" spans="3:10" ht="13.5" customHeight="1" x14ac:dyDescent="0.25">
      <c r="C1116" s="35"/>
      <c r="D1116" s="35"/>
      <c r="E1116" s="35"/>
      <c r="F1116" s="65"/>
      <c r="G1116" s="69"/>
      <c r="H1116" s="35"/>
      <c r="I1116" s="35"/>
      <c r="J1116" s="35"/>
    </row>
    <row r="1117" spans="3:10" ht="13.5" customHeight="1" x14ac:dyDescent="0.25">
      <c r="C1117" s="16"/>
      <c r="D1117" s="16"/>
      <c r="E1117" s="16"/>
      <c r="F1117" s="64"/>
      <c r="G1117" s="70"/>
      <c r="H1117" s="16"/>
      <c r="I1117" s="16"/>
      <c r="J1117" s="16"/>
    </row>
    <row r="1118" spans="3:10" ht="13.5" customHeight="1" x14ac:dyDescent="0.25">
      <c r="C1118" s="35"/>
      <c r="D1118" s="35"/>
      <c r="E1118" s="35"/>
      <c r="F1118" s="65"/>
      <c r="G1118" s="69"/>
      <c r="H1118" s="35"/>
      <c r="I1118" s="35"/>
      <c r="J1118" s="35"/>
    </row>
    <row r="1119" spans="3:10" ht="13.5" customHeight="1" x14ac:dyDescent="0.25">
      <c r="C1119" s="16"/>
      <c r="D1119" s="16"/>
      <c r="E1119" s="16"/>
      <c r="F1119" s="64"/>
      <c r="G1119" s="70"/>
      <c r="H1119" s="16"/>
      <c r="I1119" s="16"/>
      <c r="J1119" s="16"/>
    </row>
    <row r="1120" spans="3:10" ht="13.5" customHeight="1" x14ac:dyDescent="0.25">
      <c r="C1120" s="35"/>
      <c r="D1120" s="35"/>
      <c r="E1120" s="35"/>
      <c r="F1120" s="65"/>
      <c r="G1120" s="69"/>
      <c r="H1120" s="35"/>
      <c r="I1120" s="35"/>
      <c r="J1120" s="35"/>
    </row>
    <row r="1121" spans="3:10" ht="13.5" customHeight="1" x14ac:dyDescent="0.25">
      <c r="C1121" s="16"/>
      <c r="D1121" s="16"/>
      <c r="E1121" s="16"/>
      <c r="F1121" s="64"/>
      <c r="G1121" s="70"/>
      <c r="H1121" s="16"/>
      <c r="I1121" s="16"/>
      <c r="J1121" s="16"/>
    </row>
    <row r="1122" spans="3:10" ht="13.5" customHeight="1" x14ac:dyDescent="0.25">
      <c r="C1122" s="35"/>
      <c r="D1122" s="35"/>
      <c r="E1122" s="35"/>
      <c r="F1122" s="65"/>
      <c r="G1122" s="69"/>
      <c r="H1122" s="35"/>
      <c r="I1122" s="35"/>
      <c r="J1122" s="35"/>
    </row>
    <row r="1123" spans="3:10" ht="13.5" customHeight="1" x14ac:dyDescent="0.25">
      <c r="C1123" s="16"/>
      <c r="D1123" s="16"/>
      <c r="E1123" s="16"/>
      <c r="F1123" s="64"/>
      <c r="G1123" s="70"/>
      <c r="H1123" s="16"/>
      <c r="I1123" s="16"/>
      <c r="J1123" s="16"/>
    </row>
    <row r="1124" spans="3:10" ht="13.5" customHeight="1" x14ac:dyDescent="0.25">
      <c r="C1124" s="35"/>
      <c r="D1124" s="35"/>
      <c r="E1124" s="35"/>
      <c r="F1124" s="65"/>
      <c r="G1124" s="69"/>
      <c r="H1124" s="35"/>
      <c r="I1124" s="35"/>
      <c r="J1124" s="35"/>
    </row>
    <row r="1125" spans="3:10" ht="13.5" customHeight="1" x14ac:dyDescent="0.25">
      <c r="C1125" s="16"/>
      <c r="D1125" s="16"/>
      <c r="E1125" s="16"/>
      <c r="F1125" s="64"/>
      <c r="G1125" s="70"/>
      <c r="H1125" s="16"/>
      <c r="I1125" s="16"/>
      <c r="J1125" s="16"/>
    </row>
    <row r="1126" spans="3:10" ht="13.5" customHeight="1" x14ac:dyDescent="0.25">
      <c r="C1126" s="35"/>
      <c r="D1126" s="35"/>
      <c r="E1126" s="35"/>
      <c r="F1126" s="65"/>
      <c r="G1126" s="69"/>
      <c r="H1126" s="35"/>
      <c r="I1126" s="35"/>
      <c r="J1126" s="35"/>
    </row>
    <row r="1127" spans="3:10" ht="13.5" customHeight="1" x14ac:dyDescent="0.25">
      <c r="C1127" s="16"/>
      <c r="D1127" s="16"/>
      <c r="E1127" s="16"/>
      <c r="F1127" s="64"/>
      <c r="G1127" s="70"/>
      <c r="H1127" s="16"/>
      <c r="I1127" s="16"/>
      <c r="J1127" s="16"/>
    </row>
    <row r="1128" spans="3:10" ht="13.5" customHeight="1" x14ac:dyDescent="0.25">
      <c r="C1128" s="35"/>
      <c r="D1128" s="35"/>
      <c r="E1128" s="35"/>
      <c r="F1128" s="65"/>
      <c r="G1128" s="69"/>
      <c r="H1128" s="35"/>
      <c r="I1128" s="35"/>
      <c r="J1128" s="35"/>
    </row>
    <row r="1129" spans="3:10" ht="13.5" customHeight="1" x14ac:dyDescent="0.25">
      <c r="C1129" s="16"/>
      <c r="D1129" s="16"/>
      <c r="E1129" s="16"/>
      <c r="F1129" s="64"/>
      <c r="G1129" s="70"/>
      <c r="H1129" s="16"/>
      <c r="I1129" s="16"/>
      <c r="J1129" s="16"/>
    </row>
    <row r="1130" spans="3:10" ht="13.5" customHeight="1" x14ac:dyDescent="0.25">
      <c r="C1130" s="35"/>
      <c r="D1130" s="35"/>
      <c r="E1130" s="35"/>
      <c r="F1130" s="65"/>
      <c r="G1130" s="69"/>
      <c r="H1130" s="35"/>
      <c r="I1130" s="35"/>
      <c r="J1130" s="35"/>
    </row>
    <row r="1131" spans="3:10" ht="13.5" customHeight="1" x14ac:dyDescent="0.25">
      <c r="C1131" s="16"/>
      <c r="D1131" s="16"/>
      <c r="E1131" s="16"/>
      <c r="F1131" s="64"/>
      <c r="G1131" s="70"/>
      <c r="H1131" s="16"/>
      <c r="I1131" s="16"/>
      <c r="J1131" s="16"/>
    </row>
    <row r="1132" spans="3:10" ht="13.5" customHeight="1" x14ac:dyDescent="0.25">
      <c r="C1132" s="35"/>
      <c r="D1132" s="35"/>
      <c r="E1132" s="35"/>
      <c r="F1132" s="65"/>
      <c r="G1132" s="69"/>
      <c r="H1132" s="35"/>
      <c r="I1132" s="35"/>
      <c r="J1132" s="35"/>
    </row>
    <row r="1133" spans="3:10" ht="13.5" customHeight="1" x14ac:dyDescent="0.25">
      <c r="C1133" s="16"/>
      <c r="D1133" s="16"/>
      <c r="E1133" s="16"/>
      <c r="F1133" s="64"/>
      <c r="G1133" s="70"/>
      <c r="H1133" s="16"/>
      <c r="I1133" s="16"/>
      <c r="J1133" s="16"/>
    </row>
    <row r="1134" spans="3:10" ht="13.5" customHeight="1" x14ac:dyDescent="0.25">
      <c r="C1134" s="35"/>
      <c r="D1134" s="35"/>
      <c r="E1134" s="35"/>
      <c r="F1134" s="65"/>
      <c r="G1134" s="69"/>
      <c r="H1134" s="35"/>
      <c r="I1134" s="35"/>
      <c r="J1134" s="35"/>
    </row>
    <row r="1135" spans="3:10" ht="13.5" customHeight="1" x14ac:dyDescent="0.25">
      <c r="C1135" s="16"/>
      <c r="D1135" s="16"/>
      <c r="E1135" s="16"/>
      <c r="F1135" s="64"/>
      <c r="G1135" s="70"/>
      <c r="H1135" s="16"/>
      <c r="I1135" s="16"/>
      <c r="J1135" s="16"/>
    </row>
    <row r="1136" spans="3:10" ht="13.5" customHeight="1" x14ac:dyDescent="0.25">
      <c r="C1136" s="35"/>
      <c r="D1136" s="35"/>
      <c r="E1136" s="35"/>
      <c r="F1136" s="65"/>
      <c r="G1136" s="69"/>
      <c r="H1136" s="35"/>
      <c r="I1136" s="35"/>
      <c r="J1136" s="35"/>
    </row>
    <row r="1137" spans="3:10" ht="13.5" customHeight="1" x14ac:dyDescent="0.25">
      <c r="C1137" s="16"/>
      <c r="D1137" s="16"/>
      <c r="E1137" s="16"/>
      <c r="F1137" s="64"/>
      <c r="G1137" s="70"/>
      <c r="H1137" s="16"/>
      <c r="I1137" s="16"/>
      <c r="J1137" s="16"/>
    </row>
    <row r="1138" spans="3:10" ht="13.5" customHeight="1" x14ac:dyDescent="0.25">
      <c r="C1138" s="35"/>
      <c r="D1138" s="35"/>
      <c r="E1138" s="35"/>
      <c r="F1138" s="65"/>
      <c r="G1138" s="69"/>
      <c r="H1138" s="35"/>
      <c r="I1138" s="35"/>
      <c r="J1138" s="35"/>
    </row>
    <row r="1139" spans="3:10" ht="13.5" customHeight="1" x14ac:dyDescent="0.25">
      <c r="C1139" s="16"/>
      <c r="D1139" s="16"/>
      <c r="E1139" s="16"/>
      <c r="F1139" s="64"/>
      <c r="G1139" s="70"/>
      <c r="H1139" s="16"/>
      <c r="I1139" s="16"/>
      <c r="J1139" s="16"/>
    </row>
    <row r="1140" spans="3:10" ht="13.5" customHeight="1" x14ac:dyDescent="0.25">
      <c r="C1140" s="35"/>
      <c r="D1140" s="35"/>
      <c r="E1140" s="35"/>
      <c r="F1140" s="65"/>
      <c r="G1140" s="69"/>
      <c r="H1140" s="35"/>
      <c r="I1140" s="35"/>
      <c r="J1140" s="35"/>
    </row>
    <row r="1141" spans="3:10" ht="13.5" customHeight="1" x14ac:dyDescent="0.25">
      <c r="C1141" s="16"/>
      <c r="D1141" s="16"/>
      <c r="E1141" s="16"/>
      <c r="F1141" s="64"/>
      <c r="G1141" s="70"/>
      <c r="H1141" s="16"/>
      <c r="I1141" s="16"/>
      <c r="J1141" s="16"/>
    </row>
    <row r="1142" spans="3:10" ht="13.5" customHeight="1" x14ac:dyDescent="0.25">
      <c r="C1142" s="35"/>
      <c r="D1142" s="35"/>
      <c r="E1142" s="35"/>
      <c r="F1142" s="65"/>
      <c r="G1142" s="69"/>
      <c r="H1142" s="35"/>
      <c r="I1142" s="35"/>
      <c r="J1142" s="35"/>
    </row>
    <row r="1143" spans="3:10" ht="13.5" customHeight="1" x14ac:dyDescent="0.25">
      <c r="C1143" s="16"/>
      <c r="D1143" s="16"/>
      <c r="E1143" s="16"/>
      <c r="F1143" s="64"/>
      <c r="G1143" s="70"/>
      <c r="H1143" s="16"/>
      <c r="I1143" s="16"/>
      <c r="J1143" s="16"/>
    </row>
    <row r="1144" spans="3:10" ht="13.5" customHeight="1" x14ac:dyDescent="0.25">
      <c r="C1144" s="35"/>
      <c r="D1144" s="35"/>
      <c r="E1144" s="35"/>
      <c r="F1144" s="65"/>
      <c r="G1144" s="69"/>
      <c r="H1144" s="35"/>
      <c r="I1144" s="35"/>
      <c r="J1144" s="35"/>
    </row>
    <row r="1145" spans="3:10" ht="13.5" customHeight="1" x14ac:dyDescent="0.25">
      <c r="C1145" s="16"/>
      <c r="D1145" s="16"/>
      <c r="E1145" s="16"/>
      <c r="F1145" s="64"/>
      <c r="G1145" s="70"/>
      <c r="H1145" s="16"/>
      <c r="I1145" s="16"/>
      <c r="J1145" s="16"/>
    </row>
    <row r="1146" spans="3:10" ht="13.5" customHeight="1" x14ac:dyDescent="0.25">
      <c r="C1146" s="35"/>
      <c r="D1146" s="35"/>
      <c r="E1146" s="35"/>
      <c r="F1146" s="65"/>
      <c r="G1146" s="69"/>
      <c r="H1146" s="35"/>
      <c r="I1146" s="35"/>
      <c r="J1146" s="35"/>
    </row>
    <row r="1147" spans="3:10" ht="13.5" customHeight="1" x14ac:dyDescent="0.25">
      <c r="C1147" s="16"/>
      <c r="D1147" s="16"/>
      <c r="E1147" s="16"/>
      <c r="F1147" s="64"/>
      <c r="G1147" s="70"/>
      <c r="H1147" s="16"/>
      <c r="I1147" s="16"/>
      <c r="J1147" s="16"/>
    </row>
    <row r="1148" spans="3:10" ht="13.5" customHeight="1" x14ac:dyDescent="0.25">
      <c r="C1148" s="35"/>
      <c r="D1148" s="35"/>
      <c r="E1148" s="35"/>
      <c r="F1148" s="65"/>
      <c r="G1148" s="69"/>
      <c r="H1148" s="35"/>
      <c r="I1148" s="35"/>
      <c r="J1148" s="35"/>
    </row>
    <row r="1149" spans="3:10" ht="13.5" customHeight="1" x14ac:dyDescent="0.25">
      <c r="C1149" s="16"/>
      <c r="D1149" s="16"/>
      <c r="E1149" s="16"/>
      <c r="F1149" s="64"/>
      <c r="G1149" s="70"/>
      <c r="H1149" s="16"/>
      <c r="I1149" s="16"/>
      <c r="J1149" s="16"/>
    </row>
    <row r="1150" spans="3:10" ht="13.5" customHeight="1" x14ac:dyDescent="0.25">
      <c r="C1150" s="35"/>
      <c r="D1150" s="35"/>
      <c r="E1150" s="35"/>
      <c r="F1150" s="65"/>
      <c r="G1150" s="69"/>
      <c r="H1150" s="35"/>
      <c r="I1150" s="35"/>
      <c r="J1150" s="35"/>
    </row>
    <row r="1151" spans="3:10" ht="13.5" customHeight="1" x14ac:dyDescent="0.25">
      <c r="C1151" s="16"/>
      <c r="D1151" s="16"/>
      <c r="E1151" s="16"/>
      <c r="F1151" s="64"/>
      <c r="G1151" s="70"/>
      <c r="H1151" s="16"/>
      <c r="I1151" s="16"/>
      <c r="J1151" s="16"/>
    </row>
    <row r="1152" spans="3:10" ht="13.5" customHeight="1" x14ac:dyDescent="0.25">
      <c r="C1152" s="35"/>
      <c r="D1152" s="35"/>
      <c r="E1152" s="35"/>
      <c r="F1152" s="65"/>
      <c r="G1152" s="69"/>
      <c r="H1152" s="35"/>
      <c r="I1152" s="35"/>
      <c r="J1152" s="35"/>
    </row>
    <row r="1153" spans="3:10" ht="13.5" customHeight="1" x14ac:dyDescent="0.25">
      <c r="C1153" s="16"/>
      <c r="D1153" s="16"/>
      <c r="E1153" s="16"/>
      <c r="F1153" s="64"/>
      <c r="G1153" s="70"/>
      <c r="H1153" s="16"/>
      <c r="I1153" s="16"/>
      <c r="J1153" s="16"/>
    </row>
    <row r="1154" spans="3:10" ht="13.5" customHeight="1" x14ac:dyDescent="0.25">
      <c r="C1154" s="35"/>
      <c r="D1154" s="35"/>
      <c r="E1154" s="35"/>
      <c r="F1154" s="65"/>
      <c r="G1154" s="69"/>
      <c r="H1154" s="35"/>
      <c r="I1154" s="35"/>
      <c r="J1154" s="35"/>
    </row>
    <row r="1155" spans="3:10" ht="13.5" customHeight="1" x14ac:dyDescent="0.25">
      <c r="C1155" s="16"/>
      <c r="D1155" s="16"/>
      <c r="E1155" s="16"/>
      <c r="F1155" s="64"/>
      <c r="G1155" s="70"/>
      <c r="H1155" s="16"/>
      <c r="I1155" s="16"/>
      <c r="J1155" s="16"/>
    </row>
    <row r="1156" spans="3:10" ht="13.5" customHeight="1" x14ac:dyDescent="0.25">
      <c r="C1156" s="35"/>
      <c r="D1156" s="35"/>
      <c r="E1156" s="35"/>
      <c r="F1156" s="65"/>
      <c r="G1156" s="69"/>
      <c r="H1156" s="35"/>
      <c r="I1156" s="35"/>
      <c r="J1156" s="35"/>
    </row>
    <row r="1157" spans="3:10" ht="13.5" customHeight="1" x14ac:dyDescent="0.25">
      <c r="C1157" s="16"/>
      <c r="D1157" s="16"/>
      <c r="E1157" s="16"/>
      <c r="F1157" s="64"/>
      <c r="G1157" s="70"/>
      <c r="H1157" s="16"/>
      <c r="I1157" s="16"/>
      <c r="J1157" s="16"/>
    </row>
    <row r="1158" spans="3:10" ht="13.5" customHeight="1" x14ac:dyDescent="0.25">
      <c r="C1158" s="35"/>
      <c r="D1158" s="35"/>
      <c r="E1158" s="35"/>
      <c r="F1158" s="65"/>
      <c r="G1158" s="69"/>
      <c r="H1158" s="35"/>
      <c r="I1158" s="35"/>
      <c r="J1158" s="35"/>
    </row>
    <row r="1159" spans="3:10" ht="13.5" customHeight="1" x14ac:dyDescent="0.25">
      <c r="C1159" s="16"/>
      <c r="D1159" s="16"/>
      <c r="E1159" s="16"/>
      <c r="F1159" s="64"/>
      <c r="G1159" s="70"/>
      <c r="H1159" s="16"/>
      <c r="I1159" s="16"/>
      <c r="J1159" s="16"/>
    </row>
    <row r="1160" spans="3:10" ht="13.5" customHeight="1" x14ac:dyDescent="0.25">
      <c r="C1160" s="35"/>
      <c r="D1160" s="35"/>
      <c r="E1160" s="35"/>
      <c r="F1160" s="65"/>
      <c r="G1160" s="69"/>
      <c r="H1160" s="35"/>
      <c r="I1160" s="35"/>
      <c r="J1160" s="35"/>
    </row>
    <row r="1161" spans="3:10" ht="13.5" customHeight="1" x14ac:dyDescent="0.25">
      <c r="C1161" s="16"/>
      <c r="D1161" s="16"/>
      <c r="E1161" s="16"/>
      <c r="F1161" s="64"/>
      <c r="G1161" s="70"/>
      <c r="H1161" s="16"/>
      <c r="I1161" s="16"/>
      <c r="J1161" s="16"/>
    </row>
    <row r="1162" spans="3:10" ht="13.5" customHeight="1" x14ac:dyDescent="0.25">
      <c r="C1162" s="35"/>
      <c r="D1162" s="35"/>
      <c r="E1162" s="35"/>
      <c r="F1162" s="65"/>
      <c r="G1162" s="69"/>
      <c r="H1162" s="35"/>
      <c r="I1162" s="35"/>
      <c r="J1162" s="35"/>
    </row>
    <row r="1163" spans="3:10" ht="13.5" customHeight="1" x14ac:dyDescent="0.25">
      <c r="C1163" s="16"/>
      <c r="D1163" s="16"/>
      <c r="E1163" s="16"/>
      <c r="F1163" s="64"/>
      <c r="G1163" s="70"/>
      <c r="H1163" s="16"/>
      <c r="I1163" s="16"/>
      <c r="J1163" s="16"/>
    </row>
    <row r="1164" spans="3:10" ht="13.5" customHeight="1" x14ac:dyDescent="0.25">
      <c r="C1164" s="35"/>
      <c r="D1164" s="35"/>
      <c r="E1164" s="35"/>
      <c r="F1164" s="65"/>
      <c r="G1164" s="69"/>
      <c r="H1164" s="35"/>
      <c r="I1164" s="35"/>
      <c r="J1164" s="35"/>
    </row>
    <row r="1165" spans="3:10" ht="13.5" customHeight="1" x14ac:dyDescent="0.25">
      <c r="C1165" s="16"/>
      <c r="D1165" s="16"/>
      <c r="E1165" s="16"/>
      <c r="F1165" s="64"/>
      <c r="G1165" s="70"/>
      <c r="H1165" s="16"/>
      <c r="I1165" s="16"/>
      <c r="J1165" s="16"/>
    </row>
    <row r="1166" spans="3:10" ht="13.5" customHeight="1" x14ac:dyDescent="0.25">
      <c r="C1166" s="35"/>
      <c r="D1166" s="35"/>
      <c r="E1166" s="35"/>
      <c r="F1166" s="65"/>
      <c r="G1166" s="69"/>
      <c r="H1166" s="35"/>
      <c r="I1166" s="35"/>
      <c r="J1166" s="35"/>
    </row>
    <row r="1167" spans="3:10" ht="13.5" customHeight="1" x14ac:dyDescent="0.25">
      <c r="C1167" s="16"/>
      <c r="D1167" s="16"/>
      <c r="E1167" s="16"/>
      <c r="F1167" s="64"/>
      <c r="G1167" s="70"/>
      <c r="H1167" s="16"/>
      <c r="I1167" s="16"/>
      <c r="J1167" s="16"/>
    </row>
    <row r="1168" spans="3:10" ht="13.5" customHeight="1" x14ac:dyDescent="0.25">
      <c r="C1168" s="35"/>
      <c r="D1168" s="35"/>
      <c r="E1168" s="35"/>
      <c r="F1168" s="65"/>
      <c r="G1168" s="69"/>
      <c r="H1168" s="35"/>
      <c r="I1168" s="35"/>
      <c r="J1168" s="35"/>
    </row>
    <row r="1169" spans="3:10" ht="13.5" customHeight="1" x14ac:dyDescent="0.25">
      <c r="C1169" s="16"/>
      <c r="D1169" s="16"/>
      <c r="E1169" s="16"/>
      <c r="F1169" s="64"/>
      <c r="G1169" s="70"/>
      <c r="H1169" s="16"/>
      <c r="I1169" s="16"/>
      <c r="J1169" s="16"/>
    </row>
    <row r="1170" spans="3:10" ht="13.5" customHeight="1" x14ac:dyDescent="0.25">
      <c r="C1170" s="35"/>
      <c r="D1170" s="35"/>
      <c r="E1170" s="35"/>
      <c r="F1170" s="65"/>
      <c r="G1170" s="69"/>
      <c r="H1170" s="35"/>
      <c r="I1170" s="35"/>
      <c r="J1170" s="35"/>
    </row>
    <row r="1171" spans="3:10" ht="13.5" customHeight="1" x14ac:dyDescent="0.25">
      <c r="C1171" s="16"/>
      <c r="D1171" s="16"/>
      <c r="E1171" s="16"/>
      <c r="F1171" s="64"/>
      <c r="G1171" s="70"/>
      <c r="H1171" s="16"/>
      <c r="I1171" s="16"/>
      <c r="J1171" s="16"/>
    </row>
    <row r="1172" spans="3:10" ht="13.5" customHeight="1" x14ac:dyDescent="0.25">
      <c r="C1172" s="35"/>
      <c r="D1172" s="35"/>
      <c r="E1172" s="35"/>
      <c r="F1172" s="65"/>
      <c r="G1172" s="69"/>
      <c r="H1172" s="35"/>
      <c r="I1172" s="35"/>
      <c r="J1172" s="35"/>
    </row>
    <row r="1173" spans="3:10" ht="13.5" customHeight="1" x14ac:dyDescent="0.25">
      <c r="C1173" s="16"/>
      <c r="D1173" s="16"/>
      <c r="E1173" s="16"/>
      <c r="F1173" s="64"/>
      <c r="G1173" s="70"/>
      <c r="H1173" s="16"/>
      <c r="I1173" s="16"/>
      <c r="J1173" s="16"/>
    </row>
    <row r="1174" spans="3:10" ht="13.5" customHeight="1" x14ac:dyDescent="0.25">
      <c r="C1174" s="35"/>
      <c r="D1174" s="35"/>
      <c r="E1174" s="35"/>
      <c r="F1174" s="65"/>
      <c r="G1174" s="69"/>
      <c r="H1174" s="35"/>
      <c r="I1174" s="35"/>
      <c r="J1174" s="35"/>
    </row>
    <row r="1175" spans="3:10" ht="13.5" customHeight="1" x14ac:dyDescent="0.25">
      <c r="C1175" s="16"/>
      <c r="D1175" s="16"/>
      <c r="E1175" s="16"/>
      <c r="F1175" s="64"/>
      <c r="G1175" s="70"/>
      <c r="H1175" s="16"/>
      <c r="I1175" s="16"/>
      <c r="J1175" s="16"/>
    </row>
    <row r="1176" spans="3:10" ht="13.5" customHeight="1" x14ac:dyDescent="0.25">
      <c r="C1176" s="35"/>
      <c r="D1176" s="35"/>
      <c r="E1176" s="35"/>
      <c r="F1176" s="65"/>
      <c r="G1176" s="69"/>
      <c r="H1176" s="35"/>
      <c r="I1176" s="35"/>
      <c r="J1176" s="35"/>
    </row>
    <row r="1177" spans="3:10" ht="13.5" customHeight="1" x14ac:dyDescent="0.25">
      <c r="C1177" s="16"/>
      <c r="D1177" s="16"/>
      <c r="E1177" s="16"/>
      <c r="F1177" s="64"/>
      <c r="G1177" s="70"/>
      <c r="H1177" s="16"/>
      <c r="I1177" s="16"/>
      <c r="J1177" s="16"/>
    </row>
    <row r="1178" spans="3:10" ht="13.5" customHeight="1" x14ac:dyDescent="0.25">
      <c r="C1178" s="35"/>
      <c r="D1178" s="35"/>
      <c r="E1178" s="35"/>
      <c r="F1178" s="65"/>
      <c r="G1178" s="69"/>
      <c r="H1178" s="35"/>
      <c r="I1178" s="35"/>
      <c r="J1178" s="35"/>
    </row>
    <row r="1179" spans="3:10" ht="13.5" customHeight="1" x14ac:dyDescent="0.25">
      <c r="C1179" s="16"/>
      <c r="D1179" s="16"/>
      <c r="E1179" s="16"/>
      <c r="F1179" s="64"/>
      <c r="G1179" s="70"/>
      <c r="H1179" s="16"/>
      <c r="I1179" s="16"/>
      <c r="J1179" s="16"/>
    </row>
    <row r="1180" spans="3:10" ht="13.5" customHeight="1" x14ac:dyDescent="0.25">
      <c r="C1180" s="35"/>
      <c r="D1180" s="35"/>
      <c r="E1180" s="35"/>
      <c r="F1180" s="65"/>
      <c r="G1180" s="69"/>
      <c r="H1180" s="35"/>
      <c r="I1180" s="35"/>
      <c r="J1180" s="35"/>
    </row>
    <row r="1181" spans="3:10" ht="13.5" customHeight="1" x14ac:dyDescent="0.25">
      <c r="C1181" s="16"/>
      <c r="D1181" s="16"/>
      <c r="E1181" s="16"/>
      <c r="F1181" s="64"/>
      <c r="G1181" s="70"/>
      <c r="H1181" s="16"/>
      <c r="I1181" s="16"/>
      <c r="J1181" s="16"/>
    </row>
    <row r="1182" spans="3:10" ht="13.5" customHeight="1" x14ac:dyDescent="0.25">
      <c r="C1182" s="35"/>
      <c r="D1182" s="35"/>
      <c r="E1182" s="35"/>
      <c r="F1182" s="65"/>
      <c r="G1182" s="69"/>
      <c r="H1182" s="35"/>
      <c r="I1182" s="35"/>
      <c r="J1182" s="35"/>
    </row>
    <row r="1183" spans="3:10" ht="13.5" customHeight="1" x14ac:dyDescent="0.25">
      <c r="C1183" s="16"/>
      <c r="D1183" s="16"/>
      <c r="E1183" s="16"/>
      <c r="F1183" s="64"/>
      <c r="G1183" s="70"/>
      <c r="H1183" s="16"/>
      <c r="I1183" s="16"/>
      <c r="J1183" s="16"/>
    </row>
    <row r="1184" spans="3:10" ht="13.5" customHeight="1" x14ac:dyDescent="0.25">
      <c r="C1184" s="35"/>
      <c r="D1184" s="35"/>
      <c r="E1184" s="35"/>
      <c r="F1184" s="65"/>
      <c r="G1184" s="69"/>
      <c r="H1184" s="35"/>
      <c r="I1184" s="35"/>
      <c r="J1184" s="35"/>
    </row>
    <row r="1185" spans="3:10" ht="13.5" customHeight="1" x14ac:dyDescent="0.25">
      <c r="C1185" s="16"/>
      <c r="D1185" s="16"/>
      <c r="E1185" s="16"/>
      <c r="F1185" s="64"/>
      <c r="G1185" s="70"/>
      <c r="H1185" s="16"/>
      <c r="I1185" s="16"/>
      <c r="J1185" s="16"/>
    </row>
    <row r="1186" spans="3:10" ht="13.5" customHeight="1" x14ac:dyDescent="0.25">
      <c r="C1186" s="35"/>
      <c r="D1186" s="35"/>
      <c r="E1186" s="35"/>
      <c r="F1186" s="65"/>
      <c r="G1186" s="69"/>
      <c r="H1186" s="35"/>
      <c r="I1186" s="35"/>
      <c r="J1186" s="35"/>
    </row>
    <row r="1187" spans="3:10" ht="13.5" customHeight="1" x14ac:dyDescent="0.25">
      <c r="C1187" s="16"/>
      <c r="D1187" s="16"/>
      <c r="E1187" s="16"/>
      <c r="F1187" s="64"/>
      <c r="G1187" s="70"/>
      <c r="H1187" s="16"/>
      <c r="I1187" s="16"/>
      <c r="J1187" s="16"/>
    </row>
    <row r="1188" spans="3:10" ht="13.5" customHeight="1" x14ac:dyDescent="0.25">
      <c r="C1188" s="35"/>
      <c r="D1188" s="35"/>
      <c r="E1188" s="35"/>
      <c r="F1188" s="65"/>
      <c r="G1188" s="69"/>
      <c r="H1188" s="35"/>
      <c r="I1188" s="35"/>
      <c r="J1188" s="35"/>
    </row>
    <row r="1189" spans="3:10" ht="13.5" customHeight="1" x14ac:dyDescent="0.25">
      <c r="C1189" s="16"/>
      <c r="D1189" s="16"/>
      <c r="E1189" s="16"/>
      <c r="F1189" s="64"/>
      <c r="G1189" s="70"/>
      <c r="H1189" s="16"/>
      <c r="I1189" s="16"/>
      <c r="J1189" s="16"/>
    </row>
    <row r="1190" spans="3:10" ht="13.5" customHeight="1" x14ac:dyDescent="0.25">
      <c r="C1190" s="35"/>
      <c r="D1190" s="35"/>
      <c r="E1190" s="35"/>
      <c r="F1190" s="65"/>
      <c r="G1190" s="69"/>
      <c r="H1190" s="35"/>
      <c r="I1190" s="35"/>
      <c r="J1190" s="35"/>
    </row>
    <row r="1191" spans="3:10" ht="13.5" customHeight="1" x14ac:dyDescent="0.25">
      <c r="C1191" s="16"/>
      <c r="D1191" s="16"/>
      <c r="E1191" s="16"/>
      <c r="F1191" s="64"/>
      <c r="G1191" s="70"/>
      <c r="H1191" s="16"/>
      <c r="I1191" s="16"/>
      <c r="J1191" s="16"/>
    </row>
    <row r="1192" spans="3:10" ht="13.5" customHeight="1" x14ac:dyDescent="0.25">
      <c r="C1192" s="35"/>
      <c r="D1192" s="35"/>
      <c r="E1192" s="35"/>
      <c r="F1192" s="65"/>
      <c r="G1192" s="69"/>
      <c r="H1192" s="35"/>
      <c r="I1192" s="35"/>
      <c r="J1192" s="35"/>
    </row>
    <row r="1193" spans="3:10" ht="13.5" customHeight="1" x14ac:dyDescent="0.25">
      <c r="C1193" s="16"/>
      <c r="D1193" s="16"/>
      <c r="E1193" s="16"/>
      <c r="F1193" s="64"/>
      <c r="G1193" s="70"/>
      <c r="H1193" s="16"/>
      <c r="I1193" s="16"/>
      <c r="J1193" s="16"/>
    </row>
    <row r="1194" spans="3:10" ht="13.5" customHeight="1" x14ac:dyDescent="0.25">
      <c r="C1194" s="35"/>
      <c r="D1194" s="35"/>
      <c r="E1194" s="35"/>
      <c r="F1194" s="65"/>
      <c r="G1194" s="69"/>
      <c r="H1194" s="35"/>
      <c r="I1194" s="35"/>
      <c r="J1194" s="35"/>
    </row>
    <row r="1195" spans="3:10" ht="13.5" customHeight="1" x14ac:dyDescent="0.25">
      <c r="C1195" s="16"/>
      <c r="D1195" s="16"/>
      <c r="E1195" s="16"/>
      <c r="F1195" s="64"/>
      <c r="G1195" s="70"/>
      <c r="H1195" s="16"/>
      <c r="I1195" s="16"/>
      <c r="J1195" s="16"/>
    </row>
    <row r="1196" spans="3:10" ht="13.5" customHeight="1" x14ac:dyDescent="0.25">
      <c r="C1196" s="35"/>
      <c r="D1196" s="35"/>
      <c r="E1196" s="35"/>
      <c r="F1196" s="65"/>
      <c r="G1196" s="69"/>
      <c r="H1196" s="35"/>
      <c r="I1196" s="35"/>
      <c r="J1196" s="35"/>
    </row>
    <row r="1197" spans="3:10" ht="13.5" customHeight="1" x14ac:dyDescent="0.25">
      <c r="C1197" s="16"/>
      <c r="D1197" s="16"/>
      <c r="E1197" s="16"/>
      <c r="F1197" s="64"/>
      <c r="G1197" s="70"/>
      <c r="H1197" s="16"/>
      <c r="I1197" s="16"/>
      <c r="J1197" s="16"/>
    </row>
    <row r="1198" spans="3:10" ht="13.5" customHeight="1" x14ac:dyDescent="0.25">
      <c r="C1198" s="35"/>
      <c r="D1198" s="35"/>
      <c r="E1198" s="35"/>
      <c r="F1198" s="65"/>
      <c r="G1198" s="69"/>
      <c r="H1198" s="35"/>
      <c r="I1198" s="35"/>
      <c r="J1198" s="35"/>
    </row>
    <row r="1199" spans="3:10" ht="13.5" customHeight="1" x14ac:dyDescent="0.25">
      <c r="C1199" s="16"/>
      <c r="D1199" s="16"/>
      <c r="E1199" s="16"/>
      <c r="F1199" s="64"/>
      <c r="G1199" s="70"/>
      <c r="H1199" s="16"/>
      <c r="I1199" s="16"/>
      <c r="J1199" s="16"/>
    </row>
    <row r="1200" spans="3:10" ht="13.5" customHeight="1" x14ac:dyDescent="0.25">
      <c r="C1200" s="35"/>
      <c r="D1200" s="35"/>
      <c r="E1200" s="35"/>
      <c r="F1200" s="65"/>
      <c r="G1200" s="69"/>
      <c r="H1200" s="35"/>
      <c r="I1200" s="35"/>
      <c r="J1200" s="35"/>
    </row>
    <row r="1201" spans="3:10" ht="13.5" customHeight="1" x14ac:dyDescent="0.25">
      <c r="C1201" s="16"/>
      <c r="D1201" s="16"/>
      <c r="E1201" s="16"/>
      <c r="F1201" s="64"/>
      <c r="G1201" s="70"/>
      <c r="H1201" s="16"/>
      <c r="I1201" s="16"/>
      <c r="J1201" s="16"/>
    </row>
    <row r="1202" spans="3:10" ht="13.5" customHeight="1" x14ac:dyDescent="0.25">
      <c r="C1202" s="35"/>
      <c r="D1202" s="35"/>
      <c r="E1202" s="35"/>
      <c r="F1202" s="65"/>
      <c r="G1202" s="69"/>
      <c r="H1202" s="35"/>
      <c r="I1202" s="35"/>
      <c r="J1202" s="35"/>
    </row>
    <row r="1203" spans="3:10" ht="13.5" customHeight="1" x14ac:dyDescent="0.25">
      <c r="C1203" s="16"/>
      <c r="D1203" s="16"/>
      <c r="E1203" s="16"/>
      <c r="F1203" s="64"/>
      <c r="G1203" s="70"/>
      <c r="H1203" s="16"/>
      <c r="I1203" s="16"/>
      <c r="J1203" s="16"/>
    </row>
    <row r="1204" spans="3:10" ht="13.5" customHeight="1" x14ac:dyDescent="0.25">
      <c r="C1204" s="35"/>
      <c r="D1204" s="35"/>
      <c r="E1204" s="35"/>
      <c r="F1204" s="65"/>
      <c r="G1204" s="69"/>
      <c r="H1204" s="35"/>
      <c r="I1204" s="35"/>
      <c r="J1204" s="35"/>
    </row>
    <row r="1205" spans="3:10" ht="13.5" customHeight="1" x14ac:dyDescent="0.25">
      <c r="C1205" s="16"/>
      <c r="D1205" s="16"/>
      <c r="E1205" s="16"/>
      <c r="F1205" s="64"/>
      <c r="G1205" s="70"/>
      <c r="H1205" s="16"/>
      <c r="I1205" s="16"/>
      <c r="J1205" s="16"/>
    </row>
    <row r="1206" spans="3:10" ht="13.5" customHeight="1" x14ac:dyDescent="0.25">
      <c r="C1206" s="35"/>
      <c r="D1206" s="35"/>
      <c r="E1206" s="35"/>
      <c r="F1206" s="65"/>
      <c r="G1206" s="69"/>
      <c r="H1206" s="35"/>
      <c r="I1206" s="35"/>
      <c r="J1206" s="35"/>
    </row>
    <row r="1207" spans="3:10" ht="13.5" customHeight="1" x14ac:dyDescent="0.25">
      <c r="C1207" s="16"/>
      <c r="D1207" s="16"/>
      <c r="E1207" s="16"/>
      <c r="F1207" s="64"/>
      <c r="G1207" s="70"/>
      <c r="H1207" s="16"/>
      <c r="I1207" s="16"/>
      <c r="J1207" s="16"/>
    </row>
    <row r="1208" spans="3:10" ht="13.5" customHeight="1" x14ac:dyDescent="0.25">
      <c r="C1208" s="35"/>
      <c r="D1208" s="35"/>
      <c r="E1208" s="35"/>
      <c r="F1208" s="65"/>
      <c r="G1208" s="69"/>
      <c r="H1208" s="35"/>
      <c r="I1208" s="35"/>
      <c r="J1208" s="35"/>
    </row>
    <row r="1209" spans="3:10" ht="13.5" customHeight="1" x14ac:dyDescent="0.25">
      <c r="C1209" s="16"/>
      <c r="D1209" s="16"/>
      <c r="E1209" s="16"/>
      <c r="F1209" s="64"/>
      <c r="G1209" s="70"/>
      <c r="H1209" s="16"/>
      <c r="I1209" s="16"/>
      <c r="J1209" s="16"/>
    </row>
    <row r="1210" spans="3:10" ht="13.5" customHeight="1" x14ac:dyDescent="0.25">
      <c r="C1210" s="35"/>
      <c r="D1210" s="35"/>
      <c r="E1210" s="35"/>
      <c r="F1210" s="65"/>
      <c r="G1210" s="69"/>
      <c r="H1210" s="35"/>
      <c r="I1210" s="35"/>
      <c r="J1210" s="35"/>
    </row>
    <row r="1211" spans="3:10" ht="13.5" customHeight="1" x14ac:dyDescent="0.25">
      <c r="C1211" s="16"/>
      <c r="D1211" s="16"/>
      <c r="E1211" s="16"/>
      <c r="F1211" s="64"/>
      <c r="G1211" s="70"/>
      <c r="H1211" s="16"/>
      <c r="I1211" s="16"/>
      <c r="J1211" s="16"/>
    </row>
    <row r="1212" spans="3:10" ht="13.5" customHeight="1" x14ac:dyDescent="0.25">
      <c r="C1212" s="35"/>
      <c r="D1212" s="35"/>
      <c r="E1212" s="35"/>
      <c r="F1212" s="65"/>
      <c r="G1212" s="69"/>
      <c r="H1212" s="35"/>
      <c r="I1212" s="35"/>
      <c r="J1212" s="35"/>
    </row>
    <row r="1213" spans="3:10" ht="13.5" customHeight="1" x14ac:dyDescent="0.25">
      <c r="C1213" s="16"/>
      <c r="D1213" s="16"/>
      <c r="E1213" s="16"/>
      <c r="F1213" s="64"/>
      <c r="G1213" s="70"/>
      <c r="H1213" s="16"/>
      <c r="I1213" s="16"/>
      <c r="J1213" s="16"/>
    </row>
    <row r="1214" spans="3:10" ht="13.5" customHeight="1" x14ac:dyDescent="0.25">
      <c r="C1214" s="35"/>
      <c r="D1214" s="35"/>
      <c r="E1214" s="35"/>
      <c r="F1214" s="65"/>
      <c r="G1214" s="69"/>
      <c r="H1214" s="35"/>
      <c r="I1214" s="35"/>
      <c r="J1214" s="35"/>
    </row>
    <row r="1215" spans="3:10" ht="13.5" customHeight="1" x14ac:dyDescent="0.25">
      <c r="C1215" s="16"/>
      <c r="D1215" s="16"/>
      <c r="E1215" s="16"/>
      <c r="F1215" s="64"/>
      <c r="G1215" s="70"/>
      <c r="H1215" s="16"/>
      <c r="I1215" s="16"/>
      <c r="J1215" s="16"/>
    </row>
    <row r="1216" spans="3:10" ht="13.5" customHeight="1" x14ac:dyDescent="0.25">
      <c r="C1216" s="35"/>
      <c r="D1216" s="35"/>
      <c r="E1216" s="35"/>
      <c r="F1216" s="65"/>
      <c r="G1216" s="69"/>
      <c r="H1216" s="35"/>
      <c r="I1216" s="35"/>
      <c r="J1216" s="35"/>
    </row>
    <row r="1217" spans="3:10" ht="13.5" customHeight="1" x14ac:dyDescent="0.25">
      <c r="C1217" s="16"/>
      <c r="D1217" s="16"/>
      <c r="E1217" s="16"/>
      <c r="F1217" s="64"/>
      <c r="G1217" s="70"/>
      <c r="H1217" s="16"/>
      <c r="I1217" s="16"/>
      <c r="J1217" s="16"/>
    </row>
    <row r="1218" spans="3:10" ht="13.5" customHeight="1" x14ac:dyDescent="0.25">
      <c r="C1218" s="35"/>
      <c r="D1218" s="35"/>
      <c r="E1218" s="35"/>
      <c r="F1218" s="65"/>
      <c r="G1218" s="69"/>
      <c r="H1218" s="35"/>
      <c r="I1218" s="35"/>
      <c r="J1218" s="35"/>
    </row>
    <row r="1219" spans="3:10" ht="13.5" customHeight="1" x14ac:dyDescent="0.25">
      <c r="C1219" s="16"/>
      <c r="D1219" s="16"/>
      <c r="E1219" s="16"/>
      <c r="F1219" s="64"/>
      <c r="G1219" s="70"/>
      <c r="H1219" s="16"/>
      <c r="I1219" s="16"/>
      <c r="J1219" s="16"/>
    </row>
    <row r="1220" spans="3:10" ht="13.5" customHeight="1" x14ac:dyDescent="0.25">
      <c r="C1220" s="35"/>
      <c r="D1220" s="35"/>
      <c r="E1220" s="35"/>
      <c r="F1220" s="65"/>
      <c r="G1220" s="69"/>
      <c r="H1220" s="35"/>
      <c r="I1220" s="35"/>
      <c r="J1220" s="35"/>
    </row>
    <row r="1221" spans="3:10" ht="13.5" customHeight="1" x14ac:dyDescent="0.25">
      <c r="C1221" s="16"/>
      <c r="D1221" s="16"/>
      <c r="E1221" s="16"/>
      <c r="F1221" s="64"/>
      <c r="G1221" s="70"/>
      <c r="H1221" s="16"/>
      <c r="I1221" s="16"/>
      <c r="J1221" s="16"/>
    </row>
    <row r="1222" spans="3:10" ht="13.5" customHeight="1" x14ac:dyDescent="0.25">
      <c r="C1222" s="35"/>
      <c r="D1222" s="35"/>
      <c r="E1222" s="35"/>
      <c r="F1222" s="65"/>
      <c r="G1222" s="69"/>
      <c r="H1222" s="35"/>
      <c r="I1222" s="35"/>
      <c r="J1222" s="35"/>
    </row>
    <row r="1223" spans="3:10" ht="13.5" customHeight="1" x14ac:dyDescent="0.25">
      <c r="C1223" s="16"/>
      <c r="D1223" s="16"/>
      <c r="E1223" s="16"/>
      <c r="F1223" s="64"/>
      <c r="G1223" s="70"/>
      <c r="H1223" s="16"/>
      <c r="I1223" s="16"/>
      <c r="J1223" s="16"/>
    </row>
    <row r="1224" spans="3:10" ht="13.5" customHeight="1" x14ac:dyDescent="0.25">
      <c r="C1224" s="35"/>
      <c r="D1224" s="35"/>
      <c r="E1224" s="35"/>
      <c r="F1224" s="65"/>
      <c r="G1224" s="69"/>
      <c r="H1224" s="35"/>
      <c r="I1224" s="35"/>
      <c r="J1224" s="35"/>
    </row>
    <row r="1225" spans="3:10" ht="13.5" customHeight="1" x14ac:dyDescent="0.25">
      <c r="C1225" s="16"/>
      <c r="D1225" s="16"/>
      <c r="E1225" s="16"/>
      <c r="F1225" s="64"/>
      <c r="G1225" s="70"/>
      <c r="H1225" s="16"/>
      <c r="I1225" s="16"/>
      <c r="J1225" s="16"/>
    </row>
    <row r="1226" spans="3:10" ht="13.5" customHeight="1" x14ac:dyDescent="0.25">
      <c r="C1226" s="35"/>
      <c r="D1226" s="35"/>
      <c r="E1226" s="35"/>
      <c r="F1226" s="65"/>
      <c r="G1226" s="69"/>
      <c r="H1226" s="35"/>
      <c r="I1226" s="35"/>
      <c r="J1226" s="35"/>
    </row>
    <row r="1227" spans="3:10" ht="13.5" customHeight="1" x14ac:dyDescent="0.25">
      <c r="C1227" s="16"/>
      <c r="D1227" s="16"/>
      <c r="E1227" s="16"/>
      <c r="F1227" s="64"/>
      <c r="G1227" s="70"/>
      <c r="H1227" s="16"/>
      <c r="I1227" s="16"/>
      <c r="J1227" s="16"/>
    </row>
    <row r="1228" spans="3:10" ht="13.5" customHeight="1" x14ac:dyDescent="0.25">
      <c r="C1228" s="35"/>
      <c r="D1228" s="35"/>
      <c r="E1228" s="35"/>
      <c r="F1228" s="65"/>
      <c r="G1228" s="69"/>
      <c r="H1228" s="35"/>
      <c r="I1228" s="35"/>
      <c r="J1228" s="35"/>
    </row>
    <row r="1229" spans="3:10" ht="13.5" customHeight="1" x14ac:dyDescent="0.25">
      <c r="C1229" s="16"/>
      <c r="D1229" s="16"/>
      <c r="E1229" s="16"/>
      <c r="F1229" s="64"/>
      <c r="G1229" s="70"/>
      <c r="H1229" s="16"/>
      <c r="I1229" s="16"/>
      <c r="J1229" s="16"/>
    </row>
    <row r="1230" spans="3:10" ht="13.5" customHeight="1" x14ac:dyDescent="0.25">
      <c r="C1230" s="35"/>
      <c r="D1230" s="35"/>
      <c r="E1230" s="35"/>
      <c r="F1230" s="65"/>
      <c r="G1230" s="69"/>
      <c r="H1230" s="35"/>
      <c r="I1230" s="35"/>
      <c r="J1230" s="35"/>
    </row>
    <row r="1231" spans="3:10" ht="13.5" customHeight="1" x14ac:dyDescent="0.25">
      <c r="C1231" s="16"/>
      <c r="D1231" s="16"/>
      <c r="E1231" s="16"/>
      <c r="F1231" s="64"/>
      <c r="G1231" s="70"/>
      <c r="H1231" s="16"/>
      <c r="I1231" s="16"/>
      <c r="J1231" s="16"/>
    </row>
    <row r="1232" spans="3:10" ht="13.5" customHeight="1" x14ac:dyDescent="0.25">
      <c r="C1232" s="35"/>
      <c r="D1232" s="35"/>
      <c r="E1232" s="35"/>
      <c r="F1232" s="65"/>
      <c r="G1232" s="69"/>
      <c r="H1232" s="35"/>
      <c r="I1232" s="35"/>
      <c r="J1232" s="35"/>
    </row>
    <row r="1233" spans="3:10" ht="13.5" customHeight="1" x14ac:dyDescent="0.25">
      <c r="C1233" s="16"/>
      <c r="D1233" s="16"/>
      <c r="E1233" s="16"/>
      <c r="F1233" s="64"/>
      <c r="G1233" s="70"/>
      <c r="H1233" s="16"/>
      <c r="I1233" s="16"/>
      <c r="J1233" s="16"/>
    </row>
    <row r="1234" spans="3:10" ht="13.5" customHeight="1" x14ac:dyDescent="0.25">
      <c r="C1234" s="35"/>
      <c r="D1234" s="35"/>
      <c r="E1234" s="35"/>
      <c r="F1234" s="65"/>
      <c r="G1234" s="69"/>
      <c r="H1234" s="35"/>
      <c r="I1234" s="35"/>
      <c r="J1234" s="35"/>
    </row>
    <row r="1235" spans="3:10" ht="13.5" customHeight="1" x14ac:dyDescent="0.25">
      <c r="C1235" s="16"/>
      <c r="D1235" s="16"/>
      <c r="E1235" s="16"/>
      <c r="F1235" s="64"/>
      <c r="G1235" s="70"/>
      <c r="H1235" s="16"/>
      <c r="I1235" s="16"/>
      <c r="J1235" s="16"/>
    </row>
    <row r="1236" spans="3:10" ht="13.5" customHeight="1" x14ac:dyDescent="0.25">
      <c r="C1236" s="35"/>
      <c r="D1236" s="35"/>
      <c r="E1236" s="35"/>
      <c r="F1236" s="65"/>
      <c r="G1236" s="69"/>
      <c r="H1236" s="35"/>
      <c r="I1236" s="35"/>
      <c r="J1236" s="35"/>
    </row>
    <row r="1237" spans="3:10" ht="13.5" customHeight="1" x14ac:dyDescent="0.25">
      <c r="C1237" s="16"/>
      <c r="D1237" s="16"/>
      <c r="E1237" s="16"/>
      <c r="F1237" s="64"/>
      <c r="G1237" s="70"/>
      <c r="H1237" s="16"/>
      <c r="I1237" s="16"/>
      <c r="J1237" s="16"/>
    </row>
    <row r="1238" spans="3:10" ht="13.5" customHeight="1" x14ac:dyDescent="0.25">
      <c r="C1238" s="35"/>
      <c r="D1238" s="35"/>
      <c r="E1238" s="35"/>
      <c r="F1238" s="65"/>
      <c r="G1238" s="69"/>
      <c r="H1238" s="35"/>
      <c r="I1238" s="35"/>
      <c r="J1238" s="35"/>
    </row>
    <row r="1239" spans="3:10" ht="13.5" customHeight="1" x14ac:dyDescent="0.25">
      <c r="C1239" s="16"/>
      <c r="D1239" s="16"/>
      <c r="E1239" s="16"/>
      <c r="F1239" s="64"/>
      <c r="G1239" s="70"/>
      <c r="H1239" s="16"/>
      <c r="I1239" s="16"/>
      <c r="J1239" s="16"/>
    </row>
    <row r="1240" spans="3:10" ht="13.5" customHeight="1" x14ac:dyDescent="0.25">
      <c r="C1240" s="35"/>
      <c r="D1240" s="35"/>
      <c r="E1240" s="35"/>
      <c r="F1240" s="65"/>
      <c r="G1240" s="69"/>
      <c r="H1240" s="35"/>
      <c r="I1240" s="35"/>
      <c r="J1240" s="35"/>
    </row>
    <row r="1241" spans="3:10" ht="13.5" customHeight="1" x14ac:dyDescent="0.25">
      <c r="C1241" s="16"/>
      <c r="D1241" s="16"/>
      <c r="E1241" s="16"/>
      <c r="F1241" s="64"/>
      <c r="G1241" s="70"/>
      <c r="H1241" s="16"/>
      <c r="I1241" s="16"/>
      <c r="J1241" s="16"/>
    </row>
    <row r="1242" spans="3:10" ht="13.5" customHeight="1" x14ac:dyDescent="0.25">
      <c r="C1242" s="35"/>
      <c r="D1242" s="35"/>
      <c r="E1242" s="35"/>
      <c r="F1242" s="65"/>
      <c r="G1242" s="69"/>
      <c r="H1242" s="35"/>
      <c r="I1242" s="35"/>
      <c r="J1242" s="35"/>
    </row>
    <row r="1243" spans="3:10" ht="13.5" customHeight="1" x14ac:dyDescent="0.25">
      <c r="C1243" s="16"/>
      <c r="D1243" s="16"/>
      <c r="E1243" s="16"/>
      <c r="F1243" s="64"/>
      <c r="G1243" s="70"/>
      <c r="H1243" s="16"/>
      <c r="I1243" s="16"/>
      <c r="J1243" s="16"/>
    </row>
    <row r="1244" spans="3:10" ht="13.5" customHeight="1" x14ac:dyDescent="0.25">
      <c r="C1244" s="35"/>
      <c r="D1244" s="35"/>
      <c r="E1244" s="35"/>
      <c r="F1244" s="65"/>
      <c r="G1244" s="69"/>
      <c r="H1244" s="35"/>
      <c r="I1244" s="35"/>
      <c r="J1244" s="35"/>
    </row>
    <row r="1245" spans="3:10" ht="13.5" customHeight="1" x14ac:dyDescent="0.25">
      <c r="C1245" s="16"/>
      <c r="D1245" s="16"/>
      <c r="E1245" s="16"/>
      <c r="F1245" s="64"/>
      <c r="G1245" s="70"/>
      <c r="H1245" s="16"/>
      <c r="I1245" s="16"/>
      <c r="J1245" s="16"/>
    </row>
    <row r="1246" spans="3:10" ht="13.5" customHeight="1" x14ac:dyDescent="0.25">
      <c r="C1246" s="35"/>
      <c r="D1246" s="35"/>
      <c r="E1246" s="35"/>
      <c r="F1246" s="65"/>
      <c r="G1246" s="69"/>
      <c r="H1246" s="35"/>
      <c r="I1246" s="35"/>
      <c r="J1246" s="35"/>
    </row>
    <row r="1247" spans="3:10" ht="13.5" customHeight="1" x14ac:dyDescent="0.25">
      <c r="C1247" s="16"/>
      <c r="D1247" s="16"/>
      <c r="E1247" s="16"/>
      <c r="F1247" s="64"/>
      <c r="G1247" s="70"/>
      <c r="H1247" s="16"/>
      <c r="I1247" s="16"/>
      <c r="J1247" s="16"/>
    </row>
    <row r="1248" spans="3:10" ht="13.5" customHeight="1" x14ac:dyDescent="0.25">
      <c r="C1248" s="35"/>
      <c r="D1248" s="35"/>
      <c r="E1248" s="35"/>
      <c r="F1248" s="65"/>
      <c r="G1248" s="69"/>
      <c r="H1248" s="35"/>
      <c r="I1248" s="35"/>
      <c r="J1248" s="35"/>
    </row>
    <row r="1249" spans="3:10" ht="13.5" customHeight="1" x14ac:dyDescent="0.25">
      <c r="C1249" s="16"/>
      <c r="D1249" s="16"/>
      <c r="E1249" s="16"/>
      <c r="F1249" s="64"/>
      <c r="G1249" s="70"/>
      <c r="H1249" s="16"/>
      <c r="I1249" s="16"/>
      <c r="J1249" s="16"/>
    </row>
    <row r="1250" spans="3:10" ht="13.5" customHeight="1" x14ac:dyDescent="0.25">
      <c r="C1250" s="35"/>
      <c r="D1250" s="35"/>
      <c r="E1250" s="35"/>
      <c r="F1250" s="65"/>
      <c r="G1250" s="69"/>
      <c r="H1250" s="35"/>
      <c r="I1250" s="35"/>
      <c r="J1250" s="35"/>
    </row>
    <row r="1251" spans="3:10" ht="13.5" customHeight="1" x14ac:dyDescent="0.25">
      <c r="C1251" s="16"/>
      <c r="D1251" s="16"/>
      <c r="E1251" s="16"/>
      <c r="F1251" s="64"/>
      <c r="G1251" s="70"/>
      <c r="H1251" s="16"/>
      <c r="I1251" s="16"/>
      <c r="J1251" s="16"/>
    </row>
    <row r="1252" spans="3:10" ht="13.5" customHeight="1" x14ac:dyDescent="0.25">
      <c r="C1252" s="35"/>
      <c r="D1252" s="35"/>
      <c r="E1252" s="35"/>
      <c r="F1252" s="65"/>
      <c r="G1252" s="69"/>
      <c r="H1252" s="35"/>
      <c r="I1252" s="35"/>
      <c r="J1252" s="35"/>
    </row>
    <row r="1253" spans="3:10" ht="13.5" customHeight="1" x14ac:dyDescent="0.25">
      <c r="C1253" s="16"/>
      <c r="D1253" s="16"/>
      <c r="E1253" s="16"/>
      <c r="F1253" s="64"/>
      <c r="G1253" s="70"/>
      <c r="H1253" s="16"/>
      <c r="I1253" s="16"/>
      <c r="J1253" s="16"/>
    </row>
    <row r="1254" spans="3:10" ht="13.5" customHeight="1" x14ac:dyDescent="0.25">
      <c r="C1254" s="35"/>
      <c r="D1254" s="35"/>
      <c r="E1254" s="35"/>
      <c r="F1254" s="65"/>
      <c r="G1254" s="69"/>
      <c r="H1254" s="35"/>
      <c r="I1254" s="35"/>
      <c r="J1254" s="35"/>
    </row>
    <row r="1255" spans="3:10" ht="13.5" customHeight="1" x14ac:dyDescent="0.25">
      <c r="C1255" s="16"/>
      <c r="D1255" s="16"/>
      <c r="E1255" s="16"/>
      <c r="F1255" s="64"/>
      <c r="G1255" s="70"/>
      <c r="H1255" s="16"/>
      <c r="I1255" s="16"/>
      <c r="J1255" s="16"/>
    </row>
    <row r="1256" spans="3:10" ht="13.5" customHeight="1" x14ac:dyDescent="0.25">
      <c r="C1256" s="35"/>
      <c r="D1256" s="35"/>
      <c r="E1256" s="35"/>
      <c r="F1256" s="65"/>
      <c r="G1256" s="69"/>
      <c r="H1256" s="35"/>
      <c r="I1256" s="35"/>
      <c r="J1256" s="35"/>
    </row>
    <row r="1257" spans="3:10" ht="13.5" customHeight="1" x14ac:dyDescent="0.25">
      <c r="C1257" s="16"/>
      <c r="D1257" s="16"/>
      <c r="E1257" s="16"/>
      <c r="F1257" s="64"/>
      <c r="G1257" s="70"/>
      <c r="H1257" s="16"/>
      <c r="I1257" s="16"/>
      <c r="J1257" s="16"/>
    </row>
    <row r="1258" spans="3:10" ht="13.5" customHeight="1" x14ac:dyDescent="0.25">
      <c r="C1258" s="35"/>
      <c r="D1258" s="35"/>
      <c r="E1258" s="35"/>
      <c r="F1258" s="65"/>
      <c r="G1258" s="69"/>
      <c r="H1258" s="35"/>
      <c r="I1258" s="35"/>
      <c r="J1258" s="35"/>
    </row>
    <row r="1259" spans="3:10" ht="13.5" customHeight="1" x14ac:dyDescent="0.25">
      <c r="C1259" s="16"/>
      <c r="D1259" s="16"/>
      <c r="E1259" s="16"/>
      <c r="F1259" s="64"/>
      <c r="G1259" s="70"/>
      <c r="H1259" s="16"/>
      <c r="I1259" s="16"/>
      <c r="J1259" s="16"/>
    </row>
    <row r="1260" spans="3:10" ht="13.5" customHeight="1" x14ac:dyDescent="0.25">
      <c r="C1260" s="35"/>
      <c r="D1260" s="35"/>
      <c r="E1260" s="35"/>
      <c r="F1260" s="65"/>
      <c r="G1260" s="69"/>
      <c r="H1260" s="35"/>
      <c r="I1260" s="35"/>
      <c r="J1260" s="35"/>
    </row>
    <row r="1261" spans="3:10" ht="13.5" customHeight="1" x14ac:dyDescent="0.25">
      <c r="C1261" s="16"/>
      <c r="D1261" s="16"/>
      <c r="E1261" s="16"/>
      <c r="F1261" s="64"/>
      <c r="G1261" s="70"/>
      <c r="H1261" s="16"/>
      <c r="I1261" s="16"/>
      <c r="J1261" s="16"/>
    </row>
    <row r="1262" spans="3:10" ht="13.5" customHeight="1" x14ac:dyDescent="0.25">
      <c r="C1262" s="35"/>
      <c r="D1262" s="35"/>
      <c r="E1262" s="35"/>
      <c r="F1262" s="65"/>
      <c r="G1262" s="69"/>
      <c r="H1262" s="35"/>
      <c r="I1262" s="35"/>
      <c r="J1262" s="35"/>
    </row>
    <row r="1263" spans="3:10" ht="13.5" customHeight="1" x14ac:dyDescent="0.25">
      <c r="C1263" s="16"/>
      <c r="D1263" s="16"/>
      <c r="E1263" s="16"/>
      <c r="F1263" s="64"/>
      <c r="G1263" s="70"/>
      <c r="H1263" s="16"/>
      <c r="I1263" s="16"/>
      <c r="J1263" s="16"/>
    </row>
    <row r="1264" spans="3:10" ht="13.5" customHeight="1" x14ac:dyDescent="0.25">
      <c r="C1264" s="35"/>
      <c r="D1264" s="35"/>
      <c r="E1264" s="35"/>
      <c r="F1264" s="65"/>
      <c r="G1264" s="69"/>
      <c r="H1264" s="35"/>
      <c r="I1264" s="35"/>
      <c r="J1264" s="35"/>
    </row>
    <row r="1265" spans="3:10" ht="13.5" customHeight="1" x14ac:dyDescent="0.25">
      <c r="C1265" s="16"/>
      <c r="D1265" s="16"/>
      <c r="E1265" s="16"/>
      <c r="F1265" s="64"/>
      <c r="G1265" s="70"/>
      <c r="H1265" s="16"/>
      <c r="I1265" s="16"/>
      <c r="J1265" s="16"/>
    </row>
    <row r="1266" spans="3:10" ht="13.5" customHeight="1" x14ac:dyDescent="0.25">
      <c r="C1266" s="35"/>
      <c r="D1266" s="35"/>
      <c r="E1266" s="35"/>
      <c r="F1266" s="65"/>
      <c r="G1266" s="69"/>
      <c r="H1266" s="35"/>
      <c r="I1266" s="35"/>
      <c r="J1266" s="35"/>
    </row>
    <row r="1267" spans="3:10" ht="13.5" customHeight="1" x14ac:dyDescent="0.25">
      <c r="C1267" s="16"/>
      <c r="D1267" s="16"/>
      <c r="E1267" s="16"/>
      <c r="F1267" s="64"/>
      <c r="G1267" s="70"/>
      <c r="H1267" s="16"/>
      <c r="I1267" s="16"/>
      <c r="J1267" s="16"/>
    </row>
    <row r="1268" spans="3:10" ht="13.5" customHeight="1" x14ac:dyDescent="0.25">
      <c r="C1268" s="35"/>
      <c r="D1268" s="35"/>
      <c r="E1268" s="35"/>
      <c r="F1268" s="65"/>
      <c r="G1268" s="69"/>
      <c r="H1268" s="35"/>
      <c r="I1268" s="35"/>
      <c r="J1268" s="35"/>
    </row>
    <row r="1269" spans="3:10" ht="13.5" customHeight="1" x14ac:dyDescent="0.25">
      <c r="C1269" s="16"/>
      <c r="D1269" s="16"/>
      <c r="E1269" s="16"/>
      <c r="F1269" s="64"/>
      <c r="G1269" s="70"/>
      <c r="H1269" s="16"/>
      <c r="I1269" s="16"/>
      <c r="J1269" s="16"/>
    </row>
    <row r="1270" spans="3:10" ht="13.5" customHeight="1" x14ac:dyDescent="0.25">
      <c r="C1270" s="35"/>
      <c r="D1270" s="35"/>
      <c r="E1270" s="35"/>
      <c r="F1270" s="65"/>
      <c r="G1270" s="69"/>
      <c r="H1270" s="35"/>
      <c r="I1270" s="35"/>
      <c r="J1270" s="35"/>
    </row>
    <row r="1271" spans="3:10" ht="13.5" customHeight="1" x14ac:dyDescent="0.25">
      <c r="C1271" s="16"/>
      <c r="D1271" s="16"/>
      <c r="E1271" s="16"/>
      <c r="F1271" s="64"/>
      <c r="G1271" s="70"/>
      <c r="H1271" s="16"/>
      <c r="I1271" s="16"/>
      <c r="J1271" s="16"/>
    </row>
    <row r="1272" spans="3:10" ht="13.5" customHeight="1" x14ac:dyDescent="0.25">
      <c r="C1272" s="35"/>
      <c r="D1272" s="35"/>
      <c r="E1272" s="35"/>
      <c r="F1272" s="65"/>
      <c r="G1272" s="69"/>
      <c r="H1272" s="35"/>
      <c r="I1272" s="35"/>
      <c r="J1272" s="35"/>
    </row>
    <row r="1273" spans="3:10" ht="13.5" customHeight="1" x14ac:dyDescent="0.25">
      <c r="C1273" s="16"/>
      <c r="D1273" s="16"/>
      <c r="E1273" s="16"/>
      <c r="F1273" s="64"/>
      <c r="G1273" s="70"/>
      <c r="H1273" s="16"/>
      <c r="I1273" s="16"/>
      <c r="J1273" s="16"/>
    </row>
    <row r="1274" spans="3:10" ht="13.5" customHeight="1" x14ac:dyDescent="0.25">
      <c r="C1274" s="35"/>
      <c r="D1274" s="35"/>
      <c r="E1274" s="35"/>
      <c r="F1274" s="65"/>
      <c r="G1274" s="69"/>
      <c r="H1274" s="35"/>
      <c r="I1274" s="35"/>
      <c r="J1274" s="35"/>
    </row>
    <row r="1275" spans="3:10" ht="13.5" customHeight="1" x14ac:dyDescent="0.25">
      <c r="C1275" s="16"/>
      <c r="D1275" s="16"/>
      <c r="E1275" s="16"/>
      <c r="F1275" s="64"/>
      <c r="G1275" s="70"/>
      <c r="H1275" s="16"/>
      <c r="I1275" s="16"/>
      <c r="J1275" s="16"/>
    </row>
    <row r="1276" spans="3:10" ht="13.5" customHeight="1" x14ac:dyDescent="0.25">
      <c r="C1276" s="35"/>
      <c r="D1276" s="35"/>
      <c r="E1276" s="35"/>
      <c r="F1276" s="65"/>
      <c r="G1276" s="69"/>
      <c r="H1276" s="35"/>
      <c r="I1276" s="35"/>
      <c r="J1276" s="35"/>
    </row>
    <row r="1277" spans="3:10" ht="13.5" customHeight="1" x14ac:dyDescent="0.25">
      <c r="C1277" s="16"/>
      <c r="D1277" s="16"/>
      <c r="E1277" s="16"/>
      <c r="F1277" s="64"/>
      <c r="G1277" s="70"/>
      <c r="H1277" s="16"/>
      <c r="I1277" s="16"/>
      <c r="J1277" s="16"/>
    </row>
    <row r="1278" spans="3:10" ht="13.5" customHeight="1" x14ac:dyDescent="0.25">
      <c r="C1278" s="35"/>
      <c r="D1278" s="35"/>
      <c r="E1278" s="35"/>
      <c r="F1278" s="65"/>
      <c r="G1278" s="69"/>
      <c r="H1278" s="35"/>
      <c r="I1278" s="35"/>
      <c r="J1278" s="35"/>
    </row>
    <row r="1279" spans="3:10" ht="13.5" customHeight="1" x14ac:dyDescent="0.25">
      <c r="C1279" s="16"/>
      <c r="D1279" s="16"/>
      <c r="E1279" s="16"/>
      <c r="F1279" s="64"/>
      <c r="G1279" s="70"/>
      <c r="H1279" s="16"/>
      <c r="I1279" s="16"/>
      <c r="J1279" s="16"/>
    </row>
    <row r="1280" spans="3:10" ht="13.5" customHeight="1" x14ac:dyDescent="0.25">
      <c r="C1280" s="35"/>
      <c r="D1280" s="35"/>
      <c r="E1280" s="35"/>
      <c r="F1280" s="65"/>
      <c r="G1280" s="69"/>
      <c r="H1280" s="35"/>
      <c r="I1280" s="35"/>
      <c r="J1280" s="35"/>
    </row>
    <row r="1281" spans="3:10" ht="13.5" customHeight="1" x14ac:dyDescent="0.25">
      <c r="C1281" s="16"/>
      <c r="D1281" s="16"/>
      <c r="E1281" s="16"/>
      <c r="F1281" s="64"/>
      <c r="G1281" s="70"/>
      <c r="H1281" s="16"/>
      <c r="I1281" s="16"/>
      <c r="J1281" s="16"/>
    </row>
    <row r="1282" spans="3:10" ht="13.5" customHeight="1" x14ac:dyDescent="0.25">
      <c r="C1282" s="35"/>
      <c r="D1282" s="35"/>
      <c r="E1282" s="35"/>
      <c r="F1282" s="65"/>
      <c r="G1282" s="69"/>
      <c r="H1282" s="35"/>
      <c r="I1282" s="35"/>
      <c r="J1282" s="35"/>
    </row>
    <row r="1283" spans="3:10" ht="13.5" customHeight="1" x14ac:dyDescent="0.25">
      <c r="C1283" s="16"/>
      <c r="D1283" s="16"/>
      <c r="E1283" s="16"/>
      <c r="F1283" s="64"/>
      <c r="G1283" s="70"/>
      <c r="H1283" s="16"/>
      <c r="I1283" s="16"/>
      <c r="J1283" s="16"/>
    </row>
    <row r="1284" spans="3:10" ht="13.5" customHeight="1" x14ac:dyDescent="0.25">
      <c r="C1284" s="35"/>
      <c r="D1284" s="35"/>
      <c r="E1284" s="35"/>
      <c r="F1284" s="65"/>
      <c r="G1284" s="69"/>
      <c r="H1284" s="35"/>
      <c r="I1284" s="35"/>
      <c r="J1284" s="35"/>
    </row>
    <row r="1285" spans="3:10" ht="13.5" customHeight="1" x14ac:dyDescent="0.25">
      <c r="C1285" s="16"/>
      <c r="D1285" s="16"/>
      <c r="E1285" s="16"/>
      <c r="F1285" s="64"/>
      <c r="G1285" s="70"/>
      <c r="H1285" s="16"/>
      <c r="I1285" s="16"/>
      <c r="J1285" s="16"/>
    </row>
    <row r="1286" spans="3:10" ht="13.5" customHeight="1" x14ac:dyDescent="0.25">
      <c r="C1286" s="35"/>
      <c r="D1286" s="35"/>
      <c r="E1286" s="35"/>
      <c r="F1286" s="65"/>
      <c r="G1286" s="69"/>
      <c r="H1286" s="35"/>
      <c r="I1286" s="35"/>
      <c r="J1286" s="35"/>
    </row>
    <row r="1287" spans="3:10" ht="13.5" customHeight="1" x14ac:dyDescent="0.25">
      <c r="C1287" s="16"/>
      <c r="D1287" s="16"/>
      <c r="E1287" s="16"/>
      <c r="F1287" s="64"/>
      <c r="G1287" s="70"/>
      <c r="H1287" s="16"/>
      <c r="I1287" s="16"/>
      <c r="J1287" s="16"/>
    </row>
    <row r="1288" spans="3:10" ht="13.5" customHeight="1" x14ac:dyDescent="0.25">
      <c r="C1288" s="35"/>
      <c r="D1288" s="35"/>
      <c r="E1288" s="35"/>
      <c r="F1288" s="65"/>
      <c r="G1288" s="69"/>
      <c r="H1288" s="35"/>
      <c r="I1288" s="35"/>
      <c r="J1288" s="35"/>
    </row>
    <row r="1289" spans="3:10" ht="13.5" customHeight="1" x14ac:dyDescent="0.25">
      <c r="C1289" s="16"/>
      <c r="D1289" s="16"/>
      <c r="E1289" s="16"/>
      <c r="F1289" s="64"/>
      <c r="G1289" s="70"/>
      <c r="H1289" s="16"/>
      <c r="I1289" s="16"/>
      <c r="J1289" s="16"/>
    </row>
    <row r="1290" spans="3:10" ht="13.5" customHeight="1" x14ac:dyDescent="0.25">
      <c r="C1290" s="35"/>
      <c r="D1290" s="35"/>
      <c r="E1290" s="35"/>
      <c r="F1290" s="65"/>
      <c r="G1290" s="69"/>
      <c r="H1290" s="35"/>
      <c r="I1290" s="35"/>
      <c r="J1290" s="35"/>
    </row>
    <row r="1291" spans="3:10" ht="13.5" customHeight="1" x14ac:dyDescent="0.25">
      <c r="C1291" s="16"/>
      <c r="D1291" s="16"/>
      <c r="E1291" s="16"/>
      <c r="F1291" s="64"/>
      <c r="G1291" s="70"/>
      <c r="H1291" s="16"/>
      <c r="I1291" s="16"/>
      <c r="J1291" s="16"/>
    </row>
    <row r="1292" spans="3:10" ht="13.5" customHeight="1" x14ac:dyDescent="0.25">
      <c r="C1292" s="35"/>
      <c r="D1292" s="35"/>
      <c r="E1292" s="35"/>
      <c r="F1292" s="65"/>
      <c r="G1292" s="69"/>
      <c r="H1292" s="35"/>
      <c r="I1292" s="35"/>
      <c r="J1292" s="35"/>
    </row>
    <row r="1293" spans="3:10" ht="13.5" customHeight="1" x14ac:dyDescent="0.25">
      <c r="C1293" s="16"/>
      <c r="D1293" s="16"/>
      <c r="E1293" s="16"/>
      <c r="F1293" s="64"/>
      <c r="G1293" s="70"/>
      <c r="H1293" s="16"/>
      <c r="I1293" s="16"/>
      <c r="J1293" s="16"/>
    </row>
    <row r="1294" spans="3:10" ht="13.5" customHeight="1" x14ac:dyDescent="0.25">
      <c r="C1294" s="35"/>
      <c r="D1294" s="35"/>
      <c r="E1294" s="35"/>
      <c r="F1294" s="65"/>
      <c r="G1294" s="69"/>
      <c r="H1294" s="35"/>
      <c r="I1294" s="35"/>
      <c r="J1294" s="35"/>
    </row>
    <row r="1295" spans="3:10" ht="13.5" customHeight="1" x14ac:dyDescent="0.25">
      <c r="C1295" s="16"/>
      <c r="D1295" s="16"/>
      <c r="E1295" s="16"/>
      <c r="F1295" s="64"/>
      <c r="G1295" s="70"/>
      <c r="H1295" s="16"/>
      <c r="I1295" s="16"/>
      <c r="J1295" s="16"/>
    </row>
    <row r="1296" spans="3:10" ht="13.5" customHeight="1" x14ac:dyDescent="0.25">
      <c r="C1296" s="35"/>
      <c r="D1296" s="35"/>
      <c r="E1296" s="35"/>
      <c r="F1296" s="65"/>
      <c r="G1296" s="69"/>
      <c r="H1296" s="35"/>
      <c r="I1296" s="35"/>
      <c r="J1296" s="35"/>
    </row>
    <row r="1297" spans="3:10" ht="13.5" customHeight="1" x14ac:dyDescent="0.25">
      <c r="C1297" s="16"/>
      <c r="D1297" s="16"/>
      <c r="E1297" s="16"/>
      <c r="F1297" s="64"/>
      <c r="G1297" s="70"/>
      <c r="H1297" s="16"/>
      <c r="I1297" s="16"/>
      <c r="J1297" s="16"/>
    </row>
    <row r="1298" spans="3:10" ht="13.5" customHeight="1" x14ac:dyDescent="0.25">
      <c r="C1298" s="35"/>
      <c r="D1298" s="35"/>
      <c r="E1298" s="35"/>
      <c r="F1298" s="65"/>
      <c r="G1298" s="69"/>
      <c r="H1298" s="35"/>
      <c r="I1298" s="35"/>
      <c r="J1298" s="35"/>
    </row>
    <row r="1299" spans="3:10" ht="13.5" customHeight="1" x14ac:dyDescent="0.25">
      <c r="C1299" s="16"/>
      <c r="D1299" s="16"/>
      <c r="E1299" s="16"/>
      <c r="F1299" s="64"/>
      <c r="G1299" s="70"/>
      <c r="H1299" s="16"/>
      <c r="I1299" s="16"/>
      <c r="J1299" s="16"/>
    </row>
    <row r="1300" spans="3:10" ht="13.5" customHeight="1" x14ac:dyDescent="0.25">
      <c r="C1300" s="35"/>
      <c r="D1300" s="35"/>
      <c r="E1300" s="35"/>
      <c r="F1300" s="65"/>
      <c r="G1300" s="69"/>
      <c r="H1300" s="35"/>
      <c r="I1300" s="35"/>
      <c r="J1300" s="35"/>
    </row>
    <row r="1301" spans="3:10" ht="13.5" customHeight="1" x14ac:dyDescent="0.25">
      <c r="C1301" s="16"/>
      <c r="D1301" s="16"/>
      <c r="E1301" s="16"/>
      <c r="F1301" s="64"/>
      <c r="G1301" s="70"/>
      <c r="H1301" s="16"/>
      <c r="I1301" s="16"/>
      <c r="J1301" s="16"/>
    </row>
    <row r="1302" spans="3:10" ht="13.5" customHeight="1" x14ac:dyDescent="0.25">
      <c r="C1302" s="35"/>
      <c r="D1302" s="35"/>
      <c r="E1302" s="35"/>
      <c r="F1302" s="65"/>
      <c r="G1302" s="69"/>
      <c r="H1302" s="35"/>
      <c r="I1302" s="35"/>
      <c r="J1302" s="35"/>
    </row>
    <row r="1303" spans="3:10" ht="13.5" customHeight="1" x14ac:dyDescent="0.25">
      <c r="C1303" s="16"/>
      <c r="D1303" s="16"/>
      <c r="E1303" s="16"/>
      <c r="F1303" s="64"/>
      <c r="G1303" s="70"/>
      <c r="H1303" s="16"/>
      <c r="I1303" s="16"/>
      <c r="J1303" s="16"/>
    </row>
    <row r="1304" spans="3:10" ht="13.5" customHeight="1" x14ac:dyDescent="0.25">
      <c r="C1304" s="35"/>
      <c r="D1304" s="35"/>
      <c r="E1304" s="35"/>
      <c r="F1304" s="65"/>
      <c r="G1304" s="69"/>
      <c r="H1304" s="35"/>
      <c r="I1304" s="35"/>
      <c r="J1304" s="35"/>
    </row>
    <row r="1305" spans="3:10" ht="13.5" customHeight="1" x14ac:dyDescent="0.25">
      <c r="C1305" s="16"/>
      <c r="D1305" s="16"/>
      <c r="E1305" s="16"/>
      <c r="F1305" s="64"/>
      <c r="G1305" s="70"/>
      <c r="H1305" s="16"/>
      <c r="I1305" s="16"/>
      <c r="J1305" s="16"/>
    </row>
    <row r="1306" spans="3:10" ht="13.5" customHeight="1" x14ac:dyDescent="0.25">
      <c r="C1306" s="35"/>
      <c r="D1306" s="35"/>
      <c r="E1306" s="35"/>
      <c r="F1306" s="65"/>
      <c r="G1306" s="69"/>
      <c r="H1306" s="35"/>
      <c r="I1306" s="35"/>
      <c r="J1306" s="35"/>
    </row>
    <row r="1307" spans="3:10" ht="13.5" customHeight="1" x14ac:dyDescent="0.25">
      <c r="C1307" s="16"/>
      <c r="D1307" s="16"/>
      <c r="E1307" s="16"/>
      <c r="F1307" s="64"/>
      <c r="G1307" s="70"/>
      <c r="H1307" s="16"/>
      <c r="I1307" s="16"/>
      <c r="J1307" s="16"/>
    </row>
    <row r="1308" spans="3:10" ht="13.5" customHeight="1" x14ac:dyDescent="0.25">
      <c r="C1308" s="35"/>
      <c r="D1308" s="35"/>
      <c r="E1308" s="35"/>
      <c r="F1308" s="65"/>
      <c r="G1308" s="69"/>
      <c r="H1308" s="35"/>
      <c r="I1308" s="35"/>
      <c r="J1308" s="35"/>
    </row>
    <row r="1309" spans="3:10" ht="13.5" customHeight="1" x14ac:dyDescent="0.25">
      <c r="C1309" s="16"/>
      <c r="D1309" s="16"/>
      <c r="E1309" s="16"/>
      <c r="F1309" s="64"/>
      <c r="G1309" s="70"/>
      <c r="H1309" s="16"/>
      <c r="I1309" s="16"/>
      <c r="J1309" s="16"/>
    </row>
    <row r="1310" spans="3:10" ht="13.5" customHeight="1" x14ac:dyDescent="0.25">
      <c r="C1310" s="35"/>
      <c r="D1310" s="35"/>
      <c r="E1310" s="35"/>
      <c r="F1310" s="65"/>
      <c r="G1310" s="69"/>
      <c r="H1310" s="35"/>
      <c r="I1310" s="35"/>
      <c r="J1310" s="35"/>
    </row>
    <row r="1311" spans="3:10" ht="13.5" customHeight="1" x14ac:dyDescent="0.25">
      <c r="C1311" s="16"/>
      <c r="D1311" s="16"/>
      <c r="E1311" s="16"/>
      <c r="F1311" s="64"/>
      <c r="G1311" s="70"/>
      <c r="H1311" s="16"/>
      <c r="I1311" s="16"/>
      <c r="J1311" s="16"/>
    </row>
    <row r="1312" spans="3:10" ht="13.5" customHeight="1" x14ac:dyDescent="0.25">
      <c r="C1312" s="35"/>
      <c r="D1312" s="35"/>
      <c r="E1312" s="35"/>
      <c r="F1312" s="65"/>
      <c r="G1312" s="69"/>
      <c r="H1312" s="35"/>
      <c r="I1312" s="35"/>
      <c r="J1312" s="35"/>
    </row>
    <row r="1313" spans="3:10" ht="13.5" customHeight="1" x14ac:dyDescent="0.25">
      <c r="C1313" s="16"/>
      <c r="D1313" s="16"/>
      <c r="E1313" s="16"/>
      <c r="F1313" s="64"/>
      <c r="G1313" s="70"/>
      <c r="H1313" s="16"/>
      <c r="I1313" s="16"/>
      <c r="J1313" s="16"/>
    </row>
    <row r="1314" spans="3:10" ht="13.5" customHeight="1" x14ac:dyDescent="0.25">
      <c r="C1314" s="35"/>
      <c r="D1314" s="35"/>
      <c r="E1314" s="35"/>
      <c r="F1314" s="65"/>
      <c r="G1314" s="69"/>
      <c r="H1314" s="35"/>
      <c r="I1314" s="35"/>
      <c r="J1314" s="35"/>
    </row>
    <row r="1315" spans="3:10" ht="13.5" customHeight="1" x14ac:dyDescent="0.25">
      <c r="C1315" s="16"/>
      <c r="D1315" s="16"/>
      <c r="E1315" s="16"/>
      <c r="F1315" s="64"/>
      <c r="G1315" s="70"/>
      <c r="H1315" s="16"/>
      <c r="I1315" s="16"/>
      <c r="J1315" s="16"/>
    </row>
    <row r="1316" spans="3:10" ht="13.5" customHeight="1" x14ac:dyDescent="0.25">
      <c r="C1316" s="35"/>
      <c r="D1316" s="35"/>
      <c r="E1316" s="35"/>
      <c r="F1316" s="65"/>
      <c r="G1316" s="69"/>
      <c r="H1316" s="35"/>
      <c r="I1316" s="35"/>
      <c r="J1316" s="35"/>
    </row>
    <row r="1317" spans="3:10" ht="13.5" customHeight="1" x14ac:dyDescent="0.25">
      <c r="C1317" s="16"/>
      <c r="D1317" s="16"/>
      <c r="E1317" s="16"/>
      <c r="F1317" s="64"/>
      <c r="G1317" s="70"/>
      <c r="H1317" s="16"/>
      <c r="I1317" s="16"/>
      <c r="J1317" s="16"/>
    </row>
    <row r="1318" spans="3:10" ht="13.5" customHeight="1" x14ac:dyDescent="0.25">
      <c r="C1318" s="35"/>
      <c r="D1318" s="35"/>
      <c r="E1318" s="35"/>
      <c r="F1318" s="65"/>
      <c r="G1318" s="69"/>
      <c r="H1318" s="35"/>
      <c r="I1318" s="35"/>
      <c r="J1318" s="35"/>
    </row>
    <row r="1319" spans="3:10" ht="13.5" customHeight="1" x14ac:dyDescent="0.25">
      <c r="C1319" s="16"/>
      <c r="D1319" s="16"/>
      <c r="E1319" s="16"/>
      <c r="F1319" s="64"/>
      <c r="G1319" s="70"/>
      <c r="H1319" s="16"/>
      <c r="I1319" s="16"/>
      <c r="J1319" s="16"/>
    </row>
    <row r="1320" spans="3:10" ht="13.5" customHeight="1" x14ac:dyDescent="0.25">
      <c r="C1320" s="35"/>
      <c r="D1320" s="35"/>
      <c r="E1320" s="35"/>
      <c r="F1320" s="65"/>
      <c r="G1320" s="69"/>
      <c r="H1320" s="35"/>
      <c r="I1320" s="35"/>
      <c r="J1320" s="35"/>
    </row>
    <row r="1321" spans="3:10" ht="13.5" customHeight="1" x14ac:dyDescent="0.25">
      <c r="C1321" s="16"/>
      <c r="D1321" s="16"/>
      <c r="E1321" s="16"/>
      <c r="F1321" s="64"/>
      <c r="G1321" s="70"/>
      <c r="H1321" s="16"/>
      <c r="I1321" s="16"/>
      <c r="J1321" s="16"/>
    </row>
    <row r="1322" spans="3:10" ht="13.5" customHeight="1" x14ac:dyDescent="0.25">
      <c r="C1322" s="35"/>
      <c r="D1322" s="35"/>
      <c r="E1322" s="35"/>
      <c r="F1322" s="65"/>
      <c r="G1322" s="69"/>
      <c r="H1322" s="35"/>
      <c r="I1322" s="35"/>
      <c r="J1322" s="35"/>
    </row>
    <row r="1323" spans="3:10" ht="13.5" customHeight="1" x14ac:dyDescent="0.25">
      <c r="C1323" s="16"/>
      <c r="D1323" s="16"/>
      <c r="E1323" s="16"/>
      <c r="F1323" s="64"/>
      <c r="G1323" s="70"/>
      <c r="H1323" s="16"/>
      <c r="I1323" s="16"/>
      <c r="J1323" s="16"/>
    </row>
    <row r="1324" spans="3:10" ht="13.5" customHeight="1" x14ac:dyDescent="0.25">
      <c r="C1324" s="35"/>
      <c r="D1324" s="35"/>
      <c r="E1324" s="35"/>
      <c r="F1324" s="65"/>
      <c r="G1324" s="69"/>
      <c r="H1324" s="35"/>
      <c r="I1324" s="35"/>
      <c r="J1324" s="35"/>
    </row>
    <row r="1325" spans="3:10" ht="13.5" customHeight="1" x14ac:dyDescent="0.25">
      <c r="C1325" s="16"/>
      <c r="D1325" s="16"/>
      <c r="E1325" s="16"/>
      <c r="F1325" s="64"/>
      <c r="G1325" s="70"/>
      <c r="H1325" s="16"/>
      <c r="I1325" s="16"/>
      <c r="J1325" s="16"/>
    </row>
    <row r="1326" spans="3:10" ht="13.5" customHeight="1" x14ac:dyDescent="0.25">
      <c r="C1326" s="35"/>
      <c r="D1326" s="35"/>
      <c r="E1326" s="35"/>
      <c r="F1326" s="65"/>
      <c r="G1326" s="69"/>
      <c r="H1326" s="35"/>
      <c r="I1326" s="35"/>
      <c r="J1326" s="35"/>
    </row>
    <row r="1327" spans="3:10" ht="13.5" customHeight="1" x14ac:dyDescent="0.25">
      <c r="C1327" s="16"/>
      <c r="D1327" s="16"/>
      <c r="E1327" s="16"/>
      <c r="F1327" s="64"/>
      <c r="G1327" s="70"/>
      <c r="H1327" s="16"/>
      <c r="I1327" s="16"/>
      <c r="J1327" s="16"/>
    </row>
    <row r="1328" spans="3:10" ht="13.5" customHeight="1" x14ac:dyDescent="0.25">
      <c r="C1328" s="35"/>
      <c r="D1328" s="35"/>
      <c r="E1328" s="35"/>
      <c r="F1328" s="65"/>
      <c r="G1328" s="69"/>
      <c r="H1328" s="35"/>
      <c r="I1328" s="35"/>
      <c r="J1328" s="35"/>
    </row>
    <row r="1329" spans="3:10" ht="13.5" customHeight="1" x14ac:dyDescent="0.25">
      <c r="C1329" s="16"/>
      <c r="D1329" s="16"/>
      <c r="E1329" s="16"/>
      <c r="F1329" s="64"/>
      <c r="G1329" s="70"/>
      <c r="H1329" s="16"/>
      <c r="I1329" s="16"/>
      <c r="J1329" s="16"/>
    </row>
    <row r="1330" spans="3:10" ht="13.5" customHeight="1" x14ac:dyDescent="0.25">
      <c r="C1330" s="35"/>
      <c r="D1330" s="35"/>
      <c r="E1330" s="35"/>
      <c r="F1330" s="65"/>
      <c r="G1330" s="69"/>
      <c r="H1330" s="35"/>
      <c r="I1330" s="35"/>
      <c r="J1330" s="35"/>
    </row>
    <row r="1331" spans="3:10" ht="13.5" customHeight="1" x14ac:dyDescent="0.25">
      <c r="C1331" s="16"/>
      <c r="D1331" s="16"/>
      <c r="E1331" s="16"/>
      <c r="F1331" s="64"/>
      <c r="G1331" s="70"/>
      <c r="H1331" s="16"/>
      <c r="I1331" s="16"/>
      <c r="J1331" s="16"/>
    </row>
    <row r="1332" spans="3:10" ht="13.5" customHeight="1" x14ac:dyDescent="0.25">
      <c r="C1332" s="35"/>
      <c r="D1332" s="35"/>
      <c r="E1332" s="35"/>
      <c r="F1332" s="65"/>
      <c r="G1332" s="69"/>
      <c r="H1332" s="35"/>
      <c r="I1332" s="35"/>
      <c r="J1332" s="35"/>
    </row>
    <row r="1333" spans="3:10" ht="13.5" customHeight="1" x14ac:dyDescent="0.25">
      <c r="C1333" s="16"/>
      <c r="D1333" s="16"/>
      <c r="E1333" s="16"/>
      <c r="F1333" s="64"/>
      <c r="G1333" s="70"/>
      <c r="H1333" s="16"/>
      <c r="I1333" s="16"/>
      <c r="J1333" s="16"/>
    </row>
    <row r="1334" spans="3:10" ht="13.5" customHeight="1" x14ac:dyDescent="0.25">
      <c r="C1334" s="35"/>
      <c r="D1334" s="35"/>
      <c r="E1334" s="35"/>
      <c r="F1334" s="65"/>
      <c r="G1334" s="69"/>
      <c r="H1334" s="35"/>
      <c r="I1334" s="35"/>
      <c r="J1334" s="35"/>
    </row>
    <row r="1335" spans="3:10" ht="13.5" customHeight="1" x14ac:dyDescent="0.25">
      <c r="C1335" s="16"/>
      <c r="D1335" s="16"/>
      <c r="E1335" s="16"/>
      <c r="F1335" s="64"/>
      <c r="G1335" s="70"/>
      <c r="H1335" s="16"/>
      <c r="I1335" s="16"/>
      <c r="J1335" s="16"/>
    </row>
    <row r="1336" spans="3:10" ht="13.5" customHeight="1" x14ac:dyDescent="0.25">
      <c r="C1336" s="35"/>
      <c r="D1336" s="35"/>
      <c r="E1336" s="35"/>
      <c r="F1336" s="65"/>
      <c r="G1336" s="69"/>
      <c r="H1336" s="35"/>
      <c r="I1336" s="35"/>
      <c r="J1336" s="35"/>
    </row>
    <row r="1337" spans="3:10" ht="13.5" customHeight="1" x14ac:dyDescent="0.25">
      <c r="C1337" s="16"/>
      <c r="D1337" s="16"/>
      <c r="E1337" s="16"/>
      <c r="F1337" s="64"/>
      <c r="G1337" s="70"/>
      <c r="H1337" s="16"/>
      <c r="I1337" s="16"/>
      <c r="J1337" s="16"/>
    </row>
    <row r="1338" spans="3:10" ht="13.5" customHeight="1" x14ac:dyDescent="0.25">
      <c r="C1338" s="35"/>
      <c r="D1338" s="35"/>
      <c r="E1338" s="35"/>
      <c r="F1338" s="65"/>
      <c r="G1338" s="69"/>
      <c r="H1338" s="35"/>
      <c r="I1338" s="35"/>
      <c r="J1338" s="35"/>
    </row>
    <row r="1339" spans="3:10" ht="13.5" customHeight="1" x14ac:dyDescent="0.25">
      <c r="C1339" s="16"/>
      <c r="D1339" s="16"/>
      <c r="E1339" s="16"/>
      <c r="F1339" s="64"/>
      <c r="G1339" s="70"/>
      <c r="H1339" s="16"/>
      <c r="I1339" s="16"/>
      <c r="J1339" s="16"/>
    </row>
    <row r="1340" spans="3:10" ht="13.5" customHeight="1" x14ac:dyDescent="0.25">
      <c r="C1340" s="35"/>
      <c r="D1340" s="35"/>
      <c r="E1340" s="35"/>
      <c r="F1340" s="65"/>
      <c r="G1340" s="69"/>
      <c r="H1340" s="35"/>
      <c r="I1340" s="35"/>
      <c r="J1340" s="35"/>
    </row>
    <row r="1341" spans="3:10" ht="13.5" customHeight="1" x14ac:dyDescent="0.25">
      <c r="C1341" s="16"/>
      <c r="D1341" s="16"/>
      <c r="E1341" s="16"/>
      <c r="F1341" s="64"/>
      <c r="G1341" s="70"/>
      <c r="H1341" s="16"/>
      <c r="I1341" s="16"/>
      <c r="J1341" s="16"/>
    </row>
    <row r="1342" spans="3:10" ht="13.5" customHeight="1" x14ac:dyDescent="0.25">
      <c r="C1342" s="35"/>
      <c r="D1342" s="35"/>
      <c r="E1342" s="35"/>
      <c r="F1342" s="65"/>
      <c r="G1342" s="69"/>
      <c r="H1342" s="35"/>
      <c r="I1342" s="35"/>
      <c r="J1342" s="35"/>
    </row>
    <row r="1343" spans="3:10" ht="13.5" customHeight="1" x14ac:dyDescent="0.25">
      <c r="C1343" s="16"/>
      <c r="D1343" s="16"/>
      <c r="E1343" s="16"/>
      <c r="F1343" s="64"/>
      <c r="G1343" s="70"/>
      <c r="H1343" s="16"/>
      <c r="I1343" s="16"/>
      <c r="J1343" s="16"/>
    </row>
    <row r="1344" spans="3:10" ht="13.5" customHeight="1" x14ac:dyDescent="0.25">
      <c r="C1344" s="35"/>
      <c r="D1344" s="35"/>
      <c r="E1344" s="35"/>
      <c r="F1344" s="65"/>
      <c r="G1344" s="69"/>
      <c r="H1344" s="35"/>
      <c r="I1344" s="35"/>
      <c r="J1344" s="35"/>
    </row>
    <row r="1345" spans="3:10" ht="13.5" customHeight="1" x14ac:dyDescent="0.25">
      <c r="C1345" s="16"/>
      <c r="D1345" s="16"/>
      <c r="E1345" s="16"/>
      <c r="F1345" s="64"/>
      <c r="G1345" s="70"/>
      <c r="H1345" s="16"/>
      <c r="I1345" s="16"/>
      <c r="J1345" s="16"/>
    </row>
    <row r="1346" spans="3:10" ht="13.5" customHeight="1" x14ac:dyDescent="0.25">
      <c r="C1346" s="35"/>
      <c r="D1346" s="35"/>
      <c r="E1346" s="35"/>
      <c r="F1346" s="65"/>
      <c r="G1346" s="69"/>
      <c r="H1346" s="35"/>
      <c r="I1346" s="35"/>
      <c r="J1346" s="35"/>
    </row>
    <row r="1347" spans="3:10" ht="13.5" customHeight="1" x14ac:dyDescent="0.25">
      <c r="C1347" s="16"/>
      <c r="D1347" s="16"/>
      <c r="E1347" s="16"/>
      <c r="F1347" s="64"/>
      <c r="G1347" s="70"/>
      <c r="H1347" s="16"/>
      <c r="I1347" s="16"/>
      <c r="J1347" s="16"/>
    </row>
    <row r="1348" spans="3:10" ht="13.5" customHeight="1" x14ac:dyDescent="0.25">
      <c r="C1348" s="35"/>
      <c r="D1348" s="35"/>
      <c r="E1348" s="35"/>
      <c r="F1348" s="65"/>
      <c r="G1348" s="69"/>
      <c r="H1348" s="35"/>
      <c r="I1348" s="35"/>
      <c r="J1348" s="35"/>
    </row>
    <row r="1349" spans="3:10" ht="13.5" customHeight="1" x14ac:dyDescent="0.25">
      <c r="C1349" s="16"/>
      <c r="D1349" s="16"/>
      <c r="E1349" s="16"/>
      <c r="F1349" s="64"/>
      <c r="G1349" s="70"/>
      <c r="H1349" s="16"/>
      <c r="I1349" s="16"/>
      <c r="J1349" s="16"/>
    </row>
    <row r="1350" spans="3:10" ht="13.5" customHeight="1" x14ac:dyDescent="0.25">
      <c r="C1350" s="35"/>
      <c r="D1350" s="35"/>
      <c r="E1350" s="35"/>
      <c r="F1350" s="65"/>
      <c r="G1350" s="69"/>
      <c r="H1350" s="35"/>
      <c r="I1350" s="35"/>
      <c r="J1350" s="35"/>
    </row>
    <row r="1351" spans="3:10" ht="13.5" customHeight="1" x14ac:dyDescent="0.25">
      <c r="C1351" s="16"/>
      <c r="D1351" s="16"/>
      <c r="E1351" s="16"/>
      <c r="F1351" s="64"/>
      <c r="G1351" s="70"/>
      <c r="H1351" s="16"/>
      <c r="I1351" s="16"/>
      <c r="J1351" s="16"/>
    </row>
    <row r="1352" spans="3:10" ht="13.5" customHeight="1" x14ac:dyDescent="0.25">
      <c r="C1352" s="35"/>
      <c r="D1352" s="35"/>
      <c r="E1352" s="35"/>
      <c r="F1352" s="65"/>
      <c r="G1352" s="69"/>
      <c r="H1352" s="35"/>
      <c r="I1352" s="35"/>
      <c r="J1352" s="35"/>
    </row>
    <row r="1353" spans="3:10" ht="13.5" customHeight="1" x14ac:dyDescent="0.25">
      <c r="C1353" s="16"/>
      <c r="D1353" s="16"/>
      <c r="E1353" s="16"/>
      <c r="F1353" s="64"/>
      <c r="G1353" s="70"/>
      <c r="H1353" s="16"/>
      <c r="I1353" s="16"/>
      <c r="J1353" s="16"/>
    </row>
    <row r="1354" spans="3:10" ht="13.5" customHeight="1" x14ac:dyDescent="0.25">
      <c r="C1354" s="35"/>
      <c r="D1354" s="35"/>
      <c r="E1354" s="35"/>
      <c r="F1354" s="65"/>
      <c r="G1354" s="69"/>
      <c r="H1354" s="35"/>
      <c r="I1354" s="35"/>
      <c r="J1354" s="35"/>
    </row>
    <row r="1355" spans="3:10" ht="13.5" customHeight="1" x14ac:dyDescent="0.25">
      <c r="C1355" s="16"/>
      <c r="D1355" s="16"/>
      <c r="E1355" s="16"/>
      <c r="F1355" s="64"/>
      <c r="G1355" s="70"/>
      <c r="H1355" s="16"/>
      <c r="I1355" s="16"/>
      <c r="J1355" s="16"/>
    </row>
    <row r="1356" spans="3:10" ht="13.5" customHeight="1" x14ac:dyDescent="0.25">
      <c r="C1356" s="35"/>
      <c r="D1356" s="35"/>
      <c r="E1356" s="35"/>
      <c r="F1356" s="65"/>
      <c r="G1356" s="69"/>
      <c r="H1356" s="35"/>
      <c r="I1356" s="35"/>
      <c r="J1356" s="35"/>
    </row>
    <row r="1357" spans="3:10" ht="13.5" customHeight="1" x14ac:dyDescent="0.25">
      <c r="C1357" s="16"/>
      <c r="D1357" s="16"/>
      <c r="E1357" s="16"/>
      <c r="F1357" s="64"/>
      <c r="G1357" s="70"/>
      <c r="H1357" s="16"/>
      <c r="I1357" s="16"/>
      <c r="J1357" s="16"/>
    </row>
    <row r="1358" spans="3:10" ht="13.5" customHeight="1" x14ac:dyDescent="0.25">
      <c r="C1358" s="35"/>
      <c r="D1358" s="35"/>
      <c r="E1358" s="35"/>
      <c r="F1358" s="65"/>
      <c r="G1358" s="69"/>
      <c r="H1358" s="35"/>
      <c r="I1358" s="35"/>
      <c r="J1358" s="35"/>
    </row>
    <row r="1359" spans="3:10" ht="13.5" customHeight="1" x14ac:dyDescent="0.25">
      <c r="C1359" s="16"/>
      <c r="D1359" s="16"/>
      <c r="E1359" s="16"/>
      <c r="F1359" s="64"/>
      <c r="G1359" s="70"/>
      <c r="H1359" s="16"/>
      <c r="I1359" s="16"/>
      <c r="J1359" s="16"/>
    </row>
    <row r="1360" spans="3:10" ht="13.5" customHeight="1" x14ac:dyDescent="0.25">
      <c r="C1360" s="35"/>
      <c r="D1360" s="35"/>
      <c r="E1360" s="35"/>
      <c r="F1360" s="65"/>
      <c r="G1360" s="69"/>
      <c r="H1360" s="35"/>
      <c r="I1360" s="35"/>
      <c r="J1360" s="35"/>
    </row>
    <row r="1361" spans="3:10" ht="13.5" customHeight="1" x14ac:dyDescent="0.25">
      <c r="C1361" s="16"/>
      <c r="D1361" s="16"/>
      <c r="E1361" s="16"/>
      <c r="F1361" s="64"/>
      <c r="G1361" s="70"/>
      <c r="H1361" s="16"/>
      <c r="I1361" s="16"/>
      <c r="J1361" s="16"/>
    </row>
    <row r="1362" spans="3:10" ht="13.5" customHeight="1" x14ac:dyDescent="0.25">
      <c r="C1362" s="35"/>
      <c r="D1362" s="35"/>
      <c r="E1362" s="35"/>
      <c r="F1362" s="65"/>
      <c r="G1362" s="69"/>
      <c r="H1362" s="35"/>
      <c r="I1362" s="35"/>
      <c r="J1362" s="35"/>
    </row>
    <row r="1363" spans="3:10" ht="13.5" customHeight="1" x14ac:dyDescent="0.25">
      <c r="C1363" s="16"/>
      <c r="D1363" s="16"/>
      <c r="E1363" s="16"/>
      <c r="F1363" s="64"/>
      <c r="G1363" s="70"/>
      <c r="H1363" s="16"/>
      <c r="I1363" s="16"/>
      <c r="J1363" s="16"/>
    </row>
    <row r="1364" spans="3:10" ht="13.5" customHeight="1" x14ac:dyDescent="0.25">
      <c r="C1364" s="35"/>
      <c r="D1364" s="35"/>
      <c r="E1364" s="35"/>
      <c r="F1364" s="65"/>
      <c r="G1364" s="69"/>
      <c r="H1364" s="35"/>
      <c r="I1364" s="35"/>
      <c r="J1364" s="35"/>
    </row>
    <row r="1365" spans="3:10" ht="13.5" customHeight="1" x14ac:dyDescent="0.25">
      <c r="C1365" s="16"/>
      <c r="D1365" s="16"/>
      <c r="E1365" s="16"/>
      <c r="F1365" s="64"/>
      <c r="G1365" s="70"/>
      <c r="H1365" s="16"/>
      <c r="I1365" s="16"/>
      <c r="J1365" s="16"/>
    </row>
    <row r="1366" spans="3:10" ht="13.5" customHeight="1" x14ac:dyDescent="0.25">
      <c r="C1366" s="35"/>
      <c r="D1366" s="35"/>
      <c r="E1366" s="35"/>
      <c r="F1366" s="65"/>
      <c r="G1366" s="69"/>
      <c r="H1366" s="35"/>
      <c r="I1366" s="35"/>
      <c r="J1366" s="35"/>
    </row>
    <row r="1367" spans="3:10" ht="13.5" customHeight="1" x14ac:dyDescent="0.25">
      <c r="C1367" s="16"/>
      <c r="D1367" s="16"/>
      <c r="E1367" s="16"/>
      <c r="F1367" s="64"/>
      <c r="G1367" s="70"/>
      <c r="H1367" s="16"/>
      <c r="I1367" s="16"/>
      <c r="J1367" s="16"/>
    </row>
    <row r="1368" spans="3:10" ht="13.5" customHeight="1" x14ac:dyDescent="0.25">
      <c r="C1368" s="35"/>
      <c r="D1368" s="35"/>
      <c r="E1368" s="35"/>
      <c r="F1368" s="65"/>
      <c r="G1368" s="69"/>
      <c r="H1368" s="35"/>
      <c r="I1368" s="35"/>
      <c r="J1368" s="35"/>
    </row>
    <row r="1369" spans="3:10" ht="13.5" customHeight="1" x14ac:dyDescent="0.25">
      <c r="C1369" s="16"/>
      <c r="D1369" s="16"/>
      <c r="E1369" s="16"/>
      <c r="F1369" s="64"/>
      <c r="G1369" s="70"/>
      <c r="H1369" s="16"/>
      <c r="I1369" s="16"/>
      <c r="J1369" s="16"/>
    </row>
    <row r="1370" spans="3:10" ht="13.5" customHeight="1" x14ac:dyDescent="0.25">
      <c r="C1370" s="35"/>
      <c r="D1370" s="35"/>
      <c r="E1370" s="35"/>
      <c r="F1370" s="65"/>
      <c r="G1370" s="69"/>
      <c r="H1370" s="35"/>
      <c r="I1370" s="35"/>
      <c r="J1370" s="35"/>
    </row>
    <row r="1371" spans="3:10" ht="13.5" customHeight="1" x14ac:dyDescent="0.25">
      <c r="C1371" s="16"/>
      <c r="D1371" s="16"/>
      <c r="E1371" s="16"/>
      <c r="F1371" s="64"/>
      <c r="G1371" s="70"/>
      <c r="H1371" s="16"/>
      <c r="I1371" s="16"/>
      <c r="J1371" s="16"/>
    </row>
    <row r="1372" spans="3:10" ht="13.5" customHeight="1" x14ac:dyDescent="0.25">
      <c r="C1372" s="35"/>
      <c r="D1372" s="35"/>
      <c r="E1372" s="35"/>
      <c r="F1372" s="65"/>
      <c r="G1372" s="69"/>
      <c r="H1372" s="35"/>
      <c r="I1372" s="35"/>
      <c r="J1372" s="35"/>
    </row>
    <row r="1373" spans="3:10" ht="13.5" customHeight="1" x14ac:dyDescent="0.25">
      <c r="C1373" s="16"/>
      <c r="D1373" s="16"/>
      <c r="E1373" s="16"/>
      <c r="F1373" s="64"/>
      <c r="G1373" s="70"/>
      <c r="H1373" s="16"/>
      <c r="I1373" s="16"/>
      <c r="J1373" s="16"/>
    </row>
    <row r="1374" spans="3:10" ht="13.5" customHeight="1" x14ac:dyDescent="0.25">
      <c r="C1374" s="35"/>
      <c r="D1374" s="35"/>
      <c r="E1374" s="35"/>
      <c r="F1374" s="65"/>
      <c r="G1374" s="69"/>
      <c r="H1374" s="35"/>
      <c r="I1374" s="35"/>
      <c r="J1374" s="35"/>
    </row>
    <row r="1375" spans="3:10" ht="13.5" customHeight="1" x14ac:dyDescent="0.25">
      <c r="C1375" s="16"/>
      <c r="D1375" s="16"/>
      <c r="E1375" s="16"/>
      <c r="F1375" s="64"/>
      <c r="G1375" s="70"/>
      <c r="H1375" s="16"/>
      <c r="I1375" s="16"/>
      <c r="J1375" s="16"/>
    </row>
    <row r="1376" spans="3:10" ht="13.5" customHeight="1" x14ac:dyDescent="0.25">
      <c r="C1376" s="35"/>
      <c r="D1376" s="35"/>
      <c r="E1376" s="35"/>
      <c r="F1376" s="65"/>
      <c r="G1376" s="69"/>
      <c r="H1376" s="35"/>
      <c r="I1376" s="35"/>
      <c r="J1376" s="35"/>
    </row>
    <row r="1377" spans="3:10" ht="13.5" customHeight="1" x14ac:dyDescent="0.25">
      <c r="C1377" s="16"/>
      <c r="D1377" s="16"/>
      <c r="E1377" s="16"/>
      <c r="F1377" s="64"/>
      <c r="G1377" s="70"/>
      <c r="H1377" s="16"/>
      <c r="I1377" s="16"/>
      <c r="J1377" s="16"/>
    </row>
    <row r="1378" spans="3:10" ht="13.5" customHeight="1" x14ac:dyDescent="0.25">
      <c r="C1378" s="35"/>
      <c r="D1378" s="35"/>
      <c r="E1378" s="35"/>
      <c r="F1378" s="65"/>
      <c r="G1378" s="69"/>
      <c r="H1378" s="35"/>
      <c r="I1378" s="35"/>
      <c r="J1378" s="35"/>
    </row>
    <row r="1379" spans="3:10" ht="13.5" customHeight="1" x14ac:dyDescent="0.25">
      <c r="C1379" s="16"/>
      <c r="D1379" s="16"/>
      <c r="E1379" s="16"/>
      <c r="F1379" s="64"/>
      <c r="G1379" s="70"/>
      <c r="H1379" s="16"/>
      <c r="I1379" s="16"/>
      <c r="J1379" s="16"/>
    </row>
    <row r="1380" spans="3:10" ht="13.5" customHeight="1" x14ac:dyDescent="0.25">
      <c r="C1380" s="35"/>
      <c r="D1380" s="35"/>
      <c r="E1380" s="35"/>
      <c r="F1380" s="65"/>
      <c r="G1380" s="69"/>
      <c r="H1380" s="35"/>
      <c r="I1380" s="35"/>
      <c r="J1380" s="35"/>
    </row>
    <row r="1381" spans="3:10" ht="13.5" customHeight="1" x14ac:dyDescent="0.25">
      <c r="C1381" s="16"/>
      <c r="D1381" s="16"/>
      <c r="E1381" s="16"/>
      <c r="F1381" s="64"/>
      <c r="G1381" s="70"/>
      <c r="H1381" s="16"/>
      <c r="I1381" s="16"/>
      <c r="J1381" s="16"/>
    </row>
    <row r="1382" spans="3:10" ht="13.5" customHeight="1" x14ac:dyDescent="0.25">
      <c r="C1382" s="35"/>
      <c r="D1382" s="35"/>
      <c r="E1382" s="35"/>
      <c r="F1382" s="65"/>
      <c r="G1382" s="69"/>
      <c r="H1382" s="35"/>
      <c r="I1382" s="35"/>
      <c r="J1382" s="35"/>
    </row>
    <row r="1383" spans="3:10" ht="13.5" customHeight="1" x14ac:dyDescent="0.25">
      <c r="C1383" s="16"/>
      <c r="D1383" s="16"/>
      <c r="E1383" s="16"/>
      <c r="F1383" s="64"/>
      <c r="G1383" s="70"/>
      <c r="H1383" s="16"/>
      <c r="I1383" s="16"/>
      <c r="J1383" s="16"/>
    </row>
    <row r="1384" spans="3:10" ht="13.5" customHeight="1" x14ac:dyDescent="0.25">
      <c r="C1384" s="35"/>
      <c r="D1384" s="35"/>
      <c r="E1384" s="35"/>
      <c r="F1384" s="65"/>
      <c r="G1384" s="69"/>
      <c r="H1384" s="35"/>
      <c r="I1384" s="35"/>
      <c r="J1384" s="35"/>
    </row>
    <row r="1385" spans="3:10" ht="13.5" customHeight="1" x14ac:dyDescent="0.25">
      <c r="C1385" s="16"/>
      <c r="D1385" s="16"/>
      <c r="E1385" s="16"/>
      <c r="F1385" s="64"/>
      <c r="G1385" s="70"/>
      <c r="H1385" s="16"/>
      <c r="I1385" s="16"/>
      <c r="J1385" s="16"/>
    </row>
    <row r="1386" spans="3:10" ht="13.5" customHeight="1" x14ac:dyDescent="0.25">
      <c r="C1386" s="35"/>
      <c r="D1386" s="35"/>
      <c r="E1386" s="35"/>
      <c r="F1386" s="65"/>
      <c r="G1386" s="69"/>
      <c r="H1386" s="35"/>
      <c r="I1386" s="35"/>
      <c r="J1386" s="35"/>
    </row>
    <row r="1387" spans="3:10" ht="13.5" customHeight="1" x14ac:dyDescent="0.25">
      <c r="C1387" s="16"/>
      <c r="D1387" s="16"/>
      <c r="E1387" s="16"/>
      <c r="F1387" s="64"/>
      <c r="G1387" s="70"/>
      <c r="H1387" s="16"/>
      <c r="I1387" s="16"/>
      <c r="J1387" s="16"/>
    </row>
    <row r="1388" spans="3:10" ht="13.5" customHeight="1" x14ac:dyDescent="0.25">
      <c r="C1388" s="35"/>
      <c r="D1388" s="35"/>
      <c r="E1388" s="35"/>
      <c r="F1388" s="65"/>
      <c r="G1388" s="69"/>
      <c r="H1388" s="35"/>
      <c r="I1388" s="35"/>
      <c r="J1388" s="35"/>
    </row>
    <row r="1389" spans="3:10" ht="13.5" customHeight="1" x14ac:dyDescent="0.25">
      <c r="C1389" s="16"/>
      <c r="D1389" s="16"/>
      <c r="E1389" s="16"/>
      <c r="F1389" s="64"/>
      <c r="G1389" s="70"/>
      <c r="H1389" s="16"/>
      <c r="I1389" s="16"/>
      <c r="J1389" s="16"/>
    </row>
    <row r="1390" spans="3:10" ht="13.5" customHeight="1" x14ac:dyDescent="0.25">
      <c r="C1390" s="35"/>
      <c r="D1390" s="35"/>
      <c r="E1390" s="35"/>
      <c r="F1390" s="65"/>
      <c r="G1390" s="69"/>
      <c r="H1390" s="35"/>
      <c r="I1390" s="35"/>
      <c r="J1390" s="35"/>
    </row>
    <row r="1391" spans="3:10" ht="13.5" customHeight="1" x14ac:dyDescent="0.25">
      <c r="C1391" s="16"/>
      <c r="D1391" s="16"/>
      <c r="E1391" s="16"/>
      <c r="F1391" s="64"/>
      <c r="G1391" s="70"/>
      <c r="H1391" s="16"/>
      <c r="I1391" s="16"/>
      <c r="J1391" s="16"/>
    </row>
    <row r="1392" spans="3:10" ht="13.5" customHeight="1" x14ac:dyDescent="0.25">
      <c r="C1392" s="35"/>
      <c r="D1392" s="35"/>
      <c r="E1392" s="35"/>
      <c r="F1392" s="65"/>
      <c r="G1392" s="69"/>
      <c r="H1392" s="35"/>
      <c r="I1392" s="35"/>
      <c r="J1392" s="35"/>
    </row>
    <row r="1393" spans="3:10" ht="13.5" customHeight="1" x14ac:dyDescent="0.25">
      <c r="C1393" s="16"/>
      <c r="D1393" s="16"/>
      <c r="E1393" s="16"/>
      <c r="F1393" s="64"/>
      <c r="G1393" s="70"/>
      <c r="H1393" s="16"/>
      <c r="I1393" s="16"/>
      <c r="J1393" s="16"/>
    </row>
    <row r="1394" spans="3:10" ht="13.5" customHeight="1" x14ac:dyDescent="0.25">
      <c r="C1394" s="35"/>
      <c r="D1394" s="35"/>
      <c r="E1394" s="35"/>
      <c r="F1394" s="65"/>
      <c r="G1394" s="69"/>
      <c r="H1394" s="35"/>
      <c r="I1394" s="35"/>
      <c r="J1394" s="35"/>
    </row>
    <row r="1395" spans="3:10" ht="13.5" customHeight="1" x14ac:dyDescent="0.25">
      <c r="C1395" s="16"/>
      <c r="D1395" s="16"/>
      <c r="E1395" s="16"/>
      <c r="F1395" s="64"/>
      <c r="G1395" s="70"/>
      <c r="H1395" s="16"/>
      <c r="I1395" s="16"/>
      <c r="J1395" s="16"/>
    </row>
    <row r="1396" spans="3:10" ht="13.5" customHeight="1" x14ac:dyDescent="0.25">
      <c r="C1396" s="35"/>
      <c r="D1396" s="35"/>
      <c r="E1396" s="35"/>
      <c r="F1396" s="65"/>
      <c r="G1396" s="69"/>
      <c r="H1396" s="35"/>
      <c r="I1396" s="35"/>
      <c r="J1396" s="35"/>
    </row>
    <row r="1397" spans="3:10" ht="13.5" customHeight="1" x14ac:dyDescent="0.25">
      <c r="C1397" s="16"/>
      <c r="D1397" s="16"/>
      <c r="E1397" s="16"/>
      <c r="F1397" s="64"/>
      <c r="G1397" s="70"/>
      <c r="H1397" s="16"/>
      <c r="I1397" s="16"/>
      <c r="J1397" s="16"/>
    </row>
    <row r="1398" spans="3:10" ht="13.5" customHeight="1" x14ac:dyDescent="0.25">
      <c r="C1398" s="35"/>
      <c r="D1398" s="35"/>
      <c r="E1398" s="35"/>
      <c r="F1398" s="65"/>
      <c r="G1398" s="69"/>
      <c r="H1398" s="35"/>
      <c r="I1398" s="35"/>
      <c r="J1398" s="35"/>
    </row>
    <row r="1399" spans="3:10" ht="13.5" customHeight="1" x14ac:dyDescent="0.25">
      <c r="C1399" s="16"/>
      <c r="D1399" s="16"/>
      <c r="E1399" s="16"/>
      <c r="F1399" s="64"/>
      <c r="G1399" s="70"/>
      <c r="H1399" s="16"/>
      <c r="I1399" s="16"/>
      <c r="J1399" s="16"/>
    </row>
    <row r="1400" spans="3:10" ht="13.5" customHeight="1" x14ac:dyDescent="0.25">
      <c r="C1400" s="35"/>
      <c r="D1400" s="35"/>
      <c r="E1400" s="35"/>
      <c r="F1400" s="65"/>
      <c r="G1400" s="69"/>
      <c r="H1400" s="35"/>
      <c r="I1400" s="35"/>
      <c r="J1400" s="35"/>
    </row>
    <row r="1401" spans="3:10" ht="13.5" customHeight="1" x14ac:dyDescent="0.25">
      <c r="C1401" s="16"/>
      <c r="D1401" s="16"/>
      <c r="E1401" s="16"/>
      <c r="F1401" s="64"/>
      <c r="G1401" s="70"/>
      <c r="H1401" s="16"/>
      <c r="I1401" s="16"/>
      <c r="J1401" s="16"/>
    </row>
    <row r="1402" spans="3:10" ht="13.5" customHeight="1" x14ac:dyDescent="0.25">
      <c r="C1402" s="35"/>
      <c r="D1402" s="35"/>
      <c r="E1402" s="35"/>
      <c r="F1402" s="65"/>
      <c r="G1402" s="69"/>
      <c r="H1402" s="35"/>
      <c r="I1402" s="35"/>
      <c r="J1402" s="35"/>
    </row>
    <row r="1403" spans="3:10" ht="13.5" customHeight="1" x14ac:dyDescent="0.25">
      <c r="C1403" s="16"/>
      <c r="D1403" s="16"/>
      <c r="E1403" s="16"/>
      <c r="F1403" s="64"/>
      <c r="G1403" s="70"/>
      <c r="H1403" s="16"/>
      <c r="I1403" s="16"/>
      <c r="J1403" s="16"/>
    </row>
    <row r="1404" spans="3:10" ht="13.5" customHeight="1" x14ac:dyDescent="0.25">
      <c r="C1404" s="35"/>
      <c r="D1404" s="35"/>
      <c r="E1404" s="35"/>
      <c r="F1404" s="65"/>
      <c r="G1404" s="69"/>
      <c r="H1404" s="35"/>
      <c r="I1404" s="35"/>
      <c r="J1404" s="35"/>
    </row>
    <row r="1405" spans="3:10" ht="13.5" customHeight="1" x14ac:dyDescent="0.25">
      <c r="C1405" s="16"/>
      <c r="D1405" s="16"/>
      <c r="E1405" s="16"/>
      <c r="F1405" s="64"/>
      <c r="G1405" s="70"/>
      <c r="H1405" s="16"/>
      <c r="I1405" s="16"/>
      <c r="J1405" s="16"/>
    </row>
    <row r="1406" spans="3:10" ht="13.5" customHeight="1" x14ac:dyDescent="0.25">
      <c r="C1406" s="35"/>
      <c r="D1406" s="35"/>
      <c r="E1406" s="35"/>
      <c r="F1406" s="65"/>
      <c r="G1406" s="69"/>
      <c r="H1406" s="35"/>
      <c r="I1406" s="35"/>
      <c r="J1406" s="35"/>
    </row>
    <row r="1407" spans="3:10" ht="13.5" customHeight="1" x14ac:dyDescent="0.25">
      <c r="C1407" s="16"/>
      <c r="D1407" s="16"/>
      <c r="E1407" s="16"/>
      <c r="F1407" s="64"/>
      <c r="G1407" s="70"/>
      <c r="H1407" s="16"/>
      <c r="I1407" s="16"/>
      <c r="J1407" s="16"/>
    </row>
    <row r="1408" spans="3:10" ht="13.5" customHeight="1" x14ac:dyDescent="0.25">
      <c r="C1408" s="35"/>
      <c r="D1408" s="35"/>
      <c r="E1408" s="35"/>
      <c r="F1408" s="65"/>
      <c r="G1408" s="69"/>
      <c r="H1408" s="35"/>
      <c r="I1408" s="35"/>
      <c r="J1408" s="35"/>
    </row>
    <row r="1409" spans="3:10" ht="13.5" customHeight="1" x14ac:dyDescent="0.25">
      <c r="C1409" s="16"/>
      <c r="D1409" s="16"/>
      <c r="E1409" s="16"/>
      <c r="F1409" s="64"/>
      <c r="G1409" s="70"/>
      <c r="H1409" s="16"/>
      <c r="I1409" s="16"/>
      <c r="J1409" s="16"/>
    </row>
    <row r="1410" spans="3:10" ht="13.5" customHeight="1" x14ac:dyDescent="0.25">
      <c r="C1410" s="35"/>
      <c r="D1410" s="35"/>
      <c r="E1410" s="35"/>
      <c r="F1410" s="65"/>
      <c r="G1410" s="69"/>
      <c r="H1410" s="35"/>
      <c r="I1410" s="35"/>
      <c r="J1410" s="35"/>
    </row>
    <row r="1411" spans="3:10" ht="13.5" customHeight="1" x14ac:dyDescent="0.25">
      <c r="C1411" s="16"/>
      <c r="D1411" s="16"/>
      <c r="E1411" s="16"/>
      <c r="F1411" s="64"/>
      <c r="G1411" s="70"/>
      <c r="H1411" s="16"/>
      <c r="I1411" s="16"/>
      <c r="J1411" s="16"/>
    </row>
    <row r="1412" spans="3:10" ht="13.5" customHeight="1" x14ac:dyDescent="0.25">
      <c r="C1412" s="35"/>
      <c r="D1412" s="35"/>
      <c r="E1412" s="35"/>
      <c r="F1412" s="65"/>
      <c r="G1412" s="69"/>
      <c r="H1412" s="35"/>
      <c r="I1412" s="35"/>
      <c r="J1412" s="35"/>
    </row>
    <row r="1413" spans="3:10" ht="13.5" customHeight="1" x14ac:dyDescent="0.25">
      <c r="C1413" s="16"/>
      <c r="D1413" s="16"/>
      <c r="E1413" s="16"/>
      <c r="F1413" s="64"/>
      <c r="G1413" s="70"/>
      <c r="H1413" s="16"/>
      <c r="I1413" s="16"/>
      <c r="J1413" s="16"/>
    </row>
    <row r="1414" spans="3:10" ht="13.5" customHeight="1" x14ac:dyDescent="0.25">
      <c r="C1414" s="35"/>
      <c r="D1414" s="35"/>
      <c r="E1414" s="35"/>
      <c r="F1414" s="65"/>
      <c r="G1414" s="69"/>
      <c r="H1414" s="35"/>
      <c r="I1414" s="35"/>
      <c r="J1414" s="35"/>
    </row>
    <row r="1415" spans="3:10" ht="13.5" customHeight="1" x14ac:dyDescent="0.25">
      <c r="C1415" s="16"/>
      <c r="D1415" s="16"/>
      <c r="E1415" s="16"/>
      <c r="F1415" s="64"/>
      <c r="G1415" s="70"/>
      <c r="H1415" s="16"/>
      <c r="I1415" s="16"/>
      <c r="J1415" s="16"/>
    </row>
    <row r="1416" spans="3:10" ht="13.5" customHeight="1" x14ac:dyDescent="0.25">
      <c r="C1416" s="35"/>
      <c r="D1416" s="35"/>
      <c r="E1416" s="35"/>
      <c r="F1416" s="65"/>
      <c r="G1416" s="69"/>
      <c r="H1416" s="35"/>
      <c r="I1416" s="35"/>
      <c r="J1416" s="35"/>
    </row>
    <row r="1417" spans="3:10" ht="13.5" customHeight="1" x14ac:dyDescent="0.25">
      <c r="C1417" s="16"/>
      <c r="D1417" s="16"/>
      <c r="E1417" s="16"/>
      <c r="F1417" s="64"/>
      <c r="G1417" s="70"/>
      <c r="H1417" s="16"/>
      <c r="I1417" s="16"/>
      <c r="J1417" s="16"/>
    </row>
    <row r="1418" spans="3:10" ht="13.5" customHeight="1" x14ac:dyDescent="0.25">
      <c r="C1418" s="35"/>
      <c r="D1418" s="35"/>
      <c r="E1418" s="35"/>
      <c r="F1418" s="65"/>
      <c r="G1418" s="69"/>
      <c r="H1418" s="35"/>
      <c r="I1418" s="35"/>
      <c r="J1418" s="35"/>
    </row>
    <row r="1419" spans="3:10" ht="13.5" customHeight="1" x14ac:dyDescent="0.25">
      <c r="C1419" s="16"/>
      <c r="D1419" s="16"/>
      <c r="E1419" s="16"/>
      <c r="F1419" s="64"/>
      <c r="G1419" s="70"/>
      <c r="H1419" s="16"/>
      <c r="I1419" s="16"/>
      <c r="J1419" s="16"/>
    </row>
    <row r="1420" spans="3:10" ht="13.5" customHeight="1" x14ac:dyDescent="0.25">
      <c r="C1420" s="35"/>
      <c r="D1420" s="35"/>
      <c r="E1420" s="35"/>
      <c r="F1420" s="65"/>
      <c r="G1420" s="69"/>
      <c r="H1420" s="35"/>
      <c r="I1420" s="35"/>
      <c r="J1420" s="35"/>
    </row>
    <row r="1421" spans="3:10" ht="13.5" customHeight="1" x14ac:dyDescent="0.25">
      <c r="C1421" s="16"/>
      <c r="D1421" s="16"/>
      <c r="E1421" s="16"/>
      <c r="F1421" s="64"/>
      <c r="G1421" s="70"/>
      <c r="H1421" s="16"/>
      <c r="I1421" s="16"/>
      <c r="J1421" s="16"/>
    </row>
    <row r="1422" spans="3:10" ht="13.5" customHeight="1" x14ac:dyDescent="0.25">
      <c r="C1422" s="35"/>
      <c r="D1422" s="35"/>
      <c r="E1422" s="35"/>
      <c r="F1422" s="65"/>
      <c r="G1422" s="69"/>
      <c r="H1422" s="35"/>
      <c r="I1422" s="35"/>
      <c r="J1422" s="35"/>
    </row>
    <row r="1423" spans="3:10" ht="13.5" customHeight="1" x14ac:dyDescent="0.25">
      <c r="C1423" s="16"/>
      <c r="D1423" s="16"/>
      <c r="E1423" s="16"/>
      <c r="F1423" s="64"/>
      <c r="G1423" s="70"/>
      <c r="H1423" s="16"/>
      <c r="I1423" s="16"/>
      <c r="J1423" s="16"/>
    </row>
    <row r="1424" spans="3:10" ht="13.5" customHeight="1" x14ac:dyDescent="0.25">
      <c r="C1424" s="35"/>
      <c r="D1424" s="35"/>
      <c r="E1424" s="35"/>
      <c r="F1424" s="65"/>
      <c r="G1424" s="69"/>
      <c r="H1424" s="35"/>
      <c r="I1424" s="35"/>
      <c r="J1424" s="35"/>
    </row>
    <row r="1425" spans="3:10" ht="13.5" customHeight="1" x14ac:dyDescent="0.25">
      <c r="C1425" s="16"/>
      <c r="D1425" s="16"/>
      <c r="E1425" s="16"/>
      <c r="F1425" s="64"/>
      <c r="G1425" s="70"/>
      <c r="H1425" s="16"/>
      <c r="I1425" s="16"/>
      <c r="J1425" s="16"/>
    </row>
    <row r="1426" spans="3:10" ht="13.5" customHeight="1" x14ac:dyDescent="0.25">
      <c r="C1426" s="35"/>
      <c r="D1426" s="35"/>
      <c r="E1426" s="35"/>
      <c r="F1426" s="65"/>
      <c r="G1426" s="69"/>
      <c r="H1426" s="35"/>
      <c r="I1426" s="35"/>
      <c r="J1426" s="35"/>
    </row>
    <row r="1427" spans="3:10" ht="13.5" customHeight="1" x14ac:dyDescent="0.25">
      <c r="C1427" s="16"/>
      <c r="D1427" s="16"/>
      <c r="E1427" s="16"/>
      <c r="F1427" s="64"/>
      <c r="G1427" s="70"/>
      <c r="H1427" s="16"/>
      <c r="I1427" s="16"/>
      <c r="J1427" s="16"/>
    </row>
    <row r="1428" spans="3:10" ht="13.5" customHeight="1" x14ac:dyDescent="0.25">
      <c r="C1428" s="35"/>
      <c r="D1428" s="35"/>
      <c r="E1428" s="35"/>
      <c r="F1428" s="65"/>
      <c r="G1428" s="69"/>
      <c r="H1428" s="35"/>
      <c r="I1428" s="35"/>
      <c r="J1428" s="35"/>
    </row>
    <row r="1429" spans="3:10" ht="13.5" customHeight="1" x14ac:dyDescent="0.25">
      <c r="C1429" s="16"/>
      <c r="D1429" s="16"/>
      <c r="E1429" s="16"/>
      <c r="F1429" s="64"/>
      <c r="G1429" s="70"/>
      <c r="H1429" s="16"/>
      <c r="I1429" s="16"/>
      <c r="J1429" s="16"/>
    </row>
    <row r="1430" spans="3:10" ht="13.5" customHeight="1" x14ac:dyDescent="0.25">
      <c r="C1430" s="35"/>
      <c r="D1430" s="35"/>
      <c r="E1430" s="35"/>
      <c r="F1430" s="65"/>
      <c r="G1430" s="69"/>
      <c r="H1430" s="35"/>
      <c r="I1430" s="35"/>
      <c r="J1430" s="35"/>
    </row>
    <row r="1431" spans="3:10" ht="13.5" customHeight="1" x14ac:dyDescent="0.25">
      <c r="C1431" s="16"/>
      <c r="D1431" s="16"/>
      <c r="E1431" s="16"/>
      <c r="F1431" s="64"/>
      <c r="G1431" s="70"/>
      <c r="H1431" s="16"/>
      <c r="I1431" s="16"/>
      <c r="J1431" s="16"/>
    </row>
    <row r="1432" spans="3:10" ht="13.5" customHeight="1" x14ac:dyDescent="0.25">
      <c r="C1432" s="35"/>
      <c r="D1432" s="35"/>
      <c r="E1432" s="35"/>
      <c r="F1432" s="65"/>
      <c r="G1432" s="69"/>
      <c r="H1432" s="35"/>
      <c r="I1432" s="35"/>
      <c r="J1432" s="35"/>
    </row>
    <row r="1433" spans="3:10" ht="13.5" customHeight="1" x14ac:dyDescent="0.25">
      <c r="C1433" s="16"/>
      <c r="D1433" s="16"/>
      <c r="E1433" s="16"/>
      <c r="F1433" s="64"/>
      <c r="G1433" s="70"/>
      <c r="H1433" s="16"/>
      <c r="I1433" s="16"/>
      <c r="J1433" s="16"/>
    </row>
    <row r="1434" spans="3:10" ht="13.5" customHeight="1" x14ac:dyDescent="0.25">
      <c r="C1434" s="35"/>
      <c r="D1434" s="35"/>
      <c r="E1434" s="35"/>
      <c r="F1434" s="65"/>
      <c r="G1434" s="69"/>
      <c r="H1434" s="35"/>
      <c r="I1434" s="35"/>
      <c r="J1434" s="35"/>
    </row>
    <row r="1435" spans="3:10" ht="13.5" customHeight="1" x14ac:dyDescent="0.25">
      <c r="C1435" s="16"/>
      <c r="D1435" s="16"/>
      <c r="E1435" s="16"/>
      <c r="F1435" s="64"/>
      <c r="G1435" s="70"/>
      <c r="H1435" s="16"/>
      <c r="I1435" s="16"/>
      <c r="J1435" s="16"/>
    </row>
    <row r="1436" spans="3:10" ht="13.5" customHeight="1" x14ac:dyDescent="0.25">
      <c r="C1436" s="35"/>
      <c r="D1436" s="35"/>
      <c r="E1436" s="35"/>
      <c r="F1436" s="65"/>
      <c r="G1436" s="69"/>
      <c r="H1436" s="35"/>
      <c r="I1436" s="35"/>
      <c r="J1436" s="35"/>
    </row>
    <row r="1437" spans="3:10" ht="13.5" customHeight="1" x14ac:dyDescent="0.25">
      <c r="C1437" s="16"/>
      <c r="D1437" s="16"/>
      <c r="E1437" s="16"/>
      <c r="F1437" s="64"/>
      <c r="G1437" s="70"/>
      <c r="H1437" s="16"/>
      <c r="I1437" s="16"/>
      <c r="J1437" s="16"/>
    </row>
    <row r="1438" spans="3:10" ht="13.5" customHeight="1" x14ac:dyDescent="0.25">
      <c r="C1438" s="35"/>
      <c r="D1438" s="35"/>
      <c r="E1438" s="35"/>
      <c r="F1438" s="65"/>
      <c r="G1438" s="69"/>
      <c r="H1438" s="35"/>
      <c r="I1438" s="35"/>
      <c r="J1438" s="35"/>
    </row>
    <row r="1439" spans="3:10" ht="13.5" customHeight="1" x14ac:dyDescent="0.25">
      <c r="C1439" s="16"/>
      <c r="D1439" s="16"/>
      <c r="E1439" s="16"/>
      <c r="F1439" s="64"/>
      <c r="G1439" s="70"/>
      <c r="H1439" s="16"/>
      <c r="I1439" s="16"/>
      <c r="J1439" s="16"/>
    </row>
    <row r="1440" spans="3:10" ht="13.5" customHeight="1" x14ac:dyDescent="0.25">
      <c r="C1440" s="35"/>
      <c r="D1440" s="35"/>
      <c r="E1440" s="35"/>
      <c r="F1440" s="65"/>
      <c r="G1440" s="69"/>
      <c r="H1440" s="35"/>
      <c r="I1440" s="35"/>
      <c r="J1440" s="35"/>
    </row>
    <row r="1441" spans="3:10" ht="13.5" customHeight="1" x14ac:dyDescent="0.25">
      <c r="C1441" s="16"/>
      <c r="D1441" s="16"/>
      <c r="E1441" s="16"/>
      <c r="F1441" s="64"/>
      <c r="G1441" s="70"/>
      <c r="H1441" s="16"/>
      <c r="I1441" s="16"/>
      <c r="J1441" s="16"/>
    </row>
    <row r="1442" spans="3:10" ht="13.5" customHeight="1" x14ac:dyDescent="0.25">
      <c r="C1442" s="35"/>
      <c r="D1442" s="35"/>
      <c r="E1442" s="35"/>
      <c r="F1442" s="65"/>
      <c r="G1442" s="69"/>
      <c r="H1442" s="35"/>
      <c r="I1442" s="35"/>
      <c r="J1442" s="35"/>
    </row>
    <row r="1443" spans="3:10" ht="13.5" customHeight="1" x14ac:dyDescent="0.25">
      <c r="C1443" s="16"/>
      <c r="D1443" s="16"/>
      <c r="E1443" s="16"/>
      <c r="F1443" s="64"/>
      <c r="G1443" s="70"/>
      <c r="H1443" s="16"/>
      <c r="I1443" s="16"/>
      <c r="J1443" s="16"/>
    </row>
    <row r="1444" spans="3:10" ht="13.5" customHeight="1" x14ac:dyDescent="0.25">
      <c r="C1444" s="35"/>
      <c r="D1444" s="35"/>
      <c r="E1444" s="35"/>
      <c r="F1444" s="65"/>
      <c r="G1444" s="69"/>
      <c r="H1444" s="35"/>
      <c r="I1444" s="35"/>
      <c r="J1444" s="35"/>
    </row>
    <row r="1445" spans="3:10" ht="13.5" customHeight="1" x14ac:dyDescent="0.25">
      <c r="C1445" s="16"/>
      <c r="D1445" s="16"/>
      <c r="E1445" s="16"/>
      <c r="F1445" s="64"/>
      <c r="G1445" s="70"/>
      <c r="H1445" s="16"/>
      <c r="I1445" s="16"/>
      <c r="J1445" s="16"/>
    </row>
    <row r="1446" spans="3:10" ht="13.5" customHeight="1" x14ac:dyDescent="0.25">
      <c r="C1446" s="35"/>
      <c r="D1446" s="35"/>
      <c r="E1446" s="35"/>
      <c r="F1446" s="65"/>
      <c r="G1446" s="69"/>
      <c r="H1446" s="35"/>
      <c r="I1446" s="35"/>
      <c r="J1446" s="35"/>
    </row>
    <row r="1447" spans="3:10" ht="13.5" customHeight="1" x14ac:dyDescent="0.25">
      <c r="C1447" s="16"/>
      <c r="D1447" s="16"/>
      <c r="E1447" s="16"/>
      <c r="F1447" s="64"/>
      <c r="G1447" s="70"/>
      <c r="H1447" s="16"/>
      <c r="I1447" s="16"/>
      <c r="J1447" s="16"/>
    </row>
    <row r="1448" spans="3:10" ht="13.5" customHeight="1" x14ac:dyDescent="0.25">
      <c r="C1448" s="35"/>
      <c r="D1448" s="35"/>
      <c r="E1448" s="35"/>
      <c r="F1448" s="65"/>
      <c r="G1448" s="69"/>
      <c r="H1448" s="35"/>
      <c r="I1448" s="35"/>
      <c r="J1448" s="35"/>
    </row>
    <row r="1449" spans="3:10" ht="13.5" customHeight="1" x14ac:dyDescent="0.25">
      <c r="C1449" s="16"/>
      <c r="D1449" s="16"/>
      <c r="E1449" s="16"/>
      <c r="F1449" s="64"/>
      <c r="G1449" s="70"/>
      <c r="H1449" s="16"/>
      <c r="I1449" s="16"/>
      <c r="J1449" s="16"/>
    </row>
    <row r="1450" spans="3:10" ht="13.5" customHeight="1" x14ac:dyDescent="0.25">
      <c r="C1450" s="35"/>
      <c r="D1450" s="35"/>
      <c r="E1450" s="35"/>
      <c r="F1450" s="65"/>
      <c r="G1450" s="69"/>
      <c r="H1450" s="35"/>
      <c r="I1450" s="35"/>
      <c r="J1450" s="35"/>
    </row>
    <row r="1451" spans="3:10" ht="13.5" customHeight="1" x14ac:dyDescent="0.25">
      <c r="C1451" s="16"/>
      <c r="D1451" s="16"/>
      <c r="E1451" s="16"/>
      <c r="F1451" s="64"/>
      <c r="G1451" s="70"/>
      <c r="H1451" s="16"/>
      <c r="I1451" s="16"/>
      <c r="J1451" s="16"/>
    </row>
    <row r="1452" spans="3:10" ht="13.5" customHeight="1" x14ac:dyDescent="0.25">
      <c r="C1452" s="35"/>
      <c r="D1452" s="35"/>
      <c r="E1452" s="35"/>
      <c r="F1452" s="65"/>
      <c r="G1452" s="69"/>
      <c r="H1452" s="35"/>
      <c r="I1452" s="35"/>
      <c r="J1452" s="35"/>
    </row>
    <row r="1453" spans="3:10" ht="13.5" customHeight="1" x14ac:dyDescent="0.25">
      <c r="C1453" s="16"/>
      <c r="D1453" s="16"/>
      <c r="E1453" s="16"/>
      <c r="F1453" s="64"/>
      <c r="G1453" s="70"/>
      <c r="H1453" s="16"/>
      <c r="I1453" s="16"/>
      <c r="J1453" s="16"/>
    </row>
    <row r="1454" spans="3:10" ht="13.5" customHeight="1" x14ac:dyDescent="0.25">
      <c r="C1454" s="35"/>
      <c r="D1454" s="35"/>
      <c r="E1454" s="35"/>
      <c r="F1454" s="65"/>
      <c r="G1454" s="69"/>
      <c r="H1454" s="35"/>
      <c r="I1454" s="35"/>
      <c r="J1454" s="35"/>
    </row>
    <row r="1455" spans="3:10" ht="13.5" customHeight="1" x14ac:dyDescent="0.25">
      <c r="C1455" s="16"/>
      <c r="D1455" s="16"/>
      <c r="E1455" s="16"/>
      <c r="F1455" s="64"/>
      <c r="G1455" s="70"/>
      <c r="H1455" s="16"/>
      <c r="I1455" s="16"/>
      <c r="J1455" s="16"/>
    </row>
    <row r="1456" spans="3:10" ht="13.5" customHeight="1" x14ac:dyDescent="0.25">
      <c r="C1456" s="35"/>
      <c r="D1456" s="35"/>
      <c r="E1456" s="35"/>
      <c r="F1456" s="65"/>
      <c r="G1456" s="69"/>
      <c r="H1456" s="35"/>
      <c r="I1456" s="35"/>
      <c r="J1456" s="35"/>
    </row>
    <row r="1457" spans="3:10" ht="13.5" customHeight="1" x14ac:dyDescent="0.25">
      <c r="C1457" s="16"/>
      <c r="D1457" s="16"/>
      <c r="E1457" s="16"/>
      <c r="F1457" s="64"/>
      <c r="G1457" s="70"/>
      <c r="H1457" s="16"/>
      <c r="I1457" s="16"/>
      <c r="J1457" s="16"/>
    </row>
    <row r="1458" spans="3:10" ht="13.5" customHeight="1" x14ac:dyDescent="0.25">
      <c r="C1458" s="35"/>
      <c r="D1458" s="35"/>
      <c r="E1458" s="35"/>
      <c r="F1458" s="65"/>
      <c r="G1458" s="69"/>
      <c r="H1458" s="35"/>
      <c r="I1458" s="35"/>
      <c r="J1458" s="35"/>
    </row>
    <row r="1459" spans="3:10" ht="13.5" customHeight="1" x14ac:dyDescent="0.25">
      <c r="C1459" s="16"/>
      <c r="D1459" s="16"/>
      <c r="E1459" s="16"/>
      <c r="F1459" s="64"/>
      <c r="G1459" s="70"/>
      <c r="H1459" s="16"/>
      <c r="I1459" s="16"/>
      <c r="J1459" s="16"/>
    </row>
    <row r="1460" spans="3:10" ht="13.5" customHeight="1" x14ac:dyDescent="0.25">
      <c r="C1460" s="35"/>
      <c r="D1460" s="35"/>
      <c r="E1460" s="35"/>
      <c r="F1460" s="65"/>
      <c r="G1460" s="69"/>
      <c r="H1460" s="35"/>
      <c r="I1460" s="35"/>
      <c r="J1460" s="35"/>
    </row>
    <row r="1461" spans="3:10" ht="13.5" customHeight="1" x14ac:dyDescent="0.25">
      <c r="C1461" s="16"/>
      <c r="D1461" s="16"/>
      <c r="E1461" s="16"/>
      <c r="F1461" s="64"/>
      <c r="G1461" s="70"/>
      <c r="H1461" s="16"/>
      <c r="I1461" s="16"/>
      <c r="J1461" s="16"/>
    </row>
    <row r="1462" spans="3:10" ht="13.5" customHeight="1" x14ac:dyDescent="0.25">
      <c r="C1462" s="35"/>
      <c r="D1462" s="35"/>
      <c r="E1462" s="35"/>
      <c r="F1462" s="65"/>
      <c r="G1462" s="69"/>
      <c r="H1462" s="35"/>
      <c r="I1462" s="35"/>
      <c r="J1462" s="35"/>
    </row>
    <row r="1463" spans="3:10" ht="13.5" customHeight="1" x14ac:dyDescent="0.25">
      <c r="C1463" s="16"/>
      <c r="D1463" s="16"/>
      <c r="E1463" s="16"/>
      <c r="F1463" s="64"/>
      <c r="G1463" s="70"/>
      <c r="H1463" s="16"/>
      <c r="I1463" s="16"/>
      <c r="J1463" s="16"/>
    </row>
    <row r="1464" spans="3:10" ht="13.5" customHeight="1" x14ac:dyDescent="0.25">
      <c r="C1464" s="35"/>
      <c r="D1464" s="35"/>
      <c r="E1464" s="35"/>
      <c r="F1464" s="65"/>
      <c r="G1464" s="69"/>
      <c r="H1464" s="35"/>
      <c r="I1464" s="35"/>
      <c r="J1464" s="35"/>
    </row>
    <row r="1465" spans="3:10" ht="13.5" customHeight="1" x14ac:dyDescent="0.25">
      <c r="C1465" s="16"/>
      <c r="D1465" s="16"/>
      <c r="E1465" s="16"/>
      <c r="F1465" s="64"/>
      <c r="G1465" s="70"/>
      <c r="H1465" s="16"/>
      <c r="I1465" s="16"/>
      <c r="J1465" s="16"/>
    </row>
    <row r="1466" spans="3:10" ht="13.5" customHeight="1" x14ac:dyDescent="0.25">
      <c r="C1466" s="35"/>
      <c r="D1466" s="35"/>
      <c r="E1466" s="35"/>
      <c r="F1466" s="65"/>
      <c r="G1466" s="69"/>
      <c r="H1466" s="35"/>
      <c r="I1466" s="35"/>
      <c r="J1466" s="35"/>
    </row>
    <row r="1467" spans="3:10" ht="13.5" customHeight="1" x14ac:dyDescent="0.25">
      <c r="C1467" s="16"/>
      <c r="D1467" s="16"/>
      <c r="E1467" s="16"/>
      <c r="F1467" s="64"/>
      <c r="G1467" s="70"/>
      <c r="H1467" s="16"/>
      <c r="I1467" s="16"/>
      <c r="J1467" s="16"/>
    </row>
    <row r="1468" spans="3:10" ht="13.5" customHeight="1" x14ac:dyDescent="0.25">
      <c r="C1468" s="35"/>
      <c r="D1468" s="35"/>
      <c r="E1468" s="35"/>
      <c r="F1468" s="65"/>
      <c r="G1468" s="69"/>
      <c r="H1468" s="35"/>
      <c r="I1468" s="35"/>
      <c r="J1468" s="35"/>
    </row>
    <row r="1469" spans="3:10" ht="13.5" customHeight="1" x14ac:dyDescent="0.25">
      <c r="C1469" s="16"/>
      <c r="D1469" s="16"/>
      <c r="E1469" s="16"/>
      <c r="F1469" s="64"/>
      <c r="G1469" s="70"/>
      <c r="H1469" s="16"/>
      <c r="I1469" s="16"/>
      <c r="J1469" s="16"/>
    </row>
    <row r="1470" spans="3:10" ht="13.5" customHeight="1" x14ac:dyDescent="0.25">
      <c r="C1470" s="35"/>
      <c r="D1470" s="35"/>
      <c r="E1470" s="35"/>
      <c r="F1470" s="65"/>
      <c r="G1470" s="69"/>
      <c r="H1470" s="35"/>
      <c r="I1470" s="35"/>
      <c r="J1470" s="35"/>
    </row>
    <row r="1471" spans="3:10" ht="13.5" customHeight="1" x14ac:dyDescent="0.25">
      <c r="C1471" s="16"/>
      <c r="D1471" s="16"/>
      <c r="E1471" s="16"/>
      <c r="F1471" s="64"/>
      <c r="G1471" s="70"/>
      <c r="H1471" s="16"/>
      <c r="I1471" s="16"/>
      <c r="J1471" s="16"/>
    </row>
    <row r="1472" spans="3:10" ht="13.5" customHeight="1" x14ac:dyDescent="0.25">
      <c r="C1472" s="35"/>
      <c r="D1472" s="35"/>
      <c r="E1472" s="35"/>
      <c r="F1472" s="65"/>
      <c r="G1472" s="69"/>
      <c r="H1472" s="35"/>
      <c r="I1472" s="35"/>
      <c r="J1472" s="35"/>
    </row>
    <row r="1473" spans="3:10" ht="13.5" customHeight="1" x14ac:dyDescent="0.25">
      <c r="C1473" s="16"/>
      <c r="D1473" s="16"/>
      <c r="E1473" s="16"/>
      <c r="F1473" s="64"/>
      <c r="G1473" s="70"/>
      <c r="H1473" s="16"/>
      <c r="I1473" s="16"/>
      <c r="J1473" s="16"/>
    </row>
    <row r="1474" spans="3:10" ht="13.5" customHeight="1" x14ac:dyDescent="0.25">
      <c r="C1474" s="35"/>
      <c r="D1474" s="35"/>
      <c r="E1474" s="35"/>
      <c r="F1474" s="65"/>
      <c r="G1474" s="69"/>
      <c r="H1474" s="35"/>
      <c r="I1474" s="35"/>
      <c r="J1474" s="35"/>
    </row>
    <row r="1475" spans="3:10" ht="13.5" customHeight="1" x14ac:dyDescent="0.25">
      <c r="C1475" s="16"/>
      <c r="D1475" s="16"/>
      <c r="E1475" s="16"/>
      <c r="F1475" s="64"/>
      <c r="G1475" s="70"/>
      <c r="H1475" s="16"/>
      <c r="I1475" s="16"/>
      <c r="J1475" s="16"/>
    </row>
    <row r="1476" spans="3:10" ht="13.5" customHeight="1" x14ac:dyDescent="0.25">
      <c r="C1476" s="35"/>
      <c r="D1476" s="35"/>
      <c r="E1476" s="35"/>
      <c r="F1476" s="65"/>
      <c r="G1476" s="69"/>
      <c r="H1476" s="35"/>
      <c r="I1476" s="35"/>
      <c r="J1476" s="35"/>
    </row>
    <row r="1477" spans="3:10" ht="13.5" customHeight="1" x14ac:dyDescent="0.25">
      <c r="C1477" s="16"/>
      <c r="D1477" s="16"/>
      <c r="E1477" s="16"/>
      <c r="F1477" s="64"/>
      <c r="G1477" s="70"/>
      <c r="H1477" s="16"/>
      <c r="I1477" s="16"/>
      <c r="J1477" s="16"/>
    </row>
    <row r="1478" spans="3:10" ht="13.5" customHeight="1" x14ac:dyDescent="0.25">
      <c r="C1478" s="35"/>
      <c r="D1478" s="35"/>
      <c r="E1478" s="35"/>
      <c r="F1478" s="65"/>
      <c r="G1478" s="69"/>
      <c r="H1478" s="35"/>
      <c r="I1478" s="35"/>
      <c r="J1478" s="35"/>
    </row>
    <row r="1479" spans="3:10" ht="13.5" customHeight="1" x14ac:dyDescent="0.25">
      <c r="C1479" s="16"/>
      <c r="D1479" s="16"/>
      <c r="E1479" s="16"/>
      <c r="F1479" s="64"/>
      <c r="G1479" s="70"/>
      <c r="H1479" s="16"/>
      <c r="I1479" s="16"/>
      <c r="J1479" s="16"/>
    </row>
    <row r="1480" spans="3:10" ht="13.5" customHeight="1" x14ac:dyDescent="0.25">
      <c r="C1480" s="35"/>
      <c r="D1480" s="35"/>
      <c r="E1480" s="35"/>
      <c r="F1480" s="65"/>
      <c r="G1480" s="69"/>
      <c r="H1480" s="35"/>
      <c r="I1480" s="35"/>
      <c r="J1480" s="35"/>
    </row>
    <row r="1481" spans="3:10" ht="13.5" customHeight="1" x14ac:dyDescent="0.25">
      <c r="C1481" s="16"/>
      <c r="D1481" s="16"/>
      <c r="E1481" s="16"/>
      <c r="F1481" s="64"/>
      <c r="G1481" s="70"/>
      <c r="H1481" s="16"/>
      <c r="I1481" s="16"/>
      <c r="J1481" s="16"/>
    </row>
    <row r="1482" spans="3:10" ht="13.5" customHeight="1" x14ac:dyDescent="0.25">
      <c r="C1482" s="35"/>
      <c r="D1482" s="35"/>
      <c r="E1482" s="35"/>
      <c r="F1482" s="65"/>
      <c r="G1482" s="69"/>
      <c r="H1482" s="35"/>
      <c r="I1482" s="35"/>
      <c r="J1482" s="35"/>
    </row>
    <row r="1483" spans="3:10" ht="13.5" customHeight="1" x14ac:dyDescent="0.25">
      <c r="C1483" s="16"/>
      <c r="D1483" s="16"/>
      <c r="E1483" s="16"/>
      <c r="F1483" s="64"/>
      <c r="G1483" s="70"/>
      <c r="H1483" s="16"/>
      <c r="I1483" s="16"/>
      <c r="J1483" s="16"/>
    </row>
    <row r="1484" spans="3:10" ht="13.5" customHeight="1" x14ac:dyDescent="0.25">
      <c r="C1484" s="35"/>
      <c r="D1484" s="35"/>
      <c r="E1484" s="35"/>
      <c r="F1484" s="65"/>
      <c r="G1484" s="69"/>
      <c r="H1484" s="35"/>
      <c r="I1484" s="35"/>
      <c r="J1484" s="35"/>
    </row>
    <row r="1485" spans="3:10" ht="13.5" customHeight="1" x14ac:dyDescent="0.25">
      <c r="C1485" s="16"/>
      <c r="D1485" s="16"/>
      <c r="E1485" s="16"/>
      <c r="F1485" s="64"/>
      <c r="G1485" s="70"/>
      <c r="H1485" s="16"/>
      <c r="I1485" s="16"/>
      <c r="J1485" s="16"/>
    </row>
    <row r="1486" spans="3:10" ht="13.5" customHeight="1" x14ac:dyDescent="0.25">
      <c r="C1486" s="35"/>
      <c r="D1486" s="35"/>
      <c r="E1486" s="35"/>
      <c r="F1486" s="65"/>
      <c r="G1486" s="69"/>
      <c r="H1486" s="35"/>
      <c r="I1486" s="35"/>
      <c r="J1486" s="35"/>
    </row>
    <row r="1487" spans="3:10" ht="13.5" customHeight="1" x14ac:dyDescent="0.25">
      <c r="C1487" s="16"/>
      <c r="D1487" s="16"/>
      <c r="E1487" s="16"/>
      <c r="F1487" s="64"/>
      <c r="G1487" s="70"/>
      <c r="H1487" s="16"/>
      <c r="I1487" s="16"/>
      <c r="J1487" s="16"/>
    </row>
    <row r="1488" spans="3:10" ht="13.5" customHeight="1" x14ac:dyDescent="0.25">
      <c r="C1488" s="35"/>
      <c r="D1488" s="35"/>
      <c r="E1488" s="35"/>
      <c r="F1488" s="65"/>
      <c r="G1488" s="69"/>
      <c r="H1488" s="35"/>
      <c r="I1488" s="35"/>
      <c r="J1488" s="35"/>
    </row>
    <row r="1489" spans="3:10" ht="13.5" customHeight="1" x14ac:dyDescent="0.25">
      <c r="C1489" s="16"/>
      <c r="D1489" s="16"/>
      <c r="E1489" s="16"/>
      <c r="F1489" s="64"/>
      <c r="G1489" s="70"/>
      <c r="H1489" s="16"/>
      <c r="I1489" s="16"/>
      <c r="J1489" s="16"/>
    </row>
    <row r="1490" spans="3:10" ht="13.5" customHeight="1" x14ac:dyDescent="0.25">
      <c r="C1490" s="35"/>
      <c r="D1490" s="35"/>
      <c r="E1490" s="35"/>
      <c r="F1490" s="65"/>
      <c r="G1490" s="69"/>
      <c r="H1490" s="35"/>
      <c r="I1490" s="35"/>
      <c r="J1490" s="35"/>
    </row>
    <row r="1491" spans="3:10" ht="13.5" customHeight="1" x14ac:dyDescent="0.25">
      <c r="C1491" s="16"/>
      <c r="D1491" s="16"/>
      <c r="E1491" s="16"/>
      <c r="F1491" s="64"/>
      <c r="G1491" s="70"/>
      <c r="H1491" s="16"/>
      <c r="I1491" s="16"/>
      <c r="J1491" s="16"/>
    </row>
    <row r="1492" spans="3:10" ht="13.5" customHeight="1" x14ac:dyDescent="0.25">
      <c r="C1492" s="35"/>
      <c r="D1492" s="35"/>
      <c r="E1492" s="35"/>
      <c r="F1492" s="65"/>
      <c r="G1492" s="69"/>
      <c r="H1492" s="35"/>
      <c r="I1492" s="35"/>
      <c r="J1492" s="35"/>
    </row>
    <row r="1493" spans="3:10" ht="13.5" customHeight="1" x14ac:dyDescent="0.25">
      <c r="C1493" s="16"/>
      <c r="D1493" s="16"/>
      <c r="E1493" s="16"/>
      <c r="F1493" s="64"/>
      <c r="G1493" s="70"/>
      <c r="H1493" s="16"/>
      <c r="I1493" s="16"/>
      <c r="J1493" s="16"/>
    </row>
    <row r="1494" spans="3:10" ht="13.5" customHeight="1" x14ac:dyDescent="0.25">
      <c r="C1494" s="35"/>
      <c r="D1494" s="35"/>
      <c r="E1494" s="35"/>
      <c r="F1494" s="65"/>
      <c r="G1494" s="69"/>
      <c r="H1494" s="35"/>
      <c r="I1494" s="35"/>
      <c r="J1494" s="35"/>
    </row>
    <row r="1495" spans="3:10" ht="13.5" customHeight="1" x14ac:dyDescent="0.25">
      <c r="C1495" s="16"/>
      <c r="D1495" s="16"/>
      <c r="E1495" s="16"/>
      <c r="F1495" s="64"/>
      <c r="G1495" s="70"/>
      <c r="H1495" s="16"/>
      <c r="I1495" s="16"/>
      <c r="J1495" s="16"/>
    </row>
    <row r="1496" spans="3:10" ht="13.5" customHeight="1" x14ac:dyDescent="0.25">
      <c r="C1496" s="35"/>
      <c r="D1496" s="35"/>
      <c r="E1496" s="35"/>
      <c r="F1496" s="65"/>
      <c r="G1496" s="69"/>
      <c r="H1496" s="35"/>
      <c r="I1496" s="35"/>
      <c r="J1496" s="35"/>
    </row>
    <row r="1497" spans="3:10" ht="13.5" customHeight="1" x14ac:dyDescent="0.25">
      <c r="C1497" s="16"/>
      <c r="D1497" s="16"/>
      <c r="E1497" s="16"/>
      <c r="F1497" s="64"/>
      <c r="G1497" s="70"/>
      <c r="H1497" s="16"/>
      <c r="I1497" s="16"/>
      <c r="J1497" s="16"/>
    </row>
    <row r="1498" spans="3:10" ht="13.5" customHeight="1" x14ac:dyDescent="0.25">
      <c r="C1498" s="35"/>
      <c r="D1498" s="35"/>
      <c r="E1498" s="35"/>
      <c r="F1498" s="65"/>
      <c r="G1498" s="69"/>
      <c r="H1498" s="35"/>
      <c r="I1498" s="35"/>
      <c r="J1498" s="35"/>
    </row>
    <row r="1499" spans="3:10" ht="13.5" customHeight="1" x14ac:dyDescent="0.25">
      <c r="C1499" s="16"/>
      <c r="D1499" s="16"/>
      <c r="E1499" s="16"/>
      <c r="F1499" s="64"/>
      <c r="G1499" s="70"/>
      <c r="H1499" s="16"/>
      <c r="I1499" s="16"/>
      <c r="J1499" s="16"/>
    </row>
    <row r="1500" spans="3:10" ht="13.5" customHeight="1" x14ac:dyDescent="0.25">
      <c r="C1500" s="35"/>
      <c r="D1500" s="35"/>
      <c r="E1500" s="35"/>
      <c r="F1500" s="65"/>
      <c r="G1500" s="69"/>
      <c r="H1500" s="35"/>
      <c r="I1500" s="35"/>
      <c r="J1500" s="35"/>
    </row>
    <row r="1501" spans="3:10" ht="13.5" customHeight="1" x14ac:dyDescent="0.25">
      <c r="C1501" s="16"/>
      <c r="D1501" s="16"/>
      <c r="E1501" s="16"/>
      <c r="F1501" s="64"/>
      <c r="G1501" s="70"/>
      <c r="H1501" s="16"/>
      <c r="I1501" s="16"/>
      <c r="J1501" s="16"/>
    </row>
    <row r="1502" spans="3:10" ht="13.5" customHeight="1" x14ac:dyDescent="0.25">
      <c r="C1502" s="35"/>
      <c r="D1502" s="35"/>
      <c r="E1502" s="35"/>
      <c r="F1502" s="65"/>
      <c r="G1502" s="69"/>
      <c r="H1502" s="35"/>
      <c r="I1502" s="35"/>
      <c r="J1502" s="35"/>
    </row>
    <row r="1503" spans="3:10" ht="13.5" customHeight="1" x14ac:dyDescent="0.25">
      <c r="C1503" s="16"/>
      <c r="D1503" s="16"/>
      <c r="E1503" s="16"/>
      <c r="F1503" s="64"/>
      <c r="G1503" s="70"/>
      <c r="H1503" s="16"/>
      <c r="I1503" s="16"/>
      <c r="J1503" s="16"/>
    </row>
    <row r="1504" spans="3:10" ht="13.5" customHeight="1" x14ac:dyDescent="0.25">
      <c r="C1504" s="35"/>
      <c r="D1504" s="35"/>
      <c r="E1504" s="35"/>
      <c r="F1504" s="65"/>
      <c r="G1504" s="69"/>
      <c r="H1504" s="35"/>
      <c r="I1504" s="35"/>
      <c r="J1504" s="35"/>
    </row>
    <row r="1505" spans="3:10" ht="13.5" customHeight="1" x14ac:dyDescent="0.25">
      <c r="C1505" s="16"/>
      <c r="D1505" s="16"/>
      <c r="E1505" s="16"/>
      <c r="F1505" s="64"/>
      <c r="G1505" s="70"/>
      <c r="H1505" s="16"/>
      <c r="I1505" s="16"/>
      <c r="J1505" s="16"/>
    </row>
    <row r="1506" spans="3:10" ht="13.5" customHeight="1" x14ac:dyDescent="0.25">
      <c r="C1506" s="35"/>
      <c r="D1506" s="35"/>
      <c r="E1506" s="35"/>
      <c r="F1506" s="65"/>
      <c r="G1506" s="69"/>
      <c r="H1506" s="35"/>
      <c r="I1506" s="35"/>
      <c r="J1506" s="35"/>
    </row>
    <row r="1507" spans="3:10" ht="13.5" customHeight="1" x14ac:dyDescent="0.25">
      <c r="C1507" s="16"/>
      <c r="D1507" s="16"/>
      <c r="E1507" s="16"/>
      <c r="F1507" s="64"/>
      <c r="G1507" s="70"/>
      <c r="H1507" s="16"/>
      <c r="I1507" s="16"/>
      <c r="J1507" s="16"/>
    </row>
    <row r="1508" spans="3:10" ht="13.5" customHeight="1" x14ac:dyDescent="0.25">
      <c r="C1508" s="35"/>
      <c r="D1508" s="35"/>
      <c r="E1508" s="35"/>
      <c r="F1508" s="65"/>
      <c r="G1508" s="69"/>
      <c r="H1508" s="35"/>
      <c r="I1508" s="35"/>
      <c r="J1508" s="35"/>
    </row>
    <row r="1509" spans="3:10" ht="13.5" customHeight="1" x14ac:dyDescent="0.25">
      <c r="C1509" s="16"/>
      <c r="D1509" s="16"/>
      <c r="E1509" s="16"/>
      <c r="F1509" s="64"/>
      <c r="G1509" s="70"/>
      <c r="H1509" s="16"/>
      <c r="I1509" s="16"/>
      <c r="J1509" s="16"/>
    </row>
    <row r="1510" spans="3:10" ht="13.5" customHeight="1" x14ac:dyDescent="0.25">
      <c r="C1510" s="35"/>
      <c r="D1510" s="35"/>
      <c r="E1510" s="35"/>
      <c r="F1510" s="65"/>
      <c r="G1510" s="69"/>
      <c r="H1510" s="35"/>
      <c r="I1510" s="35"/>
      <c r="J1510" s="35"/>
    </row>
    <row r="1511" spans="3:10" ht="13.5" customHeight="1" x14ac:dyDescent="0.25">
      <c r="C1511" s="16"/>
      <c r="D1511" s="16"/>
      <c r="E1511" s="16"/>
      <c r="F1511" s="64"/>
      <c r="G1511" s="70"/>
      <c r="H1511" s="16"/>
      <c r="I1511" s="16"/>
      <c r="J1511" s="16"/>
    </row>
    <row r="1512" spans="3:10" ht="13.5" customHeight="1" x14ac:dyDescent="0.25">
      <c r="C1512" s="35"/>
      <c r="D1512" s="35"/>
      <c r="E1512" s="35"/>
      <c r="F1512" s="65"/>
      <c r="G1512" s="69"/>
      <c r="H1512" s="35"/>
      <c r="I1512" s="35"/>
      <c r="J1512" s="35"/>
    </row>
    <row r="1513" spans="3:10" ht="13.5" customHeight="1" x14ac:dyDescent="0.25">
      <c r="C1513" s="16"/>
      <c r="D1513" s="16"/>
      <c r="E1513" s="16"/>
      <c r="F1513" s="64"/>
      <c r="G1513" s="70"/>
      <c r="H1513" s="16"/>
      <c r="I1513" s="16"/>
      <c r="J1513" s="16"/>
    </row>
    <row r="1514" spans="3:10" ht="13.5" customHeight="1" x14ac:dyDescent="0.25">
      <c r="C1514" s="35"/>
      <c r="D1514" s="35"/>
      <c r="E1514" s="35"/>
      <c r="F1514" s="65"/>
      <c r="G1514" s="69"/>
      <c r="H1514" s="35"/>
      <c r="I1514" s="35"/>
      <c r="J1514" s="35"/>
    </row>
    <row r="1515" spans="3:10" ht="13.5" customHeight="1" x14ac:dyDescent="0.25">
      <c r="C1515" s="16"/>
      <c r="D1515" s="16"/>
      <c r="E1515" s="16"/>
      <c r="F1515" s="64"/>
      <c r="G1515" s="70"/>
      <c r="H1515" s="16"/>
      <c r="I1515" s="16"/>
      <c r="J1515" s="16"/>
    </row>
    <row r="1516" spans="3:10" ht="13.5" customHeight="1" x14ac:dyDescent="0.25">
      <c r="C1516" s="35"/>
      <c r="D1516" s="35"/>
      <c r="E1516" s="35"/>
      <c r="F1516" s="65"/>
      <c r="G1516" s="69"/>
      <c r="H1516" s="35"/>
      <c r="I1516" s="35"/>
      <c r="J1516" s="35"/>
    </row>
    <row r="1517" spans="3:10" ht="13.5" customHeight="1" x14ac:dyDescent="0.25">
      <c r="C1517" s="16"/>
      <c r="D1517" s="16"/>
      <c r="E1517" s="16"/>
      <c r="F1517" s="64"/>
      <c r="G1517" s="70"/>
      <c r="H1517" s="16"/>
      <c r="I1517" s="16"/>
      <c r="J1517" s="16"/>
    </row>
    <row r="1518" spans="3:10" ht="13.5" customHeight="1" x14ac:dyDescent="0.25">
      <c r="C1518" s="35"/>
      <c r="D1518" s="35"/>
      <c r="E1518" s="35"/>
      <c r="F1518" s="65"/>
      <c r="G1518" s="69"/>
      <c r="H1518" s="35"/>
      <c r="I1518" s="35"/>
      <c r="J1518" s="35"/>
    </row>
    <row r="1519" spans="3:10" ht="13.5" customHeight="1" x14ac:dyDescent="0.25">
      <c r="C1519" s="16"/>
      <c r="D1519" s="16"/>
      <c r="E1519" s="16"/>
      <c r="F1519" s="64"/>
      <c r="G1519" s="70"/>
      <c r="H1519" s="16"/>
      <c r="I1519" s="16"/>
      <c r="J1519" s="16"/>
    </row>
    <row r="1520" spans="3:10" ht="13.5" customHeight="1" x14ac:dyDescent="0.25">
      <c r="C1520" s="35"/>
      <c r="D1520" s="35"/>
      <c r="E1520" s="35"/>
      <c r="F1520" s="65"/>
      <c r="G1520" s="69"/>
      <c r="H1520" s="35"/>
      <c r="I1520" s="35"/>
      <c r="J1520" s="35"/>
    </row>
    <row r="1521" spans="3:10" ht="13.5" customHeight="1" x14ac:dyDescent="0.25">
      <c r="C1521" s="16"/>
      <c r="D1521" s="16"/>
      <c r="E1521" s="16"/>
      <c r="F1521" s="64"/>
      <c r="G1521" s="70"/>
      <c r="H1521" s="16"/>
      <c r="I1521" s="16"/>
      <c r="J1521" s="16"/>
    </row>
    <row r="1522" spans="3:10" ht="13.5" customHeight="1" x14ac:dyDescent="0.25">
      <c r="C1522" s="35"/>
      <c r="D1522" s="35"/>
      <c r="E1522" s="35"/>
      <c r="F1522" s="65"/>
      <c r="G1522" s="69"/>
      <c r="H1522" s="35"/>
      <c r="I1522" s="35"/>
      <c r="J1522" s="35"/>
    </row>
    <row r="1523" spans="3:10" ht="13.5" customHeight="1" x14ac:dyDescent="0.25">
      <c r="C1523" s="16"/>
      <c r="D1523" s="16"/>
      <c r="E1523" s="16"/>
      <c r="F1523" s="64"/>
      <c r="G1523" s="70"/>
      <c r="H1523" s="16"/>
      <c r="I1523" s="16"/>
      <c r="J1523" s="16"/>
    </row>
    <row r="1524" spans="3:10" ht="13.5" customHeight="1" x14ac:dyDescent="0.25">
      <c r="C1524" s="35"/>
      <c r="D1524" s="35"/>
      <c r="E1524" s="35"/>
      <c r="F1524" s="65"/>
      <c r="G1524" s="69"/>
      <c r="H1524" s="35"/>
      <c r="I1524" s="35"/>
      <c r="J1524" s="35"/>
    </row>
    <row r="1525" spans="3:10" ht="13.5" customHeight="1" x14ac:dyDescent="0.25">
      <c r="C1525" s="16"/>
      <c r="D1525" s="16"/>
      <c r="E1525" s="16"/>
      <c r="F1525" s="64"/>
      <c r="G1525" s="70"/>
      <c r="H1525" s="16"/>
      <c r="I1525" s="16"/>
      <c r="J1525" s="16"/>
    </row>
    <row r="1526" spans="3:10" ht="13.5" customHeight="1" x14ac:dyDescent="0.25">
      <c r="C1526" s="35"/>
      <c r="D1526" s="35"/>
      <c r="E1526" s="35"/>
      <c r="F1526" s="65"/>
      <c r="G1526" s="69"/>
      <c r="H1526" s="35"/>
      <c r="I1526" s="35"/>
      <c r="J1526" s="35"/>
    </row>
    <row r="1527" spans="3:10" ht="13.5" customHeight="1" x14ac:dyDescent="0.25">
      <c r="C1527" s="16"/>
      <c r="D1527" s="16"/>
      <c r="E1527" s="16"/>
      <c r="F1527" s="64"/>
      <c r="G1527" s="70"/>
      <c r="H1527" s="16"/>
      <c r="I1527" s="16"/>
      <c r="J1527" s="16"/>
    </row>
    <row r="1528" spans="3:10" ht="13.5" customHeight="1" x14ac:dyDescent="0.25">
      <c r="C1528" s="35"/>
      <c r="D1528" s="35"/>
      <c r="E1528" s="35"/>
      <c r="F1528" s="65"/>
      <c r="G1528" s="69"/>
      <c r="H1528" s="35"/>
      <c r="I1528" s="35"/>
      <c r="J1528" s="35"/>
    </row>
    <row r="1529" spans="3:10" ht="13.5" customHeight="1" x14ac:dyDescent="0.25">
      <c r="C1529" s="16"/>
      <c r="D1529" s="16"/>
      <c r="E1529" s="16"/>
      <c r="F1529" s="64"/>
      <c r="G1529" s="70"/>
      <c r="H1529" s="16"/>
      <c r="I1529" s="16"/>
      <c r="J1529" s="16"/>
    </row>
    <row r="1530" spans="3:10" ht="13.5" customHeight="1" x14ac:dyDescent="0.25">
      <c r="C1530" s="35"/>
      <c r="D1530" s="35"/>
      <c r="E1530" s="35"/>
      <c r="F1530" s="65"/>
      <c r="G1530" s="69"/>
      <c r="H1530" s="35"/>
      <c r="I1530" s="35"/>
      <c r="J1530" s="35"/>
    </row>
    <row r="1531" spans="3:10" ht="13.5" customHeight="1" x14ac:dyDescent="0.25">
      <c r="C1531" s="16"/>
      <c r="D1531" s="16"/>
      <c r="E1531" s="16"/>
      <c r="F1531" s="64"/>
      <c r="G1531" s="70"/>
      <c r="H1531" s="16"/>
      <c r="I1531" s="16"/>
      <c r="J1531" s="16"/>
    </row>
    <row r="1532" spans="3:10" ht="13.5" customHeight="1" x14ac:dyDescent="0.25">
      <c r="C1532" s="35"/>
      <c r="D1532" s="35"/>
      <c r="E1532" s="35"/>
      <c r="F1532" s="65"/>
      <c r="G1532" s="69"/>
      <c r="H1532" s="35"/>
      <c r="I1532" s="35"/>
      <c r="J1532" s="35"/>
    </row>
    <row r="1533" spans="3:10" ht="13.5" customHeight="1" x14ac:dyDescent="0.25">
      <c r="C1533" s="16"/>
      <c r="D1533" s="16"/>
      <c r="E1533" s="16"/>
      <c r="F1533" s="64"/>
      <c r="G1533" s="70"/>
      <c r="H1533" s="16"/>
      <c r="I1533" s="16"/>
      <c r="J1533" s="16"/>
    </row>
    <row r="1534" spans="3:10" ht="13.5" customHeight="1" x14ac:dyDescent="0.25">
      <c r="C1534" s="35"/>
      <c r="D1534" s="35"/>
      <c r="E1534" s="35"/>
      <c r="F1534" s="65"/>
      <c r="G1534" s="69"/>
      <c r="H1534" s="35"/>
      <c r="I1534" s="35"/>
      <c r="J1534" s="35"/>
    </row>
    <row r="1535" spans="3:10" ht="13.5" customHeight="1" x14ac:dyDescent="0.25">
      <c r="C1535" s="16"/>
      <c r="D1535" s="16"/>
      <c r="E1535" s="16"/>
      <c r="F1535" s="64"/>
      <c r="G1535" s="70"/>
      <c r="H1535" s="16"/>
      <c r="I1535" s="16"/>
      <c r="J1535" s="16"/>
    </row>
    <row r="1536" spans="3:10" ht="13.5" customHeight="1" x14ac:dyDescent="0.25">
      <c r="C1536" s="35"/>
      <c r="D1536" s="35"/>
      <c r="E1536" s="35"/>
      <c r="F1536" s="65"/>
      <c r="G1536" s="69"/>
      <c r="H1536" s="35"/>
      <c r="I1536" s="35"/>
      <c r="J1536" s="35"/>
    </row>
    <row r="1537" spans="3:10" ht="13.5" customHeight="1" x14ac:dyDescent="0.25">
      <c r="C1537" s="16"/>
      <c r="D1537" s="16"/>
      <c r="E1537" s="16"/>
      <c r="F1537" s="64"/>
      <c r="G1537" s="70"/>
      <c r="H1537" s="16"/>
      <c r="I1537" s="16"/>
      <c r="J1537" s="16"/>
    </row>
    <row r="1538" spans="3:10" ht="13.5" customHeight="1" x14ac:dyDescent="0.25">
      <c r="C1538" s="35"/>
      <c r="D1538" s="35"/>
      <c r="E1538" s="35"/>
      <c r="F1538" s="65"/>
      <c r="G1538" s="69"/>
      <c r="H1538" s="35"/>
      <c r="I1538" s="35"/>
      <c r="J1538" s="35"/>
    </row>
    <row r="1539" spans="3:10" ht="13.5" customHeight="1" x14ac:dyDescent="0.25">
      <c r="C1539" s="16"/>
      <c r="D1539" s="16"/>
      <c r="E1539" s="16"/>
      <c r="F1539" s="64"/>
      <c r="G1539" s="70"/>
      <c r="H1539" s="16"/>
      <c r="I1539" s="16"/>
      <c r="J1539" s="16"/>
    </row>
    <row r="1540" spans="3:10" ht="13.5" customHeight="1" x14ac:dyDescent="0.25">
      <c r="C1540" s="35"/>
      <c r="D1540" s="35"/>
      <c r="E1540" s="35"/>
      <c r="F1540" s="65"/>
      <c r="G1540" s="69"/>
      <c r="H1540" s="35"/>
      <c r="I1540" s="35"/>
      <c r="J1540" s="35"/>
    </row>
    <row r="1541" spans="3:10" ht="13.5" customHeight="1" x14ac:dyDescent="0.25">
      <c r="C1541" s="16"/>
      <c r="D1541" s="16"/>
      <c r="E1541" s="16"/>
      <c r="F1541" s="64"/>
      <c r="G1541" s="70"/>
      <c r="H1541" s="16"/>
      <c r="I1541" s="16"/>
      <c r="J1541" s="16"/>
    </row>
    <row r="1542" spans="3:10" ht="13.5" customHeight="1" x14ac:dyDescent="0.25">
      <c r="C1542" s="35"/>
      <c r="D1542" s="35"/>
      <c r="E1542" s="35"/>
      <c r="F1542" s="65"/>
      <c r="G1542" s="69"/>
      <c r="H1542" s="35"/>
      <c r="I1542" s="35"/>
      <c r="J1542" s="35"/>
    </row>
    <row r="1543" spans="3:10" ht="13.5" customHeight="1" x14ac:dyDescent="0.25">
      <c r="C1543" s="16"/>
      <c r="D1543" s="16"/>
      <c r="E1543" s="16"/>
      <c r="F1543" s="64"/>
      <c r="G1543" s="70"/>
      <c r="H1543" s="16"/>
      <c r="I1543" s="16"/>
      <c r="J1543" s="16"/>
    </row>
    <row r="1544" spans="3:10" ht="13.5" customHeight="1" x14ac:dyDescent="0.25">
      <c r="C1544" s="35"/>
      <c r="D1544" s="35"/>
      <c r="E1544" s="35"/>
      <c r="F1544" s="65"/>
      <c r="G1544" s="69"/>
      <c r="H1544" s="35"/>
      <c r="I1544" s="35"/>
      <c r="J1544" s="35"/>
    </row>
    <row r="1545" spans="3:10" ht="13.5" customHeight="1" x14ac:dyDescent="0.25">
      <c r="C1545" s="16"/>
      <c r="D1545" s="16"/>
      <c r="E1545" s="16"/>
      <c r="F1545" s="64"/>
      <c r="G1545" s="70"/>
      <c r="H1545" s="16"/>
      <c r="I1545" s="16"/>
      <c r="J1545" s="16"/>
    </row>
    <row r="1546" spans="3:10" ht="13.5" customHeight="1" x14ac:dyDescent="0.25">
      <c r="C1546" s="35"/>
      <c r="D1546" s="35"/>
      <c r="E1546" s="35"/>
      <c r="F1546" s="65"/>
      <c r="G1546" s="69"/>
      <c r="H1546" s="35"/>
      <c r="I1546" s="35"/>
      <c r="J1546" s="35"/>
    </row>
    <row r="1547" spans="3:10" ht="13.5" customHeight="1" x14ac:dyDescent="0.25">
      <c r="C1547" s="16"/>
      <c r="D1547" s="16"/>
      <c r="E1547" s="16"/>
      <c r="F1547" s="64"/>
      <c r="G1547" s="70"/>
      <c r="H1547" s="16"/>
      <c r="I1547" s="16"/>
      <c r="J1547" s="16"/>
    </row>
    <row r="1548" spans="3:10" ht="13.5" customHeight="1" x14ac:dyDescent="0.25">
      <c r="C1548" s="35"/>
      <c r="D1548" s="35"/>
      <c r="E1548" s="35"/>
      <c r="F1548" s="65"/>
      <c r="G1548" s="69"/>
      <c r="H1548" s="35"/>
      <c r="I1548" s="35"/>
      <c r="J1548" s="35"/>
    </row>
    <row r="1549" spans="3:10" ht="13.5" customHeight="1" x14ac:dyDescent="0.25">
      <c r="C1549" s="16"/>
      <c r="D1549" s="16"/>
      <c r="E1549" s="16"/>
      <c r="F1549" s="64"/>
      <c r="G1549" s="70"/>
      <c r="H1549" s="16"/>
      <c r="I1549" s="16"/>
      <c r="J1549" s="16"/>
    </row>
    <row r="1550" spans="3:10" ht="13.5" customHeight="1" x14ac:dyDescent="0.25">
      <c r="C1550" s="35"/>
      <c r="D1550" s="35"/>
      <c r="E1550" s="35"/>
      <c r="F1550" s="65"/>
      <c r="G1550" s="69"/>
      <c r="H1550" s="35"/>
      <c r="I1550" s="35"/>
      <c r="J1550" s="35"/>
    </row>
    <row r="1551" spans="3:10" ht="13.5" customHeight="1" x14ac:dyDescent="0.25">
      <c r="C1551" s="16"/>
      <c r="D1551" s="16"/>
      <c r="E1551" s="16"/>
      <c r="F1551" s="64"/>
      <c r="G1551" s="70"/>
      <c r="H1551" s="16"/>
      <c r="I1551" s="16"/>
      <c r="J1551" s="16"/>
    </row>
    <row r="1552" spans="3:10" ht="13.5" customHeight="1" x14ac:dyDescent="0.25">
      <c r="C1552" s="35"/>
      <c r="D1552" s="35"/>
      <c r="E1552" s="35"/>
      <c r="F1552" s="65"/>
      <c r="G1552" s="69"/>
      <c r="H1552" s="35"/>
      <c r="I1552" s="35"/>
      <c r="J1552" s="35"/>
    </row>
    <row r="1553" spans="3:10" ht="13.5" customHeight="1" x14ac:dyDescent="0.25">
      <c r="C1553" s="16"/>
      <c r="D1553" s="16"/>
      <c r="E1553" s="16"/>
      <c r="F1553" s="64"/>
      <c r="G1553" s="70"/>
      <c r="H1553" s="16"/>
      <c r="I1553" s="16"/>
      <c r="J1553" s="16"/>
    </row>
    <row r="1554" spans="3:10" ht="13.5" customHeight="1" x14ac:dyDescent="0.25">
      <c r="C1554" s="35"/>
      <c r="D1554" s="35"/>
      <c r="E1554" s="35"/>
      <c r="F1554" s="65"/>
      <c r="G1554" s="69"/>
      <c r="H1554" s="35"/>
      <c r="I1554" s="35"/>
      <c r="J1554" s="35"/>
    </row>
    <row r="1555" spans="3:10" ht="13.5" customHeight="1" x14ac:dyDescent="0.25">
      <c r="C1555" s="16"/>
      <c r="D1555" s="16"/>
      <c r="E1555" s="16"/>
      <c r="F1555" s="64"/>
      <c r="G1555" s="70"/>
      <c r="H1555" s="16"/>
      <c r="I1555" s="16"/>
      <c r="J1555" s="16"/>
    </row>
    <row r="1556" spans="3:10" ht="13.5" customHeight="1" x14ac:dyDescent="0.25">
      <c r="C1556" s="35"/>
      <c r="D1556" s="35"/>
      <c r="E1556" s="35"/>
      <c r="F1556" s="65"/>
      <c r="G1556" s="69"/>
      <c r="H1556" s="35"/>
      <c r="I1556" s="35"/>
      <c r="J1556" s="35"/>
    </row>
    <row r="1557" spans="3:10" ht="13.5" customHeight="1" x14ac:dyDescent="0.25">
      <c r="C1557" s="16"/>
      <c r="D1557" s="16"/>
      <c r="E1557" s="16"/>
      <c r="F1557" s="64"/>
      <c r="G1557" s="70"/>
      <c r="H1557" s="16"/>
      <c r="I1557" s="16"/>
      <c r="J1557" s="16"/>
    </row>
    <row r="1558" spans="3:10" ht="13.5" customHeight="1" x14ac:dyDescent="0.25">
      <c r="C1558" s="35"/>
      <c r="D1558" s="35"/>
      <c r="E1558" s="35"/>
      <c r="F1558" s="65"/>
      <c r="G1558" s="69"/>
      <c r="H1558" s="35"/>
      <c r="I1558" s="35"/>
      <c r="J1558" s="35"/>
    </row>
    <row r="1559" spans="3:10" ht="13.5" customHeight="1" x14ac:dyDescent="0.25">
      <c r="C1559" s="16"/>
      <c r="D1559" s="16"/>
      <c r="E1559" s="16"/>
      <c r="F1559" s="64"/>
      <c r="G1559" s="70"/>
      <c r="H1559" s="16"/>
      <c r="I1559" s="16"/>
      <c r="J1559" s="16"/>
    </row>
    <row r="1560" spans="3:10" ht="13.5" customHeight="1" x14ac:dyDescent="0.25">
      <c r="C1560" s="35"/>
      <c r="D1560" s="35"/>
      <c r="E1560" s="35"/>
      <c r="F1560" s="65"/>
      <c r="G1560" s="69"/>
      <c r="H1560" s="35"/>
      <c r="I1560" s="35"/>
      <c r="J1560" s="35"/>
    </row>
    <row r="1561" spans="3:10" ht="13.5" customHeight="1" x14ac:dyDescent="0.25">
      <c r="C1561" s="16"/>
      <c r="D1561" s="16"/>
      <c r="E1561" s="16"/>
      <c r="F1561" s="64"/>
      <c r="G1561" s="70"/>
      <c r="H1561" s="16"/>
      <c r="I1561" s="16"/>
      <c r="J1561" s="16"/>
    </row>
    <row r="1562" spans="3:10" ht="13.5" customHeight="1" x14ac:dyDescent="0.25">
      <c r="C1562" s="35"/>
      <c r="D1562" s="35"/>
      <c r="E1562" s="35"/>
      <c r="F1562" s="65"/>
      <c r="G1562" s="69"/>
      <c r="H1562" s="35"/>
      <c r="I1562" s="35"/>
      <c r="J1562" s="35"/>
    </row>
    <row r="1563" spans="3:10" ht="13.5" customHeight="1" x14ac:dyDescent="0.25">
      <c r="C1563" s="16"/>
      <c r="D1563" s="16"/>
      <c r="E1563" s="16"/>
      <c r="F1563" s="64"/>
      <c r="G1563" s="70"/>
      <c r="H1563" s="16"/>
      <c r="I1563" s="16"/>
      <c r="J1563" s="16"/>
    </row>
    <row r="1564" spans="3:10" ht="13.5" customHeight="1" x14ac:dyDescent="0.25">
      <c r="C1564" s="35"/>
      <c r="D1564" s="35"/>
      <c r="E1564" s="35"/>
      <c r="F1564" s="65"/>
      <c r="G1564" s="69"/>
      <c r="H1564" s="35"/>
      <c r="I1564" s="35"/>
      <c r="J1564" s="35"/>
    </row>
    <row r="1565" spans="3:10" ht="13.5" customHeight="1" x14ac:dyDescent="0.25">
      <c r="C1565" s="16"/>
      <c r="D1565" s="16"/>
      <c r="E1565" s="16"/>
      <c r="F1565" s="64"/>
      <c r="G1565" s="70"/>
      <c r="H1565" s="16"/>
      <c r="I1565" s="16"/>
      <c r="J1565" s="16"/>
    </row>
    <row r="1566" spans="3:10" ht="13.5" customHeight="1" x14ac:dyDescent="0.25">
      <c r="C1566" s="35"/>
      <c r="D1566" s="35"/>
      <c r="E1566" s="35"/>
      <c r="F1566" s="65"/>
      <c r="G1566" s="69"/>
      <c r="H1566" s="35"/>
      <c r="I1566" s="35"/>
      <c r="J1566" s="35"/>
    </row>
    <row r="1567" spans="3:10" ht="13.5" customHeight="1" x14ac:dyDescent="0.25">
      <c r="C1567" s="16"/>
      <c r="D1567" s="16"/>
      <c r="E1567" s="16"/>
      <c r="F1567" s="64"/>
      <c r="G1567" s="70"/>
      <c r="H1567" s="16"/>
      <c r="I1567" s="16"/>
      <c r="J1567" s="16"/>
    </row>
    <row r="1568" spans="3:10" ht="13.5" customHeight="1" x14ac:dyDescent="0.25">
      <c r="C1568" s="35"/>
      <c r="D1568" s="35"/>
      <c r="E1568" s="35"/>
      <c r="F1568" s="65"/>
      <c r="G1568" s="69"/>
      <c r="H1568" s="35"/>
      <c r="I1568" s="35"/>
      <c r="J1568" s="35"/>
    </row>
    <row r="1569" spans="3:10" ht="13.5" customHeight="1" x14ac:dyDescent="0.25">
      <c r="C1569" s="16"/>
      <c r="D1569" s="16"/>
      <c r="E1569" s="16"/>
      <c r="F1569" s="64"/>
      <c r="G1569" s="70"/>
      <c r="H1569" s="16"/>
      <c r="I1569" s="16"/>
      <c r="J1569" s="16"/>
    </row>
    <row r="1570" spans="3:10" ht="13.5" customHeight="1" x14ac:dyDescent="0.25">
      <c r="C1570" s="35"/>
      <c r="D1570" s="35"/>
      <c r="E1570" s="35"/>
      <c r="F1570" s="65"/>
      <c r="G1570" s="69"/>
      <c r="H1570" s="35"/>
      <c r="I1570" s="35"/>
      <c r="J1570" s="35"/>
    </row>
    <row r="1571" spans="3:10" ht="13.5" customHeight="1" x14ac:dyDescent="0.25">
      <c r="C1571" s="16"/>
      <c r="D1571" s="16"/>
      <c r="E1571" s="16"/>
      <c r="F1571" s="64"/>
      <c r="G1571" s="70"/>
      <c r="H1571" s="16"/>
      <c r="I1571" s="16"/>
      <c r="J1571" s="16"/>
    </row>
    <row r="1572" spans="3:10" ht="13.5" customHeight="1" x14ac:dyDescent="0.25">
      <c r="C1572" s="35"/>
      <c r="D1572" s="35"/>
      <c r="E1572" s="35"/>
      <c r="F1572" s="65"/>
      <c r="G1572" s="69"/>
      <c r="H1572" s="35"/>
      <c r="I1572" s="35"/>
      <c r="J1572" s="35"/>
    </row>
    <row r="1573" spans="3:10" ht="13.5" customHeight="1" x14ac:dyDescent="0.25">
      <c r="C1573" s="16"/>
      <c r="D1573" s="16"/>
      <c r="E1573" s="16"/>
      <c r="F1573" s="64"/>
      <c r="G1573" s="70"/>
      <c r="H1573" s="16"/>
      <c r="I1573" s="16"/>
      <c r="J1573" s="16"/>
    </row>
    <row r="1574" spans="3:10" ht="13.5" customHeight="1" x14ac:dyDescent="0.25">
      <c r="C1574" s="35"/>
      <c r="D1574" s="35"/>
      <c r="E1574" s="35"/>
      <c r="F1574" s="65"/>
      <c r="G1574" s="69"/>
      <c r="H1574" s="35"/>
      <c r="I1574" s="35"/>
      <c r="J1574" s="35"/>
    </row>
    <row r="1575" spans="3:10" ht="13.5" customHeight="1" x14ac:dyDescent="0.25">
      <c r="C1575" s="16"/>
      <c r="D1575" s="16"/>
      <c r="E1575" s="16"/>
      <c r="F1575" s="64"/>
      <c r="G1575" s="70"/>
      <c r="H1575" s="16"/>
      <c r="I1575" s="16"/>
      <c r="J1575" s="16"/>
    </row>
    <row r="1576" spans="3:10" ht="13.5" customHeight="1" x14ac:dyDescent="0.25">
      <c r="C1576" s="35"/>
      <c r="D1576" s="35"/>
      <c r="E1576" s="35"/>
      <c r="F1576" s="65"/>
      <c r="G1576" s="69"/>
      <c r="H1576" s="35"/>
      <c r="I1576" s="35"/>
      <c r="J1576" s="35"/>
    </row>
    <row r="1577" spans="3:10" ht="13.5" customHeight="1" x14ac:dyDescent="0.25">
      <c r="C1577" s="16"/>
      <c r="D1577" s="16"/>
      <c r="E1577" s="16"/>
      <c r="F1577" s="64"/>
      <c r="G1577" s="70"/>
      <c r="H1577" s="16"/>
      <c r="I1577" s="16"/>
      <c r="J1577" s="16"/>
    </row>
    <row r="1578" spans="3:10" ht="13.5" customHeight="1" x14ac:dyDescent="0.25">
      <c r="C1578" s="35"/>
      <c r="D1578" s="35"/>
      <c r="E1578" s="35"/>
      <c r="F1578" s="65"/>
      <c r="G1578" s="69"/>
      <c r="H1578" s="35"/>
      <c r="I1578" s="35"/>
      <c r="J1578" s="35"/>
    </row>
    <row r="1579" spans="3:10" ht="13.5" customHeight="1" x14ac:dyDescent="0.25">
      <c r="C1579" s="16"/>
      <c r="D1579" s="16"/>
      <c r="E1579" s="16"/>
      <c r="F1579" s="64"/>
      <c r="G1579" s="70"/>
      <c r="H1579" s="16"/>
      <c r="I1579" s="16"/>
      <c r="J1579" s="16"/>
    </row>
    <row r="1580" spans="3:10" ht="13.5" customHeight="1" x14ac:dyDescent="0.25">
      <c r="C1580" s="35"/>
      <c r="D1580" s="35"/>
      <c r="E1580" s="35"/>
      <c r="F1580" s="65"/>
      <c r="G1580" s="69"/>
      <c r="H1580" s="35"/>
      <c r="I1580" s="35"/>
      <c r="J1580" s="35"/>
    </row>
    <row r="1581" spans="3:10" ht="13.5" customHeight="1" x14ac:dyDescent="0.25">
      <c r="C1581" s="16"/>
      <c r="D1581" s="16"/>
      <c r="E1581" s="16"/>
      <c r="F1581" s="64"/>
      <c r="G1581" s="70"/>
      <c r="H1581" s="16"/>
      <c r="I1581" s="16"/>
      <c r="J1581" s="16"/>
    </row>
    <row r="1582" spans="3:10" ht="13.5" customHeight="1" x14ac:dyDescent="0.25">
      <c r="C1582" s="35"/>
      <c r="D1582" s="35"/>
      <c r="E1582" s="35"/>
      <c r="F1582" s="65"/>
      <c r="G1582" s="69"/>
      <c r="H1582" s="35"/>
      <c r="I1582" s="35"/>
      <c r="J1582" s="35"/>
    </row>
    <row r="1583" spans="3:10" ht="13.5" customHeight="1" x14ac:dyDescent="0.25">
      <c r="C1583" s="16"/>
      <c r="D1583" s="16"/>
      <c r="E1583" s="16"/>
      <c r="F1583" s="64"/>
      <c r="G1583" s="70"/>
      <c r="H1583" s="16"/>
      <c r="I1583" s="16"/>
      <c r="J1583" s="16"/>
    </row>
    <row r="1584" spans="3:10" ht="13.5" customHeight="1" x14ac:dyDescent="0.25">
      <c r="C1584" s="35"/>
      <c r="D1584" s="35"/>
      <c r="E1584" s="35"/>
      <c r="F1584" s="65"/>
      <c r="G1584" s="69"/>
      <c r="H1584" s="35"/>
      <c r="I1584" s="35"/>
      <c r="J1584" s="35"/>
    </row>
    <row r="1585" spans="3:10" ht="13.5" customHeight="1" x14ac:dyDescent="0.25">
      <c r="C1585" s="16"/>
      <c r="D1585" s="16"/>
      <c r="E1585" s="16"/>
      <c r="F1585" s="64"/>
      <c r="G1585" s="70"/>
      <c r="H1585" s="16"/>
      <c r="I1585" s="16"/>
      <c r="J1585" s="16"/>
    </row>
    <row r="1586" spans="3:10" ht="13.5" customHeight="1" x14ac:dyDescent="0.25">
      <c r="C1586" s="35"/>
      <c r="D1586" s="35"/>
      <c r="E1586" s="35"/>
      <c r="F1586" s="65"/>
      <c r="G1586" s="69"/>
      <c r="H1586" s="35"/>
      <c r="I1586" s="35"/>
      <c r="J1586" s="35"/>
    </row>
    <row r="1587" spans="3:10" ht="13.5" customHeight="1" x14ac:dyDescent="0.25">
      <c r="C1587" s="16"/>
      <c r="D1587" s="16"/>
      <c r="E1587" s="16"/>
      <c r="F1587" s="64"/>
      <c r="G1587" s="70"/>
      <c r="H1587" s="16"/>
      <c r="I1587" s="16"/>
      <c r="J1587" s="16"/>
    </row>
    <row r="1588" spans="3:10" ht="13.5" customHeight="1" x14ac:dyDescent="0.25">
      <c r="C1588" s="35"/>
      <c r="D1588" s="35"/>
      <c r="E1588" s="35"/>
      <c r="F1588" s="65"/>
      <c r="G1588" s="69"/>
      <c r="H1588" s="35"/>
      <c r="I1588" s="35"/>
      <c r="J1588" s="35"/>
    </row>
    <row r="1589" spans="3:10" ht="13.5" customHeight="1" x14ac:dyDescent="0.25">
      <c r="C1589" s="16"/>
      <c r="D1589" s="16"/>
      <c r="E1589" s="16"/>
      <c r="F1589" s="64"/>
      <c r="G1589" s="70"/>
      <c r="H1589" s="16"/>
      <c r="I1589" s="16"/>
      <c r="J1589" s="16"/>
    </row>
    <row r="1590" spans="3:10" ht="13.5" customHeight="1" x14ac:dyDescent="0.25">
      <c r="C1590" s="35"/>
      <c r="D1590" s="35"/>
      <c r="E1590" s="35"/>
      <c r="F1590" s="65"/>
      <c r="G1590" s="69"/>
      <c r="H1590" s="35"/>
      <c r="I1590" s="35"/>
      <c r="J1590" s="35"/>
    </row>
    <row r="1591" spans="3:10" ht="13.5" customHeight="1" x14ac:dyDescent="0.25">
      <c r="C1591" s="16"/>
      <c r="D1591" s="16"/>
      <c r="E1591" s="16"/>
      <c r="F1591" s="64"/>
      <c r="G1591" s="70"/>
      <c r="H1591" s="16"/>
      <c r="I1591" s="16"/>
      <c r="J1591" s="16"/>
    </row>
    <row r="1592" spans="3:10" ht="13.5" customHeight="1" x14ac:dyDescent="0.25">
      <c r="C1592" s="35"/>
      <c r="D1592" s="35"/>
      <c r="E1592" s="35"/>
      <c r="F1592" s="65"/>
      <c r="G1592" s="69"/>
      <c r="H1592" s="35"/>
      <c r="I1592" s="35"/>
      <c r="J1592" s="35"/>
    </row>
    <row r="1593" spans="3:10" ht="13.5" customHeight="1" x14ac:dyDescent="0.25">
      <c r="C1593" s="16"/>
      <c r="D1593" s="16"/>
      <c r="E1593" s="16"/>
      <c r="F1593" s="64"/>
      <c r="G1593" s="70"/>
      <c r="H1593" s="16"/>
      <c r="I1593" s="16"/>
      <c r="J1593" s="16"/>
    </row>
    <row r="1594" spans="3:10" ht="13.5" customHeight="1" x14ac:dyDescent="0.25">
      <c r="C1594" s="35"/>
      <c r="D1594" s="35"/>
      <c r="E1594" s="35"/>
      <c r="F1594" s="65"/>
      <c r="G1594" s="69"/>
      <c r="H1594" s="35"/>
      <c r="I1594" s="35"/>
      <c r="J1594" s="35"/>
    </row>
    <row r="1595" spans="3:10" ht="13.5" customHeight="1" x14ac:dyDescent="0.25">
      <c r="C1595" s="16"/>
      <c r="D1595" s="16"/>
      <c r="E1595" s="16"/>
      <c r="F1595" s="64"/>
      <c r="G1595" s="70"/>
      <c r="H1595" s="16"/>
      <c r="I1595" s="16"/>
      <c r="J1595" s="16"/>
    </row>
    <row r="1596" spans="3:10" ht="13.5" customHeight="1" x14ac:dyDescent="0.25">
      <c r="C1596" s="35"/>
      <c r="D1596" s="35"/>
      <c r="E1596" s="35"/>
      <c r="F1596" s="65"/>
      <c r="G1596" s="69"/>
      <c r="H1596" s="35"/>
      <c r="I1596" s="35"/>
      <c r="J1596" s="35"/>
    </row>
    <row r="1597" spans="3:10" ht="13.5" customHeight="1" x14ac:dyDescent="0.25">
      <c r="C1597" s="16"/>
      <c r="D1597" s="16"/>
      <c r="E1597" s="16"/>
      <c r="F1597" s="64"/>
      <c r="G1597" s="70"/>
      <c r="H1597" s="16"/>
      <c r="I1597" s="16"/>
      <c r="J1597" s="16"/>
    </row>
    <row r="1598" spans="3:10" ht="13.5" customHeight="1" x14ac:dyDescent="0.25">
      <c r="C1598" s="35"/>
      <c r="D1598" s="35"/>
      <c r="E1598" s="35"/>
      <c r="F1598" s="65"/>
      <c r="G1598" s="69"/>
      <c r="H1598" s="35"/>
      <c r="I1598" s="35"/>
      <c r="J1598" s="35"/>
    </row>
    <row r="1599" spans="3:10" ht="13.5" customHeight="1" x14ac:dyDescent="0.25">
      <c r="C1599" s="16"/>
      <c r="D1599" s="16"/>
      <c r="E1599" s="16"/>
      <c r="F1599" s="64"/>
      <c r="G1599" s="70"/>
      <c r="H1599" s="16"/>
      <c r="I1599" s="16"/>
      <c r="J1599" s="16"/>
    </row>
    <row r="1600" spans="3:10" ht="13.5" customHeight="1" x14ac:dyDescent="0.25">
      <c r="C1600" s="35"/>
      <c r="D1600" s="35"/>
      <c r="E1600" s="35"/>
      <c r="F1600" s="65"/>
      <c r="G1600" s="69"/>
      <c r="H1600" s="35"/>
      <c r="I1600" s="35"/>
      <c r="J1600" s="35"/>
    </row>
    <row r="1601" spans="3:10" ht="13.5" customHeight="1" x14ac:dyDescent="0.25">
      <c r="C1601" s="16"/>
      <c r="D1601" s="16"/>
      <c r="E1601" s="16"/>
      <c r="F1601" s="64"/>
      <c r="G1601" s="70"/>
      <c r="H1601" s="16"/>
      <c r="I1601" s="16"/>
      <c r="J1601" s="16"/>
    </row>
    <row r="1602" spans="3:10" ht="13.5" customHeight="1" x14ac:dyDescent="0.25">
      <c r="C1602" s="35"/>
      <c r="D1602" s="35"/>
      <c r="E1602" s="35"/>
      <c r="F1602" s="65"/>
      <c r="G1602" s="69"/>
      <c r="H1602" s="35"/>
      <c r="I1602" s="35"/>
      <c r="J1602" s="35"/>
    </row>
    <row r="1603" spans="3:10" ht="13.5" customHeight="1" x14ac:dyDescent="0.25">
      <c r="C1603" s="16"/>
      <c r="D1603" s="16"/>
      <c r="E1603" s="16"/>
      <c r="F1603" s="64"/>
      <c r="G1603" s="70"/>
      <c r="H1603" s="16"/>
      <c r="I1603" s="16"/>
      <c r="J1603" s="16"/>
    </row>
    <row r="1604" spans="3:10" ht="13.5" customHeight="1" x14ac:dyDescent="0.25">
      <c r="C1604" s="35"/>
      <c r="D1604" s="35"/>
      <c r="E1604" s="35"/>
      <c r="F1604" s="65"/>
      <c r="G1604" s="69"/>
      <c r="H1604" s="35"/>
      <c r="I1604" s="35"/>
      <c r="J1604" s="35"/>
    </row>
    <row r="1605" spans="3:10" ht="13.5" customHeight="1" x14ac:dyDescent="0.25">
      <c r="C1605" s="16"/>
      <c r="D1605" s="16"/>
      <c r="E1605" s="16"/>
      <c r="F1605" s="64"/>
      <c r="G1605" s="70"/>
      <c r="H1605" s="16"/>
      <c r="I1605" s="16"/>
      <c r="J1605" s="16"/>
    </row>
    <row r="1606" spans="3:10" ht="13.5" customHeight="1" x14ac:dyDescent="0.25">
      <c r="C1606" s="35"/>
      <c r="D1606" s="35"/>
      <c r="E1606" s="35"/>
      <c r="F1606" s="65"/>
      <c r="G1606" s="69"/>
      <c r="H1606" s="35"/>
      <c r="I1606" s="35"/>
      <c r="J1606" s="35"/>
    </row>
    <row r="1607" spans="3:10" ht="13.5" customHeight="1" x14ac:dyDescent="0.25">
      <c r="C1607" s="16"/>
      <c r="D1607" s="16"/>
      <c r="E1607" s="16"/>
      <c r="F1607" s="64"/>
      <c r="G1607" s="70"/>
      <c r="H1607" s="16"/>
      <c r="I1607" s="16"/>
      <c r="J1607" s="16"/>
    </row>
    <row r="1608" spans="3:10" ht="13.5" customHeight="1" x14ac:dyDescent="0.25">
      <c r="C1608" s="35"/>
      <c r="D1608" s="35"/>
      <c r="E1608" s="35"/>
      <c r="F1608" s="65"/>
      <c r="G1608" s="69"/>
      <c r="H1608" s="35"/>
      <c r="I1608" s="35"/>
      <c r="J1608" s="35"/>
    </row>
    <row r="1609" spans="3:10" ht="13.5" customHeight="1" x14ac:dyDescent="0.25">
      <c r="C1609" s="16"/>
      <c r="D1609" s="16"/>
      <c r="E1609" s="16"/>
      <c r="F1609" s="64"/>
      <c r="G1609" s="70"/>
      <c r="H1609" s="16"/>
      <c r="I1609" s="16"/>
      <c r="J1609" s="16"/>
    </row>
    <row r="1610" spans="3:10" ht="13.5" customHeight="1" x14ac:dyDescent="0.25">
      <c r="C1610" s="35"/>
      <c r="D1610" s="35"/>
      <c r="E1610" s="35"/>
      <c r="F1610" s="65"/>
      <c r="G1610" s="69"/>
      <c r="H1610" s="35"/>
      <c r="I1610" s="35"/>
      <c r="J1610" s="35"/>
    </row>
    <row r="1611" spans="3:10" ht="13.5" customHeight="1" x14ac:dyDescent="0.25">
      <c r="C1611" s="16"/>
      <c r="D1611" s="16"/>
      <c r="E1611" s="16"/>
      <c r="F1611" s="64"/>
      <c r="G1611" s="70"/>
      <c r="H1611" s="16"/>
      <c r="I1611" s="16"/>
      <c r="J1611" s="16"/>
    </row>
    <row r="1612" spans="3:10" ht="13.5" customHeight="1" x14ac:dyDescent="0.25">
      <c r="C1612" s="35"/>
      <c r="D1612" s="35"/>
      <c r="E1612" s="35"/>
      <c r="F1612" s="65"/>
      <c r="G1612" s="69"/>
      <c r="H1612" s="35"/>
      <c r="I1612" s="35"/>
      <c r="J1612" s="35"/>
    </row>
    <row r="1613" spans="3:10" ht="13.5" customHeight="1" x14ac:dyDescent="0.25">
      <c r="C1613" s="16"/>
      <c r="D1613" s="16"/>
      <c r="E1613" s="16"/>
      <c r="F1613" s="64"/>
      <c r="G1613" s="70"/>
      <c r="H1613" s="16"/>
      <c r="I1613" s="16"/>
      <c r="J1613" s="16"/>
    </row>
    <row r="1614" spans="3:10" ht="13.5" customHeight="1" x14ac:dyDescent="0.25">
      <c r="C1614" s="35"/>
      <c r="D1614" s="35"/>
      <c r="E1614" s="35"/>
      <c r="F1614" s="65"/>
      <c r="G1614" s="69"/>
      <c r="H1614" s="35"/>
      <c r="I1614" s="35"/>
      <c r="J1614" s="35"/>
    </row>
    <row r="1615" spans="3:10" ht="13.5" customHeight="1" x14ac:dyDescent="0.25">
      <c r="C1615" s="16"/>
      <c r="D1615" s="16"/>
      <c r="E1615" s="16"/>
      <c r="F1615" s="64"/>
      <c r="G1615" s="70"/>
      <c r="H1615" s="16"/>
      <c r="I1615" s="16"/>
      <c r="J1615" s="16"/>
    </row>
    <row r="1616" spans="3:10" ht="13.5" customHeight="1" x14ac:dyDescent="0.25">
      <c r="C1616" s="35"/>
      <c r="D1616" s="35"/>
      <c r="E1616" s="35"/>
      <c r="F1616" s="65"/>
      <c r="G1616" s="69"/>
      <c r="H1616" s="35"/>
      <c r="I1616" s="35"/>
      <c r="J1616" s="35"/>
    </row>
    <row r="1617" spans="3:10" ht="13.5" customHeight="1" x14ac:dyDescent="0.25">
      <c r="C1617" s="16"/>
      <c r="D1617" s="16"/>
      <c r="E1617" s="16"/>
      <c r="F1617" s="64"/>
      <c r="G1617" s="70"/>
      <c r="H1617" s="16"/>
      <c r="I1617" s="16"/>
      <c r="J1617" s="16"/>
    </row>
    <row r="1618" spans="3:10" ht="13.5" customHeight="1" x14ac:dyDescent="0.25">
      <c r="C1618" s="35"/>
      <c r="D1618" s="35"/>
      <c r="E1618" s="35"/>
      <c r="F1618" s="65"/>
      <c r="G1618" s="69"/>
      <c r="H1618" s="35"/>
      <c r="I1618" s="35"/>
      <c r="J1618" s="35"/>
    </row>
    <row r="1619" spans="3:10" ht="13.5" customHeight="1" x14ac:dyDescent="0.25">
      <c r="C1619" s="16"/>
      <c r="D1619" s="16"/>
      <c r="E1619" s="16"/>
      <c r="F1619" s="64"/>
      <c r="G1619" s="70"/>
      <c r="H1619" s="16"/>
      <c r="I1619" s="16"/>
      <c r="J1619" s="16"/>
    </row>
    <row r="1620" spans="3:10" ht="13.5" customHeight="1" x14ac:dyDescent="0.25">
      <c r="C1620" s="35"/>
      <c r="D1620" s="35"/>
      <c r="E1620" s="35"/>
      <c r="F1620" s="65"/>
      <c r="G1620" s="69"/>
      <c r="H1620" s="35"/>
      <c r="I1620" s="35"/>
      <c r="J1620" s="35"/>
    </row>
    <row r="1621" spans="3:10" ht="13.5" customHeight="1" x14ac:dyDescent="0.25">
      <c r="C1621" s="16"/>
      <c r="D1621" s="16"/>
      <c r="E1621" s="16"/>
      <c r="F1621" s="64"/>
      <c r="G1621" s="70"/>
      <c r="H1621" s="16"/>
      <c r="I1621" s="16"/>
      <c r="J1621" s="16"/>
    </row>
    <row r="1622" spans="3:10" ht="13.5" customHeight="1" x14ac:dyDescent="0.25">
      <c r="C1622" s="35"/>
      <c r="D1622" s="35"/>
      <c r="E1622" s="35"/>
      <c r="F1622" s="65"/>
      <c r="G1622" s="69"/>
      <c r="H1622" s="35"/>
      <c r="I1622" s="35"/>
      <c r="J1622" s="35"/>
    </row>
    <row r="1623" spans="3:10" ht="13.5" customHeight="1" x14ac:dyDescent="0.25">
      <c r="C1623" s="16"/>
      <c r="D1623" s="16"/>
      <c r="E1623" s="16"/>
      <c r="F1623" s="64"/>
      <c r="G1623" s="70"/>
      <c r="H1623" s="16"/>
      <c r="I1623" s="16"/>
      <c r="J1623" s="16"/>
    </row>
    <row r="1624" spans="3:10" ht="13.5" customHeight="1" x14ac:dyDescent="0.25">
      <c r="C1624" s="35"/>
      <c r="D1624" s="35"/>
      <c r="E1624" s="35"/>
      <c r="F1624" s="65"/>
      <c r="G1624" s="69"/>
      <c r="H1624" s="35"/>
      <c r="I1624" s="35"/>
      <c r="J1624" s="35"/>
    </row>
    <row r="1625" spans="3:10" ht="13.5" customHeight="1" x14ac:dyDescent="0.25">
      <c r="C1625" s="16"/>
      <c r="D1625" s="16"/>
      <c r="E1625" s="16"/>
      <c r="F1625" s="64"/>
      <c r="G1625" s="70"/>
      <c r="H1625" s="16"/>
      <c r="I1625" s="16"/>
      <c r="J1625" s="16"/>
    </row>
    <row r="1626" spans="3:10" ht="13.5" customHeight="1" x14ac:dyDescent="0.25">
      <c r="C1626" s="35"/>
      <c r="D1626" s="35"/>
      <c r="E1626" s="35"/>
      <c r="F1626" s="65"/>
      <c r="G1626" s="69"/>
      <c r="H1626" s="35"/>
      <c r="I1626" s="35"/>
      <c r="J1626" s="35"/>
    </row>
    <row r="1627" spans="3:10" ht="13.5" customHeight="1" x14ac:dyDescent="0.25">
      <c r="C1627" s="16"/>
      <c r="D1627" s="16"/>
      <c r="E1627" s="16"/>
      <c r="F1627" s="64"/>
      <c r="G1627" s="70"/>
      <c r="H1627" s="16"/>
      <c r="I1627" s="16"/>
      <c r="J1627" s="16"/>
    </row>
    <row r="1628" spans="3:10" ht="13.5" customHeight="1" x14ac:dyDescent="0.25">
      <c r="C1628" s="35"/>
      <c r="D1628" s="35"/>
      <c r="E1628" s="35"/>
      <c r="F1628" s="65"/>
      <c r="G1628" s="69"/>
      <c r="H1628" s="35"/>
      <c r="I1628" s="35"/>
      <c r="J1628" s="35"/>
    </row>
    <row r="1629" spans="3:10" ht="13.5" customHeight="1" x14ac:dyDescent="0.25">
      <c r="C1629" s="16"/>
      <c r="D1629" s="16"/>
      <c r="E1629" s="16"/>
      <c r="F1629" s="64"/>
      <c r="G1629" s="70"/>
      <c r="H1629" s="16"/>
      <c r="I1629" s="16"/>
      <c r="J1629" s="16"/>
    </row>
    <row r="1630" spans="3:10" ht="13.5" customHeight="1" x14ac:dyDescent="0.25">
      <c r="C1630" s="35"/>
      <c r="D1630" s="35"/>
      <c r="E1630" s="35"/>
      <c r="F1630" s="65"/>
      <c r="G1630" s="69"/>
      <c r="H1630" s="35"/>
      <c r="I1630" s="35"/>
      <c r="J1630" s="35"/>
    </row>
    <row r="1631" spans="3:10" ht="13.5" customHeight="1" x14ac:dyDescent="0.25">
      <c r="C1631" s="16"/>
      <c r="D1631" s="16"/>
      <c r="E1631" s="16"/>
      <c r="F1631" s="64"/>
      <c r="G1631" s="70"/>
      <c r="H1631" s="16"/>
      <c r="I1631" s="16"/>
      <c r="J1631" s="16"/>
    </row>
    <row r="1632" spans="3:10" ht="13.5" customHeight="1" x14ac:dyDescent="0.25">
      <c r="C1632" s="35"/>
      <c r="D1632" s="35"/>
      <c r="E1632" s="35"/>
      <c r="F1632" s="65"/>
      <c r="G1632" s="69"/>
      <c r="H1632" s="35"/>
      <c r="I1632" s="35"/>
      <c r="J1632" s="35"/>
    </row>
    <row r="1633" spans="3:10" ht="13.5" customHeight="1" x14ac:dyDescent="0.25">
      <c r="C1633" s="16"/>
      <c r="D1633" s="16"/>
      <c r="E1633" s="16"/>
      <c r="F1633" s="64"/>
      <c r="G1633" s="70"/>
      <c r="H1633" s="16"/>
      <c r="I1633" s="16"/>
      <c r="J1633" s="16"/>
    </row>
    <row r="1634" spans="3:10" ht="13.5" customHeight="1" x14ac:dyDescent="0.25">
      <c r="C1634" s="35"/>
      <c r="D1634" s="35"/>
      <c r="E1634" s="35"/>
      <c r="F1634" s="65"/>
      <c r="G1634" s="69"/>
      <c r="H1634" s="35"/>
      <c r="I1634" s="35"/>
      <c r="J1634" s="35"/>
    </row>
    <row r="1635" spans="3:10" ht="13.5" customHeight="1" x14ac:dyDescent="0.25">
      <c r="C1635" s="16"/>
      <c r="D1635" s="16"/>
      <c r="E1635" s="16"/>
      <c r="F1635" s="64"/>
      <c r="G1635" s="70"/>
      <c r="H1635" s="16"/>
      <c r="I1635" s="16"/>
      <c r="J1635" s="16"/>
    </row>
    <row r="1636" spans="3:10" ht="13.5" customHeight="1" x14ac:dyDescent="0.25">
      <c r="C1636" s="35"/>
      <c r="D1636" s="35"/>
      <c r="E1636" s="35"/>
      <c r="F1636" s="65"/>
      <c r="G1636" s="69"/>
      <c r="H1636" s="35"/>
      <c r="I1636" s="35"/>
      <c r="J1636" s="35"/>
    </row>
    <row r="1637" spans="3:10" ht="13.5" customHeight="1" x14ac:dyDescent="0.25">
      <c r="C1637" s="16"/>
      <c r="D1637" s="16"/>
      <c r="E1637" s="16"/>
      <c r="F1637" s="64"/>
      <c r="G1637" s="70"/>
      <c r="H1637" s="16"/>
      <c r="I1637" s="16"/>
      <c r="J1637" s="16"/>
    </row>
    <row r="1638" spans="3:10" ht="13.5" customHeight="1" x14ac:dyDescent="0.25">
      <c r="C1638" s="35"/>
      <c r="D1638" s="35"/>
      <c r="E1638" s="35"/>
      <c r="F1638" s="65"/>
      <c r="G1638" s="69"/>
      <c r="H1638" s="35"/>
      <c r="I1638" s="35"/>
      <c r="J1638" s="35"/>
    </row>
    <row r="1639" spans="3:10" ht="13.5" customHeight="1" x14ac:dyDescent="0.25">
      <c r="C1639" s="16"/>
      <c r="D1639" s="16"/>
      <c r="E1639" s="16"/>
      <c r="F1639" s="64"/>
      <c r="G1639" s="70"/>
      <c r="H1639" s="16"/>
      <c r="I1639" s="16"/>
      <c r="J1639" s="16"/>
    </row>
    <row r="1640" spans="3:10" ht="13.5" customHeight="1" x14ac:dyDescent="0.25">
      <c r="C1640" s="35"/>
      <c r="D1640" s="35"/>
      <c r="E1640" s="35"/>
      <c r="F1640" s="65"/>
      <c r="G1640" s="69"/>
      <c r="H1640" s="35"/>
      <c r="I1640" s="35"/>
      <c r="J1640" s="35"/>
    </row>
    <row r="1641" spans="3:10" ht="13.5" customHeight="1" x14ac:dyDescent="0.25">
      <c r="C1641" s="16"/>
      <c r="D1641" s="16"/>
      <c r="E1641" s="16"/>
      <c r="F1641" s="64"/>
      <c r="G1641" s="70"/>
      <c r="H1641" s="16"/>
      <c r="I1641" s="16"/>
      <c r="J1641" s="16"/>
    </row>
    <row r="1642" spans="3:10" ht="13.5" customHeight="1" x14ac:dyDescent="0.25">
      <c r="C1642" s="35"/>
      <c r="D1642" s="35"/>
      <c r="E1642" s="35"/>
      <c r="F1642" s="65"/>
      <c r="G1642" s="69"/>
      <c r="H1642" s="35"/>
      <c r="I1642" s="35"/>
      <c r="J1642" s="35"/>
    </row>
    <row r="1643" spans="3:10" ht="13.5" customHeight="1" x14ac:dyDescent="0.25">
      <c r="C1643" s="16"/>
      <c r="D1643" s="16"/>
      <c r="E1643" s="16"/>
      <c r="F1643" s="64"/>
      <c r="G1643" s="70"/>
      <c r="H1643" s="16"/>
      <c r="I1643" s="16"/>
      <c r="J1643" s="16"/>
    </row>
    <row r="1644" spans="3:10" ht="13.5" customHeight="1" x14ac:dyDescent="0.25">
      <c r="C1644" s="35"/>
      <c r="D1644" s="35"/>
      <c r="E1644" s="35"/>
      <c r="F1644" s="65"/>
      <c r="G1644" s="69"/>
      <c r="H1644" s="35"/>
      <c r="I1644" s="35"/>
      <c r="J1644" s="35"/>
    </row>
    <row r="1645" spans="3:10" ht="13.5" customHeight="1" x14ac:dyDescent="0.25">
      <c r="C1645" s="16"/>
      <c r="D1645" s="16"/>
      <c r="E1645" s="16"/>
      <c r="F1645" s="64"/>
      <c r="G1645" s="70"/>
      <c r="H1645" s="16"/>
      <c r="I1645" s="16"/>
      <c r="J1645" s="16"/>
    </row>
    <row r="1646" spans="3:10" ht="13.5" customHeight="1" x14ac:dyDescent="0.25">
      <c r="C1646" s="35"/>
      <c r="D1646" s="35"/>
      <c r="E1646" s="35"/>
      <c r="F1646" s="65"/>
      <c r="G1646" s="69"/>
      <c r="H1646" s="35"/>
      <c r="I1646" s="35"/>
      <c r="J1646" s="35"/>
    </row>
    <row r="1647" spans="3:10" ht="13.5" customHeight="1" x14ac:dyDescent="0.25">
      <c r="C1647" s="16"/>
      <c r="D1647" s="16"/>
      <c r="E1647" s="16"/>
      <c r="F1647" s="64"/>
      <c r="G1647" s="70"/>
      <c r="H1647" s="16"/>
      <c r="I1647" s="16"/>
      <c r="J1647" s="16"/>
    </row>
    <row r="1648" spans="3:10" ht="13.5" customHeight="1" x14ac:dyDescent="0.25">
      <c r="C1648" s="35"/>
      <c r="D1648" s="35"/>
      <c r="E1648" s="35"/>
      <c r="F1648" s="65"/>
      <c r="G1648" s="69"/>
      <c r="H1648" s="35"/>
      <c r="I1648" s="35"/>
      <c r="J1648" s="35"/>
    </row>
    <row r="1649" spans="3:10" ht="13.5" customHeight="1" x14ac:dyDescent="0.25">
      <c r="C1649" s="16"/>
      <c r="D1649" s="16"/>
      <c r="E1649" s="16"/>
      <c r="F1649" s="64"/>
      <c r="G1649" s="70"/>
      <c r="H1649" s="16"/>
      <c r="I1649" s="16"/>
      <c r="J1649" s="16"/>
    </row>
    <row r="1650" spans="3:10" ht="13.5" customHeight="1" x14ac:dyDescent="0.25">
      <c r="C1650" s="35"/>
      <c r="D1650" s="35"/>
      <c r="E1650" s="35"/>
      <c r="F1650" s="65"/>
      <c r="G1650" s="69"/>
      <c r="H1650" s="35"/>
      <c r="I1650" s="35"/>
      <c r="J1650" s="35"/>
    </row>
    <row r="1651" spans="3:10" ht="13.5" customHeight="1" x14ac:dyDescent="0.25">
      <c r="C1651" s="16"/>
      <c r="D1651" s="16"/>
      <c r="E1651" s="16"/>
      <c r="F1651" s="64"/>
      <c r="G1651" s="70"/>
      <c r="H1651" s="16"/>
      <c r="I1651" s="16"/>
      <c r="J1651" s="16"/>
    </row>
    <row r="1652" spans="3:10" ht="13.5" customHeight="1" x14ac:dyDescent="0.25">
      <c r="C1652" s="35"/>
      <c r="D1652" s="35"/>
      <c r="E1652" s="35"/>
      <c r="F1652" s="65"/>
      <c r="G1652" s="69"/>
      <c r="H1652" s="35"/>
      <c r="I1652" s="35"/>
      <c r="J1652" s="35"/>
    </row>
    <row r="1653" spans="3:10" ht="13.5" customHeight="1" x14ac:dyDescent="0.25">
      <c r="C1653" s="16"/>
      <c r="D1653" s="16"/>
      <c r="E1653" s="16"/>
      <c r="F1653" s="64"/>
      <c r="G1653" s="70"/>
      <c r="H1653" s="16"/>
      <c r="I1653" s="16"/>
      <c r="J1653" s="16"/>
    </row>
    <row r="1654" spans="3:10" ht="13.5" customHeight="1" x14ac:dyDescent="0.25">
      <c r="C1654" s="35"/>
      <c r="D1654" s="35"/>
      <c r="E1654" s="35"/>
      <c r="F1654" s="65"/>
      <c r="G1654" s="69"/>
      <c r="H1654" s="35"/>
      <c r="I1654" s="35"/>
      <c r="J1654" s="35"/>
    </row>
    <row r="1655" spans="3:10" ht="13.5" customHeight="1" x14ac:dyDescent="0.25">
      <c r="C1655" s="16"/>
      <c r="D1655" s="16"/>
      <c r="E1655" s="16"/>
      <c r="F1655" s="64"/>
      <c r="G1655" s="70"/>
      <c r="H1655" s="16"/>
      <c r="I1655" s="16"/>
      <c r="J1655" s="16"/>
    </row>
    <row r="1656" spans="3:10" ht="13.5" customHeight="1" x14ac:dyDescent="0.25">
      <c r="C1656" s="35"/>
      <c r="D1656" s="35"/>
      <c r="E1656" s="35"/>
      <c r="F1656" s="65"/>
      <c r="G1656" s="69"/>
      <c r="H1656" s="35"/>
      <c r="I1656" s="35"/>
      <c r="J1656" s="35"/>
    </row>
    <row r="1657" spans="3:10" ht="13.5" customHeight="1" x14ac:dyDescent="0.25">
      <c r="C1657" s="16"/>
      <c r="D1657" s="16"/>
      <c r="E1657" s="16"/>
      <c r="F1657" s="64"/>
      <c r="G1657" s="70"/>
      <c r="H1657" s="16"/>
      <c r="I1657" s="16"/>
      <c r="J1657" s="16"/>
    </row>
    <row r="1658" spans="3:10" ht="13.5" customHeight="1" x14ac:dyDescent="0.25">
      <c r="C1658" s="35"/>
      <c r="D1658" s="35"/>
      <c r="E1658" s="35"/>
      <c r="F1658" s="65"/>
      <c r="G1658" s="69"/>
      <c r="H1658" s="35"/>
      <c r="I1658" s="35"/>
      <c r="J1658" s="35"/>
    </row>
    <row r="1659" spans="3:10" ht="13.5" customHeight="1" x14ac:dyDescent="0.25">
      <c r="C1659" s="16"/>
      <c r="D1659" s="16"/>
      <c r="E1659" s="16"/>
      <c r="F1659" s="64"/>
      <c r="G1659" s="70"/>
      <c r="H1659" s="16"/>
      <c r="I1659" s="16"/>
      <c r="J1659" s="16"/>
    </row>
    <row r="1660" spans="3:10" ht="13.5" customHeight="1" x14ac:dyDescent="0.25">
      <c r="C1660" s="35"/>
      <c r="D1660" s="35"/>
      <c r="E1660" s="35"/>
      <c r="F1660" s="65"/>
      <c r="G1660" s="69"/>
      <c r="H1660" s="35"/>
      <c r="I1660" s="35"/>
      <c r="J1660" s="35"/>
    </row>
    <row r="1661" spans="3:10" ht="13.5" customHeight="1" x14ac:dyDescent="0.25">
      <c r="C1661" s="16"/>
      <c r="D1661" s="16"/>
      <c r="E1661" s="16"/>
      <c r="F1661" s="64"/>
      <c r="G1661" s="70"/>
      <c r="H1661" s="16"/>
      <c r="I1661" s="16"/>
      <c r="J1661" s="16"/>
    </row>
    <row r="1662" spans="3:10" ht="13.5" customHeight="1" x14ac:dyDescent="0.25">
      <c r="C1662" s="35"/>
      <c r="D1662" s="35"/>
      <c r="E1662" s="35"/>
      <c r="F1662" s="65"/>
      <c r="G1662" s="69"/>
      <c r="H1662" s="35"/>
      <c r="I1662" s="35"/>
      <c r="J1662" s="35"/>
    </row>
    <row r="1663" spans="3:10" ht="13.5" customHeight="1" x14ac:dyDescent="0.25">
      <c r="C1663" s="16"/>
      <c r="D1663" s="16"/>
      <c r="E1663" s="16"/>
      <c r="F1663" s="64"/>
      <c r="G1663" s="70"/>
      <c r="H1663" s="16"/>
      <c r="I1663" s="16"/>
      <c r="J1663" s="16"/>
    </row>
    <row r="1664" spans="3:10" ht="13.5" customHeight="1" x14ac:dyDescent="0.25">
      <c r="C1664" s="35"/>
      <c r="D1664" s="35"/>
      <c r="E1664" s="35"/>
      <c r="F1664" s="65"/>
      <c r="G1664" s="69"/>
      <c r="H1664" s="35"/>
      <c r="I1664" s="35"/>
      <c r="J1664" s="35"/>
    </row>
    <row r="1665" spans="3:10" ht="13.5" customHeight="1" x14ac:dyDescent="0.25">
      <c r="C1665" s="16"/>
      <c r="D1665" s="16"/>
      <c r="E1665" s="16"/>
      <c r="F1665" s="64"/>
      <c r="G1665" s="70"/>
      <c r="H1665" s="16"/>
      <c r="I1665" s="16"/>
      <c r="J1665" s="16"/>
    </row>
    <row r="1666" spans="3:10" ht="13.5" customHeight="1" x14ac:dyDescent="0.25">
      <c r="C1666" s="35"/>
      <c r="D1666" s="35"/>
      <c r="E1666" s="35"/>
      <c r="F1666" s="65"/>
      <c r="G1666" s="69"/>
      <c r="H1666" s="35"/>
      <c r="I1666" s="35"/>
      <c r="J1666" s="35"/>
    </row>
    <row r="1667" spans="3:10" ht="13.5" customHeight="1" x14ac:dyDescent="0.25">
      <c r="C1667" s="16"/>
      <c r="D1667" s="16"/>
      <c r="E1667" s="16"/>
      <c r="F1667" s="64"/>
      <c r="G1667" s="70"/>
      <c r="H1667" s="16"/>
      <c r="I1667" s="16"/>
      <c r="J1667" s="16"/>
    </row>
    <row r="1668" spans="3:10" ht="13.5" customHeight="1" x14ac:dyDescent="0.25">
      <c r="C1668" s="35"/>
      <c r="D1668" s="35"/>
      <c r="E1668" s="35"/>
      <c r="F1668" s="65"/>
      <c r="G1668" s="69"/>
      <c r="H1668" s="35"/>
      <c r="I1668" s="35"/>
      <c r="J1668" s="35"/>
    </row>
    <row r="1669" spans="3:10" ht="13.5" customHeight="1" x14ac:dyDescent="0.25">
      <c r="C1669" s="16"/>
      <c r="D1669" s="16"/>
      <c r="E1669" s="16"/>
      <c r="F1669" s="64"/>
      <c r="G1669" s="70"/>
      <c r="H1669" s="16"/>
      <c r="I1669" s="16"/>
      <c r="J1669" s="16"/>
    </row>
    <row r="1670" spans="3:10" ht="13.5" customHeight="1" x14ac:dyDescent="0.25">
      <c r="C1670" s="35"/>
      <c r="D1670" s="35"/>
      <c r="E1670" s="35"/>
      <c r="F1670" s="65"/>
      <c r="G1670" s="69"/>
      <c r="H1670" s="35"/>
      <c r="I1670" s="35"/>
      <c r="J1670" s="35"/>
    </row>
    <row r="1671" spans="3:10" ht="13.5" customHeight="1" x14ac:dyDescent="0.25">
      <c r="C1671" s="16"/>
      <c r="D1671" s="16"/>
      <c r="E1671" s="16"/>
      <c r="F1671" s="64"/>
      <c r="G1671" s="70"/>
      <c r="H1671" s="16"/>
      <c r="I1671" s="16"/>
      <c r="J1671" s="16"/>
    </row>
    <row r="1672" spans="3:10" ht="13.5" customHeight="1" x14ac:dyDescent="0.25">
      <c r="C1672" s="35"/>
      <c r="D1672" s="35"/>
      <c r="E1672" s="35"/>
      <c r="F1672" s="65"/>
      <c r="G1672" s="69"/>
      <c r="H1672" s="35"/>
      <c r="I1672" s="35"/>
      <c r="J1672" s="35"/>
    </row>
    <row r="1673" spans="3:10" ht="13.5" customHeight="1" x14ac:dyDescent="0.25">
      <c r="C1673" s="16"/>
      <c r="D1673" s="16"/>
      <c r="E1673" s="16"/>
      <c r="F1673" s="64"/>
      <c r="G1673" s="70"/>
      <c r="H1673" s="16"/>
      <c r="I1673" s="16"/>
      <c r="J1673" s="16"/>
    </row>
    <row r="1674" spans="3:10" ht="13.5" customHeight="1" x14ac:dyDescent="0.25">
      <c r="C1674" s="35"/>
      <c r="D1674" s="35"/>
      <c r="E1674" s="35"/>
      <c r="F1674" s="65"/>
      <c r="G1674" s="69"/>
      <c r="H1674" s="35"/>
      <c r="I1674" s="35"/>
      <c r="J1674" s="35"/>
    </row>
    <row r="1675" spans="3:10" ht="13.5" customHeight="1" x14ac:dyDescent="0.25">
      <c r="C1675" s="16"/>
      <c r="D1675" s="16"/>
      <c r="E1675" s="16"/>
      <c r="F1675" s="64"/>
      <c r="G1675" s="70"/>
      <c r="H1675" s="16"/>
      <c r="I1675" s="16"/>
      <c r="J1675" s="16"/>
    </row>
    <row r="1676" spans="3:10" ht="13.5" customHeight="1" x14ac:dyDescent="0.25">
      <c r="C1676" s="35"/>
      <c r="D1676" s="35"/>
      <c r="E1676" s="35"/>
      <c r="F1676" s="65"/>
      <c r="G1676" s="69"/>
      <c r="H1676" s="35"/>
      <c r="I1676" s="35"/>
      <c r="J1676" s="35"/>
    </row>
    <row r="1677" spans="3:10" ht="13.5" customHeight="1" x14ac:dyDescent="0.25">
      <c r="C1677" s="16"/>
      <c r="D1677" s="16"/>
      <c r="E1677" s="16"/>
      <c r="F1677" s="64"/>
      <c r="G1677" s="70"/>
      <c r="H1677" s="16"/>
      <c r="I1677" s="16"/>
      <c r="J1677" s="16"/>
    </row>
    <row r="1678" spans="3:10" ht="13.5" customHeight="1" x14ac:dyDescent="0.25">
      <c r="C1678" s="35"/>
      <c r="D1678" s="35"/>
      <c r="E1678" s="35"/>
      <c r="F1678" s="65"/>
      <c r="G1678" s="69"/>
      <c r="H1678" s="35"/>
      <c r="I1678" s="35"/>
      <c r="J1678" s="35"/>
    </row>
    <row r="1679" spans="3:10" ht="13.5" customHeight="1" x14ac:dyDescent="0.25">
      <c r="C1679" s="16"/>
      <c r="D1679" s="16"/>
      <c r="E1679" s="16"/>
      <c r="F1679" s="64"/>
      <c r="G1679" s="70"/>
      <c r="H1679" s="16"/>
      <c r="I1679" s="16"/>
      <c r="J1679" s="16"/>
    </row>
    <row r="1680" spans="3:10" ht="13.5" customHeight="1" x14ac:dyDescent="0.25">
      <c r="C1680" s="35"/>
      <c r="D1680" s="35"/>
      <c r="E1680" s="35"/>
      <c r="F1680" s="65"/>
      <c r="G1680" s="69"/>
      <c r="H1680" s="35"/>
      <c r="I1680" s="35"/>
      <c r="J1680" s="35"/>
    </row>
    <row r="1681" spans="3:10" ht="13.5" customHeight="1" x14ac:dyDescent="0.25">
      <c r="C1681" s="16"/>
      <c r="D1681" s="16"/>
      <c r="E1681" s="16"/>
      <c r="F1681" s="64"/>
      <c r="G1681" s="70"/>
      <c r="H1681" s="16"/>
      <c r="I1681" s="16"/>
      <c r="J1681" s="16"/>
    </row>
    <row r="1682" spans="3:10" ht="13.5" customHeight="1" x14ac:dyDescent="0.25">
      <c r="C1682" s="35"/>
      <c r="D1682" s="35"/>
      <c r="E1682" s="35"/>
      <c r="F1682" s="65"/>
      <c r="G1682" s="69"/>
      <c r="H1682" s="35"/>
      <c r="I1682" s="35"/>
      <c r="J1682" s="35"/>
    </row>
    <row r="1683" spans="3:10" ht="13.5" customHeight="1" x14ac:dyDescent="0.25">
      <c r="C1683" s="16"/>
      <c r="D1683" s="16"/>
      <c r="E1683" s="16"/>
      <c r="F1683" s="64"/>
      <c r="G1683" s="70"/>
      <c r="H1683" s="16"/>
      <c r="I1683" s="16"/>
      <c r="J1683" s="16"/>
    </row>
    <row r="1684" spans="3:10" ht="13.5" customHeight="1" x14ac:dyDescent="0.25">
      <c r="C1684" s="35"/>
      <c r="D1684" s="35"/>
      <c r="E1684" s="35"/>
      <c r="F1684" s="65"/>
      <c r="G1684" s="69"/>
      <c r="H1684" s="35"/>
      <c r="I1684" s="35"/>
      <c r="J1684" s="35"/>
    </row>
    <row r="1685" spans="3:10" ht="13.5" customHeight="1" x14ac:dyDescent="0.25">
      <c r="C1685" s="16"/>
      <c r="D1685" s="16"/>
      <c r="E1685" s="16"/>
      <c r="F1685" s="64"/>
      <c r="G1685" s="70"/>
      <c r="H1685" s="16"/>
      <c r="I1685" s="16"/>
      <c r="J1685" s="16"/>
    </row>
    <row r="1686" spans="3:10" ht="13.5" customHeight="1" x14ac:dyDescent="0.25">
      <c r="C1686" s="35"/>
      <c r="D1686" s="35"/>
      <c r="E1686" s="35"/>
      <c r="F1686" s="65"/>
      <c r="G1686" s="69"/>
      <c r="H1686" s="35"/>
      <c r="I1686" s="35"/>
      <c r="J1686" s="35"/>
    </row>
    <row r="1687" spans="3:10" ht="13.5" customHeight="1" x14ac:dyDescent="0.25">
      <c r="C1687" s="16"/>
      <c r="D1687" s="16"/>
      <c r="E1687" s="16"/>
      <c r="F1687" s="64"/>
      <c r="G1687" s="70"/>
      <c r="H1687" s="16"/>
      <c r="I1687" s="16"/>
      <c r="J1687" s="16"/>
    </row>
    <row r="1688" spans="3:10" ht="13.5" customHeight="1" x14ac:dyDescent="0.25">
      <c r="C1688" s="35"/>
      <c r="D1688" s="35"/>
      <c r="E1688" s="35"/>
      <c r="F1688" s="65"/>
      <c r="G1688" s="69"/>
      <c r="H1688" s="35"/>
      <c r="I1688" s="35"/>
      <c r="J1688" s="35"/>
    </row>
    <row r="1689" spans="3:10" ht="13.5" customHeight="1" x14ac:dyDescent="0.25">
      <c r="C1689" s="16"/>
      <c r="D1689" s="16"/>
      <c r="E1689" s="16"/>
      <c r="F1689" s="64"/>
      <c r="G1689" s="70"/>
      <c r="H1689" s="16"/>
      <c r="I1689" s="16"/>
      <c r="J1689" s="16"/>
    </row>
    <row r="1690" spans="3:10" ht="13.5" customHeight="1" x14ac:dyDescent="0.25">
      <c r="C1690" s="35"/>
      <c r="D1690" s="35"/>
      <c r="E1690" s="35"/>
      <c r="F1690" s="65"/>
      <c r="G1690" s="69"/>
      <c r="H1690" s="35"/>
      <c r="I1690" s="35"/>
      <c r="J1690" s="35"/>
    </row>
    <row r="1691" spans="3:10" ht="13.5" customHeight="1" x14ac:dyDescent="0.25">
      <c r="C1691" s="16"/>
      <c r="D1691" s="16"/>
      <c r="E1691" s="16"/>
      <c r="F1691" s="64"/>
      <c r="G1691" s="70"/>
      <c r="H1691" s="16"/>
      <c r="I1691" s="16"/>
      <c r="J1691" s="16"/>
    </row>
    <row r="1692" spans="3:10" ht="13.5" customHeight="1" x14ac:dyDescent="0.25">
      <c r="C1692" s="35"/>
      <c r="D1692" s="35"/>
      <c r="E1692" s="35"/>
      <c r="F1692" s="65"/>
      <c r="G1692" s="69"/>
      <c r="H1692" s="35"/>
      <c r="I1692" s="35"/>
      <c r="J1692" s="35"/>
    </row>
    <row r="1693" spans="3:10" ht="13.5" customHeight="1" x14ac:dyDescent="0.25">
      <c r="C1693" s="16"/>
      <c r="D1693" s="16"/>
      <c r="E1693" s="16"/>
      <c r="F1693" s="64"/>
      <c r="G1693" s="70"/>
      <c r="H1693" s="16"/>
      <c r="I1693" s="16"/>
      <c r="J1693" s="16"/>
    </row>
    <row r="1694" spans="3:10" ht="13.5" customHeight="1" x14ac:dyDescent="0.25">
      <c r="C1694" s="35"/>
      <c r="D1694" s="35"/>
      <c r="E1694" s="35"/>
      <c r="F1694" s="65"/>
      <c r="G1694" s="69"/>
      <c r="H1694" s="35"/>
      <c r="I1694" s="35"/>
      <c r="J1694" s="35"/>
    </row>
    <row r="1695" spans="3:10" ht="13.5" customHeight="1" x14ac:dyDescent="0.25">
      <c r="C1695" s="16"/>
      <c r="D1695" s="16"/>
      <c r="E1695" s="16"/>
      <c r="F1695" s="64"/>
      <c r="G1695" s="70"/>
      <c r="H1695" s="16"/>
      <c r="I1695" s="16"/>
      <c r="J1695" s="16"/>
    </row>
    <row r="1696" spans="3:10" ht="13.5" customHeight="1" x14ac:dyDescent="0.25">
      <c r="C1696" s="35"/>
      <c r="D1696" s="35"/>
      <c r="E1696" s="35"/>
      <c r="F1696" s="65"/>
      <c r="G1696" s="69"/>
      <c r="H1696" s="35"/>
      <c r="I1696" s="35"/>
      <c r="J1696" s="35"/>
    </row>
    <row r="1697" spans="3:10" ht="13.5" customHeight="1" x14ac:dyDescent="0.25">
      <c r="C1697" s="16"/>
      <c r="D1697" s="16"/>
      <c r="E1697" s="16"/>
      <c r="F1697" s="64"/>
      <c r="G1697" s="70"/>
      <c r="H1697" s="16"/>
      <c r="I1697" s="16"/>
      <c r="J1697" s="16"/>
    </row>
    <row r="1698" spans="3:10" ht="13.5" customHeight="1" x14ac:dyDescent="0.25">
      <c r="C1698" s="35"/>
      <c r="D1698" s="35"/>
      <c r="E1698" s="35"/>
      <c r="F1698" s="65"/>
      <c r="G1698" s="69"/>
      <c r="H1698" s="35"/>
      <c r="I1698" s="35"/>
      <c r="J1698" s="35"/>
    </row>
    <row r="1699" spans="3:10" ht="13.5" customHeight="1" x14ac:dyDescent="0.25">
      <c r="C1699" s="16"/>
      <c r="D1699" s="16"/>
      <c r="E1699" s="16"/>
      <c r="F1699" s="64"/>
      <c r="G1699" s="70"/>
      <c r="H1699" s="16"/>
      <c r="I1699" s="16"/>
      <c r="J1699" s="16"/>
    </row>
    <row r="1700" spans="3:10" ht="13.5" customHeight="1" x14ac:dyDescent="0.25">
      <c r="C1700" s="35"/>
      <c r="D1700" s="35"/>
      <c r="E1700" s="35"/>
      <c r="F1700" s="65"/>
      <c r="G1700" s="69"/>
      <c r="H1700" s="35"/>
      <c r="I1700" s="35"/>
      <c r="J1700" s="35"/>
    </row>
    <row r="1701" spans="3:10" ht="13.5" customHeight="1" x14ac:dyDescent="0.25">
      <c r="C1701" s="16"/>
      <c r="D1701" s="16"/>
      <c r="E1701" s="16"/>
      <c r="F1701" s="64"/>
      <c r="G1701" s="70"/>
      <c r="H1701" s="16"/>
      <c r="I1701" s="16"/>
      <c r="J1701" s="16"/>
    </row>
    <row r="1702" spans="3:10" ht="13.5" customHeight="1" x14ac:dyDescent="0.25">
      <c r="C1702" s="35"/>
      <c r="D1702" s="35"/>
      <c r="E1702" s="35"/>
      <c r="F1702" s="65"/>
      <c r="G1702" s="69"/>
      <c r="H1702" s="35"/>
      <c r="I1702" s="35"/>
      <c r="J1702" s="35"/>
    </row>
    <row r="1703" spans="3:10" ht="13.5" customHeight="1" x14ac:dyDescent="0.25">
      <c r="C1703" s="16"/>
      <c r="D1703" s="16"/>
      <c r="E1703" s="16"/>
      <c r="F1703" s="64"/>
      <c r="G1703" s="70"/>
      <c r="H1703" s="16"/>
      <c r="I1703" s="16"/>
      <c r="J1703" s="16"/>
    </row>
    <row r="1704" spans="3:10" ht="13.5" customHeight="1" x14ac:dyDescent="0.25">
      <c r="C1704" s="35"/>
      <c r="D1704" s="35"/>
      <c r="E1704" s="35"/>
      <c r="F1704" s="65"/>
      <c r="G1704" s="69"/>
      <c r="H1704" s="35"/>
      <c r="I1704" s="35"/>
      <c r="J1704" s="35"/>
    </row>
    <row r="1705" spans="3:10" ht="13.5" customHeight="1" x14ac:dyDescent="0.25">
      <c r="C1705" s="16"/>
      <c r="D1705" s="16"/>
      <c r="E1705" s="16"/>
      <c r="F1705" s="64"/>
      <c r="G1705" s="70"/>
      <c r="H1705" s="16"/>
      <c r="I1705" s="16"/>
      <c r="J1705" s="16"/>
    </row>
    <row r="1706" spans="3:10" ht="13.5" customHeight="1" x14ac:dyDescent="0.25">
      <c r="C1706" s="35"/>
      <c r="D1706" s="35"/>
      <c r="E1706" s="35"/>
      <c r="F1706" s="65"/>
      <c r="G1706" s="69"/>
      <c r="H1706" s="35"/>
      <c r="I1706" s="35"/>
      <c r="J1706" s="35"/>
    </row>
    <row r="1707" spans="3:10" ht="13.5" customHeight="1" x14ac:dyDescent="0.25">
      <c r="C1707" s="16"/>
      <c r="D1707" s="16"/>
      <c r="E1707" s="16"/>
      <c r="F1707" s="64"/>
      <c r="G1707" s="70"/>
      <c r="H1707" s="16"/>
      <c r="I1707" s="16"/>
      <c r="J1707" s="16"/>
    </row>
    <row r="1708" spans="3:10" ht="13.5" customHeight="1" x14ac:dyDescent="0.25">
      <c r="C1708" s="35"/>
      <c r="D1708" s="35"/>
      <c r="E1708" s="35"/>
      <c r="F1708" s="65"/>
      <c r="G1708" s="69"/>
      <c r="H1708" s="35"/>
      <c r="I1708" s="35"/>
      <c r="J1708" s="35"/>
    </row>
    <row r="1709" spans="3:10" ht="13.5" customHeight="1" x14ac:dyDescent="0.25">
      <c r="C1709" s="16"/>
      <c r="D1709" s="16"/>
      <c r="E1709" s="16"/>
      <c r="F1709" s="64"/>
      <c r="G1709" s="70"/>
      <c r="H1709" s="16"/>
      <c r="I1709" s="16"/>
      <c r="J1709" s="16"/>
    </row>
    <row r="1710" spans="3:10" ht="13.5" customHeight="1" x14ac:dyDescent="0.25">
      <c r="C1710" s="35"/>
      <c r="D1710" s="35"/>
      <c r="E1710" s="35"/>
      <c r="F1710" s="65"/>
      <c r="G1710" s="69"/>
      <c r="H1710" s="35"/>
      <c r="I1710" s="35"/>
      <c r="J1710" s="35"/>
    </row>
    <row r="1711" spans="3:10" ht="13.5" customHeight="1" x14ac:dyDescent="0.25">
      <c r="C1711" s="16"/>
      <c r="D1711" s="16"/>
      <c r="E1711" s="16"/>
      <c r="F1711" s="64"/>
      <c r="G1711" s="70"/>
      <c r="H1711" s="16"/>
      <c r="I1711" s="16"/>
      <c r="J1711" s="16"/>
    </row>
    <row r="1712" spans="3:10" ht="13.5" customHeight="1" x14ac:dyDescent="0.25">
      <c r="C1712" s="35"/>
      <c r="D1712" s="35"/>
      <c r="E1712" s="35"/>
      <c r="F1712" s="65"/>
      <c r="G1712" s="69"/>
      <c r="H1712" s="35"/>
      <c r="I1712" s="35"/>
      <c r="J1712" s="35"/>
    </row>
    <row r="1713" spans="3:10" ht="13.5" customHeight="1" x14ac:dyDescent="0.25">
      <c r="C1713" s="16"/>
      <c r="D1713" s="16"/>
      <c r="E1713" s="16"/>
      <c r="F1713" s="64"/>
      <c r="G1713" s="70"/>
      <c r="H1713" s="16"/>
      <c r="I1713" s="16"/>
      <c r="J1713" s="16"/>
    </row>
    <row r="1714" spans="3:10" ht="13.5" customHeight="1" x14ac:dyDescent="0.25">
      <c r="C1714" s="35"/>
      <c r="D1714" s="35"/>
      <c r="E1714" s="35"/>
      <c r="F1714" s="65"/>
      <c r="G1714" s="69"/>
      <c r="H1714" s="35"/>
      <c r="I1714" s="35"/>
      <c r="J1714" s="35"/>
    </row>
    <row r="1715" spans="3:10" ht="13.5" customHeight="1" x14ac:dyDescent="0.25">
      <c r="C1715" s="16"/>
      <c r="D1715" s="16"/>
      <c r="E1715" s="16"/>
      <c r="F1715" s="64"/>
      <c r="G1715" s="70"/>
      <c r="H1715" s="16"/>
      <c r="I1715" s="16"/>
      <c r="J1715" s="16"/>
    </row>
    <row r="1716" spans="3:10" ht="13.5" customHeight="1" x14ac:dyDescent="0.25">
      <c r="C1716" s="35"/>
      <c r="D1716" s="35"/>
      <c r="E1716" s="35"/>
      <c r="F1716" s="65"/>
      <c r="G1716" s="69"/>
      <c r="H1716" s="35"/>
      <c r="I1716" s="35"/>
      <c r="J1716" s="35"/>
    </row>
    <row r="1717" spans="3:10" ht="13.5" customHeight="1" x14ac:dyDescent="0.25">
      <c r="C1717" s="16"/>
      <c r="D1717" s="16"/>
      <c r="E1717" s="16"/>
      <c r="F1717" s="64"/>
      <c r="G1717" s="70"/>
      <c r="H1717" s="16"/>
      <c r="I1717" s="16"/>
      <c r="J1717" s="16"/>
    </row>
    <row r="1718" spans="3:10" ht="13.5" customHeight="1" x14ac:dyDescent="0.25">
      <c r="C1718" s="35"/>
      <c r="D1718" s="35"/>
      <c r="E1718" s="35"/>
      <c r="F1718" s="65"/>
      <c r="G1718" s="69"/>
      <c r="H1718" s="35"/>
      <c r="I1718" s="35"/>
      <c r="J1718" s="35"/>
    </row>
    <row r="1719" spans="3:10" ht="13.5" customHeight="1" x14ac:dyDescent="0.25">
      <c r="C1719" s="16"/>
      <c r="D1719" s="16"/>
      <c r="E1719" s="16"/>
      <c r="F1719" s="64"/>
      <c r="G1719" s="70"/>
      <c r="H1719" s="16"/>
      <c r="I1719" s="16"/>
      <c r="J1719" s="16"/>
    </row>
    <row r="1720" spans="3:10" ht="13.5" customHeight="1" x14ac:dyDescent="0.25">
      <c r="C1720" s="35"/>
      <c r="D1720" s="35"/>
      <c r="E1720" s="35"/>
      <c r="F1720" s="65"/>
      <c r="G1720" s="69"/>
      <c r="H1720" s="35"/>
      <c r="I1720" s="35"/>
      <c r="J1720" s="35"/>
    </row>
    <row r="1721" spans="3:10" ht="13.5" customHeight="1" x14ac:dyDescent="0.25">
      <c r="C1721" s="16"/>
      <c r="D1721" s="16"/>
      <c r="E1721" s="16"/>
      <c r="F1721" s="64"/>
      <c r="G1721" s="70"/>
      <c r="H1721" s="16"/>
      <c r="I1721" s="16"/>
      <c r="J1721" s="16"/>
    </row>
    <row r="1722" spans="3:10" ht="13.5" customHeight="1" x14ac:dyDescent="0.25">
      <c r="C1722" s="35"/>
      <c r="D1722" s="35"/>
      <c r="E1722" s="35"/>
      <c r="F1722" s="65"/>
      <c r="G1722" s="69"/>
      <c r="H1722" s="35"/>
      <c r="I1722" s="35"/>
      <c r="J1722" s="35"/>
    </row>
    <row r="1723" spans="3:10" ht="13.5" customHeight="1" x14ac:dyDescent="0.25">
      <c r="C1723" s="16"/>
      <c r="D1723" s="16"/>
      <c r="E1723" s="16"/>
      <c r="F1723" s="64"/>
      <c r="G1723" s="70"/>
      <c r="H1723" s="16"/>
      <c r="I1723" s="16"/>
      <c r="J1723" s="16"/>
    </row>
    <row r="1724" spans="3:10" ht="13.5" customHeight="1" x14ac:dyDescent="0.25">
      <c r="C1724" s="35"/>
      <c r="D1724" s="35"/>
      <c r="E1724" s="35"/>
      <c r="F1724" s="65"/>
      <c r="G1724" s="69"/>
      <c r="H1724" s="35"/>
      <c r="I1724" s="35"/>
      <c r="J1724" s="35"/>
    </row>
    <row r="1725" spans="3:10" ht="13.5" customHeight="1" x14ac:dyDescent="0.25">
      <c r="C1725" s="16"/>
      <c r="D1725" s="16"/>
      <c r="E1725" s="16"/>
      <c r="F1725" s="64"/>
      <c r="G1725" s="70"/>
      <c r="H1725" s="16"/>
      <c r="I1725" s="16"/>
      <c r="J1725" s="16"/>
    </row>
    <row r="1726" spans="3:10" ht="13.5" customHeight="1" x14ac:dyDescent="0.25">
      <c r="C1726" s="35"/>
      <c r="D1726" s="35"/>
      <c r="E1726" s="35"/>
      <c r="F1726" s="65"/>
      <c r="G1726" s="69"/>
      <c r="H1726" s="35"/>
      <c r="I1726" s="35"/>
      <c r="J1726" s="35"/>
    </row>
    <row r="1727" spans="3:10" ht="13.5" customHeight="1" x14ac:dyDescent="0.25">
      <c r="C1727" s="16"/>
      <c r="D1727" s="16"/>
      <c r="E1727" s="16"/>
      <c r="F1727" s="64"/>
      <c r="G1727" s="70"/>
      <c r="H1727" s="16"/>
      <c r="I1727" s="16"/>
      <c r="J1727" s="16"/>
    </row>
    <row r="1728" spans="3:10" ht="13.5" customHeight="1" x14ac:dyDescent="0.25">
      <c r="C1728" s="35"/>
      <c r="D1728" s="35"/>
      <c r="E1728" s="35"/>
      <c r="F1728" s="65"/>
      <c r="G1728" s="69"/>
      <c r="H1728" s="35"/>
      <c r="I1728" s="35"/>
      <c r="J1728" s="35"/>
    </row>
    <row r="1729" spans="3:10" ht="13.5" customHeight="1" x14ac:dyDescent="0.25">
      <c r="C1729" s="16"/>
      <c r="D1729" s="16"/>
      <c r="E1729" s="16"/>
      <c r="F1729" s="64"/>
      <c r="G1729" s="70"/>
      <c r="H1729" s="16"/>
      <c r="I1729" s="16"/>
      <c r="J1729" s="16"/>
    </row>
    <row r="1730" spans="3:10" ht="13.5" customHeight="1" x14ac:dyDescent="0.25">
      <c r="C1730" s="35"/>
      <c r="D1730" s="35"/>
      <c r="E1730" s="35"/>
      <c r="F1730" s="65"/>
      <c r="G1730" s="69"/>
      <c r="H1730" s="35"/>
      <c r="I1730" s="35"/>
      <c r="J1730" s="35"/>
    </row>
    <row r="1731" spans="3:10" ht="13.5" customHeight="1" x14ac:dyDescent="0.25">
      <c r="C1731" s="16"/>
      <c r="D1731" s="16"/>
      <c r="E1731" s="16"/>
      <c r="F1731" s="64"/>
      <c r="G1731" s="70"/>
      <c r="H1731" s="16"/>
      <c r="I1731" s="16"/>
      <c r="J1731" s="16"/>
    </row>
    <row r="1732" spans="3:10" ht="13.5" customHeight="1" x14ac:dyDescent="0.25">
      <c r="C1732" s="35"/>
      <c r="D1732" s="35"/>
      <c r="E1732" s="35"/>
      <c r="F1732" s="65"/>
      <c r="G1732" s="69"/>
      <c r="H1732" s="35"/>
      <c r="I1732" s="35"/>
      <c r="J1732" s="35"/>
    </row>
    <row r="1733" spans="3:10" ht="13.5" customHeight="1" x14ac:dyDescent="0.25">
      <c r="C1733" s="16"/>
      <c r="D1733" s="16"/>
      <c r="E1733" s="16"/>
      <c r="F1733" s="64"/>
      <c r="G1733" s="70"/>
      <c r="H1733" s="16"/>
      <c r="I1733" s="16"/>
      <c r="J1733" s="16"/>
    </row>
    <row r="1734" spans="3:10" ht="13.5" customHeight="1" x14ac:dyDescent="0.25">
      <c r="C1734" s="35"/>
      <c r="D1734" s="35"/>
      <c r="E1734" s="35"/>
      <c r="F1734" s="65"/>
      <c r="G1734" s="69"/>
      <c r="H1734" s="35"/>
      <c r="I1734" s="35"/>
      <c r="J1734" s="35"/>
    </row>
    <row r="1735" spans="3:10" ht="13.5" customHeight="1" x14ac:dyDescent="0.25">
      <c r="C1735" s="16"/>
      <c r="D1735" s="16"/>
      <c r="E1735" s="16"/>
      <c r="F1735" s="64"/>
      <c r="G1735" s="70"/>
      <c r="H1735" s="16"/>
      <c r="I1735" s="16"/>
      <c r="J1735" s="16"/>
    </row>
    <row r="1736" spans="3:10" ht="13.5" customHeight="1" x14ac:dyDescent="0.25">
      <c r="C1736" s="35"/>
      <c r="D1736" s="35"/>
      <c r="E1736" s="35"/>
      <c r="F1736" s="65"/>
      <c r="G1736" s="69"/>
      <c r="H1736" s="35"/>
      <c r="I1736" s="35"/>
      <c r="J1736" s="35"/>
    </row>
    <row r="1737" spans="3:10" ht="13.5" customHeight="1" x14ac:dyDescent="0.25">
      <c r="C1737" s="16"/>
      <c r="D1737" s="16"/>
      <c r="E1737" s="16"/>
      <c r="F1737" s="64"/>
      <c r="G1737" s="70"/>
      <c r="H1737" s="16"/>
      <c r="I1737" s="16"/>
      <c r="J1737" s="16"/>
    </row>
    <row r="1738" spans="3:10" ht="13.5" customHeight="1" x14ac:dyDescent="0.25">
      <c r="C1738" s="35"/>
      <c r="D1738" s="35"/>
      <c r="E1738" s="35"/>
      <c r="F1738" s="65"/>
      <c r="G1738" s="69"/>
      <c r="H1738" s="35"/>
      <c r="I1738" s="35"/>
      <c r="J1738" s="35"/>
    </row>
    <row r="1739" spans="3:10" ht="13.5" customHeight="1" x14ac:dyDescent="0.25">
      <c r="C1739" s="16"/>
      <c r="D1739" s="16"/>
      <c r="E1739" s="16"/>
      <c r="F1739" s="64"/>
      <c r="G1739" s="70"/>
      <c r="H1739" s="16"/>
      <c r="I1739" s="16"/>
      <c r="J1739" s="16"/>
    </row>
    <row r="1740" spans="3:10" ht="13.5" customHeight="1" x14ac:dyDescent="0.25">
      <c r="C1740" s="35"/>
      <c r="D1740" s="35"/>
      <c r="E1740" s="35"/>
      <c r="F1740" s="65"/>
      <c r="G1740" s="69"/>
      <c r="H1740" s="35"/>
      <c r="I1740" s="35"/>
      <c r="J1740" s="35"/>
    </row>
    <row r="1741" spans="3:10" ht="13.5" customHeight="1" x14ac:dyDescent="0.25">
      <c r="C1741" s="16"/>
      <c r="D1741" s="16"/>
      <c r="E1741" s="16"/>
      <c r="F1741" s="64"/>
      <c r="G1741" s="70"/>
      <c r="H1741" s="16"/>
      <c r="I1741" s="16"/>
      <c r="J1741" s="16"/>
    </row>
    <row r="1742" spans="3:10" ht="13.5" customHeight="1" x14ac:dyDescent="0.25">
      <c r="C1742" s="35"/>
      <c r="D1742" s="35"/>
      <c r="E1742" s="35"/>
      <c r="F1742" s="65"/>
      <c r="G1742" s="69"/>
      <c r="H1742" s="35"/>
      <c r="I1742" s="35"/>
      <c r="J1742" s="35"/>
    </row>
    <row r="1743" spans="3:10" ht="13.5" customHeight="1" x14ac:dyDescent="0.25">
      <c r="C1743" s="16"/>
      <c r="D1743" s="16"/>
      <c r="E1743" s="16"/>
      <c r="F1743" s="64"/>
      <c r="G1743" s="70"/>
      <c r="H1743" s="16"/>
      <c r="I1743" s="16"/>
      <c r="J1743" s="16"/>
    </row>
    <row r="1744" spans="3:10" ht="13.5" customHeight="1" x14ac:dyDescent="0.25">
      <c r="C1744" s="35"/>
      <c r="D1744" s="35"/>
      <c r="E1744" s="35"/>
      <c r="F1744" s="65"/>
      <c r="G1744" s="69"/>
      <c r="H1744" s="35"/>
      <c r="I1744" s="35"/>
      <c r="J1744" s="35"/>
    </row>
    <row r="1745" spans="3:10" ht="13.5" customHeight="1" x14ac:dyDescent="0.25">
      <c r="C1745" s="16"/>
      <c r="D1745" s="16"/>
      <c r="E1745" s="16"/>
      <c r="F1745" s="64"/>
      <c r="G1745" s="70"/>
      <c r="H1745" s="16"/>
      <c r="I1745" s="16"/>
      <c r="J1745" s="16"/>
    </row>
    <row r="1746" spans="3:10" ht="13.5" customHeight="1" x14ac:dyDescent="0.25">
      <c r="C1746" s="35"/>
      <c r="D1746" s="35"/>
      <c r="E1746" s="35"/>
      <c r="F1746" s="65"/>
      <c r="G1746" s="69"/>
      <c r="H1746" s="35"/>
      <c r="I1746" s="35"/>
      <c r="J1746" s="35"/>
    </row>
    <row r="1747" spans="3:10" ht="13.5" customHeight="1" x14ac:dyDescent="0.25">
      <c r="C1747" s="16"/>
      <c r="D1747" s="16"/>
      <c r="E1747" s="16"/>
      <c r="F1747" s="64"/>
      <c r="G1747" s="70"/>
      <c r="H1747" s="16"/>
      <c r="I1747" s="16"/>
      <c r="J1747" s="16"/>
    </row>
    <row r="1748" spans="3:10" ht="13.5" customHeight="1" x14ac:dyDescent="0.25">
      <c r="C1748" s="35"/>
      <c r="D1748" s="35"/>
      <c r="E1748" s="35"/>
      <c r="F1748" s="65"/>
      <c r="G1748" s="69"/>
      <c r="H1748" s="35"/>
      <c r="I1748" s="35"/>
      <c r="J1748" s="35"/>
    </row>
    <row r="1749" spans="3:10" ht="13.5" customHeight="1" x14ac:dyDescent="0.25">
      <c r="C1749" s="16"/>
      <c r="D1749" s="16"/>
      <c r="E1749" s="16"/>
      <c r="F1749" s="64"/>
      <c r="G1749" s="70"/>
      <c r="H1749" s="16"/>
      <c r="I1749" s="16"/>
      <c r="J1749" s="16"/>
    </row>
    <row r="1750" spans="3:10" ht="13.5" customHeight="1" x14ac:dyDescent="0.25">
      <c r="C1750" s="35"/>
      <c r="D1750" s="35"/>
      <c r="E1750" s="35"/>
      <c r="F1750" s="65"/>
      <c r="G1750" s="69"/>
      <c r="H1750" s="35"/>
      <c r="I1750" s="35"/>
      <c r="J1750" s="35"/>
    </row>
    <row r="1751" spans="3:10" ht="13.5" customHeight="1" x14ac:dyDescent="0.25">
      <c r="C1751" s="16"/>
      <c r="D1751" s="16"/>
      <c r="E1751" s="16"/>
      <c r="F1751" s="64"/>
      <c r="G1751" s="70"/>
      <c r="H1751" s="16"/>
      <c r="I1751" s="16"/>
      <c r="J1751" s="16"/>
    </row>
    <row r="1752" spans="3:10" ht="13.5" customHeight="1" x14ac:dyDescent="0.25">
      <c r="C1752" s="35"/>
      <c r="D1752" s="35"/>
      <c r="E1752" s="35"/>
      <c r="F1752" s="65"/>
      <c r="G1752" s="69"/>
      <c r="H1752" s="35"/>
      <c r="I1752" s="35"/>
      <c r="J1752" s="35"/>
    </row>
    <row r="1753" spans="3:10" ht="13.5" customHeight="1" x14ac:dyDescent="0.25">
      <c r="C1753" s="16"/>
      <c r="D1753" s="16"/>
      <c r="E1753" s="16"/>
      <c r="F1753" s="64"/>
      <c r="G1753" s="70"/>
      <c r="H1753" s="16"/>
      <c r="I1753" s="16"/>
      <c r="J1753" s="16"/>
    </row>
    <row r="1754" spans="3:10" ht="13.5" customHeight="1" x14ac:dyDescent="0.25">
      <c r="C1754" s="35"/>
      <c r="D1754" s="35"/>
      <c r="E1754" s="35"/>
      <c r="F1754" s="65"/>
      <c r="G1754" s="69"/>
      <c r="H1754" s="35"/>
      <c r="I1754" s="35"/>
      <c r="J1754" s="35"/>
    </row>
    <row r="1755" spans="3:10" ht="13.5" customHeight="1" x14ac:dyDescent="0.25">
      <c r="C1755" s="16"/>
      <c r="D1755" s="16"/>
      <c r="E1755" s="16"/>
      <c r="F1755" s="64"/>
      <c r="G1755" s="70"/>
      <c r="H1755" s="16"/>
      <c r="I1755" s="16"/>
      <c r="J1755" s="16"/>
    </row>
    <row r="1756" spans="3:10" ht="13.5" customHeight="1" x14ac:dyDescent="0.25">
      <c r="C1756" s="35"/>
      <c r="D1756" s="35"/>
      <c r="E1756" s="35"/>
      <c r="F1756" s="65"/>
      <c r="G1756" s="69"/>
      <c r="H1756" s="35"/>
      <c r="I1756" s="35"/>
      <c r="J1756" s="35"/>
    </row>
    <row r="1757" spans="3:10" ht="13.5" customHeight="1" x14ac:dyDescent="0.25">
      <c r="C1757" s="16"/>
      <c r="D1757" s="16"/>
      <c r="E1757" s="16"/>
      <c r="F1757" s="64"/>
      <c r="G1757" s="70"/>
      <c r="H1757" s="16"/>
      <c r="I1757" s="16"/>
      <c r="J1757" s="16"/>
    </row>
    <row r="1758" spans="3:10" ht="13.5" customHeight="1" x14ac:dyDescent="0.25">
      <c r="C1758" s="35"/>
      <c r="D1758" s="35"/>
      <c r="E1758" s="35"/>
      <c r="F1758" s="65"/>
      <c r="G1758" s="69"/>
      <c r="H1758" s="35"/>
      <c r="I1758" s="35"/>
      <c r="J1758" s="35"/>
    </row>
    <row r="1759" spans="3:10" ht="13.5" customHeight="1" x14ac:dyDescent="0.25">
      <c r="C1759" s="16"/>
      <c r="D1759" s="16"/>
      <c r="E1759" s="16"/>
      <c r="F1759" s="64"/>
      <c r="G1759" s="70"/>
      <c r="H1759" s="16"/>
      <c r="I1759" s="16"/>
      <c r="J1759" s="16"/>
    </row>
    <row r="1760" spans="3:10" ht="13.5" customHeight="1" x14ac:dyDescent="0.25">
      <c r="C1760" s="35"/>
      <c r="D1760" s="35"/>
      <c r="E1760" s="35"/>
      <c r="F1760" s="65"/>
      <c r="G1760" s="69"/>
      <c r="H1760" s="35"/>
      <c r="I1760" s="35"/>
      <c r="J1760" s="35"/>
    </row>
    <row r="1761" spans="3:10" ht="13.5" customHeight="1" x14ac:dyDescent="0.25">
      <c r="C1761" s="16"/>
      <c r="D1761" s="16"/>
      <c r="E1761" s="16"/>
      <c r="F1761" s="64"/>
      <c r="G1761" s="70"/>
      <c r="H1761" s="16"/>
      <c r="I1761" s="16"/>
      <c r="J1761" s="16"/>
    </row>
    <row r="1762" spans="3:10" ht="13.5" customHeight="1" x14ac:dyDescent="0.25">
      <c r="C1762" s="35"/>
      <c r="D1762" s="35"/>
      <c r="E1762" s="35"/>
      <c r="F1762" s="65"/>
      <c r="G1762" s="69"/>
      <c r="H1762" s="35"/>
      <c r="I1762" s="35"/>
      <c r="J1762" s="35"/>
    </row>
    <row r="1763" spans="3:10" ht="13.5" customHeight="1" x14ac:dyDescent="0.25">
      <c r="C1763" s="16"/>
      <c r="D1763" s="16"/>
      <c r="E1763" s="16"/>
      <c r="F1763" s="64"/>
      <c r="G1763" s="70"/>
      <c r="H1763" s="16"/>
      <c r="I1763" s="16"/>
      <c r="J1763" s="16"/>
    </row>
    <row r="1764" spans="3:10" ht="13.5" customHeight="1" x14ac:dyDescent="0.25">
      <c r="C1764" s="35"/>
      <c r="D1764" s="35"/>
      <c r="E1764" s="35"/>
      <c r="F1764" s="65"/>
      <c r="G1764" s="69"/>
      <c r="H1764" s="35"/>
      <c r="I1764" s="35"/>
      <c r="J1764" s="35"/>
    </row>
    <row r="1765" spans="3:10" ht="13.5" customHeight="1" x14ac:dyDescent="0.25">
      <c r="C1765" s="16"/>
      <c r="D1765" s="16"/>
      <c r="E1765" s="16"/>
      <c r="F1765" s="64"/>
      <c r="G1765" s="70"/>
      <c r="H1765" s="16"/>
      <c r="I1765" s="16"/>
      <c r="J1765" s="16"/>
    </row>
    <row r="1766" spans="3:10" ht="13.5" customHeight="1" x14ac:dyDescent="0.25">
      <c r="C1766" s="35"/>
      <c r="D1766" s="35"/>
      <c r="E1766" s="35"/>
      <c r="F1766" s="65"/>
      <c r="G1766" s="69"/>
      <c r="H1766" s="35"/>
      <c r="I1766" s="35"/>
      <c r="J1766" s="35"/>
    </row>
    <row r="1767" spans="3:10" ht="13.5" customHeight="1" x14ac:dyDescent="0.25">
      <c r="C1767" s="16"/>
      <c r="D1767" s="16"/>
      <c r="E1767" s="16"/>
      <c r="F1767" s="64"/>
      <c r="G1767" s="70"/>
      <c r="H1767" s="16"/>
      <c r="I1767" s="16"/>
      <c r="J1767" s="16"/>
    </row>
    <row r="1768" spans="3:10" ht="13.5" customHeight="1" x14ac:dyDescent="0.25">
      <c r="C1768" s="35"/>
      <c r="D1768" s="35"/>
      <c r="E1768" s="35"/>
      <c r="F1768" s="65"/>
      <c r="G1768" s="69"/>
      <c r="H1768" s="35"/>
      <c r="I1768" s="35"/>
      <c r="J1768" s="35"/>
    </row>
    <row r="1769" spans="3:10" ht="13.5" customHeight="1" x14ac:dyDescent="0.25">
      <c r="C1769" s="16"/>
      <c r="D1769" s="16"/>
      <c r="E1769" s="16"/>
      <c r="F1769" s="64"/>
      <c r="G1769" s="70"/>
      <c r="H1769" s="16"/>
      <c r="I1769" s="16"/>
      <c r="J1769" s="16"/>
    </row>
    <row r="1770" spans="3:10" ht="13.5" customHeight="1" x14ac:dyDescent="0.25">
      <c r="C1770" s="35"/>
      <c r="D1770" s="35"/>
      <c r="E1770" s="35"/>
      <c r="F1770" s="65"/>
      <c r="G1770" s="69"/>
      <c r="H1770" s="35"/>
      <c r="I1770" s="35"/>
      <c r="J1770" s="35"/>
    </row>
    <row r="1771" spans="3:10" ht="13.5" customHeight="1" x14ac:dyDescent="0.25">
      <c r="C1771" s="16"/>
      <c r="D1771" s="16"/>
      <c r="E1771" s="16"/>
      <c r="F1771" s="64"/>
      <c r="G1771" s="70"/>
      <c r="H1771" s="16"/>
      <c r="I1771" s="16"/>
      <c r="J1771" s="16"/>
    </row>
    <row r="1772" spans="3:10" ht="13.5" customHeight="1" x14ac:dyDescent="0.25">
      <c r="C1772" s="35"/>
      <c r="D1772" s="35"/>
      <c r="E1772" s="35"/>
      <c r="F1772" s="65"/>
      <c r="G1772" s="69"/>
      <c r="H1772" s="35"/>
      <c r="I1772" s="35"/>
      <c r="J1772" s="35"/>
    </row>
    <row r="1773" spans="3:10" ht="13.5" customHeight="1" x14ac:dyDescent="0.25">
      <c r="C1773" s="16"/>
      <c r="D1773" s="16"/>
      <c r="E1773" s="16"/>
      <c r="F1773" s="64"/>
      <c r="G1773" s="70"/>
      <c r="H1773" s="16"/>
      <c r="I1773" s="16"/>
      <c r="J1773" s="16"/>
    </row>
    <row r="1774" spans="3:10" ht="13.5" customHeight="1" x14ac:dyDescent="0.25">
      <c r="C1774" s="35"/>
      <c r="D1774" s="35"/>
      <c r="E1774" s="35"/>
      <c r="F1774" s="65"/>
      <c r="G1774" s="69"/>
      <c r="H1774" s="35"/>
      <c r="I1774" s="35"/>
      <c r="J1774" s="35"/>
    </row>
    <row r="1775" spans="3:10" ht="13.5" customHeight="1" x14ac:dyDescent="0.25">
      <c r="C1775" s="16"/>
      <c r="D1775" s="16"/>
      <c r="E1775" s="16"/>
      <c r="F1775" s="64"/>
      <c r="G1775" s="70"/>
      <c r="H1775" s="16"/>
      <c r="I1775" s="16"/>
      <c r="J1775" s="16"/>
    </row>
    <row r="1776" spans="3:10" ht="13.5" customHeight="1" x14ac:dyDescent="0.25">
      <c r="C1776" s="35"/>
      <c r="D1776" s="35"/>
      <c r="E1776" s="35"/>
      <c r="F1776" s="65"/>
      <c r="G1776" s="69"/>
      <c r="H1776" s="35"/>
      <c r="I1776" s="35"/>
      <c r="J1776" s="35"/>
    </row>
    <row r="1777" spans="3:10" ht="13.5" customHeight="1" x14ac:dyDescent="0.25">
      <c r="C1777" s="16"/>
      <c r="D1777" s="16"/>
      <c r="E1777" s="16"/>
      <c r="F1777" s="64"/>
      <c r="G1777" s="70"/>
      <c r="H1777" s="16"/>
      <c r="I1777" s="16"/>
      <c r="J1777" s="16"/>
    </row>
    <row r="1778" spans="3:10" ht="13.5" customHeight="1" x14ac:dyDescent="0.25">
      <c r="C1778" s="35"/>
      <c r="D1778" s="35"/>
      <c r="E1778" s="35"/>
      <c r="F1778" s="65"/>
      <c r="G1778" s="69"/>
      <c r="H1778" s="35"/>
      <c r="I1778" s="35"/>
      <c r="J1778" s="35"/>
    </row>
    <row r="1779" spans="3:10" ht="13.5" customHeight="1" x14ac:dyDescent="0.25">
      <c r="C1779" s="16"/>
      <c r="D1779" s="16"/>
      <c r="E1779" s="16"/>
      <c r="F1779" s="64"/>
      <c r="G1779" s="70"/>
      <c r="H1779" s="16"/>
      <c r="I1779" s="16"/>
      <c r="J1779" s="16"/>
    </row>
    <row r="1780" spans="3:10" ht="13.5" customHeight="1" x14ac:dyDescent="0.25">
      <c r="C1780" s="35"/>
      <c r="D1780" s="35"/>
      <c r="E1780" s="35"/>
      <c r="F1780" s="65"/>
      <c r="G1780" s="69"/>
      <c r="H1780" s="35"/>
      <c r="I1780" s="35"/>
      <c r="J1780" s="35"/>
    </row>
    <row r="1781" spans="3:10" ht="13.5" customHeight="1" x14ac:dyDescent="0.25">
      <c r="C1781" s="16"/>
      <c r="D1781" s="16"/>
      <c r="E1781" s="16"/>
      <c r="F1781" s="64"/>
      <c r="G1781" s="70"/>
      <c r="H1781" s="16"/>
      <c r="I1781" s="16"/>
      <c r="J1781" s="16"/>
    </row>
    <row r="1782" spans="3:10" ht="13.5" customHeight="1" x14ac:dyDescent="0.25">
      <c r="C1782" s="35"/>
      <c r="D1782" s="35"/>
      <c r="E1782" s="35"/>
      <c r="F1782" s="65"/>
      <c r="G1782" s="69"/>
      <c r="H1782" s="35"/>
      <c r="I1782" s="35"/>
      <c r="J1782" s="35"/>
    </row>
    <row r="1783" spans="3:10" ht="13.5" customHeight="1" x14ac:dyDescent="0.25">
      <c r="C1783" s="16"/>
      <c r="D1783" s="16"/>
      <c r="E1783" s="16"/>
      <c r="F1783" s="64"/>
      <c r="G1783" s="70"/>
      <c r="H1783" s="16"/>
      <c r="I1783" s="16"/>
      <c r="J1783" s="16"/>
    </row>
    <row r="1784" spans="3:10" ht="13.5" customHeight="1" x14ac:dyDescent="0.25">
      <c r="C1784" s="35"/>
      <c r="D1784" s="35"/>
      <c r="E1784" s="35"/>
      <c r="F1784" s="65"/>
      <c r="G1784" s="69"/>
      <c r="H1784" s="35"/>
      <c r="I1784" s="35"/>
      <c r="J1784" s="35"/>
    </row>
    <row r="1785" spans="3:10" ht="13.5" customHeight="1" x14ac:dyDescent="0.25">
      <c r="C1785" s="16"/>
      <c r="D1785" s="16"/>
      <c r="E1785" s="16"/>
      <c r="F1785" s="64"/>
      <c r="G1785" s="70"/>
      <c r="H1785" s="16"/>
      <c r="I1785" s="16"/>
      <c r="J1785" s="16"/>
    </row>
    <row r="1786" spans="3:10" ht="13.5" customHeight="1" x14ac:dyDescent="0.25">
      <c r="C1786" s="35"/>
      <c r="D1786" s="35"/>
      <c r="E1786" s="35"/>
      <c r="F1786" s="65"/>
      <c r="G1786" s="69"/>
      <c r="H1786" s="35"/>
      <c r="I1786" s="35"/>
      <c r="J1786" s="35"/>
    </row>
    <row r="1787" spans="3:10" ht="13.5" customHeight="1" x14ac:dyDescent="0.25">
      <c r="C1787" s="16"/>
      <c r="D1787" s="16"/>
      <c r="E1787" s="16"/>
      <c r="F1787" s="64"/>
      <c r="G1787" s="70"/>
      <c r="H1787" s="16"/>
      <c r="I1787" s="16"/>
      <c r="J1787" s="16"/>
    </row>
    <row r="1788" spans="3:10" ht="13.5" customHeight="1" x14ac:dyDescent="0.25">
      <c r="C1788" s="35"/>
      <c r="D1788" s="35"/>
      <c r="E1788" s="35"/>
      <c r="F1788" s="65"/>
      <c r="G1788" s="69"/>
      <c r="H1788" s="35"/>
      <c r="I1788" s="35"/>
      <c r="J1788" s="35"/>
    </row>
    <row r="1789" spans="3:10" ht="13.5" customHeight="1" x14ac:dyDescent="0.25">
      <c r="C1789" s="16"/>
      <c r="D1789" s="16"/>
      <c r="E1789" s="16"/>
      <c r="F1789" s="64"/>
      <c r="G1789" s="70"/>
      <c r="H1789" s="16"/>
      <c r="I1789" s="16"/>
      <c r="J1789" s="16"/>
    </row>
    <row r="1790" spans="3:10" ht="13.5" customHeight="1" x14ac:dyDescent="0.25">
      <c r="C1790" s="35"/>
      <c r="D1790" s="35"/>
      <c r="E1790" s="35"/>
      <c r="F1790" s="65"/>
      <c r="G1790" s="69"/>
      <c r="H1790" s="35"/>
      <c r="I1790" s="35"/>
      <c r="J1790" s="35"/>
    </row>
    <row r="1791" spans="3:10" ht="13.5" customHeight="1" x14ac:dyDescent="0.25">
      <c r="C1791" s="16"/>
      <c r="D1791" s="16"/>
      <c r="E1791" s="16"/>
      <c r="F1791" s="64"/>
      <c r="G1791" s="70"/>
      <c r="H1791" s="16"/>
      <c r="I1791" s="16"/>
      <c r="J1791" s="16"/>
    </row>
    <row r="1792" spans="3:10" ht="13.5" customHeight="1" x14ac:dyDescent="0.25">
      <c r="C1792" s="35"/>
      <c r="D1792" s="35"/>
      <c r="E1792" s="35"/>
      <c r="F1792" s="65"/>
      <c r="G1792" s="69"/>
      <c r="H1792" s="35"/>
      <c r="I1792" s="35"/>
      <c r="J1792" s="35"/>
    </row>
    <row r="1793" spans="3:10" ht="13.5" customHeight="1" x14ac:dyDescent="0.25">
      <c r="C1793" s="16"/>
      <c r="D1793" s="16"/>
      <c r="E1793" s="16"/>
      <c r="F1793" s="64"/>
      <c r="G1793" s="70"/>
      <c r="H1793" s="16"/>
      <c r="I1793" s="16"/>
      <c r="J1793" s="16"/>
    </row>
    <row r="1794" spans="3:10" ht="13.5" customHeight="1" x14ac:dyDescent="0.25">
      <c r="C1794" s="35"/>
      <c r="D1794" s="35"/>
      <c r="E1794" s="35"/>
      <c r="F1794" s="65"/>
      <c r="G1794" s="69"/>
      <c r="H1794" s="35"/>
      <c r="I1794" s="35"/>
      <c r="J1794" s="35"/>
    </row>
    <row r="1795" spans="3:10" ht="13.5" customHeight="1" x14ac:dyDescent="0.25">
      <c r="C1795" s="16"/>
      <c r="D1795" s="16"/>
      <c r="E1795" s="16"/>
      <c r="F1795" s="64"/>
      <c r="G1795" s="70"/>
      <c r="H1795" s="16"/>
      <c r="I1795" s="16"/>
      <c r="J1795" s="16"/>
    </row>
    <row r="1796" spans="3:10" ht="13.5" customHeight="1" x14ac:dyDescent="0.25">
      <c r="C1796" s="35"/>
      <c r="D1796" s="35"/>
      <c r="E1796" s="35"/>
      <c r="F1796" s="65"/>
      <c r="G1796" s="69"/>
      <c r="H1796" s="35"/>
      <c r="I1796" s="35"/>
      <c r="J1796" s="35"/>
    </row>
    <row r="1797" spans="3:10" ht="13.5" customHeight="1" x14ac:dyDescent="0.25">
      <c r="C1797" s="16"/>
      <c r="D1797" s="16"/>
      <c r="E1797" s="16"/>
      <c r="F1797" s="64"/>
      <c r="G1797" s="70"/>
      <c r="H1797" s="16"/>
      <c r="I1797" s="16"/>
      <c r="J1797" s="16"/>
    </row>
    <row r="1798" spans="3:10" ht="13.5" customHeight="1" x14ac:dyDescent="0.25">
      <c r="C1798" s="35"/>
      <c r="D1798" s="35"/>
      <c r="E1798" s="35"/>
      <c r="F1798" s="65"/>
      <c r="G1798" s="69"/>
      <c r="H1798" s="35"/>
      <c r="I1798" s="35"/>
      <c r="J1798" s="35"/>
    </row>
    <row r="1799" spans="3:10" ht="13.5" customHeight="1" x14ac:dyDescent="0.25">
      <c r="C1799" s="16"/>
      <c r="D1799" s="16"/>
      <c r="E1799" s="16"/>
      <c r="F1799" s="64"/>
      <c r="G1799" s="70"/>
      <c r="H1799" s="16"/>
      <c r="I1799" s="16"/>
      <c r="J1799" s="16"/>
    </row>
    <row r="1800" spans="3:10" ht="13.5" customHeight="1" x14ac:dyDescent="0.25">
      <c r="C1800" s="35"/>
      <c r="D1800" s="35"/>
      <c r="E1800" s="35"/>
      <c r="F1800" s="65"/>
      <c r="G1800" s="69"/>
      <c r="H1800" s="35"/>
      <c r="I1800" s="35"/>
      <c r="J1800" s="35"/>
    </row>
    <row r="1801" spans="3:10" ht="13.5" customHeight="1" x14ac:dyDescent="0.25">
      <c r="C1801" s="16"/>
      <c r="D1801" s="16"/>
      <c r="E1801" s="16"/>
      <c r="F1801" s="64"/>
      <c r="G1801" s="70"/>
      <c r="H1801" s="16"/>
      <c r="I1801" s="16"/>
      <c r="J1801" s="16"/>
    </row>
    <row r="1802" spans="3:10" ht="13.5" customHeight="1" x14ac:dyDescent="0.25">
      <c r="C1802" s="35"/>
      <c r="D1802" s="35"/>
      <c r="E1802" s="35"/>
      <c r="F1802" s="65"/>
      <c r="G1802" s="69"/>
      <c r="H1802" s="35"/>
      <c r="I1802" s="35"/>
      <c r="J1802" s="35"/>
    </row>
    <row r="1803" spans="3:10" ht="13.5" customHeight="1" x14ac:dyDescent="0.25">
      <c r="C1803" s="16"/>
      <c r="D1803" s="16"/>
      <c r="E1803" s="16"/>
      <c r="F1803" s="64"/>
      <c r="G1803" s="70"/>
      <c r="H1803" s="16"/>
      <c r="I1803" s="16"/>
      <c r="J1803" s="16"/>
    </row>
    <row r="1804" spans="3:10" ht="13.5" customHeight="1" x14ac:dyDescent="0.25">
      <c r="C1804" s="35"/>
      <c r="D1804" s="35"/>
      <c r="E1804" s="35"/>
      <c r="F1804" s="65"/>
      <c r="G1804" s="69"/>
      <c r="H1804" s="35"/>
      <c r="I1804" s="35"/>
      <c r="J1804" s="35"/>
    </row>
    <row r="1805" spans="3:10" ht="13.5" customHeight="1" x14ac:dyDescent="0.25">
      <c r="C1805" s="16"/>
      <c r="D1805" s="16"/>
      <c r="E1805" s="16"/>
      <c r="F1805" s="64"/>
      <c r="G1805" s="70"/>
      <c r="H1805" s="16"/>
      <c r="I1805" s="16"/>
      <c r="J1805" s="16"/>
    </row>
    <row r="1806" spans="3:10" ht="13.5" customHeight="1" x14ac:dyDescent="0.25">
      <c r="C1806" s="35"/>
      <c r="D1806" s="35"/>
      <c r="E1806" s="35"/>
      <c r="F1806" s="65"/>
      <c r="G1806" s="69"/>
      <c r="H1806" s="35"/>
      <c r="I1806" s="35"/>
      <c r="J1806" s="35"/>
    </row>
    <row r="1807" spans="3:10" ht="13.5" customHeight="1" x14ac:dyDescent="0.25">
      <c r="C1807" s="16"/>
      <c r="D1807" s="16"/>
      <c r="E1807" s="16"/>
      <c r="F1807" s="64"/>
      <c r="G1807" s="70"/>
      <c r="H1807" s="16"/>
      <c r="I1807" s="16"/>
      <c r="J1807" s="16"/>
    </row>
    <row r="1808" spans="3:10" ht="13.5" customHeight="1" x14ac:dyDescent="0.25">
      <c r="C1808" s="35"/>
      <c r="D1808" s="35"/>
      <c r="E1808" s="35"/>
      <c r="F1808" s="65"/>
      <c r="G1808" s="69"/>
      <c r="H1808" s="35"/>
      <c r="I1808" s="35"/>
      <c r="J1808" s="35"/>
    </row>
    <row r="1809" spans="3:10" ht="13.5" customHeight="1" x14ac:dyDescent="0.25">
      <c r="C1809" s="16"/>
      <c r="D1809" s="16"/>
      <c r="E1809" s="16"/>
      <c r="F1809" s="64"/>
      <c r="G1809" s="70"/>
      <c r="H1809" s="16"/>
      <c r="I1809" s="16"/>
      <c r="J1809" s="16"/>
    </row>
    <row r="1810" spans="3:10" ht="13.5" customHeight="1" x14ac:dyDescent="0.25">
      <c r="C1810" s="35"/>
      <c r="D1810" s="35"/>
      <c r="E1810" s="35"/>
      <c r="F1810" s="65"/>
      <c r="G1810" s="69"/>
      <c r="H1810" s="35"/>
      <c r="I1810" s="35"/>
      <c r="J1810" s="35"/>
    </row>
    <row r="1811" spans="3:10" ht="13.5" customHeight="1" x14ac:dyDescent="0.25">
      <c r="C1811" s="16"/>
      <c r="D1811" s="16"/>
      <c r="E1811" s="16"/>
      <c r="F1811" s="64"/>
      <c r="G1811" s="70"/>
      <c r="H1811" s="16"/>
      <c r="I1811" s="16"/>
      <c r="J1811" s="16"/>
    </row>
    <row r="1812" spans="3:10" ht="13.5" customHeight="1" x14ac:dyDescent="0.25">
      <c r="C1812" s="35"/>
      <c r="D1812" s="35"/>
      <c r="E1812" s="35"/>
      <c r="F1812" s="65"/>
      <c r="G1812" s="69"/>
      <c r="H1812" s="35"/>
      <c r="I1812" s="35"/>
      <c r="J1812" s="35"/>
    </row>
    <row r="1813" spans="3:10" ht="13.5" customHeight="1" x14ac:dyDescent="0.25">
      <c r="C1813" s="16"/>
      <c r="D1813" s="16"/>
      <c r="E1813" s="16"/>
      <c r="F1813" s="64"/>
      <c r="G1813" s="70"/>
      <c r="H1813" s="16"/>
      <c r="I1813" s="16"/>
      <c r="J1813" s="16"/>
    </row>
    <row r="1814" spans="3:10" ht="13.5" customHeight="1" x14ac:dyDescent="0.25">
      <c r="C1814" s="35"/>
      <c r="D1814" s="35"/>
      <c r="E1814" s="35"/>
      <c r="F1814" s="65"/>
      <c r="G1814" s="69"/>
      <c r="H1814" s="35"/>
      <c r="I1814" s="35"/>
      <c r="J1814" s="35"/>
    </row>
    <row r="1815" spans="3:10" ht="13.5" customHeight="1" x14ac:dyDescent="0.25">
      <c r="C1815" s="16"/>
      <c r="D1815" s="16"/>
      <c r="E1815" s="16"/>
      <c r="F1815" s="64"/>
      <c r="G1815" s="70"/>
      <c r="H1815" s="16"/>
      <c r="I1815" s="16"/>
      <c r="J1815" s="16"/>
    </row>
    <row r="1816" spans="3:10" ht="13.5" customHeight="1" x14ac:dyDescent="0.25">
      <c r="C1816" s="35"/>
      <c r="D1816" s="35"/>
      <c r="E1816" s="35"/>
      <c r="F1816" s="65"/>
      <c r="G1816" s="69"/>
      <c r="H1816" s="35"/>
      <c r="I1816" s="35"/>
      <c r="J1816" s="35"/>
    </row>
    <row r="1817" spans="3:10" ht="13.5" customHeight="1" x14ac:dyDescent="0.25">
      <c r="C1817" s="16"/>
      <c r="D1817" s="16"/>
      <c r="E1817" s="16"/>
      <c r="F1817" s="64"/>
      <c r="G1817" s="70"/>
      <c r="H1817" s="16"/>
      <c r="I1817" s="16"/>
      <c r="J1817" s="16"/>
    </row>
    <row r="1818" spans="3:10" ht="13.5" customHeight="1" x14ac:dyDescent="0.25">
      <c r="C1818" s="35"/>
      <c r="D1818" s="35"/>
      <c r="E1818" s="35"/>
      <c r="F1818" s="65"/>
      <c r="G1818" s="69"/>
      <c r="H1818" s="35"/>
      <c r="I1818" s="35"/>
      <c r="J1818" s="35"/>
    </row>
    <row r="1819" spans="3:10" ht="13.5" customHeight="1" x14ac:dyDescent="0.25">
      <c r="C1819" s="16"/>
      <c r="D1819" s="16"/>
      <c r="E1819" s="16"/>
      <c r="F1819" s="64"/>
      <c r="G1819" s="70"/>
      <c r="H1819" s="16"/>
      <c r="I1819" s="16"/>
      <c r="J1819" s="16"/>
    </row>
    <row r="1820" spans="3:10" ht="13.5" customHeight="1" x14ac:dyDescent="0.25">
      <c r="C1820" s="35"/>
      <c r="D1820" s="35"/>
      <c r="E1820" s="35"/>
      <c r="F1820" s="65"/>
      <c r="G1820" s="69"/>
      <c r="H1820" s="35"/>
      <c r="I1820" s="35"/>
      <c r="J1820" s="35"/>
    </row>
    <row r="1821" spans="3:10" ht="13.5" customHeight="1" x14ac:dyDescent="0.25">
      <c r="C1821" s="16"/>
      <c r="D1821" s="16"/>
      <c r="E1821" s="16"/>
      <c r="F1821" s="64"/>
      <c r="G1821" s="70"/>
      <c r="H1821" s="16"/>
      <c r="I1821" s="16"/>
      <c r="J1821" s="16"/>
    </row>
    <row r="1822" spans="3:10" ht="13.5" customHeight="1" x14ac:dyDescent="0.25">
      <c r="C1822" s="35"/>
      <c r="D1822" s="35"/>
      <c r="E1822" s="35"/>
      <c r="F1822" s="65"/>
      <c r="G1822" s="69"/>
      <c r="H1822" s="35"/>
      <c r="I1822" s="35"/>
      <c r="J1822" s="35"/>
    </row>
    <row r="1823" spans="3:10" ht="13.5" customHeight="1" x14ac:dyDescent="0.25">
      <c r="C1823" s="16"/>
      <c r="D1823" s="16"/>
      <c r="E1823" s="16"/>
      <c r="F1823" s="64"/>
      <c r="G1823" s="70"/>
      <c r="H1823" s="16"/>
      <c r="I1823" s="16"/>
      <c r="J1823" s="16"/>
    </row>
    <row r="1824" spans="3:10" ht="13.5" customHeight="1" x14ac:dyDescent="0.25">
      <c r="C1824" s="35"/>
      <c r="D1824" s="35"/>
      <c r="E1824" s="35"/>
      <c r="F1824" s="65"/>
      <c r="G1824" s="69"/>
      <c r="H1824" s="35"/>
      <c r="I1824" s="35"/>
      <c r="J1824" s="35"/>
    </row>
    <row r="1825" spans="3:10" ht="13.5" customHeight="1" x14ac:dyDescent="0.25">
      <c r="C1825" s="16"/>
      <c r="D1825" s="16"/>
      <c r="E1825" s="16"/>
      <c r="F1825" s="64"/>
      <c r="G1825" s="70"/>
      <c r="H1825" s="16"/>
      <c r="I1825" s="16"/>
      <c r="J1825" s="16"/>
    </row>
    <row r="1826" spans="3:10" ht="13.5" customHeight="1" x14ac:dyDescent="0.25">
      <c r="C1826" s="35"/>
      <c r="D1826" s="35"/>
      <c r="E1826" s="35"/>
      <c r="F1826" s="65"/>
      <c r="G1826" s="69"/>
      <c r="H1826" s="35"/>
      <c r="I1826" s="35"/>
      <c r="J1826" s="35"/>
    </row>
    <row r="1827" spans="3:10" ht="13.5" customHeight="1" x14ac:dyDescent="0.25">
      <c r="C1827" s="16"/>
      <c r="D1827" s="16"/>
      <c r="E1827" s="16"/>
      <c r="F1827" s="64"/>
      <c r="G1827" s="70"/>
      <c r="H1827" s="16"/>
      <c r="I1827" s="16"/>
      <c r="J1827" s="16"/>
    </row>
    <row r="1828" spans="3:10" ht="13.5" customHeight="1" x14ac:dyDescent="0.25">
      <c r="C1828" s="35"/>
      <c r="D1828" s="35"/>
      <c r="E1828" s="35"/>
      <c r="F1828" s="65"/>
      <c r="G1828" s="69"/>
      <c r="H1828" s="35"/>
      <c r="I1828" s="35"/>
      <c r="J1828" s="35"/>
    </row>
    <row r="1829" spans="3:10" ht="13.5" customHeight="1" x14ac:dyDescent="0.25">
      <c r="C1829" s="16"/>
      <c r="D1829" s="16"/>
      <c r="E1829" s="16"/>
      <c r="F1829" s="64"/>
      <c r="G1829" s="70"/>
      <c r="H1829" s="16"/>
      <c r="I1829" s="16"/>
      <c r="J1829" s="16"/>
    </row>
    <row r="1830" spans="3:10" ht="13.5" customHeight="1" x14ac:dyDescent="0.25">
      <c r="C1830" s="35"/>
      <c r="D1830" s="35"/>
      <c r="E1830" s="35"/>
      <c r="F1830" s="65"/>
      <c r="G1830" s="69"/>
      <c r="H1830" s="35"/>
      <c r="I1830" s="35"/>
      <c r="J1830" s="35"/>
    </row>
    <row r="1831" spans="3:10" ht="13.5" customHeight="1" x14ac:dyDescent="0.25">
      <c r="C1831" s="16"/>
      <c r="D1831" s="16"/>
      <c r="E1831" s="16"/>
      <c r="F1831" s="64"/>
      <c r="G1831" s="70"/>
      <c r="H1831" s="16"/>
      <c r="I1831" s="16"/>
      <c r="J1831" s="16"/>
    </row>
    <row r="1832" spans="3:10" ht="13.5" customHeight="1" x14ac:dyDescent="0.25">
      <c r="C1832" s="35"/>
      <c r="D1832" s="35"/>
      <c r="E1832" s="35"/>
      <c r="F1832" s="65"/>
      <c r="G1832" s="69"/>
      <c r="H1832" s="35"/>
      <c r="I1832" s="35"/>
      <c r="J1832" s="35"/>
    </row>
    <row r="1833" spans="3:10" ht="13.5" customHeight="1" x14ac:dyDescent="0.25">
      <c r="C1833" s="16"/>
      <c r="D1833" s="16"/>
      <c r="E1833" s="16"/>
      <c r="F1833" s="64"/>
      <c r="G1833" s="70"/>
      <c r="H1833" s="16"/>
      <c r="I1833" s="16"/>
      <c r="J1833" s="16"/>
    </row>
    <row r="1834" spans="3:10" ht="13.5" customHeight="1" x14ac:dyDescent="0.25">
      <c r="C1834" s="35"/>
      <c r="D1834" s="35"/>
      <c r="E1834" s="35"/>
      <c r="F1834" s="65"/>
      <c r="G1834" s="69"/>
      <c r="H1834" s="35"/>
      <c r="I1834" s="35"/>
      <c r="J1834" s="35"/>
    </row>
    <row r="1835" spans="3:10" ht="13.5" customHeight="1" x14ac:dyDescent="0.25">
      <c r="C1835" s="16"/>
      <c r="D1835" s="16"/>
      <c r="E1835" s="16"/>
      <c r="F1835" s="64"/>
      <c r="G1835" s="70"/>
      <c r="H1835" s="16"/>
      <c r="I1835" s="16"/>
      <c r="J1835" s="16"/>
    </row>
    <row r="1836" spans="3:10" ht="13.5" customHeight="1" x14ac:dyDescent="0.25">
      <c r="C1836" s="35"/>
      <c r="D1836" s="35"/>
      <c r="E1836" s="35"/>
      <c r="F1836" s="65"/>
      <c r="G1836" s="69"/>
      <c r="H1836" s="35"/>
      <c r="I1836" s="35"/>
      <c r="J1836" s="35"/>
    </row>
    <row r="1837" spans="3:10" ht="13.5" customHeight="1" x14ac:dyDescent="0.25">
      <c r="C1837" s="16"/>
      <c r="D1837" s="16"/>
      <c r="E1837" s="16"/>
      <c r="F1837" s="64"/>
      <c r="G1837" s="70"/>
      <c r="H1837" s="16"/>
      <c r="I1837" s="16"/>
      <c r="J1837" s="16"/>
    </row>
    <row r="1838" spans="3:10" ht="13.5" customHeight="1" x14ac:dyDescent="0.25">
      <c r="C1838" s="35"/>
      <c r="D1838" s="35"/>
      <c r="E1838" s="35"/>
      <c r="F1838" s="65"/>
      <c r="G1838" s="69"/>
      <c r="H1838" s="35"/>
      <c r="I1838" s="35"/>
      <c r="J1838" s="35"/>
    </row>
    <row r="1839" spans="3:10" ht="13.5" customHeight="1" x14ac:dyDescent="0.25">
      <c r="C1839" s="16"/>
      <c r="D1839" s="16"/>
      <c r="E1839" s="16"/>
      <c r="F1839" s="64"/>
      <c r="G1839" s="70"/>
      <c r="H1839" s="16"/>
      <c r="I1839" s="16"/>
      <c r="J1839" s="16"/>
    </row>
    <row r="1840" spans="3:10" ht="13.5" customHeight="1" x14ac:dyDescent="0.25">
      <c r="C1840" s="35"/>
      <c r="D1840" s="35"/>
      <c r="E1840" s="35"/>
      <c r="F1840" s="65"/>
      <c r="G1840" s="69"/>
      <c r="H1840" s="35"/>
      <c r="I1840" s="35"/>
      <c r="J1840" s="35"/>
    </row>
    <row r="1841" spans="3:10" ht="13.5" customHeight="1" x14ac:dyDescent="0.25">
      <c r="C1841" s="16"/>
      <c r="D1841" s="16"/>
      <c r="E1841" s="16"/>
      <c r="F1841" s="64"/>
      <c r="G1841" s="70"/>
      <c r="H1841" s="16"/>
      <c r="I1841" s="16"/>
      <c r="J1841" s="16"/>
    </row>
    <row r="1842" spans="3:10" ht="13.5" customHeight="1" x14ac:dyDescent="0.25">
      <c r="C1842" s="35"/>
      <c r="D1842" s="35"/>
      <c r="E1842" s="35"/>
      <c r="F1842" s="65"/>
      <c r="G1842" s="69"/>
      <c r="H1842" s="35"/>
      <c r="I1842" s="35"/>
      <c r="J1842" s="35"/>
    </row>
    <row r="1843" spans="3:10" ht="13.5" customHeight="1" x14ac:dyDescent="0.25">
      <c r="C1843" s="16"/>
      <c r="D1843" s="16"/>
      <c r="E1843" s="16"/>
      <c r="F1843" s="64"/>
      <c r="G1843" s="70"/>
      <c r="H1843" s="16"/>
      <c r="I1843" s="16"/>
      <c r="J1843" s="16"/>
    </row>
    <row r="1844" spans="3:10" ht="13.5" customHeight="1" x14ac:dyDescent="0.25">
      <c r="C1844" s="35"/>
      <c r="D1844" s="35"/>
      <c r="E1844" s="35"/>
      <c r="F1844" s="65"/>
      <c r="G1844" s="69"/>
      <c r="H1844" s="35"/>
      <c r="I1844" s="35"/>
      <c r="J1844" s="35"/>
    </row>
    <row r="1845" spans="3:10" ht="13.5" customHeight="1" x14ac:dyDescent="0.25">
      <c r="C1845" s="16"/>
      <c r="D1845" s="16"/>
      <c r="E1845" s="16"/>
      <c r="F1845" s="64"/>
      <c r="G1845" s="70"/>
      <c r="H1845" s="16"/>
      <c r="I1845" s="16"/>
      <c r="J1845" s="16"/>
    </row>
    <row r="1846" spans="3:10" ht="13.5" customHeight="1" x14ac:dyDescent="0.25">
      <c r="C1846" s="35"/>
      <c r="D1846" s="35"/>
      <c r="E1846" s="35"/>
      <c r="F1846" s="65"/>
      <c r="G1846" s="69"/>
      <c r="H1846" s="35"/>
      <c r="I1846" s="35"/>
      <c r="J1846" s="35"/>
    </row>
    <row r="1847" spans="3:10" ht="13.5" customHeight="1" x14ac:dyDescent="0.25">
      <c r="C1847" s="16"/>
      <c r="D1847" s="16"/>
      <c r="E1847" s="16"/>
      <c r="F1847" s="64"/>
      <c r="G1847" s="70"/>
      <c r="H1847" s="16"/>
      <c r="I1847" s="16"/>
      <c r="J1847" s="16"/>
    </row>
    <row r="1848" spans="3:10" ht="13.5" customHeight="1" x14ac:dyDescent="0.25">
      <c r="C1848" s="35"/>
      <c r="D1848" s="35"/>
      <c r="E1848" s="35"/>
      <c r="F1848" s="65"/>
      <c r="G1848" s="69"/>
      <c r="H1848" s="35"/>
      <c r="I1848" s="35"/>
      <c r="J1848" s="35"/>
    </row>
    <row r="1849" spans="3:10" ht="13.5" customHeight="1" x14ac:dyDescent="0.25">
      <c r="C1849" s="16"/>
      <c r="D1849" s="16"/>
      <c r="E1849" s="16"/>
      <c r="F1849" s="64"/>
      <c r="G1849" s="70"/>
      <c r="H1849" s="16"/>
      <c r="I1849" s="16"/>
      <c r="J1849" s="16"/>
    </row>
    <row r="1850" spans="3:10" ht="13.5" customHeight="1" x14ac:dyDescent="0.25">
      <c r="C1850" s="35"/>
      <c r="D1850" s="35"/>
      <c r="E1850" s="35"/>
      <c r="F1850" s="65"/>
      <c r="G1850" s="69"/>
      <c r="H1850" s="35"/>
      <c r="I1850" s="35"/>
      <c r="J1850" s="35"/>
    </row>
    <row r="1851" spans="3:10" ht="13.5" customHeight="1" x14ac:dyDescent="0.25">
      <c r="C1851" s="16"/>
      <c r="D1851" s="16"/>
      <c r="E1851" s="16"/>
      <c r="F1851" s="64"/>
      <c r="G1851" s="70"/>
      <c r="H1851" s="16"/>
      <c r="I1851" s="16"/>
      <c r="J1851" s="16"/>
    </row>
    <row r="1852" spans="3:10" ht="13.5" customHeight="1" x14ac:dyDescent="0.25">
      <c r="C1852" s="35"/>
      <c r="D1852" s="35"/>
      <c r="E1852" s="35"/>
      <c r="F1852" s="65"/>
      <c r="G1852" s="69"/>
      <c r="H1852" s="35"/>
      <c r="I1852" s="35"/>
      <c r="J1852" s="35"/>
    </row>
    <row r="1853" spans="3:10" ht="13.5" customHeight="1" x14ac:dyDescent="0.25">
      <c r="C1853" s="16"/>
      <c r="D1853" s="16"/>
      <c r="E1853" s="16"/>
      <c r="F1853" s="64"/>
      <c r="G1853" s="70"/>
      <c r="H1853" s="16"/>
      <c r="I1853" s="16"/>
      <c r="J1853" s="16"/>
    </row>
    <row r="1854" spans="3:10" ht="13.5" customHeight="1" x14ac:dyDescent="0.25">
      <c r="C1854" s="35"/>
      <c r="D1854" s="35"/>
      <c r="E1854" s="35"/>
      <c r="F1854" s="65"/>
      <c r="G1854" s="69"/>
      <c r="H1854" s="35"/>
      <c r="I1854" s="35"/>
      <c r="J1854" s="35"/>
    </row>
    <row r="1855" spans="3:10" ht="13.5" customHeight="1" x14ac:dyDescent="0.25">
      <c r="C1855" s="16"/>
      <c r="D1855" s="16"/>
      <c r="E1855" s="16"/>
      <c r="F1855" s="64"/>
      <c r="G1855" s="70"/>
      <c r="H1855" s="16"/>
      <c r="I1855" s="16"/>
      <c r="J1855" s="16"/>
    </row>
    <row r="1856" spans="3:10" ht="13.5" customHeight="1" x14ac:dyDescent="0.25">
      <c r="C1856" s="35"/>
      <c r="D1856" s="35"/>
      <c r="E1856" s="35"/>
      <c r="F1856" s="65"/>
      <c r="G1856" s="69"/>
      <c r="H1856" s="35"/>
      <c r="I1856" s="35"/>
      <c r="J1856" s="35"/>
    </row>
    <row r="1857" spans="3:10" ht="13.5" customHeight="1" x14ac:dyDescent="0.25">
      <c r="C1857" s="16"/>
      <c r="D1857" s="16"/>
      <c r="E1857" s="16"/>
      <c r="F1857" s="64"/>
      <c r="G1857" s="70"/>
      <c r="H1857" s="16"/>
      <c r="I1857" s="16"/>
      <c r="J1857" s="16"/>
    </row>
    <row r="1858" spans="3:10" ht="13.5" customHeight="1" x14ac:dyDescent="0.25">
      <c r="C1858" s="35"/>
      <c r="D1858" s="35"/>
      <c r="E1858" s="35"/>
      <c r="F1858" s="65"/>
      <c r="G1858" s="69"/>
      <c r="H1858" s="35"/>
      <c r="I1858" s="35"/>
      <c r="J1858" s="35"/>
    </row>
    <row r="1859" spans="3:10" ht="13.5" customHeight="1" x14ac:dyDescent="0.25">
      <c r="C1859" s="16"/>
      <c r="D1859" s="16"/>
      <c r="E1859" s="16"/>
      <c r="F1859" s="64"/>
      <c r="G1859" s="70"/>
      <c r="H1859" s="16"/>
      <c r="I1859" s="16"/>
      <c r="J1859" s="16"/>
    </row>
    <row r="1860" spans="3:10" ht="13.5" customHeight="1" x14ac:dyDescent="0.25">
      <c r="C1860" s="35"/>
      <c r="D1860" s="35"/>
      <c r="E1860" s="35"/>
      <c r="F1860" s="65"/>
      <c r="G1860" s="69"/>
      <c r="H1860" s="35"/>
      <c r="I1860" s="35"/>
      <c r="J1860" s="35"/>
    </row>
    <row r="1861" spans="3:10" ht="13.5" customHeight="1" x14ac:dyDescent="0.25">
      <c r="C1861" s="16"/>
      <c r="D1861" s="16"/>
      <c r="E1861" s="16"/>
      <c r="F1861" s="64"/>
      <c r="G1861" s="70"/>
      <c r="H1861" s="16"/>
      <c r="I1861" s="16"/>
      <c r="J1861" s="16"/>
    </row>
    <row r="1862" spans="3:10" ht="13.5" customHeight="1" x14ac:dyDescent="0.25">
      <c r="C1862" s="35"/>
      <c r="D1862" s="35"/>
      <c r="E1862" s="35"/>
      <c r="F1862" s="65"/>
      <c r="G1862" s="69"/>
      <c r="H1862" s="35"/>
      <c r="I1862" s="35"/>
      <c r="J1862" s="35"/>
    </row>
    <row r="1863" spans="3:10" ht="13.5" customHeight="1" x14ac:dyDescent="0.25">
      <c r="C1863" s="16"/>
      <c r="D1863" s="16"/>
      <c r="E1863" s="16"/>
      <c r="F1863" s="64"/>
      <c r="G1863" s="70"/>
      <c r="H1863" s="16"/>
      <c r="I1863" s="16"/>
      <c r="J1863" s="16"/>
    </row>
    <row r="1864" spans="3:10" ht="13.5" customHeight="1" x14ac:dyDescent="0.25">
      <c r="C1864" s="35"/>
      <c r="D1864" s="35"/>
      <c r="E1864" s="35"/>
      <c r="F1864" s="65"/>
      <c r="G1864" s="69"/>
      <c r="H1864" s="35"/>
      <c r="I1864" s="35"/>
      <c r="J1864" s="35"/>
    </row>
    <row r="1865" spans="3:10" ht="13.5" customHeight="1" x14ac:dyDescent="0.25">
      <c r="C1865" s="16"/>
      <c r="D1865" s="16"/>
      <c r="E1865" s="16"/>
      <c r="F1865" s="64"/>
      <c r="G1865" s="70"/>
      <c r="H1865" s="16"/>
      <c r="I1865" s="16"/>
      <c r="J1865" s="16"/>
    </row>
    <row r="1866" spans="3:10" ht="13.5" customHeight="1" x14ac:dyDescent="0.25">
      <c r="C1866" s="35"/>
      <c r="D1866" s="35"/>
      <c r="E1866" s="35"/>
      <c r="F1866" s="65"/>
      <c r="G1866" s="69"/>
      <c r="H1866" s="35"/>
      <c r="I1866" s="35"/>
      <c r="J1866" s="35"/>
    </row>
    <row r="1867" spans="3:10" ht="13.5" customHeight="1" x14ac:dyDescent="0.25">
      <c r="C1867" s="16"/>
      <c r="D1867" s="16"/>
      <c r="E1867" s="16"/>
      <c r="F1867" s="64"/>
      <c r="G1867" s="70"/>
      <c r="H1867" s="16"/>
      <c r="I1867" s="16"/>
      <c r="J1867" s="16"/>
    </row>
    <row r="1868" spans="3:10" ht="13.5" customHeight="1" x14ac:dyDescent="0.25">
      <c r="C1868" s="35"/>
      <c r="D1868" s="35"/>
      <c r="E1868" s="35"/>
      <c r="F1868" s="65"/>
      <c r="G1868" s="69"/>
      <c r="H1868" s="35"/>
      <c r="I1868" s="35"/>
      <c r="J1868" s="35"/>
    </row>
    <row r="1869" spans="3:10" ht="13.5" customHeight="1" x14ac:dyDescent="0.25">
      <c r="C1869" s="16"/>
      <c r="D1869" s="16"/>
      <c r="E1869" s="16"/>
      <c r="F1869" s="64"/>
      <c r="G1869" s="70"/>
      <c r="H1869" s="16"/>
      <c r="I1869" s="16"/>
      <c r="J1869" s="16"/>
    </row>
    <row r="1870" spans="3:10" ht="13.5" customHeight="1" x14ac:dyDescent="0.25">
      <c r="C1870" s="35"/>
      <c r="D1870" s="35"/>
      <c r="E1870" s="35"/>
      <c r="F1870" s="65"/>
      <c r="G1870" s="69"/>
      <c r="H1870" s="35"/>
      <c r="I1870" s="35"/>
      <c r="J1870" s="35"/>
    </row>
    <row r="1871" spans="3:10" ht="13.5" customHeight="1" x14ac:dyDescent="0.25">
      <c r="C1871" s="16"/>
      <c r="D1871" s="16"/>
      <c r="E1871" s="16"/>
      <c r="F1871" s="64"/>
      <c r="G1871" s="70"/>
      <c r="H1871" s="16"/>
      <c r="I1871" s="16"/>
      <c r="J1871" s="16"/>
    </row>
    <row r="1872" spans="3:10" ht="13.5" customHeight="1" x14ac:dyDescent="0.25">
      <c r="C1872" s="35"/>
      <c r="D1872" s="35"/>
      <c r="E1872" s="35"/>
      <c r="F1872" s="65"/>
      <c r="G1872" s="69"/>
      <c r="H1872" s="35"/>
      <c r="I1872" s="35"/>
      <c r="J1872" s="35"/>
    </row>
    <row r="1873" spans="3:10" ht="13.5" customHeight="1" x14ac:dyDescent="0.25">
      <c r="C1873" s="16"/>
      <c r="D1873" s="16"/>
      <c r="E1873" s="16"/>
      <c r="F1873" s="64"/>
      <c r="G1873" s="70"/>
      <c r="H1873" s="16"/>
      <c r="I1873" s="16"/>
      <c r="J1873" s="16"/>
    </row>
    <row r="1874" spans="3:10" ht="13.5" customHeight="1" x14ac:dyDescent="0.25">
      <c r="C1874" s="35"/>
      <c r="D1874" s="35"/>
      <c r="E1874" s="35"/>
      <c r="F1874" s="65"/>
      <c r="G1874" s="69"/>
      <c r="H1874" s="35"/>
      <c r="I1874" s="35"/>
      <c r="J1874" s="35"/>
    </row>
    <row r="1875" spans="3:10" ht="13.5" customHeight="1" x14ac:dyDescent="0.25">
      <c r="C1875" s="16"/>
      <c r="D1875" s="16"/>
      <c r="E1875" s="16"/>
      <c r="F1875" s="64"/>
      <c r="G1875" s="70"/>
      <c r="H1875" s="16"/>
      <c r="I1875" s="16"/>
      <c r="J1875" s="16"/>
    </row>
    <row r="1876" spans="3:10" ht="13.5" customHeight="1" x14ac:dyDescent="0.25">
      <c r="C1876" s="35"/>
      <c r="D1876" s="35"/>
      <c r="E1876" s="35"/>
      <c r="F1876" s="65"/>
      <c r="G1876" s="69"/>
      <c r="H1876" s="35"/>
      <c r="I1876" s="35"/>
      <c r="J1876" s="35"/>
    </row>
    <row r="1877" spans="3:10" ht="13.5" customHeight="1" x14ac:dyDescent="0.25">
      <c r="C1877" s="16"/>
      <c r="D1877" s="16"/>
      <c r="E1877" s="16"/>
      <c r="F1877" s="64"/>
      <c r="G1877" s="70"/>
      <c r="H1877" s="16"/>
      <c r="I1877" s="16"/>
      <c r="J1877" s="16"/>
    </row>
    <row r="1878" spans="3:10" ht="13.5" customHeight="1" x14ac:dyDescent="0.25">
      <c r="C1878" s="35"/>
      <c r="D1878" s="35"/>
      <c r="E1878" s="35"/>
      <c r="F1878" s="65"/>
      <c r="G1878" s="69"/>
      <c r="H1878" s="35"/>
      <c r="I1878" s="35"/>
      <c r="J1878" s="35"/>
    </row>
    <row r="1879" spans="3:10" ht="13.5" customHeight="1" x14ac:dyDescent="0.25">
      <c r="C1879" s="16"/>
      <c r="D1879" s="16"/>
      <c r="E1879" s="16"/>
      <c r="F1879" s="64"/>
      <c r="G1879" s="70"/>
      <c r="H1879" s="16"/>
      <c r="I1879" s="16"/>
      <c r="J1879" s="16"/>
    </row>
    <row r="1880" spans="3:10" ht="13.5" customHeight="1" x14ac:dyDescent="0.25">
      <c r="C1880" s="35"/>
      <c r="D1880" s="35"/>
      <c r="E1880" s="35"/>
      <c r="F1880" s="65"/>
      <c r="G1880" s="69"/>
      <c r="H1880" s="35"/>
      <c r="I1880" s="35"/>
      <c r="J1880" s="35"/>
    </row>
    <row r="1881" spans="3:10" ht="13.5" customHeight="1" x14ac:dyDescent="0.25">
      <c r="C1881" s="16"/>
      <c r="D1881" s="16"/>
      <c r="E1881" s="16"/>
      <c r="F1881" s="64"/>
      <c r="G1881" s="70"/>
      <c r="H1881" s="16"/>
      <c r="I1881" s="16"/>
      <c r="J1881" s="16"/>
    </row>
    <row r="1882" spans="3:10" ht="13.5" customHeight="1" x14ac:dyDescent="0.25">
      <c r="C1882" s="35"/>
      <c r="D1882" s="35"/>
      <c r="E1882" s="35"/>
      <c r="F1882" s="65"/>
      <c r="G1882" s="69"/>
      <c r="H1882" s="35"/>
      <c r="I1882" s="35"/>
      <c r="J1882" s="35"/>
    </row>
    <row r="1883" spans="3:10" ht="13.5" customHeight="1" x14ac:dyDescent="0.25">
      <c r="C1883" s="16"/>
      <c r="D1883" s="16"/>
      <c r="E1883" s="16"/>
      <c r="F1883" s="64"/>
      <c r="G1883" s="70"/>
      <c r="H1883" s="16"/>
      <c r="I1883" s="16"/>
      <c r="J1883" s="16"/>
    </row>
    <row r="1884" spans="3:10" ht="13.5" customHeight="1" x14ac:dyDescent="0.25">
      <c r="C1884" s="35"/>
      <c r="D1884" s="35"/>
      <c r="E1884" s="35"/>
      <c r="F1884" s="65"/>
      <c r="G1884" s="69"/>
      <c r="H1884" s="35"/>
      <c r="I1884" s="35"/>
      <c r="J1884" s="35"/>
    </row>
    <row r="1885" spans="3:10" ht="13.5" customHeight="1" x14ac:dyDescent="0.25">
      <c r="C1885" s="16"/>
      <c r="D1885" s="16"/>
      <c r="E1885" s="16"/>
      <c r="F1885" s="64"/>
      <c r="G1885" s="70"/>
      <c r="H1885" s="16"/>
      <c r="I1885" s="16"/>
      <c r="J1885" s="16"/>
    </row>
    <row r="1886" spans="3:10" ht="13.5" customHeight="1" x14ac:dyDescent="0.25">
      <c r="C1886" s="35"/>
      <c r="D1886" s="35"/>
      <c r="E1886" s="35"/>
      <c r="F1886" s="65"/>
      <c r="G1886" s="69"/>
      <c r="H1886" s="35"/>
      <c r="I1886" s="35"/>
      <c r="J1886" s="35"/>
    </row>
    <row r="1887" spans="3:10" ht="13.5" customHeight="1" x14ac:dyDescent="0.25">
      <c r="C1887" s="16"/>
      <c r="D1887" s="16"/>
      <c r="E1887" s="16"/>
      <c r="F1887" s="64"/>
      <c r="G1887" s="70"/>
      <c r="H1887" s="16"/>
      <c r="I1887" s="16"/>
      <c r="J1887" s="16"/>
    </row>
    <row r="1888" spans="3:10" ht="13.5" customHeight="1" x14ac:dyDescent="0.25">
      <c r="C1888" s="35"/>
      <c r="D1888" s="35"/>
      <c r="E1888" s="35"/>
      <c r="F1888" s="65"/>
      <c r="G1888" s="69"/>
      <c r="H1888" s="35"/>
      <c r="I1888" s="35"/>
      <c r="J1888" s="35"/>
    </row>
    <row r="1889" spans="3:10" ht="13.5" customHeight="1" x14ac:dyDescent="0.25">
      <c r="C1889" s="16"/>
      <c r="D1889" s="16"/>
      <c r="E1889" s="16"/>
      <c r="F1889" s="64"/>
      <c r="G1889" s="70"/>
      <c r="H1889" s="16"/>
      <c r="I1889" s="16"/>
      <c r="J1889" s="16"/>
    </row>
    <row r="1890" spans="3:10" ht="13.5" customHeight="1" x14ac:dyDescent="0.25">
      <c r="C1890" s="35"/>
      <c r="D1890" s="35"/>
      <c r="E1890" s="35"/>
      <c r="F1890" s="65"/>
      <c r="G1890" s="69"/>
      <c r="H1890" s="35"/>
      <c r="I1890" s="35"/>
      <c r="J1890" s="35"/>
    </row>
    <row r="1891" spans="3:10" ht="13.5" customHeight="1" x14ac:dyDescent="0.25">
      <c r="C1891" s="16"/>
      <c r="D1891" s="16"/>
      <c r="E1891" s="16"/>
      <c r="F1891" s="64"/>
      <c r="G1891" s="70"/>
      <c r="H1891" s="16"/>
      <c r="I1891" s="16"/>
      <c r="J1891" s="16"/>
    </row>
    <row r="1892" spans="3:10" ht="13.5" customHeight="1" x14ac:dyDescent="0.25">
      <c r="C1892" s="35"/>
      <c r="D1892" s="35"/>
      <c r="E1892" s="35"/>
      <c r="F1892" s="65"/>
      <c r="G1892" s="69"/>
      <c r="H1892" s="35"/>
      <c r="I1892" s="35"/>
      <c r="J1892" s="35"/>
    </row>
    <row r="1893" spans="3:10" ht="13.5" customHeight="1" x14ac:dyDescent="0.25">
      <c r="C1893" s="16"/>
      <c r="D1893" s="16"/>
      <c r="E1893" s="16"/>
      <c r="F1893" s="64"/>
      <c r="G1893" s="70"/>
      <c r="H1893" s="16"/>
      <c r="I1893" s="16"/>
      <c r="J1893" s="16"/>
    </row>
    <row r="1894" spans="3:10" ht="13.5" customHeight="1" x14ac:dyDescent="0.25">
      <c r="C1894" s="35"/>
      <c r="D1894" s="35"/>
      <c r="E1894" s="35"/>
      <c r="F1894" s="65"/>
      <c r="G1894" s="69"/>
      <c r="H1894" s="35"/>
      <c r="I1894" s="35"/>
      <c r="J1894" s="35"/>
    </row>
    <row r="1895" spans="3:10" ht="13.5" customHeight="1" x14ac:dyDescent="0.25">
      <c r="C1895" s="16"/>
      <c r="D1895" s="16"/>
      <c r="E1895" s="16"/>
      <c r="F1895" s="64"/>
      <c r="G1895" s="70"/>
      <c r="H1895" s="16"/>
      <c r="I1895" s="16"/>
      <c r="J1895" s="16"/>
    </row>
    <row r="1896" spans="3:10" ht="13.5" customHeight="1" x14ac:dyDescent="0.25">
      <c r="C1896" s="35"/>
      <c r="D1896" s="35"/>
      <c r="E1896" s="35"/>
      <c r="F1896" s="65"/>
      <c r="G1896" s="69"/>
      <c r="H1896" s="35"/>
      <c r="I1896" s="35"/>
      <c r="J1896" s="35"/>
    </row>
    <row r="1897" spans="3:10" ht="13.5" customHeight="1" x14ac:dyDescent="0.25">
      <c r="C1897" s="16"/>
      <c r="D1897" s="16"/>
      <c r="E1897" s="16"/>
      <c r="F1897" s="64"/>
      <c r="G1897" s="70"/>
      <c r="H1897" s="16"/>
      <c r="I1897" s="16"/>
      <c r="J1897" s="16"/>
    </row>
    <row r="1898" spans="3:10" ht="13.5" customHeight="1" x14ac:dyDescent="0.25">
      <c r="C1898" s="35"/>
      <c r="D1898" s="35"/>
      <c r="E1898" s="35"/>
      <c r="F1898" s="65"/>
      <c r="G1898" s="69"/>
      <c r="H1898" s="35"/>
      <c r="I1898" s="35"/>
      <c r="J1898" s="35"/>
    </row>
    <row r="1899" spans="3:10" ht="13.5" customHeight="1" x14ac:dyDescent="0.25">
      <c r="C1899" s="16"/>
      <c r="D1899" s="16"/>
      <c r="E1899" s="16"/>
      <c r="F1899" s="64"/>
      <c r="G1899" s="70"/>
      <c r="H1899" s="16"/>
      <c r="I1899" s="16"/>
      <c r="J1899" s="16"/>
    </row>
    <row r="1900" spans="3:10" ht="13.5" customHeight="1" x14ac:dyDescent="0.25">
      <c r="C1900" s="35"/>
      <c r="D1900" s="35"/>
      <c r="E1900" s="35"/>
      <c r="F1900" s="65"/>
      <c r="G1900" s="69"/>
      <c r="H1900" s="35"/>
      <c r="I1900" s="35"/>
      <c r="J1900" s="35"/>
    </row>
    <row r="1901" spans="3:10" ht="13.5" customHeight="1" x14ac:dyDescent="0.25">
      <c r="C1901" s="16"/>
      <c r="D1901" s="16"/>
      <c r="E1901" s="16"/>
      <c r="F1901" s="64"/>
      <c r="G1901" s="70"/>
      <c r="H1901" s="16"/>
      <c r="I1901" s="16"/>
      <c r="J1901" s="16"/>
    </row>
    <row r="1902" spans="3:10" ht="13.5" customHeight="1" x14ac:dyDescent="0.25">
      <c r="C1902" s="35"/>
      <c r="D1902" s="35"/>
      <c r="E1902" s="35"/>
      <c r="F1902" s="65"/>
      <c r="G1902" s="69"/>
      <c r="H1902" s="35"/>
      <c r="I1902" s="35"/>
      <c r="J1902" s="35"/>
    </row>
    <row r="1903" spans="3:10" ht="13.5" customHeight="1" x14ac:dyDescent="0.25">
      <c r="C1903" s="16"/>
      <c r="D1903" s="16"/>
      <c r="E1903" s="16"/>
      <c r="F1903" s="64"/>
      <c r="G1903" s="70"/>
      <c r="H1903" s="16"/>
      <c r="I1903" s="16"/>
      <c r="J1903" s="16"/>
    </row>
    <row r="1904" spans="3:10" ht="13.5" customHeight="1" x14ac:dyDescent="0.25">
      <c r="C1904" s="35"/>
      <c r="D1904" s="35"/>
      <c r="E1904" s="35"/>
      <c r="F1904" s="65"/>
      <c r="G1904" s="69"/>
      <c r="H1904" s="35"/>
      <c r="I1904" s="35"/>
      <c r="J1904" s="35"/>
    </row>
    <row r="1905" spans="3:10" ht="13.5" customHeight="1" x14ac:dyDescent="0.25">
      <c r="C1905" s="16"/>
      <c r="D1905" s="16"/>
      <c r="E1905" s="16"/>
      <c r="F1905" s="64"/>
      <c r="G1905" s="70"/>
      <c r="H1905" s="16"/>
      <c r="I1905" s="16"/>
      <c r="J1905" s="16"/>
    </row>
    <row r="1906" spans="3:10" ht="13.5" customHeight="1" x14ac:dyDescent="0.25">
      <c r="C1906" s="35"/>
      <c r="D1906" s="35"/>
      <c r="E1906" s="35"/>
      <c r="F1906" s="65"/>
      <c r="G1906" s="69"/>
      <c r="H1906" s="35"/>
      <c r="I1906" s="35"/>
      <c r="J1906" s="35"/>
    </row>
    <row r="1907" spans="3:10" ht="13.5" customHeight="1" x14ac:dyDescent="0.25">
      <c r="C1907" s="16"/>
      <c r="D1907" s="16"/>
      <c r="E1907" s="16"/>
      <c r="F1907" s="64"/>
      <c r="G1907" s="70"/>
      <c r="H1907" s="16"/>
      <c r="I1907" s="16"/>
      <c r="J1907" s="16"/>
    </row>
    <row r="1908" spans="3:10" ht="13.5" customHeight="1" x14ac:dyDescent="0.25">
      <c r="C1908" s="35"/>
      <c r="D1908" s="35"/>
      <c r="E1908" s="35"/>
      <c r="F1908" s="65"/>
      <c r="G1908" s="69"/>
      <c r="H1908" s="35"/>
      <c r="I1908" s="35"/>
      <c r="J1908" s="35"/>
    </row>
    <row r="1909" spans="3:10" ht="13.5" customHeight="1" x14ac:dyDescent="0.25">
      <c r="C1909" s="16"/>
      <c r="D1909" s="16"/>
      <c r="E1909" s="16"/>
      <c r="F1909" s="64"/>
      <c r="G1909" s="70"/>
      <c r="H1909" s="16"/>
      <c r="I1909" s="16"/>
      <c r="J1909" s="16"/>
    </row>
    <row r="1910" spans="3:10" ht="13.5" customHeight="1" x14ac:dyDescent="0.25">
      <c r="C1910" s="35"/>
      <c r="D1910" s="35"/>
      <c r="E1910" s="35"/>
      <c r="F1910" s="65"/>
      <c r="G1910" s="69"/>
      <c r="H1910" s="35"/>
      <c r="I1910" s="35"/>
      <c r="J1910" s="35"/>
    </row>
    <row r="1911" spans="3:10" ht="13.5" customHeight="1" x14ac:dyDescent="0.25">
      <c r="C1911" s="16"/>
      <c r="D1911" s="16"/>
      <c r="E1911" s="16"/>
      <c r="F1911" s="64"/>
      <c r="G1911" s="70"/>
      <c r="H1911" s="16"/>
      <c r="I1911" s="16"/>
      <c r="J1911" s="16"/>
    </row>
    <row r="1912" spans="3:10" ht="13.5" customHeight="1" x14ac:dyDescent="0.25">
      <c r="C1912" s="35"/>
      <c r="D1912" s="35"/>
      <c r="E1912" s="35"/>
      <c r="F1912" s="65"/>
      <c r="G1912" s="69"/>
      <c r="H1912" s="35"/>
      <c r="I1912" s="35"/>
      <c r="J1912" s="35"/>
    </row>
    <row r="1913" spans="3:10" ht="13.5" customHeight="1" x14ac:dyDescent="0.25">
      <c r="C1913" s="16"/>
      <c r="D1913" s="16"/>
      <c r="E1913" s="16"/>
      <c r="F1913" s="64"/>
      <c r="G1913" s="70"/>
      <c r="H1913" s="16"/>
      <c r="I1913" s="16"/>
      <c r="J1913" s="16"/>
    </row>
    <row r="1914" spans="3:10" ht="13.5" customHeight="1" x14ac:dyDescent="0.25">
      <c r="C1914" s="35"/>
      <c r="D1914" s="35"/>
      <c r="E1914" s="35"/>
      <c r="F1914" s="65"/>
      <c r="G1914" s="69"/>
      <c r="H1914" s="35"/>
      <c r="I1914" s="35"/>
      <c r="J1914" s="35"/>
    </row>
    <row r="1915" spans="3:10" ht="13.5" customHeight="1" x14ac:dyDescent="0.25">
      <c r="C1915" s="16"/>
      <c r="D1915" s="16"/>
      <c r="E1915" s="16"/>
      <c r="F1915" s="64"/>
      <c r="G1915" s="70"/>
      <c r="H1915" s="16"/>
      <c r="I1915" s="16"/>
      <c r="J1915" s="16"/>
    </row>
    <row r="1916" spans="3:10" ht="13.5" customHeight="1" x14ac:dyDescent="0.25">
      <c r="C1916" s="35"/>
      <c r="D1916" s="35"/>
      <c r="E1916" s="35"/>
      <c r="F1916" s="65"/>
      <c r="G1916" s="69"/>
      <c r="H1916" s="35"/>
      <c r="I1916" s="35"/>
      <c r="J1916" s="35"/>
    </row>
    <row r="1917" spans="3:10" ht="13.5" customHeight="1" x14ac:dyDescent="0.25">
      <c r="C1917" s="16"/>
      <c r="D1917" s="16"/>
      <c r="E1917" s="16"/>
      <c r="F1917" s="64"/>
      <c r="G1917" s="70"/>
      <c r="H1917" s="16"/>
      <c r="I1917" s="16"/>
      <c r="J1917" s="16"/>
    </row>
    <row r="1918" spans="3:10" ht="13.5" customHeight="1" x14ac:dyDescent="0.25">
      <c r="C1918" s="35"/>
      <c r="D1918" s="35"/>
      <c r="E1918" s="35"/>
      <c r="F1918" s="65"/>
      <c r="G1918" s="69"/>
      <c r="H1918" s="35"/>
      <c r="I1918" s="35"/>
      <c r="J1918" s="35"/>
    </row>
    <row r="1919" spans="3:10" ht="13.5" customHeight="1" x14ac:dyDescent="0.25">
      <c r="C1919" s="16"/>
      <c r="D1919" s="16"/>
      <c r="E1919" s="16"/>
      <c r="F1919" s="64"/>
      <c r="G1919" s="70"/>
      <c r="H1919" s="16"/>
      <c r="I1919" s="16"/>
      <c r="J1919" s="16"/>
    </row>
    <row r="1920" spans="3:10" ht="13.5" customHeight="1" x14ac:dyDescent="0.25">
      <c r="C1920" s="35"/>
      <c r="D1920" s="35"/>
      <c r="E1920" s="35"/>
      <c r="F1920" s="65"/>
      <c r="G1920" s="69"/>
      <c r="H1920" s="35"/>
      <c r="I1920" s="35"/>
      <c r="J1920" s="35"/>
    </row>
    <row r="1921" spans="3:10" ht="13.5" customHeight="1" x14ac:dyDescent="0.25">
      <c r="C1921" s="16"/>
      <c r="D1921" s="16"/>
      <c r="E1921" s="16"/>
      <c r="F1921" s="64"/>
      <c r="G1921" s="70"/>
      <c r="H1921" s="16"/>
      <c r="I1921" s="16"/>
      <c r="J1921" s="16"/>
    </row>
    <row r="1922" spans="3:10" ht="13.5" customHeight="1" x14ac:dyDescent="0.25">
      <c r="C1922" s="35"/>
      <c r="D1922" s="35"/>
      <c r="E1922" s="35"/>
      <c r="F1922" s="65"/>
      <c r="G1922" s="69"/>
      <c r="H1922" s="35"/>
      <c r="I1922" s="35"/>
      <c r="J1922" s="35"/>
    </row>
    <row r="1923" spans="3:10" ht="13.5" customHeight="1" x14ac:dyDescent="0.25">
      <c r="C1923" s="16"/>
      <c r="D1923" s="16"/>
      <c r="E1923" s="16"/>
      <c r="F1923" s="64"/>
      <c r="G1923" s="70"/>
      <c r="H1923" s="16"/>
      <c r="I1923" s="16"/>
      <c r="J1923" s="16"/>
    </row>
    <row r="1924" spans="3:10" ht="13.5" customHeight="1" x14ac:dyDescent="0.25">
      <c r="C1924" s="35"/>
      <c r="D1924" s="35"/>
      <c r="E1924" s="35"/>
      <c r="F1924" s="65"/>
      <c r="G1924" s="69"/>
      <c r="H1924" s="35"/>
      <c r="I1924" s="35"/>
      <c r="J1924" s="35"/>
    </row>
    <row r="1925" spans="3:10" ht="13.5" customHeight="1" x14ac:dyDescent="0.25">
      <c r="C1925" s="16"/>
      <c r="D1925" s="16"/>
      <c r="E1925" s="16"/>
      <c r="F1925" s="64"/>
      <c r="G1925" s="70"/>
      <c r="H1925" s="16"/>
      <c r="I1925" s="16"/>
      <c r="J1925" s="16"/>
    </row>
    <row r="1926" spans="3:10" ht="13.5" customHeight="1" x14ac:dyDescent="0.25">
      <c r="C1926" s="35"/>
      <c r="D1926" s="35"/>
      <c r="E1926" s="35"/>
      <c r="F1926" s="65"/>
      <c r="G1926" s="69"/>
      <c r="H1926" s="35"/>
      <c r="I1926" s="35"/>
      <c r="J1926" s="35"/>
    </row>
    <row r="1927" spans="3:10" ht="13.5" customHeight="1" x14ac:dyDescent="0.25">
      <c r="C1927" s="16"/>
      <c r="D1927" s="16"/>
      <c r="E1927" s="16"/>
      <c r="F1927" s="64"/>
      <c r="G1927" s="70"/>
      <c r="H1927" s="16"/>
      <c r="I1927" s="16"/>
      <c r="J1927" s="16"/>
    </row>
    <row r="1928" spans="3:10" ht="13.5" customHeight="1" x14ac:dyDescent="0.25">
      <c r="C1928" s="35"/>
      <c r="D1928" s="35"/>
      <c r="E1928" s="35"/>
      <c r="F1928" s="65"/>
      <c r="G1928" s="69"/>
      <c r="H1928" s="35"/>
      <c r="I1928" s="35"/>
      <c r="J1928" s="35"/>
    </row>
    <row r="1929" spans="3:10" ht="13.5" customHeight="1" x14ac:dyDescent="0.25">
      <c r="C1929" s="16"/>
      <c r="D1929" s="16"/>
      <c r="E1929" s="16"/>
      <c r="F1929" s="64"/>
      <c r="G1929" s="70"/>
      <c r="H1929" s="16"/>
      <c r="I1929" s="16"/>
      <c r="J1929" s="16"/>
    </row>
    <row r="1930" spans="3:10" ht="13.5" customHeight="1" x14ac:dyDescent="0.25">
      <c r="C1930" s="35"/>
      <c r="D1930" s="35"/>
      <c r="E1930" s="35"/>
      <c r="F1930" s="65"/>
      <c r="G1930" s="69"/>
      <c r="H1930" s="35"/>
      <c r="I1930" s="35"/>
      <c r="J1930" s="35"/>
    </row>
    <row r="1931" spans="3:10" ht="13.5" customHeight="1" x14ac:dyDescent="0.25">
      <c r="C1931" s="16"/>
      <c r="D1931" s="16"/>
      <c r="E1931" s="16"/>
      <c r="F1931" s="64"/>
      <c r="G1931" s="70"/>
      <c r="H1931" s="16"/>
      <c r="I1931" s="16"/>
      <c r="J1931" s="16"/>
    </row>
    <row r="1932" spans="3:10" ht="13.5" customHeight="1" x14ac:dyDescent="0.25">
      <c r="C1932" s="35"/>
      <c r="D1932" s="35"/>
      <c r="E1932" s="35"/>
      <c r="F1932" s="65"/>
      <c r="G1932" s="69"/>
      <c r="H1932" s="35"/>
      <c r="I1932" s="35"/>
      <c r="J1932" s="35"/>
    </row>
    <row r="1933" spans="3:10" ht="13.5" customHeight="1" x14ac:dyDescent="0.25">
      <c r="C1933" s="16"/>
      <c r="D1933" s="16"/>
      <c r="E1933" s="16"/>
      <c r="F1933" s="64"/>
      <c r="G1933" s="70"/>
      <c r="H1933" s="16"/>
      <c r="I1933" s="16"/>
      <c r="J1933" s="16"/>
    </row>
    <row r="1934" spans="3:10" ht="13.5" customHeight="1" x14ac:dyDescent="0.25">
      <c r="C1934" s="35"/>
      <c r="D1934" s="35"/>
      <c r="E1934" s="35"/>
      <c r="F1934" s="65"/>
      <c r="G1934" s="69"/>
      <c r="H1934" s="35"/>
      <c r="I1934" s="35"/>
      <c r="J1934" s="35"/>
    </row>
    <row r="1935" spans="3:10" ht="13.5" customHeight="1" x14ac:dyDescent="0.25">
      <c r="C1935" s="16"/>
      <c r="D1935" s="16"/>
      <c r="E1935" s="16"/>
      <c r="F1935" s="64"/>
      <c r="G1935" s="70"/>
      <c r="H1935" s="16"/>
      <c r="I1935" s="16"/>
      <c r="J1935" s="16"/>
    </row>
    <row r="1936" spans="3:10" ht="13.5" customHeight="1" x14ac:dyDescent="0.25">
      <c r="C1936" s="35"/>
      <c r="D1936" s="35"/>
      <c r="E1936" s="35"/>
      <c r="F1936" s="65"/>
      <c r="G1936" s="69"/>
      <c r="H1936" s="35"/>
      <c r="I1936" s="35"/>
      <c r="J1936" s="35"/>
    </row>
    <row r="1937" spans="3:10" ht="13.5" customHeight="1" x14ac:dyDescent="0.25">
      <c r="C1937" s="16"/>
      <c r="D1937" s="16"/>
      <c r="E1937" s="16"/>
      <c r="F1937" s="64"/>
      <c r="G1937" s="70"/>
      <c r="H1937" s="16"/>
      <c r="I1937" s="16"/>
      <c r="J1937" s="16"/>
    </row>
    <row r="1938" spans="3:10" ht="13.5" customHeight="1" x14ac:dyDescent="0.25">
      <c r="C1938" s="35"/>
      <c r="D1938" s="35"/>
      <c r="E1938" s="35"/>
      <c r="F1938" s="65"/>
      <c r="G1938" s="69"/>
      <c r="H1938" s="35"/>
      <c r="I1938" s="35"/>
      <c r="J1938" s="35"/>
    </row>
    <row r="1939" spans="3:10" ht="13.5" customHeight="1" x14ac:dyDescent="0.25">
      <c r="C1939" s="16"/>
      <c r="D1939" s="16"/>
      <c r="E1939" s="16"/>
      <c r="F1939" s="64"/>
      <c r="G1939" s="70"/>
      <c r="H1939" s="16"/>
      <c r="I1939" s="16"/>
      <c r="J1939" s="16"/>
    </row>
    <row r="1940" spans="3:10" ht="13.5" customHeight="1" x14ac:dyDescent="0.25">
      <c r="C1940" s="35"/>
      <c r="D1940" s="35"/>
      <c r="E1940" s="35"/>
      <c r="F1940" s="65"/>
      <c r="G1940" s="69"/>
      <c r="H1940" s="35"/>
      <c r="I1940" s="35"/>
      <c r="J1940" s="35"/>
    </row>
    <row r="1941" spans="3:10" ht="13.5" customHeight="1" x14ac:dyDescent="0.25">
      <c r="C1941" s="16"/>
      <c r="D1941" s="16"/>
      <c r="E1941" s="16"/>
      <c r="F1941" s="64"/>
      <c r="G1941" s="70"/>
      <c r="H1941" s="16"/>
      <c r="I1941" s="16"/>
      <c r="J1941" s="16"/>
    </row>
    <row r="1942" spans="3:10" ht="13.5" customHeight="1" x14ac:dyDescent="0.25">
      <c r="C1942" s="35"/>
      <c r="D1942" s="35"/>
      <c r="E1942" s="35"/>
      <c r="F1942" s="65"/>
      <c r="G1942" s="69"/>
      <c r="H1942" s="35"/>
      <c r="I1942" s="35"/>
      <c r="J1942" s="35"/>
    </row>
    <row r="1943" spans="3:10" ht="13.5" customHeight="1" x14ac:dyDescent="0.25">
      <c r="C1943" s="16"/>
      <c r="D1943" s="16"/>
      <c r="E1943" s="16"/>
      <c r="F1943" s="64"/>
      <c r="G1943" s="70"/>
      <c r="H1943" s="16"/>
      <c r="I1943" s="16"/>
      <c r="J1943" s="16"/>
    </row>
    <row r="1944" spans="3:10" ht="13.5" customHeight="1" x14ac:dyDescent="0.25">
      <c r="C1944" s="35"/>
      <c r="D1944" s="35"/>
      <c r="E1944" s="35"/>
      <c r="F1944" s="65"/>
      <c r="G1944" s="69"/>
      <c r="H1944" s="35"/>
      <c r="I1944" s="35"/>
      <c r="J1944" s="35"/>
    </row>
    <row r="1945" spans="3:10" ht="13.5" customHeight="1" x14ac:dyDescent="0.25">
      <c r="C1945" s="16"/>
      <c r="D1945" s="16"/>
      <c r="E1945" s="16"/>
      <c r="F1945" s="64"/>
      <c r="G1945" s="70"/>
      <c r="H1945" s="16"/>
      <c r="I1945" s="16"/>
      <c r="J1945" s="16"/>
    </row>
    <row r="1946" spans="3:10" ht="13.5" customHeight="1" x14ac:dyDescent="0.25">
      <c r="C1946" s="35"/>
      <c r="D1946" s="35"/>
      <c r="E1946" s="35"/>
      <c r="F1946" s="65"/>
      <c r="G1946" s="69"/>
      <c r="H1946" s="35"/>
      <c r="I1946" s="35"/>
      <c r="J1946" s="35"/>
    </row>
    <row r="1947" spans="3:10" ht="13.5" customHeight="1" x14ac:dyDescent="0.25">
      <c r="C1947" s="16"/>
      <c r="D1947" s="16"/>
      <c r="E1947" s="16"/>
      <c r="F1947" s="64"/>
      <c r="G1947" s="70"/>
      <c r="H1947" s="16"/>
      <c r="I1947" s="16"/>
      <c r="J1947" s="16"/>
    </row>
    <row r="1948" spans="3:10" ht="13.5" customHeight="1" x14ac:dyDescent="0.25">
      <c r="C1948" s="35"/>
      <c r="D1948" s="35"/>
      <c r="E1948" s="35"/>
      <c r="F1948" s="65"/>
      <c r="G1948" s="69"/>
      <c r="H1948" s="35"/>
      <c r="I1948" s="35"/>
      <c r="J1948" s="35"/>
    </row>
    <row r="1949" spans="3:10" ht="13.5" customHeight="1" x14ac:dyDescent="0.25">
      <c r="C1949" s="16"/>
      <c r="D1949" s="16"/>
      <c r="E1949" s="16"/>
      <c r="F1949" s="64"/>
      <c r="G1949" s="70"/>
      <c r="H1949" s="16"/>
      <c r="I1949" s="16"/>
      <c r="J1949" s="16"/>
    </row>
    <row r="1950" spans="3:10" ht="13.5" customHeight="1" x14ac:dyDescent="0.25">
      <c r="C1950" s="35"/>
      <c r="D1950" s="35"/>
      <c r="E1950" s="35"/>
      <c r="F1950" s="65"/>
      <c r="G1950" s="69"/>
      <c r="H1950" s="35"/>
      <c r="I1950" s="35"/>
      <c r="J1950" s="35"/>
    </row>
    <row r="1951" spans="3:10" ht="13.5" customHeight="1" x14ac:dyDescent="0.25">
      <c r="C1951" s="16"/>
      <c r="D1951" s="16"/>
      <c r="E1951" s="16"/>
      <c r="F1951" s="64"/>
      <c r="G1951" s="70"/>
      <c r="H1951" s="16"/>
      <c r="I1951" s="16"/>
      <c r="J1951" s="16"/>
    </row>
    <row r="1952" spans="3:10" ht="13.5" customHeight="1" x14ac:dyDescent="0.25">
      <c r="C1952" s="35"/>
      <c r="D1952" s="35"/>
      <c r="E1952" s="35"/>
      <c r="F1952" s="65"/>
      <c r="G1952" s="69"/>
      <c r="H1952" s="35"/>
      <c r="I1952" s="35"/>
      <c r="J1952" s="35"/>
    </row>
    <row r="1953" spans="3:10" ht="13.5" customHeight="1" x14ac:dyDescent="0.25">
      <c r="C1953" s="16"/>
      <c r="D1953" s="16"/>
      <c r="E1953" s="16"/>
      <c r="F1953" s="64"/>
      <c r="G1953" s="70"/>
      <c r="H1953" s="16"/>
      <c r="I1953" s="16"/>
      <c r="J1953" s="16"/>
    </row>
    <row r="1954" spans="3:10" ht="13.5" customHeight="1" x14ac:dyDescent="0.25">
      <c r="C1954" s="35"/>
      <c r="D1954" s="35"/>
      <c r="E1954" s="35"/>
      <c r="F1954" s="65"/>
      <c r="G1954" s="69"/>
      <c r="H1954" s="35"/>
      <c r="I1954" s="35"/>
      <c r="J1954" s="35"/>
    </row>
    <row r="1955" spans="3:10" ht="13.5" customHeight="1" x14ac:dyDescent="0.25">
      <c r="C1955" s="16"/>
      <c r="D1955" s="16"/>
      <c r="E1955" s="16"/>
      <c r="F1955" s="64"/>
      <c r="G1955" s="70"/>
      <c r="H1955" s="16"/>
      <c r="I1955" s="16"/>
      <c r="J1955" s="16"/>
    </row>
    <row r="1956" spans="3:10" ht="13.5" customHeight="1" x14ac:dyDescent="0.25">
      <c r="C1956" s="35"/>
      <c r="D1956" s="35"/>
      <c r="E1956" s="35"/>
      <c r="F1956" s="65"/>
      <c r="G1956" s="69"/>
      <c r="H1956" s="35"/>
      <c r="I1956" s="35"/>
      <c r="J1956" s="35"/>
    </row>
    <row r="1957" spans="3:10" ht="13.5" customHeight="1" x14ac:dyDescent="0.25">
      <c r="C1957" s="16"/>
      <c r="D1957" s="16"/>
      <c r="E1957" s="16"/>
      <c r="F1957" s="64"/>
      <c r="G1957" s="70"/>
      <c r="H1957" s="16"/>
      <c r="I1957" s="16"/>
      <c r="J1957" s="16"/>
    </row>
    <row r="1958" spans="3:10" ht="13.5" customHeight="1" x14ac:dyDescent="0.25">
      <c r="C1958" s="35"/>
      <c r="D1958" s="35"/>
      <c r="E1958" s="35"/>
      <c r="F1958" s="65"/>
      <c r="G1958" s="69"/>
      <c r="H1958" s="35"/>
      <c r="I1958" s="35"/>
      <c r="J1958" s="35"/>
    </row>
    <row r="1959" spans="3:10" ht="13.5" customHeight="1" x14ac:dyDescent="0.25">
      <c r="C1959" s="16"/>
      <c r="D1959" s="16"/>
      <c r="E1959" s="16"/>
      <c r="F1959" s="64"/>
      <c r="G1959" s="70"/>
      <c r="H1959" s="16"/>
      <c r="I1959" s="16"/>
      <c r="J1959" s="16"/>
    </row>
    <row r="1960" spans="3:10" ht="13.5" customHeight="1" x14ac:dyDescent="0.25">
      <c r="C1960" s="35"/>
      <c r="D1960" s="35"/>
      <c r="E1960" s="35"/>
      <c r="F1960" s="65"/>
      <c r="G1960" s="69"/>
      <c r="H1960" s="35"/>
      <c r="I1960" s="35"/>
      <c r="J1960" s="35"/>
    </row>
    <row r="1961" spans="3:10" ht="13.5" customHeight="1" x14ac:dyDescent="0.25">
      <c r="C1961" s="16"/>
      <c r="D1961" s="16"/>
      <c r="E1961" s="16"/>
      <c r="F1961" s="64"/>
      <c r="G1961" s="70"/>
      <c r="H1961" s="16"/>
      <c r="I1961" s="16"/>
      <c r="J1961" s="16"/>
    </row>
    <row r="1962" spans="3:10" ht="13.5" customHeight="1" x14ac:dyDescent="0.25">
      <c r="C1962" s="35"/>
      <c r="D1962" s="35"/>
      <c r="E1962" s="35"/>
      <c r="F1962" s="65"/>
      <c r="G1962" s="69"/>
      <c r="H1962" s="35"/>
      <c r="I1962" s="35"/>
      <c r="J1962" s="35"/>
    </row>
    <row r="1963" spans="3:10" ht="13.5" customHeight="1" x14ac:dyDescent="0.25">
      <c r="C1963" s="16"/>
      <c r="D1963" s="16"/>
      <c r="E1963" s="16"/>
      <c r="F1963" s="64"/>
      <c r="G1963" s="70"/>
      <c r="H1963" s="16"/>
      <c r="I1963" s="16"/>
      <c r="J1963" s="16"/>
    </row>
    <row r="1964" spans="3:10" ht="13.5" customHeight="1" x14ac:dyDescent="0.25">
      <c r="C1964" s="35"/>
      <c r="D1964" s="35"/>
      <c r="E1964" s="35"/>
      <c r="F1964" s="65"/>
      <c r="G1964" s="69"/>
      <c r="H1964" s="35"/>
      <c r="I1964" s="35"/>
      <c r="J1964" s="35"/>
    </row>
    <row r="1965" spans="3:10" ht="13.5" customHeight="1" x14ac:dyDescent="0.25">
      <c r="C1965" s="16"/>
      <c r="D1965" s="16"/>
      <c r="E1965" s="16"/>
      <c r="F1965" s="64"/>
      <c r="G1965" s="70"/>
      <c r="H1965" s="16"/>
      <c r="I1965" s="16"/>
      <c r="J1965" s="16"/>
    </row>
    <row r="1966" spans="3:10" ht="13.5" customHeight="1" x14ac:dyDescent="0.25">
      <c r="C1966" s="35"/>
      <c r="D1966" s="35"/>
      <c r="E1966" s="35"/>
      <c r="F1966" s="65"/>
      <c r="G1966" s="69"/>
      <c r="H1966" s="35"/>
      <c r="I1966" s="35"/>
      <c r="J1966" s="35"/>
    </row>
    <row r="1967" spans="3:10" ht="13.5" customHeight="1" x14ac:dyDescent="0.25">
      <c r="C1967" s="16"/>
      <c r="D1967" s="16"/>
      <c r="E1967" s="16"/>
      <c r="F1967" s="64"/>
      <c r="G1967" s="70"/>
      <c r="H1967" s="16"/>
      <c r="I1967" s="16"/>
      <c r="J1967" s="16"/>
    </row>
    <row r="1968" spans="3:10" ht="13.5" customHeight="1" x14ac:dyDescent="0.25">
      <c r="C1968" s="35"/>
      <c r="D1968" s="35"/>
      <c r="E1968" s="35"/>
      <c r="F1968" s="65"/>
      <c r="G1968" s="69"/>
      <c r="H1968" s="35"/>
      <c r="I1968" s="35"/>
      <c r="J1968" s="35"/>
    </row>
    <row r="1969" spans="3:10" ht="13.5" customHeight="1" x14ac:dyDescent="0.25">
      <c r="C1969" s="16"/>
      <c r="D1969" s="16"/>
      <c r="E1969" s="16"/>
      <c r="F1969" s="64"/>
      <c r="G1969" s="70"/>
      <c r="H1969" s="16"/>
      <c r="I1969" s="16"/>
      <c r="J1969" s="16"/>
    </row>
    <row r="1970" spans="3:10" ht="13.5" customHeight="1" x14ac:dyDescent="0.25">
      <c r="C1970" s="35"/>
      <c r="D1970" s="35"/>
      <c r="E1970" s="35"/>
      <c r="F1970" s="65"/>
      <c r="G1970" s="69"/>
      <c r="H1970" s="35"/>
      <c r="I1970" s="35"/>
      <c r="J1970" s="35"/>
    </row>
    <row r="1971" spans="3:10" ht="13.5" customHeight="1" x14ac:dyDescent="0.25">
      <c r="C1971" s="16"/>
      <c r="D1971" s="16"/>
      <c r="E1971" s="16"/>
      <c r="F1971" s="64"/>
      <c r="G1971" s="70"/>
      <c r="H1971" s="16"/>
      <c r="I1971" s="16"/>
      <c r="J1971" s="16"/>
    </row>
    <row r="1972" spans="3:10" ht="13.5" customHeight="1" x14ac:dyDescent="0.25">
      <c r="C1972" s="35"/>
      <c r="D1972" s="35"/>
      <c r="E1972" s="35"/>
      <c r="F1972" s="65"/>
      <c r="G1972" s="69"/>
      <c r="H1972" s="35"/>
      <c r="I1972" s="35"/>
      <c r="J1972" s="35"/>
    </row>
    <row r="1973" spans="3:10" ht="13.5" customHeight="1" x14ac:dyDescent="0.25">
      <c r="C1973" s="16"/>
      <c r="D1973" s="16"/>
      <c r="E1973" s="16"/>
      <c r="F1973" s="64"/>
      <c r="G1973" s="70"/>
      <c r="H1973" s="16"/>
      <c r="I1973" s="16"/>
      <c r="J1973" s="16"/>
    </row>
    <row r="1974" spans="3:10" ht="13.5" customHeight="1" x14ac:dyDescent="0.25">
      <c r="C1974" s="35"/>
      <c r="D1974" s="35"/>
      <c r="E1974" s="35"/>
      <c r="F1974" s="65"/>
      <c r="G1974" s="69"/>
      <c r="H1974" s="35"/>
      <c r="I1974" s="35"/>
      <c r="J1974" s="35"/>
    </row>
    <row r="1975" spans="3:10" ht="13.5" customHeight="1" x14ac:dyDescent="0.25">
      <c r="C1975" s="16"/>
      <c r="D1975" s="16"/>
      <c r="E1975" s="16"/>
      <c r="F1975" s="64"/>
      <c r="G1975" s="70"/>
      <c r="H1975" s="16"/>
      <c r="I1975" s="16"/>
      <c r="J1975" s="16"/>
    </row>
    <row r="1976" spans="3:10" ht="13.5" customHeight="1" x14ac:dyDescent="0.25">
      <c r="C1976" s="35"/>
      <c r="D1976" s="35"/>
      <c r="E1976" s="35"/>
      <c r="F1976" s="65"/>
      <c r="G1976" s="69"/>
      <c r="H1976" s="35"/>
      <c r="I1976" s="35"/>
      <c r="J1976" s="35"/>
    </row>
    <row r="1977" spans="3:10" ht="13.5" customHeight="1" x14ac:dyDescent="0.25">
      <c r="C1977" s="16"/>
      <c r="D1977" s="16"/>
      <c r="E1977" s="16"/>
      <c r="F1977" s="64"/>
      <c r="G1977" s="70"/>
      <c r="H1977" s="16"/>
      <c r="I1977" s="16"/>
      <c r="J1977" s="16"/>
    </row>
    <row r="1978" spans="3:10" ht="13.5" customHeight="1" x14ac:dyDescent="0.25">
      <c r="C1978" s="35"/>
      <c r="D1978" s="35"/>
      <c r="E1978" s="35"/>
      <c r="F1978" s="65"/>
      <c r="G1978" s="69"/>
      <c r="H1978" s="35"/>
      <c r="I1978" s="35"/>
      <c r="J1978" s="35"/>
    </row>
    <row r="1979" spans="3:10" ht="13.5" customHeight="1" x14ac:dyDescent="0.25">
      <c r="C1979" s="16"/>
      <c r="D1979" s="16"/>
      <c r="E1979" s="16"/>
      <c r="F1979" s="64"/>
      <c r="G1979" s="70"/>
      <c r="H1979" s="16"/>
      <c r="I1979" s="16"/>
      <c r="J1979" s="16"/>
    </row>
    <row r="1980" spans="3:10" ht="13.5" customHeight="1" x14ac:dyDescent="0.25">
      <c r="C1980" s="35"/>
      <c r="D1980" s="35"/>
      <c r="E1980" s="35"/>
      <c r="F1980" s="65"/>
      <c r="G1980" s="69"/>
      <c r="H1980" s="35"/>
      <c r="I1980" s="35"/>
      <c r="J1980" s="35"/>
    </row>
    <row r="1981" spans="3:10" ht="13.5" customHeight="1" x14ac:dyDescent="0.25">
      <c r="C1981" s="16"/>
      <c r="D1981" s="16"/>
      <c r="E1981" s="16"/>
      <c r="F1981" s="64"/>
      <c r="G1981" s="70"/>
      <c r="H1981" s="16"/>
      <c r="I1981" s="16"/>
      <c r="J1981" s="16"/>
    </row>
    <row r="1982" spans="3:10" ht="13.5" customHeight="1" x14ac:dyDescent="0.25">
      <c r="C1982" s="35"/>
      <c r="D1982" s="35"/>
      <c r="E1982" s="35"/>
      <c r="F1982" s="65"/>
      <c r="G1982" s="69"/>
      <c r="H1982" s="35"/>
      <c r="I1982" s="35"/>
      <c r="J1982" s="35"/>
    </row>
    <row r="1983" spans="3:10" ht="13.5" customHeight="1" x14ac:dyDescent="0.25">
      <c r="C1983" s="16"/>
      <c r="D1983" s="16"/>
      <c r="E1983" s="16"/>
      <c r="F1983" s="64"/>
      <c r="G1983" s="70"/>
      <c r="H1983" s="16"/>
      <c r="I1983" s="16"/>
      <c r="J1983" s="16"/>
    </row>
    <row r="1984" spans="3:10" ht="13.5" customHeight="1" x14ac:dyDescent="0.25">
      <c r="C1984" s="35"/>
      <c r="D1984" s="35"/>
      <c r="E1984" s="35"/>
      <c r="F1984" s="65"/>
      <c r="G1984" s="69"/>
      <c r="H1984" s="35"/>
      <c r="I1984" s="35"/>
      <c r="J1984" s="35"/>
    </row>
    <row r="1985" spans="3:10" ht="13.5" customHeight="1" x14ac:dyDescent="0.25">
      <c r="C1985" s="16"/>
      <c r="D1985" s="16"/>
      <c r="E1985" s="16"/>
      <c r="F1985" s="64"/>
      <c r="G1985" s="70"/>
      <c r="H1985" s="16"/>
      <c r="I1985" s="16"/>
      <c r="J1985" s="16"/>
    </row>
    <row r="1986" spans="3:10" ht="13.5" customHeight="1" x14ac:dyDescent="0.25">
      <c r="C1986" s="35"/>
      <c r="D1986" s="35"/>
      <c r="E1986" s="35"/>
      <c r="F1986" s="65"/>
      <c r="G1986" s="69"/>
      <c r="H1986" s="35"/>
      <c r="I1986" s="35"/>
      <c r="J1986" s="35"/>
    </row>
    <row r="1987" spans="3:10" ht="13.5" customHeight="1" x14ac:dyDescent="0.25">
      <c r="C1987" s="16"/>
      <c r="D1987" s="16"/>
      <c r="E1987" s="16"/>
      <c r="F1987" s="64"/>
      <c r="G1987" s="70"/>
      <c r="H1987" s="16"/>
      <c r="I1987" s="16"/>
      <c r="J1987" s="16"/>
    </row>
    <row r="1988" spans="3:10" ht="13.5" customHeight="1" x14ac:dyDescent="0.25">
      <c r="C1988" s="35"/>
      <c r="D1988" s="35"/>
      <c r="E1988" s="35"/>
      <c r="F1988" s="65"/>
      <c r="G1988" s="69"/>
      <c r="H1988" s="35"/>
      <c r="I1988" s="35"/>
      <c r="J1988" s="35"/>
    </row>
    <row r="1989" spans="3:10" ht="13.5" customHeight="1" x14ac:dyDescent="0.25">
      <c r="C1989" s="16"/>
      <c r="D1989" s="16"/>
      <c r="E1989" s="16"/>
      <c r="F1989" s="64"/>
      <c r="G1989" s="70"/>
      <c r="H1989" s="16"/>
      <c r="I1989" s="16"/>
      <c r="J1989" s="16"/>
    </row>
    <row r="1990" spans="3:10" ht="13.5" customHeight="1" x14ac:dyDescent="0.25">
      <c r="C1990" s="35"/>
      <c r="D1990" s="35"/>
      <c r="E1990" s="35"/>
      <c r="F1990" s="65"/>
      <c r="G1990" s="69"/>
      <c r="H1990" s="35"/>
      <c r="I1990" s="35"/>
      <c r="J1990" s="35"/>
    </row>
    <row r="1991" spans="3:10" ht="13.5" customHeight="1" x14ac:dyDescent="0.25">
      <c r="C1991" s="16"/>
      <c r="D1991" s="16"/>
      <c r="E1991" s="16"/>
      <c r="F1991" s="64"/>
      <c r="G1991" s="70"/>
      <c r="H1991" s="16"/>
      <c r="I1991" s="16"/>
      <c r="J1991" s="16"/>
    </row>
    <row r="1992" spans="3:10" ht="13.5" customHeight="1" x14ac:dyDescent="0.25">
      <c r="C1992" s="35"/>
      <c r="D1992" s="35"/>
      <c r="E1992" s="35"/>
      <c r="F1992" s="65"/>
      <c r="G1992" s="69"/>
      <c r="H1992" s="35"/>
      <c r="I1992" s="35"/>
      <c r="J1992" s="35"/>
    </row>
    <row r="1993" spans="3:10" ht="13.5" customHeight="1" x14ac:dyDescent="0.25">
      <c r="C1993" s="16"/>
      <c r="D1993" s="16"/>
      <c r="E1993" s="16"/>
      <c r="F1993" s="64"/>
      <c r="G1993" s="70"/>
      <c r="H1993" s="16"/>
      <c r="I1993" s="16"/>
      <c r="J1993" s="16"/>
    </row>
    <row r="1994" spans="3:10" ht="13.5" customHeight="1" x14ac:dyDescent="0.25">
      <c r="C1994" s="35"/>
      <c r="D1994" s="35"/>
      <c r="E1994" s="35"/>
      <c r="F1994" s="65"/>
      <c r="G1994" s="69"/>
      <c r="H1994" s="35"/>
      <c r="I1994" s="35"/>
      <c r="J1994" s="35"/>
    </row>
    <row r="1995" spans="3:10" ht="13.5" customHeight="1" x14ac:dyDescent="0.25">
      <c r="C1995" s="16"/>
      <c r="D1995" s="16"/>
      <c r="E1995" s="16"/>
      <c r="F1995" s="64"/>
      <c r="G1995" s="70"/>
      <c r="H1995" s="16"/>
      <c r="I1995" s="16"/>
      <c r="J1995" s="16"/>
    </row>
    <row r="1996" spans="3:10" ht="13.5" customHeight="1" x14ac:dyDescent="0.25">
      <c r="C1996" s="35"/>
      <c r="D1996" s="35"/>
      <c r="E1996" s="35"/>
      <c r="F1996" s="65"/>
      <c r="G1996" s="69"/>
      <c r="H1996" s="35"/>
      <c r="I1996" s="35"/>
      <c r="J1996" s="35"/>
    </row>
    <row r="1997" spans="3:10" ht="13.5" customHeight="1" x14ac:dyDescent="0.25">
      <c r="C1997" s="16"/>
      <c r="D1997" s="16"/>
      <c r="E1997" s="16"/>
      <c r="F1997" s="64"/>
      <c r="G1997" s="70"/>
      <c r="H1997" s="16"/>
      <c r="I1997" s="16"/>
      <c r="J1997" s="16"/>
    </row>
    <row r="1998" spans="3:10" ht="13.5" customHeight="1" x14ac:dyDescent="0.25">
      <c r="C1998" s="35"/>
      <c r="D1998" s="35"/>
      <c r="E1998" s="35"/>
      <c r="F1998" s="65"/>
      <c r="G1998" s="69"/>
      <c r="H1998" s="35"/>
      <c r="I1998" s="35"/>
      <c r="J1998" s="35"/>
    </row>
    <row r="1999" spans="3:10" ht="13.5" customHeight="1" x14ac:dyDescent="0.25">
      <c r="C1999" s="16"/>
      <c r="D1999" s="16"/>
      <c r="E1999" s="16"/>
      <c r="F1999" s="64"/>
      <c r="G1999" s="70"/>
      <c r="H1999" s="16"/>
      <c r="I1999" s="16"/>
      <c r="J1999" s="16"/>
    </row>
    <row r="2000" spans="3:10" ht="13.5" customHeight="1" x14ac:dyDescent="0.25">
      <c r="C2000" s="35"/>
      <c r="D2000" s="35"/>
      <c r="E2000" s="35"/>
      <c r="F2000" s="65"/>
      <c r="G2000" s="69"/>
      <c r="H2000" s="35"/>
      <c r="I2000" s="35"/>
      <c r="J2000" s="35"/>
    </row>
  </sheetData>
  <mergeCells count="11">
    <mergeCell ref="D9:F9"/>
    <mergeCell ref="I9:J9"/>
    <mergeCell ref="D10:F10"/>
    <mergeCell ref="I10:J10"/>
    <mergeCell ref="C13:J13"/>
    <mergeCell ref="D6:F6"/>
    <mergeCell ref="I6:J6"/>
    <mergeCell ref="D7:F7"/>
    <mergeCell ref="I7:J7"/>
    <mergeCell ref="D8:F8"/>
    <mergeCell ref="I8:J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96287-29CC-4F15-A7D9-95E259DFAB18}">
  <sheetPr codeName="Sheet11">
    <tabColor theme="0" tint="-0.499984740745262"/>
  </sheetPr>
  <dimension ref="A1:Q2054"/>
  <sheetViews>
    <sheetView showGridLines="0" zoomScale="130" zoomScaleNormal="130" workbookViewId="0">
      <pane xSplit="5" ySplit="15" topLeftCell="F1085" activePane="bottomRight" state="frozen"/>
      <selection activeCell="E15" sqref="E15"/>
      <selection pane="topRight" activeCell="E15" sqref="E15"/>
      <selection pane="bottomLeft" activeCell="E15" sqref="E15"/>
      <selection pane="bottomRight" activeCell="E15" sqref="E15"/>
    </sheetView>
  </sheetViews>
  <sheetFormatPr defaultColWidth="0" defaultRowHeight="13.5" customHeight="1" x14ac:dyDescent="0.25"/>
  <cols>
    <col min="1" max="1" width="4.140625" style="1" customWidth="1"/>
    <col min="2" max="2" width="1.7109375" style="1" customWidth="1"/>
    <col min="3" max="3" width="11.85546875" style="1" customWidth="1"/>
    <col min="4" max="4" width="8.85546875" style="1" bestFit="1" customWidth="1"/>
    <col min="5" max="5" width="40.28515625" style="1" customWidth="1"/>
    <col min="6" max="6" width="36.7109375" style="1" customWidth="1"/>
    <col min="7" max="7" width="24.28515625" style="1" customWidth="1"/>
    <col min="8" max="8" width="16.7109375" style="1" customWidth="1"/>
    <col min="9" max="9" width="11.85546875" style="1" customWidth="1"/>
    <col min="10" max="10" width="1.7109375" style="1" customWidth="1"/>
    <col min="11" max="11" width="15.140625" style="1" bestFit="1" customWidth="1"/>
    <col min="12" max="12" width="2.7109375" style="1" customWidth="1"/>
    <col min="13" max="13" width="15.140625" style="1" bestFit="1" customWidth="1"/>
    <col min="14" max="14" width="1.7109375" style="1" customWidth="1"/>
    <col min="15" max="15" width="2.7109375" style="1" customWidth="1"/>
    <col min="16" max="17" width="0" style="1" hidden="1" customWidth="1"/>
    <col min="18" max="16384" width="9.140625" style="1" hidden="1"/>
  </cols>
  <sheetData>
    <row r="1" spans="1:10" x14ac:dyDescent="0.25"/>
    <row r="2" spans="1:10" x14ac:dyDescent="0.25"/>
    <row r="3" spans="1:10" x14ac:dyDescent="0.25"/>
    <row r="4" spans="1:10" x14ac:dyDescent="0.25"/>
    <row r="5" spans="1:10" ht="9.9499999999999993" customHeight="1" x14ac:dyDescent="0.25">
      <c r="B5" s="9"/>
      <c r="C5" s="10"/>
      <c r="D5" s="10"/>
      <c r="E5" s="10"/>
      <c r="F5" s="10"/>
      <c r="G5" s="10"/>
      <c r="H5" s="10"/>
      <c r="I5" s="10"/>
      <c r="J5" s="11"/>
    </row>
    <row r="6" spans="1:10" ht="14.25" x14ac:dyDescent="0.3">
      <c r="B6" s="4"/>
      <c r="C6" s="12" t="s">
        <v>0</v>
      </c>
      <c r="D6" s="114">
        <v>45217</v>
      </c>
      <c r="E6" s="114"/>
      <c r="F6" s="13"/>
      <c r="G6" s="12" t="s">
        <v>90</v>
      </c>
      <c r="H6" s="113"/>
      <c r="I6" s="113"/>
      <c r="J6" s="5"/>
    </row>
    <row r="7" spans="1:10" ht="14.25" x14ac:dyDescent="0.3">
      <c r="B7" s="4"/>
      <c r="C7" s="12" t="s">
        <v>1</v>
      </c>
      <c r="D7" s="112"/>
      <c r="E7" s="112"/>
      <c r="F7" s="13"/>
      <c r="G7" s="12" t="s">
        <v>91</v>
      </c>
      <c r="H7" s="113"/>
      <c r="I7" s="113"/>
      <c r="J7" s="5"/>
    </row>
    <row r="8" spans="1:10" ht="14.25" x14ac:dyDescent="0.3">
      <c r="B8" s="4"/>
      <c r="C8" s="12" t="s">
        <v>2</v>
      </c>
      <c r="D8" s="112"/>
      <c r="E8" s="112"/>
      <c r="F8" s="13"/>
      <c r="G8" s="12" t="s">
        <v>92</v>
      </c>
      <c r="H8" s="113"/>
      <c r="I8" s="113"/>
      <c r="J8" s="5"/>
    </row>
    <row r="9" spans="1:10" ht="14.25" x14ac:dyDescent="0.3">
      <c r="B9" s="4"/>
      <c r="C9" s="12" t="s">
        <v>62</v>
      </c>
      <c r="D9" s="112"/>
      <c r="E9" s="112"/>
      <c r="F9" s="13"/>
      <c r="G9" s="12" t="s">
        <v>93</v>
      </c>
      <c r="H9" s="113"/>
      <c r="I9" s="113"/>
      <c r="J9" s="5"/>
    </row>
    <row r="10" spans="1:10" ht="14.25" x14ac:dyDescent="0.3">
      <c r="B10" s="4"/>
      <c r="C10" s="12" t="s">
        <v>63</v>
      </c>
      <c r="D10" s="112"/>
      <c r="E10" s="112"/>
      <c r="F10" s="13"/>
      <c r="G10" s="12" t="s">
        <v>94</v>
      </c>
      <c r="H10" s="113"/>
      <c r="I10" s="113"/>
      <c r="J10" s="5"/>
    </row>
    <row r="11" spans="1:10" ht="9.9499999999999993" customHeight="1" x14ac:dyDescent="0.25">
      <c r="B11" s="6"/>
      <c r="C11" s="7"/>
      <c r="D11" s="7"/>
      <c r="E11" s="7"/>
      <c r="F11" s="7"/>
      <c r="G11" s="7"/>
      <c r="H11" s="14"/>
      <c r="I11" s="7"/>
      <c r="J11" s="8"/>
    </row>
    <row r="12" spans="1:10" x14ac:dyDescent="0.25"/>
    <row r="13" spans="1:10" x14ac:dyDescent="0.25">
      <c r="C13" s="28" t="s">
        <v>64</v>
      </c>
      <c r="D13" s="29"/>
      <c r="E13" s="29"/>
      <c r="F13" s="29"/>
      <c r="G13" s="29"/>
      <c r="H13" s="29"/>
      <c r="I13" s="30"/>
    </row>
    <row r="14" spans="1:10" x14ac:dyDescent="0.25">
      <c r="C14" s="15" t="s">
        <v>3</v>
      </c>
      <c r="D14" s="15" t="s">
        <v>134</v>
      </c>
      <c r="E14" s="15" t="s">
        <v>96</v>
      </c>
      <c r="F14" s="34" t="s">
        <v>95</v>
      </c>
      <c r="G14" s="15" t="s">
        <v>5</v>
      </c>
      <c r="H14" s="15" t="s">
        <v>135</v>
      </c>
      <c r="I14" s="15" t="s">
        <v>136</v>
      </c>
    </row>
    <row r="15" spans="1:10" ht="13.5" customHeight="1" x14ac:dyDescent="0.25">
      <c r="C15" s="32" t="s">
        <v>183</v>
      </c>
      <c r="D15" s="32"/>
      <c r="E15" s="32"/>
      <c r="F15" s="32"/>
      <c r="G15" s="32"/>
      <c r="H15" s="32"/>
      <c r="I15" s="32"/>
    </row>
    <row r="16" spans="1:10" x14ac:dyDescent="0.25">
      <c r="A16" s="41" t="str">
        <f>_xlfn.XLOOKUP(G16,dd_color!$A$2:$A$8,dd_color!$B$2:$B$8,"",0)</f>
        <v/>
      </c>
      <c r="B16" s="41" t="str">
        <f>_xlfn.XLOOKUP(_xlfn.XLOOKUP(C16,'Project Details'!$C$17:$C$10003,'Project Details'!$E$17:$E$10003, "",0),dd_design_raw!$A$2:$A$9997,dd_design_raw!$C$2:$C$9997,"",0)</f>
        <v/>
      </c>
      <c r="C16" s="16" t="str" cm="1">
        <f t="array" ref="C16:C17">IF(_xlfn.SEQUENCE(COUNTA(calc_s60!C15:C1000) * 2) &lt;= COUNTA(calc_s60!C15:C1000) * 2, INDEX(calc_s60!C15:C1000, INT((_xlfn.SEQUENCE(COUNTA(calc_s60!C15:C1000) * 2) - 1) / 2) + 1), "")</f>
        <v/>
      </c>
      <c r="D16" s="16" t="str">
        <f>IF(I16="Height",_xlfn.XLOOKUP(C16,calc_s60!$C$15:$C$65,calc_s60!$O$15:$O$65,"",0),_xlfn.XLOOKUP(C16,calc_s60!$C$15:$C$65,calc_s60!$Q$15:$Q$65,"",0))</f>
        <v/>
      </c>
      <c r="E16" s="16" t="str" cm="1">
        <f t="array" ref="E16">IF(C16&lt;&gt;"", _xlfn.XLOOKUP(1,((SKUs!$A$2:$A$10001=cl_unmerged!B16) * (LEFT(SKUs!$J$2:$J$10001, LEN("Frame"))="Frame")), SKUs!$J$2:$J$10001,""),"") &amp; _xlfn.IFS(I16="Height", ", H",I16="Height SLI", ", H SLI", I16="Height FIX", ", H FIX",I16="Width", ", W", I16="", "")</f>
        <v/>
      </c>
      <c r="F16" s="33" t="str" cm="1">
        <f t="array" ref="F16">_xlfn.XLOOKUP(1,((SKUs!$A$2:$A$10001=cl_unmerged!B16) * (LEFT(SKUs!$J$2:$J$10001, LEN("Frame"))="Frame") * (ISNUMBER(SEARCH(A16,SKUs!$C$2:$C$10001)))), SKUs!$C$2:$C$10001,"")</f>
        <v/>
      </c>
      <c r="G16" s="16" t="str" cm="1">
        <f t="array" ref="G16:G17">IF(_xlfn.SEQUENCE(COUNTA(calc_s60!G15:G1000) * 2) &lt;= COUNTA(calc_s60!G15:G1000) * 2, INDEX(calc_s60!G15:G1000, INT((_xlfn.SEQUENCE(COUNTA(calc_s60!G15:G1000) * 2) - 1) / 2) + 1), "")</f>
        <v/>
      </c>
      <c r="H16" s="16" t="str">
        <f>IF(C16&lt;&gt;"", IF(I16="Height",_xlfn.XLOOKUP(C16,calc_s60!$C$15:$C$1000,calc_s60!$N$15:$N$1000,"",0), _xlfn.XLOOKUP(C16,calc_s60!$C$15:$C$1000,calc_s60!$P$15:$P$1000,"",0)),"")</f>
        <v/>
      </c>
      <c r="I16" s="16" t="str">
        <f>IF(C16&lt;&gt;"", IF(C16=C14, "Width", "Height"),"")</f>
        <v/>
      </c>
    </row>
    <row r="17" spans="1:9" x14ac:dyDescent="0.25">
      <c r="A17" s="41" t="str">
        <f>_xlfn.XLOOKUP(G17,dd_color!$A$2:$A$8,dd_color!$B$2:$B$8,"",0)</f>
        <v/>
      </c>
      <c r="B17" s="41" t="str">
        <f>_xlfn.XLOOKUP(_xlfn.XLOOKUP(C17,'Project Details'!$C$17:$C$10003,'Project Details'!$E$17:$E$10003, "",0),dd_design_raw!$A$2:$A$9997,dd_design_raw!$C$2:$C$9997,"",0)</f>
        <v/>
      </c>
      <c r="C17" s="16" t="str">
        <v/>
      </c>
      <c r="D17" s="16" t="str">
        <f>IF(I17="Height",_xlfn.XLOOKUP(C17,calc_s60!$C$15:$C$65,calc_s60!$O$15:$O$65,"",0),_xlfn.XLOOKUP(C17,calc_s60!$C$15:$C$65,calc_s60!$Q$15:$Q$65,"",0))</f>
        <v/>
      </c>
      <c r="E17" s="16" t="str" cm="1">
        <f t="array" ref="E17">IF(C17&lt;&gt;"", _xlfn.XLOOKUP(1,((SKUs!$A$2:$A$10001=cl_unmerged!B17) * (LEFT(SKUs!$J$2:$J$10001, LEN("Frame"))="Frame")), SKUs!$J$2:$J$10001,""),"") &amp; _xlfn.IFS(I17="Height", ", H",I17="Height SLI", ", H SLI", I17="Height FIX", ", H FIX",I17="Width", ", W", I17="", "")</f>
        <v/>
      </c>
      <c r="F17" s="33" t="str" cm="1">
        <f t="array" ref="F17">_xlfn.XLOOKUP(1,((SKUs!$A$2:$A$10001=cl_unmerged!B17) * (LEFT(SKUs!$J$2:$J$10001, LEN("Frame"))="Frame") * (ISNUMBER(SEARCH(A17,SKUs!$C$2:$C$10001)))), SKUs!$C$2:$C$10001,"")</f>
        <v/>
      </c>
      <c r="G17" s="16" t="str">
        <v/>
      </c>
      <c r="H17" s="16" t="str">
        <f>IF(C17&lt;&gt;"", IF(I17="Height",_xlfn.XLOOKUP(C17,calc_s60!$C$15:$C$1000,calc_s60!$N$15:$N$1000,"",0), _xlfn.XLOOKUP(C17,calc_s60!$C$15:$C$1000,calc_s60!$P$15:$P$1000,"",0)),"")</f>
        <v/>
      </c>
      <c r="I17" s="16" t="str">
        <f>IF(C17&lt;&gt;"", IF(C17=C16, "Width", "Height"),"")</f>
        <v/>
      </c>
    </row>
    <row r="18" spans="1:9" x14ac:dyDescent="0.25">
      <c r="A18" s="41" t="str">
        <f>_xlfn.XLOOKUP(G18,dd_color!$A$2:$A$8,dd_color!$B$2:$B$8,"",0)</f>
        <v/>
      </c>
      <c r="B18" s="41">
        <f>_xlfn.XLOOKUP(_xlfn.XLOOKUP(C18,'Project Details'!$C$17:$C$10003,'Project Details'!$E$17:$E$10003, "",0),dd_design_raw!$A$2:$A$9997,dd_design_raw!$C$2:$C$9997,"",0)</f>
        <v>0</v>
      </c>
      <c r="C18" s="16"/>
      <c r="D18" s="16" t="str">
        <f>IF(I18="Height",_xlfn.XLOOKUP(C18,calc_s60!$C$15:$C$65,calc_s60!$O$15:$O$65,"",0),_xlfn.XLOOKUP(C18,calc_s60!$C$15:$C$65,calc_s60!$Q$15:$Q$65,"",0))</f>
        <v/>
      </c>
      <c r="E18" s="16" t="str" cm="1">
        <f t="array" ref="E18">IF(C18&lt;&gt;"", _xlfn.XLOOKUP(1,((SKUs!$A$2:$A$10001=cl_unmerged!B18) * (LEFT(SKUs!$J$2:$J$10001, LEN("Frame"))="Frame")), SKUs!$J$2:$J$10001,""),"") &amp; _xlfn.IFS(I18="Height", ", H",I18="Height SLI", ", H SLI", I18="Height FIX", ", H FIX",I18="Width", ", W", I18="", "")</f>
        <v/>
      </c>
      <c r="F18" s="33" t="str" cm="1">
        <f t="array" ref="F18">_xlfn.XLOOKUP(1,((SKUs!$A$2:$A$10001=cl_unmerged!B18) * (LEFT(SKUs!$J$2:$J$10001, LEN("Frame"))="Frame") * (ISNUMBER(SEARCH(A18,SKUs!$C$2:$C$10001)))), SKUs!$C$2:$C$10001,"")</f>
        <v/>
      </c>
      <c r="G18" s="16"/>
      <c r="H18" s="16" t="str">
        <f>IF(C18&lt;&gt;"", IF(I18="Height",_xlfn.XLOOKUP(C18,calc_s60!$C$15:$C$1000,calc_s60!$N$15:$N$1000,"",0), _xlfn.XLOOKUP(C18,calc_s60!$C$15:$C$1000,calc_s60!$P$15:$P$1000,"",0)),"")</f>
        <v/>
      </c>
      <c r="I18" s="16" t="str">
        <f t="shared" ref="I18:I66" si="0">IF(C18&lt;&gt;"", IF(C18=C17, "Width", "Height"),"")</f>
        <v/>
      </c>
    </row>
    <row r="19" spans="1:9" x14ac:dyDescent="0.25">
      <c r="A19" s="41" t="str">
        <f>_xlfn.XLOOKUP(G19,dd_color!$A$2:$A$8,dd_color!$B$2:$B$8,"",0)</f>
        <v/>
      </c>
      <c r="B19" s="41">
        <f>_xlfn.XLOOKUP(_xlfn.XLOOKUP(C19,'Project Details'!$C$17:$C$10003,'Project Details'!$E$17:$E$10003, "",0),dd_design_raw!$A$2:$A$9997,dd_design_raw!$C$2:$C$9997,"",0)</f>
        <v>0</v>
      </c>
      <c r="C19" s="16"/>
      <c r="D19" s="16" t="str">
        <f>IF(I19="Height",_xlfn.XLOOKUP(C19,calc_s60!$C$15:$C$65,calc_s60!$O$15:$O$65,"",0),_xlfn.XLOOKUP(C19,calc_s60!$C$15:$C$65,calc_s60!$Q$15:$Q$65,"",0))</f>
        <v/>
      </c>
      <c r="E19" s="16" t="str" cm="1">
        <f t="array" ref="E19">IF(C19&lt;&gt;"", _xlfn.XLOOKUP(1,((SKUs!$A$2:$A$10001=cl_unmerged!B19) * (LEFT(SKUs!$J$2:$J$10001, LEN("Frame"))="Frame")), SKUs!$J$2:$J$10001,""),"") &amp; _xlfn.IFS(I19="Height", ", H",I19="Height SLI", ", H SLI", I19="Height FIX", ", H FIX",I19="Width", ", W", I19="", "")</f>
        <v/>
      </c>
      <c r="F19" s="33" t="str" cm="1">
        <f t="array" ref="F19">_xlfn.XLOOKUP(1,((SKUs!$A$2:$A$10001=cl_unmerged!B19) * (LEFT(SKUs!$J$2:$J$10001, LEN("Frame"))="Frame") * (ISNUMBER(SEARCH(A19,SKUs!$C$2:$C$10001)))), SKUs!$C$2:$C$10001,"")</f>
        <v/>
      </c>
      <c r="G19" s="16"/>
      <c r="H19" s="16" t="str">
        <f>IF(C19&lt;&gt;"", IF(I19="Height",_xlfn.XLOOKUP(C19,calc_s60!$C$15:$C$1000,calc_s60!$N$15:$N$1000,"",0), _xlfn.XLOOKUP(C19,calc_s60!$C$15:$C$1000,calc_s60!$P$15:$P$1000,"",0)),"")</f>
        <v/>
      </c>
      <c r="I19" s="16" t="str">
        <f t="shared" si="0"/>
        <v/>
      </c>
    </row>
    <row r="20" spans="1:9" x14ac:dyDescent="0.25">
      <c r="A20" s="41" t="str">
        <f>_xlfn.XLOOKUP(G20,dd_color!$A$2:$A$8,dd_color!$B$2:$B$8,"",0)</f>
        <v/>
      </c>
      <c r="B20" s="41">
        <f>_xlfn.XLOOKUP(_xlfn.XLOOKUP(C20,'Project Details'!$C$17:$C$10003,'Project Details'!$E$17:$E$10003, "",0),dd_design_raw!$A$2:$A$9997,dd_design_raw!$C$2:$C$9997,"",0)</f>
        <v>0</v>
      </c>
      <c r="C20" s="16"/>
      <c r="D20" s="16" t="str">
        <f>IF(I20="Height",_xlfn.XLOOKUP(C20,calc_s60!$C$15:$C$65,calc_s60!$O$15:$O$65,"",0),_xlfn.XLOOKUP(C20,calc_s60!$C$15:$C$65,calc_s60!$Q$15:$Q$65,"",0))</f>
        <v/>
      </c>
      <c r="E20" s="16" t="str" cm="1">
        <f t="array" ref="E20">IF(C20&lt;&gt;"", _xlfn.XLOOKUP(1,((SKUs!$A$2:$A$10001=cl_unmerged!B20) * (LEFT(SKUs!$J$2:$J$10001, LEN("Frame"))="Frame")), SKUs!$J$2:$J$10001,""),"") &amp; _xlfn.IFS(I20="Height", ", H",I20="Height SLI", ", H SLI", I20="Height FIX", ", H FIX",I20="Width", ", W", I20="", "")</f>
        <v/>
      </c>
      <c r="F20" s="33" t="str" cm="1">
        <f t="array" ref="F20">_xlfn.XLOOKUP(1,((SKUs!$A$2:$A$10001=cl_unmerged!B20) * (LEFT(SKUs!$J$2:$J$10001, LEN("Frame"))="Frame") * (ISNUMBER(SEARCH(A20,SKUs!$C$2:$C$10001)))), SKUs!$C$2:$C$10001,"")</f>
        <v/>
      </c>
      <c r="G20" s="16"/>
      <c r="H20" s="16" t="str">
        <f>IF(C20&lt;&gt;"", IF(I20="Height",_xlfn.XLOOKUP(C20,calc_s60!$C$15:$C$1000,calc_s60!$N$15:$N$1000,"",0), _xlfn.XLOOKUP(C20,calc_s60!$C$15:$C$1000,calc_s60!$P$15:$P$1000,"",0)),"")</f>
        <v/>
      </c>
      <c r="I20" s="16" t="str">
        <f t="shared" si="0"/>
        <v/>
      </c>
    </row>
    <row r="21" spans="1:9" x14ac:dyDescent="0.25">
      <c r="A21" s="41" t="str">
        <f>_xlfn.XLOOKUP(G21,dd_color!$A$2:$A$8,dd_color!$B$2:$B$8,"",0)</f>
        <v/>
      </c>
      <c r="B21" s="41">
        <f>_xlfn.XLOOKUP(_xlfn.XLOOKUP(C21,'Project Details'!$C$17:$C$10003,'Project Details'!$E$17:$E$10003, "",0),dd_design_raw!$A$2:$A$9997,dd_design_raw!$C$2:$C$9997,"",0)</f>
        <v>0</v>
      </c>
      <c r="C21" s="16"/>
      <c r="D21" s="16" t="str">
        <f>IF(I21="Height",_xlfn.XLOOKUP(C21,calc_s60!$C$15:$C$65,calc_s60!$O$15:$O$65,"",0),_xlfn.XLOOKUP(C21,calc_s60!$C$15:$C$65,calc_s60!$Q$15:$Q$65,"",0))</f>
        <v/>
      </c>
      <c r="E21" s="16" t="str" cm="1">
        <f t="array" ref="E21">IF(C21&lt;&gt;"", _xlfn.XLOOKUP(1,((SKUs!$A$2:$A$10001=cl_unmerged!B21) * (LEFT(SKUs!$J$2:$J$10001, LEN("Frame"))="Frame")), SKUs!$J$2:$J$10001,""),"") &amp; _xlfn.IFS(I21="Height", ", H",I21="Height SLI", ", H SLI", I21="Height FIX", ", H FIX",I21="Width", ", W", I21="", "")</f>
        <v/>
      </c>
      <c r="F21" s="33" t="str" cm="1">
        <f t="array" ref="F21">_xlfn.XLOOKUP(1,((SKUs!$A$2:$A$10001=cl_unmerged!B21) * (LEFT(SKUs!$J$2:$J$10001, LEN("Frame"))="Frame") * (ISNUMBER(SEARCH(A21,SKUs!$C$2:$C$10001)))), SKUs!$C$2:$C$10001,"")</f>
        <v/>
      </c>
      <c r="G21" s="16"/>
      <c r="H21" s="16" t="str">
        <f>IF(C21&lt;&gt;"", IF(I21="Height",_xlfn.XLOOKUP(C21,calc_s60!$C$15:$C$1000,calc_s60!$N$15:$N$1000,"",0), _xlfn.XLOOKUP(C21,calc_s60!$C$15:$C$1000,calc_s60!$P$15:$P$1000,"",0)),"")</f>
        <v/>
      </c>
      <c r="I21" s="16" t="str">
        <f t="shared" si="0"/>
        <v/>
      </c>
    </row>
    <row r="22" spans="1:9" x14ac:dyDescent="0.25">
      <c r="A22" s="41" t="str">
        <f>_xlfn.XLOOKUP(G22,dd_color!$A$2:$A$8,dd_color!$B$2:$B$8,"",0)</f>
        <v/>
      </c>
      <c r="B22" s="41">
        <f>_xlfn.XLOOKUP(_xlfn.XLOOKUP(C22,'Project Details'!$C$17:$C$10003,'Project Details'!$E$17:$E$10003, "",0),dd_design_raw!$A$2:$A$9997,dd_design_raw!$C$2:$C$9997,"",0)</f>
        <v>0</v>
      </c>
      <c r="C22" s="16"/>
      <c r="D22" s="16" t="str">
        <f>IF(I22="Height",_xlfn.XLOOKUP(C22,calc_s60!$C$15:$C$65,calc_s60!$O$15:$O$65,"",0),_xlfn.XLOOKUP(C22,calc_s60!$C$15:$C$65,calc_s60!$Q$15:$Q$65,"",0))</f>
        <v/>
      </c>
      <c r="E22" s="16" t="str" cm="1">
        <f t="array" ref="E22">IF(C22&lt;&gt;"", _xlfn.XLOOKUP(1,((SKUs!$A$2:$A$10001=cl_unmerged!B22) * (LEFT(SKUs!$J$2:$J$10001, LEN("Frame"))="Frame")), SKUs!$J$2:$J$10001,""),"") &amp; _xlfn.IFS(I22="Height", ", H",I22="Height SLI", ", H SLI", I22="Height FIX", ", H FIX",I22="Width", ", W", I22="", "")</f>
        <v/>
      </c>
      <c r="F22" s="33" t="str" cm="1">
        <f t="array" ref="F22">_xlfn.XLOOKUP(1,((SKUs!$A$2:$A$10001=cl_unmerged!B22) * (LEFT(SKUs!$J$2:$J$10001, LEN("Frame"))="Frame") * (ISNUMBER(SEARCH(A22,SKUs!$C$2:$C$10001)))), SKUs!$C$2:$C$10001,"")</f>
        <v/>
      </c>
      <c r="G22" s="16"/>
      <c r="H22" s="16" t="str">
        <f>IF(C22&lt;&gt;"", IF(I22="Height",_xlfn.XLOOKUP(C22,calc_s60!$C$15:$C$1000,calc_s60!$N$15:$N$1000,"",0), _xlfn.XLOOKUP(C22,calc_s60!$C$15:$C$1000,calc_s60!$P$15:$P$1000,"",0)),"")</f>
        <v/>
      </c>
      <c r="I22" s="16" t="str">
        <f t="shared" si="0"/>
        <v/>
      </c>
    </row>
    <row r="23" spans="1:9" x14ac:dyDescent="0.25">
      <c r="A23" s="41" t="str">
        <f>_xlfn.XLOOKUP(G23,dd_color!$A$2:$A$8,dd_color!$B$2:$B$8,"",0)</f>
        <v/>
      </c>
      <c r="B23" s="41">
        <f>_xlfn.XLOOKUP(_xlfn.XLOOKUP(C23,'Project Details'!$C$17:$C$10003,'Project Details'!$E$17:$E$10003, "",0),dd_design_raw!$A$2:$A$9997,dd_design_raw!$C$2:$C$9997,"",0)</f>
        <v>0</v>
      </c>
      <c r="C23" s="16"/>
      <c r="D23" s="16" t="str">
        <f>IF(I23="Height",_xlfn.XLOOKUP(C23,calc_s60!$C$15:$C$65,calc_s60!$O$15:$O$65,"",0),_xlfn.XLOOKUP(C23,calc_s60!$C$15:$C$65,calc_s60!$Q$15:$Q$65,"",0))</f>
        <v/>
      </c>
      <c r="E23" s="16" t="str" cm="1">
        <f t="array" ref="E23">IF(C23&lt;&gt;"", _xlfn.XLOOKUP(1,((SKUs!$A$2:$A$10001=cl_unmerged!B23) * (LEFT(SKUs!$J$2:$J$10001, LEN("Frame"))="Frame")), SKUs!$J$2:$J$10001,""),"") &amp; _xlfn.IFS(I23="Height", ", H",I23="Height SLI", ", H SLI", I23="Height FIX", ", H FIX",I23="Width", ", W", I23="", "")</f>
        <v/>
      </c>
      <c r="F23" s="33" t="str" cm="1">
        <f t="array" ref="F23">_xlfn.XLOOKUP(1,((SKUs!$A$2:$A$10001=cl_unmerged!B23) * (LEFT(SKUs!$J$2:$J$10001, LEN("Frame"))="Frame") * (ISNUMBER(SEARCH(A23,SKUs!$C$2:$C$10001)))), SKUs!$C$2:$C$10001,"")</f>
        <v/>
      </c>
      <c r="G23" s="16"/>
      <c r="H23" s="16" t="str">
        <f>IF(C23&lt;&gt;"", IF(I23="Height",_xlfn.XLOOKUP(C23,calc_s60!$C$15:$C$1000,calc_s60!$N$15:$N$1000,"",0), _xlfn.XLOOKUP(C23,calc_s60!$C$15:$C$1000,calc_s60!$P$15:$P$1000,"",0)),"")</f>
        <v/>
      </c>
      <c r="I23" s="16" t="str">
        <f t="shared" si="0"/>
        <v/>
      </c>
    </row>
    <row r="24" spans="1:9" x14ac:dyDescent="0.25">
      <c r="A24" s="41" t="str">
        <f>_xlfn.XLOOKUP(G24,dd_color!$A$2:$A$8,dd_color!$B$2:$B$8,"",0)</f>
        <v/>
      </c>
      <c r="B24" s="41" t="str">
        <f>_xlfn.XLOOKUP(_xlfn.XLOOKUP(C24,'Project Details'!$C$17:$C$10003,'Project Details'!$E$17:$E$10003, "",0),dd_design_raw!$A$2:$A$9997,dd_design_raw!$C$2:$C$9997,"",0)</f>
        <v/>
      </c>
      <c r="C24" s="16"/>
      <c r="D24" s="16" t="str">
        <f>IF(I24="Height",_xlfn.XLOOKUP(C24,calc_s60!$C$15:$C$65,calc_s60!$O$15:$O$65,"",0),_xlfn.XLOOKUP(C24,calc_s60!$C$15:$C$65,calc_s60!$Q$15:$Q$65,"",0))</f>
        <v/>
      </c>
      <c r="E24" s="16" t="str" cm="1">
        <f t="array" ref="E24">IF(C24&lt;&gt;"", _xlfn.XLOOKUP(1,((SKUs!$A$2:$A$10001=cl_unmerged!B24) * (LEFT(SKUs!$J$2:$J$10001, LEN("Frame"))="Frame")), SKUs!$J$2:$J$10001,""),"") &amp; _xlfn.IFS(I24="Height", ", H",I24="Height SLI", ", H SLI", I24="Height FIX", ", H FIX",I24="Width", ", W", I24="", "")</f>
        <v/>
      </c>
      <c r="F24" s="33" t="str" cm="1">
        <f t="array" ref="F24">_xlfn.XLOOKUP(1,((SKUs!$A$2:$A$10001=cl_unmerged!B24) * (LEFT(SKUs!$J$2:$J$10001, LEN("Frame"))="Frame") * (ISNUMBER(SEARCH(A24,SKUs!$C$2:$C$10001)))), SKUs!$C$2:$C$10001,"")</f>
        <v/>
      </c>
      <c r="G24" s="16"/>
      <c r="H24" s="16" t="str">
        <f>IF(C24&lt;&gt;"", IF(I24="Height",_xlfn.XLOOKUP(C24,calc_s60!$C$15:$C$1000,calc_s60!$N$15:$N$1000,"",0), _xlfn.XLOOKUP(C24,calc_s60!$C$15:$C$1000,calc_s60!$P$15:$P$1000,"",0)),"")</f>
        <v/>
      </c>
      <c r="I24" s="16" t="str">
        <f t="shared" si="0"/>
        <v/>
      </c>
    </row>
    <row r="25" spans="1:9" x14ac:dyDescent="0.25">
      <c r="A25" s="41" t="str">
        <f>_xlfn.XLOOKUP(G25,dd_color!$A$2:$A$8,dd_color!$B$2:$B$8,"",0)</f>
        <v/>
      </c>
      <c r="B25" s="41">
        <f>_xlfn.XLOOKUP(_xlfn.XLOOKUP(C25,'Project Details'!$C$17:$C$10003,'Project Details'!$E$17:$E$10003, "",0),dd_design_raw!$A$2:$A$9997,dd_design_raw!$C$2:$C$9997,"",0)</f>
        <v>0</v>
      </c>
      <c r="C25" s="16"/>
      <c r="D25" s="16" t="str">
        <f>IF(I25="Height",_xlfn.XLOOKUP(C25,calc_s60!$C$15:$C$65,calc_s60!$O$15:$O$65,"",0),_xlfn.XLOOKUP(C25,calc_s60!$C$15:$C$65,calc_s60!$Q$15:$Q$65,"",0))</f>
        <v/>
      </c>
      <c r="E25" s="16" t="str" cm="1">
        <f t="array" ref="E25">IF(C25&lt;&gt;"", _xlfn.XLOOKUP(1,((SKUs!$A$2:$A$10001=cl_unmerged!B25) * (LEFT(SKUs!$J$2:$J$10001, LEN("Frame"))="Frame")), SKUs!$J$2:$J$10001,""),"") &amp; _xlfn.IFS(I25="Height", ", H",I25="Height SLI", ", H SLI", I25="Height FIX", ", H FIX",I25="Width", ", W", I25="", "")</f>
        <v/>
      </c>
      <c r="F25" s="33" t="str" cm="1">
        <f t="array" ref="F25">_xlfn.XLOOKUP(1,((SKUs!$A$2:$A$10001=cl_unmerged!B25) * (LEFT(SKUs!$J$2:$J$10001, LEN("Frame"))="Frame") * (ISNUMBER(SEARCH(A25,SKUs!$C$2:$C$10001)))), SKUs!$C$2:$C$10001,"")</f>
        <v/>
      </c>
      <c r="G25" s="16"/>
      <c r="H25" s="16" t="str">
        <f>IF(C25&lt;&gt;"", IF(I25="Height",_xlfn.XLOOKUP(C25,calc_s60!$C$15:$C$1000,calc_s60!$N$15:$N$1000,"",0), _xlfn.XLOOKUP(C25,calc_s60!$C$15:$C$1000,calc_s60!$P$15:$P$1000,"",0)),"")</f>
        <v/>
      </c>
      <c r="I25" s="16" t="str">
        <f t="shared" si="0"/>
        <v/>
      </c>
    </row>
    <row r="26" spans="1:9" x14ac:dyDescent="0.25">
      <c r="A26" s="41" t="str">
        <f>_xlfn.XLOOKUP(G26,dd_color!$A$2:$A$8,dd_color!$B$2:$B$8,"",0)</f>
        <v/>
      </c>
      <c r="B26" s="41">
        <f>_xlfn.XLOOKUP(_xlfn.XLOOKUP(C26,'Project Details'!$C$17:$C$10003,'Project Details'!$E$17:$E$10003, "",0),dd_design_raw!$A$2:$A$9997,dd_design_raw!$C$2:$C$9997,"",0)</f>
        <v>0</v>
      </c>
      <c r="C26" s="16"/>
      <c r="D26" s="16" t="str">
        <f>IF(I26="Height",_xlfn.XLOOKUP(C26,calc_s60!$C$15:$C$65,calc_s60!$O$15:$O$65,"",0),_xlfn.XLOOKUP(C26,calc_s60!$C$15:$C$65,calc_s60!$Q$15:$Q$65,"",0))</f>
        <v/>
      </c>
      <c r="E26" s="16" t="str" cm="1">
        <f t="array" ref="E26">IF(C26&lt;&gt;"", _xlfn.XLOOKUP(1,((SKUs!$A$2:$A$10001=cl_unmerged!B26) * (LEFT(SKUs!$J$2:$J$10001, LEN("Frame"))="Frame")), SKUs!$J$2:$J$10001,""),"") &amp; _xlfn.IFS(I26="Height", ", H",I26="Height SLI", ", H SLI", I26="Height FIX", ", H FIX",I26="Width", ", W", I26="", "")</f>
        <v/>
      </c>
      <c r="F26" s="33" t="str" cm="1">
        <f t="array" ref="F26">_xlfn.XLOOKUP(1,((SKUs!$A$2:$A$10001=cl_unmerged!B26) * (LEFT(SKUs!$J$2:$J$10001, LEN("Frame"))="Frame") * (ISNUMBER(SEARCH(A26,SKUs!$C$2:$C$10001)))), SKUs!$C$2:$C$10001,"")</f>
        <v/>
      </c>
      <c r="G26" s="16"/>
      <c r="H26" s="16" t="str">
        <f>IF(C26&lt;&gt;"", IF(I26="Height",_xlfn.XLOOKUP(C26,calc_s60!$C$15:$C$1000,calc_s60!$N$15:$N$1000,"",0), _xlfn.XLOOKUP(C26,calc_s60!$C$15:$C$1000,calc_s60!$P$15:$P$1000,"",0)),"")</f>
        <v/>
      </c>
      <c r="I26" s="16" t="str">
        <f t="shared" si="0"/>
        <v/>
      </c>
    </row>
    <row r="27" spans="1:9" x14ac:dyDescent="0.25">
      <c r="A27" s="41" t="str">
        <f>_xlfn.XLOOKUP(G27,dd_color!$A$2:$A$8,dd_color!$B$2:$B$8,"",0)</f>
        <v/>
      </c>
      <c r="B27" s="41">
        <f>_xlfn.XLOOKUP(_xlfn.XLOOKUP(C27,'Project Details'!$C$17:$C$10003,'Project Details'!$E$17:$E$10003, "",0),dd_design_raw!$A$2:$A$9997,dd_design_raw!$C$2:$C$9997,"",0)</f>
        <v>0</v>
      </c>
      <c r="C27" s="16"/>
      <c r="D27" s="16" t="str">
        <f>IF(I27="Height",_xlfn.XLOOKUP(C27,calc_s60!$C$15:$C$65,calc_s60!$O$15:$O$65,"",0),_xlfn.XLOOKUP(C27,calc_s60!$C$15:$C$65,calc_s60!$Q$15:$Q$65,"",0))</f>
        <v/>
      </c>
      <c r="E27" s="16" t="str" cm="1">
        <f t="array" ref="E27">IF(C27&lt;&gt;"", _xlfn.XLOOKUP(1,((SKUs!$A$2:$A$10001=cl_unmerged!B27) * (LEFT(SKUs!$J$2:$J$10001, LEN("Frame"))="Frame")), SKUs!$J$2:$J$10001,""),"") &amp; _xlfn.IFS(I27="Height", ", H",I27="Height SLI", ", H SLI", I27="Height FIX", ", H FIX",I27="Width", ", W", I27="", "")</f>
        <v/>
      </c>
      <c r="F27" s="33" t="str" cm="1">
        <f t="array" ref="F27">_xlfn.XLOOKUP(1,((SKUs!$A$2:$A$10001=cl_unmerged!B27) * (LEFT(SKUs!$J$2:$J$10001, LEN("Frame"))="Frame") * (ISNUMBER(SEARCH(A27,SKUs!$C$2:$C$10001)))), SKUs!$C$2:$C$10001,"")</f>
        <v/>
      </c>
      <c r="G27" s="16"/>
      <c r="H27" s="16" t="str">
        <f>IF(C27&lt;&gt;"", IF(I27="Height",_xlfn.XLOOKUP(C27,calc_s60!$C$15:$C$1000,calc_s60!$N$15:$N$1000,"",0), _xlfn.XLOOKUP(C27,calc_s60!$C$15:$C$1000,calc_s60!$P$15:$P$1000,"",0)),"")</f>
        <v/>
      </c>
      <c r="I27" s="16" t="str">
        <f t="shared" si="0"/>
        <v/>
      </c>
    </row>
    <row r="28" spans="1:9" x14ac:dyDescent="0.25">
      <c r="A28" s="41" t="str">
        <f>_xlfn.XLOOKUP(G28,dd_color!$A$2:$A$8,dd_color!$B$2:$B$8,"",0)</f>
        <v/>
      </c>
      <c r="B28" s="41">
        <f>_xlfn.XLOOKUP(_xlfn.XLOOKUP(C28,'Project Details'!$C$17:$C$10003,'Project Details'!$E$17:$E$10003, "",0),dd_design_raw!$A$2:$A$9997,dd_design_raw!$C$2:$C$9997,"",0)</f>
        <v>0</v>
      </c>
      <c r="C28" s="16"/>
      <c r="D28" s="16" t="str">
        <f>IF(I28="Height",_xlfn.XLOOKUP(C28,calc_s60!$C$15:$C$65,calc_s60!$O$15:$O$65,"",0),_xlfn.XLOOKUP(C28,calc_s60!$C$15:$C$65,calc_s60!$Q$15:$Q$65,"",0))</f>
        <v/>
      </c>
      <c r="E28" s="16" t="str" cm="1">
        <f t="array" ref="E28">IF(C28&lt;&gt;"", _xlfn.XLOOKUP(1,((SKUs!$A$2:$A$10001=cl_unmerged!B28) * (LEFT(SKUs!$J$2:$J$10001, LEN("Frame"))="Frame")), SKUs!$J$2:$J$10001,""),"") &amp; _xlfn.IFS(I28="Height", ", H",I28="Height SLI", ", H SLI", I28="Height FIX", ", H FIX",I28="Width", ", W", I28="", "")</f>
        <v/>
      </c>
      <c r="F28" s="33" t="str" cm="1">
        <f t="array" ref="F28">_xlfn.XLOOKUP(1,((SKUs!$A$2:$A$10001=cl_unmerged!B28) * (LEFT(SKUs!$J$2:$J$10001, LEN("Frame"))="Frame") * (ISNUMBER(SEARCH(A28,SKUs!$C$2:$C$10001)))), SKUs!$C$2:$C$10001,"")</f>
        <v/>
      </c>
      <c r="G28" s="16"/>
      <c r="H28" s="16" t="str">
        <f>IF(C28&lt;&gt;"", IF(I28="Height",_xlfn.XLOOKUP(C28,calc_s60!$C$15:$C$1000,calc_s60!$N$15:$N$1000,"",0), _xlfn.XLOOKUP(C28,calc_s60!$C$15:$C$1000,calc_s60!$P$15:$P$1000,"",0)),"")</f>
        <v/>
      </c>
      <c r="I28" s="16" t="str">
        <f t="shared" si="0"/>
        <v/>
      </c>
    </row>
    <row r="29" spans="1:9" x14ac:dyDescent="0.25">
      <c r="A29" s="41" t="str">
        <f>_xlfn.XLOOKUP(G29,dd_color!$A$2:$A$8,dd_color!$B$2:$B$8,"",0)</f>
        <v/>
      </c>
      <c r="B29" s="41">
        <f>_xlfn.XLOOKUP(_xlfn.XLOOKUP(C29,'Project Details'!$C$17:$C$10003,'Project Details'!$E$17:$E$10003, "",0),dd_design_raw!$A$2:$A$9997,dd_design_raw!$C$2:$C$9997,"",0)</f>
        <v>0</v>
      </c>
      <c r="C29" s="16"/>
      <c r="D29" s="16" t="str">
        <f>IF(I29="Height",_xlfn.XLOOKUP(C29,calc_s60!$C$15:$C$65,calc_s60!$O$15:$O$65,"",0),_xlfn.XLOOKUP(C29,calc_s60!$C$15:$C$65,calc_s60!$Q$15:$Q$65,"",0))</f>
        <v/>
      </c>
      <c r="E29" s="16" t="str" cm="1">
        <f t="array" ref="E29">IF(C29&lt;&gt;"", _xlfn.XLOOKUP(1,((SKUs!$A$2:$A$10001=cl_unmerged!B29) * (LEFT(SKUs!$J$2:$J$10001, LEN("Frame"))="Frame")), SKUs!$J$2:$J$10001,""),"") &amp; _xlfn.IFS(I29="Height", ", H",I29="Height SLI", ", H SLI", I29="Height FIX", ", H FIX",I29="Width", ", W", I29="", "")</f>
        <v/>
      </c>
      <c r="F29" s="33" t="str" cm="1">
        <f t="array" ref="F29">_xlfn.XLOOKUP(1,((SKUs!$A$2:$A$10001=cl_unmerged!B29) * (LEFT(SKUs!$J$2:$J$10001, LEN("Frame"))="Frame") * (ISNUMBER(SEARCH(A29,SKUs!$C$2:$C$10001)))), SKUs!$C$2:$C$10001,"")</f>
        <v/>
      </c>
      <c r="G29" s="16"/>
      <c r="H29" s="16" t="str">
        <f>IF(C29&lt;&gt;"", IF(I29="Height",_xlfn.XLOOKUP(C29,calc_s60!$C$15:$C$1000,calc_s60!$N$15:$N$1000,"",0), _xlfn.XLOOKUP(C29,calc_s60!$C$15:$C$1000,calc_s60!$P$15:$P$1000,"",0)),"")</f>
        <v/>
      </c>
      <c r="I29" s="16" t="str">
        <f t="shared" si="0"/>
        <v/>
      </c>
    </row>
    <row r="30" spans="1:9" x14ac:dyDescent="0.25">
      <c r="A30" s="41" t="str">
        <f>_xlfn.XLOOKUP(G30,dd_color!$A$2:$A$8,dd_color!$B$2:$B$8,"",0)</f>
        <v/>
      </c>
      <c r="B30" s="41">
        <f>_xlfn.XLOOKUP(_xlfn.XLOOKUP(C30,'Project Details'!$C$17:$C$10003,'Project Details'!$E$17:$E$10003, "",0),dd_design_raw!$A$2:$A$9997,dd_design_raw!$C$2:$C$9997,"",0)</f>
        <v>0</v>
      </c>
      <c r="C30" s="16"/>
      <c r="D30" s="16" t="str">
        <f>IF(I30="Height",_xlfn.XLOOKUP(C30,calc_s60!$C$15:$C$65,calc_s60!$O$15:$O$65,"",0),_xlfn.XLOOKUP(C30,calc_s60!$C$15:$C$65,calc_s60!$Q$15:$Q$65,"",0))</f>
        <v/>
      </c>
      <c r="E30" s="16" t="str" cm="1">
        <f t="array" ref="E30">IF(C30&lt;&gt;"", _xlfn.XLOOKUP(1,((SKUs!$A$2:$A$10001=cl_unmerged!B30) * (LEFT(SKUs!$J$2:$J$10001, LEN("Frame"))="Frame")), SKUs!$J$2:$J$10001,""),"") &amp; _xlfn.IFS(I30="Height", ", H",I30="Height SLI", ", H SLI", I30="Height FIX", ", H FIX",I30="Width", ", W", I30="", "")</f>
        <v/>
      </c>
      <c r="F30" s="33" t="str" cm="1">
        <f t="array" ref="F30">_xlfn.XLOOKUP(1,((SKUs!$A$2:$A$10001=cl_unmerged!B30) * (LEFT(SKUs!$J$2:$J$10001, LEN("Frame"))="Frame") * (ISNUMBER(SEARCH(A30,SKUs!$C$2:$C$10001)))), SKUs!$C$2:$C$10001,"")</f>
        <v/>
      </c>
      <c r="G30" s="16"/>
      <c r="H30" s="16" t="str">
        <f>IF(C30&lt;&gt;"", IF(I30="Height",_xlfn.XLOOKUP(C30,calc_s60!$C$15:$C$1000,calc_s60!$N$15:$N$1000,"",0), _xlfn.XLOOKUP(C30,calc_s60!$C$15:$C$1000,calc_s60!$P$15:$P$1000,"",0)),"")</f>
        <v/>
      </c>
      <c r="I30" s="16" t="str">
        <f t="shared" si="0"/>
        <v/>
      </c>
    </row>
    <row r="31" spans="1:9" x14ac:dyDescent="0.25">
      <c r="A31" s="41" t="str">
        <f>_xlfn.XLOOKUP(G31,dd_color!$A$2:$A$8,dd_color!$B$2:$B$8,"",0)</f>
        <v/>
      </c>
      <c r="B31" s="41">
        <f>_xlfn.XLOOKUP(_xlfn.XLOOKUP(C31,'Project Details'!$C$17:$C$10003,'Project Details'!$E$17:$E$10003, "",0),dd_design_raw!$A$2:$A$9997,dd_design_raw!$C$2:$C$9997,"",0)</f>
        <v>0</v>
      </c>
      <c r="C31" s="16"/>
      <c r="D31" s="16" t="str">
        <f>IF(I31="Height",_xlfn.XLOOKUP(C31,calc_s60!$C$15:$C$65,calc_s60!$O$15:$O$65,"",0),_xlfn.XLOOKUP(C31,calc_s60!$C$15:$C$65,calc_s60!$Q$15:$Q$65,"",0))</f>
        <v/>
      </c>
      <c r="E31" s="16" t="str" cm="1">
        <f t="array" ref="E31">IF(C31&lt;&gt;"", _xlfn.XLOOKUP(1,((SKUs!$A$2:$A$10001=cl_unmerged!B31) * (LEFT(SKUs!$J$2:$J$10001, LEN("Frame"))="Frame")), SKUs!$J$2:$J$10001,""),"") &amp; _xlfn.IFS(I31="Height", ", H",I31="Height SLI", ", H SLI", I31="Height FIX", ", H FIX",I31="Width", ", W", I31="", "")</f>
        <v/>
      </c>
      <c r="F31" s="33" t="str" cm="1">
        <f t="array" ref="F31">_xlfn.XLOOKUP(1,((SKUs!$A$2:$A$10001=cl_unmerged!B31) * (LEFT(SKUs!$J$2:$J$10001, LEN("Frame"))="Frame") * (ISNUMBER(SEARCH(A31,SKUs!$C$2:$C$10001)))), SKUs!$C$2:$C$10001,"")</f>
        <v/>
      </c>
      <c r="G31" s="16"/>
      <c r="H31" s="16" t="str">
        <f>IF(C31&lt;&gt;"", IF(I31="Height",_xlfn.XLOOKUP(C31,calc_s60!$C$15:$C$1000,calc_s60!$N$15:$N$1000,"",0), _xlfn.XLOOKUP(C31,calc_s60!$C$15:$C$1000,calc_s60!$P$15:$P$1000,"",0)),"")</f>
        <v/>
      </c>
      <c r="I31" s="16" t="str">
        <f t="shared" si="0"/>
        <v/>
      </c>
    </row>
    <row r="32" spans="1:9" x14ac:dyDescent="0.25">
      <c r="A32" s="41" t="str">
        <f>_xlfn.XLOOKUP(G32,dd_color!$A$2:$A$8,dd_color!$B$2:$B$8,"",0)</f>
        <v/>
      </c>
      <c r="B32" s="41">
        <f>_xlfn.XLOOKUP(_xlfn.XLOOKUP(C32,'Project Details'!$C$17:$C$10003,'Project Details'!$E$17:$E$10003, "",0),dd_design_raw!$A$2:$A$9997,dd_design_raw!$C$2:$C$9997,"",0)</f>
        <v>0</v>
      </c>
      <c r="C32" s="16"/>
      <c r="D32" s="16" t="str">
        <f>IF(I32="Height",_xlfn.XLOOKUP(C32,calc_s60!$C$15:$C$65,calc_s60!$O$15:$O$65,"",0),_xlfn.XLOOKUP(C32,calc_s60!$C$15:$C$65,calc_s60!$Q$15:$Q$65,"",0))</f>
        <v/>
      </c>
      <c r="E32" s="16" t="str" cm="1">
        <f t="array" ref="E32">IF(C32&lt;&gt;"", _xlfn.XLOOKUP(1,((SKUs!$A$2:$A$10001=cl_unmerged!B32) * (LEFT(SKUs!$J$2:$J$10001, LEN("Frame"))="Frame")), SKUs!$J$2:$J$10001,""),"") &amp; _xlfn.IFS(I32="Height", ", H",I32="Height SLI", ", H SLI", I32="Height FIX", ", H FIX",I32="Width", ", W", I32="", "")</f>
        <v/>
      </c>
      <c r="F32" s="33" t="str" cm="1">
        <f t="array" ref="F32">_xlfn.XLOOKUP(1,((SKUs!$A$2:$A$10001=cl_unmerged!B32) * (LEFT(SKUs!$J$2:$J$10001, LEN("Frame"))="Frame") * (ISNUMBER(SEARCH(A32,SKUs!$C$2:$C$10001)))), SKUs!$C$2:$C$10001,"")</f>
        <v/>
      </c>
      <c r="G32" s="16"/>
      <c r="H32" s="16" t="str">
        <f>IF(C32&lt;&gt;"", IF(I32="Height",_xlfn.XLOOKUP(C32,calc_s60!$C$15:$C$1000,calc_s60!$N$15:$N$1000,"",0), _xlfn.XLOOKUP(C32,calc_s60!$C$15:$C$1000,calc_s60!$P$15:$P$1000,"",0)),"")</f>
        <v/>
      </c>
      <c r="I32" s="16" t="str">
        <f t="shared" si="0"/>
        <v/>
      </c>
    </row>
    <row r="33" spans="1:9" x14ac:dyDescent="0.25">
      <c r="A33" s="41" t="str">
        <f>_xlfn.XLOOKUP(G33,dd_color!$A$2:$A$8,dd_color!$B$2:$B$8,"",0)</f>
        <v/>
      </c>
      <c r="B33" s="41">
        <f>_xlfn.XLOOKUP(_xlfn.XLOOKUP(C33,'Project Details'!$C$17:$C$10003,'Project Details'!$E$17:$E$10003, "",0),dd_design_raw!$A$2:$A$9997,dd_design_raw!$C$2:$C$9997,"",0)</f>
        <v>0</v>
      </c>
      <c r="C33" s="16"/>
      <c r="D33" s="16" t="str">
        <f>IF(I33="Height",_xlfn.XLOOKUP(C33,calc_s60!$C$15:$C$65,calc_s60!$O$15:$O$65,"",0),_xlfn.XLOOKUP(C33,calc_s60!$C$15:$C$65,calc_s60!$Q$15:$Q$65,"",0))</f>
        <v/>
      </c>
      <c r="E33" s="16" t="str" cm="1">
        <f t="array" ref="E33">IF(C33&lt;&gt;"", _xlfn.XLOOKUP(1,((SKUs!$A$2:$A$10001=cl_unmerged!B33) * (LEFT(SKUs!$J$2:$J$10001, LEN("Frame"))="Frame")), SKUs!$J$2:$J$10001,""),"") &amp; _xlfn.IFS(I33="Height", ", H",I33="Height SLI", ", H SLI", I33="Height FIX", ", H FIX",I33="Width", ", W", I33="", "")</f>
        <v/>
      </c>
      <c r="F33" s="33" t="str" cm="1">
        <f t="array" ref="F33">_xlfn.XLOOKUP(1,((SKUs!$A$2:$A$10001=cl_unmerged!B33) * (LEFT(SKUs!$J$2:$J$10001, LEN("Frame"))="Frame") * (ISNUMBER(SEARCH(A33,SKUs!$C$2:$C$10001)))), SKUs!$C$2:$C$10001,"")</f>
        <v/>
      </c>
      <c r="G33" s="16"/>
      <c r="H33" s="16" t="str">
        <f>IF(C33&lt;&gt;"", IF(I33="Height",_xlfn.XLOOKUP(C33,calc_s60!$C$15:$C$1000,calc_s60!$N$15:$N$1000,"",0), _xlfn.XLOOKUP(C33,calc_s60!$C$15:$C$1000,calc_s60!$P$15:$P$1000,"",0)),"")</f>
        <v/>
      </c>
      <c r="I33" s="16" t="str">
        <f t="shared" si="0"/>
        <v/>
      </c>
    </row>
    <row r="34" spans="1:9" x14ac:dyDescent="0.25">
      <c r="A34" s="41" t="str">
        <f>_xlfn.XLOOKUP(G34,dd_color!$A$2:$A$8,dd_color!$B$2:$B$8,"",0)</f>
        <v/>
      </c>
      <c r="B34" s="41">
        <f>_xlfn.XLOOKUP(_xlfn.XLOOKUP(C34,'Project Details'!$C$17:$C$10003,'Project Details'!$E$17:$E$10003, "",0),dd_design_raw!$A$2:$A$9997,dd_design_raw!$C$2:$C$9997,"",0)</f>
        <v>0</v>
      </c>
      <c r="C34" s="16"/>
      <c r="D34" s="16" t="str">
        <f>IF(I34="Height",_xlfn.XLOOKUP(C34,calc_s60!$C$15:$C$65,calc_s60!$O$15:$O$65,"",0),_xlfn.XLOOKUP(C34,calc_s60!$C$15:$C$65,calc_s60!$Q$15:$Q$65,"",0))</f>
        <v/>
      </c>
      <c r="E34" s="16" t="str" cm="1">
        <f t="array" ref="E34">IF(C34&lt;&gt;"", _xlfn.XLOOKUP(1,((SKUs!$A$2:$A$10001=cl_unmerged!B34) * (LEFT(SKUs!$J$2:$J$10001, LEN("Frame"))="Frame")), SKUs!$J$2:$J$10001,""),"") &amp; _xlfn.IFS(I34="Height", ", H",I34="Height SLI", ", H SLI", I34="Height FIX", ", H FIX",I34="Width", ", W", I34="", "")</f>
        <v/>
      </c>
      <c r="F34" s="33" t="str" cm="1">
        <f t="array" ref="F34">_xlfn.XLOOKUP(1,((SKUs!$A$2:$A$10001=cl_unmerged!B34) * (LEFT(SKUs!$J$2:$J$10001, LEN("Frame"))="Frame") * (ISNUMBER(SEARCH(A34,SKUs!$C$2:$C$10001)))), SKUs!$C$2:$C$10001,"")</f>
        <v/>
      </c>
      <c r="G34" s="16"/>
      <c r="H34" s="16" t="str">
        <f>IF(C34&lt;&gt;"", IF(I34="Height",_xlfn.XLOOKUP(C34,calc_s60!$C$15:$C$1000,calc_s60!$N$15:$N$1000,"",0), _xlfn.XLOOKUP(C34,calc_s60!$C$15:$C$1000,calc_s60!$P$15:$P$1000,"",0)),"")</f>
        <v/>
      </c>
      <c r="I34" s="16" t="str">
        <f t="shared" si="0"/>
        <v/>
      </c>
    </row>
    <row r="35" spans="1:9" ht="13.5" customHeight="1" x14ac:dyDescent="0.25">
      <c r="A35" s="41" t="str">
        <f>_xlfn.XLOOKUP(G35,dd_color!$A$2:$A$8,dd_color!$B$2:$B$8,"",0)</f>
        <v/>
      </c>
      <c r="B35" s="41">
        <f>_xlfn.XLOOKUP(_xlfn.XLOOKUP(C35,'Project Details'!$C$17:$C$10003,'Project Details'!$E$17:$E$10003, "",0),dd_design_raw!$A$2:$A$9997,dd_design_raw!$C$2:$C$9997,"",0)</f>
        <v>0</v>
      </c>
      <c r="C35" s="16"/>
      <c r="D35" s="16" t="str">
        <f>IF(I35="Height",_xlfn.XLOOKUP(C35,calc_s60!$C$15:$C$65,calc_s60!$O$15:$O$65,"",0),_xlfn.XLOOKUP(C35,calc_s60!$C$15:$C$65,calc_s60!$Q$15:$Q$65,"",0))</f>
        <v/>
      </c>
      <c r="E35" s="16" t="str" cm="1">
        <f t="array" ref="E35">IF(C35&lt;&gt;"", _xlfn.XLOOKUP(1,((SKUs!$A$2:$A$10001=cl_unmerged!B35) * (LEFT(SKUs!$J$2:$J$10001, LEN("Frame"))="Frame")), SKUs!$J$2:$J$10001,""),"") &amp; _xlfn.IFS(I35="Height", ", H",I35="Height SLI", ", H SLI", I35="Height FIX", ", H FIX",I35="Width", ", W", I35="", "")</f>
        <v/>
      </c>
      <c r="F35" s="33" t="str" cm="1">
        <f t="array" ref="F35">_xlfn.XLOOKUP(1,((SKUs!$A$2:$A$10001=cl_unmerged!B35) * (LEFT(SKUs!$J$2:$J$10001, LEN("Frame"))="Frame") * (ISNUMBER(SEARCH(A35,SKUs!$C$2:$C$10001)))), SKUs!$C$2:$C$10001,"")</f>
        <v/>
      </c>
      <c r="G35" s="16"/>
      <c r="H35" s="16" t="str">
        <f>IF(C35&lt;&gt;"", IF(I35="Height",_xlfn.XLOOKUP(C35,calc_s60!$C$15:$C$1000,calc_s60!$N$15:$N$1000,"",0), _xlfn.XLOOKUP(C35,calc_s60!$C$15:$C$1000,calc_s60!$P$15:$P$1000,"",0)),"")</f>
        <v/>
      </c>
      <c r="I35" s="16" t="str">
        <f t="shared" si="0"/>
        <v/>
      </c>
    </row>
    <row r="36" spans="1:9" ht="13.5" customHeight="1" x14ac:dyDescent="0.25">
      <c r="A36" s="41" t="str">
        <f>_xlfn.XLOOKUP(G36,dd_color!$A$2:$A$8,dd_color!$B$2:$B$8,"",0)</f>
        <v/>
      </c>
      <c r="B36" s="41">
        <f>_xlfn.XLOOKUP(_xlfn.XLOOKUP(C36,'Project Details'!$C$17:$C$10003,'Project Details'!$E$17:$E$10003, "",0),dd_design_raw!$A$2:$A$9997,dd_design_raw!$C$2:$C$9997,"",0)</f>
        <v>0</v>
      </c>
      <c r="C36" s="16"/>
      <c r="D36" s="16" t="str">
        <f>IF(I36="Height",_xlfn.XLOOKUP(C36,calc_s60!$C$15:$C$65,calc_s60!$O$15:$O$65,"",0),_xlfn.XLOOKUP(C36,calc_s60!$C$15:$C$65,calc_s60!$Q$15:$Q$65,"",0))</f>
        <v/>
      </c>
      <c r="E36" s="16" t="str" cm="1">
        <f t="array" ref="E36">IF(C36&lt;&gt;"", _xlfn.XLOOKUP(1,((SKUs!$A$2:$A$10001=cl_unmerged!B36) * (LEFT(SKUs!$J$2:$J$10001, LEN("Frame"))="Frame")), SKUs!$J$2:$J$10001,""),"") &amp; _xlfn.IFS(I36="Height", ", H",I36="Height SLI", ", H SLI", I36="Height FIX", ", H FIX",I36="Width", ", W", I36="", "")</f>
        <v/>
      </c>
      <c r="F36" s="33" t="str" cm="1">
        <f t="array" ref="F36">_xlfn.XLOOKUP(1,((SKUs!$A$2:$A$10001=cl_unmerged!B36) * (LEFT(SKUs!$J$2:$J$10001, LEN("Frame"))="Frame") * (ISNUMBER(SEARCH(A36,SKUs!$C$2:$C$10001)))), SKUs!$C$2:$C$10001,"")</f>
        <v/>
      </c>
      <c r="G36" s="16"/>
      <c r="H36" s="16" t="str">
        <f>IF(C36&lt;&gt;"", IF(I36="Height",_xlfn.XLOOKUP(C36,calc_s60!$C$15:$C$1000,calc_s60!$N$15:$N$1000,"",0), _xlfn.XLOOKUP(C36,calc_s60!$C$15:$C$1000,calc_s60!$P$15:$P$1000,"",0)),"")</f>
        <v/>
      </c>
      <c r="I36" s="16" t="str">
        <f t="shared" si="0"/>
        <v/>
      </c>
    </row>
    <row r="37" spans="1:9" ht="13.5" customHeight="1" x14ac:dyDescent="0.25">
      <c r="A37" s="41" t="str">
        <f>_xlfn.XLOOKUP(G37,dd_color!$A$2:$A$8,dd_color!$B$2:$B$8,"",0)</f>
        <v/>
      </c>
      <c r="B37" s="41">
        <f>_xlfn.XLOOKUP(_xlfn.XLOOKUP(C37,'Project Details'!$C$17:$C$10003,'Project Details'!$E$17:$E$10003, "",0),dd_design_raw!$A$2:$A$9997,dd_design_raw!$C$2:$C$9997,"",0)</f>
        <v>0</v>
      </c>
      <c r="C37" s="16"/>
      <c r="D37" s="16" t="str">
        <f>IF(I37="Height",_xlfn.XLOOKUP(C37,calc_s60!$C$15:$C$65,calc_s60!$O$15:$O$65,"",0),_xlfn.XLOOKUP(C37,calc_s60!$C$15:$C$65,calc_s60!$Q$15:$Q$65,"",0))</f>
        <v/>
      </c>
      <c r="E37" s="16" t="str" cm="1">
        <f t="array" ref="E37">IF(C37&lt;&gt;"", _xlfn.XLOOKUP(1,((SKUs!$A$2:$A$10001=cl_unmerged!B37) * (LEFT(SKUs!$J$2:$J$10001, LEN("Frame"))="Frame")), SKUs!$J$2:$J$10001,""),"") &amp; _xlfn.IFS(I37="Height", ", H",I37="Height SLI", ", H SLI", I37="Height FIX", ", H FIX",I37="Width", ", W", I37="", "")</f>
        <v/>
      </c>
      <c r="F37" s="33" t="str" cm="1">
        <f t="array" ref="F37">_xlfn.XLOOKUP(1,((SKUs!$A$2:$A$10001=cl_unmerged!B37) * (LEFT(SKUs!$J$2:$J$10001, LEN("Frame"))="Frame") * (ISNUMBER(SEARCH(A37,SKUs!$C$2:$C$10001)))), SKUs!$C$2:$C$10001,"")</f>
        <v/>
      </c>
      <c r="G37" s="16"/>
      <c r="H37" s="16" t="str">
        <f>IF(C37&lt;&gt;"", IF(I37="Height",_xlfn.XLOOKUP(C37,calc_s60!$C$15:$C$1000,calc_s60!$N$15:$N$1000,"",0), _xlfn.XLOOKUP(C37,calc_s60!$C$15:$C$1000,calc_s60!$P$15:$P$1000,"",0)),"")</f>
        <v/>
      </c>
      <c r="I37" s="16" t="str">
        <f t="shared" si="0"/>
        <v/>
      </c>
    </row>
    <row r="38" spans="1:9" ht="13.5" customHeight="1" x14ac:dyDescent="0.25">
      <c r="A38" s="41" t="str">
        <f>_xlfn.XLOOKUP(G38,dd_color!$A$2:$A$8,dd_color!$B$2:$B$8,"",0)</f>
        <v/>
      </c>
      <c r="B38" s="41">
        <f>_xlfn.XLOOKUP(_xlfn.XLOOKUP(C38,'Project Details'!$C$17:$C$10003,'Project Details'!$E$17:$E$10003, "",0),dd_design_raw!$A$2:$A$9997,dd_design_raw!$C$2:$C$9997,"",0)</f>
        <v>0</v>
      </c>
      <c r="C38" s="16"/>
      <c r="D38" s="16" t="str">
        <f>IF(I38="Height",_xlfn.XLOOKUP(C38,calc_s60!$C$15:$C$65,calc_s60!$O$15:$O$65,"",0),_xlfn.XLOOKUP(C38,calc_s60!$C$15:$C$65,calc_s60!$Q$15:$Q$65,"",0))</f>
        <v/>
      </c>
      <c r="E38" s="16" t="str" cm="1">
        <f t="array" ref="E38">IF(C38&lt;&gt;"", _xlfn.XLOOKUP(1,((SKUs!$A$2:$A$10001=cl_unmerged!B38) * (LEFT(SKUs!$J$2:$J$10001, LEN("Frame"))="Frame")), SKUs!$J$2:$J$10001,""),"") &amp; _xlfn.IFS(I38="Height", ", H",I38="Height SLI", ", H SLI", I38="Height FIX", ", H FIX",I38="Width", ", W", I38="", "")</f>
        <v/>
      </c>
      <c r="F38" s="33" t="str" cm="1">
        <f t="array" ref="F38">_xlfn.XLOOKUP(1,((SKUs!$A$2:$A$10001=cl_unmerged!B38) * (LEFT(SKUs!$J$2:$J$10001, LEN("Frame"))="Frame") * (ISNUMBER(SEARCH(A38,SKUs!$C$2:$C$10001)))), SKUs!$C$2:$C$10001,"")</f>
        <v/>
      </c>
      <c r="G38" s="16"/>
      <c r="H38" s="16" t="str">
        <f>IF(C38&lt;&gt;"", IF(I38="Height",_xlfn.XLOOKUP(C38,calc_s60!$C$15:$C$1000,calc_s60!$N$15:$N$1000,"",0), _xlfn.XLOOKUP(C38,calc_s60!$C$15:$C$1000,calc_s60!$P$15:$P$1000,"",0)),"")</f>
        <v/>
      </c>
      <c r="I38" s="16" t="str">
        <f t="shared" si="0"/>
        <v/>
      </c>
    </row>
    <row r="39" spans="1:9" ht="13.5" customHeight="1" x14ac:dyDescent="0.25">
      <c r="A39" s="41" t="str">
        <f>_xlfn.XLOOKUP(G39,dd_color!$A$2:$A$8,dd_color!$B$2:$B$8,"",0)</f>
        <v/>
      </c>
      <c r="B39" s="41" t="str">
        <f>_xlfn.XLOOKUP(_xlfn.XLOOKUP(C39,'Project Details'!$C$17:$C$10003,'Project Details'!$E$17:$E$10003, "",0),dd_design_raw!$A$2:$A$9997,dd_design_raw!$C$2:$C$9997,"",0)</f>
        <v/>
      </c>
      <c r="C39" s="16"/>
      <c r="D39" s="16" t="str">
        <f>IF(I39="Height",_xlfn.XLOOKUP(C39,calc_s60!$C$15:$C$65,calc_s60!$O$15:$O$65,"",0),_xlfn.XLOOKUP(C39,calc_s60!$C$15:$C$65,calc_s60!$Q$15:$Q$65,"",0))</f>
        <v/>
      </c>
      <c r="E39" s="16" t="str" cm="1">
        <f t="array" ref="E39">IF(C39&lt;&gt;"", _xlfn.XLOOKUP(1,((SKUs!$A$2:$A$10001=cl_unmerged!B39) * (LEFT(SKUs!$J$2:$J$10001, LEN("Frame"))="Frame")), SKUs!$J$2:$J$10001,""),"") &amp; _xlfn.IFS(I39="Height", ", H",I39="Height SLI", ", H SLI", I39="Height FIX", ", H FIX",I39="Width", ", W", I39="", "")</f>
        <v/>
      </c>
      <c r="F39" s="33" t="str" cm="1">
        <f t="array" ref="F39">_xlfn.XLOOKUP(1,((SKUs!$A$2:$A$10001=cl_unmerged!B39) * (LEFT(SKUs!$J$2:$J$10001, LEN("Frame"))="Frame") * (ISNUMBER(SEARCH(A39,SKUs!$C$2:$C$10001)))), SKUs!$C$2:$C$10001,"")</f>
        <v/>
      </c>
      <c r="G39" s="16"/>
      <c r="H39" s="16" t="str">
        <f>IF(C39&lt;&gt;"", IF(I39="Height",_xlfn.XLOOKUP(C39,calc_s60!$C$15:$C$1000,calc_s60!$N$15:$N$1000,"",0), _xlfn.XLOOKUP(C39,calc_s60!$C$15:$C$1000,calc_s60!$P$15:$P$1000,"",0)),"")</f>
        <v/>
      </c>
      <c r="I39" s="16" t="str">
        <f t="shared" si="0"/>
        <v/>
      </c>
    </row>
    <row r="40" spans="1:9" ht="13.5" customHeight="1" x14ac:dyDescent="0.25">
      <c r="A40" s="41" t="str">
        <f>_xlfn.XLOOKUP(G40,dd_color!$A$2:$A$8,dd_color!$B$2:$B$8,"",0)</f>
        <v/>
      </c>
      <c r="B40" s="41">
        <f>_xlfn.XLOOKUP(_xlfn.XLOOKUP(C40,'Project Details'!$C$17:$C$10003,'Project Details'!$E$17:$E$10003, "",0),dd_design_raw!$A$2:$A$9997,dd_design_raw!$C$2:$C$9997,"",0)</f>
        <v>0</v>
      </c>
      <c r="C40" s="16"/>
      <c r="D40" s="16" t="str">
        <f>IF(I40="Height",_xlfn.XLOOKUP(C40,calc_s60!$C$15:$C$65,calc_s60!$O$15:$O$65,"",0),_xlfn.XLOOKUP(C40,calc_s60!$C$15:$C$65,calc_s60!$Q$15:$Q$65,"",0))</f>
        <v/>
      </c>
      <c r="E40" s="16" t="str" cm="1">
        <f t="array" ref="E40">IF(C40&lt;&gt;"", _xlfn.XLOOKUP(1,((SKUs!$A$2:$A$10001=cl_unmerged!B40) * (LEFT(SKUs!$J$2:$J$10001, LEN("Frame"))="Frame")), SKUs!$J$2:$J$10001,""),"") &amp; _xlfn.IFS(I40="Height", ", H",I40="Height SLI", ", H SLI", I40="Height FIX", ", H FIX",I40="Width", ", W", I40="", "")</f>
        <v/>
      </c>
      <c r="F40" s="33" t="str" cm="1">
        <f t="array" ref="F40">_xlfn.XLOOKUP(1,((SKUs!$A$2:$A$10001=cl_unmerged!B40) * (LEFT(SKUs!$J$2:$J$10001, LEN("Frame"))="Frame") * (ISNUMBER(SEARCH(A40,SKUs!$C$2:$C$10001)))), SKUs!$C$2:$C$10001,"")</f>
        <v/>
      </c>
      <c r="G40" s="16"/>
      <c r="H40" s="16" t="str">
        <f>IF(C40&lt;&gt;"", IF(I40="Height",_xlfn.XLOOKUP(C40,calc_s60!$C$15:$C$1000,calc_s60!$N$15:$N$1000,"",0), _xlfn.XLOOKUP(C40,calc_s60!$C$15:$C$1000,calc_s60!$P$15:$P$1000,"",0)),"")</f>
        <v/>
      </c>
      <c r="I40" s="16" t="str">
        <f t="shared" si="0"/>
        <v/>
      </c>
    </row>
    <row r="41" spans="1:9" ht="13.5" customHeight="1" x14ac:dyDescent="0.25">
      <c r="A41" s="41" t="str">
        <f>_xlfn.XLOOKUP(G41,dd_color!$A$2:$A$8,dd_color!$B$2:$B$8,"",0)</f>
        <v/>
      </c>
      <c r="B41" s="41">
        <f>_xlfn.XLOOKUP(_xlfn.XLOOKUP(C41,'Project Details'!$C$17:$C$10003,'Project Details'!$E$17:$E$10003, "",0),dd_design_raw!$A$2:$A$9997,dd_design_raw!$C$2:$C$9997,"",0)</f>
        <v>0</v>
      </c>
      <c r="C41" s="16"/>
      <c r="D41" s="16" t="str">
        <f>IF(I41="Height",_xlfn.XLOOKUP(C41,calc_s60!$C$15:$C$65,calc_s60!$O$15:$O$65,"",0),_xlfn.XLOOKUP(C41,calc_s60!$C$15:$C$65,calc_s60!$Q$15:$Q$65,"",0))</f>
        <v/>
      </c>
      <c r="E41" s="16" t="str" cm="1">
        <f t="array" ref="E41">IF(C41&lt;&gt;"", _xlfn.XLOOKUP(1,((SKUs!$A$2:$A$10001=cl_unmerged!B41) * (LEFT(SKUs!$J$2:$J$10001, LEN("Frame"))="Frame")), SKUs!$J$2:$J$10001,""),"") &amp; _xlfn.IFS(I41="Height", ", H",I41="Height SLI", ", H SLI", I41="Height FIX", ", H FIX",I41="Width", ", W", I41="", "")</f>
        <v/>
      </c>
      <c r="F41" s="33" t="str" cm="1">
        <f t="array" ref="F41">_xlfn.XLOOKUP(1,((SKUs!$A$2:$A$10001=cl_unmerged!B41) * (LEFT(SKUs!$J$2:$J$10001, LEN("Frame"))="Frame") * (ISNUMBER(SEARCH(A41,SKUs!$C$2:$C$10001)))), SKUs!$C$2:$C$10001,"")</f>
        <v/>
      </c>
      <c r="G41" s="16"/>
      <c r="H41" s="16" t="str">
        <f>IF(C41&lt;&gt;"", IF(I41="Height",_xlfn.XLOOKUP(C41,calc_s60!$C$15:$C$1000,calc_s60!$N$15:$N$1000,"",0), _xlfn.XLOOKUP(C41,calc_s60!$C$15:$C$1000,calc_s60!$P$15:$P$1000,"",0)),"")</f>
        <v/>
      </c>
      <c r="I41" s="16" t="str">
        <f t="shared" si="0"/>
        <v/>
      </c>
    </row>
    <row r="42" spans="1:9" ht="13.5" customHeight="1" x14ac:dyDescent="0.25">
      <c r="A42" s="41" t="str">
        <f>_xlfn.XLOOKUP(G42,dd_color!$A$2:$A$8,dd_color!$B$2:$B$8,"",0)</f>
        <v/>
      </c>
      <c r="B42" s="41">
        <f>_xlfn.XLOOKUP(_xlfn.XLOOKUP(C42,'Project Details'!$C$17:$C$10003,'Project Details'!$E$17:$E$10003, "",0),dd_design_raw!$A$2:$A$9997,dd_design_raw!$C$2:$C$9997,"",0)</f>
        <v>0</v>
      </c>
      <c r="C42" s="16"/>
      <c r="D42" s="16" t="str">
        <f>IF(I42="Height",_xlfn.XLOOKUP(C42,calc_s60!$C$15:$C$65,calc_s60!$O$15:$O$65,"",0),_xlfn.XLOOKUP(C42,calc_s60!$C$15:$C$65,calc_s60!$Q$15:$Q$65,"",0))</f>
        <v/>
      </c>
      <c r="E42" s="16" t="str" cm="1">
        <f t="array" ref="E42">IF(C42&lt;&gt;"", _xlfn.XLOOKUP(1,((SKUs!$A$2:$A$10001=cl_unmerged!B42) * (LEFT(SKUs!$J$2:$J$10001, LEN("Frame"))="Frame")), SKUs!$J$2:$J$10001,""),"") &amp; _xlfn.IFS(I42="Height", ", H",I42="Height SLI", ", H SLI", I42="Height FIX", ", H FIX",I42="Width", ", W", I42="", "")</f>
        <v/>
      </c>
      <c r="F42" s="33" t="str" cm="1">
        <f t="array" ref="F42">_xlfn.XLOOKUP(1,((SKUs!$A$2:$A$10001=cl_unmerged!B42) * (LEFT(SKUs!$J$2:$J$10001, LEN("Frame"))="Frame") * (ISNUMBER(SEARCH(A42,SKUs!$C$2:$C$10001)))), SKUs!$C$2:$C$10001,"")</f>
        <v/>
      </c>
      <c r="G42" s="16"/>
      <c r="H42" s="16" t="str">
        <f>IF(C42&lt;&gt;"", IF(I42="Height",_xlfn.XLOOKUP(C42,calc_s60!$C$15:$C$1000,calc_s60!$N$15:$N$1000,"",0), _xlfn.XLOOKUP(C42,calc_s60!$C$15:$C$1000,calc_s60!$P$15:$P$1000,"",0)),"")</f>
        <v/>
      </c>
      <c r="I42" s="16" t="str">
        <f t="shared" si="0"/>
        <v/>
      </c>
    </row>
    <row r="43" spans="1:9" ht="13.5" customHeight="1" x14ac:dyDescent="0.25">
      <c r="A43" s="41" t="str">
        <f>_xlfn.XLOOKUP(G43,dd_color!$A$2:$A$8,dd_color!$B$2:$B$8,"",0)</f>
        <v/>
      </c>
      <c r="B43" s="41">
        <f>_xlfn.XLOOKUP(_xlfn.XLOOKUP(C43,'Project Details'!$C$17:$C$10003,'Project Details'!$E$17:$E$10003, "",0),dd_design_raw!$A$2:$A$9997,dd_design_raw!$C$2:$C$9997,"",0)</f>
        <v>0</v>
      </c>
      <c r="C43" s="16"/>
      <c r="D43" s="16" t="str">
        <f>IF(I43="Height",_xlfn.XLOOKUP(C43,calc_s60!$C$15:$C$65,calc_s60!$O$15:$O$65,"",0),_xlfn.XLOOKUP(C43,calc_s60!$C$15:$C$65,calc_s60!$Q$15:$Q$65,"",0))</f>
        <v/>
      </c>
      <c r="E43" s="16" t="str" cm="1">
        <f t="array" ref="E43">IF(C43&lt;&gt;"", _xlfn.XLOOKUP(1,((SKUs!$A$2:$A$10001=cl_unmerged!B43) * (LEFT(SKUs!$J$2:$J$10001, LEN("Frame"))="Frame")), SKUs!$J$2:$J$10001,""),"") &amp; _xlfn.IFS(I43="Height", ", H",I43="Height SLI", ", H SLI", I43="Height FIX", ", H FIX",I43="Width", ", W", I43="", "")</f>
        <v/>
      </c>
      <c r="F43" s="33" t="str" cm="1">
        <f t="array" ref="F43">_xlfn.XLOOKUP(1,((SKUs!$A$2:$A$10001=cl_unmerged!B43) * (LEFT(SKUs!$J$2:$J$10001, LEN("Frame"))="Frame") * (ISNUMBER(SEARCH(A43,SKUs!$C$2:$C$10001)))), SKUs!$C$2:$C$10001,"")</f>
        <v/>
      </c>
      <c r="G43" s="16"/>
      <c r="H43" s="16" t="str">
        <f>IF(C43&lt;&gt;"", IF(I43="Height",_xlfn.XLOOKUP(C43,calc_s60!$C$15:$C$1000,calc_s60!$N$15:$N$1000,"",0), _xlfn.XLOOKUP(C43,calc_s60!$C$15:$C$1000,calc_s60!$P$15:$P$1000,"",0)),"")</f>
        <v/>
      </c>
      <c r="I43" s="16" t="str">
        <f t="shared" si="0"/>
        <v/>
      </c>
    </row>
    <row r="44" spans="1:9" ht="13.5" customHeight="1" x14ac:dyDescent="0.25">
      <c r="A44" s="41" t="str">
        <f>_xlfn.XLOOKUP(G44,dd_color!$A$2:$A$8,dd_color!$B$2:$B$8,"",0)</f>
        <v/>
      </c>
      <c r="B44" s="41" t="str">
        <f>_xlfn.XLOOKUP(_xlfn.XLOOKUP(C44,'Project Details'!$C$17:$C$10003,'Project Details'!$E$17:$E$10003, "",0),dd_design_raw!$A$2:$A$9997,dd_design_raw!$C$2:$C$9997,"",0)</f>
        <v/>
      </c>
      <c r="C44" s="16"/>
      <c r="D44" s="16" t="str">
        <f>IF(I44="Height",_xlfn.XLOOKUP(C44,calc_s60!$C$15:$C$65,calc_s60!$O$15:$O$65,"",0),_xlfn.XLOOKUP(C44,calc_s60!$C$15:$C$65,calc_s60!$Q$15:$Q$65,"",0))</f>
        <v/>
      </c>
      <c r="E44" s="16" t="str" cm="1">
        <f t="array" ref="E44">IF(C44&lt;&gt;"", _xlfn.XLOOKUP(1,((SKUs!$A$2:$A$10001=cl_unmerged!B44) * (LEFT(SKUs!$J$2:$J$10001, LEN("Frame"))="Frame")), SKUs!$J$2:$J$10001,""),"") &amp; _xlfn.IFS(I44="Height", ", H",I44="Height SLI", ", H SLI", I44="Height FIX", ", H FIX",I44="Width", ", W", I44="", "")</f>
        <v/>
      </c>
      <c r="F44" s="33" t="str" cm="1">
        <f t="array" ref="F44">_xlfn.XLOOKUP(1,((SKUs!$A$2:$A$10001=cl_unmerged!B44) * (LEFT(SKUs!$J$2:$J$10001, LEN("Frame"))="Frame") * (ISNUMBER(SEARCH(A44,SKUs!$C$2:$C$10001)))), SKUs!$C$2:$C$10001,"")</f>
        <v/>
      </c>
      <c r="G44" s="16"/>
      <c r="H44" s="16" t="str">
        <f>IF(C44&lt;&gt;"", IF(I44="Height",_xlfn.XLOOKUP(C44,calc_s60!$C$15:$C$1000,calc_s60!$N$15:$N$1000,"",0), _xlfn.XLOOKUP(C44,calc_s60!$C$15:$C$1000,calc_s60!$P$15:$P$1000,"",0)),"")</f>
        <v/>
      </c>
      <c r="I44" s="16" t="str">
        <f t="shared" si="0"/>
        <v/>
      </c>
    </row>
    <row r="45" spans="1:9" ht="13.5" customHeight="1" x14ac:dyDescent="0.25">
      <c r="A45" s="41" t="str">
        <f>_xlfn.XLOOKUP(G45,dd_color!$A$2:$A$8,dd_color!$B$2:$B$8,"",0)</f>
        <v/>
      </c>
      <c r="B45" s="41">
        <f>_xlfn.XLOOKUP(_xlfn.XLOOKUP(C45,'Project Details'!$C$17:$C$10003,'Project Details'!$E$17:$E$10003, "",0),dd_design_raw!$A$2:$A$9997,dd_design_raw!$C$2:$C$9997,"",0)</f>
        <v>0</v>
      </c>
      <c r="C45" s="16"/>
      <c r="D45" s="16" t="str">
        <f>IF(I45="Height",_xlfn.XLOOKUP(C45,calc_s60!$C$15:$C$65,calc_s60!$O$15:$O$65,"",0),_xlfn.XLOOKUP(C45,calc_s60!$C$15:$C$65,calc_s60!$Q$15:$Q$65,"",0))</f>
        <v/>
      </c>
      <c r="E45" s="16" t="str" cm="1">
        <f t="array" ref="E45">IF(C45&lt;&gt;"", _xlfn.XLOOKUP(1,((SKUs!$A$2:$A$10001=cl_unmerged!B45) * (LEFT(SKUs!$J$2:$J$10001, LEN("Frame"))="Frame")), SKUs!$J$2:$J$10001,""),"") &amp; _xlfn.IFS(I45="Height", ", H",I45="Height SLI", ", H SLI", I45="Height FIX", ", H FIX",I45="Width", ", W", I45="", "")</f>
        <v/>
      </c>
      <c r="F45" s="33" t="str" cm="1">
        <f t="array" ref="F45">_xlfn.XLOOKUP(1,((SKUs!$A$2:$A$10001=cl_unmerged!B45) * (LEFT(SKUs!$J$2:$J$10001, LEN("Frame"))="Frame") * (ISNUMBER(SEARCH(A45,SKUs!$C$2:$C$10001)))), SKUs!$C$2:$C$10001,"")</f>
        <v/>
      </c>
      <c r="G45" s="16"/>
      <c r="H45" s="16" t="str">
        <f>IF(C45&lt;&gt;"", IF(I45="Height",_xlfn.XLOOKUP(C45,calc_s60!$C$15:$C$1000,calc_s60!$N$15:$N$1000,"",0), _xlfn.XLOOKUP(C45,calc_s60!$C$15:$C$1000,calc_s60!$P$15:$P$1000,"",0)),"")</f>
        <v/>
      </c>
      <c r="I45" s="16" t="str">
        <f t="shared" si="0"/>
        <v/>
      </c>
    </row>
    <row r="46" spans="1:9" ht="13.5" customHeight="1" x14ac:dyDescent="0.25">
      <c r="A46" s="41" t="str">
        <f>_xlfn.XLOOKUP(G46,dd_color!$A$2:$A$8,dd_color!$B$2:$B$8,"",0)</f>
        <v/>
      </c>
      <c r="B46" s="41">
        <f>_xlfn.XLOOKUP(_xlfn.XLOOKUP(C46,'Project Details'!$C$17:$C$10003,'Project Details'!$E$17:$E$10003, "",0),dd_design_raw!$A$2:$A$9997,dd_design_raw!$C$2:$C$9997,"",0)</f>
        <v>0</v>
      </c>
      <c r="C46" s="16"/>
      <c r="D46" s="16" t="str">
        <f>IF(I46="Height",_xlfn.XLOOKUP(C46,calc_s60!$C$15:$C$65,calc_s60!$O$15:$O$65,"",0),_xlfn.XLOOKUP(C46,calc_s60!$C$15:$C$65,calc_s60!$Q$15:$Q$65,"",0))</f>
        <v/>
      </c>
      <c r="E46" s="16" t="str" cm="1">
        <f t="array" ref="E46">IF(C46&lt;&gt;"", _xlfn.XLOOKUP(1,((SKUs!$A$2:$A$10001=cl_unmerged!B46) * (LEFT(SKUs!$J$2:$J$10001, LEN("Frame"))="Frame")), SKUs!$J$2:$J$10001,""),"") &amp; _xlfn.IFS(I46="Height", ", H",I46="Height SLI", ", H SLI", I46="Height FIX", ", H FIX",I46="Width", ", W", I46="", "")</f>
        <v/>
      </c>
      <c r="F46" s="33" t="str" cm="1">
        <f t="array" ref="F46">_xlfn.XLOOKUP(1,((SKUs!$A$2:$A$10001=cl_unmerged!B46) * (LEFT(SKUs!$J$2:$J$10001, LEN("Frame"))="Frame") * (ISNUMBER(SEARCH(A46,SKUs!$C$2:$C$10001)))), SKUs!$C$2:$C$10001,"")</f>
        <v/>
      </c>
      <c r="G46" s="16"/>
      <c r="H46" s="16" t="str">
        <f>IF(C46&lt;&gt;"", IF(I46="Height",_xlfn.XLOOKUP(C46,calc_s60!$C$15:$C$1000,calc_s60!$N$15:$N$1000,"",0), _xlfn.XLOOKUP(C46,calc_s60!$C$15:$C$1000,calc_s60!$P$15:$P$1000,"",0)),"")</f>
        <v/>
      </c>
      <c r="I46" s="16" t="str">
        <f t="shared" si="0"/>
        <v/>
      </c>
    </row>
    <row r="47" spans="1:9" ht="13.5" customHeight="1" x14ac:dyDescent="0.25">
      <c r="A47" s="41" t="str">
        <f>_xlfn.XLOOKUP(G47,dd_color!$A$2:$A$8,dd_color!$B$2:$B$8,"",0)</f>
        <v/>
      </c>
      <c r="B47" s="41">
        <f>_xlfn.XLOOKUP(_xlfn.XLOOKUP(C47,'Project Details'!$C$17:$C$10003,'Project Details'!$E$17:$E$10003, "",0),dd_design_raw!$A$2:$A$9997,dd_design_raw!$C$2:$C$9997,"",0)</f>
        <v>0</v>
      </c>
      <c r="C47" s="16"/>
      <c r="D47" s="16" t="str">
        <f>IF(I47="Height",_xlfn.XLOOKUP(C47,calc_s60!$C$15:$C$65,calc_s60!$O$15:$O$65,"",0),_xlfn.XLOOKUP(C47,calc_s60!$C$15:$C$65,calc_s60!$Q$15:$Q$65,"",0))</f>
        <v/>
      </c>
      <c r="E47" s="16" t="str" cm="1">
        <f t="array" ref="E47">IF(C47&lt;&gt;"", _xlfn.XLOOKUP(1,((SKUs!$A$2:$A$10001=cl_unmerged!B47) * (LEFT(SKUs!$J$2:$J$10001, LEN("Frame"))="Frame")), SKUs!$J$2:$J$10001,""),"") &amp; _xlfn.IFS(I47="Height", ", H",I47="Height SLI", ", H SLI", I47="Height FIX", ", H FIX",I47="Width", ", W", I47="", "")</f>
        <v/>
      </c>
      <c r="F47" s="33" t="str" cm="1">
        <f t="array" ref="F47">_xlfn.XLOOKUP(1,((SKUs!$A$2:$A$10001=cl_unmerged!B47) * (LEFT(SKUs!$J$2:$J$10001, LEN("Frame"))="Frame") * (ISNUMBER(SEARCH(A47,SKUs!$C$2:$C$10001)))), SKUs!$C$2:$C$10001,"")</f>
        <v/>
      </c>
      <c r="G47" s="16"/>
      <c r="H47" s="16" t="str">
        <f>IF(C47&lt;&gt;"", IF(I47="Height",_xlfn.XLOOKUP(C47,calc_s60!$C$15:$C$1000,calc_s60!$N$15:$N$1000,"",0), _xlfn.XLOOKUP(C47,calc_s60!$C$15:$C$1000,calc_s60!$P$15:$P$1000,"",0)),"")</f>
        <v/>
      </c>
      <c r="I47" s="16" t="str">
        <f t="shared" si="0"/>
        <v/>
      </c>
    </row>
    <row r="48" spans="1:9" ht="13.5" customHeight="1" x14ac:dyDescent="0.25">
      <c r="A48" s="41" t="str">
        <f>_xlfn.XLOOKUP(G48,dd_color!$A$2:$A$8,dd_color!$B$2:$B$8,"",0)</f>
        <v/>
      </c>
      <c r="B48" s="41">
        <f>_xlfn.XLOOKUP(_xlfn.XLOOKUP(C48,'Project Details'!$C$17:$C$10003,'Project Details'!$E$17:$E$10003, "",0),dd_design_raw!$A$2:$A$9997,dd_design_raw!$C$2:$C$9997,"",0)</f>
        <v>0</v>
      </c>
      <c r="C48" s="16"/>
      <c r="D48" s="16" t="str">
        <f>IF(I48="Height",_xlfn.XLOOKUP(C48,calc_s60!$C$15:$C$65,calc_s60!$O$15:$O$65,"",0),_xlfn.XLOOKUP(C48,calc_s60!$C$15:$C$65,calc_s60!$Q$15:$Q$65,"",0))</f>
        <v/>
      </c>
      <c r="E48" s="16" t="str" cm="1">
        <f t="array" ref="E48">IF(C48&lt;&gt;"", _xlfn.XLOOKUP(1,((SKUs!$A$2:$A$10001=cl_unmerged!B48) * (LEFT(SKUs!$J$2:$J$10001, LEN("Frame"))="Frame")), SKUs!$J$2:$J$10001,""),"") &amp; _xlfn.IFS(I48="Height", ", H",I48="Height SLI", ", H SLI", I48="Height FIX", ", H FIX",I48="Width", ", W", I48="", "")</f>
        <v/>
      </c>
      <c r="F48" s="33" t="str" cm="1">
        <f t="array" ref="F48">_xlfn.XLOOKUP(1,((SKUs!$A$2:$A$10001=cl_unmerged!B48) * (LEFT(SKUs!$J$2:$J$10001, LEN("Frame"))="Frame") * (ISNUMBER(SEARCH(A48,SKUs!$C$2:$C$10001)))), SKUs!$C$2:$C$10001,"")</f>
        <v/>
      </c>
      <c r="G48" s="16"/>
      <c r="H48" s="16" t="str">
        <f>IF(C48&lt;&gt;"", IF(I48="Height",_xlfn.XLOOKUP(C48,calc_s60!$C$15:$C$1000,calc_s60!$N$15:$N$1000,"",0), _xlfn.XLOOKUP(C48,calc_s60!$C$15:$C$1000,calc_s60!$P$15:$P$1000,"",0)),"")</f>
        <v/>
      </c>
      <c r="I48" s="16" t="str">
        <f t="shared" si="0"/>
        <v/>
      </c>
    </row>
    <row r="49" spans="1:9" ht="13.5" customHeight="1" x14ac:dyDescent="0.25">
      <c r="A49" s="41" t="str">
        <f>_xlfn.XLOOKUP(G49,dd_color!$A$2:$A$8,dd_color!$B$2:$B$8,"",0)</f>
        <v/>
      </c>
      <c r="B49" s="41">
        <f>_xlfn.XLOOKUP(_xlfn.XLOOKUP(C49,'Project Details'!$C$17:$C$10003,'Project Details'!$E$17:$E$10003, "",0),dd_design_raw!$A$2:$A$9997,dd_design_raw!$C$2:$C$9997,"",0)</f>
        <v>0</v>
      </c>
      <c r="C49" s="16"/>
      <c r="D49" s="16" t="str">
        <f>IF(I49="Height",_xlfn.XLOOKUP(C49,calc_s60!$C$15:$C$65,calc_s60!$O$15:$O$65,"",0),_xlfn.XLOOKUP(C49,calc_s60!$C$15:$C$65,calc_s60!$Q$15:$Q$65,"",0))</f>
        <v/>
      </c>
      <c r="E49" s="16" t="str" cm="1">
        <f t="array" ref="E49">IF(C49&lt;&gt;"", _xlfn.XLOOKUP(1,((SKUs!$A$2:$A$10001=cl_unmerged!B49) * (LEFT(SKUs!$J$2:$J$10001, LEN("Frame"))="Frame")), SKUs!$J$2:$J$10001,""),"") &amp; _xlfn.IFS(I49="Height", ", H",I49="Height SLI", ", H SLI", I49="Height FIX", ", H FIX",I49="Width", ", W", I49="", "")</f>
        <v/>
      </c>
      <c r="F49" s="33" t="str" cm="1">
        <f t="array" ref="F49">_xlfn.XLOOKUP(1,((SKUs!$A$2:$A$10001=cl_unmerged!B49) * (LEFT(SKUs!$J$2:$J$10001, LEN("Frame"))="Frame") * (ISNUMBER(SEARCH(A49,SKUs!$C$2:$C$10001)))), SKUs!$C$2:$C$10001,"")</f>
        <v/>
      </c>
      <c r="G49" s="16"/>
      <c r="H49" s="16" t="str">
        <f>IF(C49&lt;&gt;"", IF(I49="Height",_xlfn.XLOOKUP(C49,calc_s60!$C$15:$C$1000,calc_s60!$N$15:$N$1000,"",0), _xlfn.XLOOKUP(C49,calc_s60!$C$15:$C$1000,calc_s60!$P$15:$P$1000,"",0)),"")</f>
        <v/>
      </c>
      <c r="I49" s="16" t="str">
        <f t="shared" si="0"/>
        <v/>
      </c>
    </row>
    <row r="50" spans="1:9" ht="13.5" customHeight="1" x14ac:dyDescent="0.25">
      <c r="A50" s="41" t="str">
        <f>_xlfn.XLOOKUP(G50,dd_color!$A$2:$A$8,dd_color!$B$2:$B$8,"",0)</f>
        <v/>
      </c>
      <c r="B50" s="41">
        <f>_xlfn.XLOOKUP(_xlfn.XLOOKUP(C50,'Project Details'!$C$17:$C$10003,'Project Details'!$E$17:$E$10003, "",0),dd_design_raw!$A$2:$A$9997,dd_design_raw!$C$2:$C$9997,"",0)</f>
        <v>0</v>
      </c>
      <c r="C50" s="16"/>
      <c r="D50" s="16" t="str">
        <f>IF(I50="Height",_xlfn.XLOOKUP(C50,calc_s60!$C$15:$C$65,calc_s60!$O$15:$O$65,"",0),_xlfn.XLOOKUP(C50,calc_s60!$C$15:$C$65,calc_s60!$Q$15:$Q$65,"",0))</f>
        <v/>
      </c>
      <c r="E50" s="16" t="str" cm="1">
        <f t="array" ref="E50">IF(C50&lt;&gt;"", _xlfn.XLOOKUP(1,((SKUs!$A$2:$A$10001=cl_unmerged!B50) * (LEFT(SKUs!$J$2:$J$10001, LEN("Frame"))="Frame")), SKUs!$J$2:$J$10001,""),"") &amp; _xlfn.IFS(I50="Height", ", H",I50="Height SLI", ", H SLI", I50="Height FIX", ", H FIX",I50="Width", ", W", I50="", "")</f>
        <v/>
      </c>
      <c r="F50" s="33" t="str" cm="1">
        <f t="array" ref="F50">_xlfn.XLOOKUP(1,((SKUs!$A$2:$A$10001=cl_unmerged!B50) * (LEFT(SKUs!$J$2:$J$10001, LEN("Frame"))="Frame") * (ISNUMBER(SEARCH(A50,SKUs!$C$2:$C$10001)))), SKUs!$C$2:$C$10001,"")</f>
        <v/>
      </c>
      <c r="G50" s="16"/>
      <c r="H50" s="16" t="str">
        <f>IF(C50&lt;&gt;"", IF(I50="Height",_xlfn.XLOOKUP(C50,calc_s60!$C$15:$C$1000,calc_s60!$N$15:$N$1000,"",0), _xlfn.XLOOKUP(C50,calc_s60!$C$15:$C$1000,calc_s60!$P$15:$P$1000,"",0)),"")</f>
        <v/>
      </c>
      <c r="I50" s="16" t="str">
        <f t="shared" si="0"/>
        <v/>
      </c>
    </row>
    <row r="51" spans="1:9" ht="13.5" customHeight="1" x14ac:dyDescent="0.25">
      <c r="A51" s="41" t="str">
        <f>_xlfn.XLOOKUP(G51,dd_color!$A$2:$A$8,dd_color!$B$2:$B$8,"",0)</f>
        <v/>
      </c>
      <c r="B51" s="41">
        <f>_xlfn.XLOOKUP(_xlfn.XLOOKUP(C51,'Project Details'!$C$17:$C$10003,'Project Details'!$E$17:$E$10003, "",0),dd_design_raw!$A$2:$A$9997,dd_design_raw!$C$2:$C$9997,"",0)</f>
        <v>0</v>
      </c>
      <c r="C51" s="16"/>
      <c r="D51" s="16" t="str">
        <f>IF(I51="Height",_xlfn.XLOOKUP(C51,calc_s60!$C$15:$C$65,calc_s60!$O$15:$O$65,"",0),_xlfn.XLOOKUP(C51,calc_s60!$C$15:$C$65,calc_s60!$Q$15:$Q$65,"",0))</f>
        <v/>
      </c>
      <c r="E51" s="16" t="str" cm="1">
        <f t="array" ref="E51">IF(C51&lt;&gt;"", _xlfn.XLOOKUP(1,((SKUs!$A$2:$A$10001=cl_unmerged!B51) * (LEFT(SKUs!$J$2:$J$10001, LEN("Frame"))="Frame")), SKUs!$J$2:$J$10001,""),"") &amp; _xlfn.IFS(I51="Height", ", H",I51="Height SLI", ", H SLI", I51="Height FIX", ", H FIX",I51="Width", ", W", I51="", "")</f>
        <v/>
      </c>
      <c r="F51" s="33" t="str" cm="1">
        <f t="array" ref="F51">_xlfn.XLOOKUP(1,((SKUs!$A$2:$A$10001=cl_unmerged!B51) * (LEFT(SKUs!$J$2:$J$10001, LEN("Frame"))="Frame") * (ISNUMBER(SEARCH(A51,SKUs!$C$2:$C$10001)))), SKUs!$C$2:$C$10001,"")</f>
        <v/>
      </c>
      <c r="G51" s="16"/>
      <c r="H51" s="16" t="str">
        <f>IF(C51&lt;&gt;"", IF(I51="Height",_xlfn.XLOOKUP(C51,calc_s60!$C$15:$C$1000,calc_s60!$N$15:$N$1000,"",0), _xlfn.XLOOKUP(C51,calc_s60!$C$15:$C$1000,calc_s60!$P$15:$P$1000,"",0)),"")</f>
        <v/>
      </c>
      <c r="I51" s="16" t="str">
        <f t="shared" si="0"/>
        <v/>
      </c>
    </row>
    <row r="52" spans="1:9" ht="13.5" customHeight="1" x14ac:dyDescent="0.25">
      <c r="A52" s="41" t="str">
        <f>_xlfn.XLOOKUP(G52,dd_color!$A$2:$A$8,dd_color!$B$2:$B$8,"",0)</f>
        <v/>
      </c>
      <c r="B52" s="41">
        <f>_xlfn.XLOOKUP(_xlfn.XLOOKUP(C52,'Project Details'!$C$17:$C$10003,'Project Details'!$E$17:$E$10003, "",0),dd_design_raw!$A$2:$A$9997,dd_design_raw!$C$2:$C$9997,"",0)</f>
        <v>0</v>
      </c>
      <c r="C52" s="16"/>
      <c r="D52" s="16" t="str">
        <f>IF(I52="Height",_xlfn.XLOOKUP(C52,calc_s60!$C$15:$C$65,calc_s60!$O$15:$O$65,"",0),_xlfn.XLOOKUP(C52,calc_s60!$C$15:$C$65,calc_s60!$Q$15:$Q$65,"",0))</f>
        <v/>
      </c>
      <c r="E52" s="16" t="str" cm="1">
        <f t="array" ref="E52">IF(C52&lt;&gt;"", _xlfn.XLOOKUP(1,((SKUs!$A$2:$A$10001=cl_unmerged!B52) * (LEFT(SKUs!$J$2:$J$10001, LEN("Frame"))="Frame")), SKUs!$J$2:$J$10001,""),"") &amp; _xlfn.IFS(I52="Height", ", H",I52="Height SLI", ", H SLI", I52="Height FIX", ", H FIX",I52="Width", ", W", I52="", "")</f>
        <v/>
      </c>
      <c r="F52" s="33" t="str" cm="1">
        <f t="array" ref="F52">_xlfn.XLOOKUP(1,((SKUs!$A$2:$A$10001=cl_unmerged!B52) * (LEFT(SKUs!$J$2:$J$10001, LEN("Frame"))="Frame") * (ISNUMBER(SEARCH(A52,SKUs!$C$2:$C$10001)))), SKUs!$C$2:$C$10001,"")</f>
        <v/>
      </c>
      <c r="G52" s="16"/>
      <c r="H52" s="16" t="str">
        <f>IF(C52&lt;&gt;"", IF(I52="Height",_xlfn.XLOOKUP(C52,calc_s60!$C$15:$C$1000,calc_s60!$N$15:$N$1000,"",0), _xlfn.XLOOKUP(C52,calc_s60!$C$15:$C$1000,calc_s60!$P$15:$P$1000,"",0)),"")</f>
        <v/>
      </c>
      <c r="I52" s="16" t="str">
        <f t="shared" si="0"/>
        <v/>
      </c>
    </row>
    <row r="53" spans="1:9" ht="13.5" customHeight="1" x14ac:dyDescent="0.25">
      <c r="A53" s="41" t="str">
        <f>_xlfn.XLOOKUP(G53,dd_color!$A$2:$A$8,dd_color!$B$2:$B$8,"",0)</f>
        <v/>
      </c>
      <c r="B53" s="41">
        <f>_xlfn.XLOOKUP(_xlfn.XLOOKUP(C53,'Project Details'!$C$17:$C$10003,'Project Details'!$E$17:$E$10003, "",0),dd_design_raw!$A$2:$A$9997,dd_design_raw!$C$2:$C$9997,"",0)</f>
        <v>0</v>
      </c>
      <c r="C53" s="16"/>
      <c r="D53" s="16" t="str">
        <f>IF(I53="Height",_xlfn.XLOOKUP(C53,calc_s60!$C$15:$C$65,calc_s60!$O$15:$O$65,"",0),_xlfn.XLOOKUP(C53,calc_s60!$C$15:$C$65,calc_s60!$Q$15:$Q$65,"",0))</f>
        <v/>
      </c>
      <c r="E53" s="16" t="str" cm="1">
        <f t="array" ref="E53">IF(C53&lt;&gt;"", _xlfn.XLOOKUP(1,((SKUs!$A$2:$A$10001=cl_unmerged!B53) * (LEFT(SKUs!$J$2:$J$10001, LEN("Frame"))="Frame")), SKUs!$J$2:$J$10001,""),"") &amp; _xlfn.IFS(I53="Height", ", H",I53="Height SLI", ", H SLI", I53="Height FIX", ", H FIX",I53="Width", ", W", I53="", "")</f>
        <v/>
      </c>
      <c r="F53" s="33" t="str" cm="1">
        <f t="array" ref="F53">_xlfn.XLOOKUP(1,((SKUs!$A$2:$A$10001=cl_unmerged!B53) * (LEFT(SKUs!$J$2:$J$10001, LEN("Frame"))="Frame") * (ISNUMBER(SEARCH(A53,SKUs!$C$2:$C$10001)))), SKUs!$C$2:$C$10001,"")</f>
        <v/>
      </c>
      <c r="G53" s="16"/>
      <c r="H53" s="16" t="str">
        <f>IF(C53&lt;&gt;"", IF(I53="Height",_xlfn.XLOOKUP(C53,calc_s60!$C$15:$C$1000,calc_s60!$N$15:$N$1000,"",0), _xlfn.XLOOKUP(C53,calc_s60!$C$15:$C$1000,calc_s60!$P$15:$P$1000,"",0)),"")</f>
        <v/>
      </c>
      <c r="I53" s="16" t="str">
        <f t="shared" si="0"/>
        <v/>
      </c>
    </row>
    <row r="54" spans="1:9" ht="13.5" customHeight="1" x14ac:dyDescent="0.25">
      <c r="A54" s="41" t="str">
        <f>_xlfn.XLOOKUP(G54,dd_color!$A$2:$A$8,dd_color!$B$2:$B$8,"",0)</f>
        <v/>
      </c>
      <c r="B54" s="41" t="str">
        <f>_xlfn.XLOOKUP(_xlfn.XLOOKUP(C54,'Project Details'!$C$17:$C$10003,'Project Details'!$E$17:$E$10003, "",0),dd_design_raw!$A$2:$A$9997,dd_design_raw!$C$2:$C$9997,"",0)</f>
        <v/>
      </c>
      <c r="C54" s="16"/>
      <c r="D54" s="16" t="str">
        <f>IF(I54="Height",_xlfn.XLOOKUP(C54,calc_s60!$C$15:$C$65,calc_s60!$O$15:$O$65,"",0),_xlfn.XLOOKUP(C54,calc_s60!$C$15:$C$65,calc_s60!$Q$15:$Q$65,"",0))</f>
        <v/>
      </c>
      <c r="E54" s="16" t="str" cm="1">
        <f t="array" ref="E54">IF(C54&lt;&gt;"", _xlfn.XLOOKUP(1,((SKUs!$A$2:$A$10001=cl_unmerged!B54) * (LEFT(SKUs!$J$2:$J$10001, LEN("Frame"))="Frame")), SKUs!$J$2:$J$10001,""),"") &amp; _xlfn.IFS(I54="Height", ", H",I54="Height SLI", ", H SLI", I54="Height FIX", ", H FIX",I54="Width", ", W", I54="", "")</f>
        <v/>
      </c>
      <c r="F54" s="33" t="str" cm="1">
        <f t="array" ref="F54">_xlfn.XLOOKUP(1,((SKUs!$A$2:$A$10001=cl_unmerged!B54) * (LEFT(SKUs!$J$2:$J$10001, LEN("Frame"))="Frame") * (ISNUMBER(SEARCH(A54,SKUs!$C$2:$C$10001)))), SKUs!$C$2:$C$10001,"")</f>
        <v/>
      </c>
      <c r="G54" s="16"/>
      <c r="H54" s="16" t="str">
        <f>IF(C54&lt;&gt;"", IF(I54="Height",_xlfn.XLOOKUP(C54,calc_s60!$C$15:$C$1000,calc_s60!$N$15:$N$1000,"",0), _xlfn.XLOOKUP(C54,calc_s60!$C$15:$C$1000,calc_s60!$P$15:$P$1000,"",0)),"")</f>
        <v/>
      </c>
      <c r="I54" s="16" t="str">
        <f t="shared" si="0"/>
        <v/>
      </c>
    </row>
    <row r="55" spans="1:9" ht="13.5" customHeight="1" x14ac:dyDescent="0.25">
      <c r="A55" s="41" t="str">
        <f>_xlfn.XLOOKUP(G55,dd_color!$A$2:$A$8,dd_color!$B$2:$B$8,"",0)</f>
        <v/>
      </c>
      <c r="B55" s="41">
        <f>_xlfn.XLOOKUP(_xlfn.XLOOKUP(C55,'Project Details'!$C$17:$C$10003,'Project Details'!$E$17:$E$10003, "",0),dd_design_raw!$A$2:$A$9997,dd_design_raw!$C$2:$C$9997,"",0)</f>
        <v>0</v>
      </c>
      <c r="C55" s="16"/>
      <c r="D55" s="16" t="str">
        <f>IF(I55="Height",_xlfn.XLOOKUP(C55,calc_s60!$C$15:$C$65,calc_s60!$O$15:$O$65,"",0),_xlfn.XLOOKUP(C55,calc_s60!$C$15:$C$65,calc_s60!$Q$15:$Q$65,"",0))</f>
        <v/>
      </c>
      <c r="E55" s="16" t="str" cm="1">
        <f t="array" ref="E55">IF(C55&lt;&gt;"", _xlfn.XLOOKUP(1,((SKUs!$A$2:$A$10001=cl_unmerged!B55) * (LEFT(SKUs!$J$2:$J$10001, LEN("Frame"))="Frame")), SKUs!$J$2:$J$10001,""),"") &amp; _xlfn.IFS(I55="Height", ", H",I55="Height SLI", ", H SLI", I55="Height FIX", ", H FIX",I55="Width", ", W", I55="", "")</f>
        <v/>
      </c>
      <c r="F55" s="33" t="str" cm="1">
        <f t="array" ref="F55">_xlfn.XLOOKUP(1,((SKUs!$A$2:$A$10001=cl_unmerged!B55) * (LEFT(SKUs!$J$2:$J$10001, LEN("Frame"))="Frame") * (ISNUMBER(SEARCH(A55,SKUs!$C$2:$C$10001)))), SKUs!$C$2:$C$10001,"")</f>
        <v/>
      </c>
      <c r="G55" s="16"/>
      <c r="H55" s="16" t="str">
        <f>IF(C55&lt;&gt;"", IF(I55="Height",_xlfn.XLOOKUP(C55,calc_s60!$C$15:$C$1000,calc_s60!$N$15:$N$1000,"",0), _xlfn.XLOOKUP(C55,calc_s60!$C$15:$C$1000,calc_s60!$P$15:$P$1000,"",0)),"")</f>
        <v/>
      </c>
      <c r="I55" s="16" t="str">
        <f t="shared" si="0"/>
        <v/>
      </c>
    </row>
    <row r="56" spans="1:9" ht="13.5" customHeight="1" x14ac:dyDescent="0.25">
      <c r="A56" s="41" t="str">
        <f>_xlfn.XLOOKUP(G56,dd_color!$A$2:$A$8,dd_color!$B$2:$B$8,"",0)</f>
        <v/>
      </c>
      <c r="B56" s="41">
        <f>_xlfn.XLOOKUP(_xlfn.XLOOKUP(C56,'Project Details'!$C$17:$C$10003,'Project Details'!$E$17:$E$10003, "",0),dd_design_raw!$A$2:$A$9997,dd_design_raw!$C$2:$C$9997,"",0)</f>
        <v>0</v>
      </c>
      <c r="C56" s="16"/>
      <c r="D56" s="16" t="str">
        <f>IF(I56="Height",_xlfn.XLOOKUP(C56,calc_s60!$C$15:$C$65,calc_s60!$O$15:$O$65,"",0),_xlfn.XLOOKUP(C56,calc_s60!$C$15:$C$65,calc_s60!$Q$15:$Q$65,"",0))</f>
        <v/>
      </c>
      <c r="E56" s="16" t="str" cm="1">
        <f t="array" ref="E56">IF(C56&lt;&gt;"", _xlfn.XLOOKUP(1,((SKUs!$A$2:$A$10001=cl_unmerged!B56) * (LEFT(SKUs!$J$2:$J$10001, LEN("Frame"))="Frame")), SKUs!$J$2:$J$10001,""),"") &amp; _xlfn.IFS(I56="Height", ", H",I56="Height SLI", ", H SLI", I56="Height FIX", ", H FIX",I56="Width", ", W", I56="", "")</f>
        <v/>
      </c>
      <c r="F56" s="33" t="str" cm="1">
        <f t="array" ref="F56">_xlfn.XLOOKUP(1,((SKUs!$A$2:$A$10001=cl_unmerged!B56) * (LEFT(SKUs!$J$2:$J$10001, LEN("Frame"))="Frame") * (ISNUMBER(SEARCH(A56,SKUs!$C$2:$C$10001)))), SKUs!$C$2:$C$10001,"")</f>
        <v/>
      </c>
      <c r="G56" s="16"/>
      <c r="H56" s="16" t="str">
        <f>IF(C56&lt;&gt;"", IF(I56="Height",_xlfn.XLOOKUP(C56,calc_s60!$C$15:$C$1000,calc_s60!$N$15:$N$1000,"",0), _xlfn.XLOOKUP(C56,calc_s60!$C$15:$C$1000,calc_s60!$P$15:$P$1000,"",0)),"")</f>
        <v/>
      </c>
      <c r="I56" s="16" t="str">
        <f t="shared" si="0"/>
        <v/>
      </c>
    </row>
    <row r="57" spans="1:9" ht="13.5" customHeight="1" x14ac:dyDescent="0.25">
      <c r="A57" s="41" t="str">
        <f>_xlfn.XLOOKUP(G57,dd_color!$A$2:$A$8,dd_color!$B$2:$B$8,"",0)</f>
        <v/>
      </c>
      <c r="B57" s="41">
        <f>_xlfn.XLOOKUP(_xlfn.XLOOKUP(C57,'Project Details'!$C$17:$C$10003,'Project Details'!$E$17:$E$10003, "",0),dd_design_raw!$A$2:$A$9997,dd_design_raw!$C$2:$C$9997,"",0)</f>
        <v>0</v>
      </c>
      <c r="C57" s="16"/>
      <c r="D57" s="16" t="str">
        <f>IF(I57="Height",_xlfn.XLOOKUP(C57,calc_s60!$C$15:$C$65,calc_s60!$O$15:$O$65,"",0),_xlfn.XLOOKUP(C57,calc_s60!$C$15:$C$65,calc_s60!$Q$15:$Q$65,"",0))</f>
        <v/>
      </c>
      <c r="E57" s="16" t="str" cm="1">
        <f t="array" ref="E57">IF(C57&lt;&gt;"", _xlfn.XLOOKUP(1,((SKUs!$A$2:$A$10001=cl_unmerged!B57) * (LEFT(SKUs!$J$2:$J$10001, LEN("Frame"))="Frame")), SKUs!$J$2:$J$10001,""),"") &amp; _xlfn.IFS(I57="Height", ", H",I57="Height SLI", ", H SLI", I57="Height FIX", ", H FIX",I57="Width", ", W", I57="", "")</f>
        <v/>
      </c>
      <c r="F57" s="33" t="str" cm="1">
        <f t="array" ref="F57">_xlfn.XLOOKUP(1,((SKUs!$A$2:$A$10001=cl_unmerged!B57) * (LEFT(SKUs!$J$2:$J$10001, LEN("Frame"))="Frame") * (ISNUMBER(SEARCH(A57,SKUs!$C$2:$C$10001)))), SKUs!$C$2:$C$10001,"")</f>
        <v/>
      </c>
      <c r="G57" s="16"/>
      <c r="H57" s="16" t="str">
        <f>IF(C57&lt;&gt;"", IF(I57="Height",_xlfn.XLOOKUP(C57,calc_s60!$C$15:$C$1000,calc_s60!$N$15:$N$1000,"",0), _xlfn.XLOOKUP(C57,calc_s60!$C$15:$C$1000,calc_s60!$P$15:$P$1000,"",0)),"")</f>
        <v/>
      </c>
      <c r="I57" s="16" t="str">
        <f t="shared" si="0"/>
        <v/>
      </c>
    </row>
    <row r="58" spans="1:9" ht="13.5" customHeight="1" x14ac:dyDescent="0.25">
      <c r="A58" s="41" t="str">
        <f>_xlfn.XLOOKUP(G58,dd_color!$A$2:$A$8,dd_color!$B$2:$B$8,"",0)</f>
        <v/>
      </c>
      <c r="B58" s="41">
        <f>_xlfn.XLOOKUP(_xlfn.XLOOKUP(C58,'Project Details'!$C$17:$C$10003,'Project Details'!$E$17:$E$10003, "",0),dd_design_raw!$A$2:$A$9997,dd_design_raw!$C$2:$C$9997,"",0)</f>
        <v>0</v>
      </c>
      <c r="C58" s="16"/>
      <c r="D58" s="16" t="str">
        <f>IF(I58="Height",_xlfn.XLOOKUP(C58,calc_s60!$C$15:$C$65,calc_s60!$O$15:$O$65,"",0),_xlfn.XLOOKUP(C58,calc_s60!$C$15:$C$65,calc_s60!$Q$15:$Q$65,"",0))</f>
        <v/>
      </c>
      <c r="E58" s="16" t="str" cm="1">
        <f t="array" ref="E58">IF(C58&lt;&gt;"", _xlfn.XLOOKUP(1,((SKUs!$A$2:$A$10001=cl_unmerged!B58) * (LEFT(SKUs!$J$2:$J$10001, LEN("Frame"))="Frame")), SKUs!$J$2:$J$10001,""),"") &amp; _xlfn.IFS(I58="Height", ", H",I58="Height SLI", ", H SLI", I58="Height FIX", ", H FIX",I58="Width", ", W", I58="", "")</f>
        <v/>
      </c>
      <c r="F58" s="33" t="str" cm="1">
        <f t="array" ref="F58">_xlfn.XLOOKUP(1,((SKUs!$A$2:$A$10001=cl_unmerged!B58) * (LEFT(SKUs!$J$2:$J$10001, LEN("Frame"))="Frame") * (ISNUMBER(SEARCH(A58,SKUs!$C$2:$C$10001)))), SKUs!$C$2:$C$10001,"")</f>
        <v/>
      </c>
      <c r="G58" s="16"/>
      <c r="H58" s="16" t="str">
        <f>IF(C58&lt;&gt;"", IF(I58="Height",_xlfn.XLOOKUP(C58,calc_s60!$C$15:$C$1000,calc_s60!$N$15:$N$1000,"",0), _xlfn.XLOOKUP(C58,calc_s60!$C$15:$C$1000,calc_s60!$P$15:$P$1000,"",0)),"")</f>
        <v/>
      </c>
      <c r="I58" s="16" t="str">
        <f t="shared" si="0"/>
        <v/>
      </c>
    </row>
    <row r="59" spans="1:9" ht="13.5" customHeight="1" x14ac:dyDescent="0.25">
      <c r="A59" s="41" t="str">
        <f>_xlfn.XLOOKUP(G59,dd_color!$A$2:$A$8,dd_color!$B$2:$B$8,"",0)</f>
        <v/>
      </c>
      <c r="B59" s="41">
        <f>_xlfn.XLOOKUP(_xlfn.XLOOKUP(C59,'Project Details'!$C$17:$C$10003,'Project Details'!$E$17:$E$10003, "",0),dd_design_raw!$A$2:$A$9997,dd_design_raw!$C$2:$C$9997,"",0)</f>
        <v>0</v>
      </c>
      <c r="C59" s="16"/>
      <c r="D59" s="16" t="str">
        <f>IF(I59="Height",_xlfn.XLOOKUP(C59,calc_s60!$C$15:$C$65,calc_s60!$O$15:$O$65,"",0),_xlfn.XLOOKUP(C59,calc_s60!$C$15:$C$65,calc_s60!$Q$15:$Q$65,"",0))</f>
        <v/>
      </c>
      <c r="E59" s="16" t="str" cm="1">
        <f t="array" ref="E59">IF(C59&lt;&gt;"", _xlfn.XLOOKUP(1,((SKUs!$A$2:$A$10001=cl_unmerged!B59) * (LEFT(SKUs!$J$2:$J$10001, LEN("Frame"))="Frame")), SKUs!$J$2:$J$10001,""),"") &amp; _xlfn.IFS(I59="Height", ", H",I59="Height SLI", ", H SLI", I59="Height FIX", ", H FIX",I59="Width", ", W", I59="", "")</f>
        <v/>
      </c>
      <c r="F59" s="33" t="str" cm="1">
        <f t="array" ref="F59">_xlfn.XLOOKUP(1,((SKUs!$A$2:$A$10001=cl_unmerged!B59) * (LEFT(SKUs!$J$2:$J$10001, LEN("Frame"))="Frame") * (ISNUMBER(SEARCH(A59,SKUs!$C$2:$C$10001)))), SKUs!$C$2:$C$10001,"")</f>
        <v/>
      </c>
      <c r="G59" s="16"/>
      <c r="H59" s="16" t="str">
        <f>IF(C59&lt;&gt;"", IF(I59="Height",_xlfn.XLOOKUP(C59,calc_s60!$C$15:$C$1000,calc_s60!$N$15:$N$1000,"",0), _xlfn.XLOOKUP(C59,calc_s60!$C$15:$C$1000,calc_s60!$P$15:$P$1000,"",0)),"")</f>
        <v/>
      </c>
      <c r="I59" s="16" t="str">
        <f t="shared" si="0"/>
        <v/>
      </c>
    </row>
    <row r="60" spans="1:9" ht="13.5" customHeight="1" x14ac:dyDescent="0.25">
      <c r="A60" s="41" t="str">
        <f>_xlfn.XLOOKUP(G60,dd_color!$A$2:$A$8,dd_color!$B$2:$B$8,"",0)</f>
        <v/>
      </c>
      <c r="B60" s="41">
        <f>_xlfn.XLOOKUP(_xlfn.XLOOKUP(C60,'Project Details'!$C$17:$C$10003,'Project Details'!$E$17:$E$10003, "",0),dd_design_raw!$A$2:$A$9997,dd_design_raw!$C$2:$C$9997,"",0)</f>
        <v>0</v>
      </c>
      <c r="C60" s="16"/>
      <c r="D60" s="16" t="str">
        <f>IF(I60="Height",_xlfn.XLOOKUP(C60,calc_s60!$C$15:$C$65,calc_s60!$O$15:$O$65,"",0),_xlfn.XLOOKUP(C60,calc_s60!$C$15:$C$65,calc_s60!$Q$15:$Q$65,"",0))</f>
        <v/>
      </c>
      <c r="E60" s="16" t="str" cm="1">
        <f t="array" ref="E60">IF(C60&lt;&gt;"", _xlfn.XLOOKUP(1,((SKUs!$A$2:$A$10001=cl_unmerged!B60) * (LEFT(SKUs!$J$2:$J$10001, LEN("Frame"))="Frame")), SKUs!$J$2:$J$10001,""),"") &amp; _xlfn.IFS(I60="Height", ", H",I60="Height SLI", ", H SLI", I60="Height FIX", ", H FIX",I60="Width", ", W", I60="", "")</f>
        <v/>
      </c>
      <c r="F60" s="33" t="str" cm="1">
        <f t="array" ref="F60">_xlfn.XLOOKUP(1,((SKUs!$A$2:$A$10001=cl_unmerged!B60) * (LEFT(SKUs!$J$2:$J$10001, LEN("Frame"))="Frame") * (ISNUMBER(SEARCH(A60,SKUs!$C$2:$C$10001)))), SKUs!$C$2:$C$10001,"")</f>
        <v/>
      </c>
      <c r="G60" s="16"/>
      <c r="H60" s="16" t="str">
        <f>IF(C60&lt;&gt;"", IF(I60="Height",_xlfn.XLOOKUP(C60,calc_s60!$C$15:$C$1000,calc_s60!$N$15:$N$1000,"",0), _xlfn.XLOOKUP(C60,calc_s60!$C$15:$C$1000,calc_s60!$P$15:$P$1000,"",0)),"")</f>
        <v/>
      </c>
      <c r="I60" s="16" t="str">
        <f t="shared" si="0"/>
        <v/>
      </c>
    </row>
    <row r="61" spans="1:9" ht="13.5" customHeight="1" x14ac:dyDescent="0.25">
      <c r="A61" s="41" t="str">
        <f>_xlfn.XLOOKUP(G61,dd_color!$A$2:$A$8,dd_color!$B$2:$B$8,"",0)</f>
        <v/>
      </c>
      <c r="B61" s="41">
        <f>_xlfn.XLOOKUP(_xlfn.XLOOKUP(C61,'Project Details'!$C$17:$C$10003,'Project Details'!$E$17:$E$10003, "",0),dd_design_raw!$A$2:$A$9997,dd_design_raw!$C$2:$C$9997,"",0)</f>
        <v>0</v>
      </c>
      <c r="C61" s="16"/>
      <c r="D61" s="16" t="str">
        <f>IF(I61="Height",_xlfn.XLOOKUP(C61,calc_s60!$C$15:$C$65,calc_s60!$O$15:$O$65,"",0),_xlfn.XLOOKUP(C61,calc_s60!$C$15:$C$65,calc_s60!$Q$15:$Q$65,"",0))</f>
        <v/>
      </c>
      <c r="E61" s="16" t="str" cm="1">
        <f t="array" ref="E61">IF(C61&lt;&gt;"", _xlfn.XLOOKUP(1,((SKUs!$A$2:$A$10001=cl_unmerged!B61) * (LEFT(SKUs!$J$2:$J$10001, LEN("Frame"))="Frame")), SKUs!$J$2:$J$10001,""),"") &amp; _xlfn.IFS(I61="Height", ", H",I61="Height SLI", ", H SLI", I61="Height FIX", ", H FIX",I61="Width", ", W", I61="", "")</f>
        <v/>
      </c>
      <c r="F61" s="33" t="str" cm="1">
        <f t="array" ref="F61">_xlfn.XLOOKUP(1,((SKUs!$A$2:$A$10001=cl_unmerged!B61) * (LEFT(SKUs!$J$2:$J$10001, LEN("Frame"))="Frame") * (ISNUMBER(SEARCH(A61,SKUs!$C$2:$C$10001)))), SKUs!$C$2:$C$10001,"")</f>
        <v/>
      </c>
      <c r="G61" s="16"/>
      <c r="H61" s="16" t="str">
        <f>IF(C61&lt;&gt;"", IF(I61="Height",_xlfn.XLOOKUP(C61,calc_s60!$C$15:$C$1000,calc_s60!$N$15:$N$1000,"",0), _xlfn.XLOOKUP(C61,calc_s60!$C$15:$C$1000,calc_s60!$P$15:$P$1000,"",0)),"")</f>
        <v/>
      </c>
      <c r="I61" s="16" t="str">
        <f t="shared" si="0"/>
        <v/>
      </c>
    </row>
    <row r="62" spans="1:9" ht="13.5" customHeight="1" x14ac:dyDescent="0.25">
      <c r="A62" s="41" t="str">
        <f>_xlfn.XLOOKUP(G62,dd_color!$A$2:$A$8,dd_color!$B$2:$B$8,"",0)</f>
        <v/>
      </c>
      <c r="B62" s="41">
        <f>_xlfn.XLOOKUP(_xlfn.XLOOKUP(C62,'Project Details'!$C$17:$C$10003,'Project Details'!$E$17:$E$10003, "",0),dd_design_raw!$A$2:$A$9997,dd_design_raw!$C$2:$C$9997,"",0)</f>
        <v>0</v>
      </c>
      <c r="C62" s="16"/>
      <c r="D62" s="16" t="str">
        <f>IF(I62="Height",_xlfn.XLOOKUP(C62,calc_s60!$C$15:$C$65,calc_s60!$O$15:$O$65,"",0),_xlfn.XLOOKUP(C62,calc_s60!$C$15:$C$65,calc_s60!$Q$15:$Q$65,"",0))</f>
        <v/>
      </c>
      <c r="E62" s="16" t="str" cm="1">
        <f t="array" ref="E62">IF(C62&lt;&gt;"", _xlfn.XLOOKUP(1,((SKUs!$A$2:$A$10001=cl_unmerged!B62) * (LEFT(SKUs!$J$2:$J$10001, LEN("Frame"))="Frame")), SKUs!$J$2:$J$10001,""),"") &amp; _xlfn.IFS(I62="Height", ", H",I62="Height SLI", ", H SLI", I62="Height FIX", ", H FIX",I62="Width", ", W", I62="", "")</f>
        <v/>
      </c>
      <c r="F62" s="33" t="str" cm="1">
        <f t="array" ref="F62">_xlfn.XLOOKUP(1,((SKUs!$A$2:$A$10001=cl_unmerged!B62) * (LEFT(SKUs!$J$2:$J$10001, LEN("Frame"))="Frame") * (ISNUMBER(SEARCH(A62,SKUs!$C$2:$C$10001)))), SKUs!$C$2:$C$10001,"")</f>
        <v/>
      </c>
      <c r="G62" s="16"/>
      <c r="H62" s="16" t="str">
        <f>IF(C62&lt;&gt;"", IF(I62="Height",_xlfn.XLOOKUP(C62,calc_s60!$C$15:$C$1000,calc_s60!$N$15:$N$1000,"",0), _xlfn.XLOOKUP(C62,calc_s60!$C$15:$C$1000,calc_s60!$P$15:$P$1000,"",0)),"")</f>
        <v/>
      </c>
      <c r="I62" s="16" t="str">
        <f t="shared" si="0"/>
        <v/>
      </c>
    </row>
    <row r="63" spans="1:9" ht="13.5" customHeight="1" x14ac:dyDescent="0.25">
      <c r="A63" s="41" t="str">
        <f>_xlfn.XLOOKUP(G63,dd_color!$A$2:$A$8,dd_color!$B$2:$B$8,"",0)</f>
        <v/>
      </c>
      <c r="B63" s="41">
        <f>_xlfn.XLOOKUP(_xlfn.XLOOKUP(C63,'Project Details'!$C$17:$C$10003,'Project Details'!$E$17:$E$10003, "",0),dd_design_raw!$A$2:$A$9997,dd_design_raw!$C$2:$C$9997,"",0)</f>
        <v>0</v>
      </c>
      <c r="C63" s="16"/>
      <c r="D63" s="16" t="str">
        <f>IF(I63="Height",_xlfn.XLOOKUP(C63,calc_s60!$C$15:$C$65,calc_s60!$O$15:$O$65,"",0),_xlfn.XLOOKUP(C63,calc_s60!$C$15:$C$65,calc_s60!$Q$15:$Q$65,"",0))</f>
        <v/>
      </c>
      <c r="E63" s="16" t="str" cm="1">
        <f t="array" ref="E63">IF(C63&lt;&gt;"", _xlfn.XLOOKUP(1,((SKUs!$A$2:$A$10001=cl_unmerged!B63) * (LEFT(SKUs!$J$2:$J$10001, LEN("Frame"))="Frame")), SKUs!$J$2:$J$10001,""),"") &amp; _xlfn.IFS(I63="Height", ", H",I63="Height SLI", ", H SLI", I63="Height FIX", ", H FIX",I63="Width", ", W", I63="", "")</f>
        <v/>
      </c>
      <c r="F63" s="33" t="str" cm="1">
        <f t="array" ref="F63">_xlfn.XLOOKUP(1,((SKUs!$A$2:$A$10001=cl_unmerged!B63) * (LEFT(SKUs!$J$2:$J$10001, LEN("Frame"))="Frame") * (ISNUMBER(SEARCH(A63,SKUs!$C$2:$C$10001)))), SKUs!$C$2:$C$10001,"")</f>
        <v/>
      </c>
      <c r="G63" s="16"/>
      <c r="H63" s="16" t="str">
        <f>IF(C63&lt;&gt;"", IF(I63="Height",_xlfn.XLOOKUP(C63,calc_s60!$C$15:$C$1000,calc_s60!$N$15:$N$1000,"",0), _xlfn.XLOOKUP(C63,calc_s60!$C$15:$C$1000,calc_s60!$P$15:$P$1000,"",0)),"")</f>
        <v/>
      </c>
      <c r="I63" s="16" t="str">
        <f t="shared" si="0"/>
        <v/>
      </c>
    </row>
    <row r="64" spans="1:9" ht="13.5" customHeight="1" x14ac:dyDescent="0.25">
      <c r="A64" s="41" t="str">
        <f>_xlfn.XLOOKUP(G64,dd_color!$A$2:$A$8,dd_color!$B$2:$B$8,"",0)</f>
        <v/>
      </c>
      <c r="B64" s="41">
        <f>_xlfn.XLOOKUP(_xlfn.XLOOKUP(C64,'Project Details'!$C$17:$C$10003,'Project Details'!$E$17:$E$10003, "",0),dd_design_raw!$A$2:$A$9997,dd_design_raw!$C$2:$C$9997,"",0)</f>
        <v>0</v>
      </c>
      <c r="C64" s="16"/>
      <c r="D64" s="16" t="str">
        <f>IF(I64="Height",_xlfn.XLOOKUP(C64,calc_s60!$C$15:$C$65,calc_s60!$O$15:$O$65,"",0),_xlfn.XLOOKUP(C64,calc_s60!$C$15:$C$65,calc_s60!$Q$15:$Q$65,"",0))</f>
        <v/>
      </c>
      <c r="E64" s="16" t="str" cm="1">
        <f t="array" ref="E64">IF(C64&lt;&gt;"", _xlfn.XLOOKUP(1,((SKUs!$A$2:$A$10001=cl_unmerged!B64) * (LEFT(SKUs!$J$2:$J$10001, LEN("Frame"))="Frame")), SKUs!$J$2:$J$10001,""),"") &amp; _xlfn.IFS(I64="Height", ", H",I64="Height SLI", ", H SLI", I64="Height FIX", ", H FIX",I64="Width", ", W", I64="", "")</f>
        <v/>
      </c>
      <c r="F64" s="33" t="str" cm="1">
        <f t="array" ref="F64">_xlfn.XLOOKUP(1,((SKUs!$A$2:$A$10001=cl_unmerged!B64) * (LEFT(SKUs!$J$2:$J$10001, LEN("Frame"))="Frame") * (ISNUMBER(SEARCH(A64,SKUs!$C$2:$C$10001)))), SKUs!$C$2:$C$10001,"")</f>
        <v/>
      </c>
      <c r="G64" s="16"/>
      <c r="H64" s="16" t="str">
        <f>IF(C64&lt;&gt;"", IF(I64="Height",_xlfn.XLOOKUP(C64,calc_s60!$C$15:$C$1000,calc_s60!$N$15:$N$1000,"",0), _xlfn.XLOOKUP(C64,calc_s60!$C$15:$C$1000,calc_s60!$P$15:$P$1000,"",0)),"")</f>
        <v/>
      </c>
      <c r="I64" s="16" t="str">
        <f t="shared" si="0"/>
        <v/>
      </c>
    </row>
    <row r="65" spans="1:9" ht="13.5" customHeight="1" x14ac:dyDescent="0.25">
      <c r="A65" s="41" t="str">
        <f>_xlfn.XLOOKUP(G65,dd_color!$A$2:$A$8,dd_color!$B$2:$B$8,"",0)</f>
        <v/>
      </c>
      <c r="B65" s="41">
        <f>_xlfn.XLOOKUP(_xlfn.XLOOKUP(C65,'Project Details'!$C$17:$C$10003,'Project Details'!$E$17:$E$10003, "",0),dd_design_raw!$A$2:$A$9997,dd_design_raw!$C$2:$C$9997,"",0)</f>
        <v>0</v>
      </c>
      <c r="C65" s="16"/>
      <c r="D65" s="16" t="str">
        <f>IF(I65="Height",_xlfn.XLOOKUP(C65,calc_s60!$C$15:$C$65,calc_s60!$O$15:$O$65,"",0),_xlfn.XLOOKUP(C65,calc_s60!$C$15:$C$65,calc_s60!$Q$15:$Q$65,"",0))</f>
        <v/>
      </c>
      <c r="E65" s="16" t="str" cm="1">
        <f t="array" ref="E65">IF(C65&lt;&gt;"", _xlfn.XLOOKUP(1,((SKUs!$A$2:$A$10001=cl_unmerged!B65) * (LEFT(SKUs!$J$2:$J$10001, LEN("Frame"))="Frame")), SKUs!$J$2:$J$10001,""),"") &amp; _xlfn.IFS(I65="Height", ", H",I65="Height SLI", ", H SLI", I65="Height FIX", ", H FIX",I65="Width", ", W", I65="", "")</f>
        <v/>
      </c>
      <c r="F65" s="33" t="str" cm="1">
        <f t="array" ref="F65">_xlfn.XLOOKUP(1,((SKUs!$A$2:$A$10001=cl_unmerged!B65) * (LEFT(SKUs!$J$2:$J$10001, LEN("Frame"))="Frame") * (ISNUMBER(SEARCH(A65,SKUs!$C$2:$C$10001)))), SKUs!$C$2:$C$10001,"")</f>
        <v/>
      </c>
      <c r="G65" s="16"/>
      <c r="H65" s="16" t="str">
        <f>IF(C65&lt;&gt;"", IF(I65="Height",_xlfn.XLOOKUP(C65,calc_s60!$C$15:$C$1000,calc_s60!$N$15:$N$1000,"",0), _xlfn.XLOOKUP(C65,calc_s60!$C$15:$C$1000,calc_s60!$P$15:$P$1000,"",0)),"")</f>
        <v/>
      </c>
      <c r="I65" s="16" t="str">
        <f t="shared" si="0"/>
        <v/>
      </c>
    </row>
    <row r="66" spans="1:9" ht="13.5" customHeight="1" x14ac:dyDescent="0.25">
      <c r="A66" s="41" t="str">
        <f>_xlfn.XLOOKUP(G66,dd_color!$A$2:$A$8,dd_color!$B$2:$B$8,"",0)</f>
        <v/>
      </c>
      <c r="B66" s="41">
        <f>_xlfn.XLOOKUP(_xlfn.XLOOKUP(C66,'Project Details'!$C$17:$C$10003,'Project Details'!$E$17:$E$10003, "",0),dd_design_raw!$A$2:$A$9997,dd_design_raw!$C$2:$C$9997,"",0)</f>
        <v>0</v>
      </c>
      <c r="C66" s="16"/>
      <c r="D66" s="16" t="str">
        <f>IF(I66="Height",_xlfn.XLOOKUP(C66,calc_s60!$C$15:$C$65,calc_s60!$O$15:$O$65,"",0),_xlfn.XLOOKUP(C66,calc_s60!$C$15:$C$65,calc_s60!$Q$15:$Q$65,"",0))</f>
        <v/>
      </c>
      <c r="E66" s="16" t="str" cm="1">
        <f t="array" ref="E66">IF(C66&lt;&gt;"", _xlfn.XLOOKUP(1,((SKUs!$A$2:$A$10001=cl_unmerged!B66) * (LEFT(SKUs!$J$2:$J$10001, LEN("Frame"))="Frame")), SKUs!$J$2:$J$10001,""),"") &amp; _xlfn.IFS(I66="Height", ", H",I66="Height SLI", ", H SLI", I66="Height FIX", ", H FIX",I66="Width", ", W", I66="", "")</f>
        <v/>
      </c>
      <c r="F66" s="33" t="str" cm="1">
        <f t="array" ref="F66">_xlfn.XLOOKUP(1,((SKUs!$A$2:$A$10001=cl_unmerged!B66) * (LEFT(SKUs!$J$2:$J$10001, LEN("Frame"))="Frame") * (ISNUMBER(SEARCH(A66,SKUs!$C$2:$C$10001)))), SKUs!$C$2:$C$10001,"")</f>
        <v/>
      </c>
      <c r="G66" s="16"/>
      <c r="H66" s="16" t="str">
        <f>IF(C66&lt;&gt;"", IF(I66="Height",_xlfn.XLOOKUP(C66,calc_s60!$C$15:$C$1000,calc_s60!$N$15:$N$1000,"",0), _xlfn.XLOOKUP(C66,calc_s60!$C$15:$C$1000,calc_s60!$P$15:$P$1000,"",0)),"")</f>
        <v/>
      </c>
      <c r="I66" s="16" t="str">
        <f t="shared" si="0"/>
        <v/>
      </c>
    </row>
    <row r="67" spans="1:9" ht="13.5" customHeight="1" x14ac:dyDescent="0.25">
      <c r="C67" s="32" t="s">
        <v>719</v>
      </c>
      <c r="D67" s="32"/>
      <c r="E67" s="32"/>
      <c r="F67" s="32"/>
      <c r="G67" s="32"/>
      <c r="H67" s="32"/>
      <c r="I67" s="32"/>
    </row>
    <row r="68" spans="1:9" x14ac:dyDescent="0.25">
      <c r="A68" s="41" t="str">
        <f>_xlfn.XLOOKUP(G68,dd_color!$A$2:$A$8,dd_color!$B$2:$B$8,"",0)</f>
        <v/>
      </c>
      <c r="B68" s="41" t="str">
        <f>_xlfn.XLOOKUP(_xlfn.XLOOKUP(C68,'Project Details'!$C$17:$C$10003,'Project Details'!$E$17:$E$10003, "",0),dd_design_raw!$A$2:$A$9997,dd_design_raw!$C$2:$C$9997,"",0)</f>
        <v/>
      </c>
      <c r="C68" s="16" t="str" cm="1">
        <f t="array" ref="C68:C69">IF(_xlfn.SEQUENCE(COUNTA('calc_s90&amp;138'!C15:C1000) * 2) &lt;= COUNTA('calc_s90&amp;138'!C15:C1000) * 2, INDEX('calc_s90&amp;138'!C15:C1000, INT((_xlfn.SEQUENCE(COUNTA('calc_s90&amp;138'!C15:C1000) * 2) - 1) / 2) + 1), "")</f>
        <v/>
      </c>
      <c r="D68" s="16" t="str">
        <f>IF(I68="Height",_xlfn.XLOOKUP(C68,'calc_s90&amp;138'!$C$15:$C$65,'calc_s90&amp;138'!$O$15:$O$65,"",0),_xlfn.XLOOKUP(C68,'calc_s90&amp;138'!$C$15:$C$65,'calc_s90&amp;138'!$Q$15:$Q$65,"",0))</f>
        <v/>
      </c>
      <c r="E68" s="16" t="str" cm="1">
        <f t="array" ref="E68">IF(C68&lt;&gt;"", _xlfn.XLOOKUP(1,((SKUs!$A$2:$A$10001=cl_unmerged!B68) * (LEFT(SKUs!$J$2:$J$10001, LEN("Frame"))="Frame")), SKUs!$J$2:$J$10001,""),"") &amp; _xlfn.IFS(I68="Height", ", H",I68="Height SLI", ", H SLI", I68="Height FIX", ", H FIX",I68="Width", ", W", I68="", "")</f>
        <v/>
      </c>
      <c r="F68" s="33" t="str" cm="1">
        <f t="array" ref="F68">_xlfn.XLOOKUP(1,((SKUs!$A$2:$A$10001=cl_unmerged!B68) * (LEFT(SKUs!$J$2:$J$10001, LEN("Frame"))="Frame") * (ISNUMBER(SEARCH(A68,SKUs!$C$2:$C$10001)))), SKUs!$C$2:$C$10001,"")</f>
        <v/>
      </c>
      <c r="G68" s="16" t="str" cm="1">
        <f t="array" ref="G68:G69">IF(_xlfn.SEQUENCE(COUNTA('calc_s90&amp;138'!G15:G1000) * 2) &lt;= COUNTA('calc_s90&amp;138'!G15:G1000) * 2, INDEX('calc_s90&amp;138'!G15:G1000, INT((_xlfn.SEQUENCE(COUNTA('calc_s90&amp;138'!G15:G1000) * 2) - 1) / 2) + 1), "")</f>
        <v/>
      </c>
      <c r="H68" s="16" t="str">
        <f>IF(C68&lt;&gt;"", IF(I68="Height",_xlfn.XLOOKUP(C68,'calc_s90&amp;138'!$C$15:$C$1000,'calc_s90&amp;138'!$N$15:$N$1000,"",0), _xlfn.XLOOKUP(C68,'calc_s90&amp;138'!$C$15:$C$1000,'calc_s90&amp;138'!$P$15:$P$1000,"",0)),"")</f>
        <v/>
      </c>
      <c r="I68" s="16" t="str">
        <f>IF(C68&lt;&gt;"", IF(C68=C67, "Width", "Height"),"")</f>
        <v/>
      </c>
    </row>
    <row r="69" spans="1:9" x14ac:dyDescent="0.25">
      <c r="A69" s="41" t="str">
        <f>_xlfn.XLOOKUP(G69,dd_color!$A$2:$A$8,dd_color!$B$2:$B$8,"",0)</f>
        <v/>
      </c>
      <c r="B69" s="41" t="str">
        <f>_xlfn.XLOOKUP(_xlfn.XLOOKUP(C69,'Project Details'!$C$17:$C$10003,'Project Details'!$E$17:$E$10003, "",0),dd_design_raw!$A$2:$A$9997,dd_design_raw!$C$2:$C$9997,"",0)</f>
        <v/>
      </c>
      <c r="C69" s="16" t="str">
        <v/>
      </c>
      <c r="D69" s="16" t="str">
        <f>IF(I69="Height",_xlfn.XLOOKUP(C69,'calc_s90&amp;138'!$C$15:$C$65,'calc_s90&amp;138'!$O$15:$O$65,"",0),_xlfn.XLOOKUP(C69,'calc_s90&amp;138'!$C$15:$C$65,'calc_s90&amp;138'!$Q$15:$Q$65,"",0))</f>
        <v/>
      </c>
      <c r="E69" s="16" t="str" cm="1">
        <f t="array" ref="E69">IF(C69&lt;&gt;"", _xlfn.XLOOKUP(1,((SKUs!$A$2:$A$10001=cl_unmerged!B69) * (LEFT(SKUs!$J$2:$J$10001, LEN("Frame"))="Frame")), SKUs!$J$2:$J$10001,""),"") &amp; _xlfn.IFS(I69="Height", ", H",I69="Height SLI", ", H SLI", I69="Height FIX", ", H FIX",I69="Width", ", W", I69="", "")</f>
        <v/>
      </c>
      <c r="F69" s="33" t="str" cm="1">
        <f t="array" ref="F69">_xlfn.XLOOKUP(1,((SKUs!$A$2:$A$10001=cl_unmerged!B69) * (LEFT(SKUs!$J$2:$J$10001, LEN("Frame"))="Frame") * (ISNUMBER(SEARCH(A69,SKUs!$C$2:$C$10001)))), SKUs!$C$2:$C$10001,"")</f>
        <v/>
      </c>
      <c r="G69" s="16" t="str">
        <v/>
      </c>
      <c r="H69" s="16" t="str">
        <f>IF(C69&lt;&gt;"", IF(I69="Height",_xlfn.XLOOKUP(C69,'calc_s90&amp;138'!$C$15:$C$1000,'calc_s90&amp;138'!$N$15:$N$1000,"",0), _xlfn.XLOOKUP(C69,'calc_s90&amp;138'!$C$15:$C$1000,'calc_s90&amp;138'!$P$15:$P$1000,"",0)),"")</f>
        <v/>
      </c>
      <c r="I69" s="16" t="str">
        <f t="shared" ref="I69:I127" si="1">IF(C69&lt;&gt;"", IF(C69=C68, "Width", "Height"),"")</f>
        <v/>
      </c>
    </row>
    <row r="70" spans="1:9" x14ac:dyDescent="0.25">
      <c r="A70" s="41" t="str">
        <f>_xlfn.XLOOKUP(G70,dd_color!$A$2:$A$8,dd_color!$B$2:$B$8,"",0)</f>
        <v/>
      </c>
      <c r="B70" s="41">
        <f>_xlfn.XLOOKUP(_xlfn.XLOOKUP(C70,'Project Details'!$C$17:$C$10003,'Project Details'!$E$17:$E$10003, "",0),dd_design_raw!$A$2:$A$9997,dd_design_raw!$C$2:$C$9997,"",0)</f>
        <v>0</v>
      </c>
      <c r="C70" s="16"/>
      <c r="D70" s="16" t="str">
        <f>IF(I70="Height",_xlfn.XLOOKUP(C70,'calc_s90&amp;138'!$C$15:$C$65,'calc_s90&amp;138'!$O$15:$O$65,"",0),_xlfn.XLOOKUP(C70,'calc_s90&amp;138'!$C$15:$C$65,'calc_s90&amp;138'!$Q$15:$Q$65,"",0))</f>
        <v/>
      </c>
      <c r="E70" s="16" t="str" cm="1">
        <f t="array" ref="E70">IF(C70&lt;&gt;"", _xlfn.XLOOKUP(1,((SKUs!$A$2:$A$10001=cl_unmerged!B70) * (LEFT(SKUs!$J$2:$J$10001, LEN("Frame"))="Frame")), SKUs!$J$2:$J$10001,""),"") &amp; _xlfn.IFS(I70="Height", ", H",I70="Height SLI", ", H SLI", I70="Height FIX", ", H FIX",I70="Width", ", W", I70="", "")</f>
        <v/>
      </c>
      <c r="F70" s="33" t="str" cm="1">
        <f t="array" ref="F70">_xlfn.XLOOKUP(1,((SKUs!$A$2:$A$10001=cl_unmerged!B70) * (LEFT(SKUs!$J$2:$J$10001, LEN("Frame"))="Frame") * (ISNUMBER(SEARCH(A70,SKUs!$C$2:$C$10001)))), SKUs!$C$2:$C$10001,"")</f>
        <v/>
      </c>
      <c r="G70" s="16"/>
      <c r="H70" s="16" t="str">
        <f>IF(C70&lt;&gt;"", IF(I70="Height",_xlfn.XLOOKUP(C70,'calc_s90&amp;138'!$C$15:$C$1000,'calc_s90&amp;138'!$N$15:$N$1000,"",0), _xlfn.XLOOKUP(C70,'calc_s90&amp;138'!$C$15:$C$1000,'calc_s90&amp;138'!$P$15:$P$1000,"",0)),"")</f>
        <v/>
      </c>
      <c r="I70" s="16" t="str">
        <f t="shared" si="1"/>
        <v/>
      </c>
    </row>
    <row r="71" spans="1:9" x14ac:dyDescent="0.25">
      <c r="A71" s="41" t="str">
        <f>_xlfn.XLOOKUP(G71,dd_color!$A$2:$A$8,dd_color!$B$2:$B$8,"",0)</f>
        <v/>
      </c>
      <c r="B71" s="41">
        <f>_xlfn.XLOOKUP(_xlfn.XLOOKUP(C71,'Project Details'!$C$17:$C$10003,'Project Details'!$E$17:$E$10003, "",0),dd_design_raw!$A$2:$A$9997,dd_design_raw!$C$2:$C$9997,"",0)</f>
        <v>0</v>
      </c>
      <c r="C71" s="16"/>
      <c r="D71" s="16" t="str">
        <f>IF(I71="Height",_xlfn.XLOOKUP(C71,'calc_s90&amp;138'!$C$15:$C$65,'calc_s90&amp;138'!$O$15:$O$65,"",0),_xlfn.XLOOKUP(C71,'calc_s90&amp;138'!$C$15:$C$65,'calc_s90&amp;138'!$Q$15:$Q$65,"",0))</f>
        <v/>
      </c>
      <c r="E71" s="16" t="str" cm="1">
        <f t="array" ref="E71">IF(C71&lt;&gt;"", _xlfn.XLOOKUP(1,((SKUs!$A$2:$A$10001=cl_unmerged!B71) * (LEFT(SKUs!$J$2:$J$10001, LEN("Frame"))="Frame")), SKUs!$J$2:$J$10001,""),"") &amp; _xlfn.IFS(I71="Height", ", H",I71="Height SLI", ", H SLI", I71="Height FIX", ", H FIX",I71="Width", ", W", I71="", "")</f>
        <v/>
      </c>
      <c r="F71" s="33" t="str" cm="1">
        <f t="array" ref="F71">_xlfn.XLOOKUP(1,((SKUs!$A$2:$A$10001=cl_unmerged!B71) * (LEFT(SKUs!$J$2:$J$10001, LEN("Frame"))="Frame") * (ISNUMBER(SEARCH(A71,SKUs!$C$2:$C$10001)))), SKUs!$C$2:$C$10001,"")</f>
        <v/>
      </c>
      <c r="G71" s="16"/>
      <c r="H71" s="16" t="str">
        <f>IF(C71&lt;&gt;"", IF(I71="Height",_xlfn.XLOOKUP(C71,'calc_s90&amp;138'!$C$15:$C$1000,'calc_s90&amp;138'!$N$15:$N$1000,"",0), _xlfn.XLOOKUP(C71,'calc_s90&amp;138'!$C$15:$C$1000,'calc_s90&amp;138'!$P$15:$P$1000,"",0)),"")</f>
        <v/>
      </c>
      <c r="I71" s="16" t="str">
        <f t="shared" si="1"/>
        <v/>
      </c>
    </row>
    <row r="72" spans="1:9" x14ac:dyDescent="0.25">
      <c r="A72" s="41" t="str">
        <f>_xlfn.XLOOKUP(G72,dd_color!$A$2:$A$8,dd_color!$B$2:$B$8,"",0)</f>
        <v/>
      </c>
      <c r="B72" s="41">
        <f>_xlfn.XLOOKUP(_xlfn.XLOOKUP(C72,'Project Details'!$C$17:$C$10003,'Project Details'!$E$17:$E$10003, "",0),dd_design_raw!$A$2:$A$9997,dd_design_raw!$C$2:$C$9997,"",0)</f>
        <v>0</v>
      </c>
      <c r="C72" s="16"/>
      <c r="D72" s="16" t="str">
        <f>IF(I72="Height",_xlfn.XLOOKUP(C72,'calc_s90&amp;138'!$C$15:$C$65,'calc_s90&amp;138'!$O$15:$O$65,"",0),_xlfn.XLOOKUP(C72,'calc_s90&amp;138'!$C$15:$C$65,'calc_s90&amp;138'!$Q$15:$Q$65,"",0))</f>
        <v/>
      </c>
      <c r="E72" s="16" t="str" cm="1">
        <f t="array" ref="E72">IF(C72&lt;&gt;"", _xlfn.XLOOKUP(1,((SKUs!$A$2:$A$10001=cl_unmerged!B72) * (LEFT(SKUs!$J$2:$J$10001, LEN("Frame"))="Frame")), SKUs!$J$2:$J$10001,""),"") &amp; _xlfn.IFS(I72="Height", ", H",I72="Height SLI", ", H SLI", I72="Height FIX", ", H FIX",I72="Width", ", W", I72="", "")</f>
        <v/>
      </c>
      <c r="F72" s="33" t="str" cm="1">
        <f t="array" ref="F72">_xlfn.XLOOKUP(1,((SKUs!$A$2:$A$10001=cl_unmerged!B72) * (LEFT(SKUs!$J$2:$J$10001, LEN("Frame"))="Frame") * (ISNUMBER(SEARCH(A72,SKUs!$C$2:$C$10001)))), SKUs!$C$2:$C$10001,"")</f>
        <v/>
      </c>
      <c r="G72" s="16"/>
      <c r="H72" s="16" t="str">
        <f>IF(C72&lt;&gt;"", IF(I72="Height",_xlfn.XLOOKUP(C72,'calc_s90&amp;138'!$C$15:$C$1000,'calc_s90&amp;138'!$N$15:$N$1000,"",0), _xlfn.XLOOKUP(C72,'calc_s90&amp;138'!$C$15:$C$1000,'calc_s90&amp;138'!$P$15:$P$1000,"",0)),"")</f>
        <v/>
      </c>
      <c r="I72" s="16" t="str">
        <f t="shared" si="1"/>
        <v/>
      </c>
    </row>
    <row r="73" spans="1:9" x14ac:dyDescent="0.25">
      <c r="A73" s="41" t="str">
        <f>_xlfn.XLOOKUP(G73,dd_color!$A$2:$A$8,dd_color!$B$2:$B$8,"",0)</f>
        <v/>
      </c>
      <c r="B73" s="41">
        <f>_xlfn.XLOOKUP(_xlfn.XLOOKUP(C73,'Project Details'!$C$17:$C$10003,'Project Details'!$E$17:$E$10003, "",0),dd_design_raw!$A$2:$A$9997,dd_design_raw!$C$2:$C$9997,"",0)</f>
        <v>0</v>
      </c>
      <c r="C73" s="16"/>
      <c r="D73" s="16" t="str">
        <f>IF(I73="Height",_xlfn.XLOOKUP(C73,'calc_s90&amp;138'!$C$15:$C$65,'calc_s90&amp;138'!$O$15:$O$65,"",0),_xlfn.XLOOKUP(C73,'calc_s90&amp;138'!$C$15:$C$65,'calc_s90&amp;138'!$Q$15:$Q$65,"",0))</f>
        <v/>
      </c>
      <c r="E73" s="16" t="str" cm="1">
        <f t="array" ref="E73">IF(C73&lt;&gt;"", _xlfn.XLOOKUP(1,((SKUs!$A$2:$A$10001=cl_unmerged!B73) * (LEFT(SKUs!$J$2:$J$10001, LEN("Frame"))="Frame")), SKUs!$J$2:$J$10001,""),"") &amp; _xlfn.IFS(I73="Height", ", H",I73="Height SLI", ", H SLI", I73="Height FIX", ", H FIX",I73="Width", ", W", I73="", "")</f>
        <v/>
      </c>
      <c r="F73" s="33" t="str" cm="1">
        <f t="array" ref="F73">_xlfn.XLOOKUP(1,((SKUs!$A$2:$A$10001=cl_unmerged!B73) * (LEFT(SKUs!$J$2:$J$10001, LEN("Frame"))="Frame") * (ISNUMBER(SEARCH(A73,SKUs!$C$2:$C$10001)))), SKUs!$C$2:$C$10001,"")</f>
        <v/>
      </c>
      <c r="G73" s="16"/>
      <c r="H73" s="16" t="str">
        <f>IF(C73&lt;&gt;"", IF(I73="Height",_xlfn.XLOOKUP(C73,'calc_s90&amp;138'!$C$15:$C$1000,'calc_s90&amp;138'!$N$15:$N$1000,"",0), _xlfn.XLOOKUP(C73,'calc_s90&amp;138'!$C$15:$C$1000,'calc_s90&amp;138'!$P$15:$P$1000,"",0)),"")</f>
        <v/>
      </c>
      <c r="I73" s="16" t="str">
        <f t="shared" si="1"/>
        <v/>
      </c>
    </row>
    <row r="74" spans="1:9" x14ac:dyDescent="0.25">
      <c r="A74" s="41" t="str">
        <f>_xlfn.XLOOKUP(G74,dd_color!$A$2:$A$8,dd_color!$B$2:$B$8,"",0)</f>
        <v/>
      </c>
      <c r="B74" s="41">
        <f>_xlfn.XLOOKUP(_xlfn.XLOOKUP(C74,'Project Details'!$C$17:$C$10003,'Project Details'!$E$17:$E$10003, "",0),dd_design_raw!$A$2:$A$9997,dd_design_raw!$C$2:$C$9997,"",0)</f>
        <v>0</v>
      </c>
      <c r="C74" s="16"/>
      <c r="D74" s="16" t="str">
        <f>IF(I74="Height",_xlfn.XLOOKUP(C74,'calc_s90&amp;138'!$C$15:$C$65,'calc_s90&amp;138'!$O$15:$O$65,"",0),_xlfn.XLOOKUP(C74,'calc_s90&amp;138'!$C$15:$C$65,'calc_s90&amp;138'!$Q$15:$Q$65,"",0))</f>
        <v/>
      </c>
      <c r="E74" s="16" t="str" cm="1">
        <f t="array" ref="E74">IF(C74&lt;&gt;"", _xlfn.XLOOKUP(1,((SKUs!$A$2:$A$10001=cl_unmerged!B74) * (LEFT(SKUs!$J$2:$J$10001, LEN("Frame"))="Frame")), SKUs!$J$2:$J$10001,""),"") &amp; _xlfn.IFS(I74="Height", ", H",I74="Height SLI", ", H SLI", I74="Height FIX", ", H FIX",I74="Width", ", W", I74="", "")</f>
        <v/>
      </c>
      <c r="F74" s="33" t="str" cm="1">
        <f t="array" ref="F74">_xlfn.XLOOKUP(1,((SKUs!$A$2:$A$10001=cl_unmerged!B74) * (LEFT(SKUs!$J$2:$J$10001, LEN("Frame"))="Frame") * (ISNUMBER(SEARCH(A74,SKUs!$C$2:$C$10001)))), SKUs!$C$2:$C$10001,"")</f>
        <v/>
      </c>
      <c r="G74" s="16"/>
      <c r="H74" s="16" t="str">
        <f>IF(C74&lt;&gt;"", IF(I74="Height",_xlfn.XLOOKUP(C74,'calc_s90&amp;138'!$C$15:$C$1000,'calc_s90&amp;138'!$N$15:$N$1000,"",0), _xlfn.XLOOKUP(C74,'calc_s90&amp;138'!$C$15:$C$1000,'calc_s90&amp;138'!$P$15:$P$1000,"",0)),"")</f>
        <v/>
      </c>
      <c r="I74" s="16" t="str">
        <f t="shared" si="1"/>
        <v/>
      </c>
    </row>
    <row r="75" spans="1:9" x14ac:dyDescent="0.25">
      <c r="A75" s="41" t="str">
        <f>_xlfn.XLOOKUP(G75,dd_color!$A$2:$A$8,dd_color!$B$2:$B$8,"",0)</f>
        <v/>
      </c>
      <c r="B75" s="41">
        <f>_xlfn.XLOOKUP(_xlfn.XLOOKUP(C75,'Project Details'!$C$17:$C$10003,'Project Details'!$E$17:$E$10003, "",0),dd_design_raw!$A$2:$A$9997,dd_design_raw!$C$2:$C$9997,"",0)</f>
        <v>0</v>
      </c>
      <c r="C75" s="16"/>
      <c r="D75" s="16" t="str">
        <f>IF(I75="Height",_xlfn.XLOOKUP(C75,'calc_s90&amp;138'!$C$15:$C$65,'calc_s90&amp;138'!$O$15:$O$65,"",0),_xlfn.XLOOKUP(C75,'calc_s90&amp;138'!$C$15:$C$65,'calc_s90&amp;138'!$Q$15:$Q$65,"",0))</f>
        <v/>
      </c>
      <c r="E75" s="16" t="str" cm="1">
        <f t="array" ref="E75">IF(C75&lt;&gt;"", _xlfn.XLOOKUP(1,((SKUs!$A$2:$A$10001=cl_unmerged!B75) * (LEFT(SKUs!$J$2:$J$10001, LEN("Frame"))="Frame")), SKUs!$J$2:$J$10001,""),"") &amp; _xlfn.IFS(I75="Height", ", H",I75="Height SLI", ", H SLI", I75="Height FIX", ", H FIX",I75="Width", ", W", I75="", "")</f>
        <v/>
      </c>
      <c r="F75" s="33" t="str" cm="1">
        <f t="array" ref="F75">_xlfn.XLOOKUP(1,((SKUs!$A$2:$A$10001=cl_unmerged!B75) * (LEFT(SKUs!$J$2:$J$10001, LEN("Frame"))="Frame") * (ISNUMBER(SEARCH(A75,SKUs!$C$2:$C$10001)))), SKUs!$C$2:$C$10001,"")</f>
        <v/>
      </c>
      <c r="G75" s="16"/>
      <c r="H75" s="16" t="str">
        <f>IF(C75&lt;&gt;"", IF(I75="Height",_xlfn.XLOOKUP(C75,'calc_s90&amp;138'!$C$15:$C$1000,'calc_s90&amp;138'!$N$15:$N$1000,"",0), _xlfn.XLOOKUP(C75,'calc_s90&amp;138'!$C$15:$C$1000,'calc_s90&amp;138'!$P$15:$P$1000,"",0)),"")</f>
        <v/>
      </c>
      <c r="I75" s="16" t="str">
        <f t="shared" si="1"/>
        <v/>
      </c>
    </row>
    <row r="76" spans="1:9" x14ac:dyDescent="0.25">
      <c r="A76" s="41" t="str">
        <f>_xlfn.XLOOKUP(G76,dd_color!$A$2:$A$8,dd_color!$B$2:$B$8,"",0)</f>
        <v/>
      </c>
      <c r="B76" s="41">
        <f>_xlfn.XLOOKUP(_xlfn.XLOOKUP(C76,'Project Details'!$C$17:$C$10003,'Project Details'!$E$17:$E$10003, "",0),dd_design_raw!$A$2:$A$9997,dd_design_raw!$C$2:$C$9997,"",0)</f>
        <v>0</v>
      </c>
      <c r="C76" s="16"/>
      <c r="D76" s="16" t="str">
        <f>IF(I76="Height",_xlfn.XLOOKUP(C76,'calc_s90&amp;138'!$C$15:$C$65,'calc_s90&amp;138'!$O$15:$O$65,"",0),_xlfn.XLOOKUP(C76,'calc_s90&amp;138'!$C$15:$C$65,'calc_s90&amp;138'!$Q$15:$Q$65,"",0))</f>
        <v/>
      </c>
      <c r="E76" s="16" t="str" cm="1">
        <f t="array" ref="E76">IF(C76&lt;&gt;"", _xlfn.XLOOKUP(1,((SKUs!$A$2:$A$10001=cl_unmerged!B76) * (LEFT(SKUs!$J$2:$J$10001, LEN("Frame"))="Frame")), SKUs!$J$2:$J$10001,""),"") &amp; _xlfn.IFS(I76="Height", ", H",I76="Height SLI", ", H SLI", I76="Height FIX", ", H FIX",I76="Width", ", W", I76="", "")</f>
        <v/>
      </c>
      <c r="F76" s="33" t="str" cm="1">
        <f t="array" ref="F76">_xlfn.XLOOKUP(1,((SKUs!$A$2:$A$10001=cl_unmerged!B76) * (LEFT(SKUs!$J$2:$J$10001, LEN("Frame"))="Frame") * (ISNUMBER(SEARCH(A76,SKUs!$C$2:$C$10001)))), SKUs!$C$2:$C$10001,"")</f>
        <v/>
      </c>
      <c r="G76" s="16"/>
      <c r="H76" s="16" t="str">
        <f>IF(C76&lt;&gt;"", IF(I76="Height",_xlfn.XLOOKUP(C76,'calc_s90&amp;138'!$C$15:$C$1000,'calc_s90&amp;138'!$N$15:$N$1000,"",0), _xlfn.XLOOKUP(C76,'calc_s90&amp;138'!$C$15:$C$1000,'calc_s90&amp;138'!$P$15:$P$1000,"",0)),"")</f>
        <v/>
      </c>
      <c r="I76" s="16" t="str">
        <f t="shared" si="1"/>
        <v/>
      </c>
    </row>
    <row r="77" spans="1:9" x14ac:dyDescent="0.25">
      <c r="A77" s="41" t="str">
        <f>_xlfn.XLOOKUP(G77,dd_color!$A$2:$A$8,dd_color!$B$2:$B$8,"",0)</f>
        <v/>
      </c>
      <c r="B77" s="41">
        <f>_xlfn.XLOOKUP(_xlfn.XLOOKUP(C77,'Project Details'!$C$17:$C$10003,'Project Details'!$E$17:$E$10003, "",0),dd_design_raw!$A$2:$A$9997,dd_design_raw!$C$2:$C$9997,"",0)</f>
        <v>0</v>
      </c>
      <c r="C77" s="16"/>
      <c r="D77" s="16" t="str">
        <f>IF(I77="Height",_xlfn.XLOOKUP(C77,'calc_s90&amp;138'!$C$15:$C$65,'calc_s90&amp;138'!$O$15:$O$65,"",0),_xlfn.XLOOKUP(C77,'calc_s90&amp;138'!$C$15:$C$65,'calc_s90&amp;138'!$Q$15:$Q$65,"",0))</f>
        <v/>
      </c>
      <c r="E77" s="16" t="str" cm="1">
        <f t="array" ref="E77">IF(C77&lt;&gt;"", _xlfn.XLOOKUP(1,((SKUs!$A$2:$A$10001=cl_unmerged!B77) * (LEFT(SKUs!$J$2:$J$10001, LEN("Frame"))="Frame")), SKUs!$J$2:$J$10001,""),"") &amp; _xlfn.IFS(I77="Height", ", H",I77="Height SLI", ", H SLI", I77="Height FIX", ", H FIX",I77="Width", ", W", I77="", "")</f>
        <v/>
      </c>
      <c r="F77" s="33" t="str" cm="1">
        <f t="array" ref="F77">_xlfn.XLOOKUP(1,((SKUs!$A$2:$A$10001=cl_unmerged!B77) * (LEFT(SKUs!$J$2:$J$10001, LEN("Frame"))="Frame") * (ISNUMBER(SEARCH(A77,SKUs!$C$2:$C$10001)))), SKUs!$C$2:$C$10001,"")</f>
        <v/>
      </c>
      <c r="G77" s="16"/>
      <c r="H77" s="16" t="str">
        <f>IF(C77&lt;&gt;"", IF(I77="Height",_xlfn.XLOOKUP(C77,'calc_s90&amp;138'!$C$15:$C$1000,'calc_s90&amp;138'!$N$15:$N$1000,"",0), _xlfn.XLOOKUP(C77,'calc_s90&amp;138'!$C$15:$C$1000,'calc_s90&amp;138'!$P$15:$P$1000,"",0)),"")</f>
        <v/>
      </c>
      <c r="I77" s="16" t="str">
        <f t="shared" si="1"/>
        <v/>
      </c>
    </row>
    <row r="78" spans="1:9" x14ac:dyDescent="0.25">
      <c r="A78" s="41" t="str">
        <f>_xlfn.XLOOKUP(G78,dd_color!$A$2:$A$8,dd_color!$B$2:$B$8,"",0)</f>
        <v/>
      </c>
      <c r="B78" s="41">
        <f>_xlfn.XLOOKUP(_xlfn.XLOOKUP(C78,'Project Details'!$C$17:$C$10003,'Project Details'!$E$17:$E$10003, "",0),dd_design_raw!$A$2:$A$9997,dd_design_raw!$C$2:$C$9997,"",0)</f>
        <v>0</v>
      </c>
      <c r="C78" s="16"/>
      <c r="D78" s="16" t="str">
        <f>IF(I78="Height",_xlfn.XLOOKUP(C78,'calc_s90&amp;138'!$C$15:$C$65,'calc_s90&amp;138'!$O$15:$O$65,"",0),_xlfn.XLOOKUP(C78,'calc_s90&amp;138'!$C$15:$C$65,'calc_s90&amp;138'!$Q$15:$Q$65,"",0))</f>
        <v/>
      </c>
      <c r="E78" s="16" t="str" cm="1">
        <f t="array" ref="E78">IF(C78&lt;&gt;"", _xlfn.XLOOKUP(1,((SKUs!$A$2:$A$10001=cl_unmerged!B78) * (LEFT(SKUs!$J$2:$J$10001, LEN("Frame"))="Frame")), SKUs!$J$2:$J$10001,""),"") &amp; _xlfn.IFS(I78="Height", ", H",I78="Height SLI", ", H SLI", I78="Height FIX", ", H FIX",I78="Width", ", W", I78="", "")</f>
        <v/>
      </c>
      <c r="F78" s="33" t="str" cm="1">
        <f t="array" ref="F78">_xlfn.XLOOKUP(1,((SKUs!$A$2:$A$10001=cl_unmerged!B78) * (LEFT(SKUs!$J$2:$J$10001, LEN("Frame"))="Frame") * (ISNUMBER(SEARCH(A78,SKUs!$C$2:$C$10001)))), SKUs!$C$2:$C$10001,"")</f>
        <v/>
      </c>
      <c r="G78" s="16"/>
      <c r="H78" s="16" t="str">
        <f>IF(C78&lt;&gt;"", IF(I78="Height",_xlfn.XLOOKUP(C78,'calc_s90&amp;138'!$C$15:$C$1000,'calc_s90&amp;138'!$N$15:$N$1000,"",0), _xlfn.XLOOKUP(C78,'calc_s90&amp;138'!$C$15:$C$1000,'calc_s90&amp;138'!$P$15:$P$1000,"",0)),"")</f>
        <v/>
      </c>
      <c r="I78" s="16" t="str">
        <f t="shared" si="1"/>
        <v/>
      </c>
    </row>
    <row r="79" spans="1:9" x14ac:dyDescent="0.25">
      <c r="A79" s="41" t="str">
        <f>_xlfn.XLOOKUP(G79,dd_color!$A$2:$A$8,dd_color!$B$2:$B$8,"",0)</f>
        <v/>
      </c>
      <c r="B79" s="41">
        <f>_xlfn.XLOOKUP(_xlfn.XLOOKUP(C79,'Project Details'!$C$17:$C$10003,'Project Details'!$E$17:$E$10003, "",0),dd_design_raw!$A$2:$A$9997,dd_design_raw!$C$2:$C$9997,"",0)</f>
        <v>0</v>
      </c>
      <c r="C79" s="16"/>
      <c r="D79" s="16" t="str">
        <f>IF(I79="Height",_xlfn.XLOOKUP(C79,'calc_s90&amp;138'!$C$15:$C$65,'calc_s90&amp;138'!$O$15:$O$65,"",0),_xlfn.XLOOKUP(C79,'calc_s90&amp;138'!$C$15:$C$65,'calc_s90&amp;138'!$Q$15:$Q$65,"",0))</f>
        <v/>
      </c>
      <c r="E79" s="16" t="str" cm="1">
        <f t="array" ref="E79">IF(C79&lt;&gt;"", _xlfn.XLOOKUP(1,((SKUs!$A$2:$A$10001=cl_unmerged!B79) * (LEFT(SKUs!$J$2:$J$10001, LEN("Frame"))="Frame")), SKUs!$J$2:$J$10001,""),"") &amp; _xlfn.IFS(I79="Height", ", H",I79="Height SLI", ", H SLI", I79="Height FIX", ", H FIX",I79="Width", ", W", I79="", "")</f>
        <v/>
      </c>
      <c r="F79" s="33" t="str" cm="1">
        <f t="array" ref="F79">_xlfn.XLOOKUP(1,((SKUs!$A$2:$A$10001=cl_unmerged!B79) * (LEFT(SKUs!$J$2:$J$10001, LEN("Frame"))="Frame") * (ISNUMBER(SEARCH(A79,SKUs!$C$2:$C$10001)))), SKUs!$C$2:$C$10001,"")</f>
        <v/>
      </c>
      <c r="G79" s="16"/>
      <c r="H79" s="16" t="str">
        <f>IF(C79&lt;&gt;"", IF(I79="Height",_xlfn.XLOOKUP(C79,'calc_s90&amp;138'!$C$15:$C$1000,'calc_s90&amp;138'!$N$15:$N$1000,"",0), _xlfn.XLOOKUP(C79,'calc_s90&amp;138'!$C$15:$C$1000,'calc_s90&amp;138'!$P$15:$P$1000,"",0)),"")</f>
        <v/>
      </c>
      <c r="I79" s="16" t="str">
        <f t="shared" si="1"/>
        <v/>
      </c>
    </row>
    <row r="80" spans="1:9" x14ac:dyDescent="0.25">
      <c r="A80" s="41" t="str">
        <f>_xlfn.XLOOKUP(G80,dd_color!$A$2:$A$8,dd_color!$B$2:$B$8,"",0)</f>
        <v/>
      </c>
      <c r="B80" s="41">
        <f>_xlfn.XLOOKUP(_xlfn.XLOOKUP(C80,'Project Details'!$C$17:$C$10003,'Project Details'!$E$17:$E$10003, "",0),dd_design_raw!$A$2:$A$9997,dd_design_raw!$C$2:$C$9997,"",0)</f>
        <v>0</v>
      </c>
      <c r="C80" s="16"/>
      <c r="D80" s="16" t="str">
        <f>IF(I80="Height",_xlfn.XLOOKUP(C80,'calc_s90&amp;138'!$C$15:$C$65,'calc_s90&amp;138'!$O$15:$O$65,"",0),_xlfn.XLOOKUP(C80,'calc_s90&amp;138'!$C$15:$C$65,'calc_s90&amp;138'!$Q$15:$Q$65,"",0))</f>
        <v/>
      </c>
      <c r="E80" s="16" t="str" cm="1">
        <f t="array" ref="E80">IF(C80&lt;&gt;"", _xlfn.XLOOKUP(1,((SKUs!$A$2:$A$10001=cl_unmerged!B80) * (LEFT(SKUs!$J$2:$J$10001, LEN("Frame"))="Frame")), SKUs!$J$2:$J$10001,""),"") &amp; _xlfn.IFS(I80="Height", ", H",I80="Height SLI", ", H SLI", I80="Height FIX", ", H FIX",I80="Width", ", W", I80="", "")</f>
        <v/>
      </c>
      <c r="F80" s="33" t="str" cm="1">
        <f t="array" ref="F80">_xlfn.XLOOKUP(1,((SKUs!$A$2:$A$10001=cl_unmerged!B80) * (LEFT(SKUs!$J$2:$J$10001, LEN("Frame"))="Frame") * (ISNUMBER(SEARCH(A80,SKUs!$C$2:$C$10001)))), SKUs!$C$2:$C$10001,"")</f>
        <v/>
      </c>
      <c r="G80" s="16"/>
      <c r="H80" s="16" t="str">
        <f>IF(C80&lt;&gt;"", IF(I80="Height",_xlfn.XLOOKUP(C80,'calc_s90&amp;138'!$C$15:$C$1000,'calc_s90&amp;138'!$N$15:$N$1000,"",0), _xlfn.XLOOKUP(C80,'calc_s90&amp;138'!$C$15:$C$1000,'calc_s90&amp;138'!$P$15:$P$1000,"",0)),"")</f>
        <v/>
      </c>
      <c r="I80" s="16" t="str">
        <f t="shared" si="1"/>
        <v/>
      </c>
    </row>
    <row r="81" spans="1:9" x14ac:dyDescent="0.25">
      <c r="A81" s="41" t="str">
        <f>_xlfn.XLOOKUP(G81,dd_color!$A$2:$A$8,dd_color!$B$2:$B$8,"",0)</f>
        <v/>
      </c>
      <c r="B81" s="41">
        <f>_xlfn.XLOOKUP(_xlfn.XLOOKUP(C81,'Project Details'!$C$17:$C$10003,'Project Details'!$E$17:$E$10003, "",0),dd_design_raw!$A$2:$A$9997,dd_design_raw!$C$2:$C$9997,"",0)</f>
        <v>0</v>
      </c>
      <c r="C81" s="16"/>
      <c r="D81" s="16" t="str">
        <f>IF(I81="Height",_xlfn.XLOOKUP(C81,'calc_s90&amp;138'!$C$15:$C$65,'calc_s90&amp;138'!$O$15:$O$65,"",0),_xlfn.XLOOKUP(C81,'calc_s90&amp;138'!$C$15:$C$65,'calc_s90&amp;138'!$Q$15:$Q$65,"",0))</f>
        <v/>
      </c>
      <c r="E81" s="16" t="str" cm="1">
        <f t="array" ref="E81">IF(C81&lt;&gt;"", _xlfn.XLOOKUP(1,((SKUs!$A$2:$A$10001=cl_unmerged!B81) * (LEFT(SKUs!$J$2:$J$10001, LEN("Frame"))="Frame")), SKUs!$J$2:$J$10001,""),"") &amp; _xlfn.IFS(I81="Height", ", H",I81="Height SLI", ", H SLI", I81="Height FIX", ", H FIX",I81="Width", ", W", I81="", "")</f>
        <v/>
      </c>
      <c r="F81" s="33" t="str" cm="1">
        <f t="array" ref="F81">_xlfn.XLOOKUP(1,((SKUs!$A$2:$A$10001=cl_unmerged!B81) * (LEFT(SKUs!$J$2:$J$10001, LEN("Frame"))="Frame") * (ISNUMBER(SEARCH(A81,SKUs!$C$2:$C$10001)))), SKUs!$C$2:$C$10001,"")</f>
        <v/>
      </c>
      <c r="G81" s="16"/>
      <c r="H81" s="16" t="str">
        <f>IF(C81&lt;&gt;"", IF(I81="Height",_xlfn.XLOOKUP(C81,'calc_s90&amp;138'!$C$15:$C$1000,'calc_s90&amp;138'!$N$15:$N$1000,"",0), _xlfn.XLOOKUP(C81,'calc_s90&amp;138'!$C$15:$C$1000,'calc_s90&amp;138'!$P$15:$P$1000,"",0)),"")</f>
        <v/>
      </c>
      <c r="I81" s="16" t="str">
        <f t="shared" si="1"/>
        <v/>
      </c>
    </row>
    <row r="82" spans="1:9" x14ac:dyDescent="0.25">
      <c r="A82" s="41" t="str">
        <f>_xlfn.XLOOKUP(G82,dd_color!$A$2:$A$8,dd_color!$B$2:$B$8,"",0)</f>
        <v/>
      </c>
      <c r="B82" s="41">
        <f>_xlfn.XLOOKUP(_xlfn.XLOOKUP(C82,'Project Details'!$C$17:$C$10003,'Project Details'!$E$17:$E$10003, "",0),dd_design_raw!$A$2:$A$9997,dd_design_raw!$C$2:$C$9997,"",0)</f>
        <v>0</v>
      </c>
      <c r="C82" s="16"/>
      <c r="D82" s="16" t="str">
        <f>IF(I82="Height",_xlfn.XLOOKUP(C82,'calc_s90&amp;138'!$C$15:$C$65,'calc_s90&amp;138'!$O$15:$O$65,"",0),_xlfn.XLOOKUP(C82,'calc_s90&amp;138'!$C$15:$C$65,'calc_s90&amp;138'!$Q$15:$Q$65,"",0))</f>
        <v/>
      </c>
      <c r="E82" s="16" t="str" cm="1">
        <f t="array" ref="E82">IF(C82&lt;&gt;"", _xlfn.XLOOKUP(1,((SKUs!$A$2:$A$10001=cl_unmerged!B82) * (LEFT(SKUs!$J$2:$J$10001, LEN("Frame"))="Frame")), SKUs!$J$2:$J$10001,""),"") &amp; _xlfn.IFS(I82="Height", ", H",I82="Height SLI", ", H SLI", I82="Height FIX", ", H FIX",I82="Width", ", W", I82="", "")</f>
        <v/>
      </c>
      <c r="F82" s="33" t="str" cm="1">
        <f t="array" ref="F82">_xlfn.XLOOKUP(1,((SKUs!$A$2:$A$10001=cl_unmerged!B82) * (LEFT(SKUs!$J$2:$J$10001, LEN("Frame"))="Frame") * (ISNUMBER(SEARCH(A82,SKUs!$C$2:$C$10001)))), SKUs!$C$2:$C$10001,"")</f>
        <v/>
      </c>
      <c r="G82" s="16"/>
      <c r="H82" s="16" t="str">
        <f>IF(C82&lt;&gt;"", IF(I82="Height",_xlfn.XLOOKUP(C82,'calc_s90&amp;138'!$C$15:$C$1000,'calc_s90&amp;138'!$N$15:$N$1000,"",0), _xlfn.XLOOKUP(C82,'calc_s90&amp;138'!$C$15:$C$1000,'calc_s90&amp;138'!$P$15:$P$1000,"",0)),"")</f>
        <v/>
      </c>
      <c r="I82" s="16" t="str">
        <f t="shared" si="1"/>
        <v/>
      </c>
    </row>
    <row r="83" spans="1:9" x14ac:dyDescent="0.25">
      <c r="A83" s="41" t="str">
        <f>_xlfn.XLOOKUP(G83,dd_color!$A$2:$A$8,dd_color!$B$2:$B$8,"",0)</f>
        <v/>
      </c>
      <c r="B83" s="41">
        <f>_xlfn.XLOOKUP(_xlfn.XLOOKUP(C83,'Project Details'!$C$17:$C$10003,'Project Details'!$E$17:$E$10003, "",0),dd_design_raw!$A$2:$A$9997,dd_design_raw!$C$2:$C$9997,"",0)</f>
        <v>0</v>
      </c>
      <c r="C83" s="16"/>
      <c r="D83" s="16" t="str">
        <f>IF(I83="Height",_xlfn.XLOOKUP(C83,'calc_s90&amp;138'!$C$15:$C$65,'calc_s90&amp;138'!$O$15:$O$65,"",0),_xlfn.XLOOKUP(C83,'calc_s90&amp;138'!$C$15:$C$65,'calc_s90&amp;138'!$Q$15:$Q$65,"",0))</f>
        <v/>
      </c>
      <c r="E83" s="16" t="str" cm="1">
        <f t="array" ref="E83">IF(C83&lt;&gt;"", _xlfn.XLOOKUP(1,((SKUs!$A$2:$A$10001=cl_unmerged!B83) * (LEFT(SKUs!$J$2:$J$10001, LEN("Frame"))="Frame")), SKUs!$J$2:$J$10001,""),"") &amp; _xlfn.IFS(I83="Height", ", H",I83="Height SLI", ", H SLI", I83="Height FIX", ", H FIX",I83="Width", ", W", I83="", "")</f>
        <v/>
      </c>
      <c r="F83" s="33" t="str" cm="1">
        <f t="array" ref="F83">_xlfn.XLOOKUP(1,((SKUs!$A$2:$A$10001=cl_unmerged!B83) * (LEFT(SKUs!$J$2:$J$10001, LEN("Frame"))="Frame") * (ISNUMBER(SEARCH(A83,SKUs!$C$2:$C$10001)))), SKUs!$C$2:$C$10001,"")</f>
        <v/>
      </c>
      <c r="G83" s="16"/>
      <c r="H83" s="16" t="str">
        <f>IF(C83&lt;&gt;"", IF(I83="Height",_xlfn.XLOOKUP(C83,'calc_s90&amp;138'!$C$15:$C$1000,'calc_s90&amp;138'!$N$15:$N$1000,"",0), _xlfn.XLOOKUP(C83,'calc_s90&amp;138'!$C$15:$C$1000,'calc_s90&amp;138'!$P$15:$P$1000,"",0)),"")</f>
        <v/>
      </c>
      <c r="I83" s="16" t="str">
        <f t="shared" si="1"/>
        <v/>
      </c>
    </row>
    <row r="84" spans="1:9" x14ac:dyDescent="0.25">
      <c r="A84" s="41" t="str">
        <f>_xlfn.XLOOKUP(G84,dd_color!$A$2:$A$8,dd_color!$B$2:$B$8,"",0)</f>
        <v/>
      </c>
      <c r="B84" s="41">
        <f>_xlfn.XLOOKUP(_xlfn.XLOOKUP(C84,'Project Details'!$C$17:$C$10003,'Project Details'!$E$17:$E$10003, "",0),dd_design_raw!$A$2:$A$9997,dd_design_raw!$C$2:$C$9997,"",0)</f>
        <v>0</v>
      </c>
      <c r="C84" s="16"/>
      <c r="D84" s="16" t="str">
        <f>IF(I84="Height",_xlfn.XLOOKUP(C84,'calc_s90&amp;138'!$C$15:$C$65,'calc_s90&amp;138'!$O$15:$O$65,"",0),_xlfn.XLOOKUP(C84,'calc_s90&amp;138'!$C$15:$C$65,'calc_s90&amp;138'!$Q$15:$Q$65,"",0))</f>
        <v/>
      </c>
      <c r="E84" s="16" t="str" cm="1">
        <f t="array" ref="E84">IF(C84&lt;&gt;"", _xlfn.XLOOKUP(1,((SKUs!$A$2:$A$10001=cl_unmerged!B84) * (LEFT(SKUs!$J$2:$J$10001, LEN("Frame"))="Frame")), SKUs!$J$2:$J$10001,""),"") &amp; _xlfn.IFS(I84="Height", ", H",I84="Height SLI", ", H SLI", I84="Height FIX", ", H FIX",I84="Width", ", W", I84="", "")</f>
        <v/>
      </c>
      <c r="F84" s="33" t="str" cm="1">
        <f t="array" ref="F84">_xlfn.XLOOKUP(1,((SKUs!$A$2:$A$10001=cl_unmerged!B84) * (LEFT(SKUs!$J$2:$J$10001, LEN("Frame"))="Frame") * (ISNUMBER(SEARCH(A84,SKUs!$C$2:$C$10001)))), SKUs!$C$2:$C$10001,"")</f>
        <v/>
      </c>
      <c r="G84" s="16"/>
      <c r="H84" s="16" t="str">
        <f>IF(C84&lt;&gt;"", IF(I84="Height",_xlfn.XLOOKUP(C84,'calc_s90&amp;138'!$C$15:$C$1000,'calc_s90&amp;138'!$N$15:$N$1000,"",0), _xlfn.XLOOKUP(C84,'calc_s90&amp;138'!$C$15:$C$1000,'calc_s90&amp;138'!$P$15:$P$1000,"",0)),"")</f>
        <v/>
      </c>
      <c r="I84" s="16" t="str">
        <f t="shared" si="1"/>
        <v/>
      </c>
    </row>
    <row r="85" spans="1:9" x14ac:dyDescent="0.25">
      <c r="A85" s="41" t="str">
        <f>_xlfn.XLOOKUP(G85,dd_color!$A$2:$A$8,dd_color!$B$2:$B$8,"",0)</f>
        <v/>
      </c>
      <c r="B85" s="41">
        <f>_xlfn.XLOOKUP(_xlfn.XLOOKUP(C85,'Project Details'!$C$17:$C$10003,'Project Details'!$E$17:$E$10003, "",0),dd_design_raw!$A$2:$A$9997,dd_design_raw!$C$2:$C$9997,"",0)</f>
        <v>0</v>
      </c>
      <c r="C85" s="16"/>
      <c r="D85" s="16" t="str">
        <f>IF(I85="Height",_xlfn.XLOOKUP(C85,'calc_s90&amp;138'!$C$15:$C$65,'calc_s90&amp;138'!$O$15:$O$65,"",0),_xlfn.XLOOKUP(C85,'calc_s90&amp;138'!$C$15:$C$65,'calc_s90&amp;138'!$Q$15:$Q$65,"",0))</f>
        <v/>
      </c>
      <c r="E85" s="16" t="str" cm="1">
        <f t="array" ref="E85">IF(C85&lt;&gt;"", _xlfn.XLOOKUP(1,((SKUs!$A$2:$A$10001=cl_unmerged!B85) * (LEFT(SKUs!$J$2:$J$10001, LEN("Frame"))="Frame")), SKUs!$J$2:$J$10001,""),"") &amp; _xlfn.IFS(I85="Height", ", H",I85="Height SLI", ", H SLI", I85="Height FIX", ", H FIX",I85="Width", ", W", I85="", "")</f>
        <v/>
      </c>
      <c r="F85" s="33" t="str" cm="1">
        <f t="array" ref="F85">_xlfn.XLOOKUP(1,((SKUs!$A$2:$A$10001=cl_unmerged!B85) * (LEFT(SKUs!$J$2:$J$10001, LEN("Frame"))="Frame") * (ISNUMBER(SEARCH(A85,SKUs!$C$2:$C$10001)))), SKUs!$C$2:$C$10001,"")</f>
        <v/>
      </c>
      <c r="G85" s="16"/>
      <c r="H85" s="16" t="str">
        <f>IF(C85&lt;&gt;"", IF(I85="Height",_xlfn.XLOOKUP(C85,'calc_s90&amp;138'!$C$15:$C$1000,'calc_s90&amp;138'!$N$15:$N$1000,"",0), _xlfn.XLOOKUP(C85,'calc_s90&amp;138'!$C$15:$C$1000,'calc_s90&amp;138'!$P$15:$P$1000,"",0)),"")</f>
        <v/>
      </c>
      <c r="I85" s="16" t="str">
        <f t="shared" si="1"/>
        <v/>
      </c>
    </row>
    <row r="86" spans="1:9" x14ac:dyDescent="0.25">
      <c r="A86" s="41" t="str">
        <f>_xlfn.XLOOKUP(G86,dd_color!$A$2:$A$8,dd_color!$B$2:$B$8,"",0)</f>
        <v/>
      </c>
      <c r="B86" s="41">
        <f>_xlfn.XLOOKUP(_xlfn.XLOOKUP(C86,'Project Details'!$C$17:$C$10003,'Project Details'!$E$17:$E$10003, "",0),dd_design_raw!$A$2:$A$9997,dd_design_raw!$C$2:$C$9997,"",0)</f>
        <v>0</v>
      </c>
      <c r="C86" s="16"/>
      <c r="D86" s="16" t="str">
        <f>IF(I86="Height",_xlfn.XLOOKUP(C86,'calc_s90&amp;138'!$C$15:$C$65,'calc_s90&amp;138'!$O$15:$O$65,"",0),_xlfn.XLOOKUP(C86,'calc_s90&amp;138'!$C$15:$C$65,'calc_s90&amp;138'!$Q$15:$Q$65,"",0))</f>
        <v/>
      </c>
      <c r="E86" s="16" t="str" cm="1">
        <f t="array" ref="E86">IF(C86&lt;&gt;"", _xlfn.XLOOKUP(1,((SKUs!$A$2:$A$10001=cl_unmerged!B86) * (LEFT(SKUs!$J$2:$J$10001, LEN("Frame"))="Frame")), SKUs!$J$2:$J$10001,""),"") &amp; _xlfn.IFS(I86="Height", ", H",I86="Height SLI", ", H SLI", I86="Height FIX", ", H FIX",I86="Width", ", W", I86="", "")</f>
        <v/>
      </c>
      <c r="F86" s="33" t="str" cm="1">
        <f t="array" ref="F86">_xlfn.XLOOKUP(1,((SKUs!$A$2:$A$10001=cl_unmerged!B86) * (LEFT(SKUs!$J$2:$J$10001, LEN("Frame"))="Frame") * (ISNUMBER(SEARCH(A86,SKUs!$C$2:$C$10001)))), SKUs!$C$2:$C$10001,"")</f>
        <v/>
      </c>
      <c r="G86" s="16"/>
      <c r="H86" s="16" t="str">
        <f>IF(C86&lt;&gt;"", IF(I86="Height",_xlfn.XLOOKUP(C86,'calc_s90&amp;138'!$C$15:$C$1000,'calc_s90&amp;138'!$N$15:$N$1000,"",0), _xlfn.XLOOKUP(C86,'calc_s90&amp;138'!$C$15:$C$1000,'calc_s90&amp;138'!$P$15:$P$1000,"",0)),"")</f>
        <v/>
      </c>
      <c r="I86" s="16" t="str">
        <f t="shared" si="1"/>
        <v/>
      </c>
    </row>
    <row r="87" spans="1:9" ht="13.5" customHeight="1" x14ac:dyDescent="0.25">
      <c r="A87" s="41" t="str">
        <f>_xlfn.XLOOKUP(G87,dd_color!$A$2:$A$8,dd_color!$B$2:$B$8,"",0)</f>
        <v/>
      </c>
      <c r="B87" s="41">
        <f>_xlfn.XLOOKUP(_xlfn.XLOOKUP(C87,'Project Details'!$C$17:$C$10003,'Project Details'!$E$17:$E$10003, "",0),dd_design_raw!$A$2:$A$9997,dd_design_raw!$C$2:$C$9997,"",0)</f>
        <v>0</v>
      </c>
      <c r="C87" s="16"/>
      <c r="D87" s="16" t="str">
        <f>IF(I87="Height",_xlfn.XLOOKUP(C87,'calc_s90&amp;138'!$C$15:$C$65,'calc_s90&amp;138'!$O$15:$O$65,"",0),_xlfn.XLOOKUP(C87,'calc_s90&amp;138'!$C$15:$C$65,'calc_s90&amp;138'!$Q$15:$Q$65,"",0))</f>
        <v/>
      </c>
      <c r="E87" s="16" t="str" cm="1">
        <f t="array" ref="E87">IF(C87&lt;&gt;"", _xlfn.XLOOKUP(1,((SKUs!$A$2:$A$10001=cl_unmerged!B87) * (LEFT(SKUs!$J$2:$J$10001, LEN("Frame"))="Frame")), SKUs!$J$2:$J$10001,""),"") &amp; _xlfn.IFS(I87="Height", ", H",I87="Height SLI", ", H SLI", I87="Height FIX", ", H FIX",I87="Width", ", W", I87="", "")</f>
        <v/>
      </c>
      <c r="F87" s="33" t="str" cm="1">
        <f t="array" ref="F87">_xlfn.XLOOKUP(1,((SKUs!$A$2:$A$10001=cl_unmerged!B87) * (LEFT(SKUs!$J$2:$J$10001, LEN("Frame"))="Frame") * (ISNUMBER(SEARCH(A87,SKUs!$C$2:$C$10001)))), SKUs!$C$2:$C$10001,"")</f>
        <v/>
      </c>
      <c r="G87" s="16"/>
      <c r="H87" s="16" t="str">
        <f>IF(C87&lt;&gt;"", IF(I87="Height",_xlfn.XLOOKUP(C87,'calc_s90&amp;138'!$C$15:$C$1000,'calc_s90&amp;138'!$N$15:$N$1000,"",0), _xlfn.XLOOKUP(C87,'calc_s90&amp;138'!$C$15:$C$1000,'calc_s90&amp;138'!$P$15:$P$1000,"",0)),"")</f>
        <v/>
      </c>
      <c r="I87" s="16" t="str">
        <f t="shared" si="1"/>
        <v/>
      </c>
    </row>
    <row r="88" spans="1:9" ht="13.5" customHeight="1" x14ac:dyDescent="0.25">
      <c r="A88" s="41" t="str">
        <f>_xlfn.XLOOKUP(G88,dd_color!$A$2:$A$8,dd_color!$B$2:$B$8,"",0)</f>
        <v/>
      </c>
      <c r="B88" s="41">
        <f>_xlfn.XLOOKUP(_xlfn.XLOOKUP(C88,'Project Details'!$C$17:$C$10003,'Project Details'!$E$17:$E$10003, "",0),dd_design_raw!$A$2:$A$9997,dd_design_raw!$C$2:$C$9997,"",0)</f>
        <v>0</v>
      </c>
      <c r="C88" s="16"/>
      <c r="D88" s="16" t="str">
        <f>IF(I88="Height",_xlfn.XLOOKUP(C88,'calc_s90&amp;138'!$C$15:$C$65,'calc_s90&amp;138'!$O$15:$O$65,"",0),_xlfn.XLOOKUP(C88,'calc_s90&amp;138'!$C$15:$C$65,'calc_s90&amp;138'!$Q$15:$Q$65,"",0))</f>
        <v/>
      </c>
      <c r="E88" s="16" t="str" cm="1">
        <f t="array" ref="E88">IF(C88&lt;&gt;"", _xlfn.XLOOKUP(1,((SKUs!$A$2:$A$10001=cl_unmerged!B88) * (LEFT(SKUs!$J$2:$J$10001, LEN("Frame"))="Frame")), SKUs!$J$2:$J$10001,""),"") &amp; _xlfn.IFS(I88="Height", ", H",I88="Height SLI", ", H SLI", I88="Height FIX", ", H FIX",I88="Width", ", W", I88="", "")</f>
        <v/>
      </c>
      <c r="F88" s="33" t="str" cm="1">
        <f t="array" ref="F88">_xlfn.XLOOKUP(1,((SKUs!$A$2:$A$10001=cl_unmerged!B88) * (LEFT(SKUs!$J$2:$J$10001, LEN("Frame"))="Frame") * (ISNUMBER(SEARCH(A88,SKUs!$C$2:$C$10001)))), SKUs!$C$2:$C$10001,"")</f>
        <v/>
      </c>
      <c r="G88" s="16"/>
      <c r="H88" s="16" t="str">
        <f>IF(C88&lt;&gt;"", IF(I88="Height",_xlfn.XLOOKUP(C88,'calc_s90&amp;138'!$C$15:$C$1000,'calc_s90&amp;138'!$N$15:$N$1000,"",0), _xlfn.XLOOKUP(C88,'calc_s90&amp;138'!$C$15:$C$1000,'calc_s90&amp;138'!$P$15:$P$1000,"",0)),"")</f>
        <v/>
      </c>
      <c r="I88" s="16" t="str">
        <f t="shared" si="1"/>
        <v/>
      </c>
    </row>
    <row r="89" spans="1:9" ht="13.5" customHeight="1" x14ac:dyDescent="0.25">
      <c r="A89" s="41" t="str">
        <f>_xlfn.XLOOKUP(G89,dd_color!$A$2:$A$8,dd_color!$B$2:$B$8,"",0)</f>
        <v/>
      </c>
      <c r="B89" s="41">
        <f>_xlfn.XLOOKUP(_xlfn.XLOOKUP(C89,'Project Details'!$C$17:$C$10003,'Project Details'!$E$17:$E$10003, "",0),dd_design_raw!$A$2:$A$9997,dd_design_raw!$C$2:$C$9997,"",0)</f>
        <v>0</v>
      </c>
      <c r="C89" s="16"/>
      <c r="D89" s="16" t="str">
        <f>IF(I89="Height",_xlfn.XLOOKUP(C89,'calc_s90&amp;138'!$C$15:$C$65,'calc_s90&amp;138'!$O$15:$O$65,"",0),_xlfn.XLOOKUP(C89,'calc_s90&amp;138'!$C$15:$C$65,'calc_s90&amp;138'!$Q$15:$Q$65,"",0))</f>
        <v/>
      </c>
      <c r="E89" s="16" t="str" cm="1">
        <f t="array" ref="E89">IF(C89&lt;&gt;"", _xlfn.XLOOKUP(1,((SKUs!$A$2:$A$10001=cl_unmerged!B89) * (LEFT(SKUs!$J$2:$J$10001, LEN("Frame"))="Frame")), SKUs!$J$2:$J$10001,""),"") &amp; _xlfn.IFS(I89="Height", ", H",I89="Height SLI", ", H SLI", I89="Height FIX", ", H FIX",I89="Width", ", W", I89="", "")</f>
        <v/>
      </c>
      <c r="F89" s="33" t="str" cm="1">
        <f t="array" ref="F89">_xlfn.XLOOKUP(1,((SKUs!$A$2:$A$10001=cl_unmerged!B89) * (LEFT(SKUs!$J$2:$J$10001, LEN("Frame"))="Frame") * (ISNUMBER(SEARCH(A89,SKUs!$C$2:$C$10001)))), SKUs!$C$2:$C$10001,"")</f>
        <v/>
      </c>
      <c r="G89" s="16"/>
      <c r="H89" s="16" t="str">
        <f>IF(C89&lt;&gt;"", IF(I89="Height",_xlfn.XLOOKUP(C89,'calc_s90&amp;138'!$C$15:$C$1000,'calc_s90&amp;138'!$N$15:$N$1000,"",0), _xlfn.XLOOKUP(C89,'calc_s90&amp;138'!$C$15:$C$1000,'calc_s90&amp;138'!$P$15:$P$1000,"",0)),"")</f>
        <v/>
      </c>
      <c r="I89" s="16" t="str">
        <f t="shared" si="1"/>
        <v/>
      </c>
    </row>
    <row r="90" spans="1:9" ht="13.5" customHeight="1" x14ac:dyDescent="0.25">
      <c r="A90" s="41" t="str">
        <f>_xlfn.XLOOKUP(G90,dd_color!$A$2:$A$8,dd_color!$B$2:$B$8,"",0)</f>
        <v/>
      </c>
      <c r="B90" s="41">
        <f>_xlfn.XLOOKUP(_xlfn.XLOOKUP(C90,'Project Details'!$C$17:$C$10003,'Project Details'!$E$17:$E$10003, "",0),dd_design_raw!$A$2:$A$9997,dd_design_raw!$C$2:$C$9997,"",0)</f>
        <v>0</v>
      </c>
      <c r="C90" s="16"/>
      <c r="D90" s="16" t="str">
        <f>IF(I90="Height",_xlfn.XLOOKUP(C90,'calc_s90&amp;138'!$C$15:$C$65,'calc_s90&amp;138'!$O$15:$O$65,"",0),_xlfn.XLOOKUP(C90,'calc_s90&amp;138'!$C$15:$C$65,'calc_s90&amp;138'!$Q$15:$Q$65,"",0))</f>
        <v/>
      </c>
      <c r="E90" s="16" t="str" cm="1">
        <f t="array" ref="E90">IF(C90&lt;&gt;"", _xlfn.XLOOKUP(1,((SKUs!$A$2:$A$10001=cl_unmerged!B90) * (LEFT(SKUs!$J$2:$J$10001, LEN("Frame"))="Frame")), SKUs!$J$2:$J$10001,""),"") &amp; _xlfn.IFS(I90="Height", ", H",I90="Height SLI", ", H SLI", I90="Height FIX", ", H FIX",I90="Width", ", W", I90="", "")</f>
        <v/>
      </c>
      <c r="F90" s="33" t="str" cm="1">
        <f t="array" ref="F90">_xlfn.XLOOKUP(1,((SKUs!$A$2:$A$10001=cl_unmerged!B90) * (LEFT(SKUs!$J$2:$J$10001, LEN("Frame"))="Frame") * (ISNUMBER(SEARCH(A90,SKUs!$C$2:$C$10001)))), SKUs!$C$2:$C$10001,"")</f>
        <v/>
      </c>
      <c r="G90" s="16"/>
      <c r="H90" s="16" t="str">
        <f>IF(C90&lt;&gt;"", IF(I90="Height",_xlfn.XLOOKUP(C90,'calc_s90&amp;138'!$C$15:$C$1000,'calc_s90&amp;138'!$N$15:$N$1000,"",0), _xlfn.XLOOKUP(C90,'calc_s90&amp;138'!$C$15:$C$1000,'calc_s90&amp;138'!$P$15:$P$1000,"",0)),"")</f>
        <v/>
      </c>
      <c r="I90" s="16" t="str">
        <f t="shared" si="1"/>
        <v/>
      </c>
    </row>
    <row r="91" spans="1:9" ht="13.5" customHeight="1" x14ac:dyDescent="0.25">
      <c r="A91" s="41" t="str">
        <f>_xlfn.XLOOKUP(G91,dd_color!$A$2:$A$8,dd_color!$B$2:$B$8,"",0)</f>
        <v/>
      </c>
      <c r="B91" s="41">
        <f>_xlfn.XLOOKUP(_xlfn.XLOOKUP(C91,'Project Details'!$C$17:$C$10003,'Project Details'!$E$17:$E$10003, "",0),dd_design_raw!$A$2:$A$9997,dd_design_raw!$C$2:$C$9997,"",0)</f>
        <v>0</v>
      </c>
      <c r="C91" s="16"/>
      <c r="D91" s="16" t="str">
        <f>IF(I91="Height",_xlfn.XLOOKUP(C91,'calc_s90&amp;138'!$C$15:$C$65,'calc_s90&amp;138'!$O$15:$O$65,"",0),_xlfn.XLOOKUP(C91,'calc_s90&amp;138'!$C$15:$C$65,'calc_s90&amp;138'!$Q$15:$Q$65,"",0))</f>
        <v/>
      </c>
      <c r="E91" s="16" t="str" cm="1">
        <f t="array" ref="E91">IF(C91&lt;&gt;"", _xlfn.XLOOKUP(1,((SKUs!$A$2:$A$10001=cl_unmerged!B91) * (LEFT(SKUs!$J$2:$J$10001, LEN("Frame"))="Frame")), SKUs!$J$2:$J$10001,""),"") &amp; _xlfn.IFS(I91="Height", ", H",I91="Height SLI", ", H SLI", I91="Height FIX", ", H FIX",I91="Width", ", W", I91="", "")</f>
        <v/>
      </c>
      <c r="F91" s="33" t="str" cm="1">
        <f t="array" ref="F91">_xlfn.XLOOKUP(1,((SKUs!$A$2:$A$10001=cl_unmerged!B91) * (LEFT(SKUs!$J$2:$J$10001, LEN("Frame"))="Frame") * (ISNUMBER(SEARCH(A91,SKUs!$C$2:$C$10001)))), SKUs!$C$2:$C$10001,"")</f>
        <v/>
      </c>
      <c r="G91" s="16"/>
      <c r="H91" s="16" t="str">
        <f>IF(C91&lt;&gt;"", IF(I91="Height",_xlfn.XLOOKUP(C91,'calc_s90&amp;138'!$C$15:$C$1000,'calc_s90&amp;138'!$N$15:$N$1000,"",0), _xlfn.XLOOKUP(C91,'calc_s90&amp;138'!$C$15:$C$1000,'calc_s90&amp;138'!$P$15:$P$1000,"",0)),"")</f>
        <v/>
      </c>
      <c r="I91" s="16" t="str">
        <f t="shared" si="1"/>
        <v/>
      </c>
    </row>
    <row r="92" spans="1:9" ht="13.5" customHeight="1" x14ac:dyDescent="0.25">
      <c r="A92" s="41" t="str">
        <f>_xlfn.XLOOKUP(G92,dd_color!$A$2:$A$8,dd_color!$B$2:$B$8,"",0)</f>
        <v/>
      </c>
      <c r="B92" s="41">
        <f>_xlfn.XLOOKUP(_xlfn.XLOOKUP(C92,'Project Details'!$C$17:$C$10003,'Project Details'!$E$17:$E$10003, "",0),dd_design_raw!$A$2:$A$9997,dd_design_raw!$C$2:$C$9997,"",0)</f>
        <v>0</v>
      </c>
      <c r="C92" s="16"/>
      <c r="D92" s="16" t="str">
        <f>IF(I92="Height",_xlfn.XLOOKUP(C92,'calc_s90&amp;138'!$C$15:$C$65,'calc_s90&amp;138'!$O$15:$O$65,"",0),_xlfn.XLOOKUP(C92,'calc_s90&amp;138'!$C$15:$C$65,'calc_s90&amp;138'!$Q$15:$Q$65,"",0))</f>
        <v/>
      </c>
      <c r="E92" s="16" t="str" cm="1">
        <f t="array" ref="E92">IF(C92&lt;&gt;"", _xlfn.XLOOKUP(1,((SKUs!$A$2:$A$10001=cl_unmerged!B92) * (LEFT(SKUs!$J$2:$J$10001, LEN("Frame"))="Frame")), SKUs!$J$2:$J$10001,""),"") &amp; _xlfn.IFS(I92="Height", ", H",I92="Height SLI", ", H SLI", I92="Height FIX", ", H FIX",I92="Width", ", W", I92="", "")</f>
        <v/>
      </c>
      <c r="F92" s="33" t="str" cm="1">
        <f t="array" ref="F92">_xlfn.XLOOKUP(1,((SKUs!$A$2:$A$10001=cl_unmerged!B92) * (LEFT(SKUs!$J$2:$J$10001, LEN("Frame"))="Frame") * (ISNUMBER(SEARCH(A92,SKUs!$C$2:$C$10001)))), SKUs!$C$2:$C$10001,"")</f>
        <v/>
      </c>
      <c r="G92" s="16"/>
      <c r="H92" s="16" t="str">
        <f>IF(C92&lt;&gt;"", IF(I92="Height",_xlfn.XLOOKUP(C92,'calc_s90&amp;138'!$C$15:$C$1000,'calc_s90&amp;138'!$N$15:$N$1000,"",0), _xlfn.XLOOKUP(C92,'calc_s90&amp;138'!$C$15:$C$1000,'calc_s90&amp;138'!$P$15:$P$1000,"",0)),"")</f>
        <v/>
      </c>
      <c r="I92" s="16" t="str">
        <f t="shared" si="1"/>
        <v/>
      </c>
    </row>
    <row r="93" spans="1:9" ht="13.5" customHeight="1" x14ac:dyDescent="0.25">
      <c r="A93" s="41" t="str">
        <f>_xlfn.XLOOKUP(G93,dd_color!$A$2:$A$8,dd_color!$B$2:$B$8,"",0)</f>
        <v/>
      </c>
      <c r="B93" s="41">
        <f>_xlfn.XLOOKUP(_xlfn.XLOOKUP(C93,'Project Details'!$C$17:$C$10003,'Project Details'!$E$17:$E$10003, "",0),dd_design_raw!$A$2:$A$9997,dd_design_raw!$C$2:$C$9997,"",0)</f>
        <v>0</v>
      </c>
      <c r="C93" s="16"/>
      <c r="D93" s="16" t="str">
        <f>IF(I93="Height",_xlfn.XLOOKUP(C93,'calc_s90&amp;138'!$C$15:$C$65,'calc_s90&amp;138'!$O$15:$O$65,"",0),_xlfn.XLOOKUP(C93,'calc_s90&amp;138'!$C$15:$C$65,'calc_s90&amp;138'!$Q$15:$Q$65,"",0))</f>
        <v/>
      </c>
      <c r="E93" s="16" t="str" cm="1">
        <f t="array" ref="E93">IF(C93&lt;&gt;"", _xlfn.XLOOKUP(1,((SKUs!$A$2:$A$10001=cl_unmerged!B93) * (LEFT(SKUs!$J$2:$J$10001, LEN("Frame"))="Frame")), SKUs!$J$2:$J$10001,""),"") &amp; _xlfn.IFS(I93="Height", ", H",I93="Height SLI", ", H SLI", I93="Height FIX", ", H FIX",I93="Width", ", W", I93="", "")</f>
        <v/>
      </c>
      <c r="F93" s="33" t="str" cm="1">
        <f t="array" ref="F93">_xlfn.XLOOKUP(1,((SKUs!$A$2:$A$10001=cl_unmerged!B93) * (LEFT(SKUs!$J$2:$J$10001, LEN("Frame"))="Frame") * (ISNUMBER(SEARCH(A93,SKUs!$C$2:$C$10001)))), SKUs!$C$2:$C$10001,"")</f>
        <v/>
      </c>
      <c r="G93" s="16"/>
      <c r="H93" s="16" t="str">
        <f>IF(C93&lt;&gt;"", IF(I93="Height",_xlfn.XLOOKUP(C93,'calc_s90&amp;138'!$C$15:$C$1000,'calc_s90&amp;138'!$N$15:$N$1000,"",0), _xlfn.XLOOKUP(C93,'calc_s90&amp;138'!$C$15:$C$1000,'calc_s90&amp;138'!$P$15:$P$1000,"",0)),"")</f>
        <v/>
      </c>
      <c r="I93" s="16" t="str">
        <f t="shared" si="1"/>
        <v/>
      </c>
    </row>
    <row r="94" spans="1:9" ht="13.5" customHeight="1" x14ac:dyDescent="0.25">
      <c r="A94" s="41" t="str">
        <f>_xlfn.XLOOKUP(G94,dd_color!$A$2:$A$8,dd_color!$B$2:$B$8,"",0)</f>
        <v/>
      </c>
      <c r="B94" s="41">
        <f>_xlfn.XLOOKUP(_xlfn.XLOOKUP(C94,'Project Details'!$C$17:$C$10003,'Project Details'!$E$17:$E$10003, "",0),dd_design_raw!$A$2:$A$9997,dd_design_raw!$C$2:$C$9997,"",0)</f>
        <v>0</v>
      </c>
      <c r="C94" s="16"/>
      <c r="D94" s="16" t="str">
        <f>IF(I94="Height",_xlfn.XLOOKUP(C94,'calc_s90&amp;138'!$C$15:$C$65,'calc_s90&amp;138'!$O$15:$O$65,"",0),_xlfn.XLOOKUP(C94,'calc_s90&amp;138'!$C$15:$C$65,'calc_s90&amp;138'!$Q$15:$Q$65,"",0))</f>
        <v/>
      </c>
      <c r="E94" s="16" t="str" cm="1">
        <f t="array" ref="E94">IF(C94&lt;&gt;"", _xlfn.XLOOKUP(1,((SKUs!$A$2:$A$10001=cl_unmerged!B94) * (LEFT(SKUs!$J$2:$J$10001, LEN("Frame"))="Frame")), SKUs!$J$2:$J$10001,""),"") &amp; _xlfn.IFS(I94="Height", ", H",I94="Height SLI", ", H SLI", I94="Height FIX", ", H FIX",I94="Width", ", W", I94="", "")</f>
        <v/>
      </c>
      <c r="F94" s="33" t="str" cm="1">
        <f t="array" ref="F94">_xlfn.XLOOKUP(1,((SKUs!$A$2:$A$10001=cl_unmerged!B94) * (LEFT(SKUs!$J$2:$J$10001, LEN("Frame"))="Frame") * (ISNUMBER(SEARCH(A94,SKUs!$C$2:$C$10001)))), SKUs!$C$2:$C$10001,"")</f>
        <v/>
      </c>
      <c r="G94" s="16"/>
      <c r="H94" s="16" t="str">
        <f>IF(C94&lt;&gt;"", IF(I94="Height",_xlfn.XLOOKUP(C94,'calc_s90&amp;138'!$C$15:$C$1000,'calc_s90&amp;138'!$N$15:$N$1000,"",0), _xlfn.XLOOKUP(C94,'calc_s90&amp;138'!$C$15:$C$1000,'calc_s90&amp;138'!$P$15:$P$1000,"",0)),"")</f>
        <v/>
      </c>
      <c r="I94" s="16" t="str">
        <f t="shared" si="1"/>
        <v/>
      </c>
    </row>
    <row r="95" spans="1:9" ht="13.5" customHeight="1" x14ac:dyDescent="0.25">
      <c r="A95" s="41" t="str">
        <f>_xlfn.XLOOKUP(G95,dd_color!$A$2:$A$8,dd_color!$B$2:$B$8,"",0)</f>
        <v/>
      </c>
      <c r="B95" s="41">
        <f>_xlfn.XLOOKUP(_xlfn.XLOOKUP(C95,'Project Details'!$C$17:$C$10003,'Project Details'!$E$17:$E$10003, "",0),dd_design_raw!$A$2:$A$9997,dd_design_raw!$C$2:$C$9997,"",0)</f>
        <v>0</v>
      </c>
      <c r="C95" s="16"/>
      <c r="D95" s="16" t="str">
        <f>IF(I95="Height",_xlfn.XLOOKUP(C95,'calc_s90&amp;138'!$C$15:$C$65,'calc_s90&amp;138'!$O$15:$O$65,"",0),_xlfn.XLOOKUP(C95,'calc_s90&amp;138'!$C$15:$C$65,'calc_s90&amp;138'!$Q$15:$Q$65,"",0))</f>
        <v/>
      </c>
      <c r="E95" s="16" t="str" cm="1">
        <f t="array" ref="E95">IF(C95&lt;&gt;"", _xlfn.XLOOKUP(1,((SKUs!$A$2:$A$10001=cl_unmerged!B95) * (LEFT(SKUs!$J$2:$J$10001, LEN("Frame"))="Frame")), SKUs!$J$2:$J$10001,""),"") &amp; _xlfn.IFS(I95="Height", ", H",I95="Height SLI", ", H SLI", I95="Height FIX", ", H FIX",I95="Width", ", W", I95="", "")</f>
        <v/>
      </c>
      <c r="F95" s="33" t="str" cm="1">
        <f t="array" ref="F95">_xlfn.XLOOKUP(1,((SKUs!$A$2:$A$10001=cl_unmerged!B95) * (LEFT(SKUs!$J$2:$J$10001, LEN("Frame"))="Frame") * (ISNUMBER(SEARCH(A95,SKUs!$C$2:$C$10001)))), SKUs!$C$2:$C$10001,"")</f>
        <v/>
      </c>
      <c r="G95" s="16"/>
      <c r="H95" s="16" t="str">
        <f>IF(C95&lt;&gt;"", IF(I95="Height",_xlfn.XLOOKUP(C95,'calc_s90&amp;138'!$C$15:$C$1000,'calc_s90&amp;138'!$N$15:$N$1000,"",0), _xlfn.XLOOKUP(C95,'calc_s90&amp;138'!$C$15:$C$1000,'calc_s90&amp;138'!$P$15:$P$1000,"",0)),"")</f>
        <v/>
      </c>
      <c r="I95" s="16" t="str">
        <f t="shared" si="1"/>
        <v/>
      </c>
    </row>
    <row r="96" spans="1:9" ht="13.5" customHeight="1" x14ac:dyDescent="0.25">
      <c r="A96" s="41" t="str">
        <f>_xlfn.XLOOKUP(G96,dd_color!$A$2:$A$8,dd_color!$B$2:$B$8,"",0)</f>
        <v/>
      </c>
      <c r="B96" s="41">
        <f>_xlfn.XLOOKUP(_xlfn.XLOOKUP(C96,'Project Details'!$C$17:$C$10003,'Project Details'!$E$17:$E$10003, "",0),dd_design_raw!$A$2:$A$9997,dd_design_raw!$C$2:$C$9997,"",0)</f>
        <v>0</v>
      </c>
      <c r="C96" s="16"/>
      <c r="D96" s="16" t="str">
        <f>IF(I96="Height",_xlfn.XLOOKUP(C96,'calc_s90&amp;138'!$C$15:$C$65,'calc_s90&amp;138'!$O$15:$O$65,"",0),_xlfn.XLOOKUP(C96,'calc_s90&amp;138'!$C$15:$C$65,'calc_s90&amp;138'!$Q$15:$Q$65,"",0))</f>
        <v/>
      </c>
      <c r="E96" s="16" t="str" cm="1">
        <f t="array" ref="E96">IF(C96&lt;&gt;"", _xlfn.XLOOKUP(1,((SKUs!$A$2:$A$10001=cl_unmerged!B96) * (LEFT(SKUs!$J$2:$J$10001, LEN("Frame"))="Frame")), SKUs!$J$2:$J$10001,""),"") &amp; _xlfn.IFS(I96="Height", ", H",I96="Height SLI", ", H SLI", I96="Height FIX", ", H FIX",I96="Width", ", W", I96="", "")</f>
        <v/>
      </c>
      <c r="F96" s="33" t="str" cm="1">
        <f t="array" ref="F96">_xlfn.XLOOKUP(1,((SKUs!$A$2:$A$10001=cl_unmerged!B96) * (LEFT(SKUs!$J$2:$J$10001, LEN("Frame"))="Frame") * (ISNUMBER(SEARCH(A96,SKUs!$C$2:$C$10001)))), SKUs!$C$2:$C$10001,"")</f>
        <v/>
      </c>
      <c r="G96" s="16"/>
      <c r="H96" s="16" t="str">
        <f>IF(C96&lt;&gt;"", IF(I96="Height",_xlfn.XLOOKUP(C96,'calc_s90&amp;138'!$C$15:$C$1000,'calc_s90&amp;138'!$N$15:$N$1000,"",0), _xlfn.XLOOKUP(C96,'calc_s90&amp;138'!$C$15:$C$1000,'calc_s90&amp;138'!$P$15:$P$1000,"",0)),"")</f>
        <v/>
      </c>
      <c r="I96" s="16" t="str">
        <f t="shared" si="1"/>
        <v/>
      </c>
    </row>
    <row r="97" spans="1:9" ht="13.5" customHeight="1" x14ac:dyDescent="0.25">
      <c r="A97" s="41" t="str">
        <f>_xlfn.XLOOKUP(G97,dd_color!$A$2:$A$8,dd_color!$B$2:$B$8,"",0)</f>
        <v/>
      </c>
      <c r="B97" s="41">
        <f>_xlfn.XLOOKUP(_xlfn.XLOOKUP(C97,'Project Details'!$C$17:$C$10003,'Project Details'!$E$17:$E$10003, "",0),dd_design_raw!$A$2:$A$9997,dd_design_raw!$C$2:$C$9997,"",0)</f>
        <v>0</v>
      </c>
      <c r="C97" s="16"/>
      <c r="D97" s="16" t="str">
        <f>IF(I97="Height",_xlfn.XLOOKUP(C97,'calc_s90&amp;138'!$C$15:$C$65,'calc_s90&amp;138'!$O$15:$O$65,"",0),_xlfn.XLOOKUP(C97,'calc_s90&amp;138'!$C$15:$C$65,'calc_s90&amp;138'!$Q$15:$Q$65,"",0))</f>
        <v/>
      </c>
      <c r="E97" s="16" t="str" cm="1">
        <f t="array" ref="E97">IF(C97&lt;&gt;"", _xlfn.XLOOKUP(1,((SKUs!$A$2:$A$10001=cl_unmerged!B97) * (LEFT(SKUs!$J$2:$J$10001, LEN("Frame"))="Frame")), SKUs!$J$2:$J$10001,""),"") &amp; _xlfn.IFS(I97="Height", ", H",I97="Height SLI", ", H SLI", I97="Height FIX", ", H FIX",I97="Width", ", W", I97="", "")</f>
        <v/>
      </c>
      <c r="F97" s="33" t="str" cm="1">
        <f t="array" ref="F97">_xlfn.XLOOKUP(1,((SKUs!$A$2:$A$10001=cl_unmerged!B97) * (LEFT(SKUs!$J$2:$J$10001, LEN("Frame"))="Frame") * (ISNUMBER(SEARCH(A97,SKUs!$C$2:$C$10001)))), SKUs!$C$2:$C$10001,"")</f>
        <v/>
      </c>
      <c r="G97" s="16"/>
      <c r="H97" s="16" t="str">
        <f>IF(C97&lt;&gt;"", IF(I97="Height",_xlfn.XLOOKUP(C97,'calc_s90&amp;138'!$C$15:$C$1000,'calc_s90&amp;138'!$N$15:$N$1000,"",0), _xlfn.XLOOKUP(C97,'calc_s90&amp;138'!$C$15:$C$1000,'calc_s90&amp;138'!$P$15:$P$1000,"",0)),"")</f>
        <v/>
      </c>
      <c r="I97" s="16" t="str">
        <f t="shared" si="1"/>
        <v/>
      </c>
    </row>
    <row r="98" spans="1:9" ht="13.5" customHeight="1" x14ac:dyDescent="0.25">
      <c r="A98" s="41" t="str">
        <f>_xlfn.XLOOKUP(G98,dd_color!$A$2:$A$8,dd_color!$B$2:$B$8,"",0)</f>
        <v/>
      </c>
      <c r="B98" s="41">
        <f>_xlfn.XLOOKUP(_xlfn.XLOOKUP(C98,'Project Details'!$C$17:$C$10003,'Project Details'!$E$17:$E$10003, "",0),dd_design_raw!$A$2:$A$9997,dd_design_raw!$C$2:$C$9997,"",0)</f>
        <v>0</v>
      </c>
      <c r="C98" s="16"/>
      <c r="D98" s="16" t="str">
        <f>IF(I98="Height",_xlfn.XLOOKUP(C98,'calc_s90&amp;138'!$C$15:$C$65,'calc_s90&amp;138'!$O$15:$O$65,"",0),_xlfn.XLOOKUP(C98,'calc_s90&amp;138'!$C$15:$C$65,'calc_s90&amp;138'!$Q$15:$Q$65,"",0))</f>
        <v/>
      </c>
      <c r="E98" s="16" t="str" cm="1">
        <f t="array" ref="E98">IF(C98&lt;&gt;"", _xlfn.XLOOKUP(1,((SKUs!$A$2:$A$10001=cl_unmerged!B98) * (LEFT(SKUs!$J$2:$J$10001, LEN("Frame"))="Frame")), SKUs!$J$2:$J$10001,""),"") &amp; _xlfn.IFS(I98="Height", ", H",I98="Height SLI", ", H SLI", I98="Height FIX", ", H FIX",I98="Width", ", W", I98="", "")</f>
        <v/>
      </c>
      <c r="F98" s="33" t="str" cm="1">
        <f t="array" ref="F98">_xlfn.XLOOKUP(1,((SKUs!$A$2:$A$10001=cl_unmerged!B98) * (LEFT(SKUs!$J$2:$J$10001, LEN("Frame"))="Frame") * (ISNUMBER(SEARCH(A98,SKUs!$C$2:$C$10001)))), SKUs!$C$2:$C$10001,"")</f>
        <v/>
      </c>
      <c r="G98" s="16"/>
      <c r="H98" s="16" t="str">
        <f>IF(C98&lt;&gt;"", IF(I98="Height",_xlfn.XLOOKUP(C98,'calc_s90&amp;138'!$C$15:$C$1000,'calc_s90&amp;138'!$N$15:$N$1000,"",0), _xlfn.XLOOKUP(C98,'calc_s90&amp;138'!$C$15:$C$1000,'calc_s90&amp;138'!$P$15:$P$1000,"",0)),"")</f>
        <v/>
      </c>
      <c r="I98" s="16" t="str">
        <f t="shared" si="1"/>
        <v/>
      </c>
    </row>
    <row r="99" spans="1:9" ht="13.5" customHeight="1" x14ac:dyDescent="0.25">
      <c r="A99" s="41" t="str">
        <f>_xlfn.XLOOKUP(G99,dd_color!$A$2:$A$8,dd_color!$B$2:$B$8,"",0)</f>
        <v/>
      </c>
      <c r="B99" s="41">
        <f>_xlfn.XLOOKUP(_xlfn.XLOOKUP(C99,'Project Details'!$C$17:$C$10003,'Project Details'!$E$17:$E$10003, "",0),dd_design_raw!$A$2:$A$9997,dd_design_raw!$C$2:$C$9997,"",0)</f>
        <v>0</v>
      </c>
      <c r="C99" s="16"/>
      <c r="D99" s="16" t="str">
        <f>IF(I99="Height",_xlfn.XLOOKUP(C99,'calc_s90&amp;138'!$C$15:$C$65,'calc_s90&amp;138'!$O$15:$O$65,"",0),_xlfn.XLOOKUP(C99,'calc_s90&amp;138'!$C$15:$C$65,'calc_s90&amp;138'!$Q$15:$Q$65,"",0))</f>
        <v/>
      </c>
      <c r="E99" s="16" t="str" cm="1">
        <f t="array" ref="E99">IF(C99&lt;&gt;"", _xlfn.XLOOKUP(1,((SKUs!$A$2:$A$10001=cl_unmerged!B99) * (LEFT(SKUs!$J$2:$J$10001, LEN("Frame"))="Frame")), SKUs!$J$2:$J$10001,""),"") &amp; _xlfn.IFS(I99="Height", ", H",I99="Height SLI", ", H SLI", I99="Height FIX", ", H FIX",I99="Width", ", W", I99="", "")</f>
        <v/>
      </c>
      <c r="F99" s="33" t="str" cm="1">
        <f t="array" ref="F99">_xlfn.XLOOKUP(1,((SKUs!$A$2:$A$10001=cl_unmerged!B99) * (LEFT(SKUs!$J$2:$J$10001, LEN("Frame"))="Frame") * (ISNUMBER(SEARCH(A99,SKUs!$C$2:$C$10001)))), SKUs!$C$2:$C$10001,"")</f>
        <v/>
      </c>
      <c r="G99" s="16"/>
      <c r="H99" s="16" t="str">
        <f>IF(C99&lt;&gt;"", IF(I99="Height",_xlfn.XLOOKUP(C99,'calc_s90&amp;138'!$C$15:$C$1000,'calc_s90&amp;138'!$N$15:$N$1000,"",0), _xlfn.XLOOKUP(C99,'calc_s90&amp;138'!$C$15:$C$1000,'calc_s90&amp;138'!$P$15:$P$1000,"",0)),"")</f>
        <v/>
      </c>
      <c r="I99" s="16" t="str">
        <f t="shared" si="1"/>
        <v/>
      </c>
    </row>
    <row r="100" spans="1:9" ht="13.5" customHeight="1" x14ac:dyDescent="0.25">
      <c r="A100" s="41" t="str">
        <f>_xlfn.XLOOKUP(G100,dd_color!$A$2:$A$8,dd_color!$B$2:$B$8,"",0)</f>
        <v/>
      </c>
      <c r="B100" s="41">
        <f>_xlfn.XLOOKUP(_xlfn.XLOOKUP(C100,'Project Details'!$C$17:$C$10003,'Project Details'!$E$17:$E$10003, "",0),dd_design_raw!$A$2:$A$9997,dd_design_raw!$C$2:$C$9997,"",0)</f>
        <v>0</v>
      </c>
      <c r="C100" s="16"/>
      <c r="D100" s="16" t="str">
        <f>IF(I100="Height",_xlfn.XLOOKUP(C100,'calc_s90&amp;138'!$C$15:$C$65,'calc_s90&amp;138'!$O$15:$O$65,"",0),_xlfn.XLOOKUP(C100,'calc_s90&amp;138'!$C$15:$C$65,'calc_s90&amp;138'!$Q$15:$Q$65,"",0))</f>
        <v/>
      </c>
      <c r="E100" s="16" t="str" cm="1">
        <f t="array" ref="E100">IF(C100&lt;&gt;"", _xlfn.XLOOKUP(1,((SKUs!$A$2:$A$10001=cl_unmerged!B100) * (LEFT(SKUs!$J$2:$J$10001, LEN("Frame"))="Frame")), SKUs!$J$2:$J$10001,""),"") &amp; _xlfn.IFS(I100="Height", ", H",I100="Height SLI", ", H SLI", I100="Height FIX", ", H FIX",I100="Width", ", W", I100="", "")</f>
        <v/>
      </c>
      <c r="F100" s="33" t="str" cm="1">
        <f t="array" ref="F100">_xlfn.XLOOKUP(1,((SKUs!$A$2:$A$10001=cl_unmerged!B100) * (LEFT(SKUs!$J$2:$J$10001, LEN("Frame"))="Frame") * (ISNUMBER(SEARCH(A100,SKUs!$C$2:$C$10001)))), SKUs!$C$2:$C$10001,"")</f>
        <v/>
      </c>
      <c r="G100" s="16"/>
      <c r="H100" s="16" t="str">
        <f>IF(C100&lt;&gt;"", IF(I100="Height",_xlfn.XLOOKUP(C100,'calc_s90&amp;138'!$C$15:$C$1000,'calc_s90&amp;138'!$N$15:$N$1000,"",0), _xlfn.XLOOKUP(C100,'calc_s90&amp;138'!$C$15:$C$1000,'calc_s90&amp;138'!$P$15:$P$1000,"",0)),"")</f>
        <v/>
      </c>
      <c r="I100" s="16" t="str">
        <f t="shared" si="1"/>
        <v/>
      </c>
    </row>
    <row r="101" spans="1:9" ht="13.5" customHeight="1" x14ac:dyDescent="0.25">
      <c r="A101" s="41" t="str">
        <f>_xlfn.XLOOKUP(G101,dd_color!$A$2:$A$8,dd_color!$B$2:$B$8,"",0)</f>
        <v/>
      </c>
      <c r="B101" s="41">
        <f>_xlfn.XLOOKUP(_xlfn.XLOOKUP(C101,'Project Details'!$C$17:$C$10003,'Project Details'!$E$17:$E$10003, "",0),dd_design_raw!$A$2:$A$9997,dd_design_raw!$C$2:$C$9997,"",0)</f>
        <v>0</v>
      </c>
      <c r="C101" s="16"/>
      <c r="D101" s="16" t="str">
        <f>IF(I101="Height",_xlfn.XLOOKUP(C101,'calc_s90&amp;138'!$C$15:$C$65,'calc_s90&amp;138'!$O$15:$O$65,"",0),_xlfn.XLOOKUP(C101,'calc_s90&amp;138'!$C$15:$C$65,'calc_s90&amp;138'!$Q$15:$Q$65,"",0))</f>
        <v/>
      </c>
      <c r="E101" s="16" t="str" cm="1">
        <f t="array" ref="E101">IF(C101&lt;&gt;"", _xlfn.XLOOKUP(1,((SKUs!$A$2:$A$10001=cl_unmerged!B101) * (LEFT(SKUs!$J$2:$J$10001, LEN("Frame"))="Frame")), SKUs!$J$2:$J$10001,""),"") &amp; _xlfn.IFS(I101="Height", ", H",I101="Height SLI", ", H SLI", I101="Height FIX", ", H FIX",I101="Width", ", W", I101="", "")</f>
        <v/>
      </c>
      <c r="F101" s="33" t="str" cm="1">
        <f t="array" ref="F101">_xlfn.XLOOKUP(1,((SKUs!$A$2:$A$10001=cl_unmerged!B101) * (LEFT(SKUs!$J$2:$J$10001, LEN("Frame"))="Frame") * (ISNUMBER(SEARCH(A101,SKUs!$C$2:$C$10001)))), SKUs!$C$2:$C$10001,"")</f>
        <v/>
      </c>
      <c r="G101" s="16"/>
      <c r="H101" s="16" t="str">
        <f>IF(C101&lt;&gt;"", IF(I101="Height",_xlfn.XLOOKUP(C101,'calc_s90&amp;138'!$C$15:$C$1000,'calc_s90&amp;138'!$N$15:$N$1000,"",0), _xlfn.XLOOKUP(C101,'calc_s90&amp;138'!$C$15:$C$1000,'calc_s90&amp;138'!$P$15:$P$1000,"",0)),"")</f>
        <v/>
      </c>
      <c r="I101" s="16" t="str">
        <f t="shared" si="1"/>
        <v/>
      </c>
    </row>
    <row r="102" spans="1:9" ht="13.5" customHeight="1" x14ac:dyDescent="0.25">
      <c r="A102" s="41" t="str">
        <f>_xlfn.XLOOKUP(G102,dd_color!$A$2:$A$8,dd_color!$B$2:$B$8,"",0)</f>
        <v/>
      </c>
      <c r="B102" s="41">
        <f>_xlfn.XLOOKUP(_xlfn.XLOOKUP(C102,'Project Details'!$C$17:$C$10003,'Project Details'!$E$17:$E$10003, "",0),dd_design_raw!$A$2:$A$9997,dd_design_raw!$C$2:$C$9997,"",0)</f>
        <v>0</v>
      </c>
      <c r="C102" s="16"/>
      <c r="D102" s="16" t="str">
        <f>IF(I102="Height",_xlfn.XLOOKUP(C102,'calc_s90&amp;138'!$C$15:$C$65,'calc_s90&amp;138'!$O$15:$O$65,"",0),_xlfn.XLOOKUP(C102,'calc_s90&amp;138'!$C$15:$C$65,'calc_s90&amp;138'!$Q$15:$Q$65,"",0))</f>
        <v/>
      </c>
      <c r="E102" s="16" t="str" cm="1">
        <f t="array" ref="E102">IF(C102&lt;&gt;"", _xlfn.XLOOKUP(1,((SKUs!$A$2:$A$10001=cl_unmerged!B102) * (LEFT(SKUs!$J$2:$J$10001, LEN("Frame"))="Frame")), SKUs!$J$2:$J$10001,""),"") &amp; _xlfn.IFS(I102="Height", ", H",I102="Height SLI", ", H SLI", I102="Height FIX", ", H FIX",I102="Width", ", W", I102="", "")</f>
        <v/>
      </c>
      <c r="F102" s="33" t="str" cm="1">
        <f t="array" ref="F102">_xlfn.XLOOKUP(1,((SKUs!$A$2:$A$10001=cl_unmerged!B102) * (LEFT(SKUs!$J$2:$J$10001, LEN("Frame"))="Frame") * (ISNUMBER(SEARCH(A102,SKUs!$C$2:$C$10001)))), SKUs!$C$2:$C$10001,"")</f>
        <v/>
      </c>
      <c r="G102" s="16"/>
      <c r="H102" s="16" t="str">
        <f>IF(C102&lt;&gt;"", IF(I102="Height",_xlfn.XLOOKUP(C102,'calc_s90&amp;138'!$C$15:$C$1000,'calc_s90&amp;138'!$N$15:$N$1000,"",0), _xlfn.XLOOKUP(C102,'calc_s90&amp;138'!$C$15:$C$1000,'calc_s90&amp;138'!$P$15:$P$1000,"",0)),"")</f>
        <v/>
      </c>
      <c r="I102" s="16" t="str">
        <f t="shared" si="1"/>
        <v/>
      </c>
    </row>
    <row r="103" spans="1:9" ht="13.5" customHeight="1" x14ac:dyDescent="0.25">
      <c r="A103" s="41" t="str">
        <f>_xlfn.XLOOKUP(G103,dd_color!$A$2:$A$8,dd_color!$B$2:$B$8,"",0)</f>
        <v/>
      </c>
      <c r="B103" s="41">
        <f>_xlfn.XLOOKUP(_xlfn.XLOOKUP(C103,'Project Details'!$C$17:$C$10003,'Project Details'!$E$17:$E$10003, "",0),dd_design_raw!$A$2:$A$9997,dd_design_raw!$C$2:$C$9997,"",0)</f>
        <v>0</v>
      </c>
      <c r="C103" s="16"/>
      <c r="D103" s="16" t="str">
        <f>IF(I103="Height",_xlfn.XLOOKUP(C103,'calc_s90&amp;138'!$C$15:$C$65,'calc_s90&amp;138'!$O$15:$O$65,"",0),_xlfn.XLOOKUP(C103,'calc_s90&amp;138'!$C$15:$C$65,'calc_s90&amp;138'!$Q$15:$Q$65,"",0))</f>
        <v/>
      </c>
      <c r="E103" s="16" t="str" cm="1">
        <f t="array" ref="E103">IF(C103&lt;&gt;"", _xlfn.XLOOKUP(1,((SKUs!$A$2:$A$10001=cl_unmerged!B103) * (LEFT(SKUs!$J$2:$J$10001, LEN("Frame"))="Frame")), SKUs!$J$2:$J$10001,""),"") &amp; _xlfn.IFS(I103="Height", ", H",I103="Height SLI", ", H SLI", I103="Height FIX", ", H FIX",I103="Width", ", W", I103="", "")</f>
        <v/>
      </c>
      <c r="F103" s="33" t="str" cm="1">
        <f t="array" ref="F103">_xlfn.XLOOKUP(1,((SKUs!$A$2:$A$10001=cl_unmerged!B103) * (LEFT(SKUs!$J$2:$J$10001, LEN("Frame"))="Frame") * (ISNUMBER(SEARCH(A103,SKUs!$C$2:$C$10001)))), SKUs!$C$2:$C$10001,"")</f>
        <v/>
      </c>
      <c r="G103" s="16"/>
      <c r="H103" s="16" t="str">
        <f>IF(C103&lt;&gt;"", IF(I103="Height",_xlfn.XLOOKUP(C103,'calc_s90&amp;138'!$C$15:$C$1000,'calc_s90&amp;138'!$N$15:$N$1000,"",0), _xlfn.XLOOKUP(C103,'calc_s90&amp;138'!$C$15:$C$1000,'calc_s90&amp;138'!$P$15:$P$1000,"",0)),"")</f>
        <v/>
      </c>
      <c r="I103" s="16" t="str">
        <f t="shared" si="1"/>
        <v/>
      </c>
    </row>
    <row r="104" spans="1:9" ht="13.5" customHeight="1" x14ac:dyDescent="0.25">
      <c r="A104" s="41" t="str">
        <f>_xlfn.XLOOKUP(G104,dd_color!$A$2:$A$8,dd_color!$B$2:$B$8,"",0)</f>
        <v/>
      </c>
      <c r="B104" s="41">
        <f>_xlfn.XLOOKUP(_xlfn.XLOOKUP(C104,'Project Details'!$C$17:$C$10003,'Project Details'!$E$17:$E$10003, "",0),dd_design_raw!$A$2:$A$9997,dd_design_raw!$C$2:$C$9997,"",0)</f>
        <v>0</v>
      </c>
      <c r="C104" s="16"/>
      <c r="D104" s="16" t="str">
        <f>IF(I104="Height",_xlfn.XLOOKUP(C104,'calc_s90&amp;138'!$C$15:$C$65,'calc_s90&amp;138'!$O$15:$O$65,"",0),_xlfn.XLOOKUP(C104,'calc_s90&amp;138'!$C$15:$C$65,'calc_s90&amp;138'!$Q$15:$Q$65,"",0))</f>
        <v/>
      </c>
      <c r="E104" s="16" t="str" cm="1">
        <f t="array" ref="E104">IF(C104&lt;&gt;"", _xlfn.XLOOKUP(1,((SKUs!$A$2:$A$10001=cl_unmerged!B104) * (LEFT(SKUs!$J$2:$J$10001, LEN("Frame"))="Frame")), SKUs!$J$2:$J$10001,""),"") &amp; _xlfn.IFS(I104="Height", ", H",I104="Height SLI", ", H SLI", I104="Height FIX", ", H FIX",I104="Width", ", W", I104="", "")</f>
        <v/>
      </c>
      <c r="F104" s="33" t="str" cm="1">
        <f t="array" ref="F104">_xlfn.XLOOKUP(1,((SKUs!$A$2:$A$10001=cl_unmerged!B104) * (LEFT(SKUs!$J$2:$J$10001, LEN("Frame"))="Frame") * (ISNUMBER(SEARCH(A104,SKUs!$C$2:$C$10001)))), SKUs!$C$2:$C$10001,"")</f>
        <v/>
      </c>
      <c r="G104" s="16"/>
      <c r="H104" s="16" t="str">
        <f>IF(C104&lt;&gt;"", IF(I104="Height",_xlfn.XLOOKUP(C104,'calc_s90&amp;138'!$C$15:$C$1000,'calc_s90&amp;138'!$N$15:$N$1000,"",0), _xlfn.XLOOKUP(C104,'calc_s90&amp;138'!$C$15:$C$1000,'calc_s90&amp;138'!$P$15:$P$1000,"",0)),"")</f>
        <v/>
      </c>
      <c r="I104" s="16" t="str">
        <f t="shared" si="1"/>
        <v/>
      </c>
    </row>
    <row r="105" spans="1:9" ht="13.5" customHeight="1" x14ac:dyDescent="0.25">
      <c r="A105" s="41" t="str">
        <f>_xlfn.XLOOKUP(G105,dd_color!$A$2:$A$8,dd_color!$B$2:$B$8,"",0)</f>
        <v/>
      </c>
      <c r="B105" s="41">
        <f>_xlfn.XLOOKUP(_xlfn.XLOOKUP(C105,'Project Details'!$C$17:$C$10003,'Project Details'!$E$17:$E$10003, "",0),dd_design_raw!$A$2:$A$9997,dd_design_raw!$C$2:$C$9997,"",0)</f>
        <v>0</v>
      </c>
      <c r="C105" s="16"/>
      <c r="D105" s="16" t="str">
        <f>IF(I105="Height",_xlfn.XLOOKUP(C105,'calc_s90&amp;138'!$C$15:$C$65,'calc_s90&amp;138'!$O$15:$O$65,"",0),_xlfn.XLOOKUP(C105,'calc_s90&amp;138'!$C$15:$C$65,'calc_s90&amp;138'!$Q$15:$Q$65,"",0))</f>
        <v/>
      </c>
      <c r="E105" s="16" t="str" cm="1">
        <f t="array" ref="E105">IF(C105&lt;&gt;"", _xlfn.XLOOKUP(1,((SKUs!$A$2:$A$10001=cl_unmerged!B105) * (LEFT(SKUs!$J$2:$J$10001, LEN("Frame"))="Frame")), SKUs!$J$2:$J$10001,""),"") &amp; _xlfn.IFS(I105="Height", ", H",I105="Height SLI", ", H SLI", I105="Height FIX", ", H FIX",I105="Width", ", W", I105="", "")</f>
        <v/>
      </c>
      <c r="F105" s="33" t="str" cm="1">
        <f t="array" ref="F105">_xlfn.XLOOKUP(1,((SKUs!$A$2:$A$10001=cl_unmerged!B105) * (LEFT(SKUs!$J$2:$J$10001, LEN("Frame"))="Frame") * (ISNUMBER(SEARCH(A105,SKUs!$C$2:$C$10001)))), SKUs!$C$2:$C$10001,"")</f>
        <v/>
      </c>
      <c r="G105" s="16"/>
      <c r="H105" s="16" t="str">
        <f>IF(C105&lt;&gt;"", IF(I105="Height",_xlfn.XLOOKUP(C105,'calc_s90&amp;138'!$C$15:$C$1000,'calc_s90&amp;138'!$N$15:$N$1000,"",0), _xlfn.XLOOKUP(C105,'calc_s90&amp;138'!$C$15:$C$1000,'calc_s90&amp;138'!$P$15:$P$1000,"",0)),"")</f>
        <v/>
      </c>
      <c r="I105" s="16" t="str">
        <f t="shared" si="1"/>
        <v/>
      </c>
    </row>
    <row r="106" spans="1:9" ht="13.5" customHeight="1" x14ac:dyDescent="0.25">
      <c r="A106" s="41" t="str">
        <f>_xlfn.XLOOKUP(G106,dd_color!$A$2:$A$8,dd_color!$B$2:$B$8,"",0)</f>
        <v/>
      </c>
      <c r="B106" s="41">
        <f>_xlfn.XLOOKUP(_xlfn.XLOOKUP(C106,'Project Details'!$C$17:$C$10003,'Project Details'!$E$17:$E$10003, "",0),dd_design_raw!$A$2:$A$9997,dd_design_raw!$C$2:$C$9997,"",0)</f>
        <v>0</v>
      </c>
      <c r="C106" s="16"/>
      <c r="D106" s="16" t="str">
        <f>IF(I106="Height",_xlfn.XLOOKUP(C106,'calc_s90&amp;138'!$C$15:$C$65,'calc_s90&amp;138'!$O$15:$O$65,"",0),_xlfn.XLOOKUP(C106,'calc_s90&amp;138'!$C$15:$C$65,'calc_s90&amp;138'!$Q$15:$Q$65,"",0))</f>
        <v/>
      </c>
      <c r="E106" s="16" t="str" cm="1">
        <f t="array" ref="E106">IF(C106&lt;&gt;"", _xlfn.XLOOKUP(1,((SKUs!$A$2:$A$10001=cl_unmerged!B106) * (LEFT(SKUs!$J$2:$J$10001, LEN("Frame"))="Frame")), SKUs!$J$2:$J$10001,""),"") &amp; _xlfn.IFS(I106="Height", ", H",I106="Height SLI", ", H SLI", I106="Height FIX", ", H FIX",I106="Width", ", W", I106="", "")</f>
        <v/>
      </c>
      <c r="F106" s="33" t="str" cm="1">
        <f t="array" ref="F106">_xlfn.XLOOKUP(1,((SKUs!$A$2:$A$10001=cl_unmerged!B106) * (LEFT(SKUs!$J$2:$J$10001, LEN("Frame"))="Frame") * (ISNUMBER(SEARCH(A106,SKUs!$C$2:$C$10001)))), SKUs!$C$2:$C$10001,"")</f>
        <v/>
      </c>
      <c r="G106" s="16"/>
      <c r="H106" s="16" t="str">
        <f>IF(C106&lt;&gt;"", IF(I106="Height",_xlfn.XLOOKUP(C106,'calc_s90&amp;138'!$C$15:$C$1000,'calc_s90&amp;138'!$N$15:$N$1000,"",0), _xlfn.XLOOKUP(C106,'calc_s90&amp;138'!$C$15:$C$1000,'calc_s90&amp;138'!$P$15:$P$1000,"",0)),"")</f>
        <v/>
      </c>
      <c r="I106" s="16" t="str">
        <f t="shared" si="1"/>
        <v/>
      </c>
    </row>
    <row r="107" spans="1:9" ht="13.5" customHeight="1" x14ac:dyDescent="0.25">
      <c r="A107" s="41" t="str">
        <f>_xlfn.XLOOKUP(G107,dd_color!$A$2:$A$8,dd_color!$B$2:$B$8,"",0)</f>
        <v/>
      </c>
      <c r="B107" s="41">
        <f>_xlfn.XLOOKUP(_xlfn.XLOOKUP(C107,'Project Details'!$C$17:$C$10003,'Project Details'!$E$17:$E$10003, "",0),dd_design_raw!$A$2:$A$9997,dd_design_raw!$C$2:$C$9997,"",0)</f>
        <v>0</v>
      </c>
      <c r="C107" s="16"/>
      <c r="D107" s="16" t="str">
        <f>IF(I107="Height",_xlfn.XLOOKUP(C107,'calc_s90&amp;138'!$C$15:$C$65,'calc_s90&amp;138'!$O$15:$O$65,"",0),_xlfn.XLOOKUP(C107,'calc_s90&amp;138'!$C$15:$C$65,'calc_s90&amp;138'!$Q$15:$Q$65,"",0))</f>
        <v/>
      </c>
      <c r="E107" s="16" t="str" cm="1">
        <f t="array" ref="E107">IF(C107&lt;&gt;"", _xlfn.XLOOKUP(1,((SKUs!$A$2:$A$10001=cl_unmerged!B107) * (LEFT(SKUs!$J$2:$J$10001, LEN("Frame"))="Frame")), SKUs!$J$2:$J$10001,""),"") &amp; _xlfn.IFS(I107="Height", ", H",I107="Height SLI", ", H SLI", I107="Height FIX", ", H FIX",I107="Width", ", W", I107="", "")</f>
        <v/>
      </c>
      <c r="F107" s="33" t="str" cm="1">
        <f t="array" ref="F107">_xlfn.XLOOKUP(1,((SKUs!$A$2:$A$10001=cl_unmerged!B107) * (LEFT(SKUs!$J$2:$J$10001, LEN("Frame"))="Frame") * (ISNUMBER(SEARCH(A107,SKUs!$C$2:$C$10001)))), SKUs!$C$2:$C$10001,"")</f>
        <v/>
      </c>
      <c r="G107" s="16"/>
      <c r="H107" s="16" t="str">
        <f>IF(C107&lt;&gt;"", IF(I107="Height",_xlfn.XLOOKUP(C107,'calc_s90&amp;138'!$C$15:$C$1000,'calc_s90&amp;138'!$N$15:$N$1000,"",0), _xlfn.XLOOKUP(C107,'calc_s90&amp;138'!$C$15:$C$1000,'calc_s90&amp;138'!$P$15:$P$1000,"",0)),"")</f>
        <v/>
      </c>
      <c r="I107" s="16" t="str">
        <f t="shared" si="1"/>
        <v/>
      </c>
    </row>
    <row r="108" spans="1:9" ht="13.5" customHeight="1" x14ac:dyDescent="0.25">
      <c r="A108" s="41" t="str">
        <f>_xlfn.XLOOKUP(G108,dd_color!$A$2:$A$8,dd_color!$B$2:$B$8,"",0)</f>
        <v/>
      </c>
      <c r="B108" s="41">
        <f>_xlfn.XLOOKUP(_xlfn.XLOOKUP(C108,'Project Details'!$C$17:$C$10003,'Project Details'!$E$17:$E$10003, "",0),dd_design_raw!$A$2:$A$9997,dd_design_raw!$C$2:$C$9997,"",0)</f>
        <v>0</v>
      </c>
      <c r="C108" s="16"/>
      <c r="D108" s="16" t="str">
        <f>IF(I108="Height",_xlfn.XLOOKUP(C108,'calc_s90&amp;138'!$C$15:$C$65,'calc_s90&amp;138'!$O$15:$O$65,"",0),_xlfn.XLOOKUP(C108,'calc_s90&amp;138'!$C$15:$C$65,'calc_s90&amp;138'!$Q$15:$Q$65,"",0))</f>
        <v/>
      </c>
      <c r="E108" s="16" t="str" cm="1">
        <f t="array" ref="E108">IF(C108&lt;&gt;"", _xlfn.XLOOKUP(1,((SKUs!$A$2:$A$10001=cl_unmerged!B108) * (LEFT(SKUs!$J$2:$J$10001, LEN("Frame"))="Frame")), SKUs!$J$2:$J$10001,""),"") &amp; _xlfn.IFS(I108="Height", ", H",I108="Height SLI", ", H SLI", I108="Height FIX", ", H FIX",I108="Width", ", W", I108="", "")</f>
        <v/>
      </c>
      <c r="F108" s="33" t="str" cm="1">
        <f t="array" ref="F108">_xlfn.XLOOKUP(1,((SKUs!$A$2:$A$10001=cl_unmerged!B108) * (LEFT(SKUs!$J$2:$J$10001, LEN("Frame"))="Frame") * (ISNUMBER(SEARCH(A108,SKUs!$C$2:$C$10001)))), SKUs!$C$2:$C$10001,"")</f>
        <v/>
      </c>
      <c r="G108" s="16"/>
      <c r="H108" s="16" t="str">
        <f>IF(C108&lt;&gt;"", IF(I108="Height",_xlfn.XLOOKUP(C108,'calc_s90&amp;138'!$C$15:$C$1000,'calc_s90&amp;138'!$N$15:$N$1000,"",0), _xlfn.XLOOKUP(C108,'calc_s90&amp;138'!$C$15:$C$1000,'calc_s90&amp;138'!$P$15:$P$1000,"",0)),"")</f>
        <v/>
      </c>
      <c r="I108" s="16" t="str">
        <f t="shared" si="1"/>
        <v/>
      </c>
    </row>
    <row r="109" spans="1:9" ht="13.5" customHeight="1" x14ac:dyDescent="0.25">
      <c r="A109" s="41" t="str">
        <f>_xlfn.XLOOKUP(G109,dd_color!$A$2:$A$8,dd_color!$B$2:$B$8,"",0)</f>
        <v/>
      </c>
      <c r="B109" s="41">
        <f>_xlfn.XLOOKUP(_xlfn.XLOOKUP(C109,'Project Details'!$C$17:$C$10003,'Project Details'!$E$17:$E$10003, "",0),dd_design_raw!$A$2:$A$9997,dd_design_raw!$C$2:$C$9997,"",0)</f>
        <v>0</v>
      </c>
      <c r="C109" s="16"/>
      <c r="D109" s="16" t="str">
        <f>IF(I109="Height",_xlfn.XLOOKUP(C109,'calc_s90&amp;138'!$C$15:$C$65,'calc_s90&amp;138'!$O$15:$O$65,"",0),_xlfn.XLOOKUP(C109,'calc_s90&amp;138'!$C$15:$C$65,'calc_s90&amp;138'!$Q$15:$Q$65,"",0))</f>
        <v/>
      </c>
      <c r="E109" s="16" t="str" cm="1">
        <f t="array" ref="E109">IF(C109&lt;&gt;"", _xlfn.XLOOKUP(1,((SKUs!$A$2:$A$10001=cl_unmerged!B109) * (LEFT(SKUs!$J$2:$J$10001, LEN("Frame"))="Frame")), SKUs!$J$2:$J$10001,""),"") &amp; _xlfn.IFS(I109="Height", ", H",I109="Height SLI", ", H SLI", I109="Height FIX", ", H FIX",I109="Width", ", W", I109="", "")</f>
        <v/>
      </c>
      <c r="F109" s="33" t="str" cm="1">
        <f t="array" ref="F109">_xlfn.XLOOKUP(1,((SKUs!$A$2:$A$10001=cl_unmerged!B109) * (LEFT(SKUs!$J$2:$J$10001, LEN("Frame"))="Frame") * (ISNUMBER(SEARCH(A109,SKUs!$C$2:$C$10001)))), SKUs!$C$2:$C$10001,"")</f>
        <v/>
      </c>
      <c r="G109" s="16"/>
      <c r="H109" s="16" t="str">
        <f>IF(C109&lt;&gt;"", IF(I109="Height",_xlfn.XLOOKUP(C109,'calc_s90&amp;138'!$C$15:$C$1000,'calc_s90&amp;138'!$N$15:$N$1000,"",0), _xlfn.XLOOKUP(C109,'calc_s90&amp;138'!$C$15:$C$1000,'calc_s90&amp;138'!$P$15:$P$1000,"",0)),"")</f>
        <v/>
      </c>
      <c r="I109" s="16" t="str">
        <f t="shared" si="1"/>
        <v/>
      </c>
    </row>
    <row r="110" spans="1:9" ht="13.5" customHeight="1" x14ac:dyDescent="0.25">
      <c r="A110" s="41" t="str">
        <f>_xlfn.XLOOKUP(G110,dd_color!$A$2:$A$8,dd_color!$B$2:$B$8,"",0)</f>
        <v/>
      </c>
      <c r="B110" s="41">
        <f>_xlfn.XLOOKUP(_xlfn.XLOOKUP(C110,'Project Details'!$C$17:$C$10003,'Project Details'!$E$17:$E$10003, "",0),dd_design_raw!$A$2:$A$9997,dd_design_raw!$C$2:$C$9997,"",0)</f>
        <v>0</v>
      </c>
      <c r="C110" s="16"/>
      <c r="D110" s="16" t="str">
        <f>IF(I110="Height",_xlfn.XLOOKUP(C110,'calc_s90&amp;138'!$C$15:$C$65,'calc_s90&amp;138'!$O$15:$O$65,"",0),_xlfn.XLOOKUP(C110,'calc_s90&amp;138'!$C$15:$C$65,'calc_s90&amp;138'!$Q$15:$Q$65,"",0))</f>
        <v/>
      </c>
      <c r="E110" s="16" t="str" cm="1">
        <f t="array" ref="E110">IF(C110&lt;&gt;"", _xlfn.XLOOKUP(1,((SKUs!$A$2:$A$10001=cl_unmerged!B110) * (LEFT(SKUs!$J$2:$J$10001, LEN("Frame"))="Frame")), SKUs!$J$2:$J$10001,""),"") &amp; _xlfn.IFS(I110="Height", ", H",I110="Height SLI", ", H SLI", I110="Height FIX", ", H FIX",I110="Width", ", W", I110="", "")</f>
        <v/>
      </c>
      <c r="F110" s="33" t="str" cm="1">
        <f t="array" ref="F110">_xlfn.XLOOKUP(1,((SKUs!$A$2:$A$10001=cl_unmerged!B110) * (LEFT(SKUs!$J$2:$J$10001, LEN("Frame"))="Frame") * (ISNUMBER(SEARCH(A110,SKUs!$C$2:$C$10001)))), SKUs!$C$2:$C$10001,"")</f>
        <v/>
      </c>
      <c r="G110" s="16"/>
      <c r="H110" s="16" t="str">
        <f>IF(C110&lt;&gt;"", IF(I110="Height",_xlfn.XLOOKUP(C110,'calc_s90&amp;138'!$C$15:$C$1000,'calc_s90&amp;138'!$N$15:$N$1000,"",0), _xlfn.XLOOKUP(C110,'calc_s90&amp;138'!$C$15:$C$1000,'calc_s90&amp;138'!$P$15:$P$1000,"",0)),"")</f>
        <v/>
      </c>
      <c r="I110" s="16" t="str">
        <f t="shared" si="1"/>
        <v/>
      </c>
    </row>
    <row r="111" spans="1:9" ht="13.5" customHeight="1" x14ac:dyDescent="0.25">
      <c r="A111" s="41" t="str">
        <f>_xlfn.XLOOKUP(G111,dd_color!$A$2:$A$8,dd_color!$B$2:$B$8,"",0)</f>
        <v/>
      </c>
      <c r="B111" s="41">
        <f>_xlfn.XLOOKUP(_xlfn.XLOOKUP(C111,'Project Details'!$C$17:$C$10003,'Project Details'!$E$17:$E$10003, "",0),dd_design_raw!$A$2:$A$9997,dd_design_raw!$C$2:$C$9997,"",0)</f>
        <v>0</v>
      </c>
      <c r="C111" s="16"/>
      <c r="D111" s="16" t="str">
        <f>IF(I111="Height",_xlfn.XLOOKUP(C111,'calc_s90&amp;138'!$C$15:$C$65,'calc_s90&amp;138'!$O$15:$O$65,"",0),_xlfn.XLOOKUP(C111,'calc_s90&amp;138'!$C$15:$C$65,'calc_s90&amp;138'!$Q$15:$Q$65,"",0))</f>
        <v/>
      </c>
      <c r="E111" s="16" t="str" cm="1">
        <f t="array" ref="E111">IF(C111&lt;&gt;"", _xlfn.XLOOKUP(1,((SKUs!$A$2:$A$10001=cl_unmerged!B111) * (LEFT(SKUs!$J$2:$J$10001, LEN("Frame"))="Frame")), SKUs!$J$2:$J$10001,""),"") &amp; _xlfn.IFS(I111="Height", ", H",I111="Height SLI", ", H SLI", I111="Height FIX", ", H FIX",I111="Width", ", W", I111="", "")</f>
        <v/>
      </c>
      <c r="F111" s="33" t="str" cm="1">
        <f t="array" ref="F111">_xlfn.XLOOKUP(1,((SKUs!$A$2:$A$10001=cl_unmerged!B111) * (LEFT(SKUs!$J$2:$J$10001, LEN("Frame"))="Frame") * (ISNUMBER(SEARCH(A111,SKUs!$C$2:$C$10001)))), SKUs!$C$2:$C$10001,"")</f>
        <v/>
      </c>
      <c r="G111" s="16"/>
      <c r="H111" s="16" t="str">
        <f>IF(C111&lt;&gt;"", IF(I111="Height",_xlfn.XLOOKUP(C111,'calc_s90&amp;138'!$C$15:$C$1000,'calc_s90&amp;138'!$N$15:$N$1000,"",0), _xlfn.XLOOKUP(C111,'calc_s90&amp;138'!$C$15:$C$1000,'calc_s90&amp;138'!$P$15:$P$1000,"",0)),"")</f>
        <v/>
      </c>
      <c r="I111" s="16" t="str">
        <f t="shared" si="1"/>
        <v/>
      </c>
    </row>
    <row r="112" spans="1:9" ht="13.5" customHeight="1" x14ac:dyDescent="0.25">
      <c r="A112" s="41" t="str">
        <f>_xlfn.XLOOKUP(G112,dd_color!$A$2:$A$8,dd_color!$B$2:$B$8,"",0)</f>
        <v/>
      </c>
      <c r="B112" s="41">
        <f>_xlfn.XLOOKUP(_xlfn.XLOOKUP(C112,'Project Details'!$C$17:$C$10003,'Project Details'!$E$17:$E$10003, "",0),dd_design_raw!$A$2:$A$9997,dd_design_raw!$C$2:$C$9997,"",0)</f>
        <v>0</v>
      </c>
      <c r="C112" s="16"/>
      <c r="D112" s="16" t="str">
        <f>IF(I112="Height",_xlfn.XLOOKUP(C112,'calc_s90&amp;138'!$C$15:$C$65,'calc_s90&amp;138'!$O$15:$O$65,"",0),_xlfn.XLOOKUP(C112,'calc_s90&amp;138'!$C$15:$C$65,'calc_s90&amp;138'!$Q$15:$Q$65,"",0))</f>
        <v/>
      </c>
      <c r="E112" s="16" t="str" cm="1">
        <f t="array" ref="E112">IF(C112&lt;&gt;"", _xlfn.XLOOKUP(1,((SKUs!$A$2:$A$10001=cl_unmerged!B112) * (LEFT(SKUs!$J$2:$J$10001, LEN("Frame"))="Frame")), SKUs!$J$2:$J$10001,""),"") &amp; _xlfn.IFS(I112="Height", ", H",I112="Height SLI", ", H SLI", I112="Height FIX", ", H FIX",I112="Width", ", W", I112="", "")</f>
        <v/>
      </c>
      <c r="F112" s="33" t="str" cm="1">
        <f t="array" ref="F112">_xlfn.XLOOKUP(1,((SKUs!$A$2:$A$10001=cl_unmerged!B112) * (LEFT(SKUs!$J$2:$J$10001, LEN("Frame"))="Frame") * (ISNUMBER(SEARCH(A112,SKUs!$C$2:$C$10001)))), SKUs!$C$2:$C$10001,"")</f>
        <v/>
      </c>
      <c r="G112" s="16"/>
      <c r="H112" s="16" t="str">
        <f>IF(C112&lt;&gt;"", IF(I112="Height",_xlfn.XLOOKUP(C112,'calc_s90&amp;138'!$C$15:$C$1000,'calc_s90&amp;138'!$N$15:$N$1000,"",0), _xlfn.XLOOKUP(C112,'calc_s90&amp;138'!$C$15:$C$1000,'calc_s90&amp;138'!$P$15:$P$1000,"",0)),"")</f>
        <v/>
      </c>
      <c r="I112" s="16" t="str">
        <f t="shared" si="1"/>
        <v/>
      </c>
    </row>
    <row r="113" spans="1:9" ht="13.5" customHeight="1" x14ac:dyDescent="0.25">
      <c r="A113" s="41" t="str">
        <f>_xlfn.XLOOKUP(G113,dd_color!$A$2:$A$8,dd_color!$B$2:$B$8,"",0)</f>
        <v/>
      </c>
      <c r="B113" s="41">
        <f>_xlfn.XLOOKUP(_xlfn.XLOOKUP(C113,'Project Details'!$C$17:$C$10003,'Project Details'!$E$17:$E$10003, "",0),dd_design_raw!$A$2:$A$9997,dd_design_raw!$C$2:$C$9997,"",0)</f>
        <v>0</v>
      </c>
      <c r="C113" s="16"/>
      <c r="D113" s="16" t="str">
        <f>IF(I113="Height",_xlfn.XLOOKUP(C113,'calc_s90&amp;138'!$C$15:$C$65,'calc_s90&amp;138'!$O$15:$O$65,"",0),_xlfn.XLOOKUP(C113,'calc_s90&amp;138'!$C$15:$C$65,'calc_s90&amp;138'!$Q$15:$Q$65,"",0))</f>
        <v/>
      </c>
      <c r="E113" s="16" t="str" cm="1">
        <f t="array" ref="E113">IF(C113&lt;&gt;"", _xlfn.XLOOKUP(1,((SKUs!$A$2:$A$10001=cl_unmerged!B113) * (LEFT(SKUs!$J$2:$J$10001, LEN("Frame"))="Frame")), SKUs!$J$2:$J$10001,""),"") &amp; _xlfn.IFS(I113="Height", ", H",I113="Height SLI", ", H SLI", I113="Height FIX", ", H FIX",I113="Width", ", W", I113="", "")</f>
        <v/>
      </c>
      <c r="F113" s="33" t="str" cm="1">
        <f t="array" ref="F113">_xlfn.XLOOKUP(1,((SKUs!$A$2:$A$10001=cl_unmerged!B113) * (LEFT(SKUs!$J$2:$J$10001, LEN("Frame"))="Frame") * (ISNUMBER(SEARCH(A113,SKUs!$C$2:$C$10001)))), SKUs!$C$2:$C$10001,"")</f>
        <v/>
      </c>
      <c r="G113" s="16"/>
      <c r="H113" s="16" t="str">
        <f>IF(C113&lt;&gt;"", IF(I113="Height",_xlfn.XLOOKUP(C113,'calc_s90&amp;138'!$C$15:$C$1000,'calc_s90&amp;138'!$N$15:$N$1000,"",0), _xlfn.XLOOKUP(C113,'calc_s90&amp;138'!$C$15:$C$1000,'calc_s90&amp;138'!$P$15:$P$1000,"",0)),"")</f>
        <v/>
      </c>
      <c r="I113" s="16" t="str">
        <f t="shared" si="1"/>
        <v/>
      </c>
    </row>
    <row r="114" spans="1:9" ht="13.5" customHeight="1" x14ac:dyDescent="0.25">
      <c r="A114" s="41" t="str">
        <f>_xlfn.XLOOKUP(G114,dd_color!$A$2:$A$8,dd_color!$B$2:$B$8,"",0)</f>
        <v/>
      </c>
      <c r="B114" s="41">
        <f>_xlfn.XLOOKUP(_xlfn.XLOOKUP(C114,'Project Details'!$C$17:$C$10003,'Project Details'!$E$17:$E$10003, "",0),dd_design_raw!$A$2:$A$9997,dd_design_raw!$C$2:$C$9997,"",0)</f>
        <v>0</v>
      </c>
      <c r="C114" s="16"/>
      <c r="D114" s="16" t="str">
        <f>IF(I114="Height",_xlfn.XLOOKUP(C114,'calc_s90&amp;138'!$C$15:$C$65,'calc_s90&amp;138'!$O$15:$O$65,"",0),_xlfn.XLOOKUP(C114,'calc_s90&amp;138'!$C$15:$C$65,'calc_s90&amp;138'!$Q$15:$Q$65,"",0))</f>
        <v/>
      </c>
      <c r="E114" s="16" t="str" cm="1">
        <f t="array" ref="E114">IF(C114&lt;&gt;"", _xlfn.XLOOKUP(1,((SKUs!$A$2:$A$10001=cl_unmerged!B114) * (LEFT(SKUs!$J$2:$J$10001, LEN("Frame"))="Frame")), SKUs!$J$2:$J$10001,""),"") &amp; _xlfn.IFS(I114="Height", ", H",I114="Height SLI", ", H SLI", I114="Height FIX", ", H FIX",I114="Width", ", W", I114="", "")</f>
        <v/>
      </c>
      <c r="F114" s="33" t="str" cm="1">
        <f t="array" ref="F114">_xlfn.XLOOKUP(1,((SKUs!$A$2:$A$10001=cl_unmerged!B114) * (LEFT(SKUs!$J$2:$J$10001, LEN("Frame"))="Frame") * (ISNUMBER(SEARCH(A114,SKUs!$C$2:$C$10001)))), SKUs!$C$2:$C$10001,"")</f>
        <v/>
      </c>
      <c r="G114" s="16"/>
      <c r="H114" s="16" t="str">
        <f>IF(C114&lt;&gt;"", IF(I114="Height",_xlfn.XLOOKUP(C114,'calc_s90&amp;138'!$C$15:$C$1000,'calc_s90&amp;138'!$N$15:$N$1000,"",0), _xlfn.XLOOKUP(C114,'calc_s90&amp;138'!$C$15:$C$1000,'calc_s90&amp;138'!$P$15:$P$1000,"",0)),"")</f>
        <v/>
      </c>
      <c r="I114" s="16" t="str">
        <f t="shared" si="1"/>
        <v/>
      </c>
    </row>
    <row r="115" spans="1:9" ht="13.5" customHeight="1" x14ac:dyDescent="0.25">
      <c r="A115" s="41" t="str">
        <f>_xlfn.XLOOKUP(G115,dd_color!$A$2:$A$8,dd_color!$B$2:$B$8,"",0)</f>
        <v/>
      </c>
      <c r="B115" s="41">
        <f>_xlfn.XLOOKUP(_xlfn.XLOOKUP(C115,'Project Details'!$C$17:$C$10003,'Project Details'!$E$17:$E$10003, "",0),dd_design_raw!$A$2:$A$9997,dd_design_raw!$C$2:$C$9997,"",0)</f>
        <v>0</v>
      </c>
      <c r="C115" s="16"/>
      <c r="D115" s="16" t="str">
        <f>IF(I115="Height",_xlfn.XLOOKUP(C115,'calc_s90&amp;138'!$C$15:$C$65,'calc_s90&amp;138'!$O$15:$O$65,"",0),_xlfn.XLOOKUP(C115,'calc_s90&amp;138'!$C$15:$C$65,'calc_s90&amp;138'!$Q$15:$Q$65,"",0))</f>
        <v/>
      </c>
      <c r="E115" s="16" t="str" cm="1">
        <f t="array" ref="E115">IF(C115&lt;&gt;"", _xlfn.XLOOKUP(1,((SKUs!$A$2:$A$10001=cl_unmerged!B115) * (LEFT(SKUs!$J$2:$J$10001, LEN("Frame"))="Frame")), SKUs!$J$2:$J$10001,""),"") &amp; _xlfn.IFS(I115="Height", ", H",I115="Height SLI", ", H SLI", I115="Height FIX", ", H FIX",I115="Width", ", W", I115="", "")</f>
        <v/>
      </c>
      <c r="F115" s="33" t="str" cm="1">
        <f t="array" ref="F115">_xlfn.XLOOKUP(1,((SKUs!$A$2:$A$10001=cl_unmerged!B115) * (LEFT(SKUs!$J$2:$J$10001, LEN("Frame"))="Frame") * (ISNUMBER(SEARCH(A115,SKUs!$C$2:$C$10001)))), SKUs!$C$2:$C$10001,"")</f>
        <v/>
      </c>
      <c r="G115" s="16"/>
      <c r="H115" s="16" t="str">
        <f>IF(C115&lt;&gt;"", IF(I115="Height",_xlfn.XLOOKUP(C115,'calc_s90&amp;138'!$C$15:$C$1000,'calc_s90&amp;138'!$N$15:$N$1000,"",0), _xlfn.XLOOKUP(C115,'calc_s90&amp;138'!$C$15:$C$1000,'calc_s90&amp;138'!$P$15:$P$1000,"",0)),"")</f>
        <v/>
      </c>
      <c r="I115" s="16" t="str">
        <f t="shared" si="1"/>
        <v/>
      </c>
    </row>
    <row r="116" spans="1:9" ht="13.5" customHeight="1" x14ac:dyDescent="0.25">
      <c r="A116" s="41" t="str">
        <f>_xlfn.XLOOKUP(G116,dd_color!$A$2:$A$8,dd_color!$B$2:$B$8,"",0)</f>
        <v/>
      </c>
      <c r="B116" s="41">
        <f>_xlfn.XLOOKUP(_xlfn.XLOOKUP(C116,'Project Details'!$C$17:$C$10003,'Project Details'!$E$17:$E$10003, "",0),dd_design_raw!$A$2:$A$9997,dd_design_raw!$C$2:$C$9997,"",0)</f>
        <v>0</v>
      </c>
      <c r="C116" s="16"/>
      <c r="D116" s="16" t="str">
        <f>IF(I116="Height",_xlfn.XLOOKUP(C116,'calc_s90&amp;138'!$C$15:$C$65,'calc_s90&amp;138'!$O$15:$O$65,"",0),_xlfn.XLOOKUP(C116,'calc_s90&amp;138'!$C$15:$C$65,'calc_s90&amp;138'!$Q$15:$Q$65,"",0))</f>
        <v/>
      </c>
      <c r="E116" s="16" t="str" cm="1">
        <f t="array" ref="E116">IF(C116&lt;&gt;"", _xlfn.XLOOKUP(1,((SKUs!$A$2:$A$10001=cl_unmerged!B116) * (LEFT(SKUs!$J$2:$J$10001, LEN("Frame"))="Frame")), SKUs!$J$2:$J$10001,""),"") &amp; _xlfn.IFS(I116="Height", ", H",I116="Height SLI", ", H SLI", I116="Height FIX", ", H FIX",I116="Width", ", W", I116="", "")</f>
        <v/>
      </c>
      <c r="F116" s="33" t="str" cm="1">
        <f t="array" ref="F116">_xlfn.XLOOKUP(1,((SKUs!$A$2:$A$10001=cl_unmerged!B116) * (LEFT(SKUs!$J$2:$J$10001, LEN("Frame"))="Frame") * (ISNUMBER(SEARCH(A116,SKUs!$C$2:$C$10001)))), SKUs!$C$2:$C$10001,"")</f>
        <v/>
      </c>
      <c r="G116" s="16"/>
      <c r="H116" s="16" t="str">
        <f>IF(C116&lt;&gt;"", IF(I116="Height",_xlfn.XLOOKUP(C116,'calc_s90&amp;138'!$C$15:$C$1000,'calc_s90&amp;138'!$N$15:$N$1000,"",0), _xlfn.XLOOKUP(C116,'calc_s90&amp;138'!$C$15:$C$1000,'calc_s90&amp;138'!$P$15:$P$1000,"",0)),"")</f>
        <v/>
      </c>
      <c r="I116" s="16" t="str">
        <f t="shared" si="1"/>
        <v/>
      </c>
    </row>
    <row r="117" spans="1:9" ht="13.5" customHeight="1" x14ac:dyDescent="0.25">
      <c r="A117" s="41" t="str">
        <f>_xlfn.XLOOKUP(G117,dd_color!$A$2:$A$8,dd_color!$B$2:$B$8,"",0)</f>
        <v/>
      </c>
      <c r="B117" s="41">
        <f>_xlfn.XLOOKUP(_xlfn.XLOOKUP(C117,'Project Details'!$C$17:$C$10003,'Project Details'!$E$17:$E$10003, "",0),dd_design_raw!$A$2:$A$9997,dd_design_raw!$C$2:$C$9997,"",0)</f>
        <v>0</v>
      </c>
      <c r="C117" s="16"/>
      <c r="D117" s="16" t="str">
        <f>IF(I117="Height",_xlfn.XLOOKUP(C117,'calc_s90&amp;138'!$C$15:$C$65,'calc_s90&amp;138'!$O$15:$O$65,"",0),_xlfn.XLOOKUP(C117,'calc_s90&amp;138'!$C$15:$C$65,'calc_s90&amp;138'!$Q$15:$Q$65,"",0))</f>
        <v/>
      </c>
      <c r="E117" s="16" t="str" cm="1">
        <f t="array" ref="E117">IF(C117&lt;&gt;"", _xlfn.XLOOKUP(1,((SKUs!$A$2:$A$10001=cl_unmerged!B117) * (LEFT(SKUs!$J$2:$J$10001, LEN("Frame"))="Frame")), SKUs!$J$2:$J$10001,""),"") &amp; _xlfn.IFS(I117="Height", ", H",I117="Height SLI", ", H SLI", I117="Height FIX", ", H FIX",I117="Width", ", W", I117="", "")</f>
        <v/>
      </c>
      <c r="F117" s="33" t="str" cm="1">
        <f t="array" ref="F117">_xlfn.XLOOKUP(1,((SKUs!$A$2:$A$10001=cl_unmerged!B117) * (LEFT(SKUs!$J$2:$J$10001, LEN("Frame"))="Frame") * (ISNUMBER(SEARCH(A117,SKUs!$C$2:$C$10001)))), SKUs!$C$2:$C$10001,"")</f>
        <v/>
      </c>
      <c r="G117" s="16"/>
      <c r="H117" s="16" t="str">
        <f>IF(C117&lt;&gt;"", IF(I117="Height",_xlfn.XLOOKUP(C117,'calc_s90&amp;138'!$C$15:$C$1000,'calc_s90&amp;138'!$N$15:$N$1000,"",0), _xlfn.XLOOKUP(C117,'calc_s90&amp;138'!$C$15:$C$1000,'calc_s90&amp;138'!$P$15:$P$1000,"",0)),"")</f>
        <v/>
      </c>
      <c r="I117" s="16" t="str">
        <f t="shared" si="1"/>
        <v/>
      </c>
    </row>
    <row r="118" spans="1:9" ht="13.5" customHeight="1" x14ac:dyDescent="0.25">
      <c r="A118" s="41" t="str">
        <f>_xlfn.XLOOKUP(G118,dd_color!$A$2:$A$8,dd_color!$B$2:$B$8,"",0)</f>
        <v/>
      </c>
      <c r="B118" s="41">
        <f>_xlfn.XLOOKUP(_xlfn.XLOOKUP(C118,'Project Details'!$C$17:$C$10003,'Project Details'!$E$17:$E$10003, "",0),dd_design_raw!$A$2:$A$9997,dd_design_raw!$C$2:$C$9997,"",0)</f>
        <v>0</v>
      </c>
      <c r="C118" s="16"/>
      <c r="D118" s="16" t="str">
        <f>IF(I118="Height",_xlfn.XLOOKUP(C118,'calc_s90&amp;138'!$C$15:$C$65,'calc_s90&amp;138'!$O$15:$O$65,"",0),_xlfn.XLOOKUP(C118,'calc_s90&amp;138'!$C$15:$C$65,'calc_s90&amp;138'!$Q$15:$Q$65,"",0))</f>
        <v/>
      </c>
      <c r="E118" s="16" t="str" cm="1">
        <f t="array" ref="E118">IF(C118&lt;&gt;"", _xlfn.XLOOKUP(1,((SKUs!$A$2:$A$10001=cl_unmerged!B118) * (LEFT(SKUs!$J$2:$J$10001, LEN("Frame"))="Frame")), SKUs!$J$2:$J$10001,""),"") &amp; _xlfn.IFS(I118="Height", ", H",I118="Height SLI", ", H SLI", I118="Height FIX", ", H FIX",I118="Width", ", W", I118="", "")</f>
        <v/>
      </c>
      <c r="F118" s="33" t="str" cm="1">
        <f t="array" ref="F118">_xlfn.XLOOKUP(1,((SKUs!$A$2:$A$10001=cl_unmerged!B118) * (LEFT(SKUs!$J$2:$J$10001, LEN("Frame"))="Frame") * (ISNUMBER(SEARCH(A118,SKUs!$C$2:$C$10001)))), SKUs!$C$2:$C$10001,"")</f>
        <v/>
      </c>
      <c r="G118" s="16"/>
      <c r="H118" s="16" t="str">
        <f>IF(C118&lt;&gt;"", IF(I118="Height",_xlfn.XLOOKUP(C118,'calc_s90&amp;138'!$C$15:$C$1000,'calc_s90&amp;138'!$N$15:$N$1000,"",0), _xlfn.XLOOKUP(C118,'calc_s90&amp;138'!$C$15:$C$1000,'calc_s90&amp;138'!$P$15:$P$1000,"",0)),"")</f>
        <v/>
      </c>
      <c r="I118" s="16" t="str">
        <f t="shared" si="1"/>
        <v/>
      </c>
    </row>
    <row r="119" spans="1:9" ht="13.5" customHeight="1" x14ac:dyDescent="0.25">
      <c r="A119" s="41" t="str">
        <f>_xlfn.XLOOKUP(G119,dd_color!$A$2:$A$8,dd_color!$B$2:$B$8,"",0)</f>
        <v/>
      </c>
      <c r="B119" s="41">
        <f>_xlfn.XLOOKUP(_xlfn.XLOOKUP(C119,'Project Details'!$C$17:$C$10003,'Project Details'!$E$17:$E$10003, "",0),dd_design_raw!$A$2:$A$9997,dd_design_raw!$C$2:$C$9997,"",0)</f>
        <v>0</v>
      </c>
      <c r="C119" s="16"/>
      <c r="D119" s="16" t="str">
        <f>IF(I119="Height",_xlfn.XLOOKUP(C119,'calc_s90&amp;138'!$C$15:$C$65,'calc_s90&amp;138'!$O$15:$O$65,"",0),_xlfn.XLOOKUP(C119,'calc_s90&amp;138'!$C$15:$C$65,'calc_s90&amp;138'!$Q$15:$Q$65,"",0))</f>
        <v/>
      </c>
      <c r="E119" s="16" t="str" cm="1">
        <f t="array" ref="E119">IF(C119&lt;&gt;"", _xlfn.XLOOKUP(1,((SKUs!$A$2:$A$10001=cl_unmerged!B119) * (LEFT(SKUs!$J$2:$J$10001, LEN("Frame"))="Frame")), SKUs!$J$2:$J$10001,""),"") &amp; _xlfn.IFS(I119="Height", ", H",I119="Height SLI", ", H SLI", I119="Height FIX", ", H FIX",I119="Width", ", W", I119="", "")</f>
        <v/>
      </c>
      <c r="F119" s="33" t="str" cm="1">
        <f t="array" ref="F119">_xlfn.XLOOKUP(1,((SKUs!$A$2:$A$10001=cl_unmerged!B119) * (LEFT(SKUs!$J$2:$J$10001, LEN("Frame"))="Frame") * (ISNUMBER(SEARCH(A119,SKUs!$C$2:$C$10001)))), SKUs!$C$2:$C$10001,"")</f>
        <v/>
      </c>
      <c r="G119" s="16"/>
      <c r="H119" s="16" t="str">
        <f>IF(C119&lt;&gt;"", IF(I119="Height",_xlfn.XLOOKUP(C119,'calc_s90&amp;138'!$C$15:$C$1000,'calc_s90&amp;138'!$N$15:$N$1000,"",0), _xlfn.XLOOKUP(C119,'calc_s90&amp;138'!$C$15:$C$1000,'calc_s90&amp;138'!$P$15:$P$1000,"",0)),"")</f>
        <v/>
      </c>
      <c r="I119" s="16" t="str">
        <f t="shared" si="1"/>
        <v/>
      </c>
    </row>
    <row r="120" spans="1:9" ht="13.5" customHeight="1" x14ac:dyDescent="0.25">
      <c r="A120" s="41" t="str">
        <f>_xlfn.XLOOKUP(G120,dd_color!$A$2:$A$8,dd_color!$B$2:$B$8,"",0)</f>
        <v/>
      </c>
      <c r="B120" s="41">
        <f>_xlfn.XLOOKUP(_xlfn.XLOOKUP(C120,'Project Details'!$C$17:$C$10003,'Project Details'!$E$17:$E$10003, "",0),dd_design_raw!$A$2:$A$9997,dd_design_raw!$C$2:$C$9997,"",0)</f>
        <v>0</v>
      </c>
      <c r="C120" s="16"/>
      <c r="D120" s="16" t="str">
        <f>IF(I120="Height",_xlfn.XLOOKUP(C120,'calc_s90&amp;138'!$C$15:$C$65,'calc_s90&amp;138'!$O$15:$O$65,"",0),_xlfn.XLOOKUP(C120,'calc_s90&amp;138'!$C$15:$C$65,'calc_s90&amp;138'!$Q$15:$Q$65,"",0))</f>
        <v/>
      </c>
      <c r="E120" s="16" t="str" cm="1">
        <f t="array" ref="E120">IF(C120&lt;&gt;"", _xlfn.XLOOKUP(1,((SKUs!$A$2:$A$10001=cl_unmerged!B120) * (LEFT(SKUs!$J$2:$J$10001, LEN("Frame"))="Frame")), SKUs!$J$2:$J$10001,""),"") &amp; _xlfn.IFS(I120="Height", ", H",I120="Height SLI", ", H SLI", I120="Height FIX", ", H FIX",I120="Width", ", W", I120="", "")</f>
        <v/>
      </c>
      <c r="F120" s="33" t="str" cm="1">
        <f t="array" ref="F120">_xlfn.XLOOKUP(1,((SKUs!$A$2:$A$10001=cl_unmerged!B120) * (LEFT(SKUs!$J$2:$J$10001, LEN("Frame"))="Frame") * (ISNUMBER(SEARCH(A120,SKUs!$C$2:$C$10001)))), SKUs!$C$2:$C$10001,"")</f>
        <v/>
      </c>
      <c r="G120" s="16"/>
      <c r="H120" s="16" t="str">
        <f>IF(C120&lt;&gt;"", IF(I120="Height",_xlfn.XLOOKUP(C120,'calc_s90&amp;138'!$C$15:$C$1000,'calc_s90&amp;138'!$N$15:$N$1000,"",0), _xlfn.XLOOKUP(C120,'calc_s90&amp;138'!$C$15:$C$1000,'calc_s90&amp;138'!$P$15:$P$1000,"",0)),"")</f>
        <v/>
      </c>
      <c r="I120" s="16" t="str">
        <f t="shared" si="1"/>
        <v/>
      </c>
    </row>
    <row r="121" spans="1:9" ht="13.5" customHeight="1" x14ac:dyDescent="0.25">
      <c r="A121" s="41" t="str">
        <f>_xlfn.XLOOKUP(G121,dd_color!$A$2:$A$8,dd_color!$B$2:$B$8,"",0)</f>
        <v/>
      </c>
      <c r="B121" s="41">
        <f>_xlfn.XLOOKUP(_xlfn.XLOOKUP(C121,'Project Details'!$C$17:$C$10003,'Project Details'!$E$17:$E$10003, "",0),dd_design_raw!$A$2:$A$9997,dd_design_raw!$C$2:$C$9997,"",0)</f>
        <v>0</v>
      </c>
      <c r="C121" s="16"/>
      <c r="D121" s="16" t="str">
        <f>IF(I121="Height",_xlfn.XLOOKUP(C121,'calc_s90&amp;138'!$C$15:$C$65,'calc_s90&amp;138'!$O$15:$O$65,"",0),_xlfn.XLOOKUP(C121,'calc_s90&amp;138'!$C$15:$C$65,'calc_s90&amp;138'!$Q$15:$Q$65,"",0))</f>
        <v/>
      </c>
      <c r="E121" s="16" t="str" cm="1">
        <f t="array" ref="E121">IF(C121&lt;&gt;"", _xlfn.XLOOKUP(1,((SKUs!$A$2:$A$10001=cl_unmerged!B121) * (LEFT(SKUs!$J$2:$J$10001, LEN("Frame"))="Frame")), SKUs!$J$2:$J$10001,""),"") &amp; _xlfn.IFS(I121="Height", ", H",I121="Height SLI", ", H SLI", I121="Height FIX", ", H FIX",I121="Width", ", W", I121="", "")</f>
        <v/>
      </c>
      <c r="F121" s="33" t="str" cm="1">
        <f t="array" ref="F121">_xlfn.XLOOKUP(1,((SKUs!$A$2:$A$10001=cl_unmerged!B121) * (LEFT(SKUs!$J$2:$J$10001, LEN("Frame"))="Frame") * (ISNUMBER(SEARCH(A121,SKUs!$C$2:$C$10001)))), SKUs!$C$2:$C$10001,"")</f>
        <v/>
      </c>
      <c r="G121" s="16"/>
      <c r="H121" s="16" t="str">
        <f>IF(C121&lt;&gt;"", IF(I121="Height",_xlfn.XLOOKUP(C121,'calc_s90&amp;138'!$C$15:$C$1000,'calc_s90&amp;138'!$N$15:$N$1000,"",0), _xlfn.XLOOKUP(C121,'calc_s90&amp;138'!$C$15:$C$1000,'calc_s90&amp;138'!$P$15:$P$1000,"",0)),"")</f>
        <v/>
      </c>
      <c r="I121" s="16" t="str">
        <f t="shared" si="1"/>
        <v/>
      </c>
    </row>
    <row r="122" spans="1:9" ht="13.5" customHeight="1" x14ac:dyDescent="0.25">
      <c r="A122" s="41" t="str">
        <f>_xlfn.XLOOKUP(G122,dd_color!$A$2:$A$8,dd_color!$B$2:$B$8,"",0)</f>
        <v/>
      </c>
      <c r="B122" s="41">
        <f>_xlfn.XLOOKUP(_xlfn.XLOOKUP(C122,'Project Details'!$C$17:$C$10003,'Project Details'!$E$17:$E$10003, "",0),dd_design_raw!$A$2:$A$9997,dd_design_raw!$C$2:$C$9997,"",0)</f>
        <v>0</v>
      </c>
      <c r="C122" s="16"/>
      <c r="D122" s="16" t="str">
        <f>IF(I122="Height",_xlfn.XLOOKUP(C122,'calc_s90&amp;138'!$C$15:$C$65,'calc_s90&amp;138'!$O$15:$O$65,"",0),_xlfn.XLOOKUP(C122,'calc_s90&amp;138'!$C$15:$C$65,'calc_s90&amp;138'!$Q$15:$Q$65,"",0))</f>
        <v/>
      </c>
      <c r="E122" s="16" t="str" cm="1">
        <f t="array" ref="E122">IF(C122&lt;&gt;"", _xlfn.XLOOKUP(1,((SKUs!$A$2:$A$10001=cl_unmerged!B122) * (LEFT(SKUs!$J$2:$J$10001, LEN("Frame"))="Frame")), SKUs!$J$2:$J$10001,""),"") &amp; _xlfn.IFS(I122="Height", ", H",I122="Height SLI", ", H SLI", I122="Height FIX", ", H FIX",I122="Width", ", W", I122="", "")</f>
        <v/>
      </c>
      <c r="F122" s="33" t="str" cm="1">
        <f t="array" ref="F122">_xlfn.XLOOKUP(1,((SKUs!$A$2:$A$10001=cl_unmerged!B122) * (LEFT(SKUs!$J$2:$J$10001, LEN("Frame"))="Frame") * (ISNUMBER(SEARCH(A122,SKUs!$C$2:$C$10001)))), SKUs!$C$2:$C$10001,"")</f>
        <v/>
      </c>
      <c r="G122" s="16"/>
      <c r="H122" s="16" t="str">
        <f>IF(C122&lt;&gt;"", IF(I122="Height",_xlfn.XLOOKUP(C122,'calc_s90&amp;138'!$C$15:$C$1000,'calc_s90&amp;138'!$N$15:$N$1000,"",0), _xlfn.XLOOKUP(C122,'calc_s90&amp;138'!$C$15:$C$1000,'calc_s90&amp;138'!$P$15:$P$1000,"",0)),"")</f>
        <v/>
      </c>
      <c r="I122" s="16" t="str">
        <f t="shared" si="1"/>
        <v/>
      </c>
    </row>
    <row r="123" spans="1:9" ht="13.5" customHeight="1" x14ac:dyDescent="0.25">
      <c r="A123" s="41" t="str">
        <f>_xlfn.XLOOKUP(G123,dd_color!$A$2:$A$8,dd_color!$B$2:$B$8,"",0)</f>
        <v/>
      </c>
      <c r="B123" s="41">
        <f>_xlfn.XLOOKUP(_xlfn.XLOOKUP(C123,'Project Details'!$C$17:$C$10003,'Project Details'!$E$17:$E$10003, "",0),dd_design_raw!$A$2:$A$9997,dd_design_raw!$C$2:$C$9997,"",0)</f>
        <v>0</v>
      </c>
      <c r="C123" s="16"/>
      <c r="D123" s="16" t="str">
        <f>IF(I123="Height",_xlfn.XLOOKUP(C123,'calc_s90&amp;138'!$C$15:$C$65,'calc_s90&amp;138'!$O$15:$O$65,"",0),_xlfn.XLOOKUP(C123,'calc_s90&amp;138'!$C$15:$C$65,'calc_s90&amp;138'!$Q$15:$Q$65,"",0))</f>
        <v/>
      </c>
      <c r="E123" s="16" t="str" cm="1">
        <f t="array" ref="E123">IF(C123&lt;&gt;"", _xlfn.XLOOKUP(1,((SKUs!$A$2:$A$10001=cl_unmerged!B123) * (LEFT(SKUs!$J$2:$J$10001, LEN("Frame"))="Frame")), SKUs!$J$2:$J$10001,""),"") &amp; _xlfn.IFS(I123="Height", ", H",I123="Height SLI", ", H SLI", I123="Height FIX", ", H FIX",I123="Width", ", W", I123="", "")</f>
        <v/>
      </c>
      <c r="F123" s="33" t="str" cm="1">
        <f t="array" ref="F123">_xlfn.XLOOKUP(1,((SKUs!$A$2:$A$10001=cl_unmerged!B123) * (LEFT(SKUs!$J$2:$J$10001, LEN("Frame"))="Frame") * (ISNUMBER(SEARCH(A123,SKUs!$C$2:$C$10001)))), SKUs!$C$2:$C$10001,"")</f>
        <v/>
      </c>
      <c r="G123" s="16"/>
      <c r="H123" s="16" t="str">
        <f>IF(C123&lt;&gt;"", IF(I123="Height",_xlfn.XLOOKUP(C123,'calc_s90&amp;138'!$C$15:$C$1000,'calc_s90&amp;138'!$N$15:$N$1000,"",0), _xlfn.XLOOKUP(C123,'calc_s90&amp;138'!$C$15:$C$1000,'calc_s90&amp;138'!$P$15:$P$1000,"",0)),"")</f>
        <v/>
      </c>
      <c r="I123" s="16" t="str">
        <f t="shared" si="1"/>
        <v/>
      </c>
    </row>
    <row r="124" spans="1:9" ht="13.5" customHeight="1" x14ac:dyDescent="0.25">
      <c r="A124" s="41" t="str">
        <f>_xlfn.XLOOKUP(G124,dd_color!$A$2:$A$8,dd_color!$B$2:$B$8,"",0)</f>
        <v/>
      </c>
      <c r="B124" s="41">
        <f>_xlfn.XLOOKUP(_xlfn.XLOOKUP(C124,'Project Details'!$C$17:$C$10003,'Project Details'!$E$17:$E$10003, "",0),dd_design_raw!$A$2:$A$9997,dd_design_raw!$C$2:$C$9997,"",0)</f>
        <v>0</v>
      </c>
      <c r="C124" s="16"/>
      <c r="D124" s="16" t="str">
        <f>IF(I124="Height",_xlfn.XLOOKUP(C124,'calc_s90&amp;138'!$C$15:$C$65,'calc_s90&amp;138'!$O$15:$O$65,"",0),_xlfn.XLOOKUP(C124,'calc_s90&amp;138'!$C$15:$C$65,'calc_s90&amp;138'!$Q$15:$Q$65,"",0))</f>
        <v/>
      </c>
      <c r="E124" s="16" t="str" cm="1">
        <f t="array" ref="E124">IF(C124&lt;&gt;"", _xlfn.XLOOKUP(1,((SKUs!$A$2:$A$10001=cl_unmerged!B124) * (LEFT(SKUs!$J$2:$J$10001, LEN("Frame"))="Frame")), SKUs!$J$2:$J$10001,""),"") &amp; _xlfn.IFS(I124="Height", ", H",I124="Height SLI", ", H SLI", I124="Height FIX", ", H FIX",I124="Width", ", W", I124="", "")</f>
        <v/>
      </c>
      <c r="F124" s="33" t="str" cm="1">
        <f t="array" ref="F124">_xlfn.XLOOKUP(1,((SKUs!$A$2:$A$10001=cl_unmerged!B124) * (LEFT(SKUs!$J$2:$J$10001, LEN("Frame"))="Frame") * (ISNUMBER(SEARCH(A124,SKUs!$C$2:$C$10001)))), SKUs!$C$2:$C$10001,"")</f>
        <v/>
      </c>
      <c r="G124" s="16"/>
      <c r="H124" s="16" t="str">
        <f>IF(C124&lt;&gt;"", IF(I124="Height",_xlfn.XLOOKUP(C124,'calc_s90&amp;138'!$C$15:$C$1000,'calc_s90&amp;138'!$N$15:$N$1000,"",0), _xlfn.XLOOKUP(C124,'calc_s90&amp;138'!$C$15:$C$1000,'calc_s90&amp;138'!$P$15:$P$1000,"",0)),"")</f>
        <v/>
      </c>
      <c r="I124" s="16" t="str">
        <f t="shared" si="1"/>
        <v/>
      </c>
    </row>
    <row r="125" spans="1:9" ht="13.5" customHeight="1" x14ac:dyDescent="0.25">
      <c r="A125" s="41" t="str">
        <f>_xlfn.XLOOKUP(G125,dd_color!$A$2:$A$8,dd_color!$B$2:$B$8,"",0)</f>
        <v/>
      </c>
      <c r="B125" s="41">
        <f>_xlfn.XLOOKUP(_xlfn.XLOOKUP(C125,'Project Details'!$C$17:$C$10003,'Project Details'!$E$17:$E$10003, "",0),dd_design_raw!$A$2:$A$9997,dd_design_raw!$C$2:$C$9997,"",0)</f>
        <v>0</v>
      </c>
      <c r="C125" s="16"/>
      <c r="D125" s="16" t="str">
        <f>IF(I125="Height",_xlfn.XLOOKUP(C125,'calc_s90&amp;138'!$C$15:$C$65,'calc_s90&amp;138'!$O$15:$O$65,"",0),_xlfn.XLOOKUP(C125,'calc_s90&amp;138'!$C$15:$C$65,'calc_s90&amp;138'!$Q$15:$Q$65,"",0))</f>
        <v/>
      </c>
      <c r="E125" s="16" t="str" cm="1">
        <f t="array" ref="E125">IF(C125&lt;&gt;"", _xlfn.XLOOKUP(1,((SKUs!$A$2:$A$10001=cl_unmerged!B125) * (LEFT(SKUs!$J$2:$J$10001, LEN("Frame"))="Frame")), SKUs!$J$2:$J$10001,""),"") &amp; _xlfn.IFS(I125="Height", ", H",I125="Height SLI", ", H SLI", I125="Height FIX", ", H FIX",I125="Width", ", W", I125="", "")</f>
        <v/>
      </c>
      <c r="F125" s="33" t="str" cm="1">
        <f t="array" ref="F125">_xlfn.XLOOKUP(1,((SKUs!$A$2:$A$10001=cl_unmerged!B125) * (LEFT(SKUs!$J$2:$J$10001, LEN("Frame"))="Frame") * (ISNUMBER(SEARCH(A125,SKUs!$C$2:$C$10001)))), SKUs!$C$2:$C$10001,"")</f>
        <v/>
      </c>
      <c r="G125" s="16"/>
      <c r="H125" s="16" t="str">
        <f>IF(C125&lt;&gt;"", IF(I125="Height",_xlfn.XLOOKUP(C125,'calc_s90&amp;138'!$C$15:$C$1000,'calc_s90&amp;138'!$N$15:$N$1000,"",0), _xlfn.XLOOKUP(C125,'calc_s90&amp;138'!$C$15:$C$1000,'calc_s90&amp;138'!$P$15:$P$1000,"",0)),"")</f>
        <v/>
      </c>
      <c r="I125" s="16" t="str">
        <f t="shared" si="1"/>
        <v/>
      </c>
    </row>
    <row r="126" spans="1:9" ht="13.5" customHeight="1" x14ac:dyDescent="0.25">
      <c r="A126" s="41" t="str">
        <f>_xlfn.XLOOKUP(G126,dd_color!$A$2:$A$8,dd_color!$B$2:$B$8,"",0)</f>
        <v/>
      </c>
      <c r="B126" s="41">
        <f>_xlfn.XLOOKUP(_xlfn.XLOOKUP(C126,'Project Details'!$C$17:$C$10003,'Project Details'!$E$17:$E$10003, "",0),dd_design_raw!$A$2:$A$9997,dd_design_raw!$C$2:$C$9997,"",0)</f>
        <v>0</v>
      </c>
      <c r="C126" s="16"/>
      <c r="D126" s="16" t="str">
        <f>IF(I126="Height",_xlfn.XLOOKUP(C126,'calc_s90&amp;138'!$C$15:$C$65,'calc_s90&amp;138'!$O$15:$O$65,"",0),_xlfn.XLOOKUP(C126,'calc_s90&amp;138'!$C$15:$C$65,'calc_s90&amp;138'!$Q$15:$Q$65,"",0))</f>
        <v/>
      </c>
      <c r="E126" s="16" t="str" cm="1">
        <f t="array" ref="E126">IF(C126&lt;&gt;"", _xlfn.XLOOKUP(1,((SKUs!$A$2:$A$10001=cl_unmerged!B126) * (LEFT(SKUs!$J$2:$J$10001, LEN("Frame"))="Frame")), SKUs!$J$2:$J$10001,""),"") &amp; _xlfn.IFS(I126="Height", ", H",I126="Height SLI", ", H SLI", I126="Height FIX", ", H FIX",I126="Width", ", W", I126="", "")</f>
        <v/>
      </c>
      <c r="F126" s="33" t="str" cm="1">
        <f t="array" ref="F126">_xlfn.XLOOKUP(1,((SKUs!$A$2:$A$10001=cl_unmerged!B126) * (LEFT(SKUs!$J$2:$J$10001, LEN("Frame"))="Frame") * (ISNUMBER(SEARCH(A126,SKUs!$C$2:$C$10001)))), SKUs!$C$2:$C$10001,"")</f>
        <v/>
      </c>
      <c r="G126" s="16"/>
      <c r="H126" s="16" t="str">
        <f>IF(C126&lt;&gt;"", IF(I126="Height",_xlfn.XLOOKUP(C126,'calc_s90&amp;138'!$C$15:$C$1000,'calc_s90&amp;138'!$N$15:$N$1000,"",0), _xlfn.XLOOKUP(C126,'calc_s90&amp;138'!$C$15:$C$1000,'calc_s90&amp;138'!$P$15:$P$1000,"",0)),"")</f>
        <v/>
      </c>
      <c r="I126" s="16" t="str">
        <f t="shared" si="1"/>
        <v/>
      </c>
    </row>
    <row r="127" spans="1:9" ht="13.5" customHeight="1" x14ac:dyDescent="0.25">
      <c r="A127" s="41" t="str">
        <f>_xlfn.XLOOKUP(G127,dd_color!$A$2:$A$8,dd_color!$B$2:$B$8,"",0)</f>
        <v/>
      </c>
      <c r="B127" s="41">
        <f>_xlfn.XLOOKUP(_xlfn.XLOOKUP(C127,'Project Details'!$C$17:$C$10003,'Project Details'!$E$17:$E$10003, "",0),dd_design_raw!$A$2:$A$9997,dd_design_raw!$C$2:$C$9997,"",0)</f>
        <v>0</v>
      </c>
      <c r="C127" s="16"/>
      <c r="D127" s="16" t="str">
        <f>IF(I127="Height",_xlfn.XLOOKUP(C127,'calc_s90&amp;138'!$C$15:$C$65,'calc_s90&amp;138'!$O$15:$O$65,"",0),_xlfn.XLOOKUP(C127,'calc_s90&amp;138'!$C$15:$C$65,'calc_s90&amp;138'!$Q$15:$Q$65,"",0))</f>
        <v/>
      </c>
      <c r="E127" s="16" t="str" cm="1">
        <f t="array" ref="E127">IF(C127&lt;&gt;"", _xlfn.XLOOKUP(1,((SKUs!$A$2:$A$10001=cl_unmerged!B127) * (LEFT(SKUs!$J$2:$J$10001, LEN("Frame"))="Frame")), SKUs!$J$2:$J$10001,""),"") &amp; _xlfn.IFS(I127="Height", ", H",I127="Height SLI", ", H SLI", I127="Height FIX", ", H FIX",I127="Width", ", W", I127="", "")</f>
        <v/>
      </c>
      <c r="F127" s="33" t="str" cm="1">
        <f t="array" ref="F127">_xlfn.XLOOKUP(1,((SKUs!$A$2:$A$10001=cl_unmerged!B127) * (LEFT(SKUs!$J$2:$J$10001, LEN("Frame"))="Frame") * (ISNUMBER(SEARCH(A127,SKUs!$C$2:$C$10001)))), SKUs!$C$2:$C$10001,"")</f>
        <v/>
      </c>
      <c r="G127" s="16"/>
      <c r="H127" s="16" t="str">
        <f>IF(C127&lt;&gt;"", IF(I127="Height",_xlfn.XLOOKUP(C127,'calc_s90&amp;138'!$C$15:$C$1000,'calc_s90&amp;138'!$N$15:$N$1000,"",0), _xlfn.XLOOKUP(C127,'calc_s90&amp;138'!$C$15:$C$1000,'calc_s90&amp;138'!$P$15:$P$1000,"",0)),"")</f>
        <v/>
      </c>
      <c r="I127" s="16" t="str">
        <f t="shared" si="1"/>
        <v/>
      </c>
    </row>
    <row r="129" spans="1:9" ht="13.5" customHeight="1" x14ac:dyDescent="0.25">
      <c r="C129" s="28" t="s">
        <v>122</v>
      </c>
      <c r="D129" s="29"/>
      <c r="E129" s="29"/>
      <c r="F129" s="29"/>
      <c r="G129" s="29"/>
      <c r="H129" s="29"/>
      <c r="I129" s="30"/>
    </row>
    <row r="130" spans="1:9" ht="13.5" customHeight="1" x14ac:dyDescent="0.25">
      <c r="C130" s="32" t="s">
        <v>183</v>
      </c>
      <c r="D130" s="32"/>
      <c r="E130" s="32"/>
      <c r="F130" s="32"/>
      <c r="G130" s="32"/>
      <c r="H130" s="32"/>
      <c r="I130" s="32"/>
    </row>
    <row r="131" spans="1:9" ht="13.5" customHeight="1" x14ac:dyDescent="0.25">
      <c r="A131" s="41" t="str">
        <f>_xlfn.XLOOKUP(G131,dd_color!$A$2:$A$8,dd_color!$B$2:$B$8,"",0)</f>
        <v/>
      </c>
      <c r="B131" s="41" t="str">
        <f>_xlfn.XLOOKUP(_xlfn.XLOOKUP(C131,'Project Details'!$C$17:$C$10003,'Project Details'!$E$17:$E$10003, "",0),dd_design_raw!$A$2:$A$9997,dd_design_raw!$C$2:$C$9997,"",0)</f>
        <v/>
      </c>
      <c r="C131" s="16" t="str" cm="1">
        <f t="array" ref="C131:C132">IFERROR(INDEX(_xlfn._xlws.FILTER(calc_s60!C15:C65, calc_s60!V15:V65&lt;&gt;""), INT((_xlfn.SEQUENCE(2 * COUNTA(_xlfn._xlws.FILTER(calc_s60!C15:C65, calc_s60!V15:V65&lt;&gt;""))) - 1) / 2) + 1), "")</f>
        <v/>
      </c>
      <c r="D131" s="16" t="str">
        <f>IF(C131&lt;&gt;"", IF(I131="Height",_xlfn.XLOOKUP(C131,calc_s60!$C$15:$C$1000,calc_s60!$X$15:$X$1000,"",0), _xlfn.XLOOKUP(C131,calc_s60!$C$15:$C$1000,calc_s60!$Z$15:$Z$1000,"",0)),"")</f>
        <v/>
      </c>
      <c r="E131" s="16" t="str" cm="1">
        <f t="array" ref="E131">IF(C131&lt;&gt;"", _xlfn.XLOOKUP(1,((SKUs!$A$2:$A$10001=cl_unmerged!B131) * (ISNUMBER(SEARCH("Sash",SKUs!$J$2:$J$10001)))), SKUs!$J$2:$J$10001,""),"") &amp; _xlfn.IFS(I131="Height", ", H",I131="Height SLI", ", H SLI", I131="Height FIX", ", H FIX",I131="Width", ", W", I131="", "")</f>
        <v/>
      </c>
      <c r="F131" s="33" t="str" cm="1">
        <f t="array" ref="F131">_xlfn.XLOOKUP(1,((SKUs!$A$2:$A$10001=cl_unmerged!B131) * (ISNUMBER(SEARCH("Sash",SKUs!$J$2:$J$10001)))* (ISNUMBER(SEARCH(A131,SKUs!$C$2:$C$10001)))), SKUs!$C$2:$C$10001,"")</f>
        <v/>
      </c>
      <c r="G131" s="16" t="str" cm="1">
        <f t="array" ref="G131:G132">IFERROR(INDEX(_xlfn._xlws.FILTER(calc_s60!G15:G65, calc_s60!V15:V65&lt;&gt;""), INT((_xlfn.SEQUENCE(2 * COUNTA(_xlfn._xlws.FILTER(calc_s60!G15:G65, calc_s60!V15:V65&lt;&gt;""))) - 1) / 2) + 1), "")</f>
        <v/>
      </c>
      <c r="H131" s="31" t="str">
        <f>IF(C131&lt;&gt;"", IF(I131="Height",_xlfn.XLOOKUP(C131,calc_s60!$C$15:$C$1000,calc_s60!$W$15:$W$1000,"",0), _xlfn.XLOOKUP(C131,calc_s60!$C$15:$C$1000,calc_s60!$Y$15:$Y$1000,"",0)),"")</f>
        <v/>
      </c>
      <c r="I131" s="16" t="str">
        <f t="shared" ref="I131" si="2">IF(C131&lt;&gt;"", IF(C131=C130, "Width", "Height"),"")</f>
        <v/>
      </c>
    </row>
    <row r="132" spans="1:9" ht="13.5" customHeight="1" x14ac:dyDescent="0.25">
      <c r="A132" s="41" t="str">
        <f>_xlfn.XLOOKUP(G132,dd_color!$A$2:$A$8,dd_color!$B$2:$B$8,"",0)</f>
        <v/>
      </c>
      <c r="B132" s="41" t="str">
        <f>_xlfn.XLOOKUP(_xlfn.XLOOKUP(C132,'Project Details'!$C$17:$C$10003,'Project Details'!$E$17:$E$10003, "",0),dd_design_raw!$A$2:$A$9997,dd_design_raw!$C$2:$C$9997,"",0)</f>
        <v/>
      </c>
      <c r="C132" s="16" t="str">
        <v/>
      </c>
      <c r="D132" s="16" t="str">
        <f>IF(C132&lt;&gt;"", IF(I132="Height",_xlfn.XLOOKUP(C132,calc_s60!$C$15:$C$1000,calc_s60!$X$15:$X$1000,"",0), _xlfn.XLOOKUP(C132,calc_s60!$C$15:$C$1000,calc_s60!$Z$15:$Z$1000,"",0)),"")</f>
        <v/>
      </c>
      <c r="E132" s="16" t="str" cm="1">
        <f t="array" ref="E132">IF(C132&lt;&gt;"", _xlfn.XLOOKUP(1,((SKUs!$A$2:$A$10001=cl_unmerged!B132) * (ISNUMBER(SEARCH("Sash",SKUs!$J$2:$J$10001)))), SKUs!$J$2:$J$10001,""),"") &amp; _xlfn.IFS(I132="Height", ", H",I132="Height SLI", ", H SLI", I132="Height FIX", ", H FIX",I132="Width", ", W", I132="", "")</f>
        <v/>
      </c>
      <c r="F132" s="33" t="str" cm="1">
        <f t="array" ref="F132">_xlfn.XLOOKUP(1,((SKUs!$A$2:$A$10001=cl_unmerged!B132) * (ISNUMBER(SEARCH("Sash",SKUs!$J$2:$J$10001)))* (ISNUMBER(SEARCH(A132,SKUs!$C$2:$C$10001)))), SKUs!$C$2:$C$10001,"")</f>
        <v/>
      </c>
      <c r="G132" s="16" t="str">
        <v/>
      </c>
      <c r="H132" s="31" t="str">
        <f>IF(C132&lt;&gt;"", IF(I132="Height",_xlfn.XLOOKUP(C132,calc_s60!$C$15:$C$1000,calc_s60!$W$15:$W$1000,"",0), _xlfn.XLOOKUP(C132,calc_s60!$C$15:$C$1000,calc_s60!$Y$15:$Y$1000,"",0)),"")</f>
        <v/>
      </c>
      <c r="I132" s="16" t="str">
        <f>IF(C132&lt;&gt;"", IF(C132=C131, "Width", "Height"),"")</f>
        <v/>
      </c>
    </row>
    <row r="133" spans="1:9" ht="13.5" customHeight="1" x14ac:dyDescent="0.25">
      <c r="A133" s="41" t="str">
        <f>_xlfn.XLOOKUP(G133,dd_color!$A$2:$A$8,dd_color!$B$2:$B$8,"",0)</f>
        <v/>
      </c>
      <c r="B133" s="41">
        <f>_xlfn.XLOOKUP(_xlfn.XLOOKUP(C133,'Project Details'!$C$17:$C$10003,'Project Details'!$E$17:$E$10003, "",0),dd_design_raw!$A$2:$A$9997,dd_design_raw!$C$2:$C$9997,"",0)</f>
        <v>0</v>
      </c>
      <c r="C133" s="16"/>
      <c r="D133" s="16" t="str">
        <f>IF(C133&lt;&gt;"", IF(I133="Height",_xlfn.XLOOKUP(C133,calc_s60!$C$15:$C$1000,calc_s60!$X$15:$X$1000,"",0), _xlfn.XLOOKUP(C133,calc_s60!$C$15:$C$1000,calc_s60!$Z$15:$Z$1000,"",0)),"")</f>
        <v/>
      </c>
      <c r="E133" s="16" t="str" cm="1">
        <f t="array" ref="E133">IF(C133&lt;&gt;"", _xlfn.XLOOKUP(1,((SKUs!$A$2:$A$10001=cl_unmerged!B133) * (ISNUMBER(SEARCH("Sash",SKUs!$J$2:$J$10001)))), SKUs!$J$2:$J$10001,""),"") &amp; _xlfn.IFS(I133="Height", ", H",I133="Height SLI", ", H SLI", I133="Height FIX", ", H FIX",I133="Width", ", W", I133="", "")</f>
        <v/>
      </c>
      <c r="F133" s="33" t="str" cm="1">
        <f t="array" ref="F133">_xlfn.XLOOKUP(1,((SKUs!$A$2:$A$10001=cl_unmerged!B133) * (ISNUMBER(SEARCH("Sash",SKUs!$J$2:$J$10001)))* (ISNUMBER(SEARCH(A133,SKUs!$C$2:$C$10001)))), SKUs!$C$2:$C$10001,"")</f>
        <v/>
      </c>
      <c r="G133" s="16"/>
      <c r="H133" s="31" t="str">
        <f>IF(C133&lt;&gt;"", IF(I133="Height",_xlfn.XLOOKUP(C133,calc_s60!$C$15:$C$1000,calc_s60!$W$15:$W$1000,"",0), _xlfn.XLOOKUP(C133,calc_s60!$C$15:$C$1000,calc_s60!$Y$15:$Y$1000,"",0)),"")</f>
        <v/>
      </c>
      <c r="I133" s="16" t="str">
        <f t="shared" ref="I133:I181" si="3">IF(C133&lt;&gt;"", IF(C133=C132, "Width", "Height"),"")</f>
        <v/>
      </c>
    </row>
    <row r="134" spans="1:9" ht="13.5" customHeight="1" x14ac:dyDescent="0.25">
      <c r="A134" s="41" t="str">
        <f>_xlfn.XLOOKUP(G134,dd_color!$A$2:$A$8,dd_color!$B$2:$B$8,"",0)</f>
        <v/>
      </c>
      <c r="B134" s="41">
        <f>_xlfn.XLOOKUP(_xlfn.XLOOKUP(C134,'Project Details'!$C$17:$C$10003,'Project Details'!$E$17:$E$10003, "",0),dd_design_raw!$A$2:$A$9997,dd_design_raw!$C$2:$C$9997,"",0)</f>
        <v>0</v>
      </c>
      <c r="C134" s="16"/>
      <c r="D134" s="16" t="str">
        <f>IF(C134&lt;&gt;"", IF(I134="Height",_xlfn.XLOOKUP(C134,calc_s60!$C$15:$C$1000,calc_s60!$X$15:$X$1000,"",0), _xlfn.XLOOKUP(C134,calc_s60!$C$15:$C$1000,calc_s60!$Z$15:$Z$1000,"",0)),"")</f>
        <v/>
      </c>
      <c r="E134" s="16" t="str" cm="1">
        <f t="array" ref="E134">IF(C134&lt;&gt;"", _xlfn.XLOOKUP(1,((SKUs!$A$2:$A$10001=cl_unmerged!B134) * (ISNUMBER(SEARCH("Sash",SKUs!$J$2:$J$10001)))), SKUs!$J$2:$J$10001,""),"") &amp; _xlfn.IFS(I134="Height", ", H",I134="Height SLI", ", H SLI", I134="Height FIX", ", H FIX",I134="Width", ", W", I134="", "")</f>
        <v/>
      </c>
      <c r="F134" s="33" t="str" cm="1">
        <f t="array" ref="F134">_xlfn.XLOOKUP(1,((SKUs!$A$2:$A$10001=cl_unmerged!B134) * (ISNUMBER(SEARCH("Sash",SKUs!$J$2:$J$10001)))* (ISNUMBER(SEARCH(A134,SKUs!$C$2:$C$10001)))), SKUs!$C$2:$C$10001,"")</f>
        <v/>
      </c>
      <c r="G134" s="16"/>
      <c r="H134" s="31" t="str">
        <f>IF(C134&lt;&gt;"", IF(I134="Height",_xlfn.XLOOKUP(C134,calc_s60!$C$15:$C$1000,calc_s60!$W$15:$W$1000,"",0), _xlfn.XLOOKUP(C134,calc_s60!$C$15:$C$1000,calc_s60!$Y$15:$Y$1000,"",0)),"")</f>
        <v/>
      </c>
      <c r="I134" s="16" t="str">
        <f t="shared" si="3"/>
        <v/>
      </c>
    </row>
    <row r="135" spans="1:9" ht="13.5" customHeight="1" x14ac:dyDescent="0.25">
      <c r="A135" s="41" t="str">
        <f>_xlfn.XLOOKUP(G135,dd_color!$A$2:$A$8,dd_color!$B$2:$B$8,"",0)</f>
        <v/>
      </c>
      <c r="B135" s="41">
        <f>_xlfn.XLOOKUP(_xlfn.XLOOKUP(C135,'Project Details'!$C$17:$C$10003,'Project Details'!$E$17:$E$10003, "",0),dd_design_raw!$A$2:$A$9997,dd_design_raw!$C$2:$C$9997,"",0)</f>
        <v>0</v>
      </c>
      <c r="C135" s="16"/>
      <c r="D135" s="16" t="str">
        <f>IF(C135&lt;&gt;"", IF(I135="Height",_xlfn.XLOOKUP(C135,calc_s60!$C$15:$C$1000,calc_s60!$X$15:$X$1000,"",0), _xlfn.XLOOKUP(C135,calc_s60!$C$15:$C$1000,calc_s60!$Z$15:$Z$1000,"",0)),"")</f>
        <v/>
      </c>
      <c r="E135" s="16" t="str" cm="1">
        <f t="array" ref="E135">IF(C135&lt;&gt;"", _xlfn.XLOOKUP(1,((SKUs!$A$2:$A$10001=cl_unmerged!B135) * (ISNUMBER(SEARCH("Sash",SKUs!$J$2:$J$10001)))), SKUs!$J$2:$J$10001,""),"") &amp; _xlfn.IFS(I135="Height", ", H",I135="Height SLI", ", H SLI", I135="Height FIX", ", H FIX",I135="Width", ", W", I135="", "")</f>
        <v/>
      </c>
      <c r="F135" s="33" t="str" cm="1">
        <f t="array" ref="F135">_xlfn.XLOOKUP(1,((SKUs!$A$2:$A$10001=cl_unmerged!B135) * (ISNUMBER(SEARCH("Sash",SKUs!$J$2:$J$10001)))* (ISNUMBER(SEARCH(A135,SKUs!$C$2:$C$10001)))), SKUs!$C$2:$C$10001,"")</f>
        <v/>
      </c>
      <c r="G135" s="16"/>
      <c r="H135" s="31" t="str">
        <f>IF(C135&lt;&gt;"", IF(I135="Height",_xlfn.XLOOKUP(C135,calc_s60!$C$15:$C$1000,calc_s60!$W$15:$W$1000,"",0), _xlfn.XLOOKUP(C135,calc_s60!$C$15:$C$1000,calc_s60!$Y$15:$Y$1000,"",0)),"")</f>
        <v/>
      </c>
      <c r="I135" s="16" t="str">
        <f t="shared" si="3"/>
        <v/>
      </c>
    </row>
    <row r="136" spans="1:9" ht="13.5" customHeight="1" x14ac:dyDescent="0.25">
      <c r="A136" s="41" t="str">
        <f>_xlfn.XLOOKUP(G136,dd_color!$A$2:$A$8,dd_color!$B$2:$B$8,"",0)</f>
        <v/>
      </c>
      <c r="B136" s="41">
        <f>_xlfn.XLOOKUP(_xlfn.XLOOKUP(C136,'Project Details'!$C$17:$C$10003,'Project Details'!$E$17:$E$10003, "",0),dd_design_raw!$A$2:$A$9997,dd_design_raw!$C$2:$C$9997,"",0)</f>
        <v>0</v>
      </c>
      <c r="C136" s="16"/>
      <c r="D136" s="16" t="str">
        <f>IF(C136&lt;&gt;"", IF(I136="Height",_xlfn.XLOOKUP(C136,calc_s60!$C$15:$C$1000,calc_s60!$X$15:$X$1000,"",0), _xlfn.XLOOKUP(C136,calc_s60!$C$15:$C$1000,calc_s60!$Z$15:$Z$1000,"",0)),"")</f>
        <v/>
      </c>
      <c r="E136" s="16" t="str" cm="1">
        <f t="array" ref="E136">IF(C136&lt;&gt;"", _xlfn.XLOOKUP(1,((SKUs!$A$2:$A$10001=cl_unmerged!B136) * (ISNUMBER(SEARCH("Sash",SKUs!$J$2:$J$10001)))), SKUs!$J$2:$J$10001,""),"") &amp; _xlfn.IFS(I136="Height", ", H",I136="Height SLI", ", H SLI", I136="Height FIX", ", H FIX",I136="Width", ", W", I136="", "")</f>
        <v/>
      </c>
      <c r="F136" s="33" t="str" cm="1">
        <f t="array" ref="F136">_xlfn.XLOOKUP(1,((SKUs!$A$2:$A$10001=cl_unmerged!B136) * (ISNUMBER(SEARCH("Sash",SKUs!$J$2:$J$10001)))* (ISNUMBER(SEARCH(A136,SKUs!$C$2:$C$10001)))), SKUs!$C$2:$C$10001,"")</f>
        <v/>
      </c>
      <c r="G136" s="16"/>
      <c r="H136" s="31" t="str">
        <f>IF(C136&lt;&gt;"", IF(I136="Height",_xlfn.XLOOKUP(C136,calc_s60!$C$15:$C$1000,calc_s60!$W$15:$W$1000,"",0), _xlfn.XLOOKUP(C136,calc_s60!$C$15:$C$1000,calc_s60!$Y$15:$Y$1000,"",0)),"")</f>
        <v/>
      </c>
      <c r="I136" s="16" t="str">
        <f t="shared" si="3"/>
        <v/>
      </c>
    </row>
    <row r="137" spans="1:9" ht="13.5" customHeight="1" x14ac:dyDescent="0.25">
      <c r="A137" s="41" t="str">
        <f>_xlfn.XLOOKUP(G137,dd_color!$A$2:$A$8,dd_color!$B$2:$B$8,"",0)</f>
        <v/>
      </c>
      <c r="B137" s="41">
        <f>_xlfn.XLOOKUP(_xlfn.XLOOKUP(C137,'Project Details'!$C$17:$C$10003,'Project Details'!$E$17:$E$10003, "",0),dd_design_raw!$A$2:$A$9997,dd_design_raw!$C$2:$C$9997,"",0)</f>
        <v>0</v>
      </c>
      <c r="C137" s="16"/>
      <c r="D137" s="16" t="str">
        <f>IF(C137&lt;&gt;"", IF(I137="Height",_xlfn.XLOOKUP(C137,calc_s60!$C$15:$C$1000,calc_s60!$X$15:$X$1000,"",0), _xlfn.XLOOKUP(C137,calc_s60!$C$15:$C$1000,calc_s60!$Z$15:$Z$1000,"",0)),"")</f>
        <v/>
      </c>
      <c r="E137" s="16" t="str" cm="1">
        <f t="array" ref="E137">IF(C137&lt;&gt;"", _xlfn.XLOOKUP(1,((SKUs!$A$2:$A$10001=cl_unmerged!B137) * (ISNUMBER(SEARCH("Sash",SKUs!$J$2:$J$10001)))), SKUs!$J$2:$J$10001,""),"") &amp; _xlfn.IFS(I137="Height", ", H",I137="Height SLI", ", H SLI", I137="Height FIX", ", H FIX",I137="Width", ", W", I137="", "")</f>
        <v/>
      </c>
      <c r="F137" s="33" t="str" cm="1">
        <f t="array" ref="F137">_xlfn.XLOOKUP(1,((SKUs!$A$2:$A$10001=cl_unmerged!B137) * (ISNUMBER(SEARCH("Sash",SKUs!$J$2:$J$10001)))* (ISNUMBER(SEARCH(A137,SKUs!$C$2:$C$10001)))), SKUs!$C$2:$C$10001,"")</f>
        <v/>
      </c>
      <c r="G137" s="16"/>
      <c r="H137" s="31" t="str">
        <f>IF(C137&lt;&gt;"", IF(I137="Height",_xlfn.XLOOKUP(C137,calc_s60!$C$15:$C$1000,calc_s60!$W$15:$W$1000,"",0), _xlfn.XLOOKUP(C137,calc_s60!$C$15:$C$1000,calc_s60!$Y$15:$Y$1000,"",0)),"")</f>
        <v/>
      </c>
      <c r="I137" s="16" t="str">
        <f t="shared" si="3"/>
        <v/>
      </c>
    </row>
    <row r="138" spans="1:9" ht="13.5" customHeight="1" x14ac:dyDescent="0.25">
      <c r="A138" s="41" t="str">
        <f>_xlfn.XLOOKUP(G138,dd_color!$A$2:$A$8,dd_color!$B$2:$B$8,"",0)</f>
        <v/>
      </c>
      <c r="B138" s="41">
        <f>_xlfn.XLOOKUP(_xlfn.XLOOKUP(C138,'Project Details'!$C$17:$C$10003,'Project Details'!$E$17:$E$10003, "",0),dd_design_raw!$A$2:$A$9997,dd_design_raw!$C$2:$C$9997,"",0)</f>
        <v>0</v>
      </c>
      <c r="C138" s="16"/>
      <c r="D138" s="16" t="str">
        <f>IF(C138&lt;&gt;"", IF(I138="Height",_xlfn.XLOOKUP(C138,calc_s60!$C$15:$C$1000,calc_s60!$X$15:$X$1000,"",0), _xlfn.XLOOKUP(C138,calc_s60!$C$15:$C$1000,calc_s60!$Z$15:$Z$1000,"",0)),"")</f>
        <v/>
      </c>
      <c r="E138" s="16" t="str" cm="1">
        <f t="array" ref="E138">IF(C138&lt;&gt;"", _xlfn.XLOOKUP(1,((SKUs!$A$2:$A$10001=cl_unmerged!B138) * (ISNUMBER(SEARCH("Sash",SKUs!$J$2:$J$10001)))), SKUs!$J$2:$J$10001,""),"") &amp; _xlfn.IFS(I138="Height", ", H",I138="Height SLI", ", H SLI", I138="Height FIX", ", H FIX",I138="Width", ", W", I138="", "")</f>
        <v/>
      </c>
      <c r="F138" s="33" t="str" cm="1">
        <f t="array" ref="F138">_xlfn.XLOOKUP(1,((SKUs!$A$2:$A$10001=cl_unmerged!B138) * (ISNUMBER(SEARCH("Sash",SKUs!$J$2:$J$10001)))* (ISNUMBER(SEARCH(A138,SKUs!$C$2:$C$10001)))), SKUs!$C$2:$C$10001,"")</f>
        <v/>
      </c>
      <c r="G138" s="16"/>
      <c r="H138" s="31" t="str">
        <f>IF(C138&lt;&gt;"", IF(I138="Height",_xlfn.XLOOKUP(C138,calc_s60!$C$15:$C$1000,calc_s60!$W$15:$W$1000,"",0), _xlfn.XLOOKUP(C138,calc_s60!$C$15:$C$1000,calc_s60!$Y$15:$Y$1000,"",0)),"")</f>
        <v/>
      </c>
      <c r="I138" s="16" t="str">
        <f t="shared" si="3"/>
        <v/>
      </c>
    </row>
    <row r="139" spans="1:9" ht="13.5" customHeight="1" x14ac:dyDescent="0.25">
      <c r="A139" s="41" t="str">
        <f>_xlfn.XLOOKUP(G139,dd_color!$A$2:$A$8,dd_color!$B$2:$B$8,"",0)</f>
        <v/>
      </c>
      <c r="B139" s="41">
        <f>_xlfn.XLOOKUP(_xlfn.XLOOKUP(C139,'Project Details'!$C$17:$C$10003,'Project Details'!$E$17:$E$10003, "",0),dd_design_raw!$A$2:$A$9997,dd_design_raw!$C$2:$C$9997,"",0)</f>
        <v>0</v>
      </c>
      <c r="C139" s="16"/>
      <c r="D139" s="16" t="str">
        <f>IF(C139&lt;&gt;"", IF(I139="Height",_xlfn.XLOOKUP(C139,calc_s60!$C$15:$C$1000,calc_s60!$X$15:$X$1000,"",0), _xlfn.XLOOKUP(C139,calc_s60!$C$15:$C$1000,calc_s60!$Z$15:$Z$1000,"",0)),"")</f>
        <v/>
      </c>
      <c r="E139" s="16" t="str" cm="1">
        <f t="array" ref="E139">IF(C139&lt;&gt;"", _xlfn.XLOOKUP(1,((SKUs!$A$2:$A$10001=cl_unmerged!B139) * (ISNUMBER(SEARCH("Sash",SKUs!$J$2:$J$10001)))), SKUs!$J$2:$J$10001,""),"") &amp; _xlfn.IFS(I139="Height", ", H",I139="Height SLI", ", H SLI", I139="Height FIX", ", H FIX",I139="Width", ", W", I139="", "")</f>
        <v/>
      </c>
      <c r="F139" s="33" t="str" cm="1">
        <f t="array" ref="F139">_xlfn.XLOOKUP(1,((SKUs!$A$2:$A$10001=cl_unmerged!B139) * (ISNUMBER(SEARCH("Sash",SKUs!$J$2:$J$10001)))* (ISNUMBER(SEARCH(A139,SKUs!$C$2:$C$10001)))), SKUs!$C$2:$C$10001,"")</f>
        <v/>
      </c>
      <c r="G139" s="16"/>
      <c r="H139" s="31" t="str">
        <f>IF(C139&lt;&gt;"", IF(I139="Height",_xlfn.XLOOKUP(C139,calc_s60!$C$15:$C$1000,calc_s60!$W$15:$W$1000,"",0), _xlfn.XLOOKUP(C139,calc_s60!$C$15:$C$1000,calc_s60!$Y$15:$Y$1000,"",0)),"")</f>
        <v/>
      </c>
      <c r="I139" s="16" t="str">
        <f t="shared" si="3"/>
        <v/>
      </c>
    </row>
    <row r="140" spans="1:9" ht="13.5" customHeight="1" x14ac:dyDescent="0.25">
      <c r="A140" s="41" t="str">
        <f>_xlfn.XLOOKUP(G140,dd_color!$A$2:$A$8,dd_color!$B$2:$B$8,"",0)</f>
        <v/>
      </c>
      <c r="B140" s="41">
        <f>_xlfn.XLOOKUP(_xlfn.XLOOKUP(C140,'Project Details'!$C$17:$C$10003,'Project Details'!$E$17:$E$10003, "",0),dd_design_raw!$A$2:$A$9997,dd_design_raw!$C$2:$C$9997,"",0)</f>
        <v>0</v>
      </c>
      <c r="C140" s="16"/>
      <c r="D140" s="16" t="str">
        <f>IF(C140&lt;&gt;"", IF(I140="Height",_xlfn.XLOOKUP(C140,calc_s60!$C$15:$C$1000,calc_s60!$X$15:$X$1000,"",0), _xlfn.XLOOKUP(C140,calc_s60!$C$15:$C$1000,calc_s60!$Z$15:$Z$1000,"",0)),"")</f>
        <v/>
      </c>
      <c r="E140" s="16" t="str" cm="1">
        <f t="array" ref="E140">IF(C140&lt;&gt;"", _xlfn.XLOOKUP(1,((SKUs!$A$2:$A$10001=cl_unmerged!B140) * (ISNUMBER(SEARCH("Sash",SKUs!$J$2:$J$10001)))), SKUs!$J$2:$J$10001,""),"") &amp; _xlfn.IFS(I140="Height", ", H",I140="Height SLI", ", H SLI", I140="Height FIX", ", H FIX",I140="Width", ", W", I140="", "")</f>
        <v/>
      </c>
      <c r="F140" s="33" t="str" cm="1">
        <f t="array" ref="F140">_xlfn.XLOOKUP(1,((SKUs!$A$2:$A$10001=cl_unmerged!B140) * (ISNUMBER(SEARCH("Sash",SKUs!$J$2:$J$10001)))* (ISNUMBER(SEARCH(A140,SKUs!$C$2:$C$10001)))), SKUs!$C$2:$C$10001,"")</f>
        <v/>
      </c>
      <c r="G140" s="16"/>
      <c r="H140" s="31" t="str">
        <f>IF(C140&lt;&gt;"", IF(I140="Height",_xlfn.XLOOKUP(C140,calc_s60!$C$15:$C$1000,calc_s60!$W$15:$W$1000,"",0), _xlfn.XLOOKUP(C140,calc_s60!$C$15:$C$1000,calc_s60!$Y$15:$Y$1000,"",0)),"")</f>
        <v/>
      </c>
      <c r="I140" s="16" t="str">
        <f t="shared" si="3"/>
        <v/>
      </c>
    </row>
    <row r="141" spans="1:9" ht="13.5" customHeight="1" x14ac:dyDescent="0.25">
      <c r="A141" s="41" t="str">
        <f>_xlfn.XLOOKUP(G141,dd_color!$A$2:$A$8,dd_color!$B$2:$B$8,"",0)</f>
        <v/>
      </c>
      <c r="B141" s="41">
        <f>_xlfn.XLOOKUP(_xlfn.XLOOKUP(C141,'Project Details'!$C$17:$C$10003,'Project Details'!$E$17:$E$10003, "",0),dd_design_raw!$A$2:$A$9997,dd_design_raw!$C$2:$C$9997,"",0)</f>
        <v>0</v>
      </c>
      <c r="C141" s="16"/>
      <c r="D141" s="16" t="str">
        <f>IF(C141&lt;&gt;"", IF(I141="Height",_xlfn.XLOOKUP(C141,calc_s60!$C$15:$C$1000,calc_s60!$X$15:$X$1000,"",0), _xlfn.XLOOKUP(C141,calc_s60!$C$15:$C$1000,calc_s60!$Z$15:$Z$1000,"",0)),"")</f>
        <v/>
      </c>
      <c r="E141" s="16" t="str" cm="1">
        <f t="array" ref="E141">IF(C141&lt;&gt;"", _xlfn.XLOOKUP(1,((SKUs!$A$2:$A$10001=cl_unmerged!B141) * (ISNUMBER(SEARCH("Sash",SKUs!$J$2:$J$10001)))), SKUs!$J$2:$J$10001,""),"") &amp; _xlfn.IFS(I141="Height", ", H",I141="Height SLI", ", H SLI", I141="Height FIX", ", H FIX",I141="Width", ", W", I141="", "")</f>
        <v/>
      </c>
      <c r="F141" s="33" t="str" cm="1">
        <f t="array" ref="F141">_xlfn.XLOOKUP(1,((SKUs!$A$2:$A$10001=cl_unmerged!B141) * (ISNUMBER(SEARCH("Sash",SKUs!$J$2:$J$10001)))* (ISNUMBER(SEARCH(A141,SKUs!$C$2:$C$10001)))), SKUs!$C$2:$C$10001,"")</f>
        <v/>
      </c>
      <c r="G141" s="16"/>
      <c r="H141" s="31" t="str">
        <f>IF(C141&lt;&gt;"", IF(I141="Height",_xlfn.XLOOKUP(C141,calc_s60!$C$15:$C$1000,calc_s60!$W$15:$W$1000,"",0), _xlfn.XLOOKUP(C141,calc_s60!$C$15:$C$1000,calc_s60!$Y$15:$Y$1000,"",0)),"")</f>
        <v/>
      </c>
      <c r="I141" s="16" t="str">
        <f t="shared" si="3"/>
        <v/>
      </c>
    </row>
    <row r="142" spans="1:9" ht="13.5" customHeight="1" x14ac:dyDescent="0.25">
      <c r="A142" s="41" t="str">
        <f>_xlfn.XLOOKUP(G142,dd_color!$A$2:$A$8,dd_color!$B$2:$B$8,"",0)</f>
        <v/>
      </c>
      <c r="B142" s="41">
        <f>_xlfn.XLOOKUP(_xlfn.XLOOKUP(C142,'Project Details'!$C$17:$C$10003,'Project Details'!$E$17:$E$10003, "",0),dd_design_raw!$A$2:$A$9997,dd_design_raw!$C$2:$C$9997,"",0)</f>
        <v>0</v>
      </c>
      <c r="C142" s="16"/>
      <c r="D142" s="16" t="str">
        <f>IF(C142&lt;&gt;"", IF(I142="Height",_xlfn.XLOOKUP(C142,calc_s60!$C$15:$C$1000,calc_s60!$X$15:$X$1000,"",0), _xlfn.XLOOKUP(C142,calc_s60!$C$15:$C$1000,calc_s60!$Z$15:$Z$1000,"",0)),"")</f>
        <v/>
      </c>
      <c r="E142" s="16" t="str" cm="1">
        <f t="array" ref="E142">IF(C142&lt;&gt;"", _xlfn.XLOOKUP(1,((SKUs!$A$2:$A$10001=cl_unmerged!B142) * (ISNUMBER(SEARCH("Sash",SKUs!$J$2:$J$10001)))), SKUs!$J$2:$J$10001,""),"") &amp; _xlfn.IFS(I142="Height", ", H",I142="Height SLI", ", H SLI", I142="Height FIX", ", H FIX",I142="Width", ", W", I142="", "")</f>
        <v/>
      </c>
      <c r="F142" s="33" t="str" cm="1">
        <f t="array" ref="F142">_xlfn.XLOOKUP(1,((SKUs!$A$2:$A$10001=cl_unmerged!B142) * (ISNUMBER(SEARCH("Sash",SKUs!$J$2:$J$10001)))* (ISNUMBER(SEARCH(A142,SKUs!$C$2:$C$10001)))), SKUs!$C$2:$C$10001,"")</f>
        <v/>
      </c>
      <c r="G142" s="16"/>
      <c r="H142" s="31" t="str">
        <f>IF(C142&lt;&gt;"", IF(I142="Height",_xlfn.XLOOKUP(C142,calc_s60!$C$15:$C$1000,calc_s60!$W$15:$W$1000,"",0), _xlfn.XLOOKUP(C142,calc_s60!$C$15:$C$1000,calc_s60!$Y$15:$Y$1000,"",0)),"")</f>
        <v/>
      </c>
      <c r="I142" s="16" t="str">
        <f t="shared" si="3"/>
        <v/>
      </c>
    </row>
    <row r="143" spans="1:9" ht="13.5" customHeight="1" x14ac:dyDescent="0.25">
      <c r="A143" s="41" t="str">
        <f>_xlfn.XLOOKUP(G143,dd_color!$A$2:$A$8,dd_color!$B$2:$B$8,"",0)</f>
        <v/>
      </c>
      <c r="B143" s="41">
        <f>_xlfn.XLOOKUP(_xlfn.XLOOKUP(C143,'Project Details'!$C$17:$C$10003,'Project Details'!$E$17:$E$10003, "",0),dd_design_raw!$A$2:$A$9997,dd_design_raw!$C$2:$C$9997,"",0)</f>
        <v>0</v>
      </c>
      <c r="C143" s="16"/>
      <c r="D143" s="16" t="str">
        <f>IF(C143&lt;&gt;"", IF(I143="Height",_xlfn.XLOOKUP(C143,calc_s60!$C$15:$C$1000,calc_s60!$X$15:$X$1000,"",0), _xlfn.XLOOKUP(C143,calc_s60!$C$15:$C$1000,calc_s60!$Z$15:$Z$1000,"",0)),"")</f>
        <v/>
      </c>
      <c r="E143" s="16" t="str" cm="1">
        <f t="array" ref="E143">IF(C143&lt;&gt;"", _xlfn.XLOOKUP(1,((SKUs!$A$2:$A$10001=cl_unmerged!B143) * (ISNUMBER(SEARCH("Sash",SKUs!$J$2:$J$10001)))), SKUs!$J$2:$J$10001,""),"") &amp; _xlfn.IFS(I143="Height", ", H",I143="Height SLI", ", H SLI", I143="Height FIX", ", H FIX",I143="Width", ", W", I143="", "")</f>
        <v/>
      </c>
      <c r="F143" s="33" t="str" cm="1">
        <f t="array" ref="F143">_xlfn.XLOOKUP(1,((SKUs!$A$2:$A$10001=cl_unmerged!B143) * (ISNUMBER(SEARCH("Sash",SKUs!$J$2:$J$10001)))* (ISNUMBER(SEARCH(A143,SKUs!$C$2:$C$10001)))), SKUs!$C$2:$C$10001,"")</f>
        <v/>
      </c>
      <c r="G143" s="16"/>
      <c r="H143" s="31" t="str">
        <f>IF(C143&lt;&gt;"", IF(I143="Height",_xlfn.XLOOKUP(C143,calc_s60!$C$15:$C$1000,calc_s60!$W$15:$W$1000,"",0), _xlfn.XLOOKUP(C143,calc_s60!$C$15:$C$1000,calc_s60!$Y$15:$Y$1000,"",0)),"")</f>
        <v/>
      </c>
      <c r="I143" s="16" t="str">
        <f t="shared" si="3"/>
        <v/>
      </c>
    </row>
    <row r="144" spans="1:9" ht="13.5" customHeight="1" x14ac:dyDescent="0.25">
      <c r="A144" s="41" t="str">
        <f>_xlfn.XLOOKUP(G144,dd_color!$A$2:$A$8,dd_color!$B$2:$B$8,"",0)</f>
        <v/>
      </c>
      <c r="B144" s="41">
        <f>_xlfn.XLOOKUP(_xlfn.XLOOKUP(C144,'Project Details'!$C$17:$C$10003,'Project Details'!$E$17:$E$10003, "",0),dd_design_raw!$A$2:$A$9997,dd_design_raw!$C$2:$C$9997,"",0)</f>
        <v>0</v>
      </c>
      <c r="C144" s="16"/>
      <c r="D144" s="16" t="str">
        <f>IF(C144&lt;&gt;"", IF(I144="Height",_xlfn.XLOOKUP(C144,calc_s60!$C$15:$C$1000,calc_s60!$X$15:$X$1000,"",0), _xlfn.XLOOKUP(C144,calc_s60!$C$15:$C$1000,calc_s60!$Z$15:$Z$1000,"",0)),"")</f>
        <v/>
      </c>
      <c r="E144" s="16" t="str" cm="1">
        <f t="array" ref="E144">IF(C144&lt;&gt;"", _xlfn.XLOOKUP(1,((SKUs!$A$2:$A$10001=cl_unmerged!B144) * (ISNUMBER(SEARCH("Sash",SKUs!$J$2:$J$10001)))), SKUs!$J$2:$J$10001,""),"") &amp; _xlfn.IFS(I144="Height", ", H",I144="Height SLI", ", H SLI", I144="Height FIX", ", H FIX",I144="Width", ", W", I144="", "")</f>
        <v/>
      </c>
      <c r="F144" s="33" t="str" cm="1">
        <f t="array" ref="F144">_xlfn.XLOOKUP(1,((SKUs!$A$2:$A$10001=cl_unmerged!B144) * (ISNUMBER(SEARCH("Sash",SKUs!$J$2:$J$10001)))* (ISNUMBER(SEARCH(A144,SKUs!$C$2:$C$10001)))), SKUs!$C$2:$C$10001,"")</f>
        <v/>
      </c>
      <c r="G144" s="16"/>
      <c r="H144" s="31" t="str">
        <f>IF(C144&lt;&gt;"", IF(I144="Height",_xlfn.XLOOKUP(C144,calc_s60!$C$15:$C$1000,calc_s60!$W$15:$W$1000,"",0), _xlfn.XLOOKUP(C144,calc_s60!$C$15:$C$1000,calc_s60!$Y$15:$Y$1000,"",0)),"")</f>
        <v/>
      </c>
      <c r="I144" s="16" t="str">
        <f t="shared" si="3"/>
        <v/>
      </c>
    </row>
    <row r="145" spans="1:9" ht="13.5" customHeight="1" x14ac:dyDescent="0.25">
      <c r="A145" s="41" t="str">
        <f>_xlfn.XLOOKUP(G145,dd_color!$A$2:$A$8,dd_color!$B$2:$B$8,"",0)</f>
        <v/>
      </c>
      <c r="B145" s="41">
        <f>_xlfn.XLOOKUP(_xlfn.XLOOKUP(C145,'Project Details'!$C$17:$C$10003,'Project Details'!$E$17:$E$10003, "",0),dd_design_raw!$A$2:$A$9997,dd_design_raw!$C$2:$C$9997,"",0)</f>
        <v>0</v>
      </c>
      <c r="C145" s="16"/>
      <c r="D145" s="16" t="str">
        <f>IF(C145&lt;&gt;"", IF(I145="Height",_xlfn.XLOOKUP(C145,calc_s60!$C$15:$C$1000,calc_s60!$X$15:$X$1000,"",0), _xlfn.XLOOKUP(C145,calc_s60!$C$15:$C$1000,calc_s60!$Z$15:$Z$1000,"",0)),"")</f>
        <v/>
      </c>
      <c r="E145" s="16" t="str" cm="1">
        <f t="array" ref="E145">IF(C145&lt;&gt;"", _xlfn.XLOOKUP(1,((SKUs!$A$2:$A$10001=cl_unmerged!B145) * (ISNUMBER(SEARCH("Sash",SKUs!$J$2:$J$10001)))), SKUs!$J$2:$J$10001,""),"") &amp; _xlfn.IFS(I145="Height", ", H",I145="Height SLI", ", H SLI", I145="Height FIX", ", H FIX",I145="Width", ", W", I145="", "")</f>
        <v/>
      </c>
      <c r="F145" s="33" t="str" cm="1">
        <f t="array" ref="F145">_xlfn.XLOOKUP(1,((SKUs!$A$2:$A$10001=cl_unmerged!B145) * (ISNUMBER(SEARCH("Sash",SKUs!$J$2:$J$10001)))* (ISNUMBER(SEARCH(A145,SKUs!$C$2:$C$10001)))), SKUs!$C$2:$C$10001,"")</f>
        <v/>
      </c>
      <c r="G145" s="16"/>
      <c r="H145" s="31" t="str">
        <f>IF(C145&lt;&gt;"", IF(I145="Height",_xlfn.XLOOKUP(C145,calc_s60!$C$15:$C$1000,calc_s60!$W$15:$W$1000,"",0), _xlfn.XLOOKUP(C145,calc_s60!$C$15:$C$1000,calc_s60!$Y$15:$Y$1000,"",0)),"")</f>
        <v/>
      </c>
      <c r="I145" s="16" t="str">
        <f t="shared" si="3"/>
        <v/>
      </c>
    </row>
    <row r="146" spans="1:9" ht="13.5" customHeight="1" x14ac:dyDescent="0.25">
      <c r="A146" s="41" t="str">
        <f>_xlfn.XLOOKUP(G146,dd_color!$A$2:$A$8,dd_color!$B$2:$B$8,"",0)</f>
        <v/>
      </c>
      <c r="B146" s="41">
        <f>_xlfn.XLOOKUP(_xlfn.XLOOKUP(C146,'Project Details'!$C$17:$C$10003,'Project Details'!$E$17:$E$10003, "",0),dd_design_raw!$A$2:$A$9997,dd_design_raw!$C$2:$C$9997,"",0)</f>
        <v>0</v>
      </c>
      <c r="C146" s="16"/>
      <c r="D146" s="16" t="str">
        <f>IF(C146&lt;&gt;"", IF(I146="Height",_xlfn.XLOOKUP(C146,calc_s60!$C$15:$C$1000,calc_s60!$X$15:$X$1000,"",0), _xlfn.XLOOKUP(C146,calc_s60!$C$15:$C$1000,calc_s60!$Z$15:$Z$1000,"",0)),"")</f>
        <v/>
      </c>
      <c r="E146" s="16" t="str" cm="1">
        <f t="array" ref="E146">IF(C146&lt;&gt;"", _xlfn.XLOOKUP(1,((SKUs!$A$2:$A$10001=cl_unmerged!B146) * (ISNUMBER(SEARCH("Sash",SKUs!$J$2:$J$10001)))), SKUs!$J$2:$J$10001,""),"") &amp; _xlfn.IFS(I146="Height", ", H",I146="Height SLI", ", H SLI", I146="Height FIX", ", H FIX",I146="Width", ", W", I146="", "")</f>
        <v/>
      </c>
      <c r="F146" s="33" t="str" cm="1">
        <f t="array" ref="F146">_xlfn.XLOOKUP(1,((SKUs!$A$2:$A$10001=cl_unmerged!B146) * (ISNUMBER(SEARCH("Sash",SKUs!$J$2:$J$10001)))* (ISNUMBER(SEARCH(A146,SKUs!$C$2:$C$10001)))), SKUs!$C$2:$C$10001,"")</f>
        <v/>
      </c>
      <c r="G146" s="16"/>
      <c r="H146" s="31" t="str">
        <f>IF(C146&lt;&gt;"", IF(I146="Height",_xlfn.XLOOKUP(C146,calc_s60!$C$15:$C$1000,calc_s60!$W$15:$W$1000,"",0), _xlfn.XLOOKUP(C146,calc_s60!$C$15:$C$1000,calc_s60!$Y$15:$Y$1000,"",0)),"")</f>
        <v/>
      </c>
      <c r="I146" s="16" t="str">
        <f t="shared" si="3"/>
        <v/>
      </c>
    </row>
    <row r="147" spans="1:9" ht="13.5" customHeight="1" x14ac:dyDescent="0.25">
      <c r="A147" s="41" t="str">
        <f>_xlfn.XLOOKUP(G147,dd_color!$A$2:$A$8,dd_color!$B$2:$B$8,"",0)</f>
        <v/>
      </c>
      <c r="B147" s="41">
        <f>_xlfn.XLOOKUP(_xlfn.XLOOKUP(C147,'Project Details'!$C$17:$C$10003,'Project Details'!$E$17:$E$10003, "",0),dd_design_raw!$A$2:$A$9997,dd_design_raw!$C$2:$C$9997,"",0)</f>
        <v>0</v>
      </c>
      <c r="C147" s="16"/>
      <c r="D147" s="16" t="str">
        <f>IF(C147&lt;&gt;"", IF(I147="Height",_xlfn.XLOOKUP(C147,calc_s60!$C$15:$C$1000,calc_s60!$X$15:$X$1000,"",0), _xlfn.XLOOKUP(C147,calc_s60!$C$15:$C$1000,calc_s60!$Z$15:$Z$1000,"",0)),"")</f>
        <v/>
      </c>
      <c r="E147" s="16" t="str" cm="1">
        <f t="array" ref="E147">IF(C147&lt;&gt;"", _xlfn.XLOOKUP(1,((SKUs!$A$2:$A$10001=cl_unmerged!B147) * (ISNUMBER(SEARCH("Sash",SKUs!$J$2:$J$10001)))), SKUs!$J$2:$J$10001,""),"") &amp; _xlfn.IFS(I147="Height", ", H",I147="Height SLI", ", H SLI", I147="Height FIX", ", H FIX",I147="Width", ", W", I147="", "")</f>
        <v/>
      </c>
      <c r="F147" s="33" t="str" cm="1">
        <f t="array" ref="F147">_xlfn.XLOOKUP(1,((SKUs!$A$2:$A$10001=cl_unmerged!B147) * (ISNUMBER(SEARCH("Sash",SKUs!$J$2:$J$10001)))* (ISNUMBER(SEARCH(A147,SKUs!$C$2:$C$10001)))), SKUs!$C$2:$C$10001,"")</f>
        <v/>
      </c>
      <c r="G147" s="16"/>
      <c r="H147" s="31" t="str">
        <f>IF(C147&lt;&gt;"", IF(I147="Height",_xlfn.XLOOKUP(C147,calc_s60!$C$15:$C$1000,calc_s60!$W$15:$W$1000,"",0), _xlfn.XLOOKUP(C147,calc_s60!$C$15:$C$1000,calc_s60!$Y$15:$Y$1000,"",0)),"")</f>
        <v/>
      </c>
      <c r="I147" s="16" t="str">
        <f t="shared" si="3"/>
        <v/>
      </c>
    </row>
    <row r="148" spans="1:9" ht="13.5" customHeight="1" x14ac:dyDescent="0.25">
      <c r="A148" s="41" t="str">
        <f>_xlfn.XLOOKUP(G148,dd_color!$A$2:$A$8,dd_color!$B$2:$B$8,"",0)</f>
        <v/>
      </c>
      <c r="B148" s="41">
        <f>_xlfn.XLOOKUP(_xlfn.XLOOKUP(C148,'Project Details'!$C$17:$C$10003,'Project Details'!$E$17:$E$10003, "",0),dd_design_raw!$A$2:$A$9997,dd_design_raw!$C$2:$C$9997,"",0)</f>
        <v>0</v>
      </c>
      <c r="C148" s="16"/>
      <c r="D148" s="16" t="str">
        <f>IF(C148&lt;&gt;"", IF(I148="Height",_xlfn.XLOOKUP(C148,calc_s60!$C$15:$C$1000,calc_s60!$X$15:$X$1000,"",0), _xlfn.XLOOKUP(C148,calc_s60!$C$15:$C$1000,calc_s60!$Z$15:$Z$1000,"",0)),"")</f>
        <v/>
      </c>
      <c r="E148" s="16" t="str" cm="1">
        <f t="array" ref="E148">IF(C148&lt;&gt;"", _xlfn.XLOOKUP(1,((SKUs!$A$2:$A$10001=cl_unmerged!B148) * (ISNUMBER(SEARCH("Sash",SKUs!$J$2:$J$10001)))), SKUs!$J$2:$J$10001,""),"") &amp; _xlfn.IFS(I148="Height", ", H",I148="Height SLI", ", H SLI", I148="Height FIX", ", H FIX",I148="Width", ", W", I148="", "")</f>
        <v/>
      </c>
      <c r="F148" s="33" t="str" cm="1">
        <f t="array" ref="F148">_xlfn.XLOOKUP(1,((SKUs!$A$2:$A$10001=cl_unmerged!B148) * (ISNUMBER(SEARCH("Sash",SKUs!$J$2:$J$10001)))* (ISNUMBER(SEARCH(A148,SKUs!$C$2:$C$10001)))), SKUs!$C$2:$C$10001,"")</f>
        <v/>
      </c>
      <c r="G148" s="16"/>
      <c r="H148" s="31" t="str">
        <f>IF(C148&lt;&gt;"", IF(I148="Height",_xlfn.XLOOKUP(C148,calc_s60!$C$15:$C$1000,calc_s60!$W$15:$W$1000,"",0), _xlfn.XLOOKUP(C148,calc_s60!$C$15:$C$1000,calc_s60!$Y$15:$Y$1000,"",0)),"")</f>
        <v/>
      </c>
      <c r="I148" s="16" t="str">
        <f t="shared" si="3"/>
        <v/>
      </c>
    </row>
    <row r="149" spans="1:9" ht="13.5" customHeight="1" x14ac:dyDescent="0.25">
      <c r="A149" s="41" t="str">
        <f>_xlfn.XLOOKUP(G149,dd_color!$A$2:$A$8,dd_color!$B$2:$B$8,"",0)</f>
        <v/>
      </c>
      <c r="B149" s="41">
        <f>_xlfn.XLOOKUP(_xlfn.XLOOKUP(C149,'Project Details'!$C$17:$C$10003,'Project Details'!$E$17:$E$10003, "",0),dd_design_raw!$A$2:$A$9997,dd_design_raw!$C$2:$C$9997,"",0)</f>
        <v>0</v>
      </c>
      <c r="C149" s="16"/>
      <c r="D149" s="16" t="str">
        <f>IF(C149&lt;&gt;"", IF(I149="Height",_xlfn.XLOOKUP(C149,calc_s60!$C$15:$C$1000,calc_s60!$X$15:$X$1000,"",0), _xlfn.XLOOKUP(C149,calc_s60!$C$15:$C$1000,calc_s60!$Z$15:$Z$1000,"",0)),"")</f>
        <v/>
      </c>
      <c r="E149" s="16" t="str" cm="1">
        <f t="array" ref="E149">IF(C149&lt;&gt;"", _xlfn.XLOOKUP(1,((SKUs!$A$2:$A$10001=cl_unmerged!B149) * (ISNUMBER(SEARCH("Sash",SKUs!$J$2:$J$10001)))), SKUs!$J$2:$J$10001,""),"") &amp; _xlfn.IFS(I149="Height", ", H",I149="Height SLI", ", H SLI", I149="Height FIX", ", H FIX",I149="Width", ", W", I149="", "")</f>
        <v/>
      </c>
      <c r="F149" s="33" t="str" cm="1">
        <f t="array" ref="F149">_xlfn.XLOOKUP(1,((SKUs!$A$2:$A$10001=cl_unmerged!B149) * (ISNUMBER(SEARCH("Sash",SKUs!$J$2:$J$10001)))* (ISNUMBER(SEARCH(A149,SKUs!$C$2:$C$10001)))), SKUs!$C$2:$C$10001,"")</f>
        <v/>
      </c>
      <c r="G149" s="16"/>
      <c r="H149" s="31" t="str">
        <f>IF(C149&lt;&gt;"", IF(I149="Height",_xlfn.XLOOKUP(C149,calc_s60!$C$15:$C$1000,calc_s60!$W$15:$W$1000,"",0), _xlfn.XLOOKUP(C149,calc_s60!$C$15:$C$1000,calc_s60!$Y$15:$Y$1000,"",0)),"")</f>
        <v/>
      </c>
      <c r="I149" s="16" t="str">
        <f t="shared" si="3"/>
        <v/>
      </c>
    </row>
    <row r="150" spans="1:9" ht="13.5" customHeight="1" x14ac:dyDescent="0.25">
      <c r="A150" s="41" t="str">
        <f>_xlfn.XLOOKUP(G150,dd_color!$A$2:$A$8,dd_color!$B$2:$B$8,"",0)</f>
        <v/>
      </c>
      <c r="B150" s="41">
        <f>_xlfn.XLOOKUP(_xlfn.XLOOKUP(C150,'Project Details'!$C$17:$C$10003,'Project Details'!$E$17:$E$10003, "",0),dd_design_raw!$A$2:$A$9997,dd_design_raw!$C$2:$C$9997,"",0)</f>
        <v>0</v>
      </c>
      <c r="C150" s="16"/>
      <c r="D150" s="16" t="str">
        <f>IF(C150&lt;&gt;"", IF(I150="Height",_xlfn.XLOOKUP(C150,calc_s60!$C$15:$C$1000,calc_s60!$X$15:$X$1000,"",0), _xlfn.XLOOKUP(C150,calc_s60!$C$15:$C$1000,calc_s60!$Z$15:$Z$1000,"",0)),"")</f>
        <v/>
      </c>
      <c r="E150" s="16" t="str" cm="1">
        <f t="array" ref="E150">IF(C150&lt;&gt;"", _xlfn.XLOOKUP(1,((SKUs!$A$2:$A$10001=cl_unmerged!B150) * (ISNUMBER(SEARCH("Sash",SKUs!$J$2:$J$10001)))), SKUs!$J$2:$J$10001,""),"") &amp; _xlfn.IFS(I150="Height", ", H",I150="Height SLI", ", H SLI", I150="Height FIX", ", H FIX",I150="Width", ", W", I150="", "")</f>
        <v/>
      </c>
      <c r="F150" s="33" t="str" cm="1">
        <f t="array" ref="F150">_xlfn.XLOOKUP(1,((SKUs!$A$2:$A$10001=cl_unmerged!B150) * (ISNUMBER(SEARCH("Sash",SKUs!$J$2:$J$10001)))* (ISNUMBER(SEARCH(A150,SKUs!$C$2:$C$10001)))), SKUs!$C$2:$C$10001,"")</f>
        <v/>
      </c>
      <c r="G150" s="16"/>
      <c r="H150" s="31" t="str">
        <f>IF(C150&lt;&gt;"", IF(I150="Height",_xlfn.XLOOKUP(C150,calc_s60!$C$15:$C$1000,calc_s60!$W$15:$W$1000,"",0), _xlfn.XLOOKUP(C150,calc_s60!$C$15:$C$1000,calc_s60!$Y$15:$Y$1000,"",0)),"")</f>
        <v/>
      </c>
      <c r="I150" s="16" t="str">
        <f t="shared" si="3"/>
        <v/>
      </c>
    </row>
    <row r="151" spans="1:9" ht="13.5" customHeight="1" x14ac:dyDescent="0.25">
      <c r="A151" s="41" t="str">
        <f>_xlfn.XLOOKUP(G151,dd_color!$A$2:$A$8,dd_color!$B$2:$B$8,"",0)</f>
        <v/>
      </c>
      <c r="B151" s="41">
        <f>_xlfn.XLOOKUP(_xlfn.XLOOKUP(C151,'Project Details'!$C$17:$C$10003,'Project Details'!$E$17:$E$10003, "",0),dd_design_raw!$A$2:$A$9997,dd_design_raw!$C$2:$C$9997,"",0)</f>
        <v>0</v>
      </c>
      <c r="C151" s="16"/>
      <c r="D151" s="16" t="str">
        <f>IF(C151&lt;&gt;"", IF(I151="Height",_xlfn.XLOOKUP(C151,calc_s60!$C$15:$C$1000,calc_s60!$X$15:$X$1000,"",0), _xlfn.XLOOKUP(C151,calc_s60!$C$15:$C$1000,calc_s60!$Z$15:$Z$1000,"",0)),"")</f>
        <v/>
      </c>
      <c r="E151" s="16" t="str" cm="1">
        <f t="array" ref="E151">IF(C151&lt;&gt;"", _xlfn.XLOOKUP(1,((SKUs!$A$2:$A$10001=cl_unmerged!B151) * (ISNUMBER(SEARCH("Sash",SKUs!$J$2:$J$10001)))), SKUs!$J$2:$J$10001,""),"") &amp; _xlfn.IFS(I151="Height", ", H",I151="Height SLI", ", H SLI", I151="Height FIX", ", H FIX",I151="Width", ", W", I151="", "")</f>
        <v/>
      </c>
      <c r="F151" s="33" t="str" cm="1">
        <f t="array" ref="F151">_xlfn.XLOOKUP(1,((SKUs!$A$2:$A$10001=cl_unmerged!B151) * (ISNUMBER(SEARCH("Sash",SKUs!$J$2:$J$10001)))* (ISNUMBER(SEARCH(A151,SKUs!$C$2:$C$10001)))), SKUs!$C$2:$C$10001,"")</f>
        <v/>
      </c>
      <c r="G151" s="16"/>
      <c r="H151" s="31" t="str">
        <f>IF(C151&lt;&gt;"", IF(I151="Height",_xlfn.XLOOKUP(C151,calc_s60!$C$15:$C$1000,calc_s60!$W$15:$W$1000,"",0), _xlfn.XLOOKUP(C151,calc_s60!$C$15:$C$1000,calc_s60!$Y$15:$Y$1000,"",0)),"")</f>
        <v/>
      </c>
      <c r="I151" s="16" t="str">
        <f t="shared" si="3"/>
        <v/>
      </c>
    </row>
    <row r="152" spans="1:9" ht="13.5" customHeight="1" x14ac:dyDescent="0.25">
      <c r="A152" s="41" t="str">
        <f>_xlfn.XLOOKUP(G152,dd_color!$A$2:$A$8,dd_color!$B$2:$B$8,"",0)</f>
        <v/>
      </c>
      <c r="B152" s="41">
        <f>_xlfn.XLOOKUP(_xlfn.XLOOKUP(C152,'Project Details'!$C$17:$C$10003,'Project Details'!$E$17:$E$10003, "",0),dd_design_raw!$A$2:$A$9997,dd_design_raw!$C$2:$C$9997,"",0)</f>
        <v>0</v>
      </c>
      <c r="C152" s="16"/>
      <c r="D152" s="16" t="str">
        <f>IF(C152&lt;&gt;"", IF(I152="Height",_xlfn.XLOOKUP(C152,calc_s60!$C$15:$C$1000,calc_s60!$X$15:$X$1000,"",0), _xlfn.XLOOKUP(C152,calc_s60!$C$15:$C$1000,calc_s60!$Z$15:$Z$1000,"",0)),"")</f>
        <v/>
      </c>
      <c r="E152" s="16" t="str" cm="1">
        <f t="array" ref="E152">IF(C152&lt;&gt;"", _xlfn.XLOOKUP(1,((SKUs!$A$2:$A$10001=cl_unmerged!B152) * (ISNUMBER(SEARCH("Sash",SKUs!$J$2:$J$10001)))), SKUs!$J$2:$J$10001,""),"") &amp; _xlfn.IFS(I152="Height", ", H",I152="Height SLI", ", H SLI", I152="Height FIX", ", H FIX",I152="Width", ", W", I152="", "")</f>
        <v/>
      </c>
      <c r="F152" s="33" t="str" cm="1">
        <f t="array" ref="F152">_xlfn.XLOOKUP(1,((SKUs!$A$2:$A$10001=cl_unmerged!B152) * (ISNUMBER(SEARCH("Sash",SKUs!$J$2:$J$10001)))* (ISNUMBER(SEARCH(A152,SKUs!$C$2:$C$10001)))), SKUs!$C$2:$C$10001,"")</f>
        <v/>
      </c>
      <c r="G152" s="16"/>
      <c r="H152" s="31" t="str">
        <f>IF(C152&lt;&gt;"", IF(I152="Height",_xlfn.XLOOKUP(C152,calc_s60!$C$15:$C$1000,calc_s60!$W$15:$W$1000,"",0), _xlfn.XLOOKUP(C152,calc_s60!$C$15:$C$1000,calc_s60!$Y$15:$Y$1000,"",0)),"")</f>
        <v/>
      </c>
      <c r="I152" s="16" t="str">
        <f t="shared" si="3"/>
        <v/>
      </c>
    </row>
    <row r="153" spans="1:9" ht="13.5" customHeight="1" x14ac:dyDescent="0.25">
      <c r="A153" s="41" t="str">
        <f>_xlfn.XLOOKUP(G153,dd_color!$A$2:$A$8,dd_color!$B$2:$B$8,"",0)</f>
        <v/>
      </c>
      <c r="B153" s="41">
        <f>_xlfn.XLOOKUP(_xlfn.XLOOKUP(C153,'Project Details'!$C$17:$C$10003,'Project Details'!$E$17:$E$10003, "",0),dd_design_raw!$A$2:$A$9997,dd_design_raw!$C$2:$C$9997,"",0)</f>
        <v>0</v>
      </c>
      <c r="C153" s="16"/>
      <c r="D153" s="16" t="str">
        <f>IF(C153&lt;&gt;"", IF(I153="Height",_xlfn.XLOOKUP(C153,calc_s60!$C$15:$C$1000,calc_s60!$X$15:$X$1000,"",0), _xlfn.XLOOKUP(C153,calc_s60!$C$15:$C$1000,calc_s60!$Z$15:$Z$1000,"",0)),"")</f>
        <v/>
      </c>
      <c r="E153" s="16" t="str" cm="1">
        <f t="array" ref="E153">IF(C153&lt;&gt;"", _xlfn.XLOOKUP(1,((SKUs!$A$2:$A$10001=cl_unmerged!B153) * (ISNUMBER(SEARCH("Sash",SKUs!$J$2:$J$10001)))), SKUs!$J$2:$J$10001,""),"") &amp; _xlfn.IFS(I153="Height", ", H",I153="Height SLI", ", H SLI", I153="Height FIX", ", H FIX",I153="Width", ", W", I153="", "")</f>
        <v/>
      </c>
      <c r="F153" s="33" t="str" cm="1">
        <f t="array" ref="F153">_xlfn.XLOOKUP(1,((SKUs!$A$2:$A$10001=cl_unmerged!B153) * (ISNUMBER(SEARCH("Sash",SKUs!$J$2:$J$10001)))* (ISNUMBER(SEARCH(A153,SKUs!$C$2:$C$10001)))), SKUs!$C$2:$C$10001,"")</f>
        <v/>
      </c>
      <c r="G153" s="16"/>
      <c r="H153" s="31" t="str">
        <f>IF(C153&lt;&gt;"", IF(I153="Height",_xlfn.XLOOKUP(C153,calc_s60!$C$15:$C$1000,calc_s60!$W$15:$W$1000,"",0), _xlfn.XLOOKUP(C153,calc_s60!$C$15:$C$1000,calc_s60!$Y$15:$Y$1000,"",0)),"")</f>
        <v/>
      </c>
      <c r="I153" s="16" t="str">
        <f t="shared" si="3"/>
        <v/>
      </c>
    </row>
    <row r="154" spans="1:9" ht="13.5" customHeight="1" x14ac:dyDescent="0.25">
      <c r="A154" s="41" t="str">
        <f>_xlfn.XLOOKUP(G154,dd_color!$A$2:$A$8,dd_color!$B$2:$B$8,"",0)</f>
        <v/>
      </c>
      <c r="B154" s="41">
        <f>_xlfn.XLOOKUP(_xlfn.XLOOKUP(C154,'Project Details'!$C$17:$C$10003,'Project Details'!$E$17:$E$10003, "",0),dd_design_raw!$A$2:$A$9997,dd_design_raw!$C$2:$C$9997,"",0)</f>
        <v>0</v>
      </c>
      <c r="C154" s="16"/>
      <c r="D154" s="16" t="str">
        <f>IF(C154&lt;&gt;"", IF(I154="Height",_xlfn.XLOOKUP(C154,calc_s60!$C$15:$C$1000,calc_s60!$X$15:$X$1000,"",0), _xlfn.XLOOKUP(C154,calc_s60!$C$15:$C$1000,calc_s60!$Z$15:$Z$1000,"",0)),"")</f>
        <v/>
      </c>
      <c r="E154" s="16" t="str" cm="1">
        <f t="array" ref="E154">IF(C154&lt;&gt;"", _xlfn.XLOOKUP(1,((SKUs!$A$2:$A$10001=cl_unmerged!B154) * (ISNUMBER(SEARCH("Sash",SKUs!$J$2:$J$10001)))), SKUs!$J$2:$J$10001,""),"") &amp; _xlfn.IFS(I154="Height", ", H",I154="Height SLI", ", H SLI", I154="Height FIX", ", H FIX",I154="Width", ", W", I154="", "")</f>
        <v/>
      </c>
      <c r="F154" s="33" t="str" cm="1">
        <f t="array" ref="F154">_xlfn.XLOOKUP(1,((SKUs!$A$2:$A$10001=cl_unmerged!B154) * (ISNUMBER(SEARCH("Sash",SKUs!$J$2:$J$10001)))* (ISNUMBER(SEARCH(A154,SKUs!$C$2:$C$10001)))), SKUs!$C$2:$C$10001,"")</f>
        <v/>
      </c>
      <c r="G154" s="16"/>
      <c r="H154" s="31" t="str">
        <f>IF(C154&lt;&gt;"", IF(I154="Height",_xlfn.XLOOKUP(C154,calc_s60!$C$15:$C$1000,calc_s60!$W$15:$W$1000,"",0), _xlfn.XLOOKUP(C154,calc_s60!$C$15:$C$1000,calc_s60!$Y$15:$Y$1000,"",0)),"")</f>
        <v/>
      </c>
      <c r="I154" s="16" t="str">
        <f t="shared" si="3"/>
        <v/>
      </c>
    </row>
    <row r="155" spans="1:9" ht="13.5" customHeight="1" x14ac:dyDescent="0.25">
      <c r="A155" s="41" t="str">
        <f>_xlfn.XLOOKUP(G155,dd_color!$A$2:$A$8,dd_color!$B$2:$B$8,"",0)</f>
        <v/>
      </c>
      <c r="B155" s="41">
        <f>_xlfn.XLOOKUP(_xlfn.XLOOKUP(C155,'Project Details'!$C$17:$C$10003,'Project Details'!$E$17:$E$10003, "",0),dd_design_raw!$A$2:$A$9997,dd_design_raw!$C$2:$C$9997,"",0)</f>
        <v>0</v>
      </c>
      <c r="C155" s="16"/>
      <c r="D155" s="16" t="str">
        <f>IF(C155&lt;&gt;"", IF(I155="Height",_xlfn.XLOOKUP(C155,calc_s60!$C$15:$C$1000,calc_s60!$X$15:$X$1000,"",0), _xlfn.XLOOKUP(C155,calc_s60!$C$15:$C$1000,calc_s60!$Z$15:$Z$1000,"",0)),"")</f>
        <v/>
      </c>
      <c r="E155" s="16" t="str" cm="1">
        <f t="array" ref="E155">IF(C155&lt;&gt;"", _xlfn.XLOOKUP(1,((SKUs!$A$2:$A$10001=cl_unmerged!B155) * (ISNUMBER(SEARCH("Sash",SKUs!$J$2:$J$10001)))), SKUs!$J$2:$J$10001,""),"") &amp; _xlfn.IFS(I155="Height", ", H",I155="Height SLI", ", H SLI", I155="Height FIX", ", H FIX",I155="Width", ", W", I155="", "")</f>
        <v/>
      </c>
      <c r="F155" s="33" t="str" cm="1">
        <f t="array" ref="F155">_xlfn.XLOOKUP(1,((SKUs!$A$2:$A$10001=cl_unmerged!B155) * (ISNUMBER(SEARCH("Sash",SKUs!$J$2:$J$10001)))* (ISNUMBER(SEARCH(A155,SKUs!$C$2:$C$10001)))), SKUs!$C$2:$C$10001,"")</f>
        <v/>
      </c>
      <c r="G155" s="16"/>
      <c r="H155" s="31" t="str">
        <f>IF(C155&lt;&gt;"", IF(I155="Height",_xlfn.XLOOKUP(C155,calc_s60!$C$15:$C$1000,calc_s60!$W$15:$W$1000,"",0), _xlfn.XLOOKUP(C155,calc_s60!$C$15:$C$1000,calc_s60!$Y$15:$Y$1000,"",0)),"")</f>
        <v/>
      </c>
      <c r="I155" s="16" t="str">
        <f t="shared" si="3"/>
        <v/>
      </c>
    </row>
    <row r="156" spans="1:9" ht="13.5" customHeight="1" x14ac:dyDescent="0.25">
      <c r="A156" s="41" t="str">
        <f>_xlfn.XLOOKUP(G156,dd_color!$A$2:$A$8,dd_color!$B$2:$B$8,"",0)</f>
        <v/>
      </c>
      <c r="B156" s="41">
        <f>_xlfn.XLOOKUP(_xlfn.XLOOKUP(C156,'Project Details'!$C$17:$C$10003,'Project Details'!$E$17:$E$10003, "",0),dd_design_raw!$A$2:$A$9997,dd_design_raw!$C$2:$C$9997,"",0)</f>
        <v>0</v>
      </c>
      <c r="C156" s="16"/>
      <c r="D156" s="16" t="str">
        <f>IF(C156&lt;&gt;"", IF(I156="Height",_xlfn.XLOOKUP(C156,calc_s60!$C$15:$C$1000,calc_s60!$X$15:$X$1000,"",0), _xlfn.XLOOKUP(C156,calc_s60!$C$15:$C$1000,calc_s60!$Z$15:$Z$1000,"",0)),"")</f>
        <v/>
      </c>
      <c r="E156" s="16" t="str" cm="1">
        <f t="array" ref="E156">IF(C156&lt;&gt;"", _xlfn.XLOOKUP(1,((SKUs!$A$2:$A$10001=cl_unmerged!B156) * (ISNUMBER(SEARCH("Sash",SKUs!$J$2:$J$10001)))), SKUs!$J$2:$J$10001,""),"") &amp; _xlfn.IFS(I156="Height", ", H",I156="Height SLI", ", H SLI", I156="Height FIX", ", H FIX",I156="Width", ", W", I156="", "")</f>
        <v/>
      </c>
      <c r="F156" s="33" t="str" cm="1">
        <f t="array" ref="F156">_xlfn.XLOOKUP(1,((SKUs!$A$2:$A$10001=cl_unmerged!B156) * (ISNUMBER(SEARCH("Sash",SKUs!$J$2:$J$10001)))* (ISNUMBER(SEARCH(A156,SKUs!$C$2:$C$10001)))), SKUs!$C$2:$C$10001,"")</f>
        <v/>
      </c>
      <c r="G156" s="16"/>
      <c r="H156" s="31" t="str">
        <f>IF(C156&lt;&gt;"", IF(I156="Height",_xlfn.XLOOKUP(C156,calc_s60!$C$15:$C$1000,calc_s60!$W$15:$W$1000,"",0), _xlfn.XLOOKUP(C156,calc_s60!$C$15:$C$1000,calc_s60!$Y$15:$Y$1000,"",0)),"")</f>
        <v/>
      </c>
      <c r="I156" s="16" t="str">
        <f t="shared" si="3"/>
        <v/>
      </c>
    </row>
    <row r="157" spans="1:9" ht="13.5" customHeight="1" x14ac:dyDescent="0.25">
      <c r="A157" s="41" t="str">
        <f>_xlfn.XLOOKUP(G157,dd_color!$A$2:$A$8,dd_color!$B$2:$B$8,"",0)</f>
        <v/>
      </c>
      <c r="B157" s="41">
        <f>_xlfn.XLOOKUP(_xlfn.XLOOKUP(C157,'Project Details'!$C$17:$C$10003,'Project Details'!$E$17:$E$10003, "",0),dd_design_raw!$A$2:$A$9997,dd_design_raw!$C$2:$C$9997,"",0)</f>
        <v>0</v>
      </c>
      <c r="C157" s="16"/>
      <c r="D157" s="16" t="str">
        <f>IF(C157&lt;&gt;"", IF(I157="Height",_xlfn.XLOOKUP(C157,calc_s60!$C$15:$C$1000,calc_s60!$X$15:$X$1000,"",0), _xlfn.XLOOKUP(C157,calc_s60!$C$15:$C$1000,calc_s60!$Z$15:$Z$1000,"",0)),"")</f>
        <v/>
      </c>
      <c r="E157" s="16" t="str" cm="1">
        <f t="array" ref="E157">IF(C157&lt;&gt;"", _xlfn.XLOOKUP(1,((SKUs!$A$2:$A$10001=cl_unmerged!B157) * (ISNUMBER(SEARCH("Sash",SKUs!$J$2:$J$10001)))), SKUs!$J$2:$J$10001,""),"") &amp; _xlfn.IFS(I157="Height", ", H",I157="Height SLI", ", H SLI", I157="Height FIX", ", H FIX",I157="Width", ", W", I157="", "")</f>
        <v/>
      </c>
      <c r="F157" s="33" t="str" cm="1">
        <f t="array" ref="F157">_xlfn.XLOOKUP(1,((SKUs!$A$2:$A$10001=cl_unmerged!B157) * (ISNUMBER(SEARCH("Sash",SKUs!$J$2:$J$10001)))* (ISNUMBER(SEARCH(A157,SKUs!$C$2:$C$10001)))), SKUs!$C$2:$C$10001,"")</f>
        <v/>
      </c>
      <c r="G157" s="16"/>
      <c r="H157" s="31" t="str">
        <f>IF(C157&lt;&gt;"", IF(I157="Height",_xlfn.XLOOKUP(C157,calc_s60!$C$15:$C$1000,calc_s60!$W$15:$W$1000,"",0), _xlfn.XLOOKUP(C157,calc_s60!$C$15:$C$1000,calc_s60!$Y$15:$Y$1000,"",0)),"")</f>
        <v/>
      </c>
      <c r="I157" s="16" t="str">
        <f t="shared" si="3"/>
        <v/>
      </c>
    </row>
    <row r="158" spans="1:9" ht="13.5" customHeight="1" x14ac:dyDescent="0.25">
      <c r="A158" s="41" t="str">
        <f>_xlfn.XLOOKUP(G158,dd_color!$A$2:$A$8,dd_color!$B$2:$B$8,"",0)</f>
        <v/>
      </c>
      <c r="B158" s="41">
        <f>_xlfn.XLOOKUP(_xlfn.XLOOKUP(C158,'Project Details'!$C$17:$C$10003,'Project Details'!$E$17:$E$10003, "",0),dd_design_raw!$A$2:$A$9997,dd_design_raw!$C$2:$C$9997,"",0)</f>
        <v>0</v>
      </c>
      <c r="C158" s="16"/>
      <c r="D158" s="16" t="str">
        <f>IF(C158&lt;&gt;"", IF(I158="Height",_xlfn.XLOOKUP(C158,calc_s60!$C$15:$C$1000,calc_s60!$X$15:$X$1000,"",0), _xlfn.XLOOKUP(C158,calc_s60!$C$15:$C$1000,calc_s60!$Z$15:$Z$1000,"",0)),"")</f>
        <v/>
      </c>
      <c r="E158" s="16" t="str" cm="1">
        <f t="array" ref="E158">IF(C158&lt;&gt;"", _xlfn.XLOOKUP(1,((SKUs!$A$2:$A$10001=cl_unmerged!B158) * (ISNUMBER(SEARCH("Sash",SKUs!$J$2:$J$10001)))), SKUs!$J$2:$J$10001,""),"") &amp; _xlfn.IFS(I158="Height", ", H",I158="Height SLI", ", H SLI", I158="Height FIX", ", H FIX",I158="Width", ", W", I158="", "")</f>
        <v/>
      </c>
      <c r="F158" s="33" t="str" cm="1">
        <f t="array" ref="F158">_xlfn.XLOOKUP(1,((SKUs!$A$2:$A$10001=cl_unmerged!B158) * (ISNUMBER(SEARCH("Sash",SKUs!$J$2:$J$10001)))* (ISNUMBER(SEARCH(A158,SKUs!$C$2:$C$10001)))), SKUs!$C$2:$C$10001,"")</f>
        <v/>
      </c>
      <c r="G158" s="16"/>
      <c r="H158" s="31" t="str">
        <f>IF(C158&lt;&gt;"", IF(I158="Height",_xlfn.XLOOKUP(C158,calc_s60!$C$15:$C$1000,calc_s60!$W$15:$W$1000,"",0), _xlfn.XLOOKUP(C158,calc_s60!$C$15:$C$1000,calc_s60!$Y$15:$Y$1000,"",0)),"")</f>
        <v/>
      </c>
      <c r="I158" s="16" t="str">
        <f t="shared" si="3"/>
        <v/>
      </c>
    </row>
    <row r="159" spans="1:9" ht="13.5" customHeight="1" x14ac:dyDescent="0.25">
      <c r="A159" s="41" t="str">
        <f>_xlfn.XLOOKUP(G159,dd_color!$A$2:$A$8,dd_color!$B$2:$B$8,"",0)</f>
        <v/>
      </c>
      <c r="B159" s="41">
        <f>_xlfn.XLOOKUP(_xlfn.XLOOKUP(C159,'Project Details'!$C$17:$C$10003,'Project Details'!$E$17:$E$10003, "",0),dd_design_raw!$A$2:$A$9997,dd_design_raw!$C$2:$C$9997,"",0)</f>
        <v>0</v>
      </c>
      <c r="C159" s="16"/>
      <c r="D159" s="16" t="str">
        <f>IF(C159&lt;&gt;"", IF(I159="Height",_xlfn.XLOOKUP(C159,calc_s60!$C$15:$C$1000,calc_s60!$X$15:$X$1000,"",0), _xlfn.XLOOKUP(C159,calc_s60!$C$15:$C$1000,calc_s60!$Z$15:$Z$1000,"",0)),"")</f>
        <v/>
      </c>
      <c r="E159" s="16" t="str" cm="1">
        <f t="array" ref="E159">IF(C159&lt;&gt;"", _xlfn.XLOOKUP(1,((SKUs!$A$2:$A$10001=cl_unmerged!B159) * (ISNUMBER(SEARCH("Sash",SKUs!$J$2:$J$10001)))), SKUs!$J$2:$J$10001,""),"") &amp; _xlfn.IFS(I159="Height", ", H",I159="Height SLI", ", H SLI", I159="Height FIX", ", H FIX",I159="Width", ", W", I159="", "")</f>
        <v/>
      </c>
      <c r="F159" s="33" t="str" cm="1">
        <f t="array" ref="F159">_xlfn.XLOOKUP(1,((SKUs!$A$2:$A$10001=cl_unmerged!B159) * (ISNUMBER(SEARCH("Sash",SKUs!$J$2:$J$10001)))* (ISNUMBER(SEARCH(A159,SKUs!$C$2:$C$10001)))), SKUs!$C$2:$C$10001,"")</f>
        <v/>
      </c>
      <c r="G159" s="16"/>
      <c r="H159" s="31" t="str">
        <f>IF(C159&lt;&gt;"", IF(I159="Height",_xlfn.XLOOKUP(C159,calc_s60!$C$15:$C$1000,calc_s60!$W$15:$W$1000,"",0), _xlfn.XLOOKUP(C159,calc_s60!$C$15:$C$1000,calc_s60!$Y$15:$Y$1000,"",0)),"")</f>
        <v/>
      </c>
      <c r="I159" s="16" t="str">
        <f t="shared" si="3"/>
        <v/>
      </c>
    </row>
    <row r="160" spans="1:9" ht="13.5" customHeight="1" x14ac:dyDescent="0.25">
      <c r="A160" s="41" t="str">
        <f>_xlfn.XLOOKUP(G160,dd_color!$A$2:$A$8,dd_color!$B$2:$B$8,"",0)</f>
        <v/>
      </c>
      <c r="B160" s="41">
        <f>_xlfn.XLOOKUP(_xlfn.XLOOKUP(C160,'Project Details'!$C$17:$C$10003,'Project Details'!$E$17:$E$10003, "",0),dd_design_raw!$A$2:$A$9997,dd_design_raw!$C$2:$C$9997,"",0)</f>
        <v>0</v>
      </c>
      <c r="C160" s="16"/>
      <c r="D160" s="16" t="str">
        <f>IF(C160&lt;&gt;"", IF(I160="Height",_xlfn.XLOOKUP(C160,calc_s60!$C$15:$C$1000,calc_s60!$X$15:$X$1000,"",0), _xlfn.XLOOKUP(C160,calc_s60!$C$15:$C$1000,calc_s60!$Z$15:$Z$1000,"",0)),"")</f>
        <v/>
      </c>
      <c r="E160" s="16" t="str" cm="1">
        <f t="array" ref="E160">IF(C160&lt;&gt;"", _xlfn.XLOOKUP(1,((SKUs!$A$2:$A$10001=cl_unmerged!B160) * (ISNUMBER(SEARCH("Sash",SKUs!$J$2:$J$10001)))), SKUs!$J$2:$J$10001,""),"") &amp; _xlfn.IFS(I160="Height", ", H",I160="Height SLI", ", H SLI", I160="Height FIX", ", H FIX",I160="Width", ", W", I160="", "")</f>
        <v/>
      </c>
      <c r="F160" s="33" t="str" cm="1">
        <f t="array" ref="F160">_xlfn.XLOOKUP(1,((SKUs!$A$2:$A$10001=cl_unmerged!B160) * (ISNUMBER(SEARCH("Sash",SKUs!$J$2:$J$10001)))* (ISNUMBER(SEARCH(A160,SKUs!$C$2:$C$10001)))), SKUs!$C$2:$C$10001,"")</f>
        <v/>
      </c>
      <c r="G160" s="16"/>
      <c r="H160" s="31" t="str">
        <f>IF(C160&lt;&gt;"", IF(I160="Height",_xlfn.XLOOKUP(C160,calc_s60!$C$15:$C$1000,calc_s60!$W$15:$W$1000,"",0), _xlfn.XLOOKUP(C160,calc_s60!$C$15:$C$1000,calc_s60!$Y$15:$Y$1000,"",0)),"")</f>
        <v/>
      </c>
      <c r="I160" s="16" t="str">
        <f t="shared" si="3"/>
        <v/>
      </c>
    </row>
    <row r="161" spans="1:9" ht="13.5" customHeight="1" x14ac:dyDescent="0.25">
      <c r="A161" s="41" t="str">
        <f>_xlfn.XLOOKUP(G161,dd_color!$A$2:$A$8,dd_color!$B$2:$B$8,"",0)</f>
        <v/>
      </c>
      <c r="B161" s="41">
        <f>_xlfn.XLOOKUP(_xlfn.XLOOKUP(C161,'Project Details'!$C$17:$C$10003,'Project Details'!$E$17:$E$10003, "",0),dd_design_raw!$A$2:$A$9997,dd_design_raw!$C$2:$C$9997,"",0)</f>
        <v>0</v>
      </c>
      <c r="C161" s="16"/>
      <c r="D161" s="16" t="str">
        <f>IF(C161&lt;&gt;"", IF(I161="Height",_xlfn.XLOOKUP(C161,calc_s60!$C$15:$C$1000,calc_s60!$X$15:$X$1000,"",0), _xlfn.XLOOKUP(C161,calc_s60!$C$15:$C$1000,calc_s60!$Z$15:$Z$1000,"",0)),"")</f>
        <v/>
      </c>
      <c r="E161" s="16" t="str" cm="1">
        <f t="array" ref="E161">IF(C161&lt;&gt;"", _xlfn.XLOOKUP(1,((SKUs!$A$2:$A$10001=cl_unmerged!B161) * (ISNUMBER(SEARCH("Sash",SKUs!$J$2:$J$10001)))), SKUs!$J$2:$J$10001,""),"") &amp; _xlfn.IFS(I161="Height", ", H",I161="Height SLI", ", H SLI", I161="Height FIX", ", H FIX",I161="Width", ", W", I161="", "")</f>
        <v/>
      </c>
      <c r="F161" s="33" t="str" cm="1">
        <f t="array" ref="F161">_xlfn.XLOOKUP(1,((SKUs!$A$2:$A$10001=cl_unmerged!B161) * (ISNUMBER(SEARCH("Sash",SKUs!$J$2:$J$10001)))* (ISNUMBER(SEARCH(A161,SKUs!$C$2:$C$10001)))), SKUs!$C$2:$C$10001,"")</f>
        <v/>
      </c>
      <c r="G161" s="16"/>
      <c r="H161" s="31" t="str">
        <f>IF(C161&lt;&gt;"", IF(I161="Height",_xlfn.XLOOKUP(C161,calc_s60!$C$15:$C$1000,calc_s60!$W$15:$W$1000,"",0), _xlfn.XLOOKUP(C161,calc_s60!$C$15:$C$1000,calc_s60!$Y$15:$Y$1000,"",0)),"")</f>
        <v/>
      </c>
      <c r="I161" s="16" t="str">
        <f t="shared" si="3"/>
        <v/>
      </c>
    </row>
    <row r="162" spans="1:9" ht="13.5" customHeight="1" x14ac:dyDescent="0.25">
      <c r="A162" s="41" t="str">
        <f>_xlfn.XLOOKUP(G162,dd_color!$A$2:$A$8,dd_color!$B$2:$B$8,"",0)</f>
        <v/>
      </c>
      <c r="B162" s="41">
        <f>_xlfn.XLOOKUP(_xlfn.XLOOKUP(C162,'Project Details'!$C$17:$C$10003,'Project Details'!$E$17:$E$10003, "",0),dd_design_raw!$A$2:$A$9997,dd_design_raw!$C$2:$C$9997,"",0)</f>
        <v>0</v>
      </c>
      <c r="C162" s="16"/>
      <c r="D162" s="16" t="str">
        <f>IF(C162&lt;&gt;"", IF(I162="Height",_xlfn.XLOOKUP(C162,calc_s60!$C$15:$C$1000,calc_s60!$X$15:$X$1000,"",0), _xlfn.XLOOKUP(C162,calc_s60!$C$15:$C$1000,calc_s60!$Z$15:$Z$1000,"",0)),"")</f>
        <v/>
      </c>
      <c r="E162" s="16" t="str" cm="1">
        <f t="array" ref="E162">IF(C162&lt;&gt;"", _xlfn.XLOOKUP(1,((SKUs!$A$2:$A$10001=cl_unmerged!B162) * (ISNUMBER(SEARCH("Sash",SKUs!$J$2:$J$10001)))), SKUs!$J$2:$J$10001,""),"") &amp; _xlfn.IFS(I162="Height", ", H",I162="Height SLI", ", H SLI", I162="Height FIX", ", H FIX",I162="Width", ", W", I162="", "")</f>
        <v/>
      </c>
      <c r="F162" s="33" t="str" cm="1">
        <f t="array" ref="F162">_xlfn.XLOOKUP(1,((SKUs!$A$2:$A$10001=cl_unmerged!B162) * (ISNUMBER(SEARCH("Sash",SKUs!$J$2:$J$10001)))* (ISNUMBER(SEARCH(A162,SKUs!$C$2:$C$10001)))), SKUs!$C$2:$C$10001,"")</f>
        <v/>
      </c>
      <c r="G162" s="16"/>
      <c r="H162" s="31" t="str">
        <f>IF(C162&lt;&gt;"", IF(I162="Height",_xlfn.XLOOKUP(C162,calc_s60!$C$15:$C$1000,calc_s60!$W$15:$W$1000,"",0), _xlfn.XLOOKUP(C162,calc_s60!$C$15:$C$1000,calc_s60!$Y$15:$Y$1000,"",0)),"")</f>
        <v/>
      </c>
      <c r="I162" s="16" t="str">
        <f t="shared" si="3"/>
        <v/>
      </c>
    </row>
    <row r="163" spans="1:9" ht="13.5" customHeight="1" x14ac:dyDescent="0.25">
      <c r="A163" s="41" t="str">
        <f>_xlfn.XLOOKUP(G163,dd_color!$A$2:$A$8,dd_color!$B$2:$B$8,"",0)</f>
        <v/>
      </c>
      <c r="B163" s="41">
        <f>_xlfn.XLOOKUP(_xlfn.XLOOKUP(C163,'Project Details'!$C$17:$C$10003,'Project Details'!$E$17:$E$10003, "",0),dd_design_raw!$A$2:$A$9997,dd_design_raw!$C$2:$C$9997,"",0)</f>
        <v>0</v>
      </c>
      <c r="C163" s="16"/>
      <c r="D163" s="16" t="str">
        <f>IF(C163&lt;&gt;"", IF(I163="Height",_xlfn.XLOOKUP(C163,calc_s60!$C$15:$C$1000,calc_s60!$X$15:$X$1000,"",0), _xlfn.XLOOKUP(C163,calc_s60!$C$15:$C$1000,calc_s60!$Z$15:$Z$1000,"",0)),"")</f>
        <v/>
      </c>
      <c r="E163" s="16" t="str" cm="1">
        <f t="array" ref="E163">IF(C163&lt;&gt;"", _xlfn.XLOOKUP(1,((SKUs!$A$2:$A$10001=cl_unmerged!B163) * (ISNUMBER(SEARCH("Sash",SKUs!$J$2:$J$10001)))), SKUs!$J$2:$J$10001,""),"") &amp; _xlfn.IFS(I163="Height", ", H",I163="Height SLI", ", H SLI", I163="Height FIX", ", H FIX",I163="Width", ", W", I163="", "")</f>
        <v/>
      </c>
      <c r="F163" s="33" t="str" cm="1">
        <f t="array" ref="F163">_xlfn.XLOOKUP(1,((SKUs!$A$2:$A$10001=cl_unmerged!B163) * (ISNUMBER(SEARCH("Sash",SKUs!$J$2:$J$10001)))* (ISNUMBER(SEARCH(A163,SKUs!$C$2:$C$10001)))), SKUs!$C$2:$C$10001,"")</f>
        <v/>
      </c>
      <c r="G163" s="16"/>
      <c r="H163" s="31" t="str">
        <f>IF(C163&lt;&gt;"", IF(I163="Height",_xlfn.XLOOKUP(C163,calc_s60!$C$15:$C$1000,calc_s60!$W$15:$W$1000,"",0), _xlfn.XLOOKUP(C163,calc_s60!$C$15:$C$1000,calc_s60!$Y$15:$Y$1000,"",0)),"")</f>
        <v/>
      </c>
      <c r="I163" s="16" t="str">
        <f t="shared" si="3"/>
        <v/>
      </c>
    </row>
    <row r="164" spans="1:9" ht="13.5" customHeight="1" x14ac:dyDescent="0.25">
      <c r="A164" s="41" t="str">
        <f>_xlfn.XLOOKUP(G164,dd_color!$A$2:$A$8,dd_color!$B$2:$B$8,"",0)</f>
        <v/>
      </c>
      <c r="B164" s="41">
        <f>_xlfn.XLOOKUP(_xlfn.XLOOKUP(C164,'Project Details'!$C$17:$C$10003,'Project Details'!$E$17:$E$10003, "",0),dd_design_raw!$A$2:$A$9997,dd_design_raw!$C$2:$C$9997,"",0)</f>
        <v>0</v>
      </c>
      <c r="C164" s="16"/>
      <c r="D164" s="16" t="str">
        <f>IF(C164&lt;&gt;"", IF(I164="Height",_xlfn.XLOOKUP(C164,calc_s60!$C$15:$C$1000,calc_s60!$X$15:$X$1000,"",0), _xlfn.XLOOKUP(C164,calc_s60!$C$15:$C$1000,calc_s60!$Z$15:$Z$1000,"",0)),"")</f>
        <v/>
      </c>
      <c r="E164" s="16" t="str" cm="1">
        <f t="array" ref="E164">IF(C164&lt;&gt;"", _xlfn.XLOOKUP(1,((SKUs!$A$2:$A$10001=cl_unmerged!B164) * (ISNUMBER(SEARCH("Sash",SKUs!$J$2:$J$10001)))), SKUs!$J$2:$J$10001,""),"") &amp; _xlfn.IFS(I164="Height", ", H",I164="Height SLI", ", H SLI", I164="Height FIX", ", H FIX",I164="Width", ", W", I164="", "")</f>
        <v/>
      </c>
      <c r="F164" s="33" t="str" cm="1">
        <f t="array" ref="F164">_xlfn.XLOOKUP(1,((SKUs!$A$2:$A$10001=cl_unmerged!B164) * (ISNUMBER(SEARCH("Sash",SKUs!$J$2:$J$10001)))* (ISNUMBER(SEARCH(A164,SKUs!$C$2:$C$10001)))), SKUs!$C$2:$C$10001,"")</f>
        <v/>
      </c>
      <c r="G164" s="16"/>
      <c r="H164" s="31" t="str">
        <f>IF(C164&lt;&gt;"", IF(I164="Height",_xlfn.XLOOKUP(C164,calc_s60!$C$15:$C$1000,calc_s60!$W$15:$W$1000,"",0), _xlfn.XLOOKUP(C164,calc_s60!$C$15:$C$1000,calc_s60!$Y$15:$Y$1000,"",0)),"")</f>
        <v/>
      </c>
      <c r="I164" s="16" t="str">
        <f t="shared" si="3"/>
        <v/>
      </c>
    </row>
    <row r="165" spans="1:9" ht="13.5" customHeight="1" x14ac:dyDescent="0.25">
      <c r="A165" s="41" t="str">
        <f>_xlfn.XLOOKUP(G165,dd_color!$A$2:$A$8,dd_color!$B$2:$B$8,"",0)</f>
        <v/>
      </c>
      <c r="B165" s="41">
        <f>_xlfn.XLOOKUP(_xlfn.XLOOKUP(C165,'Project Details'!$C$17:$C$10003,'Project Details'!$E$17:$E$10003, "",0),dd_design_raw!$A$2:$A$9997,dd_design_raw!$C$2:$C$9997,"",0)</f>
        <v>0</v>
      </c>
      <c r="C165" s="16"/>
      <c r="D165" s="16" t="str">
        <f>IF(C165&lt;&gt;"", IF(I165="Height",_xlfn.XLOOKUP(C165,calc_s60!$C$15:$C$1000,calc_s60!$X$15:$X$1000,"",0), _xlfn.XLOOKUP(C165,calc_s60!$C$15:$C$1000,calc_s60!$Z$15:$Z$1000,"",0)),"")</f>
        <v/>
      </c>
      <c r="E165" s="16" t="str" cm="1">
        <f t="array" ref="E165">IF(C165&lt;&gt;"", _xlfn.XLOOKUP(1,((SKUs!$A$2:$A$10001=cl_unmerged!B165) * (ISNUMBER(SEARCH("Sash",SKUs!$J$2:$J$10001)))), SKUs!$J$2:$J$10001,""),"") &amp; _xlfn.IFS(I165="Height", ", H",I165="Height SLI", ", H SLI", I165="Height FIX", ", H FIX",I165="Width", ", W", I165="", "")</f>
        <v/>
      </c>
      <c r="F165" s="33" t="str" cm="1">
        <f t="array" ref="F165">_xlfn.XLOOKUP(1,((SKUs!$A$2:$A$10001=cl_unmerged!B165) * (ISNUMBER(SEARCH("Sash",SKUs!$J$2:$J$10001)))* (ISNUMBER(SEARCH(A165,SKUs!$C$2:$C$10001)))), SKUs!$C$2:$C$10001,"")</f>
        <v/>
      </c>
      <c r="G165" s="16"/>
      <c r="H165" s="31" t="str">
        <f>IF(C165&lt;&gt;"", IF(I165="Height",_xlfn.XLOOKUP(C165,calc_s60!$C$15:$C$1000,calc_s60!$W$15:$W$1000,"",0), _xlfn.XLOOKUP(C165,calc_s60!$C$15:$C$1000,calc_s60!$Y$15:$Y$1000,"",0)),"")</f>
        <v/>
      </c>
      <c r="I165" s="16" t="str">
        <f t="shared" si="3"/>
        <v/>
      </c>
    </row>
    <row r="166" spans="1:9" ht="13.5" customHeight="1" x14ac:dyDescent="0.25">
      <c r="A166" s="41" t="str">
        <f>_xlfn.XLOOKUP(G166,dd_color!$A$2:$A$8,dd_color!$B$2:$B$8,"",0)</f>
        <v/>
      </c>
      <c r="B166" s="41">
        <f>_xlfn.XLOOKUP(_xlfn.XLOOKUP(C166,'Project Details'!$C$17:$C$10003,'Project Details'!$E$17:$E$10003, "",0),dd_design_raw!$A$2:$A$9997,dd_design_raw!$C$2:$C$9997,"",0)</f>
        <v>0</v>
      </c>
      <c r="C166" s="16"/>
      <c r="D166" s="16" t="str">
        <f>IF(C166&lt;&gt;"", IF(I166="Height",_xlfn.XLOOKUP(C166,calc_s60!$C$15:$C$1000,calc_s60!$X$15:$X$1000,"",0), _xlfn.XLOOKUP(C166,calc_s60!$C$15:$C$1000,calc_s60!$Z$15:$Z$1000,"",0)),"")</f>
        <v/>
      </c>
      <c r="E166" s="16" t="str" cm="1">
        <f t="array" ref="E166">IF(C166&lt;&gt;"", _xlfn.XLOOKUP(1,((SKUs!$A$2:$A$10001=cl_unmerged!B166) * (ISNUMBER(SEARCH("Sash",SKUs!$J$2:$J$10001)))), SKUs!$J$2:$J$10001,""),"") &amp; _xlfn.IFS(I166="Height", ", H",I166="Height SLI", ", H SLI", I166="Height FIX", ", H FIX",I166="Width", ", W", I166="", "")</f>
        <v/>
      </c>
      <c r="F166" s="33" t="str" cm="1">
        <f t="array" ref="F166">_xlfn.XLOOKUP(1,((SKUs!$A$2:$A$10001=cl_unmerged!B166) * (ISNUMBER(SEARCH("Sash",SKUs!$J$2:$J$10001)))* (ISNUMBER(SEARCH(A166,SKUs!$C$2:$C$10001)))), SKUs!$C$2:$C$10001,"")</f>
        <v/>
      </c>
      <c r="G166" s="16"/>
      <c r="H166" s="31" t="str">
        <f>IF(C166&lt;&gt;"", IF(I166="Height",_xlfn.XLOOKUP(C166,calc_s60!$C$15:$C$1000,calc_s60!$W$15:$W$1000,"",0), _xlfn.XLOOKUP(C166,calc_s60!$C$15:$C$1000,calc_s60!$Y$15:$Y$1000,"",0)),"")</f>
        <v/>
      </c>
      <c r="I166" s="16" t="str">
        <f t="shared" si="3"/>
        <v/>
      </c>
    </row>
    <row r="167" spans="1:9" ht="13.5" customHeight="1" x14ac:dyDescent="0.25">
      <c r="A167" s="41" t="str">
        <f>_xlfn.XLOOKUP(G167,dd_color!$A$2:$A$8,dd_color!$B$2:$B$8,"",0)</f>
        <v/>
      </c>
      <c r="B167" s="41">
        <f>_xlfn.XLOOKUP(_xlfn.XLOOKUP(C167,'Project Details'!$C$17:$C$10003,'Project Details'!$E$17:$E$10003, "",0),dd_design_raw!$A$2:$A$9997,dd_design_raw!$C$2:$C$9997,"",0)</f>
        <v>0</v>
      </c>
      <c r="C167" s="16"/>
      <c r="D167" s="16" t="str">
        <f>IF(C167&lt;&gt;"", IF(I167="Height",_xlfn.XLOOKUP(C167,calc_s60!$C$15:$C$1000,calc_s60!$X$15:$X$1000,"",0), _xlfn.XLOOKUP(C167,calc_s60!$C$15:$C$1000,calc_s60!$Z$15:$Z$1000,"",0)),"")</f>
        <v/>
      </c>
      <c r="E167" s="16" t="str" cm="1">
        <f t="array" ref="E167">IF(C167&lt;&gt;"", _xlfn.XLOOKUP(1,((SKUs!$A$2:$A$10001=cl_unmerged!B167) * (ISNUMBER(SEARCH("Sash",SKUs!$J$2:$J$10001)))), SKUs!$J$2:$J$10001,""),"") &amp; _xlfn.IFS(I167="Height", ", H",I167="Height SLI", ", H SLI", I167="Height FIX", ", H FIX",I167="Width", ", W", I167="", "")</f>
        <v/>
      </c>
      <c r="F167" s="33" t="str" cm="1">
        <f t="array" ref="F167">_xlfn.XLOOKUP(1,((SKUs!$A$2:$A$10001=cl_unmerged!B167) * (ISNUMBER(SEARCH("Sash",SKUs!$J$2:$J$10001)))* (ISNUMBER(SEARCH(A167,SKUs!$C$2:$C$10001)))), SKUs!$C$2:$C$10001,"")</f>
        <v/>
      </c>
      <c r="G167" s="16"/>
      <c r="H167" s="31" t="str">
        <f>IF(C167&lt;&gt;"", IF(I167="Height",_xlfn.XLOOKUP(C167,calc_s60!$C$15:$C$1000,calc_s60!$W$15:$W$1000,"",0), _xlfn.XLOOKUP(C167,calc_s60!$C$15:$C$1000,calc_s60!$Y$15:$Y$1000,"",0)),"")</f>
        <v/>
      </c>
      <c r="I167" s="16" t="str">
        <f t="shared" si="3"/>
        <v/>
      </c>
    </row>
    <row r="168" spans="1:9" ht="13.5" customHeight="1" x14ac:dyDescent="0.25">
      <c r="A168" s="41" t="str">
        <f>_xlfn.XLOOKUP(G168,dd_color!$A$2:$A$8,dd_color!$B$2:$B$8,"",0)</f>
        <v/>
      </c>
      <c r="B168" s="41">
        <f>_xlfn.XLOOKUP(_xlfn.XLOOKUP(C168,'Project Details'!$C$17:$C$10003,'Project Details'!$E$17:$E$10003, "",0),dd_design_raw!$A$2:$A$9997,dd_design_raw!$C$2:$C$9997,"",0)</f>
        <v>0</v>
      </c>
      <c r="C168" s="16"/>
      <c r="D168" s="16" t="str">
        <f>IF(C168&lt;&gt;"", IF(I168="Height",_xlfn.XLOOKUP(C168,calc_s60!$C$15:$C$1000,calc_s60!$X$15:$X$1000,"",0), _xlfn.XLOOKUP(C168,calc_s60!$C$15:$C$1000,calc_s60!$Z$15:$Z$1000,"",0)),"")</f>
        <v/>
      </c>
      <c r="E168" s="16" t="str" cm="1">
        <f t="array" ref="E168">IF(C168&lt;&gt;"", _xlfn.XLOOKUP(1,((SKUs!$A$2:$A$10001=cl_unmerged!B168) * (ISNUMBER(SEARCH("Sash",SKUs!$J$2:$J$10001)))), SKUs!$J$2:$J$10001,""),"") &amp; _xlfn.IFS(I168="Height", ", H",I168="Height SLI", ", H SLI", I168="Height FIX", ", H FIX",I168="Width", ", W", I168="", "")</f>
        <v/>
      </c>
      <c r="F168" s="33" t="str" cm="1">
        <f t="array" ref="F168">_xlfn.XLOOKUP(1,((SKUs!$A$2:$A$10001=cl_unmerged!B168) * (ISNUMBER(SEARCH("Sash",SKUs!$J$2:$J$10001)))* (ISNUMBER(SEARCH(A168,SKUs!$C$2:$C$10001)))), SKUs!$C$2:$C$10001,"")</f>
        <v/>
      </c>
      <c r="G168" s="16"/>
      <c r="H168" s="31" t="str">
        <f>IF(C168&lt;&gt;"", IF(I168="Height",_xlfn.XLOOKUP(C168,calc_s60!$C$15:$C$1000,calc_s60!$W$15:$W$1000,"",0), _xlfn.XLOOKUP(C168,calc_s60!$C$15:$C$1000,calc_s60!$Y$15:$Y$1000,"",0)),"")</f>
        <v/>
      </c>
      <c r="I168" s="16" t="str">
        <f t="shared" si="3"/>
        <v/>
      </c>
    </row>
    <row r="169" spans="1:9" ht="13.5" customHeight="1" x14ac:dyDescent="0.25">
      <c r="A169" s="41" t="str">
        <f>_xlfn.XLOOKUP(G169,dd_color!$A$2:$A$8,dd_color!$B$2:$B$8,"",0)</f>
        <v/>
      </c>
      <c r="B169" s="41">
        <f>_xlfn.XLOOKUP(_xlfn.XLOOKUP(C169,'Project Details'!$C$17:$C$10003,'Project Details'!$E$17:$E$10003, "",0),dd_design_raw!$A$2:$A$9997,dd_design_raw!$C$2:$C$9997,"",0)</f>
        <v>0</v>
      </c>
      <c r="C169" s="16"/>
      <c r="D169" s="16" t="str">
        <f>IF(C169&lt;&gt;"", IF(I169="Height",_xlfn.XLOOKUP(C169,calc_s60!$C$15:$C$1000,calc_s60!$X$15:$X$1000,"",0), _xlfn.XLOOKUP(C169,calc_s60!$C$15:$C$1000,calc_s60!$Z$15:$Z$1000,"",0)),"")</f>
        <v/>
      </c>
      <c r="E169" s="16" t="str" cm="1">
        <f t="array" ref="E169">IF(C169&lt;&gt;"", _xlfn.XLOOKUP(1,((SKUs!$A$2:$A$10001=cl_unmerged!B169) * (ISNUMBER(SEARCH("Sash",SKUs!$J$2:$J$10001)))), SKUs!$J$2:$J$10001,""),"") &amp; _xlfn.IFS(I169="Height", ", H",I169="Height SLI", ", H SLI", I169="Height FIX", ", H FIX",I169="Width", ", W", I169="", "")</f>
        <v/>
      </c>
      <c r="F169" s="33" t="str" cm="1">
        <f t="array" ref="F169">_xlfn.XLOOKUP(1,((SKUs!$A$2:$A$10001=cl_unmerged!B169) * (ISNUMBER(SEARCH("Sash",SKUs!$J$2:$J$10001)))* (ISNUMBER(SEARCH(A169,SKUs!$C$2:$C$10001)))), SKUs!$C$2:$C$10001,"")</f>
        <v/>
      </c>
      <c r="G169" s="16"/>
      <c r="H169" s="31" t="str">
        <f>IF(C169&lt;&gt;"", IF(I169="Height",_xlfn.XLOOKUP(C169,calc_s60!$C$15:$C$1000,calc_s60!$W$15:$W$1000,"",0), _xlfn.XLOOKUP(C169,calc_s60!$C$15:$C$1000,calc_s60!$Y$15:$Y$1000,"",0)),"")</f>
        <v/>
      </c>
      <c r="I169" s="16" t="str">
        <f t="shared" si="3"/>
        <v/>
      </c>
    </row>
    <row r="170" spans="1:9" ht="13.5" customHeight="1" x14ac:dyDescent="0.25">
      <c r="A170" s="41" t="str">
        <f>_xlfn.XLOOKUP(G170,dd_color!$A$2:$A$8,dd_color!$B$2:$B$8,"",0)</f>
        <v/>
      </c>
      <c r="B170" s="41">
        <f>_xlfn.XLOOKUP(_xlfn.XLOOKUP(C170,'Project Details'!$C$17:$C$10003,'Project Details'!$E$17:$E$10003, "",0),dd_design_raw!$A$2:$A$9997,dd_design_raw!$C$2:$C$9997,"",0)</f>
        <v>0</v>
      </c>
      <c r="C170" s="16"/>
      <c r="D170" s="16" t="str">
        <f>IF(C170&lt;&gt;"", IF(I170="Height",_xlfn.XLOOKUP(C170,calc_s60!$C$15:$C$1000,calc_s60!$X$15:$X$1000,"",0), _xlfn.XLOOKUP(C170,calc_s60!$C$15:$C$1000,calc_s60!$Z$15:$Z$1000,"",0)),"")</f>
        <v/>
      </c>
      <c r="E170" s="16" t="str" cm="1">
        <f t="array" ref="E170">IF(C170&lt;&gt;"", _xlfn.XLOOKUP(1,((SKUs!$A$2:$A$10001=cl_unmerged!B170) * (ISNUMBER(SEARCH("Sash",SKUs!$J$2:$J$10001)))), SKUs!$J$2:$J$10001,""),"") &amp; _xlfn.IFS(I170="Height", ", H",I170="Height SLI", ", H SLI", I170="Height FIX", ", H FIX",I170="Width", ", W", I170="", "")</f>
        <v/>
      </c>
      <c r="F170" s="33" t="str" cm="1">
        <f t="array" ref="F170">_xlfn.XLOOKUP(1,((SKUs!$A$2:$A$10001=cl_unmerged!B170) * (ISNUMBER(SEARCH("Sash",SKUs!$J$2:$J$10001)))* (ISNUMBER(SEARCH(A170,SKUs!$C$2:$C$10001)))), SKUs!$C$2:$C$10001,"")</f>
        <v/>
      </c>
      <c r="G170" s="16"/>
      <c r="H170" s="31" t="str">
        <f>IF(C170&lt;&gt;"", IF(I170="Height",_xlfn.XLOOKUP(C170,calc_s60!$C$15:$C$1000,calc_s60!$W$15:$W$1000,"",0), _xlfn.XLOOKUP(C170,calc_s60!$C$15:$C$1000,calc_s60!$Y$15:$Y$1000,"",0)),"")</f>
        <v/>
      </c>
      <c r="I170" s="16" t="str">
        <f t="shared" si="3"/>
        <v/>
      </c>
    </row>
    <row r="171" spans="1:9" ht="13.5" customHeight="1" x14ac:dyDescent="0.25">
      <c r="A171" s="41" t="str">
        <f>_xlfn.XLOOKUP(G171,dd_color!$A$2:$A$8,dd_color!$B$2:$B$8,"",0)</f>
        <v/>
      </c>
      <c r="B171" s="41">
        <f>_xlfn.XLOOKUP(_xlfn.XLOOKUP(C171,'Project Details'!$C$17:$C$10003,'Project Details'!$E$17:$E$10003, "",0),dd_design_raw!$A$2:$A$9997,dd_design_raw!$C$2:$C$9997,"",0)</f>
        <v>0</v>
      </c>
      <c r="C171" s="16"/>
      <c r="D171" s="16" t="str">
        <f>IF(C171&lt;&gt;"", IF(I171="Height",_xlfn.XLOOKUP(C171,calc_s60!$C$15:$C$1000,calc_s60!$X$15:$X$1000,"",0), _xlfn.XLOOKUP(C171,calc_s60!$C$15:$C$1000,calc_s60!$Z$15:$Z$1000,"",0)),"")</f>
        <v/>
      </c>
      <c r="E171" s="16" t="str" cm="1">
        <f t="array" ref="E171">IF(C171&lt;&gt;"", _xlfn.XLOOKUP(1,((SKUs!$A$2:$A$10001=cl_unmerged!B171) * (ISNUMBER(SEARCH("Sash",SKUs!$J$2:$J$10001)))), SKUs!$J$2:$J$10001,""),"") &amp; _xlfn.IFS(I171="Height", ", H",I171="Height SLI", ", H SLI", I171="Height FIX", ", H FIX",I171="Width", ", W", I171="", "")</f>
        <v/>
      </c>
      <c r="F171" s="33" t="str" cm="1">
        <f t="array" ref="F171">_xlfn.XLOOKUP(1,((SKUs!$A$2:$A$10001=cl_unmerged!B171) * (ISNUMBER(SEARCH("Sash",SKUs!$J$2:$J$10001)))* (ISNUMBER(SEARCH(A171,SKUs!$C$2:$C$10001)))), SKUs!$C$2:$C$10001,"")</f>
        <v/>
      </c>
      <c r="G171" s="16"/>
      <c r="H171" s="31" t="str">
        <f>IF(C171&lt;&gt;"", IF(I171="Height",_xlfn.XLOOKUP(C171,calc_s60!$C$15:$C$1000,calc_s60!$W$15:$W$1000,"",0), _xlfn.XLOOKUP(C171,calc_s60!$C$15:$C$1000,calc_s60!$Y$15:$Y$1000,"",0)),"")</f>
        <v/>
      </c>
      <c r="I171" s="16" t="str">
        <f t="shared" si="3"/>
        <v/>
      </c>
    </row>
    <row r="172" spans="1:9" ht="13.5" customHeight="1" x14ac:dyDescent="0.25">
      <c r="A172" s="41" t="str">
        <f>_xlfn.XLOOKUP(G172,dd_color!$A$2:$A$8,dd_color!$B$2:$B$8,"",0)</f>
        <v/>
      </c>
      <c r="B172" s="41">
        <f>_xlfn.XLOOKUP(_xlfn.XLOOKUP(C172,'Project Details'!$C$17:$C$10003,'Project Details'!$E$17:$E$10003, "",0),dd_design_raw!$A$2:$A$9997,dd_design_raw!$C$2:$C$9997,"",0)</f>
        <v>0</v>
      </c>
      <c r="C172" s="16"/>
      <c r="D172" s="16" t="str">
        <f>IF(C172&lt;&gt;"", IF(I172="Height",_xlfn.XLOOKUP(C172,calc_s60!$C$15:$C$1000,calc_s60!$X$15:$X$1000,"",0), _xlfn.XLOOKUP(C172,calc_s60!$C$15:$C$1000,calc_s60!$Z$15:$Z$1000,"",0)),"")</f>
        <v/>
      </c>
      <c r="E172" s="16" t="str" cm="1">
        <f t="array" ref="E172">IF(C172&lt;&gt;"", _xlfn.XLOOKUP(1,((SKUs!$A$2:$A$10001=cl_unmerged!B172) * (ISNUMBER(SEARCH("Sash",SKUs!$J$2:$J$10001)))), SKUs!$J$2:$J$10001,""),"") &amp; _xlfn.IFS(I172="Height", ", H",I172="Height SLI", ", H SLI", I172="Height FIX", ", H FIX",I172="Width", ", W", I172="", "")</f>
        <v/>
      </c>
      <c r="F172" s="33" t="str" cm="1">
        <f t="array" ref="F172">_xlfn.XLOOKUP(1,((SKUs!$A$2:$A$10001=cl_unmerged!B172) * (ISNUMBER(SEARCH("Sash",SKUs!$J$2:$J$10001)))* (ISNUMBER(SEARCH(A172,SKUs!$C$2:$C$10001)))), SKUs!$C$2:$C$10001,"")</f>
        <v/>
      </c>
      <c r="G172" s="16"/>
      <c r="H172" s="31" t="str">
        <f>IF(C172&lt;&gt;"", IF(I172="Height",_xlfn.XLOOKUP(C172,calc_s60!$C$15:$C$1000,calc_s60!$W$15:$W$1000,"",0), _xlfn.XLOOKUP(C172,calc_s60!$C$15:$C$1000,calc_s60!$Y$15:$Y$1000,"",0)),"")</f>
        <v/>
      </c>
      <c r="I172" s="16" t="str">
        <f t="shared" si="3"/>
        <v/>
      </c>
    </row>
    <row r="173" spans="1:9" ht="13.5" customHeight="1" x14ac:dyDescent="0.25">
      <c r="A173" s="41" t="str">
        <f>_xlfn.XLOOKUP(G173,dd_color!$A$2:$A$8,dd_color!$B$2:$B$8,"",0)</f>
        <v/>
      </c>
      <c r="B173" s="41">
        <f>_xlfn.XLOOKUP(_xlfn.XLOOKUP(C173,'Project Details'!$C$17:$C$10003,'Project Details'!$E$17:$E$10003, "",0),dd_design_raw!$A$2:$A$9997,dd_design_raw!$C$2:$C$9997,"",0)</f>
        <v>0</v>
      </c>
      <c r="C173" s="16"/>
      <c r="D173" s="16" t="str">
        <f>IF(C173&lt;&gt;"", IF(I173="Height",_xlfn.XLOOKUP(C173,calc_s60!$C$15:$C$1000,calc_s60!$X$15:$X$1000,"",0), _xlfn.XLOOKUP(C173,calc_s60!$C$15:$C$1000,calc_s60!$Z$15:$Z$1000,"",0)),"")</f>
        <v/>
      </c>
      <c r="E173" s="16" t="str" cm="1">
        <f t="array" ref="E173">IF(C173&lt;&gt;"", _xlfn.XLOOKUP(1,((SKUs!$A$2:$A$10001=cl_unmerged!B173) * (ISNUMBER(SEARCH("Sash",SKUs!$J$2:$J$10001)))), SKUs!$J$2:$J$10001,""),"") &amp; _xlfn.IFS(I173="Height", ", H",I173="Height SLI", ", H SLI", I173="Height FIX", ", H FIX",I173="Width", ", W", I173="", "")</f>
        <v/>
      </c>
      <c r="F173" s="33" t="str" cm="1">
        <f t="array" ref="F173">_xlfn.XLOOKUP(1,((SKUs!$A$2:$A$10001=cl_unmerged!B173) * (ISNUMBER(SEARCH("Sash",SKUs!$J$2:$J$10001)))* (ISNUMBER(SEARCH(A173,SKUs!$C$2:$C$10001)))), SKUs!$C$2:$C$10001,"")</f>
        <v/>
      </c>
      <c r="G173" s="16"/>
      <c r="H173" s="31" t="str">
        <f>IF(C173&lt;&gt;"", IF(I173="Height",_xlfn.XLOOKUP(C173,calc_s60!$C$15:$C$1000,calc_s60!$W$15:$W$1000,"",0), _xlfn.XLOOKUP(C173,calc_s60!$C$15:$C$1000,calc_s60!$Y$15:$Y$1000,"",0)),"")</f>
        <v/>
      </c>
      <c r="I173" s="16" t="str">
        <f t="shared" si="3"/>
        <v/>
      </c>
    </row>
    <row r="174" spans="1:9" ht="13.5" customHeight="1" x14ac:dyDescent="0.25">
      <c r="A174" s="41" t="str">
        <f>_xlfn.XLOOKUP(G174,dd_color!$A$2:$A$8,dd_color!$B$2:$B$8,"",0)</f>
        <v/>
      </c>
      <c r="B174" s="41">
        <f>_xlfn.XLOOKUP(_xlfn.XLOOKUP(C174,'Project Details'!$C$17:$C$10003,'Project Details'!$E$17:$E$10003, "",0),dd_design_raw!$A$2:$A$9997,dd_design_raw!$C$2:$C$9997,"",0)</f>
        <v>0</v>
      </c>
      <c r="C174" s="16"/>
      <c r="D174" s="16" t="str">
        <f>IF(C174&lt;&gt;"", IF(I174="Height",_xlfn.XLOOKUP(C174,calc_s60!$C$15:$C$1000,calc_s60!$X$15:$X$1000,"",0), _xlfn.XLOOKUP(C174,calc_s60!$C$15:$C$1000,calc_s60!$Z$15:$Z$1000,"",0)),"")</f>
        <v/>
      </c>
      <c r="E174" s="16" t="str" cm="1">
        <f t="array" ref="E174">IF(C174&lt;&gt;"", _xlfn.XLOOKUP(1,((SKUs!$A$2:$A$10001=cl_unmerged!B174) * (ISNUMBER(SEARCH("Sash",SKUs!$J$2:$J$10001)))), SKUs!$J$2:$J$10001,""),"") &amp; _xlfn.IFS(I174="Height", ", H",I174="Height SLI", ", H SLI", I174="Height FIX", ", H FIX",I174="Width", ", W", I174="", "")</f>
        <v/>
      </c>
      <c r="F174" s="33" t="str" cm="1">
        <f t="array" ref="F174">_xlfn.XLOOKUP(1,((SKUs!$A$2:$A$10001=cl_unmerged!B174) * (ISNUMBER(SEARCH("Sash",SKUs!$J$2:$J$10001)))* (ISNUMBER(SEARCH(A174,SKUs!$C$2:$C$10001)))), SKUs!$C$2:$C$10001,"")</f>
        <v/>
      </c>
      <c r="G174" s="16"/>
      <c r="H174" s="31" t="str">
        <f>IF(C174&lt;&gt;"", IF(I174="Height",_xlfn.XLOOKUP(C174,calc_s60!$C$15:$C$1000,calc_s60!$W$15:$W$1000,"",0), _xlfn.XLOOKUP(C174,calc_s60!$C$15:$C$1000,calc_s60!$Y$15:$Y$1000,"",0)),"")</f>
        <v/>
      </c>
      <c r="I174" s="16" t="str">
        <f t="shared" si="3"/>
        <v/>
      </c>
    </row>
    <row r="175" spans="1:9" ht="13.5" customHeight="1" x14ac:dyDescent="0.25">
      <c r="A175" s="41" t="str">
        <f>_xlfn.XLOOKUP(G175,dd_color!$A$2:$A$8,dd_color!$B$2:$B$8,"",0)</f>
        <v/>
      </c>
      <c r="B175" s="41">
        <f>_xlfn.XLOOKUP(_xlfn.XLOOKUP(C175,'Project Details'!$C$17:$C$10003,'Project Details'!$E$17:$E$10003, "",0),dd_design_raw!$A$2:$A$9997,dd_design_raw!$C$2:$C$9997,"",0)</f>
        <v>0</v>
      </c>
      <c r="C175" s="16"/>
      <c r="D175" s="16" t="str">
        <f>IF(C175&lt;&gt;"", IF(I175="Height",_xlfn.XLOOKUP(C175,calc_s60!$C$15:$C$1000,calc_s60!$X$15:$X$1000,"",0), _xlfn.XLOOKUP(C175,calc_s60!$C$15:$C$1000,calc_s60!$Z$15:$Z$1000,"",0)),"")</f>
        <v/>
      </c>
      <c r="E175" s="16" t="str" cm="1">
        <f t="array" ref="E175">IF(C175&lt;&gt;"", _xlfn.XLOOKUP(1,((SKUs!$A$2:$A$10001=cl_unmerged!B175) * (ISNUMBER(SEARCH("Sash",SKUs!$J$2:$J$10001)))), SKUs!$J$2:$J$10001,""),"") &amp; _xlfn.IFS(I175="Height", ", H",I175="Height SLI", ", H SLI", I175="Height FIX", ", H FIX",I175="Width", ", W", I175="", "")</f>
        <v/>
      </c>
      <c r="F175" s="33" t="str" cm="1">
        <f t="array" ref="F175">_xlfn.XLOOKUP(1,((SKUs!$A$2:$A$10001=cl_unmerged!B175) * (ISNUMBER(SEARCH("Sash",SKUs!$J$2:$J$10001)))* (ISNUMBER(SEARCH(A175,SKUs!$C$2:$C$10001)))), SKUs!$C$2:$C$10001,"")</f>
        <v/>
      </c>
      <c r="G175" s="16"/>
      <c r="H175" s="31" t="str">
        <f>IF(C175&lt;&gt;"", IF(I175="Height",_xlfn.XLOOKUP(C175,calc_s60!$C$15:$C$1000,calc_s60!$W$15:$W$1000,"",0), _xlfn.XLOOKUP(C175,calc_s60!$C$15:$C$1000,calc_s60!$Y$15:$Y$1000,"",0)),"")</f>
        <v/>
      </c>
      <c r="I175" s="16" t="str">
        <f t="shared" si="3"/>
        <v/>
      </c>
    </row>
    <row r="176" spans="1:9" ht="13.5" customHeight="1" x14ac:dyDescent="0.25">
      <c r="A176" s="41" t="str">
        <f>_xlfn.XLOOKUP(G176,dd_color!$A$2:$A$8,dd_color!$B$2:$B$8,"",0)</f>
        <v/>
      </c>
      <c r="B176" s="41">
        <f>_xlfn.XLOOKUP(_xlfn.XLOOKUP(C176,'Project Details'!$C$17:$C$10003,'Project Details'!$E$17:$E$10003, "",0),dd_design_raw!$A$2:$A$9997,dd_design_raw!$C$2:$C$9997,"",0)</f>
        <v>0</v>
      </c>
      <c r="C176" s="16"/>
      <c r="D176" s="16" t="str">
        <f>IF(C176&lt;&gt;"", IF(I176="Height",_xlfn.XLOOKUP(C176,calc_s60!$C$15:$C$1000,calc_s60!$X$15:$X$1000,"",0), _xlfn.XLOOKUP(C176,calc_s60!$C$15:$C$1000,calc_s60!$Z$15:$Z$1000,"",0)),"")</f>
        <v/>
      </c>
      <c r="E176" s="16" t="str" cm="1">
        <f t="array" ref="E176">IF(C176&lt;&gt;"", _xlfn.XLOOKUP(1,((SKUs!$A$2:$A$10001=cl_unmerged!B176) * (ISNUMBER(SEARCH("Sash",SKUs!$J$2:$J$10001)))), SKUs!$J$2:$J$10001,""),"") &amp; _xlfn.IFS(I176="Height", ", H",I176="Height SLI", ", H SLI", I176="Height FIX", ", H FIX",I176="Width", ", W", I176="", "")</f>
        <v/>
      </c>
      <c r="F176" s="33" t="str" cm="1">
        <f t="array" ref="F176">_xlfn.XLOOKUP(1,((SKUs!$A$2:$A$10001=cl_unmerged!B176) * (ISNUMBER(SEARCH("Sash",SKUs!$J$2:$J$10001)))* (ISNUMBER(SEARCH(A176,SKUs!$C$2:$C$10001)))), SKUs!$C$2:$C$10001,"")</f>
        <v/>
      </c>
      <c r="G176" s="16"/>
      <c r="H176" s="31" t="str">
        <f>IF(C176&lt;&gt;"", IF(I176="Height",_xlfn.XLOOKUP(C176,calc_s60!$C$15:$C$1000,calc_s60!$W$15:$W$1000,"",0), _xlfn.XLOOKUP(C176,calc_s60!$C$15:$C$1000,calc_s60!$Y$15:$Y$1000,"",0)),"")</f>
        <v/>
      </c>
      <c r="I176" s="16" t="str">
        <f t="shared" si="3"/>
        <v/>
      </c>
    </row>
    <row r="177" spans="1:9" ht="13.5" customHeight="1" x14ac:dyDescent="0.25">
      <c r="A177" s="41" t="str">
        <f>_xlfn.XLOOKUP(G177,dd_color!$A$2:$A$8,dd_color!$B$2:$B$8,"",0)</f>
        <v/>
      </c>
      <c r="B177" s="41">
        <f>_xlfn.XLOOKUP(_xlfn.XLOOKUP(C177,'Project Details'!$C$17:$C$10003,'Project Details'!$E$17:$E$10003, "",0),dd_design_raw!$A$2:$A$9997,dd_design_raw!$C$2:$C$9997,"",0)</f>
        <v>0</v>
      </c>
      <c r="C177" s="16"/>
      <c r="D177" s="16" t="str">
        <f>IF(C177&lt;&gt;"", IF(I177="Height",_xlfn.XLOOKUP(C177,calc_s60!$C$15:$C$1000,calc_s60!$X$15:$X$1000,"",0), _xlfn.XLOOKUP(C177,calc_s60!$C$15:$C$1000,calc_s60!$Z$15:$Z$1000,"",0)),"")</f>
        <v/>
      </c>
      <c r="E177" s="16" t="str" cm="1">
        <f t="array" ref="E177">IF(C177&lt;&gt;"", _xlfn.XLOOKUP(1,((SKUs!$A$2:$A$10001=cl_unmerged!B177) * (ISNUMBER(SEARCH("Sash",SKUs!$J$2:$J$10001)))), SKUs!$J$2:$J$10001,""),"") &amp; _xlfn.IFS(I177="Height", ", H",I177="Height SLI", ", H SLI", I177="Height FIX", ", H FIX",I177="Width", ", W", I177="", "")</f>
        <v/>
      </c>
      <c r="F177" s="33" t="str" cm="1">
        <f t="array" ref="F177">_xlfn.XLOOKUP(1,((SKUs!$A$2:$A$10001=cl_unmerged!B177) * (ISNUMBER(SEARCH("Sash",SKUs!$J$2:$J$10001)))* (ISNUMBER(SEARCH(A177,SKUs!$C$2:$C$10001)))), SKUs!$C$2:$C$10001,"")</f>
        <v/>
      </c>
      <c r="G177" s="16"/>
      <c r="H177" s="31" t="str">
        <f>IF(C177&lt;&gt;"", IF(I177="Height",_xlfn.XLOOKUP(C177,calc_s60!$C$15:$C$1000,calc_s60!$W$15:$W$1000,"",0), _xlfn.XLOOKUP(C177,calc_s60!$C$15:$C$1000,calc_s60!$Y$15:$Y$1000,"",0)),"")</f>
        <v/>
      </c>
      <c r="I177" s="16" t="str">
        <f t="shared" si="3"/>
        <v/>
      </c>
    </row>
    <row r="178" spans="1:9" ht="13.5" customHeight="1" x14ac:dyDescent="0.25">
      <c r="A178" s="41" t="str">
        <f>_xlfn.XLOOKUP(G178,dd_color!$A$2:$A$8,dd_color!$B$2:$B$8,"",0)</f>
        <v/>
      </c>
      <c r="B178" s="41">
        <f>_xlfn.XLOOKUP(_xlfn.XLOOKUP(C178,'Project Details'!$C$17:$C$10003,'Project Details'!$E$17:$E$10003, "",0),dd_design_raw!$A$2:$A$9997,dd_design_raw!$C$2:$C$9997,"",0)</f>
        <v>0</v>
      </c>
      <c r="C178" s="16"/>
      <c r="D178" s="16" t="str">
        <f>IF(C178&lt;&gt;"", IF(I178="Height",_xlfn.XLOOKUP(C178,calc_s60!$C$15:$C$1000,calc_s60!$X$15:$X$1000,"",0), _xlfn.XLOOKUP(C178,calc_s60!$C$15:$C$1000,calc_s60!$Z$15:$Z$1000,"",0)),"")</f>
        <v/>
      </c>
      <c r="E178" s="16" t="str" cm="1">
        <f t="array" ref="E178">IF(C178&lt;&gt;"", _xlfn.XLOOKUP(1,((SKUs!$A$2:$A$10001=cl_unmerged!B178) * (ISNUMBER(SEARCH("Sash",SKUs!$J$2:$J$10001)))), SKUs!$J$2:$J$10001,""),"") &amp; _xlfn.IFS(I178="Height", ", H",I178="Height SLI", ", H SLI", I178="Height FIX", ", H FIX",I178="Width", ", W", I178="", "")</f>
        <v/>
      </c>
      <c r="F178" s="33" t="str" cm="1">
        <f t="array" ref="F178">_xlfn.XLOOKUP(1,((SKUs!$A$2:$A$10001=cl_unmerged!B178) * (ISNUMBER(SEARCH("Sash",SKUs!$J$2:$J$10001)))* (ISNUMBER(SEARCH(A178,SKUs!$C$2:$C$10001)))), SKUs!$C$2:$C$10001,"")</f>
        <v/>
      </c>
      <c r="G178" s="16"/>
      <c r="H178" s="31" t="str">
        <f>IF(C178&lt;&gt;"", IF(I178="Height",_xlfn.XLOOKUP(C178,calc_s60!$C$15:$C$1000,calc_s60!$W$15:$W$1000,"",0), _xlfn.XLOOKUP(C178,calc_s60!$C$15:$C$1000,calc_s60!$Y$15:$Y$1000,"",0)),"")</f>
        <v/>
      </c>
      <c r="I178" s="16" t="str">
        <f t="shared" si="3"/>
        <v/>
      </c>
    </row>
    <row r="179" spans="1:9" ht="13.5" customHeight="1" x14ac:dyDescent="0.25">
      <c r="A179" s="41" t="str">
        <f>_xlfn.XLOOKUP(G179,dd_color!$A$2:$A$8,dd_color!$B$2:$B$8,"",0)</f>
        <v/>
      </c>
      <c r="B179" s="41">
        <f>_xlfn.XLOOKUP(_xlfn.XLOOKUP(C179,'Project Details'!$C$17:$C$10003,'Project Details'!$E$17:$E$10003, "",0),dd_design_raw!$A$2:$A$9997,dd_design_raw!$C$2:$C$9997,"",0)</f>
        <v>0</v>
      </c>
      <c r="C179" s="16"/>
      <c r="D179" s="16" t="str">
        <f>IF(C179&lt;&gt;"", IF(I179="Height",_xlfn.XLOOKUP(C179,calc_s60!$C$15:$C$1000,calc_s60!$X$15:$X$1000,"",0), _xlfn.XLOOKUP(C179,calc_s60!$C$15:$C$1000,calc_s60!$Z$15:$Z$1000,"",0)),"")</f>
        <v/>
      </c>
      <c r="E179" s="16" t="str" cm="1">
        <f t="array" ref="E179">IF(C179&lt;&gt;"", _xlfn.XLOOKUP(1,((SKUs!$A$2:$A$10001=cl_unmerged!B179) * (ISNUMBER(SEARCH("Sash",SKUs!$J$2:$J$10001)))), SKUs!$J$2:$J$10001,""),"") &amp; _xlfn.IFS(I179="Height", ", H",I179="Height SLI", ", H SLI", I179="Height FIX", ", H FIX",I179="Width", ", W", I179="", "")</f>
        <v/>
      </c>
      <c r="F179" s="33" t="str" cm="1">
        <f t="array" ref="F179">_xlfn.XLOOKUP(1,((SKUs!$A$2:$A$10001=cl_unmerged!B179) * (ISNUMBER(SEARCH("Sash",SKUs!$J$2:$J$10001)))* (ISNUMBER(SEARCH(A179,SKUs!$C$2:$C$10001)))), SKUs!$C$2:$C$10001,"")</f>
        <v/>
      </c>
      <c r="G179" s="16"/>
      <c r="H179" s="31" t="str">
        <f>IF(C179&lt;&gt;"", IF(I179="Height",_xlfn.XLOOKUP(C179,calc_s60!$C$15:$C$1000,calc_s60!$W$15:$W$1000,"",0), _xlfn.XLOOKUP(C179,calc_s60!$C$15:$C$1000,calc_s60!$Y$15:$Y$1000,"",0)),"")</f>
        <v/>
      </c>
      <c r="I179" s="16" t="str">
        <f t="shared" si="3"/>
        <v/>
      </c>
    </row>
    <row r="180" spans="1:9" ht="13.5" customHeight="1" x14ac:dyDescent="0.25">
      <c r="A180" s="41" t="str">
        <f>_xlfn.XLOOKUP(G180,dd_color!$A$2:$A$8,dd_color!$B$2:$B$8,"",0)</f>
        <v/>
      </c>
      <c r="B180" s="41">
        <f>_xlfn.XLOOKUP(_xlfn.XLOOKUP(C180,'Project Details'!$C$17:$C$10003,'Project Details'!$E$17:$E$10003, "",0),dd_design_raw!$A$2:$A$9997,dd_design_raw!$C$2:$C$9997,"",0)</f>
        <v>0</v>
      </c>
      <c r="C180" s="16"/>
      <c r="D180" s="16" t="str">
        <f>IF(C180&lt;&gt;"", IF(I180="Height",_xlfn.XLOOKUP(C180,calc_s60!$C$15:$C$1000,calc_s60!$X$15:$X$1000,"",0), _xlfn.XLOOKUP(C180,calc_s60!$C$15:$C$1000,calc_s60!$Z$15:$Z$1000,"",0)),"")</f>
        <v/>
      </c>
      <c r="E180" s="16" t="str" cm="1">
        <f t="array" ref="E180">IF(C180&lt;&gt;"", _xlfn.XLOOKUP(1,((SKUs!$A$2:$A$10001=cl_unmerged!B180) * (ISNUMBER(SEARCH("Sash",SKUs!$J$2:$J$10001)))), SKUs!$J$2:$J$10001,""),"") &amp; _xlfn.IFS(I180="Height", ", H",I180="Height SLI", ", H SLI", I180="Height FIX", ", H FIX",I180="Width", ", W", I180="", "")</f>
        <v/>
      </c>
      <c r="F180" s="33" t="str" cm="1">
        <f t="array" ref="F180">_xlfn.XLOOKUP(1,((SKUs!$A$2:$A$10001=cl_unmerged!B180) * (ISNUMBER(SEARCH("Sash",SKUs!$J$2:$J$10001)))* (ISNUMBER(SEARCH(A180,SKUs!$C$2:$C$10001)))), SKUs!$C$2:$C$10001,"")</f>
        <v/>
      </c>
      <c r="G180" s="16"/>
      <c r="H180" s="31" t="str">
        <f>IF(C180&lt;&gt;"", IF(I180="Height",_xlfn.XLOOKUP(C180,calc_s60!$C$15:$C$1000,calc_s60!$W$15:$W$1000,"",0), _xlfn.XLOOKUP(C180,calc_s60!$C$15:$C$1000,calc_s60!$Y$15:$Y$1000,"",0)),"")</f>
        <v/>
      </c>
      <c r="I180" s="16" t="str">
        <f t="shared" si="3"/>
        <v/>
      </c>
    </row>
    <row r="181" spans="1:9" ht="13.5" customHeight="1" x14ac:dyDescent="0.25">
      <c r="A181" s="41" t="str">
        <f>_xlfn.XLOOKUP(G181,dd_color!$A$2:$A$8,dd_color!$B$2:$B$8,"",0)</f>
        <v/>
      </c>
      <c r="B181" s="41">
        <f>_xlfn.XLOOKUP(_xlfn.XLOOKUP(C181,'Project Details'!$C$17:$C$10003,'Project Details'!$E$17:$E$10003, "",0),dd_design_raw!$A$2:$A$9997,dd_design_raw!$C$2:$C$9997,"",0)</f>
        <v>0</v>
      </c>
      <c r="C181" s="16"/>
      <c r="D181" s="16" t="str">
        <f>IF(C181&lt;&gt;"", IF(I181="Height",_xlfn.XLOOKUP(C181,calc_s60!$C$15:$C$1000,calc_s60!$X$15:$X$1000,"",0), _xlfn.XLOOKUP(C181,calc_s60!$C$15:$C$1000,calc_s60!$Z$15:$Z$1000,"",0)),"")</f>
        <v/>
      </c>
      <c r="E181" s="16" t="str" cm="1">
        <f t="array" ref="E181">IF(C181&lt;&gt;"", _xlfn.XLOOKUP(1,((SKUs!$A$2:$A$10001=cl_unmerged!B181) * (ISNUMBER(SEARCH("Sash",SKUs!$J$2:$J$10001)))), SKUs!$J$2:$J$10001,""),"") &amp; _xlfn.IFS(I181="Height", ", H",I181="Height SLI", ", H SLI", I181="Height FIX", ", H FIX",I181="Width", ", W", I181="", "")</f>
        <v/>
      </c>
      <c r="F181" s="33" t="str" cm="1">
        <f t="array" ref="F181">_xlfn.XLOOKUP(1,((SKUs!$A$2:$A$10001=cl_unmerged!B181) * (ISNUMBER(SEARCH("Sash",SKUs!$J$2:$J$10001)))* (ISNUMBER(SEARCH(A181,SKUs!$C$2:$C$10001)))), SKUs!$C$2:$C$10001,"")</f>
        <v/>
      </c>
      <c r="G181" s="16"/>
      <c r="H181" s="31" t="str">
        <f>IF(C181&lt;&gt;"", IF(I181="Height",_xlfn.XLOOKUP(C181,calc_s60!$C$15:$C$1000,calc_s60!$W$15:$W$1000,"",0), _xlfn.XLOOKUP(C181,calc_s60!$C$15:$C$1000,calc_s60!$Y$15:$Y$1000,"",0)),"")</f>
        <v/>
      </c>
      <c r="I181" s="16" t="str">
        <f t="shared" si="3"/>
        <v/>
      </c>
    </row>
    <row r="182" spans="1:9" ht="13.5" customHeight="1" x14ac:dyDescent="0.25">
      <c r="C182" s="32" t="s">
        <v>717</v>
      </c>
      <c r="D182" s="32"/>
      <c r="E182" s="32"/>
      <c r="F182" s="32"/>
      <c r="G182" s="32"/>
      <c r="H182" s="32"/>
      <c r="I182" s="32"/>
    </row>
    <row r="183" spans="1:9" ht="13.5" customHeight="1" x14ac:dyDescent="0.25">
      <c r="A183" s="41" t="str">
        <f>_xlfn.XLOOKUP(G183,dd_color!$A$2:$A$8,dd_color!$B$2:$B$8,"",0)</f>
        <v/>
      </c>
      <c r="B183" s="41" t="str">
        <f>_xlfn.XLOOKUP(_xlfn.XLOOKUP(C183,'Project Details'!$C$17:$C$10003,'Project Details'!$E$17:$E$10003, "",0),dd_design_raw!$A$2:$A$9997,dd_design_raw!$C$2:$C$9997,"",0)</f>
        <v/>
      </c>
      <c r="C183" s="16" t="str" cm="1">
        <f t="array" ref="C183:C185">IFERROR(INDEX(_xlfn._xlws.FILTER('calc_s90&amp;138'!C15:C65, 'calc_s90&amp;138'!S15:S65&lt;&gt;""), INT((_xlfn.SEQUENCE(3 * COUNTA(_xlfn._xlws.FILTER('calc_s90&amp;138'!C15:C65, 'calc_s90&amp;138'!S15:S65&lt;&gt;""))) - 1) / 3) + 1), "")</f>
        <v/>
      </c>
      <c r="D183" s="16" t="str" cm="1">
        <f t="array" ref="D183">IF(C183&lt;&gt;"", _xlfn.IFS(I183="Height SLI",_xlfn.XLOOKUP(C183,'calc_s90&amp;138'!$C$15:$C$1000,'calc_s90&amp;138'!$U$15:$U$1000,"",0), I183="Height FIX",_xlfn.XLOOKUP(C183,'calc_s90&amp;138'!$C$15:$C$1000,'calc_s90&amp;138'!$W$15:$W$1000,"",0), I183="Width", _xlfn.XLOOKUP(C183,'calc_s90&amp;138'!$C$15:$C$1000,'calc_s90&amp;138'!$Y$15:$Y$1000,"",0)),"")</f>
        <v/>
      </c>
      <c r="E183" s="16" t="str" cm="1">
        <f t="array" ref="E183">IF(C183&lt;&gt;"", _xlfn.XLOOKUP(1,((SKUs!$A$2:$A$10001=cl_unmerged!B183) * (ISNUMBER(SEARCH("Sash",SKUs!$J$2:$J$10001)))), SKUs!$J$2:$J$10001,""),"") &amp; _xlfn.IFS(I183="Height", ", H",I183="Height SLI", ", H SLI", I183="Height FIX", ", H FIX",I183="Width", ", W", I183="", "")</f>
        <v>, H SLI</v>
      </c>
      <c r="F183" s="33" t="str" cm="1">
        <f t="array" ref="F183">_xlfn.XLOOKUP(1,((SKUs!$A$2:$A$10001=cl_unmerged!B183) * (ISNUMBER(SEARCH("Sash",SKUs!$J$2:$J$10001)))* (ISNUMBER(SEARCH(A183,SKUs!$C$2:$C$10001)))), SKUs!$C$2:$C$10001,"")</f>
        <v/>
      </c>
      <c r="G183" s="16" t="str" cm="1">
        <f t="array" ref="G183:G185">IFERROR(INDEX(_xlfn._xlws.FILTER('calc_s90&amp;138'!G15:G65, 'calc_s90&amp;138'!S15:S65&lt;&gt;""), INT((_xlfn.SEQUENCE(3* COUNTA(_xlfn._xlws.FILTER('calc_s90&amp;138'!G15:G65, 'calc_s90&amp;138'!S15:S65&lt;&gt;""))) - 1) / 3) + 1), "")</f>
        <v/>
      </c>
      <c r="H183" s="16" t="str" cm="1">
        <f t="array" ref="H183">IF(C183&lt;&gt;"", _xlfn.IFS(I183="Height SLI",_xlfn.XLOOKUP(C183,'calc_s90&amp;138'!$C$15:$C$1000,'calc_s90&amp;138'!$T$15:$T$1000,"",0), I183="Height FIX",_xlfn.XLOOKUP(C183,'calc_s90&amp;138'!$C$15:$C$1000,'calc_s90&amp;138'!$V$15:$V$1000,"",0), I183="Width", _xlfn.XLOOKUP(C183,'calc_s90&amp;138'!$C$15:$C$1000,'calc_s90&amp;138'!$X$15:$X$1000,"",0)),"")</f>
        <v/>
      </c>
      <c r="I183" s="16" t="s">
        <v>184</v>
      </c>
    </row>
    <row r="184" spans="1:9" ht="13.5" customHeight="1" x14ac:dyDescent="0.25">
      <c r="A184" s="41" t="str">
        <f>_xlfn.XLOOKUP(G184,dd_color!$A$2:$A$8,dd_color!$B$2:$B$8,"",0)</f>
        <v/>
      </c>
      <c r="B184" s="41" t="str">
        <f>_xlfn.XLOOKUP(_xlfn.XLOOKUP(C184,'Project Details'!$C$17:$C$10003,'Project Details'!$E$17:$E$10003, "",0),dd_design_raw!$A$2:$A$9997,dd_design_raw!$C$2:$C$9997,"",0)</f>
        <v/>
      </c>
      <c r="C184" s="16" t="str">
        <v/>
      </c>
      <c r="D184" s="16" t="str" cm="1">
        <f t="array" ref="D184">IF(C184&lt;&gt;"", _xlfn.IFS(I184="Height SLI",_xlfn.XLOOKUP(C184,'calc_s90&amp;138'!$C$15:$C$1000,'calc_s90&amp;138'!$U$15:$U$1000,"",0), I184="Height FIX",_xlfn.XLOOKUP(C184,'calc_s90&amp;138'!$C$15:$C$1000,'calc_s90&amp;138'!$W$15:$W$1000,"",0), I184="Width", _xlfn.XLOOKUP(C184,'calc_s90&amp;138'!$C$15:$C$1000,'calc_s90&amp;138'!$Y$15:$Y$1000,"",0)),"")</f>
        <v/>
      </c>
      <c r="E184" s="16" t="str" cm="1">
        <f t="array" ref="E184">IF(C184&lt;&gt;"", _xlfn.XLOOKUP(1,((SKUs!$A$2:$A$10001=cl_unmerged!B184) * (ISNUMBER(SEARCH("Sash",SKUs!$J$2:$J$10001)))), SKUs!$J$2:$J$10001,""),"") &amp; _xlfn.IFS(I184="Height", ", H",I184="Height SLI", ", H SLI", I184="Height FIX", ", H FIX",I184="Width", ", W", I184="", "")</f>
        <v>, H FIX</v>
      </c>
      <c r="F184" s="33" t="str" cm="1">
        <f t="array" ref="F184">_xlfn.XLOOKUP(1,((SKUs!$A$2:$A$10001=cl_unmerged!B184) * (ISNUMBER(SEARCH("Sash",SKUs!$J$2:$J$10001)))* (ISNUMBER(SEARCH(A184,SKUs!$C$2:$C$10001)))), SKUs!$C$2:$C$10001,"")</f>
        <v/>
      </c>
      <c r="G184" s="16" t="str">
        <v/>
      </c>
      <c r="H184" s="16" t="str" cm="1">
        <f t="array" ref="H184">IF(C184&lt;&gt;"", _xlfn.IFS(I184="Height SLI",_xlfn.XLOOKUP(C184,'calc_s90&amp;138'!$C$15:$C$1000,'calc_s90&amp;138'!$T$15:$T$1000,"",0), I184="Height FIX",_xlfn.XLOOKUP(C184,'calc_s90&amp;138'!$C$15:$C$1000,'calc_s90&amp;138'!$V$15:$V$1000,"",0), I184="Width", _xlfn.XLOOKUP(C184,'calc_s90&amp;138'!$C$15:$C$1000,'calc_s90&amp;138'!$X$15:$X$1000,"",0)),"")</f>
        <v/>
      </c>
      <c r="I184" s="16" t="s">
        <v>185</v>
      </c>
    </row>
    <row r="185" spans="1:9" ht="13.5" customHeight="1" x14ac:dyDescent="0.25">
      <c r="A185" s="41" t="str">
        <f>_xlfn.XLOOKUP(G185,dd_color!$A$2:$A$8,dd_color!$B$2:$B$8,"",0)</f>
        <v/>
      </c>
      <c r="B185" s="41" t="str">
        <f>_xlfn.XLOOKUP(_xlfn.XLOOKUP(C185,'Project Details'!$C$17:$C$10003,'Project Details'!$E$17:$E$10003, "",0),dd_design_raw!$A$2:$A$9997,dd_design_raw!$C$2:$C$9997,"",0)</f>
        <v/>
      </c>
      <c r="C185" s="16" t="str">
        <v/>
      </c>
      <c r="D185" s="16" t="str" cm="1">
        <f t="array" ref="D185">IF(C185&lt;&gt;"", _xlfn.IFS(I185="Height SLI",_xlfn.XLOOKUP(C185,'calc_s90&amp;138'!$C$15:$C$1000,'calc_s90&amp;138'!$U$15:$U$1000,"",0), I185="Height FIX",_xlfn.XLOOKUP(C185,'calc_s90&amp;138'!$C$15:$C$1000,'calc_s90&amp;138'!$W$15:$W$1000,"",0), I185="Width", _xlfn.XLOOKUP(C185,'calc_s90&amp;138'!$C$15:$C$1000,'calc_s90&amp;138'!$Y$15:$Y$1000,"",0)),"")</f>
        <v/>
      </c>
      <c r="E185" s="16" t="str" cm="1">
        <f t="array" ref="E185">IF(C185&lt;&gt;"", _xlfn.XLOOKUP(1,((SKUs!$A$2:$A$10001=cl_unmerged!B185) * (ISNUMBER(SEARCH("Sash",SKUs!$J$2:$J$10001)))), SKUs!$J$2:$J$10001,""),"") &amp; _xlfn.IFS(I185="Height", ", H",I185="Height SLI", ", H SLI", I185="Height FIX", ", H FIX",I185="Width", ", W", I185="", "")</f>
        <v>, W</v>
      </c>
      <c r="F185" s="33" t="str" cm="1">
        <f t="array" ref="F185">_xlfn.XLOOKUP(1,((SKUs!$A$2:$A$10001=cl_unmerged!B185) * (ISNUMBER(SEARCH("Sash",SKUs!$J$2:$J$10001)))* (ISNUMBER(SEARCH(A185,SKUs!$C$2:$C$10001)))), SKUs!$C$2:$C$10001,"")</f>
        <v/>
      </c>
      <c r="G185" s="16" t="str">
        <v/>
      </c>
      <c r="H185" s="16" t="str" cm="1">
        <f t="array" ref="H185">IF(C185&lt;&gt;"", _xlfn.IFS(I185="Height SLI",_xlfn.XLOOKUP(C185,'calc_s90&amp;138'!$C$15:$C$1000,'calc_s90&amp;138'!$T$15:$T$1000,"",0), I185="Height FIX",_xlfn.XLOOKUP(C185,'calc_s90&amp;138'!$C$15:$C$1000,'calc_s90&amp;138'!$V$15:$V$1000,"",0), I185="Width", _xlfn.XLOOKUP(C185,'calc_s90&amp;138'!$C$15:$C$1000,'calc_s90&amp;138'!$X$15:$X$1000,"",0)),"")</f>
        <v/>
      </c>
      <c r="I185" s="16" t="s">
        <v>65</v>
      </c>
    </row>
    <row r="186" spans="1:9" ht="13.5" customHeight="1" x14ac:dyDescent="0.25">
      <c r="A186" s="41" t="str">
        <f>_xlfn.XLOOKUP(G186,dd_color!$A$2:$A$8,dd_color!$B$2:$B$8,"",0)</f>
        <v/>
      </c>
      <c r="B186" s="41" t="str">
        <f>_xlfn.XLOOKUP(_xlfn.XLOOKUP(C186,'Project Details'!$C$17:$C$10003,'Project Details'!$E$17:$E$10003, "",0),dd_design_raw!$A$2:$A$9997,dd_design_raw!$C$2:$C$9997,"",0)</f>
        <v/>
      </c>
      <c r="C186" s="16"/>
      <c r="D186" s="16" t="str" cm="1">
        <f t="array" ref="D186">IF(C186&lt;&gt;"", _xlfn.IFS(I186="Height SLI",_xlfn.XLOOKUP(C186,'calc_s90&amp;138'!$C$15:$C$1000,'calc_s90&amp;138'!$U$15:$U$1000,"",0), I186="Height FIX",_xlfn.XLOOKUP(C186,'calc_s90&amp;138'!$C$15:$C$1000,'calc_s90&amp;138'!$W$15:$W$1000,"",0), I186="Width", _xlfn.XLOOKUP(C186,'calc_s90&amp;138'!$C$15:$C$1000,'calc_s90&amp;138'!$Y$15:$Y$1000,"",0)),"")</f>
        <v/>
      </c>
      <c r="E186" s="16" t="str" cm="1">
        <f t="array" ref="E186">IF(C186&lt;&gt;"", _xlfn.XLOOKUP(1,((SKUs!$A$2:$A$10001=cl_unmerged!B186) * (ISNUMBER(SEARCH("Sash",SKUs!$J$2:$J$10001)))), SKUs!$J$2:$J$10001,""),"") &amp; _xlfn.IFS(I186="Height", ", H",I186="Height SLI", ", H SLI", I186="Height FIX", ", H FIX",I186="Width", ", W", I186="", "")</f>
        <v/>
      </c>
      <c r="F186" s="33" t="str" cm="1">
        <f t="array" ref="F186">_xlfn.XLOOKUP(1,((SKUs!$A$2:$A$10001=cl_unmerged!B186) * (ISNUMBER(SEARCH("Sash",SKUs!$J$2:$J$10001)))* (ISNUMBER(SEARCH(A186,SKUs!$C$2:$C$10001)))), SKUs!$C$2:$C$10001,"")</f>
        <v/>
      </c>
      <c r="G186" s="16"/>
      <c r="H186" s="16" t="str" cm="1">
        <f t="array" ref="H186">IF(C186&lt;&gt;"", _xlfn.IFS(I186="Height SLI",_xlfn.XLOOKUP(C186,'calc_s90&amp;138'!$C$15:$C$1000,'calc_s90&amp;138'!$T$15:$T$1000,"",0), I186="Height FIX",_xlfn.XLOOKUP(C186,'calc_s90&amp;138'!$C$15:$C$1000,'calc_s90&amp;138'!$V$15:$V$1000,"",0), I186="Width", _xlfn.XLOOKUP(C186,'calc_s90&amp;138'!$C$15:$C$1000,'calc_s90&amp;138'!$X$15:$X$1000,"",0)),"")</f>
        <v/>
      </c>
      <c r="I186" s="16" t="str">
        <f>IF(C186&lt;&gt;"", I183,"")</f>
        <v/>
      </c>
    </row>
    <row r="187" spans="1:9" ht="13.5" customHeight="1" x14ac:dyDescent="0.25">
      <c r="A187" s="41" t="str">
        <f>_xlfn.XLOOKUP(G187,dd_color!$A$2:$A$8,dd_color!$B$2:$B$8,"",0)</f>
        <v/>
      </c>
      <c r="B187" s="41" t="str">
        <f>_xlfn.XLOOKUP(_xlfn.XLOOKUP(C187,'Project Details'!$C$17:$C$10003,'Project Details'!$E$17:$E$10003, "",0),dd_design_raw!$A$2:$A$9997,dd_design_raw!$C$2:$C$9997,"",0)</f>
        <v/>
      </c>
      <c r="C187" s="16"/>
      <c r="D187" s="16" t="str" cm="1">
        <f t="array" ref="D187">IF(C187&lt;&gt;"", _xlfn.IFS(I187="Height SLI",_xlfn.XLOOKUP(C187,'calc_s90&amp;138'!$C$15:$C$1000,'calc_s90&amp;138'!$U$15:$U$1000,"",0), I187="Height FIX",_xlfn.XLOOKUP(C187,'calc_s90&amp;138'!$C$15:$C$1000,'calc_s90&amp;138'!$W$15:$W$1000,"",0), I187="Width", _xlfn.XLOOKUP(C187,'calc_s90&amp;138'!$C$15:$C$1000,'calc_s90&amp;138'!$Y$15:$Y$1000,"",0)),"")</f>
        <v/>
      </c>
      <c r="E187" s="16" t="str" cm="1">
        <f t="array" ref="E187">IF(C187&lt;&gt;"", _xlfn.XLOOKUP(1,((SKUs!$A$2:$A$10001=cl_unmerged!B187) * (ISNUMBER(SEARCH("Sash",SKUs!$J$2:$J$10001)))), SKUs!$J$2:$J$10001,""),"") &amp; _xlfn.IFS(I187="Height", ", H",I187="Height SLI", ", H SLI", I187="Height FIX", ", H FIX",I187="Width", ", W", I187="", "")</f>
        <v/>
      </c>
      <c r="F187" s="33" t="str" cm="1">
        <f t="array" ref="F187">_xlfn.XLOOKUP(1,((SKUs!$A$2:$A$10001=cl_unmerged!B187) * (ISNUMBER(SEARCH("Sash",SKUs!$J$2:$J$10001)))* (ISNUMBER(SEARCH(A187,SKUs!$C$2:$C$10001)))), SKUs!$C$2:$C$10001,"")</f>
        <v/>
      </c>
      <c r="G187" s="16"/>
      <c r="H187" s="16" t="str" cm="1">
        <f t="array" ref="H187">IF(C187&lt;&gt;"", _xlfn.IFS(I187="Height SLI",_xlfn.XLOOKUP(C187,'calc_s90&amp;138'!$C$15:$C$1000,'calc_s90&amp;138'!$T$15:$T$1000,"",0), I187="Height FIX",_xlfn.XLOOKUP(C187,'calc_s90&amp;138'!$C$15:$C$1000,'calc_s90&amp;138'!$V$15:$V$1000,"",0), I187="Width", _xlfn.XLOOKUP(C187,'calc_s90&amp;138'!$C$15:$C$1000,'calc_s90&amp;138'!$X$15:$X$1000,"",0)),"")</f>
        <v/>
      </c>
      <c r="I187" s="16" t="str">
        <f t="shared" ref="I187:I250" si="4">IF(C187&lt;&gt;"", I184,"")</f>
        <v/>
      </c>
    </row>
    <row r="188" spans="1:9" ht="13.5" customHeight="1" x14ac:dyDescent="0.25">
      <c r="A188" s="41" t="str">
        <f>_xlfn.XLOOKUP(G188,dd_color!$A$2:$A$8,dd_color!$B$2:$B$8,"",0)</f>
        <v/>
      </c>
      <c r="B188" s="41" t="str">
        <f>_xlfn.XLOOKUP(_xlfn.XLOOKUP(C188,'Project Details'!$C$17:$C$10003,'Project Details'!$E$17:$E$10003, "",0),dd_design_raw!$A$2:$A$9997,dd_design_raw!$C$2:$C$9997,"",0)</f>
        <v/>
      </c>
      <c r="C188" s="16"/>
      <c r="D188" s="16" t="str" cm="1">
        <f t="array" ref="D188">IF(C188&lt;&gt;"", _xlfn.IFS(I188="Height SLI",_xlfn.XLOOKUP(C188,'calc_s90&amp;138'!$C$15:$C$1000,'calc_s90&amp;138'!$U$15:$U$1000,"",0), I188="Height FIX",_xlfn.XLOOKUP(C188,'calc_s90&amp;138'!$C$15:$C$1000,'calc_s90&amp;138'!$W$15:$W$1000,"",0), I188="Width", _xlfn.XLOOKUP(C188,'calc_s90&amp;138'!$C$15:$C$1000,'calc_s90&amp;138'!$Y$15:$Y$1000,"",0)),"")</f>
        <v/>
      </c>
      <c r="E188" s="16" t="str" cm="1">
        <f t="array" ref="E188">IF(C188&lt;&gt;"", _xlfn.XLOOKUP(1,((SKUs!$A$2:$A$10001=cl_unmerged!B188) * (ISNUMBER(SEARCH("Sash",SKUs!$J$2:$J$10001)))), SKUs!$J$2:$J$10001,""),"") &amp; _xlfn.IFS(I188="Height", ", H",I188="Height SLI", ", H SLI", I188="Height FIX", ", H FIX",I188="Width", ", W", I188="", "")</f>
        <v/>
      </c>
      <c r="F188" s="33" t="str" cm="1">
        <f t="array" ref="F188">_xlfn.XLOOKUP(1,((SKUs!$A$2:$A$10001=cl_unmerged!B188) * (ISNUMBER(SEARCH("Sash",SKUs!$J$2:$J$10001)))* (ISNUMBER(SEARCH(A188,SKUs!$C$2:$C$10001)))), SKUs!$C$2:$C$10001,"")</f>
        <v/>
      </c>
      <c r="G188" s="16"/>
      <c r="H188" s="16" t="str" cm="1">
        <f t="array" ref="H188">IF(C188&lt;&gt;"", _xlfn.IFS(I188="Height SLI",_xlfn.XLOOKUP(C188,'calc_s90&amp;138'!$C$15:$C$1000,'calc_s90&amp;138'!$T$15:$T$1000,"",0), I188="Height FIX",_xlfn.XLOOKUP(C188,'calc_s90&amp;138'!$C$15:$C$1000,'calc_s90&amp;138'!$V$15:$V$1000,"",0), I188="Width", _xlfn.XLOOKUP(C188,'calc_s90&amp;138'!$C$15:$C$1000,'calc_s90&amp;138'!$X$15:$X$1000,"",0)),"")</f>
        <v/>
      </c>
      <c r="I188" s="16" t="str">
        <f t="shared" si="4"/>
        <v/>
      </c>
    </row>
    <row r="189" spans="1:9" ht="13.5" customHeight="1" x14ac:dyDescent="0.25">
      <c r="A189" s="41" t="str">
        <f>_xlfn.XLOOKUP(G189,dd_color!$A$2:$A$8,dd_color!$B$2:$B$8,"",0)</f>
        <v/>
      </c>
      <c r="B189" s="41" t="str">
        <f>_xlfn.XLOOKUP(_xlfn.XLOOKUP(C189,'Project Details'!$C$17:$C$10003,'Project Details'!$E$17:$E$10003, "",0),dd_design_raw!$A$2:$A$9997,dd_design_raw!$C$2:$C$9997,"",0)</f>
        <v/>
      </c>
      <c r="C189" s="16"/>
      <c r="D189" s="16" t="str" cm="1">
        <f t="array" ref="D189">IF(C189&lt;&gt;"", _xlfn.IFS(I189="Height SLI",_xlfn.XLOOKUP(C189,'calc_s90&amp;138'!$C$15:$C$1000,'calc_s90&amp;138'!$U$15:$U$1000,"",0), I189="Height FIX",_xlfn.XLOOKUP(C189,'calc_s90&amp;138'!$C$15:$C$1000,'calc_s90&amp;138'!$W$15:$W$1000,"",0), I189="Width", _xlfn.XLOOKUP(C189,'calc_s90&amp;138'!$C$15:$C$1000,'calc_s90&amp;138'!$Y$15:$Y$1000,"",0)),"")</f>
        <v/>
      </c>
      <c r="E189" s="16" t="str" cm="1">
        <f t="array" ref="E189">IF(C189&lt;&gt;"", _xlfn.XLOOKUP(1,((SKUs!$A$2:$A$10001=cl_unmerged!B189) * (ISNUMBER(SEARCH("Sash",SKUs!$J$2:$J$10001)))), SKUs!$J$2:$J$10001,""),"") &amp; _xlfn.IFS(I189="Height", ", H",I189="Height SLI", ", H SLI", I189="Height FIX", ", H FIX",I189="Width", ", W", I189="", "")</f>
        <v/>
      </c>
      <c r="F189" s="33" t="str" cm="1">
        <f t="array" ref="F189">_xlfn.XLOOKUP(1,((SKUs!$A$2:$A$10001=cl_unmerged!B189) * (ISNUMBER(SEARCH("Sash",SKUs!$J$2:$J$10001)))* (ISNUMBER(SEARCH(A189,SKUs!$C$2:$C$10001)))), SKUs!$C$2:$C$10001,"")</f>
        <v/>
      </c>
      <c r="G189" s="16"/>
      <c r="H189" s="16" t="str" cm="1">
        <f t="array" ref="H189">IF(C189&lt;&gt;"", _xlfn.IFS(I189="Height SLI",_xlfn.XLOOKUP(C189,'calc_s90&amp;138'!$C$15:$C$1000,'calc_s90&amp;138'!$T$15:$T$1000,"",0), I189="Height FIX",_xlfn.XLOOKUP(C189,'calc_s90&amp;138'!$C$15:$C$1000,'calc_s90&amp;138'!$V$15:$V$1000,"",0), I189="Width", _xlfn.XLOOKUP(C189,'calc_s90&amp;138'!$C$15:$C$1000,'calc_s90&amp;138'!$X$15:$X$1000,"",0)),"")</f>
        <v/>
      </c>
      <c r="I189" s="16" t="str">
        <f t="shared" si="4"/>
        <v/>
      </c>
    </row>
    <row r="190" spans="1:9" ht="13.5" customHeight="1" x14ac:dyDescent="0.25">
      <c r="A190" s="41" t="str">
        <f>_xlfn.XLOOKUP(G190,dd_color!$A$2:$A$8,dd_color!$B$2:$B$8,"",0)</f>
        <v/>
      </c>
      <c r="B190" s="41" t="str">
        <f>_xlfn.XLOOKUP(_xlfn.XLOOKUP(C190,'Project Details'!$C$17:$C$10003,'Project Details'!$E$17:$E$10003, "",0),dd_design_raw!$A$2:$A$9997,dd_design_raw!$C$2:$C$9997,"",0)</f>
        <v/>
      </c>
      <c r="C190" s="16"/>
      <c r="D190" s="16" t="str" cm="1">
        <f t="array" ref="D190">IF(C190&lt;&gt;"", _xlfn.IFS(I190="Height SLI",_xlfn.XLOOKUP(C190,'calc_s90&amp;138'!$C$15:$C$1000,'calc_s90&amp;138'!$U$15:$U$1000,"",0), I190="Height FIX",_xlfn.XLOOKUP(C190,'calc_s90&amp;138'!$C$15:$C$1000,'calc_s90&amp;138'!$W$15:$W$1000,"",0), I190="Width", _xlfn.XLOOKUP(C190,'calc_s90&amp;138'!$C$15:$C$1000,'calc_s90&amp;138'!$Y$15:$Y$1000,"",0)),"")</f>
        <v/>
      </c>
      <c r="E190" s="16" t="str" cm="1">
        <f t="array" ref="E190">IF(C190&lt;&gt;"", _xlfn.XLOOKUP(1,((SKUs!$A$2:$A$10001=cl_unmerged!B190) * (ISNUMBER(SEARCH("Sash",SKUs!$J$2:$J$10001)))), SKUs!$J$2:$J$10001,""),"") &amp; _xlfn.IFS(I190="Height", ", H",I190="Height SLI", ", H SLI", I190="Height FIX", ", H FIX",I190="Width", ", W", I190="", "")</f>
        <v/>
      </c>
      <c r="F190" s="33" t="str" cm="1">
        <f t="array" ref="F190">_xlfn.XLOOKUP(1,((SKUs!$A$2:$A$10001=cl_unmerged!B190) * (ISNUMBER(SEARCH("Sash",SKUs!$J$2:$J$10001)))* (ISNUMBER(SEARCH(A190,SKUs!$C$2:$C$10001)))), SKUs!$C$2:$C$10001,"")</f>
        <v/>
      </c>
      <c r="G190" s="16"/>
      <c r="H190" s="16" t="str" cm="1">
        <f t="array" ref="H190">IF(C190&lt;&gt;"", _xlfn.IFS(I190="Height SLI",_xlfn.XLOOKUP(C190,'calc_s90&amp;138'!$C$15:$C$1000,'calc_s90&amp;138'!$T$15:$T$1000,"",0), I190="Height FIX",_xlfn.XLOOKUP(C190,'calc_s90&amp;138'!$C$15:$C$1000,'calc_s90&amp;138'!$V$15:$V$1000,"",0), I190="Width", _xlfn.XLOOKUP(C190,'calc_s90&amp;138'!$C$15:$C$1000,'calc_s90&amp;138'!$X$15:$X$1000,"",0)),"")</f>
        <v/>
      </c>
      <c r="I190" s="16" t="str">
        <f t="shared" si="4"/>
        <v/>
      </c>
    </row>
    <row r="191" spans="1:9" ht="13.5" customHeight="1" x14ac:dyDescent="0.25">
      <c r="A191" s="41" t="str">
        <f>_xlfn.XLOOKUP(G191,dd_color!$A$2:$A$8,dd_color!$B$2:$B$8,"",0)</f>
        <v/>
      </c>
      <c r="B191" s="41">
        <f>_xlfn.XLOOKUP(_xlfn.XLOOKUP(C191,'Project Details'!$C$17:$C$10003,'Project Details'!$E$17:$E$10003, "",0),dd_design_raw!$A$2:$A$9997,dd_design_raw!$C$2:$C$9997,"",0)</f>
        <v>0</v>
      </c>
      <c r="C191" s="16"/>
      <c r="D191" s="16" t="str" cm="1">
        <f t="array" ref="D191">IF(C191&lt;&gt;"", _xlfn.IFS(I191="Height SLI",_xlfn.XLOOKUP(C191,'calc_s90&amp;138'!$C$15:$C$1000,'calc_s90&amp;138'!$U$15:$U$1000,"",0), I191="Height FIX",_xlfn.XLOOKUP(C191,'calc_s90&amp;138'!$C$15:$C$1000,'calc_s90&amp;138'!$W$15:$W$1000,"",0), I191="Width", _xlfn.XLOOKUP(C191,'calc_s90&amp;138'!$C$15:$C$1000,'calc_s90&amp;138'!$Y$15:$Y$1000,"",0)),"")</f>
        <v/>
      </c>
      <c r="E191" s="16" t="str" cm="1">
        <f t="array" ref="E191">IF(C191&lt;&gt;"", _xlfn.XLOOKUP(1,((SKUs!$A$2:$A$10001=cl_unmerged!B191) * (ISNUMBER(SEARCH("Sash",SKUs!$J$2:$J$10001)))), SKUs!$J$2:$J$10001,""),"") &amp; _xlfn.IFS(I191="Height", ", H",I191="Height SLI", ", H SLI", I191="Height FIX", ", H FIX",I191="Width", ", W", I191="", "")</f>
        <v/>
      </c>
      <c r="F191" s="33" t="str" cm="1">
        <f t="array" ref="F191">_xlfn.XLOOKUP(1,((SKUs!$A$2:$A$10001=cl_unmerged!B191) * (ISNUMBER(SEARCH("Sash",SKUs!$J$2:$J$10001)))* (ISNUMBER(SEARCH(A191,SKUs!$C$2:$C$10001)))), SKUs!$C$2:$C$10001,"")</f>
        <v/>
      </c>
      <c r="G191" s="16"/>
      <c r="H191" s="16" t="str" cm="1">
        <f t="array" ref="H191">IF(C191&lt;&gt;"", _xlfn.IFS(I191="Height SLI",_xlfn.XLOOKUP(C191,'calc_s90&amp;138'!$C$15:$C$1000,'calc_s90&amp;138'!$T$15:$T$1000,"",0), I191="Height FIX",_xlfn.XLOOKUP(C191,'calc_s90&amp;138'!$C$15:$C$1000,'calc_s90&amp;138'!$V$15:$V$1000,"",0), I191="Width", _xlfn.XLOOKUP(C191,'calc_s90&amp;138'!$C$15:$C$1000,'calc_s90&amp;138'!$X$15:$X$1000,"",0)),"")</f>
        <v/>
      </c>
      <c r="I191" s="16" t="str">
        <f t="shared" si="4"/>
        <v/>
      </c>
    </row>
    <row r="192" spans="1:9" ht="13.5" customHeight="1" x14ac:dyDescent="0.25">
      <c r="A192" s="41" t="str">
        <f>_xlfn.XLOOKUP(G192,dd_color!$A$2:$A$8,dd_color!$B$2:$B$8,"",0)</f>
        <v/>
      </c>
      <c r="B192" s="41">
        <f>_xlfn.XLOOKUP(_xlfn.XLOOKUP(C192,'Project Details'!$C$17:$C$10003,'Project Details'!$E$17:$E$10003, "",0),dd_design_raw!$A$2:$A$9997,dd_design_raw!$C$2:$C$9997,"",0)</f>
        <v>0</v>
      </c>
      <c r="C192" s="16"/>
      <c r="D192" s="16" t="str" cm="1">
        <f t="array" ref="D192">IF(C192&lt;&gt;"", _xlfn.IFS(I192="Height SLI",_xlfn.XLOOKUP(C192,'calc_s90&amp;138'!$C$15:$C$1000,'calc_s90&amp;138'!$U$15:$U$1000,"",0), I192="Height FIX",_xlfn.XLOOKUP(C192,'calc_s90&amp;138'!$C$15:$C$1000,'calc_s90&amp;138'!$W$15:$W$1000,"",0), I192="Width", _xlfn.XLOOKUP(C192,'calc_s90&amp;138'!$C$15:$C$1000,'calc_s90&amp;138'!$Y$15:$Y$1000,"",0)),"")</f>
        <v/>
      </c>
      <c r="E192" s="16" t="str" cm="1">
        <f t="array" ref="E192">IF(C192&lt;&gt;"", _xlfn.XLOOKUP(1,((SKUs!$A$2:$A$10001=cl_unmerged!B192) * (ISNUMBER(SEARCH("Sash",SKUs!$J$2:$J$10001)))), SKUs!$J$2:$J$10001,""),"") &amp; _xlfn.IFS(I192="Height", ", H",I192="Height SLI", ", H SLI", I192="Height FIX", ", H FIX",I192="Width", ", W", I192="", "")</f>
        <v/>
      </c>
      <c r="F192" s="33" t="str" cm="1">
        <f t="array" ref="F192">_xlfn.XLOOKUP(1,((SKUs!$A$2:$A$10001=cl_unmerged!B192) * (ISNUMBER(SEARCH("Sash",SKUs!$J$2:$J$10001)))* (ISNUMBER(SEARCH(A192,SKUs!$C$2:$C$10001)))), SKUs!$C$2:$C$10001,"")</f>
        <v/>
      </c>
      <c r="G192" s="16"/>
      <c r="H192" s="16" t="str" cm="1">
        <f t="array" ref="H192">IF(C192&lt;&gt;"", _xlfn.IFS(I192="Height SLI",_xlfn.XLOOKUP(C192,'calc_s90&amp;138'!$C$15:$C$1000,'calc_s90&amp;138'!$T$15:$T$1000,"",0), I192="Height FIX",_xlfn.XLOOKUP(C192,'calc_s90&amp;138'!$C$15:$C$1000,'calc_s90&amp;138'!$V$15:$V$1000,"",0), I192="Width", _xlfn.XLOOKUP(C192,'calc_s90&amp;138'!$C$15:$C$1000,'calc_s90&amp;138'!$X$15:$X$1000,"",0)),"")</f>
        <v/>
      </c>
      <c r="I192" s="16" t="str">
        <f t="shared" si="4"/>
        <v/>
      </c>
    </row>
    <row r="193" spans="1:9" ht="13.5" customHeight="1" x14ac:dyDescent="0.25">
      <c r="A193" s="41" t="str">
        <f>_xlfn.XLOOKUP(G193,dd_color!$A$2:$A$8,dd_color!$B$2:$B$8,"",0)</f>
        <v/>
      </c>
      <c r="B193" s="41">
        <f>_xlfn.XLOOKUP(_xlfn.XLOOKUP(C193,'Project Details'!$C$17:$C$10003,'Project Details'!$E$17:$E$10003, "",0),dd_design_raw!$A$2:$A$9997,dd_design_raw!$C$2:$C$9997,"",0)</f>
        <v>0</v>
      </c>
      <c r="C193" s="16"/>
      <c r="D193" s="16" t="str" cm="1">
        <f t="array" ref="D193">IF(C193&lt;&gt;"", _xlfn.IFS(I193="Height SLI",_xlfn.XLOOKUP(C193,'calc_s90&amp;138'!$C$15:$C$1000,'calc_s90&amp;138'!$U$15:$U$1000,"",0), I193="Height FIX",_xlfn.XLOOKUP(C193,'calc_s90&amp;138'!$C$15:$C$1000,'calc_s90&amp;138'!$W$15:$W$1000,"",0), I193="Width", _xlfn.XLOOKUP(C193,'calc_s90&amp;138'!$C$15:$C$1000,'calc_s90&amp;138'!$Y$15:$Y$1000,"",0)),"")</f>
        <v/>
      </c>
      <c r="E193" s="16" t="str" cm="1">
        <f t="array" ref="E193">IF(C193&lt;&gt;"", _xlfn.XLOOKUP(1,((SKUs!$A$2:$A$10001=cl_unmerged!B193) * (ISNUMBER(SEARCH("Sash",SKUs!$J$2:$J$10001)))), SKUs!$J$2:$J$10001,""),"") &amp; _xlfn.IFS(I193="Height", ", H",I193="Height SLI", ", H SLI", I193="Height FIX", ", H FIX",I193="Width", ", W", I193="", "")</f>
        <v/>
      </c>
      <c r="F193" s="33" t="str" cm="1">
        <f t="array" ref="F193">_xlfn.XLOOKUP(1,((SKUs!$A$2:$A$10001=cl_unmerged!B193) * (ISNUMBER(SEARCH("Sash",SKUs!$J$2:$J$10001)))* (ISNUMBER(SEARCH(A193,SKUs!$C$2:$C$10001)))), SKUs!$C$2:$C$10001,"")</f>
        <v/>
      </c>
      <c r="G193" s="16"/>
      <c r="H193" s="16" t="str" cm="1">
        <f t="array" ref="H193">IF(C193&lt;&gt;"", _xlfn.IFS(I193="Height SLI",_xlfn.XLOOKUP(C193,'calc_s90&amp;138'!$C$15:$C$1000,'calc_s90&amp;138'!$T$15:$T$1000,"",0), I193="Height FIX",_xlfn.XLOOKUP(C193,'calc_s90&amp;138'!$C$15:$C$1000,'calc_s90&amp;138'!$V$15:$V$1000,"",0), I193="Width", _xlfn.XLOOKUP(C193,'calc_s90&amp;138'!$C$15:$C$1000,'calc_s90&amp;138'!$X$15:$X$1000,"",0)),"")</f>
        <v/>
      </c>
      <c r="I193" s="16" t="str">
        <f t="shared" si="4"/>
        <v/>
      </c>
    </row>
    <row r="194" spans="1:9" ht="13.5" customHeight="1" x14ac:dyDescent="0.25">
      <c r="A194" s="41" t="str">
        <f>_xlfn.XLOOKUP(G194,dd_color!$A$2:$A$8,dd_color!$B$2:$B$8,"",0)</f>
        <v/>
      </c>
      <c r="B194" s="41" t="str">
        <f>_xlfn.XLOOKUP(_xlfn.XLOOKUP(C194,'Project Details'!$C$17:$C$10003,'Project Details'!$E$17:$E$10003, "",0),dd_design_raw!$A$2:$A$9997,dd_design_raw!$C$2:$C$9997,"",0)</f>
        <v/>
      </c>
      <c r="C194" s="16"/>
      <c r="D194" s="16" t="str" cm="1">
        <f t="array" ref="D194">IF(C194&lt;&gt;"", _xlfn.IFS(I194="Height SLI",_xlfn.XLOOKUP(C194,'calc_s90&amp;138'!$C$15:$C$1000,'calc_s90&amp;138'!$U$15:$U$1000,"",0), I194="Height FIX",_xlfn.XLOOKUP(C194,'calc_s90&amp;138'!$C$15:$C$1000,'calc_s90&amp;138'!$W$15:$W$1000,"",0), I194="Width", _xlfn.XLOOKUP(C194,'calc_s90&amp;138'!$C$15:$C$1000,'calc_s90&amp;138'!$Y$15:$Y$1000,"",0)),"")</f>
        <v/>
      </c>
      <c r="E194" s="16" t="str" cm="1">
        <f t="array" ref="E194">IF(C194&lt;&gt;"", _xlfn.XLOOKUP(1,((SKUs!$A$2:$A$10001=cl_unmerged!B194) * (ISNUMBER(SEARCH("Sash",SKUs!$J$2:$J$10001)))), SKUs!$J$2:$J$10001,""),"") &amp; _xlfn.IFS(I194="Height", ", H",I194="Height SLI", ", H SLI", I194="Height FIX", ", H FIX",I194="Width", ", W", I194="", "")</f>
        <v/>
      </c>
      <c r="F194" s="33" t="str" cm="1">
        <f t="array" ref="F194">_xlfn.XLOOKUP(1,((SKUs!$A$2:$A$10001=cl_unmerged!B194) * (ISNUMBER(SEARCH("Sash",SKUs!$J$2:$J$10001)))* (ISNUMBER(SEARCH(A194,SKUs!$C$2:$C$10001)))), SKUs!$C$2:$C$10001,"")</f>
        <v/>
      </c>
      <c r="G194" s="16"/>
      <c r="H194" s="16" t="str" cm="1">
        <f t="array" ref="H194">IF(C194&lt;&gt;"", _xlfn.IFS(I194="Height SLI",_xlfn.XLOOKUP(C194,'calc_s90&amp;138'!$C$15:$C$1000,'calc_s90&amp;138'!$T$15:$T$1000,"",0), I194="Height FIX",_xlfn.XLOOKUP(C194,'calc_s90&amp;138'!$C$15:$C$1000,'calc_s90&amp;138'!$V$15:$V$1000,"",0), I194="Width", _xlfn.XLOOKUP(C194,'calc_s90&amp;138'!$C$15:$C$1000,'calc_s90&amp;138'!$X$15:$X$1000,"",0)),"")</f>
        <v/>
      </c>
      <c r="I194" s="16" t="str">
        <f t="shared" si="4"/>
        <v/>
      </c>
    </row>
    <row r="195" spans="1:9" ht="13.5" customHeight="1" x14ac:dyDescent="0.25">
      <c r="A195" s="41" t="str">
        <f>_xlfn.XLOOKUP(G195,dd_color!$A$2:$A$8,dd_color!$B$2:$B$8,"",0)</f>
        <v/>
      </c>
      <c r="B195" s="41" t="str">
        <f>_xlfn.XLOOKUP(_xlfn.XLOOKUP(C195,'Project Details'!$C$17:$C$10003,'Project Details'!$E$17:$E$10003, "",0),dd_design_raw!$A$2:$A$9997,dd_design_raw!$C$2:$C$9997,"",0)</f>
        <v/>
      </c>
      <c r="C195" s="16"/>
      <c r="D195" s="16" t="str" cm="1">
        <f t="array" ref="D195">IF(C195&lt;&gt;"", _xlfn.IFS(I195="Height SLI",_xlfn.XLOOKUP(C195,'calc_s90&amp;138'!$C$15:$C$1000,'calc_s90&amp;138'!$U$15:$U$1000,"",0), I195="Height FIX",_xlfn.XLOOKUP(C195,'calc_s90&amp;138'!$C$15:$C$1000,'calc_s90&amp;138'!$W$15:$W$1000,"",0), I195="Width", _xlfn.XLOOKUP(C195,'calc_s90&amp;138'!$C$15:$C$1000,'calc_s90&amp;138'!$Y$15:$Y$1000,"",0)),"")</f>
        <v/>
      </c>
      <c r="E195" s="16" t="str" cm="1">
        <f t="array" ref="E195">IF(C195&lt;&gt;"", _xlfn.XLOOKUP(1,((SKUs!$A$2:$A$10001=cl_unmerged!B195) * (ISNUMBER(SEARCH("Sash",SKUs!$J$2:$J$10001)))), SKUs!$J$2:$J$10001,""),"") &amp; _xlfn.IFS(I195="Height", ", H",I195="Height SLI", ", H SLI", I195="Height FIX", ", H FIX",I195="Width", ", W", I195="", "")</f>
        <v/>
      </c>
      <c r="F195" s="33" t="str" cm="1">
        <f t="array" ref="F195">_xlfn.XLOOKUP(1,((SKUs!$A$2:$A$10001=cl_unmerged!B195) * (ISNUMBER(SEARCH("Sash",SKUs!$J$2:$J$10001)))* (ISNUMBER(SEARCH(A195,SKUs!$C$2:$C$10001)))), SKUs!$C$2:$C$10001,"")</f>
        <v/>
      </c>
      <c r="G195" s="16"/>
      <c r="H195" s="16" t="str" cm="1">
        <f t="array" ref="H195">IF(C195&lt;&gt;"", _xlfn.IFS(I195="Height SLI",_xlfn.XLOOKUP(C195,'calc_s90&amp;138'!$C$15:$C$1000,'calc_s90&amp;138'!$T$15:$T$1000,"",0), I195="Height FIX",_xlfn.XLOOKUP(C195,'calc_s90&amp;138'!$C$15:$C$1000,'calc_s90&amp;138'!$V$15:$V$1000,"",0), I195="Width", _xlfn.XLOOKUP(C195,'calc_s90&amp;138'!$C$15:$C$1000,'calc_s90&amp;138'!$X$15:$X$1000,"",0)),"")</f>
        <v/>
      </c>
      <c r="I195" s="16" t="str">
        <f t="shared" si="4"/>
        <v/>
      </c>
    </row>
    <row r="196" spans="1:9" ht="13.5" customHeight="1" x14ac:dyDescent="0.25">
      <c r="A196" s="41" t="str">
        <f>_xlfn.XLOOKUP(G196,dd_color!$A$2:$A$8,dd_color!$B$2:$B$8,"",0)</f>
        <v/>
      </c>
      <c r="B196" s="41" t="str">
        <f>_xlfn.XLOOKUP(_xlfn.XLOOKUP(C196,'Project Details'!$C$17:$C$10003,'Project Details'!$E$17:$E$10003, "",0),dd_design_raw!$A$2:$A$9997,dd_design_raw!$C$2:$C$9997,"",0)</f>
        <v/>
      </c>
      <c r="C196" s="16"/>
      <c r="D196" s="16" t="str" cm="1">
        <f t="array" ref="D196">IF(C196&lt;&gt;"", _xlfn.IFS(I196="Height SLI",_xlfn.XLOOKUP(C196,'calc_s90&amp;138'!$C$15:$C$1000,'calc_s90&amp;138'!$U$15:$U$1000,"",0), I196="Height FIX",_xlfn.XLOOKUP(C196,'calc_s90&amp;138'!$C$15:$C$1000,'calc_s90&amp;138'!$W$15:$W$1000,"",0), I196="Width", _xlfn.XLOOKUP(C196,'calc_s90&amp;138'!$C$15:$C$1000,'calc_s90&amp;138'!$Y$15:$Y$1000,"",0)),"")</f>
        <v/>
      </c>
      <c r="E196" s="16" t="str" cm="1">
        <f t="array" ref="E196">IF(C196&lt;&gt;"", _xlfn.XLOOKUP(1,((SKUs!$A$2:$A$10001=cl_unmerged!B196) * (ISNUMBER(SEARCH("Sash",SKUs!$J$2:$J$10001)))), SKUs!$J$2:$J$10001,""),"") &amp; _xlfn.IFS(I196="Height", ", H",I196="Height SLI", ", H SLI", I196="Height FIX", ", H FIX",I196="Width", ", W", I196="", "")</f>
        <v/>
      </c>
      <c r="F196" s="33" t="str" cm="1">
        <f t="array" ref="F196">_xlfn.XLOOKUP(1,((SKUs!$A$2:$A$10001=cl_unmerged!B196) * (ISNUMBER(SEARCH("Sash",SKUs!$J$2:$J$10001)))* (ISNUMBER(SEARCH(A196,SKUs!$C$2:$C$10001)))), SKUs!$C$2:$C$10001,"")</f>
        <v/>
      </c>
      <c r="G196" s="16"/>
      <c r="H196" s="16" t="str" cm="1">
        <f t="array" ref="H196">IF(C196&lt;&gt;"", _xlfn.IFS(I196="Height SLI",_xlfn.XLOOKUP(C196,'calc_s90&amp;138'!$C$15:$C$1000,'calc_s90&amp;138'!$T$15:$T$1000,"",0), I196="Height FIX",_xlfn.XLOOKUP(C196,'calc_s90&amp;138'!$C$15:$C$1000,'calc_s90&amp;138'!$V$15:$V$1000,"",0), I196="Width", _xlfn.XLOOKUP(C196,'calc_s90&amp;138'!$C$15:$C$1000,'calc_s90&amp;138'!$X$15:$X$1000,"",0)),"")</f>
        <v/>
      </c>
      <c r="I196" s="16" t="str">
        <f t="shared" si="4"/>
        <v/>
      </c>
    </row>
    <row r="197" spans="1:9" ht="13.5" customHeight="1" x14ac:dyDescent="0.25">
      <c r="A197" s="41" t="str">
        <f>_xlfn.XLOOKUP(G197,dd_color!$A$2:$A$8,dd_color!$B$2:$B$8,"",0)</f>
        <v/>
      </c>
      <c r="B197" s="41">
        <f>_xlfn.XLOOKUP(_xlfn.XLOOKUP(C197,'Project Details'!$C$17:$C$10003,'Project Details'!$E$17:$E$10003, "",0),dd_design_raw!$A$2:$A$9997,dd_design_raw!$C$2:$C$9997,"",0)</f>
        <v>0</v>
      </c>
      <c r="C197" s="16"/>
      <c r="D197" s="16" t="str" cm="1">
        <f t="array" ref="D197">IF(C197&lt;&gt;"", _xlfn.IFS(I197="Height SLI",_xlfn.XLOOKUP(C197,'calc_s90&amp;138'!$C$15:$C$1000,'calc_s90&amp;138'!$U$15:$U$1000,"",0), I197="Height FIX",_xlfn.XLOOKUP(C197,'calc_s90&amp;138'!$C$15:$C$1000,'calc_s90&amp;138'!$W$15:$W$1000,"",0), I197="Width", _xlfn.XLOOKUP(C197,'calc_s90&amp;138'!$C$15:$C$1000,'calc_s90&amp;138'!$Y$15:$Y$1000,"",0)),"")</f>
        <v/>
      </c>
      <c r="E197" s="16" t="str" cm="1">
        <f t="array" ref="E197">IF(C197&lt;&gt;"", _xlfn.XLOOKUP(1,((SKUs!$A$2:$A$10001=cl_unmerged!B197) * (ISNUMBER(SEARCH("Sash",SKUs!$J$2:$J$10001)))), SKUs!$J$2:$J$10001,""),"") &amp; _xlfn.IFS(I197="Height", ", H",I197="Height SLI", ", H SLI", I197="Height FIX", ", H FIX",I197="Width", ", W", I197="", "")</f>
        <v/>
      </c>
      <c r="F197" s="33" t="str" cm="1">
        <f t="array" ref="F197">_xlfn.XLOOKUP(1,((SKUs!$A$2:$A$10001=cl_unmerged!B197) * (ISNUMBER(SEARCH("Sash",SKUs!$J$2:$J$10001)))* (ISNUMBER(SEARCH(A197,SKUs!$C$2:$C$10001)))), SKUs!$C$2:$C$10001,"")</f>
        <v/>
      </c>
      <c r="G197" s="16"/>
      <c r="H197" s="16" t="str" cm="1">
        <f t="array" ref="H197">IF(C197&lt;&gt;"", _xlfn.IFS(I197="Height SLI",_xlfn.XLOOKUP(C197,'calc_s90&amp;138'!$C$15:$C$1000,'calc_s90&amp;138'!$T$15:$T$1000,"",0), I197="Height FIX",_xlfn.XLOOKUP(C197,'calc_s90&amp;138'!$C$15:$C$1000,'calc_s90&amp;138'!$V$15:$V$1000,"",0), I197="Width", _xlfn.XLOOKUP(C197,'calc_s90&amp;138'!$C$15:$C$1000,'calc_s90&amp;138'!$X$15:$X$1000,"",0)),"")</f>
        <v/>
      </c>
      <c r="I197" s="16" t="str">
        <f t="shared" si="4"/>
        <v/>
      </c>
    </row>
    <row r="198" spans="1:9" ht="13.5" customHeight="1" x14ac:dyDescent="0.25">
      <c r="A198" s="41" t="str">
        <f>_xlfn.XLOOKUP(G198,dd_color!$A$2:$A$8,dd_color!$B$2:$B$8,"",0)</f>
        <v/>
      </c>
      <c r="B198" s="41">
        <f>_xlfn.XLOOKUP(_xlfn.XLOOKUP(C198,'Project Details'!$C$17:$C$10003,'Project Details'!$E$17:$E$10003, "",0),dd_design_raw!$A$2:$A$9997,dd_design_raw!$C$2:$C$9997,"",0)</f>
        <v>0</v>
      </c>
      <c r="C198" s="16"/>
      <c r="D198" s="16" t="str" cm="1">
        <f t="array" ref="D198">IF(C198&lt;&gt;"", _xlfn.IFS(I198="Height SLI",_xlfn.XLOOKUP(C198,'calc_s90&amp;138'!$C$15:$C$1000,'calc_s90&amp;138'!$U$15:$U$1000,"",0), I198="Height FIX",_xlfn.XLOOKUP(C198,'calc_s90&amp;138'!$C$15:$C$1000,'calc_s90&amp;138'!$W$15:$W$1000,"",0), I198="Width", _xlfn.XLOOKUP(C198,'calc_s90&amp;138'!$C$15:$C$1000,'calc_s90&amp;138'!$Y$15:$Y$1000,"",0)),"")</f>
        <v/>
      </c>
      <c r="E198" s="16" t="str" cm="1">
        <f t="array" ref="E198">IF(C198&lt;&gt;"", _xlfn.XLOOKUP(1,((SKUs!$A$2:$A$10001=cl_unmerged!B198) * (ISNUMBER(SEARCH("Sash",SKUs!$J$2:$J$10001)))), SKUs!$J$2:$J$10001,""),"") &amp; _xlfn.IFS(I198="Height", ", H",I198="Height SLI", ", H SLI", I198="Height FIX", ", H FIX",I198="Width", ", W", I198="", "")</f>
        <v/>
      </c>
      <c r="F198" s="33" t="str" cm="1">
        <f t="array" ref="F198">_xlfn.XLOOKUP(1,((SKUs!$A$2:$A$10001=cl_unmerged!B198) * (ISNUMBER(SEARCH("Sash",SKUs!$J$2:$J$10001)))* (ISNUMBER(SEARCH(A198,SKUs!$C$2:$C$10001)))), SKUs!$C$2:$C$10001,"")</f>
        <v/>
      </c>
      <c r="G198" s="16"/>
      <c r="H198" s="16" t="str" cm="1">
        <f t="array" ref="H198">IF(C198&lt;&gt;"", _xlfn.IFS(I198="Height SLI",_xlfn.XLOOKUP(C198,'calc_s90&amp;138'!$C$15:$C$1000,'calc_s90&amp;138'!$T$15:$T$1000,"",0), I198="Height FIX",_xlfn.XLOOKUP(C198,'calc_s90&amp;138'!$C$15:$C$1000,'calc_s90&amp;138'!$V$15:$V$1000,"",0), I198="Width", _xlfn.XLOOKUP(C198,'calc_s90&amp;138'!$C$15:$C$1000,'calc_s90&amp;138'!$X$15:$X$1000,"",0)),"")</f>
        <v/>
      </c>
      <c r="I198" s="16" t="str">
        <f t="shared" si="4"/>
        <v/>
      </c>
    </row>
    <row r="199" spans="1:9" ht="13.5" customHeight="1" x14ac:dyDescent="0.25">
      <c r="A199" s="41" t="str">
        <f>_xlfn.XLOOKUP(G199,dd_color!$A$2:$A$8,dd_color!$B$2:$B$8,"",0)</f>
        <v/>
      </c>
      <c r="B199" s="41">
        <f>_xlfn.XLOOKUP(_xlfn.XLOOKUP(C199,'Project Details'!$C$17:$C$10003,'Project Details'!$E$17:$E$10003, "",0),dd_design_raw!$A$2:$A$9997,dd_design_raw!$C$2:$C$9997,"",0)</f>
        <v>0</v>
      </c>
      <c r="C199" s="16"/>
      <c r="D199" s="16" t="str" cm="1">
        <f t="array" ref="D199">IF(C199&lt;&gt;"", _xlfn.IFS(I199="Height SLI",_xlfn.XLOOKUP(C199,'calc_s90&amp;138'!$C$15:$C$1000,'calc_s90&amp;138'!$U$15:$U$1000,"",0), I199="Height FIX",_xlfn.XLOOKUP(C199,'calc_s90&amp;138'!$C$15:$C$1000,'calc_s90&amp;138'!$W$15:$W$1000,"",0), I199="Width", _xlfn.XLOOKUP(C199,'calc_s90&amp;138'!$C$15:$C$1000,'calc_s90&amp;138'!$Y$15:$Y$1000,"",0)),"")</f>
        <v/>
      </c>
      <c r="E199" s="16" t="str" cm="1">
        <f t="array" ref="E199">IF(C199&lt;&gt;"", _xlfn.XLOOKUP(1,((SKUs!$A$2:$A$10001=cl_unmerged!B199) * (ISNUMBER(SEARCH("Sash",SKUs!$J$2:$J$10001)))), SKUs!$J$2:$J$10001,""),"") &amp; _xlfn.IFS(I199="Height", ", H",I199="Height SLI", ", H SLI", I199="Height FIX", ", H FIX",I199="Width", ", W", I199="", "")</f>
        <v/>
      </c>
      <c r="F199" s="33" t="str" cm="1">
        <f t="array" ref="F199">_xlfn.XLOOKUP(1,((SKUs!$A$2:$A$10001=cl_unmerged!B199) * (ISNUMBER(SEARCH("Sash",SKUs!$J$2:$J$10001)))* (ISNUMBER(SEARCH(A199,SKUs!$C$2:$C$10001)))), SKUs!$C$2:$C$10001,"")</f>
        <v/>
      </c>
      <c r="G199" s="16"/>
      <c r="H199" s="16" t="str" cm="1">
        <f t="array" ref="H199">IF(C199&lt;&gt;"", _xlfn.IFS(I199="Height SLI",_xlfn.XLOOKUP(C199,'calc_s90&amp;138'!$C$15:$C$1000,'calc_s90&amp;138'!$T$15:$T$1000,"",0), I199="Height FIX",_xlfn.XLOOKUP(C199,'calc_s90&amp;138'!$C$15:$C$1000,'calc_s90&amp;138'!$V$15:$V$1000,"",0), I199="Width", _xlfn.XLOOKUP(C199,'calc_s90&amp;138'!$C$15:$C$1000,'calc_s90&amp;138'!$X$15:$X$1000,"",0)),"")</f>
        <v/>
      </c>
      <c r="I199" s="16" t="str">
        <f t="shared" si="4"/>
        <v/>
      </c>
    </row>
    <row r="200" spans="1:9" ht="13.5" customHeight="1" x14ac:dyDescent="0.25">
      <c r="A200" s="41" t="str">
        <f>_xlfn.XLOOKUP(G200,dd_color!$A$2:$A$8,dd_color!$B$2:$B$8,"",0)</f>
        <v/>
      </c>
      <c r="B200" s="41">
        <f>_xlfn.XLOOKUP(_xlfn.XLOOKUP(C200,'Project Details'!$C$17:$C$10003,'Project Details'!$E$17:$E$10003, "",0),dd_design_raw!$A$2:$A$9997,dd_design_raw!$C$2:$C$9997,"",0)</f>
        <v>0</v>
      </c>
      <c r="C200" s="16"/>
      <c r="D200" s="16" t="str" cm="1">
        <f t="array" ref="D200">IF(C200&lt;&gt;"", _xlfn.IFS(I200="Height SLI",_xlfn.XLOOKUP(C200,'calc_s90&amp;138'!$C$15:$C$1000,'calc_s90&amp;138'!$U$15:$U$1000,"",0), I200="Height FIX",_xlfn.XLOOKUP(C200,'calc_s90&amp;138'!$C$15:$C$1000,'calc_s90&amp;138'!$W$15:$W$1000,"",0), I200="Width", _xlfn.XLOOKUP(C200,'calc_s90&amp;138'!$C$15:$C$1000,'calc_s90&amp;138'!$Y$15:$Y$1000,"",0)),"")</f>
        <v/>
      </c>
      <c r="E200" s="16" t="str" cm="1">
        <f t="array" ref="E200">IF(C200&lt;&gt;"", _xlfn.XLOOKUP(1,((SKUs!$A$2:$A$10001=cl_unmerged!B200) * (ISNUMBER(SEARCH("Sash",SKUs!$J$2:$J$10001)))), SKUs!$J$2:$J$10001,""),"") &amp; _xlfn.IFS(I200="Height", ", H",I200="Height SLI", ", H SLI", I200="Height FIX", ", H FIX",I200="Width", ", W", I200="", "")</f>
        <v/>
      </c>
      <c r="F200" s="33" t="str" cm="1">
        <f t="array" ref="F200">_xlfn.XLOOKUP(1,((SKUs!$A$2:$A$10001=cl_unmerged!B200) * (ISNUMBER(SEARCH("Sash",SKUs!$J$2:$J$10001)))* (ISNUMBER(SEARCH(A200,SKUs!$C$2:$C$10001)))), SKUs!$C$2:$C$10001,"")</f>
        <v/>
      </c>
      <c r="G200" s="16"/>
      <c r="H200" s="16" t="str" cm="1">
        <f t="array" ref="H200">IF(C200&lt;&gt;"", _xlfn.IFS(I200="Height SLI",_xlfn.XLOOKUP(C200,'calc_s90&amp;138'!$C$15:$C$1000,'calc_s90&amp;138'!$T$15:$T$1000,"",0), I200="Height FIX",_xlfn.XLOOKUP(C200,'calc_s90&amp;138'!$C$15:$C$1000,'calc_s90&amp;138'!$V$15:$V$1000,"",0), I200="Width", _xlfn.XLOOKUP(C200,'calc_s90&amp;138'!$C$15:$C$1000,'calc_s90&amp;138'!$X$15:$X$1000,"",0)),"")</f>
        <v/>
      </c>
      <c r="I200" s="16" t="str">
        <f t="shared" si="4"/>
        <v/>
      </c>
    </row>
    <row r="201" spans="1:9" ht="13.5" customHeight="1" x14ac:dyDescent="0.25">
      <c r="A201" s="41" t="str">
        <f>_xlfn.XLOOKUP(G201,dd_color!$A$2:$A$8,dd_color!$B$2:$B$8,"",0)</f>
        <v/>
      </c>
      <c r="B201" s="41">
        <f>_xlfn.XLOOKUP(_xlfn.XLOOKUP(C201,'Project Details'!$C$17:$C$10003,'Project Details'!$E$17:$E$10003, "",0),dd_design_raw!$A$2:$A$9997,dd_design_raw!$C$2:$C$9997,"",0)</f>
        <v>0</v>
      </c>
      <c r="C201" s="16"/>
      <c r="D201" s="16" t="str" cm="1">
        <f t="array" ref="D201">IF(C201&lt;&gt;"", _xlfn.IFS(I201="Height SLI",_xlfn.XLOOKUP(C201,'calc_s90&amp;138'!$C$15:$C$1000,'calc_s90&amp;138'!$U$15:$U$1000,"",0), I201="Height FIX",_xlfn.XLOOKUP(C201,'calc_s90&amp;138'!$C$15:$C$1000,'calc_s90&amp;138'!$W$15:$W$1000,"",0), I201="Width", _xlfn.XLOOKUP(C201,'calc_s90&amp;138'!$C$15:$C$1000,'calc_s90&amp;138'!$Y$15:$Y$1000,"",0)),"")</f>
        <v/>
      </c>
      <c r="E201" s="16" t="str" cm="1">
        <f t="array" ref="E201">IF(C201&lt;&gt;"", _xlfn.XLOOKUP(1,((SKUs!$A$2:$A$10001=cl_unmerged!B201) * (ISNUMBER(SEARCH("Sash",SKUs!$J$2:$J$10001)))), SKUs!$J$2:$J$10001,""),"") &amp; _xlfn.IFS(I201="Height", ", H",I201="Height SLI", ", H SLI", I201="Height FIX", ", H FIX",I201="Width", ", W", I201="", "")</f>
        <v/>
      </c>
      <c r="F201" s="33" t="str" cm="1">
        <f t="array" ref="F201">_xlfn.XLOOKUP(1,((SKUs!$A$2:$A$10001=cl_unmerged!B201) * (ISNUMBER(SEARCH("Sash",SKUs!$J$2:$J$10001)))* (ISNUMBER(SEARCH(A201,SKUs!$C$2:$C$10001)))), SKUs!$C$2:$C$10001,"")</f>
        <v/>
      </c>
      <c r="G201" s="16"/>
      <c r="H201" s="16" t="str" cm="1">
        <f t="array" ref="H201">IF(C201&lt;&gt;"", _xlfn.IFS(I201="Height SLI",_xlfn.XLOOKUP(C201,'calc_s90&amp;138'!$C$15:$C$1000,'calc_s90&amp;138'!$T$15:$T$1000,"",0), I201="Height FIX",_xlfn.XLOOKUP(C201,'calc_s90&amp;138'!$C$15:$C$1000,'calc_s90&amp;138'!$V$15:$V$1000,"",0), I201="Width", _xlfn.XLOOKUP(C201,'calc_s90&amp;138'!$C$15:$C$1000,'calc_s90&amp;138'!$X$15:$X$1000,"",0)),"")</f>
        <v/>
      </c>
      <c r="I201" s="16" t="str">
        <f t="shared" si="4"/>
        <v/>
      </c>
    </row>
    <row r="202" spans="1:9" ht="13.5" customHeight="1" x14ac:dyDescent="0.25">
      <c r="A202" s="41" t="str">
        <f>_xlfn.XLOOKUP(G202,dd_color!$A$2:$A$8,dd_color!$B$2:$B$8,"",0)</f>
        <v/>
      </c>
      <c r="B202" s="41">
        <f>_xlfn.XLOOKUP(_xlfn.XLOOKUP(C202,'Project Details'!$C$17:$C$10003,'Project Details'!$E$17:$E$10003, "",0),dd_design_raw!$A$2:$A$9997,dd_design_raw!$C$2:$C$9997,"",0)</f>
        <v>0</v>
      </c>
      <c r="C202" s="16"/>
      <c r="D202" s="16" t="str" cm="1">
        <f t="array" ref="D202">IF(C202&lt;&gt;"", _xlfn.IFS(I202="Height SLI",_xlfn.XLOOKUP(C202,'calc_s90&amp;138'!$C$15:$C$1000,'calc_s90&amp;138'!$U$15:$U$1000,"",0), I202="Height FIX",_xlfn.XLOOKUP(C202,'calc_s90&amp;138'!$C$15:$C$1000,'calc_s90&amp;138'!$W$15:$W$1000,"",0), I202="Width", _xlfn.XLOOKUP(C202,'calc_s90&amp;138'!$C$15:$C$1000,'calc_s90&amp;138'!$Y$15:$Y$1000,"",0)),"")</f>
        <v/>
      </c>
      <c r="E202" s="16" t="str" cm="1">
        <f t="array" ref="E202">IF(C202&lt;&gt;"", _xlfn.XLOOKUP(1,((SKUs!$A$2:$A$10001=cl_unmerged!B202) * (ISNUMBER(SEARCH("Sash",SKUs!$J$2:$J$10001)))), SKUs!$J$2:$J$10001,""),"") &amp; _xlfn.IFS(I202="Height", ", H",I202="Height SLI", ", H SLI", I202="Height FIX", ", H FIX",I202="Width", ", W", I202="", "")</f>
        <v/>
      </c>
      <c r="F202" s="33" t="str" cm="1">
        <f t="array" ref="F202">_xlfn.XLOOKUP(1,((SKUs!$A$2:$A$10001=cl_unmerged!B202) * (ISNUMBER(SEARCH("Sash",SKUs!$J$2:$J$10001)))* (ISNUMBER(SEARCH(A202,SKUs!$C$2:$C$10001)))), SKUs!$C$2:$C$10001,"")</f>
        <v/>
      </c>
      <c r="G202" s="16"/>
      <c r="H202" s="16" t="str" cm="1">
        <f t="array" ref="H202">IF(C202&lt;&gt;"", _xlfn.IFS(I202="Height SLI",_xlfn.XLOOKUP(C202,'calc_s90&amp;138'!$C$15:$C$1000,'calc_s90&amp;138'!$T$15:$T$1000,"",0), I202="Height FIX",_xlfn.XLOOKUP(C202,'calc_s90&amp;138'!$C$15:$C$1000,'calc_s90&amp;138'!$V$15:$V$1000,"",0), I202="Width", _xlfn.XLOOKUP(C202,'calc_s90&amp;138'!$C$15:$C$1000,'calc_s90&amp;138'!$X$15:$X$1000,"",0)),"")</f>
        <v/>
      </c>
      <c r="I202" s="16" t="str">
        <f t="shared" si="4"/>
        <v/>
      </c>
    </row>
    <row r="203" spans="1:9" ht="13.5" customHeight="1" x14ac:dyDescent="0.25">
      <c r="A203" s="41" t="str">
        <f>_xlfn.XLOOKUP(G203,dd_color!$A$2:$A$8,dd_color!$B$2:$B$8,"",0)</f>
        <v/>
      </c>
      <c r="B203" s="41">
        <f>_xlfn.XLOOKUP(_xlfn.XLOOKUP(C203,'Project Details'!$C$17:$C$10003,'Project Details'!$E$17:$E$10003, "",0),dd_design_raw!$A$2:$A$9997,dd_design_raw!$C$2:$C$9997,"",0)</f>
        <v>0</v>
      </c>
      <c r="C203" s="16"/>
      <c r="D203" s="16" t="str" cm="1">
        <f t="array" ref="D203">IF(C203&lt;&gt;"", _xlfn.IFS(I203="Height SLI",_xlfn.XLOOKUP(C203,'calc_s90&amp;138'!$C$15:$C$1000,'calc_s90&amp;138'!$U$15:$U$1000,"",0), I203="Height FIX",_xlfn.XLOOKUP(C203,'calc_s90&amp;138'!$C$15:$C$1000,'calc_s90&amp;138'!$W$15:$W$1000,"",0), I203="Width", _xlfn.XLOOKUP(C203,'calc_s90&amp;138'!$C$15:$C$1000,'calc_s90&amp;138'!$Y$15:$Y$1000,"",0)),"")</f>
        <v/>
      </c>
      <c r="E203" s="16" t="str" cm="1">
        <f t="array" ref="E203">IF(C203&lt;&gt;"", _xlfn.XLOOKUP(1,((SKUs!$A$2:$A$10001=cl_unmerged!B203) * (ISNUMBER(SEARCH("Sash",SKUs!$J$2:$J$10001)))), SKUs!$J$2:$J$10001,""),"") &amp; _xlfn.IFS(I203="Height", ", H",I203="Height SLI", ", H SLI", I203="Height FIX", ", H FIX",I203="Width", ", W", I203="", "")</f>
        <v/>
      </c>
      <c r="F203" s="33" t="str" cm="1">
        <f t="array" ref="F203">_xlfn.XLOOKUP(1,((SKUs!$A$2:$A$10001=cl_unmerged!B203) * (ISNUMBER(SEARCH("Sash",SKUs!$J$2:$J$10001)))* (ISNUMBER(SEARCH(A203,SKUs!$C$2:$C$10001)))), SKUs!$C$2:$C$10001,"")</f>
        <v/>
      </c>
      <c r="G203" s="16"/>
      <c r="H203" s="16" t="str" cm="1">
        <f t="array" ref="H203">IF(C203&lt;&gt;"", _xlfn.IFS(I203="Height SLI",_xlfn.XLOOKUP(C203,'calc_s90&amp;138'!$C$15:$C$1000,'calc_s90&amp;138'!$T$15:$T$1000,"",0), I203="Height FIX",_xlfn.XLOOKUP(C203,'calc_s90&amp;138'!$C$15:$C$1000,'calc_s90&amp;138'!$V$15:$V$1000,"",0), I203="Width", _xlfn.XLOOKUP(C203,'calc_s90&amp;138'!$C$15:$C$1000,'calc_s90&amp;138'!$X$15:$X$1000,"",0)),"")</f>
        <v/>
      </c>
      <c r="I203" s="16" t="str">
        <f t="shared" si="4"/>
        <v/>
      </c>
    </row>
    <row r="204" spans="1:9" ht="13.5" customHeight="1" x14ac:dyDescent="0.25">
      <c r="A204" s="41" t="str">
        <f>_xlfn.XLOOKUP(G204,dd_color!$A$2:$A$8,dd_color!$B$2:$B$8,"",0)</f>
        <v/>
      </c>
      <c r="B204" s="41">
        <f>_xlfn.XLOOKUP(_xlfn.XLOOKUP(C204,'Project Details'!$C$17:$C$10003,'Project Details'!$E$17:$E$10003, "",0),dd_design_raw!$A$2:$A$9997,dd_design_raw!$C$2:$C$9997,"",0)</f>
        <v>0</v>
      </c>
      <c r="C204" s="16"/>
      <c r="D204" s="16" t="str" cm="1">
        <f t="array" ref="D204">IF(C204&lt;&gt;"", _xlfn.IFS(I204="Height SLI",_xlfn.XLOOKUP(C204,'calc_s90&amp;138'!$C$15:$C$1000,'calc_s90&amp;138'!$U$15:$U$1000,"",0), I204="Height FIX",_xlfn.XLOOKUP(C204,'calc_s90&amp;138'!$C$15:$C$1000,'calc_s90&amp;138'!$W$15:$W$1000,"",0), I204="Width", _xlfn.XLOOKUP(C204,'calc_s90&amp;138'!$C$15:$C$1000,'calc_s90&amp;138'!$Y$15:$Y$1000,"",0)),"")</f>
        <v/>
      </c>
      <c r="E204" s="16" t="str" cm="1">
        <f t="array" ref="E204">IF(C204&lt;&gt;"", _xlfn.XLOOKUP(1,((SKUs!$A$2:$A$10001=cl_unmerged!B204) * (ISNUMBER(SEARCH("Sash",SKUs!$J$2:$J$10001)))), SKUs!$J$2:$J$10001,""),"") &amp; _xlfn.IFS(I204="Height", ", H",I204="Height SLI", ", H SLI", I204="Height FIX", ", H FIX",I204="Width", ", W", I204="", "")</f>
        <v/>
      </c>
      <c r="F204" s="33" t="str" cm="1">
        <f t="array" ref="F204">_xlfn.XLOOKUP(1,((SKUs!$A$2:$A$10001=cl_unmerged!B204) * (ISNUMBER(SEARCH("Sash",SKUs!$J$2:$J$10001)))* (ISNUMBER(SEARCH(A204,SKUs!$C$2:$C$10001)))), SKUs!$C$2:$C$10001,"")</f>
        <v/>
      </c>
      <c r="G204" s="16"/>
      <c r="H204" s="16" t="str" cm="1">
        <f t="array" ref="H204">IF(C204&lt;&gt;"", _xlfn.IFS(I204="Height SLI",_xlfn.XLOOKUP(C204,'calc_s90&amp;138'!$C$15:$C$1000,'calc_s90&amp;138'!$T$15:$T$1000,"",0), I204="Height FIX",_xlfn.XLOOKUP(C204,'calc_s90&amp;138'!$C$15:$C$1000,'calc_s90&amp;138'!$V$15:$V$1000,"",0), I204="Width", _xlfn.XLOOKUP(C204,'calc_s90&amp;138'!$C$15:$C$1000,'calc_s90&amp;138'!$X$15:$X$1000,"",0)),"")</f>
        <v/>
      </c>
      <c r="I204" s="16" t="str">
        <f t="shared" si="4"/>
        <v/>
      </c>
    </row>
    <row r="205" spans="1:9" ht="13.5" customHeight="1" x14ac:dyDescent="0.25">
      <c r="A205" s="41" t="str">
        <f>_xlfn.XLOOKUP(G205,dd_color!$A$2:$A$8,dd_color!$B$2:$B$8,"",0)</f>
        <v/>
      </c>
      <c r="B205" s="41">
        <f>_xlfn.XLOOKUP(_xlfn.XLOOKUP(C205,'Project Details'!$C$17:$C$10003,'Project Details'!$E$17:$E$10003, "",0),dd_design_raw!$A$2:$A$9997,dd_design_raw!$C$2:$C$9997,"",0)</f>
        <v>0</v>
      </c>
      <c r="C205" s="16"/>
      <c r="D205" s="16" t="str" cm="1">
        <f t="array" ref="D205">IF(C205&lt;&gt;"", _xlfn.IFS(I205="Height SLI",_xlfn.XLOOKUP(C205,'calc_s90&amp;138'!$C$15:$C$1000,'calc_s90&amp;138'!$U$15:$U$1000,"",0), I205="Height FIX",_xlfn.XLOOKUP(C205,'calc_s90&amp;138'!$C$15:$C$1000,'calc_s90&amp;138'!$W$15:$W$1000,"",0), I205="Width", _xlfn.XLOOKUP(C205,'calc_s90&amp;138'!$C$15:$C$1000,'calc_s90&amp;138'!$Y$15:$Y$1000,"",0)),"")</f>
        <v/>
      </c>
      <c r="E205" s="16" t="str" cm="1">
        <f t="array" ref="E205">IF(C205&lt;&gt;"", _xlfn.XLOOKUP(1,((SKUs!$A$2:$A$10001=cl_unmerged!B205) * (ISNUMBER(SEARCH("Sash",SKUs!$J$2:$J$10001)))), SKUs!$J$2:$J$10001,""),"") &amp; _xlfn.IFS(I205="Height", ", H",I205="Height SLI", ", H SLI", I205="Height FIX", ", H FIX",I205="Width", ", W", I205="", "")</f>
        <v/>
      </c>
      <c r="F205" s="33" t="str" cm="1">
        <f t="array" ref="F205">_xlfn.XLOOKUP(1,((SKUs!$A$2:$A$10001=cl_unmerged!B205) * (ISNUMBER(SEARCH("Sash",SKUs!$J$2:$J$10001)))* (ISNUMBER(SEARCH(A205,SKUs!$C$2:$C$10001)))), SKUs!$C$2:$C$10001,"")</f>
        <v/>
      </c>
      <c r="G205" s="16"/>
      <c r="H205" s="16" t="str" cm="1">
        <f t="array" ref="H205">IF(C205&lt;&gt;"", _xlfn.IFS(I205="Height SLI",_xlfn.XLOOKUP(C205,'calc_s90&amp;138'!$C$15:$C$1000,'calc_s90&amp;138'!$T$15:$T$1000,"",0), I205="Height FIX",_xlfn.XLOOKUP(C205,'calc_s90&amp;138'!$C$15:$C$1000,'calc_s90&amp;138'!$V$15:$V$1000,"",0), I205="Width", _xlfn.XLOOKUP(C205,'calc_s90&amp;138'!$C$15:$C$1000,'calc_s90&amp;138'!$X$15:$X$1000,"",0)),"")</f>
        <v/>
      </c>
      <c r="I205" s="16" t="str">
        <f t="shared" si="4"/>
        <v/>
      </c>
    </row>
    <row r="206" spans="1:9" ht="13.5" customHeight="1" x14ac:dyDescent="0.25">
      <c r="A206" s="41" t="str">
        <f>_xlfn.XLOOKUP(G206,dd_color!$A$2:$A$8,dd_color!$B$2:$B$8,"",0)</f>
        <v/>
      </c>
      <c r="B206" s="41">
        <f>_xlfn.XLOOKUP(_xlfn.XLOOKUP(C206,'Project Details'!$C$17:$C$10003,'Project Details'!$E$17:$E$10003, "",0),dd_design_raw!$A$2:$A$9997,dd_design_raw!$C$2:$C$9997,"",0)</f>
        <v>0</v>
      </c>
      <c r="C206" s="16"/>
      <c r="D206" s="16" t="str" cm="1">
        <f t="array" ref="D206">IF(C206&lt;&gt;"", _xlfn.IFS(I206="Height SLI",_xlfn.XLOOKUP(C206,'calc_s90&amp;138'!$C$15:$C$1000,'calc_s90&amp;138'!$U$15:$U$1000,"",0), I206="Height FIX",_xlfn.XLOOKUP(C206,'calc_s90&amp;138'!$C$15:$C$1000,'calc_s90&amp;138'!$W$15:$W$1000,"",0), I206="Width", _xlfn.XLOOKUP(C206,'calc_s90&amp;138'!$C$15:$C$1000,'calc_s90&amp;138'!$Y$15:$Y$1000,"",0)),"")</f>
        <v/>
      </c>
      <c r="E206" s="16" t="str" cm="1">
        <f t="array" ref="E206">IF(C206&lt;&gt;"", _xlfn.XLOOKUP(1,((SKUs!$A$2:$A$10001=cl_unmerged!B206) * (ISNUMBER(SEARCH("Sash",SKUs!$J$2:$J$10001)))), SKUs!$J$2:$J$10001,""),"") &amp; _xlfn.IFS(I206="Height", ", H",I206="Height SLI", ", H SLI", I206="Height FIX", ", H FIX",I206="Width", ", W", I206="", "")</f>
        <v/>
      </c>
      <c r="F206" s="33" t="str" cm="1">
        <f t="array" ref="F206">_xlfn.XLOOKUP(1,((SKUs!$A$2:$A$10001=cl_unmerged!B206) * (ISNUMBER(SEARCH("Sash",SKUs!$J$2:$J$10001)))* (ISNUMBER(SEARCH(A206,SKUs!$C$2:$C$10001)))), SKUs!$C$2:$C$10001,"")</f>
        <v/>
      </c>
      <c r="G206" s="16"/>
      <c r="H206" s="16" t="str" cm="1">
        <f t="array" ref="H206">IF(C206&lt;&gt;"", _xlfn.IFS(I206="Height SLI",_xlfn.XLOOKUP(C206,'calc_s90&amp;138'!$C$15:$C$1000,'calc_s90&amp;138'!$T$15:$T$1000,"",0), I206="Height FIX",_xlfn.XLOOKUP(C206,'calc_s90&amp;138'!$C$15:$C$1000,'calc_s90&amp;138'!$V$15:$V$1000,"",0), I206="Width", _xlfn.XLOOKUP(C206,'calc_s90&amp;138'!$C$15:$C$1000,'calc_s90&amp;138'!$X$15:$X$1000,"",0)),"")</f>
        <v/>
      </c>
      <c r="I206" s="16" t="str">
        <f t="shared" si="4"/>
        <v/>
      </c>
    </row>
    <row r="207" spans="1:9" ht="13.5" customHeight="1" x14ac:dyDescent="0.25">
      <c r="A207" s="41" t="str">
        <f>_xlfn.XLOOKUP(G207,dd_color!$A$2:$A$8,dd_color!$B$2:$B$8,"",0)</f>
        <v/>
      </c>
      <c r="B207" s="41">
        <f>_xlfn.XLOOKUP(_xlfn.XLOOKUP(C207,'Project Details'!$C$17:$C$10003,'Project Details'!$E$17:$E$10003, "",0),dd_design_raw!$A$2:$A$9997,dd_design_raw!$C$2:$C$9997,"",0)</f>
        <v>0</v>
      </c>
      <c r="C207" s="16"/>
      <c r="D207" s="16" t="str" cm="1">
        <f t="array" ref="D207">IF(C207&lt;&gt;"", _xlfn.IFS(I207="Height SLI",_xlfn.XLOOKUP(C207,'calc_s90&amp;138'!$C$15:$C$1000,'calc_s90&amp;138'!$U$15:$U$1000,"",0), I207="Height FIX",_xlfn.XLOOKUP(C207,'calc_s90&amp;138'!$C$15:$C$1000,'calc_s90&amp;138'!$W$15:$W$1000,"",0), I207="Width", _xlfn.XLOOKUP(C207,'calc_s90&amp;138'!$C$15:$C$1000,'calc_s90&amp;138'!$Y$15:$Y$1000,"",0)),"")</f>
        <v/>
      </c>
      <c r="E207" s="16" t="str" cm="1">
        <f t="array" ref="E207">IF(C207&lt;&gt;"", _xlfn.XLOOKUP(1,((SKUs!$A$2:$A$10001=cl_unmerged!B207) * (ISNUMBER(SEARCH("Sash",SKUs!$J$2:$J$10001)))), SKUs!$J$2:$J$10001,""),"") &amp; _xlfn.IFS(I207="Height", ", H",I207="Height SLI", ", H SLI", I207="Height FIX", ", H FIX",I207="Width", ", W", I207="", "")</f>
        <v/>
      </c>
      <c r="F207" s="33" t="str" cm="1">
        <f t="array" ref="F207">_xlfn.XLOOKUP(1,((SKUs!$A$2:$A$10001=cl_unmerged!B207) * (ISNUMBER(SEARCH("Sash",SKUs!$J$2:$J$10001)))* (ISNUMBER(SEARCH(A207,SKUs!$C$2:$C$10001)))), SKUs!$C$2:$C$10001,"")</f>
        <v/>
      </c>
      <c r="G207" s="16"/>
      <c r="H207" s="16" t="str" cm="1">
        <f t="array" ref="H207">IF(C207&lt;&gt;"", _xlfn.IFS(I207="Height SLI",_xlfn.XLOOKUP(C207,'calc_s90&amp;138'!$C$15:$C$1000,'calc_s90&amp;138'!$T$15:$T$1000,"",0), I207="Height FIX",_xlfn.XLOOKUP(C207,'calc_s90&amp;138'!$C$15:$C$1000,'calc_s90&amp;138'!$V$15:$V$1000,"",0), I207="Width", _xlfn.XLOOKUP(C207,'calc_s90&amp;138'!$C$15:$C$1000,'calc_s90&amp;138'!$X$15:$X$1000,"",0)),"")</f>
        <v/>
      </c>
      <c r="I207" s="16" t="str">
        <f t="shared" si="4"/>
        <v/>
      </c>
    </row>
    <row r="208" spans="1:9" ht="13.5" customHeight="1" x14ac:dyDescent="0.25">
      <c r="A208" s="41" t="str">
        <f>_xlfn.XLOOKUP(G208,dd_color!$A$2:$A$8,dd_color!$B$2:$B$8,"",0)</f>
        <v/>
      </c>
      <c r="B208" s="41">
        <f>_xlfn.XLOOKUP(_xlfn.XLOOKUP(C208,'Project Details'!$C$17:$C$10003,'Project Details'!$E$17:$E$10003, "",0),dd_design_raw!$A$2:$A$9997,dd_design_raw!$C$2:$C$9997,"",0)</f>
        <v>0</v>
      </c>
      <c r="C208" s="16"/>
      <c r="D208" s="16" t="str" cm="1">
        <f t="array" ref="D208">IF(C208&lt;&gt;"", _xlfn.IFS(I208="Height SLI",_xlfn.XLOOKUP(C208,'calc_s90&amp;138'!$C$15:$C$1000,'calc_s90&amp;138'!$U$15:$U$1000,"",0), I208="Height FIX",_xlfn.XLOOKUP(C208,'calc_s90&amp;138'!$C$15:$C$1000,'calc_s90&amp;138'!$W$15:$W$1000,"",0), I208="Width", _xlfn.XLOOKUP(C208,'calc_s90&amp;138'!$C$15:$C$1000,'calc_s90&amp;138'!$Y$15:$Y$1000,"",0)),"")</f>
        <v/>
      </c>
      <c r="E208" s="16" t="str" cm="1">
        <f t="array" ref="E208">IF(C208&lt;&gt;"", _xlfn.XLOOKUP(1,((SKUs!$A$2:$A$10001=cl_unmerged!B208) * (ISNUMBER(SEARCH("Sash",SKUs!$J$2:$J$10001)))), SKUs!$J$2:$J$10001,""),"") &amp; _xlfn.IFS(I208="Height", ", H",I208="Height SLI", ", H SLI", I208="Height FIX", ", H FIX",I208="Width", ", W", I208="", "")</f>
        <v/>
      </c>
      <c r="F208" s="33" t="str" cm="1">
        <f t="array" ref="F208">_xlfn.XLOOKUP(1,((SKUs!$A$2:$A$10001=cl_unmerged!B208) * (ISNUMBER(SEARCH("Sash",SKUs!$J$2:$J$10001)))* (ISNUMBER(SEARCH(A208,SKUs!$C$2:$C$10001)))), SKUs!$C$2:$C$10001,"")</f>
        <v/>
      </c>
      <c r="G208" s="16"/>
      <c r="H208" s="16" t="str" cm="1">
        <f t="array" ref="H208">IF(C208&lt;&gt;"", _xlfn.IFS(I208="Height SLI",_xlfn.XLOOKUP(C208,'calc_s90&amp;138'!$C$15:$C$1000,'calc_s90&amp;138'!$T$15:$T$1000,"",0), I208="Height FIX",_xlfn.XLOOKUP(C208,'calc_s90&amp;138'!$C$15:$C$1000,'calc_s90&amp;138'!$V$15:$V$1000,"",0), I208="Width", _xlfn.XLOOKUP(C208,'calc_s90&amp;138'!$C$15:$C$1000,'calc_s90&amp;138'!$X$15:$X$1000,"",0)),"")</f>
        <v/>
      </c>
      <c r="I208" s="16" t="str">
        <f t="shared" si="4"/>
        <v/>
      </c>
    </row>
    <row r="209" spans="1:9" ht="13.5" customHeight="1" x14ac:dyDescent="0.25">
      <c r="A209" s="41" t="str">
        <f>_xlfn.XLOOKUP(G209,dd_color!$A$2:$A$8,dd_color!$B$2:$B$8,"",0)</f>
        <v/>
      </c>
      <c r="B209" s="41">
        <f>_xlfn.XLOOKUP(_xlfn.XLOOKUP(C209,'Project Details'!$C$17:$C$10003,'Project Details'!$E$17:$E$10003, "",0),dd_design_raw!$A$2:$A$9997,dd_design_raw!$C$2:$C$9997,"",0)</f>
        <v>0</v>
      </c>
      <c r="C209" s="16"/>
      <c r="D209" s="16" t="str" cm="1">
        <f t="array" ref="D209">IF(C209&lt;&gt;"", _xlfn.IFS(I209="Height SLI",_xlfn.XLOOKUP(C209,'calc_s90&amp;138'!$C$15:$C$1000,'calc_s90&amp;138'!$U$15:$U$1000,"",0), I209="Height FIX",_xlfn.XLOOKUP(C209,'calc_s90&amp;138'!$C$15:$C$1000,'calc_s90&amp;138'!$W$15:$W$1000,"",0), I209="Width", _xlfn.XLOOKUP(C209,'calc_s90&amp;138'!$C$15:$C$1000,'calc_s90&amp;138'!$Y$15:$Y$1000,"",0)),"")</f>
        <v/>
      </c>
      <c r="E209" s="16" t="str" cm="1">
        <f t="array" ref="E209">IF(C209&lt;&gt;"", _xlfn.XLOOKUP(1,((SKUs!$A$2:$A$10001=cl_unmerged!B209) * (ISNUMBER(SEARCH("Sash",SKUs!$J$2:$J$10001)))), SKUs!$J$2:$J$10001,""),"") &amp; _xlfn.IFS(I209="Height", ", H",I209="Height SLI", ", H SLI", I209="Height FIX", ", H FIX",I209="Width", ", W", I209="", "")</f>
        <v/>
      </c>
      <c r="F209" s="33" t="str" cm="1">
        <f t="array" ref="F209">_xlfn.XLOOKUP(1,((SKUs!$A$2:$A$10001=cl_unmerged!B209) * (ISNUMBER(SEARCH("Sash",SKUs!$J$2:$J$10001)))* (ISNUMBER(SEARCH(A209,SKUs!$C$2:$C$10001)))), SKUs!$C$2:$C$10001,"")</f>
        <v/>
      </c>
      <c r="G209" s="16"/>
      <c r="H209" s="16" t="str" cm="1">
        <f t="array" ref="H209">IF(C209&lt;&gt;"", _xlfn.IFS(I209="Height SLI",_xlfn.XLOOKUP(C209,'calc_s90&amp;138'!$C$15:$C$1000,'calc_s90&amp;138'!$T$15:$T$1000,"",0), I209="Height FIX",_xlfn.XLOOKUP(C209,'calc_s90&amp;138'!$C$15:$C$1000,'calc_s90&amp;138'!$V$15:$V$1000,"",0), I209="Width", _xlfn.XLOOKUP(C209,'calc_s90&amp;138'!$C$15:$C$1000,'calc_s90&amp;138'!$X$15:$X$1000,"",0)),"")</f>
        <v/>
      </c>
      <c r="I209" s="16" t="str">
        <f t="shared" si="4"/>
        <v/>
      </c>
    </row>
    <row r="210" spans="1:9" ht="13.5" customHeight="1" x14ac:dyDescent="0.25">
      <c r="A210" s="41" t="str">
        <f>_xlfn.XLOOKUP(G210,dd_color!$A$2:$A$8,dd_color!$B$2:$B$8,"",0)</f>
        <v/>
      </c>
      <c r="B210" s="41">
        <f>_xlfn.XLOOKUP(_xlfn.XLOOKUP(C210,'Project Details'!$C$17:$C$10003,'Project Details'!$E$17:$E$10003, "",0),dd_design_raw!$A$2:$A$9997,dd_design_raw!$C$2:$C$9997,"",0)</f>
        <v>0</v>
      </c>
      <c r="C210" s="16"/>
      <c r="D210" s="16" t="str" cm="1">
        <f t="array" ref="D210">IF(C210&lt;&gt;"", _xlfn.IFS(I210="Height SLI",_xlfn.XLOOKUP(C210,'calc_s90&amp;138'!$C$15:$C$1000,'calc_s90&amp;138'!$U$15:$U$1000,"",0), I210="Height FIX",_xlfn.XLOOKUP(C210,'calc_s90&amp;138'!$C$15:$C$1000,'calc_s90&amp;138'!$W$15:$W$1000,"",0), I210="Width", _xlfn.XLOOKUP(C210,'calc_s90&amp;138'!$C$15:$C$1000,'calc_s90&amp;138'!$Y$15:$Y$1000,"",0)),"")</f>
        <v/>
      </c>
      <c r="E210" s="16" t="str" cm="1">
        <f t="array" ref="E210">IF(C210&lt;&gt;"", _xlfn.XLOOKUP(1,((SKUs!$A$2:$A$10001=cl_unmerged!B210) * (ISNUMBER(SEARCH("Sash",SKUs!$J$2:$J$10001)))), SKUs!$J$2:$J$10001,""),"") &amp; _xlfn.IFS(I210="Height", ", H",I210="Height SLI", ", H SLI", I210="Height FIX", ", H FIX",I210="Width", ", W", I210="", "")</f>
        <v/>
      </c>
      <c r="F210" s="33" t="str" cm="1">
        <f t="array" ref="F210">_xlfn.XLOOKUP(1,((SKUs!$A$2:$A$10001=cl_unmerged!B210) * (ISNUMBER(SEARCH("Sash",SKUs!$J$2:$J$10001)))* (ISNUMBER(SEARCH(A210,SKUs!$C$2:$C$10001)))), SKUs!$C$2:$C$10001,"")</f>
        <v/>
      </c>
      <c r="G210" s="16"/>
      <c r="H210" s="16" t="str" cm="1">
        <f t="array" ref="H210">IF(C210&lt;&gt;"", _xlfn.IFS(I210="Height SLI",_xlfn.XLOOKUP(C210,'calc_s90&amp;138'!$C$15:$C$1000,'calc_s90&amp;138'!$T$15:$T$1000,"",0), I210="Height FIX",_xlfn.XLOOKUP(C210,'calc_s90&amp;138'!$C$15:$C$1000,'calc_s90&amp;138'!$V$15:$V$1000,"",0), I210="Width", _xlfn.XLOOKUP(C210,'calc_s90&amp;138'!$C$15:$C$1000,'calc_s90&amp;138'!$X$15:$X$1000,"",0)),"")</f>
        <v/>
      </c>
      <c r="I210" s="16" t="str">
        <f t="shared" si="4"/>
        <v/>
      </c>
    </row>
    <row r="211" spans="1:9" ht="13.5" customHeight="1" x14ac:dyDescent="0.25">
      <c r="A211" s="41" t="str">
        <f>_xlfn.XLOOKUP(G211,dd_color!$A$2:$A$8,dd_color!$B$2:$B$8,"",0)</f>
        <v/>
      </c>
      <c r="B211" s="41">
        <f>_xlfn.XLOOKUP(_xlfn.XLOOKUP(C211,'Project Details'!$C$17:$C$10003,'Project Details'!$E$17:$E$10003, "",0),dd_design_raw!$A$2:$A$9997,dd_design_raw!$C$2:$C$9997,"",0)</f>
        <v>0</v>
      </c>
      <c r="C211" s="16"/>
      <c r="D211" s="16" t="str" cm="1">
        <f t="array" ref="D211">IF(C211&lt;&gt;"", _xlfn.IFS(I211="Height SLI",_xlfn.XLOOKUP(C211,'calc_s90&amp;138'!$C$15:$C$1000,'calc_s90&amp;138'!$U$15:$U$1000,"",0), I211="Height FIX",_xlfn.XLOOKUP(C211,'calc_s90&amp;138'!$C$15:$C$1000,'calc_s90&amp;138'!$W$15:$W$1000,"",0), I211="Width", _xlfn.XLOOKUP(C211,'calc_s90&amp;138'!$C$15:$C$1000,'calc_s90&amp;138'!$Y$15:$Y$1000,"",0)),"")</f>
        <v/>
      </c>
      <c r="E211" s="16" t="str" cm="1">
        <f t="array" ref="E211">IF(C211&lt;&gt;"", _xlfn.XLOOKUP(1,((SKUs!$A$2:$A$10001=cl_unmerged!B211) * (ISNUMBER(SEARCH("Sash",SKUs!$J$2:$J$10001)))), SKUs!$J$2:$J$10001,""),"") &amp; _xlfn.IFS(I211="Height", ", H",I211="Height SLI", ", H SLI", I211="Height FIX", ", H FIX",I211="Width", ", W", I211="", "")</f>
        <v/>
      </c>
      <c r="F211" s="33" t="str" cm="1">
        <f t="array" ref="F211">_xlfn.XLOOKUP(1,((SKUs!$A$2:$A$10001=cl_unmerged!B211) * (ISNUMBER(SEARCH("Sash",SKUs!$J$2:$J$10001)))* (ISNUMBER(SEARCH(A211,SKUs!$C$2:$C$10001)))), SKUs!$C$2:$C$10001,"")</f>
        <v/>
      </c>
      <c r="G211" s="16"/>
      <c r="H211" s="16" t="str" cm="1">
        <f t="array" ref="H211">IF(C211&lt;&gt;"", _xlfn.IFS(I211="Height SLI",_xlfn.XLOOKUP(C211,'calc_s90&amp;138'!$C$15:$C$1000,'calc_s90&amp;138'!$T$15:$T$1000,"",0), I211="Height FIX",_xlfn.XLOOKUP(C211,'calc_s90&amp;138'!$C$15:$C$1000,'calc_s90&amp;138'!$V$15:$V$1000,"",0), I211="Width", _xlfn.XLOOKUP(C211,'calc_s90&amp;138'!$C$15:$C$1000,'calc_s90&amp;138'!$X$15:$X$1000,"",0)),"")</f>
        <v/>
      </c>
      <c r="I211" s="16" t="str">
        <f t="shared" si="4"/>
        <v/>
      </c>
    </row>
    <row r="212" spans="1:9" ht="13.5" customHeight="1" x14ac:dyDescent="0.25">
      <c r="A212" s="41" t="str">
        <f>_xlfn.XLOOKUP(G212,dd_color!$A$2:$A$8,dd_color!$B$2:$B$8,"",0)</f>
        <v/>
      </c>
      <c r="B212" s="41">
        <f>_xlfn.XLOOKUP(_xlfn.XLOOKUP(C212,'Project Details'!$C$17:$C$10003,'Project Details'!$E$17:$E$10003, "",0),dd_design_raw!$A$2:$A$9997,dd_design_raw!$C$2:$C$9997,"",0)</f>
        <v>0</v>
      </c>
      <c r="C212" s="16"/>
      <c r="D212" s="16" t="str" cm="1">
        <f t="array" ref="D212">IF(C212&lt;&gt;"", _xlfn.IFS(I212="Height SLI",_xlfn.XLOOKUP(C212,'calc_s90&amp;138'!$C$15:$C$1000,'calc_s90&amp;138'!$U$15:$U$1000,"",0), I212="Height FIX",_xlfn.XLOOKUP(C212,'calc_s90&amp;138'!$C$15:$C$1000,'calc_s90&amp;138'!$W$15:$W$1000,"",0), I212="Width", _xlfn.XLOOKUP(C212,'calc_s90&amp;138'!$C$15:$C$1000,'calc_s90&amp;138'!$Y$15:$Y$1000,"",0)),"")</f>
        <v/>
      </c>
      <c r="E212" s="16" t="str" cm="1">
        <f t="array" ref="E212">IF(C212&lt;&gt;"", _xlfn.XLOOKUP(1,((SKUs!$A$2:$A$10001=cl_unmerged!B212) * (ISNUMBER(SEARCH("Sash",SKUs!$J$2:$J$10001)))), SKUs!$J$2:$J$10001,""),"") &amp; _xlfn.IFS(I212="Height", ", H",I212="Height SLI", ", H SLI", I212="Height FIX", ", H FIX",I212="Width", ", W", I212="", "")</f>
        <v/>
      </c>
      <c r="F212" s="33" t="str" cm="1">
        <f t="array" ref="F212">_xlfn.XLOOKUP(1,((SKUs!$A$2:$A$10001=cl_unmerged!B212) * (ISNUMBER(SEARCH("Sash",SKUs!$J$2:$J$10001)))* (ISNUMBER(SEARCH(A212,SKUs!$C$2:$C$10001)))), SKUs!$C$2:$C$10001,"")</f>
        <v/>
      </c>
      <c r="G212" s="16"/>
      <c r="H212" s="16" t="str" cm="1">
        <f t="array" ref="H212">IF(C212&lt;&gt;"", _xlfn.IFS(I212="Height SLI",_xlfn.XLOOKUP(C212,'calc_s90&amp;138'!$C$15:$C$1000,'calc_s90&amp;138'!$T$15:$T$1000,"",0), I212="Height FIX",_xlfn.XLOOKUP(C212,'calc_s90&amp;138'!$C$15:$C$1000,'calc_s90&amp;138'!$V$15:$V$1000,"",0), I212="Width", _xlfn.XLOOKUP(C212,'calc_s90&amp;138'!$C$15:$C$1000,'calc_s90&amp;138'!$X$15:$X$1000,"",0)),"")</f>
        <v/>
      </c>
      <c r="I212" s="16" t="str">
        <f t="shared" si="4"/>
        <v/>
      </c>
    </row>
    <row r="213" spans="1:9" ht="13.5" customHeight="1" x14ac:dyDescent="0.25">
      <c r="A213" s="41" t="str">
        <f>_xlfn.XLOOKUP(G213,dd_color!$A$2:$A$8,dd_color!$B$2:$B$8,"",0)</f>
        <v/>
      </c>
      <c r="B213" s="41">
        <f>_xlfn.XLOOKUP(_xlfn.XLOOKUP(C213,'Project Details'!$C$17:$C$10003,'Project Details'!$E$17:$E$10003, "",0),dd_design_raw!$A$2:$A$9997,dd_design_raw!$C$2:$C$9997,"",0)</f>
        <v>0</v>
      </c>
      <c r="C213" s="16"/>
      <c r="D213" s="16" t="str" cm="1">
        <f t="array" ref="D213">IF(C213&lt;&gt;"", _xlfn.IFS(I213="Height SLI",_xlfn.XLOOKUP(C213,'calc_s90&amp;138'!$C$15:$C$1000,'calc_s90&amp;138'!$U$15:$U$1000,"",0), I213="Height FIX",_xlfn.XLOOKUP(C213,'calc_s90&amp;138'!$C$15:$C$1000,'calc_s90&amp;138'!$W$15:$W$1000,"",0), I213="Width", _xlfn.XLOOKUP(C213,'calc_s90&amp;138'!$C$15:$C$1000,'calc_s90&amp;138'!$Y$15:$Y$1000,"",0)),"")</f>
        <v/>
      </c>
      <c r="E213" s="16" t="str" cm="1">
        <f t="array" ref="E213">IF(C213&lt;&gt;"", _xlfn.XLOOKUP(1,((SKUs!$A$2:$A$10001=cl_unmerged!B213) * (ISNUMBER(SEARCH("Sash",SKUs!$J$2:$J$10001)))), SKUs!$J$2:$J$10001,""),"") &amp; _xlfn.IFS(I213="Height", ", H",I213="Height SLI", ", H SLI", I213="Height FIX", ", H FIX",I213="Width", ", W", I213="", "")</f>
        <v/>
      </c>
      <c r="F213" s="33" t="str" cm="1">
        <f t="array" ref="F213">_xlfn.XLOOKUP(1,((SKUs!$A$2:$A$10001=cl_unmerged!B213) * (ISNUMBER(SEARCH("Sash",SKUs!$J$2:$J$10001)))* (ISNUMBER(SEARCH(A213,SKUs!$C$2:$C$10001)))), SKUs!$C$2:$C$10001,"")</f>
        <v/>
      </c>
      <c r="G213" s="16"/>
      <c r="H213" s="16" t="str" cm="1">
        <f t="array" ref="H213">IF(C213&lt;&gt;"", _xlfn.IFS(I213="Height SLI",_xlfn.XLOOKUP(C213,'calc_s90&amp;138'!$C$15:$C$1000,'calc_s90&amp;138'!$T$15:$T$1000,"",0), I213="Height FIX",_xlfn.XLOOKUP(C213,'calc_s90&amp;138'!$C$15:$C$1000,'calc_s90&amp;138'!$V$15:$V$1000,"",0), I213="Width", _xlfn.XLOOKUP(C213,'calc_s90&amp;138'!$C$15:$C$1000,'calc_s90&amp;138'!$X$15:$X$1000,"",0)),"")</f>
        <v/>
      </c>
      <c r="I213" s="16" t="str">
        <f t="shared" si="4"/>
        <v/>
      </c>
    </row>
    <row r="214" spans="1:9" ht="13.5" customHeight="1" x14ac:dyDescent="0.25">
      <c r="A214" s="41" t="str">
        <f>_xlfn.XLOOKUP(G214,dd_color!$A$2:$A$8,dd_color!$B$2:$B$8,"",0)</f>
        <v/>
      </c>
      <c r="B214" s="41">
        <f>_xlfn.XLOOKUP(_xlfn.XLOOKUP(C214,'Project Details'!$C$17:$C$10003,'Project Details'!$E$17:$E$10003, "",0),dd_design_raw!$A$2:$A$9997,dd_design_raw!$C$2:$C$9997,"",0)</f>
        <v>0</v>
      </c>
      <c r="C214" s="16"/>
      <c r="D214" s="16" t="str" cm="1">
        <f t="array" ref="D214">IF(C214&lt;&gt;"", _xlfn.IFS(I214="Height SLI",_xlfn.XLOOKUP(C214,'calc_s90&amp;138'!$C$15:$C$1000,'calc_s90&amp;138'!$U$15:$U$1000,"",0), I214="Height FIX",_xlfn.XLOOKUP(C214,'calc_s90&amp;138'!$C$15:$C$1000,'calc_s90&amp;138'!$W$15:$W$1000,"",0), I214="Width", _xlfn.XLOOKUP(C214,'calc_s90&amp;138'!$C$15:$C$1000,'calc_s90&amp;138'!$Y$15:$Y$1000,"",0)),"")</f>
        <v/>
      </c>
      <c r="E214" s="16" t="str" cm="1">
        <f t="array" ref="E214">IF(C214&lt;&gt;"", _xlfn.XLOOKUP(1,((SKUs!$A$2:$A$10001=cl_unmerged!B214) * (ISNUMBER(SEARCH("Sash",SKUs!$J$2:$J$10001)))), SKUs!$J$2:$J$10001,""),"") &amp; _xlfn.IFS(I214="Height", ", H",I214="Height SLI", ", H SLI", I214="Height FIX", ", H FIX",I214="Width", ", W", I214="", "")</f>
        <v/>
      </c>
      <c r="F214" s="33" t="str" cm="1">
        <f t="array" ref="F214">_xlfn.XLOOKUP(1,((SKUs!$A$2:$A$10001=cl_unmerged!B214) * (ISNUMBER(SEARCH("Sash",SKUs!$J$2:$J$10001)))* (ISNUMBER(SEARCH(A214,SKUs!$C$2:$C$10001)))), SKUs!$C$2:$C$10001,"")</f>
        <v/>
      </c>
      <c r="G214" s="16"/>
      <c r="H214" s="16" t="str" cm="1">
        <f t="array" ref="H214">IF(C214&lt;&gt;"", _xlfn.IFS(I214="Height SLI",_xlfn.XLOOKUP(C214,'calc_s90&amp;138'!$C$15:$C$1000,'calc_s90&amp;138'!$T$15:$T$1000,"",0), I214="Height FIX",_xlfn.XLOOKUP(C214,'calc_s90&amp;138'!$C$15:$C$1000,'calc_s90&amp;138'!$V$15:$V$1000,"",0), I214="Width", _xlfn.XLOOKUP(C214,'calc_s90&amp;138'!$C$15:$C$1000,'calc_s90&amp;138'!$X$15:$X$1000,"",0)),"")</f>
        <v/>
      </c>
      <c r="I214" s="16" t="str">
        <f t="shared" si="4"/>
        <v/>
      </c>
    </row>
    <row r="215" spans="1:9" ht="13.5" customHeight="1" x14ac:dyDescent="0.25">
      <c r="A215" s="41" t="str">
        <f>_xlfn.XLOOKUP(G215,dd_color!$A$2:$A$8,dd_color!$B$2:$B$8,"",0)</f>
        <v/>
      </c>
      <c r="B215" s="41">
        <f>_xlfn.XLOOKUP(_xlfn.XLOOKUP(C215,'Project Details'!$C$17:$C$10003,'Project Details'!$E$17:$E$10003, "",0),dd_design_raw!$A$2:$A$9997,dd_design_raw!$C$2:$C$9997,"",0)</f>
        <v>0</v>
      </c>
      <c r="C215" s="16"/>
      <c r="D215" s="16" t="str" cm="1">
        <f t="array" ref="D215">IF(C215&lt;&gt;"", _xlfn.IFS(I215="Height SLI",_xlfn.XLOOKUP(C215,'calc_s90&amp;138'!$C$15:$C$1000,'calc_s90&amp;138'!$U$15:$U$1000,"",0), I215="Height FIX",_xlfn.XLOOKUP(C215,'calc_s90&amp;138'!$C$15:$C$1000,'calc_s90&amp;138'!$W$15:$W$1000,"",0), I215="Width", _xlfn.XLOOKUP(C215,'calc_s90&amp;138'!$C$15:$C$1000,'calc_s90&amp;138'!$Y$15:$Y$1000,"",0)),"")</f>
        <v/>
      </c>
      <c r="E215" s="16" t="str" cm="1">
        <f t="array" ref="E215">IF(C215&lt;&gt;"", _xlfn.XLOOKUP(1,((SKUs!$A$2:$A$10001=cl_unmerged!B215) * (ISNUMBER(SEARCH("Sash",SKUs!$J$2:$J$10001)))), SKUs!$J$2:$J$10001,""),"") &amp; _xlfn.IFS(I215="Height", ", H",I215="Height SLI", ", H SLI", I215="Height FIX", ", H FIX",I215="Width", ", W", I215="", "")</f>
        <v/>
      </c>
      <c r="F215" s="33" t="str" cm="1">
        <f t="array" ref="F215">_xlfn.XLOOKUP(1,((SKUs!$A$2:$A$10001=cl_unmerged!B215) * (ISNUMBER(SEARCH("Sash",SKUs!$J$2:$J$10001)))* (ISNUMBER(SEARCH(A215,SKUs!$C$2:$C$10001)))), SKUs!$C$2:$C$10001,"")</f>
        <v/>
      </c>
      <c r="G215" s="16"/>
      <c r="H215" s="16" t="str" cm="1">
        <f t="array" ref="H215">IF(C215&lt;&gt;"", _xlfn.IFS(I215="Height SLI",_xlfn.XLOOKUP(C215,'calc_s90&amp;138'!$C$15:$C$1000,'calc_s90&amp;138'!$T$15:$T$1000,"",0), I215="Height FIX",_xlfn.XLOOKUP(C215,'calc_s90&amp;138'!$C$15:$C$1000,'calc_s90&amp;138'!$V$15:$V$1000,"",0), I215="Width", _xlfn.XLOOKUP(C215,'calc_s90&amp;138'!$C$15:$C$1000,'calc_s90&amp;138'!$X$15:$X$1000,"",0)),"")</f>
        <v/>
      </c>
      <c r="I215" s="16" t="str">
        <f t="shared" si="4"/>
        <v/>
      </c>
    </row>
    <row r="216" spans="1:9" ht="13.5" customHeight="1" x14ac:dyDescent="0.25">
      <c r="A216" s="41" t="str">
        <f>_xlfn.XLOOKUP(G216,dd_color!$A$2:$A$8,dd_color!$B$2:$B$8,"",0)</f>
        <v/>
      </c>
      <c r="B216" s="41">
        <f>_xlfn.XLOOKUP(_xlfn.XLOOKUP(C216,'Project Details'!$C$17:$C$10003,'Project Details'!$E$17:$E$10003, "",0),dd_design_raw!$A$2:$A$9997,dd_design_raw!$C$2:$C$9997,"",0)</f>
        <v>0</v>
      </c>
      <c r="C216" s="16"/>
      <c r="D216" s="16" t="str" cm="1">
        <f t="array" ref="D216">IF(C216&lt;&gt;"", _xlfn.IFS(I216="Height SLI",_xlfn.XLOOKUP(C216,'calc_s90&amp;138'!$C$15:$C$1000,'calc_s90&amp;138'!$U$15:$U$1000,"",0), I216="Height FIX",_xlfn.XLOOKUP(C216,'calc_s90&amp;138'!$C$15:$C$1000,'calc_s90&amp;138'!$W$15:$W$1000,"",0), I216="Width", _xlfn.XLOOKUP(C216,'calc_s90&amp;138'!$C$15:$C$1000,'calc_s90&amp;138'!$Y$15:$Y$1000,"",0)),"")</f>
        <v/>
      </c>
      <c r="E216" s="16" t="str" cm="1">
        <f t="array" ref="E216">IF(C216&lt;&gt;"", _xlfn.XLOOKUP(1,((SKUs!$A$2:$A$10001=cl_unmerged!B216) * (ISNUMBER(SEARCH("Sash",SKUs!$J$2:$J$10001)))), SKUs!$J$2:$J$10001,""),"") &amp; _xlfn.IFS(I216="Height", ", H",I216="Height SLI", ", H SLI", I216="Height FIX", ", H FIX",I216="Width", ", W", I216="", "")</f>
        <v/>
      </c>
      <c r="F216" s="33" t="str" cm="1">
        <f t="array" ref="F216">_xlfn.XLOOKUP(1,((SKUs!$A$2:$A$10001=cl_unmerged!B216) * (ISNUMBER(SEARCH("Sash",SKUs!$J$2:$J$10001)))* (ISNUMBER(SEARCH(A216,SKUs!$C$2:$C$10001)))), SKUs!$C$2:$C$10001,"")</f>
        <v/>
      </c>
      <c r="G216" s="16"/>
      <c r="H216" s="16" t="str" cm="1">
        <f t="array" ref="H216">IF(C216&lt;&gt;"", _xlfn.IFS(I216="Height SLI",_xlfn.XLOOKUP(C216,'calc_s90&amp;138'!$C$15:$C$1000,'calc_s90&amp;138'!$T$15:$T$1000,"",0), I216="Height FIX",_xlfn.XLOOKUP(C216,'calc_s90&amp;138'!$C$15:$C$1000,'calc_s90&amp;138'!$V$15:$V$1000,"",0), I216="Width", _xlfn.XLOOKUP(C216,'calc_s90&amp;138'!$C$15:$C$1000,'calc_s90&amp;138'!$X$15:$X$1000,"",0)),"")</f>
        <v/>
      </c>
      <c r="I216" s="16" t="str">
        <f t="shared" si="4"/>
        <v/>
      </c>
    </row>
    <row r="217" spans="1:9" ht="13.5" customHeight="1" x14ac:dyDescent="0.25">
      <c r="A217" s="41" t="str">
        <f>_xlfn.XLOOKUP(G217,dd_color!$A$2:$A$8,dd_color!$B$2:$B$8,"",0)</f>
        <v/>
      </c>
      <c r="B217" s="41">
        <f>_xlfn.XLOOKUP(_xlfn.XLOOKUP(C217,'Project Details'!$C$17:$C$10003,'Project Details'!$E$17:$E$10003, "",0),dd_design_raw!$A$2:$A$9997,dd_design_raw!$C$2:$C$9997,"",0)</f>
        <v>0</v>
      </c>
      <c r="C217" s="16"/>
      <c r="D217" s="16" t="str" cm="1">
        <f t="array" ref="D217">IF(C217&lt;&gt;"", _xlfn.IFS(I217="Height SLI",_xlfn.XLOOKUP(C217,'calc_s90&amp;138'!$C$15:$C$1000,'calc_s90&amp;138'!$U$15:$U$1000,"",0), I217="Height FIX",_xlfn.XLOOKUP(C217,'calc_s90&amp;138'!$C$15:$C$1000,'calc_s90&amp;138'!$W$15:$W$1000,"",0), I217="Width", _xlfn.XLOOKUP(C217,'calc_s90&amp;138'!$C$15:$C$1000,'calc_s90&amp;138'!$Y$15:$Y$1000,"",0)),"")</f>
        <v/>
      </c>
      <c r="E217" s="16" t="str" cm="1">
        <f t="array" ref="E217">IF(C217&lt;&gt;"", _xlfn.XLOOKUP(1,((SKUs!$A$2:$A$10001=cl_unmerged!B217) * (ISNUMBER(SEARCH("Sash",SKUs!$J$2:$J$10001)))), SKUs!$J$2:$J$10001,""),"") &amp; _xlfn.IFS(I217="Height", ", H",I217="Height SLI", ", H SLI", I217="Height FIX", ", H FIX",I217="Width", ", W", I217="", "")</f>
        <v/>
      </c>
      <c r="F217" s="33" t="str" cm="1">
        <f t="array" ref="F217">_xlfn.XLOOKUP(1,((SKUs!$A$2:$A$10001=cl_unmerged!B217) * (ISNUMBER(SEARCH("Sash",SKUs!$J$2:$J$10001)))* (ISNUMBER(SEARCH(A217,SKUs!$C$2:$C$10001)))), SKUs!$C$2:$C$10001,"")</f>
        <v/>
      </c>
      <c r="G217" s="16"/>
      <c r="H217" s="16" t="str" cm="1">
        <f t="array" ref="H217">IF(C217&lt;&gt;"", _xlfn.IFS(I217="Height SLI",_xlfn.XLOOKUP(C217,'calc_s90&amp;138'!$C$15:$C$1000,'calc_s90&amp;138'!$T$15:$T$1000,"",0), I217="Height FIX",_xlfn.XLOOKUP(C217,'calc_s90&amp;138'!$C$15:$C$1000,'calc_s90&amp;138'!$V$15:$V$1000,"",0), I217="Width", _xlfn.XLOOKUP(C217,'calc_s90&amp;138'!$C$15:$C$1000,'calc_s90&amp;138'!$X$15:$X$1000,"",0)),"")</f>
        <v/>
      </c>
      <c r="I217" s="16" t="str">
        <f t="shared" si="4"/>
        <v/>
      </c>
    </row>
    <row r="218" spans="1:9" ht="13.5" customHeight="1" x14ac:dyDescent="0.25">
      <c r="A218" s="41" t="str">
        <f>_xlfn.XLOOKUP(G218,dd_color!$A$2:$A$8,dd_color!$B$2:$B$8,"",0)</f>
        <v/>
      </c>
      <c r="B218" s="41">
        <f>_xlfn.XLOOKUP(_xlfn.XLOOKUP(C218,'Project Details'!$C$17:$C$10003,'Project Details'!$E$17:$E$10003, "",0),dd_design_raw!$A$2:$A$9997,dd_design_raw!$C$2:$C$9997,"",0)</f>
        <v>0</v>
      </c>
      <c r="C218" s="16"/>
      <c r="D218" s="16" t="str" cm="1">
        <f t="array" ref="D218">IF(C218&lt;&gt;"", _xlfn.IFS(I218="Height SLI",_xlfn.XLOOKUP(C218,'calc_s90&amp;138'!$C$15:$C$1000,'calc_s90&amp;138'!$U$15:$U$1000,"",0), I218="Height FIX",_xlfn.XLOOKUP(C218,'calc_s90&amp;138'!$C$15:$C$1000,'calc_s90&amp;138'!$W$15:$W$1000,"",0), I218="Width", _xlfn.XLOOKUP(C218,'calc_s90&amp;138'!$C$15:$C$1000,'calc_s90&amp;138'!$Y$15:$Y$1000,"",0)),"")</f>
        <v/>
      </c>
      <c r="E218" s="16" t="str" cm="1">
        <f t="array" ref="E218">IF(C218&lt;&gt;"", _xlfn.XLOOKUP(1,((SKUs!$A$2:$A$10001=cl_unmerged!B218) * (ISNUMBER(SEARCH("Sash",SKUs!$J$2:$J$10001)))), SKUs!$J$2:$J$10001,""),"") &amp; _xlfn.IFS(I218="Height", ", H",I218="Height SLI", ", H SLI", I218="Height FIX", ", H FIX",I218="Width", ", W", I218="", "")</f>
        <v/>
      </c>
      <c r="F218" s="33" t="str" cm="1">
        <f t="array" ref="F218">_xlfn.XLOOKUP(1,((SKUs!$A$2:$A$10001=cl_unmerged!B218) * (ISNUMBER(SEARCH("Sash",SKUs!$J$2:$J$10001)))* (ISNUMBER(SEARCH(A218,SKUs!$C$2:$C$10001)))), SKUs!$C$2:$C$10001,"")</f>
        <v/>
      </c>
      <c r="G218" s="16"/>
      <c r="H218" s="16" t="str" cm="1">
        <f t="array" ref="H218">IF(C218&lt;&gt;"", _xlfn.IFS(I218="Height SLI",_xlfn.XLOOKUP(C218,'calc_s90&amp;138'!$C$15:$C$1000,'calc_s90&amp;138'!$T$15:$T$1000,"",0), I218="Height FIX",_xlfn.XLOOKUP(C218,'calc_s90&amp;138'!$C$15:$C$1000,'calc_s90&amp;138'!$V$15:$V$1000,"",0), I218="Width", _xlfn.XLOOKUP(C218,'calc_s90&amp;138'!$C$15:$C$1000,'calc_s90&amp;138'!$X$15:$X$1000,"",0)),"")</f>
        <v/>
      </c>
      <c r="I218" s="16" t="str">
        <f t="shared" si="4"/>
        <v/>
      </c>
    </row>
    <row r="219" spans="1:9" ht="13.5" customHeight="1" x14ac:dyDescent="0.25">
      <c r="A219" s="41" t="str">
        <f>_xlfn.XLOOKUP(G219,dd_color!$A$2:$A$8,dd_color!$B$2:$B$8,"",0)</f>
        <v/>
      </c>
      <c r="B219" s="41">
        <f>_xlfn.XLOOKUP(_xlfn.XLOOKUP(C219,'Project Details'!$C$17:$C$10003,'Project Details'!$E$17:$E$10003, "",0),dd_design_raw!$A$2:$A$9997,dd_design_raw!$C$2:$C$9997,"",0)</f>
        <v>0</v>
      </c>
      <c r="C219" s="16"/>
      <c r="D219" s="16" t="str" cm="1">
        <f t="array" ref="D219">IF(C219&lt;&gt;"", _xlfn.IFS(I219="Height SLI",_xlfn.XLOOKUP(C219,'calc_s90&amp;138'!$C$15:$C$1000,'calc_s90&amp;138'!$U$15:$U$1000,"",0), I219="Height FIX",_xlfn.XLOOKUP(C219,'calc_s90&amp;138'!$C$15:$C$1000,'calc_s90&amp;138'!$W$15:$W$1000,"",0), I219="Width", _xlfn.XLOOKUP(C219,'calc_s90&amp;138'!$C$15:$C$1000,'calc_s90&amp;138'!$Y$15:$Y$1000,"",0)),"")</f>
        <v/>
      </c>
      <c r="E219" s="16" t="str" cm="1">
        <f t="array" ref="E219">IF(C219&lt;&gt;"", _xlfn.XLOOKUP(1,((SKUs!$A$2:$A$10001=cl_unmerged!B219) * (ISNUMBER(SEARCH("Sash",SKUs!$J$2:$J$10001)))), SKUs!$J$2:$J$10001,""),"") &amp; _xlfn.IFS(I219="Height", ", H",I219="Height SLI", ", H SLI", I219="Height FIX", ", H FIX",I219="Width", ", W", I219="", "")</f>
        <v/>
      </c>
      <c r="F219" s="33" t="str" cm="1">
        <f t="array" ref="F219">_xlfn.XLOOKUP(1,((SKUs!$A$2:$A$10001=cl_unmerged!B219) * (ISNUMBER(SEARCH("Sash",SKUs!$J$2:$J$10001)))* (ISNUMBER(SEARCH(A219,SKUs!$C$2:$C$10001)))), SKUs!$C$2:$C$10001,"")</f>
        <v/>
      </c>
      <c r="G219" s="16"/>
      <c r="H219" s="16" t="str" cm="1">
        <f t="array" ref="H219">IF(C219&lt;&gt;"", _xlfn.IFS(I219="Height SLI",_xlfn.XLOOKUP(C219,'calc_s90&amp;138'!$C$15:$C$1000,'calc_s90&amp;138'!$T$15:$T$1000,"",0), I219="Height FIX",_xlfn.XLOOKUP(C219,'calc_s90&amp;138'!$C$15:$C$1000,'calc_s90&amp;138'!$V$15:$V$1000,"",0), I219="Width", _xlfn.XLOOKUP(C219,'calc_s90&amp;138'!$C$15:$C$1000,'calc_s90&amp;138'!$X$15:$X$1000,"",0)),"")</f>
        <v/>
      </c>
      <c r="I219" s="16" t="str">
        <f t="shared" si="4"/>
        <v/>
      </c>
    </row>
    <row r="220" spans="1:9" ht="13.5" customHeight="1" x14ac:dyDescent="0.25">
      <c r="A220" s="41" t="str">
        <f>_xlfn.XLOOKUP(G220,dd_color!$A$2:$A$8,dd_color!$B$2:$B$8,"",0)</f>
        <v/>
      </c>
      <c r="B220" s="41">
        <f>_xlfn.XLOOKUP(_xlfn.XLOOKUP(C220,'Project Details'!$C$17:$C$10003,'Project Details'!$E$17:$E$10003, "",0),dd_design_raw!$A$2:$A$9997,dd_design_raw!$C$2:$C$9997,"",0)</f>
        <v>0</v>
      </c>
      <c r="C220" s="16"/>
      <c r="D220" s="16" t="str" cm="1">
        <f t="array" ref="D220">IF(C220&lt;&gt;"", _xlfn.IFS(I220="Height SLI",_xlfn.XLOOKUP(C220,'calc_s90&amp;138'!$C$15:$C$1000,'calc_s90&amp;138'!$U$15:$U$1000,"",0), I220="Height FIX",_xlfn.XLOOKUP(C220,'calc_s90&amp;138'!$C$15:$C$1000,'calc_s90&amp;138'!$W$15:$W$1000,"",0), I220="Width", _xlfn.XLOOKUP(C220,'calc_s90&amp;138'!$C$15:$C$1000,'calc_s90&amp;138'!$Y$15:$Y$1000,"",0)),"")</f>
        <v/>
      </c>
      <c r="E220" s="16" t="str" cm="1">
        <f t="array" ref="E220">IF(C220&lt;&gt;"", _xlfn.XLOOKUP(1,((SKUs!$A$2:$A$10001=cl_unmerged!B220) * (ISNUMBER(SEARCH("Sash",SKUs!$J$2:$J$10001)))), SKUs!$J$2:$J$10001,""),"") &amp; _xlfn.IFS(I220="Height", ", H",I220="Height SLI", ", H SLI", I220="Height FIX", ", H FIX",I220="Width", ", W", I220="", "")</f>
        <v/>
      </c>
      <c r="F220" s="33" t="str" cm="1">
        <f t="array" ref="F220">_xlfn.XLOOKUP(1,((SKUs!$A$2:$A$10001=cl_unmerged!B220) * (ISNUMBER(SEARCH("Sash",SKUs!$J$2:$J$10001)))* (ISNUMBER(SEARCH(A220,SKUs!$C$2:$C$10001)))), SKUs!$C$2:$C$10001,"")</f>
        <v/>
      </c>
      <c r="G220" s="16"/>
      <c r="H220" s="16" t="str" cm="1">
        <f t="array" ref="H220">IF(C220&lt;&gt;"", _xlfn.IFS(I220="Height SLI",_xlfn.XLOOKUP(C220,'calc_s90&amp;138'!$C$15:$C$1000,'calc_s90&amp;138'!$T$15:$T$1000,"",0), I220="Height FIX",_xlfn.XLOOKUP(C220,'calc_s90&amp;138'!$C$15:$C$1000,'calc_s90&amp;138'!$V$15:$V$1000,"",0), I220="Width", _xlfn.XLOOKUP(C220,'calc_s90&amp;138'!$C$15:$C$1000,'calc_s90&amp;138'!$X$15:$X$1000,"",0)),"")</f>
        <v/>
      </c>
      <c r="I220" s="16" t="str">
        <f t="shared" si="4"/>
        <v/>
      </c>
    </row>
    <row r="221" spans="1:9" ht="13.5" customHeight="1" x14ac:dyDescent="0.25">
      <c r="A221" s="41" t="str">
        <f>_xlfn.XLOOKUP(G221,dd_color!$A$2:$A$8,dd_color!$B$2:$B$8,"",0)</f>
        <v/>
      </c>
      <c r="B221" s="41">
        <f>_xlfn.XLOOKUP(_xlfn.XLOOKUP(C221,'Project Details'!$C$17:$C$10003,'Project Details'!$E$17:$E$10003, "",0),dd_design_raw!$A$2:$A$9997,dd_design_raw!$C$2:$C$9997,"",0)</f>
        <v>0</v>
      </c>
      <c r="C221" s="16"/>
      <c r="D221" s="16" t="str" cm="1">
        <f t="array" ref="D221">IF(C221&lt;&gt;"", _xlfn.IFS(I221="Height SLI",_xlfn.XLOOKUP(C221,'calc_s90&amp;138'!$C$15:$C$1000,'calc_s90&amp;138'!$U$15:$U$1000,"",0), I221="Height FIX",_xlfn.XLOOKUP(C221,'calc_s90&amp;138'!$C$15:$C$1000,'calc_s90&amp;138'!$W$15:$W$1000,"",0), I221="Width", _xlfn.XLOOKUP(C221,'calc_s90&amp;138'!$C$15:$C$1000,'calc_s90&amp;138'!$Y$15:$Y$1000,"",0)),"")</f>
        <v/>
      </c>
      <c r="E221" s="16" t="str" cm="1">
        <f t="array" ref="E221">IF(C221&lt;&gt;"", _xlfn.XLOOKUP(1,((SKUs!$A$2:$A$10001=cl_unmerged!B221) * (ISNUMBER(SEARCH("Sash",SKUs!$J$2:$J$10001)))), SKUs!$J$2:$J$10001,""),"") &amp; _xlfn.IFS(I221="Height", ", H",I221="Height SLI", ", H SLI", I221="Height FIX", ", H FIX",I221="Width", ", W", I221="", "")</f>
        <v/>
      </c>
      <c r="F221" s="33" t="str" cm="1">
        <f t="array" ref="F221">_xlfn.XLOOKUP(1,((SKUs!$A$2:$A$10001=cl_unmerged!B221) * (ISNUMBER(SEARCH("Sash",SKUs!$J$2:$J$10001)))* (ISNUMBER(SEARCH(A221,SKUs!$C$2:$C$10001)))), SKUs!$C$2:$C$10001,"")</f>
        <v/>
      </c>
      <c r="G221" s="16"/>
      <c r="H221" s="16" t="str" cm="1">
        <f t="array" ref="H221">IF(C221&lt;&gt;"", _xlfn.IFS(I221="Height SLI",_xlfn.XLOOKUP(C221,'calc_s90&amp;138'!$C$15:$C$1000,'calc_s90&amp;138'!$T$15:$T$1000,"",0), I221="Height FIX",_xlfn.XLOOKUP(C221,'calc_s90&amp;138'!$C$15:$C$1000,'calc_s90&amp;138'!$V$15:$V$1000,"",0), I221="Width", _xlfn.XLOOKUP(C221,'calc_s90&amp;138'!$C$15:$C$1000,'calc_s90&amp;138'!$X$15:$X$1000,"",0)),"")</f>
        <v/>
      </c>
      <c r="I221" s="16" t="str">
        <f t="shared" si="4"/>
        <v/>
      </c>
    </row>
    <row r="222" spans="1:9" ht="13.5" customHeight="1" x14ac:dyDescent="0.25">
      <c r="A222" s="41" t="str">
        <f>_xlfn.XLOOKUP(G222,dd_color!$A$2:$A$8,dd_color!$B$2:$B$8,"",0)</f>
        <v/>
      </c>
      <c r="B222" s="41">
        <f>_xlfn.XLOOKUP(_xlfn.XLOOKUP(C222,'Project Details'!$C$17:$C$10003,'Project Details'!$E$17:$E$10003, "",0),dd_design_raw!$A$2:$A$9997,dd_design_raw!$C$2:$C$9997,"",0)</f>
        <v>0</v>
      </c>
      <c r="C222" s="16"/>
      <c r="D222" s="16" t="str" cm="1">
        <f t="array" ref="D222">IF(C222&lt;&gt;"", _xlfn.IFS(I222="Height SLI",_xlfn.XLOOKUP(C222,'calc_s90&amp;138'!$C$15:$C$1000,'calc_s90&amp;138'!$U$15:$U$1000,"",0), I222="Height FIX",_xlfn.XLOOKUP(C222,'calc_s90&amp;138'!$C$15:$C$1000,'calc_s90&amp;138'!$W$15:$W$1000,"",0), I222="Width", _xlfn.XLOOKUP(C222,'calc_s90&amp;138'!$C$15:$C$1000,'calc_s90&amp;138'!$Y$15:$Y$1000,"",0)),"")</f>
        <v/>
      </c>
      <c r="E222" s="16" t="str" cm="1">
        <f t="array" ref="E222">IF(C222&lt;&gt;"", _xlfn.XLOOKUP(1,((SKUs!$A$2:$A$10001=cl_unmerged!B222) * (ISNUMBER(SEARCH("Sash",SKUs!$J$2:$J$10001)))), SKUs!$J$2:$J$10001,""),"") &amp; _xlfn.IFS(I222="Height", ", H",I222="Height SLI", ", H SLI", I222="Height FIX", ", H FIX",I222="Width", ", W", I222="", "")</f>
        <v/>
      </c>
      <c r="F222" s="33" t="str" cm="1">
        <f t="array" ref="F222">_xlfn.XLOOKUP(1,((SKUs!$A$2:$A$10001=cl_unmerged!B222) * (ISNUMBER(SEARCH("Sash",SKUs!$J$2:$J$10001)))* (ISNUMBER(SEARCH(A222,SKUs!$C$2:$C$10001)))), SKUs!$C$2:$C$10001,"")</f>
        <v/>
      </c>
      <c r="G222" s="16"/>
      <c r="H222" s="16" t="str" cm="1">
        <f t="array" ref="H222">IF(C222&lt;&gt;"", _xlfn.IFS(I222="Height SLI",_xlfn.XLOOKUP(C222,'calc_s90&amp;138'!$C$15:$C$1000,'calc_s90&amp;138'!$T$15:$T$1000,"",0), I222="Height FIX",_xlfn.XLOOKUP(C222,'calc_s90&amp;138'!$C$15:$C$1000,'calc_s90&amp;138'!$V$15:$V$1000,"",0), I222="Width", _xlfn.XLOOKUP(C222,'calc_s90&amp;138'!$C$15:$C$1000,'calc_s90&amp;138'!$X$15:$X$1000,"",0)),"")</f>
        <v/>
      </c>
      <c r="I222" s="16" t="str">
        <f t="shared" si="4"/>
        <v/>
      </c>
    </row>
    <row r="223" spans="1:9" ht="13.5" customHeight="1" x14ac:dyDescent="0.25">
      <c r="A223" s="41" t="str">
        <f>_xlfn.XLOOKUP(G223,dd_color!$A$2:$A$8,dd_color!$B$2:$B$8,"",0)</f>
        <v/>
      </c>
      <c r="B223" s="41">
        <f>_xlfn.XLOOKUP(_xlfn.XLOOKUP(C223,'Project Details'!$C$17:$C$10003,'Project Details'!$E$17:$E$10003, "",0),dd_design_raw!$A$2:$A$9997,dd_design_raw!$C$2:$C$9997,"",0)</f>
        <v>0</v>
      </c>
      <c r="C223" s="16"/>
      <c r="D223" s="16" t="str" cm="1">
        <f t="array" ref="D223">IF(C223&lt;&gt;"", _xlfn.IFS(I223="Height SLI",_xlfn.XLOOKUP(C223,'calc_s90&amp;138'!$C$15:$C$1000,'calc_s90&amp;138'!$U$15:$U$1000,"",0), I223="Height FIX",_xlfn.XLOOKUP(C223,'calc_s90&amp;138'!$C$15:$C$1000,'calc_s90&amp;138'!$W$15:$W$1000,"",0), I223="Width", _xlfn.XLOOKUP(C223,'calc_s90&amp;138'!$C$15:$C$1000,'calc_s90&amp;138'!$Y$15:$Y$1000,"",0)),"")</f>
        <v/>
      </c>
      <c r="E223" s="16" t="str" cm="1">
        <f t="array" ref="E223">IF(C223&lt;&gt;"", _xlfn.XLOOKUP(1,((SKUs!$A$2:$A$10001=cl_unmerged!B223) * (ISNUMBER(SEARCH("Sash",SKUs!$J$2:$J$10001)))), SKUs!$J$2:$J$10001,""),"") &amp; _xlfn.IFS(I223="Height", ", H",I223="Height SLI", ", H SLI", I223="Height FIX", ", H FIX",I223="Width", ", W", I223="", "")</f>
        <v/>
      </c>
      <c r="F223" s="33" t="str" cm="1">
        <f t="array" ref="F223">_xlfn.XLOOKUP(1,((SKUs!$A$2:$A$10001=cl_unmerged!B223) * (ISNUMBER(SEARCH("Sash",SKUs!$J$2:$J$10001)))* (ISNUMBER(SEARCH(A223,SKUs!$C$2:$C$10001)))), SKUs!$C$2:$C$10001,"")</f>
        <v/>
      </c>
      <c r="G223" s="16"/>
      <c r="H223" s="16" t="str" cm="1">
        <f t="array" ref="H223">IF(C223&lt;&gt;"", _xlfn.IFS(I223="Height SLI",_xlfn.XLOOKUP(C223,'calc_s90&amp;138'!$C$15:$C$1000,'calc_s90&amp;138'!$T$15:$T$1000,"",0), I223="Height FIX",_xlfn.XLOOKUP(C223,'calc_s90&amp;138'!$C$15:$C$1000,'calc_s90&amp;138'!$V$15:$V$1000,"",0), I223="Width", _xlfn.XLOOKUP(C223,'calc_s90&amp;138'!$C$15:$C$1000,'calc_s90&amp;138'!$X$15:$X$1000,"",0)),"")</f>
        <v/>
      </c>
      <c r="I223" s="16" t="str">
        <f t="shared" si="4"/>
        <v/>
      </c>
    </row>
    <row r="224" spans="1:9" ht="13.5" customHeight="1" x14ac:dyDescent="0.25">
      <c r="A224" s="41" t="str">
        <f>_xlfn.XLOOKUP(G224,dd_color!$A$2:$A$8,dd_color!$B$2:$B$8,"",0)</f>
        <v/>
      </c>
      <c r="B224" s="41">
        <f>_xlfn.XLOOKUP(_xlfn.XLOOKUP(C224,'Project Details'!$C$17:$C$10003,'Project Details'!$E$17:$E$10003, "",0),dd_design_raw!$A$2:$A$9997,dd_design_raw!$C$2:$C$9997,"",0)</f>
        <v>0</v>
      </c>
      <c r="C224" s="16"/>
      <c r="D224" s="16" t="str" cm="1">
        <f t="array" ref="D224">IF(C224&lt;&gt;"", _xlfn.IFS(I224="Height SLI",_xlfn.XLOOKUP(C224,'calc_s90&amp;138'!$C$15:$C$1000,'calc_s90&amp;138'!$U$15:$U$1000,"",0), I224="Height FIX",_xlfn.XLOOKUP(C224,'calc_s90&amp;138'!$C$15:$C$1000,'calc_s90&amp;138'!$W$15:$W$1000,"",0), I224="Width", _xlfn.XLOOKUP(C224,'calc_s90&amp;138'!$C$15:$C$1000,'calc_s90&amp;138'!$Y$15:$Y$1000,"",0)),"")</f>
        <v/>
      </c>
      <c r="E224" s="16" t="str" cm="1">
        <f t="array" ref="E224">IF(C224&lt;&gt;"", _xlfn.XLOOKUP(1,((SKUs!$A$2:$A$10001=cl_unmerged!B224) * (ISNUMBER(SEARCH("Sash",SKUs!$J$2:$J$10001)))), SKUs!$J$2:$J$10001,""),"") &amp; _xlfn.IFS(I224="Height", ", H",I224="Height SLI", ", H SLI", I224="Height FIX", ", H FIX",I224="Width", ", W", I224="", "")</f>
        <v/>
      </c>
      <c r="F224" s="33" t="str" cm="1">
        <f t="array" ref="F224">_xlfn.XLOOKUP(1,((SKUs!$A$2:$A$10001=cl_unmerged!B224) * (ISNUMBER(SEARCH("Sash",SKUs!$J$2:$J$10001)))* (ISNUMBER(SEARCH(A224,SKUs!$C$2:$C$10001)))), SKUs!$C$2:$C$10001,"")</f>
        <v/>
      </c>
      <c r="G224" s="16"/>
      <c r="H224" s="16" t="str" cm="1">
        <f t="array" ref="H224">IF(C224&lt;&gt;"", _xlfn.IFS(I224="Height SLI",_xlfn.XLOOKUP(C224,'calc_s90&amp;138'!$C$15:$C$1000,'calc_s90&amp;138'!$T$15:$T$1000,"",0), I224="Height FIX",_xlfn.XLOOKUP(C224,'calc_s90&amp;138'!$C$15:$C$1000,'calc_s90&amp;138'!$V$15:$V$1000,"",0), I224="Width", _xlfn.XLOOKUP(C224,'calc_s90&amp;138'!$C$15:$C$1000,'calc_s90&amp;138'!$X$15:$X$1000,"",0)),"")</f>
        <v/>
      </c>
      <c r="I224" s="16" t="str">
        <f t="shared" si="4"/>
        <v/>
      </c>
    </row>
    <row r="225" spans="1:9" ht="13.5" customHeight="1" x14ac:dyDescent="0.25">
      <c r="A225" s="41" t="str">
        <f>_xlfn.XLOOKUP(G225,dd_color!$A$2:$A$8,dd_color!$B$2:$B$8,"",0)</f>
        <v/>
      </c>
      <c r="B225" s="41">
        <f>_xlfn.XLOOKUP(_xlfn.XLOOKUP(C225,'Project Details'!$C$17:$C$10003,'Project Details'!$E$17:$E$10003, "",0),dd_design_raw!$A$2:$A$9997,dd_design_raw!$C$2:$C$9997,"",0)</f>
        <v>0</v>
      </c>
      <c r="C225" s="16"/>
      <c r="D225" s="16" t="str" cm="1">
        <f t="array" ref="D225">IF(C225&lt;&gt;"", _xlfn.IFS(I225="Height SLI",_xlfn.XLOOKUP(C225,'calc_s90&amp;138'!$C$15:$C$1000,'calc_s90&amp;138'!$U$15:$U$1000,"",0), I225="Height FIX",_xlfn.XLOOKUP(C225,'calc_s90&amp;138'!$C$15:$C$1000,'calc_s90&amp;138'!$W$15:$W$1000,"",0), I225="Width", _xlfn.XLOOKUP(C225,'calc_s90&amp;138'!$C$15:$C$1000,'calc_s90&amp;138'!$Y$15:$Y$1000,"",0)),"")</f>
        <v/>
      </c>
      <c r="E225" s="16" t="str" cm="1">
        <f t="array" ref="E225">IF(C225&lt;&gt;"", _xlfn.XLOOKUP(1,((SKUs!$A$2:$A$10001=cl_unmerged!B225) * (ISNUMBER(SEARCH("Sash",SKUs!$J$2:$J$10001)))), SKUs!$J$2:$J$10001,""),"") &amp; _xlfn.IFS(I225="Height", ", H",I225="Height SLI", ", H SLI", I225="Height FIX", ", H FIX",I225="Width", ", W", I225="", "")</f>
        <v/>
      </c>
      <c r="F225" s="33" t="str" cm="1">
        <f t="array" ref="F225">_xlfn.XLOOKUP(1,((SKUs!$A$2:$A$10001=cl_unmerged!B225) * (ISNUMBER(SEARCH("Sash",SKUs!$J$2:$J$10001)))* (ISNUMBER(SEARCH(A225,SKUs!$C$2:$C$10001)))), SKUs!$C$2:$C$10001,"")</f>
        <v/>
      </c>
      <c r="G225" s="16"/>
      <c r="H225" s="16" t="str" cm="1">
        <f t="array" ref="H225">IF(C225&lt;&gt;"", _xlfn.IFS(I225="Height SLI",_xlfn.XLOOKUP(C225,'calc_s90&amp;138'!$C$15:$C$1000,'calc_s90&amp;138'!$T$15:$T$1000,"",0), I225="Height FIX",_xlfn.XLOOKUP(C225,'calc_s90&amp;138'!$C$15:$C$1000,'calc_s90&amp;138'!$V$15:$V$1000,"",0), I225="Width", _xlfn.XLOOKUP(C225,'calc_s90&amp;138'!$C$15:$C$1000,'calc_s90&amp;138'!$X$15:$X$1000,"",0)),"")</f>
        <v/>
      </c>
      <c r="I225" s="16" t="str">
        <f t="shared" si="4"/>
        <v/>
      </c>
    </row>
    <row r="226" spans="1:9" ht="13.5" customHeight="1" x14ac:dyDescent="0.25">
      <c r="A226" s="41" t="str">
        <f>_xlfn.XLOOKUP(G226,dd_color!$A$2:$A$8,dd_color!$B$2:$B$8,"",0)</f>
        <v/>
      </c>
      <c r="B226" s="41">
        <f>_xlfn.XLOOKUP(_xlfn.XLOOKUP(C226,'Project Details'!$C$17:$C$10003,'Project Details'!$E$17:$E$10003, "",0),dd_design_raw!$A$2:$A$9997,dd_design_raw!$C$2:$C$9997,"",0)</f>
        <v>0</v>
      </c>
      <c r="C226" s="16"/>
      <c r="D226" s="16" t="str" cm="1">
        <f t="array" ref="D226">IF(C226&lt;&gt;"", _xlfn.IFS(I226="Height SLI",_xlfn.XLOOKUP(C226,'calc_s90&amp;138'!$C$15:$C$1000,'calc_s90&amp;138'!$U$15:$U$1000,"",0), I226="Height FIX",_xlfn.XLOOKUP(C226,'calc_s90&amp;138'!$C$15:$C$1000,'calc_s90&amp;138'!$W$15:$W$1000,"",0), I226="Width", _xlfn.XLOOKUP(C226,'calc_s90&amp;138'!$C$15:$C$1000,'calc_s90&amp;138'!$Y$15:$Y$1000,"",0)),"")</f>
        <v/>
      </c>
      <c r="E226" s="16" t="str" cm="1">
        <f t="array" ref="E226">IF(C226&lt;&gt;"", _xlfn.XLOOKUP(1,((SKUs!$A$2:$A$10001=cl_unmerged!B226) * (ISNUMBER(SEARCH("Sash",SKUs!$J$2:$J$10001)))), SKUs!$J$2:$J$10001,""),"") &amp; _xlfn.IFS(I226="Height", ", H",I226="Height SLI", ", H SLI", I226="Height FIX", ", H FIX",I226="Width", ", W", I226="", "")</f>
        <v/>
      </c>
      <c r="F226" s="33" t="str" cm="1">
        <f t="array" ref="F226">_xlfn.XLOOKUP(1,((SKUs!$A$2:$A$10001=cl_unmerged!B226) * (ISNUMBER(SEARCH("Sash",SKUs!$J$2:$J$10001)))* (ISNUMBER(SEARCH(A226,SKUs!$C$2:$C$10001)))), SKUs!$C$2:$C$10001,"")</f>
        <v/>
      </c>
      <c r="G226" s="16"/>
      <c r="H226" s="16" t="str" cm="1">
        <f t="array" ref="H226">IF(C226&lt;&gt;"", _xlfn.IFS(I226="Height SLI",_xlfn.XLOOKUP(C226,'calc_s90&amp;138'!$C$15:$C$1000,'calc_s90&amp;138'!$T$15:$T$1000,"",0), I226="Height FIX",_xlfn.XLOOKUP(C226,'calc_s90&amp;138'!$C$15:$C$1000,'calc_s90&amp;138'!$V$15:$V$1000,"",0), I226="Width", _xlfn.XLOOKUP(C226,'calc_s90&amp;138'!$C$15:$C$1000,'calc_s90&amp;138'!$X$15:$X$1000,"",0)),"")</f>
        <v/>
      </c>
      <c r="I226" s="16" t="str">
        <f t="shared" si="4"/>
        <v/>
      </c>
    </row>
    <row r="227" spans="1:9" ht="13.5" customHeight="1" x14ac:dyDescent="0.25">
      <c r="A227" s="41" t="str">
        <f>_xlfn.XLOOKUP(G227,dd_color!$A$2:$A$8,dd_color!$B$2:$B$8,"",0)</f>
        <v/>
      </c>
      <c r="B227" s="41">
        <f>_xlfn.XLOOKUP(_xlfn.XLOOKUP(C227,'Project Details'!$C$17:$C$10003,'Project Details'!$E$17:$E$10003, "",0),dd_design_raw!$A$2:$A$9997,dd_design_raw!$C$2:$C$9997,"",0)</f>
        <v>0</v>
      </c>
      <c r="C227" s="16"/>
      <c r="D227" s="16" t="str" cm="1">
        <f t="array" ref="D227">IF(C227&lt;&gt;"", _xlfn.IFS(I227="Height SLI",_xlfn.XLOOKUP(C227,'calc_s90&amp;138'!$C$15:$C$1000,'calc_s90&amp;138'!$U$15:$U$1000,"",0), I227="Height FIX",_xlfn.XLOOKUP(C227,'calc_s90&amp;138'!$C$15:$C$1000,'calc_s90&amp;138'!$W$15:$W$1000,"",0), I227="Width", _xlfn.XLOOKUP(C227,'calc_s90&amp;138'!$C$15:$C$1000,'calc_s90&amp;138'!$Y$15:$Y$1000,"",0)),"")</f>
        <v/>
      </c>
      <c r="E227" s="16" t="str" cm="1">
        <f t="array" ref="E227">IF(C227&lt;&gt;"", _xlfn.XLOOKUP(1,((SKUs!$A$2:$A$10001=cl_unmerged!B227) * (ISNUMBER(SEARCH("Sash",SKUs!$J$2:$J$10001)))), SKUs!$J$2:$J$10001,""),"") &amp; _xlfn.IFS(I227="Height", ", H",I227="Height SLI", ", H SLI", I227="Height FIX", ", H FIX",I227="Width", ", W", I227="", "")</f>
        <v/>
      </c>
      <c r="F227" s="33" t="str" cm="1">
        <f t="array" ref="F227">_xlfn.XLOOKUP(1,((SKUs!$A$2:$A$10001=cl_unmerged!B227) * (ISNUMBER(SEARCH("Sash",SKUs!$J$2:$J$10001)))* (ISNUMBER(SEARCH(A227,SKUs!$C$2:$C$10001)))), SKUs!$C$2:$C$10001,"")</f>
        <v/>
      </c>
      <c r="G227" s="16"/>
      <c r="H227" s="16" t="str" cm="1">
        <f t="array" ref="H227">IF(C227&lt;&gt;"", _xlfn.IFS(I227="Height SLI",_xlfn.XLOOKUP(C227,'calc_s90&amp;138'!$C$15:$C$1000,'calc_s90&amp;138'!$T$15:$T$1000,"",0), I227="Height FIX",_xlfn.XLOOKUP(C227,'calc_s90&amp;138'!$C$15:$C$1000,'calc_s90&amp;138'!$V$15:$V$1000,"",0), I227="Width", _xlfn.XLOOKUP(C227,'calc_s90&amp;138'!$C$15:$C$1000,'calc_s90&amp;138'!$X$15:$X$1000,"",0)),"")</f>
        <v/>
      </c>
      <c r="I227" s="16" t="str">
        <f t="shared" si="4"/>
        <v/>
      </c>
    </row>
    <row r="228" spans="1:9" ht="13.5" customHeight="1" x14ac:dyDescent="0.25">
      <c r="A228" s="41" t="str">
        <f>_xlfn.XLOOKUP(G228,dd_color!$A$2:$A$8,dd_color!$B$2:$B$8,"",0)</f>
        <v/>
      </c>
      <c r="B228" s="41">
        <f>_xlfn.XLOOKUP(_xlfn.XLOOKUP(C228,'Project Details'!$C$17:$C$10003,'Project Details'!$E$17:$E$10003, "",0),dd_design_raw!$A$2:$A$9997,dd_design_raw!$C$2:$C$9997,"",0)</f>
        <v>0</v>
      </c>
      <c r="C228" s="16"/>
      <c r="D228" s="16" t="str" cm="1">
        <f t="array" ref="D228">IF(C228&lt;&gt;"", _xlfn.IFS(I228="Height SLI",_xlfn.XLOOKUP(C228,'calc_s90&amp;138'!$C$15:$C$1000,'calc_s90&amp;138'!$U$15:$U$1000,"",0), I228="Height FIX",_xlfn.XLOOKUP(C228,'calc_s90&amp;138'!$C$15:$C$1000,'calc_s90&amp;138'!$W$15:$W$1000,"",0), I228="Width", _xlfn.XLOOKUP(C228,'calc_s90&amp;138'!$C$15:$C$1000,'calc_s90&amp;138'!$Y$15:$Y$1000,"",0)),"")</f>
        <v/>
      </c>
      <c r="E228" s="16" t="str" cm="1">
        <f t="array" ref="E228">IF(C228&lt;&gt;"", _xlfn.XLOOKUP(1,((SKUs!$A$2:$A$10001=cl_unmerged!B228) * (ISNUMBER(SEARCH("Sash",SKUs!$J$2:$J$10001)))), SKUs!$J$2:$J$10001,""),"") &amp; _xlfn.IFS(I228="Height", ", H",I228="Height SLI", ", H SLI", I228="Height FIX", ", H FIX",I228="Width", ", W", I228="", "")</f>
        <v/>
      </c>
      <c r="F228" s="33" t="str" cm="1">
        <f t="array" ref="F228">_xlfn.XLOOKUP(1,((SKUs!$A$2:$A$10001=cl_unmerged!B228) * (ISNUMBER(SEARCH("Sash",SKUs!$J$2:$J$10001)))* (ISNUMBER(SEARCH(A228,SKUs!$C$2:$C$10001)))), SKUs!$C$2:$C$10001,"")</f>
        <v/>
      </c>
      <c r="G228" s="16"/>
      <c r="H228" s="16" t="str" cm="1">
        <f t="array" ref="H228">IF(C228&lt;&gt;"", _xlfn.IFS(I228="Height SLI",_xlfn.XLOOKUP(C228,'calc_s90&amp;138'!$C$15:$C$1000,'calc_s90&amp;138'!$T$15:$T$1000,"",0), I228="Height FIX",_xlfn.XLOOKUP(C228,'calc_s90&amp;138'!$C$15:$C$1000,'calc_s90&amp;138'!$V$15:$V$1000,"",0), I228="Width", _xlfn.XLOOKUP(C228,'calc_s90&amp;138'!$C$15:$C$1000,'calc_s90&amp;138'!$X$15:$X$1000,"",0)),"")</f>
        <v/>
      </c>
      <c r="I228" s="16" t="str">
        <f t="shared" si="4"/>
        <v/>
      </c>
    </row>
    <row r="229" spans="1:9" ht="13.5" customHeight="1" x14ac:dyDescent="0.25">
      <c r="A229" s="41" t="str">
        <f>_xlfn.XLOOKUP(G229,dd_color!$A$2:$A$8,dd_color!$B$2:$B$8,"",0)</f>
        <v/>
      </c>
      <c r="B229" s="41">
        <f>_xlfn.XLOOKUP(_xlfn.XLOOKUP(C229,'Project Details'!$C$17:$C$10003,'Project Details'!$E$17:$E$10003, "",0),dd_design_raw!$A$2:$A$9997,dd_design_raw!$C$2:$C$9997,"",0)</f>
        <v>0</v>
      </c>
      <c r="C229" s="16"/>
      <c r="D229" s="16" t="str" cm="1">
        <f t="array" ref="D229">IF(C229&lt;&gt;"", _xlfn.IFS(I229="Height SLI",_xlfn.XLOOKUP(C229,'calc_s90&amp;138'!$C$15:$C$1000,'calc_s90&amp;138'!$U$15:$U$1000,"",0), I229="Height FIX",_xlfn.XLOOKUP(C229,'calc_s90&amp;138'!$C$15:$C$1000,'calc_s90&amp;138'!$W$15:$W$1000,"",0), I229="Width", _xlfn.XLOOKUP(C229,'calc_s90&amp;138'!$C$15:$C$1000,'calc_s90&amp;138'!$Y$15:$Y$1000,"",0)),"")</f>
        <v/>
      </c>
      <c r="E229" s="16" t="str" cm="1">
        <f t="array" ref="E229">IF(C229&lt;&gt;"", _xlfn.XLOOKUP(1,((SKUs!$A$2:$A$10001=cl_unmerged!B229) * (ISNUMBER(SEARCH("Sash",SKUs!$J$2:$J$10001)))), SKUs!$J$2:$J$10001,""),"") &amp; _xlfn.IFS(I229="Height", ", H",I229="Height SLI", ", H SLI", I229="Height FIX", ", H FIX",I229="Width", ", W", I229="", "")</f>
        <v/>
      </c>
      <c r="F229" s="33" t="str" cm="1">
        <f t="array" ref="F229">_xlfn.XLOOKUP(1,((SKUs!$A$2:$A$10001=cl_unmerged!B229) * (ISNUMBER(SEARCH("Sash",SKUs!$J$2:$J$10001)))* (ISNUMBER(SEARCH(A229,SKUs!$C$2:$C$10001)))), SKUs!$C$2:$C$10001,"")</f>
        <v/>
      </c>
      <c r="G229" s="16"/>
      <c r="H229" s="16" t="str" cm="1">
        <f t="array" ref="H229">IF(C229&lt;&gt;"", _xlfn.IFS(I229="Height SLI",_xlfn.XLOOKUP(C229,'calc_s90&amp;138'!$C$15:$C$1000,'calc_s90&amp;138'!$T$15:$T$1000,"",0), I229="Height FIX",_xlfn.XLOOKUP(C229,'calc_s90&amp;138'!$C$15:$C$1000,'calc_s90&amp;138'!$V$15:$V$1000,"",0), I229="Width", _xlfn.XLOOKUP(C229,'calc_s90&amp;138'!$C$15:$C$1000,'calc_s90&amp;138'!$X$15:$X$1000,"",0)),"")</f>
        <v/>
      </c>
      <c r="I229" s="16" t="str">
        <f t="shared" si="4"/>
        <v/>
      </c>
    </row>
    <row r="230" spans="1:9" ht="13.5" customHeight="1" x14ac:dyDescent="0.25">
      <c r="A230" s="41" t="str">
        <f>_xlfn.XLOOKUP(G230,dd_color!$A$2:$A$8,dd_color!$B$2:$B$8,"",0)</f>
        <v/>
      </c>
      <c r="B230" s="41">
        <f>_xlfn.XLOOKUP(_xlfn.XLOOKUP(C230,'Project Details'!$C$17:$C$10003,'Project Details'!$E$17:$E$10003, "",0),dd_design_raw!$A$2:$A$9997,dd_design_raw!$C$2:$C$9997,"",0)</f>
        <v>0</v>
      </c>
      <c r="C230" s="16"/>
      <c r="D230" s="16" t="str" cm="1">
        <f t="array" ref="D230">IF(C230&lt;&gt;"", _xlfn.IFS(I230="Height SLI",_xlfn.XLOOKUP(C230,'calc_s90&amp;138'!$C$15:$C$1000,'calc_s90&amp;138'!$U$15:$U$1000,"",0), I230="Height FIX",_xlfn.XLOOKUP(C230,'calc_s90&amp;138'!$C$15:$C$1000,'calc_s90&amp;138'!$W$15:$W$1000,"",0), I230="Width", _xlfn.XLOOKUP(C230,'calc_s90&amp;138'!$C$15:$C$1000,'calc_s90&amp;138'!$Y$15:$Y$1000,"",0)),"")</f>
        <v/>
      </c>
      <c r="E230" s="16" t="str" cm="1">
        <f t="array" ref="E230">IF(C230&lt;&gt;"", _xlfn.XLOOKUP(1,((SKUs!$A$2:$A$10001=cl_unmerged!B230) * (ISNUMBER(SEARCH("Sash",SKUs!$J$2:$J$10001)))), SKUs!$J$2:$J$10001,""),"") &amp; _xlfn.IFS(I230="Height", ", H",I230="Height SLI", ", H SLI", I230="Height FIX", ", H FIX",I230="Width", ", W", I230="", "")</f>
        <v/>
      </c>
      <c r="F230" s="33" t="str" cm="1">
        <f t="array" ref="F230">_xlfn.XLOOKUP(1,((SKUs!$A$2:$A$10001=cl_unmerged!B230) * (ISNUMBER(SEARCH("Sash",SKUs!$J$2:$J$10001)))* (ISNUMBER(SEARCH(A230,SKUs!$C$2:$C$10001)))), SKUs!$C$2:$C$10001,"")</f>
        <v/>
      </c>
      <c r="G230" s="16"/>
      <c r="H230" s="16" t="str" cm="1">
        <f t="array" ref="H230">IF(C230&lt;&gt;"", _xlfn.IFS(I230="Height SLI",_xlfn.XLOOKUP(C230,'calc_s90&amp;138'!$C$15:$C$1000,'calc_s90&amp;138'!$T$15:$T$1000,"",0), I230="Height FIX",_xlfn.XLOOKUP(C230,'calc_s90&amp;138'!$C$15:$C$1000,'calc_s90&amp;138'!$V$15:$V$1000,"",0), I230="Width", _xlfn.XLOOKUP(C230,'calc_s90&amp;138'!$C$15:$C$1000,'calc_s90&amp;138'!$X$15:$X$1000,"",0)),"")</f>
        <v/>
      </c>
      <c r="I230" s="16" t="str">
        <f t="shared" si="4"/>
        <v/>
      </c>
    </row>
    <row r="231" spans="1:9" ht="13.5" customHeight="1" x14ac:dyDescent="0.25">
      <c r="A231" s="41" t="str">
        <f>_xlfn.XLOOKUP(G231,dd_color!$A$2:$A$8,dd_color!$B$2:$B$8,"",0)</f>
        <v/>
      </c>
      <c r="B231" s="41">
        <f>_xlfn.XLOOKUP(_xlfn.XLOOKUP(C231,'Project Details'!$C$17:$C$10003,'Project Details'!$E$17:$E$10003, "",0),dd_design_raw!$A$2:$A$9997,dd_design_raw!$C$2:$C$9997,"",0)</f>
        <v>0</v>
      </c>
      <c r="C231" s="16"/>
      <c r="D231" s="16" t="str" cm="1">
        <f t="array" ref="D231">IF(C231&lt;&gt;"", _xlfn.IFS(I231="Height SLI",_xlfn.XLOOKUP(C231,'calc_s90&amp;138'!$C$15:$C$1000,'calc_s90&amp;138'!$U$15:$U$1000,"",0), I231="Height FIX",_xlfn.XLOOKUP(C231,'calc_s90&amp;138'!$C$15:$C$1000,'calc_s90&amp;138'!$W$15:$W$1000,"",0), I231="Width", _xlfn.XLOOKUP(C231,'calc_s90&amp;138'!$C$15:$C$1000,'calc_s90&amp;138'!$Y$15:$Y$1000,"",0)),"")</f>
        <v/>
      </c>
      <c r="E231" s="16" t="str" cm="1">
        <f t="array" ref="E231">IF(C231&lt;&gt;"", _xlfn.XLOOKUP(1,((SKUs!$A$2:$A$10001=cl_unmerged!B231) * (ISNUMBER(SEARCH("Sash",SKUs!$J$2:$J$10001)))), SKUs!$J$2:$J$10001,""),"") &amp; _xlfn.IFS(I231="Height", ", H",I231="Height SLI", ", H SLI", I231="Height FIX", ", H FIX",I231="Width", ", W", I231="", "")</f>
        <v/>
      </c>
      <c r="F231" s="33" t="str" cm="1">
        <f t="array" ref="F231">_xlfn.XLOOKUP(1,((SKUs!$A$2:$A$10001=cl_unmerged!B231) * (ISNUMBER(SEARCH("Sash",SKUs!$J$2:$J$10001)))* (ISNUMBER(SEARCH(A231,SKUs!$C$2:$C$10001)))), SKUs!$C$2:$C$10001,"")</f>
        <v/>
      </c>
      <c r="G231" s="16"/>
      <c r="H231" s="16" t="str" cm="1">
        <f t="array" ref="H231">IF(C231&lt;&gt;"", _xlfn.IFS(I231="Height SLI",_xlfn.XLOOKUP(C231,'calc_s90&amp;138'!$C$15:$C$1000,'calc_s90&amp;138'!$T$15:$T$1000,"",0), I231="Height FIX",_xlfn.XLOOKUP(C231,'calc_s90&amp;138'!$C$15:$C$1000,'calc_s90&amp;138'!$V$15:$V$1000,"",0), I231="Width", _xlfn.XLOOKUP(C231,'calc_s90&amp;138'!$C$15:$C$1000,'calc_s90&amp;138'!$X$15:$X$1000,"",0)),"")</f>
        <v/>
      </c>
      <c r="I231" s="16" t="str">
        <f t="shared" si="4"/>
        <v/>
      </c>
    </row>
    <row r="232" spans="1:9" ht="13.5" customHeight="1" x14ac:dyDescent="0.25">
      <c r="A232" s="41" t="str">
        <f>_xlfn.XLOOKUP(G232,dd_color!$A$2:$A$8,dd_color!$B$2:$B$8,"",0)</f>
        <v/>
      </c>
      <c r="B232" s="41">
        <f>_xlfn.XLOOKUP(_xlfn.XLOOKUP(C232,'Project Details'!$C$17:$C$10003,'Project Details'!$E$17:$E$10003, "",0),dd_design_raw!$A$2:$A$9997,dd_design_raw!$C$2:$C$9997,"",0)</f>
        <v>0</v>
      </c>
      <c r="C232" s="16"/>
      <c r="D232" s="16" t="str" cm="1">
        <f t="array" ref="D232">IF(C232&lt;&gt;"", _xlfn.IFS(I232="Height SLI",_xlfn.XLOOKUP(C232,'calc_s90&amp;138'!$C$15:$C$1000,'calc_s90&amp;138'!$U$15:$U$1000,"",0), I232="Height FIX",_xlfn.XLOOKUP(C232,'calc_s90&amp;138'!$C$15:$C$1000,'calc_s90&amp;138'!$W$15:$W$1000,"",0), I232="Width", _xlfn.XLOOKUP(C232,'calc_s90&amp;138'!$C$15:$C$1000,'calc_s90&amp;138'!$Y$15:$Y$1000,"",0)),"")</f>
        <v/>
      </c>
      <c r="E232" s="16" t="str" cm="1">
        <f t="array" ref="E232">IF(C232&lt;&gt;"", _xlfn.XLOOKUP(1,((SKUs!$A$2:$A$10001=cl_unmerged!B232) * (ISNUMBER(SEARCH("Sash",SKUs!$J$2:$J$10001)))), SKUs!$J$2:$J$10001,""),"") &amp; _xlfn.IFS(I232="Height", ", H",I232="Height SLI", ", H SLI", I232="Height FIX", ", H FIX",I232="Width", ", W", I232="", "")</f>
        <v/>
      </c>
      <c r="F232" s="33" t="str" cm="1">
        <f t="array" ref="F232">_xlfn.XLOOKUP(1,((SKUs!$A$2:$A$10001=cl_unmerged!B232) * (ISNUMBER(SEARCH("Sash",SKUs!$J$2:$J$10001)))* (ISNUMBER(SEARCH(A232,SKUs!$C$2:$C$10001)))), SKUs!$C$2:$C$10001,"")</f>
        <v/>
      </c>
      <c r="G232" s="16"/>
      <c r="H232" s="16" t="str" cm="1">
        <f t="array" ref="H232">IF(C232&lt;&gt;"", _xlfn.IFS(I232="Height SLI",_xlfn.XLOOKUP(C232,'calc_s90&amp;138'!$C$15:$C$1000,'calc_s90&amp;138'!$T$15:$T$1000,"",0), I232="Height FIX",_xlfn.XLOOKUP(C232,'calc_s90&amp;138'!$C$15:$C$1000,'calc_s90&amp;138'!$V$15:$V$1000,"",0), I232="Width", _xlfn.XLOOKUP(C232,'calc_s90&amp;138'!$C$15:$C$1000,'calc_s90&amp;138'!$X$15:$X$1000,"",0)),"")</f>
        <v/>
      </c>
      <c r="I232" s="16" t="str">
        <f t="shared" si="4"/>
        <v/>
      </c>
    </row>
    <row r="233" spans="1:9" ht="13.5" customHeight="1" x14ac:dyDescent="0.25">
      <c r="A233" s="41" t="str">
        <f>_xlfn.XLOOKUP(G233,dd_color!$A$2:$A$8,dd_color!$B$2:$B$8,"",0)</f>
        <v/>
      </c>
      <c r="B233" s="41">
        <f>_xlfn.XLOOKUP(_xlfn.XLOOKUP(C233,'Project Details'!$C$17:$C$10003,'Project Details'!$E$17:$E$10003, "",0),dd_design_raw!$A$2:$A$9997,dd_design_raw!$C$2:$C$9997,"",0)</f>
        <v>0</v>
      </c>
      <c r="C233" s="16"/>
      <c r="D233" s="16" t="str" cm="1">
        <f t="array" ref="D233">IF(C233&lt;&gt;"", _xlfn.IFS(I233="Height SLI",_xlfn.XLOOKUP(C233,'calc_s90&amp;138'!$C$15:$C$1000,'calc_s90&amp;138'!$U$15:$U$1000,"",0), I233="Height FIX",_xlfn.XLOOKUP(C233,'calc_s90&amp;138'!$C$15:$C$1000,'calc_s90&amp;138'!$W$15:$W$1000,"",0), I233="Width", _xlfn.XLOOKUP(C233,'calc_s90&amp;138'!$C$15:$C$1000,'calc_s90&amp;138'!$Y$15:$Y$1000,"",0)),"")</f>
        <v/>
      </c>
      <c r="E233" s="16" t="str" cm="1">
        <f t="array" ref="E233">IF(C233&lt;&gt;"", _xlfn.XLOOKUP(1,((SKUs!$A$2:$A$10001=cl_unmerged!B233) * (ISNUMBER(SEARCH("Sash",SKUs!$J$2:$J$10001)))), SKUs!$J$2:$J$10001,""),"") &amp; _xlfn.IFS(I233="Height", ", H",I233="Height SLI", ", H SLI", I233="Height FIX", ", H FIX",I233="Width", ", W", I233="", "")</f>
        <v/>
      </c>
      <c r="F233" s="33" t="str" cm="1">
        <f t="array" ref="F233">_xlfn.XLOOKUP(1,((SKUs!$A$2:$A$10001=cl_unmerged!B233) * (ISNUMBER(SEARCH("Sash",SKUs!$J$2:$J$10001)))* (ISNUMBER(SEARCH(A233,SKUs!$C$2:$C$10001)))), SKUs!$C$2:$C$10001,"")</f>
        <v/>
      </c>
      <c r="G233" s="16"/>
      <c r="H233" s="16" t="str" cm="1">
        <f t="array" ref="H233">IF(C233&lt;&gt;"", _xlfn.IFS(I233="Height SLI",_xlfn.XLOOKUP(C233,'calc_s90&amp;138'!$C$15:$C$1000,'calc_s90&amp;138'!$T$15:$T$1000,"",0), I233="Height FIX",_xlfn.XLOOKUP(C233,'calc_s90&amp;138'!$C$15:$C$1000,'calc_s90&amp;138'!$V$15:$V$1000,"",0), I233="Width", _xlfn.XLOOKUP(C233,'calc_s90&amp;138'!$C$15:$C$1000,'calc_s90&amp;138'!$X$15:$X$1000,"",0)),"")</f>
        <v/>
      </c>
      <c r="I233" s="16" t="str">
        <f t="shared" si="4"/>
        <v/>
      </c>
    </row>
    <row r="234" spans="1:9" ht="13.5" customHeight="1" x14ac:dyDescent="0.25">
      <c r="A234" s="41" t="str">
        <f>_xlfn.XLOOKUP(G234,dd_color!$A$2:$A$8,dd_color!$B$2:$B$8,"",0)</f>
        <v/>
      </c>
      <c r="B234" s="41">
        <f>_xlfn.XLOOKUP(_xlfn.XLOOKUP(C234,'Project Details'!$C$17:$C$10003,'Project Details'!$E$17:$E$10003, "",0),dd_design_raw!$A$2:$A$9997,dd_design_raw!$C$2:$C$9997,"",0)</f>
        <v>0</v>
      </c>
      <c r="C234" s="16"/>
      <c r="D234" s="16" t="str" cm="1">
        <f t="array" ref="D234">IF(C234&lt;&gt;"", _xlfn.IFS(I234="Height SLI",_xlfn.XLOOKUP(C234,'calc_s90&amp;138'!$C$15:$C$1000,'calc_s90&amp;138'!$U$15:$U$1000,"",0), I234="Height FIX",_xlfn.XLOOKUP(C234,'calc_s90&amp;138'!$C$15:$C$1000,'calc_s90&amp;138'!$W$15:$W$1000,"",0), I234="Width", _xlfn.XLOOKUP(C234,'calc_s90&amp;138'!$C$15:$C$1000,'calc_s90&amp;138'!$Y$15:$Y$1000,"",0)),"")</f>
        <v/>
      </c>
      <c r="E234" s="16" t="str" cm="1">
        <f t="array" ref="E234">IF(C234&lt;&gt;"", _xlfn.XLOOKUP(1,((SKUs!$A$2:$A$10001=cl_unmerged!B234) * (ISNUMBER(SEARCH("Sash",SKUs!$J$2:$J$10001)))), SKUs!$J$2:$J$10001,""),"") &amp; _xlfn.IFS(I234="Height", ", H",I234="Height SLI", ", H SLI", I234="Height FIX", ", H FIX",I234="Width", ", W", I234="", "")</f>
        <v/>
      </c>
      <c r="F234" s="33" t="str" cm="1">
        <f t="array" ref="F234">_xlfn.XLOOKUP(1,((SKUs!$A$2:$A$10001=cl_unmerged!B234) * (ISNUMBER(SEARCH("Sash",SKUs!$J$2:$J$10001)))* (ISNUMBER(SEARCH(A234,SKUs!$C$2:$C$10001)))), SKUs!$C$2:$C$10001,"")</f>
        <v/>
      </c>
      <c r="G234" s="16"/>
      <c r="H234" s="16" t="str" cm="1">
        <f t="array" ref="H234">IF(C234&lt;&gt;"", _xlfn.IFS(I234="Height SLI",_xlfn.XLOOKUP(C234,'calc_s90&amp;138'!$C$15:$C$1000,'calc_s90&amp;138'!$T$15:$T$1000,"",0), I234="Height FIX",_xlfn.XLOOKUP(C234,'calc_s90&amp;138'!$C$15:$C$1000,'calc_s90&amp;138'!$V$15:$V$1000,"",0), I234="Width", _xlfn.XLOOKUP(C234,'calc_s90&amp;138'!$C$15:$C$1000,'calc_s90&amp;138'!$X$15:$X$1000,"",0)),"")</f>
        <v/>
      </c>
      <c r="I234" s="16" t="str">
        <f t="shared" si="4"/>
        <v/>
      </c>
    </row>
    <row r="235" spans="1:9" ht="13.5" customHeight="1" x14ac:dyDescent="0.25">
      <c r="A235" s="41" t="str">
        <f>_xlfn.XLOOKUP(G235,dd_color!$A$2:$A$8,dd_color!$B$2:$B$8,"",0)</f>
        <v/>
      </c>
      <c r="B235" s="41">
        <f>_xlfn.XLOOKUP(_xlfn.XLOOKUP(C235,'Project Details'!$C$17:$C$10003,'Project Details'!$E$17:$E$10003, "",0),dd_design_raw!$A$2:$A$9997,dd_design_raw!$C$2:$C$9997,"",0)</f>
        <v>0</v>
      </c>
      <c r="C235" s="16"/>
      <c r="D235" s="16" t="str" cm="1">
        <f t="array" ref="D235">IF(C235&lt;&gt;"", _xlfn.IFS(I235="Height SLI",_xlfn.XLOOKUP(C235,'calc_s90&amp;138'!$C$15:$C$1000,'calc_s90&amp;138'!$U$15:$U$1000,"",0), I235="Height FIX",_xlfn.XLOOKUP(C235,'calc_s90&amp;138'!$C$15:$C$1000,'calc_s90&amp;138'!$W$15:$W$1000,"",0), I235="Width", _xlfn.XLOOKUP(C235,'calc_s90&amp;138'!$C$15:$C$1000,'calc_s90&amp;138'!$Y$15:$Y$1000,"",0)),"")</f>
        <v/>
      </c>
      <c r="E235" s="16" t="str" cm="1">
        <f t="array" ref="E235">IF(C235&lt;&gt;"", _xlfn.XLOOKUP(1,((SKUs!$A$2:$A$10001=cl_unmerged!B235) * (ISNUMBER(SEARCH("Sash",SKUs!$J$2:$J$10001)))), SKUs!$J$2:$J$10001,""),"") &amp; _xlfn.IFS(I235="Height", ", H",I235="Height SLI", ", H SLI", I235="Height FIX", ", H FIX",I235="Width", ", W", I235="", "")</f>
        <v/>
      </c>
      <c r="F235" s="33" t="str" cm="1">
        <f t="array" ref="F235">_xlfn.XLOOKUP(1,((SKUs!$A$2:$A$10001=cl_unmerged!B235) * (ISNUMBER(SEARCH("Sash",SKUs!$J$2:$J$10001)))* (ISNUMBER(SEARCH(A235,SKUs!$C$2:$C$10001)))), SKUs!$C$2:$C$10001,"")</f>
        <v/>
      </c>
      <c r="G235" s="16"/>
      <c r="H235" s="16" t="str" cm="1">
        <f t="array" ref="H235">IF(C235&lt;&gt;"", _xlfn.IFS(I235="Height SLI",_xlfn.XLOOKUP(C235,'calc_s90&amp;138'!$C$15:$C$1000,'calc_s90&amp;138'!$T$15:$T$1000,"",0), I235="Height FIX",_xlfn.XLOOKUP(C235,'calc_s90&amp;138'!$C$15:$C$1000,'calc_s90&amp;138'!$V$15:$V$1000,"",0), I235="Width", _xlfn.XLOOKUP(C235,'calc_s90&amp;138'!$C$15:$C$1000,'calc_s90&amp;138'!$X$15:$X$1000,"",0)),"")</f>
        <v/>
      </c>
      <c r="I235" s="16" t="str">
        <f t="shared" si="4"/>
        <v/>
      </c>
    </row>
    <row r="236" spans="1:9" ht="13.5" customHeight="1" x14ac:dyDescent="0.25">
      <c r="A236" s="41" t="str">
        <f>_xlfn.XLOOKUP(G236,dd_color!$A$2:$A$8,dd_color!$B$2:$B$8,"",0)</f>
        <v/>
      </c>
      <c r="B236" s="41">
        <f>_xlfn.XLOOKUP(_xlfn.XLOOKUP(C236,'Project Details'!$C$17:$C$10003,'Project Details'!$E$17:$E$10003, "",0),dd_design_raw!$A$2:$A$9997,dd_design_raw!$C$2:$C$9997,"",0)</f>
        <v>0</v>
      </c>
      <c r="C236" s="16"/>
      <c r="D236" s="16" t="str" cm="1">
        <f t="array" ref="D236">IF(C236&lt;&gt;"", _xlfn.IFS(I236="Height SLI",_xlfn.XLOOKUP(C236,'calc_s90&amp;138'!$C$15:$C$1000,'calc_s90&amp;138'!$U$15:$U$1000,"",0), I236="Height FIX",_xlfn.XLOOKUP(C236,'calc_s90&amp;138'!$C$15:$C$1000,'calc_s90&amp;138'!$W$15:$W$1000,"",0), I236="Width", _xlfn.XLOOKUP(C236,'calc_s90&amp;138'!$C$15:$C$1000,'calc_s90&amp;138'!$Y$15:$Y$1000,"",0)),"")</f>
        <v/>
      </c>
      <c r="E236" s="16" t="str" cm="1">
        <f t="array" ref="E236">IF(C236&lt;&gt;"", _xlfn.XLOOKUP(1,((SKUs!$A$2:$A$10001=cl_unmerged!B236) * (ISNUMBER(SEARCH("Sash",SKUs!$J$2:$J$10001)))), SKUs!$J$2:$J$10001,""),"") &amp; _xlfn.IFS(I236="Height", ", H",I236="Height SLI", ", H SLI", I236="Height FIX", ", H FIX",I236="Width", ", W", I236="", "")</f>
        <v/>
      </c>
      <c r="F236" s="33" t="str" cm="1">
        <f t="array" ref="F236">_xlfn.XLOOKUP(1,((SKUs!$A$2:$A$10001=cl_unmerged!B236) * (ISNUMBER(SEARCH("Sash",SKUs!$J$2:$J$10001)))* (ISNUMBER(SEARCH(A236,SKUs!$C$2:$C$10001)))), SKUs!$C$2:$C$10001,"")</f>
        <v/>
      </c>
      <c r="G236" s="16"/>
      <c r="H236" s="16" t="str" cm="1">
        <f t="array" ref="H236">IF(C236&lt;&gt;"", _xlfn.IFS(I236="Height SLI",_xlfn.XLOOKUP(C236,'calc_s90&amp;138'!$C$15:$C$1000,'calc_s90&amp;138'!$T$15:$T$1000,"",0), I236="Height FIX",_xlfn.XLOOKUP(C236,'calc_s90&amp;138'!$C$15:$C$1000,'calc_s90&amp;138'!$V$15:$V$1000,"",0), I236="Width", _xlfn.XLOOKUP(C236,'calc_s90&amp;138'!$C$15:$C$1000,'calc_s90&amp;138'!$X$15:$X$1000,"",0)),"")</f>
        <v/>
      </c>
      <c r="I236" s="16" t="str">
        <f t="shared" si="4"/>
        <v/>
      </c>
    </row>
    <row r="237" spans="1:9" ht="13.5" customHeight="1" x14ac:dyDescent="0.25">
      <c r="A237" s="41" t="str">
        <f>_xlfn.XLOOKUP(G237,dd_color!$A$2:$A$8,dd_color!$B$2:$B$8,"",0)</f>
        <v/>
      </c>
      <c r="B237" s="41">
        <f>_xlfn.XLOOKUP(_xlfn.XLOOKUP(C237,'Project Details'!$C$17:$C$10003,'Project Details'!$E$17:$E$10003, "",0),dd_design_raw!$A$2:$A$9997,dd_design_raw!$C$2:$C$9997,"",0)</f>
        <v>0</v>
      </c>
      <c r="C237" s="16"/>
      <c r="D237" s="16" t="str" cm="1">
        <f t="array" ref="D237">IF(C237&lt;&gt;"", _xlfn.IFS(I237="Height SLI",_xlfn.XLOOKUP(C237,'calc_s90&amp;138'!$C$15:$C$1000,'calc_s90&amp;138'!$U$15:$U$1000,"",0), I237="Height FIX",_xlfn.XLOOKUP(C237,'calc_s90&amp;138'!$C$15:$C$1000,'calc_s90&amp;138'!$W$15:$W$1000,"",0), I237="Width", _xlfn.XLOOKUP(C237,'calc_s90&amp;138'!$C$15:$C$1000,'calc_s90&amp;138'!$Y$15:$Y$1000,"",0)),"")</f>
        <v/>
      </c>
      <c r="E237" s="16" t="str" cm="1">
        <f t="array" ref="E237">IF(C237&lt;&gt;"", _xlfn.XLOOKUP(1,((SKUs!$A$2:$A$10001=cl_unmerged!B237) * (ISNUMBER(SEARCH("Sash",SKUs!$J$2:$J$10001)))), SKUs!$J$2:$J$10001,""),"") &amp; _xlfn.IFS(I237="Height", ", H",I237="Height SLI", ", H SLI", I237="Height FIX", ", H FIX",I237="Width", ", W", I237="", "")</f>
        <v/>
      </c>
      <c r="F237" s="33" t="str" cm="1">
        <f t="array" ref="F237">_xlfn.XLOOKUP(1,((SKUs!$A$2:$A$10001=cl_unmerged!B237) * (ISNUMBER(SEARCH("Sash",SKUs!$J$2:$J$10001)))* (ISNUMBER(SEARCH(A237,SKUs!$C$2:$C$10001)))), SKUs!$C$2:$C$10001,"")</f>
        <v/>
      </c>
      <c r="G237" s="16"/>
      <c r="H237" s="16" t="str" cm="1">
        <f t="array" ref="H237">IF(C237&lt;&gt;"", _xlfn.IFS(I237="Height SLI",_xlfn.XLOOKUP(C237,'calc_s90&amp;138'!$C$15:$C$1000,'calc_s90&amp;138'!$T$15:$T$1000,"",0), I237="Height FIX",_xlfn.XLOOKUP(C237,'calc_s90&amp;138'!$C$15:$C$1000,'calc_s90&amp;138'!$V$15:$V$1000,"",0), I237="Width", _xlfn.XLOOKUP(C237,'calc_s90&amp;138'!$C$15:$C$1000,'calc_s90&amp;138'!$X$15:$X$1000,"",0)),"")</f>
        <v/>
      </c>
      <c r="I237" s="16" t="str">
        <f t="shared" si="4"/>
        <v/>
      </c>
    </row>
    <row r="238" spans="1:9" ht="13.5" customHeight="1" x14ac:dyDescent="0.25">
      <c r="A238" s="41" t="str">
        <f>_xlfn.XLOOKUP(G238,dd_color!$A$2:$A$8,dd_color!$B$2:$B$8,"",0)</f>
        <v/>
      </c>
      <c r="B238" s="41">
        <f>_xlfn.XLOOKUP(_xlfn.XLOOKUP(C238,'Project Details'!$C$17:$C$10003,'Project Details'!$E$17:$E$10003, "",0),dd_design_raw!$A$2:$A$9997,dd_design_raw!$C$2:$C$9997,"",0)</f>
        <v>0</v>
      </c>
      <c r="C238" s="16"/>
      <c r="D238" s="16" t="str" cm="1">
        <f t="array" ref="D238">IF(C238&lt;&gt;"", _xlfn.IFS(I238="Height SLI",_xlfn.XLOOKUP(C238,'calc_s90&amp;138'!$C$15:$C$1000,'calc_s90&amp;138'!$U$15:$U$1000,"",0), I238="Height FIX",_xlfn.XLOOKUP(C238,'calc_s90&amp;138'!$C$15:$C$1000,'calc_s90&amp;138'!$W$15:$W$1000,"",0), I238="Width", _xlfn.XLOOKUP(C238,'calc_s90&amp;138'!$C$15:$C$1000,'calc_s90&amp;138'!$Y$15:$Y$1000,"",0)),"")</f>
        <v/>
      </c>
      <c r="E238" s="16" t="str" cm="1">
        <f t="array" ref="E238">IF(C238&lt;&gt;"", _xlfn.XLOOKUP(1,((SKUs!$A$2:$A$10001=cl_unmerged!B238) * (ISNUMBER(SEARCH("Sash",SKUs!$J$2:$J$10001)))), SKUs!$J$2:$J$10001,""),"") &amp; _xlfn.IFS(I238="Height", ", H",I238="Height SLI", ", H SLI", I238="Height FIX", ", H FIX",I238="Width", ", W", I238="", "")</f>
        <v/>
      </c>
      <c r="F238" s="33" t="str" cm="1">
        <f t="array" ref="F238">_xlfn.XLOOKUP(1,((SKUs!$A$2:$A$10001=cl_unmerged!B238) * (ISNUMBER(SEARCH("Sash",SKUs!$J$2:$J$10001)))* (ISNUMBER(SEARCH(A238,SKUs!$C$2:$C$10001)))), SKUs!$C$2:$C$10001,"")</f>
        <v/>
      </c>
      <c r="G238" s="16"/>
      <c r="H238" s="16" t="str" cm="1">
        <f t="array" ref="H238">IF(C238&lt;&gt;"", _xlfn.IFS(I238="Height SLI",_xlfn.XLOOKUP(C238,'calc_s90&amp;138'!$C$15:$C$1000,'calc_s90&amp;138'!$T$15:$T$1000,"",0), I238="Height FIX",_xlfn.XLOOKUP(C238,'calc_s90&amp;138'!$C$15:$C$1000,'calc_s90&amp;138'!$V$15:$V$1000,"",0), I238="Width", _xlfn.XLOOKUP(C238,'calc_s90&amp;138'!$C$15:$C$1000,'calc_s90&amp;138'!$X$15:$X$1000,"",0)),"")</f>
        <v/>
      </c>
      <c r="I238" s="16" t="str">
        <f t="shared" si="4"/>
        <v/>
      </c>
    </row>
    <row r="239" spans="1:9" ht="13.5" customHeight="1" x14ac:dyDescent="0.25">
      <c r="A239" s="41" t="str">
        <f>_xlfn.XLOOKUP(G239,dd_color!$A$2:$A$8,dd_color!$B$2:$B$8,"",0)</f>
        <v/>
      </c>
      <c r="B239" s="41">
        <f>_xlfn.XLOOKUP(_xlfn.XLOOKUP(C239,'Project Details'!$C$17:$C$10003,'Project Details'!$E$17:$E$10003, "",0),dd_design_raw!$A$2:$A$9997,dd_design_raw!$C$2:$C$9997,"",0)</f>
        <v>0</v>
      </c>
      <c r="C239" s="16"/>
      <c r="D239" s="16" t="str" cm="1">
        <f t="array" ref="D239">IF(C239&lt;&gt;"", _xlfn.IFS(I239="Height SLI",_xlfn.XLOOKUP(C239,'calc_s90&amp;138'!$C$15:$C$1000,'calc_s90&amp;138'!$U$15:$U$1000,"",0), I239="Height FIX",_xlfn.XLOOKUP(C239,'calc_s90&amp;138'!$C$15:$C$1000,'calc_s90&amp;138'!$W$15:$W$1000,"",0), I239="Width", _xlfn.XLOOKUP(C239,'calc_s90&amp;138'!$C$15:$C$1000,'calc_s90&amp;138'!$Y$15:$Y$1000,"",0)),"")</f>
        <v/>
      </c>
      <c r="E239" s="16" t="str" cm="1">
        <f t="array" ref="E239">IF(C239&lt;&gt;"", _xlfn.XLOOKUP(1,((SKUs!$A$2:$A$10001=cl_unmerged!B239) * (ISNUMBER(SEARCH("Sash",SKUs!$J$2:$J$10001)))), SKUs!$J$2:$J$10001,""),"") &amp; _xlfn.IFS(I239="Height", ", H",I239="Height SLI", ", H SLI", I239="Height FIX", ", H FIX",I239="Width", ", W", I239="", "")</f>
        <v/>
      </c>
      <c r="F239" s="33" t="str" cm="1">
        <f t="array" ref="F239">_xlfn.XLOOKUP(1,((SKUs!$A$2:$A$10001=cl_unmerged!B239) * (ISNUMBER(SEARCH("Sash",SKUs!$J$2:$J$10001)))* (ISNUMBER(SEARCH(A239,SKUs!$C$2:$C$10001)))), SKUs!$C$2:$C$10001,"")</f>
        <v/>
      </c>
      <c r="G239" s="16"/>
      <c r="H239" s="16" t="str" cm="1">
        <f t="array" ref="H239">IF(C239&lt;&gt;"", _xlfn.IFS(I239="Height SLI",_xlfn.XLOOKUP(C239,'calc_s90&amp;138'!$C$15:$C$1000,'calc_s90&amp;138'!$T$15:$T$1000,"",0), I239="Height FIX",_xlfn.XLOOKUP(C239,'calc_s90&amp;138'!$C$15:$C$1000,'calc_s90&amp;138'!$V$15:$V$1000,"",0), I239="Width", _xlfn.XLOOKUP(C239,'calc_s90&amp;138'!$C$15:$C$1000,'calc_s90&amp;138'!$X$15:$X$1000,"",0)),"")</f>
        <v/>
      </c>
      <c r="I239" s="16" t="str">
        <f t="shared" si="4"/>
        <v/>
      </c>
    </row>
    <row r="240" spans="1:9" ht="13.5" customHeight="1" x14ac:dyDescent="0.25">
      <c r="A240" s="41" t="str">
        <f>_xlfn.XLOOKUP(G240,dd_color!$A$2:$A$8,dd_color!$B$2:$B$8,"",0)</f>
        <v/>
      </c>
      <c r="B240" s="41">
        <f>_xlfn.XLOOKUP(_xlfn.XLOOKUP(C240,'Project Details'!$C$17:$C$10003,'Project Details'!$E$17:$E$10003, "",0),dd_design_raw!$A$2:$A$9997,dd_design_raw!$C$2:$C$9997,"",0)</f>
        <v>0</v>
      </c>
      <c r="C240" s="16"/>
      <c r="D240" s="16" t="str" cm="1">
        <f t="array" ref="D240">IF(C240&lt;&gt;"", _xlfn.IFS(I240="Height SLI",_xlfn.XLOOKUP(C240,'calc_s90&amp;138'!$C$15:$C$1000,'calc_s90&amp;138'!$U$15:$U$1000,"",0), I240="Height FIX",_xlfn.XLOOKUP(C240,'calc_s90&amp;138'!$C$15:$C$1000,'calc_s90&amp;138'!$W$15:$W$1000,"",0), I240="Width", _xlfn.XLOOKUP(C240,'calc_s90&amp;138'!$C$15:$C$1000,'calc_s90&amp;138'!$Y$15:$Y$1000,"",0)),"")</f>
        <v/>
      </c>
      <c r="E240" s="16" t="str" cm="1">
        <f t="array" ref="E240">IF(C240&lt;&gt;"", _xlfn.XLOOKUP(1,((SKUs!$A$2:$A$10001=cl_unmerged!B240) * (ISNUMBER(SEARCH("Sash",SKUs!$J$2:$J$10001)))), SKUs!$J$2:$J$10001,""),"") &amp; _xlfn.IFS(I240="Height", ", H",I240="Height SLI", ", H SLI", I240="Height FIX", ", H FIX",I240="Width", ", W", I240="", "")</f>
        <v/>
      </c>
      <c r="F240" s="33" t="str" cm="1">
        <f t="array" ref="F240">_xlfn.XLOOKUP(1,((SKUs!$A$2:$A$10001=cl_unmerged!B240) * (ISNUMBER(SEARCH("Sash",SKUs!$J$2:$J$10001)))* (ISNUMBER(SEARCH(A240,SKUs!$C$2:$C$10001)))), SKUs!$C$2:$C$10001,"")</f>
        <v/>
      </c>
      <c r="G240" s="16"/>
      <c r="H240" s="16" t="str" cm="1">
        <f t="array" ref="H240">IF(C240&lt;&gt;"", _xlfn.IFS(I240="Height SLI",_xlfn.XLOOKUP(C240,'calc_s90&amp;138'!$C$15:$C$1000,'calc_s90&amp;138'!$T$15:$T$1000,"",0), I240="Height FIX",_xlfn.XLOOKUP(C240,'calc_s90&amp;138'!$C$15:$C$1000,'calc_s90&amp;138'!$V$15:$V$1000,"",0), I240="Width", _xlfn.XLOOKUP(C240,'calc_s90&amp;138'!$C$15:$C$1000,'calc_s90&amp;138'!$X$15:$X$1000,"",0)),"")</f>
        <v/>
      </c>
      <c r="I240" s="16" t="str">
        <f t="shared" si="4"/>
        <v/>
      </c>
    </row>
    <row r="241" spans="1:9" ht="13.5" customHeight="1" x14ac:dyDescent="0.25">
      <c r="A241" s="41" t="str">
        <f>_xlfn.XLOOKUP(G241,dd_color!$A$2:$A$8,dd_color!$B$2:$B$8,"",0)</f>
        <v/>
      </c>
      <c r="B241" s="41">
        <f>_xlfn.XLOOKUP(_xlfn.XLOOKUP(C241,'Project Details'!$C$17:$C$10003,'Project Details'!$E$17:$E$10003, "",0),dd_design_raw!$A$2:$A$9997,dd_design_raw!$C$2:$C$9997,"",0)</f>
        <v>0</v>
      </c>
      <c r="C241" s="16"/>
      <c r="D241" s="16" t="str" cm="1">
        <f t="array" ref="D241">IF(C241&lt;&gt;"", _xlfn.IFS(I241="Height SLI",_xlfn.XLOOKUP(C241,'calc_s90&amp;138'!$C$15:$C$1000,'calc_s90&amp;138'!$U$15:$U$1000,"",0), I241="Height FIX",_xlfn.XLOOKUP(C241,'calc_s90&amp;138'!$C$15:$C$1000,'calc_s90&amp;138'!$W$15:$W$1000,"",0), I241="Width", _xlfn.XLOOKUP(C241,'calc_s90&amp;138'!$C$15:$C$1000,'calc_s90&amp;138'!$Y$15:$Y$1000,"",0)),"")</f>
        <v/>
      </c>
      <c r="E241" s="16" t="str" cm="1">
        <f t="array" ref="E241">IF(C241&lt;&gt;"", _xlfn.XLOOKUP(1,((SKUs!$A$2:$A$10001=cl_unmerged!B241) * (ISNUMBER(SEARCH("Sash",SKUs!$J$2:$J$10001)))), SKUs!$J$2:$J$10001,""),"") &amp; _xlfn.IFS(I241="Height", ", H",I241="Height SLI", ", H SLI", I241="Height FIX", ", H FIX",I241="Width", ", W", I241="", "")</f>
        <v/>
      </c>
      <c r="F241" s="33" t="str" cm="1">
        <f t="array" ref="F241">_xlfn.XLOOKUP(1,((SKUs!$A$2:$A$10001=cl_unmerged!B241) * (ISNUMBER(SEARCH("Sash",SKUs!$J$2:$J$10001)))* (ISNUMBER(SEARCH(A241,SKUs!$C$2:$C$10001)))), SKUs!$C$2:$C$10001,"")</f>
        <v/>
      </c>
      <c r="G241" s="16"/>
      <c r="H241" s="16" t="str" cm="1">
        <f t="array" ref="H241">IF(C241&lt;&gt;"", _xlfn.IFS(I241="Height SLI",_xlfn.XLOOKUP(C241,'calc_s90&amp;138'!$C$15:$C$1000,'calc_s90&amp;138'!$T$15:$T$1000,"",0), I241="Height FIX",_xlfn.XLOOKUP(C241,'calc_s90&amp;138'!$C$15:$C$1000,'calc_s90&amp;138'!$V$15:$V$1000,"",0), I241="Width", _xlfn.XLOOKUP(C241,'calc_s90&amp;138'!$C$15:$C$1000,'calc_s90&amp;138'!$X$15:$X$1000,"",0)),"")</f>
        <v/>
      </c>
      <c r="I241" s="16" t="str">
        <f t="shared" si="4"/>
        <v/>
      </c>
    </row>
    <row r="242" spans="1:9" ht="13.5" customHeight="1" x14ac:dyDescent="0.25">
      <c r="A242" s="41" t="str">
        <f>_xlfn.XLOOKUP(G242,dd_color!$A$2:$A$8,dd_color!$B$2:$B$8,"",0)</f>
        <v/>
      </c>
      <c r="B242" s="41">
        <f>_xlfn.XLOOKUP(_xlfn.XLOOKUP(C242,'Project Details'!$C$17:$C$10003,'Project Details'!$E$17:$E$10003, "",0),dd_design_raw!$A$2:$A$9997,dd_design_raw!$C$2:$C$9997,"",0)</f>
        <v>0</v>
      </c>
      <c r="C242" s="16"/>
      <c r="D242" s="16" t="str" cm="1">
        <f t="array" ref="D242">IF(C242&lt;&gt;"", _xlfn.IFS(I242="Height SLI",_xlfn.XLOOKUP(C242,'calc_s90&amp;138'!$C$15:$C$1000,'calc_s90&amp;138'!$U$15:$U$1000,"",0), I242="Height FIX",_xlfn.XLOOKUP(C242,'calc_s90&amp;138'!$C$15:$C$1000,'calc_s90&amp;138'!$W$15:$W$1000,"",0), I242="Width", _xlfn.XLOOKUP(C242,'calc_s90&amp;138'!$C$15:$C$1000,'calc_s90&amp;138'!$Y$15:$Y$1000,"",0)),"")</f>
        <v/>
      </c>
      <c r="E242" s="16" t="str" cm="1">
        <f t="array" ref="E242">IF(C242&lt;&gt;"", _xlfn.XLOOKUP(1,((SKUs!$A$2:$A$10001=cl_unmerged!B242) * (ISNUMBER(SEARCH("Sash",SKUs!$J$2:$J$10001)))), SKUs!$J$2:$J$10001,""),"") &amp; _xlfn.IFS(I242="Height", ", H",I242="Height SLI", ", H SLI", I242="Height FIX", ", H FIX",I242="Width", ", W", I242="", "")</f>
        <v/>
      </c>
      <c r="F242" s="33" t="str" cm="1">
        <f t="array" ref="F242">_xlfn.XLOOKUP(1,((SKUs!$A$2:$A$10001=cl_unmerged!B242) * (ISNUMBER(SEARCH("Sash",SKUs!$J$2:$J$10001)))* (ISNUMBER(SEARCH(A242,SKUs!$C$2:$C$10001)))), SKUs!$C$2:$C$10001,"")</f>
        <v/>
      </c>
      <c r="G242" s="16"/>
      <c r="H242" s="16" t="str" cm="1">
        <f t="array" ref="H242">IF(C242&lt;&gt;"", _xlfn.IFS(I242="Height SLI",_xlfn.XLOOKUP(C242,'calc_s90&amp;138'!$C$15:$C$1000,'calc_s90&amp;138'!$T$15:$T$1000,"",0), I242="Height FIX",_xlfn.XLOOKUP(C242,'calc_s90&amp;138'!$C$15:$C$1000,'calc_s90&amp;138'!$V$15:$V$1000,"",0), I242="Width", _xlfn.XLOOKUP(C242,'calc_s90&amp;138'!$C$15:$C$1000,'calc_s90&amp;138'!$X$15:$X$1000,"",0)),"")</f>
        <v/>
      </c>
      <c r="I242" s="16" t="str">
        <f t="shared" si="4"/>
        <v/>
      </c>
    </row>
    <row r="243" spans="1:9" ht="13.5" customHeight="1" x14ac:dyDescent="0.25">
      <c r="A243" s="41" t="str">
        <f>_xlfn.XLOOKUP(G243,dd_color!$A$2:$A$8,dd_color!$B$2:$B$8,"",0)</f>
        <v/>
      </c>
      <c r="B243" s="41">
        <f>_xlfn.XLOOKUP(_xlfn.XLOOKUP(C243,'Project Details'!$C$17:$C$10003,'Project Details'!$E$17:$E$10003, "",0),dd_design_raw!$A$2:$A$9997,dd_design_raw!$C$2:$C$9997,"",0)</f>
        <v>0</v>
      </c>
      <c r="C243" s="16"/>
      <c r="D243" s="16" t="str" cm="1">
        <f t="array" ref="D243">IF(C243&lt;&gt;"", _xlfn.IFS(I243="Height SLI",_xlfn.XLOOKUP(C243,'calc_s90&amp;138'!$C$15:$C$1000,'calc_s90&amp;138'!$U$15:$U$1000,"",0), I243="Height FIX",_xlfn.XLOOKUP(C243,'calc_s90&amp;138'!$C$15:$C$1000,'calc_s90&amp;138'!$W$15:$W$1000,"",0), I243="Width", _xlfn.XLOOKUP(C243,'calc_s90&amp;138'!$C$15:$C$1000,'calc_s90&amp;138'!$Y$15:$Y$1000,"",0)),"")</f>
        <v/>
      </c>
      <c r="E243" s="16" t="str" cm="1">
        <f t="array" ref="E243">IF(C243&lt;&gt;"", _xlfn.XLOOKUP(1,((SKUs!$A$2:$A$10001=cl_unmerged!B243) * (ISNUMBER(SEARCH("Sash",SKUs!$J$2:$J$10001)))), SKUs!$J$2:$J$10001,""),"") &amp; _xlfn.IFS(I243="Height", ", H",I243="Height SLI", ", H SLI", I243="Height FIX", ", H FIX",I243="Width", ", W", I243="", "")</f>
        <v/>
      </c>
      <c r="F243" s="33" t="str" cm="1">
        <f t="array" ref="F243">_xlfn.XLOOKUP(1,((SKUs!$A$2:$A$10001=cl_unmerged!B243) * (ISNUMBER(SEARCH("Sash",SKUs!$J$2:$J$10001)))* (ISNUMBER(SEARCH(A243,SKUs!$C$2:$C$10001)))), SKUs!$C$2:$C$10001,"")</f>
        <v/>
      </c>
      <c r="G243" s="16"/>
      <c r="H243" s="16" t="str" cm="1">
        <f t="array" ref="H243">IF(C243&lt;&gt;"", _xlfn.IFS(I243="Height SLI",_xlfn.XLOOKUP(C243,'calc_s90&amp;138'!$C$15:$C$1000,'calc_s90&amp;138'!$T$15:$T$1000,"",0), I243="Height FIX",_xlfn.XLOOKUP(C243,'calc_s90&amp;138'!$C$15:$C$1000,'calc_s90&amp;138'!$V$15:$V$1000,"",0), I243="Width", _xlfn.XLOOKUP(C243,'calc_s90&amp;138'!$C$15:$C$1000,'calc_s90&amp;138'!$X$15:$X$1000,"",0)),"")</f>
        <v/>
      </c>
      <c r="I243" s="16" t="str">
        <f t="shared" si="4"/>
        <v/>
      </c>
    </row>
    <row r="244" spans="1:9" ht="13.5" customHeight="1" x14ac:dyDescent="0.25">
      <c r="A244" s="41" t="str">
        <f>_xlfn.XLOOKUP(G244,dd_color!$A$2:$A$8,dd_color!$B$2:$B$8,"",0)</f>
        <v/>
      </c>
      <c r="B244" s="41" t="str">
        <f>_xlfn.XLOOKUP(_xlfn.XLOOKUP(C244,'Project Details'!$C$17:$C$10003,'Project Details'!$E$17:$E$10003, "",0),dd_design_raw!$A$2:$A$9997,dd_design_raw!$C$2:$C$9997,"",0)</f>
        <v/>
      </c>
      <c r="C244" s="16"/>
      <c r="D244" s="16" t="str" cm="1">
        <f t="array" ref="D244">IF(C244&lt;&gt;"", _xlfn.IFS(I244="Height SLI",_xlfn.XLOOKUP(C244,'calc_s90&amp;138'!$C$15:$C$1000,'calc_s90&amp;138'!$U$15:$U$1000,"",0), I244="Height FIX",_xlfn.XLOOKUP(C244,'calc_s90&amp;138'!$C$15:$C$1000,'calc_s90&amp;138'!$W$15:$W$1000,"",0), I244="Width", _xlfn.XLOOKUP(C244,'calc_s90&amp;138'!$C$15:$C$1000,'calc_s90&amp;138'!$Y$15:$Y$1000,"",0)),"")</f>
        <v/>
      </c>
      <c r="E244" s="16" t="str" cm="1">
        <f t="array" ref="E244">IF(C244&lt;&gt;"", _xlfn.XLOOKUP(1,((SKUs!$A$2:$A$10001=cl_unmerged!B244) * (ISNUMBER(SEARCH("Sash",SKUs!$J$2:$J$10001)))), SKUs!$J$2:$J$10001,""),"") &amp; _xlfn.IFS(I244="Height", ", H",I244="Height SLI", ", H SLI", I244="Height FIX", ", H FIX",I244="Width", ", W", I244="", "")</f>
        <v/>
      </c>
      <c r="F244" s="33" t="str" cm="1">
        <f t="array" ref="F244">_xlfn.XLOOKUP(1,((SKUs!$A$2:$A$10001=cl_unmerged!B244) * (ISNUMBER(SEARCH("Sash",SKUs!$J$2:$J$10001)))* (ISNUMBER(SEARCH(A244,SKUs!$C$2:$C$10001)))), SKUs!$C$2:$C$10001,"")</f>
        <v/>
      </c>
      <c r="G244" s="16"/>
      <c r="H244" s="16" t="str" cm="1">
        <f t="array" ref="H244">IF(C244&lt;&gt;"", _xlfn.IFS(I244="Height SLI",_xlfn.XLOOKUP(C244,'calc_s90&amp;138'!$C$15:$C$1000,'calc_s90&amp;138'!$T$15:$T$1000,"",0), I244="Height FIX",_xlfn.XLOOKUP(C244,'calc_s90&amp;138'!$C$15:$C$1000,'calc_s90&amp;138'!$V$15:$V$1000,"",0), I244="Width", _xlfn.XLOOKUP(C244,'calc_s90&amp;138'!$C$15:$C$1000,'calc_s90&amp;138'!$X$15:$X$1000,"",0)),"")</f>
        <v/>
      </c>
      <c r="I244" s="16" t="str">
        <f t="shared" si="4"/>
        <v/>
      </c>
    </row>
    <row r="245" spans="1:9" ht="13.5" customHeight="1" x14ac:dyDescent="0.25">
      <c r="A245" s="41" t="str">
        <f>_xlfn.XLOOKUP(G245,dd_color!$A$2:$A$8,dd_color!$B$2:$B$8,"",0)</f>
        <v/>
      </c>
      <c r="B245" s="41" t="str">
        <f>_xlfn.XLOOKUP(_xlfn.XLOOKUP(C245,'Project Details'!$C$17:$C$10003,'Project Details'!$E$17:$E$10003, "",0),dd_design_raw!$A$2:$A$9997,dd_design_raw!$C$2:$C$9997,"",0)</f>
        <v/>
      </c>
      <c r="C245" s="16"/>
      <c r="D245" s="16" t="str" cm="1">
        <f t="array" ref="D245">IF(C245&lt;&gt;"", _xlfn.IFS(I245="Height SLI",_xlfn.XLOOKUP(C245,'calc_s90&amp;138'!$C$15:$C$1000,'calc_s90&amp;138'!$U$15:$U$1000,"",0), I245="Height FIX",_xlfn.XLOOKUP(C245,'calc_s90&amp;138'!$C$15:$C$1000,'calc_s90&amp;138'!$W$15:$W$1000,"",0), I245="Width", _xlfn.XLOOKUP(C245,'calc_s90&amp;138'!$C$15:$C$1000,'calc_s90&amp;138'!$Y$15:$Y$1000,"",0)),"")</f>
        <v/>
      </c>
      <c r="E245" s="16" t="str" cm="1">
        <f t="array" ref="E245">IF(C245&lt;&gt;"", _xlfn.XLOOKUP(1,((SKUs!$A$2:$A$10001=cl_unmerged!B245) * (ISNUMBER(SEARCH("Sash",SKUs!$J$2:$J$10001)))), SKUs!$J$2:$J$10001,""),"") &amp; _xlfn.IFS(I245="Height", ", H",I245="Height SLI", ", H SLI", I245="Height FIX", ", H FIX",I245="Width", ", W", I245="", "")</f>
        <v/>
      </c>
      <c r="F245" s="33" t="str" cm="1">
        <f t="array" ref="F245">_xlfn.XLOOKUP(1,((SKUs!$A$2:$A$10001=cl_unmerged!B245) * (ISNUMBER(SEARCH("Sash",SKUs!$J$2:$J$10001)))* (ISNUMBER(SEARCH(A245,SKUs!$C$2:$C$10001)))), SKUs!$C$2:$C$10001,"")</f>
        <v/>
      </c>
      <c r="G245" s="16"/>
      <c r="H245" s="16" t="str" cm="1">
        <f t="array" ref="H245">IF(C245&lt;&gt;"", _xlfn.IFS(I245="Height SLI",_xlfn.XLOOKUP(C245,'calc_s90&amp;138'!$C$15:$C$1000,'calc_s90&amp;138'!$T$15:$T$1000,"",0), I245="Height FIX",_xlfn.XLOOKUP(C245,'calc_s90&amp;138'!$C$15:$C$1000,'calc_s90&amp;138'!$V$15:$V$1000,"",0), I245="Width", _xlfn.XLOOKUP(C245,'calc_s90&amp;138'!$C$15:$C$1000,'calc_s90&amp;138'!$X$15:$X$1000,"",0)),"")</f>
        <v/>
      </c>
      <c r="I245" s="16" t="str">
        <f t="shared" si="4"/>
        <v/>
      </c>
    </row>
    <row r="246" spans="1:9" ht="13.5" customHeight="1" x14ac:dyDescent="0.25">
      <c r="A246" s="41" t="str">
        <f>_xlfn.XLOOKUP(G246,dd_color!$A$2:$A$8,dd_color!$B$2:$B$8,"",0)</f>
        <v/>
      </c>
      <c r="B246" s="41">
        <f>_xlfn.XLOOKUP(_xlfn.XLOOKUP(C246,'Project Details'!$C$17:$C$10003,'Project Details'!$E$17:$E$10003, "",0),dd_design_raw!$A$2:$A$9997,dd_design_raw!$C$2:$C$9997,"",0)</f>
        <v>0</v>
      </c>
      <c r="C246" s="16"/>
      <c r="D246" s="16" t="str" cm="1">
        <f t="array" ref="D246">IF(C246&lt;&gt;"", _xlfn.IFS(I246="Height SLI",_xlfn.XLOOKUP(C246,'calc_s90&amp;138'!$C$15:$C$1000,'calc_s90&amp;138'!$U$15:$U$1000,"",0), I246="Height FIX",_xlfn.XLOOKUP(C246,'calc_s90&amp;138'!$C$15:$C$1000,'calc_s90&amp;138'!$W$15:$W$1000,"",0), I246="Width", _xlfn.XLOOKUP(C246,'calc_s90&amp;138'!$C$15:$C$1000,'calc_s90&amp;138'!$Y$15:$Y$1000,"",0)),"")</f>
        <v/>
      </c>
      <c r="E246" s="16" t="str" cm="1">
        <f t="array" ref="E246">IF(C246&lt;&gt;"", _xlfn.XLOOKUP(1,((SKUs!$A$2:$A$10001=cl_unmerged!B246) * (ISNUMBER(SEARCH("Sash",SKUs!$J$2:$J$10001)))), SKUs!$J$2:$J$10001,""),"") &amp; _xlfn.IFS(I246="Height", ", H",I246="Height SLI", ", H SLI", I246="Height FIX", ", H FIX",I246="Width", ", W", I246="", "")</f>
        <v/>
      </c>
      <c r="F246" s="33" t="str" cm="1">
        <f t="array" ref="F246">_xlfn.XLOOKUP(1,((SKUs!$A$2:$A$10001=cl_unmerged!B246) * (ISNUMBER(SEARCH("Sash",SKUs!$J$2:$J$10001)))* (ISNUMBER(SEARCH(A246,SKUs!$C$2:$C$10001)))), SKUs!$C$2:$C$10001,"")</f>
        <v/>
      </c>
      <c r="G246" s="16"/>
      <c r="H246" s="16" t="str" cm="1">
        <f t="array" ref="H246">IF(C246&lt;&gt;"", _xlfn.IFS(I246="Height SLI",_xlfn.XLOOKUP(C246,'calc_s90&amp;138'!$C$15:$C$1000,'calc_s90&amp;138'!$T$15:$T$1000,"",0), I246="Height FIX",_xlfn.XLOOKUP(C246,'calc_s90&amp;138'!$C$15:$C$1000,'calc_s90&amp;138'!$V$15:$V$1000,"",0), I246="Width", _xlfn.XLOOKUP(C246,'calc_s90&amp;138'!$C$15:$C$1000,'calc_s90&amp;138'!$X$15:$X$1000,"",0)),"")</f>
        <v/>
      </c>
      <c r="I246" s="16" t="str">
        <f t="shared" si="4"/>
        <v/>
      </c>
    </row>
    <row r="247" spans="1:9" ht="13.5" customHeight="1" x14ac:dyDescent="0.25">
      <c r="A247" s="41" t="str">
        <f>_xlfn.XLOOKUP(G247,dd_color!$A$2:$A$8,dd_color!$B$2:$B$8,"",0)</f>
        <v/>
      </c>
      <c r="B247" s="41">
        <f>_xlfn.XLOOKUP(_xlfn.XLOOKUP(C247,'Project Details'!$C$17:$C$10003,'Project Details'!$E$17:$E$10003, "",0),dd_design_raw!$A$2:$A$9997,dd_design_raw!$C$2:$C$9997,"",0)</f>
        <v>0</v>
      </c>
      <c r="C247" s="16"/>
      <c r="D247" s="16" t="str" cm="1">
        <f t="array" ref="D247">IF(C247&lt;&gt;"", _xlfn.IFS(I247="Height SLI",_xlfn.XLOOKUP(C247,'calc_s90&amp;138'!$C$15:$C$1000,'calc_s90&amp;138'!$U$15:$U$1000,"",0), I247="Height FIX",_xlfn.XLOOKUP(C247,'calc_s90&amp;138'!$C$15:$C$1000,'calc_s90&amp;138'!$W$15:$W$1000,"",0), I247="Width", _xlfn.XLOOKUP(C247,'calc_s90&amp;138'!$C$15:$C$1000,'calc_s90&amp;138'!$Y$15:$Y$1000,"",0)),"")</f>
        <v/>
      </c>
      <c r="E247" s="16" t="str" cm="1">
        <f t="array" ref="E247">IF(C247&lt;&gt;"", _xlfn.XLOOKUP(1,((SKUs!$A$2:$A$10001=cl_unmerged!B247) * (ISNUMBER(SEARCH("Sash",SKUs!$J$2:$J$10001)))), SKUs!$J$2:$J$10001,""),"") &amp; _xlfn.IFS(I247="Height", ", H",I247="Height SLI", ", H SLI", I247="Height FIX", ", H FIX",I247="Width", ", W", I247="", "")</f>
        <v/>
      </c>
      <c r="F247" s="33" t="str" cm="1">
        <f t="array" ref="F247">_xlfn.XLOOKUP(1,((SKUs!$A$2:$A$10001=cl_unmerged!B247) * (ISNUMBER(SEARCH("Sash",SKUs!$J$2:$J$10001)))* (ISNUMBER(SEARCH(A247,SKUs!$C$2:$C$10001)))), SKUs!$C$2:$C$10001,"")</f>
        <v/>
      </c>
      <c r="G247" s="16"/>
      <c r="H247" s="16" t="str" cm="1">
        <f t="array" ref="H247">IF(C247&lt;&gt;"", _xlfn.IFS(I247="Height SLI",_xlfn.XLOOKUP(C247,'calc_s90&amp;138'!$C$15:$C$1000,'calc_s90&amp;138'!$T$15:$T$1000,"",0), I247="Height FIX",_xlfn.XLOOKUP(C247,'calc_s90&amp;138'!$C$15:$C$1000,'calc_s90&amp;138'!$V$15:$V$1000,"",0), I247="Width", _xlfn.XLOOKUP(C247,'calc_s90&amp;138'!$C$15:$C$1000,'calc_s90&amp;138'!$X$15:$X$1000,"",0)),"")</f>
        <v/>
      </c>
      <c r="I247" s="16" t="str">
        <f t="shared" si="4"/>
        <v/>
      </c>
    </row>
    <row r="248" spans="1:9" ht="13.5" customHeight="1" x14ac:dyDescent="0.25">
      <c r="A248" s="41" t="str">
        <f>_xlfn.XLOOKUP(G248,dd_color!$A$2:$A$8,dd_color!$B$2:$B$8,"",0)</f>
        <v/>
      </c>
      <c r="B248" s="41" t="str">
        <f>_xlfn.XLOOKUP(_xlfn.XLOOKUP(C248,'Project Details'!$C$17:$C$10003,'Project Details'!$E$17:$E$10003, "",0),dd_design_raw!$A$2:$A$9997,dd_design_raw!$C$2:$C$9997,"",0)</f>
        <v/>
      </c>
      <c r="C248" s="16"/>
      <c r="D248" s="16" t="str" cm="1">
        <f t="array" ref="D248">IF(C248&lt;&gt;"", _xlfn.IFS(I248="Height SLI",_xlfn.XLOOKUP(C248,'calc_s90&amp;138'!$C$15:$C$1000,'calc_s90&amp;138'!$U$15:$U$1000,"",0), I248="Height FIX",_xlfn.XLOOKUP(C248,'calc_s90&amp;138'!$C$15:$C$1000,'calc_s90&amp;138'!$W$15:$W$1000,"",0), I248="Width", _xlfn.XLOOKUP(C248,'calc_s90&amp;138'!$C$15:$C$1000,'calc_s90&amp;138'!$Y$15:$Y$1000,"",0)),"")</f>
        <v/>
      </c>
      <c r="E248" s="16" t="str" cm="1">
        <f t="array" ref="E248">IF(C248&lt;&gt;"", _xlfn.XLOOKUP(1,((SKUs!$A$2:$A$10001=cl_unmerged!B248) * (ISNUMBER(SEARCH("Sash",SKUs!$J$2:$J$10001)))), SKUs!$J$2:$J$10001,""),"") &amp; _xlfn.IFS(I248="Height", ", H",I248="Height SLI", ", H SLI", I248="Height FIX", ", H FIX",I248="Width", ", W", I248="", "")</f>
        <v/>
      </c>
      <c r="F248" s="33" t="str" cm="1">
        <f t="array" ref="F248">_xlfn.XLOOKUP(1,((SKUs!$A$2:$A$10001=cl_unmerged!B248) * (ISNUMBER(SEARCH("Sash",SKUs!$J$2:$J$10001)))* (ISNUMBER(SEARCH(A248,SKUs!$C$2:$C$10001)))), SKUs!$C$2:$C$10001,"")</f>
        <v/>
      </c>
      <c r="G248" s="16"/>
      <c r="H248" s="16" t="str" cm="1">
        <f t="array" ref="H248">IF(C248&lt;&gt;"", _xlfn.IFS(I248="Height SLI",_xlfn.XLOOKUP(C248,'calc_s90&amp;138'!$C$15:$C$1000,'calc_s90&amp;138'!$T$15:$T$1000,"",0), I248="Height FIX",_xlfn.XLOOKUP(C248,'calc_s90&amp;138'!$C$15:$C$1000,'calc_s90&amp;138'!$V$15:$V$1000,"",0), I248="Width", _xlfn.XLOOKUP(C248,'calc_s90&amp;138'!$C$15:$C$1000,'calc_s90&amp;138'!$X$15:$X$1000,"",0)),"")</f>
        <v/>
      </c>
      <c r="I248" s="16" t="str">
        <f t="shared" si="4"/>
        <v/>
      </c>
    </row>
    <row r="249" spans="1:9" ht="13.5" customHeight="1" x14ac:dyDescent="0.25">
      <c r="A249" s="41" t="str">
        <f>_xlfn.XLOOKUP(G249,dd_color!$A$2:$A$8,dd_color!$B$2:$B$8,"",0)</f>
        <v/>
      </c>
      <c r="B249" s="41">
        <f>_xlfn.XLOOKUP(_xlfn.XLOOKUP(C249,'Project Details'!$C$17:$C$10003,'Project Details'!$E$17:$E$10003, "",0),dd_design_raw!$A$2:$A$9997,dd_design_raw!$C$2:$C$9997,"",0)</f>
        <v>0</v>
      </c>
      <c r="C249" s="16"/>
      <c r="D249" s="16" t="str" cm="1">
        <f t="array" ref="D249">IF(C249&lt;&gt;"", _xlfn.IFS(I249="Height SLI",_xlfn.XLOOKUP(C249,'calc_s90&amp;138'!$C$15:$C$1000,'calc_s90&amp;138'!$U$15:$U$1000,"",0), I249="Height FIX",_xlfn.XLOOKUP(C249,'calc_s90&amp;138'!$C$15:$C$1000,'calc_s90&amp;138'!$W$15:$W$1000,"",0), I249="Width", _xlfn.XLOOKUP(C249,'calc_s90&amp;138'!$C$15:$C$1000,'calc_s90&amp;138'!$Y$15:$Y$1000,"",0)),"")</f>
        <v/>
      </c>
      <c r="E249" s="16" t="str" cm="1">
        <f t="array" ref="E249">IF(C249&lt;&gt;"", _xlfn.XLOOKUP(1,((SKUs!$A$2:$A$10001=cl_unmerged!B249) * (ISNUMBER(SEARCH("Sash",SKUs!$J$2:$J$10001)))), SKUs!$J$2:$J$10001,""),"") &amp; _xlfn.IFS(I249="Height", ", H",I249="Height SLI", ", H SLI", I249="Height FIX", ", H FIX",I249="Width", ", W", I249="", "")</f>
        <v/>
      </c>
      <c r="F249" s="33" t="str" cm="1">
        <f t="array" ref="F249">_xlfn.XLOOKUP(1,((SKUs!$A$2:$A$10001=cl_unmerged!B249) * (ISNUMBER(SEARCH("Sash",SKUs!$J$2:$J$10001)))* (ISNUMBER(SEARCH(A249,SKUs!$C$2:$C$10001)))), SKUs!$C$2:$C$10001,"")</f>
        <v/>
      </c>
      <c r="G249" s="16"/>
      <c r="H249" s="16" t="str" cm="1">
        <f t="array" ref="H249">IF(C249&lt;&gt;"", _xlfn.IFS(I249="Height SLI",_xlfn.XLOOKUP(C249,'calc_s90&amp;138'!$C$15:$C$1000,'calc_s90&amp;138'!$T$15:$T$1000,"",0), I249="Height FIX",_xlfn.XLOOKUP(C249,'calc_s90&amp;138'!$C$15:$C$1000,'calc_s90&amp;138'!$V$15:$V$1000,"",0), I249="Width", _xlfn.XLOOKUP(C249,'calc_s90&amp;138'!$C$15:$C$1000,'calc_s90&amp;138'!$X$15:$X$1000,"",0)),"")</f>
        <v/>
      </c>
      <c r="I249" s="16" t="str">
        <f t="shared" si="4"/>
        <v/>
      </c>
    </row>
    <row r="250" spans="1:9" ht="13.5" customHeight="1" x14ac:dyDescent="0.25">
      <c r="A250" s="41" t="str">
        <f>_xlfn.XLOOKUP(G250,dd_color!$A$2:$A$8,dd_color!$B$2:$B$8,"",0)</f>
        <v/>
      </c>
      <c r="B250" s="41" t="str">
        <f>_xlfn.XLOOKUP(_xlfn.XLOOKUP(C250,'Project Details'!$C$17:$C$10003,'Project Details'!$E$17:$E$10003, "",0),dd_design_raw!$A$2:$A$9997,dd_design_raw!$C$2:$C$9997,"",0)</f>
        <v/>
      </c>
      <c r="C250" s="16"/>
      <c r="D250" s="16" t="str" cm="1">
        <f t="array" ref="D250">IF(C250&lt;&gt;"", _xlfn.IFS(I250="Height SLI",_xlfn.XLOOKUP(C250,'calc_s90&amp;138'!$C$15:$C$1000,'calc_s90&amp;138'!$U$15:$U$1000,"",0), I250="Height FIX",_xlfn.XLOOKUP(C250,'calc_s90&amp;138'!$C$15:$C$1000,'calc_s90&amp;138'!$W$15:$W$1000,"",0), I250="Width", _xlfn.XLOOKUP(C250,'calc_s90&amp;138'!$C$15:$C$1000,'calc_s90&amp;138'!$Y$15:$Y$1000,"",0)),"")</f>
        <v/>
      </c>
      <c r="E250" s="16" t="str" cm="1">
        <f t="array" ref="E250">IF(C250&lt;&gt;"", _xlfn.XLOOKUP(1,((SKUs!$A$2:$A$10001=cl_unmerged!B250) * (ISNUMBER(SEARCH("Sash",SKUs!$J$2:$J$10001)))), SKUs!$J$2:$J$10001,""),"") &amp; _xlfn.IFS(I250="Height", ", H",I250="Height SLI", ", H SLI", I250="Height FIX", ", H FIX",I250="Width", ", W", I250="", "")</f>
        <v/>
      </c>
      <c r="F250" s="33" t="str" cm="1">
        <f t="array" ref="F250">_xlfn.XLOOKUP(1,((SKUs!$A$2:$A$10001=cl_unmerged!B250) * (ISNUMBER(SEARCH("Sash",SKUs!$J$2:$J$10001)))* (ISNUMBER(SEARCH(A250,SKUs!$C$2:$C$10001)))), SKUs!$C$2:$C$10001,"")</f>
        <v/>
      </c>
      <c r="G250" s="16"/>
      <c r="H250" s="16" t="str" cm="1">
        <f t="array" ref="H250">IF(C250&lt;&gt;"", _xlfn.IFS(I250="Height SLI",_xlfn.XLOOKUP(C250,'calc_s90&amp;138'!$C$15:$C$1000,'calc_s90&amp;138'!$T$15:$T$1000,"",0), I250="Height FIX",_xlfn.XLOOKUP(C250,'calc_s90&amp;138'!$C$15:$C$1000,'calc_s90&amp;138'!$V$15:$V$1000,"",0), I250="Width", _xlfn.XLOOKUP(C250,'calc_s90&amp;138'!$C$15:$C$1000,'calc_s90&amp;138'!$X$15:$X$1000,"",0)),"")</f>
        <v/>
      </c>
      <c r="I250" s="16" t="str">
        <f t="shared" si="4"/>
        <v/>
      </c>
    </row>
    <row r="251" spans="1:9" ht="13.5" customHeight="1" x14ac:dyDescent="0.25">
      <c r="A251" s="41" t="str">
        <f>_xlfn.XLOOKUP(G251,dd_color!$A$2:$A$8,dd_color!$B$2:$B$8,"",0)</f>
        <v/>
      </c>
      <c r="B251" s="41" t="str">
        <f>_xlfn.XLOOKUP(_xlfn.XLOOKUP(C251,'Project Details'!$C$17:$C$10003,'Project Details'!$E$17:$E$10003, "",0),dd_design_raw!$A$2:$A$9997,dd_design_raw!$C$2:$C$9997,"",0)</f>
        <v/>
      </c>
      <c r="C251" s="16"/>
      <c r="D251" s="16" t="str" cm="1">
        <f t="array" ref="D251">IF(C251&lt;&gt;"", _xlfn.IFS(I251="Height SLI",_xlfn.XLOOKUP(C251,'calc_s90&amp;138'!$C$15:$C$1000,'calc_s90&amp;138'!$U$15:$U$1000,"",0), I251="Height FIX",_xlfn.XLOOKUP(C251,'calc_s90&amp;138'!$C$15:$C$1000,'calc_s90&amp;138'!$W$15:$W$1000,"",0), I251="Width", _xlfn.XLOOKUP(C251,'calc_s90&amp;138'!$C$15:$C$1000,'calc_s90&amp;138'!$Y$15:$Y$1000,"",0)),"")</f>
        <v/>
      </c>
      <c r="E251" s="16" t="str" cm="1">
        <f t="array" ref="E251">IF(C251&lt;&gt;"", _xlfn.XLOOKUP(1,((SKUs!$A$2:$A$10001=cl_unmerged!B251) * (ISNUMBER(SEARCH("Sash",SKUs!$J$2:$J$10001)))), SKUs!$J$2:$J$10001,""),"") &amp; _xlfn.IFS(I251="Height", ", H",I251="Height SLI", ", H SLI", I251="Height FIX", ", H FIX",I251="Width", ", W", I251="", "")</f>
        <v/>
      </c>
      <c r="F251" s="33" t="str" cm="1">
        <f t="array" ref="F251">_xlfn.XLOOKUP(1,((SKUs!$A$2:$A$10001=cl_unmerged!B251) * (ISNUMBER(SEARCH("Sash",SKUs!$J$2:$J$10001)))* (ISNUMBER(SEARCH(A251,SKUs!$C$2:$C$10001)))), SKUs!$C$2:$C$10001,"")</f>
        <v/>
      </c>
      <c r="G251" s="16"/>
      <c r="H251" s="16" t="str" cm="1">
        <f t="array" ref="H251">IF(C251&lt;&gt;"", _xlfn.IFS(I251="Height SLI",_xlfn.XLOOKUP(C251,'calc_s90&amp;138'!$C$15:$C$1000,'calc_s90&amp;138'!$T$15:$T$1000,"",0), I251="Height FIX",_xlfn.XLOOKUP(C251,'calc_s90&amp;138'!$C$15:$C$1000,'calc_s90&amp;138'!$V$15:$V$1000,"",0), I251="Width", _xlfn.XLOOKUP(C251,'calc_s90&amp;138'!$C$15:$C$1000,'calc_s90&amp;138'!$X$15:$X$1000,"",0)),"")</f>
        <v/>
      </c>
      <c r="I251" s="16" t="str">
        <f t="shared" ref="I251:I272" si="5">IF(C251&lt;&gt;"", I248,"")</f>
        <v/>
      </c>
    </row>
    <row r="252" spans="1:9" ht="13.5" customHeight="1" x14ac:dyDescent="0.25">
      <c r="A252" s="41" t="str">
        <f>_xlfn.XLOOKUP(G252,dd_color!$A$2:$A$8,dd_color!$B$2:$B$8,"",0)</f>
        <v/>
      </c>
      <c r="B252" s="41" t="str">
        <f>_xlfn.XLOOKUP(_xlfn.XLOOKUP(C252,'Project Details'!$C$17:$C$10003,'Project Details'!$E$17:$E$10003, "",0),dd_design_raw!$A$2:$A$9997,dd_design_raw!$C$2:$C$9997,"",0)</f>
        <v/>
      </c>
      <c r="C252" s="16"/>
      <c r="D252" s="16" t="str" cm="1">
        <f t="array" ref="D252">IF(C252&lt;&gt;"", _xlfn.IFS(I252="Height SLI",_xlfn.XLOOKUP(C252,'calc_s90&amp;138'!$C$15:$C$1000,'calc_s90&amp;138'!$U$15:$U$1000,"",0), I252="Height FIX",_xlfn.XLOOKUP(C252,'calc_s90&amp;138'!$C$15:$C$1000,'calc_s90&amp;138'!$W$15:$W$1000,"",0), I252="Width", _xlfn.XLOOKUP(C252,'calc_s90&amp;138'!$C$15:$C$1000,'calc_s90&amp;138'!$Y$15:$Y$1000,"",0)),"")</f>
        <v/>
      </c>
      <c r="E252" s="16" t="str" cm="1">
        <f t="array" ref="E252">IF(C252&lt;&gt;"", _xlfn.XLOOKUP(1,((SKUs!$A$2:$A$10001=cl_unmerged!B252) * (ISNUMBER(SEARCH("Sash",SKUs!$J$2:$J$10001)))), SKUs!$J$2:$J$10001,""),"") &amp; _xlfn.IFS(I252="Height", ", H",I252="Height SLI", ", H SLI", I252="Height FIX", ", H FIX",I252="Width", ", W", I252="", "")</f>
        <v/>
      </c>
      <c r="F252" s="33" t="str" cm="1">
        <f t="array" ref="F252">_xlfn.XLOOKUP(1,((SKUs!$A$2:$A$10001=cl_unmerged!B252) * (ISNUMBER(SEARCH("Sash",SKUs!$J$2:$J$10001)))* (ISNUMBER(SEARCH(A252,SKUs!$C$2:$C$10001)))), SKUs!$C$2:$C$10001,"")</f>
        <v/>
      </c>
      <c r="G252" s="16"/>
      <c r="H252" s="16" t="str" cm="1">
        <f t="array" ref="H252">IF(C252&lt;&gt;"", _xlfn.IFS(I252="Height SLI",_xlfn.XLOOKUP(C252,'calc_s90&amp;138'!$C$15:$C$1000,'calc_s90&amp;138'!$T$15:$T$1000,"",0), I252="Height FIX",_xlfn.XLOOKUP(C252,'calc_s90&amp;138'!$C$15:$C$1000,'calc_s90&amp;138'!$V$15:$V$1000,"",0), I252="Width", _xlfn.XLOOKUP(C252,'calc_s90&amp;138'!$C$15:$C$1000,'calc_s90&amp;138'!$X$15:$X$1000,"",0)),"")</f>
        <v/>
      </c>
      <c r="I252" s="16" t="str">
        <f t="shared" si="5"/>
        <v/>
      </c>
    </row>
    <row r="253" spans="1:9" ht="13.5" customHeight="1" x14ac:dyDescent="0.25">
      <c r="A253" s="41" t="str">
        <f>_xlfn.XLOOKUP(G253,dd_color!$A$2:$A$8,dd_color!$B$2:$B$8,"",0)</f>
        <v/>
      </c>
      <c r="B253" s="41" t="str">
        <f>_xlfn.XLOOKUP(_xlfn.XLOOKUP(C253,'Project Details'!$C$17:$C$10003,'Project Details'!$E$17:$E$10003, "",0),dd_design_raw!$A$2:$A$9997,dd_design_raw!$C$2:$C$9997,"",0)</f>
        <v/>
      </c>
      <c r="C253" s="16"/>
      <c r="D253" s="16" t="str" cm="1">
        <f t="array" ref="D253">IF(C253&lt;&gt;"", _xlfn.IFS(I253="Height SLI",_xlfn.XLOOKUP(C253,'calc_s90&amp;138'!$C$15:$C$1000,'calc_s90&amp;138'!$U$15:$U$1000,"",0), I253="Height FIX",_xlfn.XLOOKUP(C253,'calc_s90&amp;138'!$C$15:$C$1000,'calc_s90&amp;138'!$W$15:$W$1000,"",0), I253="Width", _xlfn.XLOOKUP(C253,'calc_s90&amp;138'!$C$15:$C$1000,'calc_s90&amp;138'!$Y$15:$Y$1000,"",0)),"")</f>
        <v/>
      </c>
      <c r="E253" s="16" t="str" cm="1">
        <f t="array" ref="E253">IF(C253&lt;&gt;"", _xlfn.XLOOKUP(1,((SKUs!$A$2:$A$10001=cl_unmerged!B253) * (ISNUMBER(SEARCH("Sash",SKUs!$J$2:$J$10001)))), SKUs!$J$2:$J$10001,""),"") &amp; _xlfn.IFS(I253="Height", ", H",I253="Height SLI", ", H SLI", I253="Height FIX", ", H FIX",I253="Width", ", W", I253="", "")</f>
        <v/>
      </c>
      <c r="F253" s="33" t="str" cm="1">
        <f t="array" ref="F253">_xlfn.XLOOKUP(1,((SKUs!$A$2:$A$10001=cl_unmerged!B253) * (ISNUMBER(SEARCH("Sash",SKUs!$J$2:$J$10001)))* (ISNUMBER(SEARCH(A253,SKUs!$C$2:$C$10001)))), SKUs!$C$2:$C$10001,"")</f>
        <v/>
      </c>
      <c r="G253" s="16"/>
      <c r="H253" s="16" t="str" cm="1">
        <f t="array" ref="H253">IF(C253&lt;&gt;"", _xlfn.IFS(I253="Height SLI",_xlfn.XLOOKUP(C253,'calc_s90&amp;138'!$C$15:$C$1000,'calc_s90&amp;138'!$T$15:$T$1000,"",0), I253="Height FIX",_xlfn.XLOOKUP(C253,'calc_s90&amp;138'!$C$15:$C$1000,'calc_s90&amp;138'!$V$15:$V$1000,"",0), I253="Width", _xlfn.XLOOKUP(C253,'calc_s90&amp;138'!$C$15:$C$1000,'calc_s90&amp;138'!$X$15:$X$1000,"",0)),"")</f>
        <v/>
      </c>
      <c r="I253" s="16" t="str">
        <f t="shared" si="5"/>
        <v/>
      </c>
    </row>
    <row r="254" spans="1:9" ht="13.5" customHeight="1" x14ac:dyDescent="0.25">
      <c r="A254" s="41" t="str">
        <f>_xlfn.XLOOKUP(G254,dd_color!$A$2:$A$8,dd_color!$B$2:$B$8,"",0)</f>
        <v/>
      </c>
      <c r="B254" s="41" t="str">
        <f>_xlfn.XLOOKUP(_xlfn.XLOOKUP(C254,'Project Details'!$C$17:$C$10003,'Project Details'!$E$17:$E$10003, "",0),dd_design_raw!$A$2:$A$9997,dd_design_raw!$C$2:$C$9997,"",0)</f>
        <v/>
      </c>
      <c r="C254" s="16"/>
      <c r="D254" s="16" t="str" cm="1">
        <f t="array" ref="D254">IF(C254&lt;&gt;"", _xlfn.IFS(I254="Height SLI",_xlfn.XLOOKUP(C254,'calc_s90&amp;138'!$C$15:$C$1000,'calc_s90&amp;138'!$U$15:$U$1000,"",0), I254="Height FIX",_xlfn.XLOOKUP(C254,'calc_s90&amp;138'!$C$15:$C$1000,'calc_s90&amp;138'!$W$15:$W$1000,"",0), I254="Width", _xlfn.XLOOKUP(C254,'calc_s90&amp;138'!$C$15:$C$1000,'calc_s90&amp;138'!$Y$15:$Y$1000,"",0)),"")</f>
        <v/>
      </c>
      <c r="E254" s="16" t="str" cm="1">
        <f t="array" ref="E254">IF(C254&lt;&gt;"", _xlfn.XLOOKUP(1,((SKUs!$A$2:$A$10001=cl_unmerged!B254) * (ISNUMBER(SEARCH("Sash",SKUs!$J$2:$J$10001)))), SKUs!$J$2:$J$10001,""),"") &amp; _xlfn.IFS(I254="Height", ", H",I254="Height SLI", ", H SLI", I254="Height FIX", ", H FIX",I254="Width", ", W", I254="", "")</f>
        <v/>
      </c>
      <c r="F254" s="33" t="str" cm="1">
        <f t="array" ref="F254">_xlfn.XLOOKUP(1,((SKUs!$A$2:$A$10001=cl_unmerged!B254) * (ISNUMBER(SEARCH("Sash",SKUs!$J$2:$J$10001)))* (ISNUMBER(SEARCH(A254,SKUs!$C$2:$C$10001)))), SKUs!$C$2:$C$10001,"")</f>
        <v/>
      </c>
      <c r="G254" s="16"/>
      <c r="H254" s="16" t="str" cm="1">
        <f t="array" ref="H254">IF(C254&lt;&gt;"", _xlfn.IFS(I254="Height SLI",_xlfn.XLOOKUP(C254,'calc_s90&amp;138'!$C$15:$C$1000,'calc_s90&amp;138'!$T$15:$T$1000,"",0), I254="Height FIX",_xlfn.XLOOKUP(C254,'calc_s90&amp;138'!$C$15:$C$1000,'calc_s90&amp;138'!$V$15:$V$1000,"",0), I254="Width", _xlfn.XLOOKUP(C254,'calc_s90&amp;138'!$C$15:$C$1000,'calc_s90&amp;138'!$X$15:$X$1000,"",0)),"")</f>
        <v/>
      </c>
      <c r="I254" s="16" t="str">
        <f t="shared" si="5"/>
        <v/>
      </c>
    </row>
    <row r="255" spans="1:9" ht="13.5" customHeight="1" x14ac:dyDescent="0.25">
      <c r="A255" s="41" t="str">
        <f>_xlfn.XLOOKUP(G255,dd_color!$A$2:$A$8,dd_color!$B$2:$B$8,"",0)</f>
        <v/>
      </c>
      <c r="B255" s="41" t="str">
        <f>_xlfn.XLOOKUP(_xlfn.XLOOKUP(C255,'Project Details'!$C$17:$C$10003,'Project Details'!$E$17:$E$10003, "",0),dd_design_raw!$A$2:$A$9997,dd_design_raw!$C$2:$C$9997,"",0)</f>
        <v/>
      </c>
      <c r="C255" s="16"/>
      <c r="D255" s="16" t="str" cm="1">
        <f t="array" ref="D255">IF(C255&lt;&gt;"", _xlfn.IFS(I255="Height SLI",_xlfn.XLOOKUP(C255,'calc_s90&amp;138'!$C$15:$C$1000,'calc_s90&amp;138'!$U$15:$U$1000,"",0), I255="Height FIX",_xlfn.XLOOKUP(C255,'calc_s90&amp;138'!$C$15:$C$1000,'calc_s90&amp;138'!$W$15:$W$1000,"",0), I255="Width", _xlfn.XLOOKUP(C255,'calc_s90&amp;138'!$C$15:$C$1000,'calc_s90&amp;138'!$Y$15:$Y$1000,"",0)),"")</f>
        <v/>
      </c>
      <c r="E255" s="16" t="str" cm="1">
        <f t="array" ref="E255">IF(C255&lt;&gt;"", _xlfn.XLOOKUP(1,((SKUs!$A$2:$A$10001=cl_unmerged!B255) * (ISNUMBER(SEARCH("Sash",SKUs!$J$2:$J$10001)))), SKUs!$J$2:$J$10001,""),"") &amp; _xlfn.IFS(I255="Height", ", H",I255="Height SLI", ", H SLI", I255="Height FIX", ", H FIX",I255="Width", ", W", I255="", "")</f>
        <v/>
      </c>
      <c r="F255" s="33" t="str" cm="1">
        <f t="array" ref="F255">_xlfn.XLOOKUP(1,((SKUs!$A$2:$A$10001=cl_unmerged!B255) * (ISNUMBER(SEARCH("Sash",SKUs!$J$2:$J$10001)))* (ISNUMBER(SEARCH(A255,SKUs!$C$2:$C$10001)))), SKUs!$C$2:$C$10001,"")</f>
        <v/>
      </c>
      <c r="G255" s="16"/>
      <c r="H255" s="16" t="str" cm="1">
        <f t="array" ref="H255">IF(C255&lt;&gt;"", _xlfn.IFS(I255="Height SLI",_xlfn.XLOOKUP(C255,'calc_s90&amp;138'!$C$15:$C$1000,'calc_s90&amp;138'!$T$15:$T$1000,"",0), I255="Height FIX",_xlfn.XLOOKUP(C255,'calc_s90&amp;138'!$C$15:$C$1000,'calc_s90&amp;138'!$V$15:$V$1000,"",0), I255="Width", _xlfn.XLOOKUP(C255,'calc_s90&amp;138'!$C$15:$C$1000,'calc_s90&amp;138'!$X$15:$X$1000,"",0)),"")</f>
        <v/>
      </c>
      <c r="I255" s="16" t="str">
        <f t="shared" si="5"/>
        <v/>
      </c>
    </row>
    <row r="256" spans="1:9" ht="13.5" customHeight="1" x14ac:dyDescent="0.25">
      <c r="A256" s="41" t="str">
        <f>_xlfn.XLOOKUP(G256,dd_color!$A$2:$A$8,dd_color!$B$2:$B$8,"",0)</f>
        <v/>
      </c>
      <c r="B256" s="41">
        <f>_xlfn.XLOOKUP(_xlfn.XLOOKUP(C256,'Project Details'!$C$17:$C$10003,'Project Details'!$E$17:$E$10003, "",0),dd_design_raw!$A$2:$A$9997,dd_design_raw!$C$2:$C$9997,"",0)</f>
        <v>0</v>
      </c>
      <c r="C256" s="16"/>
      <c r="D256" s="16" t="str" cm="1">
        <f t="array" ref="D256">IF(C256&lt;&gt;"", _xlfn.IFS(I256="Height SLI",_xlfn.XLOOKUP(C256,'calc_s90&amp;138'!$C$15:$C$1000,'calc_s90&amp;138'!$U$15:$U$1000,"",0), I256="Height FIX",_xlfn.XLOOKUP(C256,'calc_s90&amp;138'!$C$15:$C$1000,'calc_s90&amp;138'!$W$15:$W$1000,"",0), I256="Width", _xlfn.XLOOKUP(C256,'calc_s90&amp;138'!$C$15:$C$1000,'calc_s90&amp;138'!$Y$15:$Y$1000,"",0)),"")</f>
        <v/>
      </c>
      <c r="E256" s="16" t="str" cm="1">
        <f t="array" ref="E256">IF(C256&lt;&gt;"", _xlfn.XLOOKUP(1,((SKUs!$A$2:$A$10001=cl_unmerged!B256) * (ISNUMBER(SEARCH("Sash",SKUs!$J$2:$J$10001)))), SKUs!$J$2:$J$10001,""),"") &amp; _xlfn.IFS(I256="Height", ", H",I256="Height SLI", ", H SLI", I256="Height FIX", ", H FIX",I256="Width", ", W", I256="", "")</f>
        <v/>
      </c>
      <c r="F256" s="33" t="str" cm="1">
        <f t="array" ref="F256">_xlfn.XLOOKUP(1,((SKUs!$A$2:$A$10001=cl_unmerged!B256) * (ISNUMBER(SEARCH("Sash",SKUs!$J$2:$J$10001)))* (ISNUMBER(SEARCH(A256,SKUs!$C$2:$C$10001)))), SKUs!$C$2:$C$10001,"")</f>
        <v/>
      </c>
      <c r="G256" s="16"/>
      <c r="H256" s="16" t="str" cm="1">
        <f t="array" ref="H256">IF(C256&lt;&gt;"", _xlfn.IFS(I256="Height SLI",_xlfn.XLOOKUP(C256,'calc_s90&amp;138'!$C$15:$C$1000,'calc_s90&amp;138'!$T$15:$T$1000,"",0), I256="Height FIX",_xlfn.XLOOKUP(C256,'calc_s90&amp;138'!$C$15:$C$1000,'calc_s90&amp;138'!$V$15:$V$1000,"",0), I256="Width", _xlfn.XLOOKUP(C256,'calc_s90&amp;138'!$C$15:$C$1000,'calc_s90&amp;138'!$X$15:$X$1000,"",0)),"")</f>
        <v/>
      </c>
      <c r="I256" s="16" t="str">
        <f t="shared" si="5"/>
        <v/>
      </c>
    </row>
    <row r="257" spans="1:9" ht="13.5" customHeight="1" x14ac:dyDescent="0.25">
      <c r="A257" s="41" t="str">
        <f>_xlfn.XLOOKUP(G257,dd_color!$A$2:$A$8,dd_color!$B$2:$B$8,"",0)</f>
        <v/>
      </c>
      <c r="B257" s="41">
        <f>_xlfn.XLOOKUP(_xlfn.XLOOKUP(C257,'Project Details'!$C$17:$C$10003,'Project Details'!$E$17:$E$10003, "",0),dd_design_raw!$A$2:$A$9997,dd_design_raw!$C$2:$C$9997,"",0)</f>
        <v>0</v>
      </c>
      <c r="C257" s="16"/>
      <c r="D257" s="16" t="str" cm="1">
        <f t="array" ref="D257">IF(C257&lt;&gt;"", _xlfn.IFS(I257="Height SLI",_xlfn.XLOOKUP(C257,'calc_s90&amp;138'!$C$15:$C$1000,'calc_s90&amp;138'!$U$15:$U$1000,"",0), I257="Height FIX",_xlfn.XLOOKUP(C257,'calc_s90&amp;138'!$C$15:$C$1000,'calc_s90&amp;138'!$W$15:$W$1000,"",0), I257="Width", _xlfn.XLOOKUP(C257,'calc_s90&amp;138'!$C$15:$C$1000,'calc_s90&amp;138'!$Y$15:$Y$1000,"",0)),"")</f>
        <v/>
      </c>
      <c r="E257" s="16" t="str" cm="1">
        <f t="array" ref="E257">IF(C257&lt;&gt;"", _xlfn.XLOOKUP(1,((SKUs!$A$2:$A$10001=cl_unmerged!B257) * (ISNUMBER(SEARCH("Sash",SKUs!$J$2:$J$10001)))), SKUs!$J$2:$J$10001,""),"") &amp; _xlfn.IFS(I257="Height", ", H",I257="Height SLI", ", H SLI", I257="Height FIX", ", H FIX",I257="Width", ", W", I257="", "")</f>
        <v/>
      </c>
      <c r="F257" s="33" t="str" cm="1">
        <f t="array" ref="F257">_xlfn.XLOOKUP(1,((SKUs!$A$2:$A$10001=cl_unmerged!B257) * (ISNUMBER(SEARCH("Sash",SKUs!$J$2:$J$10001)))* (ISNUMBER(SEARCH(A257,SKUs!$C$2:$C$10001)))), SKUs!$C$2:$C$10001,"")</f>
        <v/>
      </c>
      <c r="G257" s="16"/>
      <c r="H257" s="16" t="str" cm="1">
        <f t="array" ref="H257">IF(C257&lt;&gt;"", _xlfn.IFS(I257="Height SLI",_xlfn.XLOOKUP(C257,'calc_s90&amp;138'!$C$15:$C$1000,'calc_s90&amp;138'!$T$15:$T$1000,"",0), I257="Height FIX",_xlfn.XLOOKUP(C257,'calc_s90&amp;138'!$C$15:$C$1000,'calc_s90&amp;138'!$V$15:$V$1000,"",0), I257="Width", _xlfn.XLOOKUP(C257,'calc_s90&amp;138'!$C$15:$C$1000,'calc_s90&amp;138'!$X$15:$X$1000,"",0)),"")</f>
        <v/>
      </c>
      <c r="I257" s="16" t="str">
        <f t="shared" si="5"/>
        <v/>
      </c>
    </row>
    <row r="258" spans="1:9" ht="13.5" customHeight="1" x14ac:dyDescent="0.25">
      <c r="A258" s="41" t="str">
        <f>_xlfn.XLOOKUP(G258,dd_color!$A$2:$A$8,dd_color!$B$2:$B$8,"",0)</f>
        <v/>
      </c>
      <c r="B258" s="41" t="str">
        <f>_xlfn.XLOOKUP(_xlfn.XLOOKUP(C258,'Project Details'!$C$17:$C$10003,'Project Details'!$E$17:$E$10003, "",0),dd_design_raw!$A$2:$A$9997,dd_design_raw!$C$2:$C$9997,"",0)</f>
        <v/>
      </c>
      <c r="C258" s="16"/>
      <c r="D258" s="16" t="str" cm="1">
        <f t="array" ref="D258">IF(C258&lt;&gt;"", _xlfn.IFS(I258="Height SLI",_xlfn.XLOOKUP(C258,'calc_s90&amp;138'!$C$15:$C$1000,'calc_s90&amp;138'!$U$15:$U$1000,"",0), I258="Height FIX",_xlfn.XLOOKUP(C258,'calc_s90&amp;138'!$C$15:$C$1000,'calc_s90&amp;138'!$W$15:$W$1000,"",0), I258="Width", _xlfn.XLOOKUP(C258,'calc_s90&amp;138'!$C$15:$C$1000,'calc_s90&amp;138'!$Y$15:$Y$1000,"",0)),"")</f>
        <v/>
      </c>
      <c r="E258" s="16" t="str" cm="1">
        <f t="array" ref="E258">IF(C258&lt;&gt;"", _xlfn.XLOOKUP(1,((SKUs!$A$2:$A$10001=cl_unmerged!B258) * (ISNUMBER(SEARCH("Sash",SKUs!$J$2:$J$10001)))), SKUs!$J$2:$J$10001,""),"") &amp; _xlfn.IFS(I258="Height", ", H",I258="Height SLI", ", H SLI", I258="Height FIX", ", H FIX",I258="Width", ", W", I258="", "")</f>
        <v/>
      </c>
      <c r="F258" s="33" t="str" cm="1">
        <f t="array" ref="F258">_xlfn.XLOOKUP(1,((SKUs!$A$2:$A$10001=cl_unmerged!B258) * (ISNUMBER(SEARCH("Sash",SKUs!$J$2:$J$10001)))* (ISNUMBER(SEARCH(A258,SKUs!$C$2:$C$10001)))), SKUs!$C$2:$C$10001,"")</f>
        <v/>
      </c>
      <c r="G258" s="16"/>
      <c r="H258" s="16" t="str" cm="1">
        <f t="array" ref="H258">IF(C258&lt;&gt;"", _xlfn.IFS(I258="Height SLI",_xlfn.XLOOKUP(C258,'calc_s90&amp;138'!$C$15:$C$1000,'calc_s90&amp;138'!$T$15:$T$1000,"",0), I258="Height FIX",_xlfn.XLOOKUP(C258,'calc_s90&amp;138'!$C$15:$C$1000,'calc_s90&amp;138'!$V$15:$V$1000,"",0), I258="Width", _xlfn.XLOOKUP(C258,'calc_s90&amp;138'!$C$15:$C$1000,'calc_s90&amp;138'!$X$15:$X$1000,"",0)),"")</f>
        <v/>
      </c>
      <c r="I258" s="16" t="str">
        <f t="shared" si="5"/>
        <v/>
      </c>
    </row>
    <row r="259" spans="1:9" ht="13.5" customHeight="1" x14ac:dyDescent="0.25">
      <c r="A259" s="41" t="str">
        <f>_xlfn.XLOOKUP(G259,dd_color!$A$2:$A$8,dd_color!$B$2:$B$8,"",0)</f>
        <v/>
      </c>
      <c r="B259" s="41" t="str">
        <f>_xlfn.XLOOKUP(_xlfn.XLOOKUP(C259,'Project Details'!$C$17:$C$10003,'Project Details'!$E$17:$E$10003, "",0),dd_design_raw!$A$2:$A$9997,dd_design_raw!$C$2:$C$9997,"",0)</f>
        <v/>
      </c>
      <c r="C259" s="16"/>
      <c r="D259" s="16" t="str" cm="1">
        <f t="array" ref="D259">IF(C259&lt;&gt;"", _xlfn.IFS(I259="Height SLI",_xlfn.XLOOKUP(C259,'calc_s90&amp;138'!$C$15:$C$1000,'calc_s90&amp;138'!$U$15:$U$1000,"",0), I259="Height FIX",_xlfn.XLOOKUP(C259,'calc_s90&amp;138'!$C$15:$C$1000,'calc_s90&amp;138'!$W$15:$W$1000,"",0), I259="Width", _xlfn.XLOOKUP(C259,'calc_s90&amp;138'!$C$15:$C$1000,'calc_s90&amp;138'!$Y$15:$Y$1000,"",0)),"")</f>
        <v/>
      </c>
      <c r="E259" s="16" t="str" cm="1">
        <f t="array" ref="E259">IF(C259&lt;&gt;"", _xlfn.XLOOKUP(1,((SKUs!$A$2:$A$10001=cl_unmerged!B259) * (ISNUMBER(SEARCH("Sash",SKUs!$J$2:$J$10001)))), SKUs!$J$2:$J$10001,""),"") &amp; _xlfn.IFS(I259="Height", ", H",I259="Height SLI", ", H SLI", I259="Height FIX", ", H FIX",I259="Width", ", W", I259="", "")</f>
        <v/>
      </c>
      <c r="F259" s="33" t="str" cm="1">
        <f t="array" ref="F259">_xlfn.XLOOKUP(1,((SKUs!$A$2:$A$10001=cl_unmerged!B259) * (ISNUMBER(SEARCH("Sash",SKUs!$J$2:$J$10001)))* (ISNUMBER(SEARCH(A259,SKUs!$C$2:$C$10001)))), SKUs!$C$2:$C$10001,"")</f>
        <v/>
      </c>
      <c r="G259" s="16"/>
      <c r="H259" s="16" t="str" cm="1">
        <f t="array" ref="H259">IF(C259&lt;&gt;"", _xlfn.IFS(I259="Height SLI",_xlfn.XLOOKUP(C259,'calc_s90&amp;138'!$C$15:$C$1000,'calc_s90&amp;138'!$T$15:$T$1000,"",0), I259="Height FIX",_xlfn.XLOOKUP(C259,'calc_s90&amp;138'!$C$15:$C$1000,'calc_s90&amp;138'!$V$15:$V$1000,"",0), I259="Width", _xlfn.XLOOKUP(C259,'calc_s90&amp;138'!$C$15:$C$1000,'calc_s90&amp;138'!$X$15:$X$1000,"",0)),"")</f>
        <v/>
      </c>
      <c r="I259" s="16" t="str">
        <f t="shared" si="5"/>
        <v/>
      </c>
    </row>
    <row r="260" spans="1:9" ht="13.5" customHeight="1" x14ac:dyDescent="0.25">
      <c r="A260" s="41" t="str">
        <f>_xlfn.XLOOKUP(G260,dd_color!$A$2:$A$8,dd_color!$B$2:$B$8,"",0)</f>
        <v/>
      </c>
      <c r="B260" s="41" t="str">
        <f>_xlfn.XLOOKUP(_xlfn.XLOOKUP(C260,'Project Details'!$C$17:$C$10003,'Project Details'!$E$17:$E$10003, "",0),dd_design_raw!$A$2:$A$9997,dd_design_raw!$C$2:$C$9997,"",0)</f>
        <v/>
      </c>
      <c r="C260" s="16"/>
      <c r="D260" s="16" t="str" cm="1">
        <f t="array" ref="D260">IF(C260&lt;&gt;"", _xlfn.IFS(I260="Height SLI",_xlfn.XLOOKUP(C260,'calc_s90&amp;138'!$C$15:$C$1000,'calc_s90&amp;138'!$U$15:$U$1000,"",0), I260="Height FIX",_xlfn.XLOOKUP(C260,'calc_s90&amp;138'!$C$15:$C$1000,'calc_s90&amp;138'!$W$15:$W$1000,"",0), I260="Width", _xlfn.XLOOKUP(C260,'calc_s90&amp;138'!$C$15:$C$1000,'calc_s90&amp;138'!$Y$15:$Y$1000,"",0)),"")</f>
        <v/>
      </c>
      <c r="E260" s="16" t="str" cm="1">
        <f t="array" ref="E260">IF(C260&lt;&gt;"", _xlfn.XLOOKUP(1,((SKUs!$A$2:$A$10001=cl_unmerged!B260) * (ISNUMBER(SEARCH("Sash",SKUs!$J$2:$J$10001)))), SKUs!$J$2:$J$10001,""),"") &amp; _xlfn.IFS(I260="Height", ", H",I260="Height SLI", ", H SLI", I260="Height FIX", ", H FIX",I260="Width", ", W", I260="", "")</f>
        <v/>
      </c>
      <c r="F260" s="33" t="str" cm="1">
        <f t="array" ref="F260">_xlfn.XLOOKUP(1,((SKUs!$A$2:$A$10001=cl_unmerged!B260) * (ISNUMBER(SEARCH("Sash",SKUs!$J$2:$J$10001)))* (ISNUMBER(SEARCH(A260,SKUs!$C$2:$C$10001)))), SKUs!$C$2:$C$10001,"")</f>
        <v/>
      </c>
      <c r="G260" s="16"/>
      <c r="H260" s="16" t="str" cm="1">
        <f t="array" ref="H260">IF(C260&lt;&gt;"", _xlfn.IFS(I260="Height SLI",_xlfn.XLOOKUP(C260,'calc_s90&amp;138'!$C$15:$C$1000,'calc_s90&amp;138'!$T$15:$T$1000,"",0), I260="Height FIX",_xlfn.XLOOKUP(C260,'calc_s90&amp;138'!$C$15:$C$1000,'calc_s90&amp;138'!$V$15:$V$1000,"",0), I260="Width", _xlfn.XLOOKUP(C260,'calc_s90&amp;138'!$C$15:$C$1000,'calc_s90&amp;138'!$X$15:$X$1000,"",0)),"")</f>
        <v/>
      </c>
      <c r="I260" s="16" t="str">
        <f t="shared" si="5"/>
        <v/>
      </c>
    </row>
    <row r="261" spans="1:9" ht="13.5" customHeight="1" x14ac:dyDescent="0.25">
      <c r="A261" s="41" t="str">
        <f>_xlfn.XLOOKUP(G261,dd_color!$A$2:$A$8,dd_color!$B$2:$B$8,"",0)</f>
        <v/>
      </c>
      <c r="B261" s="41" t="str">
        <f>_xlfn.XLOOKUP(_xlfn.XLOOKUP(C261,'Project Details'!$C$17:$C$10003,'Project Details'!$E$17:$E$10003, "",0),dd_design_raw!$A$2:$A$9997,dd_design_raw!$C$2:$C$9997,"",0)</f>
        <v/>
      </c>
      <c r="C261" s="16"/>
      <c r="D261" s="16" t="str" cm="1">
        <f t="array" ref="D261">IF(C261&lt;&gt;"", _xlfn.IFS(I261="Height SLI",_xlfn.XLOOKUP(C261,'calc_s90&amp;138'!$C$15:$C$1000,'calc_s90&amp;138'!$U$15:$U$1000,"",0), I261="Height FIX",_xlfn.XLOOKUP(C261,'calc_s90&amp;138'!$C$15:$C$1000,'calc_s90&amp;138'!$W$15:$W$1000,"",0), I261="Width", _xlfn.XLOOKUP(C261,'calc_s90&amp;138'!$C$15:$C$1000,'calc_s90&amp;138'!$Y$15:$Y$1000,"",0)),"")</f>
        <v/>
      </c>
      <c r="E261" s="16" t="str" cm="1">
        <f t="array" ref="E261">IF(C261&lt;&gt;"", _xlfn.XLOOKUP(1,((SKUs!$A$2:$A$10001=cl_unmerged!B261) * (ISNUMBER(SEARCH("Sash",SKUs!$J$2:$J$10001)))), SKUs!$J$2:$J$10001,""),"") &amp; _xlfn.IFS(I261="Height", ", H",I261="Height SLI", ", H SLI", I261="Height FIX", ", H FIX",I261="Width", ", W", I261="", "")</f>
        <v/>
      </c>
      <c r="F261" s="33" t="str" cm="1">
        <f t="array" ref="F261">_xlfn.XLOOKUP(1,((SKUs!$A$2:$A$10001=cl_unmerged!B261) * (ISNUMBER(SEARCH("Sash",SKUs!$J$2:$J$10001)))* (ISNUMBER(SEARCH(A261,SKUs!$C$2:$C$10001)))), SKUs!$C$2:$C$10001,"")</f>
        <v/>
      </c>
      <c r="G261" s="16"/>
      <c r="H261" s="16" t="str" cm="1">
        <f t="array" ref="H261">IF(C261&lt;&gt;"", _xlfn.IFS(I261="Height SLI",_xlfn.XLOOKUP(C261,'calc_s90&amp;138'!$C$15:$C$1000,'calc_s90&amp;138'!$T$15:$T$1000,"",0), I261="Height FIX",_xlfn.XLOOKUP(C261,'calc_s90&amp;138'!$C$15:$C$1000,'calc_s90&amp;138'!$V$15:$V$1000,"",0), I261="Width", _xlfn.XLOOKUP(C261,'calc_s90&amp;138'!$C$15:$C$1000,'calc_s90&amp;138'!$X$15:$X$1000,"",0)),"")</f>
        <v/>
      </c>
      <c r="I261" s="16" t="str">
        <f t="shared" si="5"/>
        <v/>
      </c>
    </row>
    <row r="262" spans="1:9" ht="13.5" customHeight="1" x14ac:dyDescent="0.25">
      <c r="A262" s="41" t="str">
        <f>_xlfn.XLOOKUP(G262,dd_color!$A$2:$A$8,dd_color!$B$2:$B$8,"",0)</f>
        <v/>
      </c>
      <c r="B262" s="41">
        <f>_xlfn.XLOOKUP(_xlfn.XLOOKUP(C262,'Project Details'!$C$17:$C$10003,'Project Details'!$E$17:$E$10003, "",0),dd_design_raw!$A$2:$A$9997,dd_design_raw!$C$2:$C$9997,"",0)</f>
        <v>0</v>
      </c>
      <c r="C262" s="16"/>
      <c r="D262" s="16" t="str" cm="1">
        <f t="array" ref="D262">IF(C262&lt;&gt;"", _xlfn.IFS(I262="Height SLI",_xlfn.XLOOKUP(C262,'calc_s90&amp;138'!$C$15:$C$1000,'calc_s90&amp;138'!$U$15:$U$1000,"",0), I262="Height FIX",_xlfn.XLOOKUP(C262,'calc_s90&amp;138'!$C$15:$C$1000,'calc_s90&amp;138'!$W$15:$W$1000,"",0), I262="Width", _xlfn.XLOOKUP(C262,'calc_s90&amp;138'!$C$15:$C$1000,'calc_s90&amp;138'!$Y$15:$Y$1000,"",0)),"")</f>
        <v/>
      </c>
      <c r="E262" s="16" t="str" cm="1">
        <f t="array" ref="E262">IF(C262&lt;&gt;"", _xlfn.XLOOKUP(1,((SKUs!$A$2:$A$10001=cl_unmerged!B262) * (ISNUMBER(SEARCH("Sash",SKUs!$J$2:$J$10001)))), SKUs!$J$2:$J$10001,""),"") &amp; _xlfn.IFS(I262="Height", ", H",I262="Height SLI", ", H SLI", I262="Height FIX", ", H FIX",I262="Width", ", W", I262="", "")</f>
        <v/>
      </c>
      <c r="F262" s="33" t="str" cm="1">
        <f t="array" ref="F262">_xlfn.XLOOKUP(1,((SKUs!$A$2:$A$10001=cl_unmerged!B262) * (ISNUMBER(SEARCH("Sash",SKUs!$J$2:$J$10001)))* (ISNUMBER(SEARCH(A262,SKUs!$C$2:$C$10001)))), SKUs!$C$2:$C$10001,"")</f>
        <v/>
      </c>
      <c r="G262" s="16"/>
      <c r="H262" s="16" t="str" cm="1">
        <f t="array" ref="H262">IF(C262&lt;&gt;"", _xlfn.IFS(I262="Height SLI",_xlfn.XLOOKUP(C262,'calc_s90&amp;138'!$C$15:$C$1000,'calc_s90&amp;138'!$T$15:$T$1000,"",0), I262="Height FIX",_xlfn.XLOOKUP(C262,'calc_s90&amp;138'!$C$15:$C$1000,'calc_s90&amp;138'!$V$15:$V$1000,"",0), I262="Width", _xlfn.XLOOKUP(C262,'calc_s90&amp;138'!$C$15:$C$1000,'calc_s90&amp;138'!$X$15:$X$1000,"",0)),"")</f>
        <v/>
      </c>
      <c r="I262" s="16" t="str">
        <f t="shared" si="5"/>
        <v/>
      </c>
    </row>
    <row r="263" spans="1:9" ht="13.5" customHeight="1" x14ac:dyDescent="0.25">
      <c r="A263" s="41" t="str">
        <f>_xlfn.XLOOKUP(G263,dd_color!$A$2:$A$8,dd_color!$B$2:$B$8,"",0)</f>
        <v/>
      </c>
      <c r="B263" s="41" t="str">
        <f>_xlfn.XLOOKUP(_xlfn.XLOOKUP(C263,'Project Details'!$C$17:$C$10003,'Project Details'!$E$17:$E$10003, "",0),dd_design_raw!$A$2:$A$9997,dd_design_raw!$C$2:$C$9997,"",0)</f>
        <v/>
      </c>
      <c r="C263" s="16"/>
      <c r="D263" s="16" t="str" cm="1">
        <f t="array" ref="D263">IF(C263&lt;&gt;"", _xlfn.IFS(I263="Height SLI",_xlfn.XLOOKUP(C263,'calc_s90&amp;138'!$C$15:$C$1000,'calc_s90&amp;138'!$U$15:$U$1000,"",0), I263="Height FIX",_xlfn.XLOOKUP(C263,'calc_s90&amp;138'!$C$15:$C$1000,'calc_s90&amp;138'!$W$15:$W$1000,"",0), I263="Width", _xlfn.XLOOKUP(C263,'calc_s90&amp;138'!$C$15:$C$1000,'calc_s90&amp;138'!$Y$15:$Y$1000,"",0)),"")</f>
        <v/>
      </c>
      <c r="E263" s="16" t="str" cm="1">
        <f t="array" ref="E263">IF(C263&lt;&gt;"", _xlfn.XLOOKUP(1,((SKUs!$A$2:$A$10001=cl_unmerged!B263) * (ISNUMBER(SEARCH("Sash",SKUs!$J$2:$J$10001)))), SKUs!$J$2:$J$10001,""),"") &amp; _xlfn.IFS(I263="Height", ", H",I263="Height SLI", ", H SLI", I263="Height FIX", ", H FIX",I263="Width", ", W", I263="", "")</f>
        <v/>
      </c>
      <c r="F263" s="33" t="str" cm="1">
        <f t="array" ref="F263">_xlfn.XLOOKUP(1,((SKUs!$A$2:$A$10001=cl_unmerged!B263) * (ISNUMBER(SEARCH("Sash",SKUs!$J$2:$J$10001)))* (ISNUMBER(SEARCH(A263,SKUs!$C$2:$C$10001)))), SKUs!$C$2:$C$10001,"")</f>
        <v/>
      </c>
      <c r="G263" s="16"/>
      <c r="H263" s="16" t="str" cm="1">
        <f t="array" ref="H263">IF(C263&lt;&gt;"", _xlfn.IFS(I263="Height SLI",_xlfn.XLOOKUP(C263,'calc_s90&amp;138'!$C$15:$C$1000,'calc_s90&amp;138'!$T$15:$T$1000,"",0), I263="Height FIX",_xlfn.XLOOKUP(C263,'calc_s90&amp;138'!$C$15:$C$1000,'calc_s90&amp;138'!$V$15:$V$1000,"",0), I263="Width", _xlfn.XLOOKUP(C263,'calc_s90&amp;138'!$C$15:$C$1000,'calc_s90&amp;138'!$X$15:$X$1000,"",0)),"")</f>
        <v/>
      </c>
      <c r="I263" s="16" t="str">
        <f t="shared" si="5"/>
        <v/>
      </c>
    </row>
    <row r="264" spans="1:9" ht="13.5" customHeight="1" x14ac:dyDescent="0.25">
      <c r="A264" s="41" t="str">
        <f>_xlfn.XLOOKUP(G264,dd_color!$A$2:$A$8,dd_color!$B$2:$B$8,"",0)</f>
        <v/>
      </c>
      <c r="B264" s="41" t="str">
        <f>_xlfn.XLOOKUP(_xlfn.XLOOKUP(C264,'Project Details'!$C$17:$C$10003,'Project Details'!$E$17:$E$10003, "",0),dd_design_raw!$A$2:$A$9997,dd_design_raw!$C$2:$C$9997,"",0)</f>
        <v/>
      </c>
      <c r="C264" s="16"/>
      <c r="D264" s="16" t="str" cm="1">
        <f t="array" ref="D264">IF(C264&lt;&gt;"", _xlfn.IFS(I264="Height SLI",_xlfn.XLOOKUP(C264,'calc_s90&amp;138'!$C$15:$C$1000,'calc_s90&amp;138'!$U$15:$U$1000,"",0), I264="Height FIX",_xlfn.XLOOKUP(C264,'calc_s90&amp;138'!$C$15:$C$1000,'calc_s90&amp;138'!$W$15:$W$1000,"",0), I264="Width", _xlfn.XLOOKUP(C264,'calc_s90&amp;138'!$C$15:$C$1000,'calc_s90&amp;138'!$Y$15:$Y$1000,"",0)),"")</f>
        <v/>
      </c>
      <c r="E264" s="16" t="str" cm="1">
        <f t="array" ref="E264">IF(C264&lt;&gt;"", _xlfn.XLOOKUP(1,((SKUs!$A$2:$A$10001=cl_unmerged!B264) * (ISNUMBER(SEARCH("Sash",SKUs!$J$2:$J$10001)))), SKUs!$J$2:$J$10001,""),"") &amp; _xlfn.IFS(I264="Height", ", H",I264="Height SLI", ", H SLI", I264="Height FIX", ", H FIX",I264="Width", ", W", I264="", "")</f>
        <v/>
      </c>
      <c r="F264" s="33" t="str" cm="1">
        <f t="array" ref="F264">_xlfn.XLOOKUP(1,((SKUs!$A$2:$A$10001=cl_unmerged!B264) * (ISNUMBER(SEARCH("Sash",SKUs!$J$2:$J$10001)))* (ISNUMBER(SEARCH(A264,SKUs!$C$2:$C$10001)))), SKUs!$C$2:$C$10001,"")</f>
        <v/>
      </c>
      <c r="G264" s="16"/>
      <c r="H264" s="16" t="str" cm="1">
        <f t="array" ref="H264">IF(C264&lt;&gt;"", _xlfn.IFS(I264="Height SLI",_xlfn.XLOOKUP(C264,'calc_s90&amp;138'!$C$15:$C$1000,'calc_s90&amp;138'!$T$15:$T$1000,"",0), I264="Height FIX",_xlfn.XLOOKUP(C264,'calc_s90&amp;138'!$C$15:$C$1000,'calc_s90&amp;138'!$V$15:$V$1000,"",0), I264="Width", _xlfn.XLOOKUP(C264,'calc_s90&amp;138'!$C$15:$C$1000,'calc_s90&amp;138'!$X$15:$X$1000,"",0)),"")</f>
        <v/>
      </c>
      <c r="I264" s="16" t="str">
        <f t="shared" si="5"/>
        <v/>
      </c>
    </row>
    <row r="265" spans="1:9" ht="13.5" customHeight="1" x14ac:dyDescent="0.25">
      <c r="A265" s="41" t="str">
        <f>_xlfn.XLOOKUP(G265,dd_color!$A$2:$A$8,dd_color!$B$2:$B$8,"",0)</f>
        <v/>
      </c>
      <c r="B265" s="41" t="str">
        <f>_xlfn.XLOOKUP(_xlfn.XLOOKUP(C265,'Project Details'!$C$17:$C$10003,'Project Details'!$E$17:$E$10003, "",0),dd_design_raw!$A$2:$A$9997,dd_design_raw!$C$2:$C$9997,"",0)</f>
        <v/>
      </c>
      <c r="C265" s="16"/>
      <c r="D265" s="16" t="str" cm="1">
        <f t="array" ref="D265">IF(C265&lt;&gt;"", _xlfn.IFS(I265="Height SLI",_xlfn.XLOOKUP(C265,'calc_s90&amp;138'!$C$15:$C$1000,'calc_s90&amp;138'!$U$15:$U$1000,"",0), I265="Height FIX",_xlfn.XLOOKUP(C265,'calc_s90&amp;138'!$C$15:$C$1000,'calc_s90&amp;138'!$W$15:$W$1000,"",0), I265="Width", _xlfn.XLOOKUP(C265,'calc_s90&amp;138'!$C$15:$C$1000,'calc_s90&amp;138'!$Y$15:$Y$1000,"",0)),"")</f>
        <v/>
      </c>
      <c r="E265" s="16" t="str" cm="1">
        <f t="array" ref="E265">IF(C265&lt;&gt;"", _xlfn.XLOOKUP(1,((SKUs!$A$2:$A$10001=cl_unmerged!B265) * (ISNUMBER(SEARCH("Sash",SKUs!$J$2:$J$10001)))), SKUs!$J$2:$J$10001,""),"") &amp; _xlfn.IFS(I265="Height", ", H",I265="Height SLI", ", H SLI", I265="Height FIX", ", H FIX",I265="Width", ", W", I265="", "")</f>
        <v/>
      </c>
      <c r="F265" s="33" t="str" cm="1">
        <f t="array" ref="F265">_xlfn.XLOOKUP(1,((SKUs!$A$2:$A$10001=cl_unmerged!B265) * (ISNUMBER(SEARCH("Sash",SKUs!$J$2:$J$10001)))* (ISNUMBER(SEARCH(A265,SKUs!$C$2:$C$10001)))), SKUs!$C$2:$C$10001,"")</f>
        <v/>
      </c>
      <c r="G265" s="16"/>
      <c r="H265" s="16" t="str" cm="1">
        <f t="array" ref="H265">IF(C265&lt;&gt;"", _xlfn.IFS(I265="Height SLI",_xlfn.XLOOKUP(C265,'calc_s90&amp;138'!$C$15:$C$1000,'calc_s90&amp;138'!$T$15:$T$1000,"",0), I265="Height FIX",_xlfn.XLOOKUP(C265,'calc_s90&amp;138'!$C$15:$C$1000,'calc_s90&amp;138'!$V$15:$V$1000,"",0), I265="Width", _xlfn.XLOOKUP(C265,'calc_s90&amp;138'!$C$15:$C$1000,'calc_s90&amp;138'!$X$15:$X$1000,"",0)),"")</f>
        <v/>
      </c>
      <c r="I265" s="16" t="str">
        <f t="shared" si="5"/>
        <v/>
      </c>
    </row>
    <row r="266" spans="1:9" ht="13.5" customHeight="1" x14ac:dyDescent="0.25">
      <c r="A266" s="41" t="str">
        <f>_xlfn.XLOOKUP(G266,dd_color!$A$2:$A$8,dd_color!$B$2:$B$8,"",0)</f>
        <v/>
      </c>
      <c r="B266" s="41">
        <f>_xlfn.XLOOKUP(_xlfn.XLOOKUP(C266,'Project Details'!$C$17:$C$10003,'Project Details'!$E$17:$E$10003, "",0),dd_design_raw!$A$2:$A$9997,dd_design_raw!$C$2:$C$9997,"",0)</f>
        <v>0</v>
      </c>
      <c r="C266" s="16"/>
      <c r="D266" s="16" t="str" cm="1">
        <f t="array" ref="D266">IF(C266&lt;&gt;"", _xlfn.IFS(I266="Height SLI",_xlfn.XLOOKUP(C266,'calc_s90&amp;138'!$C$15:$C$1000,'calc_s90&amp;138'!$U$15:$U$1000,"",0), I266="Height FIX",_xlfn.XLOOKUP(C266,'calc_s90&amp;138'!$C$15:$C$1000,'calc_s90&amp;138'!$W$15:$W$1000,"",0), I266="Width", _xlfn.XLOOKUP(C266,'calc_s90&amp;138'!$C$15:$C$1000,'calc_s90&amp;138'!$Y$15:$Y$1000,"",0)),"")</f>
        <v/>
      </c>
      <c r="E266" s="16" t="str" cm="1">
        <f t="array" ref="E266">IF(C266&lt;&gt;"", _xlfn.XLOOKUP(1,((SKUs!$A$2:$A$10001=cl_unmerged!B266) * (ISNUMBER(SEARCH("Sash",SKUs!$J$2:$J$10001)))), SKUs!$J$2:$J$10001,""),"") &amp; _xlfn.IFS(I266="Height", ", H",I266="Height SLI", ", H SLI", I266="Height FIX", ", H FIX",I266="Width", ", W", I266="", "")</f>
        <v/>
      </c>
      <c r="F266" s="33" t="str" cm="1">
        <f t="array" ref="F266">_xlfn.XLOOKUP(1,((SKUs!$A$2:$A$10001=cl_unmerged!B266) * (ISNUMBER(SEARCH("Sash",SKUs!$J$2:$J$10001)))* (ISNUMBER(SEARCH(A266,SKUs!$C$2:$C$10001)))), SKUs!$C$2:$C$10001,"")</f>
        <v/>
      </c>
      <c r="G266" s="16"/>
      <c r="H266" s="16" t="str" cm="1">
        <f t="array" ref="H266">IF(C266&lt;&gt;"", _xlfn.IFS(I266="Height SLI",_xlfn.XLOOKUP(C266,'calc_s90&amp;138'!$C$15:$C$1000,'calc_s90&amp;138'!$T$15:$T$1000,"",0), I266="Height FIX",_xlfn.XLOOKUP(C266,'calc_s90&amp;138'!$C$15:$C$1000,'calc_s90&amp;138'!$V$15:$V$1000,"",0), I266="Width", _xlfn.XLOOKUP(C266,'calc_s90&amp;138'!$C$15:$C$1000,'calc_s90&amp;138'!$X$15:$X$1000,"",0)),"")</f>
        <v/>
      </c>
      <c r="I266" s="16" t="str">
        <f t="shared" si="5"/>
        <v/>
      </c>
    </row>
    <row r="267" spans="1:9" ht="13.5" customHeight="1" x14ac:dyDescent="0.25">
      <c r="A267" s="41" t="str">
        <f>_xlfn.XLOOKUP(G267,dd_color!$A$2:$A$8,dd_color!$B$2:$B$8,"",0)</f>
        <v/>
      </c>
      <c r="B267" s="41">
        <f>_xlfn.XLOOKUP(_xlfn.XLOOKUP(C267,'Project Details'!$C$17:$C$10003,'Project Details'!$E$17:$E$10003, "",0),dd_design_raw!$A$2:$A$9997,dd_design_raw!$C$2:$C$9997,"",0)</f>
        <v>0</v>
      </c>
      <c r="C267" s="16"/>
      <c r="D267" s="16" t="str" cm="1">
        <f t="array" ref="D267">IF(C267&lt;&gt;"", _xlfn.IFS(I267="Height SLI",_xlfn.XLOOKUP(C267,'calc_s90&amp;138'!$C$15:$C$1000,'calc_s90&amp;138'!$U$15:$U$1000,"",0), I267="Height FIX",_xlfn.XLOOKUP(C267,'calc_s90&amp;138'!$C$15:$C$1000,'calc_s90&amp;138'!$W$15:$W$1000,"",0), I267="Width", _xlfn.XLOOKUP(C267,'calc_s90&amp;138'!$C$15:$C$1000,'calc_s90&amp;138'!$Y$15:$Y$1000,"",0)),"")</f>
        <v/>
      </c>
      <c r="E267" s="16" t="str" cm="1">
        <f t="array" ref="E267">IF(C267&lt;&gt;"", _xlfn.XLOOKUP(1,((SKUs!$A$2:$A$10001=cl_unmerged!B267) * (ISNUMBER(SEARCH("Sash",SKUs!$J$2:$J$10001)))), SKUs!$J$2:$J$10001,""),"") &amp; _xlfn.IFS(I267="Height", ", H",I267="Height SLI", ", H SLI", I267="Height FIX", ", H FIX",I267="Width", ", W", I267="", "")</f>
        <v/>
      </c>
      <c r="F267" s="33" t="str" cm="1">
        <f t="array" ref="F267">_xlfn.XLOOKUP(1,((SKUs!$A$2:$A$10001=cl_unmerged!B267) * (ISNUMBER(SEARCH("Sash",SKUs!$J$2:$J$10001)))* (ISNUMBER(SEARCH(A267,SKUs!$C$2:$C$10001)))), SKUs!$C$2:$C$10001,"")</f>
        <v/>
      </c>
      <c r="G267" s="16"/>
      <c r="H267" s="16" t="str" cm="1">
        <f t="array" ref="H267">IF(C267&lt;&gt;"", _xlfn.IFS(I267="Height SLI",_xlfn.XLOOKUP(C267,'calc_s90&amp;138'!$C$15:$C$1000,'calc_s90&amp;138'!$T$15:$T$1000,"",0), I267="Height FIX",_xlfn.XLOOKUP(C267,'calc_s90&amp;138'!$C$15:$C$1000,'calc_s90&amp;138'!$V$15:$V$1000,"",0), I267="Width", _xlfn.XLOOKUP(C267,'calc_s90&amp;138'!$C$15:$C$1000,'calc_s90&amp;138'!$X$15:$X$1000,"",0)),"")</f>
        <v/>
      </c>
      <c r="I267" s="16" t="str">
        <f t="shared" si="5"/>
        <v/>
      </c>
    </row>
    <row r="268" spans="1:9" ht="13.5" customHeight="1" x14ac:dyDescent="0.25">
      <c r="A268" s="41" t="str">
        <f>_xlfn.XLOOKUP(G268,dd_color!$A$2:$A$8,dd_color!$B$2:$B$8,"",0)</f>
        <v/>
      </c>
      <c r="B268" s="41" t="str">
        <f>_xlfn.XLOOKUP(_xlfn.XLOOKUP(C268,'Project Details'!$C$17:$C$10003,'Project Details'!$E$17:$E$10003, "",0),dd_design_raw!$A$2:$A$9997,dd_design_raw!$C$2:$C$9997,"",0)</f>
        <v/>
      </c>
      <c r="C268" s="16"/>
      <c r="D268" s="16" t="str" cm="1">
        <f t="array" ref="D268">IF(C268&lt;&gt;"", _xlfn.IFS(I268="Height SLI",_xlfn.XLOOKUP(C268,'calc_s90&amp;138'!$C$15:$C$1000,'calc_s90&amp;138'!$U$15:$U$1000,"",0), I268="Height FIX",_xlfn.XLOOKUP(C268,'calc_s90&amp;138'!$C$15:$C$1000,'calc_s90&amp;138'!$W$15:$W$1000,"",0), I268="Width", _xlfn.XLOOKUP(C268,'calc_s90&amp;138'!$C$15:$C$1000,'calc_s90&amp;138'!$Y$15:$Y$1000,"",0)),"")</f>
        <v/>
      </c>
      <c r="E268" s="16" t="str" cm="1">
        <f t="array" ref="E268">IF(C268&lt;&gt;"", _xlfn.XLOOKUP(1,((SKUs!$A$2:$A$10001=cl_unmerged!B268) * (ISNUMBER(SEARCH("Sash",SKUs!$J$2:$J$10001)))), SKUs!$J$2:$J$10001,""),"") &amp; _xlfn.IFS(I268="Height", ", H",I268="Height SLI", ", H SLI", I268="Height FIX", ", H FIX",I268="Width", ", W", I268="", "")</f>
        <v/>
      </c>
      <c r="F268" s="33" t="str" cm="1">
        <f t="array" ref="F268">_xlfn.XLOOKUP(1,((SKUs!$A$2:$A$10001=cl_unmerged!B268) * (ISNUMBER(SEARCH("Sash",SKUs!$J$2:$J$10001)))* (ISNUMBER(SEARCH(A268,SKUs!$C$2:$C$10001)))), SKUs!$C$2:$C$10001,"")</f>
        <v/>
      </c>
      <c r="G268" s="16"/>
      <c r="H268" s="16" t="str" cm="1">
        <f t="array" ref="H268">IF(C268&lt;&gt;"", _xlfn.IFS(I268="Height SLI",_xlfn.XLOOKUP(C268,'calc_s90&amp;138'!$C$15:$C$1000,'calc_s90&amp;138'!$T$15:$T$1000,"",0), I268="Height FIX",_xlfn.XLOOKUP(C268,'calc_s90&amp;138'!$C$15:$C$1000,'calc_s90&amp;138'!$V$15:$V$1000,"",0), I268="Width", _xlfn.XLOOKUP(C268,'calc_s90&amp;138'!$C$15:$C$1000,'calc_s90&amp;138'!$X$15:$X$1000,"",0)),"")</f>
        <v/>
      </c>
      <c r="I268" s="16" t="str">
        <f t="shared" si="5"/>
        <v/>
      </c>
    </row>
    <row r="269" spans="1:9" ht="13.5" customHeight="1" x14ac:dyDescent="0.25">
      <c r="A269" s="41" t="str">
        <f>_xlfn.XLOOKUP(G269,dd_color!$A$2:$A$8,dd_color!$B$2:$B$8,"",0)</f>
        <v/>
      </c>
      <c r="B269" s="41" t="str">
        <f>_xlfn.XLOOKUP(_xlfn.XLOOKUP(C269,'Project Details'!$C$17:$C$10003,'Project Details'!$E$17:$E$10003, "",0),dd_design_raw!$A$2:$A$9997,dd_design_raw!$C$2:$C$9997,"",0)</f>
        <v/>
      </c>
      <c r="C269" s="16"/>
      <c r="D269" s="16" t="str" cm="1">
        <f t="array" ref="D269">IF(C269&lt;&gt;"", _xlfn.IFS(I269="Height SLI",_xlfn.XLOOKUP(C269,'calc_s90&amp;138'!$C$15:$C$1000,'calc_s90&amp;138'!$U$15:$U$1000,"",0), I269="Height FIX",_xlfn.XLOOKUP(C269,'calc_s90&amp;138'!$C$15:$C$1000,'calc_s90&amp;138'!$W$15:$W$1000,"",0), I269="Width", _xlfn.XLOOKUP(C269,'calc_s90&amp;138'!$C$15:$C$1000,'calc_s90&amp;138'!$Y$15:$Y$1000,"",0)),"")</f>
        <v/>
      </c>
      <c r="E269" s="16" t="str" cm="1">
        <f t="array" ref="E269">IF(C269&lt;&gt;"", _xlfn.XLOOKUP(1,((SKUs!$A$2:$A$10001=cl_unmerged!B269) * (ISNUMBER(SEARCH("Sash",SKUs!$J$2:$J$10001)))), SKUs!$J$2:$J$10001,""),"") &amp; _xlfn.IFS(I269="Height", ", H",I269="Height SLI", ", H SLI", I269="Height FIX", ", H FIX",I269="Width", ", W", I269="", "")</f>
        <v/>
      </c>
      <c r="F269" s="33" t="str" cm="1">
        <f t="array" ref="F269">_xlfn.XLOOKUP(1,((SKUs!$A$2:$A$10001=cl_unmerged!B269) * (ISNUMBER(SEARCH("Sash",SKUs!$J$2:$J$10001)))* (ISNUMBER(SEARCH(A269,SKUs!$C$2:$C$10001)))), SKUs!$C$2:$C$10001,"")</f>
        <v/>
      </c>
      <c r="G269" s="16"/>
      <c r="H269" s="16" t="str" cm="1">
        <f t="array" ref="H269">IF(C269&lt;&gt;"", _xlfn.IFS(I269="Height SLI",_xlfn.XLOOKUP(C269,'calc_s90&amp;138'!$C$15:$C$1000,'calc_s90&amp;138'!$T$15:$T$1000,"",0), I269="Height FIX",_xlfn.XLOOKUP(C269,'calc_s90&amp;138'!$C$15:$C$1000,'calc_s90&amp;138'!$V$15:$V$1000,"",0), I269="Width", _xlfn.XLOOKUP(C269,'calc_s90&amp;138'!$C$15:$C$1000,'calc_s90&amp;138'!$X$15:$X$1000,"",0)),"")</f>
        <v/>
      </c>
      <c r="I269" s="16" t="str">
        <f t="shared" si="5"/>
        <v/>
      </c>
    </row>
    <row r="270" spans="1:9" ht="13.5" customHeight="1" x14ac:dyDescent="0.25">
      <c r="A270" s="41" t="str">
        <f>_xlfn.XLOOKUP(G270,dd_color!$A$2:$A$8,dd_color!$B$2:$B$8,"",0)</f>
        <v/>
      </c>
      <c r="B270" s="41" t="str">
        <f>_xlfn.XLOOKUP(_xlfn.XLOOKUP(C270,'Project Details'!$C$17:$C$10003,'Project Details'!$E$17:$E$10003, "",0),dd_design_raw!$A$2:$A$9997,dd_design_raw!$C$2:$C$9997,"",0)</f>
        <v/>
      </c>
      <c r="C270" s="16"/>
      <c r="D270" s="16" t="str" cm="1">
        <f t="array" ref="D270">IF(C270&lt;&gt;"", _xlfn.IFS(I270="Height SLI",_xlfn.XLOOKUP(C270,'calc_s90&amp;138'!$C$15:$C$1000,'calc_s90&amp;138'!$U$15:$U$1000,"",0), I270="Height FIX",_xlfn.XLOOKUP(C270,'calc_s90&amp;138'!$C$15:$C$1000,'calc_s90&amp;138'!$W$15:$W$1000,"",0), I270="Width", _xlfn.XLOOKUP(C270,'calc_s90&amp;138'!$C$15:$C$1000,'calc_s90&amp;138'!$Y$15:$Y$1000,"",0)),"")</f>
        <v/>
      </c>
      <c r="E270" s="16" t="str" cm="1">
        <f t="array" ref="E270">IF(C270&lt;&gt;"", _xlfn.XLOOKUP(1,((SKUs!$A$2:$A$10001=cl_unmerged!B270) * (ISNUMBER(SEARCH("Sash",SKUs!$J$2:$J$10001)))), SKUs!$J$2:$J$10001,""),"") &amp; _xlfn.IFS(I270="Height", ", H",I270="Height SLI", ", H SLI", I270="Height FIX", ", H FIX",I270="Width", ", W", I270="", "")</f>
        <v/>
      </c>
      <c r="F270" s="33" t="str" cm="1">
        <f t="array" ref="F270">_xlfn.XLOOKUP(1,((SKUs!$A$2:$A$10001=cl_unmerged!B270) * (ISNUMBER(SEARCH("Sash",SKUs!$J$2:$J$10001)))* (ISNUMBER(SEARCH(A270,SKUs!$C$2:$C$10001)))), SKUs!$C$2:$C$10001,"")</f>
        <v/>
      </c>
      <c r="G270" s="16"/>
      <c r="H270" s="16" t="str" cm="1">
        <f t="array" ref="H270">IF(C270&lt;&gt;"", _xlfn.IFS(I270="Height SLI",_xlfn.XLOOKUP(C270,'calc_s90&amp;138'!$C$15:$C$1000,'calc_s90&amp;138'!$T$15:$T$1000,"",0), I270="Height FIX",_xlfn.XLOOKUP(C270,'calc_s90&amp;138'!$C$15:$C$1000,'calc_s90&amp;138'!$V$15:$V$1000,"",0), I270="Width", _xlfn.XLOOKUP(C270,'calc_s90&amp;138'!$C$15:$C$1000,'calc_s90&amp;138'!$X$15:$X$1000,"",0)),"")</f>
        <v/>
      </c>
      <c r="I270" s="16" t="str">
        <f t="shared" si="5"/>
        <v/>
      </c>
    </row>
    <row r="271" spans="1:9" ht="13.5" customHeight="1" x14ac:dyDescent="0.25">
      <c r="A271" s="41" t="str">
        <f>_xlfn.XLOOKUP(G271,dd_color!$A$2:$A$8,dd_color!$B$2:$B$8,"",0)</f>
        <v/>
      </c>
      <c r="B271" s="41">
        <f>_xlfn.XLOOKUP(_xlfn.XLOOKUP(C271,'Project Details'!$C$17:$C$10003,'Project Details'!$E$17:$E$10003, "",0),dd_design_raw!$A$2:$A$9997,dd_design_raw!$C$2:$C$9997,"",0)</f>
        <v>0</v>
      </c>
      <c r="C271" s="16"/>
      <c r="D271" s="16" t="str" cm="1">
        <f t="array" ref="D271">IF(C271&lt;&gt;"", _xlfn.IFS(I271="Height SLI",_xlfn.XLOOKUP(C271,'calc_s90&amp;138'!$C$15:$C$1000,'calc_s90&amp;138'!$U$15:$U$1000,"",0), I271="Height FIX",_xlfn.XLOOKUP(C271,'calc_s90&amp;138'!$C$15:$C$1000,'calc_s90&amp;138'!$W$15:$W$1000,"",0), I271="Width", _xlfn.XLOOKUP(C271,'calc_s90&amp;138'!$C$15:$C$1000,'calc_s90&amp;138'!$Y$15:$Y$1000,"",0)),"")</f>
        <v/>
      </c>
      <c r="E271" s="16" t="str" cm="1">
        <f t="array" ref="E271">IF(C271&lt;&gt;"", _xlfn.XLOOKUP(1,((SKUs!$A$2:$A$10001=cl_unmerged!B271) * (ISNUMBER(SEARCH("Sash",SKUs!$J$2:$J$10001)))), SKUs!$J$2:$J$10001,""),"") &amp; _xlfn.IFS(I271="Height", ", H",I271="Height SLI", ", H SLI", I271="Height FIX", ", H FIX",I271="Width", ", W", I271="", "")</f>
        <v/>
      </c>
      <c r="F271" s="33" t="str" cm="1">
        <f t="array" ref="F271">_xlfn.XLOOKUP(1,((SKUs!$A$2:$A$10001=cl_unmerged!B271) * (ISNUMBER(SEARCH("Sash",SKUs!$J$2:$J$10001)))* (ISNUMBER(SEARCH(A271,SKUs!$C$2:$C$10001)))), SKUs!$C$2:$C$10001,"")</f>
        <v/>
      </c>
      <c r="G271" s="16"/>
      <c r="H271" s="16" t="str" cm="1">
        <f t="array" ref="H271">IF(C271&lt;&gt;"", _xlfn.IFS(I271="Height SLI",_xlfn.XLOOKUP(C271,'calc_s90&amp;138'!$C$15:$C$1000,'calc_s90&amp;138'!$T$15:$T$1000,"",0), I271="Height FIX",_xlfn.XLOOKUP(C271,'calc_s90&amp;138'!$C$15:$C$1000,'calc_s90&amp;138'!$V$15:$V$1000,"",0), I271="Width", _xlfn.XLOOKUP(C271,'calc_s90&amp;138'!$C$15:$C$1000,'calc_s90&amp;138'!$X$15:$X$1000,"",0)),"")</f>
        <v/>
      </c>
      <c r="I271" s="16" t="str">
        <f t="shared" si="5"/>
        <v/>
      </c>
    </row>
    <row r="272" spans="1:9" ht="13.5" customHeight="1" x14ac:dyDescent="0.25">
      <c r="A272" s="41" t="str">
        <f>_xlfn.XLOOKUP(G272,dd_color!$A$2:$A$8,dd_color!$B$2:$B$8,"",0)</f>
        <v/>
      </c>
      <c r="B272" s="41">
        <f>_xlfn.XLOOKUP(_xlfn.XLOOKUP(C272,'Project Details'!$C$17:$C$10003,'Project Details'!$E$17:$E$10003, "",0),dd_design_raw!$A$2:$A$9997,dd_design_raw!$C$2:$C$9997,"",0)</f>
        <v>0</v>
      </c>
      <c r="C272" s="16"/>
      <c r="D272" s="16" t="str" cm="1">
        <f t="array" ref="D272">IF(C272&lt;&gt;"", _xlfn.IFS(I272="Height SLI",_xlfn.XLOOKUP(C272,'calc_s90&amp;138'!$C$15:$C$1000,'calc_s90&amp;138'!$U$15:$U$1000,"",0), I272="Height FIX",_xlfn.XLOOKUP(C272,'calc_s90&amp;138'!$C$15:$C$1000,'calc_s90&amp;138'!$W$15:$W$1000,"",0), I272="Width", _xlfn.XLOOKUP(C272,'calc_s90&amp;138'!$C$15:$C$1000,'calc_s90&amp;138'!$Y$15:$Y$1000,"",0)),"")</f>
        <v/>
      </c>
      <c r="E272" s="16" t="str" cm="1">
        <f t="array" ref="E272">IF(C272&lt;&gt;"", _xlfn.XLOOKUP(1,((SKUs!$A$2:$A$10001=cl_unmerged!B272) * (ISNUMBER(SEARCH("Sash",SKUs!$J$2:$J$10001)))), SKUs!$J$2:$J$10001,""),"") &amp; _xlfn.IFS(I272="Height", ", H",I272="Height SLI", ", H SLI", I272="Height FIX", ", H FIX",I272="Width", ", W", I272="", "")</f>
        <v/>
      </c>
      <c r="F272" s="33" t="str" cm="1">
        <f t="array" ref="F272">_xlfn.XLOOKUP(1,((SKUs!$A$2:$A$10001=cl_unmerged!B272) * (ISNUMBER(SEARCH("Sash",SKUs!$J$2:$J$10001)))* (ISNUMBER(SEARCH(A272,SKUs!$C$2:$C$10001)))), SKUs!$C$2:$C$10001,"")</f>
        <v/>
      </c>
      <c r="G272" s="16"/>
      <c r="H272" s="16" t="str" cm="1">
        <f t="array" ref="H272">IF(C272&lt;&gt;"", _xlfn.IFS(I272="Height SLI",_xlfn.XLOOKUP(C272,'calc_s90&amp;138'!$C$15:$C$1000,'calc_s90&amp;138'!$T$15:$T$1000,"",0), I272="Height FIX",_xlfn.XLOOKUP(C272,'calc_s90&amp;138'!$C$15:$C$1000,'calc_s90&amp;138'!$V$15:$V$1000,"",0), I272="Width", _xlfn.XLOOKUP(C272,'calc_s90&amp;138'!$C$15:$C$1000,'calc_s90&amp;138'!$X$15:$X$1000,"",0)),"")</f>
        <v/>
      </c>
      <c r="I272" s="16" t="str">
        <f t="shared" si="5"/>
        <v/>
      </c>
    </row>
    <row r="273" spans="1:9" ht="13.5" customHeight="1" x14ac:dyDescent="0.25">
      <c r="C273" s="32" t="s">
        <v>718</v>
      </c>
      <c r="D273" s="32"/>
      <c r="E273" s="32"/>
      <c r="F273" s="32"/>
      <c r="G273" s="32"/>
      <c r="H273" s="32"/>
      <c r="I273" s="32"/>
    </row>
    <row r="274" spans="1:9" ht="13.5" customHeight="1" x14ac:dyDescent="0.25">
      <c r="A274" s="41" t="str">
        <f>_xlfn.XLOOKUP(G274,dd_color!$A$2:$A$8,dd_color!$B$2:$B$8,"",0)</f>
        <v/>
      </c>
      <c r="B274" s="41" t="str">
        <f>_xlfn.XLOOKUP(_xlfn.XLOOKUP(C274,'Project Details'!$C$17:$C$10003,'Project Details'!$E$17:$E$10003, "",0),dd_design_raw!$A$2:$A$9997,dd_design_raw!$C$2:$C$9997,"",0)</f>
        <v/>
      </c>
      <c r="C274" s="16" t="str" cm="1">
        <f t="array" ref="C274:C275">IFERROR(INDEX(_xlfn._xlws.FILTER('calc_s90&amp;138'!C15:C65, 'calc_s90&amp;138'!AA15:AA65&lt;&gt;""), INT((_xlfn.SEQUENCE(2 * COUNTA(_xlfn._xlws.FILTER('calc_s90&amp;138'!C15:C65, 'calc_s90&amp;138'!AA15:AA65&lt;&gt;""))) - 1) / 2) + 1), "")</f>
        <v/>
      </c>
      <c r="D274" s="16" t="str" cm="1">
        <f t="array" ref="D274">IF(C274&lt;&gt;"", _xlfn.IFS(I274="Height SLI",_xlfn.XLOOKUP(C274,'calc_s90&amp;138'!$C$15:$C$1000,'calc_s90&amp;138'!$AC$15:$AC$1000,"",0),  I274="Width", _xlfn.XLOOKUP(C274,'calc_s90&amp;138'!$C$15:$C$1000,'calc_s90&amp;138'!$AE$15:$AE$1000,"",0)),"")</f>
        <v/>
      </c>
      <c r="E274" s="16" t="str" cm="1">
        <f t="array" ref="E274">IF(C274&lt;&gt;"", _xlfn.XLOOKUP(1,((SKUs!$A$2:$A$10001=cl_unmerged!B274) * (ISNUMBER(SEARCH("Sash66",SKUs!$J$2:$J$10001)))), SKUs!$J$2:$J$10001,""),"") &amp; _xlfn.IFS(I274="Height", ", H",I274="Height SLI", ", H SLI", I274="Height FIX", ", H FIX",I274="Width", ", W", I274="", "")</f>
        <v/>
      </c>
      <c r="F274" s="33" t="str" cm="1">
        <f t="array" ref="F274">_xlfn.XLOOKUP(1,((SKUs!$A$2:$A$10001=cl_unmerged!B274) * (ISNUMBER(SEARCH("Sash66",SKUs!$J$2:$J$10001)))* (ISNUMBER(SEARCH(A274,SKUs!$C$2:$C$10001)))), SKUs!$C$2:$C$10001,"")</f>
        <v/>
      </c>
      <c r="G274" s="16" t="str" cm="1">
        <f t="array" ref="G274:G275">IFERROR(INDEX(_xlfn._xlws.FILTER('calc_s90&amp;138'!G15:G65, 'calc_s90&amp;138'!AA15:AA65&lt;&gt;""), INT((_xlfn.SEQUENCE(2 * COUNTA(_xlfn._xlws.FILTER('calc_s90&amp;138'!G15:G65, 'calc_s90&amp;138'!AA15:AA65&lt;&gt;""))) - 1) / 2) + 1), "")</f>
        <v/>
      </c>
      <c r="H274" s="16" t="str" cm="1">
        <f t="array" ref="H274">IF(C274&lt;&gt;"", _xlfn.IFS(I274="Height SLI",_xlfn.XLOOKUP(C274,'calc_s90&amp;138'!$C$15:$C$1000,'calc_s90&amp;138'!$AB$15:$AB$1000,"",0), I274="Width", _xlfn.XLOOKUP(C274,'calc_s90&amp;138'!$C$15:$C$1000,'calc_s90&amp;138'!$AD$15:$AD$1000,"",0)),"")</f>
        <v/>
      </c>
      <c r="I274" s="16" t="str">
        <f t="shared" ref="I274:I324" si="6">IF(C274&lt;&gt;"", IF(C274=C273, "Width", "Height SLI"),"")</f>
        <v/>
      </c>
    </row>
    <row r="275" spans="1:9" ht="13.5" customHeight="1" x14ac:dyDescent="0.25">
      <c r="A275" s="41" t="str">
        <f>_xlfn.XLOOKUP(G275,dd_color!$A$2:$A$8,dd_color!$B$2:$B$8,"",0)</f>
        <v/>
      </c>
      <c r="B275" s="41" t="str">
        <f>_xlfn.XLOOKUP(_xlfn.XLOOKUP(C275,'Project Details'!$C$17:$C$10003,'Project Details'!$E$17:$E$10003, "",0),dd_design_raw!$A$2:$A$9997,dd_design_raw!$C$2:$C$9997,"",0)</f>
        <v/>
      </c>
      <c r="C275" s="16" t="str">
        <v/>
      </c>
      <c r="D275" s="16" t="str" cm="1">
        <f t="array" ref="D275">IF(C275&lt;&gt;"", _xlfn.IFS(I275="Height SLI",_xlfn.XLOOKUP(C275,'calc_s90&amp;138'!$C$15:$C$1000,'calc_s90&amp;138'!$AC$15:$AC$1000,"",0),  I275="Width", _xlfn.XLOOKUP(C275,'calc_s90&amp;138'!$C$15:$C$1000,'calc_s90&amp;138'!$AE$15:$AE$1000,"",0)),"")</f>
        <v/>
      </c>
      <c r="E275" s="16" t="str" cm="1">
        <f t="array" ref="E275">IF(C275&lt;&gt;"", _xlfn.XLOOKUP(1,((SKUs!$A$2:$A$10001=cl_unmerged!B275) * (ISNUMBER(SEARCH("Sash66",SKUs!$J$2:$J$10001)))), SKUs!$J$2:$J$10001,""),"") &amp; _xlfn.IFS(I275="Height", ", H",I275="Height SLI", ", H SLI", I275="Height FIX", ", H FIX",I275="Width", ", W", I275="", "")</f>
        <v/>
      </c>
      <c r="F275" s="33" t="str" cm="1">
        <f t="array" ref="F275">_xlfn.XLOOKUP(1,((SKUs!$A$2:$A$10001=cl_unmerged!B275) * (ISNUMBER(SEARCH("Sash66",SKUs!$J$2:$J$10001)))* (ISNUMBER(SEARCH(A275,SKUs!$C$2:$C$10001)))), SKUs!$C$2:$C$10001,"")</f>
        <v/>
      </c>
      <c r="G275" s="16" t="str">
        <v/>
      </c>
      <c r="H275" s="16" t="str" cm="1">
        <f t="array" ref="H275">IF(C275&lt;&gt;"", _xlfn.IFS(I275="Height SLI",_xlfn.XLOOKUP(C275,'calc_s90&amp;138'!$C$15:$C$1000,'calc_s90&amp;138'!$AB$15:$AB$1000,"",0), I275="Width", _xlfn.XLOOKUP(C275,'calc_s90&amp;138'!$C$15:$C$1000,'calc_s90&amp;138'!$AD$15:$AD$1000,"",0)),"")</f>
        <v/>
      </c>
      <c r="I275" s="16" t="str">
        <f t="shared" si="6"/>
        <v/>
      </c>
    </row>
    <row r="276" spans="1:9" ht="13.5" customHeight="1" x14ac:dyDescent="0.25">
      <c r="A276" s="41" t="str">
        <f>_xlfn.XLOOKUP(G276,dd_color!$A$2:$A$8,dd_color!$B$2:$B$8,"",0)</f>
        <v/>
      </c>
      <c r="B276" s="41" t="str">
        <f>_xlfn.XLOOKUP(_xlfn.XLOOKUP(C276,'Project Details'!$C$17:$C$10003,'Project Details'!$E$17:$E$10003, "",0),dd_design_raw!$A$2:$A$9997,dd_design_raw!$C$2:$C$9997,"",0)</f>
        <v/>
      </c>
      <c r="C276" s="16"/>
      <c r="D276" s="16" t="str" cm="1">
        <f t="array" ref="D276">IF(C276&lt;&gt;"", _xlfn.IFS(I276="Height SLI",_xlfn.XLOOKUP(C276,'calc_s90&amp;138'!$C$15:$C$1000,'calc_s90&amp;138'!$AC$15:$AC$1000,"",0),  I276="Width", _xlfn.XLOOKUP(C276,'calc_s90&amp;138'!$C$15:$C$1000,'calc_s90&amp;138'!$AE$15:$AE$1000,"",0)),"")</f>
        <v/>
      </c>
      <c r="E276" s="16" t="str" cm="1">
        <f t="array" ref="E276">IF(C276&lt;&gt;"", _xlfn.XLOOKUP(1,((SKUs!$A$2:$A$10001=cl_unmerged!B276) * (ISNUMBER(SEARCH("Sash66",SKUs!$J$2:$J$10001)))), SKUs!$J$2:$J$10001,""),"") &amp; _xlfn.IFS(I276="Height", ", H",I276="Height SLI", ", H SLI", I276="Height FIX", ", H FIX",I276="Width", ", W", I276="", "")</f>
        <v/>
      </c>
      <c r="F276" s="33" t="str" cm="1">
        <f t="array" ref="F276">_xlfn.XLOOKUP(1,((SKUs!$A$2:$A$10001=cl_unmerged!B276) * (ISNUMBER(SEARCH("Sash66",SKUs!$J$2:$J$10001)))* (ISNUMBER(SEARCH(A276,SKUs!$C$2:$C$10001)))), SKUs!$C$2:$C$10001,"")</f>
        <v/>
      </c>
      <c r="G276" s="16"/>
      <c r="H276" s="16" t="str" cm="1">
        <f t="array" ref="H276">IF(C276&lt;&gt;"", _xlfn.IFS(I276="Height SLI",_xlfn.XLOOKUP(C276,'calc_s90&amp;138'!$C$15:$C$1000,'calc_s90&amp;138'!$AB$15:$AB$1000,"",0), I276="Width", _xlfn.XLOOKUP(C276,'calc_s90&amp;138'!$C$15:$C$1000,'calc_s90&amp;138'!$AD$15:$AD$1000,"",0)),"")</f>
        <v/>
      </c>
      <c r="I276" s="16" t="str">
        <f t="shared" si="6"/>
        <v/>
      </c>
    </row>
    <row r="277" spans="1:9" ht="13.5" customHeight="1" x14ac:dyDescent="0.25">
      <c r="A277" s="41" t="str">
        <f>_xlfn.XLOOKUP(G277,dd_color!$A$2:$A$8,dd_color!$B$2:$B$8,"",0)</f>
        <v/>
      </c>
      <c r="B277" s="41">
        <f>_xlfn.XLOOKUP(_xlfn.XLOOKUP(C277,'Project Details'!$C$17:$C$10003,'Project Details'!$E$17:$E$10003, "",0),dd_design_raw!$A$2:$A$9997,dd_design_raw!$C$2:$C$9997,"",0)</f>
        <v>0</v>
      </c>
      <c r="C277" s="16"/>
      <c r="D277" s="16" t="str" cm="1">
        <f t="array" ref="D277">IF(C277&lt;&gt;"", _xlfn.IFS(I277="Height SLI",_xlfn.XLOOKUP(C277,'calc_s90&amp;138'!$C$15:$C$1000,'calc_s90&amp;138'!$AC$15:$AC$1000,"",0),  I277="Width", _xlfn.XLOOKUP(C277,'calc_s90&amp;138'!$C$15:$C$1000,'calc_s90&amp;138'!$AE$15:$AE$1000,"",0)),"")</f>
        <v/>
      </c>
      <c r="E277" s="16" t="str" cm="1">
        <f t="array" ref="E277">IF(C277&lt;&gt;"", _xlfn.XLOOKUP(1,((SKUs!$A$2:$A$10001=cl_unmerged!B277) * (ISNUMBER(SEARCH("Sash66",SKUs!$J$2:$J$10001)))), SKUs!$J$2:$J$10001,""),"") &amp; _xlfn.IFS(I277="Height", ", H",I277="Height SLI", ", H SLI", I277="Height FIX", ", H FIX",I277="Width", ", W", I277="", "")</f>
        <v/>
      </c>
      <c r="F277" s="33" t="str" cm="1">
        <f t="array" ref="F277">_xlfn.XLOOKUP(1,((SKUs!$A$2:$A$10001=cl_unmerged!B277) * (ISNUMBER(SEARCH("Sash66",SKUs!$J$2:$J$10001)))* (ISNUMBER(SEARCH(A277,SKUs!$C$2:$C$10001)))), SKUs!$C$2:$C$10001,"")</f>
        <v/>
      </c>
      <c r="G277" s="16"/>
      <c r="H277" s="16" t="str" cm="1">
        <f t="array" ref="H277">IF(C277&lt;&gt;"", _xlfn.IFS(I277="Height SLI",_xlfn.XLOOKUP(C277,'calc_s90&amp;138'!$C$15:$C$1000,'calc_s90&amp;138'!$AB$15:$AB$1000,"",0), I277="Width", _xlfn.XLOOKUP(C277,'calc_s90&amp;138'!$C$15:$C$1000,'calc_s90&amp;138'!$AD$15:$AD$1000,"",0)),"")</f>
        <v/>
      </c>
      <c r="I277" s="16" t="str">
        <f t="shared" si="6"/>
        <v/>
      </c>
    </row>
    <row r="278" spans="1:9" ht="13.5" customHeight="1" x14ac:dyDescent="0.25">
      <c r="A278" s="41" t="str">
        <f>_xlfn.XLOOKUP(G278,dd_color!$A$2:$A$8,dd_color!$B$2:$B$8,"",0)</f>
        <v/>
      </c>
      <c r="B278" s="41">
        <f>_xlfn.XLOOKUP(_xlfn.XLOOKUP(C278,'Project Details'!$C$17:$C$10003,'Project Details'!$E$17:$E$10003, "",0),dd_design_raw!$A$2:$A$9997,dd_design_raw!$C$2:$C$9997,"",0)</f>
        <v>0</v>
      </c>
      <c r="C278" s="16"/>
      <c r="D278" s="16" t="str" cm="1">
        <f t="array" ref="D278">IF(C278&lt;&gt;"", _xlfn.IFS(I278="Height SLI",_xlfn.XLOOKUP(C278,'calc_s90&amp;138'!$C$15:$C$1000,'calc_s90&amp;138'!$AC$15:$AC$1000,"",0),  I278="Width", _xlfn.XLOOKUP(C278,'calc_s90&amp;138'!$C$15:$C$1000,'calc_s90&amp;138'!$AE$15:$AE$1000,"",0)),"")</f>
        <v/>
      </c>
      <c r="E278" s="16" t="str" cm="1">
        <f t="array" ref="E278">IF(C278&lt;&gt;"", _xlfn.XLOOKUP(1,((SKUs!$A$2:$A$10001=cl_unmerged!B278) * (ISNUMBER(SEARCH("Sash66",SKUs!$J$2:$J$10001)))), SKUs!$J$2:$J$10001,""),"") &amp; _xlfn.IFS(I278="Height", ", H",I278="Height SLI", ", H SLI", I278="Height FIX", ", H FIX",I278="Width", ", W", I278="", "")</f>
        <v/>
      </c>
      <c r="F278" s="33" t="str" cm="1">
        <f t="array" ref="F278">_xlfn.XLOOKUP(1,((SKUs!$A$2:$A$10001=cl_unmerged!B278) * (ISNUMBER(SEARCH("Sash66",SKUs!$J$2:$J$10001)))* (ISNUMBER(SEARCH(A278,SKUs!$C$2:$C$10001)))), SKUs!$C$2:$C$10001,"")</f>
        <v/>
      </c>
      <c r="G278" s="16"/>
      <c r="H278" s="16" t="str" cm="1">
        <f t="array" ref="H278">IF(C278&lt;&gt;"", _xlfn.IFS(I278="Height SLI",_xlfn.XLOOKUP(C278,'calc_s90&amp;138'!$C$15:$C$1000,'calc_s90&amp;138'!$AB$15:$AB$1000,"",0), I278="Width", _xlfn.XLOOKUP(C278,'calc_s90&amp;138'!$C$15:$C$1000,'calc_s90&amp;138'!$AD$15:$AD$1000,"",0)),"")</f>
        <v/>
      </c>
      <c r="I278" s="16" t="str">
        <f t="shared" si="6"/>
        <v/>
      </c>
    </row>
    <row r="279" spans="1:9" ht="13.5" customHeight="1" x14ac:dyDescent="0.25">
      <c r="A279" s="41" t="str">
        <f>_xlfn.XLOOKUP(G279,dd_color!$A$2:$A$8,dd_color!$B$2:$B$8,"",0)</f>
        <v/>
      </c>
      <c r="B279" s="41">
        <f>_xlfn.XLOOKUP(_xlfn.XLOOKUP(C279,'Project Details'!$C$17:$C$10003,'Project Details'!$E$17:$E$10003, "",0),dd_design_raw!$A$2:$A$9997,dd_design_raw!$C$2:$C$9997,"",0)</f>
        <v>0</v>
      </c>
      <c r="C279" s="16"/>
      <c r="D279" s="16" t="str" cm="1">
        <f t="array" ref="D279">IF(C279&lt;&gt;"", _xlfn.IFS(I279="Height SLI",_xlfn.XLOOKUP(C279,'calc_s90&amp;138'!$C$15:$C$1000,'calc_s90&amp;138'!$AC$15:$AC$1000,"",0),  I279="Width", _xlfn.XLOOKUP(C279,'calc_s90&amp;138'!$C$15:$C$1000,'calc_s90&amp;138'!$AE$15:$AE$1000,"",0)),"")</f>
        <v/>
      </c>
      <c r="E279" s="16" t="str" cm="1">
        <f t="array" ref="E279">IF(C279&lt;&gt;"", _xlfn.XLOOKUP(1,((SKUs!$A$2:$A$10001=cl_unmerged!B279) * (ISNUMBER(SEARCH("Sash66",SKUs!$J$2:$J$10001)))), SKUs!$J$2:$J$10001,""),"") &amp; _xlfn.IFS(I279="Height", ", H",I279="Height SLI", ", H SLI", I279="Height FIX", ", H FIX",I279="Width", ", W", I279="", "")</f>
        <v/>
      </c>
      <c r="F279" s="33" t="str" cm="1">
        <f t="array" ref="F279">_xlfn.XLOOKUP(1,((SKUs!$A$2:$A$10001=cl_unmerged!B279) * (ISNUMBER(SEARCH("Sash66",SKUs!$J$2:$J$10001)))* (ISNUMBER(SEARCH(A279,SKUs!$C$2:$C$10001)))), SKUs!$C$2:$C$10001,"")</f>
        <v/>
      </c>
      <c r="G279" s="16"/>
      <c r="H279" s="16" t="str" cm="1">
        <f t="array" ref="H279">IF(C279&lt;&gt;"", _xlfn.IFS(I279="Height SLI",_xlfn.XLOOKUP(C279,'calc_s90&amp;138'!$C$15:$C$1000,'calc_s90&amp;138'!$AB$15:$AB$1000,"",0), I279="Width", _xlfn.XLOOKUP(C279,'calc_s90&amp;138'!$C$15:$C$1000,'calc_s90&amp;138'!$AD$15:$AD$1000,"",0)),"")</f>
        <v/>
      </c>
      <c r="I279" s="16" t="str">
        <f t="shared" si="6"/>
        <v/>
      </c>
    </row>
    <row r="280" spans="1:9" ht="13.5" customHeight="1" x14ac:dyDescent="0.25">
      <c r="A280" s="41" t="str">
        <f>_xlfn.XLOOKUP(G280,dd_color!$A$2:$A$8,dd_color!$B$2:$B$8,"",0)</f>
        <v/>
      </c>
      <c r="B280" s="41" t="str">
        <f>_xlfn.XLOOKUP(_xlfn.XLOOKUP(C280,'Project Details'!$C$17:$C$10003,'Project Details'!$E$17:$E$10003, "",0),dd_design_raw!$A$2:$A$9997,dd_design_raw!$C$2:$C$9997,"",0)</f>
        <v/>
      </c>
      <c r="C280" s="16"/>
      <c r="D280" s="16" t="str" cm="1">
        <f t="array" ref="D280">IF(C280&lt;&gt;"", _xlfn.IFS(I280="Height SLI",_xlfn.XLOOKUP(C280,'calc_s90&amp;138'!$C$15:$C$1000,'calc_s90&amp;138'!$AC$15:$AC$1000,"",0),  I280="Width", _xlfn.XLOOKUP(C280,'calc_s90&amp;138'!$C$15:$C$1000,'calc_s90&amp;138'!$AE$15:$AE$1000,"",0)),"")</f>
        <v/>
      </c>
      <c r="E280" s="16" t="str" cm="1">
        <f t="array" ref="E280">IF(C280&lt;&gt;"", _xlfn.XLOOKUP(1,((SKUs!$A$2:$A$10001=cl_unmerged!B280) * (ISNUMBER(SEARCH("Sash66",SKUs!$J$2:$J$10001)))), SKUs!$J$2:$J$10001,""),"") &amp; _xlfn.IFS(I280="Height", ", H",I280="Height SLI", ", H SLI", I280="Height FIX", ", H FIX",I280="Width", ", W", I280="", "")</f>
        <v/>
      </c>
      <c r="F280" s="33" t="str" cm="1">
        <f t="array" ref="F280">_xlfn.XLOOKUP(1,((SKUs!$A$2:$A$10001=cl_unmerged!B280) * (ISNUMBER(SEARCH("Sash66",SKUs!$J$2:$J$10001)))* (ISNUMBER(SEARCH(A280,SKUs!$C$2:$C$10001)))), SKUs!$C$2:$C$10001,"")</f>
        <v/>
      </c>
      <c r="G280" s="16"/>
      <c r="H280" s="16" t="str" cm="1">
        <f t="array" ref="H280">IF(C280&lt;&gt;"", _xlfn.IFS(I280="Height SLI",_xlfn.XLOOKUP(C280,'calc_s90&amp;138'!$C$15:$C$1000,'calc_s90&amp;138'!$AB$15:$AB$1000,"",0), I280="Width", _xlfn.XLOOKUP(C280,'calc_s90&amp;138'!$C$15:$C$1000,'calc_s90&amp;138'!$AD$15:$AD$1000,"",0)),"")</f>
        <v/>
      </c>
      <c r="I280" s="16" t="str">
        <f t="shared" si="6"/>
        <v/>
      </c>
    </row>
    <row r="281" spans="1:9" ht="13.5" customHeight="1" x14ac:dyDescent="0.25">
      <c r="A281" s="41" t="str">
        <f>_xlfn.XLOOKUP(G281,dd_color!$A$2:$A$8,dd_color!$B$2:$B$8,"",0)</f>
        <v/>
      </c>
      <c r="B281" s="41" t="str">
        <f>_xlfn.XLOOKUP(_xlfn.XLOOKUP(C281,'Project Details'!$C$17:$C$10003,'Project Details'!$E$17:$E$10003, "",0),dd_design_raw!$A$2:$A$9997,dd_design_raw!$C$2:$C$9997,"",0)</f>
        <v/>
      </c>
      <c r="C281" s="16"/>
      <c r="D281" s="16" t="str" cm="1">
        <f t="array" ref="D281">IF(C281&lt;&gt;"", _xlfn.IFS(I281="Height SLI",_xlfn.XLOOKUP(C281,'calc_s90&amp;138'!$C$15:$C$1000,'calc_s90&amp;138'!$AC$15:$AC$1000,"",0),  I281="Width", _xlfn.XLOOKUP(C281,'calc_s90&amp;138'!$C$15:$C$1000,'calc_s90&amp;138'!$AE$15:$AE$1000,"",0)),"")</f>
        <v/>
      </c>
      <c r="E281" s="16" t="str" cm="1">
        <f t="array" ref="E281">IF(C281&lt;&gt;"", _xlfn.XLOOKUP(1,((SKUs!$A$2:$A$10001=cl_unmerged!B281) * (ISNUMBER(SEARCH("Sash66",SKUs!$J$2:$J$10001)))), SKUs!$J$2:$J$10001,""),"") &amp; _xlfn.IFS(I281="Height", ", H",I281="Height SLI", ", H SLI", I281="Height FIX", ", H FIX",I281="Width", ", W", I281="", "")</f>
        <v/>
      </c>
      <c r="F281" s="33" t="str" cm="1">
        <f t="array" ref="F281">_xlfn.XLOOKUP(1,((SKUs!$A$2:$A$10001=cl_unmerged!B281) * (ISNUMBER(SEARCH("Sash66",SKUs!$J$2:$J$10001)))* (ISNUMBER(SEARCH(A281,SKUs!$C$2:$C$10001)))), SKUs!$C$2:$C$10001,"")</f>
        <v/>
      </c>
      <c r="G281" s="16"/>
      <c r="H281" s="16" t="str" cm="1">
        <f t="array" ref="H281">IF(C281&lt;&gt;"", _xlfn.IFS(I281="Height SLI",_xlfn.XLOOKUP(C281,'calc_s90&amp;138'!$C$15:$C$1000,'calc_s90&amp;138'!$AB$15:$AB$1000,"",0), I281="Width", _xlfn.XLOOKUP(C281,'calc_s90&amp;138'!$C$15:$C$1000,'calc_s90&amp;138'!$AD$15:$AD$1000,"",0)),"")</f>
        <v/>
      </c>
      <c r="I281" s="16" t="str">
        <f t="shared" si="6"/>
        <v/>
      </c>
    </row>
    <row r="282" spans="1:9" ht="13.5" customHeight="1" x14ac:dyDescent="0.25">
      <c r="A282" s="41" t="str">
        <f>_xlfn.XLOOKUP(G282,dd_color!$A$2:$A$8,dd_color!$B$2:$B$8,"",0)</f>
        <v/>
      </c>
      <c r="B282" s="41" t="str">
        <f>_xlfn.XLOOKUP(_xlfn.XLOOKUP(C282,'Project Details'!$C$17:$C$10003,'Project Details'!$E$17:$E$10003, "",0),dd_design_raw!$A$2:$A$9997,dd_design_raw!$C$2:$C$9997,"",0)</f>
        <v/>
      </c>
      <c r="C282" s="16"/>
      <c r="D282" s="16" t="str" cm="1">
        <f t="array" ref="D282">IF(C282&lt;&gt;"", _xlfn.IFS(I282="Height SLI",_xlfn.XLOOKUP(C282,'calc_s90&amp;138'!$C$15:$C$1000,'calc_s90&amp;138'!$AC$15:$AC$1000,"",0),  I282="Width", _xlfn.XLOOKUP(C282,'calc_s90&amp;138'!$C$15:$C$1000,'calc_s90&amp;138'!$AE$15:$AE$1000,"",0)),"")</f>
        <v/>
      </c>
      <c r="E282" s="16" t="str" cm="1">
        <f t="array" ref="E282">IF(C282&lt;&gt;"", _xlfn.XLOOKUP(1,((SKUs!$A$2:$A$10001=cl_unmerged!B282) * (ISNUMBER(SEARCH("Sash66",SKUs!$J$2:$J$10001)))), SKUs!$J$2:$J$10001,""),"") &amp; _xlfn.IFS(I282="Height", ", H",I282="Height SLI", ", H SLI", I282="Height FIX", ", H FIX",I282="Width", ", W", I282="", "")</f>
        <v/>
      </c>
      <c r="F282" s="33" t="str" cm="1">
        <f t="array" ref="F282">_xlfn.XLOOKUP(1,((SKUs!$A$2:$A$10001=cl_unmerged!B282) * (ISNUMBER(SEARCH("Sash66",SKUs!$J$2:$J$10001)))* (ISNUMBER(SEARCH(A282,SKUs!$C$2:$C$10001)))), SKUs!$C$2:$C$10001,"")</f>
        <v/>
      </c>
      <c r="G282" s="16"/>
      <c r="H282" s="16" t="str" cm="1">
        <f t="array" ref="H282">IF(C282&lt;&gt;"", _xlfn.IFS(I282="Height SLI",_xlfn.XLOOKUP(C282,'calc_s90&amp;138'!$C$15:$C$1000,'calc_s90&amp;138'!$AB$15:$AB$1000,"",0), I282="Width", _xlfn.XLOOKUP(C282,'calc_s90&amp;138'!$C$15:$C$1000,'calc_s90&amp;138'!$AD$15:$AD$1000,"",0)),"")</f>
        <v/>
      </c>
      <c r="I282" s="16" t="str">
        <f t="shared" si="6"/>
        <v/>
      </c>
    </row>
    <row r="283" spans="1:9" ht="13.5" customHeight="1" x14ac:dyDescent="0.25">
      <c r="A283" s="41" t="str">
        <f>_xlfn.XLOOKUP(G283,dd_color!$A$2:$A$8,dd_color!$B$2:$B$8,"",0)</f>
        <v/>
      </c>
      <c r="B283" s="41">
        <f>_xlfn.XLOOKUP(_xlfn.XLOOKUP(C283,'Project Details'!$C$17:$C$10003,'Project Details'!$E$17:$E$10003, "",0),dd_design_raw!$A$2:$A$9997,dd_design_raw!$C$2:$C$9997,"",0)</f>
        <v>0</v>
      </c>
      <c r="C283" s="16"/>
      <c r="D283" s="16" t="str" cm="1">
        <f t="array" ref="D283">IF(C283&lt;&gt;"", _xlfn.IFS(I283="Height SLI",_xlfn.XLOOKUP(C283,'calc_s90&amp;138'!$C$15:$C$1000,'calc_s90&amp;138'!$AC$15:$AC$1000,"",0),  I283="Width", _xlfn.XLOOKUP(C283,'calc_s90&amp;138'!$C$15:$C$1000,'calc_s90&amp;138'!$AE$15:$AE$1000,"",0)),"")</f>
        <v/>
      </c>
      <c r="E283" s="16" t="str" cm="1">
        <f t="array" ref="E283">IF(C283&lt;&gt;"", _xlfn.XLOOKUP(1,((SKUs!$A$2:$A$10001=cl_unmerged!B283) * (ISNUMBER(SEARCH("Sash66",SKUs!$J$2:$J$10001)))), SKUs!$J$2:$J$10001,""),"") &amp; _xlfn.IFS(I283="Height", ", H",I283="Height SLI", ", H SLI", I283="Height FIX", ", H FIX",I283="Width", ", W", I283="", "")</f>
        <v/>
      </c>
      <c r="F283" s="33" t="str" cm="1">
        <f t="array" ref="F283">_xlfn.XLOOKUP(1,((SKUs!$A$2:$A$10001=cl_unmerged!B283) * (ISNUMBER(SEARCH("Sash66",SKUs!$J$2:$J$10001)))* (ISNUMBER(SEARCH(A283,SKUs!$C$2:$C$10001)))), SKUs!$C$2:$C$10001,"")</f>
        <v/>
      </c>
      <c r="G283" s="16"/>
      <c r="H283" s="16" t="str" cm="1">
        <f t="array" ref="H283">IF(C283&lt;&gt;"", _xlfn.IFS(I283="Height SLI",_xlfn.XLOOKUP(C283,'calc_s90&amp;138'!$C$15:$C$1000,'calc_s90&amp;138'!$AB$15:$AB$1000,"",0), I283="Width", _xlfn.XLOOKUP(C283,'calc_s90&amp;138'!$C$15:$C$1000,'calc_s90&amp;138'!$AD$15:$AD$1000,"",0)),"")</f>
        <v/>
      </c>
      <c r="I283" s="16" t="str">
        <f t="shared" si="6"/>
        <v/>
      </c>
    </row>
    <row r="284" spans="1:9" ht="13.5" customHeight="1" x14ac:dyDescent="0.25">
      <c r="A284" s="41" t="str">
        <f>_xlfn.XLOOKUP(G284,dd_color!$A$2:$A$8,dd_color!$B$2:$B$8,"",0)</f>
        <v/>
      </c>
      <c r="B284" s="41">
        <f>_xlfn.XLOOKUP(_xlfn.XLOOKUP(C284,'Project Details'!$C$17:$C$10003,'Project Details'!$E$17:$E$10003, "",0),dd_design_raw!$A$2:$A$9997,dd_design_raw!$C$2:$C$9997,"",0)</f>
        <v>0</v>
      </c>
      <c r="C284" s="16"/>
      <c r="D284" s="16" t="str" cm="1">
        <f t="array" ref="D284">IF(C284&lt;&gt;"", _xlfn.IFS(I284="Height SLI",_xlfn.XLOOKUP(C284,'calc_s90&amp;138'!$C$15:$C$1000,'calc_s90&amp;138'!$AC$15:$AC$1000,"",0),  I284="Width", _xlfn.XLOOKUP(C284,'calc_s90&amp;138'!$C$15:$C$1000,'calc_s90&amp;138'!$AE$15:$AE$1000,"",0)),"")</f>
        <v/>
      </c>
      <c r="E284" s="16" t="str" cm="1">
        <f t="array" ref="E284">IF(C284&lt;&gt;"", _xlfn.XLOOKUP(1,((SKUs!$A$2:$A$10001=cl_unmerged!B284) * (ISNUMBER(SEARCH("Sash66",SKUs!$J$2:$J$10001)))), SKUs!$J$2:$J$10001,""),"") &amp; _xlfn.IFS(I284="Height", ", H",I284="Height SLI", ", H SLI", I284="Height FIX", ", H FIX",I284="Width", ", W", I284="", "")</f>
        <v/>
      </c>
      <c r="F284" s="33" t="str" cm="1">
        <f t="array" ref="F284">_xlfn.XLOOKUP(1,((SKUs!$A$2:$A$10001=cl_unmerged!B284) * (ISNUMBER(SEARCH("Sash66",SKUs!$J$2:$J$10001)))* (ISNUMBER(SEARCH(A284,SKUs!$C$2:$C$10001)))), SKUs!$C$2:$C$10001,"")</f>
        <v/>
      </c>
      <c r="G284" s="16"/>
      <c r="H284" s="16" t="str" cm="1">
        <f t="array" ref="H284">IF(C284&lt;&gt;"", _xlfn.IFS(I284="Height SLI",_xlfn.XLOOKUP(C284,'calc_s90&amp;138'!$C$15:$C$1000,'calc_s90&amp;138'!$AB$15:$AB$1000,"",0), I284="Width", _xlfn.XLOOKUP(C284,'calc_s90&amp;138'!$C$15:$C$1000,'calc_s90&amp;138'!$AD$15:$AD$1000,"",0)),"")</f>
        <v/>
      </c>
      <c r="I284" s="16" t="str">
        <f t="shared" si="6"/>
        <v/>
      </c>
    </row>
    <row r="285" spans="1:9" ht="13.5" customHeight="1" x14ac:dyDescent="0.25">
      <c r="A285" s="41" t="str">
        <f>_xlfn.XLOOKUP(G285,dd_color!$A$2:$A$8,dd_color!$B$2:$B$8,"",0)</f>
        <v/>
      </c>
      <c r="B285" s="41" t="str">
        <f>_xlfn.XLOOKUP(_xlfn.XLOOKUP(C285,'Project Details'!$C$17:$C$10003,'Project Details'!$E$17:$E$10003, "",0),dd_design_raw!$A$2:$A$9997,dd_design_raw!$C$2:$C$9997,"",0)</f>
        <v/>
      </c>
      <c r="C285" s="16"/>
      <c r="D285" s="16" t="str" cm="1">
        <f t="array" ref="D285">IF(C285&lt;&gt;"", _xlfn.IFS(I285="Height SLI",_xlfn.XLOOKUP(C285,'calc_s90&amp;138'!$C$15:$C$1000,'calc_s90&amp;138'!$AC$15:$AC$1000,"",0),  I285="Width", _xlfn.XLOOKUP(C285,'calc_s90&amp;138'!$C$15:$C$1000,'calc_s90&amp;138'!$AE$15:$AE$1000,"",0)),"")</f>
        <v/>
      </c>
      <c r="E285" s="16" t="str" cm="1">
        <f t="array" ref="E285">IF(C285&lt;&gt;"", _xlfn.XLOOKUP(1,((SKUs!$A$2:$A$10001=cl_unmerged!B285) * (ISNUMBER(SEARCH("Sash66",SKUs!$J$2:$J$10001)))), SKUs!$J$2:$J$10001,""),"") &amp; _xlfn.IFS(I285="Height", ", H",I285="Height SLI", ", H SLI", I285="Height FIX", ", H FIX",I285="Width", ", W", I285="", "")</f>
        <v/>
      </c>
      <c r="F285" s="33" t="str" cm="1">
        <f t="array" ref="F285">_xlfn.XLOOKUP(1,((SKUs!$A$2:$A$10001=cl_unmerged!B285) * (ISNUMBER(SEARCH("Sash66",SKUs!$J$2:$J$10001)))* (ISNUMBER(SEARCH(A285,SKUs!$C$2:$C$10001)))), SKUs!$C$2:$C$10001,"")</f>
        <v/>
      </c>
      <c r="G285" s="16"/>
      <c r="H285" s="16" t="str" cm="1">
        <f t="array" ref="H285">IF(C285&lt;&gt;"", _xlfn.IFS(I285="Height SLI",_xlfn.XLOOKUP(C285,'calc_s90&amp;138'!$C$15:$C$1000,'calc_s90&amp;138'!$AB$15:$AB$1000,"",0), I285="Width", _xlfn.XLOOKUP(C285,'calc_s90&amp;138'!$C$15:$C$1000,'calc_s90&amp;138'!$AD$15:$AD$1000,"",0)),"")</f>
        <v/>
      </c>
      <c r="I285" s="16" t="str">
        <f t="shared" si="6"/>
        <v/>
      </c>
    </row>
    <row r="286" spans="1:9" ht="13.5" customHeight="1" x14ac:dyDescent="0.25">
      <c r="A286" s="41" t="str">
        <f>_xlfn.XLOOKUP(G286,dd_color!$A$2:$A$8,dd_color!$B$2:$B$8,"",0)</f>
        <v/>
      </c>
      <c r="B286" s="41" t="str">
        <f>_xlfn.XLOOKUP(_xlfn.XLOOKUP(C286,'Project Details'!$C$17:$C$10003,'Project Details'!$E$17:$E$10003, "",0),dd_design_raw!$A$2:$A$9997,dd_design_raw!$C$2:$C$9997,"",0)</f>
        <v/>
      </c>
      <c r="C286" s="16"/>
      <c r="D286" s="16" t="str" cm="1">
        <f t="array" ref="D286">IF(C286&lt;&gt;"", _xlfn.IFS(I286="Height SLI",_xlfn.XLOOKUP(C286,'calc_s90&amp;138'!$C$15:$C$1000,'calc_s90&amp;138'!$AC$15:$AC$1000,"",0),  I286="Width", _xlfn.XLOOKUP(C286,'calc_s90&amp;138'!$C$15:$C$1000,'calc_s90&amp;138'!$AE$15:$AE$1000,"",0)),"")</f>
        <v/>
      </c>
      <c r="E286" s="16" t="str" cm="1">
        <f t="array" ref="E286">IF(C286&lt;&gt;"", _xlfn.XLOOKUP(1,((SKUs!$A$2:$A$10001=cl_unmerged!B286) * (ISNUMBER(SEARCH("Sash66",SKUs!$J$2:$J$10001)))), SKUs!$J$2:$J$10001,""),"") &amp; _xlfn.IFS(I286="Height", ", H",I286="Height SLI", ", H SLI", I286="Height FIX", ", H FIX",I286="Width", ", W", I286="", "")</f>
        <v/>
      </c>
      <c r="F286" s="33" t="str" cm="1">
        <f t="array" ref="F286">_xlfn.XLOOKUP(1,((SKUs!$A$2:$A$10001=cl_unmerged!B286) * (ISNUMBER(SEARCH("Sash66",SKUs!$J$2:$J$10001)))* (ISNUMBER(SEARCH(A286,SKUs!$C$2:$C$10001)))), SKUs!$C$2:$C$10001,"")</f>
        <v/>
      </c>
      <c r="G286" s="16"/>
      <c r="H286" s="16" t="str" cm="1">
        <f t="array" ref="H286">IF(C286&lt;&gt;"", _xlfn.IFS(I286="Height SLI",_xlfn.XLOOKUP(C286,'calc_s90&amp;138'!$C$15:$C$1000,'calc_s90&amp;138'!$AB$15:$AB$1000,"",0), I286="Width", _xlfn.XLOOKUP(C286,'calc_s90&amp;138'!$C$15:$C$1000,'calc_s90&amp;138'!$AD$15:$AD$1000,"",0)),"")</f>
        <v/>
      </c>
      <c r="I286" s="16" t="str">
        <f t="shared" si="6"/>
        <v/>
      </c>
    </row>
    <row r="287" spans="1:9" ht="13.5" customHeight="1" x14ac:dyDescent="0.25">
      <c r="A287" s="41" t="str">
        <f>_xlfn.XLOOKUP(G287,dd_color!$A$2:$A$8,dd_color!$B$2:$B$8,"",0)</f>
        <v/>
      </c>
      <c r="B287" s="41" t="str">
        <f>_xlfn.XLOOKUP(_xlfn.XLOOKUP(C287,'Project Details'!$C$17:$C$10003,'Project Details'!$E$17:$E$10003, "",0),dd_design_raw!$A$2:$A$9997,dd_design_raw!$C$2:$C$9997,"",0)</f>
        <v/>
      </c>
      <c r="C287" s="16"/>
      <c r="D287" s="16" t="str" cm="1">
        <f t="array" ref="D287">IF(C287&lt;&gt;"", _xlfn.IFS(I287="Height SLI",_xlfn.XLOOKUP(C287,'calc_s90&amp;138'!$C$15:$C$1000,'calc_s90&amp;138'!$AC$15:$AC$1000,"",0),  I287="Width", _xlfn.XLOOKUP(C287,'calc_s90&amp;138'!$C$15:$C$1000,'calc_s90&amp;138'!$AE$15:$AE$1000,"",0)),"")</f>
        <v/>
      </c>
      <c r="E287" s="16" t="str" cm="1">
        <f t="array" ref="E287">IF(C287&lt;&gt;"", _xlfn.XLOOKUP(1,((SKUs!$A$2:$A$10001=cl_unmerged!B287) * (ISNUMBER(SEARCH("Sash66",SKUs!$J$2:$J$10001)))), SKUs!$J$2:$J$10001,""),"") &amp; _xlfn.IFS(I287="Height", ", H",I287="Height SLI", ", H SLI", I287="Height FIX", ", H FIX",I287="Width", ", W", I287="", "")</f>
        <v/>
      </c>
      <c r="F287" s="33" t="str" cm="1">
        <f t="array" ref="F287">_xlfn.XLOOKUP(1,((SKUs!$A$2:$A$10001=cl_unmerged!B287) * (ISNUMBER(SEARCH("Sash66",SKUs!$J$2:$J$10001)))* (ISNUMBER(SEARCH(A287,SKUs!$C$2:$C$10001)))), SKUs!$C$2:$C$10001,"")</f>
        <v/>
      </c>
      <c r="G287" s="16"/>
      <c r="H287" s="16" t="str" cm="1">
        <f t="array" ref="H287">IF(C287&lt;&gt;"", _xlfn.IFS(I287="Height SLI",_xlfn.XLOOKUP(C287,'calc_s90&amp;138'!$C$15:$C$1000,'calc_s90&amp;138'!$AB$15:$AB$1000,"",0), I287="Width", _xlfn.XLOOKUP(C287,'calc_s90&amp;138'!$C$15:$C$1000,'calc_s90&amp;138'!$AD$15:$AD$1000,"",0)),"")</f>
        <v/>
      </c>
      <c r="I287" s="16" t="str">
        <f t="shared" si="6"/>
        <v/>
      </c>
    </row>
    <row r="288" spans="1:9" ht="13.5" customHeight="1" x14ac:dyDescent="0.25">
      <c r="A288" s="41" t="str">
        <f>_xlfn.XLOOKUP(G288,dd_color!$A$2:$A$8,dd_color!$B$2:$B$8,"",0)</f>
        <v/>
      </c>
      <c r="B288" s="41" t="str">
        <f>_xlfn.XLOOKUP(_xlfn.XLOOKUP(C288,'Project Details'!$C$17:$C$10003,'Project Details'!$E$17:$E$10003, "",0),dd_design_raw!$A$2:$A$9997,dd_design_raw!$C$2:$C$9997,"",0)</f>
        <v/>
      </c>
      <c r="C288" s="16"/>
      <c r="D288" s="16" t="str" cm="1">
        <f t="array" ref="D288">IF(C288&lt;&gt;"", _xlfn.IFS(I288="Height SLI",_xlfn.XLOOKUP(C288,'calc_s90&amp;138'!$C$15:$C$1000,'calc_s90&amp;138'!$AC$15:$AC$1000,"",0),  I288="Width", _xlfn.XLOOKUP(C288,'calc_s90&amp;138'!$C$15:$C$1000,'calc_s90&amp;138'!$AE$15:$AE$1000,"",0)),"")</f>
        <v/>
      </c>
      <c r="E288" s="16" t="str" cm="1">
        <f t="array" ref="E288">IF(C288&lt;&gt;"", _xlfn.XLOOKUP(1,((SKUs!$A$2:$A$10001=cl_unmerged!B288) * (ISNUMBER(SEARCH("Sash66",SKUs!$J$2:$J$10001)))), SKUs!$J$2:$J$10001,""),"") &amp; _xlfn.IFS(I288="Height", ", H",I288="Height SLI", ", H SLI", I288="Height FIX", ", H FIX",I288="Width", ", W", I288="", "")</f>
        <v/>
      </c>
      <c r="F288" s="33" t="str" cm="1">
        <f t="array" ref="F288">_xlfn.XLOOKUP(1,((SKUs!$A$2:$A$10001=cl_unmerged!B288) * (ISNUMBER(SEARCH("Sash66",SKUs!$J$2:$J$10001)))* (ISNUMBER(SEARCH(A288,SKUs!$C$2:$C$10001)))), SKUs!$C$2:$C$10001,"")</f>
        <v/>
      </c>
      <c r="G288" s="16"/>
      <c r="H288" s="16" t="str" cm="1">
        <f t="array" ref="H288">IF(C288&lt;&gt;"", _xlfn.IFS(I288="Height SLI",_xlfn.XLOOKUP(C288,'calc_s90&amp;138'!$C$15:$C$1000,'calc_s90&amp;138'!$AB$15:$AB$1000,"",0), I288="Width", _xlfn.XLOOKUP(C288,'calc_s90&amp;138'!$C$15:$C$1000,'calc_s90&amp;138'!$AD$15:$AD$1000,"",0)),"")</f>
        <v/>
      </c>
      <c r="I288" s="16" t="str">
        <f t="shared" si="6"/>
        <v/>
      </c>
    </row>
    <row r="289" spans="1:9" ht="13.5" customHeight="1" x14ac:dyDescent="0.25">
      <c r="A289" s="41" t="str">
        <f>_xlfn.XLOOKUP(G289,dd_color!$A$2:$A$8,dd_color!$B$2:$B$8,"",0)</f>
        <v/>
      </c>
      <c r="B289" s="41">
        <f>_xlfn.XLOOKUP(_xlfn.XLOOKUP(C289,'Project Details'!$C$17:$C$10003,'Project Details'!$E$17:$E$10003, "",0),dd_design_raw!$A$2:$A$9997,dd_design_raw!$C$2:$C$9997,"",0)</f>
        <v>0</v>
      </c>
      <c r="C289" s="16"/>
      <c r="D289" s="16" t="str" cm="1">
        <f t="array" ref="D289">IF(C289&lt;&gt;"", _xlfn.IFS(I289="Height SLI",_xlfn.XLOOKUP(C289,'calc_s90&amp;138'!$C$15:$C$1000,'calc_s90&amp;138'!$AC$15:$AC$1000,"",0),  I289="Width", _xlfn.XLOOKUP(C289,'calc_s90&amp;138'!$C$15:$C$1000,'calc_s90&amp;138'!$AE$15:$AE$1000,"",0)),"")</f>
        <v/>
      </c>
      <c r="E289" s="16" t="str" cm="1">
        <f t="array" ref="E289">IF(C289&lt;&gt;"", _xlfn.XLOOKUP(1,((SKUs!$A$2:$A$10001=cl_unmerged!B289) * (ISNUMBER(SEARCH("Sash66",SKUs!$J$2:$J$10001)))), SKUs!$J$2:$J$10001,""),"") &amp; _xlfn.IFS(I289="Height", ", H",I289="Height SLI", ", H SLI", I289="Height FIX", ", H FIX",I289="Width", ", W", I289="", "")</f>
        <v/>
      </c>
      <c r="F289" s="33" t="str" cm="1">
        <f t="array" ref="F289">_xlfn.XLOOKUP(1,((SKUs!$A$2:$A$10001=cl_unmerged!B289) * (ISNUMBER(SEARCH("Sash66",SKUs!$J$2:$J$10001)))* (ISNUMBER(SEARCH(A289,SKUs!$C$2:$C$10001)))), SKUs!$C$2:$C$10001,"")</f>
        <v/>
      </c>
      <c r="G289" s="16"/>
      <c r="H289" s="16" t="str" cm="1">
        <f t="array" ref="H289">IF(C289&lt;&gt;"", _xlfn.IFS(I289="Height SLI",_xlfn.XLOOKUP(C289,'calc_s90&amp;138'!$C$15:$C$1000,'calc_s90&amp;138'!$AB$15:$AB$1000,"",0), I289="Width", _xlfn.XLOOKUP(C289,'calc_s90&amp;138'!$C$15:$C$1000,'calc_s90&amp;138'!$AD$15:$AD$1000,"",0)),"")</f>
        <v/>
      </c>
      <c r="I289" s="16" t="str">
        <f t="shared" si="6"/>
        <v/>
      </c>
    </row>
    <row r="290" spans="1:9" ht="13.5" customHeight="1" x14ac:dyDescent="0.25">
      <c r="A290" s="41" t="str">
        <f>_xlfn.XLOOKUP(G290,dd_color!$A$2:$A$8,dd_color!$B$2:$B$8,"",0)</f>
        <v/>
      </c>
      <c r="B290" s="41">
        <f>_xlfn.XLOOKUP(_xlfn.XLOOKUP(C290,'Project Details'!$C$17:$C$10003,'Project Details'!$E$17:$E$10003, "",0),dd_design_raw!$A$2:$A$9997,dd_design_raw!$C$2:$C$9997,"",0)</f>
        <v>0</v>
      </c>
      <c r="C290" s="16"/>
      <c r="D290" s="16" t="str" cm="1">
        <f t="array" ref="D290">IF(C290&lt;&gt;"", _xlfn.IFS(I290="Height SLI",_xlfn.XLOOKUP(C290,'calc_s90&amp;138'!$C$15:$C$1000,'calc_s90&amp;138'!$AC$15:$AC$1000,"",0),  I290="Width", _xlfn.XLOOKUP(C290,'calc_s90&amp;138'!$C$15:$C$1000,'calc_s90&amp;138'!$AE$15:$AE$1000,"",0)),"")</f>
        <v/>
      </c>
      <c r="E290" s="16" t="str" cm="1">
        <f t="array" ref="E290">IF(C290&lt;&gt;"", _xlfn.XLOOKUP(1,((SKUs!$A$2:$A$10001=cl_unmerged!B290) * (ISNUMBER(SEARCH("Sash66",SKUs!$J$2:$J$10001)))), SKUs!$J$2:$J$10001,""),"") &amp; _xlfn.IFS(I290="Height", ", H",I290="Height SLI", ", H SLI", I290="Height FIX", ", H FIX",I290="Width", ", W", I290="", "")</f>
        <v/>
      </c>
      <c r="F290" s="33" t="str" cm="1">
        <f t="array" ref="F290">_xlfn.XLOOKUP(1,((SKUs!$A$2:$A$10001=cl_unmerged!B290) * (ISNUMBER(SEARCH("Sash66",SKUs!$J$2:$J$10001)))* (ISNUMBER(SEARCH(A290,SKUs!$C$2:$C$10001)))), SKUs!$C$2:$C$10001,"")</f>
        <v/>
      </c>
      <c r="G290" s="16"/>
      <c r="H290" s="16" t="str" cm="1">
        <f t="array" ref="H290">IF(C290&lt;&gt;"", _xlfn.IFS(I290="Height SLI",_xlfn.XLOOKUP(C290,'calc_s90&amp;138'!$C$15:$C$1000,'calc_s90&amp;138'!$AB$15:$AB$1000,"",0), I290="Width", _xlfn.XLOOKUP(C290,'calc_s90&amp;138'!$C$15:$C$1000,'calc_s90&amp;138'!$AD$15:$AD$1000,"",0)),"")</f>
        <v/>
      </c>
      <c r="I290" s="16" t="str">
        <f t="shared" si="6"/>
        <v/>
      </c>
    </row>
    <row r="291" spans="1:9" ht="13.5" customHeight="1" x14ac:dyDescent="0.25">
      <c r="A291" s="41" t="str">
        <f>_xlfn.XLOOKUP(G291,dd_color!$A$2:$A$8,dd_color!$B$2:$B$8,"",0)</f>
        <v/>
      </c>
      <c r="B291" s="41">
        <f>_xlfn.XLOOKUP(_xlfn.XLOOKUP(C291,'Project Details'!$C$17:$C$10003,'Project Details'!$E$17:$E$10003, "",0),dd_design_raw!$A$2:$A$9997,dd_design_raw!$C$2:$C$9997,"",0)</f>
        <v>0</v>
      </c>
      <c r="C291" s="16"/>
      <c r="D291" s="16" t="str" cm="1">
        <f t="array" ref="D291">IF(C291&lt;&gt;"", _xlfn.IFS(I291="Height SLI",_xlfn.XLOOKUP(C291,'calc_s90&amp;138'!$C$15:$C$1000,'calc_s90&amp;138'!$AC$15:$AC$1000,"",0),  I291="Width", _xlfn.XLOOKUP(C291,'calc_s90&amp;138'!$C$15:$C$1000,'calc_s90&amp;138'!$AE$15:$AE$1000,"",0)),"")</f>
        <v/>
      </c>
      <c r="E291" s="16" t="str" cm="1">
        <f t="array" ref="E291">IF(C291&lt;&gt;"", _xlfn.XLOOKUP(1,((SKUs!$A$2:$A$10001=cl_unmerged!B291) * (ISNUMBER(SEARCH("Sash66",SKUs!$J$2:$J$10001)))), SKUs!$J$2:$J$10001,""),"") &amp; _xlfn.IFS(I291="Height", ", H",I291="Height SLI", ", H SLI", I291="Height FIX", ", H FIX",I291="Width", ", W", I291="", "")</f>
        <v/>
      </c>
      <c r="F291" s="33" t="str" cm="1">
        <f t="array" ref="F291">_xlfn.XLOOKUP(1,((SKUs!$A$2:$A$10001=cl_unmerged!B291) * (ISNUMBER(SEARCH("Sash66",SKUs!$J$2:$J$10001)))* (ISNUMBER(SEARCH(A291,SKUs!$C$2:$C$10001)))), SKUs!$C$2:$C$10001,"")</f>
        <v/>
      </c>
      <c r="G291" s="16"/>
      <c r="H291" s="16" t="str" cm="1">
        <f t="array" ref="H291">IF(C291&lt;&gt;"", _xlfn.IFS(I291="Height SLI",_xlfn.XLOOKUP(C291,'calc_s90&amp;138'!$C$15:$C$1000,'calc_s90&amp;138'!$AB$15:$AB$1000,"",0), I291="Width", _xlfn.XLOOKUP(C291,'calc_s90&amp;138'!$C$15:$C$1000,'calc_s90&amp;138'!$AD$15:$AD$1000,"",0)),"")</f>
        <v/>
      </c>
      <c r="I291" s="16" t="str">
        <f t="shared" si="6"/>
        <v/>
      </c>
    </row>
    <row r="292" spans="1:9" ht="13.5" customHeight="1" x14ac:dyDescent="0.25">
      <c r="A292" s="41" t="str">
        <f>_xlfn.XLOOKUP(G292,dd_color!$A$2:$A$8,dd_color!$B$2:$B$8,"",0)</f>
        <v/>
      </c>
      <c r="B292" s="41">
        <f>_xlfn.XLOOKUP(_xlfn.XLOOKUP(C292,'Project Details'!$C$17:$C$10003,'Project Details'!$E$17:$E$10003, "",0),dd_design_raw!$A$2:$A$9997,dd_design_raw!$C$2:$C$9997,"",0)</f>
        <v>0</v>
      </c>
      <c r="C292" s="16"/>
      <c r="D292" s="16" t="str" cm="1">
        <f t="array" ref="D292">IF(C292&lt;&gt;"", _xlfn.IFS(I292="Height SLI",_xlfn.XLOOKUP(C292,'calc_s90&amp;138'!$C$15:$C$1000,'calc_s90&amp;138'!$AC$15:$AC$1000,"",0),  I292="Width", _xlfn.XLOOKUP(C292,'calc_s90&amp;138'!$C$15:$C$1000,'calc_s90&amp;138'!$AE$15:$AE$1000,"",0)),"")</f>
        <v/>
      </c>
      <c r="E292" s="16" t="str" cm="1">
        <f t="array" ref="E292">IF(C292&lt;&gt;"", _xlfn.XLOOKUP(1,((SKUs!$A$2:$A$10001=cl_unmerged!B292) * (ISNUMBER(SEARCH("Sash66",SKUs!$J$2:$J$10001)))), SKUs!$J$2:$J$10001,""),"") &amp; _xlfn.IFS(I292="Height", ", H",I292="Height SLI", ", H SLI", I292="Height FIX", ", H FIX",I292="Width", ", W", I292="", "")</f>
        <v/>
      </c>
      <c r="F292" s="33" t="str" cm="1">
        <f t="array" ref="F292">_xlfn.XLOOKUP(1,((SKUs!$A$2:$A$10001=cl_unmerged!B292) * (ISNUMBER(SEARCH("Sash66",SKUs!$J$2:$J$10001)))* (ISNUMBER(SEARCH(A292,SKUs!$C$2:$C$10001)))), SKUs!$C$2:$C$10001,"")</f>
        <v/>
      </c>
      <c r="G292" s="16"/>
      <c r="H292" s="16" t="str" cm="1">
        <f t="array" ref="H292">IF(C292&lt;&gt;"", _xlfn.IFS(I292="Height SLI",_xlfn.XLOOKUP(C292,'calc_s90&amp;138'!$C$15:$C$1000,'calc_s90&amp;138'!$AB$15:$AB$1000,"",0), I292="Width", _xlfn.XLOOKUP(C292,'calc_s90&amp;138'!$C$15:$C$1000,'calc_s90&amp;138'!$AD$15:$AD$1000,"",0)),"")</f>
        <v/>
      </c>
      <c r="I292" s="16" t="str">
        <f t="shared" si="6"/>
        <v/>
      </c>
    </row>
    <row r="293" spans="1:9" ht="13.5" customHeight="1" x14ac:dyDescent="0.25">
      <c r="A293" s="41" t="str">
        <f>_xlfn.XLOOKUP(G293,dd_color!$A$2:$A$8,dd_color!$B$2:$B$8,"",0)</f>
        <v/>
      </c>
      <c r="B293" s="41">
        <f>_xlfn.XLOOKUP(_xlfn.XLOOKUP(C293,'Project Details'!$C$17:$C$10003,'Project Details'!$E$17:$E$10003, "",0),dd_design_raw!$A$2:$A$9997,dd_design_raw!$C$2:$C$9997,"",0)</f>
        <v>0</v>
      </c>
      <c r="C293" s="16"/>
      <c r="D293" s="16" t="str" cm="1">
        <f t="array" ref="D293">IF(C293&lt;&gt;"", _xlfn.IFS(I293="Height SLI",_xlfn.XLOOKUP(C293,'calc_s90&amp;138'!$C$15:$C$1000,'calc_s90&amp;138'!$AC$15:$AC$1000,"",0),  I293="Width", _xlfn.XLOOKUP(C293,'calc_s90&amp;138'!$C$15:$C$1000,'calc_s90&amp;138'!$AE$15:$AE$1000,"",0)),"")</f>
        <v/>
      </c>
      <c r="E293" s="16" t="str" cm="1">
        <f t="array" ref="E293">IF(C293&lt;&gt;"", _xlfn.XLOOKUP(1,((SKUs!$A$2:$A$10001=cl_unmerged!B293) * (ISNUMBER(SEARCH("Sash66",SKUs!$J$2:$J$10001)))), SKUs!$J$2:$J$10001,""),"") &amp; _xlfn.IFS(I293="Height", ", H",I293="Height SLI", ", H SLI", I293="Height FIX", ", H FIX",I293="Width", ", W", I293="", "")</f>
        <v/>
      </c>
      <c r="F293" s="33" t="str" cm="1">
        <f t="array" ref="F293">_xlfn.XLOOKUP(1,((SKUs!$A$2:$A$10001=cl_unmerged!B293) * (ISNUMBER(SEARCH("Sash66",SKUs!$J$2:$J$10001)))* (ISNUMBER(SEARCH(A293,SKUs!$C$2:$C$10001)))), SKUs!$C$2:$C$10001,"")</f>
        <v/>
      </c>
      <c r="G293" s="16"/>
      <c r="H293" s="16" t="str" cm="1">
        <f t="array" ref="H293">IF(C293&lt;&gt;"", _xlfn.IFS(I293="Height SLI",_xlfn.XLOOKUP(C293,'calc_s90&amp;138'!$C$15:$C$1000,'calc_s90&amp;138'!$AB$15:$AB$1000,"",0), I293="Width", _xlfn.XLOOKUP(C293,'calc_s90&amp;138'!$C$15:$C$1000,'calc_s90&amp;138'!$AD$15:$AD$1000,"",0)),"")</f>
        <v/>
      </c>
      <c r="I293" s="16" t="str">
        <f t="shared" si="6"/>
        <v/>
      </c>
    </row>
    <row r="294" spans="1:9" ht="13.5" customHeight="1" x14ac:dyDescent="0.25">
      <c r="A294" s="41" t="str">
        <f>_xlfn.XLOOKUP(G294,dd_color!$A$2:$A$8,dd_color!$B$2:$B$8,"",0)</f>
        <v/>
      </c>
      <c r="B294" s="41">
        <f>_xlfn.XLOOKUP(_xlfn.XLOOKUP(C294,'Project Details'!$C$17:$C$10003,'Project Details'!$E$17:$E$10003, "",0),dd_design_raw!$A$2:$A$9997,dd_design_raw!$C$2:$C$9997,"",0)</f>
        <v>0</v>
      </c>
      <c r="C294" s="16"/>
      <c r="D294" s="16" t="str" cm="1">
        <f t="array" ref="D294">IF(C294&lt;&gt;"", _xlfn.IFS(I294="Height SLI",_xlfn.XLOOKUP(C294,'calc_s90&amp;138'!$C$15:$C$1000,'calc_s90&amp;138'!$AC$15:$AC$1000,"",0),  I294="Width", _xlfn.XLOOKUP(C294,'calc_s90&amp;138'!$C$15:$C$1000,'calc_s90&amp;138'!$AE$15:$AE$1000,"",0)),"")</f>
        <v/>
      </c>
      <c r="E294" s="16" t="str" cm="1">
        <f t="array" ref="E294">IF(C294&lt;&gt;"", _xlfn.XLOOKUP(1,((SKUs!$A$2:$A$10001=cl_unmerged!B294) * (ISNUMBER(SEARCH("Sash66",SKUs!$J$2:$J$10001)))), SKUs!$J$2:$J$10001,""),"") &amp; _xlfn.IFS(I294="Height", ", H",I294="Height SLI", ", H SLI", I294="Height FIX", ", H FIX",I294="Width", ", W", I294="", "")</f>
        <v/>
      </c>
      <c r="F294" s="33" t="str" cm="1">
        <f t="array" ref="F294">_xlfn.XLOOKUP(1,((SKUs!$A$2:$A$10001=cl_unmerged!B294) * (ISNUMBER(SEARCH("Sash66",SKUs!$J$2:$J$10001)))* (ISNUMBER(SEARCH(A294,SKUs!$C$2:$C$10001)))), SKUs!$C$2:$C$10001,"")</f>
        <v/>
      </c>
      <c r="G294" s="16"/>
      <c r="H294" s="16" t="str" cm="1">
        <f t="array" ref="H294">IF(C294&lt;&gt;"", _xlfn.IFS(I294="Height SLI",_xlfn.XLOOKUP(C294,'calc_s90&amp;138'!$C$15:$C$1000,'calc_s90&amp;138'!$AB$15:$AB$1000,"",0), I294="Width", _xlfn.XLOOKUP(C294,'calc_s90&amp;138'!$C$15:$C$1000,'calc_s90&amp;138'!$AD$15:$AD$1000,"",0)),"")</f>
        <v/>
      </c>
      <c r="I294" s="16" t="str">
        <f t="shared" si="6"/>
        <v/>
      </c>
    </row>
    <row r="295" spans="1:9" ht="13.5" customHeight="1" x14ac:dyDescent="0.25">
      <c r="A295" s="41" t="str">
        <f>_xlfn.XLOOKUP(G295,dd_color!$A$2:$A$8,dd_color!$B$2:$B$8,"",0)</f>
        <v/>
      </c>
      <c r="B295" s="41">
        <f>_xlfn.XLOOKUP(_xlfn.XLOOKUP(C295,'Project Details'!$C$17:$C$10003,'Project Details'!$E$17:$E$10003, "",0),dd_design_raw!$A$2:$A$9997,dd_design_raw!$C$2:$C$9997,"",0)</f>
        <v>0</v>
      </c>
      <c r="C295" s="16"/>
      <c r="D295" s="16" t="str" cm="1">
        <f t="array" ref="D295">IF(C295&lt;&gt;"", _xlfn.IFS(I295="Height SLI",_xlfn.XLOOKUP(C295,'calc_s90&amp;138'!$C$15:$C$1000,'calc_s90&amp;138'!$AC$15:$AC$1000,"",0),  I295="Width", _xlfn.XLOOKUP(C295,'calc_s90&amp;138'!$C$15:$C$1000,'calc_s90&amp;138'!$AE$15:$AE$1000,"",0)),"")</f>
        <v/>
      </c>
      <c r="E295" s="16" t="str" cm="1">
        <f t="array" ref="E295">IF(C295&lt;&gt;"", _xlfn.XLOOKUP(1,((SKUs!$A$2:$A$10001=cl_unmerged!B295) * (ISNUMBER(SEARCH("Sash66",SKUs!$J$2:$J$10001)))), SKUs!$J$2:$J$10001,""),"") &amp; _xlfn.IFS(I295="Height", ", H",I295="Height SLI", ", H SLI", I295="Height FIX", ", H FIX",I295="Width", ", W", I295="", "")</f>
        <v/>
      </c>
      <c r="F295" s="33" t="str" cm="1">
        <f t="array" ref="F295">_xlfn.XLOOKUP(1,((SKUs!$A$2:$A$10001=cl_unmerged!B295) * (ISNUMBER(SEARCH("Sash66",SKUs!$J$2:$J$10001)))* (ISNUMBER(SEARCH(A295,SKUs!$C$2:$C$10001)))), SKUs!$C$2:$C$10001,"")</f>
        <v/>
      </c>
      <c r="G295" s="16"/>
      <c r="H295" s="16" t="str" cm="1">
        <f t="array" ref="H295">IF(C295&lt;&gt;"", _xlfn.IFS(I295="Height SLI",_xlfn.XLOOKUP(C295,'calc_s90&amp;138'!$C$15:$C$1000,'calc_s90&amp;138'!$AB$15:$AB$1000,"",0), I295="Width", _xlfn.XLOOKUP(C295,'calc_s90&amp;138'!$C$15:$C$1000,'calc_s90&amp;138'!$AD$15:$AD$1000,"",0)),"")</f>
        <v/>
      </c>
      <c r="I295" s="16" t="str">
        <f t="shared" si="6"/>
        <v/>
      </c>
    </row>
    <row r="296" spans="1:9" ht="13.5" customHeight="1" x14ac:dyDescent="0.25">
      <c r="A296" s="41" t="str">
        <f>_xlfn.XLOOKUP(G296,dd_color!$A$2:$A$8,dd_color!$B$2:$B$8,"",0)</f>
        <v/>
      </c>
      <c r="B296" s="41">
        <f>_xlfn.XLOOKUP(_xlfn.XLOOKUP(C296,'Project Details'!$C$17:$C$10003,'Project Details'!$E$17:$E$10003, "",0),dd_design_raw!$A$2:$A$9997,dd_design_raw!$C$2:$C$9997,"",0)</f>
        <v>0</v>
      </c>
      <c r="C296" s="16"/>
      <c r="D296" s="16" t="str" cm="1">
        <f t="array" ref="D296">IF(C296&lt;&gt;"", _xlfn.IFS(I296="Height SLI",_xlfn.XLOOKUP(C296,'calc_s90&amp;138'!$C$15:$C$1000,'calc_s90&amp;138'!$AC$15:$AC$1000,"",0),  I296="Width", _xlfn.XLOOKUP(C296,'calc_s90&amp;138'!$C$15:$C$1000,'calc_s90&amp;138'!$AE$15:$AE$1000,"",0)),"")</f>
        <v/>
      </c>
      <c r="E296" s="16" t="str" cm="1">
        <f t="array" ref="E296">IF(C296&lt;&gt;"", _xlfn.XLOOKUP(1,((SKUs!$A$2:$A$10001=cl_unmerged!B296) * (ISNUMBER(SEARCH("Sash66",SKUs!$J$2:$J$10001)))), SKUs!$J$2:$J$10001,""),"") &amp; _xlfn.IFS(I296="Height", ", H",I296="Height SLI", ", H SLI", I296="Height FIX", ", H FIX",I296="Width", ", W", I296="", "")</f>
        <v/>
      </c>
      <c r="F296" s="33" t="str" cm="1">
        <f t="array" ref="F296">_xlfn.XLOOKUP(1,((SKUs!$A$2:$A$10001=cl_unmerged!B296) * (ISNUMBER(SEARCH("Sash66",SKUs!$J$2:$J$10001)))* (ISNUMBER(SEARCH(A296,SKUs!$C$2:$C$10001)))), SKUs!$C$2:$C$10001,"")</f>
        <v/>
      </c>
      <c r="G296" s="16"/>
      <c r="H296" s="16" t="str" cm="1">
        <f t="array" ref="H296">IF(C296&lt;&gt;"", _xlfn.IFS(I296="Height SLI",_xlfn.XLOOKUP(C296,'calc_s90&amp;138'!$C$15:$C$1000,'calc_s90&amp;138'!$AB$15:$AB$1000,"",0), I296="Width", _xlfn.XLOOKUP(C296,'calc_s90&amp;138'!$C$15:$C$1000,'calc_s90&amp;138'!$AD$15:$AD$1000,"",0)),"")</f>
        <v/>
      </c>
      <c r="I296" s="16" t="str">
        <f t="shared" si="6"/>
        <v/>
      </c>
    </row>
    <row r="297" spans="1:9" ht="13.5" customHeight="1" x14ac:dyDescent="0.25">
      <c r="A297" s="41" t="str">
        <f>_xlfn.XLOOKUP(G297,dd_color!$A$2:$A$8,dd_color!$B$2:$B$8,"",0)</f>
        <v/>
      </c>
      <c r="B297" s="41">
        <f>_xlfn.XLOOKUP(_xlfn.XLOOKUP(C297,'Project Details'!$C$17:$C$10003,'Project Details'!$E$17:$E$10003, "",0),dd_design_raw!$A$2:$A$9997,dd_design_raw!$C$2:$C$9997,"",0)</f>
        <v>0</v>
      </c>
      <c r="C297" s="16"/>
      <c r="D297" s="16" t="str" cm="1">
        <f t="array" ref="D297">IF(C297&lt;&gt;"", _xlfn.IFS(I297="Height SLI",_xlfn.XLOOKUP(C297,'calc_s90&amp;138'!$C$15:$C$1000,'calc_s90&amp;138'!$AC$15:$AC$1000,"",0),  I297="Width", _xlfn.XLOOKUP(C297,'calc_s90&amp;138'!$C$15:$C$1000,'calc_s90&amp;138'!$AE$15:$AE$1000,"",0)),"")</f>
        <v/>
      </c>
      <c r="E297" s="16" t="str" cm="1">
        <f t="array" ref="E297">IF(C297&lt;&gt;"", _xlfn.XLOOKUP(1,((SKUs!$A$2:$A$10001=cl_unmerged!B297) * (ISNUMBER(SEARCH("Sash66",SKUs!$J$2:$J$10001)))), SKUs!$J$2:$J$10001,""),"") &amp; _xlfn.IFS(I297="Height", ", H",I297="Height SLI", ", H SLI", I297="Height FIX", ", H FIX",I297="Width", ", W", I297="", "")</f>
        <v/>
      </c>
      <c r="F297" s="33" t="str" cm="1">
        <f t="array" ref="F297">_xlfn.XLOOKUP(1,((SKUs!$A$2:$A$10001=cl_unmerged!B297) * (ISNUMBER(SEARCH("Sash66",SKUs!$J$2:$J$10001)))* (ISNUMBER(SEARCH(A297,SKUs!$C$2:$C$10001)))), SKUs!$C$2:$C$10001,"")</f>
        <v/>
      </c>
      <c r="G297" s="16"/>
      <c r="H297" s="16" t="str" cm="1">
        <f t="array" ref="H297">IF(C297&lt;&gt;"", _xlfn.IFS(I297="Height SLI",_xlfn.XLOOKUP(C297,'calc_s90&amp;138'!$C$15:$C$1000,'calc_s90&amp;138'!$AB$15:$AB$1000,"",0), I297="Width", _xlfn.XLOOKUP(C297,'calc_s90&amp;138'!$C$15:$C$1000,'calc_s90&amp;138'!$AD$15:$AD$1000,"",0)),"")</f>
        <v/>
      </c>
      <c r="I297" s="16" t="str">
        <f t="shared" si="6"/>
        <v/>
      </c>
    </row>
    <row r="298" spans="1:9" ht="13.5" customHeight="1" x14ac:dyDescent="0.25">
      <c r="A298" s="41" t="str">
        <f>_xlfn.XLOOKUP(G298,dd_color!$A$2:$A$8,dd_color!$B$2:$B$8,"",0)</f>
        <v/>
      </c>
      <c r="B298" s="41">
        <f>_xlfn.XLOOKUP(_xlfn.XLOOKUP(C298,'Project Details'!$C$17:$C$10003,'Project Details'!$E$17:$E$10003, "",0),dd_design_raw!$A$2:$A$9997,dd_design_raw!$C$2:$C$9997,"",0)</f>
        <v>0</v>
      </c>
      <c r="C298" s="16"/>
      <c r="D298" s="16" t="str" cm="1">
        <f t="array" ref="D298">IF(C298&lt;&gt;"", _xlfn.IFS(I298="Height SLI",_xlfn.XLOOKUP(C298,'calc_s90&amp;138'!$C$15:$C$1000,'calc_s90&amp;138'!$AC$15:$AC$1000,"",0),  I298="Width", _xlfn.XLOOKUP(C298,'calc_s90&amp;138'!$C$15:$C$1000,'calc_s90&amp;138'!$AE$15:$AE$1000,"",0)),"")</f>
        <v/>
      </c>
      <c r="E298" s="16" t="str" cm="1">
        <f t="array" ref="E298">IF(C298&lt;&gt;"", _xlfn.XLOOKUP(1,((SKUs!$A$2:$A$10001=cl_unmerged!B298) * (ISNUMBER(SEARCH("Sash66",SKUs!$J$2:$J$10001)))), SKUs!$J$2:$J$10001,""),"") &amp; _xlfn.IFS(I298="Height", ", H",I298="Height SLI", ", H SLI", I298="Height FIX", ", H FIX",I298="Width", ", W", I298="", "")</f>
        <v/>
      </c>
      <c r="F298" s="33" t="str" cm="1">
        <f t="array" ref="F298">_xlfn.XLOOKUP(1,((SKUs!$A$2:$A$10001=cl_unmerged!B298) * (ISNUMBER(SEARCH("Sash66",SKUs!$J$2:$J$10001)))* (ISNUMBER(SEARCH(A298,SKUs!$C$2:$C$10001)))), SKUs!$C$2:$C$10001,"")</f>
        <v/>
      </c>
      <c r="G298" s="16"/>
      <c r="H298" s="16" t="str" cm="1">
        <f t="array" ref="H298">IF(C298&lt;&gt;"", _xlfn.IFS(I298="Height SLI",_xlfn.XLOOKUP(C298,'calc_s90&amp;138'!$C$15:$C$1000,'calc_s90&amp;138'!$AB$15:$AB$1000,"",0), I298="Width", _xlfn.XLOOKUP(C298,'calc_s90&amp;138'!$C$15:$C$1000,'calc_s90&amp;138'!$AD$15:$AD$1000,"",0)),"")</f>
        <v/>
      </c>
      <c r="I298" s="16" t="str">
        <f t="shared" si="6"/>
        <v/>
      </c>
    </row>
    <row r="299" spans="1:9" ht="13.5" customHeight="1" x14ac:dyDescent="0.25">
      <c r="A299" s="41" t="str">
        <f>_xlfn.XLOOKUP(G299,dd_color!$A$2:$A$8,dd_color!$B$2:$B$8,"",0)</f>
        <v/>
      </c>
      <c r="B299" s="41">
        <f>_xlfn.XLOOKUP(_xlfn.XLOOKUP(C299,'Project Details'!$C$17:$C$10003,'Project Details'!$E$17:$E$10003, "",0),dd_design_raw!$A$2:$A$9997,dd_design_raw!$C$2:$C$9997,"",0)</f>
        <v>0</v>
      </c>
      <c r="C299" s="16"/>
      <c r="D299" s="16" t="str" cm="1">
        <f t="array" ref="D299">IF(C299&lt;&gt;"", _xlfn.IFS(I299="Height SLI",_xlfn.XLOOKUP(C299,'calc_s90&amp;138'!$C$15:$C$1000,'calc_s90&amp;138'!$AC$15:$AC$1000,"",0),  I299="Width", _xlfn.XLOOKUP(C299,'calc_s90&amp;138'!$C$15:$C$1000,'calc_s90&amp;138'!$AE$15:$AE$1000,"",0)),"")</f>
        <v/>
      </c>
      <c r="E299" s="16" t="str" cm="1">
        <f t="array" ref="E299">IF(C299&lt;&gt;"", _xlfn.XLOOKUP(1,((SKUs!$A$2:$A$10001=cl_unmerged!B299) * (ISNUMBER(SEARCH("Sash66",SKUs!$J$2:$J$10001)))), SKUs!$J$2:$J$10001,""),"") &amp; _xlfn.IFS(I299="Height", ", H",I299="Height SLI", ", H SLI", I299="Height FIX", ", H FIX",I299="Width", ", W", I299="", "")</f>
        <v/>
      </c>
      <c r="F299" s="33" t="str" cm="1">
        <f t="array" ref="F299">_xlfn.XLOOKUP(1,((SKUs!$A$2:$A$10001=cl_unmerged!B299) * (ISNUMBER(SEARCH("Sash66",SKUs!$J$2:$J$10001)))* (ISNUMBER(SEARCH(A299,SKUs!$C$2:$C$10001)))), SKUs!$C$2:$C$10001,"")</f>
        <v/>
      </c>
      <c r="G299" s="16"/>
      <c r="H299" s="16" t="str" cm="1">
        <f t="array" ref="H299">IF(C299&lt;&gt;"", _xlfn.IFS(I299="Height SLI",_xlfn.XLOOKUP(C299,'calc_s90&amp;138'!$C$15:$C$1000,'calc_s90&amp;138'!$AB$15:$AB$1000,"",0), I299="Width", _xlfn.XLOOKUP(C299,'calc_s90&amp;138'!$C$15:$C$1000,'calc_s90&amp;138'!$AD$15:$AD$1000,"",0)),"")</f>
        <v/>
      </c>
      <c r="I299" s="16" t="str">
        <f t="shared" si="6"/>
        <v/>
      </c>
    </row>
    <row r="300" spans="1:9" ht="13.5" customHeight="1" x14ac:dyDescent="0.25">
      <c r="A300" s="41" t="str">
        <f>_xlfn.XLOOKUP(G300,dd_color!$A$2:$A$8,dd_color!$B$2:$B$8,"",0)</f>
        <v/>
      </c>
      <c r="B300" s="41">
        <f>_xlfn.XLOOKUP(_xlfn.XLOOKUP(C300,'Project Details'!$C$17:$C$10003,'Project Details'!$E$17:$E$10003, "",0),dd_design_raw!$A$2:$A$9997,dd_design_raw!$C$2:$C$9997,"",0)</f>
        <v>0</v>
      </c>
      <c r="C300" s="16"/>
      <c r="D300" s="16" t="str" cm="1">
        <f t="array" ref="D300">IF(C300&lt;&gt;"", _xlfn.IFS(I300="Height SLI",_xlfn.XLOOKUP(C300,'calc_s90&amp;138'!$C$15:$C$1000,'calc_s90&amp;138'!$AC$15:$AC$1000,"",0),  I300="Width", _xlfn.XLOOKUP(C300,'calc_s90&amp;138'!$C$15:$C$1000,'calc_s90&amp;138'!$AE$15:$AE$1000,"",0)),"")</f>
        <v/>
      </c>
      <c r="E300" s="16" t="str" cm="1">
        <f t="array" ref="E300">IF(C300&lt;&gt;"", _xlfn.XLOOKUP(1,((SKUs!$A$2:$A$10001=cl_unmerged!B300) * (ISNUMBER(SEARCH("Sash66",SKUs!$J$2:$J$10001)))), SKUs!$J$2:$J$10001,""),"") &amp; _xlfn.IFS(I300="Height", ", H",I300="Height SLI", ", H SLI", I300="Height FIX", ", H FIX",I300="Width", ", W", I300="", "")</f>
        <v/>
      </c>
      <c r="F300" s="33" t="str" cm="1">
        <f t="array" ref="F300">_xlfn.XLOOKUP(1,((SKUs!$A$2:$A$10001=cl_unmerged!B300) * (ISNUMBER(SEARCH("Sash66",SKUs!$J$2:$J$10001)))* (ISNUMBER(SEARCH(A300,SKUs!$C$2:$C$10001)))), SKUs!$C$2:$C$10001,"")</f>
        <v/>
      </c>
      <c r="G300" s="16"/>
      <c r="H300" s="16" t="str" cm="1">
        <f t="array" ref="H300">IF(C300&lt;&gt;"", _xlfn.IFS(I300="Height SLI",_xlfn.XLOOKUP(C300,'calc_s90&amp;138'!$C$15:$C$1000,'calc_s90&amp;138'!$AB$15:$AB$1000,"",0), I300="Width", _xlfn.XLOOKUP(C300,'calc_s90&amp;138'!$C$15:$C$1000,'calc_s90&amp;138'!$AD$15:$AD$1000,"",0)),"")</f>
        <v/>
      </c>
      <c r="I300" s="16" t="str">
        <f t="shared" si="6"/>
        <v/>
      </c>
    </row>
    <row r="301" spans="1:9" ht="13.5" customHeight="1" x14ac:dyDescent="0.25">
      <c r="A301" s="41" t="str">
        <f>_xlfn.XLOOKUP(G301,dd_color!$A$2:$A$8,dd_color!$B$2:$B$8,"",0)</f>
        <v/>
      </c>
      <c r="B301" s="41">
        <f>_xlfn.XLOOKUP(_xlfn.XLOOKUP(C301,'Project Details'!$C$17:$C$10003,'Project Details'!$E$17:$E$10003, "",0),dd_design_raw!$A$2:$A$9997,dd_design_raw!$C$2:$C$9997,"",0)</f>
        <v>0</v>
      </c>
      <c r="C301" s="16"/>
      <c r="D301" s="16" t="str" cm="1">
        <f t="array" ref="D301">IF(C301&lt;&gt;"", _xlfn.IFS(I301="Height SLI",_xlfn.XLOOKUP(C301,'calc_s90&amp;138'!$C$15:$C$1000,'calc_s90&amp;138'!$AC$15:$AC$1000,"",0),  I301="Width", _xlfn.XLOOKUP(C301,'calc_s90&amp;138'!$C$15:$C$1000,'calc_s90&amp;138'!$AE$15:$AE$1000,"",0)),"")</f>
        <v/>
      </c>
      <c r="E301" s="16" t="str" cm="1">
        <f t="array" ref="E301">IF(C301&lt;&gt;"", _xlfn.XLOOKUP(1,((SKUs!$A$2:$A$10001=cl_unmerged!B301) * (ISNUMBER(SEARCH("Sash66",SKUs!$J$2:$J$10001)))), SKUs!$J$2:$J$10001,""),"") &amp; _xlfn.IFS(I301="Height", ", H",I301="Height SLI", ", H SLI", I301="Height FIX", ", H FIX",I301="Width", ", W", I301="", "")</f>
        <v/>
      </c>
      <c r="F301" s="33" t="str" cm="1">
        <f t="array" ref="F301">_xlfn.XLOOKUP(1,((SKUs!$A$2:$A$10001=cl_unmerged!B301) * (ISNUMBER(SEARCH("Sash66",SKUs!$J$2:$J$10001)))* (ISNUMBER(SEARCH(A301,SKUs!$C$2:$C$10001)))), SKUs!$C$2:$C$10001,"")</f>
        <v/>
      </c>
      <c r="G301" s="16"/>
      <c r="H301" s="16" t="str" cm="1">
        <f t="array" ref="H301">IF(C301&lt;&gt;"", _xlfn.IFS(I301="Height SLI",_xlfn.XLOOKUP(C301,'calc_s90&amp;138'!$C$15:$C$1000,'calc_s90&amp;138'!$AB$15:$AB$1000,"",0), I301="Width", _xlfn.XLOOKUP(C301,'calc_s90&amp;138'!$C$15:$C$1000,'calc_s90&amp;138'!$AD$15:$AD$1000,"",0)),"")</f>
        <v/>
      </c>
      <c r="I301" s="16" t="str">
        <f t="shared" si="6"/>
        <v/>
      </c>
    </row>
    <row r="302" spans="1:9" ht="13.5" customHeight="1" x14ac:dyDescent="0.25">
      <c r="A302" s="41" t="str">
        <f>_xlfn.XLOOKUP(G302,dd_color!$A$2:$A$8,dd_color!$B$2:$B$8,"",0)</f>
        <v/>
      </c>
      <c r="B302" s="41">
        <f>_xlfn.XLOOKUP(_xlfn.XLOOKUP(C302,'Project Details'!$C$17:$C$10003,'Project Details'!$E$17:$E$10003, "",0),dd_design_raw!$A$2:$A$9997,dd_design_raw!$C$2:$C$9997,"",0)</f>
        <v>0</v>
      </c>
      <c r="C302" s="16"/>
      <c r="D302" s="16" t="str" cm="1">
        <f t="array" ref="D302">IF(C302&lt;&gt;"", _xlfn.IFS(I302="Height SLI",_xlfn.XLOOKUP(C302,'calc_s90&amp;138'!$C$15:$C$1000,'calc_s90&amp;138'!$AC$15:$AC$1000,"",0),  I302="Width", _xlfn.XLOOKUP(C302,'calc_s90&amp;138'!$C$15:$C$1000,'calc_s90&amp;138'!$AE$15:$AE$1000,"",0)),"")</f>
        <v/>
      </c>
      <c r="E302" s="16" t="str" cm="1">
        <f t="array" ref="E302">IF(C302&lt;&gt;"", _xlfn.XLOOKUP(1,((SKUs!$A$2:$A$10001=cl_unmerged!B302) * (ISNUMBER(SEARCH("Sash66",SKUs!$J$2:$J$10001)))), SKUs!$J$2:$J$10001,""),"") &amp; _xlfn.IFS(I302="Height", ", H",I302="Height SLI", ", H SLI", I302="Height FIX", ", H FIX",I302="Width", ", W", I302="", "")</f>
        <v/>
      </c>
      <c r="F302" s="33" t="str" cm="1">
        <f t="array" ref="F302">_xlfn.XLOOKUP(1,((SKUs!$A$2:$A$10001=cl_unmerged!B302) * (ISNUMBER(SEARCH("Sash66",SKUs!$J$2:$J$10001)))* (ISNUMBER(SEARCH(A302,SKUs!$C$2:$C$10001)))), SKUs!$C$2:$C$10001,"")</f>
        <v/>
      </c>
      <c r="G302" s="16"/>
      <c r="H302" s="16" t="str" cm="1">
        <f t="array" ref="H302">IF(C302&lt;&gt;"", _xlfn.IFS(I302="Height SLI",_xlfn.XLOOKUP(C302,'calc_s90&amp;138'!$C$15:$C$1000,'calc_s90&amp;138'!$AB$15:$AB$1000,"",0), I302="Width", _xlfn.XLOOKUP(C302,'calc_s90&amp;138'!$C$15:$C$1000,'calc_s90&amp;138'!$AD$15:$AD$1000,"",0)),"")</f>
        <v/>
      </c>
      <c r="I302" s="16" t="str">
        <f t="shared" si="6"/>
        <v/>
      </c>
    </row>
    <row r="303" spans="1:9" ht="13.5" customHeight="1" x14ac:dyDescent="0.25">
      <c r="A303" s="41" t="str">
        <f>_xlfn.XLOOKUP(G303,dd_color!$A$2:$A$8,dd_color!$B$2:$B$8,"",0)</f>
        <v/>
      </c>
      <c r="B303" s="41">
        <f>_xlfn.XLOOKUP(_xlfn.XLOOKUP(C303,'Project Details'!$C$17:$C$10003,'Project Details'!$E$17:$E$10003, "",0),dd_design_raw!$A$2:$A$9997,dd_design_raw!$C$2:$C$9997,"",0)</f>
        <v>0</v>
      </c>
      <c r="C303" s="16"/>
      <c r="D303" s="16" t="str" cm="1">
        <f t="array" ref="D303">IF(C303&lt;&gt;"", _xlfn.IFS(I303="Height SLI",_xlfn.XLOOKUP(C303,'calc_s90&amp;138'!$C$15:$C$1000,'calc_s90&amp;138'!$AC$15:$AC$1000,"",0),  I303="Width", _xlfn.XLOOKUP(C303,'calc_s90&amp;138'!$C$15:$C$1000,'calc_s90&amp;138'!$AE$15:$AE$1000,"",0)),"")</f>
        <v/>
      </c>
      <c r="E303" s="16" t="str" cm="1">
        <f t="array" ref="E303">IF(C303&lt;&gt;"", _xlfn.XLOOKUP(1,((SKUs!$A$2:$A$10001=cl_unmerged!B303) * (ISNUMBER(SEARCH("Sash66",SKUs!$J$2:$J$10001)))), SKUs!$J$2:$J$10001,""),"") &amp; _xlfn.IFS(I303="Height", ", H",I303="Height SLI", ", H SLI", I303="Height FIX", ", H FIX",I303="Width", ", W", I303="", "")</f>
        <v/>
      </c>
      <c r="F303" s="33" t="str" cm="1">
        <f t="array" ref="F303">_xlfn.XLOOKUP(1,((SKUs!$A$2:$A$10001=cl_unmerged!B303) * (ISNUMBER(SEARCH("Sash66",SKUs!$J$2:$J$10001)))* (ISNUMBER(SEARCH(A303,SKUs!$C$2:$C$10001)))), SKUs!$C$2:$C$10001,"")</f>
        <v/>
      </c>
      <c r="G303" s="16"/>
      <c r="H303" s="16" t="str" cm="1">
        <f t="array" ref="H303">IF(C303&lt;&gt;"", _xlfn.IFS(I303="Height SLI",_xlfn.XLOOKUP(C303,'calc_s90&amp;138'!$C$15:$C$1000,'calc_s90&amp;138'!$AB$15:$AB$1000,"",0), I303="Width", _xlfn.XLOOKUP(C303,'calc_s90&amp;138'!$C$15:$C$1000,'calc_s90&amp;138'!$AD$15:$AD$1000,"",0)),"")</f>
        <v/>
      </c>
      <c r="I303" s="16" t="str">
        <f t="shared" si="6"/>
        <v/>
      </c>
    </row>
    <row r="304" spans="1:9" ht="13.5" customHeight="1" x14ac:dyDescent="0.25">
      <c r="A304" s="41" t="str">
        <f>_xlfn.XLOOKUP(G304,dd_color!$A$2:$A$8,dd_color!$B$2:$B$8,"",0)</f>
        <v/>
      </c>
      <c r="B304" s="41">
        <f>_xlfn.XLOOKUP(_xlfn.XLOOKUP(C304,'Project Details'!$C$17:$C$10003,'Project Details'!$E$17:$E$10003, "",0),dd_design_raw!$A$2:$A$9997,dd_design_raw!$C$2:$C$9997,"",0)</f>
        <v>0</v>
      </c>
      <c r="C304" s="16"/>
      <c r="D304" s="16" t="str" cm="1">
        <f t="array" ref="D304">IF(C304&lt;&gt;"", _xlfn.IFS(I304="Height SLI",_xlfn.XLOOKUP(C304,'calc_s90&amp;138'!$C$15:$C$1000,'calc_s90&amp;138'!$AC$15:$AC$1000,"",0),  I304="Width", _xlfn.XLOOKUP(C304,'calc_s90&amp;138'!$C$15:$C$1000,'calc_s90&amp;138'!$AE$15:$AE$1000,"",0)),"")</f>
        <v/>
      </c>
      <c r="E304" s="16" t="str" cm="1">
        <f t="array" ref="E304">IF(C304&lt;&gt;"", _xlfn.XLOOKUP(1,((SKUs!$A$2:$A$10001=cl_unmerged!B304) * (ISNUMBER(SEARCH("Sash66",SKUs!$J$2:$J$10001)))), SKUs!$J$2:$J$10001,""),"") &amp; _xlfn.IFS(I304="Height", ", H",I304="Height SLI", ", H SLI", I304="Height FIX", ", H FIX",I304="Width", ", W", I304="", "")</f>
        <v/>
      </c>
      <c r="F304" s="33" t="str" cm="1">
        <f t="array" ref="F304">_xlfn.XLOOKUP(1,((SKUs!$A$2:$A$10001=cl_unmerged!B304) * (ISNUMBER(SEARCH("Sash66",SKUs!$J$2:$J$10001)))* (ISNUMBER(SEARCH(A304,SKUs!$C$2:$C$10001)))), SKUs!$C$2:$C$10001,"")</f>
        <v/>
      </c>
      <c r="G304" s="16"/>
      <c r="H304" s="16" t="str" cm="1">
        <f t="array" ref="H304">IF(C304&lt;&gt;"", _xlfn.IFS(I304="Height SLI",_xlfn.XLOOKUP(C304,'calc_s90&amp;138'!$C$15:$C$1000,'calc_s90&amp;138'!$AB$15:$AB$1000,"",0), I304="Width", _xlfn.XLOOKUP(C304,'calc_s90&amp;138'!$C$15:$C$1000,'calc_s90&amp;138'!$AD$15:$AD$1000,"",0)),"")</f>
        <v/>
      </c>
      <c r="I304" s="16" t="str">
        <f t="shared" si="6"/>
        <v/>
      </c>
    </row>
    <row r="305" spans="1:9" ht="13.5" customHeight="1" x14ac:dyDescent="0.25">
      <c r="A305" s="41" t="str">
        <f>_xlfn.XLOOKUP(G305,dd_color!$A$2:$A$8,dd_color!$B$2:$B$8,"",0)</f>
        <v/>
      </c>
      <c r="B305" s="41">
        <f>_xlfn.XLOOKUP(_xlfn.XLOOKUP(C305,'Project Details'!$C$17:$C$10003,'Project Details'!$E$17:$E$10003, "",0),dd_design_raw!$A$2:$A$9997,dd_design_raw!$C$2:$C$9997,"",0)</f>
        <v>0</v>
      </c>
      <c r="C305" s="16"/>
      <c r="D305" s="16" t="str" cm="1">
        <f t="array" ref="D305">IF(C305&lt;&gt;"", _xlfn.IFS(I305="Height SLI",_xlfn.XLOOKUP(C305,'calc_s90&amp;138'!$C$15:$C$1000,'calc_s90&amp;138'!$AC$15:$AC$1000,"",0),  I305="Width", _xlfn.XLOOKUP(C305,'calc_s90&amp;138'!$C$15:$C$1000,'calc_s90&amp;138'!$AE$15:$AE$1000,"",0)),"")</f>
        <v/>
      </c>
      <c r="E305" s="16" t="str" cm="1">
        <f t="array" ref="E305">IF(C305&lt;&gt;"", _xlfn.XLOOKUP(1,((SKUs!$A$2:$A$10001=cl_unmerged!B305) * (ISNUMBER(SEARCH("Sash66",SKUs!$J$2:$J$10001)))), SKUs!$J$2:$J$10001,""),"") &amp; _xlfn.IFS(I305="Height", ", H",I305="Height SLI", ", H SLI", I305="Height FIX", ", H FIX",I305="Width", ", W", I305="", "")</f>
        <v/>
      </c>
      <c r="F305" s="33" t="str" cm="1">
        <f t="array" ref="F305">_xlfn.XLOOKUP(1,((SKUs!$A$2:$A$10001=cl_unmerged!B305) * (ISNUMBER(SEARCH("Sash66",SKUs!$J$2:$J$10001)))* (ISNUMBER(SEARCH(A305,SKUs!$C$2:$C$10001)))), SKUs!$C$2:$C$10001,"")</f>
        <v/>
      </c>
      <c r="G305" s="16"/>
      <c r="H305" s="16" t="str" cm="1">
        <f t="array" ref="H305">IF(C305&lt;&gt;"", _xlfn.IFS(I305="Height SLI",_xlfn.XLOOKUP(C305,'calc_s90&amp;138'!$C$15:$C$1000,'calc_s90&amp;138'!$AB$15:$AB$1000,"",0), I305="Width", _xlfn.XLOOKUP(C305,'calc_s90&amp;138'!$C$15:$C$1000,'calc_s90&amp;138'!$AD$15:$AD$1000,"",0)),"")</f>
        <v/>
      </c>
      <c r="I305" s="16" t="str">
        <f t="shared" si="6"/>
        <v/>
      </c>
    </row>
    <row r="306" spans="1:9" ht="13.5" customHeight="1" x14ac:dyDescent="0.25">
      <c r="A306" s="41" t="str">
        <f>_xlfn.XLOOKUP(G306,dd_color!$A$2:$A$8,dd_color!$B$2:$B$8,"",0)</f>
        <v/>
      </c>
      <c r="B306" s="41">
        <f>_xlfn.XLOOKUP(_xlfn.XLOOKUP(C306,'Project Details'!$C$17:$C$10003,'Project Details'!$E$17:$E$10003, "",0),dd_design_raw!$A$2:$A$9997,dd_design_raw!$C$2:$C$9997,"",0)</f>
        <v>0</v>
      </c>
      <c r="C306" s="16"/>
      <c r="D306" s="16" t="str" cm="1">
        <f t="array" ref="D306">IF(C306&lt;&gt;"", _xlfn.IFS(I306="Height SLI",_xlfn.XLOOKUP(C306,'calc_s90&amp;138'!$C$15:$C$1000,'calc_s90&amp;138'!$AC$15:$AC$1000,"",0),  I306="Width", _xlfn.XLOOKUP(C306,'calc_s90&amp;138'!$C$15:$C$1000,'calc_s90&amp;138'!$AE$15:$AE$1000,"",0)),"")</f>
        <v/>
      </c>
      <c r="E306" s="16" t="str" cm="1">
        <f t="array" ref="E306">IF(C306&lt;&gt;"", _xlfn.XLOOKUP(1,((SKUs!$A$2:$A$10001=cl_unmerged!B306) * (ISNUMBER(SEARCH("Sash66",SKUs!$J$2:$J$10001)))), SKUs!$J$2:$J$10001,""),"") &amp; _xlfn.IFS(I306="Height", ", H",I306="Height SLI", ", H SLI", I306="Height FIX", ", H FIX",I306="Width", ", W", I306="", "")</f>
        <v/>
      </c>
      <c r="F306" s="33" t="str" cm="1">
        <f t="array" ref="F306">_xlfn.XLOOKUP(1,((SKUs!$A$2:$A$10001=cl_unmerged!B306) * (ISNUMBER(SEARCH("Sash66",SKUs!$J$2:$J$10001)))* (ISNUMBER(SEARCH(A306,SKUs!$C$2:$C$10001)))), SKUs!$C$2:$C$10001,"")</f>
        <v/>
      </c>
      <c r="G306" s="16"/>
      <c r="H306" s="16" t="str" cm="1">
        <f t="array" ref="H306">IF(C306&lt;&gt;"", _xlfn.IFS(I306="Height SLI",_xlfn.XLOOKUP(C306,'calc_s90&amp;138'!$C$15:$C$1000,'calc_s90&amp;138'!$AB$15:$AB$1000,"",0), I306="Width", _xlfn.XLOOKUP(C306,'calc_s90&amp;138'!$C$15:$C$1000,'calc_s90&amp;138'!$AD$15:$AD$1000,"",0)),"")</f>
        <v/>
      </c>
      <c r="I306" s="16" t="str">
        <f t="shared" si="6"/>
        <v/>
      </c>
    </row>
    <row r="307" spans="1:9" ht="13.5" customHeight="1" x14ac:dyDescent="0.25">
      <c r="A307" s="41" t="str">
        <f>_xlfn.XLOOKUP(G307,dd_color!$A$2:$A$8,dd_color!$B$2:$B$8,"",0)</f>
        <v/>
      </c>
      <c r="B307" s="41">
        <f>_xlfn.XLOOKUP(_xlfn.XLOOKUP(C307,'Project Details'!$C$17:$C$10003,'Project Details'!$E$17:$E$10003, "",0),dd_design_raw!$A$2:$A$9997,dd_design_raw!$C$2:$C$9997,"",0)</f>
        <v>0</v>
      </c>
      <c r="C307" s="16"/>
      <c r="D307" s="16" t="str" cm="1">
        <f t="array" ref="D307">IF(C307&lt;&gt;"", _xlfn.IFS(I307="Height SLI",_xlfn.XLOOKUP(C307,'calc_s90&amp;138'!$C$15:$C$1000,'calc_s90&amp;138'!$AC$15:$AC$1000,"",0),  I307="Width", _xlfn.XLOOKUP(C307,'calc_s90&amp;138'!$C$15:$C$1000,'calc_s90&amp;138'!$AE$15:$AE$1000,"",0)),"")</f>
        <v/>
      </c>
      <c r="E307" s="16" t="str" cm="1">
        <f t="array" ref="E307">IF(C307&lt;&gt;"", _xlfn.XLOOKUP(1,((SKUs!$A$2:$A$10001=cl_unmerged!B307) * (ISNUMBER(SEARCH("Sash66",SKUs!$J$2:$J$10001)))), SKUs!$J$2:$J$10001,""),"") &amp; _xlfn.IFS(I307="Height", ", H",I307="Height SLI", ", H SLI", I307="Height FIX", ", H FIX",I307="Width", ", W", I307="", "")</f>
        <v/>
      </c>
      <c r="F307" s="33" t="str" cm="1">
        <f t="array" ref="F307">_xlfn.XLOOKUP(1,((SKUs!$A$2:$A$10001=cl_unmerged!B307) * (ISNUMBER(SEARCH("Sash66",SKUs!$J$2:$J$10001)))* (ISNUMBER(SEARCH(A307,SKUs!$C$2:$C$10001)))), SKUs!$C$2:$C$10001,"")</f>
        <v/>
      </c>
      <c r="G307" s="16"/>
      <c r="H307" s="16" t="str" cm="1">
        <f t="array" ref="H307">IF(C307&lt;&gt;"", _xlfn.IFS(I307="Height SLI",_xlfn.XLOOKUP(C307,'calc_s90&amp;138'!$C$15:$C$1000,'calc_s90&amp;138'!$AB$15:$AB$1000,"",0), I307="Width", _xlfn.XLOOKUP(C307,'calc_s90&amp;138'!$C$15:$C$1000,'calc_s90&amp;138'!$AD$15:$AD$1000,"",0)),"")</f>
        <v/>
      </c>
      <c r="I307" s="16" t="str">
        <f t="shared" si="6"/>
        <v/>
      </c>
    </row>
    <row r="308" spans="1:9" ht="13.5" customHeight="1" x14ac:dyDescent="0.25">
      <c r="A308" s="41" t="str">
        <f>_xlfn.XLOOKUP(G308,dd_color!$A$2:$A$8,dd_color!$B$2:$B$8,"",0)</f>
        <v/>
      </c>
      <c r="B308" s="41">
        <f>_xlfn.XLOOKUP(_xlfn.XLOOKUP(C308,'Project Details'!$C$17:$C$10003,'Project Details'!$E$17:$E$10003, "",0),dd_design_raw!$A$2:$A$9997,dd_design_raw!$C$2:$C$9997,"",0)</f>
        <v>0</v>
      </c>
      <c r="C308" s="16"/>
      <c r="D308" s="16" t="str" cm="1">
        <f t="array" ref="D308">IF(C308&lt;&gt;"", _xlfn.IFS(I308="Height SLI",_xlfn.XLOOKUP(C308,'calc_s90&amp;138'!$C$15:$C$1000,'calc_s90&amp;138'!$AC$15:$AC$1000,"",0),  I308="Width", _xlfn.XLOOKUP(C308,'calc_s90&amp;138'!$C$15:$C$1000,'calc_s90&amp;138'!$AE$15:$AE$1000,"",0)),"")</f>
        <v/>
      </c>
      <c r="E308" s="16" t="str" cm="1">
        <f t="array" ref="E308">IF(C308&lt;&gt;"", _xlfn.XLOOKUP(1,((SKUs!$A$2:$A$10001=cl_unmerged!B308) * (ISNUMBER(SEARCH("Sash66",SKUs!$J$2:$J$10001)))), SKUs!$J$2:$J$10001,""),"") &amp; _xlfn.IFS(I308="Height", ", H",I308="Height SLI", ", H SLI", I308="Height FIX", ", H FIX",I308="Width", ", W", I308="", "")</f>
        <v/>
      </c>
      <c r="F308" s="33" t="str" cm="1">
        <f t="array" ref="F308">_xlfn.XLOOKUP(1,((SKUs!$A$2:$A$10001=cl_unmerged!B308) * (ISNUMBER(SEARCH("Sash66",SKUs!$J$2:$J$10001)))* (ISNUMBER(SEARCH(A308,SKUs!$C$2:$C$10001)))), SKUs!$C$2:$C$10001,"")</f>
        <v/>
      </c>
      <c r="G308" s="16"/>
      <c r="H308" s="16" t="str" cm="1">
        <f t="array" ref="H308">IF(C308&lt;&gt;"", _xlfn.IFS(I308="Height SLI",_xlfn.XLOOKUP(C308,'calc_s90&amp;138'!$C$15:$C$1000,'calc_s90&amp;138'!$AB$15:$AB$1000,"",0), I308="Width", _xlfn.XLOOKUP(C308,'calc_s90&amp;138'!$C$15:$C$1000,'calc_s90&amp;138'!$AD$15:$AD$1000,"",0)),"")</f>
        <v/>
      </c>
      <c r="I308" s="16" t="str">
        <f t="shared" si="6"/>
        <v/>
      </c>
    </row>
    <row r="309" spans="1:9" ht="13.5" customHeight="1" x14ac:dyDescent="0.25">
      <c r="A309" s="41" t="str">
        <f>_xlfn.XLOOKUP(G309,dd_color!$A$2:$A$8,dd_color!$B$2:$B$8,"",0)</f>
        <v/>
      </c>
      <c r="B309" s="41">
        <f>_xlfn.XLOOKUP(_xlfn.XLOOKUP(C309,'Project Details'!$C$17:$C$10003,'Project Details'!$E$17:$E$10003, "",0),dd_design_raw!$A$2:$A$9997,dd_design_raw!$C$2:$C$9997,"",0)</f>
        <v>0</v>
      </c>
      <c r="C309" s="16"/>
      <c r="D309" s="16" t="str" cm="1">
        <f t="array" ref="D309">IF(C309&lt;&gt;"", _xlfn.IFS(I309="Height SLI",_xlfn.XLOOKUP(C309,'calc_s90&amp;138'!$C$15:$C$1000,'calc_s90&amp;138'!$AC$15:$AC$1000,"",0),  I309="Width", _xlfn.XLOOKUP(C309,'calc_s90&amp;138'!$C$15:$C$1000,'calc_s90&amp;138'!$AE$15:$AE$1000,"",0)),"")</f>
        <v/>
      </c>
      <c r="E309" s="16" t="str" cm="1">
        <f t="array" ref="E309">IF(C309&lt;&gt;"", _xlfn.XLOOKUP(1,((SKUs!$A$2:$A$10001=cl_unmerged!B309) * (ISNUMBER(SEARCH("Sash66",SKUs!$J$2:$J$10001)))), SKUs!$J$2:$J$10001,""),"") &amp; _xlfn.IFS(I309="Height", ", H",I309="Height SLI", ", H SLI", I309="Height FIX", ", H FIX",I309="Width", ", W", I309="", "")</f>
        <v/>
      </c>
      <c r="F309" s="33" t="str" cm="1">
        <f t="array" ref="F309">_xlfn.XLOOKUP(1,((SKUs!$A$2:$A$10001=cl_unmerged!B309) * (ISNUMBER(SEARCH("Sash66",SKUs!$J$2:$J$10001)))* (ISNUMBER(SEARCH(A309,SKUs!$C$2:$C$10001)))), SKUs!$C$2:$C$10001,"")</f>
        <v/>
      </c>
      <c r="G309" s="16"/>
      <c r="H309" s="16" t="str" cm="1">
        <f t="array" ref="H309">IF(C309&lt;&gt;"", _xlfn.IFS(I309="Height SLI",_xlfn.XLOOKUP(C309,'calc_s90&amp;138'!$C$15:$C$1000,'calc_s90&amp;138'!$AB$15:$AB$1000,"",0), I309="Width", _xlfn.XLOOKUP(C309,'calc_s90&amp;138'!$C$15:$C$1000,'calc_s90&amp;138'!$AD$15:$AD$1000,"",0)),"")</f>
        <v/>
      </c>
      <c r="I309" s="16" t="str">
        <f t="shared" si="6"/>
        <v/>
      </c>
    </row>
    <row r="310" spans="1:9" ht="13.5" customHeight="1" x14ac:dyDescent="0.25">
      <c r="A310" s="41" t="str">
        <f>_xlfn.XLOOKUP(G310,dd_color!$A$2:$A$8,dd_color!$B$2:$B$8,"",0)</f>
        <v/>
      </c>
      <c r="B310" s="41">
        <f>_xlfn.XLOOKUP(_xlfn.XLOOKUP(C310,'Project Details'!$C$17:$C$10003,'Project Details'!$E$17:$E$10003, "",0),dd_design_raw!$A$2:$A$9997,dd_design_raw!$C$2:$C$9997,"",0)</f>
        <v>0</v>
      </c>
      <c r="C310" s="16"/>
      <c r="D310" s="16" t="str" cm="1">
        <f t="array" ref="D310">IF(C310&lt;&gt;"", _xlfn.IFS(I310="Height SLI",_xlfn.XLOOKUP(C310,'calc_s90&amp;138'!$C$15:$C$1000,'calc_s90&amp;138'!$AC$15:$AC$1000,"",0),  I310="Width", _xlfn.XLOOKUP(C310,'calc_s90&amp;138'!$C$15:$C$1000,'calc_s90&amp;138'!$AE$15:$AE$1000,"",0)),"")</f>
        <v/>
      </c>
      <c r="E310" s="16" t="str" cm="1">
        <f t="array" ref="E310">IF(C310&lt;&gt;"", _xlfn.XLOOKUP(1,((SKUs!$A$2:$A$10001=cl_unmerged!B310) * (ISNUMBER(SEARCH("Sash66",SKUs!$J$2:$J$10001)))), SKUs!$J$2:$J$10001,""),"") &amp; _xlfn.IFS(I310="Height", ", H",I310="Height SLI", ", H SLI", I310="Height FIX", ", H FIX",I310="Width", ", W", I310="", "")</f>
        <v/>
      </c>
      <c r="F310" s="33" t="str" cm="1">
        <f t="array" ref="F310">_xlfn.XLOOKUP(1,((SKUs!$A$2:$A$10001=cl_unmerged!B310) * (ISNUMBER(SEARCH("Sash66",SKUs!$J$2:$J$10001)))* (ISNUMBER(SEARCH(A310,SKUs!$C$2:$C$10001)))), SKUs!$C$2:$C$10001,"")</f>
        <v/>
      </c>
      <c r="G310" s="16"/>
      <c r="H310" s="16" t="str" cm="1">
        <f t="array" ref="H310">IF(C310&lt;&gt;"", _xlfn.IFS(I310="Height SLI",_xlfn.XLOOKUP(C310,'calc_s90&amp;138'!$C$15:$C$1000,'calc_s90&amp;138'!$AB$15:$AB$1000,"",0), I310="Width", _xlfn.XLOOKUP(C310,'calc_s90&amp;138'!$C$15:$C$1000,'calc_s90&amp;138'!$AD$15:$AD$1000,"",0)),"")</f>
        <v/>
      </c>
      <c r="I310" s="16" t="str">
        <f t="shared" si="6"/>
        <v/>
      </c>
    </row>
    <row r="311" spans="1:9" ht="13.5" customHeight="1" x14ac:dyDescent="0.25">
      <c r="A311" s="41" t="str">
        <f>_xlfn.XLOOKUP(G311,dd_color!$A$2:$A$8,dd_color!$B$2:$B$8,"",0)</f>
        <v/>
      </c>
      <c r="B311" s="41">
        <f>_xlfn.XLOOKUP(_xlfn.XLOOKUP(C311,'Project Details'!$C$17:$C$10003,'Project Details'!$E$17:$E$10003, "",0),dd_design_raw!$A$2:$A$9997,dd_design_raw!$C$2:$C$9997,"",0)</f>
        <v>0</v>
      </c>
      <c r="C311" s="16"/>
      <c r="D311" s="16" t="str" cm="1">
        <f t="array" ref="D311">IF(C311&lt;&gt;"", _xlfn.IFS(I311="Height SLI",_xlfn.XLOOKUP(C311,'calc_s90&amp;138'!$C$15:$C$1000,'calc_s90&amp;138'!$AC$15:$AC$1000,"",0),  I311="Width", _xlfn.XLOOKUP(C311,'calc_s90&amp;138'!$C$15:$C$1000,'calc_s90&amp;138'!$AE$15:$AE$1000,"",0)),"")</f>
        <v/>
      </c>
      <c r="E311" s="16" t="str" cm="1">
        <f t="array" ref="E311">IF(C311&lt;&gt;"", _xlfn.XLOOKUP(1,((SKUs!$A$2:$A$10001=cl_unmerged!B311) * (ISNUMBER(SEARCH("Sash66",SKUs!$J$2:$J$10001)))), SKUs!$J$2:$J$10001,""),"") &amp; _xlfn.IFS(I311="Height", ", H",I311="Height SLI", ", H SLI", I311="Height FIX", ", H FIX",I311="Width", ", W", I311="", "")</f>
        <v/>
      </c>
      <c r="F311" s="33" t="str" cm="1">
        <f t="array" ref="F311">_xlfn.XLOOKUP(1,((SKUs!$A$2:$A$10001=cl_unmerged!B311) * (ISNUMBER(SEARCH("Sash66",SKUs!$J$2:$J$10001)))* (ISNUMBER(SEARCH(A311,SKUs!$C$2:$C$10001)))), SKUs!$C$2:$C$10001,"")</f>
        <v/>
      </c>
      <c r="G311" s="16"/>
      <c r="H311" s="16" t="str" cm="1">
        <f t="array" ref="H311">IF(C311&lt;&gt;"", _xlfn.IFS(I311="Height SLI",_xlfn.XLOOKUP(C311,'calc_s90&amp;138'!$C$15:$C$1000,'calc_s90&amp;138'!$AB$15:$AB$1000,"",0), I311="Width", _xlfn.XLOOKUP(C311,'calc_s90&amp;138'!$C$15:$C$1000,'calc_s90&amp;138'!$AD$15:$AD$1000,"",0)),"")</f>
        <v/>
      </c>
      <c r="I311" s="16" t="str">
        <f t="shared" si="6"/>
        <v/>
      </c>
    </row>
    <row r="312" spans="1:9" ht="13.5" customHeight="1" x14ac:dyDescent="0.25">
      <c r="A312" s="41" t="str">
        <f>_xlfn.XLOOKUP(G312,dd_color!$A$2:$A$8,dd_color!$B$2:$B$8,"",0)</f>
        <v/>
      </c>
      <c r="B312" s="41">
        <f>_xlfn.XLOOKUP(_xlfn.XLOOKUP(C312,'Project Details'!$C$17:$C$10003,'Project Details'!$E$17:$E$10003, "",0),dd_design_raw!$A$2:$A$9997,dd_design_raw!$C$2:$C$9997,"",0)</f>
        <v>0</v>
      </c>
      <c r="C312" s="16"/>
      <c r="D312" s="16" t="str" cm="1">
        <f t="array" ref="D312">IF(C312&lt;&gt;"", _xlfn.IFS(I312="Height SLI",_xlfn.XLOOKUP(C312,'calc_s90&amp;138'!$C$15:$C$1000,'calc_s90&amp;138'!$AC$15:$AC$1000,"",0),  I312="Width", _xlfn.XLOOKUP(C312,'calc_s90&amp;138'!$C$15:$C$1000,'calc_s90&amp;138'!$AE$15:$AE$1000,"",0)),"")</f>
        <v/>
      </c>
      <c r="E312" s="16" t="str" cm="1">
        <f t="array" ref="E312">IF(C312&lt;&gt;"", _xlfn.XLOOKUP(1,((SKUs!$A$2:$A$10001=cl_unmerged!B312) * (ISNUMBER(SEARCH("Sash66",SKUs!$J$2:$J$10001)))), SKUs!$J$2:$J$10001,""),"") &amp; _xlfn.IFS(I312="Height", ", H",I312="Height SLI", ", H SLI", I312="Height FIX", ", H FIX",I312="Width", ", W", I312="", "")</f>
        <v/>
      </c>
      <c r="F312" s="33" t="str" cm="1">
        <f t="array" ref="F312">_xlfn.XLOOKUP(1,((SKUs!$A$2:$A$10001=cl_unmerged!B312) * (ISNUMBER(SEARCH("Sash66",SKUs!$J$2:$J$10001)))* (ISNUMBER(SEARCH(A312,SKUs!$C$2:$C$10001)))), SKUs!$C$2:$C$10001,"")</f>
        <v/>
      </c>
      <c r="G312" s="16"/>
      <c r="H312" s="16" t="str" cm="1">
        <f t="array" ref="H312">IF(C312&lt;&gt;"", _xlfn.IFS(I312="Height SLI",_xlfn.XLOOKUP(C312,'calc_s90&amp;138'!$C$15:$C$1000,'calc_s90&amp;138'!$AB$15:$AB$1000,"",0), I312="Width", _xlfn.XLOOKUP(C312,'calc_s90&amp;138'!$C$15:$C$1000,'calc_s90&amp;138'!$AD$15:$AD$1000,"",0)),"")</f>
        <v/>
      </c>
      <c r="I312" s="16" t="str">
        <f t="shared" si="6"/>
        <v/>
      </c>
    </row>
    <row r="313" spans="1:9" ht="13.5" customHeight="1" x14ac:dyDescent="0.25">
      <c r="A313" s="41" t="str">
        <f>_xlfn.XLOOKUP(G313,dd_color!$A$2:$A$8,dd_color!$B$2:$B$8,"",0)</f>
        <v/>
      </c>
      <c r="B313" s="41">
        <f>_xlfn.XLOOKUP(_xlfn.XLOOKUP(C313,'Project Details'!$C$17:$C$10003,'Project Details'!$E$17:$E$10003, "",0),dd_design_raw!$A$2:$A$9997,dd_design_raw!$C$2:$C$9997,"",0)</f>
        <v>0</v>
      </c>
      <c r="C313" s="16"/>
      <c r="D313" s="16" t="str" cm="1">
        <f t="array" ref="D313">IF(C313&lt;&gt;"", _xlfn.IFS(I313="Height SLI",_xlfn.XLOOKUP(C313,'calc_s90&amp;138'!$C$15:$C$1000,'calc_s90&amp;138'!$AC$15:$AC$1000,"",0),  I313="Width", _xlfn.XLOOKUP(C313,'calc_s90&amp;138'!$C$15:$C$1000,'calc_s90&amp;138'!$AE$15:$AE$1000,"",0)),"")</f>
        <v/>
      </c>
      <c r="E313" s="16" t="str" cm="1">
        <f t="array" ref="E313">IF(C313&lt;&gt;"", _xlfn.XLOOKUP(1,((SKUs!$A$2:$A$10001=cl_unmerged!B313) * (ISNUMBER(SEARCH("Sash66",SKUs!$J$2:$J$10001)))), SKUs!$J$2:$J$10001,""),"") &amp; _xlfn.IFS(I313="Height", ", H",I313="Height SLI", ", H SLI", I313="Height FIX", ", H FIX",I313="Width", ", W", I313="", "")</f>
        <v/>
      </c>
      <c r="F313" s="33" t="str" cm="1">
        <f t="array" ref="F313">_xlfn.XLOOKUP(1,((SKUs!$A$2:$A$10001=cl_unmerged!B313) * (ISNUMBER(SEARCH("Sash66",SKUs!$J$2:$J$10001)))* (ISNUMBER(SEARCH(A313,SKUs!$C$2:$C$10001)))), SKUs!$C$2:$C$10001,"")</f>
        <v/>
      </c>
      <c r="G313" s="16"/>
      <c r="H313" s="16" t="str" cm="1">
        <f t="array" ref="H313">IF(C313&lt;&gt;"", _xlfn.IFS(I313="Height SLI",_xlfn.XLOOKUP(C313,'calc_s90&amp;138'!$C$15:$C$1000,'calc_s90&amp;138'!$AB$15:$AB$1000,"",0), I313="Width", _xlfn.XLOOKUP(C313,'calc_s90&amp;138'!$C$15:$C$1000,'calc_s90&amp;138'!$AD$15:$AD$1000,"",0)),"")</f>
        <v/>
      </c>
      <c r="I313" s="16" t="str">
        <f t="shared" si="6"/>
        <v/>
      </c>
    </row>
    <row r="314" spans="1:9" ht="13.5" customHeight="1" x14ac:dyDescent="0.25">
      <c r="A314" s="41" t="str">
        <f>_xlfn.XLOOKUP(G314,dd_color!$A$2:$A$8,dd_color!$B$2:$B$8,"",0)</f>
        <v/>
      </c>
      <c r="B314" s="41">
        <f>_xlfn.XLOOKUP(_xlfn.XLOOKUP(C314,'Project Details'!$C$17:$C$10003,'Project Details'!$E$17:$E$10003, "",0),dd_design_raw!$A$2:$A$9997,dd_design_raw!$C$2:$C$9997,"",0)</f>
        <v>0</v>
      </c>
      <c r="C314" s="16"/>
      <c r="D314" s="16" t="str" cm="1">
        <f t="array" ref="D314">IF(C314&lt;&gt;"", _xlfn.IFS(I314="Height SLI",_xlfn.XLOOKUP(C314,'calc_s90&amp;138'!$C$15:$C$1000,'calc_s90&amp;138'!$AC$15:$AC$1000,"",0),  I314="Width", _xlfn.XLOOKUP(C314,'calc_s90&amp;138'!$C$15:$C$1000,'calc_s90&amp;138'!$AE$15:$AE$1000,"",0)),"")</f>
        <v/>
      </c>
      <c r="E314" s="16" t="str" cm="1">
        <f t="array" ref="E314">IF(C314&lt;&gt;"", _xlfn.XLOOKUP(1,((SKUs!$A$2:$A$10001=cl_unmerged!B314) * (ISNUMBER(SEARCH("Sash66",SKUs!$J$2:$J$10001)))), SKUs!$J$2:$J$10001,""),"") &amp; _xlfn.IFS(I314="Height", ", H",I314="Height SLI", ", H SLI", I314="Height FIX", ", H FIX",I314="Width", ", W", I314="", "")</f>
        <v/>
      </c>
      <c r="F314" s="33" t="str" cm="1">
        <f t="array" ref="F314">_xlfn.XLOOKUP(1,((SKUs!$A$2:$A$10001=cl_unmerged!B314) * (ISNUMBER(SEARCH("Sash66",SKUs!$J$2:$J$10001)))* (ISNUMBER(SEARCH(A314,SKUs!$C$2:$C$10001)))), SKUs!$C$2:$C$10001,"")</f>
        <v/>
      </c>
      <c r="G314" s="16"/>
      <c r="H314" s="16" t="str" cm="1">
        <f t="array" ref="H314">IF(C314&lt;&gt;"", _xlfn.IFS(I314="Height SLI",_xlfn.XLOOKUP(C314,'calc_s90&amp;138'!$C$15:$C$1000,'calc_s90&amp;138'!$AB$15:$AB$1000,"",0), I314="Width", _xlfn.XLOOKUP(C314,'calc_s90&amp;138'!$C$15:$C$1000,'calc_s90&amp;138'!$AD$15:$AD$1000,"",0)),"")</f>
        <v/>
      </c>
      <c r="I314" s="16" t="str">
        <f t="shared" si="6"/>
        <v/>
      </c>
    </row>
    <row r="315" spans="1:9" ht="13.5" customHeight="1" x14ac:dyDescent="0.25">
      <c r="A315" s="41" t="str">
        <f>_xlfn.XLOOKUP(G315,dd_color!$A$2:$A$8,dd_color!$B$2:$B$8,"",0)</f>
        <v/>
      </c>
      <c r="B315" s="41">
        <f>_xlfn.XLOOKUP(_xlfn.XLOOKUP(C315,'Project Details'!$C$17:$C$10003,'Project Details'!$E$17:$E$10003, "",0),dd_design_raw!$A$2:$A$9997,dd_design_raw!$C$2:$C$9997,"",0)</f>
        <v>0</v>
      </c>
      <c r="C315" s="16"/>
      <c r="D315" s="16" t="str" cm="1">
        <f t="array" ref="D315">IF(C315&lt;&gt;"", _xlfn.IFS(I315="Height SLI",_xlfn.XLOOKUP(C315,'calc_s90&amp;138'!$C$15:$C$1000,'calc_s90&amp;138'!$AC$15:$AC$1000,"",0),  I315="Width", _xlfn.XLOOKUP(C315,'calc_s90&amp;138'!$C$15:$C$1000,'calc_s90&amp;138'!$AE$15:$AE$1000,"",0)),"")</f>
        <v/>
      </c>
      <c r="E315" s="16" t="str" cm="1">
        <f t="array" ref="E315">IF(C315&lt;&gt;"", _xlfn.XLOOKUP(1,((SKUs!$A$2:$A$10001=cl_unmerged!B315) * (ISNUMBER(SEARCH("Sash66",SKUs!$J$2:$J$10001)))), SKUs!$J$2:$J$10001,""),"") &amp; _xlfn.IFS(I315="Height", ", H",I315="Height SLI", ", H SLI", I315="Height FIX", ", H FIX",I315="Width", ", W", I315="", "")</f>
        <v/>
      </c>
      <c r="F315" s="33" t="str" cm="1">
        <f t="array" ref="F315">_xlfn.XLOOKUP(1,((SKUs!$A$2:$A$10001=cl_unmerged!B315) * (ISNUMBER(SEARCH("Sash66",SKUs!$J$2:$J$10001)))* (ISNUMBER(SEARCH(A315,SKUs!$C$2:$C$10001)))), SKUs!$C$2:$C$10001,"")</f>
        <v/>
      </c>
      <c r="G315" s="16"/>
      <c r="H315" s="16" t="str" cm="1">
        <f t="array" ref="H315">IF(C315&lt;&gt;"", _xlfn.IFS(I315="Height SLI",_xlfn.XLOOKUP(C315,'calc_s90&amp;138'!$C$15:$C$1000,'calc_s90&amp;138'!$AB$15:$AB$1000,"",0), I315="Width", _xlfn.XLOOKUP(C315,'calc_s90&amp;138'!$C$15:$C$1000,'calc_s90&amp;138'!$AD$15:$AD$1000,"",0)),"")</f>
        <v/>
      </c>
      <c r="I315" s="16" t="str">
        <f t="shared" si="6"/>
        <v/>
      </c>
    </row>
    <row r="316" spans="1:9" ht="13.5" customHeight="1" x14ac:dyDescent="0.25">
      <c r="A316" s="41" t="str">
        <f>_xlfn.XLOOKUP(G316,dd_color!$A$2:$A$8,dd_color!$B$2:$B$8,"",0)</f>
        <v/>
      </c>
      <c r="B316" s="41">
        <f>_xlfn.XLOOKUP(_xlfn.XLOOKUP(C316,'Project Details'!$C$17:$C$10003,'Project Details'!$E$17:$E$10003, "",0),dd_design_raw!$A$2:$A$9997,dd_design_raw!$C$2:$C$9997,"",0)</f>
        <v>0</v>
      </c>
      <c r="C316" s="16"/>
      <c r="D316" s="16" t="str" cm="1">
        <f t="array" ref="D316">IF(C316&lt;&gt;"", _xlfn.IFS(I316="Height SLI",_xlfn.XLOOKUP(C316,'calc_s90&amp;138'!$C$15:$C$1000,'calc_s90&amp;138'!$AC$15:$AC$1000,"",0),  I316="Width", _xlfn.XLOOKUP(C316,'calc_s90&amp;138'!$C$15:$C$1000,'calc_s90&amp;138'!$AE$15:$AE$1000,"",0)),"")</f>
        <v/>
      </c>
      <c r="E316" s="16" t="str" cm="1">
        <f t="array" ref="E316">IF(C316&lt;&gt;"", _xlfn.XLOOKUP(1,((SKUs!$A$2:$A$10001=cl_unmerged!B316) * (ISNUMBER(SEARCH("Sash66",SKUs!$J$2:$J$10001)))), SKUs!$J$2:$J$10001,""),"") &amp; _xlfn.IFS(I316="Height", ", H",I316="Height SLI", ", H SLI", I316="Height FIX", ", H FIX",I316="Width", ", W", I316="", "")</f>
        <v/>
      </c>
      <c r="F316" s="33" t="str" cm="1">
        <f t="array" ref="F316">_xlfn.XLOOKUP(1,((SKUs!$A$2:$A$10001=cl_unmerged!B316) * (ISNUMBER(SEARCH("Sash66",SKUs!$J$2:$J$10001)))* (ISNUMBER(SEARCH(A316,SKUs!$C$2:$C$10001)))), SKUs!$C$2:$C$10001,"")</f>
        <v/>
      </c>
      <c r="G316" s="16"/>
      <c r="H316" s="16" t="str" cm="1">
        <f t="array" ref="H316">IF(C316&lt;&gt;"", _xlfn.IFS(I316="Height SLI",_xlfn.XLOOKUP(C316,'calc_s90&amp;138'!$C$15:$C$1000,'calc_s90&amp;138'!$AB$15:$AB$1000,"",0), I316="Width", _xlfn.XLOOKUP(C316,'calc_s90&amp;138'!$C$15:$C$1000,'calc_s90&amp;138'!$AD$15:$AD$1000,"",0)),"")</f>
        <v/>
      </c>
      <c r="I316" s="16" t="str">
        <f t="shared" si="6"/>
        <v/>
      </c>
    </row>
    <row r="317" spans="1:9" ht="13.5" customHeight="1" x14ac:dyDescent="0.25">
      <c r="A317" s="41" t="str">
        <f>_xlfn.XLOOKUP(G317,dd_color!$A$2:$A$8,dd_color!$B$2:$B$8,"",0)</f>
        <v/>
      </c>
      <c r="B317" s="41">
        <f>_xlfn.XLOOKUP(_xlfn.XLOOKUP(C317,'Project Details'!$C$17:$C$10003,'Project Details'!$E$17:$E$10003, "",0),dd_design_raw!$A$2:$A$9997,dd_design_raw!$C$2:$C$9997,"",0)</f>
        <v>0</v>
      </c>
      <c r="C317" s="16"/>
      <c r="D317" s="16" t="str" cm="1">
        <f t="array" ref="D317">IF(C317&lt;&gt;"", _xlfn.IFS(I317="Height SLI",_xlfn.XLOOKUP(C317,'calc_s90&amp;138'!$C$15:$C$1000,'calc_s90&amp;138'!$AC$15:$AC$1000,"",0),  I317="Width", _xlfn.XLOOKUP(C317,'calc_s90&amp;138'!$C$15:$C$1000,'calc_s90&amp;138'!$AE$15:$AE$1000,"",0)),"")</f>
        <v/>
      </c>
      <c r="E317" s="16" t="str" cm="1">
        <f t="array" ref="E317">IF(C317&lt;&gt;"", _xlfn.XLOOKUP(1,((SKUs!$A$2:$A$10001=cl_unmerged!B317) * (ISNUMBER(SEARCH("Sash66",SKUs!$J$2:$J$10001)))), SKUs!$J$2:$J$10001,""),"") &amp; _xlfn.IFS(I317="Height", ", H",I317="Height SLI", ", H SLI", I317="Height FIX", ", H FIX",I317="Width", ", W", I317="", "")</f>
        <v/>
      </c>
      <c r="F317" s="33" t="str" cm="1">
        <f t="array" ref="F317">_xlfn.XLOOKUP(1,((SKUs!$A$2:$A$10001=cl_unmerged!B317) * (ISNUMBER(SEARCH("Sash66",SKUs!$J$2:$J$10001)))* (ISNUMBER(SEARCH(A317,SKUs!$C$2:$C$10001)))), SKUs!$C$2:$C$10001,"")</f>
        <v/>
      </c>
      <c r="G317" s="16"/>
      <c r="H317" s="16" t="str" cm="1">
        <f t="array" ref="H317">IF(C317&lt;&gt;"", _xlfn.IFS(I317="Height SLI",_xlfn.XLOOKUP(C317,'calc_s90&amp;138'!$C$15:$C$1000,'calc_s90&amp;138'!$AB$15:$AB$1000,"",0), I317="Width", _xlfn.XLOOKUP(C317,'calc_s90&amp;138'!$C$15:$C$1000,'calc_s90&amp;138'!$AD$15:$AD$1000,"",0)),"")</f>
        <v/>
      </c>
      <c r="I317" s="16" t="str">
        <f t="shared" si="6"/>
        <v/>
      </c>
    </row>
    <row r="318" spans="1:9" ht="13.5" customHeight="1" x14ac:dyDescent="0.25">
      <c r="A318" s="41" t="str">
        <f>_xlfn.XLOOKUP(G318,dd_color!$A$2:$A$8,dd_color!$B$2:$B$8,"",0)</f>
        <v/>
      </c>
      <c r="B318" s="41">
        <f>_xlfn.XLOOKUP(_xlfn.XLOOKUP(C318,'Project Details'!$C$17:$C$10003,'Project Details'!$E$17:$E$10003, "",0),dd_design_raw!$A$2:$A$9997,dd_design_raw!$C$2:$C$9997,"",0)</f>
        <v>0</v>
      </c>
      <c r="C318" s="16"/>
      <c r="D318" s="16" t="str" cm="1">
        <f t="array" ref="D318">IF(C318&lt;&gt;"", _xlfn.IFS(I318="Height SLI",_xlfn.XLOOKUP(C318,'calc_s90&amp;138'!$C$15:$C$1000,'calc_s90&amp;138'!$AC$15:$AC$1000,"",0),  I318="Width", _xlfn.XLOOKUP(C318,'calc_s90&amp;138'!$C$15:$C$1000,'calc_s90&amp;138'!$AE$15:$AE$1000,"",0)),"")</f>
        <v/>
      </c>
      <c r="E318" s="16" t="str" cm="1">
        <f t="array" ref="E318">IF(C318&lt;&gt;"", _xlfn.XLOOKUP(1,((SKUs!$A$2:$A$10001=cl_unmerged!B318) * (ISNUMBER(SEARCH("Sash66",SKUs!$J$2:$J$10001)))), SKUs!$J$2:$J$10001,""),"") &amp; _xlfn.IFS(I318="Height", ", H",I318="Height SLI", ", H SLI", I318="Height FIX", ", H FIX",I318="Width", ", W", I318="", "")</f>
        <v/>
      </c>
      <c r="F318" s="33" t="str" cm="1">
        <f t="array" ref="F318">_xlfn.XLOOKUP(1,((SKUs!$A$2:$A$10001=cl_unmerged!B318) * (ISNUMBER(SEARCH("Sash66",SKUs!$J$2:$J$10001)))* (ISNUMBER(SEARCH(A318,SKUs!$C$2:$C$10001)))), SKUs!$C$2:$C$10001,"")</f>
        <v/>
      </c>
      <c r="G318" s="16"/>
      <c r="H318" s="16" t="str" cm="1">
        <f t="array" ref="H318">IF(C318&lt;&gt;"", _xlfn.IFS(I318="Height SLI",_xlfn.XLOOKUP(C318,'calc_s90&amp;138'!$C$15:$C$1000,'calc_s90&amp;138'!$AB$15:$AB$1000,"",0), I318="Width", _xlfn.XLOOKUP(C318,'calc_s90&amp;138'!$C$15:$C$1000,'calc_s90&amp;138'!$AD$15:$AD$1000,"",0)),"")</f>
        <v/>
      </c>
      <c r="I318" s="16" t="str">
        <f t="shared" si="6"/>
        <v/>
      </c>
    </row>
    <row r="319" spans="1:9" ht="13.5" customHeight="1" x14ac:dyDescent="0.25">
      <c r="A319" s="41" t="str">
        <f>_xlfn.XLOOKUP(G319,dd_color!$A$2:$A$8,dd_color!$B$2:$B$8,"",0)</f>
        <v/>
      </c>
      <c r="B319" s="41">
        <f>_xlfn.XLOOKUP(_xlfn.XLOOKUP(C319,'Project Details'!$C$17:$C$10003,'Project Details'!$E$17:$E$10003, "",0),dd_design_raw!$A$2:$A$9997,dd_design_raw!$C$2:$C$9997,"",0)</f>
        <v>0</v>
      </c>
      <c r="C319" s="16"/>
      <c r="D319" s="16" t="str" cm="1">
        <f t="array" ref="D319">IF(C319&lt;&gt;"", _xlfn.IFS(I319="Height SLI",_xlfn.XLOOKUP(C319,'calc_s90&amp;138'!$C$15:$C$1000,'calc_s90&amp;138'!$AC$15:$AC$1000,"",0),  I319="Width", _xlfn.XLOOKUP(C319,'calc_s90&amp;138'!$C$15:$C$1000,'calc_s90&amp;138'!$AE$15:$AE$1000,"",0)),"")</f>
        <v/>
      </c>
      <c r="E319" s="16" t="str" cm="1">
        <f t="array" ref="E319">IF(C319&lt;&gt;"", _xlfn.XLOOKUP(1,((SKUs!$A$2:$A$10001=cl_unmerged!B319) * (ISNUMBER(SEARCH("Sash66",SKUs!$J$2:$J$10001)))), SKUs!$J$2:$J$10001,""),"") &amp; _xlfn.IFS(I319="Height", ", H",I319="Height SLI", ", H SLI", I319="Height FIX", ", H FIX",I319="Width", ", W", I319="", "")</f>
        <v/>
      </c>
      <c r="F319" s="33" t="str" cm="1">
        <f t="array" ref="F319">_xlfn.XLOOKUP(1,((SKUs!$A$2:$A$10001=cl_unmerged!B319) * (ISNUMBER(SEARCH("Sash66",SKUs!$J$2:$J$10001)))* (ISNUMBER(SEARCH(A319,SKUs!$C$2:$C$10001)))), SKUs!$C$2:$C$10001,"")</f>
        <v/>
      </c>
      <c r="G319" s="16"/>
      <c r="H319" s="16" t="str" cm="1">
        <f t="array" ref="H319">IF(C319&lt;&gt;"", _xlfn.IFS(I319="Height SLI",_xlfn.XLOOKUP(C319,'calc_s90&amp;138'!$C$15:$C$1000,'calc_s90&amp;138'!$AB$15:$AB$1000,"",0), I319="Width", _xlfn.XLOOKUP(C319,'calc_s90&amp;138'!$C$15:$C$1000,'calc_s90&amp;138'!$AD$15:$AD$1000,"",0)),"")</f>
        <v/>
      </c>
      <c r="I319" s="16" t="str">
        <f t="shared" si="6"/>
        <v/>
      </c>
    </row>
    <row r="320" spans="1:9" ht="13.5" customHeight="1" x14ac:dyDescent="0.25">
      <c r="A320" s="41" t="str">
        <f>_xlfn.XLOOKUP(G320,dd_color!$A$2:$A$8,dd_color!$B$2:$B$8,"",0)</f>
        <v/>
      </c>
      <c r="B320" s="41">
        <f>_xlfn.XLOOKUP(_xlfn.XLOOKUP(C320,'Project Details'!$C$17:$C$10003,'Project Details'!$E$17:$E$10003, "",0),dd_design_raw!$A$2:$A$9997,dd_design_raw!$C$2:$C$9997,"",0)</f>
        <v>0</v>
      </c>
      <c r="C320" s="16"/>
      <c r="D320" s="16" t="str" cm="1">
        <f t="array" ref="D320">IF(C320&lt;&gt;"", _xlfn.IFS(I320="Height SLI",_xlfn.XLOOKUP(C320,'calc_s90&amp;138'!$C$15:$C$1000,'calc_s90&amp;138'!$AC$15:$AC$1000,"",0),  I320="Width", _xlfn.XLOOKUP(C320,'calc_s90&amp;138'!$C$15:$C$1000,'calc_s90&amp;138'!$AE$15:$AE$1000,"",0)),"")</f>
        <v/>
      </c>
      <c r="E320" s="16" t="str" cm="1">
        <f t="array" ref="E320">IF(C320&lt;&gt;"", _xlfn.XLOOKUP(1,((SKUs!$A$2:$A$10001=cl_unmerged!B320) * (ISNUMBER(SEARCH("Sash66",SKUs!$J$2:$J$10001)))), SKUs!$J$2:$J$10001,""),"") &amp; _xlfn.IFS(I320="Height", ", H",I320="Height SLI", ", H SLI", I320="Height FIX", ", H FIX",I320="Width", ", W", I320="", "")</f>
        <v/>
      </c>
      <c r="F320" s="33" t="str" cm="1">
        <f t="array" ref="F320">_xlfn.XLOOKUP(1,((SKUs!$A$2:$A$10001=cl_unmerged!B320) * (ISNUMBER(SEARCH("Sash66",SKUs!$J$2:$J$10001)))* (ISNUMBER(SEARCH(A320,SKUs!$C$2:$C$10001)))), SKUs!$C$2:$C$10001,"")</f>
        <v/>
      </c>
      <c r="G320" s="16"/>
      <c r="H320" s="16" t="str" cm="1">
        <f t="array" ref="H320">IF(C320&lt;&gt;"", _xlfn.IFS(I320="Height SLI",_xlfn.XLOOKUP(C320,'calc_s90&amp;138'!$C$15:$C$1000,'calc_s90&amp;138'!$AB$15:$AB$1000,"",0), I320="Width", _xlfn.XLOOKUP(C320,'calc_s90&amp;138'!$C$15:$C$1000,'calc_s90&amp;138'!$AD$15:$AD$1000,"",0)),"")</f>
        <v/>
      </c>
      <c r="I320" s="16" t="str">
        <f t="shared" si="6"/>
        <v/>
      </c>
    </row>
    <row r="321" spans="1:9" ht="13.5" customHeight="1" x14ac:dyDescent="0.25">
      <c r="A321" s="41" t="str">
        <f>_xlfn.XLOOKUP(G321,dd_color!$A$2:$A$8,dd_color!$B$2:$B$8,"",0)</f>
        <v/>
      </c>
      <c r="B321" s="41">
        <f>_xlfn.XLOOKUP(_xlfn.XLOOKUP(C321,'Project Details'!$C$17:$C$10003,'Project Details'!$E$17:$E$10003, "",0),dd_design_raw!$A$2:$A$9997,dd_design_raw!$C$2:$C$9997,"",0)</f>
        <v>0</v>
      </c>
      <c r="C321" s="16"/>
      <c r="D321" s="16" t="str" cm="1">
        <f t="array" ref="D321">IF(C321&lt;&gt;"", _xlfn.IFS(I321="Height SLI",_xlfn.XLOOKUP(C321,'calc_s90&amp;138'!$C$15:$C$1000,'calc_s90&amp;138'!$AC$15:$AC$1000,"",0),  I321="Width", _xlfn.XLOOKUP(C321,'calc_s90&amp;138'!$C$15:$C$1000,'calc_s90&amp;138'!$AE$15:$AE$1000,"",0)),"")</f>
        <v/>
      </c>
      <c r="E321" s="16" t="str" cm="1">
        <f t="array" ref="E321">IF(C321&lt;&gt;"", _xlfn.XLOOKUP(1,((SKUs!$A$2:$A$10001=cl_unmerged!B321) * (ISNUMBER(SEARCH("Sash66",SKUs!$J$2:$J$10001)))), SKUs!$J$2:$J$10001,""),"") &amp; _xlfn.IFS(I321="Height", ", H",I321="Height SLI", ", H SLI", I321="Height FIX", ", H FIX",I321="Width", ", W", I321="", "")</f>
        <v/>
      </c>
      <c r="F321" s="33" t="str" cm="1">
        <f t="array" ref="F321">_xlfn.XLOOKUP(1,((SKUs!$A$2:$A$10001=cl_unmerged!B321) * (ISNUMBER(SEARCH("Sash66",SKUs!$J$2:$J$10001)))* (ISNUMBER(SEARCH(A321,SKUs!$C$2:$C$10001)))), SKUs!$C$2:$C$10001,"")</f>
        <v/>
      </c>
      <c r="G321" s="16"/>
      <c r="H321" s="16" t="str" cm="1">
        <f t="array" ref="H321">IF(C321&lt;&gt;"", _xlfn.IFS(I321="Height SLI",_xlfn.XLOOKUP(C321,'calc_s90&amp;138'!$C$15:$C$1000,'calc_s90&amp;138'!$AB$15:$AB$1000,"",0), I321="Width", _xlfn.XLOOKUP(C321,'calc_s90&amp;138'!$C$15:$C$1000,'calc_s90&amp;138'!$AD$15:$AD$1000,"",0)),"")</f>
        <v/>
      </c>
      <c r="I321" s="16" t="str">
        <f t="shared" si="6"/>
        <v/>
      </c>
    </row>
    <row r="322" spans="1:9" ht="13.5" customHeight="1" x14ac:dyDescent="0.25">
      <c r="A322" s="41" t="str">
        <f>_xlfn.XLOOKUP(G322,dd_color!$A$2:$A$8,dd_color!$B$2:$B$8,"",0)</f>
        <v/>
      </c>
      <c r="B322" s="41">
        <f>_xlfn.XLOOKUP(_xlfn.XLOOKUP(C322,'Project Details'!$C$17:$C$10003,'Project Details'!$E$17:$E$10003, "",0),dd_design_raw!$A$2:$A$9997,dd_design_raw!$C$2:$C$9997,"",0)</f>
        <v>0</v>
      </c>
      <c r="C322" s="16"/>
      <c r="D322" s="16" t="str" cm="1">
        <f t="array" ref="D322">IF(C322&lt;&gt;"", _xlfn.IFS(I322="Height SLI",_xlfn.XLOOKUP(C322,'calc_s90&amp;138'!$C$15:$C$1000,'calc_s90&amp;138'!$AC$15:$AC$1000,"",0),  I322="Width", _xlfn.XLOOKUP(C322,'calc_s90&amp;138'!$C$15:$C$1000,'calc_s90&amp;138'!$AE$15:$AE$1000,"",0)),"")</f>
        <v/>
      </c>
      <c r="E322" s="16" t="str" cm="1">
        <f t="array" ref="E322">IF(C322&lt;&gt;"", _xlfn.XLOOKUP(1,((SKUs!$A$2:$A$10001=cl_unmerged!B322) * (ISNUMBER(SEARCH("Sash66",SKUs!$J$2:$J$10001)))), SKUs!$J$2:$J$10001,""),"") &amp; _xlfn.IFS(I322="Height", ", H",I322="Height SLI", ", H SLI", I322="Height FIX", ", H FIX",I322="Width", ", W", I322="", "")</f>
        <v/>
      </c>
      <c r="F322" s="33" t="str" cm="1">
        <f t="array" ref="F322">_xlfn.XLOOKUP(1,((SKUs!$A$2:$A$10001=cl_unmerged!B322) * (ISNUMBER(SEARCH("Sash66",SKUs!$J$2:$J$10001)))* (ISNUMBER(SEARCH(A322,SKUs!$C$2:$C$10001)))), SKUs!$C$2:$C$10001,"")</f>
        <v/>
      </c>
      <c r="G322" s="16"/>
      <c r="H322" s="16" t="str" cm="1">
        <f t="array" ref="H322">IF(C322&lt;&gt;"", _xlfn.IFS(I322="Height SLI",_xlfn.XLOOKUP(C322,'calc_s90&amp;138'!$C$15:$C$1000,'calc_s90&amp;138'!$AB$15:$AB$1000,"",0), I322="Width", _xlfn.XLOOKUP(C322,'calc_s90&amp;138'!$C$15:$C$1000,'calc_s90&amp;138'!$AD$15:$AD$1000,"",0)),"")</f>
        <v/>
      </c>
      <c r="I322" s="16" t="str">
        <f t="shared" si="6"/>
        <v/>
      </c>
    </row>
    <row r="323" spans="1:9" ht="13.5" customHeight="1" x14ac:dyDescent="0.25">
      <c r="A323" s="41" t="str">
        <f>_xlfn.XLOOKUP(G323,dd_color!$A$2:$A$8,dd_color!$B$2:$B$8,"",0)</f>
        <v/>
      </c>
      <c r="B323" s="41">
        <f>_xlfn.XLOOKUP(_xlfn.XLOOKUP(C323,'Project Details'!$C$17:$C$10003,'Project Details'!$E$17:$E$10003, "",0),dd_design_raw!$A$2:$A$9997,dd_design_raw!$C$2:$C$9997,"",0)</f>
        <v>0</v>
      </c>
      <c r="C323" s="16"/>
      <c r="D323" s="16" t="str" cm="1">
        <f t="array" ref="D323">IF(C323&lt;&gt;"", _xlfn.IFS(I323="Height SLI",_xlfn.XLOOKUP(C323,'calc_s90&amp;138'!$C$15:$C$1000,'calc_s90&amp;138'!$AC$15:$AC$1000,"",0),  I323="Width", _xlfn.XLOOKUP(C323,'calc_s90&amp;138'!$C$15:$C$1000,'calc_s90&amp;138'!$AE$15:$AE$1000,"",0)),"")</f>
        <v/>
      </c>
      <c r="E323" s="16" t="str" cm="1">
        <f t="array" ref="E323">IF(C323&lt;&gt;"", _xlfn.XLOOKUP(1,((SKUs!$A$2:$A$10001=cl_unmerged!B323) * (ISNUMBER(SEARCH("Sash66",SKUs!$J$2:$J$10001)))), SKUs!$J$2:$J$10001,""),"") &amp; _xlfn.IFS(I323="Height", ", H",I323="Height SLI", ", H SLI", I323="Height FIX", ", H FIX",I323="Width", ", W", I323="", "")</f>
        <v/>
      </c>
      <c r="F323" s="33" t="str" cm="1">
        <f t="array" ref="F323">_xlfn.XLOOKUP(1,((SKUs!$A$2:$A$10001=cl_unmerged!B323) * (ISNUMBER(SEARCH("Sash66",SKUs!$J$2:$J$10001)))* (ISNUMBER(SEARCH(A323,SKUs!$C$2:$C$10001)))), SKUs!$C$2:$C$10001,"")</f>
        <v/>
      </c>
      <c r="G323" s="16"/>
      <c r="H323" s="16" t="str" cm="1">
        <f t="array" ref="H323">IF(C323&lt;&gt;"", _xlfn.IFS(I323="Height SLI",_xlfn.XLOOKUP(C323,'calc_s90&amp;138'!$C$15:$C$1000,'calc_s90&amp;138'!$AB$15:$AB$1000,"",0), I323="Width", _xlfn.XLOOKUP(C323,'calc_s90&amp;138'!$C$15:$C$1000,'calc_s90&amp;138'!$AD$15:$AD$1000,"",0)),"")</f>
        <v/>
      </c>
      <c r="I323" s="16" t="str">
        <f t="shared" si="6"/>
        <v/>
      </c>
    </row>
    <row r="324" spans="1:9" ht="13.5" customHeight="1" x14ac:dyDescent="0.25">
      <c r="A324" s="41" t="str">
        <f>_xlfn.XLOOKUP(G324,dd_color!$A$2:$A$8,dd_color!$B$2:$B$8,"",0)</f>
        <v/>
      </c>
      <c r="B324" s="41">
        <f>_xlfn.XLOOKUP(_xlfn.XLOOKUP(C324,'Project Details'!$C$17:$C$10003,'Project Details'!$E$17:$E$10003, "",0),dd_design_raw!$A$2:$A$9997,dd_design_raw!$C$2:$C$9997,"",0)</f>
        <v>0</v>
      </c>
      <c r="C324" s="16"/>
      <c r="D324" s="16" t="str" cm="1">
        <f t="array" ref="D324">IF(C324&lt;&gt;"", _xlfn.IFS(I324="Height SLI",_xlfn.XLOOKUP(C324,'calc_s90&amp;138'!$C$15:$C$1000,'calc_s90&amp;138'!$AC$15:$AC$1000,"",0),  I324="Width", _xlfn.XLOOKUP(C324,'calc_s90&amp;138'!$C$15:$C$1000,'calc_s90&amp;138'!$AE$15:$AE$1000,"",0)),"")</f>
        <v/>
      </c>
      <c r="E324" s="16" t="str" cm="1">
        <f t="array" ref="E324">IF(C324&lt;&gt;"", _xlfn.XLOOKUP(1,((SKUs!$A$2:$A$10001=cl_unmerged!B324) * (ISNUMBER(SEARCH("Sash66",SKUs!$J$2:$J$10001)))), SKUs!$J$2:$J$10001,""),"") &amp; _xlfn.IFS(I324="Height", ", H",I324="Height SLI", ", H SLI", I324="Height FIX", ", H FIX",I324="Width", ", W", I324="", "")</f>
        <v/>
      </c>
      <c r="F324" s="33" t="str" cm="1">
        <f t="array" ref="F324">_xlfn.XLOOKUP(1,((SKUs!$A$2:$A$10001=cl_unmerged!B324) * (ISNUMBER(SEARCH("Sash66",SKUs!$J$2:$J$10001)))* (ISNUMBER(SEARCH(A324,SKUs!$C$2:$C$10001)))), SKUs!$C$2:$C$10001,"")</f>
        <v/>
      </c>
      <c r="G324" s="16"/>
      <c r="H324" s="16" t="str" cm="1">
        <f t="array" ref="H324">IF(C324&lt;&gt;"", _xlfn.IFS(I324="Height SLI",_xlfn.XLOOKUP(C324,'calc_s90&amp;138'!$C$15:$C$1000,'calc_s90&amp;138'!$AB$15:$AB$1000,"",0), I324="Width", _xlfn.XLOOKUP(C324,'calc_s90&amp;138'!$C$15:$C$1000,'calc_s90&amp;138'!$AD$15:$AD$1000,"",0)),"")</f>
        <v/>
      </c>
      <c r="I324" s="16" t="str">
        <f t="shared" si="6"/>
        <v/>
      </c>
    </row>
    <row r="325" spans="1:9" ht="13.5" customHeight="1" x14ac:dyDescent="0.25">
      <c r="F325" s="39"/>
    </row>
    <row r="326" spans="1:9" ht="13.5" customHeight="1" x14ac:dyDescent="0.25">
      <c r="C326" s="28" t="s">
        <v>68</v>
      </c>
      <c r="D326" s="29"/>
      <c r="E326" s="29"/>
      <c r="F326" s="29"/>
      <c r="G326" s="29"/>
      <c r="H326" s="29"/>
      <c r="I326" s="30"/>
    </row>
    <row r="327" spans="1:9" ht="13.5" customHeight="1" x14ac:dyDescent="0.25">
      <c r="C327" s="32" t="s">
        <v>183</v>
      </c>
      <c r="D327" s="32"/>
      <c r="E327" s="32"/>
      <c r="F327" s="32"/>
      <c r="G327" s="32"/>
      <c r="H327" s="32"/>
      <c r="I327" s="32"/>
    </row>
    <row r="328" spans="1:9" ht="13.5" customHeight="1" x14ac:dyDescent="0.25">
      <c r="A328" s="41" t="str">
        <f>_xlfn.XLOOKUP(G328,dd_color!$A$2:$A$8,dd_color!$B$2:$B$8,"",0)</f>
        <v/>
      </c>
      <c r="B328" s="41" t="str">
        <f>_xlfn.XLOOKUP(_xlfn.XLOOKUP(C328,'Project Details'!$C$17:$C$10003,'Project Details'!$E$17:$E$10003, "",0),dd_design_raw!$A$2:$A$9997,dd_design_raw!$C$2:$C$9997,"",0)</f>
        <v/>
      </c>
      <c r="C328" s="16" t="str" cm="1">
        <f t="array" ref="C328">IFERROR(_xlfn._xlws.FILTER(calc_s60!C15:C65,calc_s60!S15:S65&lt;&gt;""),"")</f>
        <v/>
      </c>
      <c r="D328" s="16" t="str" cm="1">
        <f t="array" ref="D328">IFERROR(_xlfn._xlws.FILTER(calc_s60!T15:T65,calc_s60!S15:S65&lt;&gt;""),"")</f>
        <v/>
      </c>
      <c r="E328" s="16" t="str" cm="1">
        <f t="array" ref="E328">IF(C328&lt;&gt;"", _xlfn.XLOOKUP(1,((SKUs!$A$2:$A$10001=cl_unmerged!B328) * (ISNUMBER(SEARCH("Mullion",SKUs!$J$2:$J$10001)))), SKUs!$J$2:$J$10001,""),"") &amp; _xlfn.IFS(I328="Height", ", H",I328="Height SLI", ", H SLI", I328="Height FIX", ", H FIX",I328="Width", ", W", I328="", "")</f>
        <v/>
      </c>
      <c r="F328" s="33" t="str" cm="1">
        <f t="array" ref="F328">_xlfn.XLOOKUP(1,((SKUs!$A$2:$A$10001=cl_unmerged!B328) * (ISNUMBER(SEARCH("Mullion",SKUs!$J$2:$J$10001)))* (ISNUMBER(SEARCH(A328,SKUs!$C$2:$C$10001)))), SKUs!$C$2:$C$10001,"")</f>
        <v/>
      </c>
      <c r="G328" s="16" t="str" cm="1">
        <f t="array" ref="G328">IFERROR(_xlfn._xlws.FILTER(calc_s60!G15:G65,calc_s60!S15:S65&lt;&gt;""),"")</f>
        <v/>
      </c>
      <c r="H328" s="16" t="str" cm="1">
        <f t="array" ref="H328">IFERROR(_xlfn._xlws.FILTER(calc_s60!S15:S65,calc_s60!S15:S65&lt;&gt;""),"")</f>
        <v/>
      </c>
      <c r="I328" s="16"/>
    </row>
    <row r="329" spans="1:9" ht="13.5" customHeight="1" x14ac:dyDescent="0.25">
      <c r="A329" s="41" t="str">
        <f>_xlfn.XLOOKUP(G329,dd_color!$A$2:$A$8,dd_color!$B$2:$B$8,"",0)</f>
        <v/>
      </c>
      <c r="B329" s="41">
        <f>_xlfn.XLOOKUP(_xlfn.XLOOKUP(C329,'Project Details'!$C$17:$C$10003,'Project Details'!$E$17:$E$10003, "",0),dd_design_raw!$A$2:$A$9997,dd_design_raw!$C$2:$C$9997,"",0)</f>
        <v>0</v>
      </c>
      <c r="C329" s="16"/>
      <c r="D329" s="16"/>
      <c r="E329" s="16" t="str" cm="1">
        <f t="array" ref="E329">IF(C329&lt;&gt;"", _xlfn.XLOOKUP(1,((SKUs!$A$2:$A$10001=cl_unmerged!B329) * (ISNUMBER(SEARCH("Mullion",SKUs!$J$2:$J$10001)))), SKUs!$J$2:$J$10001,""),"") &amp; _xlfn.IFS(I329="Height", ", H",I329="Height SLI", ", H SLI", I329="Height FIX", ", H FIX",I329="Width", ", W", I329="", "")</f>
        <v/>
      </c>
      <c r="F329" s="33" t="str" cm="1">
        <f t="array" ref="F329">_xlfn.XLOOKUP(1,((SKUs!$A$2:$A$10001=cl_unmerged!B329) * (ISNUMBER(SEARCH("Mullion",SKUs!$J$2:$J$10001)))* (ISNUMBER(SEARCH(A329,SKUs!$C$2:$C$10001)))), SKUs!$C$2:$C$10001,"")</f>
        <v/>
      </c>
      <c r="G329" s="16"/>
      <c r="H329" s="16"/>
      <c r="I329" s="16"/>
    </row>
    <row r="330" spans="1:9" ht="13.5" customHeight="1" x14ac:dyDescent="0.25">
      <c r="A330" s="41" t="str">
        <f>_xlfn.XLOOKUP(G330,dd_color!$A$2:$A$8,dd_color!$B$2:$B$8,"",0)</f>
        <v/>
      </c>
      <c r="B330" s="41">
        <f>_xlfn.XLOOKUP(_xlfn.XLOOKUP(C330,'Project Details'!$C$17:$C$10003,'Project Details'!$E$17:$E$10003, "",0),dd_design_raw!$A$2:$A$9997,dd_design_raw!$C$2:$C$9997,"",0)</f>
        <v>0</v>
      </c>
      <c r="C330" s="16"/>
      <c r="D330" s="16"/>
      <c r="E330" s="16" t="str" cm="1">
        <f t="array" ref="E330">IF(C330&lt;&gt;"", _xlfn.XLOOKUP(1,((SKUs!$A$2:$A$10001=cl_unmerged!B330) * (ISNUMBER(SEARCH("Mullion",SKUs!$J$2:$J$10001)))), SKUs!$J$2:$J$10001,""),"") &amp; _xlfn.IFS(I330="Height", ", H",I330="Height SLI", ", H SLI", I330="Height FIX", ", H FIX",I330="Width", ", W", I330="", "")</f>
        <v/>
      </c>
      <c r="F330" s="33" t="str" cm="1">
        <f t="array" ref="F330">_xlfn.XLOOKUP(1,((SKUs!$A$2:$A$10001=cl_unmerged!B330) * (ISNUMBER(SEARCH("Mullion",SKUs!$J$2:$J$10001)))* (ISNUMBER(SEARCH(A330,SKUs!$C$2:$C$10001)))), SKUs!$C$2:$C$10001,"")</f>
        <v/>
      </c>
      <c r="G330" s="16"/>
      <c r="H330" s="16"/>
      <c r="I330" s="16"/>
    </row>
    <row r="331" spans="1:9" ht="13.5" customHeight="1" x14ac:dyDescent="0.25">
      <c r="A331" s="41" t="str">
        <f>_xlfn.XLOOKUP(G331,dd_color!$A$2:$A$8,dd_color!$B$2:$B$8,"",0)</f>
        <v/>
      </c>
      <c r="B331" s="41">
        <f>_xlfn.XLOOKUP(_xlfn.XLOOKUP(C331,'Project Details'!$C$17:$C$10003,'Project Details'!$E$17:$E$10003, "",0),dd_design_raw!$A$2:$A$9997,dd_design_raw!$C$2:$C$9997,"",0)</f>
        <v>0</v>
      </c>
      <c r="C331" s="16"/>
      <c r="D331" s="16"/>
      <c r="E331" s="16" t="str" cm="1">
        <f t="array" ref="E331">IF(C331&lt;&gt;"", _xlfn.XLOOKUP(1,((SKUs!$A$2:$A$10001=cl_unmerged!B331) * (ISNUMBER(SEARCH("Mullion",SKUs!$J$2:$J$10001)))), SKUs!$J$2:$J$10001,""),"") &amp; _xlfn.IFS(I331="Height", ", H",I331="Height SLI", ", H SLI", I331="Height FIX", ", H FIX",I331="Width", ", W", I331="", "")</f>
        <v/>
      </c>
      <c r="F331" s="33" t="str" cm="1">
        <f t="array" ref="F331">_xlfn.XLOOKUP(1,((SKUs!$A$2:$A$10001=cl_unmerged!B331) * (ISNUMBER(SEARCH("Mullion",SKUs!$J$2:$J$10001)))* (ISNUMBER(SEARCH(A331,SKUs!$C$2:$C$10001)))), SKUs!$C$2:$C$10001,"")</f>
        <v/>
      </c>
      <c r="G331" s="16"/>
      <c r="H331" s="16"/>
      <c r="I331" s="16"/>
    </row>
    <row r="332" spans="1:9" ht="13.5" customHeight="1" x14ac:dyDescent="0.25">
      <c r="A332" s="41" t="str">
        <f>_xlfn.XLOOKUP(G332,dd_color!$A$2:$A$8,dd_color!$B$2:$B$8,"",0)</f>
        <v/>
      </c>
      <c r="B332" s="41">
        <f>_xlfn.XLOOKUP(_xlfn.XLOOKUP(C332,'Project Details'!$C$17:$C$10003,'Project Details'!$E$17:$E$10003, "",0),dd_design_raw!$A$2:$A$9997,dd_design_raw!$C$2:$C$9997,"",0)</f>
        <v>0</v>
      </c>
      <c r="C332" s="16"/>
      <c r="D332" s="16"/>
      <c r="E332" s="16" t="str" cm="1">
        <f t="array" ref="E332">IF(C332&lt;&gt;"", _xlfn.XLOOKUP(1,((SKUs!$A$2:$A$10001=cl_unmerged!B332) * (ISNUMBER(SEARCH("Mullion",SKUs!$J$2:$J$10001)))), SKUs!$J$2:$J$10001,""),"") &amp; _xlfn.IFS(I332="Height", ", H",I332="Height SLI", ", H SLI", I332="Height FIX", ", H FIX",I332="Width", ", W", I332="", "")</f>
        <v/>
      </c>
      <c r="F332" s="33" t="str" cm="1">
        <f t="array" ref="F332">_xlfn.XLOOKUP(1,((SKUs!$A$2:$A$10001=cl_unmerged!B332) * (ISNUMBER(SEARCH("Mullion",SKUs!$J$2:$J$10001)))* (ISNUMBER(SEARCH(A332,SKUs!$C$2:$C$10001)))), SKUs!$C$2:$C$10001,"")</f>
        <v/>
      </c>
      <c r="G332" s="16"/>
      <c r="H332" s="16"/>
      <c r="I332" s="16"/>
    </row>
    <row r="333" spans="1:9" ht="13.5" customHeight="1" x14ac:dyDescent="0.25">
      <c r="A333" s="41" t="str">
        <f>_xlfn.XLOOKUP(G333,dd_color!$A$2:$A$8,dd_color!$B$2:$B$8,"",0)</f>
        <v/>
      </c>
      <c r="B333" s="41">
        <f>_xlfn.XLOOKUP(_xlfn.XLOOKUP(C333,'Project Details'!$C$17:$C$10003,'Project Details'!$E$17:$E$10003, "",0),dd_design_raw!$A$2:$A$9997,dd_design_raw!$C$2:$C$9997,"",0)</f>
        <v>0</v>
      </c>
      <c r="C333" s="16"/>
      <c r="D333" s="16"/>
      <c r="E333" s="16" t="str" cm="1">
        <f t="array" ref="E333">IF(C333&lt;&gt;"", _xlfn.XLOOKUP(1,((SKUs!$A$2:$A$10001=cl_unmerged!B333) * (ISNUMBER(SEARCH("Mullion",SKUs!$J$2:$J$10001)))), SKUs!$J$2:$J$10001,""),"") &amp; _xlfn.IFS(I333="Height", ", H",I333="Height SLI", ", H SLI", I333="Height FIX", ", H FIX",I333="Width", ", W", I333="", "")</f>
        <v/>
      </c>
      <c r="F333" s="33" t="str" cm="1">
        <f t="array" ref="F333">_xlfn.XLOOKUP(1,((SKUs!$A$2:$A$10001=cl_unmerged!B333) * (ISNUMBER(SEARCH("Mullion",SKUs!$J$2:$J$10001)))* (ISNUMBER(SEARCH(A333,SKUs!$C$2:$C$10001)))), SKUs!$C$2:$C$10001,"")</f>
        <v/>
      </c>
      <c r="G333" s="16"/>
      <c r="H333" s="16"/>
      <c r="I333" s="16"/>
    </row>
    <row r="334" spans="1:9" ht="13.5" customHeight="1" x14ac:dyDescent="0.25">
      <c r="A334" s="41" t="str">
        <f>_xlfn.XLOOKUP(G334,dd_color!$A$2:$A$8,dd_color!$B$2:$B$8,"",0)</f>
        <v/>
      </c>
      <c r="B334" s="41">
        <f>_xlfn.XLOOKUP(_xlfn.XLOOKUP(C334,'Project Details'!$C$17:$C$10003,'Project Details'!$E$17:$E$10003, "",0),dd_design_raw!$A$2:$A$9997,dd_design_raw!$C$2:$C$9997,"",0)</f>
        <v>0</v>
      </c>
      <c r="C334" s="16"/>
      <c r="D334" s="16"/>
      <c r="E334" s="16" t="str" cm="1">
        <f t="array" ref="E334">IF(C334&lt;&gt;"", _xlfn.XLOOKUP(1,((SKUs!$A$2:$A$10001=cl_unmerged!B334) * (ISNUMBER(SEARCH("Mullion",SKUs!$J$2:$J$10001)))), SKUs!$J$2:$J$10001,""),"") &amp; _xlfn.IFS(I334="Height", ", H",I334="Height SLI", ", H SLI", I334="Height FIX", ", H FIX",I334="Width", ", W", I334="", "")</f>
        <v/>
      </c>
      <c r="F334" s="33" t="str" cm="1">
        <f t="array" ref="F334">_xlfn.XLOOKUP(1,((SKUs!$A$2:$A$10001=cl_unmerged!B334) * (ISNUMBER(SEARCH("Mullion",SKUs!$J$2:$J$10001)))* (ISNUMBER(SEARCH(A334,SKUs!$C$2:$C$10001)))), SKUs!$C$2:$C$10001,"")</f>
        <v/>
      </c>
      <c r="G334" s="16"/>
      <c r="H334" s="16"/>
      <c r="I334" s="16"/>
    </row>
    <row r="335" spans="1:9" ht="13.5" customHeight="1" x14ac:dyDescent="0.25">
      <c r="A335" s="41" t="str">
        <f>_xlfn.XLOOKUP(G335,dd_color!$A$2:$A$8,dd_color!$B$2:$B$8,"",0)</f>
        <v/>
      </c>
      <c r="B335" s="41">
        <f>_xlfn.XLOOKUP(_xlfn.XLOOKUP(C335,'Project Details'!$C$17:$C$10003,'Project Details'!$E$17:$E$10003, "",0),dd_design_raw!$A$2:$A$9997,dd_design_raw!$C$2:$C$9997,"",0)</f>
        <v>0</v>
      </c>
      <c r="C335" s="16"/>
      <c r="D335" s="16"/>
      <c r="E335" s="16" t="str" cm="1">
        <f t="array" ref="E335">IF(C335&lt;&gt;"", _xlfn.XLOOKUP(1,((SKUs!$A$2:$A$10001=cl_unmerged!B335) * (ISNUMBER(SEARCH("Mullion",SKUs!$J$2:$J$10001)))), SKUs!$J$2:$J$10001,""),"") &amp; _xlfn.IFS(I335="Height", ", H",I335="Height SLI", ", H SLI", I335="Height FIX", ", H FIX",I335="Width", ", W", I335="", "")</f>
        <v/>
      </c>
      <c r="F335" s="33" t="str" cm="1">
        <f t="array" ref="F335">_xlfn.XLOOKUP(1,((SKUs!$A$2:$A$10001=cl_unmerged!B335) * (ISNUMBER(SEARCH("Mullion",SKUs!$J$2:$J$10001)))* (ISNUMBER(SEARCH(A335,SKUs!$C$2:$C$10001)))), SKUs!$C$2:$C$10001,"")</f>
        <v/>
      </c>
      <c r="G335" s="16"/>
      <c r="H335" s="16"/>
      <c r="I335" s="16"/>
    </row>
    <row r="336" spans="1:9" ht="13.5" customHeight="1" x14ac:dyDescent="0.25">
      <c r="A336" s="41" t="str">
        <f>_xlfn.XLOOKUP(G336,dd_color!$A$2:$A$8,dd_color!$B$2:$B$8,"",0)</f>
        <v/>
      </c>
      <c r="B336" s="41">
        <f>_xlfn.XLOOKUP(_xlfn.XLOOKUP(C336,'Project Details'!$C$17:$C$10003,'Project Details'!$E$17:$E$10003, "",0),dd_design_raw!$A$2:$A$9997,dd_design_raw!$C$2:$C$9997,"",0)</f>
        <v>0</v>
      </c>
      <c r="C336" s="16"/>
      <c r="D336" s="16"/>
      <c r="E336" s="16" t="str" cm="1">
        <f t="array" ref="E336">IF(C336&lt;&gt;"", _xlfn.XLOOKUP(1,((SKUs!$A$2:$A$10001=cl_unmerged!B336) * (ISNUMBER(SEARCH("Mullion",SKUs!$J$2:$J$10001)))), SKUs!$J$2:$J$10001,""),"") &amp; _xlfn.IFS(I336="Height", ", H",I336="Height SLI", ", H SLI", I336="Height FIX", ", H FIX",I336="Width", ", W", I336="", "")</f>
        <v/>
      </c>
      <c r="F336" s="33" t="str" cm="1">
        <f t="array" ref="F336">_xlfn.XLOOKUP(1,((SKUs!$A$2:$A$10001=cl_unmerged!B336) * (ISNUMBER(SEARCH("Mullion",SKUs!$J$2:$J$10001)))* (ISNUMBER(SEARCH(A336,SKUs!$C$2:$C$10001)))), SKUs!$C$2:$C$10001,"")</f>
        <v/>
      </c>
      <c r="G336" s="16"/>
      <c r="H336" s="16"/>
      <c r="I336" s="16"/>
    </row>
    <row r="337" spans="1:9" ht="13.5" customHeight="1" x14ac:dyDescent="0.25">
      <c r="A337" s="41" t="str">
        <f>_xlfn.XLOOKUP(G337,dd_color!$A$2:$A$8,dd_color!$B$2:$B$8,"",0)</f>
        <v/>
      </c>
      <c r="B337" s="41">
        <f>_xlfn.XLOOKUP(_xlfn.XLOOKUP(C337,'Project Details'!$C$17:$C$10003,'Project Details'!$E$17:$E$10003, "",0),dd_design_raw!$A$2:$A$9997,dd_design_raw!$C$2:$C$9997,"",0)</f>
        <v>0</v>
      </c>
      <c r="C337" s="16"/>
      <c r="D337" s="16"/>
      <c r="E337" s="16" t="str" cm="1">
        <f t="array" ref="E337">IF(C337&lt;&gt;"", _xlfn.XLOOKUP(1,((SKUs!$A$2:$A$10001=cl_unmerged!B337) * (ISNUMBER(SEARCH("Mullion",SKUs!$J$2:$J$10001)))), SKUs!$J$2:$J$10001,""),"") &amp; _xlfn.IFS(I337="Height", ", H",I337="Height SLI", ", H SLI", I337="Height FIX", ", H FIX",I337="Width", ", W", I337="", "")</f>
        <v/>
      </c>
      <c r="F337" s="33" t="str" cm="1">
        <f t="array" ref="F337">_xlfn.XLOOKUP(1,((SKUs!$A$2:$A$10001=cl_unmerged!B337) * (ISNUMBER(SEARCH("Mullion",SKUs!$J$2:$J$10001)))* (ISNUMBER(SEARCH(A337,SKUs!$C$2:$C$10001)))), SKUs!$C$2:$C$10001,"")</f>
        <v/>
      </c>
      <c r="G337" s="16"/>
      <c r="H337" s="16"/>
      <c r="I337" s="16"/>
    </row>
    <row r="338" spans="1:9" ht="13.5" customHeight="1" x14ac:dyDescent="0.25">
      <c r="A338" s="41" t="str">
        <f>_xlfn.XLOOKUP(G338,dd_color!$A$2:$A$8,dd_color!$B$2:$B$8,"",0)</f>
        <v/>
      </c>
      <c r="B338" s="41">
        <f>_xlfn.XLOOKUP(_xlfn.XLOOKUP(C338,'Project Details'!$C$17:$C$10003,'Project Details'!$E$17:$E$10003, "",0),dd_design_raw!$A$2:$A$9997,dd_design_raw!$C$2:$C$9997,"",0)</f>
        <v>0</v>
      </c>
      <c r="C338" s="16"/>
      <c r="D338" s="16"/>
      <c r="E338" s="16" t="str" cm="1">
        <f t="array" ref="E338">IF(C338&lt;&gt;"", _xlfn.XLOOKUP(1,((SKUs!$A$2:$A$10001=cl_unmerged!B338) * (ISNUMBER(SEARCH("Mullion",SKUs!$J$2:$J$10001)))), SKUs!$J$2:$J$10001,""),"") &amp; _xlfn.IFS(I338="Height", ", H",I338="Height SLI", ", H SLI", I338="Height FIX", ", H FIX",I338="Width", ", W", I338="", "")</f>
        <v/>
      </c>
      <c r="F338" s="33" t="str" cm="1">
        <f t="array" ref="F338">_xlfn.XLOOKUP(1,((SKUs!$A$2:$A$10001=cl_unmerged!B338) * (ISNUMBER(SEARCH("Mullion",SKUs!$J$2:$J$10001)))* (ISNUMBER(SEARCH(A338,SKUs!$C$2:$C$10001)))), SKUs!$C$2:$C$10001,"")</f>
        <v/>
      </c>
      <c r="G338" s="16"/>
      <c r="H338" s="16"/>
      <c r="I338" s="16"/>
    </row>
    <row r="339" spans="1:9" ht="13.5" customHeight="1" x14ac:dyDescent="0.25">
      <c r="A339" s="41" t="str">
        <f>_xlfn.XLOOKUP(G339,dd_color!$A$2:$A$8,dd_color!$B$2:$B$8,"",0)</f>
        <v/>
      </c>
      <c r="B339" s="41">
        <f>_xlfn.XLOOKUP(_xlfn.XLOOKUP(C339,'Project Details'!$C$17:$C$10003,'Project Details'!$E$17:$E$10003, "",0),dd_design_raw!$A$2:$A$9997,dd_design_raw!$C$2:$C$9997,"",0)</f>
        <v>0</v>
      </c>
      <c r="C339" s="16"/>
      <c r="D339" s="16"/>
      <c r="E339" s="16" t="str" cm="1">
        <f t="array" ref="E339">IF(C339&lt;&gt;"", _xlfn.XLOOKUP(1,((SKUs!$A$2:$A$10001=cl_unmerged!B339) * (ISNUMBER(SEARCH("Mullion",SKUs!$J$2:$J$10001)))), SKUs!$J$2:$J$10001,""),"") &amp; _xlfn.IFS(I339="Height", ", H",I339="Height SLI", ", H SLI", I339="Height FIX", ", H FIX",I339="Width", ", W", I339="", "")</f>
        <v/>
      </c>
      <c r="F339" s="33" t="str" cm="1">
        <f t="array" ref="F339">_xlfn.XLOOKUP(1,((SKUs!$A$2:$A$10001=cl_unmerged!B339) * (ISNUMBER(SEARCH("Mullion",SKUs!$J$2:$J$10001)))* (ISNUMBER(SEARCH(A339,SKUs!$C$2:$C$10001)))), SKUs!$C$2:$C$10001,"")</f>
        <v/>
      </c>
      <c r="G339" s="16"/>
      <c r="H339" s="16"/>
      <c r="I339" s="16"/>
    </row>
    <row r="340" spans="1:9" ht="13.5" customHeight="1" x14ac:dyDescent="0.25">
      <c r="A340" s="41" t="str">
        <f>_xlfn.XLOOKUP(G340,dd_color!$A$2:$A$8,dd_color!$B$2:$B$8,"",0)</f>
        <v/>
      </c>
      <c r="B340" s="41">
        <f>_xlfn.XLOOKUP(_xlfn.XLOOKUP(C340,'Project Details'!$C$17:$C$10003,'Project Details'!$E$17:$E$10003, "",0),dd_design_raw!$A$2:$A$9997,dd_design_raw!$C$2:$C$9997,"",0)</f>
        <v>0</v>
      </c>
      <c r="C340" s="16"/>
      <c r="D340" s="16"/>
      <c r="E340" s="16" t="str" cm="1">
        <f t="array" ref="E340">IF(C340&lt;&gt;"", _xlfn.XLOOKUP(1,((SKUs!$A$2:$A$10001=cl_unmerged!B340) * (ISNUMBER(SEARCH("Mullion",SKUs!$J$2:$J$10001)))), SKUs!$J$2:$J$10001,""),"") &amp; _xlfn.IFS(I340="Height", ", H",I340="Height SLI", ", H SLI", I340="Height FIX", ", H FIX",I340="Width", ", W", I340="", "")</f>
        <v/>
      </c>
      <c r="F340" s="33" t="str" cm="1">
        <f t="array" ref="F340">_xlfn.XLOOKUP(1,((SKUs!$A$2:$A$10001=cl_unmerged!B340) * (ISNUMBER(SEARCH("Mullion",SKUs!$J$2:$J$10001)))* (ISNUMBER(SEARCH(A340,SKUs!$C$2:$C$10001)))), SKUs!$C$2:$C$10001,"")</f>
        <v/>
      </c>
      <c r="G340" s="16"/>
      <c r="H340" s="16"/>
      <c r="I340" s="16"/>
    </row>
    <row r="341" spans="1:9" ht="13.5" customHeight="1" x14ac:dyDescent="0.25">
      <c r="A341" s="41" t="str">
        <f>_xlfn.XLOOKUP(G341,dd_color!$A$2:$A$8,dd_color!$B$2:$B$8,"",0)</f>
        <v/>
      </c>
      <c r="B341" s="41">
        <f>_xlfn.XLOOKUP(_xlfn.XLOOKUP(C341,'Project Details'!$C$17:$C$10003,'Project Details'!$E$17:$E$10003, "",0),dd_design_raw!$A$2:$A$9997,dd_design_raw!$C$2:$C$9997,"",0)</f>
        <v>0</v>
      </c>
      <c r="C341" s="16"/>
      <c r="D341" s="16"/>
      <c r="E341" s="16" t="str" cm="1">
        <f t="array" ref="E341">IF(C341&lt;&gt;"", _xlfn.XLOOKUP(1,((SKUs!$A$2:$A$10001=cl_unmerged!B341) * (ISNUMBER(SEARCH("Mullion",SKUs!$J$2:$J$10001)))), SKUs!$J$2:$J$10001,""),"") &amp; _xlfn.IFS(I341="Height", ", H",I341="Height SLI", ", H SLI", I341="Height FIX", ", H FIX",I341="Width", ", W", I341="", "")</f>
        <v/>
      </c>
      <c r="F341" s="33" t="str" cm="1">
        <f t="array" ref="F341">_xlfn.XLOOKUP(1,((SKUs!$A$2:$A$10001=cl_unmerged!B341) * (ISNUMBER(SEARCH("Mullion",SKUs!$J$2:$J$10001)))* (ISNUMBER(SEARCH(A341,SKUs!$C$2:$C$10001)))), SKUs!$C$2:$C$10001,"")</f>
        <v/>
      </c>
      <c r="G341" s="16"/>
      <c r="H341" s="16"/>
      <c r="I341" s="16"/>
    </row>
    <row r="342" spans="1:9" ht="13.5" customHeight="1" x14ac:dyDescent="0.25">
      <c r="A342" s="41" t="str">
        <f>_xlfn.XLOOKUP(G342,dd_color!$A$2:$A$8,dd_color!$B$2:$B$8,"",0)</f>
        <v/>
      </c>
      <c r="B342" s="41">
        <f>_xlfn.XLOOKUP(_xlfn.XLOOKUP(C342,'Project Details'!$C$17:$C$10003,'Project Details'!$E$17:$E$10003, "",0),dd_design_raw!$A$2:$A$9997,dd_design_raw!$C$2:$C$9997,"",0)</f>
        <v>0</v>
      </c>
      <c r="C342" s="16"/>
      <c r="D342" s="16"/>
      <c r="E342" s="16" t="str" cm="1">
        <f t="array" ref="E342">IF(C342&lt;&gt;"", _xlfn.XLOOKUP(1,((SKUs!$A$2:$A$10001=cl_unmerged!B342) * (ISNUMBER(SEARCH("Mullion",SKUs!$J$2:$J$10001)))), SKUs!$J$2:$J$10001,""),"") &amp; _xlfn.IFS(I342="Height", ", H",I342="Height SLI", ", H SLI", I342="Height FIX", ", H FIX",I342="Width", ", W", I342="", "")</f>
        <v/>
      </c>
      <c r="F342" s="33" t="str" cm="1">
        <f t="array" ref="F342">_xlfn.XLOOKUP(1,((SKUs!$A$2:$A$10001=cl_unmerged!B342) * (ISNUMBER(SEARCH("Mullion",SKUs!$J$2:$J$10001)))* (ISNUMBER(SEARCH(A342,SKUs!$C$2:$C$10001)))), SKUs!$C$2:$C$10001,"")</f>
        <v/>
      </c>
      <c r="G342" s="16"/>
      <c r="H342" s="16"/>
      <c r="I342" s="16"/>
    </row>
    <row r="343" spans="1:9" ht="13.5" customHeight="1" x14ac:dyDescent="0.25">
      <c r="A343" s="41" t="str">
        <f>_xlfn.XLOOKUP(G343,dd_color!$A$2:$A$8,dd_color!$B$2:$B$8,"",0)</f>
        <v/>
      </c>
      <c r="B343" s="41">
        <f>_xlfn.XLOOKUP(_xlfn.XLOOKUP(C343,'Project Details'!$C$17:$C$10003,'Project Details'!$E$17:$E$10003, "",0),dd_design_raw!$A$2:$A$9997,dd_design_raw!$C$2:$C$9997,"",0)</f>
        <v>0</v>
      </c>
      <c r="C343" s="16"/>
      <c r="D343" s="16"/>
      <c r="E343" s="16" t="str" cm="1">
        <f t="array" ref="E343">IF(C343&lt;&gt;"", _xlfn.XLOOKUP(1,((SKUs!$A$2:$A$10001=cl_unmerged!B343) * (ISNUMBER(SEARCH("Mullion",SKUs!$J$2:$J$10001)))), SKUs!$J$2:$J$10001,""),"") &amp; _xlfn.IFS(I343="Height", ", H",I343="Height SLI", ", H SLI", I343="Height FIX", ", H FIX",I343="Width", ", W", I343="", "")</f>
        <v/>
      </c>
      <c r="F343" s="33" t="str" cm="1">
        <f t="array" ref="F343">_xlfn.XLOOKUP(1,((SKUs!$A$2:$A$10001=cl_unmerged!B343) * (ISNUMBER(SEARCH("Mullion",SKUs!$J$2:$J$10001)))* (ISNUMBER(SEARCH(A343,SKUs!$C$2:$C$10001)))), SKUs!$C$2:$C$10001,"")</f>
        <v/>
      </c>
      <c r="G343" s="16"/>
      <c r="H343" s="16"/>
      <c r="I343" s="16"/>
    </row>
    <row r="344" spans="1:9" ht="13.5" customHeight="1" x14ac:dyDescent="0.25">
      <c r="A344" s="41" t="str">
        <f>_xlfn.XLOOKUP(G344,dd_color!$A$2:$A$8,dd_color!$B$2:$B$8,"",0)</f>
        <v/>
      </c>
      <c r="B344" s="41">
        <f>_xlfn.XLOOKUP(_xlfn.XLOOKUP(C344,'Project Details'!$C$17:$C$10003,'Project Details'!$E$17:$E$10003, "",0),dd_design_raw!$A$2:$A$9997,dd_design_raw!$C$2:$C$9997,"",0)</f>
        <v>0</v>
      </c>
      <c r="C344" s="16"/>
      <c r="D344" s="16"/>
      <c r="E344" s="16" t="str" cm="1">
        <f t="array" ref="E344">IF(C344&lt;&gt;"", _xlfn.XLOOKUP(1,((SKUs!$A$2:$A$10001=cl_unmerged!B344) * (ISNUMBER(SEARCH("Mullion",SKUs!$J$2:$J$10001)))), SKUs!$J$2:$J$10001,""),"") &amp; _xlfn.IFS(I344="Height", ", H",I344="Height SLI", ", H SLI", I344="Height FIX", ", H FIX",I344="Width", ", W", I344="", "")</f>
        <v/>
      </c>
      <c r="F344" s="33" t="str" cm="1">
        <f t="array" ref="F344">_xlfn.XLOOKUP(1,((SKUs!$A$2:$A$10001=cl_unmerged!B344) * (ISNUMBER(SEARCH("Mullion",SKUs!$J$2:$J$10001)))* (ISNUMBER(SEARCH(A344,SKUs!$C$2:$C$10001)))), SKUs!$C$2:$C$10001,"")</f>
        <v/>
      </c>
      <c r="G344" s="16"/>
      <c r="H344" s="16"/>
      <c r="I344" s="16"/>
    </row>
    <row r="345" spans="1:9" ht="13.5" customHeight="1" x14ac:dyDescent="0.25">
      <c r="A345" s="41" t="str">
        <f>_xlfn.XLOOKUP(G345,dd_color!$A$2:$A$8,dd_color!$B$2:$B$8,"",0)</f>
        <v/>
      </c>
      <c r="B345" s="41">
        <f>_xlfn.XLOOKUP(_xlfn.XLOOKUP(C345,'Project Details'!$C$17:$C$10003,'Project Details'!$E$17:$E$10003, "",0),dd_design_raw!$A$2:$A$9997,dd_design_raw!$C$2:$C$9997,"",0)</f>
        <v>0</v>
      </c>
      <c r="C345" s="16"/>
      <c r="D345" s="16"/>
      <c r="E345" s="16" t="str" cm="1">
        <f t="array" ref="E345">IF(C345&lt;&gt;"", _xlfn.XLOOKUP(1,((SKUs!$A$2:$A$10001=cl_unmerged!B345) * (ISNUMBER(SEARCH("Mullion",SKUs!$J$2:$J$10001)))), SKUs!$J$2:$J$10001,""),"") &amp; _xlfn.IFS(I345="Height", ", H",I345="Height SLI", ", H SLI", I345="Height FIX", ", H FIX",I345="Width", ", W", I345="", "")</f>
        <v/>
      </c>
      <c r="F345" s="33" t="str" cm="1">
        <f t="array" ref="F345">_xlfn.XLOOKUP(1,((SKUs!$A$2:$A$10001=cl_unmerged!B345) * (ISNUMBER(SEARCH("Mullion",SKUs!$J$2:$J$10001)))* (ISNUMBER(SEARCH(A345,SKUs!$C$2:$C$10001)))), SKUs!$C$2:$C$10001,"")</f>
        <v/>
      </c>
      <c r="G345" s="16"/>
      <c r="H345" s="16"/>
      <c r="I345" s="16"/>
    </row>
    <row r="346" spans="1:9" ht="13.5" customHeight="1" x14ac:dyDescent="0.25">
      <c r="A346" s="41" t="str">
        <f>_xlfn.XLOOKUP(G346,dd_color!$A$2:$A$8,dd_color!$B$2:$B$8,"",0)</f>
        <v/>
      </c>
      <c r="B346" s="41">
        <f>_xlfn.XLOOKUP(_xlfn.XLOOKUP(C346,'Project Details'!$C$17:$C$10003,'Project Details'!$E$17:$E$10003, "",0),dd_design_raw!$A$2:$A$9997,dd_design_raw!$C$2:$C$9997,"",0)</f>
        <v>0</v>
      </c>
      <c r="C346" s="16"/>
      <c r="D346" s="16"/>
      <c r="E346" s="16" t="str" cm="1">
        <f t="array" ref="E346">IF(C346&lt;&gt;"", _xlfn.XLOOKUP(1,((SKUs!$A$2:$A$10001=cl_unmerged!B346) * (ISNUMBER(SEARCH("Mullion",SKUs!$J$2:$J$10001)))), SKUs!$J$2:$J$10001,""),"") &amp; _xlfn.IFS(I346="Height", ", H",I346="Height SLI", ", H SLI", I346="Height FIX", ", H FIX",I346="Width", ", W", I346="", "")</f>
        <v/>
      </c>
      <c r="F346" s="33" t="str" cm="1">
        <f t="array" ref="F346">_xlfn.XLOOKUP(1,((SKUs!$A$2:$A$10001=cl_unmerged!B346) * (ISNUMBER(SEARCH("Mullion",SKUs!$J$2:$J$10001)))* (ISNUMBER(SEARCH(A346,SKUs!$C$2:$C$10001)))), SKUs!$C$2:$C$10001,"")</f>
        <v/>
      </c>
      <c r="G346" s="16"/>
      <c r="H346" s="16"/>
      <c r="I346" s="16"/>
    </row>
    <row r="347" spans="1:9" ht="13.5" customHeight="1" x14ac:dyDescent="0.25">
      <c r="A347" s="41" t="str">
        <f>_xlfn.XLOOKUP(G347,dd_color!$A$2:$A$8,dd_color!$B$2:$B$8,"",0)</f>
        <v/>
      </c>
      <c r="B347" s="41">
        <f>_xlfn.XLOOKUP(_xlfn.XLOOKUP(C347,'Project Details'!$C$17:$C$10003,'Project Details'!$E$17:$E$10003, "",0),dd_design_raw!$A$2:$A$9997,dd_design_raw!$C$2:$C$9997,"",0)</f>
        <v>0</v>
      </c>
      <c r="C347" s="16"/>
      <c r="D347" s="16"/>
      <c r="E347" s="16" t="str" cm="1">
        <f t="array" ref="E347">IF(C347&lt;&gt;"", _xlfn.XLOOKUP(1,((SKUs!$A$2:$A$10001=cl_unmerged!B347) * (ISNUMBER(SEARCH("Mullion",SKUs!$J$2:$J$10001)))), SKUs!$J$2:$J$10001,""),"") &amp; _xlfn.IFS(I347="Height", ", H",I347="Height SLI", ", H SLI", I347="Height FIX", ", H FIX",I347="Width", ", W", I347="", "")</f>
        <v/>
      </c>
      <c r="F347" s="33" t="str" cm="1">
        <f t="array" ref="F347">_xlfn.XLOOKUP(1,((SKUs!$A$2:$A$10001=cl_unmerged!B347) * (ISNUMBER(SEARCH("Mullion",SKUs!$J$2:$J$10001)))* (ISNUMBER(SEARCH(A347,SKUs!$C$2:$C$10001)))), SKUs!$C$2:$C$10001,"")</f>
        <v/>
      </c>
      <c r="G347" s="16"/>
      <c r="H347" s="16"/>
      <c r="I347" s="16"/>
    </row>
    <row r="348" spans="1:9" ht="13.5" customHeight="1" x14ac:dyDescent="0.25">
      <c r="A348" s="41" t="str">
        <f>_xlfn.XLOOKUP(G348,dd_color!$A$2:$A$8,dd_color!$B$2:$B$8,"",0)</f>
        <v/>
      </c>
      <c r="B348" s="41">
        <f>_xlfn.XLOOKUP(_xlfn.XLOOKUP(C348,'Project Details'!$C$17:$C$10003,'Project Details'!$E$17:$E$10003, "",0),dd_design_raw!$A$2:$A$9997,dd_design_raw!$C$2:$C$9997,"",0)</f>
        <v>0</v>
      </c>
      <c r="C348" s="16"/>
      <c r="D348" s="16"/>
      <c r="E348" s="16" t="str" cm="1">
        <f t="array" ref="E348">IF(C348&lt;&gt;"", _xlfn.XLOOKUP(1,((SKUs!$A$2:$A$10001=cl_unmerged!B348) * (ISNUMBER(SEARCH("Mullion",SKUs!$J$2:$J$10001)))), SKUs!$J$2:$J$10001,""),"") &amp; _xlfn.IFS(I348="Height", ", H",I348="Height SLI", ", H SLI", I348="Height FIX", ", H FIX",I348="Width", ", W", I348="", "")</f>
        <v/>
      </c>
      <c r="F348" s="33" t="str" cm="1">
        <f t="array" ref="F348">_xlfn.XLOOKUP(1,((SKUs!$A$2:$A$10001=cl_unmerged!B348) * (ISNUMBER(SEARCH("Mullion",SKUs!$J$2:$J$10001)))* (ISNUMBER(SEARCH(A348,SKUs!$C$2:$C$10001)))), SKUs!$C$2:$C$10001,"")</f>
        <v/>
      </c>
      <c r="G348" s="16"/>
      <c r="H348" s="16"/>
      <c r="I348" s="16"/>
    </row>
    <row r="349" spans="1:9" ht="13.5" customHeight="1" x14ac:dyDescent="0.25">
      <c r="A349" s="41" t="str">
        <f>_xlfn.XLOOKUP(G349,dd_color!$A$2:$A$8,dd_color!$B$2:$B$8,"",0)</f>
        <v/>
      </c>
      <c r="B349" s="41">
        <f>_xlfn.XLOOKUP(_xlfn.XLOOKUP(C349,'Project Details'!$C$17:$C$10003,'Project Details'!$E$17:$E$10003, "",0),dd_design_raw!$A$2:$A$9997,dd_design_raw!$C$2:$C$9997,"",0)</f>
        <v>0</v>
      </c>
      <c r="C349" s="16"/>
      <c r="D349" s="16"/>
      <c r="E349" s="16" t="str" cm="1">
        <f t="array" ref="E349">IF(C349&lt;&gt;"", _xlfn.XLOOKUP(1,((SKUs!$A$2:$A$10001=cl_unmerged!B349) * (ISNUMBER(SEARCH("Mullion",SKUs!$J$2:$J$10001)))), SKUs!$J$2:$J$10001,""),"") &amp; _xlfn.IFS(I349="Height", ", H",I349="Height SLI", ", H SLI", I349="Height FIX", ", H FIX",I349="Width", ", W", I349="", "")</f>
        <v/>
      </c>
      <c r="F349" s="33" t="str" cm="1">
        <f t="array" ref="F349">_xlfn.XLOOKUP(1,((SKUs!$A$2:$A$10001=cl_unmerged!B349) * (ISNUMBER(SEARCH("Mullion",SKUs!$J$2:$J$10001)))* (ISNUMBER(SEARCH(A349,SKUs!$C$2:$C$10001)))), SKUs!$C$2:$C$10001,"")</f>
        <v/>
      </c>
      <c r="G349" s="16"/>
      <c r="H349" s="16"/>
      <c r="I349" s="16"/>
    </row>
    <row r="350" spans="1:9" ht="13.5" customHeight="1" x14ac:dyDescent="0.25">
      <c r="A350" s="41" t="str">
        <f>_xlfn.XLOOKUP(G350,dd_color!$A$2:$A$8,dd_color!$B$2:$B$8,"",0)</f>
        <v/>
      </c>
      <c r="B350" s="41">
        <f>_xlfn.XLOOKUP(_xlfn.XLOOKUP(C350,'Project Details'!$C$17:$C$10003,'Project Details'!$E$17:$E$10003, "",0),dd_design_raw!$A$2:$A$9997,dd_design_raw!$C$2:$C$9997,"",0)</f>
        <v>0</v>
      </c>
      <c r="C350" s="16"/>
      <c r="D350" s="16"/>
      <c r="E350" s="16" t="str" cm="1">
        <f t="array" ref="E350">IF(C350&lt;&gt;"", _xlfn.XLOOKUP(1,((SKUs!$A$2:$A$10001=cl_unmerged!B350) * (ISNUMBER(SEARCH("Mullion",SKUs!$J$2:$J$10001)))), SKUs!$J$2:$J$10001,""),"") &amp; _xlfn.IFS(I350="Height", ", H",I350="Height SLI", ", H SLI", I350="Height FIX", ", H FIX",I350="Width", ", W", I350="", "")</f>
        <v/>
      </c>
      <c r="F350" s="33" t="str" cm="1">
        <f t="array" ref="F350">_xlfn.XLOOKUP(1,((SKUs!$A$2:$A$10001=cl_unmerged!B350) * (ISNUMBER(SEARCH("Mullion",SKUs!$J$2:$J$10001)))* (ISNUMBER(SEARCH(A350,SKUs!$C$2:$C$10001)))), SKUs!$C$2:$C$10001,"")</f>
        <v/>
      </c>
      <c r="G350" s="16"/>
      <c r="H350" s="16"/>
      <c r="I350" s="16"/>
    </row>
    <row r="351" spans="1:9" ht="13.5" customHeight="1" x14ac:dyDescent="0.25">
      <c r="A351" s="41" t="str">
        <f>_xlfn.XLOOKUP(G351,dd_color!$A$2:$A$8,dd_color!$B$2:$B$8,"",0)</f>
        <v/>
      </c>
      <c r="B351" s="41">
        <f>_xlfn.XLOOKUP(_xlfn.XLOOKUP(C351,'Project Details'!$C$17:$C$10003,'Project Details'!$E$17:$E$10003, "",0),dd_design_raw!$A$2:$A$9997,dd_design_raw!$C$2:$C$9997,"",0)</f>
        <v>0</v>
      </c>
      <c r="C351" s="16"/>
      <c r="D351" s="16"/>
      <c r="E351" s="16" t="str" cm="1">
        <f t="array" ref="E351">IF(C351&lt;&gt;"", _xlfn.XLOOKUP(1,((SKUs!$A$2:$A$10001=cl_unmerged!B351) * (ISNUMBER(SEARCH("Mullion",SKUs!$J$2:$J$10001)))), SKUs!$J$2:$J$10001,""),"") &amp; _xlfn.IFS(I351="Height", ", H",I351="Height SLI", ", H SLI", I351="Height FIX", ", H FIX",I351="Width", ", W", I351="", "")</f>
        <v/>
      </c>
      <c r="F351" s="33" t="str" cm="1">
        <f t="array" ref="F351">_xlfn.XLOOKUP(1,((SKUs!$A$2:$A$10001=cl_unmerged!B351) * (ISNUMBER(SEARCH("Mullion",SKUs!$J$2:$J$10001)))* (ISNUMBER(SEARCH(A351,SKUs!$C$2:$C$10001)))), SKUs!$C$2:$C$10001,"")</f>
        <v/>
      </c>
      <c r="G351" s="16"/>
      <c r="H351" s="16"/>
      <c r="I351" s="16"/>
    </row>
    <row r="352" spans="1:9" ht="13.5" customHeight="1" x14ac:dyDescent="0.25">
      <c r="A352" s="41" t="str">
        <f>_xlfn.XLOOKUP(G352,dd_color!$A$2:$A$8,dd_color!$B$2:$B$8,"",0)</f>
        <v/>
      </c>
      <c r="B352" s="41">
        <f>_xlfn.XLOOKUP(_xlfn.XLOOKUP(C352,'Project Details'!$C$17:$C$10003,'Project Details'!$E$17:$E$10003, "",0),dd_design_raw!$A$2:$A$9997,dd_design_raw!$C$2:$C$9997,"",0)</f>
        <v>0</v>
      </c>
      <c r="C352" s="16"/>
      <c r="D352" s="16"/>
      <c r="E352" s="16" t="str" cm="1">
        <f t="array" ref="E352">IF(C352&lt;&gt;"", _xlfn.XLOOKUP(1,((SKUs!$A$2:$A$10001=cl_unmerged!B352) * (ISNUMBER(SEARCH("Mullion",SKUs!$J$2:$J$10001)))), SKUs!$J$2:$J$10001,""),"") &amp; _xlfn.IFS(I352="Height", ", H",I352="Height SLI", ", H SLI", I352="Height FIX", ", H FIX",I352="Width", ", W", I352="", "")</f>
        <v/>
      </c>
      <c r="F352" s="33" t="str" cm="1">
        <f t="array" ref="F352">_xlfn.XLOOKUP(1,((SKUs!$A$2:$A$10001=cl_unmerged!B352) * (ISNUMBER(SEARCH("Mullion",SKUs!$J$2:$J$10001)))* (ISNUMBER(SEARCH(A352,SKUs!$C$2:$C$10001)))), SKUs!$C$2:$C$10001,"")</f>
        <v/>
      </c>
      <c r="G352" s="16"/>
      <c r="H352" s="16"/>
      <c r="I352" s="16"/>
    </row>
    <row r="353" spans="1:9" ht="13.5" customHeight="1" x14ac:dyDescent="0.25">
      <c r="A353" s="41" t="str">
        <f>_xlfn.XLOOKUP(G353,dd_color!$A$2:$A$8,dd_color!$B$2:$B$8,"",0)</f>
        <v/>
      </c>
      <c r="B353" s="41">
        <f>_xlfn.XLOOKUP(_xlfn.XLOOKUP(C353,'Project Details'!$C$17:$C$10003,'Project Details'!$E$17:$E$10003, "",0),dd_design_raw!$A$2:$A$9997,dd_design_raw!$C$2:$C$9997,"",0)</f>
        <v>0</v>
      </c>
      <c r="C353" s="16"/>
      <c r="D353" s="16"/>
      <c r="E353" s="16" t="str" cm="1">
        <f t="array" ref="E353">IF(C353&lt;&gt;"", _xlfn.XLOOKUP(1,((SKUs!$A$2:$A$10001=cl_unmerged!B353) * (ISNUMBER(SEARCH("Mullion",SKUs!$J$2:$J$10001)))), SKUs!$J$2:$J$10001,""),"") &amp; _xlfn.IFS(I353="Height", ", H",I353="Height SLI", ", H SLI", I353="Height FIX", ", H FIX",I353="Width", ", W", I353="", "")</f>
        <v/>
      </c>
      <c r="F353" s="33" t="str" cm="1">
        <f t="array" ref="F353">_xlfn.XLOOKUP(1,((SKUs!$A$2:$A$10001=cl_unmerged!B353) * (ISNUMBER(SEARCH("Mullion",SKUs!$J$2:$J$10001)))* (ISNUMBER(SEARCH(A353,SKUs!$C$2:$C$10001)))), SKUs!$C$2:$C$10001,"")</f>
        <v/>
      </c>
      <c r="G353" s="16"/>
      <c r="H353" s="16"/>
      <c r="I353" s="16"/>
    </row>
    <row r="354" spans="1:9" ht="13.5" customHeight="1" x14ac:dyDescent="0.25">
      <c r="A354" s="41" t="str">
        <f>_xlfn.XLOOKUP(G354,dd_color!$A$2:$A$8,dd_color!$B$2:$B$8,"",0)</f>
        <v/>
      </c>
      <c r="B354" s="41">
        <f>_xlfn.XLOOKUP(_xlfn.XLOOKUP(C354,'Project Details'!$C$17:$C$10003,'Project Details'!$E$17:$E$10003, "",0),dd_design_raw!$A$2:$A$9997,dd_design_raw!$C$2:$C$9997,"",0)</f>
        <v>0</v>
      </c>
      <c r="C354" s="16"/>
      <c r="D354" s="16"/>
      <c r="E354" s="16" t="str" cm="1">
        <f t="array" ref="E354">IF(C354&lt;&gt;"", _xlfn.XLOOKUP(1,((SKUs!$A$2:$A$10001=cl_unmerged!B354) * (ISNUMBER(SEARCH("Mullion",SKUs!$J$2:$J$10001)))), SKUs!$J$2:$J$10001,""),"") &amp; _xlfn.IFS(I354="Height", ", H",I354="Height SLI", ", H SLI", I354="Height FIX", ", H FIX",I354="Width", ", W", I354="", "")</f>
        <v/>
      </c>
      <c r="F354" s="33" t="str" cm="1">
        <f t="array" ref="F354">_xlfn.XLOOKUP(1,((SKUs!$A$2:$A$10001=cl_unmerged!B354) * (ISNUMBER(SEARCH("Mullion",SKUs!$J$2:$J$10001)))* (ISNUMBER(SEARCH(A354,SKUs!$C$2:$C$10001)))), SKUs!$C$2:$C$10001,"")</f>
        <v/>
      </c>
      <c r="G354" s="16"/>
      <c r="H354" s="16"/>
      <c r="I354" s="16"/>
    </row>
    <row r="355" spans="1:9" ht="13.5" customHeight="1" x14ac:dyDescent="0.25">
      <c r="A355" s="41" t="str">
        <f>_xlfn.XLOOKUP(G355,dd_color!$A$2:$A$8,dd_color!$B$2:$B$8,"",0)</f>
        <v/>
      </c>
      <c r="B355" s="41">
        <f>_xlfn.XLOOKUP(_xlfn.XLOOKUP(C355,'Project Details'!$C$17:$C$10003,'Project Details'!$E$17:$E$10003, "",0),dd_design_raw!$A$2:$A$9997,dd_design_raw!$C$2:$C$9997,"",0)</f>
        <v>0</v>
      </c>
      <c r="C355" s="16"/>
      <c r="D355" s="16"/>
      <c r="E355" s="16" t="str" cm="1">
        <f t="array" ref="E355">IF(C355&lt;&gt;"", _xlfn.XLOOKUP(1,((SKUs!$A$2:$A$10001=cl_unmerged!B355) * (ISNUMBER(SEARCH("Mullion",SKUs!$J$2:$J$10001)))), SKUs!$J$2:$J$10001,""),"") &amp; _xlfn.IFS(I355="Height", ", H",I355="Height SLI", ", H SLI", I355="Height FIX", ", H FIX",I355="Width", ", W", I355="", "")</f>
        <v/>
      </c>
      <c r="F355" s="33" t="str" cm="1">
        <f t="array" ref="F355">_xlfn.XLOOKUP(1,((SKUs!$A$2:$A$10001=cl_unmerged!B355) * (ISNUMBER(SEARCH("Mullion",SKUs!$J$2:$J$10001)))* (ISNUMBER(SEARCH(A355,SKUs!$C$2:$C$10001)))), SKUs!$C$2:$C$10001,"")</f>
        <v/>
      </c>
      <c r="G355" s="16"/>
      <c r="H355" s="16"/>
      <c r="I355" s="16"/>
    </row>
    <row r="356" spans="1:9" ht="13.5" customHeight="1" x14ac:dyDescent="0.25">
      <c r="A356" s="41" t="str">
        <f>_xlfn.XLOOKUP(G356,dd_color!$A$2:$A$8,dd_color!$B$2:$B$8,"",0)</f>
        <v/>
      </c>
      <c r="B356" s="41">
        <f>_xlfn.XLOOKUP(_xlfn.XLOOKUP(C356,'Project Details'!$C$17:$C$10003,'Project Details'!$E$17:$E$10003, "",0),dd_design_raw!$A$2:$A$9997,dd_design_raw!$C$2:$C$9997,"",0)</f>
        <v>0</v>
      </c>
      <c r="C356" s="16"/>
      <c r="D356" s="16"/>
      <c r="E356" s="16" t="str" cm="1">
        <f t="array" ref="E356">IF(C356&lt;&gt;"", _xlfn.XLOOKUP(1,((SKUs!$A$2:$A$10001=cl_unmerged!B356) * (ISNUMBER(SEARCH("Mullion",SKUs!$J$2:$J$10001)))), SKUs!$J$2:$J$10001,""),"") &amp; _xlfn.IFS(I356="Height", ", H",I356="Height SLI", ", H SLI", I356="Height FIX", ", H FIX",I356="Width", ", W", I356="", "")</f>
        <v/>
      </c>
      <c r="F356" s="33" t="str" cm="1">
        <f t="array" ref="F356">_xlfn.XLOOKUP(1,((SKUs!$A$2:$A$10001=cl_unmerged!B356) * (ISNUMBER(SEARCH("Mullion",SKUs!$J$2:$J$10001)))* (ISNUMBER(SEARCH(A356,SKUs!$C$2:$C$10001)))), SKUs!$C$2:$C$10001,"")</f>
        <v/>
      </c>
      <c r="G356" s="16"/>
      <c r="H356" s="16"/>
      <c r="I356" s="16"/>
    </row>
    <row r="357" spans="1:9" ht="13.5" customHeight="1" x14ac:dyDescent="0.25">
      <c r="A357" s="41" t="str">
        <f>_xlfn.XLOOKUP(G357,dd_color!$A$2:$A$8,dd_color!$B$2:$B$8,"",0)</f>
        <v/>
      </c>
      <c r="B357" s="41">
        <f>_xlfn.XLOOKUP(_xlfn.XLOOKUP(C357,'Project Details'!$C$17:$C$10003,'Project Details'!$E$17:$E$10003, "",0),dd_design_raw!$A$2:$A$9997,dd_design_raw!$C$2:$C$9997,"",0)</f>
        <v>0</v>
      </c>
      <c r="C357" s="16"/>
      <c r="D357" s="16"/>
      <c r="E357" s="16" t="str" cm="1">
        <f t="array" ref="E357">IF(C357&lt;&gt;"", _xlfn.XLOOKUP(1,((SKUs!$A$2:$A$10001=cl_unmerged!B357) * (ISNUMBER(SEARCH("Mullion",SKUs!$J$2:$J$10001)))), SKUs!$J$2:$J$10001,""),"") &amp; _xlfn.IFS(I357="Height", ", H",I357="Height SLI", ", H SLI", I357="Height FIX", ", H FIX",I357="Width", ", W", I357="", "")</f>
        <v/>
      </c>
      <c r="F357" s="33" t="str" cm="1">
        <f t="array" ref="F357">_xlfn.XLOOKUP(1,((SKUs!$A$2:$A$10001=cl_unmerged!B357) * (ISNUMBER(SEARCH("Mullion",SKUs!$J$2:$J$10001)))* (ISNUMBER(SEARCH(A357,SKUs!$C$2:$C$10001)))), SKUs!$C$2:$C$10001,"")</f>
        <v/>
      </c>
      <c r="G357" s="16"/>
      <c r="H357" s="16"/>
      <c r="I357" s="16"/>
    </row>
    <row r="358" spans="1:9" ht="13.5" customHeight="1" x14ac:dyDescent="0.25">
      <c r="A358" s="41" t="str">
        <f>_xlfn.XLOOKUP(G358,dd_color!$A$2:$A$8,dd_color!$B$2:$B$8,"",0)</f>
        <v/>
      </c>
      <c r="B358" s="41">
        <f>_xlfn.XLOOKUP(_xlfn.XLOOKUP(C358,'Project Details'!$C$17:$C$10003,'Project Details'!$E$17:$E$10003, "",0),dd_design_raw!$A$2:$A$9997,dd_design_raw!$C$2:$C$9997,"",0)</f>
        <v>0</v>
      </c>
      <c r="C358" s="16"/>
      <c r="D358" s="16"/>
      <c r="E358" s="16" t="str" cm="1">
        <f t="array" ref="E358">IF(C358&lt;&gt;"", _xlfn.XLOOKUP(1,((SKUs!$A$2:$A$10001=cl_unmerged!B358) * (ISNUMBER(SEARCH("Mullion",SKUs!$J$2:$J$10001)))), SKUs!$J$2:$J$10001,""),"") &amp; _xlfn.IFS(I358="Height", ", H",I358="Height SLI", ", H SLI", I358="Height FIX", ", H FIX",I358="Width", ", W", I358="", "")</f>
        <v/>
      </c>
      <c r="F358" s="33" t="str" cm="1">
        <f t="array" ref="F358">_xlfn.XLOOKUP(1,((SKUs!$A$2:$A$10001=cl_unmerged!B358) * (ISNUMBER(SEARCH("Mullion",SKUs!$J$2:$J$10001)))* (ISNUMBER(SEARCH(A358,SKUs!$C$2:$C$10001)))), SKUs!$C$2:$C$10001,"")</f>
        <v/>
      </c>
      <c r="G358" s="16"/>
      <c r="H358" s="16"/>
      <c r="I358" s="16"/>
    </row>
    <row r="359" spans="1:9" ht="13.5" customHeight="1" x14ac:dyDescent="0.25">
      <c r="A359" s="41" t="str">
        <f>_xlfn.XLOOKUP(G359,dd_color!$A$2:$A$8,dd_color!$B$2:$B$8,"",0)</f>
        <v/>
      </c>
      <c r="B359" s="41">
        <f>_xlfn.XLOOKUP(_xlfn.XLOOKUP(C359,'Project Details'!$C$17:$C$10003,'Project Details'!$E$17:$E$10003, "",0),dd_design_raw!$A$2:$A$9997,dd_design_raw!$C$2:$C$9997,"",0)</f>
        <v>0</v>
      </c>
      <c r="C359" s="16"/>
      <c r="D359" s="16"/>
      <c r="E359" s="16" t="str" cm="1">
        <f t="array" ref="E359">IF(C359&lt;&gt;"", _xlfn.XLOOKUP(1,((SKUs!$A$2:$A$10001=cl_unmerged!B359) * (ISNUMBER(SEARCH("Mullion",SKUs!$J$2:$J$10001)))), SKUs!$J$2:$J$10001,""),"") &amp; _xlfn.IFS(I359="Height", ", H",I359="Height SLI", ", H SLI", I359="Height FIX", ", H FIX",I359="Width", ", W", I359="", "")</f>
        <v/>
      </c>
      <c r="F359" s="33" t="str" cm="1">
        <f t="array" ref="F359">_xlfn.XLOOKUP(1,((SKUs!$A$2:$A$10001=cl_unmerged!B359) * (ISNUMBER(SEARCH("Mullion",SKUs!$J$2:$J$10001)))* (ISNUMBER(SEARCH(A359,SKUs!$C$2:$C$10001)))), SKUs!$C$2:$C$10001,"")</f>
        <v/>
      </c>
      <c r="G359" s="16"/>
      <c r="H359" s="16"/>
      <c r="I359" s="16"/>
    </row>
    <row r="360" spans="1:9" ht="13.5" customHeight="1" x14ac:dyDescent="0.25">
      <c r="A360" s="41" t="str">
        <f>_xlfn.XLOOKUP(G360,dd_color!$A$2:$A$8,dd_color!$B$2:$B$8,"",0)</f>
        <v/>
      </c>
      <c r="B360" s="41">
        <f>_xlfn.XLOOKUP(_xlfn.XLOOKUP(C360,'Project Details'!$C$17:$C$10003,'Project Details'!$E$17:$E$10003, "",0),dd_design_raw!$A$2:$A$9997,dd_design_raw!$C$2:$C$9997,"",0)</f>
        <v>0</v>
      </c>
      <c r="C360" s="16"/>
      <c r="D360" s="16"/>
      <c r="E360" s="16" t="str" cm="1">
        <f t="array" ref="E360">IF(C360&lt;&gt;"", _xlfn.XLOOKUP(1,((SKUs!$A$2:$A$10001=cl_unmerged!B360) * (ISNUMBER(SEARCH("Mullion",SKUs!$J$2:$J$10001)))), SKUs!$J$2:$J$10001,""),"") &amp; _xlfn.IFS(I360="Height", ", H",I360="Height SLI", ", H SLI", I360="Height FIX", ", H FIX",I360="Width", ", W", I360="", "")</f>
        <v/>
      </c>
      <c r="F360" s="33" t="str" cm="1">
        <f t="array" ref="F360">_xlfn.XLOOKUP(1,((SKUs!$A$2:$A$10001=cl_unmerged!B360) * (ISNUMBER(SEARCH("Mullion",SKUs!$J$2:$J$10001)))* (ISNUMBER(SEARCH(A360,SKUs!$C$2:$C$10001)))), SKUs!$C$2:$C$10001,"")</f>
        <v/>
      </c>
      <c r="G360" s="16"/>
      <c r="H360" s="16"/>
      <c r="I360" s="16"/>
    </row>
    <row r="361" spans="1:9" ht="13.5" customHeight="1" x14ac:dyDescent="0.25">
      <c r="A361" s="41" t="str">
        <f>_xlfn.XLOOKUP(G361,dd_color!$A$2:$A$8,dd_color!$B$2:$B$8,"",0)</f>
        <v/>
      </c>
      <c r="B361" s="41">
        <f>_xlfn.XLOOKUP(_xlfn.XLOOKUP(C361,'Project Details'!$C$17:$C$10003,'Project Details'!$E$17:$E$10003, "",0),dd_design_raw!$A$2:$A$9997,dd_design_raw!$C$2:$C$9997,"",0)</f>
        <v>0</v>
      </c>
      <c r="C361" s="16"/>
      <c r="D361" s="16"/>
      <c r="E361" s="16" t="str" cm="1">
        <f t="array" ref="E361">IF(C361&lt;&gt;"", _xlfn.XLOOKUP(1,((SKUs!$A$2:$A$10001=cl_unmerged!B361) * (ISNUMBER(SEARCH("Mullion",SKUs!$J$2:$J$10001)))), SKUs!$J$2:$J$10001,""),"") &amp; _xlfn.IFS(I361="Height", ", H",I361="Height SLI", ", H SLI", I361="Height FIX", ", H FIX",I361="Width", ", W", I361="", "")</f>
        <v/>
      </c>
      <c r="F361" s="33" t="str" cm="1">
        <f t="array" ref="F361">_xlfn.XLOOKUP(1,((SKUs!$A$2:$A$10001=cl_unmerged!B361) * (ISNUMBER(SEARCH("Mullion",SKUs!$J$2:$J$10001)))* (ISNUMBER(SEARCH(A361,SKUs!$C$2:$C$10001)))), SKUs!$C$2:$C$10001,"")</f>
        <v/>
      </c>
      <c r="G361" s="16"/>
      <c r="H361" s="16"/>
      <c r="I361" s="16"/>
    </row>
    <row r="362" spans="1:9" ht="13.5" customHeight="1" x14ac:dyDescent="0.25">
      <c r="A362" s="41" t="str">
        <f>_xlfn.XLOOKUP(G362,dd_color!$A$2:$A$8,dd_color!$B$2:$B$8,"",0)</f>
        <v/>
      </c>
      <c r="B362" s="41">
        <f>_xlfn.XLOOKUP(_xlfn.XLOOKUP(C362,'Project Details'!$C$17:$C$10003,'Project Details'!$E$17:$E$10003, "",0),dd_design_raw!$A$2:$A$9997,dd_design_raw!$C$2:$C$9997,"",0)</f>
        <v>0</v>
      </c>
      <c r="C362" s="16"/>
      <c r="D362" s="16"/>
      <c r="E362" s="16" t="str" cm="1">
        <f t="array" ref="E362">IF(C362&lt;&gt;"", _xlfn.XLOOKUP(1,((SKUs!$A$2:$A$10001=cl_unmerged!B362) * (ISNUMBER(SEARCH("Mullion",SKUs!$J$2:$J$10001)))), SKUs!$J$2:$J$10001,""),"") &amp; _xlfn.IFS(I362="Height", ", H",I362="Height SLI", ", H SLI", I362="Height FIX", ", H FIX",I362="Width", ", W", I362="", "")</f>
        <v/>
      </c>
      <c r="F362" s="33" t="str" cm="1">
        <f t="array" ref="F362">_xlfn.XLOOKUP(1,((SKUs!$A$2:$A$10001=cl_unmerged!B362) * (ISNUMBER(SEARCH("Mullion",SKUs!$J$2:$J$10001)))* (ISNUMBER(SEARCH(A362,SKUs!$C$2:$C$10001)))), SKUs!$C$2:$C$10001,"")</f>
        <v/>
      </c>
      <c r="G362" s="16"/>
      <c r="H362" s="16"/>
      <c r="I362" s="16"/>
    </row>
    <row r="363" spans="1:9" ht="13.5" customHeight="1" x14ac:dyDescent="0.25">
      <c r="A363" s="41" t="str">
        <f>_xlfn.XLOOKUP(G363,dd_color!$A$2:$A$8,dd_color!$B$2:$B$8,"",0)</f>
        <v/>
      </c>
      <c r="B363" s="41">
        <f>_xlfn.XLOOKUP(_xlfn.XLOOKUP(C363,'Project Details'!$C$17:$C$10003,'Project Details'!$E$17:$E$10003, "",0),dd_design_raw!$A$2:$A$9997,dd_design_raw!$C$2:$C$9997,"",0)</f>
        <v>0</v>
      </c>
      <c r="C363" s="16"/>
      <c r="D363" s="16"/>
      <c r="E363" s="16" t="str" cm="1">
        <f t="array" ref="E363">IF(C363&lt;&gt;"", _xlfn.XLOOKUP(1,((SKUs!$A$2:$A$10001=cl_unmerged!B363) * (ISNUMBER(SEARCH("Mullion",SKUs!$J$2:$J$10001)))), SKUs!$J$2:$J$10001,""),"") &amp; _xlfn.IFS(I363="Height", ", H",I363="Height SLI", ", H SLI", I363="Height FIX", ", H FIX",I363="Width", ", W", I363="", "")</f>
        <v/>
      </c>
      <c r="F363" s="33" t="str" cm="1">
        <f t="array" ref="F363">_xlfn.XLOOKUP(1,((SKUs!$A$2:$A$10001=cl_unmerged!B363) * (ISNUMBER(SEARCH("Mullion",SKUs!$J$2:$J$10001)))* (ISNUMBER(SEARCH(A363,SKUs!$C$2:$C$10001)))), SKUs!$C$2:$C$10001,"")</f>
        <v/>
      </c>
      <c r="G363" s="16"/>
      <c r="H363" s="16"/>
      <c r="I363" s="16"/>
    </row>
    <row r="364" spans="1:9" ht="13.5" customHeight="1" x14ac:dyDescent="0.25">
      <c r="A364" s="41" t="str">
        <f>_xlfn.XLOOKUP(G364,dd_color!$A$2:$A$8,dd_color!$B$2:$B$8,"",0)</f>
        <v/>
      </c>
      <c r="B364" s="41">
        <f>_xlfn.XLOOKUP(_xlfn.XLOOKUP(C364,'Project Details'!$C$17:$C$10003,'Project Details'!$E$17:$E$10003, "",0),dd_design_raw!$A$2:$A$9997,dd_design_raw!$C$2:$C$9997,"",0)</f>
        <v>0</v>
      </c>
      <c r="C364" s="16"/>
      <c r="D364" s="16"/>
      <c r="E364" s="16" t="str" cm="1">
        <f t="array" ref="E364">IF(C364&lt;&gt;"", _xlfn.XLOOKUP(1,((SKUs!$A$2:$A$10001=cl_unmerged!B364) * (ISNUMBER(SEARCH("Mullion",SKUs!$J$2:$J$10001)))), SKUs!$J$2:$J$10001,""),"") &amp; _xlfn.IFS(I364="Height", ", H",I364="Height SLI", ", H SLI", I364="Height FIX", ", H FIX",I364="Width", ", W", I364="", "")</f>
        <v/>
      </c>
      <c r="F364" s="33" t="str" cm="1">
        <f t="array" ref="F364">_xlfn.XLOOKUP(1,((SKUs!$A$2:$A$10001=cl_unmerged!B364) * (ISNUMBER(SEARCH("Mullion",SKUs!$J$2:$J$10001)))* (ISNUMBER(SEARCH(A364,SKUs!$C$2:$C$10001)))), SKUs!$C$2:$C$10001,"")</f>
        <v/>
      </c>
      <c r="G364" s="16"/>
      <c r="H364" s="16"/>
      <c r="I364" s="16"/>
    </row>
    <row r="365" spans="1:9" ht="13.5" customHeight="1" x14ac:dyDescent="0.25">
      <c r="A365" s="41" t="str">
        <f>_xlfn.XLOOKUP(G365,dd_color!$A$2:$A$8,dd_color!$B$2:$B$8,"",0)</f>
        <v/>
      </c>
      <c r="B365" s="41">
        <f>_xlfn.XLOOKUP(_xlfn.XLOOKUP(C365,'Project Details'!$C$17:$C$10003,'Project Details'!$E$17:$E$10003, "",0),dd_design_raw!$A$2:$A$9997,dd_design_raw!$C$2:$C$9997,"",0)</f>
        <v>0</v>
      </c>
      <c r="C365" s="16"/>
      <c r="D365" s="16"/>
      <c r="E365" s="16" t="str" cm="1">
        <f t="array" ref="E365">IF(C365&lt;&gt;"", _xlfn.XLOOKUP(1,((SKUs!$A$2:$A$10001=cl_unmerged!B365) * (ISNUMBER(SEARCH("Mullion",SKUs!$J$2:$J$10001)))), SKUs!$J$2:$J$10001,""),"") &amp; _xlfn.IFS(I365="Height", ", H",I365="Height SLI", ", H SLI", I365="Height FIX", ", H FIX",I365="Width", ", W", I365="", "")</f>
        <v/>
      </c>
      <c r="F365" s="33" t="str" cm="1">
        <f t="array" ref="F365">_xlfn.XLOOKUP(1,((SKUs!$A$2:$A$10001=cl_unmerged!B365) * (ISNUMBER(SEARCH("Mullion",SKUs!$J$2:$J$10001)))* (ISNUMBER(SEARCH(A365,SKUs!$C$2:$C$10001)))), SKUs!$C$2:$C$10001,"")</f>
        <v/>
      </c>
      <c r="G365" s="16"/>
      <c r="H365" s="16"/>
      <c r="I365" s="16"/>
    </row>
    <row r="366" spans="1:9" ht="13.5" customHeight="1" x14ac:dyDescent="0.25">
      <c r="A366" s="41" t="str">
        <f>_xlfn.XLOOKUP(G366,dd_color!$A$2:$A$8,dd_color!$B$2:$B$8,"",0)</f>
        <v/>
      </c>
      <c r="B366" s="41">
        <f>_xlfn.XLOOKUP(_xlfn.XLOOKUP(C366,'Project Details'!$C$17:$C$10003,'Project Details'!$E$17:$E$10003, "",0),dd_design_raw!$A$2:$A$9997,dd_design_raw!$C$2:$C$9997,"",0)</f>
        <v>0</v>
      </c>
      <c r="C366" s="16"/>
      <c r="D366" s="16"/>
      <c r="E366" s="16" t="str" cm="1">
        <f t="array" ref="E366">IF(C366&lt;&gt;"", _xlfn.XLOOKUP(1,((SKUs!$A$2:$A$10001=cl_unmerged!B366) * (ISNUMBER(SEARCH("Mullion",SKUs!$J$2:$J$10001)))), SKUs!$J$2:$J$10001,""),"") &amp; _xlfn.IFS(I366="Height", ", H",I366="Height SLI", ", H SLI", I366="Height FIX", ", H FIX",I366="Width", ", W", I366="", "")</f>
        <v/>
      </c>
      <c r="F366" s="33" t="str" cm="1">
        <f t="array" ref="F366">_xlfn.XLOOKUP(1,((SKUs!$A$2:$A$10001=cl_unmerged!B366) * (ISNUMBER(SEARCH("Mullion",SKUs!$J$2:$J$10001)))* (ISNUMBER(SEARCH(A366,SKUs!$C$2:$C$10001)))), SKUs!$C$2:$C$10001,"")</f>
        <v/>
      </c>
      <c r="G366" s="16"/>
      <c r="H366" s="16"/>
      <c r="I366" s="16"/>
    </row>
    <row r="367" spans="1:9" ht="13.5" customHeight="1" x14ac:dyDescent="0.25">
      <c r="A367" s="41" t="str">
        <f>_xlfn.XLOOKUP(G367,dd_color!$A$2:$A$8,dd_color!$B$2:$B$8,"",0)</f>
        <v/>
      </c>
      <c r="B367" s="41">
        <f>_xlfn.XLOOKUP(_xlfn.XLOOKUP(C367,'Project Details'!$C$17:$C$10003,'Project Details'!$E$17:$E$10003, "",0),dd_design_raw!$A$2:$A$9997,dd_design_raw!$C$2:$C$9997,"",0)</f>
        <v>0</v>
      </c>
      <c r="C367" s="16"/>
      <c r="D367" s="16"/>
      <c r="E367" s="16" t="str" cm="1">
        <f t="array" ref="E367">IF(C367&lt;&gt;"", _xlfn.XLOOKUP(1,((SKUs!$A$2:$A$10001=cl_unmerged!B367) * (ISNUMBER(SEARCH("Mullion",SKUs!$J$2:$J$10001)))), SKUs!$J$2:$J$10001,""),"") &amp; _xlfn.IFS(I367="Height", ", H",I367="Height SLI", ", H SLI", I367="Height FIX", ", H FIX",I367="Width", ", W", I367="", "")</f>
        <v/>
      </c>
      <c r="F367" s="33" t="str" cm="1">
        <f t="array" ref="F367">_xlfn.XLOOKUP(1,((SKUs!$A$2:$A$10001=cl_unmerged!B367) * (ISNUMBER(SEARCH("Mullion",SKUs!$J$2:$J$10001)))* (ISNUMBER(SEARCH(A367,SKUs!$C$2:$C$10001)))), SKUs!$C$2:$C$10001,"")</f>
        <v/>
      </c>
      <c r="G367" s="16"/>
      <c r="H367" s="16"/>
      <c r="I367" s="16"/>
    </row>
    <row r="368" spans="1:9" ht="13.5" customHeight="1" x14ac:dyDescent="0.25">
      <c r="A368" s="41" t="str">
        <f>_xlfn.XLOOKUP(G368,dd_color!$A$2:$A$8,dd_color!$B$2:$B$8,"",0)</f>
        <v/>
      </c>
      <c r="B368" s="41">
        <f>_xlfn.XLOOKUP(_xlfn.XLOOKUP(C368,'Project Details'!$C$17:$C$10003,'Project Details'!$E$17:$E$10003, "",0),dd_design_raw!$A$2:$A$9997,dd_design_raw!$C$2:$C$9997,"",0)</f>
        <v>0</v>
      </c>
      <c r="C368" s="16"/>
      <c r="D368" s="16"/>
      <c r="E368" s="16" t="str" cm="1">
        <f t="array" ref="E368">IF(C368&lt;&gt;"", _xlfn.XLOOKUP(1,((SKUs!$A$2:$A$10001=cl_unmerged!B368) * (ISNUMBER(SEARCH("Mullion",SKUs!$J$2:$J$10001)))), SKUs!$J$2:$J$10001,""),"") &amp; _xlfn.IFS(I368="Height", ", H",I368="Height SLI", ", H SLI", I368="Height FIX", ", H FIX",I368="Width", ", W", I368="", "")</f>
        <v/>
      </c>
      <c r="F368" s="33" t="str" cm="1">
        <f t="array" ref="F368">_xlfn.XLOOKUP(1,((SKUs!$A$2:$A$10001=cl_unmerged!B368) * (ISNUMBER(SEARCH("Mullion",SKUs!$J$2:$J$10001)))* (ISNUMBER(SEARCH(A368,SKUs!$C$2:$C$10001)))), SKUs!$C$2:$C$10001,"")</f>
        <v/>
      </c>
      <c r="G368" s="16"/>
      <c r="H368" s="16"/>
      <c r="I368" s="16"/>
    </row>
    <row r="369" spans="1:9" ht="13.5" customHeight="1" x14ac:dyDescent="0.25">
      <c r="A369" s="41" t="str">
        <f>_xlfn.XLOOKUP(G369,dd_color!$A$2:$A$8,dd_color!$B$2:$B$8,"",0)</f>
        <v/>
      </c>
      <c r="B369" s="41">
        <f>_xlfn.XLOOKUP(_xlfn.XLOOKUP(C369,'Project Details'!$C$17:$C$10003,'Project Details'!$E$17:$E$10003, "",0),dd_design_raw!$A$2:$A$9997,dd_design_raw!$C$2:$C$9997,"",0)</f>
        <v>0</v>
      </c>
      <c r="C369" s="16"/>
      <c r="D369" s="16"/>
      <c r="E369" s="16" t="str" cm="1">
        <f t="array" ref="E369">IF(C369&lt;&gt;"", _xlfn.XLOOKUP(1,((SKUs!$A$2:$A$10001=cl_unmerged!B369) * (ISNUMBER(SEARCH("Mullion",SKUs!$J$2:$J$10001)))), SKUs!$J$2:$J$10001,""),"") &amp; _xlfn.IFS(I369="Height", ", H",I369="Height SLI", ", H SLI", I369="Height FIX", ", H FIX",I369="Width", ", W", I369="", "")</f>
        <v/>
      </c>
      <c r="F369" s="33" t="str" cm="1">
        <f t="array" ref="F369">_xlfn.XLOOKUP(1,((SKUs!$A$2:$A$10001=cl_unmerged!B369) * (ISNUMBER(SEARCH("Mullion",SKUs!$J$2:$J$10001)))* (ISNUMBER(SEARCH(A369,SKUs!$C$2:$C$10001)))), SKUs!$C$2:$C$10001,"")</f>
        <v/>
      </c>
      <c r="G369" s="16"/>
      <c r="H369" s="16"/>
      <c r="I369" s="16"/>
    </row>
    <row r="370" spans="1:9" ht="13.5" customHeight="1" x14ac:dyDescent="0.25">
      <c r="A370" s="41" t="str">
        <f>_xlfn.XLOOKUP(G370,dd_color!$A$2:$A$8,dd_color!$B$2:$B$8,"",0)</f>
        <v/>
      </c>
      <c r="B370" s="41">
        <f>_xlfn.XLOOKUP(_xlfn.XLOOKUP(C370,'Project Details'!$C$17:$C$10003,'Project Details'!$E$17:$E$10003, "",0),dd_design_raw!$A$2:$A$9997,dd_design_raw!$C$2:$C$9997,"",0)</f>
        <v>0</v>
      </c>
      <c r="C370" s="16"/>
      <c r="D370" s="16"/>
      <c r="E370" s="16" t="str" cm="1">
        <f t="array" ref="E370">IF(C370&lt;&gt;"", _xlfn.XLOOKUP(1,((SKUs!$A$2:$A$10001=cl_unmerged!B370) * (ISNUMBER(SEARCH("Mullion",SKUs!$J$2:$J$10001)))), SKUs!$J$2:$J$10001,""),"") &amp; _xlfn.IFS(I370="Height", ", H",I370="Height SLI", ", H SLI", I370="Height FIX", ", H FIX",I370="Width", ", W", I370="", "")</f>
        <v/>
      </c>
      <c r="F370" s="33" t="str" cm="1">
        <f t="array" ref="F370">_xlfn.XLOOKUP(1,((SKUs!$A$2:$A$10001=cl_unmerged!B370) * (ISNUMBER(SEARCH("Mullion",SKUs!$J$2:$J$10001)))* (ISNUMBER(SEARCH(A370,SKUs!$C$2:$C$10001)))), SKUs!$C$2:$C$10001,"")</f>
        <v/>
      </c>
      <c r="G370" s="16"/>
      <c r="H370" s="16"/>
      <c r="I370" s="16"/>
    </row>
    <row r="371" spans="1:9" ht="13.5" customHeight="1" x14ac:dyDescent="0.25">
      <c r="A371" s="41" t="str">
        <f>_xlfn.XLOOKUP(G371,dd_color!$A$2:$A$8,dd_color!$B$2:$B$8,"",0)</f>
        <v/>
      </c>
      <c r="B371" s="41">
        <f>_xlfn.XLOOKUP(_xlfn.XLOOKUP(C371,'Project Details'!$C$17:$C$10003,'Project Details'!$E$17:$E$10003, "",0),dd_design_raw!$A$2:$A$9997,dd_design_raw!$C$2:$C$9997,"",0)</f>
        <v>0</v>
      </c>
      <c r="C371" s="16"/>
      <c r="D371" s="16"/>
      <c r="E371" s="16" t="str" cm="1">
        <f t="array" ref="E371">IF(C371&lt;&gt;"", _xlfn.XLOOKUP(1,((SKUs!$A$2:$A$10001=cl_unmerged!B371) * (ISNUMBER(SEARCH("Mullion",SKUs!$J$2:$J$10001)))), SKUs!$J$2:$J$10001,""),"") &amp; _xlfn.IFS(I371="Height", ", H",I371="Height SLI", ", H SLI", I371="Height FIX", ", H FIX",I371="Width", ", W", I371="", "")</f>
        <v/>
      </c>
      <c r="F371" s="33" t="str" cm="1">
        <f t="array" ref="F371">_xlfn.XLOOKUP(1,((SKUs!$A$2:$A$10001=cl_unmerged!B371) * (ISNUMBER(SEARCH("Mullion",SKUs!$J$2:$J$10001)))* (ISNUMBER(SEARCH(A371,SKUs!$C$2:$C$10001)))), SKUs!$C$2:$C$10001,"")</f>
        <v/>
      </c>
      <c r="G371" s="16"/>
      <c r="H371" s="16"/>
      <c r="I371" s="16"/>
    </row>
    <row r="372" spans="1:9" ht="13.5" customHeight="1" x14ac:dyDescent="0.25">
      <c r="A372" s="41" t="str">
        <f>_xlfn.XLOOKUP(G372,dd_color!$A$2:$A$8,dd_color!$B$2:$B$8,"",0)</f>
        <v/>
      </c>
      <c r="B372" s="41">
        <f>_xlfn.XLOOKUP(_xlfn.XLOOKUP(C372,'Project Details'!$C$17:$C$10003,'Project Details'!$E$17:$E$10003, "",0),dd_design_raw!$A$2:$A$9997,dd_design_raw!$C$2:$C$9997,"",0)</f>
        <v>0</v>
      </c>
      <c r="C372" s="16"/>
      <c r="D372" s="16"/>
      <c r="E372" s="16" t="str" cm="1">
        <f t="array" ref="E372">IF(C372&lt;&gt;"", _xlfn.XLOOKUP(1,((SKUs!$A$2:$A$10001=cl_unmerged!B372) * (ISNUMBER(SEARCH("Mullion",SKUs!$J$2:$J$10001)))), SKUs!$J$2:$J$10001,""),"") &amp; _xlfn.IFS(I372="Height", ", H",I372="Height SLI", ", H SLI", I372="Height FIX", ", H FIX",I372="Width", ", W", I372="", "")</f>
        <v/>
      </c>
      <c r="F372" s="33" t="str" cm="1">
        <f t="array" ref="F372">_xlfn.XLOOKUP(1,((SKUs!$A$2:$A$10001=cl_unmerged!B372) * (ISNUMBER(SEARCH("Mullion",SKUs!$J$2:$J$10001)))* (ISNUMBER(SEARCH(A372,SKUs!$C$2:$C$10001)))), SKUs!$C$2:$C$10001,"")</f>
        <v/>
      </c>
      <c r="G372" s="16"/>
      <c r="H372" s="16"/>
      <c r="I372" s="16"/>
    </row>
    <row r="373" spans="1:9" ht="13.5" customHeight="1" x14ac:dyDescent="0.25">
      <c r="A373" s="41" t="str">
        <f>_xlfn.XLOOKUP(G373,dd_color!$A$2:$A$8,dd_color!$B$2:$B$8,"",0)</f>
        <v/>
      </c>
      <c r="B373" s="41">
        <f>_xlfn.XLOOKUP(_xlfn.XLOOKUP(C373,'Project Details'!$C$17:$C$10003,'Project Details'!$E$17:$E$10003, "",0),dd_design_raw!$A$2:$A$9997,dd_design_raw!$C$2:$C$9997,"",0)</f>
        <v>0</v>
      </c>
      <c r="C373" s="16"/>
      <c r="D373" s="16"/>
      <c r="E373" s="16" t="str" cm="1">
        <f t="array" ref="E373">IF(C373&lt;&gt;"", _xlfn.XLOOKUP(1,((SKUs!$A$2:$A$10001=cl_unmerged!B373) * (ISNUMBER(SEARCH("Mullion",SKUs!$J$2:$J$10001)))), SKUs!$J$2:$J$10001,""),"") &amp; _xlfn.IFS(I373="Height", ", H",I373="Height SLI", ", H SLI", I373="Height FIX", ", H FIX",I373="Width", ", W", I373="", "")</f>
        <v/>
      </c>
      <c r="F373" s="33" t="str" cm="1">
        <f t="array" ref="F373">_xlfn.XLOOKUP(1,((SKUs!$A$2:$A$10001=cl_unmerged!B373) * (ISNUMBER(SEARCH("Mullion",SKUs!$J$2:$J$10001)))* (ISNUMBER(SEARCH(A373,SKUs!$C$2:$C$10001)))), SKUs!$C$2:$C$10001,"")</f>
        <v/>
      </c>
      <c r="G373" s="16"/>
      <c r="H373" s="16"/>
      <c r="I373" s="16"/>
    </row>
    <row r="374" spans="1:9" ht="13.5" customHeight="1" x14ac:dyDescent="0.25">
      <c r="A374" s="41" t="str">
        <f>_xlfn.XLOOKUP(G374,dd_color!$A$2:$A$8,dd_color!$B$2:$B$8,"",0)</f>
        <v/>
      </c>
      <c r="B374" s="41">
        <f>_xlfn.XLOOKUP(_xlfn.XLOOKUP(C374,'Project Details'!$C$17:$C$10003,'Project Details'!$E$17:$E$10003, "",0),dd_design_raw!$A$2:$A$9997,dd_design_raw!$C$2:$C$9997,"",0)</f>
        <v>0</v>
      </c>
      <c r="C374" s="16"/>
      <c r="D374" s="16"/>
      <c r="E374" s="16" t="str" cm="1">
        <f t="array" ref="E374">IF(C374&lt;&gt;"", _xlfn.XLOOKUP(1,((SKUs!$A$2:$A$10001=cl_unmerged!B374) * (ISNUMBER(SEARCH("Mullion",SKUs!$J$2:$J$10001)))), SKUs!$J$2:$J$10001,""),"") &amp; _xlfn.IFS(I374="Height", ", H",I374="Height SLI", ", H SLI", I374="Height FIX", ", H FIX",I374="Width", ", W", I374="", "")</f>
        <v/>
      </c>
      <c r="F374" s="33" t="str" cm="1">
        <f t="array" ref="F374">_xlfn.XLOOKUP(1,((SKUs!$A$2:$A$10001=cl_unmerged!B374) * (ISNUMBER(SEARCH("Mullion",SKUs!$J$2:$J$10001)))* (ISNUMBER(SEARCH(A374,SKUs!$C$2:$C$10001)))), SKUs!$C$2:$C$10001,"")</f>
        <v/>
      </c>
      <c r="G374" s="16"/>
      <c r="H374" s="16"/>
      <c r="I374" s="16"/>
    </row>
    <row r="375" spans="1:9" ht="13.5" customHeight="1" x14ac:dyDescent="0.25">
      <c r="A375" s="41" t="str">
        <f>_xlfn.XLOOKUP(G375,dd_color!$A$2:$A$8,dd_color!$B$2:$B$8,"",0)</f>
        <v/>
      </c>
      <c r="B375" s="41">
        <f>_xlfn.XLOOKUP(_xlfn.XLOOKUP(C375,'Project Details'!$C$17:$C$10003,'Project Details'!$E$17:$E$10003, "",0),dd_design_raw!$A$2:$A$9997,dd_design_raw!$C$2:$C$9997,"",0)</f>
        <v>0</v>
      </c>
      <c r="C375" s="16"/>
      <c r="D375" s="16"/>
      <c r="E375" s="16" t="str" cm="1">
        <f t="array" ref="E375">IF(C375&lt;&gt;"", _xlfn.XLOOKUP(1,((SKUs!$A$2:$A$10001=cl_unmerged!B375) * (ISNUMBER(SEARCH("Mullion",SKUs!$J$2:$J$10001)))), SKUs!$J$2:$J$10001,""),"") &amp; _xlfn.IFS(I375="Height", ", H",I375="Height SLI", ", H SLI", I375="Height FIX", ", H FIX",I375="Width", ", W", I375="", "")</f>
        <v/>
      </c>
      <c r="F375" s="33" t="str" cm="1">
        <f t="array" ref="F375">_xlfn.XLOOKUP(1,((SKUs!$A$2:$A$10001=cl_unmerged!B375) * (ISNUMBER(SEARCH("Mullion",SKUs!$J$2:$J$10001)))* (ISNUMBER(SEARCH(A375,SKUs!$C$2:$C$10001)))), SKUs!$C$2:$C$10001,"")</f>
        <v/>
      </c>
      <c r="G375" s="16"/>
      <c r="H375" s="16"/>
      <c r="I375" s="16"/>
    </row>
    <row r="376" spans="1:9" ht="13.5" customHeight="1" x14ac:dyDescent="0.25">
      <c r="A376" s="41" t="str">
        <f>_xlfn.XLOOKUP(G376,dd_color!$A$2:$A$8,dd_color!$B$2:$B$8,"",0)</f>
        <v/>
      </c>
      <c r="B376" s="41">
        <f>_xlfn.XLOOKUP(_xlfn.XLOOKUP(C376,'Project Details'!$C$17:$C$10003,'Project Details'!$E$17:$E$10003, "",0),dd_design_raw!$A$2:$A$9997,dd_design_raw!$C$2:$C$9997,"",0)</f>
        <v>0</v>
      </c>
      <c r="C376" s="16"/>
      <c r="D376" s="16"/>
      <c r="E376" s="16" t="str" cm="1">
        <f t="array" ref="E376">IF(C376&lt;&gt;"", _xlfn.XLOOKUP(1,((SKUs!$A$2:$A$10001=cl_unmerged!B376) * (ISNUMBER(SEARCH("Mullion",SKUs!$J$2:$J$10001)))), SKUs!$J$2:$J$10001,""),"") &amp; _xlfn.IFS(I376="Height", ", H",I376="Height SLI", ", H SLI", I376="Height FIX", ", H FIX",I376="Width", ", W", I376="", "")</f>
        <v/>
      </c>
      <c r="F376" s="33" t="str" cm="1">
        <f t="array" ref="F376">_xlfn.XLOOKUP(1,((SKUs!$A$2:$A$10001=cl_unmerged!B376) * (ISNUMBER(SEARCH("Mullion",SKUs!$J$2:$J$10001)))* (ISNUMBER(SEARCH(A376,SKUs!$C$2:$C$10001)))), SKUs!$C$2:$C$10001,"")</f>
        <v/>
      </c>
      <c r="G376" s="16"/>
      <c r="H376" s="16"/>
      <c r="I376" s="16"/>
    </row>
    <row r="377" spans="1:9" ht="13.5" customHeight="1" x14ac:dyDescent="0.25">
      <c r="A377" s="41" t="str">
        <f>_xlfn.XLOOKUP(G377,dd_color!$A$2:$A$8,dd_color!$B$2:$B$8,"",0)</f>
        <v/>
      </c>
      <c r="B377" s="41">
        <f>_xlfn.XLOOKUP(_xlfn.XLOOKUP(C377,'Project Details'!$C$17:$C$10003,'Project Details'!$E$17:$E$10003, "",0),dd_design_raw!$A$2:$A$9997,dd_design_raw!$C$2:$C$9997,"",0)</f>
        <v>0</v>
      </c>
      <c r="C377" s="16"/>
      <c r="D377" s="16"/>
      <c r="E377" s="16" t="str" cm="1">
        <f t="array" ref="E377">IF(C377&lt;&gt;"", _xlfn.XLOOKUP(1,((SKUs!$A$2:$A$10001=cl_unmerged!B377) * (ISNUMBER(SEARCH("Mullion",SKUs!$J$2:$J$10001)))), SKUs!$J$2:$J$10001,""),"") &amp; _xlfn.IFS(I377="Height", ", H",I377="Height SLI", ", H SLI", I377="Height FIX", ", H FIX",I377="Width", ", W", I377="", "")</f>
        <v/>
      </c>
      <c r="F377" s="33" t="str" cm="1">
        <f t="array" ref="F377">_xlfn.XLOOKUP(1,((SKUs!$A$2:$A$10001=cl_unmerged!B377) * (ISNUMBER(SEARCH("Mullion",SKUs!$J$2:$J$10001)))* (ISNUMBER(SEARCH(A377,SKUs!$C$2:$C$10001)))), SKUs!$C$2:$C$10001,"")</f>
        <v/>
      </c>
      <c r="G377" s="16"/>
      <c r="H377" s="16"/>
      <c r="I377" s="16"/>
    </row>
    <row r="378" spans="1:9" ht="13.5" customHeight="1" x14ac:dyDescent="0.25">
      <c r="A378" s="41" t="str">
        <f>_xlfn.XLOOKUP(G378,dd_color!$A$2:$A$8,dd_color!$B$2:$B$8,"",0)</f>
        <v/>
      </c>
      <c r="B378" s="41">
        <f>_xlfn.XLOOKUP(_xlfn.XLOOKUP(C378,'Project Details'!$C$17:$C$10003,'Project Details'!$E$17:$E$10003, "",0),dd_design_raw!$A$2:$A$9997,dd_design_raw!$C$2:$C$9997,"",0)</f>
        <v>0</v>
      </c>
      <c r="C378" s="16"/>
      <c r="D378" s="16"/>
      <c r="E378" s="16" t="str" cm="1">
        <f t="array" ref="E378">IF(C378&lt;&gt;"", _xlfn.XLOOKUP(1,((SKUs!$A$2:$A$10001=cl_unmerged!B378) * (ISNUMBER(SEARCH("Mullion",SKUs!$J$2:$J$10001)))), SKUs!$J$2:$J$10001,""),"") &amp; _xlfn.IFS(I378="Height", ", H",I378="Height SLI", ", H SLI", I378="Height FIX", ", H FIX",I378="Width", ", W", I378="", "")</f>
        <v/>
      </c>
      <c r="F378" s="33" t="str" cm="1">
        <f t="array" ref="F378">_xlfn.XLOOKUP(1,((SKUs!$A$2:$A$10001=cl_unmerged!B378) * (ISNUMBER(SEARCH("Mullion",SKUs!$J$2:$J$10001)))* (ISNUMBER(SEARCH(A378,SKUs!$C$2:$C$10001)))), SKUs!$C$2:$C$10001,"")</f>
        <v/>
      </c>
      <c r="G378" s="16"/>
      <c r="H378" s="16"/>
      <c r="I378" s="16"/>
    </row>
    <row r="379" spans="1:9" ht="13.5" customHeight="1" x14ac:dyDescent="0.25">
      <c r="C379" s="32" t="s">
        <v>719</v>
      </c>
      <c r="D379" s="32"/>
      <c r="E379" s="32"/>
      <c r="F379" s="32"/>
      <c r="G379" s="32"/>
      <c r="H379" s="32"/>
      <c r="I379" s="32"/>
    </row>
    <row r="380" spans="1:9" ht="13.5" customHeight="1" x14ac:dyDescent="0.25">
      <c r="A380" s="41" t="str">
        <f>_xlfn.XLOOKUP(G380,dd_color!$A$2:$A$8,dd_color!$B$2:$B$8,"",0)</f>
        <v/>
      </c>
      <c r="B380" s="41" t="str">
        <f>_xlfn.XLOOKUP(_xlfn.XLOOKUP(C380,'Project Details'!$C$17:$C$10003,'Project Details'!$E$17:$E$10003, "",0),dd_design_raw!$A$2:$A$9997,dd_design_raw!$C$2:$C$9997,"",0)</f>
        <v/>
      </c>
      <c r="C380" s="16" t="str" cm="1">
        <f t="array" ref="C380">IFERROR(_xlfn._xlws.FILTER('calc_s90&amp;138'!C15:C65,'calc_s90&amp;138'!AL15:AL65&lt;&gt;""),"")</f>
        <v/>
      </c>
      <c r="D380" s="16" t="str" cm="1">
        <f t="array" ref="D380">IFERROR(_xlfn._xlws.FILTER('calc_s90&amp;138'!AM15:AM65,'calc_s90&amp;138'!AM15:AM65&lt;&gt;""),"")</f>
        <v/>
      </c>
      <c r="E380" s="16" t="str" cm="1">
        <f t="array" ref="E380">IF(C380&lt;&gt;"", _xlfn.XLOOKUP(1,((SKUs!$A$2:$A$10001=cl_unmerged!B380) * (ISNUMBER(SEARCH("Mullion",SKUs!$J$2:$J$10001)))), SKUs!$J$2:$J$10001,""),"") &amp; _xlfn.IFS(I380="Height", ", H",I380="Height SLI", ", H SLI", I380="Height FIX", ", H FIX",I380="Width", ", W", I380="", "")</f>
        <v/>
      </c>
      <c r="F380" s="33" t="str" cm="1">
        <f t="array" ref="F380">_xlfn.XLOOKUP(1,((SKUs!$A$2:$A$10001=cl_unmerged!B380) * (ISNUMBER(SEARCH("Mullion",SKUs!$J$2:$J$10001)))* (ISNUMBER(SEARCH(A380,SKUs!$C$2:$C$10001)))), SKUs!$C$2:$C$10001,"")</f>
        <v/>
      </c>
      <c r="G380" s="16" t="str" cm="1">
        <f t="array" ref="G380">IFERROR(_xlfn._xlws.FILTER('calc_s90&amp;138'!G15:G65,'calc_s90&amp;138'!AM15:AM65&lt;&gt;""),"")</f>
        <v/>
      </c>
      <c r="H380" s="16" t="str" cm="1">
        <f t="array" ref="H380">IFERROR(_xlfn._xlws.FILTER('calc_s90&amp;138'!AL15:AL65,'calc_s90&amp;138'!AM15:AM65&lt;&gt;""),"")</f>
        <v/>
      </c>
      <c r="I380" s="16"/>
    </row>
    <row r="381" spans="1:9" ht="13.5" customHeight="1" x14ac:dyDescent="0.25">
      <c r="A381" s="41" t="str">
        <f>_xlfn.XLOOKUP(G381,dd_color!$A$2:$A$8,dd_color!$B$2:$B$8,"",0)</f>
        <v/>
      </c>
      <c r="B381" s="41">
        <f>_xlfn.XLOOKUP(_xlfn.XLOOKUP(C381,'Project Details'!$C$17:$C$10003,'Project Details'!$E$17:$E$10003, "",0),dd_design_raw!$A$2:$A$9997,dd_design_raw!$C$2:$C$9997,"",0)</f>
        <v>0</v>
      </c>
      <c r="C381" s="16"/>
      <c r="D381" s="16"/>
      <c r="E381" s="16" t="str">
        <f t="shared" ref="E381:E390" si="7">IF(C381&lt;&gt;"", "Mullion66","")</f>
        <v/>
      </c>
      <c r="F381" s="33" t="str" cm="1">
        <f t="array" ref="F381">_xlfn.XLOOKUP(1,((SKUs!$A$2:$A$10001=cl_unmerged!B381) * (ISNUMBER(SEARCH("Mullion",SKUs!$J$2:$J$10001)))* (ISNUMBER(SEARCH(A381,SKUs!$C$2:$C$10001)))), SKUs!$C$2:$C$10001,"")</f>
        <v/>
      </c>
      <c r="G381" s="16"/>
      <c r="H381" s="16"/>
      <c r="I381" s="16"/>
    </row>
    <row r="382" spans="1:9" ht="13.5" customHeight="1" x14ac:dyDescent="0.25">
      <c r="A382" s="41" t="str">
        <f>_xlfn.XLOOKUP(G382,dd_color!$A$2:$A$8,dd_color!$B$2:$B$8,"",0)</f>
        <v/>
      </c>
      <c r="B382" s="41">
        <f>_xlfn.XLOOKUP(_xlfn.XLOOKUP(C382,'Project Details'!$C$17:$C$10003,'Project Details'!$E$17:$E$10003, "",0),dd_design_raw!$A$2:$A$9997,dd_design_raw!$C$2:$C$9997,"",0)</f>
        <v>0</v>
      </c>
      <c r="C382" s="16"/>
      <c r="D382" s="16"/>
      <c r="E382" s="16" t="str">
        <f t="shared" si="7"/>
        <v/>
      </c>
      <c r="F382" s="33" t="str" cm="1">
        <f t="array" ref="F382">_xlfn.XLOOKUP(1,((SKUs!$A$2:$A$10001=cl_unmerged!B382) * (ISNUMBER(SEARCH("Mullion",SKUs!$J$2:$J$10001)))* (ISNUMBER(SEARCH(A382,SKUs!$C$2:$C$10001)))), SKUs!$C$2:$C$10001,"")</f>
        <v/>
      </c>
      <c r="G382" s="16"/>
      <c r="H382" s="16"/>
      <c r="I382" s="16"/>
    </row>
    <row r="383" spans="1:9" ht="13.5" customHeight="1" x14ac:dyDescent="0.25">
      <c r="A383" s="41" t="str">
        <f>_xlfn.XLOOKUP(G383,dd_color!$A$2:$A$8,dd_color!$B$2:$B$8,"",0)</f>
        <v/>
      </c>
      <c r="B383" s="41">
        <f>_xlfn.XLOOKUP(_xlfn.XLOOKUP(C383,'Project Details'!$C$17:$C$10003,'Project Details'!$E$17:$E$10003, "",0),dd_design_raw!$A$2:$A$9997,dd_design_raw!$C$2:$C$9997,"",0)</f>
        <v>0</v>
      </c>
      <c r="C383" s="16"/>
      <c r="D383" s="16"/>
      <c r="E383" s="16" t="str">
        <f t="shared" si="7"/>
        <v/>
      </c>
      <c r="F383" s="33" t="str" cm="1">
        <f t="array" ref="F383">_xlfn.XLOOKUP(1,((SKUs!$A$2:$A$10001=cl_unmerged!B383) * (ISNUMBER(SEARCH("Mullion",SKUs!$J$2:$J$10001)))* (ISNUMBER(SEARCH(A383,SKUs!$C$2:$C$10001)))), SKUs!$C$2:$C$10001,"")</f>
        <v/>
      </c>
      <c r="G383" s="16"/>
      <c r="H383" s="16"/>
      <c r="I383" s="16"/>
    </row>
    <row r="384" spans="1:9" ht="13.5" customHeight="1" x14ac:dyDescent="0.25">
      <c r="A384" s="41" t="str">
        <f>_xlfn.XLOOKUP(G384,dd_color!$A$2:$A$8,dd_color!$B$2:$B$8,"",0)</f>
        <v/>
      </c>
      <c r="B384" s="41">
        <f>_xlfn.XLOOKUP(_xlfn.XLOOKUP(C384,'Project Details'!$C$17:$C$10003,'Project Details'!$E$17:$E$10003, "",0),dd_design_raw!$A$2:$A$9997,dd_design_raw!$C$2:$C$9997,"",0)</f>
        <v>0</v>
      </c>
      <c r="C384" s="16"/>
      <c r="D384" s="16"/>
      <c r="E384" s="16" t="str">
        <f t="shared" si="7"/>
        <v/>
      </c>
      <c r="F384" s="33" t="str" cm="1">
        <f t="array" ref="F384">_xlfn.XLOOKUP(1,((SKUs!$A$2:$A$10001=cl_unmerged!B384) * (ISNUMBER(SEARCH("Mullion",SKUs!$J$2:$J$10001)))* (ISNUMBER(SEARCH(A384,SKUs!$C$2:$C$10001)))), SKUs!$C$2:$C$10001,"")</f>
        <v/>
      </c>
      <c r="G384" s="16"/>
      <c r="H384" s="16"/>
      <c r="I384" s="16"/>
    </row>
    <row r="385" spans="1:9" ht="13.5" customHeight="1" x14ac:dyDescent="0.25">
      <c r="A385" s="41" t="str">
        <f>_xlfn.XLOOKUP(G385,dd_color!$A$2:$A$8,dd_color!$B$2:$B$8,"",0)</f>
        <v/>
      </c>
      <c r="B385" s="41">
        <f>_xlfn.XLOOKUP(_xlfn.XLOOKUP(C385,'Project Details'!$C$17:$C$10003,'Project Details'!$E$17:$E$10003, "",0),dd_design_raw!$A$2:$A$9997,dd_design_raw!$C$2:$C$9997,"",0)</f>
        <v>0</v>
      </c>
      <c r="C385" s="16"/>
      <c r="D385" s="16"/>
      <c r="E385" s="16" t="str">
        <f t="shared" si="7"/>
        <v/>
      </c>
      <c r="F385" s="33" t="str" cm="1">
        <f t="array" ref="F385">_xlfn.XLOOKUP(1,((SKUs!$A$2:$A$10001=cl_unmerged!B385) * (ISNUMBER(SEARCH("Mullion",SKUs!$J$2:$J$10001)))* (ISNUMBER(SEARCH(A385,SKUs!$C$2:$C$10001)))), SKUs!$C$2:$C$10001,"")</f>
        <v/>
      </c>
      <c r="G385" s="16"/>
      <c r="H385" s="16"/>
      <c r="I385" s="16"/>
    </row>
    <row r="386" spans="1:9" ht="13.5" customHeight="1" x14ac:dyDescent="0.25">
      <c r="A386" s="41" t="str">
        <f>_xlfn.XLOOKUP(G386,dd_color!$A$2:$A$8,dd_color!$B$2:$B$8,"",0)</f>
        <v/>
      </c>
      <c r="B386" s="41">
        <f>_xlfn.XLOOKUP(_xlfn.XLOOKUP(C386,'Project Details'!$C$17:$C$10003,'Project Details'!$E$17:$E$10003, "",0),dd_design_raw!$A$2:$A$9997,dd_design_raw!$C$2:$C$9997,"",0)</f>
        <v>0</v>
      </c>
      <c r="C386" s="16"/>
      <c r="D386" s="16"/>
      <c r="E386" s="16" t="str">
        <f t="shared" si="7"/>
        <v/>
      </c>
      <c r="F386" s="33" t="str" cm="1">
        <f t="array" ref="F386">_xlfn.XLOOKUP(1,((SKUs!$A$2:$A$10001=cl_unmerged!B386) * (ISNUMBER(SEARCH("Mullion",SKUs!$J$2:$J$10001)))* (ISNUMBER(SEARCH(A386,SKUs!$C$2:$C$10001)))), SKUs!$C$2:$C$10001,"")</f>
        <v/>
      </c>
      <c r="G386" s="16"/>
      <c r="H386" s="16"/>
      <c r="I386" s="16"/>
    </row>
    <row r="387" spans="1:9" ht="13.5" customHeight="1" x14ac:dyDescent="0.25">
      <c r="A387" s="41" t="str">
        <f>_xlfn.XLOOKUP(G387,dd_color!$A$2:$A$8,dd_color!$B$2:$B$8,"",0)</f>
        <v/>
      </c>
      <c r="B387" s="41">
        <f>_xlfn.XLOOKUP(_xlfn.XLOOKUP(C387,'Project Details'!$C$17:$C$10003,'Project Details'!$E$17:$E$10003, "",0),dd_design_raw!$A$2:$A$9997,dd_design_raw!$C$2:$C$9997,"",0)</f>
        <v>0</v>
      </c>
      <c r="C387" s="16"/>
      <c r="D387" s="16"/>
      <c r="E387" s="16" t="str">
        <f t="shared" si="7"/>
        <v/>
      </c>
      <c r="F387" s="33" t="str" cm="1">
        <f t="array" ref="F387">_xlfn.XLOOKUP(1,((SKUs!$A$2:$A$10001=cl_unmerged!B387) * (ISNUMBER(SEARCH("Mullion",SKUs!$J$2:$J$10001)))* (ISNUMBER(SEARCH(A387,SKUs!$C$2:$C$10001)))), SKUs!$C$2:$C$10001,"")</f>
        <v/>
      </c>
      <c r="G387" s="16"/>
      <c r="H387" s="16"/>
      <c r="I387" s="16"/>
    </row>
    <row r="388" spans="1:9" ht="13.5" customHeight="1" x14ac:dyDescent="0.25">
      <c r="A388" s="41" t="str">
        <f>_xlfn.XLOOKUP(G388,dd_color!$A$2:$A$8,dd_color!$B$2:$B$8,"",0)</f>
        <v/>
      </c>
      <c r="B388" s="41">
        <f>_xlfn.XLOOKUP(_xlfn.XLOOKUP(C388,'Project Details'!$C$17:$C$10003,'Project Details'!$E$17:$E$10003, "",0),dd_design_raw!$A$2:$A$9997,dd_design_raw!$C$2:$C$9997,"",0)</f>
        <v>0</v>
      </c>
      <c r="C388" s="16"/>
      <c r="D388" s="16"/>
      <c r="E388" s="16" t="str">
        <f t="shared" si="7"/>
        <v/>
      </c>
      <c r="F388" s="33" t="str" cm="1">
        <f t="array" ref="F388">_xlfn.XLOOKUP(1,((SKUs!$A$2:$A$10001=cl_unmerged!B388) * (ISNUMBER(SEARCH("Mullion",SKUs!$J$2:$J$10001)))* (ISNUMBER(SEARCH(A388,SKUs!$C$2:$C$10001)))), SKUs!$C$2:$C$10001,"")</f>
        <v/>
      </c>
      <c r="G388" s="16"/>
      <c r="H388" s="16"/>
      <c r="I388" s="16"/>
    </row>
    <row r="389" spans="1:9" ht="13.5" customHeight="1" x14ac:dyDescent="0.25">
      <c r="A389" s="41" t="str">
        <f>_xlfn.XLOOKUP(G389,dd_color!$A$2:$A$8,dd_color!$B$2:$B$8,"",0)</f>
        <v/>
      </c>
      <c r="B389" s="41">
        <f>_xlfn.XLOOKUP(_xlfn.XLOOKUP(C389,'Project Details'!$C$17:$C$10003,'Project Details'!$E$17:$E$10003, "",0),dd_design_raw!$A$2:$A$9997,dd_design_raw!$C$2:$C$9997,"",0)</f>
        <v>0</v>
      </c>
      <c r="C389" s="16"/>
      <c r="D389" s="16"/>
      <c r="E389" s="16" t="str">
        <f t="shared" si="7"/>
        <v/>
      </c>
      <c r="F389" s="33" t="str" cm="1">
        <f t="array" ref="F389">_xlfn.XLOOKUP(1,((SKUs!$A$2:$A$10001=cl_unmerged!B389) * (ISNUMBER(SEARCH("Mullion",SKUs!$J$2:$J$10001)))* (ISNUMBER(SEARCH(A389,SKUs!$C$2:$C$10001)))), SKUs!$C$2:$C$10001,"")</f>
        <v/>
      </c>
      <c r="G389" s="16"/>
      <c r="H389" s="16"/>
      <c r="I389" s="16"/>
    </row>
    <row r="390" spans="1:9" ht="13.5" customHeight="1" x14ac:dyDescent="0.25">
      <c r="A390" s="41" t="str">
        <f>_xlfn.XLOOKUP(G390,dd_color!$A$2:$A$8,dd_color!$B$2:$B$8,"",0)</f>
        <v/>
      </c>
      <c r="B390" s="41">
        <f>_xlfn.XLOOKUP(_xlfn.XLOOKUP(C390,'Project Details'!$C$17:$C$10003,'Project Details'!$E$17:$E$10003, "",0),dd_design_raw!$A$2:$A$9997,dd_design_raw!$C$2:$C$9997,"",0)</f>
        <v>0</v>
      </c>
      <c r="C390" s="16"/>
      <c r="D390" s="16"/>
      <c r="E390" s="16" t="str">
        <f t="shared" si="7"/>
        <v/>
      </c>
      <c r="F390" s="33" t="str" cm="1">
        <f t="array" ref="F390">_xlfn.XLOOKUP(1,((SKUs!$A$2:$A$10001=cl_unmerged!B390) * (ISNUMBER(SEARCH("Mullion",SKUs!$J$2:$J$10001)))* (ISNUMBER(SEARCH(A390,SKUs!$C$2:$C$10001)))), SKUs!$C$2:$C$10001,"")</f>
        <v/>
      </c>
      <c r="G390" s="16"/>
      <c r="H390" s="16"/>
      <c r="I390" s="16"/>
    </row>
    <row r="391" spans="1:9" ht="13.5" customHeight="1" x14ac:dyDescent="0.25">
      <c r="A391" s="41" t="str">
        <f>_xlfn.XLOOKUP(G391,dd_color!$A$2:$A$8,dd_color!$B$2:$B$8,"",0)</f>
        <v/>
      </c>
      <c r="B391" s="41">
        <f>_xlfn.XLOOKUP(_xlfn.XLOOKUP(C391,'Project Details'!$C$17:$C$10003,'Project Details'!$E$17:$E$10003, "",0),dd_design_raw!$A$2:$A$9997,dd_design_raw!$C$2:$C$9997,"",0)</f>
        <v>0</v>
      </c>
      <c r="C391" s="16"/>
      <c r="D391" s="16"/>
      <c r="E391" s="16" t="str">
        <f t="shared" ref="E391:E430" si="8">IF(C391&lt;&gt;"", "Mullion66","")</f>
        <v/>
      </c>
      <c r="F391" s="33" t="str" cm="1">
        <f t="array" ref="F391">_xlfn.XLOOKUP(1,((SKUs!$A$2:$A$10001=cl_unmerged!B391) * (ISNUMBER(SEARCH("Mullion",SKUs!$J$2:$J$10001)))* (ISNUMBER(SEARCH(A391,SKUs!$C$2:$C$10001)))), SKUs!$C$2:$C$10001,"")</f>
        <v/>
      </c>
      <c r="G391" s="16"/>
      <c r="H391" s="16"/>
      <c r="I391" s="16"/>
    </row>
    <row r="392" spans="1:9" ht="13.5" customHeight="1" x14ac:dyDescent="0.25">
      <c r="A392" s="41" t="str">
        <f>_xlfn.XLOOKUP(G392,dd_color!$A$2:$A$8,dd_color!$B$2:$B$8,"",0)</f>
        <v/>
      </c>
      <c r="B392" s="41">
        <f>_xlfn.XLOOKUP(_xlfn.XLOOKUP(C392,'Project Details'!$C$17:$C$10003,'Project Details'!$E$17:$E$10003, "",0),dd_design_raw!$A$2:$A$9997,dd_design_raw!$C$2:$C$9997,"",0)</f>
        <v>0</v>
      </c>
      <c r="C392" s="16"/>
      <c r="D392" s="16"/>
      <c r="E392" s="16" t="str">
        <f t="shared" si="8"/>
        <v/>
      </c>
      <c r="F392" s="33" t="str" cm="1">
        <f t="array" ref="F392">_xlfn.XLOOKUP(1,((SKUs!$A$2:$A$10001=cl_unmerged!B392) * (ISNUMBER(SEARCH("Mullion",SKUs!$J$2:$J$10001)))* (ISNUMBER(SEARCH(A392,SKUs!$C$2:$C$10001)))), SKUs!$C$2:$C$10001,"")</f>
        <v/>
      </c>
      <c r="G392" s="16"/>
      <c r="H392" s="16"/>
      <c r="I392" s="16"/>
    </row>
    <row r="393" spans="1:9" ht="13.5" customHeight="1" x14ac:dyDescent="0.25">
      <c r="A393" s="41" t="str">
        <f>_xlfn.XLOOKUP(G393,dd_color!$A$2:$A$8,dd_color!$B$2:$B$8,"",0)</f>
        <v/>
      </c>
      <c r="B393" s="41">
        <f>_xlfn.XLOOKUP(_xlfn.XLOOKUP(C393,'Project Details'!$C$17:$C$10003,'Project Details'!$E$17:$E$10003, "",0),dd_design_raw!$A$2:$A$9997,dd_design_raw!$C$2:$C$9997,"",0)</f>
        <v>0</v>
      </c>
      <c r="C393" s="16"/>
      <c r="D393" s="16"/>
      <c r="E393" s="16" t="str">
        <f t="shared" si="8"/>
        <v/>
      </c>
      <c r="F393" s="33" t="str" cm="1">
        <f t="array" ref="F393">_xlfn.XLOOKUP(1,((SKUs!$A$2:$A$10001=cl_unmerged!B393) * (ISNUMBER(SEARCH("Mullion",SKUs!$J$2:$J$10001)))* (ISNUMBER(SEARCH(A393,SKUs!$C$2:$C$10001)))), SKUs!$C$2:$C$10001,"")</f>
        <v/>
      </c>
      <c r="G393" s="16"/>
      <c r="H393" s="16"/>
      <c r="I393" s="16"/>
    </row>
    <row r="394" spans="1:9" ht="13.5" customHeight="1" x14ac:dyDescent="0.25">
      <c r="A394" s="41" t="str">
        <f>_xlfn.XLOOKUP(G394,dd_color!$A$2:$A$8,dd_color!$B$2:$B$8,"",0)</f>
        <v/>
      </c>
      <c r="B394" s="41">
        <f>_xlfn.XLOOKUP(_xlfn.XLOOKUP(C394,'Project Details'!$C$17:$C$10003,'Project Details'!$E$17:$E$10003, "",0),dd_design_raw!$A$2:$A$9997,dd_design_raw!$C$2:$C$9997,"",0)</f>
        <v>0</v>
      </c>
      <c r="C394" s="16"/>
      <c r="D394" s="16"/>
      <c r="E394" s="16" t="str">
        <f t="shared" si="8"/>
        <v/>
      </c>
      <c r="F394" s="33" t="str" cm="1">
        <f t="array" ref="F394">_xlfn.XLOOKUP(1,((SKUs!$A$2:$A$10001=cl_unmerged!B394) * (ISNUMBER(SEARCH("Mullion",SKUs!$J$2:$J$10001)))* (ISNUMBER(SEARCH(A394,SKUs!$C$2:$C$10001)))), SKUs!$C$2:$C$10001,"")</f>
        <v/>
      </c>
      <c r="G394" s="16"/>
      <c r="H394" s="16"/>
      <c r="I394" s="16"/>
    </row>
    <row r="395" spans="1:9" ht="13.5" customHeight="1" x14ac:dyDescent="0.25">
      <c r="A395" s="41" t="str">
        <f>_xlfn.XLOOKUP(G395,dd_color!$A$2:$A$8,dd_color!$B$2:$B$8,"",0)</f>
        <v/>
      </c>
      <c r="B395" s="41">
        <f>_xlfn.XLOOKUP(_xlfn.XLOOKUP(C395,'Project Details'!$C$17:$C$10003,'Project Details'!$E$17:$E$10003, "",0),dd_design_raw!$A$2:$A$9997,dd_design_raw!$C$2:$C$9997,"",0)</f>
        <v>0</v>
      </c>
      <c r="C395" s="16"/>
      <c r="D395" s="16"/>
      <c r="E395" s="16" t="str">
        <f t="shared" si="8"/>
        <v/>
      </c>
      <c r="F395" s="33" t="str" cm="1">
        <f t="array" ref="F395">_xlfn.XLOOKUP(1,((SKUs!$A$2:$A$10001=cl_unmerged!B395) * (ISNUMBER(SEARCH("Mullion",SKUs!$J$2:$J$10001)))* (ISNUMBER(SEARCH(A395,SKUs!$C$2:$C$10001)))), SKUs!$C$2:$C$10001,"")</f>
        <v/>
      </c>
      <c r="G395" s="16"/>
      <c r="H395" s="16"/>
      <c r="I395" s="16"/>
    </row>
    <row r="396" spans="1:9" ht="13.5" customHeight="1" x14ac:dyDescent="0.25">
      <c r="A396" s="41" t="str">
        <f>_xlfn.XLOOKUP(G396,dd_color!$A$2:$A$8,dd_color!$B$2:$B$8,"",0)</f>
        <v/>
      </c>
      <c r="B396" s="41">
        <f>_xlfn.XLOOKUP(_xlfn.XLOOKUP(C396,'Project Details'!$C$17:$C$10003,'Project Details'!$E$17:$E$10003, "",0),dd_design_raw!$A$2:$A$9997,dd_design_raw!$C$2:$C$9997,"",0)</f>
        <v>0</v>
      </c>
      <c r="C396" s="16"/>
      <c r="D396" s="16"/>
      <c r="E396" s="16" t="str">
        <f t="shared" si="8"/>
        <v/>
      </c>
      <c r="F396" s="33" t="str" cm="1">
        <f t="array" ref="F396">_xlfn.XLOOKUP(1,((SKUs!$A$2:$A$10001=cl_unmerged!B396) * (ISNUMBER(SEARCH("Mullion",SKUs!$J$2:$J$10001)))* (ISNUMBER(SEARCH(A396,SKUs!$C$2:$C$10001)))), SKUs!$C$2:$C$10001,"")</f>
        <v/>
      </c>
      <c r="G396" s="16"/>
      <c r="H396" s="16"/>
      <c r="I396" s="16"/>
    </row>
    <row r="397" spans="1:9" ht="13.5" customHeight="1" x14ac:dyDescent="0.25">
      <c r="A397" s="41" t="str">
        <f>_xlfn.XLOOKUP(G397,dd_color!$A$2:$A$8,dd_color!$B$2:$B$8,"",0)</f>
        <v/>
      </c>
      <c r="B397" s="41">
        <f>_xlfn.XLOOKUP(_xlfn.XLOOKUP(C397,'Project Details'!$C$17:$C$10003,'Project Details'!$E$17:$E$10003, "",0),dd_design_raw!$A$2:$A$9997,dd_design_raw!$C$2:$C$9997,"",0)</f>
        <v>0</v>
      </c>
      <c r="C397" s="16"/>
      <c r="D397" s="16"/>
      <c r="E397" s="16" t="str">
        <f t="shared" si="8"/>
        <v/>
      </c>
      <c r="F397" s="33" t="str" cm="1">
        <f t="array" ref="F397">_xlfn.XLOOKUP(1,((SKUs!$A$2:$A$10001=cl_unmerged!B397) * (ISNUMBER(SEARCH("Mullion",SKUs!$J$2:$J$10001)))* (ISNUMBER(SEARCH(A397,SKUs!$C$2:$C$10001)))), SKUs!$C$2:$C$10001,"")</f>
        <v/>
      </c>
      <c r="G397" s="16"/>
      <c r="H397" s="16"/>
      <c r="I397" s="16"/>
    </row>
    <row r="398" spans="1:9" ht="13.5" customHeight="1" x14ac:dyDescent="0.25">
      <c r="A398" s="41" t="str">
        <f>_xlfn.XLOOKUP(G398,dd_color!$A$2:$A$8,dd_color!$B$2:$B$8,"",0)</f>
        <v/>
      </c>
      <c r="B398" s="41">
        <f>_xlfn.XLOOKUP(_xlfn.XLOOKUP(C398,'Project Details'!$C$17:$C$10003,'Project Details'!$E$17:$E$10003, "",0),dd_design_raw!$A$2:$A$9997,dd_design_raw!$C$2:$C$9997,"",0)</f>
        <v>0</v>
      </c>
      <c r="C398" s="16"/>
      <c r="D398" s="16"/>
      <c r="E398" s="16" t="str">
        <f t="shared" si="8"/>
        <v/>
      </c>
      <c r="F398" s="33" t="str" cm="1">
        <f t="array" ref="F398">_xlfn.XLOOKUP(1,((SKUs!$A$2:$A$10001=cl_unmerged!B398) * (ISNUMBER(SEARCH("Mullion",SKUs!$J$2:$J$10001)))* (ISNUMBER(SEARCH(A398,SKUs!$C$2:$C$10001)))), SKUs!$C$2:$C$10001,"")</f>
        <v/>
      </c>
      <c r="G398" s="16"/>
      <c r="H398" s="16"/>
      <c r="I398" s="16"/>
    </row>
    <row r="399" spans="1:9" ht="13.5" customHeight="1" x14ac:dyDescent="0.25">
      <c r="A399" s="41" t="str">
        <f>_xlfn.XLOOKUP(G399,dd_color!$A$2:$A$8,dd_color!$B$2:$B$8,"",0)</f>
        <v/>
      </c>
      <c r="B399" s="41">
        <f>_xlfn.XLOOKUP(_xlfn.XLOOKUP(C399,'Project Details'!$C$17:$C$10003,'Project Details'!$E$17:$E$10003, "",0),dd_design_raw!$A$2:$A$9997,dd_design_raw!$C$2:$C$9997,"",0)</f>
        <v>0</v>
      </c>
      <c r="C399" s="16"/>
      <c r="D399" s="16"/>
      <c r="E399" s="16" t="str">
        <f t="shared" si="8"/>
        <v/>
      </c>
      <c r="F399" s="33" t="str" cm="1">
        <f t="array" ref="F399">_xlfn.XLOOKUP(1,((SKUs!$A$2:$A$10001=cl_unmerged!B399) * (ISNUMBER(SEARCH("Mullion",SKUs!$J$2:$J$10001)))* (ISNUMBER(SEARCH(A399,SKUs!$C$2:$C$10001)))), SKUs!$C$2:$C$10001,"")</f>
        <v/>
      </c>
      <c r="G399" s="16"/>
      <c r="H399" s="16"/>
      <c r="I399" s="16"/>
    </row>
    <row r="400" spans="1:9" ht="13.5" customHeight="1" x14ac:dyDescent="0.25">
      <c r="A400" s="41" t="str">
        <f>_xlfn.XLOOKUP(G400,dd_color!$A$2:$A$8,dd_color!$B$2:$B$8,"",0)</f>
        <v/>
      </c>
      <c r="B400" s="41">
        <f>_xlfn.XLOOKUP(_xlfn.XLOOKUP(C400,'Project Details'!$C$17:$C$10003,'Project Details'!$E$17:$E$10003, "",0),dd_design_raw!$A$2:$A$9997,dd_design_raw!$C$2:$C$9997,"",0)</f>
        <v>0</v>
      </c>
      <c r="C400" s="16"/>
      <c r="D400" s="16"/>
      <c r="E400" s="16" t="str">
        <f t="shared" si="8"/>
        <v/>
      </c>
      <c r="F400" s="33" t="str" cm="1">
        <f t="array" ref="F400">_xlfn.XLOOKUP(1,((SKUs!$A$2:$A$10001=cl_unmerged!B400) * (ISNUMBER(SEARCH("Mullion",SKUs!$J$2:$J$10001)))* (ISNUMBER(SEARCH(A400,SKUs!$C$2:$C$10001)))), SKUs!$C$2:$C$10001,"")</f>
        <v/>
      </c>
      <c r="G400" s="16"/>
      <c r="H400" s="16"/>
      <c r="I400" s="16"/>
    </row>
    <row r="401" spans="1:9" ht="13.5" customHeight="1" x14ac:dyDescent="0.25">
      <c r="A401" s="41" t="str">
        <f>_xlfn.XLOOKUP(G401,dd_color!$A$2:$A$8,dd_color!$B$2:$B$8,"",0)</f>
        <v/>
      </c>
      <c r="B401" s="41">
        <f>_xlfn.XLOOKUP(_xlfn.XLOOKUP(C401,'Project Details'!$C$17:$C$10003,'Project Details'!$E$17:$E$10003, "",0),dd_design_raw!$A$2:$A$9997,dd_design_raw!$C$2:$C$9997,"",0)</f>
        <v>0</v>
      </c>
      <c r="C401" s="16"/>
      <c r="D401" s="16"/>
      <c r="E401" s="16" t="str">
        <f t="shared" si="8"/>
        <v/>
      </c>
      <c r="F401" s="33" t="str" cm="1">
        <f t="array" ref="F401">_xlfn.XLOOKUP(1,((SKUs!$A$2:$A$10001=cl_unmerged!B401) * (ISNUMBER(SEARCH("Mullion",SKUs!$J$2:$J$10001)))* (ISNUMBER(SEARCH(A401,SKUs!$C$2:$C$10001)))), SKUs!$C$2:$C$10001,"")</f>
        <v/>
      </c>
      <c r="G401" s="16"/>
      <c r="H401" s="16"/>
      <c r="I401" s="16"/>
    </row>
    <row r="402" spans="1:9" ht="13.5" customHeight="1" x14ac:dyDescent="0.25">
      <c r="A402" s="41" t="str">
        <f>_xlfn.XLOOKUP(G402,dd_color!$A$2:$A$8,dd_color!$B$2:$B$8,"",0)</f>
        <v/>
      </c>
      <c r="B402" s="41">
        <f>_xlfn.XLOOKUP(_xlfn.XLOOKUP(C402,'Project Details'!$C$17:$C$10003,'Project Details'!$E$17:$E$10003, "",0),dd_design_raw!$A$2:$A$9997,dd_design_raw!$C$2:$C$9997,"",0)</f>
        <v>0</v>
      </c>
      <c r="C402" s="16"/>
      <c r="D402" s="16"/>
      <c r="E402" s="16" t="str">
        <f t="shared" si="8"/>
        <v/>
      </c>
      <c r="F402" s="33" t="str" cm="1">
        <f t="array" ref="F402">_xlfn.XLOOKUP(1,((SKUs!$A$2:$A$10001=cl_unmerged!B402) * (ISNUMBER(SEARCH("Mullion",SKUs!$J$2:$J$10001)))* (ISNUMBER(SEARCH(A402,SKUs!$C$2:$C$10001)))), SKUs!$C$2:$C$10001,"")</f>
        <v/>
      </c>
      <c r="G402" s="16"/>
      <c r="H402" s="16"/>
      <c r="I402" s="16"/>
    </row>
    <row r="403" spans="1:9" ht="13.5" customHeight="1" x14ac:dyDescent="0.25">
      <c r="A403" s="41" t="str">
        <f>_xlfn.XLOOKUP(G403,dd_color!$A$2:$A$8,dd_color!$B$2:$B$8,"",0)</f>
        <v/>
      </c>
      <c r="B403" s="41">
        <f>_xlfn.XLOOKUP(_xlfn.XLOOKUP(C403,'Project Details'!$C$17:$C$10003,'Project Details'!$E$17:$E$10003, "",0),dd_design_raw!$A$2:$A$9997,dd_design_raw!$C$2:$C$9997,"",0)</f>
        <v>0</v>
      </c>
      <c r="C403" s="16"/>
      <c r="D403" s="16"/>
      <c r="E403" s="16" t="str">
        <f t="shared" si="8"/>
        <v/>
      </c>
      <c r="F403" s="33" t="str" cm="1">
        <f t="array" ref="F403">_xlfn.XLOOKUP(1,((SKUs!$A$2:$A$10001=cl_unmerged!B403) * (ISNUMBER(SEARCH("Mullion",SKUs!$J$2:$J$10001)))* (ISNUMBER(SEARCH(A403,SKUs!$C$2:$C$10001)))), SKUs!$C$2:$C$10001,"")</f>
        <v/>
      </c>
      <c r="G403" s="16"/>
      <c r="H403" s="16"/>
      <c r="I403" s="16"/>
    </row>
    <row r="404" spans="1:9" ht="13.5" customHeight="1" x14ac:dyDescent="0.25">
      <c r="A404" s="41" t="str">
        <f>_xlfn.XLOOKUP(G404,dd_color!$A$2:$A$8,dd_color!$B$2:$B$8,"",0)</f>
        <v/>
      </c>
      <c r="B404" s="41">
        <f>_xlfn.XLOOKUP(_xlfn.XLOOKUP(C404,'Project Details'!$C$17:$C$10003,'Project Details'!$E$17:$E$10003, "",0),dd_design_raw!$A$2:$A$9997,dd_design_raw!$C$2:$C$9997,"",0)</f>
        <v>0</v>
      </c>
      <c r="C404" s="16"/>
      <c r="D404" s="16"/>
      <c r="E404" s="16" t="str">
        <f t="shared" si="8"/>
        <v/>
      </c>
      <c r="F404" s="33" t="str" cm="1">
        <f t="array" ref="F404">_xlfn.XLOOKUP(1,((SKUs!$A$2:$A$10001=cl_unmerged!B404) * (ISNUMBER(SEARCH("Mullion",SKUs!$J$2:$J$10001)))* (ISNUMBER(SEARCH(A404,SKUs!$C$2:$C$10001)))), SKUs!$C$2:$C$10001,"")</f>
        <v/>
      </c>
      <c r="G404" s="16"/>
      <c r="H404" s="16"/>
      <c r="I404" s="16"/>
    </row>
    <row r="405" spans="1:9" ht="13.5" customHeight="1" x14ac:dyDescent="0.25">
      <c r="A405" s="41" t="str">
        <f>_xlfn.XLOOKUP(G405,dd_color!$A$2:$A$8,dd_color!$B$2:$B$8,"",0)</f>
        <v/>
      </c>
      <c r="B405" s="41">
        <f>_xlfn.XLOOKUP(_xlfn.XLOOKUP(C405,'Project Details'!$C$17:$C$10003,'Project Details'!$E$17:$E$10003, "",0),dd_design_raw!$A$2:$A$9997,dd_design_raw!$C$2:$C$9997,"",0)</f>
        <v>0</v>
      </c>
      <c r="C405" s="16"/>
      <c r="D405" s="16"/>
      <c r="E405" s="16" t="str">
        <f t="shared" si="8"/>
        <v/>
      </c>
      <c r="F405" s="33" t="str" cm="1">
        <f t="array" ref="F405">_xlfn.XLOOKUP(1,((SKUs!$A$2:$A$10001=cl_unmerged!B405) * (ISNUMBER(SEARCH("Mullion",SKUs!$J$2:$J$10001)))* (ISNUMBER(SEARCH(A405,SKUs!$C$2:$C$10001)))), SKUs!$C$2:$C$10001,"")</f>
        <v/>
      </c>
      <c r="G405" s="16"/>
      <c r="H405" s="16"/>
      <c r="I405" s="16"/>
    </row>
    <row r="406" spans="1:9" ht="13.5" customHeight="1" x14ac:dyDescent="0.25">
      <c r="A406" s="41" t="str">
        <f>_xlfn.XLOOKUP(G406,dd_color!$A$2:$A$8,dd_color!$B$2:$B$8,"",0)</f>
        <v/>
      </c>
      <c r="B406" s="41">
        <f>_xlfn.XLOOKUP(_xlfn.XLOOKUP(C406,'Project Details'!$C$17:$C$10003,'Project Details'!$E$17:$E$10003, "",0),dd_design_raw!$A$2:$A$9997,dd_design_raw!$C$2:$C$9997,"",0)</f>
        <v>0</v>
      </c>
      <c r="C406" s="16"/>
      <c r="D406" s="16"/>
      <c r="E406" s="16" t="str">
        <f t="shared" si="8"/>
        <v/>
      </c>
      <c r="F406" s="33" t="str" cm="1">
        <f t="array" ref="F406">_xlfn.XLOOKUP(1,((SKUs!$A$2:$A$10001=cl_unmerged!B406) * (ISNUMBER(SEARCH("Mullion",SKUs!$J$2:$J$10001)))* (ISNUMBER(SEARCH(A406,SKUs!$C$2:$C$10001)))), SKUs!$C$2:$C$10001,"")</f>
        <v/>
      </c>
      <c r="G406" s="16"/>
      <c r="H406" s="16"/>
      <c r="I406" s="16"/>
    </row>
    <row r="407" spans="1:9" ht="13.5" customHeight="1" x14ac:dyDescent="0.25">
      <c r="A407" s="41" t="str">
        <f>_xlfn.XLOOKUP(G407,dd_color!$A$2:$A$8,dd_color!$B$2:$B$8,"",0)</f>
        <v/>
      </c>
      <c r="B407" s="41">
        <f>_xlfn.XLOOKUP(_xlfn.XLOOKUP(C407,'Project Details'!$C$17:$C$10003,'Project Details'!$E$17:$E$10003, "",0),dd_design_raw!$A$2:$A$9997,dd_design_raw!$C$2:$C$9997,"",0)</f>
        <v>0</v>
      </c>
      <c r="C407" s="16"/>
      <c r="D407" s="16"/>
      <c r="E407" s="16" t="str">
        <f t="shared" si="8"/>
        <v/>
      </c>
      <c r="F407" s="33" t="str" cm="1">
        <f t="array" ref="F407">_xlfn.XLOOKUP(1,((SKUs!$A$2:$A$10001=cl_unmerged!B407) * (ISNUMBER(SEARCH("Mullion",SKUs!$J$2:$J$10001)))* (ISNUMBER(SEARCH(A407,SKUs!$C$2:$C$10001)))), SKUs!$C$2:$C$10001,"")</f>
        <v/>
      </c>
      <c r="G407" s="16"/>
      <c r="H407" s="16"/>
      <c r="I407" s="16"/>
    </row>
    <row r="408" spans="1:9" ht="13.5" customHeight="1" x14ac:dyDescent="0.25">
      <c r="A408" s="41" t="str">
        <f>_xlfn.XLOOKUP(G408,dd_color!$A$2:$A$8,dd_color!$B$2:$B$8,"",0)</f>
        <v/>
      </c>
      <c r="B408" s="41">
        <f>_xlfn.XLOOKUP(_xlfn.XLOOKUP(C408,'Project Details'!$C$17:$C$10003,'Project Details'!$E$17:$E$10003, "",0),dd_design_raw!$A$2:$A$9997,dd_design_raw!$C$2:$C$9997,"",0)</f>
        <v>0</v>
      </c>
      <c r="C408" s="16"/>
      <c r="D408" s="16"/>
      <c r="E408" s="16" t="str">
        <f t="shared" si="8"/>
        <v/>
      </c>
      <c r="F408" s="33" t="str" cm="1">
        <f t="array" ref="F408">_xlfn.XLOOKUP(1,((SKUs!$A$2:$A$10001=cl_unmerged!B408) * (ISNUMBER(SEARCH("Mullion",SKUs!$J$2:$J$10001)))* (ISNUMBER(SEARCH(A408,SKUs!$C$2:$C$10001)))), SKUs!$C$2:$C$10001,"")</f>
        <v/>
      </c>
      <c r="G408" s="16"/>
      <c r="H408" s="16"/>
      <c r="I408" s="16"/>
    </row>
    <row r="409" spans="1:9" ht="13.5" customHeight="1" x14ac:dyDescent="0.25">
      <c r="A409" s="41" t="str">
        <f>_xlfn.XLOOKUP(G409,dd_color!$A$2:$A$8,dd_color!$B$2:$B$8,"",0)</f>
        <v/>
      </c>
      <c r="B409" s="41">
        <f>_xlfn.XLOOKUP(_xlfn.XLOOKUP(C409,'Project Details'!$C$17:$C$10003,'Project Details'!$E$17:$E$10003, "",0),dd_design_raw!$A$2:$A$9997,dd_design_raw!$C$2:$C$9997,"",0)</f>
        <v>0</v>
      </c>
      <c r="C409" s="16"/>
      <c r="D409" s="16"/>
      <c r="E409" s="16" t="str">
        <f t="shared" si="8"/>
        <v/>
      </c>
      <c r="F409" s="33" t="str" cm="1">
        <f t="array" ref="F409">_xlfn.XLOOKUP(1,((SKUs!$A$2:$A$10001=cl_unmerged!B409) * (ISNUMBER(SEARCH("Mullion",SKUs!$J$2:$J$10001)))* (ISNUMBER(SEARCH(A409,SKUs!$C$2:$C$10001)))), SKUs!$C$2:$C$10001,"")</f>
        <v/>
      </c>
      <c r="G409" s="16"/>
      <c r="H409" s="16"/>
      <c r="I409" s="16"/>
    </row>
    <row r="410" spans="1:9" ht="13.5" customHeight="1" x14ac:dyDescent="0.25">
      <c r="A410" s="41" t="str">
        <f>_xlfn.XLOOKUP(G410,dd_color!$A$2:$A$8,dd_color!$B$2:$B$8,"",0)</f>
        <v/>
      </c>
      <c r="B410" s="41">
        <f>_xlfn.XLOOKUP(_xlfn.XLOOKUP(C410,'Project Details'!$C$17:$C$10003,'Project Details'!$E$17:$E$10003, "",0),dd_design_raw!$A$2:$A$9997,dd_design_raw!$C$2:$C$9997,"",0)</f>
        <v>0</v>
      </c>
      <c r="C410" s="16"/>
      <c r="D410" s="16"/>
      <c r="E410" s="16" t="str">
        <f t="shared" si="8"/>
        <v/>
      </c>
      <c r="F410" s="33" t="str" cm="1">
        <f t="array" ref="F410">_xlfn.XLOOKUP(1,((SKUs!$A$2:$A$10001=cl_unmerged!B410) * (ISNUMBER(SEARCH("Mullion",SKUs!$J$2:$J$10001)))* (ISNUMBER(SEARCH(A410,SKUs!$C$2:$C$10001)))), SKUs!$C$2:$C$10001,"")</f>
        <v/>
      </c>
      <c r="G410" s="16"/>
      <c r="H410" s="16"/>
      <c r="I410" s="16"/>
    </row>
    <row r="411" spans="1:9" ht="13.5" customHeight="1" x14ac:dyDescent="0.25">
      <c r="A411" s="41" t="str">
        <f>_xlfn.XLOOKUP(G411,dd_color!$A$2:$A$8,dd_color!$B$2:$B$8,"",0)</f>
        <v/>
      </c>
      <c r="B411" s="41">
        <f>_xlfn.XLOOKUP(_xlfn.XLOOKUP(C411,'Project Details'!$C$17:$C$10003,'Project Details'!$E$17:$E$10003, "",0),dd_design_raw!$A$2:$A$9997,dd_design_raw!$C$2:$C$9997,"",0)</f>
        <v>0</v>
      </c>
      <c r="C411" s="16"/>
      <c r="D411" s="16"/>
      <c r="E411" s="16" t="str">
        <f t="shared" si="8"/>
        <v/>
      </c>
      <c r="F411" s="33" t="str" cm="1">
        <f t="array" ref="F411">_xlfn.XLOOKUP(1,((SKUs!$A$2:$A$10001=cl_unmerged!B411) * (ISNUMBER(SEARCH("Mullion",SKUs!$J$2:$J$10001)))* (ISNUMBER(SEARCH(A411,SKUs!$C$2:$C$10001)))), SKUs!$C$2:$C$10001,"")</f>
        <v/>
      </c>
      <c r="G411" s="16"/>
      <c r="H411" s="16"/>
      <c r="I411" s="16"/>
    </row>
    <row r="412" spans="1:9" ht="13.5" customHeight="1" x14ac:dyDescent="0.25">
      <c r="A412" s="41" t="str">
        <f>_xlfn.XLOOKUP(G412,dd_color!$A$2:$A$8,dd_color!$B$2:$B$8,"",0)</f>
        <v/>
      </c>
      <c r="B412" s="41">
        <f>_xlfn.XLOOKUP(_xlfn.XLOOKUP(C412,'Project Details'!$C$17:$C$10003,'Project Details'!$E$17:$E$10003, "",0),dd_design_raw!$A$2:$A$9997,dd_design_raw!$C$2:$C$9997,"",0)</f>
        <v>0</v>
      </c>
      <c r="C412" s="16"/>
      <c r="D412" s="16"/>
      <c r="E412" s="16" t="str">
        <f t="shared" si="8"/>
        <v/>
      </c>
      <c r="F412" s="33" t="str" cm="1">
        <f t="array" ref="F412">_xlfn.XLOOKUP(1,((SKUs!$A$2:$A$10001=cl_unmerged!B412) * (ISNUMBER(SEARCH("Mullion",SKUs!$J$2:$J$10001)))* (ISNUMBER(SEARCH(A412,SKUs!$C$2:$C$10001)))), SKUs!$C$2:$C$10001,"")</f>
        <v/>
      </c>
      <c r="G412" s="16"/>
      <c r="H412" s="16"/>
      <c r="I412" s="16"/>
    </row>
    <row r="413" spans="1:9" ht="13.5" customHeight="1" x14ac:dyDescent="0.25">
      <c r="A413" s="41" t="str">
        <f>_xlfn.XLOOKUP(G413,dd_color!$A$2:$A$8,dd_color!$B$2:$B$8,"",0)</f>
        <v/>
      </c>
      <c r="B413" s="41">
        <f>_xlfn.XLOOKUP(_xlfn.XLOOKUP(C413,'Project Details'!$C$17:$C$10003,'Project Details'!$E$17:$E$10003, "",0),dd_design_raw!$A$2:$A$9997,dd_design_raw!$C$2:$C$9997,"",0)</f>
        <v>0</v>
      </c>
      <c r="C413" s="16"/>
      <c r="D413" s="16"/>
      <c r="E413" s="16" t="str">
        <f t="shared" si="8"/>
        <v/>
      </c>
      <c r="F413" s="33" t="str" cm="1">
        <f t="array" ref="F413">_xlfn.XLOOKUP(1,((SKUs!$A$2:$A$10001=cl_unmerged!B413) * (ISNUMBER(SEARCH("Mullion",SKUs!$J$2:$J$10001)))* (ISNUMBER(SEARCH(A413,SKUs!$C$2:$C$10001)))), SKUs!$C$2:$C$10001,"")</f>
        <v/>
      </c>
      <c r="G413" s="16"/>
      <c r="H413" s="16"/>
      <c r="I413" s="16"/>
    </row>
    <row r="414" spans="1:9" ht="13.5" customHeight="1" x14ac:dyDescent="0.25">
      <c r="A414" s="41" t="str">
        <f>_xlfn.XLOOKUP(G414,dd_color!$A$2:$A$8,dd_color!$B$2:$B$8,"",0)</f>
        <v/>
      </c>
      <c r="B414" s="41">
        <f>_xlfn.XLOOKUP(_xlfn.XLOOKUP(C414,'Project Details'!$C$17:$C$10003,'Project Details'!$E$17:$E$10003, "",0),dd_design_raw!$A$2:$A$9997,dd_design_raw!$C$2:$C$9997,"",0)</f>
        <v>0</v>
      </c>
      <c r="C414" s="16"/>
      <c r="D414" s="16"/>
      <c r="E414" s="16" t="str">
        <f t="shared" si="8"/>
        <v/>
      </c>
      <c r="F414" s="33" t="str" cm="1">
        <f t="array" ref="F414">_xlfn.XLOOKUP(1,((SKUs!$A$2:$A$10001=cl_unmerged!B414) * (ISNUMBER(SEARCH("Mullion",SKUs!$J$2:$J$10001)))* (ISNUMBER(SEARCH(A414,SKUs!$C$2:$C$10001)))), SKUs!$C$2:$C$10001,"")</f>
        <v/>
      </c>
      <c r="G414" s="16"/>
      <c r="H414" s="16"/>
      <c r="I414" s="16"/>
    </row>
    <row r="415" spans="1:9" ht="13.5" customHeight="1" x14ac:dyDescent="0.25">
      <c r="A415" s="41" t="str">
        <f>_xlfn.XLOOKUP(G415,dd_color!$A$2:$A$8,dd_color!$B$2:$B$8,"",0)</f>
        <v/>
      </c>
      <c r="B415" s="41">
        <f>_xlfn.XLOOKUP(_xlfn.XLOOKUP(C415,'Project Details'!$C$17:$C$10003,'Project Details'!$E$17:$E$10003, "",0),dd_design_raw!$A$2:$A$9997,dd_design_raw!$C$2:$C$9997,"",0)</f>
        <v>0</v>
      </c>
      <c r="C415" s="16"/>
      <c r="D415" s="16"/>
      <c r="E415" s="16" t="str">
        <f t="shared" si="8"/>
        <v/>
      </c>
      <c r="F415" s="33" t="str" cm="1">
        <f t="array" ref="F415">_xlfn.XLOOKUP(1,((SKUs!$A$2:$A$10001=cl_unmerged!B415) * (ISNUMBER(SEARCH("Mullion",SKUs!$J$2:$J$10001)))* (ISNUMBER(SEARCH(A415,SKUs!$C$2:$C$10001)))), SKUs!$C$2:$C$10001,"")</f>
        <v/>
      </c>
      <c r="G415" s="16"/>
      <c r="H415" s="16"/>
      <c r="I415" s="16"/>
    </row>
    <row r="416" spans="1:9" ht="13.5" customHeight="1" x14ac:dyDescent="0.25">
      <c r="A416" s="41" t="str">
        <f>_xlfn.XLOOKUP(G416,dd_color!$A$2:$A$8,dd_color!$B$2:$B$8,"",0)</f>
        <v/>
      </c>
      <c r="B416" s="41">
        <f>_xlfn.XLOOKUP(_xlfn.XLOOKUP(C416,'Project Details'!$C$17:$C$10003,'Project Details'!$E$17:$E$10003, "",0),dd_design_raw!$A$2:$A$9997,dd_design_raw!$C$2:$C$9997,"",0)</f>
        <v>0</v>
      </c>
      <c r="C416" s="16"/>
      <c r="D416" s="16"/>
      <c r="E416" s="16" t="str">
        <f t="shared" si="8"/>
        <v/>
      </c>
      <c r="F416" s="33" t="str" cm="1">
        <f t="array" ref="F416">_xlfn.XLOOKUP(1,((SKUs!$A$2:$A$10001=cl_unmerged!B416) * (ISNUMBER(SEARCH("Mullion",SKUs!$J$2:$J$10001)))* (ISNUMBER(SEARCH(A416,SKUs!$C$2:$C$10001)))), SKUs!$C$2:$C$10001,"")</f>
        <v/>
      </c>
      <c r="G416" s="16"/>
      <c r="H416" s="16"/>
      <c r="I416" s="16"/>
    </row>
    <row r="417" spans="1:9" ht="13.5" customHeight="1" x14ac:dyDescent="0.25">
      <c r="A417" s="41" t="str">
        <f>_xlfn.XLOOKUP(G417,dd_color!$A$2:$A$8,dd_color!$B$2:$B$8,"",0)</f>
        <v/>
      </c>
      <c r="B417" s="41">
        <f>_xlfn.XLOOKUP(_xlfn.XLOOKUP(C417,'Project Details'!$C$17:$C$10003,'Project Details'!$E$17:$E$10003, "",0),dd_design_raw!$A$2:$A$9997,dd_design_raw!$C$2:$C$9997,"",0)</f>
        <v>0</v>
      </c>
      <c r="C417" s="16"/>
      <c r="D417" s="16"/>
      <c r="E417" s="16" t="str">
        <f t="shared" si="8"/>
        <v/>
      </c>
      <c r="F417" s="33" t="str" cm="1">
        <f t="array" ref="F417">_xlfn.XLOOKUP(1,((SKUs!$A$2:$A$10001=cl_unmerged!B417) * (ISNUMBER(SEARCH("Mullion",SKUs!$J$2:$J$10001)))* (ISNUMBER(SEARCH(A417,SKUs!$C$2:$C$10001)))), SKUs!$C$2:$C$10001,"")</f>
        <v/>
      </c>
      <c r="G417" s="16"/>
      <c r="H417" s="16"/>
      <c r="I417" s="16"/>
    </row>
    <row r="418" spans="1:9" ht="13.5" customHeight="1" x14ac:dyDescent="0.25">
      <c r="A418" s="41" t="str">
        <f>_xlfn.XLOOKUP(G418,dd_color!$A$2:$A$8,dd_color!$B$2:$B$8,"",0)</f>
        <v/>
      </c>
      <c r="B418" s="41">
        <f>_xlfn.XLOOKUP(_xlfn.XLOOKUP(C418,'Project Details'!$C$17:$C$10003,'Project Details'!$E$17:$E$10003, "",0),dd_design_raw!$A$2:$A$9997,dd_design_raw!$C$2:$C$9997,"",0)</f>
        <v>0</v>
      </c>
      <c r="C418" s="16"/>
      <c r="D418" s="16"/>
      <c r="E418" s="16" t="str">
        <f t="shared" si="8"/>
        <v/>
      </c>
      <c r="F418" s="33" t="str" cm="1">
        <f t="array" ref="F418">_xlfn.XLOOKUP(1,((SKUs!$A$2:$A$10001=cl_unmerged!B418) * (ISNUMBER(SEARCH("Mullion",SKUs!$J$2:$J$10001)))* (ISNUMBER(SEARCH(A418,SKUs!$C$2:$C$10001)))), SKUs!$C$2:$C$10001,"")</f>
        <v/>
      </c>
      <c r="G418" s="16"/>
      <c r="H418" s="16"/>
      <c r="I418" s="16"/>
    </row>
    <row r="419" spans="1:9" ht="13.5" customHeight="1" x14ac:dyDescent="0.25">
      <c r="A419" s="41" t="str">
        <f>_xlfn.XLOOKUP(G419,dd_color!$A$2:$A$8,dd_color!$B$2:$B$8,"",0)</f>
        <v/>
      </c>
      <c r="B419" s="41">
        <f>_xlfn.XLOOKUP(_xlfn.XLOOKUP(C419,'Project Details'!$C$17:$C$10003,'Project Details'!$E$17:$E$10003, "",0),dd_design_raw!$A$2:$A$9997,dd_design_raw!$C$2:$C$9997,"",0)</f>
        <v>0</v>
      </c>
      <c r="C419" s="16"/>
      <c r="D419" s="16"/>
      <c r="E419" s="16" t="str">
        <f t="shared" si="8"/>
        <v/>
      </c>
      <c r="F419" s="33" t="str" cm="1">
        <f t="array" ref="F419">_xlfn.XLOOKUP(1,((SKUs!$A$2:$A$10001=cl_unmerged!B419) * (ISNUMBER(SEARCH("Mullion",SKUs!$J$2:$J$10001)))* (ISNUMBER(SEARCH(A419,SKUs!$C$2:$C$10001)))), SKUs!$C$2:$C$10001,"")</f>
        <v/>
      </c>
      <c r="G419" s="16"/>
      <c r="H419" s="16"/>
      <c r="I419" s="16"/>
    </row>
    <row r="420" spans="1:9" ht="13.5" customHeight="1" x14ac:dyDescent="0.25">
      <c r="A420" s="41" t="str">
        <f>_xlfn.XLOOKUP(G420,dd_color!$A$2:$A$8,dd_color!$B$2:$B$8,"",0)</f>
        <v/>
      </c>
      <c r="B420" s="41">
        <f>_xlfn.XLOOKUP(_xlfn.XLOOKUP(C420,'Project Details'!$C$17:$C$10003,'Project Details'!$E$17:$E$10003, "",0),dd_design_raw!$A$2:$A$9997,dd_design_raw!$C$2:$C$9997,"",0)</f>
        <v>0</v>
      </c>
      <c r="C420" s="16"/>
      <c r="D420" s="16"/>
      <c r="E420" s="16" t="str">
        <f t="shared" si="8"/>
        <v/>
      </c>
      <c r="F420" s="33" t="str" cm="1">
        <f t="array" ref="F420">_xlfn.XLOOKUP(1,((SKUs!$A$2:$A$10001=cl_unmerged!B420) * (ISNUMBER(SEARCH("Mullion",SKUs!$J$2:$J$10001)))* (ISNUMBER(SEARCH(A420,SKUs!$C$2:$C$10001)))), SKUs!$C$2:$C$10001,"")</f>
        <v/>
      </c>
      <c r="G420" s="16"/>
      <c r="H420" s="16"/>
      <c r="I420" s="16"/>
    </row>
    <row r="421" spans="1:9" ht="13.5" customHeight="1" x14ac:dyDescent="0.25">
      <c r="A421" s="41" t="str">
        <f>_xlfn.XLOOKUP(G421,dd_color!$A$2:$A$8,dd_color!$B$2:$B$8,"",0)</f>
        <v/>
      </c>
      <c r="B421" s="41">
        <f>_xlfn.XLOOKUP(_xlfn.XLOOKUP(C421,'Project Details'!$C$17:$C$10003,'Project Details'!$E$17:$E$10003, "",0),dd_design_raw!$A$2:$A$9997,dd_design_raw!$C$2:$C$9997,"",0)</f>
        <v>0</v>
      </c>
      <c r="C421" s="16"/>
      <c r="D421" s="16"/>
      <c r="E421" s="16" t="str">
        <f t="shared" si="8"/>
        <v/>
      </c>
      <c r="F421" s="33" t="str" cm="1">
        <f t="array" ref="F421">_xlfn.XLOOKUP(1,((SKUs!$A$2:$A$10001=cl_unmerged!B421) * (ISNUMBER(SEARCH("Mullion",SKUs!$J$2:$J$10001)))* (ISNUMBER(SEARCH(A421,SKUs!$C$2:$C$10001)))), SKUs!$C$2:$C$10001,"")</f>
        <v/>
      </c>
      <c r="G421" s="16"/>
      <c r="H421" s="16"/>
      <c r="I421" s="16"/>
    </row>
    <row r="422" spans="1:9" ht="13.5" customHeight="1" x14ac:dyDescent="0.25">
      <c r="A422" s="41" t="str">
        <f>_xlfn.XLOOKUP(G422,dd_color!$A$2:$A$8,dd_color!$B$2:$B$8,"",0)</f>
        <v/>
      </c>
      <c r="B422" s="41">
        <f>_xlfn.XLOOKUP(_xlfn.XLOOKUP(C422,'Project Details'!$C$17:$C$10003,'Project Details'!$E$17:$E$10003, "",0),dd_design_raw!$A$2:$A$9997,dd_design_raw!$C$2:$C$9997,"",0)</f>
        <v>0</v>
      </c>
      <c r="C422" s="16"/>
      <c r="D422" s="16"/>
      <c r="E422" s="16" t="str">
        <f t="shared" si="8"/>
        <v/>
      </c>
      <c r="F422" s="33" t="str" cm="1">
        <f t="array" ref="F422">_xlfn.XLOOKUP(1,((SKUs!$A$2:$A$10001=cl_unmerged!B422) * (ISNUMBER(SEARCH("Mullion",SKUs!$J$2:$J$10001)))* (ISNUMBER(SEARCH(A422,SKUs!$C$2:$C$10001)))), SKUs!$C$2:$C$10001,"")</f>
        <v/>
      </c>
      <c r="G422" s="16"/>
      <c r="H422" s="16"/>
      <c r="I422" s="16"/>
    </row>
    <row r="423" spans="1:9" ht="13.5" customHeight="1" x14ac:dyDescent="0.25">
      <c r="A423" s="41" t="str">
        <f>_xlfn.XLOOKUP(G423,dd_color!$A$2:$A$8,dd_color!$B$2:$B$8,"",0)</f>
        <v/>
      </c>
      <c r="B423" s="41">
        <f>_xlfn.XLOOKUP(_xlfn.XLOOKUP(C423,'Project Details'!$C$17:$C$10003,'Project Details'!$E$17:$E$10003, "",0),dd_design_raw!$A$2:$A$9997,dd_design_raw!$C$2:$C$9997,"",0)</f>
        <v>0</v>
      </c>
      <c r="C423" s="16"/>
      <c r="D423" s="16"/>
      <c r="E423" s="16" t="str">
        <f t="shared" si="8"/>
        <v/>
      </c>
      <c r="F423" s="33" t="str" cm="1">
        <f t="array" ref="F423">_xlfn.XLOOKUP(1,((SKUs!$A$2:$A$10001=cl_unmerged!B423) * (ISNUMBER(SEARCH("Mullion",SKUs!$J$2:$J$10001)))* (ISNUMBER(SEARCH(A423,SKUs!$C$2:$C$10001)))), SKUs!$C$2:$C$10001,"")</f>
        <v/>
      </c>
      <c r="G423" s="16"/>
      <c r="H423" s="16"/>
      <c r="I423" s="16"/>
    </row>
    <row r="424" spans="1:9" ht="13.5" customHeight="1" x14ac:dyDescent="0.25">
      <c r="A424" s="41" t="str">
        <f>_xlfn.XLOOKUP(G424,dd_color!$A$2:$A$8,dd_color!$B$2:$B$8,"",0)</f>
        <v/>
      </c>
      <c r="B424" s="41">
        <f>_xlfn.XLOOKUP(_xlfn.XLOOKUP(C424,'Project Details'!$C$17:$C$10003,'Project Details'!$E$17:$E$10003, "",0),dd_design_raw!$A$2:$A$9997,dd_design_raw!$C$2:$C$9997,"",0)</f>
        <v>0</v>
      </c>
      <c r="C424" s="16"/>
      <c r="D424" s="16"/>
      <c r="E424" s="16" t="str">
        <f t="shared" si="8"/>
        <v/>
      </c>
      <c r="F424" s="33" t="str" cm="1">
        <f t="array" ref="F424">_xlfn.XLOOKUP(1,((SKUs!$A$2:$A$10001=cl_unmerged!B424) * (ISNUMBER(SEARCH("Mullion",SKUs!$J$2:$J$10001)))* (ISNUMBER(SEARCH(A424,SKUs!$C$2:$C$10001)))), SKUs!$C$2:$C$10001,"")</f>
        <v/>
      </c>
      <c r="G424" s="16"/>
      <c r="H424" s="16"/>
      <c r="I424" s="16"/>
    </row>
    <row r="425" spans="1:9" ht="13.5" customHeight="1" x14ac:dyDescent="0.25">
      <c r="A425" s="41" t="str">
        <f>_xlfn.XLOOKUP(G425,dd_color!$A$2:$A$8,dd_color!$B$2:$B$8,"",0)</f>
        <v/>
      </c>
      <c r="B425" s="41">
        <f>_xlfn.XLOOKUP(_xlfn.XLOOKUP(C425,'Project Details'!$C$17:$C$10003,'Project Details'!$E$17:$E$10003, "",0),dd_design_raw!$A$2:$A$9997,dd_design_raw!$C$2:$C$9997,"",0)</f>
        <v>0</v>
      </c>
      <c r="C425" s="16"/>
      <c r="D425" s="16"/>
      <c r="E425" s="16" t="str">
        <f t="shared" si="8"/>
        <v/>
      </c>
      <c r="F425" s="33" t="str" cm="1">
        <f t="array" ref="F425">_xlfn.XLOOKUP(1,((SKUs!$A$2:$A$10001=cl_unmerged!B425) * (ISNUMBER(SEARCH("Mullion",SKUs!$J$2:$J$10001)))* (ISNUMBER(SEARCH(A425,SKUs!$C$2:$C$10001)))), SKUs!$C$2:$C$10001,"")</f>
        <v/>
      </c>
      <c r="G425" s="16"/>
      <c r="H425" s="16"/>
      <c r="I425" s="16"/>
    </row>
    <row r="426" spans="1:9" ht="13.5" customHeight="1" x14ac:dyDescent="0.25">
      <c r="A426" s="41" t="str">
        <f>_xlfn.XLOOKUP(G426,dd_color!$A$2:$A$8,dd_color!$B$2:$B$8,"",0)</f>
        <v/>
      </c>
      <c r="B426" s="41">
        <f>_xlfn.XLOOKUP(_xlfn.XLOOKUP(C426,'Project Details'!$C$17:$C$10003,'Project Details'!$E$17:$E$10003, "",0),dd_design_raw!$A$2:$A$9997,dd_design_raw!$C$2:$C$9997,"",0)</f>
        <v>0</v>
      </c>
      <c r="C426" s="16"/>
      <c r="D426" s="16"/>
      <c r="E426" s="16" t="str">
        <f t="shared" si="8"/>
        <v/>
      </c>
      <c r="F426" s="33" t="str" cm="1">
        <f t="array" ref="F426">_xlfn.XLOOKUP(1,((SKUs!$A$2:$A$10001=cl_unmerged!B426) * (ISNUMBER(SEARCH("Mullion",SKUs!$J$2:$J$10001)))* (ISNUMBER(SEARCH(A426,SKUs!$C$2:$C$10001)))), SKUs!$C$2:$C$10001,"")</f>
        <v/>
      </c>
      <c r="G426" s="16"/>
      <c r="H426" s="16"/>
      <c r="I426" s="16"/>
    </row>
    <row r="427" spans="1:9" ht="13.5" customHeight="1" x14ac:dyDescent="0.25">
      <c r="A427" s="41" t="str">
        <f>_xlfn.XLOOKUP(G427,dd_color!$A$2:$A$8,dd_color!$B$2:$B$8,"",0)</f>
        <v/>
      </c>
      <c r="B427" s="41">
        <f>_xlfn.XLOOKUP(_xlfn.XLOOKUP(C427,'Project Details'!$C$17:$C$10003,'Project Details'!$E$17:$E$10003, "",0),dd_design_raw!$A$2:$A$9997,dd_design_raw!$C$2:$C$9997,"",0)</f>
        <v>0</v>
      </c>
      <c r="C427" s="16"/>
      <c r="D427" s="16"/>
      <c r="E427" s="16" t="str">
        <f t="shared" si="8"/>
        <v/>
      </c>
      <c r="F427" s="33" t="str" cm="1">
        <f t="array" ref="F427">_xlfn.XLOOKUP(1,((SKUs!$A$2:$A$10001=cl_unmerged!B427) * (ISNUMBER(SEARCH("Mullion",SKUs!$J$2:$J$10001)))* (ISNUMBER(SEARCH(A427,SKUs!$C$2:$C$10001)))), SKUs!$C$2:$C$10001,"")</f>
        <v/>
      </c>
      <c r="G427" s="16"/>
      <c r="H427" s="16"/>
      <c r="I427" s="16"/>
    </row>
    <row r="428" spans="1:9" ht="13.5" customHeight="1" x14ac:dyDescent="0.25">
      <c r="A428" s="41" t="str">
        <f>_xlfn.XLOOKUP(G428,dd_color!$A$2:$A$8,dd_color!$B$2:$B$8,"",0)</f>
        <v/>
      </c>
      <c r="B428" s="41">
        <f>_xlfn.XLOOKUP(_xlfn.XLOOKUP(C428,'Project Details'!$C$17:$C$10003,'Project Details'!$E$17:$E$10003, "",0),dd_design_raw!$A$2:$A$9997,dd_design_raw!$C$2:$C$9997,"",0)</f>
        <v>0</v>
      </c>
      <c r="C428" s="16"/>
      <c r="D428" s="16"/>
      <c r="E428" s="16" t="str">
        <f t="shared" si="8"/>
        <v/>
      </c>
      <c r="F428" s="33" t="str" cm="1">
        <f t="array" ref="F428">_xlfn.XLOOKUP(1,((SKUs!$A$2:$A$10001=cl_unmerged!B428) * (ISNUMBER(SEARCH("Mullion",SKUs!$J$2:$J$10001)))* (ISNUMBER(SEARCH(A428,SKUs!$C$2:$C$10001)))), SKUs!$C$2:$C$10001,"")</f>
        <v/>
      </c>
      <c r="G428" s="16"/>
      <c r="H428" s="16"/>
      <c r="I428" s="16"/>
    </row>
    <row r="429" spans="1:9" ht="13.5" customHeight="1" x14ac:dyDescent="0.25">
      <c r="A429" s="41" t="str">
        <f>_xlfn.XLOOKUP(G429,dd_color!$A$2:$A$8,dd_color!$B$2:$B$8,"",0)</f>
        <v/>
      </c>
      <c r="B429" s="41">
        <f>_xlfn.XLOOKUP(_xlfn.XLOOKUP(C429,'Project Details'!$C$17:$C$10003,'Project Details'!$E$17:$E$10003, "",0),dd_design_raw!$A$2:$A$9997,dd_design_raw!$C$2:$C$9997,"",0)</f>
        <v>0</v>
      </c>
      <c r="C429" s="16"/>
      <c r="D429" s="16"/>
      <c r="E429" s="16" t="str">
        <f t="shared" si="8"/>
        <v/>
      </c>
      <c r="F429" s="33" t="str" cm="1">
        <f t="array" ref="F429">_xlfn.XLOOKUP(1,((SKUs!$A$2:$A$10001=cl_unmerged!B429) * (ISNUMBER(SEARCH("Mullion",SKUs!$J$2:$J$10001)))* (ISNUMBER(SEARCH(A429,SKUs!$C$2:$C$10001)))), SKUs!$C$2:$C$10001,"")</f>
        <v/>
      </c>
      <c r="G429" s="16"/>
      <c r="H429" s="16"/>
      <c r="I429" s="16"/>
    </row>
    <row r="430" spans="1:9" ht="13.5" customHeight="1" x14ac:dyDescent="0.25">
      <c r="A430" s="41" t="str">
        <f>_xlfn.XLOOKUP(G430,dd_color!$A$2:$A$8,dd_color!$B$2:$B$8,"",0)</f>
        <v/>
      </c>
      <c r="B430" s="41">
        <f>_xlfn.XLOOKUP(_xlfn.XLOOKUP(C430,'Project Details'!$C$17:$C$10003,'Project Details'!$E$17:$E$10003, "",0),dd_design_raw!$A$2:$A$9997,dd_design_raw!$C$2:$C$9997,"",0)</f>
        <v>0</v>
      </c>
      <c r="C430" s="16"/>
      <c r="D430" s="16"/>
      <c r="E430" s="16" t="str">
        <f t="shared" si="8"/>
        <v/>
      </c>
      <c r="F430" s="33" t="str" cm="1">
        <f t="array" ref="F430">_xlfn.XLOOKUP(1,((SKUs!$A$2:$A$10001=cl_unmerged!B430) * (ISNUMBER(SEARCH("Mullion",SKUs!$J$2:$J$10001)))* (ISNUMBER(SEARCH(A430,SKUs!$C$2:$C$10001)))), SKUs!$C$2:$C$10001,"")</f>
        <v/>
      </c>
      <c r="G430" s="16"/>
      <c r="H430" s="16"/>
      <c r="I430" s="16"/>
    </row>
    <row r="432" spans="1:9" ht="13.5" customHeight="1" x14ac:dyDescent="0.25">
      <c r="C432" s="28" t="s">
        <v>69</v>
      </c>
      <c r="D432" s="29"/>
      <c r="E432" s="29"/>
      <c r="F432" s="29"/>
      <c r="G432" s="29"/>
      <c r="H432" s="29"/>
      <c r="I432" s="30"/>
    </row>
    <row r="433" spans="1:9" ht="13.5" customHeight="1" x14ac:dyDescent="0.25">
      <c r="C433" s="32" t="s">
        <v>186</v>
      </c>
      <c r="D433" s="32"/>
      <c r="E433" s="32"/>
      <c r="F433" s="32"/>
      <c r="G433" s="32"/>
      <c r="H433" s="32"/>
      <c r="I433" s="32"/>
    </row>
    <row r="434" spans="1:9" ht="13.5" customHeight="1" x14ac:dyDescent="0.25">
      <c r="A434" s="41" t="str">
        <f>_xlfn.XLOOKUP(G434,dd_color!$A$2:$A$8,dd_color!$B$2:$B$8,"",0)</f>
        <v/>
      </c>
      <c r="B434" s="41" t="str">
        <f>_xlfn.XLOOKUP(_xlfn.XLOOKUP(C434,'Project Details'!$C$17:$C$10003,'Project Details'!$E$17:$E$10003, "",0),dd_design_raw!$A$2:$A$9997,dd_design_raw!$C$2:$C$9997,"",0)</f>
        <v/>
      </c>
      <c r="C434" s="16" t="str" cm="1">
        <f t="array" ref="C434:C435">IFERROR(INDEX(_xlfn._xlws.FILTER(calc_s60!C15:C65, calc_s60!AB15:AB65&lt;&gt;""), INT((_xlfn.SEQUENCE(2 * COUNTA(_xlfn._xlws.FILTER(calc_s60!C15:C65, calc_s60!AB15:AB65&lt;&gt;""))) - 1) / 2) + 1), "")</f>
        <v/>
      </c>
      <c r="D434" s="16" t="str" cm="1">
        <f t="array" ref="D434">IF(C434&lt;&gt;"", _xlfn.IFS(I434="Height",_xlfn.XLOOKUP(C434,calc_s60!$C$15:$C$1000,calc_s60!$AC$15:$AC$1000,"",0),  I434="Width", _xlfn.XLOOKUP(C434,calc_s60!$C$15:$C$1000,calc_s60!$AE$15:$AE$1000,"",0)),"")</f>
        <v/>
      </c>
      <c r="E434" s="16" t="str" cm="1">
        <f t="array" ref="E434">IF(C434&lt;&gt;"", _xlfn.XLOOKUP(1,((SKUs!$A$2:$A$10001=cl_unmerged!B434) * (ISNUMBER(SEARCH("Bead",SKUs!$J$2:$J$10001)))), SKUs!$J$2:$J$10001,""),"") &amp; IF(C434&lt;&gt;"", " (Frame)","") &amp; _xlfn.IFS(I434="Height", ", H",I434="Height SLI", ", H SLI", I434="Height FIX", ", H FIX",I434="Width", ", W", I434="", "")</f>
        <v/>
      </c>
      <c r="F434" s="33" t="str" cm="1">
        <f t="array" ref="F434">_xlfn.XLOOKUP(1,((SKUs!$A$2:$A$10001=cl_unmerged!B434) * (ISNUMBER(SEARCH("Bead",SKUs!$J$2:$J$10001)))* (ISNUMBER(SEARCH(A434,SKUs!$C$2:$C$10001)))), SKUs!$C$2:$C$10001,"")</f>
        <v/>
      </c>
      <c r="G434" s="16" t="str" cm="1">
        <f t="array" ref="G434:G435">IFERROR(INDEX(_xlfn._xlws.FILTER(calc_s60!G15:G65, calc_s60!AB15:AB65&lt;&gt;""), INT((_xlfn.SEQUENCE(2 * COUNTA(_xlfn._xlws.FILTER(calc_s60!G15:G65, calc_s60!AB15:AB65&lt;&gt;""))) - 1) / 2) + 1), "")</f>
        <v/>
      </c>
      <c r="H434" s="16" t="str" cm="1">
        <f t="array" ref="H434">IF(C434&lt;&gt;"", _xlfn.IFS(I434="Height",_xlfn.XLOOKUP(C434,calc_s60!$C$15:$C$1000,calc_s60!$AB$15:$AB$1000,"",0), I434="Width", _xlfn.XLOOKUP(C434,calc_s60!$C$15:$C$1000,calc_s60!$AD$15:$AD$1000,"",0)),"")</f>
        <v/>
      </c>
      <c r="I434" s="16" t="str">
        <f>IF(C434&lt;&gt;"", IF(C434=C433, "Width", "Height"),"")</f>
        <v/>
      </c>
    </row>
    <row r="435" spans="1:9" ht="13.5" customHeight="1" x14ac:dyDescent="0.25">
      <c r="A435" s="41" t="str">
        <f>_xlfn.XLOOKUP(G435,dd_color!$A$2:$A$8,dd_color!$B$2:$B$8,"",0)</f>
        <v/>
      </c>
      <c r="B435" s="41" t="str">
        <f>_xlfn.XLOOKUP(_xlfn.XLOOKUP(C435,'Project Details'!$C$17:$C$10003,'Project Details'!$E$17:$E$10003, "",0),dd_design_raw!$A$2:$A$9997,dd_design_raw!$C$2:$C$9997,"",0)</f>
        <v/>
      </c>
      <c r="C435" s="16" t="str">
        <v/>
      </c>
      <c r="D435" s="16" t="str" cm="1">
        <f t="array" ref="D435">IF(C435&lt;&gt;"", _xlfn.IFS(I435="Height",_xlfn.XLOOKUP(C435,calc_s60!$C$15:$C$1000,calc_s60!$AC$15:$AC$1000,"",0),  I435="Width", _xlfn.XLOOKUP(C435,calc_s60!$C$15:$C$1000,calc_s60!$AE$15:$AE$1000,"",0)),"")</f>
        <v/>
      </c>
      <c r="E435" s="16" t="str" cm="1">
        <f t="array" ref="E435">IF(C435&lt;&gt;"", _xlfn.XLOOKUP(1,((SKUs!$A$2:$A$10001=cl_unmerged!B435) * (ISNUMBER(SEARCH("Bead",SKUs!$J$2:$J$10001)))), SKUs!$J$2:$J$10001,""),"") &amp; IF(C435&lt;&gt;"", " (Frame)","") &amp; _xlfn.IFS(I435="Height", ", H",I435="Height SLI", ", H SLI", I435="Height FIX", ", H FIX",I435="Width", ", W", I435="", "")</f>
        <v/>
      </c>
      <c r="F435" s="33" t="str" cm="1">
        <f t="array" ref="F435">_xlfn.XLOOKUP(1,((SKUs!$A$2:$A$10001=cl_unmerged!B435) * (ISNUMBER(SEARCH("Bead",SKUs!$J$2:$J$10001)))* (ISNUMBER(SEARCH(A435,SKUs!$C$2:$C$10001)))), SKUs!$C$2:$C$10001,"")</f>
        <v/>
      </c>
      <c r="G435" s="16" t="str">
        <v/>
      </c>
      <c r="H435" s="16" t="str" cm="1">
        <f t="array" ref="H435">IF(C435&lt;&gt;"", _xlfn.IFS(I435="Height",_xlfn.XLOOKUP(C435,calc_s60!$C$15:$C$1000,calc_s60!$AB$15:$AB$1000,"",0), I435="Width", _xlfn.XLOOKUP(C435,calc_s60!$C$15:$C$1000,calc_s60!$AD$15:$AD$1000,"",0)),"")</f>
        <v/>
      </c>
      <c r="I435" s="16" t="str">
        <f>IF(C435&lt;&gt;"", IF(C435=C434, "Width", "Height"),"")</f>
        <v/>
      </c>
    </row>
    <row r="436" spans="1:9" ht="13.5" customHeight="1" x14ac:dyDescent="0.25">
      <c r="A436" s="41" t="str">
        <f>_xlfn.XLOOKUP(G436,dd_color!$A$2:$A$8,dd_color!$B$2:$B$8,"",0)</f>
        <v/>
      </c>
      <c r="B436" s="41">
        <f>_xlfn.XLOOKUP(_xlfn.XLOOKUP(C436,'Project Details'!$C$17:$C$10003,'Project Details'!$E$17:$E$10003, "",0),dd_design_raw!$A$2:$A$9997,dd_design_raw!$C$2:$C$9997,"",0)</f>
        <v>0</v>
      </c>
      <c r="C436" s="16"/>
      <c r="D436" s="16" t="str" cm="1">
        <f t="array" ref="D436">IF(C436&lt;&gt;"", _xlfn.IFS(I436="Height",_xlfn.XLOOKUP(C436,calc_s60!$C$15:$C$1000,calc_s60!$AC$15:$AC$1000,"",0),  I436="Width", _xlfn.XLOOKUP(C436,calc_s60!$C$15:$C$1000,calc_s60!$AE$15:$AE$1000,"",0)),"")</f>
        <v/>
      </c>
      <c r="E436" s="16" t="str" cm="1">
        <f t="array" ref="E436">IF(C436&lt;&gt;"", _xlfn.XLOOKUP(1,((SKUs!$A$2:$A$10001=cl_unmerged!B436) * (ISNUMBER(SEARCH("Bead",SKUs!$J$2:$J$10001)))), SKUs!$J$2:$J$10001,""),"") &amp; IF(C436&lt;&gt;"", " (Frame)","") &amp; _xlfn.IFS(I436="Height", ", H",I436="Height SLI", ", H SLI", I436="Height FIX", ", H FIX",I436="Width", ", W", I436="", "")</f>
        <v/>
      </c>
      <c r="F436" s="33" t="str" cm="1">
        <f t="array" ref="F436">_xlfn.XLOOKUP(1,((SKUs!$A$2:$A$10001=cl_unmerged!B436) * (ISNUMBER(SEARCH("Bead",SKUs!$J$2:$J$10001)))* (ISNUMBER(SEARCH(A436,SKUs!$C$2:$C$10001)))), SKUs!$C$2:$C$10001,"")</f>
        <v/>
      </c>
      <c r="G436" s="16"/>
      <c r="H436" s="16" t="str" cm="1">
        <f t="array" ref="H436">IF(C436&lt;&gt;"", _xlfn.IFS(I436="Height",_xlfn.XLOOKUP(C436,calc_s60!$C$15:$C$1000,calc_s60!$AB$15:$AB$1000,"",0), I436="Width", _xlfn.XLOOKUP(C436,calc_s60!$C$15:$C$1000,calc_s60!$AD$15:$AD$1000,"",0)),"")</f>
        <v/>
      </c>
      <c r="I436" s="16" t="str">
        <f t="shared" ref="I436:I484" si="9">IF(C436&lt;&gt;"", IF(C436=C435, "Width", "Height"),"")</f>
        <v/>
      </c>
    </row>
    <row r="437" spans="1:9" ht="13.5" customHeight="1" x14ac:dyDescent="0.25">
      <c r="A437" s="41" t="str">
        <f>_xlfn.XLOOKUP(G437,dd_color!$A$2:$A$8,dd_color!$B$2:$B$8,"",0)</f>
        <v/>
      </c>
      <c r="B437" s="41">
        <f>_xlfn.XLOOKUP(_xlfn.XLOOKUP(C437,'Project Details'!$C$17:$C$10003,'Project Details'!$E$17:$E$10003, "",0),dd_design_raw!$A$2:$A$9997,dd_design_raw!$C$2:$C$9997,"",0)</f>
        <v>0</v>
      </c>
      <c r="C437" s="16"/>
      <c r="D437" s="16" t="str" cm="1">
        <f t="array" ref="D437">IF(C437&lt;&gt;"", _xlfn.IFS(I437="Height",_xlfn.XLOOKUP(C437,calc_s60!$C$15:$C$1000,calc_s60!$AC$15:$AC$1000,"",0),  I437="Width", _xlfn.XLOOKUP(C437,calc_s60!$C$15:$C$1000,calc_s60!$AE$15:$AE$1000,"",0)),"")</f>
        <v/>
      </c>
      <c r="E437" s="16" t="str" cm="1">
        <f t="array" ref="E437">IF(C437&lt;&gt;"", _xlfn.XLOOKUP(1,((SKUs!$A$2:$A$10001=cl_unmerged!B437) * (ISNUMBER(SEARCH("Bead",SKUs!$J$2:$J$10001)))), SKUs!$J$2:$J$10001,""),"") &amp; IF(C437&lt;&gt;"", " (Frame)","") &amp; _xlfn.IFS(I437="Height", ", H",I437="Height SLI", ", H SLI", I437="Height FIX", ", H FIX",I437="Width", ", W", I437="", "")</f>
        <v/>
      </c>
      <c r="F437" s="33" t="str" cm="1">
        <f t="array" ref="F437">_xlfn.XLOOKUP(1,((SKUs!$A$2:$A$10001=cl_unmerged!B437) * (ISNUMBER(SEARCH("Bead",SKUs!$J$2:$J$10001)))* (ISNUMBER(SEARCH(A437,SKUs!$C$2:$C$10001)))), SKUs!$C$2:$C$10001,"")</f>
        <v/>
      </c>
      <c r="G437" s="16"/>
      <c r="H437" s="16" t="str" cm="1">
        <f t="array" ref="H437">IF(C437&lt;&gt;"", _xlfn.IFS(I437="Height",_xlfn.XLOOKUP(C437,calc_s60!$C$15:$C$1000,calc_s60!$AB$15:$AB$1000,"",0), I437="Width", _xlfn.XLOOKUP(C437,calc_s60!$C$15:$C$1000,calc_s60!$AD$15:$AD$1000,"",0)),"")</f>
        <v/>
      </c>
      <c r="I437" s="16" t="str">
        <f t="shared" si="9"/>
        <v/>
      </c>
    </row>
    <row r="438" spans="1:9" ht="13.5" customHeight="1" x14ac:dyDescent="0.25">
      <c r="A438" s="41" t="str">
        <f>_xlfn.XLOOKUP(G438,dd_color!$A$2:$A$8,dd_color!$B$2:$B$8,"",0)</f>
        <v/>
      </c>
      <c r="B438" s="41">
        <f>_xlfn.XLOOKUP(_xlfn.XLOOKUP(C438,'Project Details'!$C$17:$C$10003,'Project Details'!$E$17:$E$10003, "",0),dd_design_raw!$A$2:$A$9997,dd_design_raw!$C$2:$C$9997,"",0)</f>
        <v>0</v>
      </c>
      <c r="C438" s="16"/>
      <c r="D438" s="16" t="str" cm="1">
        <f t="array" ref="D438">IF(C438&lt;&gt;"", _xlfn.IFS(I438="Height",_xlfn.XLOOKUP(C438,calc_s60!$C$15:$C$1000,calc_s60!$AC$15:$AC$1000,"",0),  I438="Width", _xlfn.XLOOKUP(C438,calc_s60!$C$15:$C$1000,calc_s60!$AE$15:$AE$1000,"",0)),"")</f>
        <v/>
      </c>
      <c r="E438" s="16" t="str" cm="1">
        <f t="array" ref="E438">IF(C438&lt;&gt;"", _xlfn.XLOOKUP(1,((SKUs!$A$2:$A$10001=cl_unmerged!B438) * (ISNUMBER(SEARCH("Bead",SKUs!$J$2:$J$10001)))), SKUs!$J$2:$J$10001,""),"") &amp; IF(C438&lt;&gt;"", " (Frame)","") &amp; _xlfn.IFS(I438="Height", ", H",I438="Height SLI", ", H SLI", I438="Height FIX", ", H FIX",I438="Width", ", W", I438="", "")</f>
        <v/>
      </c>
      <c r="F438" s="33" t="str" cm="1">
        <f t="array" ref="F438">_xlfn.XLOOKUP(1,((SKUs!$A$2:$A$10001=cl_unmerged!B438) * (ISNUMBER(SEARCH("Bead",SKUs!$J$2:$J$10001)))* (ISNUMBER(SEARCH(A438,SKUs!$C$2:$C$10001)))), SKUs!$C$2:$C$10001,"")</f>
        <v/>
      </c>
      <c r="G438" s="16"/>
      <c r="H438" s="16" t="str" cm="1">
        <f t="array" ref="H438">IF(C438&lt;&gt;"", _xlfn.IFS(I438="Height",_xlfn.XLOOKUP(C438,calc_s60!$C$15:$C$1000,calc_s60!$AB$15:$AB$1000,"",0), I438="Width", _xlfn.XLOOKUP(C438,calc_s60!$C$15:$C$1000,calc_s60!$AD$15:$AD$1000,"",0)),"")</f>
        <v/>
      </c>
      <c r="I438" s="16" t="str">
        <f t="shared" si="9"/>
        <v/>
      </c>
    </row>
    <row r="439" spans="1:9" ht="13.5" customHeight="1" x14ac:dyDescent="0.25">
      <c r="A439" s="41" t="str">
        <f>_xlfn.XLOOKUP(G439,dd_color!$A$2:$A$8,dd_color!$B$2:$B$8,"",0)</f>
        <v/>
      </c>
      <c r="B439" s="41">
        <f>_xlfn.XLOOKUP(_xlfn.XLOOKUP(C439,'Project Details'!$C$17:$C$10003,'Project Details'!$E$17:$E$10003, "",0),dd_design_raw!$A$2:$A$9997,dd_design_raw!$C$2:$C$9997,"",0)</f>
        <v>0</v>
      </c>
      <c r="C439" s="16"/>
      <c r="D439" s="16" t="str" cm="1">
        <f t="array" ref="D439">IF(C439&lt;&gt;"", _xlfn.IFS(I439="Height",_xlfn.XLOOKUP(C439,calc_s60!$C$15:$C$1000,calc_s60!$AC$15:$AC$1000,"",0),  I439="Width", _xlfn.XLOOKUP(C439,calc_s60!$C$15:$C$1000,calc_s60!$AE$15:$AE$1000,"",0)),"")</f>
        <v/>
      </c>
      <c r="E439" s="16" t="str" cm="1">
        <f t="array" ref="E439">IF(C439&lt;&gt;"", _xlfn.XLOOKUP(1,((SKUs!$A$2:$A$10001=cl_unmerged!B439) * (ISNUMBER(SEARCH("Bead",SKUs!$J$2:$J$10001)))), SKUs!$J$2:$J$10001,""),"") &amp; IF(C439&lt;&gt;"", " (Frame)","") &amp; _xlfn.IFS(I439="Height", ", H",I439="Height SLI", ", H SLI", I439="Height FIX", ", H FIX",I439="Width", ", W", I439="", "")</f>
        <v/>
      </c>
      <c r="F439" s="33" t="str" cm="1">
        <f t="array" ref="F439">_xlfn.XLOOKUP(1,((SKUs!$A$2:$A$10001=cl_unmerged!B439) * (ISNUMBER(SEARCH("Bead",SKUs!$J$2:$J$10001)))* (ISNUMBER(SEARCH(A439,SKUs!$C$2:$C$10001)))), SKUs!$C$2:$C$10001,"")</f>
        <v/>
      </c>
      <c r="G439" s="16"/>
      <c r="H439" s="16" t="str" cm="1">
        <f t="array" ref="H439">IF(C439&lt;&gt;"", _xlfn.IFS(I439="Height",_xlfn.XLOOKUP(C439,calc_s60!$C$15:$C$1000,calc_s60!$AB$15:$AB$1000,"",0), I439="Width", _xlfn.XLOOKUP(C439,calc_s60!$C$15:$C$1000,calc_s60!$AD$15:$AD$1000,"",0)),"")</f>
        <v/>
      </c>
      <c r="I439" s="16" t="str">
        <f t="shared" si="9"/>
        <v/>
      </c>
    </row>
    <row r="440" spans="1:9" ht="13.5" customHeight="1" x14ac:dyDescent="0.25">
      <c r="A440" s="41" t="str">
        <f>_xlfn.XLOOKUP(G440,dd_color!$A$2:$A$8,dd_color!$B$2:$B$8,"",0)</f>
        <v/>
      </c>
      <c r="B440" s="41">
        <f>_xlfn.XLOOKUP(_xlfn.XLOOKUP(C440,'Project Details'!$C$17:$C$10003,'Project Details'!$E$17:$E$10003, "",0),dd_design_raw!$A$2:$A$9997,dd_design_raw!$C$2:$C$9997,"",0)</f>
        <v>0</v>
      </c>
      <c r="C440" s="16"/>
      <c r="D440" s="16" t="str" cm="1">
        <f t="array" ref="D440">IF(C440&lt;&gt;"", _xlfn.IFS(I440="Height",_xlfn.XLOOKUP(C440,calc_s60!$C$15:$C$1000,calc_s60!$AC$15:$AC$1000,"",0),  I440="Width", _xlfn.XLOOKUP(C440,calc_s60!$C$15:$C$1000,calc_s60!$AE$15:$AE$1000,"",0)),"")</f>
        <v/>
      </c>
      <c r="E440" s="16" t="str" cm="1">
        <f t="array" ref="E440">IF(C440&lt;&gt;"", _xlfn.XLOOKUP(1,((SKUs!$A$2:$A$10001=cl_unmerged!B440) * (ISNUMBER(SEARCH("Bead",SKUs!$J$2:$J$10001)))), SKUs!$J$2:$J$10001,""),"") &amp; IF(C440&lt;&gt;"", " (Frame)","") &amp; _xlfn.IFS(I440="Height", ", H",I440="Height SLI", ", H SLI", I440="Height FIX", ", H FIX",I440="Width", ", W", I440="", "")</f>
        <v/>
      </c>
      <c r="F440" s="33" t="str" cm="1">
        <f t="array" ref="F440">_xlfn.XLOOKUP(1,((SKUs!$A$2:$A$10001=cl_unmerged!B440) * (ISNUMBER(SEARCH("Bead",SKUs!$J$2:$J$10001)))* (ISNUMBER(SEARCH(A440,SKUs!$C$2:$C$10001)))), SKUs!$C$2:$C$10001,"")</f>
        <v/>
      </c>
      <c r="G440" s="16"/>
      <c r="H440" s="16" t="str" cm="1">
        <f t="array" ref="H440">IF(C440&lt;&gt;"", _xlfn.IFS(I440="Height",_xlfn.XLOOKUP(C440,calc_s60!$C$15:$C$1000,calc_s60!$AB$15:$AB$1000,"",0), I440="Width", _xlfn.XLOOKUP(C440,calc_s60!$C$15:$C$1000,calc_s60!$AD$15:$AD$1000,"",0)),"")</f>
        <v/>
      </c>
      <c r="I440" s="16" t="str">
        <f t="shared" si="9"/>
        <v/>
      </c>
    </row>
    <row r="441" spans="1:9" ht="13.5" customHeight="1" x14ac:dyDescent="0.25">
      <c r="A441" s="41" t="str">
        <f>_xlfn.XLOOKUP(G441,dd_color!$A$2:$A$8,dd_color!$B$2:$B$8,"",0)</f>
        <v/>
      </c>
      <c r="B441" s="41">
        <f>_xlfn.XLOOKUP(_xlfn.XLOOKUP(C441,'Project Details'!$C$17:$C$10003,'Project Details'!$E$17:$E$10003, "",0),dd_design_raw!$A$2:$A$9997,dd_design_raw!$C$2:$C$9997,"",0)</f>
        <v>0</v>
      </c>
      <c r="C441" s="16"/>
      <c r="D441" s="16" t="str" cm="1">
        <f t="array" ref="D441">IF(C441&lt;&gt;"", _xlfn.IFS(I441="Height",_xlfn.XLOOKUP(C441,calc_s60!$C$15:$C$1000,calc_s60!$AC$15:$AC$1000,"",0),  I441="Width", _xlfn.XLOOKUP(C441,calc_s60!$C$15:$C$1000,calc_s60!$AE$15:$AE$1000,"",0)),"")</f>
        <v/>
      </c>
      <c r="E441" s="16" t="str" cm="1">
        <f t="array" ref="E441">IF(C441&lt;&gt;"", _xlfn.XLOOKUP(1,((SKUs!$A$2:$A$10001=cl_unmerged!B441) * (ISNUMBER(SEARCH("Bead",SKUs!$J$2:$J$10001)))), SKUs!$J$2:$J$10001,""),"") &amp; IF(C441&lt;&gt;"", " (Frame)","") &amp; _xlfn.IFS(I441="Height", ", H",I441="Height SLI", ", H SLI", I441="Height FIX", ", H FIX",I441="Width", ", W", I441="", "")</f>
        <v/>
      </c>
      <c r="F441" s="33" t="str" cm="1">
        <f t="array" ref="F441">_xlfn.XLOOKUP(1,((SKUs!$A$2:$A$10001=cl_unmerged!B441) * (ISNUMBER(SEARCH("Bead",SKUs!$J$2:$J$10001)))* (ISNUMBER(SEARCH(A441,SKUs!$C$2:$C$10001)))), SKUs!$C$2:$C$10001,"")</f>
        <v/>
      </c>
      <c r="G441" s="16"/>
      <c r="H441" s="16" t="str" cm="1">
        <f t="array" ref="H441">IF(C441&lt;&gt;"", _xlfn.IFS(I441="Height",_xlfn.XLOOKUP(C441,calc_s60!$C$15:$C$1000,calc_s60!$AB$15:$AB$1000,"",0), I441="Width", _xlfn.XLOOKUP(C441,calc_s60!$C$15:$C$1000,calc_s60!$AD$15:$AD$1000,"",0)),"")</f>
        <v/>
      </c>
      <c r="I441" s="16" t="str">
        <f t="shared" si="9"/>
        <v/>
      </c>
    </row>
    <row r="442" spans="1:9" ht="13.5" customHeight="1" x14ac:dyDescent="0.25">
      <c r="A442" s="41" t="str">
        <f>_xlfn.XLOOKUP(G442,dd_color!$A$2:$A$8,dd_color!$B$2:$B$8,"",0)</f>
        <v/>
      </c>
      <c r="B442" s="41">
        <f>_xlfn.XLOOKUP(_xlfn.XLOOKUP(C442,'Project Details'!$C$17:$C$10003,'Project Details'!$E$17:$E$10003, "",0),dd_design_raw!$A$2:$A$9997,dd_design_raw!$C$2:$C$9997,"",0)</f>
        <v>0</v>
      </c>
      <c r="C442" s="16"/>
      <c r="D442" s="16" t="str" cm="1">
        <f t="array" ref="D442">IF(C442&lt;&gt;"", _xlfn.IFS(I442="Height",_xlfn.XLOOKUP(C442,calc_s60!$C$15:$C$1000,calc_s60!$AC$15:$AC$1000,"",0),  I442="Width", _xlfn.XLOOKUP(C442,calc_s60!$C$15:$C$1000,calc_s60!$AE$15:$AE$1000,"",0)),"")</f>
        <v/>
      </c>
      <c r="E442" s="16" t="str" cm="1">
        <f t="array" ref="E442">IF(C442&lt;&gt;"", _xlfn.XLOOKUP(1,((SKUs!$A$2:$A$10001=cl_unmerged!B442) * (ISNUMBER(SEARCH("Bead",SKUs!$J$2:$J$10001)))), SKUs!$J$2:$J$10001,""),"") &amp; IF(C442&lt;&gt;"", " (Frame)","") &amp; _xlfn.IFS(I442="Height", ", H",I442="Height SLI", ", H SLI", I442="Height FIX", ", H FIX",I442="Width", ", W", I442="", "")</f>
        <v/>
      </c>
      <c r="F442" s="33" t="str" cm="1">
        <f t="array" ref="F442">_xlfn.XLOOKUP(1,((SKUs!$A$2:$A$10001=cl_unmerged!B442) * (ISNUMBER(SEARCH("Bead",SKUs!$J$2:$J$10001)))* (ISNUMBER(SEARCH(A442,SKUs!$C$2:$C$10001)))), SKUs!$C$2:$C$10001,"")</f>
        <v/>
      </c>
      <c r="G442" s="16"/>
      <c r="H442" s="16" t="str" cm="1">
        <f t="array" ref="H442">IF(C442&lt;&gt;"", _xlfn.IFS(I442="Height",_xlfn.XLOOKUP(C442,calc_s60!$C$15:$C$1000,calc_s60!$AB$15:$AB$1000,"",0), I442="Width", _xlfn.XLOOKUP(C442,calc_s60!$C$15:$C$1000,calc_s60!$AD$15:$AD$1000,"",0)),"")</f>
        <v/>
      </c>
      <c r="I442" s="16" t="str">
        <f t="shared" si="9"/>
        <v/>
      </c>
    </row>
    <row r="443" spans="1:9" ht="13.5" customHeight="1" x14ac:dyDescent="0.25">
      <c r="A443" s="41" t="str">
        <f>_xlfn.XLOOKUP(G443,dd_color!$A$2:$A$8,dd_color!$B$2:$B$8,"",0)</f>
        <v/>
      </c>
      <c r="B443" s="41">
        <f>_xlfn.XLOOKUP(_xlfn.XLOOKUP(C443,'Project Details'!$C$17:$C$10003,'Project Details'!$E$17:$E$10003, "",0),dd_design_raw!$A$2:$A$9997,dd_design_raw!$C$2:$C$9997,"",0)</f>
        <v>0</v>
      </c>
      <c r="C443" s="16"/>
      <c r="D443" s="16" t="str" cm="1">
        <f t="array" ref="D443">IF(C443&lt;&gt;"", _xlfn.IFS(I443="Height",_xlfn.XLOOKUP(C443,calc_s60!$C$15:$C$1000,calc_s60!$AC$15:$AC$1000,"",0),  I443="Width", _xlfn.XLOOKUP(C443,calc_s60!$C$15:$C$1000,calc_s60!$AE$15:$AE$1000,"",0)),"")</f>
        <v/>
      </c>
      <c r="E443" s="16" t="str" cm="1">
        <f t="array" ref="E443">IF(C443&lt;&gt;"", _xlfn.XLOOKUP(1,((SKUs!$A$2:$A$10001=cl_unmerged!B443) * (ISNUMBER(SEARCH("Bead",SKUs!$J$2:$J$10001)))), SKUs!$J$2:$J$10001,""),"") &amp; IF(C443&lt;&gt;"", " (Frame)","") &amp; _xlfn.IFS(I443="Height", ", H",I443="Height SLI", ", H SLI", I443="Height FIX", ", H FIX",I443="Width", ", W", I443="", "")</f>
        <v/>
      </c>
      <c r="F443" s="33" t="str" cm="1">
        <f t="array" ref="F443">_xlfn.XLOOKUP(1,((SKUs!$A$2:$A$10001=cl_unmerged!B443) * (ISNUMBER(SEARCH("Bead",SKUs!$J$2:$J$10001)))* (ISNUMBER(SEARCH(A443,SKUs!$C$2:$C$10001)))), SKUs!$C$2:$C$10001,"")</f>
        <v/>
      </c>
      <c r="G443" s="16"/>
      <c r="H443" s="16" t="str" cm="1">
        <f t="array" ref="H443">IF(C443&lt;&gt;"", _xlfn.IFS(I443="Height",_xlfn.XLOOKUP(C443,calc_s60!$C$15:$C$1000,calc_s60!$AB$15:$AB$1000,"",0), I443="Width", _xlfn.XLOOKUP(C443,calc_s60!$C$15:$C$1000,calc_s60!$AD$15:$AD$1000,"",0)),"")</f>
        <v/>
      </c>
      <c r="I443" s="16" t="str">
        <f t="shared" si="9"/>
        <v/>
      </c>
    </row>
    <row r="444" spans="1:9" ht="13.5" customHeight="1" x14ac:dyDescent="0.25">
      <c r="A444" s="41" t="str">
        <f>_xlfn.XLOOKUP(G444,dd_color!$A$2:$A$8,dd_color!$B$2:$B$8,"",0)</f>
        <v/>
      </c>
      <c r="B444" s="41">
        <f>_xlfn.XLOOKUP(_xlfn.XLOOKUP(C444,'Project Details'!$C$17:$C$10003,'Project Details'!$E$17:$E$10003, "",0),dd_design_raw!$A$2:$A$9997,dd_design_raw!$C$2:$C$9997,"",0)</f>
        <v>0</v>
      </c>
      <c r="C444" s="16"/>
      <c r="D444" s="16" t="str" cm="1">
        <f t="array" ref="D444">IF(C444&lt;&gt;"", _xlfn.IFS(I444="Height",_xlfn.XLOOKUP(C444,calc_s60!$C$15:$C$1000,calc_s60!$AC$15:$AC$1000,"",0),  I444="Width", _xlfn.XLOOKUP(C444,calc_s60!$C$15:$C$1000,calc_s60!$AE$15:$AE$1000,"",0)),"")</f>
        <v/>
      </c>
      <c r="E444" s="16" t="str" cm="1">
        <f t="array" ref="E444">IF(C444&lt;&gt;"", _xlfn.XLOOKUP(1,((SKUs!$A$2:$A$10001=cl_unmerged!B444) * (ISNUMBER(SEARCH("Bead",SKUs!$J$2:$J$10001)))), SKUs!$J$2:$J$10001,""),"") &amp; IF(C444&lt;&gt;"", " (Frame)","") &amp; _xlfn.IFS(I444="Height", ", H",I444="Height SLI", ", H SLI", I444="Height FIX", ", H FIX",I444="Width", ", W", I444="", "")</f>
        <v/>
      </c>
      <c r="F444" s="33" t="str" cm="1">
        <f t="array" ref="F444">_xlfn.XLOOKUP(1,((SKUs!$A$2:$A$10001=cl_unmerged!B444) * (ISNUMBER(SEARCH("Bead",SKUs!$J$2:$J$10001)))* (ISNUMBER(SEARCH(A444,SKUs!$C$2:$C$10001)))), SKUs!$C$2:$C$10001,"")</f>
        <v/>
      </c>
      <c r="G444" s="16"/>
      <c r="H444" s="16" t="str" cm="1">
        <f t="array" ref="H444">IF(C444&lt;&gt;"", _xlfn.IFS(I444="Height",_xlfn.XLOOKUP(C444,calc_s60!$C$15:$C$1000,calc_s60!$AB$15:$AB$1000,"",0), I444="Width", _xlfn.XLOOKUP(C444,calc_s60!$C$15:$C$1000,calc_s60!$AD$15:$AD$1000,"",0)),"")</f>
        <v/>
      </c>
      <c r="I444" s="16" t="str">
        <f t="shared" si="9"/>
        <v/>
      </c>
    </row>
    <row r="445" spans="1:9" ht="13.5" customHeight="1" x14ac:dyDescent="0.25">
      <c r="A445" s="41" t="str">
        <f>_xlfn.XLOOKUP(G445,dd_color!$A$2:$A$8,dd_color!$B$2:$B$8,"",0)</f>
        <v/>
      </c>
      <c r="B445" s="41">
        <f>_xlfn.XLOOKUP(_xlfn.XLOOKUP(C445,'Project Details'!$C$17:$C$10003,'Project Details'!$E$17:$E$10003, "",0),dd_design_raw!$A$2:$A$9997,dd_design_raw!$C$2:$C$9997,"",0)</f>
        <v>0</v>
      </c>
      <c r="C445" s="16"/>
      <c r="D445" s="16" t="str" cm="1">
        <f t="array" ref="D445">IF(C445&lt;&gt;"", _xlfn.IFS(I445="Height",_xlfn.XLOOKUP(C445,calc_s60!$C$15:$C$1000,calc_s60!$AC$15:$AC$1000,"",0),  I445="Width", _xlfn.XLOOKUP(C445,calc_s60!$C$15:$C$1000,calc_s60!$AE$15:$AE$1000,"",0)),"")</f>
        <v/>
      </c>
      <c r="E445" s="16" t="str" cm="1">
        <f t="array" ref="E445">IF(C445&lt;&gt;"", _xlfn.XLOOKUP(1,((SKUs!$A$2:$A$10001=cl_unmerged!B445) * (ISNUMBER(SEARCH("Bead",SKUs!$J$2:$J$10001)))), SKUs!$J$2:$J$10001,""),"") &amp; IF(C445&lt;&gt;"", " (Frame)","") &amp; _xlfn.IFS(I445="Height", ", H",I445="Height SLI", ", H SLI", I445="Height FIX", ", H FIX",I445="Width", ", W", I445="", "")</f>
        <v/>
      </c>
      <c r="F445" s="33" t="str" cm="1">
        <f t="array" ref="F445">_xlfn.XLOOKUP(1,((SKUs!$A$2:$A$10001=cl_unmerged!B445) * (ISNUMBER(SEARCH("Bead",SKUs!$J$2:$J$10001)))* (ISNUMBER(SEARCH(A445,SKUs!$C$2:$C$10001)))), SKUs!$C$2:$C$10001,"")</f>
        <v/>
      </c>
      <c r="G445" s="16"/>
      <c r="H445" s="16" t="str" cm="1">
        <f t="array" ref="H445">IF(C445&lt;&gt;"", _xlfn.IFS(I445="Height",_xlfn.XLOOKUP(C445,calc_s60!$C$15:$C$1000,calc_s60!$AB$15:$AB$1000,"",0), I445="Width", _xlfn.XLOOKUP(C445,calc_s60!$C$15:$C$1000,calc_s60!$AD$15:$AD$1000,"",0)),"")</f>
        <v/>
      </c>
      <c r="I445" s="16" t="str">
        <f t="shared" si="9"/>
        <v/>
      </c>
    </row>
    <row r="446" spans="1:9" ht="13.5" customHeight="1" x14ac:dyDescent="0.25">
      <c r="A446" s="41" t="str">
        <f>_xlfn.XLOOKUP(G446,dd_color!$A$2:$A$8,dd_color!$B$2:$B$8,"",0)</f>
        <v/>
      </c>
      <c r="B446" s="41">
        <f>_xlfn.XLOOKUP(_xlfn.XLOOKUP(C446,'Project Details'!$C$17:$C$10003,'Project Details'!$E$17:$E$10003, "",0),dd_design_raw!$A$2:$A$9997,dd_design_raw!$C$2:$C$9997,"",0)</f>
        <v>0</v>
      </c>
      <c r="C446" s="16"/>
      <c r="D446" s="16" t="str" cm="1">
        <f t="array" ref="D446">IF(C446&lt;&gt;"", _xlfn.IFS(I446="Height",_xlfn.XLOOKUP(C446,calc_s60!$C$15:$C$1000,calc_s60!$AC$15:$AC$1000,"",0),  I446="Width", _xlfn.XLOOKUP(C446,calc_s60!$C$15:$C$1000,calc_s60!$AE$15:$AE$1000,"",0)),"")</f>
        <v/>
      </c>
      <c r="E446" s="16" t="str" cm="1">
        <f t="array" ref="E446">IF(C446&lt;&gt;"", _xlfn.XLOOKUP(1,((SKUs!$A$2:$A$10001=cl_unmerged!B446) * (ISNUMBER(SEARCH("Bead",SKUs!$J$2:$J$10001)))), SKUs!$J$2:$J$10001,""),"") &amp; IF(C446&lt;&gt;"", " (Frame)","") &amp; _xlfn.IFS(I446="Height", ", H",I446="Height SLI", ", H SLI", I446="Height FIX", ", H FIX",I446="Width", ", W", I446="", "")</f>
        <v/>
      </c>
      <c r="F446" s="33" t="str" cm="1">
        <f t="array" ref="F446">_xlfn.XLOOKUP(1,((SKUs!$A$2:$A$10001=cl_unmerged!B446) * (ISNUMBER(SEARCH("Bead",SKUs!$J$2:$J$10001)))* (ISNUMBER(SEARCH(A446,SKUs!$C$2:$C$10001)))), SKUs!$C$2:$C$10001,"")</f>
        <v/>
      </c>
      <c r="G446" s="16"/>
      <c r="H446" s="16" t="str" cm="1">
        <f t="array" ref="H446">IF(C446&lt;&gt;"", _xlfn.IFS(I446="Height",_xlfn.XLOOKUP(C446,calc_s60!$C$15:$C$1000,calc_s60!$AB$15:$AB$1000,"",0), I446="Width", _xlfn.XLOOKUP(C446,calc_s60!$C$15:$C$1000,calc_s60!$AD$15:$AD$1000,"",0)),"")</f>
        <v/>
      </c>
      <c r="I446" s="16" t="str">
        <f t="shared" si="9"/>
        <v/>
      </c>
    </row>
    <row r="447" spans="1:9" ht="13.5" customHeight="1" x14ac:dyDescent="0.25">
      <c r="A447" s="41" t="str">
        <f>_xlfn.XLOOKUP(G447,dd_color!$A$2:$A$8,dd_color!$B$2:$B$8,"",0)</f>
        <v/>
      </c>
      <c r="B447" s="41">
        <f>_xlfn.XLOOKUP(_xlfn.XLOOKUP(C447,'Project Details'!$C$17:$C$10003,'Project Details'!$E$17:$E$10003, "",0),dd_design_raw!$A$2:$A$9997,dd_design_raw!$C$2:$C$9997,"",0)</f>
        <v>0</v>
      </c>
      <c r="C447" s="16"/>
      <c r="D447" s="16" t="str" cm="1">
        <f t="array" ref="D447">IF(C447&lt;&gt;"", _xlfn.IFS(I447="Height",_xlfn.XLOOKUP(C447,calc_s60!$C$15:$C$1000,calc_s60!$AC$15:$AC$1000,"",0),  I447="Width", _xlfn.XLOOKUP(C447,calc_s60!$C$15:$C$1000,calc_s60!$AE$15:$AE$1000,"",0)),"")</f>
        <v/>
      </c>
      <c r="E447" s="16" t="str" cm="1">
        <f t="array" ref="E447">IF(C447&lt;&gt;"", _xlfn.XLOOKUP(1,((SKUs!$A$2:$A$10001=cl_unmerged!B447) * (ISNUMBER(SEARCH("Bead",SKUs!$J$2:$J$10001)))), SKUs!$J$2:$J$10001,""),"") &amp; IF(C447&lt;&gt;"", " (Frame)","") &amp; _xlfn.IFS(I447="Height", ", H",I447="Height SLI", ", H SLI", I447="Height FIX", ", H FIX",I447="Width", ", W", I447="", "")</f>
        <v/>
      </c>
      <c r="F447" s="33" t="str" cm="1">
        <f t="array" ref="F447">_xlfn.XLOOKUP(1,((SKUs!$A$2:$A$10001=cl_unmerged!B447) * (ISNUMBER(SEARCH("Bead",SKUs!$J$2:$J$10001)))* (ISNUMBER(SEARCH(A447,SKUs!$C$2:$C$10001)))), SKUs!$C$2:$C$10001,"")</f>
        <v/>
      </c>
      <c r="G447" s="16"/>
      <c r="H447" s="16" t="str" cm="1">
        <f t="array" ref="H447">IF(C447&lt;&gt;"", _xlfn.IFS(I447="Height",_xlfn.XLOOKUP(C447,calc_s60!$C$15:$C$1000,calc_s60!$AB$15:$AB$1000,"",0), I447="Width", _xlfn.XLOOKUP(C447,calc_s60!$C$15:$C$1000,calc_s60!$AD$15:$AD$1000,"",0)),"")</f>
        <v/>
      </c>
      <c r="I447" s="16" t="str">
        <f t="shared" si="9"/>
        <v/>
      </c>
    </row>
    <row r="448" spans="1:9" ht="13.5" customHeight="1" x14ac:dyDescent="0.25">
      <c r="A448" s="41" t="str">
        <f>_xlfn.XLOOKUP(G448,dd_color!$A$2:$A$8,dd_color!$B$2:$B$8,"",0)</f>
        <v/>
      </c>
      <c r="B448" s="41">
        <f>_xlfn.XLOOKUP(_xlfn.XLOOKUP(C448,'Project Details'!$C$17:$C$10003,'Project Details'!$E$17:$E$10003, "",0),dd_design_raw!$A$2:$A$9997,dd_design_raw!$C$2:$C$9997,"",0)</f>
        <v>0</v>
      </c>
      <c r="C448" s="16"/>
      <c r="D448" s="16" t="str" cm="1">
        <f t="array" ref="D448">IF(C448&lt;&gt;"", _xlfn.IFS(I448="Height",_xlfn.XLOOKUP(C448,calc_s60!$C$15:$C$1000,calc_s60!$AC$15:$AC$1000,"",0),  I448="Width", _xlfn.XLOOKUP(C448,calc_s60!$C$15:$C$1000,calc_s60!$AE$15:$AE$1000,"",0)),"")</f>
        <v/>
      </c>
      <c r="E448" s="16" t="str" cm="1">
        <f t="array" ref="E448">IF(C448&lt;&gt;"", _xlfn.XLOOKUP(1,((SKUs!$A$2:$A$10001=cl_unmerged!B448) * (ISNUMBER(SEARCH("Bead",SKUs!$J$2:$J$10001)))), SKUs!$J$2:$J$10001,""),"") &amp; IF(C448&lt;&gt;"", " (Frame)","") &amp; _xlfn.IFS(I448="Height", ", H",I448="Height SLI", ", H SLI", I448="Height FIX", ", H FIX",I448="Width", ", W", I448="", "")</f>
        <v/>
      </c>
      <c r="F448" s="33" t="str" cm="1">
        <f t="array" ref="F448">_xlfn.XLOOKUP(1,((SKUs!$A$2:$A$10001=cl_unmerged!B448) * (ISNUMBER(SEARCH("Bead",SKUs!$J$2:$J$10001)))* (ISNUMBER(SEARCH(A448,SKUs!$C$2:$C$10001)))), SKUs!$C$2:$C$10001,"")</f>
        <v/>
      </c>
      <c r="G448" s="16"/>
      <c r="H448" s="16" t="str" cm="1">
        <f t="array" ref="H448">IF(C448&lt;&gt;"", _xlfn.IFS(I448="Height",_xlfn.XLOOKUP(C448,calc_s60!$C$15:$C$1000,calc_s60!$AB$15:$AB$1000,"",0), I448="Width", _xlfn.XLOOKUP(C448,calc_s60!$C$15:$C$1000,calc_s60!$AD$15:$AD$1000,"",0)),"")</f>
        <v/>
      </c>
      <c r="I448" s="16" t="str">
        <f t="shared" si="9"/>
        <v/>
      </c>
    </row>
    <row r="449" spans="1:9" ht="13.5" customHeight="1" x14ac:dyDescent="0.25">
      <c r="A449" s="41" t="str">
        <f>_xlfn.XLOOKUP(G449,dd_color!$A$2:$A$8,dd_color!$B$2:$B$8,"",0)</f>
        <v/>
      </c>
      <c r="B449" s="41">
        <f>_xlfn.XLOOKUP(_xlfn.XLOOKUP(C449,'Project Details'!$C$17:$C$10003,'Project Details'!$E$17:$E$10003, "",0),dd_design_raw!$A$2:$A$9997,dd_design_raw!$C$2:$C$9997,"",0)</f>
        <v>0</v>
      </c>
      <c r="C449" s="16"/>
      <c r="D449" s="16" t="str" cm="1">
        <f t="array" ref="D449">IF(C449&lt;&gt;"", _xlfn.IFS(I449="Height",_xlfn.XLOOKUP(C449,calc_s60!$C$15:$C$1000,calc_s60!$AC$15:$AC$1000,"",0),  I449="Width", _xlfn.XLOOKUP(C449,calc_s60!$C$15:$C$1000,calc_s60!$AE$15:$AE$1000,"",0)),"")</f>
        <v/>
      </c>
      <c r="E449" s="16" t="str" cm="1">
        <f t="array" ref="E449">IF(C449&lt;&gt;"", _xlfn.XLOOKUP(1,((SKUs!$A$2:$A$10001=cl_unmerged!B449) * (ISNUMBER(SEARCH("Bead",SKUs!$J$2:$J$10001)))), SKUs!$J$2:$J$10001,""),"") &amp; IF(C449&lt;&gt;"", " (Frame)","") &amp; _xlfn.IFS(I449="Height", ", H",I449="Height SLI", ", H SLI", I449="Height FIX", ", H FIX",I449="Width", ", W", I449="", "")</f>
        <v/>
      </c>
      <c r="F449" s="33" t="str" cm="1">
        <f t="array" ref="F449">_xlfn.XLOOKUP(1,((SKUs!$A$2:$A$10001=cl_unmerged!B449) * (ISNUMBER(SEARCH("Bead",SKUs!$J$2:$J$10001)))* (ISNUMBER(SEARCH(A449,SKUs!$C$2:$C$10001)))), SKUs!$C$2:$C$10001,"")</f>
        <v/>
      </c>
      <c r="G449" s="16"/>
      <c r="H449" s="16" t="str" cm="1">
        <f t="array" ref="H449">IF(C449&lt;&gt;"", _xlfn.IFS(I449="Height",_xlfn.XLOOKUP(C449,calc_s60!$C$15:$C$1000,calc_s60!$AB$15:$AB$1000,"",0), I449="Width", _xlfn.XLOOKUP(C449,calc_s60!$C$15:$C$1000,calc_s60!$AD$15:$AD$1000,"",0)),"")</f>
        <v/>
      </c>
      <c r="I449" s="16" t="str">
        <f t="shared" si="9"/>
        <v/>
      </c>
    </row>
    <row r="450" spans="1:9" ht="13.5" customHeight="1" x14ac:dyDescent="0.25">
      <c r="A450" s="41" t="str">
        <f>_xlfn.XLOOKUP(G450,dd_color!$A$2:$A$8,dd_color!$B$2:$B$8,"",0)</f>
        <v/>
      </c>
      <c r="B450" s="41">
        <f>_xlfn.XLOOKUP(_xlfn.XLOOKUP(C450,'Project Details'!$C$17:$C$10003,'Project Details'!$E$17:$E$10003, "",0),dd_design_raw!$A$2:$A$9997,dd_design_raw!$C$2:$C$9997,"",0)</f>
        <v>0</v>
      </c>
      <c r="C450" s="16"/>
      <c r="D450" s="16" t="str" cm="1">
        <f t="array" ref="D450">IF(C450&lt;&gt;"", _xlfn.IFS(I450="Height",_xlfn.XLOOKUP(C450,calc_s60!$C$15:$C$1000,calc_s60!$AC$15:$AC$1000,"",0),  I450="Width", _xlfn.XLOOKUP(C450,calc_s60!$C$15:$C$1000,calc_s60!$AE$15:$AE$1000,"",0)),"")</f>
        <v/>
      </c>
      <c r="E450" s="16" t="str" cm="1">
        <f t="array" ref="E450">IF(C450&lt;&gt;"", _xlfn.XLOOKUP(1,((SKUs!$A$2:$A$10001=cl_unmerged!B450) * (ISNUMBER(SEARCH("Bead",SKUs!$J$2:$J$10001)))), SKUs!$J$2:$J$10001,""),"") &amp; IF(C450&lt;&gt;"", " (Frame)","") &amp; _xlfn.IFS(I450="Height", ", H",I450="Height SLI", ", H SLI", I450="Height FIX", ", H FIX",I450="Width", ", W", I450="", "")</f>
        <v/>
      </c>
      <c r="F450" s="33" t="str" cm="1">
        <f t="array" ref="F450">_xlfn.XLOOKUP(1,((SKUs!$A$2:$A$10001=cl_unmerged!B450) * (ISNUMBER(SEARCH("Bead",SKUs!$J$2:$J$10001)))* (ISNUMBER(SEARCH(A450,SKUs!$C$2:$C$10001)))), SKUs!$C$2:$C$10001,"")</f>
        <v/>
      </c>
      <c r="G450" s="16"/>
      <c r="H450" s="16" t="str" cm="1">
        <f t="array" ref="H450">IF(C450&lt;&gt;"", _xlfn.IFS(I450="Height",_xlfn.XLOOKUP(C450,calc_s60!$C$15:$C$1000,calc_s60!$AB$15:$AB$1000,"",0), I450="Width", _xlfn.XLOOKUP(C450,calc_s60!$C$15:$C$1000,calc_s60!$AD$15:$AD$1000,"",0)),"")</f>
        <v/>
      </c>
      <c r="I450" s="16" t="str">
        <f t="shared" si="9"/>
        <v/>
      </c>
    </row>
    <row r="451" spans="1:9" ht="13.5" customHeight="1" x14ac:dyDescent="0.25">
      <c r="A451" s="41" t="str">
        <f>_xlfn.XLOOKUP(G451,dd_color!$A$2:$A$8,dd_color!$B$2:$B$8,"",0)</f>
        <v/>
      </c>
      <c r="B451" s="41">
        <f>_xlfn.XLOOKUP(_xlfn.XLOOKUP(C451,'Project Details'!$C$17:$C$10003,'Project Details'!$E$17:$E$10003, "",0),dd_design_raw!$A$2:$A$9997,dd_design_raw!$C$2:$C$9997,"",0)</f>
        <v>0</v>
      </c>
      <c r="C451" s="16"/>
      <c r="D451" s="16" t="str" cm="1">
        <f t="array" ref="D451">IF(C451&lt;&gt;"", _xlfn.IFS(I451="Height",_xlfn.XLOOKUP(C451,calc_s60!$C$15:$C$1000,calc_s60!$AC$15:$AC$1000,"",0),  I451="Width", _xlfn.XLOOKUP(C451,calc_s60!$C$15:$C$1000,calc_s60!$AE$15:$AE$1000,"",0)),"")</f>
        <v/>
      </c>
      <c r="E451" s="16" t="str" cm="1">
        <f t="array" ref="E451">IF(C451&lt;&gt;"", _xlfn.XLOOKUP(1,((SKUs!$A$2:$A$10001=cl_unmerged!B451) * (ISNUMBER(SEARCH("Bead",SKUs!$J$2:$J$10001)))), SKUs!$J$2:$J$10001,""),"") &amp; IF(C451&lt;&gt;"", " (Frame)","") &amp; _xlfn.IFS(I451="Height", ", H",I451="Height SLI", ", H SLI", I451="Height FIX", ", H FIX",I451="Width", ", W", I451="", "")</f>
        <v/>
      </c>
      <c r="F451" s="33" t="str" cm="1">
        <f t="array" ref="F451">_xlfn.XLOOKUP(1,((SKUs!$A$2:$A$10001=cl_unmerged!B451) * (ISNUMBER(SEARCH("Bead",SKUs!$J$2:$J$10001)))* (ISNUMBER(SEARCH(A451,SKUs!$C$2:$C$10001)))), SKUs!$C$2:$C$10001,"")</f>
        <v/>
      </c>
      <c r="G451" s="16"/>
      <c r="H451" s="16" t="str" cm="1">
        <f t="array" ref="H451">IF(C451&lt;&gt;"", _xlfn.IFS(I451="Height",_xlfn.XLOOKUP(C451,calc_s60!$C$15:$C$1000,calc_s60!$AB$15:$AB$1000,"",0), I451="Width", _xlfn.XLOOKUP(C451,calc_s60!$C$15:$C$1000,calc_s60!$AD$15:$AD$1000,"",0)),"")</f>
        <v/>
      </c>
      <c r="I451" s="16" t="str">
        <f t="shared" si="9"/>
        <v/>
      </c>
    </row>
    <row r="452" spans="1:9" ht="13.5" customHeight="1" x14ac:dyDescent="0.25">
      <c r="A452" s="41" t="str">
        <f>_xlfn.XLOOKUP(G452,dd_color!$A$2:$A$8,dd_color!$B$2:$B$8,"",0)</f>
        <v/>
      </c>
      <c r="B452" s="41">
        <f>_xlfn.XLOOKUP(_xlfn.XLOOKUP(C452,'Project Details'!$C$17:$C$10003,'Project Details'!$E$17:$E$10003, "",0),dd_design_raw!$A$2:$A$9997,dd_design_raw!$C$2:$C$9997,"",0)</f>
        <v>0</v>
      </c>
      <c r="C452" s="16"/>
      <c r="D452" s="16" t="str" cm="1">
        <f t="array" ref="D452">IF(C452&lt;&gt;"", _xlfn.IFS(I452="Height",_xlfn.XLOOKUP(C452,calc_s60!$C$15:$C$1000,calc_s60!$AC$15:$AC$1000,"",0),  I452="Width", _xlfn.XLOOKUP(C452,calc_s60!$C$15:$C$1000,calc_s60!$AE$15:$AE$1000,"",0)),"")</f>
        <v/>
      </c>
      <c r="E452" s="16" t="str" cm="1">
        <f t="array" ref="E452">IF(C452&lt;&gt;"", _xlfn.XLOOKUP(1,((SKUs!$A$2:$A$10001=cl_unmerged!B452) * (ISNUMBER(SEARCH("Bead",SKUs!$J$2:$J$10001)))), SKUs!$J$2:$J$10001,""),"") &amp; IF(C452&lt;&gt;"", " (Frame)","") &amp; _xlfn.IFS(I452="Height", ", H",I452="Height SLI", ", H SLI", I452="Height FIX", ", H FIX",I452="Width", ", W", I452="", "")</f>
        <v/>
      </c>
      <c r="F452" s="33" t="str" cm="1">
        <f t="array" ref="F452">_xlfn.XLOOKUP(1,((SKUs!$A$2:$A$10001=cl_unmerged!B452) * (ISNUMBER(SEARCH("Bead",SKUs!$J$2:$J$10001)))* (ISNUMBER(SEARCH(A452,SKUs!$C$2:$C$10001)))), SKUs!$C$2:$C$10001,"")</f>
        <v/>
      </c>
      <c r="G452" s="16"/>
      <c r="H452" s="16" t="str" cm="1">
        <f t="array" ref="H452">IF(C452&lt;&gt;"", _xlfn.IFS(I452="Height",_xlfn.XLOOKUP(C452,calc_s60!$C$15:$C$1000,calc_s60!$AB$15:$AB$1000,"",0), I452="Width", _xlfn.XLOOKUP(C452,calc_s60!$C$15:$C$1000,calc_s60!$AD$15:$AD$1000,"",0)),"")</f>
        <v/>
      </c>
      <c r="I452" s="16" t="str">
        <f t="shared" si="9"/>
        <v/>
      </c>
    </row>
    <row r="453" spans="1:9" ht="13.5" customHeight="1" x14ac:dyDescent="0.25">
      <c r="A453" s="41" t="str">
        <f>_xlfn.XLOOKUP(G453,dd_color!$A$2:$A$8,dd_color!$B$2:$B$8,"",0)</f>
        <v/>
      </c>
      <c r="B453" s="41">
        <f>_xlfn.XLOOKUP(_xlfn.XLOOKUP(C453,'Project Details'!$C$17:$C$10003,'Project Details'!$E$17:$E$10003, "",0),dd_design_raw!$A$2:$A$9997,dd_design_raw!$C$2:$C$9997,"",0)</f>
        <v>0</v>
      </c>
      <c r="C453" s="16"/>
      <c r="D453" s="16" t="str" cm="1">
        <f t="array" ref="D453">IF(C453&lt;&gt;"", _xlfn.IFS(I453="Height",_xlfn.XLOOKUP(C453,calc_s60!$C$15:$C$1000,calc_s60!$AC$15:$AC$1000,"",0),  I453="Width", _xlfn.XLOOKUP(C453,calc_s60!$C$15:$C$1000,calc_s60!$AE$15:$AE$1000,"",0)),"")</f>
        <v/>
      </c>
      <c r="E453" s="16" t="str" cm="1">
        <f t="array" ref="E453">IF(C453&lt;&gt;"", _xlfn.XLOOKUP(1,((SKUs!$A$2:$A$10001=cl_unmerged!B453) * (ISNUMBER(SEARCH("Bead",SKUs!$J$2:$J$10001)))), SKUs!$J$2:$J$10001,""),"") &amp; IF(C453&lt;&gt;"", " (Frame)","") &amp; _xlfn.IFS(I453="Height", ", H",I453="Height SLI", ", H SLI", I453="Height FIX", ", H FIX",I453="Width", ", W", I453="", "")</f>
        <v/>
      </c>
      <c r="F453" s="33" t="str" cm="1">
        <f t="array" ref="F453">_xlfn.XLOOKUP(1,((SKUs!$A$2:$A$10001=cl_unmerged!B453) * (ISNUMBER(SEARCH("Bead",SKUs!$J$2:$J$10001)))* (ISNUMBER(SEARCH(A453,SKUs!$C$2:$C$10001)))), SKUs!$C$2:$C$10001,"")</f>
        <v/>
      </c>
      <c r="G453" s="16"/>
      <c r="H453" s="16" t="str" cm="1">
        <f t="array" ref="H453">IF(C453&lt;&gt;"", _xlfn.IFS(I453="Height",_xlfn.XLOOKUP(C453,calc_s60!$C$15:$C$1000,calc_s60!$AB$15:$AB$1000,"",0), I453="Width", _xlfn.XLOOKUP(C453,calc_s60!$C$15:$C$1000,calc_s60!$AD$15:$AD$1000,"",0)),"")</f>
        <v/>
      </c>
      <c r="I453" s="16" t="str">
        <f t="shared" si="9"/>
        <v/>
      </c>
    </row>
    <row r="454" spans="1:9" ht="13.5" customHeight="1" x14ac:dyDescent="0.25">
      <c r="A454" s="41" t="str">
        <f>_xlfn.XLOOKUP(G454,dd_color!$A$2:$A$8,dd_color!$B$2:$B$8,"",0)</f>
        <v/>
      </c>
      <c r="B454" s="41">
        <f>_xlfn.XLOOKUP(_xlfn.XLOOKUP(C454,'Project Details'!$C$17:$C$10003,'Project Details'!$E$17:$E$10003, "",0),dd_design_raw!$A$2:$A$9997,dd_design_raw!$C$2:$C$9997,"",0)</f>
        <v>0</v>
      </c>
      <c r="C454" s="16"/>
      <c r="D454" s="16" t="str" cm="1">
        <f t="array" ref="D454">IF(C454&lt;&gt;"", _xlfn.IFS(I454="Height",_xlfn.XLOOKUP(C454,calc_s60!$C$15:$C$1000,calc_s60!$AC$15:$AC$1000,"",0),  I454="Width", _xlfn.XLOOKUP(C454,calc_s60!$C$15:$C$1000,calc_s60!$AE$15:$AE$1000,"",0)),"")</f>
        <v/>
      </c>
      <c r="E454" s="16" t="str" cm="1">
        <f t="array" ref="E454">IF(C454&lt;&gt;"", _xlfn.XLOOKUP(1,((SKUs!$A$2:$A$10001=cl_unmerged!B454) * (ISNUMBER(SEARCH("Bead",SKUs!$J$2:$J$10001)))), SKUs!$J$2:$J$10001,""),"") &amp; IF(C454&lt;&gt;"", " (Frame)","") &amp; _xlfn.IFS(I454="Height", ", H",I454="Height SLI", ", H SLI", I454="Height FIX", ", H FIX",I454="Width", ", W", I454="", "")</f>
        <v/>
      </c>
      <c r="F454" s="33" t="str" cm="1">
        <f t="array" ref="F454">_xlfn.XLOOKUP(1,((SKUs!$A$2:$A$10001=cl_unmerged!B454) * (ISNUMBER(SEARCH("Bead",SKUs!$J$2:$J$10001)))* (ISNUMBER(SEARCH(A454,SKUs!$C$2:$C$10001)))), SKUs!$C$2:$C$10001,"")</f>
        <v/>
      </c>
      <c r="G454" s="16"/>
      <c r="H454" s="16" t="str" cm="1">
        <f t="array" ref="H454">IF(C454&lt;&gt;"", _xlfn.IFS(I454="Height",_xlfn.XLOOKUP(C454,calc_s60!$C$15:$C$1000,calc_s60!$AB$15:$AB$1000,"",0), I454="Width", _xlfn.XLOOKUP(C454,calc_s60!$C$15:$C$1000,calc_s60!$AD$15:$AD$1000,"",0)),"")</f>
        <v/>
      </c>
      <c r="I454" s="16" t="str">
        <f t="shared" si="9"/>
        <v/>
      </c>
    </row>
    <row r="455" spans="1:9" ht="13.5" customHeight="1" x14ac:dyDescent="0.25">
      <c r="A455" s="41" t="str">
        <f>_xlfn.XLOOKUP(G455,dd_color!$A$2:$A$8,dd_color!$B$2:$B$8,"",0)</f>
        <v/>
      </c>
      <c r="B455" s="41">
        <f>_xlfn.XLOOKUP(_xlfn.XLOOKUP(C455,'Project Details'!$C$17:$C$10003,'Project Details'!$E$17:$E$10003, "",0),dd_design_raw!$A$2:$A$9997,dd_design_raw!$C$2:$C$9997,"",0)</f>
        <v>0</v>
      </c>
      <c r="C455" s="16"/>
      <c r="D455" s="16" t="str" cm="1">
        <f t="array" ref="D455">IF(C455&lt;&gt;"", _xlfn.IFS(I455="Height",_xlfn.XLOOKUP(C455,calc_s60!$C$15:$C$1000,calc_s60!$AC$15:$AC$1000,"",0),  I455="Width", _xlfn.XLOOKUP(C455,calc_s60!$C$15:$C$1000,calc_s60!$AE$15:$AE$1000,"",0)),"")</f>
        <v/>
      </c>
      <c r="E455" s="16" t="str" cm="1">
        <f t="array" ref="E455">IF(C455&lt;&gt;"", _xlfn.XLOOKUP(1,((SKUs!$A$2:$A$10001=cl_unmerged!B455) * (ISNUMBER(SEARCH("Bead",SKUs!$J$2:$J$10001)))), SKUs!$J$2:$J$10001,""),"") &amp; IF(C455&lt;&gt;"", " (Frame)","") &amp; _xlfn.IFS(I455="Height", ", H",I455="Height SLI", ", H SLI", I455="Height FIX", ", H FIX",I455="Width", ", W", I455="", "")</f>
        <v/>
      </c>
      <c r="F455" s="33" t="str" cm="1">
        <f t="array" ref="F455">_xlfn.XLOOKUP(1,((SKUs!$A$2:$A$10001=cl_unmerged!B455) * (ISNUMBER(SEARCH("Bead",SKUs!$J$2:$J$10001)))* (ISNUMBER(SEARCH(A455,SKUs!$C$2:$C$10001)))), SKUs!$C$2:$C$10001,"")</f>
        <v/>
      </c>
      <c r="G455" s="16"/>
      <c r="H455" s="16" t="str" cm="1">
        <f t="array" ref="H455">IF(C455&lt;&gt;"", _xlfn.IFS(I455="Height",_xlfn.XLOOKUP(C455,calc_s60!$C$15:$C$1000,calc_s60!$AB$15:$AB$1000,"",0), I455="Width", _xlfn.XLOOKUP(C455,calc_s60!$C$15:$C$1000,calc_s60!$AD$15:$AD$1000,"",0)),"")</f>
        <v/>
      </c>
      <c r="I455" s="16" t="str">
        <f t="shared" si="9"/>
        <v/>
      </c>
    </row>
    <row r="456" spans="1:9" ht="13.5" customHeight="1" x14ac:dyDescent="0.25">
      <c r="A456" s="41" t="str">
        <f>_xlfn.XLOOKUP(G456,dd_color!$A$2:$A$8,dd_color!$B$2:$B$8,"",0)</f>
        <v/>
      </c>
      <c r="B456" s="41">
        <f>_xlfn.XLOOKUP(_xlfn.XLOOKUP(C456,'Project Details'!$C$17:$C$10003,'Project Details'!$E$17:$E$10003, "",0),dd_design_raw!$A$2:$A$9997,dd_design_raw!$C$2:$C$9997,"",0)</f>
        <v>0</v>
      </c>
      <c r="C456" s="16"/>
      <c r="D456" s="16" t="str" cm="1">
        <f t="array" ref="D456">IF(C456&lt;&gt;"", _xlfn.IFS(I456="Height",_xlfn.XLOOKUP(C456,calc_s60!$C$15:$C$1000,calc_s60!$AC$15:$AC$1000,"",0),  I456="Width", _xlfn.XLOOKUP(C456,calc_s60!$C$15:$C$1000,calc_s60!$AE$15:$AE$1000,"",0)),"")</f>
        <v/>
      </c>
      <c r="E456" s="16" t="str" cm="1">
        <f t="array" ref="E456">IF(C456&lt;&gt;"", _xlfn.XLOOKUP(1,((SKUs!$A$2:$A$10001=cl_unmerged!B456) * (ISNUMBER(SEARCH("Bead",SKUs!$J$2:$J$10001)))), SKUs!$J$2:$J$10001,""),"") &amp; IF(C456&lt;&gt;"", " (Frame)","") &amp; _xlfn.IFS(I456="Height", ", H",I456="Height SLI", ", H SLI", I456="Height FIX", ", H FIX",I456="Width", ", W", I456="", "")</f>
        <v/>
      </c>
      <c r="F456" s="33" t="str" cm="1">
        <f t="array" ref="F456">_xlfn.XLOOKUP(1,((SKUs!$A$2:$A$10001=cl_unmerged!B456) * (ISNUMBER(SEARCH("Bead",SKUs!$J$2:$J$10001)))* (ISNUMBER(SEARCH(A456,SKUs!$C$2:$C$10001)))), SKUs!$C$2:$C$10001,"")</f>
        <v/>
      </c>
      <c r="G456" s="16"/>
      <c r="H456" s="16" t="str" cm="1">
        <f t="array" ref="H456">IF(C456&lt;&gt;"", _xlfn.IFS(I456="Height",_xlfn.XLOOKUP(C456,calc_s60!$C$15:$C$1000,calc_s60!$AB$15:$AB$1000,"",0), I456="Width", _xlfn.XLOOKUP(C456,calc_s60!$C$15:$C$1000,calc_s60!$AD$15:$AD$1000,"",0)),"")</f>
        <v/>
      </c>
      <c r="I456" s="16" t="str">
        <f t="shared" si="9"/>
        <v/>
      </c>
    </row>
    <row r="457" spans="1:9" ht="13.5" customHeight="1" x14ac:dyDescent="0.25">
      <c r="A457" s="41" t="str">
        <f>_xlfn.XLOOKUP(G457,dd_color!$A$2:$A$8,dd_color!$B$2:$B$8,"",0)</f>
        <v/>
      </c>
      <c r="B457" s="41">
        <f>_xlfn.XLOOKUP(_xlfn.XLOOKUP(C457,'Project Details'!$C$17:$C$10003,'Project Details'!$E$17:$E$10003, "",0),dd_design_raw!$A$2:$A$9997,dd_design_raw!$C$2:$C$9997,"",0)</f>
        <v>0</v>
      </c>
      <c r="C457" s="16"/>
      <c r="D457" s="16" t="str" cm="1">
        <f t="array" ref="D457">IF(C457&lt;&gt;"", _xlfn.IFS(I457="Height",_xlfn.XLOOKUP(C457,calc_s60!$C$15:$C$1000,calc_s60!$AC$15:$AC$1000,"",0),  I457="Width", _xlfn.XLOOKUP(C457,calc_s60!$C$15:$C$1000,calc_s60!$AE$15:$AE$1000,"",0)),"")</f>
        <v/>
      </c>
      <c r="E457" s="16" t="str" cm="1">
        <f t="array" ref="E457">IF(C457&lt;&gt;"", _xlfn.XLOOKUP(1,((SKUs!$A$2:$A$10001=cl_unmerged!B457) * (ISNUMBER(SEARCH("Bead",SKUs!$J$2:$J$10001)))), SKUs!$J$2:$J$10001,""),"") &amp; IF(C457&lt;&gt;"", " (Frame)","") &amp; _xlfn.IFS(I457="Height", ", H",I457="Height SLI", ", H SLI", I457="Height FIX", ", H FIX",I457="Width", ", W", I457="", "")</f>
        <v/>
      </c>
      <c r="F457" s="33" t="str" cm="1">
        <f t="array" ref="F457">_xlfn.XLOOKUP(1,((SKUs!$A$2:$A$10001=cl_unmerged!B457) * (ISNUMBER(SEARCH("Bead",SKUs!$J$2:$J$10001)))* (ISNUMBER(SEARCH(A457,SKUs!$C$2:$C$10001)))), SKUs!$C$2:$C$10001,"")</f>
        <v/>
      </c>
      <c r="G457" s="16"/>
      <c r="H457" s="16" t="str" cm="1">
        <f t="array" ref="H457">IF(C457&lt;&gt;"", _xlfn.IFS(I457="Height",_xlfn.XLOOKUP(C457,calc_s60!$C$15:$C$1000,calc_s60!$AB$15:$AB$1000,"",0), I457="Width", _xlfn.XLOOKUP(C457,calc_s60!$C$15:$C$1000,calc_s60!$AD$15:$AD$1000,"",0)),"")</f>
        <v/>
      </c>
      <c r="I457" s="16" t="str">
        <f t="shared" si="9"/>
        <v/>
      </c>
    </row>
    <row r="458" spans="1:9" ht="13.5" customHeight="1" x14ac:dyDescent="0.25">
      <c r="A458" s="41" t="str">
        <f>_xlfn.XLOOKUP(G458,dd_color!$A$2:$A$8,dd_color!$B$2:$B$8,"",0)</f>
        <v/>
      </c>
      <c r="B458" s="41">
        <f>_xlfn.XLOOKUP(_xlfn.XLOOKUP(C458,'Project Details'!$C$17:$C$10003,'Project Details'!$E$17:$E$10003, "",0),dd_design_raw!$A$2:$A$9997,dd_design_raw!$C$2:$C$9997,"",0)</f>
        <v>0</v>
      </c>
      <c r="C458" s="16"/>
      <c r="D458" s="16" t="str" cm="1">
        <f t="array" ref="D458">IF(C458&lt;&gt;"", _xlfn.IFS(I458="Height",_xlfn.XLOOKUP(C458,calc_s60!$C$15:$C$1000,calc_s60!$AC$15:$AC$1000,"",0),  I458="Width", _xlfn.XLOOKUP(C458,calc_s60!$C$15:$C$1000,calc_s60!$AE$15:$AE$1000,"",0)),"")</f>
        <v/>
      </c>
      <c r="E458" s="16" t="str" cm="1">
        <f t="array" ref="E458">IF(C458&lt;&gt;"", _xlfn.XLOOKUP(1,((SKUs!$A$2:$A$10001=cl_unmerged!B458) * (ISNUMBER(SEARCH("Bead",SKUs!$J$2:$J$10001)))), SKUs!$J$2:$J$10001,""),"") &amp; IF(C458&lt;&gt;"", " (Frame)","") &amp; _xlfn.IFS(I458="Height", ", H",I458="Height SLI", ", H SLI", I458="Height FIX", ", H FIX",I458="Width", ", W", I458="", "")</f>
        <v/>
      </c>
      <c r="F458" s="33" t="str" cm="1">
        <f t="array" ref="F458">_xlfn.XLOOKUP(1,((SKUs!$A$2:$A$10001=cl_unmerged!B458) * (ISNUMBER(SEARCH("Bead",SKUs!$J$2:$J$10001)))* (ISNUMBER(SEARCH(A458,SKUs!$C$2:$C$10001)))), SKUs!$C$2:$C$10001,"")</f>
        <v/>
      </c>
      <c r="G458" s="16"/>
      <c r="H458" s="16" t="str" cm="1">
        <f t="array" ref="H458">IF(C458&lt;&gt;"", _xlfn.IFS(I458="Height",_xlfn.XLOOKUP(C458,calc_s60!$C$15:$C$1000,calc_s60!$AB$15:$AB$1000,"",0), I458="Width", _xlfn.XLOOKUP(C458,calc_s60!$C$15:$C$1000,calc_s60!$AD$15:$AD$1000,"",0)),"")</f>
        <v/>
      </c>
      <c r="I458" s="16" t="str">
        <f t="shared" si="9"/>
        <v/>
      </c>
    </row>
    <row r="459" spans="1:9" ht="13.5" customHeight="1" x14ac:dyDescent="0.25">
      <c r="A459" s="41" t="str">
        <f>_xlfn.XLOOKUP(G459,dd_color!$A$2:$A$8,dd_color!$B$2:$B$8,"",0)</f>
        <v/>
      </c>
      <c r="B459" s="41">
        <f>_xlfn.XLOOKUP(_xlfn.XLOOKUP(C459,'Project Details'!$C$17:$C$10003,'Project Details'!$E$17:$E$10003, "",0),dd_design_raw!$A$2:$A$9997,dd_design_raw!$C$2:$C$9997,"",0)</f>
        <v>0</v>
      </c>
      <c r="C459" s="16"/>
      <c r="D459" s="16" t="str" cm="1">
        <f t="array" ref="D459">IF(C459&lt;&gt;"", _xlfn.IFS(I459="Height",_xlfn.XLOOKUP(C459,calc_s60!$C$15:$C$1000,calc_s60!$AC$15:$AC$1000,"",0),  I459="Width", _xlfn.XLOOKUP(C459,calc_s60!$C$15:$C$1000,calc_s60!$AE$15:$AE$1000,"",0)),"")</f>
        <v/>
      </c>
      <c r="E459" s="16" t="str" cm="1">
        <f t="array" ref="E459">IF(C459&lt;&gt;"", _xlfn.XLOOKUP(1,((SKUs!$A$2:$A$10001=cl_unmerged!B459) * (ISNUMBER(SEARCH("Bead",SKUs!$J$2:$J$10001)))), SKUs!$J$2:$J$10001,""),"") &amp; IF(C459&lt;&gt;"", " (Frame)","") &amp; _xlfn.IFS(I459="Height", ", H",I459="Height SLI", ", H SLI", I459="Height FIX", ", H FIX",I459="Width", ", W", I459="", "")</f>
        <v/>
      </c>
      <c r="F459" s="33" t="str" cm="1">
        <f t="array" ref="F459">_xlfn.XLOOKUP(1,((SKUs!$A$2:$A$10001=cl_unmerged!B459) * (ISNUMBER(SEARCH("Bead",SKUs!$J$2:$J$10001)))* (ISNUMBER(SEARCH(A459,SKUs!$C$2:$C$10001)))), SKUs!$C$2:$C$10001,"")</f>
        <v/>
      </c>
      <c r="G459" s="16"/>
      <c r="H459" s="16" t="str" cm="1">
        <f t="array" ref="H459">IF(C459&lt;&gt;"", _xlfn.IFS(I459="Height",_xlfn.XLOOKUP(C459,calc_s60!$C$15:$C$1000,calc_s60!$AB$15:$AB$1000,"",0), I459="Width", _xlfn.XLOOKUP(C459,calc_s60!$C$15:$C$1000,calc_s60!$AD$15:$AD$1000,"",0)),"")</f>
        <v/>
      </c>
      <c r="I459" s="16" t="str">
        <f t="shared" si="9"/>
        <v/>
      </c>
    </row>
    <row r="460" spans="1:9" ht="13.5" customHeight="1" x14ac:dyDescent="0.25">
      <c r="A460" s="41" t="str">
        <f>_xlfn.XLOOKUP(G460,dd_color!$A$2:$A$8,dd_color!$B$2:$B$8,"",0)</f>
        <v/>
      </c>
      <c r="B460" s="41">
        <f>_xlfn.XLOOKUP(_xlfn.XLOOKUP(C460,'Project Details'!$C$17:$C$10003,'Project Details'!$E$17:$E$10003, "",0),dd_design_raw!$A$2:$A$9997,dd_design_raw!$C$2:$C$9997,"",0)</f>
        <v>0</v>
      </c>
      <c r="C460" s="16"/>
      <c r="D460" s="16" t="str" cm="1">
        <f t="array" ref="D460">IF(C460&lt;&gt;"", _xlfn.IFS(I460="Height",_xlfn.XLOOKUP(C460,calc_s60!$C$15:$C$1000,calc_s60!$AC$15:$AC$1000,"",0),  I460="Width", _xlfn.XLOOKUP(C460,calc_s60!$C$15:$C$1000,calc_s60!$AE$15:$AE$1000,"",0)),"")</f>
        <v/>
      </c>
      <c r="E460" s="16" t="str" cm="1">
        <f t="array" ref="E460">IF(C460&lt;&gt;"", _xlfn.XLOOKUP(1,((SKUs!$A$2:$A$10001=cl_unmerged!B460) * (ISNUMBER(SEARCH("Bead",SKUs!$J$2:$J$10001)))), SKUs!$J$2:$J$10001,""),"") &amp; IF(C460&lt;&gt;"", " (Frame)","") &amp; _xlfn.IFS(I460="Height", ", H",I460="Height SLI", ", H SLI", I460="Height FIX", ", H FIX",I460="Width", ", W", I460="", "")</f>
        <v/>
      </c>
      <c r="F460" s="33" t="str" cm="1">
        <f t="array" ref="F460">_xlfn.XLOOKUP(1,((SKUs!$A$2:$A$10001=cl_unmerged!B460) * (ISNUMBER(SEARCH("Bead",SKUs!$J$2:$J$10001)))* (ISNUMBER(SEARCH(A460,SKUs!$C$2:$C$10001)))), SKUs!$C$2:$C$10001,"")</f>
        <v/>
      </c>
      <c r="G460" s="16"/>
      <c r="H460" s="16" t="str" cm="1">
        <f t="array" ref="H460">IF(C460&lt;&gt;"", _xlfn.IFS(I460="Height",_xlfn.XLOOKUP(C460,calc_s60!$C$15:$C$1000,calc_s60!$AB$15:$AB$1000,"",0), I460="Width", _xlfn.XLOOKUP(C460,calc_s60!$C$15:$C$1000,calc_s60!$AD$15:$AD$1000,"",0)),"")</f>
        <v/>
      </c>
      <c r="I460" s="16" t="str">
        <f t="shared" si="9"/>
        <v/>
      </c>
    </row>
    <row r="461" spans="1:9" ht="13.5" customHeight="1" x14ac:dyDescent="0.25">
      <c r="A461" s="41" t="str">
        <f>_xlfn.XLOOKUP(G461,dd_color!$A$2:$A$8,dd_color!$B$2:$B$8,"",0)</f>
        <v/>
      </c>
      <c r="B461" s="41">
        <f>_xlfn.XLOOKUP(_xlfn.XLOOKUP(C461,'Project Details'!$C$17:$C$10003,'Project Details'!$E$17:$E$10003, "",0),dd_design_raw!$A$2:$A$9997,dd_design_raw!$C$2:$C$9997,"",0)</f>
        <v>0</v>
      </c>
      <c r="C461" s="16"/>
      <c r="D461" s="16" t="str" cm="1">
        <f t="array" ref="D461">IF(C461&lt;&gt;"", _xlfn.IFS(I461="Height",_xlfn.XLOOKUP(C461,calc_s60!$C$15:$C$1000,calc_s60!$AC$15:$AC$1000,"",0),  I461="Width", _xlfn.XLOOKUP(C461,calc_s60!$C$15:$C$1000,calc_s60!$AE$15:$AE$1000,"",0)),"")</f>
        <v/>
      </c>
      <c r="E461" s="16" t="str" cm="1">
        <f t="array" ref="E461">IF(C461&lt;&gt;"", _xlfn.XLOOKUP(1,((SKUs!$A$2:$A$10001=cl_unmerged!B461) * (ISNUMBER(SEARCH("Bead",SKUs!$J$2:$J$10001)))), SKUs!$J$2:$J$10001,""),"") &amp; IF(C461&lt;&gt;"", " (Frame)","") &amp; _xlfn.IFS(I461="Height", ", H",I461="Height SLI", ", H SLI", I461="Height FIX", ", H FIX",I461="Width", ", W", I461="", "")</f>
        <v/>
      </c>
      <c r="F461" s="33" t="str" cm="1">
        <f t="array" ref="F461">_xlfn.XLOOKUP(1,((SKUs!$A$2:$A$10001=cl_unmerged!B461) * (ISNUMBER(SEARCH("Bead",SKUs!$J$2:$J$10001)))* (ISNUMBER(SEARCH(A461,SKUs!$C$2:$C$10001)))), SKUs!$C$2:$C$10001,"")</f>
        <v/>
      </c>
      <c r="G461" s="16"/>
      <c r="H461" s="16" t="str" cm="1">
        <f t="array" ref="H461">IF(C461&lt;&gt;"", _xlfn.IFS(I461="Height",_xlfn.XLOOKUP(C461,calc_s60!$C$15:$C$1000,calc_s60!$AB$15:$AB$1000,"",0), I461="Width", _xlfn.XLOOKUP(C461,calc_s60!$C$15:$C$1000,calc_s60!$AD$15:$AD$1000,"",0)),"")</f>
        <v/>
      </c>
      <c r="I461" s="16" t="str">
        <f t="shared" si="9"/>
        <v/>
      </c>
    </row>
    <row r="462" spans="1:9" ht="13.5" customHeight="1" x14ac:dyDescent="0.25">
      <c r="A462" s="41" t="str">
        <f>_xlfn.XLOOKUP(G462,dd_color!$A$2:$A$8,dd_color!$B$2:$B$8,"",0)</f>
        <v/>
      </c>
      <c r="B462" s="41">
        <f>_xlfn.XLOOKUP(_xlfn.XLOOKUP(C462,'Project Details'!$C$17:$C$10003,'Project Details'!$E$17:$E$10003, "",0),dd_design_raw!$A$2:$A$9997,dd_design_raw!$C$2:$C$9997,"",0)</f>
        <v>0</v>
      </c>
      <c r="C462" s="16"/>
      <c r="D462" s="16" t="str" cm="1">
        <f t="array" ref="D462">IF(C462&lt;&gt;"", _xlfn.IFS(I462="Height",_xlfn.XLOOKUP(C462,calc_s60!$C$15:$C$1000,calc_s60!$AC$15:$AC$1000,"",0),  I462="Width", _xlfn.XLOOKUP(C462,calc_s60!$C$15:$C$1000,calc_s60!$AE$15:$AE$1000,"",0)),"")</f>
        <v/>
      </c>
      <c r="E462" s="16" t="str" cm="1">
        <f t="array" ref="E462">IF(C462&lt;&gt;"", _xlfn.XLOOKUP(1,((SKUs!$A$2:$A$10001=cl_unmerged!B462) * (ISNUMBER(SEARCH("Bead",SKUs!$J$2:$J$10001)))), SKUs!$J$2:$J$10001,""),"") &amp; IF(C462&lt;&gt;"", " (Frame)","") &amp; _xlfn.IFS(I462="Height", ", H",I462="Height SLI", ", H SLI", I462="Height FIX", ", H FIX",I462="Width", ", W", I462="", "")</f>
        <v/>
      </c>
      <c r="F462" s="33" t="str" cm="1">
        <f t="array" ref="F462">_xlfn.XLOOKUP(1,((SKUs!$A$2:$A$10001=cl_unmerged!B462) * (ISNUMBER(SEARCH("Bead",SKUs!$J$2:$J$10001)))* (ISNUMBER(SEARCH(A462,SKUs!$C$2:$C$10001)))), SKUs!$C$2:$C$10001,"")</f>
        <v/>
      </c>
      <c r="G462" s="16"/>
      <c r="H462" s="16" t="str" cm="1">
        <f t="array" ref="H462">IF(C462&lt;&gt;"", _xlfn.IFS(I462="Height",_xlfn.XLOOKUP(C462,calc_s60!$C$15:$C$1000,calc_s60!$AB$15:$AB$1000,"",0), I462="Width", _xlfn.XLOOKUP(C462,calc_s60!$C$15:$C$1000,calc_s60!$AD$15:$AD$1000,"",0)),"")</f>
        <v/>
      </c>
      <c r="I462" s="16" t="str">
        <f t="shared" si="9"/>
        <v/>
      </c>
    </row>
    <row r="463" spans="1:9" ht="13.5" customHeight="1" x14ac:dyDescent="0.25">
      <c r="A463" s="41" t="str">
        <f>_xlfn.XLOOKUP(G463,dd_color!$A$2:$A$8,dd_color!$B$2:$B$8,"",0)</f>
        <v/>
      </c>
      <c r="B463" s="41">
        <f>_xlfn.XLOOKUP(_xlfn.XLOOKUP(C463,'Project Details'!$C$17:$C$10003,'Project Details'!$E$17:$E$10003, "",0),dd_design_raw!$A$2:$A$9997,dd_design_raw!$C$2:$C$9997,"",0)</f>
        <v>0</v>
      </c>
      <c r="C463" s="16"/>
      <c r="D463" s="16" t="str" cm="1">
        <f t="array" ref="D463">IF(C463&lt;&gt;"", _xlfn.IFS(I463="Height",_xlfn.XLOOKUP(C463,calc_s60!$C$15:$C$1000,calc_s60!$AC$15:$AC$1000,"",0),  I463="Width", _xlfn.XLOOKUP(C463,calc_s60!$C$15:$C$1000,calc_s60!$AE$15:$AE$1000,"",0)),"")</f>
        <v/>
      </c>
      <c r="E463" s="16" t="str" cm="1">
        <f t="array" ref="E463">IF(C463&lt;&gt;"", _xlfn.XLOOKUP(1,((SKUs!$A$2:$A$10001=cl_unmerged!B463) * (ISNUMBER(SEARCH("Bead",SKUs!$J$2:$J$10001)))), SKUs!$J$2:$J$10001,""),"") &amp; IF(C463&lt;&gt;"", " (Frame)","") &amp; _xlfn.IFS(I463="Height", ", H",I463="Height SLI", ", H SLI", I463="Height FIX", ", H FIX",I463="Width", ", W", I463="", "")</f>
        <v/>
      </c>
      <c r="F463" s="33" t="str" cm="1">
        <f t="array" ref="F463">_xlfn.XLOOKUP(1,((SKUs!$A$2:$A$10001=cl_unmerged!B463) * (ISNUMBER(SEARCH("Bead",SKUs!$J$2:$J$10001)))* (ISNUMBER(SEARCH(A463,SKUs!$C$2:$C$10001)))), SKUs!$C$2:$C$10001,"")</f>
        <v/>
      </c>
      <c r="G463" s="16"/>
      <c r="H463" s="16" t="str" cm="1">
        <f t="array" ref="H463">IF(C463&lt;&gt;"", _xlfn.IFS(I463="Height",_xlfn.XLOOKUP(C463,calc_s60!$C$15:$C$1000,calc_s60!$AB$15:$AB$1000,"",0), I463="Width", _xlfn.XLOOKUP(C463,calc_s60!$C$15:$C$1000,calc_s60!$AD$15:$AD$1000,"",0)),"")</f>
        <v/>
      </c>
      <c r="I463" s="16" t="str">
        <f t="shared" si="9"/>
        <v/>
      </c>
    </row>
    <row r="464" spans="1:9" ht="13.5" customHeight="1" x14ac:dyDescent="0.25">
      <c r="A464" s="41" t="str">
        <f>_xlfn.XLOOKUP(G464,dd_color!$A$2:$A$8,dd_color!$B$2:$B$8,"",0)</f>
        <v/>
      </c>
      <c r="B464" s="41">
        <f>_xlfn.XLOOKUP(_xlfn.XLOOKUP(C464,'Project Details'!$C$17:$C$10003,'Project Details'!$E$17:$E$10003, "",0),dd_design_raw!$A$2:$A$9997,dd_design_raw!$C$2:$C$9997,"",0)</f>
        <v>0</v>
      </c>
      <c r="C464" s="16"/>
      <c r="D464" s="16" t="str" cm="1">
        <f t="array" ref="D464">IF(C464&lt;&gt;"", _xlfn.IFS(I464="Height",_xlfn.XLOOKUP(C464,calc_s60!$C$15:$C$1000,calc_s60!$AC$15:$AC$1000,"",0),  I464="Width", _xlfn.XLOOKUP(C464,calc_s60!$C$15:$C$1000,calc_s60!$AE$15:$AE$1000,"",0)),"")</f>
        <v/>
      </c>
      <c r="E464" s="16" t="str" cm="1">
        <f t="array" ref="E464">IF(C464&lt;&gt;"", _xlfn.XLOOKUP(1,((SKUs!$A$2:$A$10001=cl_unmerged!B464) * (ISNUMBER(SEARCH("Bead",SKUs!$J$2:$J$10001)))), SKUs!$J$2:$J$10001,""),"") &amp; IF(C464&lt;&gt;"", " (Frame)","") &amp; _xlfn.IFS(I464="Height", ", H",I464="Height SLI", ", H SLI", I464="Height FIX", ", H FIX",I464="Width", ", W", I464="", "")</f>
        <v/>
      </c>
      <c r="F464" s="33" t="str" cm="1">
        <f t="array" ref="F464">_xlfn.XLOOKUP(1,((SKUs!$A$2:$A$10001=cl_unmerged!B464) * (ISNUMBER(SEARCH("Bead",SKUs!$J$2:$J$10001)))* (ISNUMBER(SEARCH(A464,SKUs!$C$2:$C$10001)))), SKUs!$C$2:$C$10001,"")</f>
        <v/>
      </c>
      <c r="G464" s="16"/>
      <c r="H464" s="16" t="str" cm="1">
        <f t="array" ref="H464">IF(C464&lt;&gt;"", _xlfn.IFS(I464="Height",_xlfn.XLOOKUP(C464,calc_s60!$C$15:$C$1000,calc_s60!$AB$15:$AB$1000,"",0), I464="Width", _xlfn.XLOOKUP(C464,calc_s60!$C$15:$C$1000,calc_s60!$AD$15:$AD$1000,"",0)),"")</f>
        <v/>
      </c>
      <c r="I464" s="16" t="str">
        <f t="shared" si="9"/>
        <v/>
      </c>
    </row>
    <row r="465" spans="1:9" ht="13.5" customHeight="1" x14ac:dyDescent="0.25">
      <c r="A465" s="41" t="str">
        <f>_xlfn.XLOOKUP(G465,dd_color!$A$2:$A$8,dd_color!$B$2:$B$8,"",0)</f>
        <v/>
      </c>
      <c r="B465" s="41">
        <f>_xlfn.XLOOKUP(_xlfn.XLOOKUP(C465,'Project Details'!$C$17:$C$10003,'Project Details'!$E$17:$E$10003, "",0),dd_design_raw!$A$2:$A$9997,dd_design_raw!$C$2:$C$9997,"",0)</f>
        <v>0</v>
      </c>
      <c r="C465" s="16"/>
      <c r="D465" s="16" t="str" cm="1">
        <f t="array" ref="D465">IF(C465&lt;&gt;"", _xlfn.IFS(I465="Height",_xlfn.XLOOKUP(C465,calc_s60!$C$15:$C$1000,calc_s60!$AC$15:$AC$1000,"",0),  I465="Width", _xlfn.XLOOKUP(C465,calc_s60!$C$15:$C$1000,calc_s60!$AE$15:$AE$1000,"",0)),"")</f>
        <v/>
      </c>
      <c r="E465" s="16" t="str" cm="1">
        <f t="array" ref="E465">IF(C465&lt;&gt;"", _xlfn.XLOOKUP(1,((SKUs!$A$2:$A$10001=cl_unmerged!B465) * (ISNUMBER(SEARCH("Bead",SKUs!$J$2:$J$10001)))), SKUs!$J$2:$J$10001,""),"") &amp; IF(C465&lt;&gt;"", " (Frame)","") &amp; _xlfn.IFS(I465="Height", ", H",I465="Height SLI", ", H SLI", I465="Height FIX", ", H FIX",I465="Width", ", W", I465="", "")</f>
        <v/>
      </c>
      <c r="F465" s="33" t="str" cm="1">
        <f t="array" ref="F465">_xlfn.XLOOKUP(1,((SKUs!$A$2:$A$10001=cl_unmerged!B465) * (ISNUMBER(SEARCH("Bead",SKUs!$J$2:$J$10001)))* (ISNUMBER(SEARCH(A465,SKUs!$C$2:$C$10001)))), SKUs!$C$2:$C$10001,"")</f>
        <v/>
      </c>
      <c r="G465" s="16"/>
      <c r="H465" s="16" t="str" cm="1">
        <f t="array" ref="H465">IF(C465&lt;&gt;"", _xlfn.IFS(I465="Height",_xlfn.XLOOKUP(C465,calc_s60!$C$15:$C$1000,calc_s60!$AB$15:$AB$1000,"",0), I465="Width", _xlfn.XLOOKUP(C465,calc_s60!$C$15:$C$1000,calc_s60!$AD$15:$AD$1000,"",0)),"")</f>
        <v/>
      </c>
      <c r="I465" s="16" t="str">
        <f t="shared" si="9"/>
        <v/>
      </c>
    </row>
    <row r="466" spans="1:9" ht="13.5" customHeight="1" x14ac:dyDescent="0.25">
      <c r="A466" s="41" t="str">
        <f>_xlfn.XLOOKUP(G466,dd_color!$A$2:$A$8,dd_color!$B$2:$B$8,"",0)</f>
        <v/>
      </c>
      <c r="B466" s="41">
        <f>_xlfn.XLOOKUP(_xlfn.XLOOKUP(C466,'Project Details'!$C$17:$C$10003,'Project Details'!$E$17:$E$10003, "",0),dd_design_raw!$A$2:$A$9997,dd_design_raw!$C$2:$C$9997,"",0)</f>
        <v>0</v>
      </c>
      <c r="C466" s="16"/>
      <c r="D466" s="16" t="str" cm="1">
        <f t="array" ref="D466">IF(C466&lt;&gt;"", _xlfn.IFS(I466="Height",_xlfn.XLOOKUP(C466,calc_s60!$C$15:$C$1000,calc_s60!$AC$15:$AC$1000,"",0),  I466="Width", _xlfn.XLOOKUP(C466,calc_s60!$C$15:$C$1000,calc_s60!$AE$15:$AE$1000,"",0)),"")</f>
        <v/>
      </c>
      <c r="E466" s="16" t="str" cm="1">
        <f t="array" ref="E466">IF(C466&lt;&gt;"", _xlfn.XLOOKUP(1,((SKUs!$A$2:$A$10001=cl_unmerged!B466) * (ISNUMBER(SEARCH("Bead",SKUs!$J$2:$J$10001)))), SKUs!$J$2:$J$10001,""),"") &amp; IF(C466&lt;&gt;"", " (Frame)","") &amp; _xlfn.IFS(I466="Height", ", H",I466="Height SLI", ", H SLI", I466="Height FIX", ", H FIX",I466="Width", ", W", I466="", "")</f>
        <v/>
      </c>
      <c r="F466" s="33" t="str" cm="1">
        <f t="array" ref="F466">_xlfn.XLOOKUP(1,((SKUs!$A$2:$A$10001=cl_unmerged!B466) * (ISNUMBER(SEARCH("Bead",SKUs!$J$2:$J$10001)))* (ISNUMBER(SEARCH(A466,SKUs!$C$2:$C$10001)))), SKUs!$C$2:$C$10001,"")</f>
        <v/>
      </c>
      <c r="G466" s="16"/>
      <c r="H466" s="16" t="str" cm="1">
        <f t="array" ref="H466">IF(C466&lt;&gt;"", _xlfn.IFS(I466="Height",_xlfn.XLOOKUP(C466,calc_s60!$C$15:$C$1000,calc_s60!$AB$15:$AB$1000,"",0), I466="Width", _xlfn.XLOOKUP(C466,calc_s60!$C$15:$C$1000,calc_s60!$AD$15:$AD$1000,"",0)),"")</f>
        <v/>
      </c>
      <c r="I466" s="16" t="str">
        <f t="shared" si="9"/>
        <v/>
      </c>
    </row>
    <row r="467" spans="1:9" ht="13.5" customHeight="1" x14ac:dyDescent="0.25">
      <c r="A467" s="41" t="str">
        <f>_xlfn.XLOOKUP(G467,dd_color!$A$2:$A$8,dd_color!$B$2:$B$8,"",0)</f>
        <v/>
      </c>
      <c r="B467" s="41">
        <f>_xlfn.XLOOKUP(_xlfn.XLOOKUP(C467,'Project Details'!$C$17:$C$10003,'Project Details'!$E$17:$E$10003, "",0),dd_design_raw!$A$2:$A$9997,dd_design_raw!$C$2:$C$9997,"",0)</f>
        <v>0</v>
      </c>
      <c r="C467" s="16"/>
      <c r="D467" s="16" t="str" cm="1">
        <f t="array" ref="D467">IF(C467&lt;&gt;"", _xlfn.IFS(I467="Height",_xlfn.XLOOKUP(C467,calc_s60!$C$15:$C$1000,calc_s60!$AC$15:$AC$1000,"",0),  I467="Width", _xlfn.XLOOKUP(C467,calc_s60!$C$15:$C$1000,calc_s60!$AE$15:$AE$1000,"",0)),"")</f>
        <v/>
      </c>
      <c r="E467" s="16" t="str" cm="1">
        <f t="array" ref="E467">IF(C467&lt;&gt;"", _xlfn.XLOOKUP(1,((SKUs!$A$2:$A$10001=cl_unmerged!B467) * (ISNUMBER(SEARCH("Bead",SKUs!$J$2:$J$10001)))), SKUs!$J$2:$J$10001,""),"") &amp; IF(C467&lt;&gt;"", " (Frame)","") &amp; _xlfn.IFS(I467="Height", ", H",I467="Height SLI", ", H SLI", I467="Height FIX", ", H FIX",I467="Width", ", W", I467="", "")</f>
        <v/>
      </c>
      <c r="F467" s="33" t="str" cm="1">
        <f t="array" ref="F467">_xlfn.XLOOKUP(1,((SKUs!$A$2:$A$10001=cl_unmerged!B467) * (ISNUMBER(SEARCH("Bead",SKUs!$J$2:$J$10001)))* (ISNUMBER(SEARCH(A467,SKUs!$C$2:$C$10001)))), SKUs!$C$2:$C$10001,"")</f>
        <v/>
      </c>
      <c r="G467" s="16"/>
      <c r="H467" s="16" t="str" cm="1">
        <f t="array" ref="H467">IF(C467&lt;&gt;"", _xlfn.IFS(I467="Height",_xlfn.XLOOKUP(C467,calc_s60!$C$15:$C$1000,calc_s60!$AB$15:$AB$1000,"",0), I467="Width", _xlfn.XLOOKUP(C467,calc_s60!$C$15:$C$1000,calc_s60!$AD$15:$AD$1000,"",0)),"")</f>
        <v/>
      </c>
      <c r="I467" s="16" t="str">
        <f t="shared" si="9"/>
        <v/>
      </c>
    </row>
    <row r="468" spans="1:9" ht="13.5" customHeight="1" x14ac:dyDescent="0.25">
      <c r="A468" s="41" t="str">
        <f>_xlfn.XLOOKUP(G468,dd_color!$A$2:$A$8,dd_color!$B$2:$B$8,"",0)</f>
        <v/>
      </c>
      <c r="B468" s="41">
        <f>_xlfn.XLOOKUP(_xlfn.XLOOKUP(C468,'Project Details'!$C$17:$C$10003,'Project Details'!$E$17:$E$10003, "",0),dd_design_raw!$A$2:$A$9997,dd_design_raw!$C$2:$C$9997,"",0)</f>
        <v>0</v>
      </c>
      <c r="C468" s="16"/>
      <c r="D468" s="16" t="str" cm="1">
        <f t="array" ref="D468">IF(C468&lt;&gt;"", _xlfn.IFS(I468="Height",_xlfn.XLOOKUP(C468,calc_s60!$C$15:$C$1000,calc_s60!$AC$15:$AC$1000,"",0),  I468="Width", _xlfn.XLOOKUP(C468,calc_s60!$C$15:$C$1000,calc_s60!$AE$15:$AE$1000,"",0)),"")</f>
        <v/>
      </c>
      <c r="E468" s="16" t="str" cm="1">
        <f t="array" ref="E468">IF(C468&lt;&gt;"", _xlfn.XLOOKUP(1,((SKUs!$A$2:$A$10001=cl_unmerged!B468) * (ISNUMBER(SEARCH("Bead",SKUs!$J$2:$J$10001)))), SKUs!$J$2:$J$10001,""),"") &amp; IF(C468&lt;&gt;"", " (Frame)","") &amp; _xlfn.IFS(I468="Height", ", H",I468="Height SLI", ", H SLI", I468="Height FIX", ", H FIX",I468="Width", ", W", I468="", "")</f>
        <v/>
      </c>
      <c r="F468" s="33" t="str" cm="1">
        <f t="array" ref="F468">_xlfn.XLOOKUP(1,((SKUs!$A$2:$A$10001=cl_unmerged!B468) * (ISNUMBER(SEARCH("Bead",SKUs!$J$2:$J$10001)))* (ISNUMBER(SEARCH(A468,SKUs!$C$2:$C$10001)))), SKUs!$C$2:$C$10001,"")</f>
        <v/>
      </c>
      <c r="G468" s="16"/>
      <c r="H468" s="16" t="str" cm="1">
        <f t="array" ref="H468">IF(C468&lt;&gt;"", _xlfn.IFS(I468="Height",_xlfn.XLOOKUP(C468,calc_s60!$C$15:$C$1000,calc_s60!$AB$15:$AB$1000,"",0), I468="Width", _xlfn.XLOOKUP(C468,calc_s60!$C$15:$C$1000,calc_s60!$AD$15:$AD$1000,"",0)),"")</f>
        <v/>
      </c>
      <c r="I468" s="16" t="str">
        <f t="shared" si="9"/>
        <v/>
      </c>
    </row>
    <row r="469" spans="1:9" ht="13.5" customHeight="1" x14ac:dyDescent="0.25">
      <c r="A469" s="41" t="str">
        <f>_xlfn.XLOOKUP(G469,dd_color!$A$2:$A$8,dd_color!$B$2:$B$8,"",0)</f>
        <v/>
      </c>
      <c r="B469" s="41">
        <f>_xlfn.XLOOKUP(_xlfn.XLOOKUP(C469,'Project Details'!$C$17:$C$10003,'Project Details'!$E$17:$E$10003, "",0),dd_design_raw!$A$2:$A$9997,dd_design_raw!$C$2:$C$9997,"",0)</f>
        <v>0</v>
      </c>
      <c r="C469" s="16"/>
      <c r="D469" s="16" t="str" cm="1">
        <f t="array" ref="D469">IF(C469&lt;&gt;"", _xlfn.IFS(I469="Height",_xlfn.XLOOKUP(C469,calc_s60!$C$15:$C$1000,calc_s60!$AC$15:$AC$1000,"",0),  I469="Width", _xlfn.XLOOKUP(C469,calc_s60!$C$15:$C$1000,calc_s60!$AE$15:$AE$1000,"",0)),"")</f>
        <v/>
      </c>
      <c r="E469" s="16" t="str" cm="1">
        <f t="array" ref="E469">IF(C469&lt;&gt;"", _xlfn.XLOOKUP(1,((SKUs!$A$2:$A$10001=cl_unmerged!B469) * (ISNUMBER(SEARCH("Bead",SKUs!$J$2:$J$10001)))), SKUs!$J$2:$J$10001,""),"") &amp; IF(C469&lt;&gt;"", " (Frame)","") &amp; _xlfn.IFS(I469="Height", ", H",I469="Height SLI", ", H SLI", I469="Height FIX", ", H FIX",I469="Width", ", W", I469="", "")</f>
        <v/>
      </c>
      <c r="F469" s="33" t="str" cm="1">
        <f t="array" ref="F469">_xlfn.XLOOKUP(1,((SKUs!$A$2:$A$10001=cl_unmerged!B469) * (ISNUMBER(SEARCH("Bead",SKUs!$J$2:$J$10001)))* (ISNUMBER(SEARCH(A469,SKUs!$C$2:$C$10001)))), SKUs!$C$2:$C$10001,"")</f>
        <v/>
      </c>
      <c r="G469" s="16"/>
      <c r="H469" s="16" t="str" cm="1">
        <f t="array" ref="H469">IF(C469&lt;&gt;"", _xlfn.IFS(I469="Height",_xlfn.XLOOKUP(C469,calc_s60!$C$15:$C$1000,calc_s60!$AB$15:$AB$1000,"",0), I469="Width", _xlfn.XLOOKUP(C469,calc_s60!$C$15:$C$1000,calc_s60!$AD$15:$AD$1000,"",0)),"")</f>
        <v/>
      </c>
      <c r="I469" s="16" t="str">
        <f t="shared" si="9"/>
        <v/>
      </c>
    </row>
    <row r="470" spans="1:9" ht="13.5" customHeight="1" x14ac:dyDescent="0.25">
      <c r="A470" s="41" t="str">
        <f>_xlfn.XLOOKUP(G470,dd_color!$A$2:$A$8,dd_color!$B$2:$B$8,"",0)</f>
        <v/>
      </c>
      <c r="B470" s="41">
        <f>_xlfn.XLOOKUP(_xlfn.XLOOKUP(C470,'Project Details'!$C$17:$C$10003,'Project Details'!$E$17:$E$10003, "",0),dd_design_raw!$A$2:$A$9997,dd_design_raw!$C$2:$C$9997,"",0)</f>
        <v>0</v>
      </c>
      <c r="C470" s="16"/>
      <c r="D470" s="16" t="str" cm="1">
        <f t="array" ref="D470">IF(C470&lt;&gt;"", _xlfn.IFS(I470="Height",_xlfn.XLOOKUP(C470,calc_s60!$C$15:$C$1000,calc_s60!$AC$15:$AC$1000,"",0),  I470="Width", _xlfn.XLOOKUP(C470,calc_s60!$C$15:$C$1000,calc_s60!$AE$15:$AE$1000,"",0)),"")</f>
        <v/>
      </c>
      <c r="E470" s="16" t="str" cm="1">
        <f t="array" ref="E470">IF(C470&lt;&gt;"", _xlfn.XLOOKUP(1,((SKUs!$A$2:$A$10001=cl_unmerged!B470) * (ISNUMBER(SEARCH("Bead",SKUs!$J$2:$J$10001)))), SKUs!$J$2:$J$10001,""),"") &amp; IF(C470&lt;&gt;"", " (Frame)","") &amp; _xlfn.IFS(I470="Height", ", H",I470="Height SLI", ", H SLI", I470="Height FIX", ", H FIX",I470="Width", ", W", I470="", "")</f>
        <v/>
      </c>
      <c r="F470" s="33" t="str" cm="1">
        <f t="array" ref="F470">_xlfn.XLOOKUP(1,((SKUs!$A$2:$A$10001=cl_unmerged!B470) * (ISNUMBER(SEARCH("Bead",SKUs!$J$2:$J$10001)))* (ISNUMBER(SEARCH(A470,SKUs!$C$2:$C$10001)))), SKUs!$C$2:$C$10001,"")</f>
        <v/>
      </c>
      <c r="G470" s="16"/>
      <c r="H470" s="16" t="str" cm="1">
        <f t="array" ref="H470">IF(C470&lt;&gt;"", _xlfn.IFS(I470="Height",_xlfn.XLOOKUP(C470,calc_s60!$C$15:$C$1000,calc_s60!$AB$15:$AB$1000,"",0), I470="Width", _xlfn.XLOOKUP(C470,calc_s60!$C$15:$C$1000,calc_s60!$AD$15:$AD$1000,"",0)),"")</f>
        <v/>
      </c>
      <c r="I470" s="16" t="str">
        <f t="shared" si="9"/>
        <v/>
      </c>
    </row>
    <row r="471" spans="1:9" ht="13.5" customHeight="1" x14ac:dyDescent="0.25">
      <c r="A471" s="41" t="str">
        <f>_xlfn.XLOOKUP(G471,dd_color!$A$2:$A$8,dd_color!$B$2:$B$8,"",0)</f>
        <v/>
      </c>
      <c r="B471" s="41">
        <f>_xlfn.XLOOKUP(_xlfn.XLOOKUP(C471,'Project Details'!$C$17:$C$10003,'Project Details'!$E$17:$E$10003, "",0),dd_design_raw!$A$2:$A$9997,dd_design_raw!$C$2:$C$9997,"",0)</f>
        <v>0</v>
      </c>
      <c r="C471" s="16"/>
      <c r="D471" s="16" t="str" cm="1">
        <f t="array" ref="D471">IF(C471&lt;&gt;"", _xlfn.IFS(I471="Height",_xlfn.XLOOKUP(C471,calc_s60!$C$15:$C$1000,calc_s60!$AC$15:$AC$1000,"",0),  I471="Width", _xlfn.XLOOKUP(C471,calc_s60!$C$15:$C$1000,calc_s60!$AE$15:$AE$1000,"",0)),"")</f>
        <v/>
      </c>
      <c r="E471" s="16" t="str" cm="1">
        <f t="array" ref="E471">IF(C471&lt;&gt;"", _xlfn.XLOOKUP(1,((SKUs!$A$2:$A$10001=cl_unmerged!B471) * (ISNUMBER(SEARCH("Bead",SKUs!$J$2:$J$10001)))), SKUs!$J$2:$J$10001,""),"") &amp; IF(C471&lt;&gt;"", " (Frame)","") &amp; _xlfn.IFS(I471="Height", ", H",I471="Height SLI", ", H SLI", I471="Height FIX", ", H FIX",I471="Width", ", W", I471="", "")</f>
        <v/>
      </c>
      <c r="F471" s="33" t="str" cm="1">
        <f t="array" ref="F471">_xlfn.XLOOKUP(1,((SKUs!$A$2:$A$10001=cl_unmerged!B471) * (ISNUMBER(SEARCH("Bead",SKUs!$J$2:$J$10001)))* (ISNUMBER(SEARCH(A471,SKUs!$C$2:$C$10001)))), SKUs!$C$2:$C$10001,"")</f>
        <v/>
      </c>
      <c r="G471" s="16"/>
      <c r="H471" s="16" t="str" cm="1">
        <f t="array" ref="H471">IF(C471&lt;&gt;"", _xlfn.IFS(I471="Height",_xlfn.XLOOKUP(C471,calc_s60!$C$15:$C$1000,calc_s60!$AB$15:$AB$1000,"",0), I471="Width", _xlfn.XLOOKUP(C471,calc_s60!$C$15:$C$1000,calc_s60!$AD$15:$AD$1000,"",0)),"")</f>
        <v/>
      </c>
      <c r="I471" s="16" t="str">
        <f t="shared" si="9"/>
        <v/>
      </c>
    </row>
    <row r="472" spans="1:9" ht="13.5" customHeight="1" x14ac:dyDescent="0.25">
      <c r="A472" s="41" t="str">
        <f>_xlfn.XLOOKUP(G472,dd_color!$A$2:$A$8,dd_color!$B$2:$B$8,"",0)</f>
        <v/>
      </c>
      <c r="B472" s="41">
        <f>_xlfn.XLOOKUP(_xlfn.XLOOKUP(C472,'Project Details'!$C$17:$C$10003,'Project Details'!$E$17:$E$10003, "",0),dd_design_raw!$A$2:$A$9997,dd_design_raw!$C$2:$C$9997,"",0)</f>
        <v>0</v>
      </c>
      <c r="C472" s="16"/>
      <c r="D472" s="16" t="str" cm="1">
        <f t="array" ref="D472">IF(C472&lt;&gt;"", _xlfn.IFS(I472="Height",_xlfn.XLOOKUP(C472,calc_s60!$C$15:$C$1000,calc_s60!$AC$15:$AC$1000,"",0),  I472="Width", _xlfn.XLOOKUP(C472,calc_s60!$C$15:$C$1000,calc_s60!$AE$15:$AE$1000,"",0)),"")</f>
        <v/>
      </c>
      <c r="E472" s="16" t="str" cm="1">
        <f t="array" ref="E472">IF(C472&lt;&gt;"", _xlfn.XLOOKUP(1,((SKUs!$A$2:$A$10001=cl_unmerged!B472) * (ISNUMBER(SEARCH("Bead",SKUs!$J$2:$J$10001)))), SKUs!$J$2:$J$10001,""),"") &amp; IF(C472&lt;&gt;"", " (Frame)","") &amp; _xlfn.IFS(I472="Height", ", H",I472="Height SLI", ", H SLI", I472="Height FIX", ", H FIX",I472="Width", ", W", I472="", "")</f>
        <v/>
      </c>
      <c r="F472" s="33" t="str" cm="1">
        <f t="array" ref="F472">_xlfn.XLOOKUP(1,((SKUs!$A$2:$A$10001=cl_unmerged!B472) * (ISNUMBER(SEARCH("Bead",SKUs!$J$2:$J$10001)))* (ISNUMBER(SEARCH(A472,SKUs!$C$2:$C$10001)))), SKUs!$C$2:$C$10001,"")</f>
        <v/>
      </c>
      <c r="G472" s="16"/>
      <c r="H472" s="16" t="str" cm="1">
        <f t="array" ref="H472">IF(C472&lt;&gt;"", _xlfn.IFS(I472="Height",_xlfn.XLOOKUP(C472,calc_s60!$C$15:$C$1000,calc_s60!$AB$15:$AB$1000,"",0), I472="Width", _xlfn.XLOOKUP(C472,calc_s60!$C$15:$C$1000,calc_s60!$AD$15:$AD$1000,"",0)),"")</f>
        <v/>
      </c>
      <c r="I472" s="16" t="str">
        <f t="shared" si="9"/>
        <v/>
      </c>
    </row>
    <row r="473" spans="1:9" ht="13.5" customHeight="1" x14ac:dyDescent="0.25">
      <c r="A473" s="41" t="str">
        <f>_xlfn.XLOOKUP(G473,dd_color!$A$2:$A$8,dd_color!$B$2:$B$8,"",0)</f>
        <v/>
      </c>
      <c r="B473" s="41">
        <f>_xlfn.XLOOKUP(_xlfn.XLOOKUP(C473,'Project Details'!$C$17:$C$10003,'Project Details'!$E$17:$E$10003, "",0),dd_design_raw!$A$2:$A$9997,dd_design_raw!$C$2:$C$9997,"",0)</f>
        <v>0</v>
      </c>
      <c r="C473" s="16"/>
      <c r="D473" s="16" t="str" cm="1">
        <f t="array" ref="D473">IF(C473&lt;&gt;"", _xlfn.IFS(I473="Height",_xlfn.XLOOKUP(C473,calc_s60!$C$15:$C$1000,calc_s60!$AC$15:$AC$1000,"",0),  I473="Width", _xlfn.XLOOKUP(C473,calc_s60!$C$15:$C$1000,calc_s60!$AE$15:$AE$1000,"",0)),"")</f>
        <v/>
      </c>
      <c r="E473" s="16" t="str" cm="1">
        <f t="array" ref="E473">IF(C473&lt;&gt;"", _xlfn.XLOOKUP(1,((SKUs!$A$2:$A$10001=cl_unmerged!B473) * (ISNUMBER(SEARCH("Bead",SKUs!$J$2:$J$10001)))), SKUs!$J$2:$J$10001,""),"") &amp; IF(C473&lt;&gt;"", " (Frame)","") &amp; _xlfn.IFS(I473="Height", ", H",I473="Height SLI", ", H SLI", I473="Height FIX", ", H FIX",I473="Width", ", W", I473="", "")</f>
        <v/>
      </c>
      <c r="F473" s="33" t="str" cm="1">
        <f t="array" ref="F473">_xlfn.XLOOKUP(1,((SKUs!$A$2:$A$10001=cl_unmerged!B473) * (ISNUMBER(SEARCH("Bead",SKUs!$J$2:$J$10001)))* (ISNUMBER(SEARCH(A473,SKUs!$C$2:$C$10001)))), SKUs!$C$2:$C$10001,"")</f>
        <v/>
      </c>
      <c r="G473" s="16"/>
      <c r="H473" s="16" t="str" cm="1">
        <f t="array" ref="H473">IF(C473&lt;&gt;"", _xlfn.IFS(I473="Height",_xlfn.XLOOKUP(C473,calc_s60!$C$15:$C$1000,calc_s60!$AB$15:$AB$1000,"",0), I473="Width", _xlfn.XLOOKUP(C473,calc_s60!$C$15:$C$1000,calc_s60!$AD$15:$AD$1000,"",0)),"")</f>
        <v/>
      </c>
      <c r="I473" s="16" t="str">
        <f t="shared" si="9"/>
        <v/>
      </c>
    </row>
    <row r="474" spans="1:9" ht="13.5" customHeight="1" x14ac:dyDescent="0.25">
      <c r="A474" s="41" t="str">
        <f>_xlfn.XLOOKUP(G474,dd_color!$A$2:$A$8,dd_color!$B$2:$B$8,"",0)</f>
        <v/>
      </c>
      <c r="B474" s="41">
        <f>_xlfn.XLOOKUP(_xlfn.XLOOKUP(C474,'Project Details'!$C$17:$C$10003,'Project Details'!$E$17:$E$10003, "",0),dd_design_raw!$A$2:$A$9997,dd_design_raw!$C$2:$C$9997,"",0)</f>
        <v>0</v>
      </c>
      <c r="C474" s="16"/>
      <c r="D474" s="16" t="str" cm="1">
        <f t="array" ref="D474">IF(C474&lt;&gt;"", _xlfn.IFS(I474="Height",_xlfn.XLOOKUP(C474,calc_s60!$C$15:$C$1000,calc_s60!$AC$15:$AC$1000,"",0),  I474="Width", _xlfn.XLOOKUP(C474,calc_s60!$C$15:$C$1000,calc_s60!$AE$15:$AE$1000,"",0)),"")</f>
        <v/>
      </c>
      <c r="E474" s="16" t="str" cm="1">
        <f t="array" ref="E474">IF(C474&lt;&gt;"", _xlfn.XLOOKUP(1,((SKUs!$A$2:$A$10001=cl_unmerged!B474) * (ISNUMBER(SEARCH("Bead",SKUs!$J$2:$J$10001)))), SKUs!$J$2:$J$10001,""),"") &amp; IF(C474&lt;&gt;"", " (Frame)","") &amp; _xlfn.IFS(I474="Height", ", H",I474="Height SLI", ", H SLI", I474="Height FIX", ", H FIX",I474="Width", ", W", I474="", "")</f>
        <v/>
      </c>
      <c r="F474" s="33" t="str" cm="1">
        <f t="array" ref="F474">_xlfn.XLOOKUP(1,((SKUs!$A$2:$A$10001=cl_unmerged!B474) * (ISNUMBER(SEARCH("Bead",SKUs!$J$2:$J$10001)))* (ISNUMBER(SEARCH(A474,SKUs!$C$2:$C$10001)))), SKUs!$C$2:$C$10001,"")</f>
        <v/>
      </c>
      <c r="G474" s="16"/>
      <c r="H474" s="16" t="str" cm="1">
        <f t="array" ref="H474">IF(C474&lt;&gt;"", _xlfn.IFS(I474="Height",_xlfn.XLOOKUP(C474,calc_s60!$C$15:$C$1000,calc_s60!$AB$15:$AB$1000,"",0), I474="Width", _xlfn.XLOOKUP(C474,calc_s60!$C$15:$C$1000,calc_s60!$AD$15:$AD$1000,"",0)),"")</f>
        <v/>
      </c>
      <c r="I474" s="16" t="str">
        <f t="shared" si="9"/>
        <v/>
      </c>
    </row>
    <row r="475" spans="1:9" ht="13.5" customHeight="1" x14ac:dyDescent="0.25">
      <c r="A475" s="41" t="str">
        <f>_xlfn.XLOOKUP(G475,dd_color!$A$2:$A$8,dd_color!$B$2:$B$8,"",0)</f>
        <v/>
      </c>
      <c r="B475" s="41">
        <f>_xlfn.XLOOKUP(_xlfn.XLOOKUP(C475,'Project Details'!$C$17:$C$10003,'Project Details'!$E$17:$E$10003, "",0),dd_design_raw!$A$2:$A$9997,dd_design_raw!$C$2:$C$9997,"",0)</f>
        <v>0</v>
      </c>
      <c r="C475" s="16"/>
      <c r="D475" s="16" t="str" cm="1">
        <f t="array" ref="D475">IF(C475&lt;&gt;"", _xlfn.IFS(I475="Height",_xlfn.XLOOKUP(C475,calc_s60!$C$15:$C$1000,calc_s60!$AC$15:$AC$1000,"",0),  I475="Width", _xlfn.XLOOKUP(C475,calc_s60!$C$15:$C$1000,calc_s60!$AE$15:$AE$1000,"",0)),"")</f>
        <v/>
      </c>
      <c r="E475" s="16" t="str" cm="1">
        <f t="array" ref="E475">IF(C475&lt;&gt;"", _xlfn.XLOOKUP(1,((SKUs!$A$2:$A$10001=cl_unmerged!B475) * (ISNUMBER(SEARCH("Bead",SKUs!$J$2:$J$10001)))), SKUs!$J$2:$J$10001,""),"") &amp; IF(C475&lt;&gt;"", " (Frame)","") &amp; _xlfn.IFS(I475="Height", ", H",I475="Height SLI", ", H SLI", I475="Height FIX", ", H FIX",I475="Width", ", W", I475="", "")</f>
        <v/>
      </c>
      <c r="F475" s="33" t="str" cm="1">
        <f t="array" ref="F475">_xlfn.XLOOKUP(1,((SKUs!$A$2:$A$10001=cl_unmerged!B475) * (ISNUMBER(SEARCH("Bead",SKUs!$J$2:$J$10001)))* (ISNUMBER(SEARCH(A475,SKUs!$C$2:$C$10001)))), SKUs!$C$2:$C$10001,"")</f>
        <v/>
      </c>
      <c r="G475" s="16"/>
      <c r="H475" s="16" t="str" cm="1">
        <f t="array" ref="H475">IF(C475&lt;&gt;"", _xlfn.IFS(I475="Height",_xlfn.XLOOKUP(C475,calc_s60!$C$15:$C$1000,calc_s60!$AB$15:$AB$1000,"",0), I475="Width", _xlfn.XLOOKUP(C475,calc_s60!$C$15:$C$1000,calc_s60!$AD$15:$AD$1000,"",0)),"")</f>
        <v/>
      </c>
      <c r="I475" s="16" t="str">
        <f t="shared" si="9"/>
        <v/>
      </c>
    </row>
    <row r="476" spans="1:9" ht="13.5" customHeight="1" x14ac:dyDescent="0.25">
      <c r="A476" s="41" t="str">
        <f>_xlfn.XLOOKUP(G476,dd_color!$A$2:$A$8,dd_color!$B$2:$B$8,"",0)</f>
        <v/>
      </c>
      <c r="B476" s="41">
        <f>_xlfn.XLOOKUP(_xlfn.XLOOKUP(C476,'Project Details'!$C$17:$C$10003,'Project Details'!$E$17:$E$10003, "",0),dd_design_raw!$A$2:$A$9997,dd_design_raw!$C$2:$C$9997,"",0)</f>
        <v>0</v>
      </c>
      <c r="C476" s="16"/>
      <c r="D476" s="16" t="str" cm="1">
        <f t="array" ref="D476">IF(C476&lt;&gt;"", _xlfn.IFS(I476="Height",_xlfn.XLOOKUP(C476,calc_s60!$C$15:$C$1000,calc_s60!$AC$15:$AC$1000,"",0),  I476="Width", _xlfn.XLOOKUP(C476,calc_s60!$C$15:$C$1000,calc_s60!$AE$15:$AE$1000,"",0)),"")</f>
        <v/>
      </c>
      <c r="E476" s="16" t="str" cm="1">
        <f t="array" ref="E476">IF(C476&lt;&gt;"", _xlfn.XLOOKUP(1,((SKUs!$A$2:$A$10001=cl_unmerged!B476) * (ISNUMBER(SEARCH("Bead",SKUs!$J$2:$J$10001)))), SKUs!$J$2:$J$10001,""),"") &amp; IF(C476&lt;&gt;"", " (Frame)","") &amp; _xlfn.IFS(I476="Height", ", H",I476="Height SLI", ", H SLI", I476="Height FIX", ", H FIX",I476="Width", ", W", I476="", "")</f>
        <v/>
      </c>
      <c r="F476" s="33" t="str" cm="1">
        <f t="array" ref="F476">_xlfn.XLOOKUP(1,((SKUs!$A$2:$A$10001=cl_unmerged!B476) * (ISNUMBER(SEARCH("Bead",SKUs!$J$2:$J$10001)))* (ISNUMBER(SEARCH(A476,SKUs!$C$2:$C$10001)))), SKUs!$C$2:$C$10001,"")</f>
        <v/>
      </c>
      <c r="G476" s="16"/>
      <c r="H476" s="16" t="str" cm="1">
        <f t="array" ref="H476">IF(C476&lt;&gt;"", _xlfn.IFS(I476="Height",_xlfn.XLOOKUP(C476,calc_s60!$C$15:$C$1000,calc_s60!$AB$15:$AB$1000,"",0), I476="Width", _xlfn.XLOOKUP(C476,calc_s60!$C$15:$C$1000,calc_s60!$AD$15:$AD$1000,"",0)),"")</f>
        <v/>
      </c>
      <c r="I476" s="16" t="str">
        <f t="shared" si="9"/>
        <v/>
      </c>
    </row>
    <row r="477" spans="1:9" ht="13.5" customHeight="1" x14ac:dyDescent="0.25">
      <c r="A477" s="41" t="str">
        <f>_xlfn.XLOOKUP(G477,dd_color!$A$2:$A$8,dd_color!$B$2:$B$8,"",0)</f>
        <v/>
      </c>
      <c r="B477" s="41">
        <f>_xlfn.XLOOKUP(_xlfn.XLOOKUP(C477,'Project Details'!$C$17:$C$10003,'Project Details'!$E$17:$E$10003, "",0),dd_design_raw!$A$2:$A$9997,dd_design_raw!$C$2:$C$9997,"",0)</f>
        <v>0</v>
      </c>
      <c r="C477" s="16"/>
      <c r="D477" s="16" t="str" cm="1">
        <f t="array" ref="D477">IF(C477&lt;&gt;"", _xlfn.IFS(I477="Height",_xlfn.XLOOKUP(C477,calc_s60!$C$15:$C$1000,calc_s60!$AC$15:$AC$1000,"",0),  I477="Width", _xlfn.XLOOKUP(C477,calc_s60!$C$15:$C$1000,calc_s60!$AE$15:$AE$1000,"",0)),"")</f>
        <v/>
      </c>
      <c r="E477" s="16" t="str" cm="1">
        <f t="array" ref="E477">IF(C477&lt;&gt;"", _xlfn.XLOOKUP(1,((SKUs!$A$2:$A$10001=cl_unmerged!B477) * (ISNUMBER(SEARCH("Bead",SKUs!$J$2:$J$10001)))), SKUs!$J$2:$J$10001,""),"") &amp; IF(C477&lt;&gt;"", " (Frame)","") &amp; _xlfn.IFS(I477="Height", ", H",I477="Height SLI", ", H SLI", I477="Height FIX", ", H FIX",I477="Width", ", W", I477="", "")</f>
        <v/>
      </c>
      <c r="F477" s="33" t="str" cm="1">
        <f t="array" ref="F477">_xlfn.XLOOKUP(1,((SKUs!$A$2:$A$10001=cl_unmerged!B477) * (ISNUMBER(SEARCH("Bead",SKUs!$J$2:$J$10001)))* (ISNUMBER(SEARCH(A477,SKUs!$C$2:$C$10001)))), SKUs!$C$2:$C$10001,"")</f>
        <v/>
      </c>
      <c r="G477" s="16"/>
      <c r="H477" s="16" t="str" cm="1">
        <f t="array" ref="H477">IF(C477&lt;&gt;"", _xlfn.IFS(I477="Height",_xlfn.XLOOKUP(C477,calc_s60!$C$15:$C$1000,calc_s60!$AB$15:$AB$1000,"",0), I477="Width", _xlfn.XLOOKUP(C477,calc_s60!$C$15:$C$1000,calc_s60!$AD$15:$AD$1000,"",0)),"")</f>
        <v/>
      </c>
      <c r="I477" s="16" t="str">
        <f t="shared" si="9"/>
        <v/>
      </c>
    </row>
    <row r="478" spans="1:9" ht="13.5" customHeight="1" x14ac:dyDescent="0.25">
      <c r="A478" s="41" t="str">
        <f>_xlfn.XLOOKUP(G478,dd_color!$A$2:$A$8,dd_color!$B$2:$B$8,"",0)</f>
        <v/>
      </c>
      <c r="B478" s="41">
        <f>_xlfn.XLOOKUP(_xlfn.XLOOKUP(C478,'Project Details'!$C$17:$C$10003,'Project Details'!$E$17:$E$10003, "",0),dd_design_raw!$A$2:$A$9997,dd_design_raw!$C$2:$C$9997,"",0)</f>
        <v>0</v>
      </c>
      <c r="C478" s="16"/>
      <c r="D478" s="16" t="str" cm="1">
        <f t="array" ref="D478">IF(C478&lt;&gt;"", _xlfn.IFS(I478="Height",_xlfn.XLOOKUP(C478,calc_s60!$C$15:$C$1000,calc_s60!$AC$15:$AC$1000,"",0),  I478="Width", _xlfn.XLOOKUP(C478,calc_s60!$C$15:$C$1000,calc_s60!$AE$15:$AE$1000,"",0)),"")</f>
        <v/>
      </c>
      <c r="E478" s="16" t="str" cm="1">
        <f t="array" ref="E478">IF(C478&lt;&gt;"", _xlfn.XLOOKUP(1,((SKUs!$A$2:$A$10001=cl_unmerged!B478) * (ISNUMBER(SEARCH("Bead",SKUs!$J$2:$J$10001)))), SKUs!$J$2:$J$10001,""),"") &amp; IF(C478&lt;&gt;"", " (Frame)","") &amp; _xlfn.IFS(I478="Height", ", H",I478="Height SLI", ", H SLI", I478="Height FIX", ", H FIX",I478="Width", ", W", I478="", "")</f>
        <v/>
      </c>
      <c r="F478" s="33" t="str" cm="1">
        <f t="array" ref="F478">_xlfn.XLOOKUP(1,((SKUs!$A$2:$A$10001=cl_unmerged!B478) * (ISNUMBER(SEARCH("Bead",SKUs!$J$2:$J$10001)))* (ISNUMBER(SEARCH(A478,SKUs!$C$2:$C$10001)))), SKUs!$C$2:$C$10001,"")</f>
        <v/>
      </c>
      <c r="G478" s="16"/>
      <c r="H478" s="16" t="str" cm="1">
        <f t="array" ref="H478">IF(C478&lt;&gt;"", _xlfn.IFS(I478="Height",_xlfn.XLOOKUP(C478,calc_s60!$C$15:$C$1000,calc_s60!$AB$15:$AB$1000,"",0), I478="Width", _xlfn.XLOOKUP(C478,calc_s60!$C$15:$C$1000,calc_s60!$AD$15:$AD$1000,"",0)),"")</f>
        <v/>
      </c>
      <c r="I478" s="16" t="str">
        <f t="shared" si="9"/>
        <v/>
      </c>
    </row>
    <row r="479" spans="1:9" ht="13.5" customHeight="1" x14ac:dyDescent="0.25">
      <c r="A479" s="41" t="str">
        <f>_xlfn.XLOOKUP(G479,dd_color!$A$2:$A$8,dd_color!$B$2:$B$8,"",0)</f>
        <v/>
      </c>
      <c r="B479" s="41">
        <f>_xlfn.XLOOKUP(_xlfn.XLOOKUP(C479,'Project Details'!$C$17:$C$10003,'Project Details'!$E$17:$E$10003, "",0),dd_design_raw!$A$2:$A$9997,dd_design_raw!$C$2:$C$9997,"",0)</f>
        <v>0</v>
      </c>
      <c r="C479" s="16"/>
      <c r="D479" s="16" t="str" cm="1">
        <f t="array" ref="D479">IF(C479&lt;&gt;"", _xlfn.IFS(I479="Height",_xlfn.XLOOKUP(C479,calc_s60!$C$15:$C$1000,calc_s60!$AC$15:$AC$1000,"",0),  I479="Width", _xlfn.XLOOKUP(C479,calc_s60!$C$15:$C$1000,calc_s60!$AE$15:$AE$1000,"",0)),"")</f>
        <v/>
      </c>
      <c r="E479" s="16" t="str" cm="1">
        <f t="array" ref="E479">IF(C479&lt;&gt;"", _xlfn.XLOOKUP(1,((SKUs!$A$2:$A$10001=cl_unmerged!B479) * (ISNUMBER(SEARCH("Bead",SKUs!$J$2:$J$10001)))), SKUs!$J$2:$J$10001,""),"") &amp; IF(C479&lt;&gt;"", " (Frame)","") &amp; _xlfn.IFS(I479="Height", ", H",I479="Height SLI", ", H SLI", I479="Height FIX", ", H FIX",I479="Width", ", W", I479="", "")</f>
        <v/>
      </c>
      <c r="F479" s="33" t="str" cm="1">
        <f t="array" ref="F479">_xlfn.XLOOKUP(1,((SKUs!$A$2:$A$10001=cl_unmerged!B479) * (ISNUMBER(SEARCH("Bead",SKUs!$J$2:$J$10001)))* (ISNUMBER(SEARCH(A479,SKUs!$C$2:$C$10001)))), SKUs!$C$2:$C$10001,"")</f>
        <v/>
      </c>
      <c r="G479" s="16"/>
      <c r="H479" s="16" t="str" cm="1">
        <f t="array" ref="H479">IF(C479&lt;&gt;"", _xlfn.IFS(I479="Height",_xlfn.XLOOKUP(C479,calc_s60!$C$15:$C$1000,calc_s60!$AB$15:$AB$1000,"",0), I479="Width", _xlfn.XLOOKUP(C479,calc_s60!$C$15:$C$1000,calc_s60!$AD$15:$AD$1000,"",0)),"")</f>
        <v/>
      </c>
      <c r="I479" s="16" t="str">
        <f t="shared" si="9"/>
        <v/>
      </c>
    </row>
    <row r="480" spans="1:9" ht="13.5" customHeight="1" x14ac:dyDescent="0.25">
      <c r="A480" s="41" t="str">
        <f>_xlfn.XLOOKUP(G480,dd_color!$A$2:$A$8,dd_color!$B$2:$B$8,"",0)</f>
        <v/>
      </c>
      <c r="B480" s="41">
        <f>_xlfn.XLOOKUP(_xlfn.XLOOKUP(C480,'Project Details'!$C$17:$C$10003,'Project Details'!$E$17:$E$10003, "",0),dd_design_raw!$A$2:$A$9997,dd_design_raw!$C$2:$C$9997,"",0)</f>
        <v>0</v>
      </c>
      <c r="C480" s="16"/>
      <c r="D480" s="16" t="str" cm="1">
        <f t="array" ref="D480">IF(C480&lt;&gt;"", _xlfn.IFS(I480="Height",_xlfn.XLOOKUP(C480,calc_s60!$C$15:$C$1000,calc_s60!$AC$15:$AC$1000,"",0),  I480="Width", _xlfn.XLOOKUP(C480,calc_s60!$C$15:$C$1000,calc_s60!$AE$15:$AE$1000,"",0)),"")</f>
        <v/>
      </c>
      <c r="E480" s="16" t="str" cm="1">
        <f t="array" ref="E480">IF(C480&lt;&gt;"", _xlfn.XLOOKUP(1,((SKUs!$A$2:$A$10001=cl_unmerged!B480) * (ISNUMBER(SEARCH("Bead",SKUs!$J$2:$J$10001)))), SKUs!$J$2:$J$10001,""),"") &amp; IF(C480&lt;&gt;"", " (Frame)","") &amp; _xlfn.IFS(I480="Height", ", H",I480="Height SLI", ", H SLI", I480="Height FIX", ", H FIX",I480="Width", ", W", I480="", "")</f>
        <v/>
      </c>
      <c r="F480" s="33" t="str" cm="1">
        <f t="array" ref="F480">_xlfn.XLOOKUP(1,((SKUs!$A$2:$A$10001=cl_unmerged!B480) * (ISNUMBER(SEARCH("Bead",SKUs!$J$2:$J$10001)))* (ISNUMBER(SEARCH(A480,SKUs!$C$2:$C$10001)))), SKUs!$C$2:$C$10001,"")</f>
        <v/>
      </c>
      <c r="G480" s="16"/>
      <c r="H480" s="16" t="str" cm="1">
        <f t="array" ref="H480">IF(C480&lt;&gt;"", _xlfn.IFS(I480="Height",_xlfn.XLOOKUP(C480,calc_s60!$C$15:$C$1000,calc_s60!$AB$15:$AB$1000,"",0), I480="Width", _xlfn.XLOOKUP(C480,calc_s60!$C$15:$C$1000,calc_s60!$AD$15:$AD$1000,"",0)),"")</f>
        <v/>
      </c>
      <c r="I480" s="16" t="str">
        <f t="shared" si="9"/>
        <v/>
      </c>
    </row>
    <row r="481" spans="1:9" ht="13.5" customHeight="1" x14ac:dyDescent="0.25">
      <c r="A481" s="41" t="str">
        <f>_xlfn.XLOOKUP(G481,dd_color!$A$2:$A$8,dd_color!$B$2:$B$8,"",0)</f>
        <v/>
      </c>
      <c r="B481" s="41">
        <f>_xlfn.XLOOKUP(_xlfn.XLOOKUP(C481,'Project Details'!$C$17:$C$10003,'Project Details'!$E$17:$E$10003, "",0),dd_design_raw!$A$2:$A$9997,dd_design_raw!$C$2:$C$9997,"",0)</f>
        <v>0</v>
      </c>
      <c r="C481" s="16"/>
      <c r="D481" s="16" t="str" cm="1">
        <f t="array" ref="D481">IF(C481&lt;&gt;"", _xlfn.IFS(I481="Height",_xlfn.XLOOKUP(C481,calc_s60!$C$15:$C$1000,calc_s60!$AC$15:$AC$1000,"",0),  I481="Width", _xlfn.XLOOKUP(C481,calc_s60!$C$15:$C$1000,calc_s60!$AE$15:$AE$1000,"",0)),"")</f>
        <v/>
      </c>
      <c r="E481" s="16" t="str" cm="1">
        <f t="array" ref="E481">IF(C481&lt;&gt;"", _xlfn.XLOOKUP(1,((SKUs!$A$2:$A$10001=cl_unmerged!B481) * (ISNUMBER(SEARCH("Bead",SKUs!$J$2:$J$10001)))), SKUs!$J$2:$J$10001,""),"") &amp; IF(C481&lt;&gt;"", " (Frame)","") &amp; _xlfn.IFS(I481="Height", ", H",I481="Height SLI", ", H SLI", I481="Height FIX", ", H FIX",I481="Width", ", W", I481="", "")</f>
        <v/>
      </c>
      <c r="F481" s="33" t="str" cm="1">
        <f t="array" ref="F481">_xlfn.XLOOKUP(1,((SKUs!$A$2:$A$10001=cl_unmerged!B481) * (ISNUMBER(SEARCH("Bead",SKUs!$J$2:$J$10001)))* (ISNUMBER(SEARCH(A481,SKUs!$C$2:$C$10001)))), SKUs!$C$2:$C$10001,"")</f>
        <v/>
      </c>
      <c r="G481" s="16"/>
      <c r="H481" s="16" t="str" cm="1">
        <f t="array" ref="H481">IF(C481&lt;&gt;"", _xlfn.IFS(I481="Height",_xlfn.XLOOKUP(C481,calc_s60!$C$15:$C$1000,calc_s60!$AB$15:$AB$1000,"",0), I481="Width", _xlfn.XLOOKUP(C481,calc_s60!$C$15:$C$1000,calc_s60!$AD$15:$AD$1000,"",0)),"")</f>
        <v/>
      </c>
      <c r="I481" s="16" t="str">
        <f t="shared" si="9"/>
        <v/>
      </c>
    </row>
    <row r="482" spans="1:9" ht="13.5" customHeight="1" x14ac:dyDescent="0.25">
      <c r="A482" s="41" t="str">
        <f>_xlfn.XLOOKUP(G482,dd_color!$A$2:$A$8,dd_color!$B$2:$B$8,"",0)</f>
        <v/>
      </c>
      <c r="B482" s="41">
        <f>_xlfn.XLOOKUP(_xlfn.XLOOKUP(C482,'Project Details'!$C$17:$C$10003,'Project Details'!$E$17:$E$10003, "",0),dd_design_raw!$A$2:$A$9997,dd_design_raw!$C$2:$C$9997,"",0)</f>
        <v>0</v>
      </c>
      <c r="C482" s="16"/>
      <c r="D482" s="16" t="str" cm="1">
        <f t="array" ref="D482">IF(C482&lt;&gt;"", _xlfn.IFS(I482="Height",_xlfn.XLOOKUP(C482,calc_s60!$C$15:$C$1000,calc_s60!$AC$15:$AC$1000,"",0),  I482="Width", _xlfn.XLOOKUP(C482,calc_s60!$C$15:$C$1000,calc_s60!$AE$15:$AE$1000,"",0)),"")</f>
        <v/>
      </c>
      <c r="E482" s="16" t="str" cm="1">
        <f t="array" ref="E482">IF(C482&lt;&gt;"", _xlfn.XLOOKUP(1,((SKUs!$A$2:$A$10001=cl_unmerged!B482) * (ISNUMBER(SEARCH("Bead",SKUs!$J$2:$J$10001)))), SKUs!$J$2:$J$10001,""),"") &amp; IF(C482&lt;&gt;"", " (Frame)","") &amp; _xlfn.IFS(I482="Height", ", H",I482="Height SLI", ", H SLI", I482="Height FIX", ", H FIX",I482="Width", ", W", I482="", "")</f>
        <v/>
      </c>
      <c r="F482" s="33" t="str" cm="1">
        <f t="array" ref="F482">_xlfn.XLOOKUP(1,((SKUs!$A$2:$A$10001=cl_unmerged!B482) * (ISNUMBER(SEARCH("Bead",SKUs!$J$2:$J$10001)))* (ISNUMBER(SEARCH(A482,SKUs!$C$2:$C$10001)))), SKUs!$C$2:$C$10001,"")</f>
        <v/>
      </c>
      <c r="G482" s="16"/>
      <c r="H482" s="16" t="str" cm="1">
        <f t="array" ref="H482">IF(C482&lt;&gt;"", _xlfn.IFS(I482="Height",_xlfn.XLOOKUP(C482,calc_s60!$C$15:$C$1000,calc_s60!$AB$15:$AB$1000,"",0), I482="Width", _xlfn.XLOOKUP(C482,calc_s60!$C$15:$C$1000,calc_s60!$AD$15:$AD$1000,"",0)),"")</f>
        <v/>
      </c>
      <c r="I482" s="16" t="str">
        <f t="shared" si="9"/>
        <v/>
      </c>
    </row>
    <row r="483" spans="1:9" ht="13.5" customHeight="1" x14ac:dyDescent="0.25">
      <c r="A483" s="41" t="str">
        <f>_xlfn.XLOOKUP(G483,dd_color!$A$2:$A$8,dd_color!$B$2:$B$8,"",0)</f>
        <v/>
      </c>
      <c r="B483" s="41">
        <f>_xlfn.XLOOKUP(_xlfn.XLOOKUP(C483,'Project Details'!$C$17:$C$10003,'Project Details'!$E$17:$E$10003, "",0),dd_design_raw!$A$2:$A$9997,dd_design_raw!$C$2:$C$9997,"",0)</f>
        <v>0</v>
      </c>
      <c r="C483" s="16"/>
      <c r="D483" s="16" t="str" cm="1">
        <f t="array" ref="D483">IF(C483&lt;&gt;"", _xlfn.IFS(I483="Height",_xlfn.XLOOKUP(C483,calc_s60!$C$15:$C$1000,calc_s60!$AC$15:$AC$1000,"",0),  I483="Width", _xlfn.XLOOKUP(C483,calc_s60!$C$15:$C$1000,calc_s60!$AE$15:$AE$1000,"",0)),"")</f>
        <v/>
      </c>
      <c r="E483" s="16" t="str" cm="1">
        <f t="array" ref="E483">IF(C483&lt;&gt;"", _xlfn.XLOOKUP(1,((SKUs!$A$2:$A$10001=cl_unmerged!B483) * (ISNUMBER(SEARCH("Bead",SKUs!$J$2:$J$10001)))), SKUs!$J$2:$J$10001,""),"") &amp; IF(C483&lt;&gt;"", " (Frame)","") &amp; _xlfn.IFS(I483="Height", ", H",I483="Height SLI", ", H SLI", I483="Height FIX", ", H FIX",I483="Width", ", W", I483="", "")</f>
        <v/>
      </c>
      <c r="F483" s="33" t="str" cm="1">
        <f t="array" ref="F483">_xlfn.XLOOKUP(1,((SKUs!$A$2:$A$10001=cl_unmerged!B483) * (ISNUMBER(SEARCH("Bead",SKUs!$J$2:$J$10001)))* (ISNUMBER(SEARCH(A483,SKUs!$C$2:$C$10001)))), SKUs!$C$2:$C$10001,"")</f>
        <v/>
      </c>
      <c r="G483" s="16"/>
      <c r="H483" s="16" t="str" cm="1">
        <f t="array" ref="H483">IF(C483&lt;&gt;"", _xlfn.IFS(I483="Height",_xlfn.XLOOKUP(C483,calc_s60!$C$15:$C$1000,calc_s60!$AB$15:$AB$1000,"",0), I483="Width", _xlfn.XLOOKUP(C483,calc_s60!$C$15:$C$1000,calc_s60!$AD$15:$AD$1000,"",0)),"")</f>
        <v/>
      </c>
      <c r="I483" s="16" t="str">
        <f t="shared" si="9"/>
        <v/>
      </c>
    </row>
    <row r="484" spans="1:9" ht="13.5" customHeight="1" x14ac:dyDescent="0.25">
      <c r="A484" s="41" t="str">
        <f>_xlfn.XLOOKUP(G484,dd_color!$A$2:$A$8,dd_color!$B$2:$B$8,"",0)</f>
        <v/>
      </c>
      <c r="B484" s="41">
        <f>_xlfn.XLOOKUP(_xlfn.XLOOKUP(C484,'Project Details'!$C$17:$C$10003,'Project Details'!$E$17:$E$10003, "",0),dd_design_raw!$A$2:$A$9997,dd_design_raw!$C$2:$C$9997,"",0)</f>
        <v>0</v>
      </c>
      <c r="C484" s="16"/>
      <c r="D484" s="16" t="str" cm="1">
        <f t="array" ref="D484">IF(C484&lt;&gt;"", _xlfn.IFS(I484="Height",_xlfn.XLOOKUP(C484,calc_s60!$C$15:$C$1000,calc_s60!$AC$15:$AC$1000,"",0),  I484="Width", _xlfn.XLOOKUP(C484,calc_s60!$C$15:$C$1000,calc_s60!$AE$15:$AE$1000,"",0)),"")</f>
        <v/>
      </c>
      <c r="E484" s="16" t="str" cm="1">
        <f t="array" ref="E484">IF(C484&lt;&gt;"", _xlfn.XLOOKUP(1,((SKUs!$A$2:$A$10001=cl_unmerged!B484) * (ISNUMBER(SEARCH("Bead",SKUs!$J$2:$J$10001)))), SKUs!$J$2:$J$10001,""),"") &amp; IF(C484&lt;&gt;"", " (Frame)","") &amp; _xlfn.IFS(I484="Height", ", H",I484="Height SLI", ", H SLI", I484="Height FIX", ", H FIX",I484="Width", ", W", I484="", "")</f>
        <v/>
      </c>
      <c r="F484" s="33" t="str" cm="1">
        <f t="array" ref="F484">_xlfn.XLOOKUP(1,((SKUs!$A$2:$A$10001=cl_unmerged!B484) * (ISNUMBER(SEARCH("Bead",SKUs!$J$2:$J$10001)))* (ISNUMBER(SEARCH(A484,SKUs!$C$2:$C$10001)))), SKUs!$C$2:$C$10001,"")</f>
        <v/>
      </c>
      <c r="G484" s="16"/>
      <c r="H484" s="16" t="str" cm="1">
        <f t="array" ref="H484">IF(C484&lt;&gt;"", _xlfn.IFS(I484="Height",_xlfn.XLOOKUP(C484,calc_s60!$C$15:$C$1000,calc_s60!$AB$15:$AB$1000,"",0), I484="Width", _xlfn.XLOOKUP(C484,calc_s60!$C$15:$C$1000,calc_s60!$AD$15:$AD$1000,"",0)),"")</f>
        <v/>
      </c>
      <c r="I484" s="16" t="str">
        <f t="shared" si="9"/>
        <v/>
      </c>
    </row>
    <row r="485" spans="1:9" ht="13.5" customHeight="1" x14ac:dyDescent="0.25">
      <c r="C485" s="32" t="s">
        <v>187</v>
      </c>
      <c r="D485" s="32"/>
      <c r="E485" s="32"/>
      <c r="F485" s="32"/>
      <c r="G485" s="32"/>
      <c r="H485" s="32"/>
      <c r="I485" s="32"/>
    </row>
    <row r="486" spans="1:9" ht="13.5" customHeight="1" x14ac:dyDescent="0.25">
      <c r="A486" s="41" t="str">
        <f>_xlfn.XLOOKUP(G486,dd_color!$A$2:$A$8,dd_color!$B$2:$B$8,"",0)</f>
        <v/>
      </c>
      <c r="B486" s="41" t="str">
        <f>_xlfn.XLOOKUP(_xlfn.XLOOKUP(C486,'Project Details'!$C$17:$C$10003,'Project Details'!$E$17:$E$10003, "",0),dd_design_raw!$A$2:$A$9997,dd_design_raw!$C$2:$C$9997,"",0)</f>
        <v/>
      </c>
      <c r="C486" s="16" t="str" cm="1">
        <f t="array" ref="C486:C487">IFERROR(INDEX(_xlfn._xlws.FILTER(calc_s60!C15:C65, calc_s60!AG15:AG65&lt;&gt;""), INT((_xlfn.SEQUENCE(2 * COUNTA(_xlfn._xlws.FILTER(calc_s60!C15:C65, calc_s60!AG15:AG65&lt;&gt;""))) - 1) / 2) + 1), "")</f>
        <v/>
      </c>
      <c r="D486" s="16" t="str" cm="1">
        <f t="array" ref="D486">IF(C486&lt;&gt;"", _xlfn.IFS(I486="Height",_xlfn.XLOOKUP(C486,calc_s60!$C$15:$C$1000,calc_s60!$AH$15:$AH$1000,"",0),  I486="Width", _xlfn.XLOOKUP(C486,calc_s60!$C$15:$C$1000,calc_s60!$AJ$15:$AJ$1000,"",0)),"")</f>
        <v/>
      </c>
      <c r="E486" s="16" t="str" cm="1">
        <f t="array" ref="E486">IF(C486&lt;&gt;"", _xlfn.XLOOKUP(1,((SKUs!$A$2:$A$10001=cl_unmerged!B486) * (ISNUMBER(SEARCH("Bead",SKUs!$J$2:$J$10001)))), SKUs!$J$2:$J$10001,""),"") &amp; IF(C486&lt;&gt;"", " (Sash)","") &amp; _xlfn.IFS(I486="Height", ", H",I486="Height SLI", ", H SLI", I486="Height FIX", ", H FIX",I486="Width", ", W", I486="", "")</f>
        <v/>
      </c>
      <c r="F486" s="33" t="str" cm="1">
        <f t="array" ref="F486">_xlfn.XLOOKUP(1,((SKUs!$A$2:$A$10001=cl_unmerged!B486) * (ISNUMBER(SEARCH("Bead",SKUs!$J$2:$J$10001)))* (ISNUMBER(SEARCH(A486,SKUs!$C$2:$C$10001)))), SKUs!$C$2:$C$10001,"")</f>
        <v/>
      </c>
      <c r="G486" s="16" t="str" cm="1">
        <f t="array" ref="G486:G487">IFERROR(INDEX(_xlfn._xlws.FILTER(calc_s60!G15:G65, calc_s60!AG15:AG65&lt;&gt;""), INT((_xlfn.SEQUENCE(2 * COUNTA(_xlfn._xlws.FILTER(calc_s60!G15:G65, calc_s60!AG15:AG65&lt;&gt;""))) - 1) / 2) + 1), "")</f>
        <v/>
      </c>
      <c r="H486" s="16" t="str" cm="1">
        <f t="array" ref="H486">IF(C486&lt;&gt;"", _xlfn.IFS(I486="Height",_xlfn.XLOOKUP(C486,calc_s60!$C$15:$C$1000,calc_s60!$AG$15:$AG$1000,"",0), I486="Width", _xlfn.XLOOKUP(C486,calc_s60!$C$15:$C$1000,calc_s60!$AI$15:$AI$1000,"",0)),"")</f>
        <v/>
      </c>
      <c r="I486" s="16" t="str">
        <f>IF(C486&lt;&gt;"", IF(C486=C485, "Width", "Height"),"")</f>
        <v/>
      </c>
    </row>
    <row r="487" spans="1:9" ht="13.5" customHeight="1" x14ac:dyDescent="0.25">
      <c r="A487" s="41" t="str">
        <f>_xlfn.XLOOKUP(G487,dd_color!$A$2:$A$8,dd_color!$B$2:$B$8,"",0)</f>
        <v/>
      </c>
      <c r="B487" s="41" t="str">
        <f>_xlfn.XLOOKUP(_xlfn.XLOOKUP(C487,'Project Details'!$C$17:$C$10003,'Project Details'!$E$17:$E$10003, "",0),dd_design_raw!$A$2:$A$9997,dd_design_raw!$C$2:$C$9997,"",0)</f>
        <v/>
      </c>
      <c r="C487" s="16" t="str">
        <v/>
      </c>
      <c r="D487" s="16" t="str" cm="1">
        <f t="array" ref="D487">IF(C487&lt;&gt;"", _xlfn.IFS(I487="Height",_xlfn.XLOOKUP(C487,calc_s60!$C$15:$C$1000,calc_s60!$AH$15:$AH$1000,"",0),  I487="Width", _xlfn.XLOOKUP(C487,calc_s60!$C$15:$C$1000,calc_s60!$AJ$15:$AJ$1000,"",0)),"")</f>
        <v/>
      </c>
      <c r="E487" s="16" t="str" cm="1">
        <f t="array" ref="E487">IF(C487&lt;&gt;"", _xlfn.XLOOKUP(1,((SKUs!$A$2:$A$10001=cl_unmerged!B487) * (ISNUMBER(SEARCH("Bead",SKUs!$J$2:$J$10001)))), SKUs!$J$2:$J$10001,""),"") &amp; IF(C487&lt;&gt;"", " (Sash)","") &amp; _xlfn.IFS(I487="Height", ", H",I487="Height SLI", ", H SLI", I487="Height FIX", ", H FIX",I487="Width", ", W", I487="", "")</f>
        <v/>
      </c>
      <c r="F487" s="33" t="str" cm="1">
        <f t="array" ref="F487">_xlfn.XLOOKUP(1,((SKUs!$A$2:$A$10001=cl_unmerged!B487) * (ISNUMBER(SEARCH("Bead",SKUs!$J$2:$J$10001)))* (ISNUMBER(SEARCH(A487,SKUs!$C$2:$C$10001)))), SKUs!$C$2:$C$10001,"")</f>
        <v/>
      </c>
      <c r="G487" s="16" t="str">
        <v/>
      </c>
      <c r="H487" s="16" t="str" cm="1">
        <f t="array" ref="H487">IF(C487&lt;&gt;"", _xlfn.IFS(I487="Height",_xlfn.XLOOKUP(C487,calc_s60!$C$15:$C$1000,calc_s60!$AG$15:$AG$1000,"",0), I487="Width", _xlfn.XLOOKUP(C487,calc_s60!$C$15:$C$1000,calc_s60!$AI$15:$AI$1000,"",0)),"")</f>
        <v/>
      </c>
      <c r="I487" s="16" t="str">
        <f>IF(C487&lt;&gt;"", IF(C487=C486, "Width", "Height"),"")</f>
        <v/>
      </c>
    </row>
    <row r="488" spans="1:9" ht="13.5" customHeight="1" x14ac:dyDescent="0.25">
      <c r="A488" s="41" t="str">
        <f>_xlfn.XLOOKUP(G488,dd_color!$A$2:$A$8,dd_color!$B$2:$B$8,"",0)</f>
        <v/>
      </c>
      <c r="B488" s="41">
        <f>_xlfn.XLOOKUP(_xlfn.XLOOKUP(C488,'Project Details'!$C$17:$C$10003,'Project Details'!$E$17:$E$10003, "",0),dd_design_raw!$A$2:$A$9997,dd_design_raw!$C$2:$C$9997,"",0)</f>
        <v>0</v>
      </c>
      <c r="C488" s="16"/>
      <c r="D488" s="16" t="str" cm="1">
        <f t="array" ref="D488">IF(C488&lt;&gt;"", _xlfn.IFS(I488="Height",_xlfn.XLOOKUP(C488,calc_s60!$C$15:$C$1000,calc_s60!$AH$15:$AH$1000,"",0),  I488="Width", _xlfn.XLOOKUP(C488,calc_s60!$C$15:$C$1000,calc_s60!$AJ$15:$AJ$1000,"",0)),"")</f>
        <v/>
      </c>
      <c r="E488" s="16" t="str" cm="1">
        <f t="array" ref="E488">IF(C488&lt;&gt;"", _xlfn.XLOOKUP(1,((SKUs!$A$2:$A$10001=cl_unmerged!B488) * (ISNUMBER(SEARCH("Bead",SKUs!$J$2:$J$10001)))), SKUs!$J$2:$J$10001,""),"") &amp; IF(C488&lt;&gt;"", " (Sash)","") &amp; _xlfn.IFS(I488="Height", ", H",I488="Height SLI", ", H SLI", I488="Height FIX", ", H FIX",I488="Width", ", W", I488="", "")</f>
        <v/>
      </c>
      <c r="F488" s="33" t="str" cm="1">
        <f t="array" ref="F488">_xlfn.XLOOKUP(1,((SKUs!$A$2:$A$10001=cl_unmerged!B488) * (ISNUMBER(SEARCH("Bead",SKUs!$J$2:$J$10001)))* (ISNUMBER(SEARCH(A488,SKUs!$C$2:$C$10001)))), SKUs!$C$2:$C$10001,"")</f>
        <v/>
      </c>
      <c r="G488" s="16"/>
      <c r="H488" s="16" t="str" cm="1">
        <f t="array" ref="H488">IF(C488&lt;&gt;"", _xlfn.IFS(I488="Height",_xlfn.XLOOKUP(C488,calc_s60!$C$15:$C$1000,calc_s60!$AG$15:$AG$1000,"",0), I488="Width", _xlfn.XLOOKUP(C488,calc_s60!$C$15:$C$1000,calc_s60!$AI$15:$AI$1000,"",0)),"")</f>
        <v/>
      </c>
      <c r="I488" s="16" t="str">
        <f t="shared" ref="I488:I536" si="10">IF(C488&lt;&gt;"", IF(C488=C487, "Width", "Height"),"")</f>
        <v/>
      </c>
    </row>
    <row r="489" spans="1:9" ht="13.5" customHeight="1" x14ac:dyDescent="0.25">
      <c r="A489" s="41" t="str">
        <f>_xlfn.XLOOKUP(G489,dd_color!$A$2:$A$8,dd_color!$B$2:$B$8,"",0)</f>
        <v/>
      </c>
      <c r="B489" s="41">
        <f>_xlfn.XLOOKUP(_xlfn.XLOOKUP(C489,'Project Details'!$C$17:$C$10003,'Project Details'!$E$17:$E$10003, "",0),dd_design_raw!$A$2:$A$9997,dd_design_raw!$C$2:$C$9997,"",0)</f>
        <v>0</v>
      </c>
      <c r="C489" s="16"/>
      <c r="D489" s="16" t="str" cm="1">
        <f t="array" ref="D489">IF(C489&lt;&gt;"", _xlfn.IFS(I489="Height",_xlfn.XLOOKUP(C489,calc_s60!$C$15:$C$1000,calc_s60!$AH$15:$AH$1000,"",0),  I489="Width", _xlfn.XLOOKUP(C489,calc_s60!$C$15:$C$1000,calc_s60!$AJ$15:$AJ$1000,"",0)),"")</f>
        <v/>
      </c>
      <c r="E489" s="16" t="str" cm="1">
        <f t="array" ref="E489">IF(C489&lt;&gt;"", _xlfn.XLOOKUP(1,((SKUs!$A$2:$A$10001=cl_unmerged!B489) * (ISNUMBER(SEARCH("Bead",SKUs!$J$2:$J$10001)))), SKUs!$J$2:$J$10001,""),"") &amp; IF(C489&lt;&gt;"", " (Sash)","") &amp; _xlfn.IFS(I489="Height", ", H",I489="Height SLI", ", H SLI", I489="Height FIX", ", H FIX",I489="Width", ", W", I489="", "")</f>
        <v/>
      </c>
      <c r="F489" s="33" t="str" cm="1">
        <f t="array" ref="F489">_xlfn.XLOOKUP(1,((SKUs!$A$2:$A$10001=cl_unmerged!B489) * (ISNUMBER(SEARCH("Bead",SKUs!$J$2:$J$10001)))* (ISNUMBER(SEARCH(A489,SKUs!$C$2:$C$10001)))), SKUs!$C$2:$C$10001,"")</f>
        <v/>
      </c>
      <c r="G489" s="16"/>
      <c r="H489" s="16" t="str" cm="1">
        <f t="array" ref="H489">IF(C489&lt;&gt;"", _xlfn.IFS(I489="Height",_xlfn.XLOOKUP(C489,calc_s60!$C$15:$C$1000,calc_s60!$AG$15:$AG$1000,"",0), I489="Width", _xlfn.XLOOKUP(C489,calc_s60!$C$15:$C$1000,calc_s60!$AI$15:$AI$1000,"",0)),"")</f>
        <v/>
      </c>
      <c r="I489" s="16" t="str">
        <f t="shared" si="10"/>
        <v/>
      </c>
    </row>
    <row r="490" spans="1:9" ht="13.5" customHeight="1" x14ac:dyDescent="0.25">
      <c r="A490" s="41" t="str">
        <f>_xlfn.XLOOKUP(G490,dd_color!$A$2:$A$8,dd_color!$B$2:$B$8,"",0)</f>
        <v/>
      </c>
      <c r="B490" s="41">
        <f>_xlfn.XLOOKUP(_xlfn.XLOOKUP(C490,'Project Details'!$C$17:$C$10003,'Project Details'!$E$17:$E$10003, "",0),dd_design_raw!$A$2:$A$9997,dd_design_raw!$C$2:$C$9997,"",0)</f>
        <v>0</v>
      </c>
      <c r="C490" s="16"/>
      <c r="D490" s="16" t="str" cm="1">
        <f t="array" ref="D490">IF(C490&lt;&gt;"", _xlfn.IFS(I490="Height",_xlfn.XLOOKUP(C490,calc_s60!$C$15:$C$1000,calc_s60!$AH$15:$AH$1000,"",0),  I490="Width", _xlfn.XLOOKUP(C490,calc_s60!$C$15:$C$1000,calc_s60!$AJ$15:$AJ$1000,"",0)),"")</f>
        <v/>
      </c>
      <c r="E490" s="16" t="str" cm="1">
        <f t="array" ref="E490">IF(C490&lt;&gt;"", _xlfn.XLOOKUP(1,((SKUs!$A$2:$A$10001=cl_unmerged!B490) * (ISNUMBER(SEARCH("Bead",SKUs!$J$2:$J$10001)))), SKUs!$J$2:$J$10001,""),"") &amp; IF(C490&lt;&gt;"", " (Sash)","") &amp; _xlfn.IFS(I490="Height", ", H",I490="Height SLI", ", H SLI", I490="Height FIX", ", H FIX",I490="Width", ", W", I490="", "")</f>
        <v/>
      </c>
      <c r="F490" s="33" t="str" cm="1">
        <f t="array" ref="F490">_xlfn.XLOOKUP(1,((SKUs!$A$2:$A$10001=cl_unmerged!B490) * (ISNUMBER(SEARCH("Bead",SKUs!$J$2:$J$10001)))* (ISNUMBER(SEARCH(A490,SKUs!$C$2:$C$10001)))), SKUs!$C$2:$C$10001,"")</f>
        <v/>
      </c>
      <c r="G490" s="16"/>
      <c r="H490" s="16" t="str" cm="1">
        <f t="array" ref="H490">IF(C490&lt;&gt;"", _xlfn.IFS(I490="Height",_xlfn.XLOOKUP(C490,calc_s60!$C$15:$C$1000,calc_s60!$AG$15:$AG$1000,"",0), I490="Width", _xlfn.XLOOKUP(C490,calc_s60!$C$15:$C$1000,calc_s60!$AI$15:$AI$1000,"",0)),"")</f>
        <v/>
      </c>
      <c r="I490" s="16" t="str">
        <f t="shared" si="10"/>
        <v/>
      </c>
    </row>
    <row r="491" spans="1:9" ht="13.5" customHeight="1" x14ac:dyDescent="0.25">
      <c r="A491" s="41" t="str">
        <f>_xlfn.XLOOKUP(G491,dd_color!$A$2:$A$8,dd_color!$B$2:$B$8,"",0)</f>
        <v/>
      </c>
      <c r="B491" s="41">
        <f>_xlfn.XLOOKUP(_xlfn.XLOOKUP(C491,'Project Details'!$C$17:$C$10003,'Project Details'!$E$17:$E$10003, "",0),dd_design_raw!$A$2:$A$9997,dd_design_raw!$C$2:$C$9997,"",0)</f>
        <v>0</v>
      </c>
      <c r="C491" s="16"/>
      <c r="D491" s="16" t="str" cm="1">
        <f t="array" ref="D491">IF(C491&lt;&gt;"", _xlfn.IFS(I491="Height",_xlfn.XLOOKUP(C491,calc_s60!$C$15:$C$1000,calc_s60!$AH$15:$AH$1000,"",0),  I491="Width", _xlfn.XLOOKUP(C491,calc_s60!$C$15:$C$1000,calc_s60!$AJ$15:$AJ$1000,"",0)),"")</f>
        <v/>
      </c>
      <c r="E491" s="16" t="str" cm="1">
        <f t="array" ref="E491">IF(C491&lt;&gt;"", _xlfn.XLOOKUP(1,((SKUs!$A$2:$A$10001=cl_unmerged!B491) * (ISNUMBER(SEARCH("Bead",SKUs!$J$2:$J$10001)))), SKUs!$J$2:$J$10001,""),"") &amp; IF(C491&lt;&gt;"", " (Sash)","") &amp; _xlfn.IFS(I491="Height", ", H",I491="Height SLI", ", H SLI", I491="Height FIX", ", H FIX",I491="Width", ", W", I491="", "")</f>
        <v/>
      </c>
      <c r="F491" s="33" t="str" cm="1">
        <f t="array" ref="F491">_xlfn.XLOOKUP(1,((SKUs!$A$2:$A$10001=cl_unmerged!B491) * (ISNUMBER(SEARCH("Bead",SKUs!$J$2:$J$10001)))* (ISNUMBER(SEARCH(A491,SKUs!$C$2:$C$10001)))), SKUs!$C$2:$C$10001,"")</f>
        <v/>
      </c>
      <c r="G491" s="16"/>
      <c r="H491" s="16" t="str" cm="1">
        <f t="array" ref="H491">IF(C491&lt;&gt;"", _xlfn.IFS(I491="Height",_xlfn.XLOOKUP(C491,calc_s60!$C$15:$C$1000,calc_s60!$AG$15:$AG$1000,"",0), I491="Width", _xlfn.XLOOKUP(C491,calc_s60!$C$15:$C$1000,calc_s60!$AI$15:$AI$1000,"",0)),"")</f>
        <v/>
      </c>
      <c r="I491" s="16" t="str">
        <f t="shared" si="10"/>
        <v/>
      </c>
    </row>
    <row r="492" spans="1:9" ht="13.5" customHeight="1" x14ac:dyDescent="0.25">
      <c r="A492" s="41" t="str">
        <f>_xlfn.XLOOKUP(G492,dd_color!$A$2:$A$8,dd_color!$B$2:$B$8,"",0)</f>
        <v/>
      </c>
      <c r="B492" s="41">
        <f>_xlfn.XLOOKUP(_xlfn.XLOOKUP(C492,'Project Details'!$C$17:$C$10003,'Project Details'!$E$17:$E$10003, "",0),dd_design_raw!$A$2:$A$9997,dd_design_raw!$C$2:$C$9997,"",0)</f>
        <v>0</v>
      </c>
      <c r="C492" s="16"/>
      <c r="D492" s="16" t="str" cm="1">
        <f t="array" ref="D492">IF(C492&lt;&gt;"", _xlfn.IFS(I492="Height",_xlfn.XLOOKUP(C492,calc_s60!$C$15:$C$1000,calc_s60!$AH$15:$AH$1000,"",0),  I492="Width", _xlfn.XLOOKUP(C492,calc_s60!$C$15:$C$1000,calc_s60!$AJ$15:$AJ$1000,"",0)),"")</f>
        <v/>
      </c>
      <c r="E492" s="16" t="str" cm="1">
        <f t="array" ref="E492">IF(C492&lt;&gt;"", _xlfn.XLOOKUP(1,((SKUs!$A$2:$A$10001=cl_unmerged!B492) * (ISNUMBER(SEARCH("Bead",SKUs!$J$2:$J$10001)))), SKUs!$J$2:$J$10001,""),"") &amp; IF(C492&lt;&gt;"", " (Sash)","") &amp; _xlfn.IFS(I492="Height", ", H",I492="Height SLI", ", H SLI", I492="Height FIX", ", H FIX",I492="Width", ", W", I492="", "")</f>
        <v/>
      </c>
      <c r="F492" s="33" t="str" cm="1">
        <f t="array" ref="F492">_xlfn.XLOOKUP(1,((SKUs!$A$2:$A$10001=cl_unmerged!B492) * (ISNUMBER(SEARCH("Bead",SKUs!$J$2:$J$10001)))* (ISNUMBER(SEARCH(A492,SKUs!$C$2:$C$10001)))), SKUs!$C$2:$C$10001,"")</f>
        <v/>
      </c>
      <c r="G492" s="16"/>
      <c r="H492" s="16" t="str" cm="1">
        <f t="array" ref="H492">IF(C492&lt;&gt;"", _xlfn.IFS(I492="Height",_xlfn.XLOOKUP(C492,calc_s60!$C$15:$C$1000,calc_s60!$AG$15:$AG$1000,"",0), I492="Width", _xlfn.XLOOKUP(C492,calc_s60!$C$15:$C$1000,calc_s60!$AI$15:$AI$1000,"",0)),"")</f>
        <v/>
      </c>
      <c r="I492" s="16" t="str">
        <f t="shared" si="10"/>
        <v/>
      </c>
    </row>
    <row r="493" spans="1:9" ht="13.5" customHeight="1" x14ac:dyDescent="0.25">
      <c r="A493" s="41" t="str">
        <f>_xlfn.XLOOKUP(G493,dd_color!$A$2:$A$8,dd_color!$B$2:$B$8,"",0)</f>
        <v/>
      </c>
      <c r="B493" s="41">
        <f>_xlfn.XLOOKUP(_xlfn.XLOOKUP(C493,'Project Details'!$C$17:$C$10003,'Project Details'!$E$17:$E$10003, "",0),dd_design_raw!$A$2:$A$9997,dd_design_raw!$C$2:$C$9997,"",0)</f>
        <v>0</v>
      </c>
      <c r="C493" s="16"/>
      <c r="D493" s="16" t="str" cm="1">
        <f t="array" ref="D493">IF(C493&lt;&gt;"", _xlfn.IFS(I493="Height",_xlfn.XLOOKUP(C493,calc_s60!$C$15:$C$1000,calc_s60!$AH$15:$AH$1000,"",0),  I493="Width", _xlfn.XLOOKUP(C493,calc_s60!$C$15:$C$1000,calc_s60!$AJ$15:$AJ$1000,"",0)),"")</f>
        <v/>
      </c>
      <c r="E493" s="16" t="str" cm="1">
        <f t="array" ref="E493">IF(C493&lt;&gt;"", _xlfn.XLOOKUP(1,((SKUs!$A$2:$A$10001=cl_unmerged!B493) * (ISNUMBER(SEARCH("Bead",SKUs!$J$2:$J$10001)))), SKUs!$J$2:$J$10001,""),"") &amp; IF(C493&lt;&gt;"", " (Sash)","") &amp; _xlfn.IFS(I493="Height", ", H",I493="Height SLI", ", H SLI", I493="Height FIX", ", H FIX",I493="Width", ", W", I493="", "")</f>
        <v/>
      </c>
      <c r="F493" s="33" t="str" cm="1">
        <f t="array" ref="F493">_xlfn.XLOOKUP(1,((SKUs!$A$2:$A$10001=cl_unmerged!B493) * (ISNUMBER(SEARCH("Bead",SKUs!$J$2:$J$10001)))* (ISNUMBER(SEARCH(A493,SKUs!$C$2:$C$10001)))), SKUs!$C$2:$C$10001,"")</f>
        <v/>
      </c>
      <c r="G493" s="16"/>
      <c r="H493" s="16" t="str" cm="1">
        <f t="array" ref="H493">IF(C493&lt;&gt;"", _xlfn.IFS(I493="Height",_xlfn.XLOOKUP(C493,calc_s60!$C$15:$C$1000,calc_s60!$AG$15:$AG$1000,"",0), I493="Width", _xlfn.XLOOKUP(C493,calc_s60!$C$15:$C$1000,calc_s60!$AI$15:$AI$1000,"",0)),"")</f>
        <v/>
      </c>
      <c r="I493" s="16" t="str">
        <f t="shared" si="10"/>
        <v/>
      </c>
    </row>
    <row r="494" spans="1:9" ht="13.5" customHeight="1" x14ac:dyDescent="0.25">
      <c r="A494" s="41" t="str">
        <f>_xlfn.XLOOKUP(G494,dd_color!$A$2:$A$8,dd_color!$B$2:$B$8,"",0)</f>
        <v/>
      </c>
      <c r="B494" s="41">
        <f>_xlfn.XLOOKUP(_xlfn.XLOOKUP(C494,'Project Details'!$C$17:$C$10003,'Project Details'!$E$17:$E$10003, "",0),dd_design_raw!$A$2:$A$9997,dd_design_raw!$C$2:$C$9997,"",0)</f>
        <v>0</v>
      </c>
      <c r="C494" s="16"/>
      <c r="D494" s="16" t="str" cm="1">
        <f t="array" ref="D494">IF(C494&lt;&gt;"", _xlfn.IFS(I494="Height",_xlfn.XLOOKUP(C494,calc_s60!$C$15:$C$1000,calc_s60!$AH$15:$AH$1000,"",0),  I494="Width", _xlfn.XLOOKUP(C494,calc_s60!$C$15:$C$1000,calc_s60!$AJ$15:$AJ$1000,"",0)),"")</f>
        <v/>
      </c>
      <c r="E494" s="16" t="str" cm="1">
        <f t="array" ref="E494">IF(C494&lt;&gt;"", _xlfn.XLOOKUP(1,((SKUs!$A$2:$A$10001=cl_unmerged!B494) * (ISNUMBER(SEARCH("Bead",SKUs!$J$2:$J$10001)))), SKUs!$J$2:$J$10001,""),"") &amp; IF(C494&lt;&gt;"", " (Sash)","") &amp; _xlfn.IFS(I494="Height", ", H",I494="Height SLI", ", H SLI", I494="Height FIX", ", H FIX",I494="Width", ", W", I494="", "")</f>
        <v/>
      </c>
      <c r="F494" s="33" t="str" cm="1">
        <f t="array" ref="F494">_xlfn.XLOOKUP(1,((SKUs!$A$2:$A$10001=cl_unmerged!B494) * (ISNUMBER(SEARCH("Bead",SKUs!$J$2:$J$10001)))* (ISNUMBER(SEARCH(A494,SKUs!$C$2:$C$10001)))), SKUs!$C$2:$C$10001,"")</f>
        <v/>
      </c>
      <c r="G494" s="16"/>
      <c r="H494" s="16" t="str" cm="1">
        <f t="array" ref="H494">IF(C494&lt;&gt;"", _xlfn.IFS(I494="Height",_xlfn.XLOOKUP(C494,calc_s60!$C$15:$C$1000,calc_s60!$AG$15:$AG$1000,"",0), I494="Width", _xlfn.XLOOKUP(C494,calc_s60!$C$15:$C$1000,calc_s60!$AI$15:$AI$1000,"",0)),"")</f>
        <v/>
      </c>
      <c r="I494" s="16" t="str">
        <f t="shared" si="10"/>
        <v/>
      </c>
    </row>
    <row r="495" spans="1:9" ht="13.5" customHeight="1" x14ac:dyDescent="0.25">
      <c r="A495" s="41" t="str">
        <f>_xlfn.XLOOKUP(G495,dd_color!$A$2:$A$8,dd_color!$B$2:$B$8,"",0)</f>
        <v/>
      </c>
      <c r="B495" s="41">
        <f>_xlfn.XLOOKUP(_xlfn.XLOOKUP(C495,'Project Details'!$C$17:$C$10003,'Project Details'!$E$17:$E$10003, "",0),dd_design_raw!$A$2:$A$9997,dd_design_raw!$C$2:$C$9997,"",0)</f>
        <v>0</v>
      </c>
      <c r="C495" s="16"/>
      <c r="D495" s="16" t="str" cm="1">
        <f t="array" ref="D495">IF(C495&lt;&gt;"", _xlfn.IFS(I495="Height",_xlfn.XLOOKUP(C495,calc_s60!$C$15:$C$1000,calc_s60!$AH$15:$AH$1000,"",0),  I495="Width", _xlfn.XLOOKUP(C495,calc_s60!$C$15:$C$1000,calc_s60!$AJ$15:$AJ$1000,"",0)),"")</f>
        <v/>
      </c>
      <c r="E495" s="16" t="str" cm="1">
        <f t="array" ref="E495">IF(C495&lt;&gt;"", _xlfn.XLOOKUP(1,((SKUs!$A$2:$A$10001=cl_unmerged!B495) * (ISNUMBER(SEARCH("Bead",SKUs!$J$2:$J$10001)))), SKUs!$J$2:$J$10001,""),"") &amp; IF(C495&lt;&gt;"", " (Sash)","") &amp; _xlfn.IFS(I495="Height", ", H",I495="Height SLI", ", H SLI", I495="Height FIX", ", H FIX",I495="Width", ", W", I495="", "")</f>
        <v/>
      </c>
      <c r="F495" s="33" t="str" cm="1">
        <f t="array" ref="F495">_xlfn.XLOOKUP(1,((SKUs!$A$2:$A$10001=cl_unmerged!B495) * (ISNUMBER(SEARCH("Bead",SKUs!$J$2:$J$10001)))* (ISNUMBER(SEARCH(A495,SKUs!$C$2:$C$10001)))), SKUs!$C$2:$C$10001,"")</f>
        <v/>
      </c>
      <c r="G495" s="16"/>
      <c r="H495" s="16" t="str" cm="1">
        <f t="array" ref="H495">IF(C495&lt;&gt;"", _xlfn.IFS(I495="Height",_xlfn.XLOOKUP(C495,calc_s60!$C$15:$C$1000,calc_s60!$AG$15:$AG$1000,"",0), I495="Width", _xlfn.XLOOKUP(C495,calc_s60!$C$15:$C$1000,calc_s60!$AI$15:$AI$1000,"",0)),"")</f>
        <v/>
      </c>
      <c r="I495" s="16" t="str">
        <f t="shared" si="10"/>
        <v/>
      </c>
    </row>
    <row r="496" spans="1:9" ht="13.5" customHeight="1" x14ac:dyDescent="0.25">
      <c r="A496" s="41" t="str">
        <f>_xlfn.XLOOKUP(G496,dd_color!$A$2:$A$8,dd_color!$B$2:$B$8,"",0)</f>
        <v/>
      </c>
      <c r="B496" s="41">
        <f>_xlfn.XLOOKUP(_xlfn.XLOOKUP(C496,'Project Details'!$C$17:$C$10003,'Project Details'!$E$17:$E$10003, "",0),dd_design_raw!$A$2:$A$9997,dd_design_raw!$C$2:$C$9997,"",0)</f>
        <v>0</v>
      </c>
      <c r="C496" s="16"/>
      <c r="D496" s="16" t="str" cm="1">
        <f t="array" ref="D496">IF(C496&lt;&gt;"", _xlfn.IFS(I496="Height",_xlfn.XLOOKUP(C496,calc_s60!$C$15:$C$1000,calc_s60!$AH$15:$AH$1000,"",0),  I496="Width", _xlfn.XLOOKUP(C496,calc_s60!$C$15:$C$1000,calc_s60!$AJ$15:$AJ$1000,"",0)),"")</f>
        <v/>
      </c>
      <c r="E496" s="16" t="str" cm="1">
        <f t="array" ref="E496">IF(C496&lt;&gt;"", _xlfn.XLOOKUP(1,((SKUs!$A$2:$A$10001=cl_unmerged!B496) * (ISNUMBER(SEARCH("Bead",SKUs!$J$2:$J$10001)))), SKUs!$J$2:$J$10001,""),"") &amp; IF(C496&lt;&gt;"", " (Sash)","") &amp; _xlfn.IFS(I496="Height", ", H",I496="Height SLI", ", H SLI", I496="Height FIX", ", H FIX",I496="Width", ", W", I496="", "")</f>
        <v/>
      </c>
      <c r="F496" s="33" t="str" cm="1">
        <f t="array" ref="F496">_xlfn.XLOOKUP(1,((SKUs!$A$2:$A$10001=cl_unmerged!B496) * (ISNUMBER(SEARCH("Bead",SKUs!$J$2:$J$10001)))* (ISNUMBER(SEARCH(A496,SKUs!$C$2:$C$10001)))), SKUs!$C$2:$C$10001,"")</f>
        <v/>
      </c>
      <c r="G496" s="16"/>
      <c r="H496" s="16" t="str" cm="1">
        <f t="array" ref="H496">IF(C496&lt;&gt;"", _xlfn.IFS(I496="Height",_xlfn.XLOOKUP(C496,calc_s60!$C$15:$C$1000,calc_s60!$AG$15:$AG$1000,"",0), I496="Width", _xlfn.XLOOKUP(C496,calc_s60!$C$15:$C$1000,calc_s60!$AI$15:$AI$1000,"",0)),"")</f>
        <v/>
      </c>
      <c r="I496" s="16" t="str">
        <f t="shared" si="10"/>
        <v/>
      </c>
    </row>
    <row r="497" spans="1:9" ht="13.5" customHeight="1" x14ac:dyDescent="0.25">
      <c r="A497" s="41" t="str">
        <f>_xlfn.XLOOKUP(G497,dd_color!$A$2:$A$8,dd_color!$B$2:$B$8,"",0)</f>
        <v/>
      </c>
      <c r="B497" s="41">
        <f>_xlfn.XLOOKUP(_xlfn.XLOOKUP(C497,'Project Details'!$C$17:$C$10003,'Project Details'!$E$17:$E$10003, "",0),dd_design_raw!$A$2:$A$9997,dd_design_raw!$C$2:$C$9997,"",0)</f>
        <v>0</v>
      </c>
      <c r="C497" s="16"/>
      <c r="D497" s="16" t="str" cm="1">
        <f t="array" ref="D497">IF(C497&lt;&gt;"", _xlfn.IFS(I497="Height",_xlfn.XLOOKUP(C497,calc_s60!$C$15:$C$1000,calc_s60!$AH$15:$AH$1000,"",0),  I497="Width", _xlfn.XLOOKUP(C497,calc_s60!$C$15:$C$1000,calc_s60!$AJ$15:$AJ$1000,"",0)),"")</f>
        <v/>
      </c>
      <c r="E497" s="16" t="str" cm="1">
        <f t="array" ref="E497">IF(C497&lt;&gt;"", _xlfn.XLOOKUP(1,((SKUs!$A$2:$A$10001=cl_unmerged!B497) * (ISNUMBER(SEARCH("Bead",SKUs!$J$2:$J$10001)))), SKUs!$J$2:$J$10001,""),"") &amp; IF(C497&lt;&gt;"", " (Sash)","") &amp; _xlfn.IFS(I497="Height", ", H",I497="Height SLI", ", H SLI", I497="Height FIX", ", H FIX",I497="Width", ", W", I497="", "")</f>
        <v/>
      </c>
      <c r="F497" s="33" t="str" cm="1">
        <f t="array" ref="F497">_xlfn.XLOOKUP(1,((SKUs!$A$2:$A$10001=cl_unmerged!B497) * (ISNUMBER(SEARCH("Bead",SKUs!$J$2:$J$10001)))* (ISNUMBER(SEARCH(A497,SKUs!$C$2:$C$10001)))), SKUs!$C$2:$C$10001,"")</f>
        <v/>
      </c>
      <c r="G497" s="16"/>
      <c r="H497" s="16" t="str" cm="1">
        <f t="array" ref="H497">IF(C497&lt;&gt;"", _xlfn.IFS(I497="Height",_xlfn.XLOOKUP(C497,calc_s60!$C$15:$C$1000,calc_s60!$AG$15:$AG$1000,"",0), I497="Width", _xlfn.XLOOKUP(C497,calc_s60!$C$15:$C$1000,calc_s60!$AI$15:$AI$1000,"",0)),"")</f>
        <v/>
      </c>
      <c r="I497" s="16" t="str">
        <f t="shared" si="10"/>
        <v/>
      </c>
    </row>
    <row r="498" spans="1:9" ht="13.5" customHeight="1" x14ac:dyDescent="0.25">
      <c r="A498" s="41" t="str">
        <f>_xlfn.XLOOKUP(G498,dd_color!$A$2:$A$8,dd_color!$B$2:$B$8,"",0)</f>
        <v/>
      </c>
      <c r="B498" s="41">
        <f>_xlfn.XLOOKUP(_xlfn.XLOOKUP(C498,'Project Details'!$C$17:$C$10003,'Project Details'!$E$17:$E$10003, "",0),dd_design_raw!$A$2:$A$9997,dd_design_raw!$C$2:$C$9997,"",0)</f>
        <v>0</v>
      </c>
      <c r="C498" s="16"/>
      <c r="D498" s="16" t="str" cm="1">
        <f t="array" ref="D498">IF(C498&lt;&gt;"", _xlfn.IFS(I498="Height",_xlfn.XLOOKUP(C498,calc_s60!$C$15:$C$1000,calc_s60!$AH$15:$AH$1000,"",0),  I498="Width", _xlfn.XLOOKUP(C498,calc_s60!$C$15:$C$1000,calc_s60!$AJ$15:$AJ$1000,"",0)),"")</f>
        <v/>
      </c>
      <c r="E498" s="16" t="str" cm="1">
        <f t="array" ref="E498">IF(C498&lt;&gt;"", _xlfn.XLOOKUP(1,((SKUs!$A$2:$A$10001=cl_unmerged!B498) * (ISNUMBER(SEARCH("Bead",SKUs!$J$2:$J$10001)))), SKUs!$J$2:$J$10001,""),"") &amp; IF(C498&lt;&gt;"", " (Sash)","") &amp; _xlfn.IFS(I498="Height", ", H",I498="Height SLI", ", H SLI", I498="Height FIX", ", H FIX",I498="Width", ", W", I498="", "")</f>
        <v/>
      </c>
      <c r="F498" s="33" t="str" cm="1">
        <f t="array" ref="F498">_xlfn.XLOOKUP(1,((SKUs!$A$2:$A$10001=cl_unmerged!B498) * (ISNUMBER(SEARCH("Bead",SKUs!$J$2:$J$10001)))* (ISNUMBER(SEARCH(A498,SKUs!$C$2:$C$10001)))), SKUs!$C$2:$C$10001,"")</f>
        <v/>
      </c>
      <c r="G498" s="16"/>
      <c r="H498" s="16" t="str" cm="1">
        <f t="array" ref="H498">IF(C498&lt;&gt;"", _xlfn.IFS(I498="Height",_xlfn.XLOOKUP(C498,calc_s60!$C$15:$C$1000,calc_s60!$AG$15:$AG$1000,"",0), I498="Width", _xlfn.XLOOKUP(C498,calc_s60!$C$15:$C$1000,calc_s60!$AI$15:$AI$1000,"",0)),"")</f>
        <v/>
      </c>
      <c r="I498" s="16" t="str">
        <f t="shared" si="10"/>
        <v/>
      </c>
    </row>
    <row r="499" spans="1:9" ht="13.5" customHeight="1" x14ac:dyDescent="0.25">
      <c r="A499" s="41" t="str">
        <f>_xlfn.XLOOKUP(G499,dd_color!$A$2:$A$8,dd_color!$B$2:$B$8,"",0)</f>
        <v/>
      </c>
      <c r="B499" s="41">
        <f>_xlfn.XLOOKUP(_xlfn.XLOOKUP(C499,'Project Details'!$C$17:$C$10003,'Project Details'!$E$17:$E$10003, "",0),dd_design_raw!$A$2:$A$9997,dd_design_raw!$C$2:$C$9997,"",0)</f>
        <v>0</v>
      </c>
      <c r="C499" s="16"/>
      <c r="D499" s="16" t="str" cm="1">
        <f t="array" ref="D499">IF(C499&lt;&gt;"", _xlfn.IFS(I499="Height",_xlfn.XLOOKUP(C499,calc_s60!$C$15:$C$1000,calc_s60!$AH$15:$AH$1000,"",0),  I499="Width", _xlfn.XLOOKUP(C499,calc_s60!$C$15:$C$1000,calc_s60!$AJ$15:$AJ$1000,"",0)),"")</f>
        <v/>
      </c>
      <c r="E499" s="16" t="str" cm="1">
        <f t="array" ref="E499">IF(C499&lt;&gt;"", _xlfn.XLOOKUP(1,((SKUs!$A$2:$A$10001=cl_unmerged!B499) * (ISNUMBER(SEARCH("Bead",SKUs!$J$2:$J$10001)))), SKUs!$J$2:$J$10001,""),"") &amp; IF(C499&lt;&gt;"", " (Sash)","") &amp; _xlfn.IFS(I499="Height", ", H",I499="Height SLI", ", H SLI", I499="Height FIX", ", H FIX",I499="Width", ", W", I499="", "")</f>
        <v/>
      </c>
      <c r="F499" s="33" t="str" cm="1">
        <f t="array" ref="F499">_xlfn.XLOOKUP(1,((SKUs!$A$2:$A$10001=cl_unmerged!B499) * (ISNUMBER(SEARCH("Bead",SKUs!$J$2:$J$10001)))* (ISNUMBER(SEARCH(A499,SKUs!$C$2:$C$10001)))), SKUs!$C$2:$C$10001,"")</f>
        <v/>
      </c>
      <c r="G499" s="16"/>
      <c r="H499" s="16" t="str" cm="1">
        <f t="array" ref="H499">IF(C499&lt;&gt;"", _xlfn.IFS(I499="Height",_xlfn.XLOOKUP(C499,calc_s60!$C$15:$C$1000,calc_s60!$AG$15:$AG$1000,"",0), I499="Width", _xlfn.XLOOKUP(C499,calc_s60!$C$15:$C$1000,calc_s60!$AI$15:$AI$1000,"",0)),"")</f>
        <v/>
      </c>
      <c r="I499" s="16" t="str">
        <f t="shared" si="10"/>
        <v/>
      </c>
    </row>
    <row r="500" spans="1:9" ht="13.5" customHeight="1" x14ac:dyDescent="0.25">
      <c r="A500" s="41" t="str">
        <f>_xlfn.XLOOKUP(G500,dd_color!$A$2:$A$8,dd_color!$B$2:$B$8,"",0)</f>
        <v/>
      </c>
      <c r="B500" s="41">
        <f>_xlfn.XLOOKUP(_xlfn.XLOOKUP(C500,'Project Details'!$C$17:$C$10003,'Project Details'!$E$17:$E$10003, "",0),dd_design_raw!$A$2:$A$9997,dd_design_raw!$C$2:$C$9997,"",0)</f>
        <v>0</v>
      </c>
      <c r="C500" s="16"/>
      <c r="D500" s="16" t="str" cm="1">
        <f t="array" ref="D500">IF(C500&lt;&gt;"", _xlfn.IFS(I500="Height",_xlfn.XLOOKUP(C500,calc_s60!$C$15:$C$1000,calc_s60!$AH$15:$AH$1000,"",0),  I500="Width", _xlfn.XLOOKUP(C500,calc_s60!$C$15:$C$1000,calc_s60!$AJ$15:$AJ$1000,"",0)),"")</f>
        <v/>
      </c>
      <c r="E500" s="16" t="str" cm="1">
        <f t="array" ref="E500">IF(C500&lt;&gt;"", _xlfn.XLOOKUP(1,((SKUs!$A$2:$A$10001=cl_unmerged!B500) * (ISNUMBER(SEARCH("Bead",SKUs!$J$2:$J$10001)))), SKUs!$J$2:$J$10001,""),"") &amp; IF(C500&lt;&gt;"", " (Sash)","") &amp; _xlfn.IFS(I500="Height", ", H",I500="Height SLI", ", H SLI", I500="Height FIX", ", H FIX",I500="Width", ", W", I500="", "")</f>
        <v/>
      </c>
      <c r="F500" s="33" t="str" cm="1">
        <f t="array" ref="F500">_xlfn.XLOOKUP(1,((SKUs!$A$2:$A$10001=cl_unmerged!B500) * (ISNUMBER(SEARCH("Bead",SKUs!$J$2:$J$10001)))* (ISNUMBER(SEARCH(A500,SKUs!$C$2:$C$10001)))), SKUs!$C$2:$C$10001,"")</f>
        <v/>
      </c>
      <c r="G500" s="16"/>
      <c r="H500" s="16" t="str" cm="1">
        <f t="array" ref="H500">IF(C500&lt;&gt;"", _xlfn.IFS(I500="Height",_xlfn.XLOOKUP(C500,calc_s60!$C$15:$C$1000,calc_s60!$AG$15:$AG$1000,"",0), I500="Width", _xlfn.XLOOKUP(C500,calc_s60!$C$15:$C$1000,calc_s60!$AI$15:$AI$1000,"",0)),"")</f>
        <v/>
      </c>
      <c r="I500" s="16" t="str">
        <f t="shared" si="10"/>
        <v/>
      </c>
    </row>
    <row r="501" spans="1:9" ht="13.5" customHeight="1" x14ac:dyDescent="0.25">
      <c r="A501" s="41" t="str">
        <f>_xlfn.XLOOKUP(G501,dd_color!$A$2:$A$8,dd_color!$B$2:$B$8,"",0)</f>
        <v/>
      </c>
      <c r="B501" s="41">
        <f>_xlfn.XLOOKUP(_xlfn.XLOOKUP(C501,'Project Details'!$C$17:$C$10003,'Project Details'!$E$17:$E$10003, "",0),dd_design_raw!$A$2:$A$9997,dd_design_raw!$C$2:$C$9997,"",0)</f>
        <v>0</v>
      </c>
      <c r="C501" s="16"/>
      <c r="D501" s="16" t="str" cm="1">
        <f t="array" ref="D501">IF(C501&lt;&gt;"", _xlfn.IFS(I501="Height",_xlfn.XLOOKUP(C501,calc_s60!$C$15:$C$1000,calc_s60!$AH$15:$AH$1000,"",0),  I501="Width", _xlfn.XLOOKUP(C501,calc_s60!$C$15:$C$1000,calc_s60!$AJ$15:$AJ$1000,"",0)),"")</f>
        <v/>
      </c>
      <c r="E501" s="16" t="str" cm="1">
        <f t="array" ref="E501">IF(C501&lt;&gt;"", _xlfn.XLOOKUP(1,((SKUs!$A$2:$A$10001=cl_unmerged!B501) * (ISNUMBER(SEARCH("Bead",SKUs!$J$2:$J$10001)))), SKUs!$J$2:$J$10001,""),"") &amp; IF(C501&lt;&gt;"", " (Sash)","") &amp; _xlfn.IFS(I501="Height", ", H",I501="Height SLI", ", H SLI", I501="Height FIX", ", H FIX",I501="Width", ", W", I501="", "")</f>
        <v/>
      </c>
      <c r="F501" s="33" t="str" cm="1">
        <f t="array" ref="F501">_xlfn.XLOOKUP(1,((SKUs!$A$2:$A$10001=cl_unmerged!B501) * (ISNUMBER(SEARCH("Bead",SKUs!$J$2:$J$10001)))* (ISNUMBER(SEARCH(A501,SKUs!$C$2:$C$10001)))), SKUs!$C$2:$C$10001,"")</f>
        <v/>
      </c>
      <c r="G501" s="16"/>
      <c r="H501" s="16" t="str" cm="1">
        <f t="array" ref="H501">IF(C501&lt;&gt;"", _xlfn.IFS(I501="Height",_xlfn.XLOOKUP(C501,calc_s60!$C$15:$C$1000,calc_s60!$AG$15:$AG$1000,"",0), I501="Width", _xlfn.XLOOKUP(C501,calc_s60!$C$15:$C$1000,calc_s60!$AI$15:$AI$1000,"",0)),"")</f>
        <v/>
      </c>
      <c r="I501" s="16" t="str">
        <f t="shared" si="10"/>
        <v/>
      </c>
    </row>
    <row r="502" spans="1:9" ht="13.5" customHeight="1" x14ac:dyDescent="0.25">
      <c r="A502" s="41" t="str">
        <f>_xlfn.XLOOKUP(G502,dd_color!$A$2:$A$8,dd_color!$B$2:$B$8,"",0)</f>
        <v/>
      </c>
      <c r="B502" s="41">
        <f>_xlfn.XLOOKUP(_xlfn.XLOOKUP(C502,'Project Details'!$C$17:$C$10003,'Project Details'!$E$17:$E$10003, "",0),dd_design_raw!$A$2:$A$9997,dd_design_raw!$C$2:$C$9997,"",0)</f>
        <v>0</v>
      </c>
      <c r="C502" s="16"/>
      <c r="D502" s="16" t="str" cm="1">
        <f t="array" ref="D502">IF(C502&lt;&gt;"", _xlfn.IFS(I502="Height",_xlfn.XLOOKUP(C502,calc_s60!$C$15:$C$1000,calc_s60!$AH$15:$AH$1000,"",0),  I502="Width", _xlfn.XLOOKUP(C502,calc_s60!$C$15:$C$1000,calc_s60!$AJ$15:$AJ$1000,"",0)),"")</f>
        <v/>
      </c>
      <c r="E502" s="16" t="str" cm="1">
        <f t="array" ref="E502">IF(C502&lt;&gt;"", _xlfn.XLOOKUP(1,((SKUs!$A$2:$A$10001=cl_unmerged!B502) * (ISNUMBER(SEARCH("Bead",SKUs!$J$2:$J$10001)))), SKUs!$J$2:$J$10001,""),"") &amp; IF(C502&lt;&gt;"", " (Sash)","") &amp; _xlfn.IFS(I502="Height", ", H",I502="Height SLI", ", H SLI", I502="Height FIX", ", H FIX",I502="Width", ", W", I502="", "")</f>
        <v/>
      </c>
      <c r="F502" s="33" t="str" cm="1">
        <f t="array" ref="F502">_xlfn.XLOOKUP(1,((SKUs!$A$2:$A$10001=cl_unmerged!B502) * (ISNUMBER(SEARCH("Bead",SKUs!$J$2:$J$10001)))* (ISNUMBER(SEARCH(A502,SKUs!$C$2:$C$10001)))), SKUs!$C$2:$C$10001,"")</f>
        <v/>
      </c>
      <c r="G502" s="16"/>
      <c r="H502" s="16" t="str" cm="1">
        <f t="array" ref="H502">IF(C502&lt;&gt;"", _xlfn.IFS(I502="Height",_xlfn.XLOOKUP(C502,calc_s60!$C$15:$C$1000,calc_s60!$AG$15:$AG$1000,"",0), I502="Width", _xlfn.XLOOKUP(C502,calc_s60!$C$15:$C$1000,calc_s60!$AI$15:$AI$1000,"",0)),"")</f>
        <v/>
      </c>
      <c r="I502" s="16" t="str">
        <f t="shared" si="10"/>
        <v/>
      </c>
    </row>
    <row r="503" spans="1:9" ht="13.5" customHeight="1" x14ac:dyDescent="0.25">
      <c r="A503" s="41" t="str">
        <f>_xlfn.XLOOKUP(G503,dd_color!$A$2:$A$8,dd_color!$B$2:$B$8,"",0)</f>
        <v/>
      </c>
      <c r="B503" s="41">
        <f>_xlfn.XLOOKUP(_xlfn.XLOOKUP(C503,'Project Details'!$C$17:$C$10003,'Project Details'!$E$17:$E$10003, "",0),dd_design_raw!$A$2:$A$9997,dd_design_raw!$C$2:$C$9997,"",0)</f>
        <v>0</v>
      </c>
      <c r="C503" s="16"/>
      <c r="D503" s="16" t="str" cm="1">
        <f t="array" ref="D503">IF(C503&lt;&gt;"", _xlfn.IFS(I503="Height",_xlfn.XLOOKUP(C503,calc_s60!$C$15:$C$1000,calc_s60!$AH$15:$AH$1000,"",0),  I503="Width", _xlfn.XLOOKUP(C503,calc_s60!$C$15:$C$1000,calc_s60!$AJ$15:$AJ$1000,"",0)),"")</f>
        <v/>
      </c>
      <c r="E503" s="16" t="str" cm="1">
        <f t="array" ref="E503">IF(C503&lt;&gt;"", _xlfn.XLOOKUP(1,((SKUs!$A$2:$A$10001=cl_unmerged!B503) * (ISNUMBER(SEARCH("Bead",SKUs!$J$2:$J$10001)))), SKUs!$J$2:$J$10001,""),"") &amp; IF(C503&lt;&gt;"", " (Sash)","") &amp; _xlfn.IFS(I503="Height", ", H",I503="Height SLI", ", H SLI", I503="Height FIX", ", H FIX",I503="Width", ", W", I503="", "")</f>
        <v/>
      </c>
      <c r="F503" s="33" t="str" cm="1">
        <f t="array" ref="F503">_xlfn.XLOOKUP(1,((SKUs!$A$2:$A$10001=cl_unmerged!B503) * (ISNUMBER(SEARCH("Bead",SKUs!$J$2:$J$10001)))* (ISNUMBER(SEARCH(A503,SKUs!$C$2:$C$10001)))), SKUs!$C$2:$C$10001,"")</f>
        <v/>
      </c>
      <c r="G503" s="16"/>
      <c r="H503" s="16" t="str" cm="1">
        <f t="array" ref="H503">IF(C503&lt;&gt;"", _xlfn.IFS(I503="Height",_xlfn.XLOOKUP(C503,calc_s60!$C$15:$C$1000,calc_s60!$AG$15:$AG$1000,"",0), I503="Width", _xlfn.XLOOKUP(C503,calc_s60!$C$15:$C$1000,calc_s60!$AI$15:$AI$1000,"",0)),"")</f>
        <v/>
      </c>
      <c r="I503" s="16" t="str">
        <f t="shared" si="10"/>
        <v/>
      </c>
    </row>
    <row r="504" spans="1:9" ht="13.5" customHeight="1" x14ac:dyDescent="0.25">
      <c r="A504" s="41" t="str">
        <f>_xlfn.XLOOKUP(G504,dd_color!$A$2:$A$8,dd_color!$B$2:$B$8,"",0)</f>
        <v/>
      </c>
      <c r="B504" s="41">
        <f>_xlfn.XLOOKUP(_xlfn.XLOOKUP(C504,'Project Details'!$C$17:$C$10003,'Project Details'!$E$17:$E$10003, "",0),dd_design_raw!$A$2:$A$9997,dd_design_raw!$C$2:$C$9997,"",0)</f>
        <v>0</v>
      </c>
      <c r="C504" s="16"/>
      <c r="D504" s="16" t="str" cm="1">
        <f t="array" ref="D504">IF(C504&lt;&gt;"", _xlfn.IFS(I504="Height",_xlfn.XLOOKUP(C504,calc_s60!$C$15:$C$1000,calc_s60!$AH$15:$AH$1000,"",0),  I504="Width", _xlfn.XLOOKUP(C504,calc_s60!$C$15:$C$1000,calc_s60!$AJ$15:$AJ$1000,"",0)),"")</f>
        <v/>
      </c>
      <c r="E504" s="16" t="str" cm="1">
        <f t="array" ref="E504">IF(C504&lt;&gt;"", _xlfn.XLOOKUP(1,((SKUs!$A$2:$A$10001=cl_unmerged!B504) * (ISNUMBER(SEARCH("Bead",SKUs!$J$2:$J$10001)))), SKUs!$J$2:$J$10001,""),"") &amp; IF(C504&lt;&gt;"", " (Sash)","") &amp; _xlfn.IFS(I504="Height", ", H",I504="Height SLI", ", H SLI", I504="Height FIX", ", H FIX",I504="Width", ", W", I504="", "")</f>
        <v/>
      </c>
      <c r="F504" s="33" t="str" cm="1">
        <f t="array" ref="F504">_xlfn.XLOOKUP(1,((SKUs!$A$2:$A$10001=cl_unmerged!B504) * (ISNUMBER(SEARCH("Bead",SKUs!$J$2:$J$10001)))* (ISNUMBER(SEARCH(A504,SKUs!$C$2:$C$10001)))), SKUs!$C$2:$C$10001,"")</f>
        <v/>
      </c>
      <c r="G504" s="16"/>
      <c r="H504" s="16" t="str" cm="1">
        <f t="array" ref="H504">IF(C504&lt;&gt;"", _xlfn.IFS(I504="Height",_xlfn.XLOOKUP(C504,calc_s60!$C$15:$C$1000,calc_s60!$AG$15:$AG$1000,"",0), I504="Width", _xlfn.XLOOKUP(C504,calc_s60!$C$15:$C$1000,calc_s60!$AI$15:$AI$1000,"",0)),"")</f>
        <v/>
      </c>
      <c r="I504" s="16" t="str">
        <f t="shared" si="10"/>
        <v/>
      </c>
    </row>
    <row r="505" spans="1:9" ht="13.5" customHeight="1" x14ac:dyDescent="0.25">
      <c r="A505" s="41" t="str">
        <f>_xlfn.XLOOKUP(G505,dd_color!$A$2:$A$8,dd_color!$B$2:$B$8,"",0)</f>
        <v/>
      </c>
      <c r="B505" s="41">
        <f>_xlfn.XLOOKUP(_xlfn.XLOOKUP(C505,'Project Details'!$C$17:$C$10003,'Project Details'!$E$17:$E$10003, "",0),dd_design_raw!$A$2:$A$9997,dd_design_raw!$C$2:$C$9997,"",0)</f>
        <v>0</v>
      </c>
      <c r="C505" s="16"/>
      <c r="D505" s="16" t="str" cm="1">
        <f t="array" ref="D505">IF(C505&lt;&gt;"", _xlfn.IFS(I505="Height",_xlfn.XLOOKUP(C505,calc_s60!$C$15:$C$1000,calc_s60!$AH$15:$AH$1000,"",0),  I505="Width", _xlfn.XLOOKUP(C505,calc_s60!$C$15:$C$1000,calc_s60!$AJ$15:$AJ$1000,"",0)),"")</f>
        <v/>
      </c>
      <c r="E505" s="16" t="str" cm="1">
        <f t="array" ref="E505">IF(C505&lt;&gt;"", _xlfn.XLOOKUP(1,((SKUs!$A$2:$A$10001=cl_unmerged!B505) * (ISNUMBER(SEARCH("Bead",SKUs!$J$2:$J$10001)))), SKUs!$J$2:$J$10001,""),"") &amp; IF(C505&lt;&gt;"", " (Sash)","") &amp; _xlfn.IFS(I505="Height", ", H",I505="Height SLI", ", H SLI", I505="Height FIX", ", H FIX",I505="Width", ", W", I505="", "")</f>
        <v/>
      </c>
      <c r="F505" s="33" t="str" cm="1">
        <f t="array" ref="F505">_xlfn.XLOOKUP(1,((SKUs!$A$2:$A$10001=cl_unmerged!B505) * (ISNUMBER(SEARCH("Bead",SKUs!$J$2:$J$10001)))* (ISNUMBER(SEARCH(A505,SKUs!$C$2:$C$10001)))), SKUs!$C$2:$C$10001,"")</f>
        <v/>
      </c>
      <c r="G505" s="16"/>
      <c r="H505" s="16" t="str" cm="1">
        <f t="array" ref="H505">IF(C505&lt;&gt;"", _xlfn.IFS(I505="Height",_xlfn.XLOOKUP(C505,calc_s60!$C$15:$C$1000,calc_s60!$AG$15:$AG$1000,"",0), I505="Width", _xlfn.XLOOKUP(C505,calc_s60!$C$15:$C$1000,calc_s60!$AI$15:$AI$1000,"",0)),"")</f>
        <v/>
      </c>
      <c r="I505" s="16" t="str">
        <f t="shared" si="10"/>
        <v/>
      </c>
    </row>
    <row r="506" spans="1:9" ht="13.5" customHeight="1" x14ac:dyDescent="0.25">
      <c r="A506" s="41" t="str">
        <f>_xlfn.XLOOKUP(G506,dd_color!$A$2:$A$8,dd_color!$B$2:$B$8,"",0)</f>
        <v/>
      </c>
      <c r="B506" s="41">
        <f>_xlfn.XLOOKUP(_xlfn.XLOOKUP(C506,'Project Details'!$C$17:$C$10003,'Project Details'!$E$17:$E$10003, "",0),dd_design_raw!$A$2:$A$9997,dd_design_raw!$C$2:$C$9997,"",0)</f>
        <v>0</v>
      </c>
      <c r="C506" s="16"/>
      <c r="D506" s="16" t="str" cm="1">
        <f t="array" ref="D506">IF(C506&lt;&gt;"", _xlfn.IFS(I506="Height",_xlfn.XLOOKUP(C506,calc_s60!$C$15:$C$1000,calc_s60!$AH$15:$AH$1000,"",0),  I506="Width", _xlfn.XLOOKUP(C506,calc_s60!$C$15:$C$1000,calc_s60!$AJ$15:$AJ$1000,"",0)),"")</f>
        <v/>
      </c>
      <c r="E506" s="16" t="str" cm="1">
        <f t="array" ref="E506">IF(C506&lt;&gt;"", _xlfn.XLOOKUP(1,((SKUs!$A$2:$A$10001=cl_unmerged!B506) * (ISNUMBER(SEARCH("Bead",SKUs!$J$2:$J$10001)))), SKUs!$J$2:$J$10001,""),"") &amp; IF(C506&lt;&gt;"", " (Sash)","") &amp; _xlfn.IFS(I506="Height", ", H",I506="Height SLI", ", H SLI", I506="Height FIX", ", H FIX",I506="Width", ", W", I506="", "")</f>
        <v/>
      </c>
      <c r="F506" s="33" t="str" cm="1">
        <f t="array" ref="F506">_xlfn.XLOOKUP(1,((SKUs!$A$2:$A$10001=cl_unmerged!B506) * (ISNUMBER(SEARCH("Bead",SKUs!$J$2:$J$10001)))* (ISNUMBER(SEARCH(A506,SKUs!$C$2:$C$10001)))), SKUs!$C$2:$C$10001,"")</f>
        <v/>
      </c>
      <c r="G506" s="16"/>
      <c r="H506" s="16" t="str" cm="1">
        <f t="array" ref="H506">IF(C506&lt;&gt;"", _xlfn.IFS(I506="Height",_xlfn.XLOOKUP(C506,calc_s60!$C$15:$C$1000,calc_s60!$AG$15:$AG$1000,"",0), I506="Width", _xlfn.XLOOKUP(C506,calc_s60!$C$15:$C$1000,calc_s60!$AI$15:$AI$1000,"",0)),"")</f>
        <v/>
      </c>
      <c r="I506" s="16" t="str">
        <f t="shared" si="10"/>
        <v/>
      </c>
    </row>
    <row r="507" spans="1:9" ht="13.5" customHeight="1" x14ac:dyDescent="0.25">
      <c r="A507" s="41" t="str">
        <f>_xlfn.XLOOKUP(G507,dd_color!$A$2:$A$8,dd_color!$B$2:$B$8,"",0)</f>
        <v/>
      </c>
      <c r="B507" s="41">
        <f>_xlfn.XLOOKUP(_xlfn.XLOOKUP(C507,'Project Details'!$C$17:$C$10003,'Project Details'!$E$17:$E$10003, "",0),dd_design_raw!$A$2:$A$9997,dd_design_raw!$C$2:$C$9997,"",0)</f>
        <v>0</v>
      </c>
      <c r="C507" s="16"/>
      <c r="D507" s="16" t="str" cm="1">
        <f t="array" ref="D507">IF(C507&lt;&gt;"", _xlfn.IFS(I507="Height",_xlfn.XLOOKUP(C507,calc_s60!$C$15:$C$1000,calc_s60!$AH$15:$AH$1000,"",0),  I507="Width", _xlfn.XLOOKUP(C507,calc_s60!$C$15:$C$1000,calc_s60!$AJ$15:$AJ$1000,"",0)),"")</f>
        <v/>
      </c>
      <c r="E507" s="16" t="str" cm="1">
        <f t="array" ref="E507">IF(C507&lt;&gt;"", _xlfn.XLOOKUP(1,((SKUs!$A$2:$A$10001=cl_unmerged!B507) * (ISNUMBER(SEARCH("Bead",SKUs!$J$2:$J$10001)))), SKUs!$J$2:$J$10001,""),"") &amp; IF(C507&lt;&gt;"", " (Sash)","") &amp; _xlfn.IFS(I507="Height", ", H",I507="Height SLI", ", H SLI", I507="Height FIX", ", H FIX",I507="Width", ", W", I507="", "")</f>
        <v/>
      </c>
      <c r="F507" s="33" t="str" cm="1">
        <f t="array" ref="F507">_xlfn.XLOOKUP(1,((SKUs!$A$2:$A$10001=cl_unmerged!B507) * (ISNUMBER(SEARCH("Bead",SKUs!$J$2:$J$10001)))* (ISNUMBER(SEARCH(A507,SKUs!$C$2:$C$10001)))), SKUs!$C$2:$C$10001,"")</f>
        <v/>
      </c>
      <c r="G507" s="16"/>
      <c r="H507" s="16" t="str" cm="1">
        <f t="array" ref="H507">IF(C507&lt;&gt;"", _xlfn.IFS(I507="Height",_xlfn.XLOOKUP(C507,calc_s60!$C$15:$C$1000,calc_s60!$AG$15:$AG$1000,"",0), I507="Width", _xlfn.XLOOKUP(C507,calc_s60!$C$15:$C$1000,calc_s60!$AI$15:$AI$1000,"",0)),"")</f>
        <v/>
      </c>
      <c r="I507" s="16" t="str">
        <f t="shared" si="10"/>
        <v/>
      </c>
    </row>
    <row r="508" spans="1:9" ht="13.5" customHeight="1" x14ac:dyDescent="0.25">
      <c r="A508" s="41" t="str">
        <f>_xlfn.XLOOKUP(G508,dd_color!$A$2:$A$8,dd_color!$B$2:$B$8,"",0)</f>
        <v/>
      </c>
      <c r="B508" s="41">
        <f>_xlfn.XLOOKUP(_xlfn.XLOOKUP(C508,'Project Details'!$C$17:$C$10003,'Project Details'!$E$17:$E$10003, "",0),dd_design_raw!$A$2:$A$9997,dd_design_raw!$C$2:$C$9997,"",0)</f>
        <v>0</v>
      </c>
      <c r="C508" s="16"/>
      <c r="D508" s="16" t="str" cm="1">
        <f t="array" ref="D508">IF(C508&lt;&gt;"", _xlfn.IFS(I508="Height",_xlfn.XLOOKUP(C508,calc_s60!$C$15:$C$1000,calc_s60!$AH$15:$AH$1000,"",0),  I508="Width", _xlfn.XLOOKUP(C508,calc_s60!$C$15:$C$1000,calc_s60!$AJ$15:$AJ$1000,"",0)),"")</f>
        <v/>
      </c>
      <c r="E508" s="16" t="str" cm="1">
        <f t="array" ref="E508">IF(C508&lt;&gt;"", _xlfn.XLOOKUP(1,((SKUs!$A$2:$A$10001=cl_unmerged!B508) * (ISNUMBER(SEARCH("Bead",SKUs!$J$2:$J$10001)))), SKUs!$J$2:$J$10001,""),"") &amp; IF(C508&lt;&gt;"", " (Sash)","") &amp; _xlfn.IFS(I508="Height", ", H",I508="Height SLI", ", H SLI", I508="Height FIX", ", H FIX",I508="Width", ", W", I508="", "")</f>
        <v/>
      </c>
      <c r="F508" s="33" t="str" cm="1">
        <f t="array" ref="F508">_xlfn.XLOOKUP(1,((SKUs!$A$2:$A$10001=cl_unmerged!B508) * (ISNUMBER(SEARCH("Bead",SKUs!$J$2:$J$10001)))* (ISNUMBER(SEARCH(A508,SKUs!$C$2:$C$10001)))), SKUs!$C$2:$C$10001,"")</f>
        <v/>
      </c>
      <c r="G508" s="16"/>
      <c r="H508" s="16" t="str" cm="1">
        <f t="array" ref="H508">IF(C508&lt;&gt;"", _xlfn.IFS(I508="Height",_xlfn.XLOOKUP(C508,calc_s60!$C$15:$C$1000,calc_s60!$AG$15:$AG$1000,"",0), I508="Width", _xlfn.XLOOKUP(C508,calc_s60!$C$15:$C$1000,calc_s60!$AI$15:$AI$1000,"",0)),"")</f>
        <v/>
      </c>
      <c r="I508" s="16" t="str">
        <f t="shared" si="10"/>
        <v/>
      </c>
    </row>
    <row r="509" spans="1:9" ht="13.5" customHeight="1" x14ac:dyDescent="0.25">
      <c r="A509" s="41" t="str">
        <f>_xlfn.XLOOKUP(G509,dd_color!$A$2:$A$8,dd_color!$B$2:$B$8,"",0)</f>
        <v/>
      </c>
      <c r="B509" s="41">
        <f>_xlfn.XLOOKUP(_xlfn.XLOOKUP(C509,'Project Details'!$C$17:$C$10003,'Project Details'!$E$17:$E$10003, "",0),dd_design_raw!$A$2:$A$9997,dd_design_raw!$C$2:$C$9997,"",0)</f>
        <v>0</v>
      </c>
      <c r="C509" s="16"/>
      <c r="D509" s="16" t="str" cm="1">
        <f t="array" ref="D509">IF(C509&lt;&gt;"", _xlfn.IFS(I509="Height",_xlfn.XLOOKUP(C509,calc_s60!$C$15:$C$1000,calc_s60!$AH$15:$AH$1000,"",0),  I509="Width", _xlfn.XLOOKUP(C509,calc_s60!$C$15:$C$1000,calc_s60!$AJ$15:$AJ$1000,"",0)),"")</f>
        <v/>
      </c>
      <c r="E509" s="16" t="str" cm="1">
        <f t="array" ref="E509">IF(C509&lt;&gt;"", _xlfn.XLOOKUP(1,((SKUs!$A$2:$A$10001=cl_unmerged!B509) * (ISNUMBER(SEARCH("Bead",SKUs!$J$2:$J$10001)))), SKUs!$J$2:$J$10001,""),"") &amp; IF(C509&lt;&gt;"", " (Sash)","") &amp; _xlfn.IFS(I509="Height", ", H",I509="Height SLI", ", H SLI", I509="Height FIX", ", H FIX",I509="Width", ", W", I509="", "")</f>
        <v/>
      </c>
      <c r="F509" s="33" t="str" cm="1">
        <f t="array" ref="F509">_xlfn.XLOOKUP(1,((SKUs!$A$2:$A$10001=cl_unmerged!B509) * (ISNUMBER(SEARCH("Bead",SKUs!$J$2:$J$10001)))* (ISNUMBER(SEARCH(A509,SKUs!$C$2:$C$10001)))), SKUs!$C$2:$C$10001,"")</f>
        <v/>
      </c>
      <c r="G509" s="16"/>
      <c r="H509" s="16" t="str" cm="1">
        <f t="array" ref="H509">IF(C509&lt;&gt;"", _xlfn.IFS(I509="Height",_xlfn.XLOOKUP(C509,calc_s60!$C$15:$C$1000,calc_s60!$AG$15:$AG$1000,"",0), I509="Width", _xlfn.XLOOKUP(C509,calc_s60!$C$15:$C$1000,calc_s60!$AI$15:$AI$1000,"",0)),"")</f>
        <v/>
      </c>
      <c r="I509" s="16" t="str">
        <f t="shared" si="10"/>
        <v/>
      </c>
    </row>
    <row r="510" spans="1:9" ht="13.5" customHeight="1" x14ac:dyDescent="0.25">
      <c r="A510" s="41" t="str">
        <f>_xlfn.XLOOKUP(G510,dd_color!$A$2:$A$8,dd_color!$B$2:$B$8,"",0)</f>
        <v/>
      </c>
      <c r="B510" s="41">
        <f>_xlfn.XLOOKUP(_xlfn.XLOOKUP(C510,'Project Details'!$C$17:$C$10003,'Project Details'!$E$17:$E$10003, "",0),dd_design_raw!$A$2:$A$9997,dd_design_raw!$C$2:$C$9997,"",0)</f>
        <v>0</v>
      </c>
      <c r="C510" s="16"/>
      <c r="D510" s="16" t="str" cm="1">
        <f t="array" ref="D510">IF(C510&lt;&gt;"", _xlfn.IFS(I510="Height",_xlfn.XLOOKUP(C510,calc_s60!$C$15:$C$1000,calc_s60!$AH$15:$AH$1000,"",0),  I510="Width", _xlfn.XLOOKUP(C510,calc_s60!$C$15:$C$1000,calc_s60!$AJ$15:$AJ$1000,"",0)),"")</f>
        <v/>
      </c>
      <c r="E510" s="16" t="str" cm="1">
        <f t="array" ref="E510">IF(C510&lt;&gt;"", _xlfn.XLOOKUP(1,((SKUs!$A$2:$A$10001=cl_unmerged!B510) * (ISNUMBER(SEARCH("Bead",SKUs!$J$2:$J$10001)))), SKUs!$J$2:$J$10001,""),"") &amp; IF(C510&lt;&gt;"", " (Sash)","") &amp; _xlfn.IFS(I510="Height", ", H",I510="Height SLI", ", H SLI", I510="Height FIX", ", H FIX",I510="Width", ", W", I510="", "")</f>
        <v/>
      </c>
      <c r="F510" s="33" t="str" cm="1">
        <f t="array" ref="F510">_xlfn.XLOOKUP(1,((SKUs!$A$2:$A$10001=cl_unmerged!B510) * (ISNUMBER(SEARCH("Bead",SKUs!$J$2:$J$10001)))* (ISNUMBER(SEARCH(A510,SKUs!$C$2:$C$10001)))), SKUs!$C$2:$C$10001,"")</f>
        <v/>
      </c>
      <c r="G510" s="16"/>
      <c r="H510" s="16" t="str" cm="1">
        <f t="array" ref="H510">IF(C510&lt;&gt;"", _xlfn.IFS(I510="Height",_xlfn.XLOOKUP(C510,calc_s60!$C$15:$C$1000,calc_s60!$AG$15:$AG$1000,"",0), I510="Width", _xlfn.XLOOKUP(C510,calc_s60!$C$15:$C$1000,calc_s60!$AI$15:$AI$1000,"",0)),"")</f>
        <v/>
      </c>
      <c r="I510" s="16" t="str">
        <f t="shared" si="10"/>
        <v/>
      </c>
    </row>
    <row r="511" spans="1:9" ht="13.5" customHeight="1" x14ac:dyDescent="0.25">
      <c r="A511" s="41" t="str">
        <f>_xlfn.XLOOKUP(G511,dd_color!$A$2:$A$8,dd_color!$B$2:$B$8,"",0)</f>
        <v/>
      </c>
      <c r="B511" s="41">
        <f>_xlfn.XLOOKUP(_xlfn.XLOOKUP(C511,'Project Details'!$C$17:$C$10003,'Project Details'!$E$17:$E$10003, "",0),dd_design_raw!$A$2:$A$9997,dd_design_raw!$C$2:$C$9997,"",0)</f>
        <v>0</v>
      </c>
      <c r="C511" s="16"/>
      <c r="D511" s="16" t="str" cm="1">
        <f t="array" ref="D511">IF(C511&lt;&gt;"", _xlfn.IFS(I511="Height",_xlfn.XLOOKUP(C511,calc_s60!$C$15:$C$1000,calc_s60!$AH$15:$AH$1000,"",0),  I511="Width", _xlfn.XLOOKUP(C511,calc_s60!$C$15:$C$1000,calc_s60!$AJ$15:$AJ$1000,"",0)),"")</f>
        <v/>
      </c>
      <c r="E511" s="16" t="str" cm="1">
        <f t="array" ref="E511">IF(C511&lt;&gt;"", _xlfn.XLOOKUP(1,((SKUs!$A$2:$A$10001=cl_unmerged!B511) * (ISNUMBER(SEARCH("Bead",SKUs!$J$2:$J$10001)))), SKUs!$J$2:$J$10001,""),"") &amp; IF(C511&lt;&gt;"", " (Sash)","") &amp; _xlfn.IFS(I511="Height", ", H",I511="Height SLI", ", H SLI", I511="Height FIX", ", H FIX",I511="Width", ", W", I511="", "")</f>
        <v/>
      </c>
      <c r="F511" s="33" t="str" cm="1">
        <f t="array" ref="F511">_xlfn.XLOOKUP(1,((SKUs!$A$2:$A$10001=cl_unmerged!B511) * (ISNUMBER(SEARCH("Bead",SKUs!$J$2:$J$10001)))* (ISNUMBER(SEARCH(A511,SKUs!$C$2:$C$10001)))), SKUs!$C$2:$C$10001,"")</f>
        <v/>
      </c>
      <c r="G511" s="16"/>
      <c r="H511" s="16" t="str" cm="1">
        <f t="array" ref="H511">IF(C511&lt;&gt;"", _xlfn.IFS(I511="Height",_xlfn.XLOOKUP(C511,calc_s60!$C$15:$C$1000,calc_s60!$AG$15:$AG$1000,"",0), I511="Width", _xlfn.XLOOKUP(C511,calc_s60!$C$15:$C$1000,calc_s60!$AI$15:$AI$1000,"",0)),"")</f>
        <v/>
      </c>
      <c r="I511" s="16" t="str">
        <f t="shared" si="10"/>
        <v/>
      </c>
    </row>
    <row r="512" spans="1:9" ht="13.5" customHeight="1" x14ac:dyDescent="0.25">
      <c r="A512" s="41" t="str">
        <f>_xlfn.XLOOKUP(G512,dd_color!$A$2:$A$8,dd_color!$B$2:$B$8,"",0)</f>
        <v/>
      </c>
      <c r="B512" s="41">
        <f>_xlfn.XLOOKUP(_xlfn.XLOOKUP(C512,'Project Details'!$C$17:$C$10003,'Project Details'!$E$17:$E$10003, "",0),dd_design_raw!$A$2:$A$9997,dd_design_raw!$C$2:$C$9997,"",0)</f>
        <v>0</v>
      </c>
      <c r="C512" s="16"/>
      <c r="D512" s="16" t="str" cm="1">
        <f t="array" ref="D512">IF(C512&lt;&gt;"", _xlfn.IFS(I512="Height",_xlfn.XLOOKUP(C512,calc_s60!$C$15:$C$1000,calc_s60!$AH$15:$AH$1000,"",0),  I512="Width", _xlfn.XLOOKUP(C512,calc_s60!$C$15:$C$1000,calc_s60!$AJ$15:$AJ$1000,"",0)),"")</f>
        <v/>
      </c>
      <c r="E512" s="16" t="str" cm="1">
        <f t="array" ref="E512">IF(C512&lt;&gt;"", _xlfn.XLOOKUP(1,((SKUs!$A$2:$A$10001=cl_unmerged!B512) * (ISNUMBER(SEARCH("Bead",SKUs!$J$2:$J$10001)))), SKUs!$J$2:$J$10001,""),"") &amp; IF(C512&lt;&gt;"", " (Sash)","") &amp; _xlfn.IFS(I512="Height", ", H",I512="Height SLI", ", H SLI", I512="Height FIX", ", H FIX",I512="Width", ", W", I512="", "")</f>
        <v/>
      </c>
      <c r="F512" s="33" t="str" cm="1">
        <f t="array" ref="F512">_xlfn.XLOOKUP(1,((SKUs!$A$2:$A$10001=cl_unmerged!B512) * (ISNUMBER(SEARCH("Bead",SKUs!$J$2:$J$10001)))* (ISNUMBER(SEARCH(A512,SKUs!$C$2:$C$10001)))), SKUs!$C$2:$C$10001,"")</f>
        <v/>
      </c>
      <c r="G512" s="16"/>
      <c r="H512" s="16" t="str" cm="1">
        <f t="array" ref="H512">IF(C512&lt;&gt;"", _xlfn.IFS(I512="Height",_xlfn.XLOOKUP(C512,calc_s60!$C$15:$C$1000,calc_s60!$AG$15:$AG$1000,"",0), I512="Width", _xlfn.XLOOKUP(C512,calc_s60!$C$15:$C$1000,calc_s60!$AI$15:$AI$1000,"",0)),"")</f>
        <v/>
      </c>
      <c r="I512" s="16" t="str">
        <f t="shared" si="10"/>
        <v/>
      </c>
    </row>
    <row r="513" spans="1:9" ht="13.5" customHeight="1" x14ac:dyDescent="0.25">
      <c r="A513" s="41" t="str">
        <f>_xlfn.XLOOKUP(G513,dd_color!$A$2:$A$8,dd_color!$B$2:$B$8,"",0)</f>
        <v/>
      </c>
      <c r="B513" s="41">
        <f>_xlfn.XLOOKUP(_xlfn.XLOOKUP(C513,'Project Details'!$C$17:$C$10003,'Project Details'!$E$17:$E$10003, "",0),dd_design_raw!$A$2:$A$9997,dd_design_raw!$C$2:$C$9997,"",0)</f>
        <v>0</v>
      </c>
      <c r="C513" s="16"/>
      <c r="D513" s="16" t="str" cm="1">
        <f t="array" ref="D513">IF(C513&lt;&gt;"", _xlfn.IFS(I513="Height",_xlfn.XLOOKUP(C513,calc_s60!$C$15:$C$1000,calc_s60!$AH$15:$AH$1000,"",0),  I513="Width", _xlfn.XLOOKUP(C513,calc_s60!$C$15:$C$1000,calc_s60!$AJ$15:$AJ$1000,"",0)),"")</f>
        <v/>
      </c>
      <c r="E513" s="16" t="str" cm="1">
        <f t="array" ref="E513">IF(C513&lt;&gt;"", _xlfn.XLOOKUP(1,((SKUs!$A$2:$A$10001=cl_unmerged!B513) * (ISNUMBER(SEARCH("Bead",SKUs!$J$2:$J$10001)))), SKUs!$J$2:$J$10001,""),"") &amp; IF(C513&lt;&gt;"", " (Sash)","") &amp; _xlfn.IFS(I513="Height", ", H",I513="Height SLI", ", H SLI", I513="Height FIX", ", H FIX",I513="Width", ", W", I513="", "")</f>
        <v/>
      </c>
      <c r="F513" s="33" t="str" cm="1">
        <f t="array" ref="F513">_xlfn.XLOOKUP(1,((SKUs!$A$2:$A$10001=cl_unmerged!B513) * (ISNUMBER(SEARCH("Bead",SKUs!$J$2:$J$10001)))* (ISNUMBER(SEARCH(A513,SKUs!$C$2:$C$10001)))), SKUs!$C$2:$C$10001,"")</f>
        <v/>
      </c>
      <c r="G513" s="16"/>
      <c r="H513" s="16" t="str" cm="1">
        <f t="array" ref="H513">IF(C513&lt;&gt;"", _xlfn.IFS(I513="Height",_xlfn.XLOOKUP(C513,calc_s60!$C$15:$C$1000,calc_s60!$AG$15:$AG$1000,"",0), I513="Width", _xlfn.XLOOKUP(C513,calc_s60!$C$15:$C$1000,calc_s60!$AI$15:$AI$1000,"",0)),"")</f>
        <v/>
      </c>
      <c r="I513" s="16" t="str">
        <f t="shared" si="10"/>
        <v/>
      </c>
    </row>
    <row r="514" spans="1:9" ht="13.5" customHeight="1" x14ac:dyDescent="0.25">
      <c r="A514" s="41" t="str">
        <f>_xlfn.XLOOKUP(G514,dd_color!$A$2:$A$8,dd_color!$B$2:$B$8,"",0)</f>
        <v/>
      </c>
      <c r="B514" s="41">
        <f>_xlfn.XLOOKUP(_xlfn.XLOOKUP(C514,'Project Details'!$C$17:$C$10003,'Project Details'!$E$17:$E$10003, "",0),dd_design_raw!$A$2:$A$9997,dd_design_raw!$C$2:$C$9997,"",0)</f>
        <v>0</v>
      </c>
      <c r="C514" s="16"/>
      <c r="D514" s="16" t="str" cm="1">
        <f t="array" ref="D514">IF(C514&lt;&gt;"", _xlfn.IFS(I514="Height",_xlfn.XLOOKUP(C514,calc_s60!$C$15:$C$1000,calc_s60!$AH$15:$AH$1000,"",0),  I514="Width", _xlfn.XLOOKUP(C514,calc_s60!$C$15:$C$1000,calc_s60!$AJ$15:$AJ$1000,"",0)),"")</f>
        <v/>
      </c>
      <c r="E514" s="16" t="str" cm="1">
        <f t="array" ref="E514">IF(C514&lt;&gt;"", _xlfn.XLOOKUP(1,((SKUs!$A$2:$A$10001=cl_unmerged!B514) * (ISNUMBER(SEARCH("Bead",SKUs!$J$2:$J$10001)))), SKUs!$J$2:$J$10001,""),"") &amp; IF(C514&lt;&gt;"", " (Sash)","") &amp; _xlfn.IFS(I514="Height", ", H",I514="Height SLI", ", H SLI", I514="Height FIX", ", H FIX",I514="Width", ", W", I514="", "")</f>
        <v/>
      </c>
      <c r="F514" s="33" t="str" cm="1">
        <f t="array" ref="F514">_xlfn.XLOOKUP(1,((SKUs!$A$2:$A$10001=cl_unmerged!B514) * (ISNUMBER(SEARCH("Bead",SKUs!$J$2:$J$10001)))* (ISNUMBER(SEARCH(A514,SKUs!$C$2:$C$10001)))), SKUs!$C$2:$C$10001,"")</f>
        <v/>
      </c>
      <c r="G514" s="16"/>
      <c r="H514" s="16" t="str" cm="1">
        <f t="array" ref="H514">IF(C514&lt;&gt;"", _xlfn.IFS(I514="Height",_xlfn.XLOOKUP(C514,calc_s60!$C$15:$C$1000,calc_s60!$AG$15:$AG$1000,"",0), I514="Width", _xlfn.XLOOKUP(C514,calc_s60!$C$15:$C$1000,calc_s60!$AI$15:$AI$1000,"",0)),"")</f>
        <v/>
      </c>
      <c r="I514" s="16" t="str">
        <f t="shared" si="10"/>
        <v/>
      </c>
    </row>
    <row r="515" spans="1:9" ht="13.5" customHeight="1" x14ac:dyDescent="0.25">
      <c r="A515" s="41" t="str">
        <f>_xlfn.XLOOKUP(G515,dd_color!$A$2:$A$8,dd_color!$B$2:$B$8,"",0)</f>
        <v/>
      </c>
      <c r="B515" s="41">
        <f>_xlfn.XLOOKUP(_xlfn.XLOOKUP(C515,'Project Details'!$C$17:$C$10003,'Project Details'!$E$17:$E$10003, "",0),dd_design_raw!$A$2:$A$9997,dd_design_raw!$C$2:$C$9997,"",0)</f>
        <v>0</v>
      </c>
      <c r="C515" s="16"/>
      <c r="D515" s="16" t="str" cm="1">
        <f t="array" ref="D515">IF(C515&lt;&gt;"", _xlfn.IFS(I515="Height",_xlfn.XLOOKUP(C515,calc_s60!$C$15:$C$1000,calc_s60!$AH$15:$AH$1000,"",0),  I515="Width", _xlfn.XLOOKUP(C515,calc_s60!$C$15:$C$1000,calc_s60!$AJ$15:$AJ$1000,"",0)),"")</f>
        <v/>
      </c>
      <c r="E515" s="16" t="str" cm="1">
        <f t="array" ref="E515">IF(C515&lt;&gt;"", _xlfn.XLOOKUP(1,((SKUs!$A$2:$A$10001=cl_unmerged!B515) * (ISNUMBER(SEARCH("Bead",SKUs!$J$2:$J$10001)))), SKUs!$J$2:$J$10001,""),"") &amp; IF(C515&lt;&gt;"", " (Sash)","") &amp; _xlfn.IFS(I515="Height", ", H",I515="Height SLI", ", H SLI", I515="Height FIX", ", H FIX",I515="Width", ", W", I515="", "")</f>
        <v/>
      </c>
      <c r="F515" s="33" t="str" cm="1">
        <f t="array" ref="F515">_xlfn.XLOOKUP(1,((SKUs!$A$2:$A$10001=cl_unmerged!B515) * (ISNUMBER(SEARCH("Bead",SKUs!$J$2:$J$10001)))* (ISNUMBER(SEARCH(A515,SKUs!$C$2:$C$10001)))), SKUs!$C$2:$C$10001,"")</f>
        <v/>
      </c>
      <c r="G515" s="16"/>
      <c r="H515" s="16" t="str" cm="1">
        <f t="array" ref="H515">IF(C515&lt;&gt;"", _xlfn.IFS(I515="Height",_xlfn.XLOOKUP(C515,calc_s60!$C$15:$C$1000,calc_s60!$AG$15:$AG$1000,"",0), I515="Width", _xlfn.XLOOKUP(C515,calc_s60!$C$15:$C$1000,calc_s60!$AI$15:$AI$1000,"",0)),"")</f>
        <v/>
      </c>
      <c r="I515" s="16" t="str">
        <f t="shared" si="10"/>
        <v/>
      </c>
    </row>
    <row r="516" spans="1:9" ht="13.5" customHeight="1" x14ac:dyDescent="0.25">
      <c r="A516" s="41" t="str">
        <f>_xlfn.XLOOKUP(G516,dd_color!$A$2:$A$8,dd_color!$B$2:$B$8,"",0)</f>
        <v/>
      </c>
      <c r="B516" s="41">
        <f>_xlfn.XLOOKUP(_xlfn.XLOOKUP(C516,'Project Details'!$C$17:$C$10003,'Project Details'!$E$17:$E$10003, "",0),dd_design_raw!$A$2:$A$9997,dd_design_raw!$C$2:$C$9997,"",0)</f>
        <v>0</v>
      </c>
      <c r="C516" s="16"/>
      <c r="D516" s="16" t="str" cm="1">
        <f t="array" ref="D516">IF(C516&lt;&gt;"", _xlfn.IFS(I516="Height",_xlfn.XLOOKUP(C516,calc_s60!$C$15:$C$1000,calc_s60!$AH$15:$AH$1000,"",0),  I516="Width", _xlfn.XLOOKUP(C516,calc_s60!$C$15:$C$1000,calc_s60!$AJ$15:$AJ$1000,"",0)),"")</f>
        <v/>
      </c>
      <c r="E516" s="16" t="str" cm="1">
        <f t="array" ref="E516">IF(C516&lt;&gt;"", _xlfn.XLOOKUP(1,((SKUs!$A$2:$A$10001=cl_unmerged!B516) * (ISNUMBER(SEARCH("Bead",SKUs!$J$2:$J$10001)))), SKUs!$J$2:$J$10001,""),"") &amp; IF(C516&lt;&gt;"", " (Sash)","") &amp; _xlfn.IFS(I516="Height", ", H",I516="Height SLI", ", H SLI", I516="Height FIX", ", H FIX",I516="Width", ", W", I516="", "")</f>
        <v/>
      </c>
      <c r="F516" s="33" t="str" cm="1">
        <f t="array" ref="F516">_xlfn.XLOOKUP(1,((SKUs!$A$2:$A$10001=cl_unmerged!B516) * (ISNUMBER(SEARCH("Bead",SKUs!$J$2:$J$10001)))* (ISNUMBER(SEARCH(A516,SKUs!$C$2:$C$10001)))), SKUs!$C$2:$C$10001,"")</f>
        <v/>
      </c>
      <c r="G516" s="16"/>
      <c r="H516" s="16" t="str" cm="1">
        <f t="array" ref="H516">IF(C516&lt;&gt;"", _xlfn.IFS(I516="Height",_xlfn.XLOOKUP(C516,calc_s60!$C$15:$C$1000,calc_s60!$AG$15:$AG$1000,"",0), I516="Width", _xlfn.XLOOKUP(C516,calc_s60!$C$15:$C$1000,calc_s60!$AI$15:$AI$1000,"",0)),"")</f>
        <v/>
      </c>
      <c r="I516" s="16" t="str">
        <f t="shared" si="10"/>
        <v/>
      </c>
    </row>
    <row r="517" spans="1:9" ht="13.5" customHeight="1" x14ac:dyDescent="0.25">
      <c r="A517" s="41" t="str">
        <f>_xlfn.XLOOKUP(G517,dd_color!$A$2:$A$8,dd_color!$B$2:$B$8,"",0)</f>
        <v/>
      </c>
      <c r="B517" s="41">
        <f>_xlfn.XLOOKUP(_xlfn.XLOOKUP(C517,'Project Details'!$C$17:$C$10003,'Project Details'!$E$17:$E$10003, "",0),dd_design_raw!$A$2:$A$9997,dd_design_raw!$C$2:$C$9997,"",0)</f>
        <v>0</v>
      </c>
      <c r="C517" s="16"/>
      <c r="D517" s="16" t="str" cm="1">
        <f t="array" ref="D517">IF(C517&lt;&gt;"", _xlfn.IFS(I517="Height",_xlfn.XLOOKUP(C517,calc_s60!$C$15:$C$1000,calc_s60!$AH$15:$AH$1000,"",0),  I517="Width", _xlfn.XLOOKUP(C517,calc_s60!$C$15:$C$1000,calc_s60!$AJ$15:$AJ$1000,"",0)),"")</f>
        <v/>
      </c>
      <c r="E517" s="16" t="str" cm="1">
        <f t="array" ref="E517">IF(C517&lt;&gt;"", _xlfn.XLOOKUP(1,((SKUs!$A$2:$A$10001=cl_unmerged!B517) * (ISNUMBER(SEARCH("Bead",SKUs!$J$2:$J$10001)))), SKUs!$J$2:$J$10001,""),"") &amp; IF(C517&lt;&gt;"", " (Sash)","") &amp; _xlfn.IFS(I517="Height", ", H",I517="Height SLI", ", H SLI", I517="Height FIX", ", H FIX",I517="Width", ", W", I517="", "")</f>
        <v/>
      </c>
      <c r="F517" s="33" t="str" cm="1">
        <f t="array" ref="F517">_xlfn.XLOOKUP(1,((SKUs!$A$2:$A$10001=cl_unmerged!B517) * (ISNUMBER(SEARCH("Bead",SKUs!$J$2:$J$10001)))* (ISNUMBER(SEARCH(A517,SKUs!$C$2:$C$10001)))), SKUs!$C$2:$C$10001,"")</f>
        <v/>
      </c>
      <c r="G517" s="16"/>
      <c r="H517" s="16" t="str" cm="1">
        <f t="array" ref="H517">IF(C517&lt;&gt;"", _xlfn.IFS(I517="Height",_xlfn.XLOOKUP(C517,calc_s60!$C$15:$C$1000,calc_s60!$AG$15:$AG$1000,"",0), I517="Width", _xlfn.XLOOKUP(C517,calc_s60!$C$15:$C$1000,calc_s60!$AI$15:$AI$1000,"",0)),"")</f>
        <v/>
      </c>
      <c r="I517" s="16" t="str">
        <f t="shared" si="10"/>
        <v/>
      </c>
    </row>
    <row r="518" spans="1:9" ht="13.5" customHeight="1" x14ac:dyDescent="0.25">
      <c r="A518" s="41" t="str">
        <f>_xlfn.XLOOKUP(G518,dd_color!$A$2:$A$8,dd_color!$B$2:$B$8,"",0)</f>
        <v/>
      </c>
      <c r="B518" s="41">
        <f>_xlfn.XLOOKUP(_xlfn.XLOOKUP(C518,'Project Details'!$C$17:$C$10003,'Project Details'!$E$17:$E$10003, "",0),dd_design_raw!$A$2:$A$9997,dd_design_raw!$C$2:$C$9997,"",0)</f>
        <v>0</v>
      </c>
      <c r="C518" s="16"/>
      <c r="D518" s="16" t="str" cm="1">
        <f t="array" ref="D518">IF(C518&lt;&gt;"", _xlfn.IFS(I518="Height",_xlfn.XLOOKUP(C518,calc_s60!$C$15:$C$1000,calc_s60!$AH$15:$AH$1000,"",0),  I518="Width", _xlfn.XLOOKUP(C518,calc_s60!$C$15:$C$1000,calc_s60!$AJ$15:$AJ$1000,"",0)),"")</f>
        <v/>
      </c>
      <c r="E518" s="16" t="str" cm="1">
        <f t="array" ref="E518">IF(C518&lt;&gt;"", _xlfn.XLOOKUP(1,((SKUs!$A$2:$A$10001=cl_unmerged!B518) * (ISNUMBER(SEARCH("Bead",SKUs!$J$2:$J$10001)))), SKUs!$J$2:$J$10001,""),"") &amp; IF(C518&lt;&gt;"", " (Sash)","") &amp; _xlfn.IFS(I518="Height", ", H",I518="Height SLI", ", H SLI", I518="Height FIX", ", H FIX",I518="Width", ", W", I518="", "")</f>
        <v/>
      </c>
      <c r="F518" s="33" t="str" cm="1">
        <f t="array" ref="F518">_xlfn.XLOOKUP(1,((SKUs!$A$2:$A$10001=cl_unmerged!B518) * (ISNUMBER(SEARCH("Bead",SKUs!$J$2:$J$10001)))* (ISNUMBER(SEARCH(A518,SKUs!$C$2:$C$10001)))), SKUs!$C$2:$C$10001,"")</f>
        <v/>
      </c>
      <c r="G518" s="16"/>
      <c r="H518" s="16" t="str" cm="1">
        <f t="array" ref="H518">IF(C518&lt;&gt;"", _xlfn.IFS(I518="Height",_xlfn.XLOOKUP(C518,calc_s60!$C$15:$C$1000,calc_s60!$AG$15:$AG$1000,"",0), I518="Width", _xlfn.XLOOKUP(C518,calc_s60!$C$15:$C$1000,calc_s60!$AI$15:$AI$1000,"",0)),"")</f>
        <v/>
      </c>
      <c r="I518" s="16" t="str">
        <f t="shared" si="10"/>
        <v/>
      </c>
    </row>
    <row r="519" spans="1:9" ht="13.5" customHeight="1" x14ac:dyDescent="0.25">
      <c r="A519" s="41" t="str">
        <f>_xlfn.XLOOKUP(G519,dd_color!$A$2:$A$8,dd_color!$B$2:$B$8,"",0)</f>
        <v/>
      </c>
      <c r="B519" s="41">
        <f>_xlfn.XLOOKUP(_xlfn.XLOOKUP(C519,'Project Details'!$C$17:$C$10003,'Project Details'!$E$17:$E$10003, "",0),dd_design_raw!$A$2:$A$9997,dd_design_raw!$C$2:$C$9997,"",0)</f>
        <v>0</v>
      </c>
      <c r="C519" s="16"/>
      <c r="D519" s="16" t="str" cm="1">
        <f t="array" ref="D519">IF(C519&lt;&gt;"", _xlfn.IFS(I519="Height",_xlfn.XLOOKUP(C519,calc_s60!$C$15:$C$1000,calc_s60!$AH$15:$AH$1000,"",0),  I519="Width", _xlfn.XLOOKUP(C519,calc_s60!$C$15:$C$1000,calc_s60!$AJ$15:$AJ$1000,"",0)),"")</f>
        <v/>
      </c>
      <c r="E519" s="16" t="str" cm="1">
        <f t="array" ref="E519">IF(C519&lt;&gt;"", _xlfn.XLOOKUP(1,((SKUs!$A$2:$A$10001=cl_unmerged!B519) * (ISNUMBER(SEARCH("Bead",SKUs!$J$2:$J$10001)))), SKUs!$J$2:$J$10001,""),"") &amp; IF(C519&lt;&gt;"", " (Sash)","") &amp; _xlfn.IFS(I519="Height", ", H",I519="Height SLI", ", H SLI", I519="Height FIX", ", H FIX",I519="Width", ", W", I519="", "")</f>
        <v/>
      </c>
      <c r="F519" s="33" t="str" cm="1">
        <f t="array" ref="F519">_xlfn.XLOOKUP(1,((SKUs!$A$2:$A$10001=cl_unmerged!B519) * (ISNUMBER(SEARCH("Bead",SKUs!$J$2:$J$10001)))* (ISNUMBER(SEARCH(A519,SKUs!$C$2:$C$10001)))), SKUs!$C$2:$C$10001,"")</f>
        <v/>
      </c>
      <c r="G519" s="16"/>
      <c r="H519" s="16" t="str" cm="1">
        <f t="array" ref="H519">IF(C519&lt;&gt;"", _xlfn.IFS(I519="Height",_xlfn.XLOOKUP(C519,calc_s60!$C$15:$C$1000,calc_s60!$AG$15:$AG$1000,"",0), I519="Width", _xlfn.XLOOKUP(C519,calc_s60!$C$15:$C$1000,calc_s60!$AI$15:$AI$1000,"",0)),"")</f>
        <v/>
      </c>
      <c r="I519" s="16" t="str">
        <f t="shared" si="10"/>
        <v/>
      </c>
    </row>
    <row r="520" spans="1:9" ht="13.5" customHeight="1" x14ac:dyDescent="0.25">
      <c r="A520" s="41" t="str">
        <f>_xlfn.XLOOKUP(G520,dd_color!$A$2:$A$8,dd_color!$B$2:$B$8,"",0)</f>
        <v/>
      </c>
      <c r="B520" s="41">
        <f>_xlfn.XLOOKUP(_xlfn.XLOOKUP(C520,'Project Details'!$C$17:$C$10003,'Project Details'!$E$17:$E$10003, "",0),dd_design_raw!$A$2:$A$9997,dd_design_raw!$C$2:$C$9997,"",0)</f>
        <v>0</v>
      </c>
      <c r="C520" s="16"/>
      <c r="D520" s="16" t="str" cm="1">
        <f t="array" ref="D520">IF(C520&lt;&gt;"", _xlfn.IFS(I520="Height",_xlfn.XLOOKUP(C520,calc_s60!$C$15:$C$1000,calc_s60!$AH$15:$AH$1000,"",0),  I520="Width", _xlfn.XLOOKUP(C520,calc_s60!$C$15:$C$1000,calc_s60!$AJ$15:$AJ$1000,"",0)),"")</f>
        <v/>
      </c>
      <c r="E520" s="16" t="str" cm="1">
        <f t="array" ref="E520">IF(C520&lt;&gt;"", _xlfn.XLOOKUP(1,((SKUs!$A$2:$A$10001=cl_unmerged!B520) * (ISNUMBER(SEARCH("Bead",SKUs!$J$2:$J$10001)))), SKUs!$J$2:$J$10001,""),"") &amp; IF(C520&lt;&gt;"", " (Sash)","") &amp; _xlfn.IFS(I520="Height", ", H",I520="Height SLI", ", H SLI", I520="Height FIX", ", H FIX",I520="Width", ", W", I520="", "")</f>
        <v/>
      </c>
      <c r="F520" s="33" t="str" cm="1">
        <f t="array" ref="F520">_xlfn.XLOOKUP(1,((SKUs!$A$2:$A$10001=cl_unmerged!B520) * (ISNUMBER(SEARCH("Bead",SKUs!$J$2:$J$10001)))* (ISNUMBER(SEARCH(A520,SKUs!$C$2:$C$10001)))), SKUs!$C$2:$C$10001,"")</f>
        <v/>
      </c>
      <c r="G520" s="16"/>
      <c r="H520" s="16" t="str" cm="1">
        <f t="array" ref="H520">IF(C520&lt;&gt;"", _xlfn.IFS(I520="Height",_xlfn.XLOOKUP(C520,calc_s60!$C$15:$C$1000,calc_s60!$AG$15:$AG$1000,"",0), I520="Width", _xlfn.XLOOKUP(C520,calc_s60!$C$15:$C$1000,calc_s60!$AI$15:$AI$1000,"",0)),"")</f>
        <v/>
      </c>
      <c r="I520" s="16" t="str">
        <f t="shared" si="10"/>
        <v/>
      </c>
    </row>
    <row r="521" spans="1:9" ht="13.5" customHeight="1" x14ac:dyDescent="0.25">
      <c r="A521" s="41" t="str">
        <f>_xlfn.XLOOKUP(G521,dd_color!$A$2:$A$8,dd_color!$B$2:$B$8,"",0)</f>
        <v/>
      </c>
      <c r="B521" s="41">
        <f>_xlfn.XLOOKUP(_xlfn.XLOOKUP(C521,'Project Details'!$C$17:$C$10003,'Project Details'!$E$17:$E$10003, "",0),dd_design_raw!$A$2:$A$9997,dd_design_raw!$C$2:$C$9997,"",0)</f>
        <v>0</v>
      </c>
      <c r="C521" s="16"/>
      <c r="D521" s="16" t="str" cm="1">
        <f t="array" ref="D521">IF(C521&lt;&gt;"", _xlfn.IFS(I521="Height",_xlfn.XLOOKUP(C521,calc_s60!$C$15:$C$1000,calc_s60!$AH$15:$AH$1000,"",0),  I521="Width", _xlfn.XLOOKUP(C521,calc_s60!$C$15:$C$1000,calc_s60!$AJ$15:$AJ$1000,"",0)),"")</f>
        <v/>
      </c>
      <c r="E521" s="16" t="str" cm="1">
        <f t="array" ref="E521">IF(C521&lt;&gt;"", _xlfn.XLOOKUP(1,((SKUs!$A$2:$A$10001=cl_unmerged!B521) * (ISNUMBER(SEARCH("Bead",SKUs!$J$2:$J$10001)))), SKUs!$J$2:$J$10001,""),"") &amp; IF(C521&lt;&gt;"", " (Sash)","") &amp; _xlfn.IFS(I521="Height", ", H",I521="Height SLI", ", H SLI", I521="Height FIX", ", H FIX",I521="Width", ", W", I521="", "")</f>
        <v/>
      </c>
      <c r="F521" s="33" t="str" cm="1">
        <f t="array" ref="F521">_xlfn.XLOOKUP(1,((SKUs!$A$2:$A$10001=cl_unmerged!B521) * (ISNUMBER(SEARCH("Bead",SKUs!$J$2:$J$10001)))* (ISNUMBER(SEARCH(A521,SKUs!$C$2:$C$10001)))), SKUs!$C$2:$C$10001,"")</f>
        <v/>
      </c>
      <c r="G521" s="16"/>
      <c r="H521" s="16" t="str" cm="1">
        <f t="array" ref="H521">IF(C521&lt;&gt;"", _xlfn.IFS(I521="Height",_xlfn.XLOOKUP(C521,calc_s60!$C$15:$C$1000,calc_s60!$AG$15:$AG$1000,"",0), I521="Width", _xlfn.XLOOKUP(C521,calc_s60!$C$15:$C$1000,calc_s60!$AI$15:$AI$1000,"",0)),"")</f>
        <v/>
      </c>
      <c r="I521" s="16" t="str">
        <f t="shared" si="10"/>
        <v/>
      </c>
    </row>
    <row r="522" spans="1:9" ht="13.5" customHeight="1" x14ac:dyDescent="0.25">
      <c r="A522" s="41" t="str">
        <f>_xlfn.XLOOKUP(G522,dd_color!$A$2:$A$8,dd_color!$B$2:$B$8,"",0)</f>
        <v/>
      </c>
      <c r="B522" s="41">
        <f>_xlfn.XLOOKUP(_xlfn.XLOOKUP(C522,'Project Details'!$C$17:$C$10003,'Project Details'!$E$17:$E$10003, "",0),dd_design_raw!$A$2:$A$9997,dd_design_raw!$C$2:$C$9997,"",0)</f>
        <v>0</v>
      </c>
      <c r="C522" s="16"/>
      <c r="D522" s="16" t="str" cm="1">
        <f t="array" ref="D522">IF(C522&lt;&gt;"", _xlfn.IFS(I522="Height",_xlfn.XLOOKUP(C522,calc_s60!$C$15:$C$1000,calc_s60!$AH$15:$AH$1000,"",0),  I522="Width", _xlfn.XLOOKUP(C522,calc_s60!$C$15:$C$1000,calc_s60!$AJ$15:$AJ$1000,"",0)),"")</f>
        <v/>
      </c>
      <c r="E522" s="16" t="str" cm="1">
        <f t="array" ref="E522">IF(C522&lt;&gt;"", _xlfn.XLOOKUP(1,((SKUs!$A$2:$A$10001=cl_unmerged!B522) * (ISNUMBER(SEARCH("Bead",SKUs!$J$2:$J$10001)))), SKUs!$J$2:$J$10001,""),"") &amp; IF(C522&lt;&gt;"", " (Sash)","") &amp; _xlfn.IFS(I522="Height", ", H",I522="Height SLI", ", H SLI", I522="Height FIX", ", H FIX",I522="Width", ", W", I522="", "")</f>
        <v/>
      </c>
      <c r="F522" s="33" t="str" cm="1">
        <f t="array" ref="F522">_xlfn.XLOOKUP(1,((SKUs!$A$2:$A$10001=cl_unmerged!B522) * (ISNUMBER(SEARCH("Bead",SKUs!$J$2:$J$10001)))* (ISNUMBER(SEARCH(A522,SKUs!$C$2:$C$10001)))), SKUs!$C$2:$C$10001,"")</f>
        <v/>
      </c>
      <c r="G522" s="16"/>
      <c r="H522" s="16" t="str" cm="1">
        <f t="array" ref="H522">IF(C522&lt;&gt;"", _xlfn.IFS(I522="Height",_xlfn.XLOOKUP(C522,calc_s60!$C$15:$C$1000,calc_s60!$AG$15:$AG$1000,"",0), I522="Width", _xlfn.XLOOKUP(C522,calc_s60!$C$15:$C$1000,calc_s60!$AI$15:$AI$1000,"",0)),"")</f>
        <v/>
      </c>
      <c r="I522" s="16" t="str">
        <f t="shared" si="10"/>
        <v/>
      </c>
    </row>
    <row r="523" spans="1:9" ht="13.5" customHeight="1" x14ac:dyDescent="0.25">
      <c r="A523" s="41" t="str">
        <f>_xlfn.XLOOKUP(G523,dd_color!$A$2:$A$8,dd_color!$B$2:$B$8,"",0)</f>
        <v/>
      </c>
      <c r="B523" s="41">
        <f>_xlfn.XLOOKUP(_xlfn.XLOOKUP(C523,'Project Details'!$C$17:$C$10003,'Project Details'!$E$17:$E$10003, "",0),dd_design_raw!$A$2:$A$9997,dd_design_raw!$C$2:$C$9997,"",0)</f>
        <v>0</v>
      </c>
      <c r="C523" s="16"/>
      <c r="D523" s="16" t="str" cm="1">
        <f t="array" ref="D523">IF(C523&lt;&gt;"", _xlfn.IFS(I523="Height",_xlfn.XLOOKUP(C523,calc_s60!$C$15:$C$1000,calc_s60!$AH$15:$AH$1000,"",0),  I523="Width", _xlfn.XLOOKUP(C523,calc_s60!$C$15:$C$1000,calc_s60!$AJ$15:$AJ$1000,"",0)),"")</f>
        <v/>
      </c>
      <c r="E523" s="16" t="str" cm="1">
        <f t="array" ref="E523">IF(C523&lt;&gt;"", _xlfn.XLOOKUP(1,((SKUs!$A$2:$A$10001=cl_unmerged!B523) * (ISNUMBER(SEARCH("Bead",SKUs!$J$2:$J$10001)))), SKUs!$J$2:$J$10001,""),"") &amp; IF(C523&lt;&gt;"", " (Sash)","") &amp; _xlfn.IFS(I523="Height", ", H",I523="Height SLI", ", H SLI", I523="Height FIX", ", H FIX",I523="Width", ", W", I523="", "")</f>
        <v/>
      </c>
      <c r="F523" s="33" t="str" cm="1">
        <f t="array" ref="F523">_xlfn.XLOOKUP(1,((SKUs!$A$2:$A$10001=cl_unmerged!B523) * (ISNUMBER(SEARCH("Bead",SKUs!$J$2:$J$10001)))* (ISNUMBER(SEARCH(A523,SKUs!$C$2:$C$10001)))), SKUs!$C$2:$C$10001,"")</f>
        <v/>
      </c>
      <c r="G523" s="16"/>
      <c r="H523" s="16" t="str" cm="1">
        <f t="array" ref="H523">IF(C523&lt;&gt;"", _xlfn.IFS(I523="Height",_xlfn.XLOOKUP(C523,calc_s60!$C$15:$C$1000,calc_s60!$AG$15:$AG$1000,"",0), I523="Width", _xlfn.XLOOKUP(C523,calc_s60!$C$15:$C$1000,calc_s60!$AI$15:$AI$1000,"",0)),"")</f>
        <v/>
      </c>
      <c r="I523" s="16" t="str">
        <f t="shared" si="10"/>
        <v/>
      </c>
    </row>
    <row r="524" spans="1:9" ht="13.5" customHeight="1" x14ac:dyDescent="0.25">
      <c r="A524" s="41" t="str">
        <f>_xlfn.XLOOKUP(G524,dd_color!$A$2:$A$8,dd_color!$B$2:$B$8,"",0)</f>
        <v/>
      </c>
      <c r="B524" s="41">
        <f>_xlfn.XLOOKUP(_xlfn.XLOOKUP(C524,'Project Details'!$C$17:$C$10003,'Project Details'!$E$17:$E$10003, "",0),dd_design_raw!$A$2:$A$9997,dd_design_raw!$C$2:$C$9997,"",0)</f>
        <v>0</v>
      </c>
      <c r="C524" s="16"/>
      <c r="D524" s="16" t="str" cm="1">
        <f t="array" ref="D524">IF(C524&lt;&gt;"", _xlfn.IFS(I524="Height",_xlfn.XLOOKUP(C524,calc_s60!$C$15:$C$1000,calc_s60!$AH$15:$AH$1000,"",0),  I524="Width", _xlfn.XLOOKUP(C524,calc_s60!$C$15:$C$1000,calc_s60!$AJ$15:$AJ$1000,"",0)),"")</f>
        <v/>
      </c>
      <c r="E524" s="16" t="str" cm="1">
        <f t="array" ref="E524">IF(C524&lt;&gt;"", _xlfn.XLOOKUP(1,((SKUs!$A$2:$A$10001=cl_unmerged!B524) * (ISNUMBER(SEARCH("Bead",SKUs!$J$2:$J$10001)))), SKUs!$J$2:$J$10001,""),"") &amp; IF(C524&lt;&gt;"", " (Sash)","") &amp; _xlfn.IFS(I524="Height", ", H",I524="Height SLI", ", H SLI", I524="Height FIX", ", H FIX",I524="Width", ", W", I524="", "")</f>
        <v/>
      </c>
      <c r="F524" s="33" t="str" cm="1">
        <f t="array" ref="F524">_xlfn.XLOOKUP(1,((SKUs!$A$2:$A$10001=cl_unmerged!B524) * (ISNUMBER(SEARCH("Bead",SKUs!$J$2:$J$10001)))* (ISNUMBER(SEARCH(A524,SKUs!$C$2:$C$10001)))), SKUs!$C$2:$C$10001,"")</f>
        <v/>
      </c>
      <c r="G524" s="16"/>
      <c r="H524" s="16" t="str" cm="1">
        <f t="array" ref="H524">IF(C524&lt;&gt;"", _xlfn.IFS(I524="Height",_xlfn.XLOOKUP(C524,calc_s60!$C$15:$C$1000,calc_s60!$AG$15:$AG$1000,"",0), I524="Width", _xlfn.XLOOKUP(C524,calc_s60!$C$15:$C$1000,calc_s60!$AI$15:$AI$1000,"",0)),"")</f>
        <v/>
      </c>
      <c r="I524" s="16" t="str">
        <f t="shared" si="10"/>
        <v/>
      </c>
    </row>
    <row r="525" spans="1:9" ht="13.5" customHeight="1" x14ac:dyDescent="0.25">
      <c r="A525" s="41" t="str">
        <f>_xlfn.XLOOKUP(G525,dd_color!$A$2:$A$8,dd_color!$B$2:$B$8,"",0)</f>
        <v/>
      </c>
      <c r="B525" s="41">
        <f>_xlfn.XLOOKUP(_xlfn.XLOOKUP(C525,'Project Details'!$C$17:$C$10003,'Project Details'!$E$17:$E$10003, "",0),dd_design_raw!$A$2:$A$9997,dd_design_raw!$C$2:$C$9997,"",0)</f>
        <v>0</v>
      </c>
      <c r="C525" s="16"/>
      <c r="D525" s="16" t="str" cm="1">
        <f t="array" ref="D525">IF(C525&lt;&gt;"", _xlfn.IFS(I525="Height",_xlfn.XLOOKUP(C525,calc_s60!$C$15:$C$1000,calc_s60!$AH$15:$AH$1000,"",0),  I525="Width", _xlfn.XLOOKUP(C525,calc_s60!$C$15:$C$1000,calc_s60!$AJ$15:$AJ$1000,"",0)),"")</f>
        <v/>
      </c>
      <c r="E525" s="16" t="str" cm="1">
        <f t="array" ref="E525">IF(C525&lt;&gt;"", _xlfn.XLOOKUP(1,((SKUs!$A$2:$A$10001=cl_unmerged!B525) * (ISNUMBER(SEARCH("Bead",SKUs!$J$2:$J$10001)))), SKUs!$J$2:$J$10001,""),"") &amp; IF(C525&lt;&gt;"", " (Sash)","") &amp; _xlfn.IFS(I525="Height", ", H",I525="Height SLI", ", H SLI", I525="Height FIX", ", H FIX",I525="Width", ", W", I525="", "")</f>
        <v/>
      </c>
      <c r="F525" s="33" t="str" cm="1">
        <f t="array" ref="F525">_xlfn.XLOOKUP(1,((SKUs!$A$2:$A$10001=cl_unmerged!B525) * (ISNUMBER(SEARCH("Bead",SKUs!$J$2:$J$10001)))* (ISNUMBER(SEARCH(A525,SKUs!$C$2:$C$10001)))), SKUs!$C$2:$C$10001,"")</f>
        <v/>
      </c>
      <c r="G525" s="16"/>
      <c r="H525" s="16" t="str" cm="1">
        <f t="array" ref="H525">IF(C525&lt;&gt;"", _xlfn.IFS(I525="Height",_xlfn.XLOOKUP(C525,calc_s60!$C$15:$C$1000,calc_s60!$AG$15:$AG$1000,"",0), I525="Width", _xlfn.XLOOKUP(C525,calc_s60!$C$15:$C$1000,calc_s60!$AI$15:$AI$1000,"",0)),"")</f>
        <v/>
      </c>
      <c r="I525" s="16" t="str">
        <f t="shared" si="10"/>
        <v/>
      </c>
    </row>
    <row r="526" spans="1:9" ht="13.5" customHeight="1" x14ac:dyDescent="0.25">
      <c r="A526" s="41" t="str">
        <f>_xlfn.XLOOKUP(G526,dd_color!$A$2:$A$8,dd_color!$B$2:$B$8,"",0)</f>
        <v/>
      </c>
      <c r="B526" s="41">
        <f>_xlfn.XLOOKUP(_xlfn.XLOOKUP(C526,'Project Details'!$C$17:$C$10003,'Project Details'!$E$17:$E$10003, "",0),dd_design_raw!$A$2:$A$9997,dd_design_raw!$C$2:$C$9997,"",0)</f>
        <v>0</v>
      </c>
      <c r="C526" s="16"/>
      <c r="D526" s="16" t="str" cm="1">
        <f t="array" ref="D526">IF(C526&lt;&gt;"", _xlfn.IFS(I526="Height",_xlfn.XLOOKUP(C526,calc_s60!$C$15:$C$1000,calc_s60!$AH$15:$AH$1000,"",0),  I526="Width", _xlfn.XLOOKUP(C526,calc_s60!$C$15:$C$1000,calc_s60!$AJ$15:$AJ$1000,"",0)),"")</f>
        <v/>
      </c>
      <c r="E526" s="16" t="str" cm="1">
        <f t="array" ref="E526">IF(C526&lt;&gt;"", _xlfn.XLOOKUP(1,((SKUs!$A$2:$A$10001=cl_unmerged!B526) * (ISNUMBER(SEARCH("Bead",SKUs!$J$2:$J$10001)))), SKUs!$J$2:$J$10001,""),"") &amp; IF(C526&lt;&gt;"", " (Sash)","") &amp; _xlfn.IFS(I526="Height", ", H",I526="Height SLI", ", H SLI", I526="Height FIX", ", H FIX",I526="Width", ", W", I526="", "")</f>
        <v/>
      </c>
      <c r="F526" s="33" t="str" cm="1">
        <f t="array" ref="F526">_xlfn.XLOOKUP(1,((SKUs!$A$2:$A$10001=cl_unmerged!B526) * (ISNUMBER(SEARCH("Bead",SKUs!$J$2:$J$10001)))* (ISNUMBER(SEARCH(A526,SKUs!$C$2:$C$10001)))), SKUs!$C$2:$C$10001,"")</f>
        <v/>
      </c>
      <c r="G526" s="16"/>
      <c r="H526" s="16" t="str" cm="1">
        <f t="array" ref="H526">IF(C526&lt;&gt;"", _xlfn.IFS(I526="Height",_xlfn.XLOOKUP(C526,calc_s60!$C$15:$C$1000,calc_s60!$AG$15:$AG$1000,"",0), I526="Width", _xlfn.XLOOKUP(C526,calc_s60!$C$15:$C$1000,calc_s60!$AI$15:$AI$1000,"",0)),"")</f>
        <v/>
      </c>
      <c r="I526" s="16" t="str">
        <f t="shared" si="10"/>
        <v/>
      </c>
    </row>
    <row r="527" spans="1:9" ht="13.5" customHeight="1" x14ac:dyDescent="0.25">
      <c r="A527" s="41" t="str">
        <f>_xlfn.XLOOKUP(G527,dd_color!$A$2:$A$8,dd_color!$B$2:$B$8,"",0)</f>
        <v/>
      </c>
      <c r="B527" s="41">
        <f>_xlfn.XLOOKUP(_xlfn.XLOOKUP(C527,'Project Details'!$C$17:$C$10003,'Project Details'!$E$17:$E$10003, "",0),dd_design_raw!$A$2:$A$9997,dd_design_raw!$C$2:$C$9997,"",0)</f>
        <v>0</v>
      </c>
      <c r="C527" s="16"/>
      <c r="D527" s="16" t="str" cm="1">
        <f t="array" ref="D527">IF(C527&lt;&gt;"", _xlfn.IFS(I527="Height",_xlfn.XLOOKUP(C527,calc_s60!$C$15:$C$1000,calc_s60!$AH$15:$AH$1000,"",0),  I527="Width", _xlfn.XLOOKUP(C527,calc_s60!$C$15:$C$1000,calc_s60!$AJ$15:$AJ$1000,"",0)),"")</f>
        <v/>
      </c>
      <c r="E527" s="16" t="str" cm="1">
        <f t="array" ref="E527">IF(C527&lt;&gt;"", _xlfn.XLOOKUP(1,((SKUs!$A$2:$A$10001=cl_unmerged!B527) * (ISNUMBER(SEARCH("Bead",SKUs!$J$2:$J$10001)))), SKUs!$J$2:$J$10001,""),"") &amp; IF(C527&lt;&gt;"", " (Sash)","") &amp; _xlfn.IFS(I527="Height", ", H",I527="Height SLI", ", H SLI", I527="Height FIX", ", H FIX",I527="Width", ", W", I527="", "")</f>
        <v/>
      </c>
      <c r="F527" s="33" t="str" cm="1">
        <f t="array" ref="F527">_xlfn.XLOOKUP(1,((SKUs!$A$2:$A$10001=cl_unmerged!B527) * (ISNUMBER(SEARCH("Bead",SKUs!$J$2:$J$10001)))* (ISNUMBER(SEARCH(A527,SKUs!$C$2:$C$10001)))), SKUs!$C$2:$C$10001,"")</f>
        <v/>
      </c>
      <c r="G527" s="16"/>
      <c r="H527" s="16" t="str" cm="1">
        <f t="array" ref="H527">IF(C527&lt;&gt;"", _xlfn.IFS(I527="Height",_xlfn.XLOOKUP(C527,calc_s60!$C$15:$C$1000,calc_s60!$AG$15:$AG$1000,"",0), I527="Width", _xlfn.XLOOKUP(C527,calc_s60!$C$15:$C$1000,calc_s60!$AI$15:$AI$1000,"",0)),"")</f>
        <v/>
      </c>
      <c r="I527" s="16" t="str">
        <f t="shared" si="10"/>
        <v/>
      </c>
    </row>
    <row r="528" spans="1:9" ht="13.5" customHeight="1" x14ac:dyDescent="0.25">
      <c r="A528" s="41" t="str">
        <f>_xlfn.XLOOKUP(G528,dd_color!$A$2:$A$8,dd_color!$B$2:$B$8,"",0)</f>
        <v/>
      </c>
      <c r="B528" s="41">
        <f>_xlfn.XLOOKUP(_xlfn.XLOOKUP(C528,'Project Details'!$C$17:$C$10003,'Project Details'!$E$17:$E$10003, "",0),dd_design_raw!$A$2:$A$9997,dd_design_raw!$C$2:$C$9997,"",0)</f>
        <v>0</v>
      </c>
      <c r="C528" s="16"/>
      <c r="D528" s="16" t="str" cm="1">
        <f t="array" ref="D528">IF(C528&lt;&gt;"", _xlfn.IFS(I528="Height",_xlfn.XLOOKUP(C528,calc_s60!$C$15:$C$1000,calc_s60!$AH$15:$AH$1000,"",0),  I528="Width", _xlfn.XLOOKUP(C528,calc_s60!$C$15:$C$1000,calc_s60!$AJ$15:$AJ$1000,"",0)),"")</f>
        <v/>
      </c>
      <c r="E528" s="16" t="str" cm="1">
        <f t="array" ref="E528">IF(C528&lt;&gt;"", _xlfn.XLOOKUP(1,((SKUs!$A$2:$A$10001=cl_unmerged!B528) * (ISNUMBER(SEARCH("Bead",SKUs!$J$2:$J$10001)))), SKUs!$J$2:$J$10001,""),"") &amp; IF(C528&lt;&gt;"", " (Sash)","") &amp; _xlfn.IFS(I528="Height", ", H",I528="Height SLI", ", H SLI", I528="Height FIX", ", H FIX",I528="Width", ", W", I528="", "")</f>
        <v/>
      </c>
      <c r="F528" s="33" t="str" cm="1">
        <f t="array" ref="F528">_xlfn.XLOOKUP(1,((SKUs!$A$2:$A$10001=cl_unmerged!B528) * (ISNUMBER(SEARCH("Bead",SKUs!$J$2:$J$10001)))* (ISNUMBER(SEARCH(A528,SKUs!$C$2:$C$10001)))), SKUs!$C$2:$C$10001,"")</f>
        <v/>
      </c>
      <c r="G528" s="16"/>
      <c r="H528" s="16" t="str" cm="1">
        <f t="array" ref="H528">IF(C528&lt;&gt;"", _xlfn.IFS(I528="Height",_xlfn.XLOOKUP(C528,calc_s60!$C$15:$C$1000,calc_s60!$AG$15:$AG$1000,"",0), I528="Width", _xlfn.XLOOKUP(C528,calc_s60!$C$15:$C$1000,calc_s60!$AI$15:$AI$1000,"",0)),"")</f>
        <v/>
      </c>
      <c r="I528" s="16" t="str">
        <f t="shared" si="10"/>
        <v/>
      </c>
    </row>
    <row r="529" spans="1:9" ht="13.5" customHeight="1" x14ac:dyDescent="0.25">
      <c r="A529" s="41" t="str">
        <f>_xlfn.XLOOKUP(G529,dd_color!$A$2:$A$8,dd_color!$B$2:$B$8,"",0)</f>
        <v/>
      </c>
      <c r="B529" s="41">
        <f>_xlfn.XLOOKUP(_xlfn.XLOOKUP(C529,'Project Details'!$C$17:$C$10003,'Project Details'!$E$17:$E$10003, "",0),dd_design_raw!$A$2:$A$9997,dd_design_raw!$C$2:$C$9997,"",0)</f>
        <v>0</v>
      </c>
      <c r="C529" s="16"/>
      <c r="D529" s="16" t="str" cm="1">
        <f t="array" ref="D529">IF(C529&lt;&gt;"", _xlfn.IFS(I529="Height",_xlfn.XLOOKUP(C529,calc_s60!$C$15:$C$1000,calc_s60!$AH$15:$AH$1000,"",0),  I529="Width", _xlfn.XLOOKUP(C529,calc_s60!$C$15:$C$1000,calc_s60!$AJ$15:$AJ$1000,"",0)),"")</f>
        <v/>
      </c>
      <c r="E529" s="16" t="str" cm="1">
        <f t="array" ref="E529">IF(C529&lt;&gt;"", _xlfn.XLOOKUP(1,((SKUs!$A$2:$A$10001=cl_unmerged!B529) * (ISNUMBER(SEARCH("Bead",SKUs!$J$2:$J$10001)))), SKUs!$J$2:$J$10001,""),"") &amp; IF(C529&lt;&gt;"", " (Sash)","") &amp; _xlfn.IFS(I529="Height", ", H",I529="Height SLI", ", H SLI", I529="Height FIX", ", H FIX",I529="Width", ", W", I529="", "")</f>
        <v/>
      </c>
      <c r="F529" s="33" t="str" cm="1">
        <f t="array" ref="F529">_xlfn.XLOOKUP(1,((SKUs!$A$2:$A$10001=cl_unmerged!B529) * (ISNUMBER(SEARCH("Bead",SKUs!$J$2:$J$10001)))* (ISNUMBER(SEARCH(A529,SKUs!$C$2:$C$10001)))), SKUs!$C$2:$C$10001,"")</f>
        <v/>
      </c>
      <c r="G529" s="16"/>
      <c r="H529" s="16" t="str" cm="1">
        <f t="array" ref="H529">IF(C529&lt;&gt;"", _xlfn.IFS(I529="Height",_xlfn.XLOOKUP(C529,calc_s60!$C$15:$C$1000,calc_s60!$AG$15:$AG$1000,"",0), I529="Width", _xlfn.XLOOKUP(C529,calc_s60!$C$15:$C$1000,calc_s60!$AI$15:$AI$1000,"",0)),"")</f>
        <v/>
      </c>
      <c r="I529" s="16" t="str">
        <f t="shared" si="10"/>
        <v/>
      </c>
    </row>
    <row r="530" spans="1:9" ht="13.5" customHeight="1" x14ac:dyDescent="0.25">
      <c r="A530" s="41" t="str">
        <f>_xlfn.XLOOKUP(G530,dd_color!$A$2:$A$8,dd_color!$B$2:$B$8,"",0)</f>
        <v/>
      </c>
      <c r="B530" s="41">
        <f>_xlfn.XLOOKUP(_xlfn.XLOOKUP(C530,'Project Details'!$C$17:$C$10003,'Project Details'!$E$17:$E$10003, "",0),dd_design_raw!$A$2:$A$9997,dd_design_raw!$C$2:$C$9997,"",0)</f>
        <v>0</v>
      </c>
      <c r="C530" s="16"/>
      <c r="D530" s="16" t="str" cm="1">
        <f t="array" ref="D530">IF(C530&lt;&gt;"", _xlfn.IFS(I530="Height",_xlfn.XLOOKUP(C530,calc_s60!$C$15:$C$1000,calc_s60!$AH$15:$AH$1000,"",0),  I530="Width", _xlfn.XLOOKUP(C530,calc_s60!$C$15:$C$1000,calc_s60!$AJ$15:$AJ$1000,"",0)),"")</f>
        <v/>
      </c>
      <c r="E530" s="16" t="str" cm="1">
        <f t="array" ref="E530">IF(C530&lt;&gt;"", _xlfn.XLOOKUP(1,((SKUs!$A$2:$A$10001=cl_unmerged!B530) * (ISNUMBER(SEARCH("Bead",SKUs!$J$2:$J$10001)))), SKUs!$J$2:$J$10001,""),"") &amp; IF(C530&lt;&gt;"", " (Sash)","") &amp; _xlfn.IFS(I530="Height", ", H",I530="Height SLI", ", H SLI", I530="Height FIX", ", H FIX",I530="Width", ", W", I530="", "")</f>
        <v/>
      </c>
      <c r="F530" s="33" t="str" cm="1">
        <f t="array" ref="F530">_xlfn.XLOOKUP(1,((SKUs!$A$2:$A$10001=cl_unmerged!B530) * (ISNUMBER(SEARCH("Bead",SKUs!$J$2:$J$10001)))* (ISNUMBER(SEARCH(A530,SKUs!$C$2:$C$10001)))), SKUs!$C$2:$C$10001,"")</f>
        <v/>
      </c>
      <c r="G530" s="16"/>
      <c r="H530" s="16" t="str" cm="1">
        <f t="array" ref="H530">IF(C530&lt;&gt;"", _xlfn.IFS(I530="Height",_xlfn.XLOOKUP(C530,calc_s60!$C$15:$C$1000,calc_s60!$AG$15:$AG$1000,"",0), I530="Width", _xlfn.XLOOKUP(C530,calc_s60!$C$15:$C$1000,calc_s60!$AI$15:$AI$1000,"",0)),"")</f>
        <v/>
      </c>
      <c r="I530" s="16" t="str">
        <f t="shared" si="10"/>
        <v/>
      </c>
    </row>
    <row r="531" spans="1:9" ht="13.5" customHeight="1" x14ac:dyDescent="0.25">
      <c r="A531" s="41" t="str">
        <f>_xlfn.XLOOKUP(G531,dd_color!$A$2:$A$8,dd_color!$B$2:$B$8,"",0)</f>
        <v/>
      </c>
      <c r="B531" s="41">
        <f>_xlfn.XLOOKUP(_xlfn.XLOOKUP(C531,'Project Details'!$C$17:$C$10003,'Project Details'!$E$17:$E$10003, "",0),dd_design_raw!$A$2:$A$9997,dd_design_raw!$C$2:$C$9997,"",0)</f>
        <v>0</v>
      </c>
      <c r="C531" s="16"/>
      <c r="D531" s="16" t="str" cm="1">
        <f t="array" ref="D531">IF(C531&lt;&gt;"", _xlfn.IFS(I531="Height",_xlfn.XLOOKUP(C531,calc_s60!$C$15:$C$1000,calc_s60!$AH$15:$AH$1000,"",0),  I531="Width", _xlfn.XLOOKUP(C531,calc_s60!$C$15:$C$1000,calc_s60!$AJ$15:$AJ$1000,"",0)),"")</f>
        <v/>
      </c>
      <c r="E531" s="16" t="str" cm="1">
        <f t="array" ref="E531">IF(C531&lt;&gt;"", _xlfn.XLOOKUP(1,((SKUs!$A$2:$A$10001=cl_unmerged!B531) * (ISNUMBER(SEARCH("Bead",SKUs!$J$2:$J$10001)))), SKUs!$J$2:$J$10001,""),"") &amp; IF(C531&lt;&gt;"", " (Sash)","") &amp; _xlfn.IFS(I531="Height", ", H",I531="Height SLI", ", H SLI", I531="Height FIX", ", H FIX",I531="Width", ", W", I531="", "")</f>
        <v/>
      </c>
      <c r="F531" s="33" t="str" cm="1">
        <f t="array" ref="F531">_xlfn.XLOOKUP(1,((SKUs!$A$2:$A$10001=cl_unmerged!B531) * (ISNUMBER(SEARCH("Bead",SKUs!$J$2:$J$10001)))* (ISNUMBER(SEARCH(A531,SKUs!$C$2:$C$10001)))), SKUs!$C$2:$C$10001,"")</f>
        <v/>
      </c>
      <c r="G531" s="16"/>
      <c r="H531" s="16" t="str" cm="1">
        <f t="array" ref="H531">IF(C531&lt;&gt;"", _xlfn.IFS(I531="Height",_xlfn.XLOOKUP(C531,calc_s60!$C$15:$C$1000,calc_s60!$AG$15:$AG$1000,"",0), I531="Width", _xlfn.XLOOKUP(C531,calc_s60!$C$15:$C$1000,calc_s60!$AI$15:$AI$1000,"",0)),"")</f>
        <v/>
      </c>
      <c r="I531" s="16" t="str">
        <f t="shared" si="10"/>
        <v/>
      </c>
    </row>
    <row r="532" spans="1:9" ht="13.5" customHeight="1" x14ac:dyDescent="0.25">
      <c r="A532" s="41" t="str">
        <f>_xlfn.XLOOKUP(G532,dd_color!$A$2:$A$8,dd_color!$B$2:$B$8,"",0)</f>
        <v/>
      </c>
      <c r="B532" s="41">
        <f>_xlfn.XLOOKUP(_xlfn.XLOOKUP(C532,'Project Details'!$C$17:$C$10003,'Project Details'!$E$17:$E$10003, "",0),dd_design_raw!$A$2:$A$9997,dd_design_raw!$C$2:$C$9997,"",0)</f>
        <v>0</v>
      </c>
      <c r="C532" s="16"/>
      <c r="D532" s="16" t="str" cm="1">
        <f t="array" ref="D532">IF(C532&lt;&gt;"", _xlfn.IFS(I532="Height",_xlfn.XLOOKUP(C532,calc_s60!$C$15:$C$1000,calc_s60!$AH$15:$AH$1000,"",0),  I532="Width", _xlfn.XLOOKUP(C532,calc_s60!$C$15:$C$1000,calc_s60!$AJ$15:$AJ$1000,"",0)),"")</f>
        <v/>
      </c>
      <c r="E532" s="16" t="str" cm="1">
        <f t="array" ref="E532">IF(C532&lt;&gt;"", _xlfn.XLOOKUP(1,((SKUs!$A$2:$A$10001=cl_unmerged!B532) * (ISNUMBER(SEARCH("Bead",SKUs!$J$2:$J$10001)))), SKUs!$J$2:$J$10001,""),"") &amp; IF(C532&lt;&gt;"", " (Sash)","") &amp; _xlfn.IFS(I532="Height", ", H",I532="Height SLI", ", H SLI", I532="Height FIX", ", H FIX",I532="Width", ", W", I532="", "")</f>
        <v/>
      </c>
      <c r="F532" s="33" t="str" cm="1">
        <f t="array" ref="F532">_xlfn.XLOOKUP(1,((SKUs!$A$2:$A$10001=cl_unmerged!B532) * (ISNUMBER(SEARCH("Bead",SKUs!$J$2:$J$10001)))* (ISNUMBER(SEARCH(A532,SKUs!$C$2:$C$10001)))), SKUs!$C$2:$C$10001,"")</f>
        <v/>
      </c>
      <c r="G532" s="16"/>
      <c r="H532" s="16" t="str" cm="1">
        <f t="array" ref="H532">IF(C532&lt;&gt;"", _xlfn.IFS(I532="Height",_xlfn.XLOOKUP(C532,calc_s60!$C$15:$C$1000,calc_s60!$AG$15:$AG$1000,"",0), I532="Width", _xlfn.XLOOKUP(C532,calc_s60!$C$15:$C$1000,calc_s60!$AI$15:$AI$1000,"",0)),"")</f>
        <v/>
      </c>
      <c r="I532" s="16" t="str">
        <f t="shared" si="10"/>
        <v/>
      </c>
    </row>
    <row r="533" spans="1:9" ht="13.5" customHeight="1" x14ac:dyDescent="0.25">
      <c r="A533" s="41" t="str">
        <f>_xlfn.XLOOKUP(G533,dd_color!$A$2:$A$8,dd_color!$B$2:$B$8,"",0)</f>
        <v/>
      </c>
      <c r="B533" s="41">
        <f>_xlfn.XLOOKUP(_xlfn.XLOOKUP(C533,'Project Details'!$C$17:$C$10003,'Project Details'!$E$17:$E$10003, "",0),dd_design_raw!$A$2:$A$9997,dd_design_raw!$C$2:$C$9997,"",0)</f>
        <v>0</v>
      </c>
      <c r="C533" s="16"/>
      <c r="D533" s="16" t="str" cm="1">
        <f t="array" ref="D533">IF(C533&lt;&gt;"", _xlfn.IFS(I533="Height",_xlfn.XLOOKUP(C533,calc_s60!$C$15:$C$1000,calc_s60!$AH$15:$AH$1000,"",0),  I533="Width", _xlfn.XLOOKUP(C533,calc_s60!$C$15:$C$1000,calc_s60!$AJ$15:$AJ$1000,"",0)),"")</f>
        <v/>
      </c>
      <c r="E533" s="16" t="str" cm="1">
        <f t="array" ref="E533">IF(C533&lt;&gt;"", _xlfn.XLOOKUP(1,((SKUs!$A$2:$A$10001=cl_unmerged!B533) * (ISNUMBER(SEARCH("Bead",SKUs!$J$2:$J$10001)))), SKUs!$J$2:$J$10001,""),"") &amp; IF(C533&lt;&gt;"", " (Sash)","") &amp; _xlfn.IFS(I533="Height", ", H",I533="Height SLI", ", H SLI", I533="Height FIX", ", H FIX",I533="Width", ", W", I533="", "")</f>
        <v/>
      </c>
      <c r="F533" s="33" t="str" cm="1">
        <f t="array" ref="F533">_xlfn.XLOOKUP(1,((SKUs!$A$2:$A$10001=cl_unmerged!B533) * (ISNUMBER(SEARCH("Bead",SKUs!$J$2:$J$10001)))* (ISNUMBER(SEARCH(A533,SKUs!$C$2:$C$10001)))), SKUs!$C$2:$C$10001,"")</f>
        <v/>
      </c>
      <c r="G533" s="16"/>
      <c r="H533" s="16" t="str" cm="1">
        <f t="array" ref="H533">IF(C533&lt;&gt;"", _xlfn.IFS(I533="Height",_xlfn.XLOOKUP(C533,calc_s60!$C$15:$C$1000,calc_s60!$AG$15:$AG$1000,"",0), I533="Width", _xlfn.XLOOKUP(C533,calc_s60!$C$15:$C$1000,calc_s60!$AI$15:$AI$1000,"",0)),"")</f>
        <v/>
      </c>
      <c r="I533" s="16" t="str">
        <f t="shared" si="10"/>
        <v/>
      </c>
    </row>
    <row r="534" spans="1:9" ht="13.5" customHeight="1" x14ac:dyDescent="0.25">
      <c r="A534" s="41" t="str">
        <f>_xlfn.XLOOKUP(G534,dd_color!$A$2:$A$8,dd_color!$B$2:$B$8,"",0)</f>
        <v/>
      </c>
      <c r="B534" s="41">
        <f>_xlfn.XLOOKUP(_xlfn.XLOOKUP(C534,'Project Details'!$C$17:$C$10003,'Project Details'!$E$17:$E$10003, "",0),dd_design_raw!$A$2:$A$9997,dd_design_raw!$C$2:$C$9997,"",0)</f>
        <v>0</v>
      </c>
      <c r="C534" s="16"/>
      <c r="D534" s="16" t="str" cm="1">
        <f t="array" ref="D534">IF(C534&lt;&gt;"", _xlfn.IFS(I534="Height",_xlfn.XLOOKUP(C534,calc_s60!$C$15:$C$1000,calc_s60!$AH$15:$AH$1000,"",0),  I534="Width", _xlfn.XLOOKUP(C534,calc_s60!$C$15:$C$1000,calc_s60!$AJ$15:$AJ$1000,"",0)),"")</f>
        <v/>
      </c>
      <c r="E534" s="16" t="str" cm="1">
        <f t="array" ref="E534">IF(C534&lt;&gt;"", _xlfn.XLOOKUP(1,((SKUs!$A$2:$A$10001=cl_unmerged!B534) * (ISNUMBER(SEARCH("Bead",SKUs!$J$2:$J$10001)))), SKUs!$J$2:$J$10001,""),"") &amp; IF(C534&lt;&gt;"", " (Sash)","") &amp; _xlfn.IFS(I534="Height", ", H",I534="Height SLI", ", H SLI", I534="Height FIX", ", H FIX",I534="Width", ", W", I534="", "")</f>
        <v/>
      </c>
      <c r="F534" s="33" t="str" cm="1">
        <f t="array" ref="F534">_xlfn.XLOOKUP(1,((SKUs!$A$2:$A$10001=cl_unmerged!B534) * (ISNUMBER(SEARCH("Bead",SKUs!$J$2:$J$10001)))* (ISNUMBER(SEARCH(A534,SKUs!$C$2:$C$10001)))), SKUs!$C$2:$C$10001,"")</f>
        <v/>
      </c>
      <c r="G534" s="16"/>
      <c r="H534" s="16" t="str" cm="1">
        <f t="array" ref="H534">IF(C534&lt;&gt;"", _xlfn.IFS(I534="Height",_xlfn.XLOOKUP(C534,calc_s60!$C$15:$C$1000,calc_s60!$AG$15:$AG$1000,"",0), I534="Width", _xlfn.XLOOKUP(C534,calc_s60!$C$15:$C$1000,calc_s60!$AI$15:$AI$1000,"",0)),"")</f>
        <v/>
      </c>
      <c r="I534" s="16" t="str">
        <f t="shared" si="10"/>
        <v/>
      </c>
    </row>
    <row r="535" spans="1:9" ht="13.5" customHeight="1" x14ac:dyDescent="0.25">
      <c r="A535" s="41" t="str">
        <f>_xlfn.XLOOKUP(G535,dd_color!$A$2:$A$8,dd_color!$B$2:$B$8,"",0)</f>
        <v/>
      </c>
      <c r="B535" s="41">
        <f>_xlfn.XLOOKUP(_xlfn.XLOOKUP(C535,'Project Details'!$C$17:$C$10003,'Project Details'!$E$17:$E$10003, "",0),dd_design_raw!$A$2:$A$9997,dd_design_raw!$C$2:$C$9997,"",0)</f>
        <v>0</v>
      </c>
      <c r="C535" s="16"/>
      <c r="D535" s="16" t="str" cm="1">
        <f t="array" ref="D535">IF(C535&lt;&gt;"", _xlfn.IFS(I535="Height",_xlfn.XLOOKUP(C535,calc_s60!$C$15:$C$1000,calc_s60!$AH$15:$AH$1000,"",0),  I535="Width", _xlfn.XLOOKUP(C535,calc_s60!$C$15:$C$1000,calc_s60!$AJ$15:$AJ$1000,"",0)),"")</f>
        <v/>
      </c>
      <c r="E535" s="16" t="str" cm="1">
        <f t="array" ref="E535">IF(C535&lt;&gt;"", _xlfn.XLOOKUP(1,((SKUs!$A$2:$A$10001=cl_unmerged!B535) * (ISNUMBER(SEARCH("Bead",SKUs!$J$2:$J$10001)))), SKUs!$J$2:$J$10001,""),"") &amp; IF(C535&lt;&gt;"", " (Sash)","") &amp; _xlfn.IFS(I535="Height", ", H",I535="Height SLI", ", H SLI", I535="Height FIX", ", H FIX",I535="Width", ", W", I535="", "")</f>
        <v/>
      </c>
      <c r="F535" s="33" t="str" cm="1">
        <f t="array" ref="F535">_xlfn.XLOOKUP(1,((SKUs!$A$2:$A$10001=cl_unmerged!B535) * (ISNUMBER(SEARCH("Bead",SKUs!$J$2:$J$10001)))* (ISNUMBER(SEARCH(A535,SKUs!$C$2:$C$10001)))), SKUs!$C$2:$C$10001,"")</f>
        <v/>
      </c>
      <c r="G535" s="16"/>
      <c r="H535" s="16" t="str" cm="1">
        <f t="array" ref="H535">IF(C535&lt;&gt;"", _xlfn.IFS(I535="Height",_xlfn.XLOOKUP(C535,calc_s60!$C$15:$C$1000,calc_s60!$AG$15:$AG$1000,"",0), I535="Width", _xlfn.XLOOKUP(C535,calc_s60!$C$15:$C$1000,calc_s60!$AI$15:$AI$1000,"",0)),"")</f>
        <v/>
      </c>
      <c r="I535" s="16" t="str">
        <f t="shared" si="10"/>
        <v/>
      </c>
    </row>
    <row r="536" spans="1:9" ht="13.5" customHeight="1" x14ac:dyDescent="0.25">
      <c r="A536" s="41" t="str">
        <f>_xlfn.XLOOKUP(G536,dd_color!$A$2:$A$8,dd_color!$B$2:$B$8,"",0)</f>
        <v/>
      </c>
      <c r="B536" s="41">
        <f>_xlfn.XLOOKUP(_xlfn.XLOOKUP(C536,'Project Details'!$C$17:$C$10003,'Project Details'!$E$17:$E$10003, "",0),dd_design_raw!$A$2:$A$9997,dd_design_raw!$C$2:$C$9997,"",0)</f>
        <v>0</v>
      </c>
      <c r="C536" s="16"/>
      <c r="D536" s="16" t="str" cm="1">
        <f t="array" ref="D536">IF(C536&lt;&gt;"", _xlfn.IFS(I536="Height",_xlfn.XLOOKUP(C536,calc_s60!$C$15:$C$1000,calc_s60!$AH$15:$AH$1000,"",0),  I536="Width", _xlfn.XLOOKUP(C536,calc_s60!$C$15:$C$1000,calc_s60!$AJ$15:$AJ$1000,"",0)),"")</f>
        <v/>
      </c>
      <c r="E536" s="16" t="str" cm="1">
        <f t="array" ref="E536">IF(C536&lt;&gt;"", _xlfn.XLOOKUP(1,((SKUs!$A$2:$A$10001=cl_unmerged!B536) * (ISNUMBER(SEARCH("Bead",SKUs!$J$2:$J$10001)))), SKUs!$J$2:$J$10001,""),"") &amp; IF(C536&lt;&gt;"", " (Sash)","") &amp; _xlfn.IFS(I536="Height", ", H",I536="Height SLI", ", H SLI", I536="Height FIX", ", H FIX",I536="Width", ", W", I536="", "")</f>
        <v/>
      </c>
      <c r="F536" s="33" t="str" cm="1">
        <f t="array" ref="F536">_xlfn.XLOOKUP(1,((SKUs!$A$2:$A$10001=cl_unmerged!B536) * (ISNUMBER(SEARCH("Bead",SKUs!$J$2:$J$10001)))* (ISNUMBER(SEARCH(A536,SKUs!$C$2:$C$10001)))), SKUs!$C$2:$C$10001,"")</f>
        <v/>
      </c>
      <c r="G536" s="16"/>
      <c r="H536" s="16" t="str" cm="1">
        <f t="array" ref="H536">IF(C536&lt;&gt;"", _xlfn.IFS(I536="Height",_xlfn.XLOOKUP(C536,calc_s60!$C$15:$C$1000,calc_s60!$AG$15:$AG$1000,"",0), I536="Width", _xlfn.XLOOKUP(C536,calc_s60!$C$15:$C$1000,calc_s60!$AI$15:$AI$1000,"",0)),"")</f>
        <v/>
      </c>
      <c r="I536" s="16" t="str">
        <f t="shared" si="10"/>
        <v/>
      </c>
    </row>
    <row r="537" spans="1:9" ht="13.5" customHeight="1" x14ac:dyDescent="0.25">
      <c r="C537" s="32" t="s">
        <v>720</v>
      </c>
      <c r="D537" s="32"/>
      <c r="E537" s="32"/>
      <c r="F537" s="32"/>
      <c r="G537" s="32"/>
      <c r="H537" s="32"/>
      <c r="I537" s="32"/>
    </row>
    <row r="538" spans="1:9" ht="13.5" customHeight="1" x14ac:dyDescent="0.25">
      <c r="A538" s="41" t="str">
        <f>_xlfn.XLOOKUP(G538,dd_color!$A$2:$A$8,dd_color!$B$2:$B$8,"",0)</f>
        <v/>
      </c>
      <c r="B538" s="41" t="str">
        <f>_xlfn.XLOOKUP(_xlfn.XLOOKUP(C538,'Project Details'!$C$17:$C$10003,'Project Details'!$E$17:$E$10003, "",0),dd_design_raw!$A$2:$A$9997,dd_design_raw!$C$2:$C$9997,"",0)</f>
        <v/>
      </c>
      <c r="C538" s="16" t="str" cm="1">
        <f t="array" ref="C538:C540">IFERROR(INDEX(_xlfn._xlws.FILTER('calc_s90&amp;138'!C15:C65, 'calc_s90&amp;138'!AW15:AW65&lt;&gt;""), INT((_xlfn.SEQUENCE(3 * COUNTA(_xlfn._xlws.FILTER('calc_s90&amp;138'!C15:C65, 'calc_s90&amp;138'!AW15:AW65&lt;&gt;""))) - 1) / 3) + 1), "")</f>
        <v/>
      </c>
      <c r="D538" s="16" t="str" cm="1">
        <f t="array" ref="D538">IF(C538&lt;&gt;"", _xlfn.IFS(I538="Height SLI",_xlfn.XLOOKUP(C538,'calc_s90&amp;138'!$C$15:$C$1000,'calc_s90&amp;138'!$AX$15:$AX$1000,"",0),  I538="Height FIX",_xlfn.XLOOKUP(C538,'calc_s90&amp;138'!$C$15:$C$1000,'calc_s90&amp;138'!$AZ$15:$AZ$1000,"",0),  I538="Width", _xlfn.XLOOKUP(C538,'calc_s90&amp;138'!$C$15:$C$1000,'calc_s90&amp;138'!$BB$15:$BB$1000,"",0)),"")</f>
        <v/>
      </c>
      <c r="E538" s="16" t="str" cm="1">
        <f t="array" ref="E538">IF(C538&lt;&gt;"", _xlfn.XLOOKUP(1,((SKUs!$A$2:$A$10001=cl_unmerged!B538) * (ISNUMBER(SEARCH("Bead",SKUs!$J$2:$J$10001)))), SKUs!$J$2:$J$10001,""),"") &amp; IF(C538&lt;&gt;"", " (Sash)","") &amp; _xlfn.IFS(I538="Height", ", H",I538="Height SLI", ", H SLI", I538="Height FIX", ", H FIX",I538="Width", ", W", I538="", "")</f>
        <v>, H SLI</v>
      </c>
      <c r="F538" s="33" t="str" cm="1">
        <f t="array" ref="F538">_xlfn.XLOOKUP(1,((SKUs!$A$2:$A$10001=cl_unmerged!B538) * (ISNUMBER(SEARCH("Bead",SKUs!$J$2:$J$10001)))* (ISNUMBER(SEARCH(A538,SKUs!$C$2:$C$10001)))), SKUs!$C$2:$C$10001,"")</f>
        <v/>
      </c>
      <c r="G538" s="16" t="str" cm="1">
        <f t="array" ref="G538:G540">IFERROR(INDEX(_xlfn._xlws.FILTER('calc_s90&amp;138'!G15:G65, 'calc_s90&amp;138'!AW15:AW65&lt;&gt;""), INT((_xlfn.SEQUENCE(3 * COUNTA(_xlfn._xlws.FILTER('calc_s90&amp;138'!G15:G65, 'calc_s90&amp;138'!AW15:AW65&lt;&gt;""))) - 1) / 3) + 1), "")</f>
        <v/>
      </c>
      <c r="H538" s="16" t="str" cm="1">
        <f t="array" ref="H538">IF(C538&lt;&gt;"", _xlfn.IFS(I538="Height SLI",_xlfn.XLOOKUP(C538,'calc_s90&amp;138'!$C$15:$C$1000,'calc_s90&amp;138'!$AW$15:$AW$1000,"",0), I538="Height FIX",_xlfn.XLOOKUP(C538,'calc_s90&amp;138'!$C$15:$C$1000,'calc_s90&amp;138'!$AY$15:$AY$1000,"",0), I538="Width", _xlfn.XLOOKUP(C538,'calc_s90&amp;138'!$C$15:$C$1000,'calc_s90&amp;138'!$BA$15:$BA$1000,"",0)),"")</f>
        <v/>
      </c>
      <c r="I538" s="16" t="s">
        <v>184</v>
      </c>
    </row>
    <row r="539" spans="1:9" ht="13.5" customHeight="1" x14ac:dyDescent="0.25">
      <c r="A539" s="41" t="str">
        <f>_xlfn.XLOOKUP(G539,dd_color!$A$2:$A$8,dd_color!$B$2:$B$8,"",0)</f>
        <v/>
      </c>
      <c r="B539" s="41" t="str">
        <f>_xlfn.XLOOKUP(_xlfn.XLOOKUP(C539,'Project Details'!$C$17:$C$10003,'Project Details'!$E$17:$E$10003, "",0),dd_design_raw!$A$2:$A$9997,dd_design_raw!$C$2:$C$9997,"",0)</f>
        <v/>
      </c>
      <c r="C539" s="16" t="str">
        <v/>
      </c>
      <c r="D539" s="16" t="str" cm="1">
        <f t="array" ref="D539">IF(C539&lt;&gt;"", _xlfn.IFS(I539="Height SLI",_xlfn.XLOOKUP(C539,'calc_s90&amp;138'!$C$15:$C$1000,'calc_s90&amp;138'!$AX$15:$AX$1000,"",0),  I539="Height FIX",_xlfn.XLOOKUP(C539,'calc_s90&amp;138'!$C$15:$C$1000,'calc_s90&amp;138'!$AZ$15:$AZ$1000,"",0),  I539="Width", _xlfn.XLOOKUP(C539,'calc_s90&amp;138'!$C$15:$C$1000,'calc_s90&amp;138'!$BB$15:$BB$1000,"",0)),"")</f>
        <v/>
      </c>
      <c r="E539" s="16" t="str" cm="1">
        <f t="array" ref="E539">IF(C539&lt;&gt;"", _xlfn.XLOOKUP(1,((SKUs!$A$2:$A$10001=cl_unmerged!B539) * (ISNUMBER(SEARCH("Bead",SKUs!$J$2:$J$10001)))), SKUs!$J$2:$J$10001,""),"") &amp; IF(C539&lt;&gt;"", " (Sash)","") &amp; _xlfn.IFS(I539="Height", ", H",I539="Height SLI", ", H SLI", I539="Height FIX", ", H FIX",I539="Width", ", W", I539="", "")</f>
        <v>, H FIX</v>
      </c>
      <c r="F539" s="33" t="str" cm="1">
        <f t="array" ref="F539">_xlfn.XLOOKUP(1,((SKUs!$A$2:$A$10001=cl_unmerged!B539) * (ISNUMBER(SEARCH("Bead",SKUs!$J$2:$J$10001)))* (ISNUMBER(SEARCH(A539,SKUs!$C$2:$C$10001)))), SKUs!$C$2:$C$10001,"")</f>
        <v/>
      </c>
      <c r="G539" s="16" t="str">
        <v/>
      </c>
      <c r="H539" s="16" t="str" cm="1">
        <f t="array" ref="H539">IF(C539&lt;&gt;"", _xlfn.IFS(I539="Height SLI",_xlfn.XLOOKUP(C539,'calc_s90&amp;138'!$C$15:$C$1000,'calc_s90&amp;138'!$AW$15:$AW$1000,"",0), I539="Height FIX",_xlfn.XLOOKUP(C539,'calc_s90&amp;138'!$C$15:$C$1000,'calc_s90&amp;138'!$AY$15:$AY$1000,"",0), I539="Width", _xlfn.XLOOKUP(C539,'calc_s90&amp;138'!$C$15:$C$1000,'calc_s90&amp;138'!$BA$15:$BA$1000,"",0)),"")</f>
        <v/>
      </c>
      <c r="I539" s="16" t="s">
        <v>185</v>
      </c>
    </row>
    <row r="540" spans="1:9" ht="13.5" customHeight="1" x14ac:dyDescent="0.25">
      <c r="A540" s="41" t="str">
        <f>_xlfn.XLOOKUP(G540,dd_color!$A$2:$A$8,dd_color!$B$2:$B$8,"",0)</f>
        <v/>
      </c>
      <c r="B540" s="41" t="str">
        <f>_xlfn.XLOOKUP(_xlfn.XLOOKUP(C540,'Project Details'!$C$17:$C$10003,'Project Details'!$E$17:$E$10003, "",0),dd_design_raw!$A$2:$A$9997,dd_design_raw!$C$2:$C$9997,"",0)</f>
        <v/>
      </c>
      <c r="C540" s="16" t="str">
        <v/>
      </c>
      <c r="D540" s="16" t="str" cm="1">
        <f t="array" ref="D540">IF(C540&lt;&gt;"", _xlfn.IFS(I540="Height SLI",_xlfn.XLOOKUP(C540,'calc_s90&amp;138'!$C$15:$C$1000,'calc_s90&amp;138'!$AX$15:$AX$1000,"",0),  I540="Height FIX",_xlfn.XLOOKUP(C540,'calc_s90&amp;138'!$C$15:$C$1000,'calc_s90&amp;138'!$AZ$15:$AZ$1000,"",0),  I540="Width", _xlfn.XLOOKUP(C540,'calc_s90&amp;138'!$C$15:$C$1000,'calc_s90&amp;138'!$BB$15:$BB$1000,"",0)),"")</f>
        <v/>
      </c>
      <c r="E540" s="16" t="str" cm="1">
        <f t="array" ref="E540">IF(C540&lt;&gt;"", _xlfn.XLOOKUP(1,((SKUs!$A$2:$A$10001=cl_unmerged!B540) * (ISNUMBER(SEARCH("Bead",SKUs!$J$2:$J$10001)))), SKUs!$J$2:$J$10001,""),"") &amp; IF(C540&lt;&gt;"", " (Sash)","") &amp; _xlfn.IFS(I540="Height", ", H",I540="Height SLI", ", H SLI", I540="Height FIX", ", H FIX",I540="Width", ", W", I540="", "")</f>
        <v>, W</v>
      </c>
      <c r="F540" s="33" t="str" cm="1">
        <f t="array" ref="F540">_xlfn.XLOOKUP(1,((SKUs!$A$2:$A$10001=cl_unmerged!B540) * (ISNUMBER(SEARCH("Bead",SKUs!$J$2:$J$10001)))* (ISNUMBER(SEARCH(A540,SKUs!$C$2:$C$10001)))), SKUs!$C$2:$C$10001,"")</f>
        <v/>
      </c>
      <c r="G540" s="16" t="str">
        <v/>
      </c>
      <c r="H540" s="16" t="str" cm="1">
        <f t="array" ref="H540">IF(C540&lt;&gt;"", _xlfn.IFS(I540="Height SLI",_xlfn.XLOOKUP(C540,'calc_s90&amp;138'!$C$15:$C$1000,'calc_s90&amp;138'!$AW$15:$AW$1000,"",0), I540="Height FIX",_xlfn.XLOOKUP(C540,'calc_s90&amp;138'!$C$15:$C$1000,'calc_s90&amp;138'!$AY$15:$AY$1000,"",0), I540="Width", _xlfn.XLOOKUP(C540,'calc_s90&amp;138'!$C$15:$C$1000,'calc_s90&amp;138'!$BA$15:$BA$1000,"",0)),"")</f>
        <v/>
      </c>
      <c r="I540" s="16" t="s">
        <v>65</v>
      </c>
    </row>
    <row r="541" spans="1:9" ht="13.5" customHeight="1" x14ac:dyDescent="0.25">
      <c r="A541" s="41" t="str">
        <f>_xlfn.XLOOKUP(G541,dd_color!$A$2:$A$8,dd_color!$B$2:$B$8,"",0)</f>
        <v/>
      </c>
      <c r="B541" s="41">
        <f>_xlfn.XLOOKUP(_xlfn.XLOOKUP(C541,'Project Details'!$C$17:$C$10003,'Project Details'!$E$17:$E$10003, "",0),dd_design_raw!$A$2:$A$9997,dd_design_raw!$C$2:$C$9997,"",0)</f>
        <v>0</v>
      </c>
      <c r="C541" s="16"/>
      <c r="D541" s="16" t="str" cm="1">
        <f t="array" ref="D541">IF(C541&lt;&gt;"", _xlfn.IFS(I541="Height SLI",_xlfn.XLOOKUP(C541,'calc_s90&amp;138'!$C$15:$C$1000,'calc_s90&amp;138'!$AX$15:$AX$1000,"",0),  I541="Height FIX",_xlfn.XLOOKUP(C541,'calc_s90&amp;138'!$C$15:$C$1000,'calc_s90&amp;138'!$AZ$15:$AZ$1000,"",0),  I541="Width", _xlfn.XLOOKUP(C541,'calc_s90&amp;138'!$C$15:$C$1000,'calc_s90&amp;138'!$BB$15:$BB$1000,"",0)),"")</f>
        <v/>
      </c>
      <c r="E541" s="16" t="str" cm="1">
        <f t="array" ref="E541">IF(C541&lt;&gt;"", _xlfn.XLOOKUP(1,((SKUs!$A$2:$A$10001=cl_unmerged!B541) * (ISNUMBER(SEARCH("Bead",SKUs!$J$2:$J$10001)))), SKUs!$J$2:$J$10001,""),"") &amp; IF(C541&lt;&gt;"", " (Sash)","") &amp; _xlfn.IFS(I541="Height", ", H",I541="Height SLI", ", H SLI", I541="Height FIX", ", H FIX",I541="Width", ", W", I541="", "")</f>
        <v/>
      </c>
      <c r="F541" s="33" t="str" cm="1">
        <f t="array" ref="F541">_xlfn.XLOOKUP(1,((SKUs!$A$2:$A$10001=cl_unmerged!B541) * (ISNUMBER(SEARCH("Bead",SKUs!$J$2:$J$10001)))* (ISNUMBER(SEARCH(A541,SKUs!$C$2:$C$10001)))), SKUs!$C$2:$C$10001,"")</f>
        <v/>
      </c>
      <c r="G541" s="16"/>
      <c r="H541" s="16" t="str" cm="1">
        <f t="array" ref="H541">IF(C541&lt;&gt;"", _xlfn.IFS(I541="Height SLI",_xlfn.XLOOKUP(C541,'calc_s90&amp;138'!$C$15:$C$1000,'calc_s90&amp;138'!$AW$15:$AW$1000,"",0), I541="Height FIX",_xlfn.XLOOKUP(C541,'calc_s90&amp;138'!$C$15:$C$1000,'calc_s90&amp;138'!$AY$15:$AY$1000,"",0), I541="Width", _xlfn.XLOOKUP(C541,'calc_s90&amp;138'!$C$15:$C$1000,'calc_s90&amp;138'!$BA$15:$BA$1000,"",0)),"")</f>
        <v/>
      </c>
      <c r="I541" s="16" t="str">
        <f>IF(C541&lt;&gt;"", I538,"")</f>
        <v/>
      </c>
    </row>
    <row r="542" spans="1:9" ht="13.5" customHeight="1" x14ac:dyDescent="0.25">
      <c r="A542" s="41" t="str">
        <f>_xlfn.XLOOKUP(G542,dd_color!$A$2:$A$8,dd_color!$B$2:$B$8,"",0)</f>
        <v/>
      </c>
      <c r="B542" s="41">
        <f>_xlfn.XLOOKUP(_xlfn.XLOOKUP(C542,'Project Details'!$C$17:$C$10003,'Project Details'!$E$17:$E$10003, "",0),dd_design_raw!$A$2:$A$9997,dd_design_raw!$C$2:$C$9997,"",0)</f>
        <v>0</v>
      </c>
      <c r="C542" s="16"/>
      <c r="D542" s="16" t="str" cm="1">
        <f t="array" ref="D542">IF(C542&lt;&gt;"", _xlfn.IFS(I542="Height SLI",_xlfn.XLOOKUP(C542,'calc_s90&amp;138'!$C$15:$C$1000,'calc_s90&amp;138'!$AX$15:$AX$1000,"",0),  I542="Height FIX",_xlfn.XLOOKUP(C542,'calc_s90&amp;138'!$C$15:$C$1000,'calc_s90&amp;138'!$AZ$15:$AZ$1000,"",0),  I542="Width", _xlfn.XLOOKUP(C542,'calc_s90&amp;138'!$C$15:$C$1000,'calc_s90&amp;138'!$BB$15:$BB$1000,"",0)),"")</f>
        <v/>
      </c>
      <c r="E542" s="16" t="str" cm="1">
        <f t="array" ref="E542">IF(C542&lt;&gt;"", _xlfn.XLOOKUP(1,((SKUs!$A$2:$A$10001=cl_unmerged!B542) * (ISNUMBER(SEARCH("Bead",SKUs!$J$2:$J$10001)))), SKUs!$J$2:$J$10001,""),"") &amp; IF(C542&lt;&gt;"", " (Sash)","") &amp; _xlfn.IFS(I542="Height", ", H",I542="Height SLI", ", H SLI", I542="Height FIX", ", H FIX",I542="Width", ", W", I542="", "")</f>
        <v/>
      </c>
      <c r="F542" s="33" t="str" cm="1">
        <f t="array" ref="F542">_xlfn.XLOOKUP(1,((SKUs!$A$2:$A$10001=cl_unmerged!B542) * (ISNUMBER(SEARCH("Bead",SKUs!$J$2:$J$10001)))* (ISNUMBER(SEARCH(A542,SKUs!$C$2:$C$10001)))), SKUs!$C$2:$C$10001,"")</f>
        <v/>
      </c>
      <c r="G542" s="16"/>
      <c r="H542" s="16" t="str" cm="1">
        <f t="array" ref="H542">IF(C542&lt;&gt;"", _xlfn.IFS(I542="Height SLI",_xlfn.XLOOKUP(C542,'calc_s90&amp;138'!$C$15:$C$1000,'calc_s90&amp;138'!$AW$15:$AW$1000,"",0), I542="Height FIX",_xlfn.XLOOKUP(C542,'calc_s90&amp;138'!$C$15:$C$1000,'calc_s90&amp;138'!$AY$15:$AY$1000,"",0), I542="Width", _xlfn.XLOOKUP(C542,'calc_s90&amp;138'!$C$15:$C$1000,'calc_s90&amp;138'!$BA$15:$BA$1000,"",0)),"")</f>
        <v/>
      </c>
      <c r="I542" s="16" t="str">
        <f t="shared" ref="I542:I605" si="11">IF(C542&lt;&gt;"", I539,"")</f>
        <v/>
      </c>
    </row>
    <row r="543" spans="1:9" ht="13.5" customHeight="1" x14ac:dyDescent="0.25">
      <c r="A543" s="41" t="str">
        <f>_xlfn.XLOOKUP(G543,dd_color!$A$2:$A$8,dd_color!$B$2:$B$8,"",0)</f>
        <v/>
      </c>
      <c r="B543" s="41">
        <f>_xlfn.XLOOKUP(_xlfn.XLOOKUP(C543,'Project Details'!$C$17:$C$10003,'Project Details'!$E$17:$E$10003, "",0),dd_design_raw!$A$2:$A$9997,dd_design_raw!$C$2:$C$9997,"",0)</f>
        <v>0</v>
      </c>
      <c r="C543" s="16"/>
      <c r="D543" s="16" t="str" cm="1">
        <f t="array" ref="D543">IF(C543&lt;&gt;"", _xlfn.IFS(I543="Height SLI",_xlfn.XLOOKUP(C543,'calc_s90&amp;138'!$C$15:$C$1000,'calc_s90&amp;138'!$AX$15:$AX$1000,"",0),  I543="Height FIX",_xlfn.XLOOKUP(C543,'calc_s90&amp;138'!$C$15:$C$1000,'calc_s90&amp;138'!$AZ$15:$AZ$1000,"",0),  I543="Width", _xlfn.XLOOKUP(C543,'calc_s90&amp;138'!$C$15:$C$1000,'calc_s90&amp;138'!$BB$15:$BB$1000,"",0)),"")</f>
        <v/>
      </c>
      <c r="E543" s="16" t="str" cm="1">
        <f t="array" ref="E543">IF(C543&lt;&gt;"", _xlfn.XLOOKUP(1,((SKUs!$A$2:$A$10001=cl_unmerged!B543) * (ISNUMBER(SEARCH("Bead",SKUs!$J$2:$J$10001)))), SKUs!$J$2:$J$10001,""),"") &amp; IF(C543&lt;&gt;"", " (Sash)","") &amp; _xlfn.IFS(I543="Height", ", H",I543="Height SLI", ", H SLI", I543="Height FIX", ", H FIX",I543="Width", ", W", I543="", "")</f>
        <v/>
      </c>
      <c r="F543" s="33" t="str" cm="1">
        <f t="array" ref="F543">_xlfn.XLOOKUP(1,((SKUs!$A$2:$A$10001=cl_unmerged!B543) * (ISNUMBER(SEARCH("Bead",SKUs!$J$2:$J$10001)))* (ISNUMBER(SEARCH(A543,SKUs!$C$2:$C$10001)))), SKUs!$C$2:$C$10001,"")</f>
        <v/>
      </c>
      <c r="G543" s="16"/>
      <c r="H543" s="16" t="str" cm="1">
        <f t="array" ref="H543">IF(C543&lt;&gt;"", _xlfn.IFS(I543="Height SLI",_xlfn.XLOOKUP(C543,'calc_s90&amp;138'!$C$15:$C$1000,'calc_s90&amp;138'!$AW$15:$AW$1000,"",0), I543="Height FIX",_xlfn.XLOOKUP(C543,'calc_s90&amp;138'!$C$15:$C$1000,'calc_s90&amp;138'!$AY$15:$AY$1000,"",0), I543="Width", _xlfn.XLOOKUP(C543,'calc_s90&amp;138'!$C$15:$C$1000,'calc_s90&amp;138'!$BA$15:$BA$1000,"",0)),"")</f>
        <v/>
      </c>
      <c r="I543" s="16" t="str">
        <f t="shared" si="11"/>
        <v/>
      </c>
    </row>
    <row r="544" spans="1:9" ht="13.5" customHeight="1" x14ac:dyDescent="0.25">
      <c r="A544" s="41" t="str">
        <f>_xlfn.XLOOKUP(G544,dd_color!$A$2:$A$8,dd_color!$B$2:$B$8,"",0)</f>
        <v/>
      </c>
      <c r="B544" s="41">
        <f>_xlfn.XLOOKUP(_xlfn.XLOOKUP(C544,'Project Details'!$C$17:$C$10003,'Project Details'!$E$17:$E$10003, "",0),dd_design_raw!$A$2:$A$9997,dd_design_raw!$C$2:$C$9997,"",0)</f>
        <v>0</v>
      </c>
      <c r="C544" s="16"/>
      <c r="D544" s="16" t="str" cm="1">
        <f t="array" ref="D544">IF(C544&lt;&gt;"", _xlfn.IFS(I544="Height SLI",_xlfn.XLOOKUP(C544,'calc_s90&amp;138'!$C$15:$C$1000,'calc_s90&amp;138'!$AX$15:$AX$1000,"",0),  I544="Height FIX",_xlfn.XLOOKUP(C544,'calc_s90&amp;138'!$C$15:$C$1000,'calc_s90&amp;138'!$AZ$15:$AZ$1000,"",0),  I544="Width", _xlfn.XLOOKUP(C544,'calc_s90&amp;138'!$C$15:$C$1000,'calc_s90&amp;138'!$BB$15:$BB$1000,"",0)),"")</f>
        <v/>
      </c>
      <c r="E544" s="16" t="str" cm="1">
        <f t="array" ref="E544">IF(C544&lt;&gt;"", _xlfn.XLOOKUP(1,((SKUs!$A$2:$A$10001=cl_unmerged!B544) * (ISNUMBER(SEARCH("Bead",SKUs!$J$2:$J$10001)))), SKUs!$J$2:$J$10001,""),"") &amp; IF(C544&lt;&gt;"", " (Sash)","") &amp; _xlfn.IFS(I544="Height", ", H",I544="Height SLI", ", H SLI", I544="Height FIX", ", H FIX",I544="Width", ", W", I544="", "")</f>
        <v/>
      </c>
      <c r="F544" s="33" t="str" cm="1">
        <f t="array" ref="F544">_xlfn.XLOOKUP(1,((SKUs!$A$2:$A$10001=cl_unmerged!B544) * (ISNUMBER(SEARCH("Bead",SKUs!$J$2:$J$10001)))* (ISNUMBER(SEARCH(A544,SKUs!$C$2:$C$10001)))), SKUs!$C$2:$C$10001,"")</f>
        <v/>
      </c>
      <c r="G544" s="16"/>
      <c r="H544" s="16" t="str" cm="1">
        <f t="array" ref="H544">IF(C544&lt;&gt;"", _xlfn.IFS(I544="Height SLI",_xlfn.XLOOKUP(C544,'calc_s90&amp;138'!$C$15:$C$1000,'calc_s90&amp;138'!$AW$15:$AW$1000,"",0), I544="Height FIX",_xlfn.XLOOKUP(C544,'calc_s90&amp;138'!$C$15:$C$1000,'calc_s90&amp;138'!$AY$15:$AY$1000,"",0), I544="Width", _xlfn.XLOOKUP(C544,'calc_s90&amp;138'!$C$15:$C$1000,'calc_s90&amp;138'!$BA$15:$BA$1000,"",0)),"")</f>
        <v/>
      </c>
      <c r="I544" s="16" t="str">
        <f t="shared" si="11"/>
        <v/>
      </c>
    </row>
    <row r="545" spans="1:9" ht="13.5" customHeight="1" x14ac:dyDescent="0.25">
      <c r="A545" s="41" t="str">
        <f>_xlfn.XLOOKUP(G545,dd_color!$A$2:$A$8,dd_color!$B$2:$B$8,"",0)</f>
        <v/>
      </c>
      <c r="B545" s="41">
        <f>_xlfn.XLOOKUP(_xlfn.XLOOKUP(C545,'Project Details'!$C$17:$C$10003,'Project Details'!$E$17:$E$10003, "",0),dd_design_raw!$A$2:$A$9997,dd_design_raw!$C$2:$C$9997,"",0)</f>
        <v>0</v>
      </c>
      <c r="C545" s="16"/>
      <c r="D545" s="16" t="str" cm="1">
        <f t="array" ref="D545">IF(C545&lt;&gt;"", _xlfn.IFS(I545="Height SLI",_xlfn.XLOOKUP(C545,'calc_s90&amp;138'!$C$15:$C$1000,'calc_s90&amp;138'!$AX$15:$AX$1000,"",0),  I545="Height FIX",_xlfn.XLOOKUP(C545,'calc_s90&amp;138'!$C$15:$C$1000,'calc_s90&amp;138'!$AZ$15:$AZ$1000,"",0),  I545="Width", _xlfn.XLOOKUP(C545,'calc_s90&amp;138'!$C$15:$C$1000,'calc_s90&amp;138'!$BB$15:$BB$1000,"",0)),"")</f>
        <v/>
      </c>
      <c r="E545" s="16" t="str" cm="1">
        <f t="array" ref="E545">IF(C545&lt;&gt;"", _xlfn.XLOOKUP(1,((SKUs!$A$2:$A$10001=cl_unmerged!B545) * (ISNUMBER(SEARCH("Bead",SKUs!$J$2:$J$10001)))), SKUs!$J$2:$J$10001,""),"") &amp; IF(C545&lt;&gt;"", " (Sash)","") &amp; _xlfn.IFS(I545="Height", ", H",I545="Height SLI", ", H SLI", I545="Height FIX", ", H FIX",I545="Width", ", W", I545="", "")</f>
        <v/>
      </c>
      <c r="F545" s="33" t="str" cm="1">
        <f t="array" ref="F545">_xlfn.XLOOKUP(1,((SKUs!$A$2:$A$10001=cl_unmerged!B545) * (ISNUMBER(SEARCH("Bead",SKUs!$J$2:$J$10001)))* (ISNUMBER(SEARCH(A545,SKUs!$C$2:$C$10001)))), SKUs!$C$2:$C$10001,"")</f>
        <v/>
      </c>
      <c r="G545" s="16"/>
      <c r="H545" s="16" t="str" cm="1">
        <f t="array" ref="H545">IF(C545&lt;&gt;"", _xlfn.IFS(I545="Height SLI",_xlfn.XLOOKUP(C545,'calc_s90&amp;138'!$C$15:$C$1000,'calc_s90&amp;138'!$AW$15:$AW$1000,"",0), I545="Height FIX",_xlfn.XLOOKUP(C545,'calc_s90&amp;138'!$C$15:$C$1000,'calc_s90&amp;138'!$AY$15:$AY$1000,"",0), I545="Width", _xlfn.XLOOKUP(C545,'calc_s90&amp;138'!$C$15:$C$1000,'calc_s90&amp;138'!$BA$15:$BA$1000,"",0)),"")</f>
        <v/>
      </c>
      <c r="I545" s="16" t="str">
        <f t="shared" si="11"/>
        <v/>
      </c>
    </row>
    <row r="546" spans="1:9" ht="13.5" customHeight="1" x14ac:dyDescent="0.25">
      <c r="A546" s="41" t="str">
        <f>_xlfn.XLOOKUP(G546,dd_color!$A$2:$A$8,dd_color!$B$2:$B$8,"",0)</f>
        <v/>
      </c>
      <c r="B546" s="41">
        <f>_xlfn.XLOOKUP(_xlfn.XLOOKUP(C546,'Project Details'!$C$17:$C$10003,'Project Details'!$E$17:$E$10003, "",0),dd_design_raw!$A$2:$A$9997,dd_design_raw!$C$2:$C$9997,"",0)</f>
        <v>0</v>
      </c>
      <c r="C546" s="16"/>
      <c r="D546" s="16" t="str" cm="1">
        <f t="array" ref="D546">IF(C546&lt;&gt;"", _xlfn.IFS(I546="Height SLI",_xlfn.XLOOKUP(C546,'calc_s90&amp;138'!$C$15:$C$1000,'calc_s90&amp;138'!$AX$15:$AX$1000,"",0),  I546="Height FIX",_xlfn.XLOOKUP(C546,'calc_s90&amp;138'!$C$15:$C$1000,'calc_s90&amp;138'!$AZ$15:$AZ$1000,"",0),  I546="Width", _xlfn.XLOOKUP(C546,'calc_s90&amp;138'!$C$15:$C$1000,'calc_s90&amp;138'!$BB$15:$BB$1000,"",0)),"")</f>
        <v/>
      </c>
      <c r="E546" s="16" t="str" cm="1">
        <f t="array" ref="E546">IF(C546&lt;&gt;"", _xlfn.XLOOKUP(1,((SKUs!$A$2:$A$10001=cl_unmerged!B546) * (ISNUMBER(SEARCH("Bead",SKUs!$J$2:$J$10001)))), SKUs!$J$2:$J$10001,""),"") &amp; IF(C546&lt;&gt;"", " (Sash)","") &amp; _xlfn.IFS(I546="Height", ", H",I546="Height SLI", ", H SLI", I546="Height FIX", ", H FIX",I546="Width", ", W", I546="", "")</f>
        <v/>
      </c>
      <c r="F546" s="33" t="str" cm="1">
        <f t="array" ref="F546">_xlfn.XLOOKUP(1,((SKUs!$A$2:$A$10001=cl_unmerged!B546) * (ISNUMBER(SEARCH("Bead",SKUs!$J$2:$J$10001)))* (ISNUMBER(SEARCH(A546,SKUs!$C$2:$C$10001)))), SKUs!$C$2:$C$10001,"")</f>
        <v/>
      </c>
      <c r="G546" s="16"/>
      <c r="H546" s="16" t="str" cm="1">
        <f t="array" ref="H546">IF(C546&lt;&gt;"", _xlfn.IFS(I546="Height SLI",_xlfn.XLOOKUP(C546,'calc_s90&amp;138'!$C$15:$C$1000,'calc_s90&amp;138'!$AW$15:$AW$1000,"",0), I546="Height FIX",_xlfn.XLOOKUP(C546,'calc_s90&amp;138'!$C$15:$C$1000,'calc_s90&amp;138'!$AY$15:$AY$1000,"",0), I546="Width", _xlfn.XLOOKUP(C546,'calc_s90&amp;138'!$C$15:$C$1000,'calc_s90&amp;138'!$BA$15:$BA$1000,"",0)),"")</f>
        <v/>
      </c>
      <c r="I546" s="16" t="str">
        <f t="shared" si="11"/>
        <v/>
      </c>
    </row>
    <row r="547" spans="1:9" ht="13.5" customHeight="1" x14ac:dyDescent="0.25">
      <c r="A547" s="41" t="str">
        <f>_xlfn.XLOOKUP(G547,dd_color!$A$2:$A$8,dd_color!$B$2:$B$8,"",0)</f>
        <v/>
      </c>
      <c r="B547" s="41">
        <f>_xlfn.XLOOKUP(_xlfn.XLOOKUP(C547,'Project Details'!$C$17:$C$10003,'Project Details'!$E$17:$E$10003, "",0),dd_design_raw!$A$2:$A$9997,dd_design_raw!$C$2:$C$9997,"",0)</f>
        <v>0</v>
      </c>
      <c r="C547" s="16"/>
      <c r="D547" s="16" t="str" cm="1">
        <f t="array" ref="D547">IF(C547&lt;&gt;"", _xlfn.IFS(I547="Height SLI",_xlfn.XLOOKUP(C547,'calc_s90&amp;138'!$C$15:$C$1000,'calc_s90&amp;138'!$AX$15:$AX$1000,"",0),  I547="Height FIX",_xlfn.XLOOKUP(C547,'calc_s90&amp;138'!$C$15:$C$1000,'calc_s90&amp;138'!$AZ$15:$AZ$1000,"",0),  I547="Width", _xlfn.XLOOKUP(C547,'calc_s90&amp;138'!$C$15:$C$1000,'calc_s90&amp;138'!$BB$15:$BB$1000,"",0)),"")</f>
        <v/>
      </c>
      <c r="E547" s="16" t="str" cm="1">
        <f t="array" ref="E547">IF(C547&lt;&gt;"", _xlfn.XLOOKUP(1,((SKUs!$A$2:$A$10001=cl_unmerged!B547) * (ISNUMBER(SEARCH("Bead",SKUs!$J$2:$J$10001)))), SKUs!$J$2:$J$10001,""),"") &amp; IF(C547&lt;&gt;"", " (Sash)","") &amp; _xlfn.IFS(I547="Height", ", H",I547="Height SLI", ", H SLI", I547="Height FIX", ", H FIX",I547="Width", ", W", I547="", "")</f>
        <v/>
      </c>
      <c r="F547" s="33" t="str" cm="1">
        <f t="array" ref="F547">_xlfn.XLOOKUP(1,((SKUs!$A$2:$A$10001=cl_unmerged!B547) * (ISNUMBER(SEARCH("Bead",SKUs!$J$2:$J$10001)))* (ISNUMBER(SEARCH(A547,SKUs!$C$2:$C$10001)))), SKUs!$C$2:$C$10001,"")</f>
        <v/>
      </c>
      <c r="G547" s="16"/>
      <c r="H547" s="16" t="str" cm="1">
        <f t="array" ref="H547">IF(C547&lt;&gt;"", _xlfn.IFS(I547="Height SLI",_xlfn.XLOOKUP(C547,'calc_s90&amp;138'!$C$15:$C$1000,'calc_s90&amp;138'!$AW$15:$AW$1000,"",0), I547="Height FIX",_xlfn.XLOOKUP(C547,'calc_s90&amp;138'!$C$15:$C$1000,'calc_s90&amp;138'!$AY$15:$AY$1000,"",0), I547="Width", _xlfn.XLOOKUP(C547,'calc_s90&amp;138'!$C$15:$C$1000,'calc_s90&amp;138'!$BA$15:$BA$1000,"",0)),"")</f>
        <v/>
      </c>
      <c r="I547" s="16" t="str">
        <f t="shared" si="11"/>
        <v/>
      </c>
    </row>
    <row r="548" spans="1:9" ht="13.5" customHeight="1" x14ac:dyDescent="0.25">
      <c r="A548" s="41" t="str">
        <f>_xlfn.XLOOKUP(G548,dd_color!$A$2:$A$8,dd_color!$B$2:$B$8,"",0)</f>
        <v/>
      </c>
      <c r="B548" s="41">
        <f>_xlfn.XLOOKUP(_xlfn.XLOOKUP(C548,'Project Details'!$C$17:$C$10003,'Project Details'!$E$17:$E$10003, "",0),dd_design_raw!$A$2:$A$9997,dd_design_raw!$C$2:$C$9997,"",0)</f>
        <v>0</v>
      </c>
      <c r="C548" s="16"/>
      <c r="D548" s="16" t="str" cm="1">
        <f t="array" ref="D548">IF(C548&lt;&gt;"", _xlfn.IFS(I548="Height SLI",_xlfn.XLOOKUP(C548,'calc_s90&amp;138'!$C$15:$C$1000,'calc_s90&amp;138'!$AX$15:$AX$1000,"",0),  I548="Height FIX",_xlfn.XLOOKUP(C548,'calc_s90&amp;138'!$C$15:$C$1000,'calc_s90&amp;138'!$AZ$15:$AZ$1000,"",0),  I548="Width", _xlfn.XLOOKUP(C548,'calc_s90&amp;138'!$C$15:$C$1000,'calc_s90&amp;138'!$BB$15:$BB$1000,"",0)),"")</f>
        <v/>
      </c>
      <c r="E548" s="16" t="str" cm="1">
        <f t="array" ref="E548">IF(C548&lt;&gt;"", _xlfn.XLOOKUP(1,((SKUs!$A$2:$A$10001=cl_unmerged!B548) * (ISNUMBER(SEARCH("Bead",SKUs!$J$2:$J$10001)))), SKUs!$J$2:$J$10001,""),"") &amp; IF(C548&lt;&gt;"", " (Sash)","") &amp; _xlfn.IFS(I548="Height", ", H",I548="Height SLI", ", H SLI", I548="Height FIX", ", H FIX",I548="Width", ", W", I548="", "")</f>
        <v/>
      </c>
      <c r="F548" s="33" t="str" cm="1">
        <f t="array" ref="F548">_xlfn.XLOOKUP(1,((SKUs!$A$2:$A$10001=cl_unmerged!B548) * (ISNUMBER(SEARCH("Bead",SKUs!$J$2:$J$10001)))* (ISNUMBER(SEARCH(A548,SKUs!$C$2:$C$10001)))), SKUs!$C$2:$C$10001,"")</f>
        <v/>
      </c>
      <c r="G548" s="16"/>
      <c r="H548" s="16" t="str" cm="1">
        <f t="array" ref="H548">IF(C548&lt;&gt;"", _xlfn.IFS(I548="Height SLI",_xlfn.XLOOKUP(C548,'calc_s90&amp;138'!$C$15:$C$1000,'calc_s90&amp;138'!$AW$15:$AW$1000,"",0), I548="Height FIX",_xlfn.XLOOKUP(C548,'calc_s90&amp;138'!$C$15:$C$1000,'calc_s90&amp;138'!$AY$15:$AY$1000,"",0), I548="Width", _xlfn.XLOOKUP(C548,'calc_s90&amp;138'!$C$15:$C$1000,'calc_s90&amp;138'!$BA$15:$BA$1000,"",0)),"")</f>
        <v/>
      </c>
      <c r="I548" s="16" t="str">
        <f t="shared" si="11"/>
        <v/>
      </c>
    </row>
    <row r="549" spans="1:9" ht="13.5" customHeight="1" x14ac:dyDescent="0.25">
      <c r="A549" s="41" t="str">
        <f>_xlfn.XLOOKUP(G549,dd_color!$A$2:$A$8,dd_color!$B$2:$B$8,"",0)</f>
        <v/>
      </c>
      <c r="B549" s="41">
        <f>_xlfn.XLOOKUP(_xlfn.XLOOKUP(C549,'Project Details'!$C$17:$C$10003,'Project Details'!$E$17:$E$10003, "",0),dd_design_raw!$A$2:$A$9997,dd_design_raw!$C$2:$C$9997,"",0)</f>
        <v>0</v>
      </c>
      <c r="C549" s="16"/>
      <c r="D549" s="16" t="str" cm="1">
        <f t="array" ref="D549">IF(C549&lt;&gt;"", _xlfn.IFS(I549="Height SLI",_xlfn.XLOOKUP(C549,'calc_s90&amp;138'!$C$15:$C$1000,'calc_s90&amp;138'!$AX$15:$AX$1000,"",0),  I549="Height FIX",_xlfn.XLOOKUP(C549,'calc_s90&amp;138'!$C$15:$C$1000,'calc_s90&amp;138'!$AZ$15:$AZ$1000,"",0),  I549="Width", _xlfn.XLOOKUP(C549,'calc_s90&amp;138'!$C$15:$C$1000,'calc_s90&amp;138'!$BB$15:$BB$1000,"",0)),"")</f>
        <v/>
      </c>
      <c r="E549" s="16" t="str" cm="1">
        <f t="array" ref="E549">IF(C549&lt;&gt;"", _xlfn.XLOOKUP(1,((SKUs!$A$2:$A$10001=cl_unmerged!B549) * (ISNUMBER(SEARCH("Bead",SKUs!$J$2:$J$10001)))), SKUs!$J$2:$J$10001,""),"") &amp; IF(C549&lt;&gt;"", " (Sash)","") &amp; _xlfn.IFS(I549="Height", ", H",I549="Height SLI", ", H SLI", I549="Height FIX", ", H FIX",I549="Width", ", W", I549="", "")</f>
        <v/>
      </c>
      <c r="F549" s="33" t="str" cm="1">
        <f t="array" ref="F549">_xlfn.XLOOKUP(1,((SKUs!$A$2:$A$10001=cl_unmerged!B549) * (ISNUMBER(SEARCH("Bead",SKUs!$J$2:$J$10001)))* (ISNUMBER(SEARCH(A549,SKUs!$C$2:$C$10001)))), SKUs!$C$2:$C$10001,"")</f>
        <v/>
      </c>
      <c r="G549" s="16"/>
      <c r="H549" s="16" t="str" cm="1">
        <f t="array" ref="H549">IF(C549&lt;&gt;"", _xlfn.IFS(I549="Height SLI",_xlfn.XLOOKUP(C549,'calc_s90&amp;138'!$C$15:$C$1000,'calc_s90&amp;138'!$AW$15:$AW$1000,"",0), I549="Height FIX",_xlfn.XLOOKUP(C549,'calc_s90&amp;138'!$C$15:$C$1000,'calc_s90&amp;138'!$AY$15:$AY$1000,"",0), I549="Width", _xlfn.XLOOKUP(C549,'calc_s90&amp;138'!$C$15:$C$1000,'calc_s90&amp;138'!$BA$15:$BA$1000,"",0)),"")</f>
        <v/>
      </c>
      <c r="I549" s="16" t="str">
        <f t="shared" si="11"/>
        <v/>
      </c>
    </row>
    <row r="550" spans="1:9" ht="13.5" customHeight="1" x14ac:dyDescent="0.25">
      <c r="A550" s="41" t="str">
        <f>_xlfn.XLOOKUP(G550,dd_color!$A$2:$A$8,dd_color!$B$2:$B$8,"",0)</f>
        <v/>
      </c>
      <c r="B550" s="41">
        <f>_xlfn.XLOOKUP(_xlfn.XLOOKUP(C550,'Project Details'!$C$17:$C$10003,'Project Details'!$E$17:$E$10003, "",0),dd_design_raw!$A$2:$A$9997,dd_design_raw!$C$2:$C$9997,"",0)</f>
        <v>0</v>
      </c>
      <c r="C550" s="16"/>
      <c r="D550" s="16" t="str" cm="1">
        <f t="array" ref="D550">IF(C550&lt;&gt;"", _xlfn.IFS(I550="Height SLI",_xlfn.XLOOKUP(C550,'calc_s90&amp;138'!$C$15:$C$1000,'calc_s90&amp;138'!$AX$15:$AX$1000,"",0),  I550="Height FIX",_xlfn.XLOOKUP(C550,'calc_s90&amp;138'!$C$15:$C$1000,'calc_s90&amp;138'!$AZ$15:$AZ$1000,"",0),  I550="Width", _xlfn.XLOOKUP(C550,'calc_s90&amp;138'!$C$15:$C$1000,'calc_s90&amp;138'!$BB$15:$BB$1000,"",0)),"")</f>
        <v/>
      </c>
      <c r="E550" s="16" t="str" cm="1">
        <f t="array" ref="E550">IF(C550&lt;&gt;"", _xlfn.XLOOKUP(1,((SKUs!$A$2:$A$10001=cl_unmerged!B550) * (ISNUMBER(SEARCH("Bead",SKUs!$J$2:$J$10001)))), SKUs!$J$2:$J$10001,""),"") &amp; IF(C550&lt;&gt;"", " (Sash)","") &amp; _xlfn.IFS(I550="Height", ", H",I550="Height SLI", ", H SLI", I550="Height FIX", ", H FIX",I550="Width", ", W", I550="", "")</f>
        <v/>
      </c>
      <c r="F550" s="33" t="str" cm="1">
        <f t="array" ref="F550">_xlfn.XLOOKUP(1,((SKUs!$A$2:$A$10001=cl_unmerged!B550) * (ISNUMBER(SEARCH("Bead",SKUs!$J$2:$J$10001)))* (ISNUMBER(SEARCH(A550,SKUs!$C$2:$C$10001)))), SKUs!$C$2:$C$10001,"")</f>
        <v/>
      </c>
      <c r="G550" s="16"/>
      <c r="H550" s="16" t="str" cm="1">
        <f t="array" ref="H550">IF(C550&lt;&gt;"", _xlfn.IFS(I550="Height SLI",_xlfn.XLOOKUP(C550,'calc_s90&amp;138'!$C$15:$C$1000,'calc_s90&amp;138'!$AW$15:$AW$1000,"",0), I550="Height FIX",_xlfn.XLOOKUP(C550,'calc_s90&amp;138'!$C$15:$C$1000,'calc_s90&amp;138'!$AY$15:$AY$1000,"",0), I550="Width", _xlfn.XLOOKUP(C550,'calc_s90&amp;138'!$C$15:$C$1000,'calc_s90&amp;138'!$BA$15:$BA$1000,"",0)),"")</f>
        <v/>
      </c>
      <c r="I550" s="16" t="str">
        <f t="shared" si="11"/>
        <v/>
      </c>
    </row>
    <row r="551" spans="1:9" ht="13.5" customHeight="1" x14ac:dyDescent="0.25">
      <c r="A551" s="41" t="str">
        <f>_xlfn.XLOOKUP(G551,dd_color!$A$2:$A$8,dd_color!$B$2:$B$8,"",0)</f>
        <v/>
      </c>
      <c r="B551" s="41">
        <f>_xlfn.XLOOKUP(_xlfn.XLOOKUP(C551,'Project Details'!$C$17:$C$10003,'Project Details'!$E$17:$E$10003, "",0),dd_design_raw!$A$2:$A$9997,dd_design_raw!$C$2:$C$9997,"",0)</f>
        <v>0</v>
      </c>
      <c r="C551" s="16"/>
      <c r="D551" s="16" t="str" cm="1">
        <f t="array" ref="D551">IF(C551&lt;&gt;"", _xlfn.IFS(I551="Height SLI",_xlfn.XLOOKUP(C551,'calc_s90&amp;138'!$C$15:$C$1000,'calc_s90&amp;138'!$AX$15:$AX$1000,"",0),  I551="Height FIX",_xlfn.XLOOKUP(C551,'calc_s90&amp;138'!$C$15:$C$1000,'calc_s90&amp;138'!$AZ$15:$AZ$1000,"",0),  I551="Width", _xlfn.XLOOKUP(C551,'calc_s90&amp;138'!$C$15:$C$1000,'calc_s90&amp;138'!$BB$15:$BB$1000,"",0)),"")</f>
        <v/>
      </c>
      <c r="E551" s="16" t="str" cm="1">
        <f t="array" ref="E551">IF(C551&lt;&gt;"", _xlfn.XLOOKUP(1,((SKUs!$A$2:$A$10001=cl_unmerged!B551) * (ISNUMBER(SEARCH("Bead",SKUs!$J$2:$J$10001)))), SKUs!$J$2:$J$10001,""),"") &amp; IF(C551&lt;&gt;"", " (Sash)","") &amp; _xlfn.IFS(I551="Height", ", H",I551="Height SLI", ", H SLI", I551="Height FIX", ", H FIX",I551="Width", ", W", I551="", "")</f>
        <v/>
      </c>
      <c r="F551" s="33" t="str" cm="1">
        <f t="array" ref="F551">_xlfn.XLOOKUP(1,((SKUs!$A$2:$A$10001=cl_unmerged!B551) * (ISNUMBER(SEARCH("Bead",SKUs!$J$2:$J$10001)))* (ISNUMBER(SEARCH(A551,SKUs!$C$2:$C$10001)))), SKUs!$C$2:$C$10001,"")</f>
        <v/>
      </c>
      <c r="G551" s="16"/>
      <c r="H551" s="16" t="str" cm="1">
        <f t="array" ref="H551">IF(C551&lt;&gt;"", _xlfn.IFS(I551="Height SLI",_xlfn.XLOOKUP(C551,'calc_s90&amp;138'!$C$15:$C$1000,'calc_s90&amp;138'!$AW$15:$AW$1000,"",0), I551="Height FIX",_xlfn.XLOOKUP(C551,'calc_s90&amp;138'!$C$15:$C$1000,'calc_s90&amp;138'!$AY$15:$AY$1000,"",0), I551="Width", _xlfn.XLOOKUP(C551,'calc_s90&amp;138'!$C$15:$C$1000,'calc_s90&amp;138'!$BA$15:$BA$1000,"",0)),"")</f>
        <v/>
      </c>
      <c r="I551" s="16" t="str">
        <f t="shared" si="11"/>
        <v/>
      </c>
    </row>
    <row r="552" spans="1:9" ht="13.5" customHeight="1" x14ac:dyDescent="0.25">
      <c r="A552" s="41" t="str">
        <f>_xlfn.XLOOKUP(G552,dd_color!$A$2:$A$8,dd_color!$B$2:$B$8,"",0)</f>
        <v/>
      </c>
      <c r="B552" s="41">
        <f>_xlfn.XLOOKUP(_xlfn.XLOOKUP(C552,'Project Details'!$C$17:$C$10003,'Project Details'!$E$17:$E$10003, "",0),dd_design_raw!$A$2:$A$9997,dd_design_raw!$C$2:$C$9997,"",0)</f>
        <v>0</v>
      </c>
      <c r="C552" s="16"/>
      <c r="D552" s="16" t="str" cm="1">
        <f t="array" ref="D552">IF(C552&lt;&gt;"", _xlfn.IFS(I552="Height SLI",_xlfn.XLOOKUP(C552,'calc_s90&amp;138'!$C$15:$C$1000,'calc_s90&amp;138'!$AX$15:$AX$1000,"",0),  I552="Height FIX",_xlfn.XLOOKUP(C552,'calc_s90&amp;138'!$C$15:$C$1000,'calc_s90&amp;138'!$AZ$15:$AZ$1000,"",0),  I552="Width", _xlfn.XLOOKUP(C552,'calc_s90&amp;138'!$C$15:$C$1000,'calc_s90&amp;138'!$BB$15:$BB$1000,"",0)),"")</f>
        <v/>
      </c>
      <c r="E552" s="16" t="str" cm="1">
        <f t="array" ref="E552">IF(C552&lt;&gt;"", _xlfn.XLOOKUP(1,((SKUs!$A$2:$A$10001=cl_unmerged!B552) * (ISNUMBER(SEARCH("Bead",SKUs!$J$2:$J$10001)))), SKUs!$J$2:$J$10001,""),"") &amp; IF(C552&lt;&gt;"", " (Sash)","") &amp; _xlfn.IFS(I552="Height", ", H",I552="Height SLI", ", H SLI", I552="Height FIX", ", H FIX",I552="Width", ", W", I552="", "")</f>
        <v/>
      </c>
      <c r="F552" s="33" t="str" cm="1">
        <f t="array" ref="F552">_xlfn.XLOOKUP(1,((SKUs!$A$2:$A$10001=cl_unmerged!B552) * (ISNUMBER(SEARCH("Bead",SKUs!$J$2:$J$10001)))* (ISNUMBER(SEARCH(A552,SKUs!$C$2:$C$10001)))), SKUs!$C$2:$C$10001,"")</f>
        <v/>
      </c>
      <c r="G552" s="16"/>
      <c r="H552" s="16" t="str" cm="1">
        <f t="array" ref="H552">IF(C552&lt;&gt;"", _xlfn.IFS(I552="Height SLI",_xlfn.XLOOKUP(C552,'calc_s90&amp;138'!$C$15:$C$1000,'calc_s90&amp;138'!$AW$15:$AW$1000,"",0), I552="Height FIX",_xlfn.XLOOKUP(C552,'calc_s90&amp;138'!$C$15:$C$1000,'calc_s90&amp;138'!$AY$15:$AY$1000,"",0), I552="Width", _xlfn.XLOOKUP(C552,'calc_s90&amp;138'!$C$15:$C$1000,'calc_s90&amp;138'!$BA$15:$BA$1000,"",0)),"")</f>
        <v/>
      </c>
      <c r="I552" s="16" t="str">
        <f t="shared" si="11"/>
        <v/>
      </c>
    </row>
    <row r="553" spans="1:9" ht="13.5" customHeight="1" x14ac:dyDescent="0.25">
      <c r="A553" s="41" t="str">
        <f>_xlfn.XLOOKUP(G553,dd_color!$A$2:$A$8,dd_color!$B$2:$B$8,"",0)</f>
        <v/>
      </c>
      <c r="B553" s="41">
        <f>_xlfn.XLOOKUP(_xlfn.XLOOKUP(C553,'Project Details'!$C$17:$C$10003,'Project Details'!$E$17:$E$10003, "",0),dd_design_raw!$A$2:$A$9997,dd_design_raw!$C$2:$C$9997,"",0)</f>
        <v>0</v>
      </c>
      <c r="C553" s="16"/>
      <c r="D553" s="16" t="str" cm="1">
        <f t="array" ref="D553">IF(C553&lt;&gt;"", _xlfn.IFS(I553="Height SLI",_xlfn.XLOOKUP(C553,'calc_s90&amp;138'!$C$15:$C$1000,'calc_s90&amp;138'!$AX$15:$AX$1000,"",0),  I553="Height FIX",_xlfn.XLOOKUP(C553,'calc_s90&amp;138'!$C$15:$C$1000,'calc_s90&amp;138'!$AZ$15:$AZ$1000,"",0),  I553="Width", _xlfn.XLOOKUP(C553,'calc_s90&amp;138'!$C$15:$C$1000,'calc_s90&amp;138'!$BB$15:$BB$1000,"",0)),"")</f>
        <v/>
      </c>
      <c r="E553" s="16" t="str" cm="1">
        <f t="array" ref="E553">IF(C553&lt;&gt;"", _xlfn.XLOOKUP(1,((SKUs!$A$2:$A$10001=cl_unmerged!B553) * (ISNUMBER(SEARCH("Bead",SKUs!$J$2:$J$10001)))), SKUs!$J$2:$J$10001,""),"") &amp; IF(C553&lt;&gt;"", " (Sash)","") &amp; _xlfn.IFS(I553="Height", ", H",I553="Height SLI", ", H SLI", I553="Height FIX", ", H FIX",I553="Width", ", W", I553="", "")</f>
        <v/>
      </c>
      <c r="F553" s="33" t="str" cm="1">
        <f t="array" ref="F553">_xlfn.XLOOKUP(1,((SKUs!$A$2:$A$10001=cl_unmerged!B553) * (ISNUMBER(SEARCH("Bead",SKUs!$J$2:$J$10001)))* (ISNUMBER(SEARCH(A553,SKUs!$C$2:$C$10001)))), SKUs!$C$2:$C$10001,"")</f>
        <v/>
      </c>
      <c r="G553" s="16"/>
      <c r="H553" s="16" t="str" cm="1">
        <f t="array" ref="H553">IF(C553&lt;&gt;"", _xlfn.IFS(I553="Height SLI",_xlfn.XLOOKUP(C553,'calc_s90&amp;138'!$C$15:$C$1000,'calc_s90&amp;138'!$AW$15:$AW$1000,"",0), I553="Height FIX",_xlfn.XLOOKUP(C553,'calc_s90&amp;138'!$C$15:$C$1000,'calc_s90&amp;138'!$AY$15:$AY$1000,"",0), I553="Width", _xlfn.XLOOKUP(C553,'calc_s90&amp;138'!$C$15:$C$1000,'calc_s90&amp;138'!$BA$15:$BA$1000,"",0)),"")</f>
        <v/>
      </c>
      <c r="I553" s="16" t="str">
        <f t="shared" si="11"/>
        <v/>
      </c>
    </row>
    <row r="554" spans="1:9" ht="13.5" customHeight="1" x14ac:dyDescent="0.25">
      <c r="A554" s="41" t="str">
        <f>_xlfn.XLOOKUP(G554,dd_color!$A$2:$A$8,dd_color!$B$2:$B$8,"",0)</f>
        <v/>
      </c>
      <c r="B554" s="41">
        <f>_xlfn.XLOOKUP(_xlfn.XLOOKUP(C554,'Project Details'!$C$17:$C$10003,'Project Details'!$E$17:$E$10003, "",0),dd_design_raw!$A$2:$A$9997,dd_design_raw!$C$2:$C$9997,"",0)</f>
        <v>0</v>
      </c>
      <c r="C554" s="16"/>
      <c r="D554" s="16" t="str" cm="1">
        <f t="array" ref="D554">IF(C554&lt;&gt;"", _xlfn.IFS(I554="Height SLI",_xlfn.XLOOKUP(C554,'calc_s90&amp;138'!$C$15:$C$1000,'calc_s90&amp;138'!$AX$15:$AX$1000,"",0),  I554="Height FIX",_xlfn.XLOOKUP(C554,'calc_s90&amp;138'!$C$15:$C$1000,'calc_s90&amp;138'!$AZ$15:$AZ$1000,"",0),  I554="Width", _xlfn.XLOOKUP(C554,'calc_s90&amp;138'!$C$15:$C$1000,'calc_s90&amp;138'!$BB$15:$BB$1000,"",0)),"")</f>
        <v/>
      </c>
      <c r="E554" s="16" t="str" cm="1">
        <f t="array" ref="E554">IF(C554&lt;&gt;"", _xlfn.XLOOKUP(1,((SKUs!$A$2:$A$10001=cl_unmerged!B554) * (ISNUMBER(SEARCH("Bead",SKUs!$J$2:$J$10001)))), SKUs!$J$2:$J$10001,""),"") &amp; IF(C554&lt;&gt;"", " (Sash)","") &amp; _xlfn.IFS(I554="Height", ", H",I554="Height SLI", ", H SLI", I554="Height FIX", ", H FIX",I554="Width", ", W", I554="", "")</f>
        <v/>
      </c>
      <c r="F554" s="33" t="str" cm="1">
        <f t="array" ref="F554">_xlfn.XLOOKUP(1,((SKUs!$A$2:$A$10001=cl_unmerged!B554) * (ISNUMBER(SEARCH("Bead",SKUs!$J$2:$J$10001)))* (ISNUMBER(SEARCH(A554,SKUs!$C$2:$C$10001)))), SKUs!$C$2:$C$10001,"")</f>
        <v/>
      </c>
      <c r="G554" s="16"/>
      <c r="H554" s="16" t="str" cm="1">
        <f t="array" ref="H554">IF(C554&lt;&gt;"", _xlfn.IFS(I554="Height SLI",_xlfn.XLOOKUP(C554,'calc_s90&amp;138'!$C$15:$C$1000,'calc_s90&amp;138'!$AW$15:$AW$1000,"",0), I554="Height FIX",_xlfn.XLOOKUP(C554,'calc_s90&amp;138'!$C$15:$C$1000,'calc_s90&amp;138'!$AY$15:$AY$1000,"",0), I554="Width", _xlfn.XLOOKUP(C554,'calc_s90&amp;138'!$C$15:$C$1000,'calc_s90&amp;138'!$BA$15:$BA$1000,"",0)),"")</f>
        <v/>
      </c>
      <c r="I554" s="16" t="str">
        <f t="shared" si="11"/>
        <v/>
      </c>
    </row>
    <row r="555" spans="1:9" ht="13.5" customHeight="1" x14ac:dyDescent="0.25">
      <c r="A555" s="41" t="str">
        <f>_xlfn.XLOOKUP(G555,dd_color!$A$2:$A$8,dd_color!$B$2:$B$8,"",0)</f>
        <v/>
      </c>
      <c r="B555" s="41">
        <f>_xlfn.XLOOKUP(_xlfn.XLOOKUP(C555,'Project Details'!$C$17:$C$10003,'Project Details'!$E$17:$E$10003, "",0),dd_design_raw!$A$2:$A$9997,dd_design_raw!$C$2:$C$9997,"",0)</f>
        <v>0</v>
      </c>
      <c r="C555" s="16"/>
      <c r="D555" s="16" t="str" cm="1">
        <f t="array" ref="D555">IF(C555&lt;&gt;"", _xlfn.IFS(I555="Height SLI",_xlfn.XLOOKUP(C555,'calc_s90&amp;138'!$C$15:$C$1000,'calc_s90&amp;138'!$AX$15:$AX$1000,"",0),  I555="Height FIX",_xlfn.XLOOKUP(C555,'calc_s90&amp;138'!$C$15:$C$1000,'calc_s90&amp;138'!$AZ$15:$AZ$1000,"",0),  I555="Width", _xlfn.XLOOKUP(C555,'calc_s90&amp;138'!$C$15:$C$1000,'calc_s90&amp;138'!$BB$15:$BB$1000,"",0)),"")</f>
        <v/>
      </c>
      <c r="E555" s="16" t="str" cm="1">
        <f t="array" ref="E555">IF(C555&lt;&gt;"", _xlfn.XLOOKUP(1,((SKUs!$A$2:$A$10001=cl_unmerged!B555) * (ISNUMBER(SEARCH("Bead",SKUs!$J$2:$J$10001)))), SKUs!$J$2:$J$10001,""),"") &amp; IF(C555&lt;&gt;"", " (Sash)","") &amp; _xlfn.IFS(I555="Height", ", H",I555="Height SLI", ", H SLI", I555="Height FIX", ", H FIX",I555="Width", ", W", I555="", "")</f>
        <v/>
      </c>
      <c r="F555" s="33" t="str" cm="1">
        <f t="array" ref="F555">_xlfn.XLOOKUP(1,((SKUs!$A$2:$A$10001=cl_unmerged!B555) * (ISNUMBER(SEARCH("Bead",SKUs!$J$2:$J$10001)))* (ISNUMBER(SEARCH(A555,SKUs!$C$2:$C$10001)))), SKUs!$C$2:$C$10001,"")</f>
        <v/>
      </c>
      <c r="G555" s="16"/>
      <c r="H555" s="16" t="str" cm="1">
        <f t="array" ref="H555">IF(C555&lt;&gt;"", _xlfn.IFS(I555="Height SLI",_xlfn.XLOOKUP(C555,'calc_s90&amp;138'!$C$15:$C$1000,'calc_s90&amp;138'!$AW$15:$AW$1000,"",0), I555="Height FIX",_xlfn.XLOOKUP(C555,'calc_s90&amp;138'!$C$15:$C$1000,'calc_s90&amp;138'!$AY$15:$AY$1000,"",0), I555="Width", _xlfn.XLOOKUP(C555,'calc_s90&amp;138'!$C$15:$C$1000,'calc_s90&amp;138'!$BA$15:$BA$1000,"",0)),"")</f>
        <v/>
      </c>
      <c r="I555" s="16" t="str">
        <f t="shared" si="11"/>
        <v/>
      </c>
    </row>
    <row r="556" spans="1:9" ht="13.5" customHeight="1" x14ac:dyDescent="0.25">
      <c r="A556" s="41" t="str">
        <f>_xlfn.XLOOKUP(G556,dd_color!$A$2:$A$8,dd_color!$B$2:$B$8,"",0)</f>
        <v/>
      </c>
      <c r="B556" s="41">
        <f>_xlfn.XLOOKUP(_xlfn.XLOOKUP(C556,'Project Details'!$C$17:$C$10003,'Project Details'!$E$17:$E$10003, "",0),dd_design_raw!$A$2:$A$9997,dd_design_raw!$C$2:$C$9997,"",0)</f>
        <v>0</v>
      </c>
      <c r="C556" s="16"/>
      <c r="D556" s="16" t="str" cm="1">
        <f t="array" ref="D556">IF(C556&lt;&gt;"", _xlfn.IFS(I556="Height SLI",_xlfn.XLOOKUP(C556,'calc_s90&amp;138'!$C$15:$C$1000,'calc_s90&amp;138'!$AX$15:$AX$1000,"",0),  I556="Height FIX",_xlfn.XLOOKUP(C556,'calc_s90&amp;138'!$C$15:$C$1000,'calc_s90&amp;138'!$AZ$15:$AZ$1000,"",0),  I556="Width", _xlfn.XLOOKUP(C556,'calc_s90&amp;138'!$C$15:$C$1000,'calc_s90&amp;138'!$BB$15:$BB$1000,"",0)),"")</f>
        <v/>
      </c>
      <c r="E556" s="16" t="str" cm="1">
        <f t="array" ref="E556">IF(C556&lt;&gt;"", _xlfn.XLOOKUP(1,((SKUs!$A$2:$A$10001=cl_unmerged!B556) * (ISNUMBER(SEARCH("Bead",SKUs!$J$2:$J$10001)))), SKUs!$J$2:$J$10001,""),"") &amp; IF(C556&lt;&gt;"", " (Sash)","") &amp; _xlfn.IFS(I556="Height", ", H",I556="Height SLI", ", H SLI", I556="Height FIX", ", H FIX",I556="Width", ", W", I556="", "")</f>
        <v/>
      </c>
      <c r="F556" s="33" t="str" cm="1">
        <f t="array" ref="F556">_xlfn.XLOOKUP(1,((SKUs!$A$2:$A$10001=cl_unmerged!B556) * (ISNUMBER(SEARCH("Bead",SKUs!$J$2:$J$10001)))* (ISNUMBER(SEARCH(A556,SKUs!$C$2:$C$10001)))), SKUs!$C$2:$C$10001,"")</f>
        <v/>
      </c>
      <c r="G556" s="16"/>
      <c r="H556" s="16" t="str" cm="1">
        <f t="array" ref="H556">IF(C556&lt;&gt;"", _xlfn.IFS(I556="Height SLI",_xlfn.XLOOKUP(C556,'calc_s90&amp;138'!$C$15:$C$1000,'calc_s90&amp;138'!$AW$15:$AW$1000,"",0), I556="Height FIX",_xlfn.XLOOKUP(C556,'calc_s90&amp;138'!$C$15:$C$1000,'calc_s90&amp;138'!$AY$15:$AY$1000,"",0), I556="Width", _xlfn.XLOOKUP(C556,'calc_s90&amp;138'!$C$15:$C$1000,'calc_s90&amp;138'!$BA$15:$BA$1000,"",0)),"")</f>
        <v/>
      </c>
      <c r="I556" s="16" t="str">
        <f t="shared" si="11"/>
        <v/>
      </c>
    </row>
    <row r="557" spans="1:9" ht="13.5" customHeight="1" x14ac:dyDescent="0.25">
      <c r="A557" s="41" t="str">
        <f>_xlfn.XLOOKUP(G557,dd_color!$A$2:$A$8,dd_color!$B$2:$B$8,"",0)</f>
        <v/>
      </c>
      <c r="B557" s="41">
        <f>_xlfn.XLOOKUP(_xlfn.XLOOKUP(C557,'Project Details'!$C$17:$C$10003,'Project Details'!$E$17:$E$10003, "",0),dd_design_raw!$A$2:$A$9997,dd_design_raw!$C$2:$C$9997,"",0)</f>
        <v>0</v>
      </c>
      <c r="C557" s="16"/>
      <c r="D557" s="16" t="str" cm="1">
        <f t="array" ref="D557">IF(C557&lt;&gt;"", _xlfn.IFS(I557="Height SLI",_xlfn.XLOOKUP(C557,'calc_s90&amp;138'!$C$15:$C$1000,'calc_s90&amp;138'!$AX$15:$AX$1000,"",0),  I557="Height FIX",_xlfn.XLOOKUP(C557,'calc_s90&amp;138'!$C$15:$C$1000,'calc_s90&amp;138'!$AZ$15:$AZ$1000,"",0),  I557="Width", _xlfn.XLOOKUP(C557,'calc_s90&amp;138'!$C$15:$C$1000,'calc_s90&amp;138'!$BB$15:$BB$1000,"",0)),"")</f>
        <v/>
      </c>
      <c r="E557" s="16" t="str" cm="1">
        <f t="array" ref="E557">IF(C557&lt;&gt;"", _xlfn.XLOOKUP(1,((SKUs!$A$2:$A$10001=cl_unmerged!B557) * (ISNUMBER(SEARCH("Bead",SKUs!$J$2:$J$10001)))), SKUs!$J$2:$J$10001,""),"") &amp; IF(C557&lt;&gt;"", " (Sash)","") &amp; _xlfn.IFS(I557="Height", ", H",I557="Height SLI", ", H SLI", I557="Height FIX", ", H FIX",I557="Width", ", W", I557="", "")</f>
        <v/>
      </c>
      <c r="F557" s="33" t="str" cm="1">
        <f t="array" ref="F557">_xlfn.XLOOKUP(1,((SKUs!$A$2:$A$10001=cl_unmerged!B557) * (ISNUMBER(SEARCH("Bead",SKUs!$J$2:$J$10001)))* (ISNUMBER(SEARCH(A557,SKUs!$C$2:$C$10001)))), SKUs!$C$2:$C$10001,"")</f>
        <v/>
      </c>
      <c r="G557" s="16"/>
      <c r="H557" s="16" t="str" cm="1">
        <f t="array" ref="H557">IF(C557&lt;&gt;"", _xlfn.IFS(I557="Height SLI",_xlfn.XLOOKUP(C557,'calc_s90&amp;138'!$C$15:$C$1000,'calc_s90&amp;138'!$AW$15:$AW$1000,"",0), I557="Height FIX",_xlfn.XLOOKUP(C557,'calc_s90&amp;138'!$C$15:$C$1000,'calc_s90&amp;138'!$AY$15:$AY$1000,"",0), I557="Width", _xlfn.XLOOKUP(C557,'calc_s90&amp;138'!$C$15:$C$1000,'calc_s90&amp;138'!$BA$15:$BA$1000,"",0)),"")</f>
        <v/>
      </c>
      <c r="I557" s="16" t="str">
        <f t="shared" si="11"/>
        <v/>
      </c>
    </row>
    <row r="558" spans="1:9" ht="13.5" customHeight="1" x14ac:dyDescent="0.25">
      <c r="A558" s="41" t="str">
        <f>_xlfn.XLOOKUP(G558,dd_color!$A$2:$A$8,dd_color!$B$2:$B$8,"",0)</f>
        <v/>
      </c>
      <c r="B558" s="41">
        <f>_xlfn.XLOOKUP(_xlfn.XLOOKUP(C558,'Project Details'!$C$17:$C$10003,'Project Details'!$E$17:$E$10003, "",0),dd_design_raw!$A$2:$A$9997,dd_design_raw!$C$2:$C$9997,"",0)</f>
        <v>0</v>
      </c>
      <c r="C558" s="16"/>
      <c r="D558" s="16" t="str" cm="1">
        <f t="array" ref="D558">IF(C558&lt;&gt;"", _xlfn.IFS(I558="Height SLI",_xlfn.XLOOKUP(C558,'calc_s90&amp;138'!$C$15:$C$1000,'calc_s90&amp;138'!$AX$15:$AX$1000,"",0),  I558="Height FIX",_xlfn.XLOOKUP(C558,'calc_s90&amp;138'!$C$15:$C$1000,'calc_s90&amp;138'!$AZ$15:$AZ$1000,"",0),  I558="Width", _xlfn.XLOOKUP(C558,'calc_s90&amp;138'!$C$15:$C$1000,'calc_s90&amp;138'!$BB$15:$BB$1000,"",0)),"")</f>
        <v/>
      </c>
      <c r="E558" s="16" t="str" cm="1">
        <f t="array" ref="E558">IF(C558&lt;&gt;"", _xlfn.XLOOKUP(1,((SKUs!$A$2:$A$10001=cl_unmerged!B558) * (ISNUMBER(SEARCH("Bead",SKUs!$J$2:$J$10001)))), SKUs!$J$2:$J$10001,""),"") &amp; IF(C558&lt;&gt;"", " (Sash)","") &amp; _xlfn.IFS(I558="Height", ", H",I558="Height SLI", ", H SLI", I558="Height FIX", ", H FIX",I558="Width", ", W", I558="", "")</f>
        <v/>
      </c>
      <c r="F558" s="33" t="str" cm="1">
        <f t="array" ref="F558">_xlfn.XLOOKUP(1,((SKUs!$A$2:$A$10001=cl_unmerged!B558) * (ISNUMBER(SEARCH("Bead",SKUs!$J$2:$J$10001)))* (ISNUMBER(SEARCH(A558,SKUs!$C$2:$C$10001)))), SKUs!$C$2:$C$10001,"")</f>
        <v/>
      </c>
      <c r="G558" s="16"/>
      <c r="H558" s="16" t="str" cm="1">
        <f t="array" ref="H558">IF(C558&lt;&gt;"", _xlfn.IFS(I558="Height SLI",_xlfn.XLOOKUP(C558,'calc_s90&amp;138'!$C$15:$C$1000,'calc_s90&amp;138'!$AW$15:$AW$1000,"",0), I558="Height FIX",_xlfn.XLOOKUP(C558,'calc_s90&amp;138'!$C$15:$C$1000,'calc_s90&amp;138'!$AY$15:$AY$1000,"",0), I558="Width", _xlfn.XLOOKUP(C558,'calc_s90&amp;138'!$C$15:$C$1000,'calc_s90&amp;138'!$BA$15:$BA$1000,"",0)),"")</f>
        <v/>
      </c>
      <c r="I558" s="16" t="str">
        <f t="shared" si="11"/>
        <v/>
      </c>
    </row>
    <row r="559" spans="1:9" ht="13.5" customHeight="1" x14ac:dyDescent="0.25">
      <c r="A559" s="41" t="str">
        <f>_xlfn.XLOOKUP(G559,dd_color!$A$2:$A$8,dd_color!$B$2:$B$8,"",0)</f>
        <v/>
      </c>
      <c r="B559" s="41">
        <f>_xlfn.XLOOKUP(_xlfn.XLOOKUP(C559,'Project Details'!$C$17:$C$10003,'Project Details'!$E$17:$E$10003, "",0),dd_design_raw!$A$2:$A$9997,dd_design_raw!$C$2:$C$9997,"",0)</f>
        <v>0</v>
      </c>
      <c r="C559" s="16"/>
      <c r="D559" s="16" t="str" cm="1">
        <f t="array" ref="D559">IF(C559&lt;&gt;"", _xlfn.IFS(I559="Height SLI",_xlfn.XLOOKUP(C559,'calc_s90&amp;138'!$C$15:$C$1000,'calc_s90&amp;138'!$AX$15:$AX$1000,"",0),  I559="Height FIX",_xlfn.XLOOKUP(C559,'calc_s90&amp;138'!$C$15:$C$1000,'calc_s90&amp;138'!$AZ$15:$AZ$1000,"",0),  I559="Width", _xlfn.XLOOKUP(C559,'calc_s90&amp;138'!$C$15:$C$1000,'calc_s90&amp;138'!$BB$15:$BB$1000,"",0)),"")</f>
        <v/>
      </c>
      <c r="E559" s="16" t="str" cm="1">
        <f t="array" ref="E559">IF(C559&lt;&gt;"", _xlfn.XLOOKUP(1,((SKUs!$A$2:$A$10001=cl_unmerged!B559) * (ISNUMBER(SEARCH("Bead",SKUs!$J$2:$J$10001)))), SKUs!$J$2:$J$10001,""),"") &amp; IF(C559&lt;&gt;"", " (Sash)","") &amp; _xlfn.IFS(I559="Height", ", H",I559="Height SLI", ", H SLI", I559="Height FIX", ", H FIX",I559="Width", ", W", I559="", "")</f>
        <v/>
      </c>
      <c r="F559" s="33" t="str" cm="1">
        <f t="array" ref="F559">_xlfn.XLOOKUP(1,((SKUs!$A$2:$A$10001=cl_unmerged!B559) * (ISNUMBER(SEARCH("Bead",SKUs!$J$2:$J$10001)))* (ISNUMBER(SEARCH(A559,SKUs!$C$2:$C$10001)))), SKUs!$C$2:$C$10001,"")</f>
        <v/>
      </c>
      <c r="G559" s="16"/>
      <c r="H559" s="16" t="str" cm="1">
        <f t="array" ref="H559">IF(C559&lt;&gt;"", _xlfn.IFS(I559="Height SLI",_xlfn.XLOOKUP(C559,'calc_s90&amp;138'!$C$15:$C$1000,'calc_s90&amp;138'!$AW$15:$AW$1000,"",0), I559="Height FIX",_xlfn.XLOOKUP(C559,'calc_s90&amp;138'!$C$15:$C$1000,'calc_s90&amp;138'!$AY$15:$AY$1000,"",0), I559="Width", _xlfn.XLOOKUP(C559,'calc_s90&amp;138'!$C$15:$C$1000,'calc_s90&amp;138'!$BA$15:$BA$1000,"",0)),"")</f>
        <v/>
      </c>
      <c r="I559" s="16" t="str">
        <f t="shared" si="11"/>
        <v/>
      </c>
    </row>
    <row r="560" spans="1:9" ht="13.5" customHeight="1" x14ac:dyDescent="0.25">
      <c r="A560" s="41" t="str">
        <f>_xlfn.XLOOKUP(G560,dd_color!$A$2:$A$8,dd_color!$B$2:$B$8,"",0)</f>
        <v/>
      </c>
      <c r="B560" s="41">
        <f>_xlfn.XLOOKUP(_xlfn.XLOOKUP(C560,'Project Details'!$C$17:$C$10003,'Project Details'!$E$17:$E$10003, "",0),dd_design_raw!$A$2:$A$9997,dd_design_raw!$C$2:$C$9997,"",0)</f>
        <v>0</v>
      </c>
      <c r="C560" s="16"/>
      <c r="D560" s="16" t="str" cm="1">
        <f t="array" ref="D560">IF(C560&lt;&gt;"", _xlfn.IFS(I560="Height SLI",_xlfn.XLOOKUP(C560,'calc_s90&amp;138'!$C$15:$C$1000,'calc_s90&amp;138'!$AX$15:$AX$1000,"",0),  I560="Height FIX",_xlfn.XLOOKUP(C560,'calc_s90&amp;138'!$C$15:$C$1000,'calc_s90&amp;138'!$AZ$15:$AZ$1000,"",0),  I560="Width", _xlfn.XLOOKUP(C560,'calc_s90&amp;138'!$C$15:$C$1000,'calc_s90&amp;138'!$BB$15:$BB$1000,"",0)),"")</f>
        <v/>
      </c>
      <c r="E560" s="16" t="str" cm="1">
        <f t="array" ref="E560">IF(C560&lt;&gt;"", _xlfn.XLOOKUP(1,((SKUs!$A$2:$A$10001=cl_unmerged!B560) * (ISNUMBER(SEARCH("Bead",SKUs!$J$2:$J$10001)))), SKUs!$J$2:$J$10001,""),"") &amp; IF(C560&lt;&gt;"", " (Sash)","") &amp; _xlfn.IFS(I560="Height", ", H",I560="Height SLI", ", H SLI", I560="Height FIX", ", H FIX",I560="Width", ", W", I560="", "")</f>
        <v/>
      </c>
      <c r="F560" s="33" t="str" cm="1">
        <f t="array" ref="F560">_xlfn.XLOOKUP(1,((SKUs!$A$2:$A$10001=cl_unmerged!B560) * (ISNUMBER(SEARCH("Bead",SKUs!$J$2:$J$10001)))* (ISNUMBER(SEARCH(A560,SKUs!$C$2:$C$10001)))), SKUs!$C$2:$C$10001,"")</f>
        <v/>
      </c>
      <c r="G560" s="16"/>
      <c r="H560" s="16" t="str" cm="1">
        <f t="array" ref="H560">IF(C560&lt;&gt;"", _xlfn.IFS(I560="Height SLI",_xlfn.XLOOKUP(C560,'calc_s90&amp;138'!$C$15:$C$1000,'calc_s90&amp;138'!$AW$15:$AW$1000,"",0), I560="Height FIX",_xlfn.XLOOKUP(C560,'calc_s90&amp;138'!$C$15:$C$1000,'calc_s90&amp;138'!$AY$15:$AY$1000,"",0), I560="Width", _xlfn.XLOOKUP(C560,'calc_s90&amp;138'!$C$15:$C$1000,'calc_s90&amp;138'!$BA$15:$BA$1000,"",0)),"")</f>
        <v/>
      </c>
      <c r="I560" s="16" t="str">
        <f t="shared" si="11"/>
        <v/>
      </c>
    </row>
    <row r="561" spans="1:9" ht="13.5" customHeight="1" x14ac:dyDescent="0.25">
      <c r="A561" s="41" t="str">
        <f>_xlfn.XLOOKUP(G561,dd_color!$A$2:$A$8,dd_color!$B$2:$B$8,"",0)</f>
        <v/>
      </c>
      <c r="B561" s="41">
        <f>_xlfn.XLOOKUP(_xlfn.XLOOKUP(C561,'Project Details'!$C$17:$C$10003,'Project Details'!$E$17:$E$10003, "",0),dd_design_raw!$A$2:$A$9997,dd_design_raw!$C$2:$C$9997,"",0)</f>
        <v>0</v>
      </c>
      <c r="C561" s="16"/>
      <c r="D561" s="16" t="str" cm="1">
        <f t="array" ref="D561">IF(C561&lt;&gt;"", _xlfn.IFS(I561="Height SLI",_xlfn.XLOOKUP(C561,'calc_s90&amp;138'!$C$15:$C$1000,'calc_s90&amp;138'!$AX$15:$AX$1000,"",0),  I561="Height FIX",_xlfn.XLOOKUP(C561,'calc_s90&amp;138'!$C$15:$C$1000,'calc_s90&amp;138'!$AZ$15:$AZ$1000,"",0),  I561="Width", _xlfn.XLOOKUP(C561,'calc_s90&amp;138'!$C$15:$C$1000,'calc_s90&amp;138'!$BB$15:$BB$1000,"",0)),"")</f>
        <v/>
      </c>
      <c r="E561" s="16" t="str" cm="1">
        <f t="array" ref="E561">IF(C561&lt;&gt;"", _xlfn.XLOOKUP(1,((SKUs!$A$2:$A$10001=cl_unmerged!B561) * (ISNUMBER(SEARCH("Bead",SKUs!$J$2:$J$10001)))), SKUs!$J$2:$J$10001,""),"") &amp; IF(C561&lt;&gt;"", " (Sash)","") &amp; _xlfn.IFS(I561="Height", ", H",I561="Height SLI", ", H SLI", I561="Height FIX", ", H FIX",I561="Width", ", W", I561="", "")</f>
        <v/>
      </c>
      <c r="F561" s="33" t="str" cm="1">
        <f t="array" ref="F561">_xlfn.XLOOKUP(1,((SKUs!$A$2:$A$10001=cl_unmerged!B561) * (ISNUMBER(SEARCH("Bead",SKUs!$J$2:$J$10001)))* (ISNUMBER(SEARCH(A561,SKUs!$C$2:$C$10001)))), SKUs!$C$2:$C$10001,"")</f>
        <v/>
      </c>
      <c r="G561" s="16"/>
      <c r="H561" s="16" t="str" cm="1">
        <f t="array" ref="H561">IF(C561&lt;&gt;"", _xlfn.IFS(I561="Height SLI",_xlfn.XLOOKUP(C561,'calc_s90&amp;138'!$C$15:$C$1000,'calc_s90&amp;138'!$AW$15:$AW$1000,"",0), I561="Height FIX",_xlfn.XLOOKUP(C561,'calc_s90&amp;138'!$C$15:$C$1000,'calc_s90&amp;138'!$AY$15:$AY$1000,"",0), I561="Width", _xlfn.XLOOKUP(C561,'calc_s90&amp;138'!$C$15:$C$1000,'calc_s90&amp;138'!$BA$15:$BA$1000,"",0)),"")</f>
        <v/>
      </c>
      <c r="I561" s="16" t="str">
        <f t="shared" si="11"/>
        <v/>
      </c>
    </row>
    <row r="562" spans="1:9" ht="13.5" customHeight="1" x14ac:dyDescent="0.25">
      <c r="A562" s="41" t="str">
        <f>_xlfn.XLOOKUP(G562,dd_color!$A$2:$A$8,dd_color!$B$2:$B$8,"",0)</f>
        <v/>
      </c>
      <c r="B562" s="41">
        <f>_xlfn.XLOOKUP(_xlfn.XLOOKUP(C562,'Project Details'!$C$17:$C$10003,'Project Details'!$E$17:$E$10003, "",0),dd_design_raw!$A$2:$A$9997,dd_design_raw!$C$2:$C$9997,"",0)</f>
        <v>0</v>
      </c>
      <c r="C562" s="16"/>
      <c r="D562" s="16" t="str" cm="1">
        <f t="array" ref="D562">IF(C562&lt;&gt;"", _xlfn.IFS(I562="Height SLI",_xlfn.XLOOKUP(C562,'calc_s90&amp;138'!$C$15:$C$1000,'calc_s90&amp;138'!$AX$15:$AX$1000,"",0),  I562="Height FIX",_xlfn.XLOOKUP(C562,'calc_s90&amp;138'!$C$15:$C$1000,'calc_s90&amp;138'!$AZ$15:$AZ$1000,"",0),  I562="Width", _xlfn.XLOOKUP(C562,'calc_s90&amp;138'!$C$15:$C$1000,'calc_s90&amp;138'!$BB$15:$BB$1000,"",0)),"")</f>
        <v/>
      </c>
      <c r="E562" s="16" t="str" cm="1">
        <f t="array" ref="E562">IF(C562&lt;&gt;"", _xlfn.XLOOKUP(1,((SKUs!$A$2:$A$10001=cl_unmerged!B562) * (ISNUMBER(SEARCH("Bead",SKUs!$J$2:$J$10001)))), SKUs!$J$2:$J$10001,""),"") &amp; IF(C562&lt;&gt;"", " (Sash)","") &amp; _xlfn.IFS(I562="Height", ", H",I562="Height SLI", ", H SLI", I562="Height FIX", ", H FIX",I562="Width", ", W", I562="", "")</f>
        <v/>
      </c>
      <c r="F562" s="33" t="str" cm="1">
        <f t="array" ref="F562">_xlfn.XLOOKUP(1,((SKUs!$A$2:$A$10001=cl_unmerged!B562) * (ISNUMBER(SEARCH("Bead",SKUs!$J$2:$J$10001)))* (ISNUMBER(SEARCH(A562,SKUs!$C$2:$C$10001)))), SKUs!$C$2:$C$10001,"")</f>
        <v/>
      </c>
      <c r="G562" s="16"/>
      <c r="H562" s="16" t="str" cm="1">
        <f t="array" ref="H562">IF(C562&lt;&gt;"", _xlfn.IFS(I562="Height SLI",_xlfn.XLOOKUP(C562,'calc_s90&amp;138'!$C$15:$C$1000,'calc_s90&amp;138'!$AW$15:$AW$1000,"",0), I562="Height FIX",_xlfn.XLOOKUP(C562,'calc_s90&amp;138'!$C$15:$C$1000,'calc_s90&amp;138'!$AY$15:$AY$1000,"",0), I562="Width", _xlfn.XLOOKUP(C562,'calc_s90&amp;138'!$C$15:$C$1000,'calc_s90&amp;138'!$BA$15:$BA$1000,"",0)),"")</f>
        <v/>
      </c>
      <c r="I562" s="16" t="str">
        <f t="shared" si="11"/>
        <v/>
      </c>
    </row>
    <row r="563" spans="1:9" ht="13.5" customHeight="1" x14ac:dyDescent="0.25">
      <c r="A563" s="41" t="str">
        <f>_xlfn.XLOOKUP(G563,dd_color!$A$2:$A$8,dd_color!$B$2:$B$8,"",0)</f>
        <v/>
      </c>
      <c r="B563" s="41">
        <f>_xlfn.XLOOKUP(_xlfn.XLOOKUP(C563,'Project Details'!$C$17:$C$10003,'Project Details'!$E$17:$E$10003, "",0),dd_design_raw!$A$2:$A$9997,dd_design_raw!$C$2:$C$9997,"",0)</f>
        <v>0</v>
      </c>
      <c r="C563" s="16"/>
      <c r="D563" s="16" t="str" cm="1">
        <f t="array" ref="D563">IF(C563&lt;&gt;"", _xlfn.IFS(I563="Height SLI",_xlfn.XLOOKUP(C563,'calc_s90&amp;138'!$C$15:$C$1000,'calc_s90&amp;138'!$AX$15:$AX$1000,"",0),  I563="Height FIX",_xlfn.XLOOKUP(C563,'calc_s90&amp;138'!$C$15:$C$1000,'calc_s90&amp;138'!$AZ$15:$AZ$1000,"",0),  I563="Width", _xlfn.XLOOKUP(C563,'calc_s90&amp;138'!$C$15:$C$1000,'calc_s90&amp;138'!$BB$15:$BB$1000,"",0)),"")</f>
        <v/>
      </c>
      <c r="E563" s="16" t="str" cm="1">
        <f t="array" ref="E563">IF(C563&lt;&gt;"", _xlfn.XLOOKUP(1,((SKUs!$A$2:$A$10001=cl_unmerged!B563) * (ISNUMBER(SEARCH("Bead",SKUs!$J$2:$J$10001)))), SKUs!$J$2:$J$10001,""),"") &amp; IF(C563&lt;&gt;"", " (Sash)","") &amp; _xlfn.IFS(I563="Height", ", H",I563="Height SLI", ", H SLI", I563="Height FIX", ", H FIX",I563="Width", ", W", I563="", "")</f>
        <v/>
      </c>
      <c r="F563" s="33" t="str" cm="1">
        <f t="array" ref="F563">_xlfn.XLOOKUP(1,((SKUs!$A$2:$A$10001=cl_unmerged!B563) * (ISNUMBER(SEARCH("Bead",SKUs!$J$2:$J$10001)))* (ISNUMBER(SEARCH(A563,SKUs!$C$2:$C$10001)))), SKUs!$C$2:$C$10001,"")</f>
        <v/>
      </c>
      <c r="G563" s="16"/>
      <c r="H563" s="16" t="str" cm="1">
        <f t="array" ref="H563">IF(C563&lt;&gt;"", _xlfn.IFS(I563="Height SLI",_xlfn.XLOOKUP(C563,'calc_s90&amp;138'!$C$15:$C$1000,'calc_s90&amp;138'!$AW$15:$AW$1000,"",0), I563="Height FIX",_xlfn.XLOOKUP(C563,'calc_s90&amp;138'!$C$15:$C$1000,'calc_s90&amp;138'!$AY$15:$AY$1000,"",0), I563="Width", _xlfn.XLOOKUP(C563,'calc_s90&amp;138'!$C$15:$C$1000,'calc_s90&amp;138'!$BA$15:$BA$1000,"",0)),"")</f>
        <v/>
      </c>
      <c r="I563" s="16" t="str">
        <f t="shared" si="11"/>
        <v/>
      </c>
    </row>
    <row r="564" spans="1:9" ht="13.5" customHeight="1" x14ac:dyDescent="0.25">
      <c r="A564" s="41" t="str">
        <f>_xlfn.XLOOKUP(G564,dd_color!$A$2:$A$8,dd_color!$B$2:$B$8,"",0)</f>
        <v/>
      </c>
      <c r="B564" s="41">
        <f>_xlfn.XLOOKUP(_xlfn.XLOOKUP(C564,'Project Details'!$C$17:$C$10003,'Project Details'!$E$17:$E$10003, "",0),dd_design_raw!$A$2:$A$9997,dd_design_raw!$C$2:$C$9997,"",0)</f>
        <v>0</v>
      </c>
      <c r="C564" s="16"/>
      <c r="D564" s="16" t="str" cm="1">
        <f t="array" ref="D564">IF(C564&lt;&gt;"", _xlfn.IFS(I564="Height SLI",_xlfn.XLOOKUP(C564,'calc_s90&amp;138'!$C$15:$C$1000,'calc_s90&amp;138'!$AX$15:$AX$1000,"",0),  I564="Height FIX",_xlfn.XLOOKUP(C564,'calc_s90&amp;138'!$C$15:$C$1000,'calc_s90&amp;138'!$AZ$15:$AZ$1000,"",0),  I564="Width", _xlfn.XLOOKUP(C564,'calc_s90&amp;138'!$C$15:$C$1000,'calc_s90&amp;138'!$BB$15:$BB$1000,"",0)),"")</f>
        <v/>
      </c>
      <c r="E564" s="16" t="str" cm="1">
        <f t="array" ref="E564">IF(C564&lt;&gt;"", _xlfn.XLOOKUP(1,((SKUs!$A$2:$A$10001=cl_unmerged!B564) * (ISNUMBER(SEARCH("Bead",SKUs!$J$2:$J$10001)))), SKUs!$J$2:$J$10001,""),"") &amp; IF(C564&lt;&gt;"", " (Sash)","") &amp; _xlfn.IFS(I564="Height", ", H",I564="Height SLI", ", H SLI", I564="Height FIX", ", H FIX",I564="Width", ", W", I564="", "")</f>
        <v/>
      </c>
      <c r="F564" s="33" t="str" cm="1">
        <f t="array" ref="F564">_xlfn.XLOOKUP(1,((SKUs!$A$2:$A$10001=cl_unmerged!B564) * (ISNUMBER(SEARCH("Bead",SKUs!$J$2:$J$10001)))* (ISNUMBER(SEARCH(A564,SKUs!$C$2:$C$10001)))), SKUs!$C$2:$C$10001,"")</f>
        <v/>
      </c>
      <c r="G564" s="16"/>
      <c r="H564" s="16" t="str" cm="1">
        <f t="array" ref="H564">IF(C564&lt;&gt;"", _xlfn.IFS(I564="Height SLI",_xlfn.XLOOKUP(C564,'calc_s90&amp;138'!$C$15:$C$1000,'calc_s90&amp;138'!$AW$15:$AW$1000,"",0), I564="Height FIX",_xlfn.XLOOKUP(C564,'calc_s90&amp;138'!$C$15:$C$1000,'calc_s90&amp;138'!$AY$15:$AY$1000,"",0), I564="Width", _xlfn.XLOOKUP(C564,'calc_s90&amp;138'!$C$15:$C$1000,'calc_s90&amp;138'!$BA$15:$BA$1000,"",0)),"")</f>
        <v/>
      </c>
      <c r="I564" s="16" t="str">
        <f t="shared" si="11"/>
        <v/>
      </c>
    </row>
    <row r="565" spans="1:9" ht="13.5" customHeight="1" x14ac:dyDescent="0.25">
      <c r="A565" s="41" t="str">
        <f>_xlfn.XLOOKUP(G565,dd_color!$A$2:$A$8,dd_color!$B$2:$B$8,"",0)</f>
        <v/>
      </c>
      <c r="B565" s="41">
        <f>_xlfn.XLOOKUP(_xlfn.XLOOKUP(C565,'Project Details'!$C$17:$C$10003,'Project Details'!$E$17:$E$10003, "",0),dd_design_raw!$A$2:$A$9997,dd_design_raw!$C$2:$C$9997,"",0)</f>
        <v>0</v>
      </c>
      <c r="C565" s="16"/>
      <c r="D565" s="16" t="str" cm="1">
        <f t="array" ref="D565">IF(C565&lt;&gt;"", _xlfn.IFS(I565="Height SLI",_xlfn.XLOOKUP(C565,'calc_s90&amp;138'!$C$15:$C$1000,'calc_s90&amp;138'!$AX$15:$AX$1000,"",0),  I565="Height FIX",_xlfn.XLOOKUP(C565,'calc_s90&amp;138'!$C$15:$C$1000,'calc_s90&amp;138'!$AZ$15:$AZ$1000,"",0),  I565="Width", _xlfn.XLOOKUP(C565,'calc_s90&amp;138'!$C$15:$C$1000,'calc_s90&amp;138'!$BB$15:$BB$1000,"",0)),"")</f>
        <v/>
      </c>
      <c r="E565" s="16" t="str" cm="1">
        <f t="array" ref="E565">IF(C565&lt;&gt;"", _xlfn.XLOOKUP(1,((SKUs!$A$2:$A$10001=cl_unmerged!B565) * (ISNUMBER(SEARCH("Bead",SKUs!$J$2:$J$10001)))), SKUs!$J$2:$J$10001,""),"") &amp; IF(C565&lt;&gt;"", " (Sash)","") &amp; _xlfn.IFS(I565="Height", ", H",I565="Height SLI", ", H SLI", I565="Height FIX", ", H FIX",I565="Width", ", W", I565="", "")</f>
        <v/>
      </c>
      <c r="F565" s="33" t="str" cm="1">
        <f t="array" ref="F565">_xlfn.XLOOKUP(1,((SKUs!$A$2:$A$10001=cl_unmerged!B565) * (ISNUMBER(SEARCH("Bead",SKUs!$J$2:$J$10001)))* (ISNUMBER(SEARCH(A565,SKUs!$C$2:$C$10001)))), SKUs!$C$2:$C$10001,"")</f>
        <v/>
      </c>
      <c r="G565" s="16"/>
      <c r="H565" s="16" t="str" cm="1">
        <f t="array" ref="H565">IF(C565&lt;&gt;"", _xlfn.IFS(I565="Height SLI",_xlfn.XLOOKUP(C565,'calc_s90&amp;138'!$C$15:$C$1000,'calc_s90&amp;138'!$AW$15:$AW$1000,"",0), I565="Height FIX",_xlfn.XLOOKUP(C565,'calc_s90&amp;138'!$C$15:$C$1000,'calc_s90&amp;138'!$AY$15:$AY$1000,"",0), I565="Width", _xlfn.XLOOKUP(C565,'calc_s90&amp;138'!$C$15:$C$1000,'calc_s90&amp;138'!$BA$15:$BA$1000,"",0)),"")</f>
        <v/>
      </c>
      <c r="I565" s="16" t="str">
        <f t="shared" si="11"/>
        <v/>
      </c>
    </row>
    <row r="566" spans="1:9" ht="13.5" customHeight="1" x14ac:dyDescent="0.25">
      <c r="A566" s="41" t="str">
        <f>_xlfn.XLOOKUP(G566,dd_color!$A$2:$A$8,dd_color!$B$2:$B$8,"",0)</f>
        <v/>
      </c>
      <c r="B566" s="41">
        <f>_xlfn.XLOOKUP(_xlfn.XLOOKUP(C566,'Project Details'!$C$17:$C$10003,'Project Details'!$E$17:$E$10003, "",0),dd_design_raw!$A$2:$A$9997,dd_design_raw!$C$2:$C$9997,"",0)</f>
        <v>0</v>
      </c>
      <c r="C566" s="16"/>
      <c r="D566" s="16" t="str" cm="1">
        <f t="array" ref="D566">IF(C566&lt;&gt;"", _xlfn.IFS(I566="Height SLI",_xlfn.XLOOKUP(C566,'calc_s90&amp;138'!$C$15:$C$1000,'calc_s90&amp;138'!$AX$15:$AX$1000,"",0),  I566="Height FIX",_xlfn.XLOOKUP(C566,'calc_s90&amp;138'!$C$15:$C$1000,'calc_s90&amp;138'!$AZ$15:$AZ$1000,"",0),  I566="Width", _xlfn.XLOOKUP(C566,'calc_s90&amp;138'!$C$15:$C$1000,'calc_s90&amp;138'!$BB$15:$BB$1000,"",0)),"")</f>
        <v/>
      </c>
      <c r="E566" s="16" t="str" cm="1">
        <f t="array" ref="E566">IF(C566&lt;&gt;"", _xlfn.XLOOKUP(1,((SKUs!$A$2:$A$10001=cl_unmerged!B566) * (ISNUMBER(SEARCH("Bead",SKUs!$J$2:$J$10001)))), SKUs!$J$2:$J$10001,""),"") &amp; IF(C566&lt;&gt;"", " (Sash)","") &amp; _xlfn.IFS(I566="Height", ", H",I566="Height SLI", ", H SLI", I566="Height FIX", ", H FIX",I566="Width", ", W", I566="", "")</f>
        <v/>
      </c>
      <c r="F566" s="33" t="str" cm="1">
        <f t="array" ref="F566">_xlfn.XLOOKUP(1,((SKUs!$A$2:$A$10001=cl_unmerged!B566) * (ISNUMBER(SEARCH("Bead",SKUs!$J$2:$J$10001)))* (ISNUMBER(SEARCH(A566,SKUs!$C$2:$C$10001)))), SKUs!$C$2:$C$10001,"")</f>
        <v/>
      </c>
      <c r="G566" s="16"/>
      <c r="H566" s="16" t="str" cm="1">
        <f t="array" ref="H566">IF(C566&lt;&gt;"", _xlfn.IFS(I566="Height SLI",_xlfn.XLOOKUP(C566,'calc_s90&amp;138'!$C$15:$C$1000,'calc_s90&amp;138'!$AW$15:$AW$1000,"",0), I566="Height FIX",_xlfn.XLOOKUP(C566,'calc_s90&amp;138'!$C$15:$C$1000,'calc_s90&amp;138'!$AY$15:$AY$1000,"",0), I566="Width", _xlfn.XLOOKUP(C566,'calc_s90&amp;138'!$C$15:$C$1000,'calc_s90&amp;138'!$BA$15:$BA$1000,"",0)),"")</f>
        <v/>
      </c>
      <c r="I566" s="16" t="str">
        <f t="shared" si="11"/>
        <v/>
      </c>
    </row>
    <row r="567" spans="1:9" ht="13.5" customHeight="1" x14ac:dyDescent="0.25">
      <c r="A567" s="41" t="str">
        <f>_xlfn.XLOOKUP(G567,dd_color!$A$2:$A$8,dd_color!$B$2:$B$8,"",0)</f>
        <v/>
      </c>
      <c r="B567" s="41">
        <f>_xlfn.XLOOKUP(_xlfn.XLOOKUP(C567,'Project Details'!$C$17:$C$10003,'Project Details'!$E$17:$E$10003, "",0),dd_design_raw!$A$2:$A$9997,dd_design_raw!$C$2:$C$9997,"",0)</f>
        <v>0</v>
      </c>
      <c r="C567" s="16"/>
      <c r="D567" s="16" t="str" cm="1">
        <f t="array" ref="D567">IF(C567&lt;&gt;"", _xlfn.IFS(I567="Height SLI",_xlfn.XLOOKUP(C567,'calc_s90&amp;138'!$C$15:$C$1000,'calc_s90&amp;138'!$AX$15:$AX$1000,"",0),  I567="Height FIX",_xlfn.XLOOKUP(C567,'calc_s90&amp;138'!$C$15:$C$1000,'calc_s90&amp;138'!$AZ$15:$AZ$1000,"",0),  I567="Width", _xlfn.XLOOKUP(C567,'calc_s90&amp;138'!$C$15:$C$1000,'calc_s90&amp;138'!$BB$15:$BB$1000,"",0)),"")</f>
        <v/>
      </c>
      <c r="E567" s="16" t="str" cm="1">
        <f t="array" ref="E567">IF(C567&lt;&gt;"", _xlfn.XLOOKUP(1,((SKUs!$A$2:$A$10001=cl_unmerged!B567) * (ISNUMBER(SEARCH("Bead",SKUs!$J$2:$J$10001)))), SKUs!$J$2:$J$10001,""),"") &amp; IF(C567&lt;&gt;"", " (Sash)","") &amp; _xlfn.IFS(I567="Height", ", H",I567="Height SLI", ", H SLI", I567="Height FIX", ", H FIX",I567="Width", ", W", I567="", "")</f>
        <v/>
      </c>
      <c r="F567" s="33" t="str" cm="1">
        <f t="array" ref="F567">_xlfn.XLOOKUP(1,((SKUs!$A$2:$A$10001=cl_unmerged!B567) * (ISNUMBER(SEARCH("Bead",SKUs!$J$2:$J$10001)))* (ISNUMBER(SEARCH(A567,SKUs!$C$2:$C$10001)))), SKUs!$C$2:$C$10001,"")</f>
        <v/>
      </c>
      <c r="G567" s="16"/>
      <c r="H567" s="16" t="str" cm="1">
        <f t="array" ref="H567">IF(C567&lt;&gt;"", _xlfn.IFS(I567="Height SLI",_xlfn.XLOOKUP(C567,'calc_s90&amp;138'!$C$15:$C$1000,'calc_s90&amp;138'!$AW$15:$AW$1000,"",0), I567="Height FIX",_xlfn.XLOOKUP(C567,'calc_s90&amp;138'!$C$15:$C$1000,'calc_s90&amp;138'!$AY$15:$AY$1000,"",0), I567="Width", _xlfn.XLOOKUP(C567,'calc_s90&amp;138'!$C$15:$C$1000,'calc_s90&amp;138'!$BA$15:$BA$1000,"",0)),"")</f>
        <v/>
      </c>
      <c r="I567" s="16" t="str">
        <f t="shared" si="11"/>
        <v/>
      </c>
    </row>
    <row r="568" spans="1:9" ht="13.5" customHeight="1" x14ac:dyDescent="0.25">
      <c r="A568" s="41" t="str">
        <f>_xlfn.XLOOKUP(G568,dd_color!$A$2:$A$8,dd_color!$B$2:$B$8,"",0)</f>
        <v/>
      </c>
      <c r="B568" s="41">
        <f>_xlfn.XLOOKUP(_xlfn.XLOOKUP(C568,'Project Details'!$C$17:$C$10003,'Project Details'!$E$17:$E$10003, "",0),dd_design_raw!$A$2:$A$9997,dd_design_raw!$C$2:$C$9997,"",0)</f>
        <v>0</v>
      </c>
      <c r="C568" s="16"/>
      <c r="D568" s="16" t="str" cm="1">
        <f t="array" ref="D568">IF(C568&lt;&gt;"", _xlfn.IFS(I568="Height SLI",_xlfn.XLOOKUP(C568,'calc_s90&amp;138'!$C$15:$C$1000,'calc_s90&amp;138'!$AX$15:$AX$1000,"",0),  I568="Height FIX",_xlfn.XLOOKUP(C568,'calc_s90&amp;138'!$C$15:$C$1000,'calc_s90&amp;138'!$AZ$15:$AZ$1000,"",0),  I568="Width", _xlfn.XLOOKUP(C568,'calc_s90&amp;138'!$C$15:$C$1000,'calc_s90&amp;138'!$BB$15:$BB$1000,"",0)),"")</f>
        <v/>
      </c>
      <c r="E568" s="16" t="str" cm="1">
        <f t="array" ref="E568">IF(C568&lt;&gt;"", _xlfn.XLOOKUP(1,((SKUs!$A$2:$A$10001=cl_unmerged!B568) * (ISNUMBER(SEARCH("Bead",SKUs!$J$2:$J$10001)))), SKUs!$J$2:$J$10001,""),"") &amp; IF(C568&lt;&gt;"", " (Sash)","") &amp; _xlfn.IFS(I568="Height", ", H",I568="Height SLI", ", H SLI", I568="Height FIX", ", H FIX",I568="Width", ", W", I568="", "")</f>
        <v/>
      </c>
      <c r="F568" s="33" t="str" cm="1">
        <f t="array" ref="F568">_xlfn.XLOOKUP(1,((SKUs!$A$2:$A$10001=cl_unmerged!B568) * (ISNUMBER(SEARCH("Bead",SKUs!$J$2:$J$10001)))* (ISNUMBER(SEARCH(A568,SKUs!$C$2:$C$10001)))), SKUs!$C$2:$C$10001,"")</f>
        <v/>
      </c>
      <c r="G568" s="16"/>
      <c r="H568" s="16" t="str" cm="1">
        <f t="array" ref="H568">IF(C568&lt;&gt;"", _xlfn.IFS(I568="Height SLI",_xlfn.XLOOKUP(C568,'calc_s90&amp;138'!$C$15:$C$1000,'calc_s90&amp;138'!$AW$15:$AW$1000,"",0), I568="Height FIX",_xlfn.XLOOKUP(C568,'calc_s90&amp;138'!$C$15:$C$1000,'calc_s90&amp;138'!$AY$15:$AY$1000,"",0), I568="Width", _xlfn.XLOOKUP(C568,'calc_s90&amp;138'!$C$15:$C$1000,'calc_s90&amp;138'!$BA$15:$BA$1000,"",0)),"")</f>
        <v/>
      </c>
      <c r="I568" s="16" t="str">
        <f t="shared" si="11"/>
        <v/>
      </c>
    </row>
    <row r="569" spans="1:9" ht="13.5" customHeight="1" x14ac:dyDescent="0.25">
      <c r="A569" s="41" t="str">
        <f>_xlfn.XLOOKUP(G569,dd_color!$A$2:$A$8,dd_color!$B$2:$B$8,"",0)</f>
        <v/>
      </c>
      <c r="B569" s="41">
        <f>_xlfn.XLOOKUP(_xlfn.XLOOKUP(C569,'Project Details'!$C$17:$C$10003,'Project Details'!$E$17:$E$10003, "",0),dd_design_raw!$A$2:$A$9997,dd_design_raw!$C$2:$C$9997,"",0)</f>
        <v>0</v>
      </c>
      <c r="C569" s="16"/>
      <c r="D569" s="16" t="str" cm="1">
        <f t="array" ref="D569">IF(C569&lt;&gt;"", _xlfn.IFS(I569="Height SLI",_xlfn.XLOOKUP(C569,'calc_s90&amp;138'!$C$15:$C$1000,'calc_s90&amp;138'!$AX$15:$AX$1000,"",0),  I569="Height FIX",_xlfn.XLOOKUP(C569,'calc_s90&amp;138'!$C$15:$C$1000,'calc_s90&amp;138'!$AZ$15:$AZ$1000,"",0),  I569="Width", _xlfn.XLOOKUP(C569,'calc_s90&amp;138'!$C$15:$C$1000,'calc_s90&amp;138'!$BB$15:$BB$1000,"",0)),"")</f>
        <v/>
      </c>
      <c r="E569" s="16" t="str" cm="1">
        <f t="array" ref="E569">IF(C569&lt;&gt;"", _xlfn.XLOOKUP(1,((SKUs!$A$2:$A$10001=cl_unmerged!B569) * (ISNUMBER(SEARCH("Bead",SKUs!$J$2:$J$10001)))), SKUs!$J$2:$J$10001,""),"") &amp; IF(C569&lt;&gt;"", " (Sash)","") &amp; _xlfn.IFS(I569="Height", ", H",I569="Height SLI", ", H SLI", I569="Height FIX", ", H FIX",I569="Width", ", W", I569="", "")</f>
        <v/>
      </c>
      <c r="F569" s="33" t="str" cm="1">
        <f t="array" ref="F569">_xlfn.XLOOKUP(1,((SKUs!$A$2:$A$10001=cl_unmerged!B569) * (ISNUMBER(SEARCH("Bead",SKUs!$J$2:$J$10001)))* (ISNUMBER(SEARCH(A569,SKUs!$C$2:$C$10001)))), SKUs!$C$2:$C$10001,"")</f>
        <v/>
      </c>
      <c r="G569" s="16"/>
      <c r="H569" s="16" t="str" cm="1">
        <f t="array" ref="H569">IF(C569&lt;&gt;"", _xlfn.IFS(I569="Height SLI",_xlfn.XLOOKUP(C569,'calc_s90&amp;138'!$C$15:$C$1000,'calc_s90&amp;138'!$AW$15:$AW$1000,"",0), I569="Height FIX",_xlfn.XLOOKUP(C569,'calc_s90&amp;138'!$C$15:$C$1000,'calc_s90&amp;138'!$AY$15:$AY$1000,"",0), I569="Width", _xlfn.XLOOKUP(C569,'calc_s90&amp;138'!$C$15:$C$1000,'calc_s90&amp;138'!$BA$15:$BA$1000,"",0)),"")</f>
        <v/>
      </c>
      <c r="I569" s="16" t="str">
        <f t="shared" si="11"/>
        <v/>
      </c>
    </row>
    <row r="570" spans="1:9" ht="13.5" customHeight="1" x14ac:dyDescent="0.25">
      <c r="A570" s="41" t="str">
        <f>_xlfn.XLOOKUP(G570,dd_color!$A$2:$A$8,dd_color!$B$2:$B$8,"",0)</f>
        <v/>
      </c>
      <c r="B570" s="41">
        <f>_xlfn.XLOOKUP(_xlfn.XLOOKUP(C570,'Project Details'!$C$17:$C$10003,'Project Details'!$E$17:$E$10003, "",0),dd_design_raw!$A$2:$A$9997,dd_design_raw!$C$2:$C$9997,"",0)</f>
        <v>0</v>
      </c>
      <c r="C570" s="16"/>
      <c r="D570" s="16" t="str" cm="1">
        <f t="array" ref="D570">IF(C570&lt;&gt;"", _xlfn.IFS(I570="Height SLI",_xlfn.XLOOKUP(C570,'calc_s90&amp;138'!$C$15:$C$1000,'calc_s90&amp;138'!$AX$15:$AX$1000,"",0),  I570="Height FIX",_xlfn.XLOOKUP(C570,'calc_s90&amp;138'!$C$15:$C$1000,'calc_s90&amp;138'!$AZ$15:$AZ$1000,"",0),  I570="Width", _xlfn.XLOOKUP(C570,'calc_s90&amp;138'!$C$15:$C$1000,'calc_s90&amp;138'!$BB$15:$BB$1000,"",0)),"")</f>
        <v/>
      </c>
      <c r="E570" s="16" t="str" cm="1">
        <f t="array" ref="E570">IF(C570&lt;&gt;"", _xlfn.XLOOKUP(1,((SKUs!$A$2:$A$10001=cl_unmerged!B570) * (ISNUMBER(SEARCH("Bead",SKUs!$J$2:$J$10001)))), SKUs!$J$2:$J$10001,""),"") &amp; IF(C570&lt;&gt;"", " (Sash)","") &amp; _xlfn.IFS(I570="Height", ", H",I570="Height SLI", ", H SLI", I570="Height FIX", ", H FIX",I570="Width", ", W", I570="", "")</f>
        <v/>
      </c>
      <c r="F570" s="33" t="str" cm="1">
        <f t="array" ref="F570">_xlfn.XLOOKUP(1,((SKUs!$A$2:$A$10001=cl_unmerged!B570) * (ISNUMBER(SEARCH("Bead",SKUs!$J$2:$J$10001)))* (ISNUMBER(SEARCH(A570,SKUs!$C$2:$C$10001)))), SKUs!$C$2:$C$10001,"")</f>
        <v/>
      </c>
      <c r="G570" s="16"/>
      <c r="H570" s="16" t="str" cm="1">
        <f t="array" ref="H570">IF(C570&lt;&gt;"", _xlfn.IFS(I570="Height SLI",_xlfn.XLOOKUP(C570,'calc_s90&amp;138'!$C$15:$C$1000,'calc_s90&amp;138'!$AW$15:$AW$1000,"",0), I570="Height FIX",_xlfn.XLOOKUP(C570,'calc_s90&amp;138'!$C$15:$C$1000,'calc_s90&amp;138'!$AY$15:$AY$1000,"",0), I570="Width", _xlfn.XLOOKUP(C570,'calc_s90&amp;138'!$C$15:$C$1000,'calc_s90&amp;138'!$BA$15:$BA$1000,"",0)),"")</f>
        <v/>
      </c>
      <c r="I570" s="16" t="str">
        <f t="shared" si="11"/>
        <v/>
      </c>
    </row>
    <row r="571" spans="1:9" ht="13.5" customHeight="1" x14ac:dyDescent="0.25">
      <c r="A571" s="41" t="str">
        <f>_xlfn.XLOOKUP(G571,dd_color!$A$2:$A$8,dd_color!$B$2:$B$8,"",0)</f>
        <v/>
      </c>
      <c r="B571" s="41">
        <f>_xlfn.XLOOKUP(_xlfn.XLOOKUP(C571,'Project Details'!$C$17:$C$10003,'Project Details'!$E$17:$E$10003, "",0),dd_design_raw!$A$2:$A$9997,dd_design_raw!$C$2:$C$9997,"",0)</f>
        <v>0</v>
      </c>
      <c r="C571" s="16"/>
      <c r="D571" s="16" t="str" cm="1">
        <f t="array" ref="D571">IF(C571&lt;&gt;"", _xlfn.IFS(I571="Height SLI",_xlfn.XLOOKUP(C571,'calc_s90&amp;138'!$C$15:$C$1000,'calc_s90&amp;138'!$AX$15:$AX$1000,"",0),  I571="Height FIX",_xlfn.XLOOKUP(C571,'calc_s90&amp;138'!$C$15:$C$1000,'calc_s90&amp;138'!$AZ$15:$AZ$1000,"",0),  I571="Width", _xlfn.XLOOKUP(C571,'calc_s90&amp;138'!$C$15:$C$1000,'calc_s90&amp;138'!$BB$15:$BB$1000,"",0)),"")</f>
        <v/>
      </c>
      <c r="E571" s="16" t="str" cm="1">
        <f t="array" ref="E571">IF(C571&lt;&gt;"", _xlfn.XLOOKUP(1,((SKUs!$A$2:$A$10001=cl_unmerged!B571) * (ISNUMBER(SEARCH("Bead",SKUs!$J$2:$J$10001)))), SKUs!$J$2:$J$10001,""),"") &amp; IF(C571&lt;&gt;"", " (Sash)","") &amp; _xlfn.IFS(I571="Height", ", H",I571="Height SLI", ", H SLI", I571="Height FIX", ", H FIX",I571="Width", ", W", I571="", "")</f>
        <v/>
      </c>
      <c r="F571" s="33" t="str" cm="1">
        <f t="array" ref="F571">_xlfn.XLOOKUP(1,((SKUs!$A$2:$A$10001=cl_unmerged!B571) * (ISNUMBER(SEARCH("Bead",SKUs!$J$2:$J$10001)))* (ISNUMBER(SEARCH(A571,SKUs!$C$2:$C$10001)))), SKUs!$C$2:$C$10001,"")</f>
        <v/>
      </c>
      <c r="G571" s="16"/>
      <c r="H571" s="16" t="str" cm="1">
        <f t="array" ref="H571">IF(C571&lt;&gt;"", _xlfn.IFS(I571="Height SLI",_xlfn.XLOOKUP(C571,'calc_s90&amp;138'!$C$15:$C$1000,'calc_s90&amp;138'!$AW$15:$AW$1000,"",0), I571="Height FIX",_xlfn.XLOOKUP(C571,'calc_s90&amp;138'!$C$15:$C$1000,'calc_s90&amp;138'!$AY$15:$AY$1000,"",0), I571="Width", _xlfn.XLOOKUP(C571,'calc_s90&amp;138'!$C$15:$C$1000,'calc_s90&amp;138'!$BA$15:$BA$1000,"",0)),"")</f>
        <v/>
      </c>
      <c r="I571" s="16" t="str">
        <f t="shared" si="11"/>
        <v/>
      </c>
    </row>
    <row r="572" spans="1:9" ht="13.5" customHeight="1" x14ac:dyDescent="0.25">
      <c r="A572" s="41" t="str">
        <f>_xlfn.XLOOKUP(G572,dd_color!$A$2:$A$8,dd_color!$B$2:$B$8,"",0)</f>
        <v/>
      </c>
      <c r="B572" s="41">
        <f>_xlfn.XLOOKUP(_xlfn.XLOOKUP(C572,'Project Details'!$C$17:$C$10003,'Project Details'!$E$17:$E$10003, "",0),dd_design_raw!$A$2:$A$9997,dd_design_raw!$C$2:$C$9997,"",0)</f>
        <v>0</v>
      </c>
      <c r="C572" s="16"/>
      <c r="D572" s="16" t="str" cm="1">
        <f t="array" ref="D572">IF(C572&lt;&gt;"", _xlfn.IFS(I572="Height SLI",_xlfn.XLOOKUP(C572,'calc_s90&amp;138'!$C$15:$C$1000,'calc_s90&amp;138'!$AX$15:$AX$1000,"",0),  I572="Height FIX",_xlfn.XLOOKUP(C572,'calc_s90&amp;138'!$C$15:$C$1000,'calc_s90&amp;138'!$AZ$15:$AZ$1000,"",0),  I572="Width", _xlfn.XLOOKUP(C572,'calc_s90&amp;138'!$C$15:$C$1000,'calc_s90&amp;138'!$BB$15:$BB$1000,"",0)),"")</f>
        <v/>
      </c>
      <c r="E572" s="16" t="str" cm="1">
        <f t="array" ref="E572">IF(C572&lt;&gt;"", _xlfn.XLOOKUP(1,((SKUs!$A$2:$A$10001=cl_unmerged!B572) * (ISNUMBER(SEARCH("Bead",SKUs!$J$2:$J$10001)))), SKUs!$J$2:$J$10001,""),"") &amp; IF(C572&lt;&gt;"", " (Sash)","") &amp; _xlfn.IFS(I572="Height", ", H",I572="Height SLI", ", H SLI", I572="Height FIX", ", H FIX",I572="Width", ", W", I572="", "")</f>
        <v/>
      </c>
      <c r="F572" s="33" t="str" cm="1">
        <f t="array" ref="F572">_xlfn.XLOOKUP(1,((SKUs!$A$2:$A$10001=cl_unmerged!B572) * (ISNUMBER(SEARCH("Bead",SKUs!$J$2:$J$10001)))* (ISNUMBER(SEARCH(A572,SKUs!$C$2:$C$10001)))), SKUs!$C$2:$C$10001,"")</f>
        <v/>
      </c>
      <c r="G572" s="16"/>
      <c r="H572" s="16" t="str" cm="1">
        <f t="array" ref="H572">IF(C572&lt;&gt;"", _xlfn.IFS(I572="Height SLI",_xlfn.XLOOKUP(C572,'calc_s90&amp;138'!$C$15:$C$1000,'calc_s90&amp;138'!$AW$15:$AW$1000,"",0), I572="Height FIX",_xlfn.XLOOKUP(C572,'calc_s90&amp;138'!$C$15:$C$1000,'calc_s90&amp;138'!$AY$15:$AY$1000,"",0), I572="Width", _xlfn.XLOOKUP(C572,'calc_s90&amp;138'!$C$15:$C$1000,'calc_s90&amp;138'!$BA$15:$BA$1000,"",0)),"")</f>
        <v/>
      </c>
      <c r="I572" s="16" t="str">
        <f t="shared" si="11"/>
        <v/>
      </c>
    </row>
    <row r="573" spans="1:9" ht="13.5" customHeight="1" x14ac:dyDescent="0.25">
      <c r="A573" s="41" t="str">
        <f>_xlfn.XLOOKUP(G573,dd_color!$A$2:$A$8,dd_color!$B$2:$B$8,"",0)</f>
        <v/>
      </c>
      <c r="B573" s="41">
        <f>_xlfn.XLOOKUP(_xlfn.XLOOKUP(C573,'Project Details'!$C$17:$C$10003,'Project Details'!$E$17:$E$10003, "",0),dd_design_raw!$A$2:$A$9997,dd_design_raw!$C$2:$C$9997,"",0)</f>
        <v>0</v>
      </c>
      <c r="C573" s="16"/>
      <c r="D573" s="16" t="str" cm="1">
        <f t="array" ref="D573">IF(C573&lt;&gt;"", _xlfn.IFS(I573="Height SLI",_xlfn.XLOOKUP(C573,'calc_s90&amp;138'!$C$15:$C$1000,'calc_s90&amp;138'!$AX$15:$AX$1000,"",0),  I573="Height FIX",_xlfn.XLOOKUP(C573,'calc_s90&amp;138'!$C$15:$C$1000,'calc_s90&amp;138'!$AZ$15:$AZ$1000,"",0),  I573="Width", _xlfn.XLOOKUP(C573,'calc_s90&amp;138'!$C$15:$C$1000,'calc_s90&amp;138'!$BB$15:$BB$1000,"",0)),"")</f>
        <v/>
      </c>
      <c r="E573" s="16" t="str" cm="1">
        <f t="array" ref="E573">IF(C573&lt;&gt;"", _xlfn.XLOOKUP(1,((SKUs!$A$2:$A$10001=cl_unmerged!B573) * (ISNUMBER(SEARCH("Bead",SKUs!$J$2:$J$10001)))), SKUs!$J$2:$J$10001,""),"") &amp; IF(C573&lt;&gt;"", " (Sash)","") &amp; _xlfn.IFS(I573="Height", ", H",I573="Height SLI", ", H SLI", I573="Height FIX", ", H FIX",I573="Width", ", W", I573="", "")</f>
        <v/>
      </c>
      <c r="F573" s="33" t="str" cm="1">
        <f t="array" ref="F573">_xlfn.XLOOKUP(1,((SKUs!$A$2:$A$10001=cl_unmerged!B573) * (ISNUMBER(SEARCH("Bead",SKUs!$J$2:$J$10001)))* (ISNUMBER(SEARCH(A573,SKUs!$C$2:$C$10001)))), SKUs!$C$2:$C$10001,"")</f>
        <v/>
      </c>
      <c r="G573" s="16"/>
      <c r="H573" s="16" t="str" cm="1">
        <f t="array" ref="H573">IF(C573&lt;&gt;"", _xlfn.IFS(I573="Height SLI",_xlfn.XLOOKUP(C573,'calc_s90&amp;138'!$C$15:$C$1000,'calc_s90&amp;138'!$AW$15:$AW$1000,"",0), I573="Height FIX",_xlfn.XLOOKUP(C573,'calc_s90&amp;138'!$C$15:$C$1000,'calc_s90&amp;138'!$AY$15:$AY$1000,"",0), I573="Width", _xlfn.XLOOKUP(C573,'calc_s90&amp;138'!$C$15:$C$1000,'calc_s90&amp;138'!$BA$15:$BA$1000,"",0)),"")</f>
        <v/>
      </c>
      <c r="I573" s="16" t="str">
        <f t="shared" si="11"/>
        <v/>
      </c>
    </row>
    <row r="574" spans="1:9" ht="13.5" customHeight="1" x14ac:dyDescent="0.25">
      <c r="A574" s="41" t="str">
        <f>_xlfn.XLOOKUP(G574,dd_color!$A$2:$A$8,dd_color!$B$2:$B$8,"",0)</f>
        <v/>
      </c>
      <c r="B574" s="41">
        <f>_xlfn.XLOOKUP(_xlfn.XLOOKUP(C574,'Project Details'!$C$17:$C$10003,'Project Details'!$E$17:$E$10003, "",0),dd_design_raw!$A$2:$A$9997,dd_design_raw!$C$2:$C$9997,"",0)</f>
        <v>0</v>
      </c>
      <c r="C574" s="16"/>
      <c r="D574" s="16" t="str" cm="1">
        <f t="array" ref="D574">IF(C574&lt;&gt;"", _xlfn.IFS(I574="Height SLI",_xlfn.XLOOKUP(C574,'calc_s90&amp;138'!$C$15:$C$1000,'calc_s90&amp;138'!$AX$15:$AX$1000,"",0),  I574="Height FIX",_xlfn.XLOOKUP(C574,'calc_s90&amp;138'!$C$15:$C$1000,'calc_s90&amp;138'!$AZ$15:$AZ$1000,"",0),  I574="Width", _xlfn.XLOOKUP(C574,'calc_s90&amp;138'!$C$15:$C$1000,'calc_s90&amp;138'!$BB$15:$BB$1000,"",0)),"")</f>
        <v/>
      </c>
      <c r="E574" s="16" t="str" cm="1">
        <f t="array" ref="E574">IF(C574&lt;&gt;"", _xlfn.XLOOKUP(1,((SKUs!$A$2:$A$10001=cl_unmerged!B574) * (ISNUMBER(SEARCH("Bead",SKUs!$J$2:$J$10001)))), SKUs!$J$2:$J$10001,""),"") &amp; IF(C574&lt;&gt;"", " (Sash)","") &amp; _xlfn.IFS(I574="Height", ", H",I574="Height SLI", ", H SLI", I574="Height FIX", ", H FIX",I574="Width", ", W", I574="", "")</f>
        <v/>
      </c>
      <c r="F574" s="33" t="str" cm="1">
        <f t="array" ref="F574">_xlfn.XLOOKUP(1,((SKUs!$A$2:$A$10001=cl_unmerged!B574) * (ISNUMBER(SEARCH("Bead",SKUs!$J$2:$J$10001)))* (ISNUMBER(SEARCH(A574,SKUs!$C$2:$C$10001)))), SKUs!$C$2:$C$10001,"")</f>
        <v/>
      </c>
      <c r="G574" s="16"/>
      <c r="H574" s="16" t="str" cm="1">
        <f t="array" ref="H574">IF(C574&lt;&gt;"", _xlfn.IFS(I574="Height SLI",_xlfn.XLOOKUP(C574,'calc_s90&amp;138'!$C$15:$C$1000,'calc_s90&amp;138'!$AW$15:$AW$1000,"",0), I574="Height FIX",_xlfn.XLOOKUP(C574,'calc_s90&amp;138'!$C$15:$C$1000,'calc_s90&amp;138'!$AY$15:$AY$1000,"",0), I574="Width", _xlfn.XLOOKUP(C574,'calc_s90&amp;138'!$C$15:$C$1000,'calc_s90&amp;138'!$BA$15:$BA$1000,"",0)),"")</f>
        <v/>
      </c>
      <c r="I574" s="16" t="str">
        <f t="shared" si="11"/>
        <v/>
      </c>
    </row>
    <row r="575" spans="1:9" ht="13.5" customHeight="1" x14ac:dyDescent="0.25">
      <c r="A575" s="41" t="str">
        <f>_xlfn.XLOOKUP(G575,dd_color!$A$2:$A$8,dd_color!$B$2:$B$8,"",0)</f>
        <v/>
      </c>
      <c r="B575" s="41">
        <f>_xlfn.XLOOKUP(_xlfn.XLOOKUP(C575,'Project Details'!$C$17:$C$10003,'Project Details'!$E$17:$E$10003, "",0),dd_design_raw!$A$2:$A$9997,dd_design_raw!$C$2:$C$9997,"",0)</f>
        <v>0</v>
      </c>
      <c r="C575" s="16"/>
      <c r="D575" s="16" t="str" cm="1">
        <f t="array" ref="D575">IF(C575&lt;&gt;"", _xlfn.IFS(I575="Height SLI",_xlfn.XLOOKUP(C575,'calc_s90&amp;138'!$C$15:$C$1000,'calc_s90&amp;138'!$AX$15:$AX$1000,"",0),  I575="Height FIX",_xlfn.XLOOKUP(C575,'calc_s90&amp;138'!$C$15:$C$1000,'calc_s90&amp;138'!$AZ$15:$AZ$1000,"",0),  I575="Width", _xlfn.XLOOKUP(C575,'calc_s90&amp;138'!$C$15:$C$1000,'calc_s90&amp;138'!$BB$15:$BB$1000,"",0)),"")</f>
        <v/>
      </c>
      <c r="E575" s="16" t="str" cm="1">
        <f t="array" ref="E575">IF(C575&lt;&gt;"", _xlfn.XLOOKUP(1,((SKUs!$A$2:$A$10001=cl_unmerged!B575) * (ISNUMBER(SEARCH("Bead",SKUs!$J$2:$J$10001)))), SKUs!$J$2:$J$10001,""),"") &amp; IF(C575&lt;&gt;"", " (Sash)","") &amp; _xlfn.IFS(I575="Height", ", H",I575="Height SLI", ", H SLI", I575="Height FIX", ", H FIX",I575="Width", ", W", I575="", "")</f>
        <v/>
      </c>
      <c r="F575" s="33" t="str" cm="1">
        <f t="array" ref="F575">_xlfn.XLOOKUP(1,((SKUs!$A$2:$A$10001=cl_unmerged!B575) * (ISNUMBER(SEARCH("Bead",SKUs!$J$2:$J$10001)))* (ISNUMBER(SEARCH(A575,SKUs!$C$2:$C$10001)))), SKUs!$C$2:$C$10001,"")</f>
        <v/>
      </c>
      <c r="G575" s="16"/>
      <c r="H575" s="16" t="str" cm="1">
        <f t="array" ref="H575">IF(C575&lt;&gt;"", _xlfn.IFS(I575="Height SLI",_xlfn.XLOOKUP(C575,'calc_s90&amp;138'!$C$15:$C$1000,'calc_s90&amp;138'!$AW$15:$AW$1000,"",0), I575="Height FIX",_xlfn.XLOOKUP(C575,'calc_s90&amp;138'!$C$15:$C$1000,'calc_s90&amp;138'!$AY$15:$AY$1000,"",0), I575="Width", _xlfn.XLOOKUP(C575,'calc_s90&amp;138'!$C$15:$C$1000,'calc_s90&amp;138'!$BA$15:$BA$1000,"",0)),"")</f>
        <v/>
      </c>
      <c r="I575" s="16" t="str">
        <f t="shared" si="11"/>
        <v/>
      </c>
    </row>
    <row r="576" spans="1:9" ht="13.5" customHeight="1" x14ac:dyDescent="0.25">
      <c r="A576" s="41" t="str">
        <f>_xlfn.XLOOKUP(G576,dd_color!$A$2:$A$8,dd_color!$B$2:$B$8,"",0)</f>
        <v/>
      </c>
      <c r="B576" s="41">
        <f>_xlfn.XLOOKUP(_xlfn.XLOOKUP(C576,'Project Details'!$C$17:$C$10003,'Project Details'!$E$17:$E$10003, "",0),dd_design_raw!$A$2:$A$9997,dd_design_raw!$C$2:$C$9997,"",0)</f>
        <v>0</v>
      </c>
      <c r="C576" s="16"/>
      <c r="D576" s="16" t="str" cm="1">
        <f t="array" ref="D576">IF(C576&lt;&gt;"", _xlfn.IFS(I576="Height SLI",_xlfn.XLOOKUP(C576,'calc_s90&amp;138'!$C$15:$C$1000,'calc_s90&amp;138'!$AX$15:$AX$1000,"",0),  I576="Height FIX",_xlfn.XLOOKUP(C576,'calc_s90&amp;138'!$C$15:$C$1000,'calc_s90&amp;138'!$AZ$15:$AZ$1000,"",0),  I576="Width", _xlfn.XLOOKUP(C576,'calc_s90&amp;138'!$C$15:$C$1000,'calc_s90&amp;138'!$BB$15:$BB$1000,"",0)),"")</f>
        <v/>
      </c>
      <c r="E576" s="16" t="str" cm="1">
        <f t="array" ref="E576">IF(C576&lt;&gt;"", _xlfn.XLOOKUP(1,((SKUs!$A$2:$A$10001=cl_unmerged!B576) * (ISNUMBER(SEARCH("Bead",SKUs!$J$2:$J$10001)))), SKUs!$J$2:$J$10001,""),"") &amp; IF(C576&lt;&gt;"", " (Sash)","") &amp; _xlfn.IFS(I576="Height", ", H",I576="Height SLI", ", H SLI", I576="Height FIX", ", H FIX",I576="Width", ", W", I576="", "")</f>
        <v/>
      </c>
      <c r="F576" s="33" t="str" cm="1">
        <f t="array" ref="F576">_xlfn.XLOOKUP(1,((SKUs!$A$2:$A$10001=cl_unmerged!B576) * (ISNUMBER(SEARCH("Bead",SKUs!$J$2:$J$10001)))* (ISNUMBER(SEARCH(A576,SKUs!$C$2:$C$10001)))), SKUs!$C$2:$C$10001,"")</f>
        <v/>
      </c>
      <c r="G576" s="16"/>
      <c r="H576" s="16" t="str" cm="1">
        <f t="array" ref="H576">IF(C576&lt;&gt;"", _xlfn.IFS(I576="Height SLI",_xlfn.XLOOKUP(C576,'calc_s90&amp;138'!$C$15:$C$1000,'calc_s90&amp;138'!$AW$15:$AW$1000,"",0), I576="Height FIX",_xlfn.XLOOKUP(C576,'calc_s90&amp;138'!$C$15:$C$1000,'calc_s90&amp;138'!$AY$15:$AY$1000,"",0), I576="Width", _xlfn.XLOOKUP(C576,'calc_s90&amp;138'!$C$15:$C$1000,'calc_s90&amp;138'!$BA$15:$BA$1000,"",0)),"")</f>
        <v/>
      </c>
      <c r="I576" s="16" t="str">
        <f t="shared" si="11"/>
        <v/>
      </c>
    </row>
    <row r="577" spans="1:9" ht="13.5" customHeight="1" x14ac:dyDescent="0.25">
      <c r="A577" s="41" t="str">
        <f>_xlfn.XLOOKUP(G577,dd_color!$A$2:$A$8,dd_color!$B$2:$B$8,"",0)</f>
        <v/>
      </c>
      <c r="B577" s="41">
        <f>_xlfn.XLOOKUP(_xlfn.XLOOKUP(C577,'Project Details'!$C$17:$C$10003,'Project Details'!$E$17:$E$10003, "",0),dd_design_raw!$A$2:$A$9997,dd_design_raw!$C$2:$C$9997,"",0)</f>
        <v>0</v>
      </c>
      <c r="C577" s="16"/>
      <c r="D577" s="16" t="str" cm="1">
        <f t="array" ref="D577">IF(C577&lt;&gt;"", _xlfn.IFS(I577="Height SLI",_xlfn.XLOOKUP(C577,'calc_s90&amp;138'!$C$15:$C$1000,'calc_s90&amp;138'!$AX$15:$AX$1000,"",0),  I577="Height FIX",_xlfn.XLOOKUP(C577,'calc_s90&amp;138'!$C$15:$C$1000,'calc_s90&amp;138'!$AZ$15:$AZ$1000,"",0),  I577="Width", _xlfn.XLOOKUP(C577,'calc_s90&amp;138'!$C$15:$C$1000,'calc_s90&amp;138'!$BB$15:$BB$1000,"",0)),"")</f>
        <v/>
      </c>
      <c r="E577" s="16" t="str" cm="1">
        <f t="array" ref="E577">IF(C577&lt;&gt;"", _xlfn.XLOOKUP(1,((SKUs!$A$2:$A$10001=cl_unmerged!B577) * (ISNUMBER(SEARCH("Bead",SKUs!$J$2:$J$10001)))), SKUs!$J$2:$J$10001,""),"") &amp; IF(C577&lt;&gt;"", " (Sash)","") &amp; _xlfn.IFS(I577="Height", ", H",I577="Height SLI", ", H SLI", I577="Height FIX", ", H FIX",I577="Width", ", W", I577="", "")</f>
        <v/>
      </c>
      <c r="F577" s="33" t="str" cm="1">
        <f t="array" ref="F577">_xlfn.XLOOKUP(1,((SKUs!$A$2:$A$10001=cl_unmerged!B577) * (ISNUMBER(SEARCH("Bead",SKUs!$J$2:$J$10001)))* (ISNUMBER(SEARCH(A577,SKUs!$C$2:$C$10001)))), SKUs!$C$2:$C$10001,"")</f>
        <v/>
      </c>
      <c r="G577" s="16"/>
      <c r="H577" s="16" t="str" cm="1">
        <f t="array" ref="H577">IF(C577&lt;&gt;"", _xlfn.IFS(I577="Height SLI",_xlfn.XLOOKUP(C577,'calc_s90&amp;138'!$C$15:$C$1000,'calc_s90&amp;138'!$AW$15:$AW$1000,"",0), I577="Height FIX",_xlfn.XLOOKUP(C577,'calc_s90&amp;138'!$C$15:$C$1000,'calc_s90&amp;138'!$AY$15:$AY$1000,"",0), I577="Width", _xlfn.XLOOKUP(C577,'calc_s90&amp;138'!$C$15:$C$1000,'calc_s90&amp;138'!$BA$15:$BA$1000,"",0)),"")</f>
        <v/>
      </c>
      <c r="I577" s="16" t="str">
        <f t="shared" si="11"/>
        <v/>
      </c>
    </row>
    <row r="578" spans="1:9" ht="13.5" customHeight="1" x14ac:dyDescent="0.25">
      <c r="A578" s="41" t="str">
        <f>_xlfn.XLOOKUP(G578,dd_color!$A$2:$A$8,dd_color!$B$2:$B$8,"",0)</f>
        <v/>
      </c>
      <c r="B578" s="41">
        <f>_xlfn.XLOOKUP(_xlfn.XLOOKUP(C578,'Project Details'!$C$17:$C$10003,'Project Details'!$E$17:$E$10003, "",0),dd_design_raw!$A$2:$A$9997,dd_design_raw!$C$2:$C$9997,"",0)</f>
        <v>0</v>
      </c>
      <c r="C578" s="16"/>
      <c r="D578" s="16" t="str" cm="1">
        <f t="array" ref="D578">IF(C578&lt;&gt;"", _xlfn.IFS(I578="Height SLI",_xlfn.XLOOKUP(C578,'calc_s90&amp;138'!$C$15:$C$1000,'calc_s90&amp;138'!$AX$15:$AX$1000,"",0),  I578="Height FIX",_xlfn.XLOOKUP(C578,'calc_s90&amp;138'!$C$15:$C$1000,'calc_s90&amp;138'!$AZ$15:$AZ$1000,"",0),  I578="Width", _xlfn.XLOOKUP(C578,'calc_s90&amp;138'!$C$15:$C$1000,'calc_s90&amp;138'!$BB$15:$BB$1000,"",0)),"")</f>
        <v/>
      </c>
      <c r="E578" s="16" t="str" cm="1">
        <f t="array" ref="E578">IF(C578&lt;&gt;"", _xlfn.XLOOKUP(1,((SKUs!$A$2:$A$10001=cl_unmerged!B578) * (ISNUMBER(SEARCH("Bead",SKUs!$J$2:$J$10001)))), SKUs!$J$2:$J$10001,""),"") &amp; IF(C578&lt;&gt;"", " (Sash)","") &amp; _xlfn.IFS(I578="Height", ", H",I578="Height SLI", ", H SLI", I578="Height FIX", ", H FIX",I578="Width", ", W", I578="", "")</f>
        <v/>
      </c>
      <c r="F578" s="33" t="str" cm="1">
        <f t="array" ref="F578">_xlfn.XLOOKUP(1,((SKUs!$A$2:$A$10001=cl_unmerged!B578) * (ISNUMBER(SEARCH("Bead",SKUs!$J$2:$J$10001)))* (ISNUMBER(SEARCH(A578,SKUs!$C$2:$C$10001)))), SKUs!$C$2:$C$10001,"")</f>
        <v/>
      </c>
      <c r="G578" s="16"/>
      <c r="H578" s="16" t="str" cm="1">
        <f t="array" ref="H578">IF(C578&lt;&gt;"", _xlfn.IFS(I578="Height SLI",_xlfn.XLOOKUP(C578,'calc_s90&amp;138'!$C$15:$C$1000,'calc_s90&amp;138'!$AW$15:$AW$1000,"",0), I578="Height FIX",_xlfn.XLOOKUP(C578,'calc_s90&amp;138'!$C$15:$C$1000,'calc_s90&amp;138'!$AY$15:$AY$1000,"",0), I578="Width", _xlfn.XLOOKUP(C578,'calc_s90&amp;138'!$C$15:$C$1000,'calc_s90&amp;138'!$BA$15:$BA$1000,"",0)),"")</f>
        <v/>
      </c>
      <c r="I578" s="16" t="str">
        <f t="shared" si="11"/>
        <v/>
      </c>
    </row>
    <row r="579" spans="1:9" ht="13.5" customHeight="1" x14ac:dyDescent="0.25">
      <c r="A579" s="41" t="str">
        <f>_xlfn.XLOOKUP(G579,dd_color!$A$2:$A$8,dd_color!$B$2:$B$8,"",0)</f>
        <v/>
      </c>
      <c r="B579" s="41">
        <f>_xlfn.XLOOKUP(_xlfn.XLOOKUP(C579,'Project Details'!$C$17:$C$10003,'Project Details'!$E$17:$E$10003, "",0),dd_design_raw!$A$2:$A$9997,dd_design_raw!$C$2:$C$9997,"",0)</f>
        <v>0</v>
      </c>
      <c r="C579" s="16"/>
      <c r="D579" s="16" t="str" cm="1">
        <f t="array" ref="D579">IF(C579&lt;&gt;"", _xlfn.IFS(I579="Height SLI",_xlfn.XLOOKUP(C579,'calc_s90&amp;138'!$C$15:$C$1000,'calc_s90&amp;138'!$AX$15:$AX$1000,"",0),  I579="Height FIX",_xlfn.XLOOKUP(C579,'calc_s90&amp;138'!$C$15:$C$1000,'calc_s90&amp;138'!$AZ$15:$AZ$1000,"",0),  I579="Width", _xlfn.XLOOKUP(C579,'calc_s90&amp;138'!$C$15:$C$1000,'calc_s90&amp;138'!$BB$15:$BB$1000,"",0)),"")</f>
        <v/>
      </c>
      <c r="E579" s="16" t="str" cm="1">
        <f t="array" ref="E579">IF(C579&lt;&gt;"", _xlfn.XLOOKUP(1,((SKUs!$A$2:$A$10001=cl_unmerged!B579) * (ISNUMBER(SEARCH("Bead",SKUs!$J$2:$J$10001)))), SKUs!$J$2:$J$10001,""),"") &amp; IF(C579&lt;&gt;"", " (Sash)","") &amp; _xlfn.IFS(I579="Height", ", H",I579="Height SLI", ", H SLI", I579="Height FIX", ", H FIX",I579="Width", ", W", I579="", "")</f>
        <v/>
      </c>
      <c r="F579" s="33" t="str" cm="1">
        <f t="array" ref="F579">_xlfn.XLOOKUP(1,((SKUs!$A$2:$A$10001=cl_unmerged!B579) * (ISNUMBER(SEARCH("Bead",SKUs!$J$2:$J$10001)))* (ISNUMBER(SEARCH(A579,SKUs!$C$2:$C$10001)))), SKUs!$C$2:$C$10001,"")</f>
        <v/>
      </c>
      <c r="G579" s="16"/>
      <c r="H579" s="16" t="str" cm="1">
        <f t="array" ref="H579">IF(C579&lt;&gt;"", _xlfn.IFS(I579="Height SLI",_xlfn.XLOOKUP(C579,'calc_s90&amp;138'!$C$15:$C$1000,'calc_s90&amp;138'!$AW$15:$AW$1000,"",0), I579="Height FIX",_xlfn.XLOOKUP(C579,'calc_s90&amp;138'!$C$15:$C$1000,'calc_s90&amp;138'!$AY$15:$AY$1000,"",0), I579="Width", _xlfn.XLOOKUP(C579,'calc_s90&amp;138'!$C$15:$C$1000,'calc_s90&amp;138'!$BA$15:$BA$1000,"",0)),"")</f>
        <v/>
      </c>
      <c r="I579" s="16" t="str">
        <f t="shared" si="11"/>
        <v/>
      </c>
    </row>
    <row r="580" spans="1:9" ht="13.5" customHeight="1" x14ac:dyDescent="0.25">
      <c r="A580" s="41" t="str">
        <f>_xlfn.XLOOKUP(G580,dd_color!$A$2:$A$8,dd_color!$B$2:$B$8,"",0)</f>
        <v/>
      </c>
      <c r="B580" s="41">
        <f>_xlfn.XLOOKUP(_xlfn.XLOOKUP(C580,'Project Details'!$C$17:$C$10003,'Project Details'!$E$17:$E$10003, "",0),dd_design_raw!$A$2:$A$9997,dd_design_raw!$C$2:$C$9997,"",0)</f>
        <v>0</v>
      </c>
      <c r="C580" s="16"/>
      <c r="D580" s="16" t="str" cm="1">
        <f t="array" ref="D580">IF(C580&lt;&gt;"", _xlfn.IFS(I580="Height SLI",_xlfn.XLOOKUP(C580,'calc_s90&amp;138'!$C$15:$C$1000,'calc_s90&amp;138'!$AX$15:$AX$1000,"",0),  I580="Height FIX",_xlfn.XLOOKUP(C580,'calc_s90&amp;138'!$C$15:$C$1000,'calc_s90&amp;138'!$AZ$15:$AZ$1000,"",0),  I580="Width", _xlfn.XLOOKUP(C580,'calc_s90&amp;138'!$C$15:$C$1000,'calc_s90&amp;138'!$BB$15:$BB$1000,"",0)),"")</f>
        <v/>
      </c>
      <c r="E580" s="16" t="str" cm="1">
        <f t="array" ref="E580">IF(C580&lt;&gt;"", _xlfn.XLOOKUP(1,((SKUs!$A$2:$A$10001=cl_unmerged!B580) * (ISNUMBER(SEARCH("Bead",SKUs!$J$2:$J$10001)))), SKUs!$J$2:$J$10001,""),"") &amp; IF(C580&lt;&gt;"", " (Sash)","") &amp; _xlfn.IFS(I580="Height", ", H",I580="Height SLI", ", H SLI", I580="Height FIX", ", H FIX",I580="Width", ", W", I580="", "")</f>
        <v/>
      </c>
      <c r="F580" s="33" t="str" cm="1">
        <f t="array" ref="F580">_xlfn.XLOOKUP(1,((SKUs!$A$2:$A$10001=cl_unmerged!B580) * (ISNUMBER(SEARCH("Bead",SKUs!$J$2:$J$10001)))* (ISNUMBER(SEARCH(A580,SKUs!$C$2:$C$10001)))), SKUs!$C$2:$C$10001,"")</f>
        <v/>
      </c>
      <c r="G580" s="16"/>
      <c r="H580" s="16" t="str" cm="1">
        <f t="array" ref="H580">IF(C580&lt;&gt;"", _xlfn.IFS(I580="Height SLI",_xlfn.XLOOKUP(C580,'calc_s90&amp;138'!$C$15:$C$1000,'calc_s90&amp;138'!$AW$15:$AW$1000,"",0), I580="Height FIX",_xlfn.XLOOKUP(C580,'calc_s90&amp;138'!$C$15:$C$1000,'calc_s90&amp;138'!$AY$15:$AY$1000,"",0), I580="Width", _xlfn.XLOOKUP(C580,'calc_s90&amp;138'!$C$15:$C$1000,'calc_s90&amp;138'!$BA$15:$BA$1000,"",0)),"")</f>
        <v/>
      </c>
      <c r="I580" s="16" t="str">
        <f t="shared" si="11"/>
        <v/>
      </c>
    </row>
    <row r="581" spans="1:9" ht="13.5" customHeight="1" x14ac:dyDescent="0.25">
      <c r="A581" s="41" t="str">
        <f>_xlfn.XLOOKUP(G581,dd_color!$A$2:$A$8,dd_color!$B$2:$B$8,"",0)</f>
        <v/>
      </c>
      <c r="B581" s="41">
        <f>_xlfn.XLOOKUP(_xlfn.XLOOKUP(C581,'Project Details'!$C$17:$C$10003,'Project Details'!$E$17:$E$10003, "",0),dd_design_raw!$A$2:$A$9997,dd_design_raw!$C$2:$C$9997,"",0)</f>
        <v>0</v>
      </c>
      <c r="C581" s="16"/>
      <c r="D581" s="16" t="str" cm="1">
        <f t="array" ref="D581">IF(C581&lt;&gt;"", _xlfn.IFS(I581="Height SLI",_xlfn.XLOOKUP(C581,'calc_s90&amp;138'!$C$15:$C$1000,'calc_s90&amp;138'!$AX$15:$AX$1000,"",0),  I581="Height FIX",_xlfn.XLOOKUP(C581,'calc_s90&amp;138'!$C$15:$C$1000,'calc_s90&amp;138'!$AZ$15:$AZ$1000,"",0),  I581="Width", _xlfn.XLOOKUP(C581,'calc_s90&amp;138'!$C$15:$C$1000,'calc_s90&amp;138'!$BB$15:$BB$1000,"",0)),"")</f>
        <v/>
      </c>
      <c r="E581" s="16" t="str" cm="1">
        <f t="array" ref="E581">IF(C581&lt;&gt;"", _xlfn.XLOOKUP(1,((SKUs!$A$2:$A$10001=cl_unmerged!B581) * (ISNUMBER(SEARCH("Bead",SKUs!$J$2:$J$10001)))), SKUs!$J$2:$J$10001,""),"") &amp; IF(C581&lt;&gt;"", " (Sash)","") &amp; _xlfn.IFS(I581="Height", ", H",I581="Height SLI", ", H SLI", I581="Height FIX", ", H FIX",I581="Width", ", W", I581="", "")</f>
        <v/>
      </c>
      <c r="F581" s="33" t="str" cm="1">
        <f t="array" ref="F581">_xlfn.XLOOKUP(1,((SKUs!$A$2:$A$10001=cl_unmerged!B581) * (ISNUMBER(SEARCH("Bead",SKUs!$J$2:$J$10001)))* (ISNUMBER(SEARCH(A581,SKUs!$C$2:$C$10001)))), SKUs!$C$2:$C$10001,"")</f>
        <v/>
      </c>
      <c r="G581" s="16"/>
      <c r="H581" s="16" t="str" cm="1">
        <f t="array" ref="H581">IF(C581&lt;&gt;"", _xlfn.IFS(I581="Height SLI",_xlfn.XLOOKUP(C581,'calc_s90&amp;138'!$C$15:$C$1000,'calc_s90&amp;138'!$AW$15:$AW$1000,"",0), I581="Height FIX",_xlfn.XLOOKUP(C581,'calc_s90&amp;138'!$C$15:$C$1000,'calc_s90&amp;138'!$AY$15:$AY$1000,"",0), I581="Width", _xlfn.XLOOKUP(C581,'calc_s90&amp;138'!$C$15:$C$1000,'calc_s90&amp;138'!$BA$15:$BA$1000,"",0)),"")</f>
        <v/>
      </c>
      <c r="I581" s="16" t="str">
        <f t="shared" si="11"/>
        <v/>
      </c>
    </row>
    <row r="582" spans="1:9" ht="13.5" customHeight="1" x14ac:dyDescent="0.25">
      <c r="A582" s="41" t="str">
        <f>_xlfn.XLOOKUP(G582,dd_color!$A$2:$A$8,dd_color!$B$2:$B$8,"",0)</f>
        <v/>
      </c>
      <c r="B582" s="41">
        <f>_xlfn.XLOOKUP(_xlfn.XLOOKUP(C582,'Project Details'!$C$17:$C$10003,'Project Details'!$E$17:$E$10003, "",0),dd_design_raw!$A$2:$A$9997,dd_design_raw!$C$2:$C$9997,"",0)</f>
        <v>0</v>
      </c>
      <c r="C582" s="16"/>
      <c r="D582" s="16" t="str" cm="1">
        <f t="array" ref="D582">IF(C582&lt;&gt;"", _xlfn.IFS(I582="Height SLI",_xlfn.XLOOKUP(C582,'calc_s90&amp;138'!$C$15:$C$1000,'calc_s90&amp;138'!$AX$15:$AX$1000,"",0),  I582="Height FIX",_xlfn.XLOOKUP(C582,'calc_s90&amp;138'!$C$15:$C$1000,'calc_s90&amp;138'!$AZ$15:$AZ$1000,"",0),  I582="Width", _xlfn.XLOOKUP(C582,'calc_s90&amp;138'!$C$15:$C$1000,'calc_s90&amp;138'!$BB$15:$BB$1000,"",0)),"")</f>
        <v/>
      </c>
      <c r="E582" s="16" t="str" cm="1">
        <f t="array" ref="E582">IF(C582&lt;&gt;"", _xlfn.XLOOKUP(1,((SKUs!$A$2:$A$10001=cl_unmerged!B582) * (ISNUMBER(SEARCH("Bead",SKUs!$J$2:$J$10001)))), SKUs!$J$2:$J$10001,""),"") &amp; IF(C582&lt;&gt;"", " (Sash)","") &amp; _xlfn.IFS(I582="Height", ", H",I582="Height SLI", ", H SLI", I582="Height FIX", ", H FIX",I582="Width", ", W", I582="", "")</f>
        <v/>
      </c>
      <c r="F582" s="33" t="str" cm="1">
        <f t="array" ref="F582">_xlfn.XLOOKUP(1,((SKUs!$A$2:$A$10001=cl_unmerged!B582) * (ISNUMBER(SEARCH("Bead",SKUs!$J$2:$J$10001)))* (ISNUMBER(SEARCH(A582,SKUs!$C$2:$C$10001)))), SKUs!$C$2:$C$10001,"")</f>
        <v/>
      </c>
      <c r="G582" s="16"/>
      <c r="H582" s="16" t="str" cm="1">
        <f t="array" ref="H582">IF(C582&lt;&gt;"", _xlfn.IFS(I582="Height SLI",_xlfn.XLOOKUP(C582,'calc_s90&amp;138'!$C$15:$C$1000,'calc_s90&amp;138'!$AW$15:$AW$1000,"",0), I582="Height FIX",_xlfn.XLOOKUP(C582,'calc_s90&amp;138'!$C$15:$C$1000,'calc_s90&amp;138'!$AY$15:$AY$1000,"",0), I582="Width", _xlfn.XLOOKUP(C582,'calc_s90&amp;138'!$C$15:$C$1000,'calc_s90&amp;138'!$BA$15:$BA$1000,"",0)),"")</f>
        <v/>
      </c>
      <c r="I582" s="16" t="str">
        <f t="shared" si="11"/>
        <v/>
      </c>
    </row>
    <row r="583" spans="1:9" ht="13.5" customHeight="1" x14ac:dyDescent="0.25">
      <c r="A583" s="41" t="str">
        <f>_xlfn.XLOOKUP(G583,dd_color!$A$2:$A$8,dd_color!$B$2:$B$8,"",0)</f>
        <v/>
      </c>
      <c r="B583" s="41">
        <f>_xlfn.XLOOKUP(_xlfn.XLOOKUP(C583,'Project Details'!$C$17:$C$10003,'Project Details'!$E$17:$E$10003, "",0),dd_design_raw!$A$2:$A$9997,dd_design_raw!$C$2:$C$9997,"",0)</f>
        <v>0</v>
      </c>
      <c r="C583" s="16"/>
      <c r="D583" s="16" t="str" cm="1">
        <f t="array" ref="D583">IF(C583&lt;&gt;"", _xlfn.IFS(I583="Height SLI",_xlfn.XLOOKUP(C583,'calc_s90&amp;138'!$C$15:$C$1000,'calc_s90&amp;138'!$AX$15:$AX$1000,"",0),  I583="Height FIX",_xlfn.XLOOKUP(C583,'calc_s90&amp;138'!$C$15:$C$1000,'calc_s90&amp;138'!$AZ$15:$AZ$1000,"",0),  I583="Width", _xlfn.XLOOKUP(C583,'calc_s90&amp;138'!$C$15:$C$1000,'calc_s90&amp;138'!$BB$15:$BB$1000,"",0)),"")</f>
        <v/>
      </c>
      <c r="E583" s="16" t="str" cm="1">
        <f t="array" ref="E583">IF(C583&lt;&gt;"", _xlfn.XLOOKUP(1,((SKUs!$A$2:$A$10001=cl_unmerged!B583) * (ISNUMBER(SEARCH("Bead",SKUs!$J$2:$J$10001)))), SKUs!$J$2:$J$10001,""),"") &amp; IF(C583&lt;&gt;"", " (Sash)","") &amp; _xlfn.IFS(I583="Height", ", H",I583="Height SLI", ", H SLI", I583="Height FIX", ", H FIX",I583="Width", ", W", I583="", "")</f>
        <v/>
      </c>
      <c r="F583" s="33" t="str" cm="1">
        <f t="array" ref="F583">_xlfn.XLOOKUP(1,((SKUs!$A$2:$A$10001=cl_unmerged!B583) * (ISNUMBER(SEARCH("Bead",SKUs!$J$2:$J$10001)))* (ISNUMBER(SEARCH(A583,SKUs!$C$2:$C$10001)))), SKUs!$C$2:$C$10001,"")</f>
        <v/>
      </c>
      <c r="G583" s="16"/>
      <c r="H583" s="16" t="str" cm="1">
        <f t="array" ref="H583">IF(C583&lt;&gt;"", _xlfn.IFS(I583="Height SLI",_xlfn.XLOOKUP(C583,'calc_s90&amp;138'!$C$15:$C$1000,'calc_s90&amp;138'!$AW$15:$AW$1000,"",0), I583="Height FIX",_xlfn.XLOOKUP(C583,'calc_s90&amp;138'!$C$15:$C$1000,'calc_s90&amp;138'!$AY$15:$AY$1000,"",0), I583="Width", _xlfn.XLOOKUP(C583,'calc_s90&amp;138'!$C$15:$C$1000,'calc_s90&amp;138'!$BA$15:$BA$1000,"",0)),"")</f>
        <v/>
      </c>
      <c r="I583" s="16" t="str">
        <f t="shared" si="11"/>
        <v/>
      </c>
    </row>
    <row r="584" spans="1:9" ht="13.5" customHeight="1" x14ac:dyDescent="0.25">
      <c r="A584" s="41" t="str">
        <f>_xlfn.XLOOKUP(G584,dd_color!$A$2:$A$8,dd_color!$B$2:$B$8,"",0)</f>
        <v/>
      </c>
      <c r="B584" s="41">
        <f>_xlfn.XLOOKUP(_xlfn.XLOOKUP(C584,'Project Details'!$C$17:$C$10003,'Project Details'!$E$17:$E$10003, "",0),dd_design_raw!$A$2:$A$9997,dd_design_raw!$C$2:$C$9997,"",0)</f>
        <v>0</v>
      </c>
      <c r="C584" s="16"/>
      <c r="D584" s="16" t="str" cm="1">
        <f t="array" ref="D584">IF(C584&lt;&gt;"", _xlfn.IFS(I584="Height SLI",_xlfn.XLOOKUP(C584,'calc_s90&amp;138'!$C$15:$C$1000,'calc_s90&amp;138'!$AX$15:$AX$1000,"",0),  I584="Height FIX",_xlfn.XLOOKUP(C584,'calc_s90&amp;138'!$C$15:$C$1000,'calc_s90&amp;138'!$AZ$15:$AZ$1000,"",0),  I584="Width", _xlfn.XLOOKUP(C584,'calc_s90&amp;138'!$C$15:$C$1000,'calc_s90&amp;138'!$BB$15:$BB$1000,"",0)),"")</f>
        <v/>
      </c>
      <c r="E584" s="16" t="str" cm="1">
        <f t="array" ref="E584">IF(C584&lt;&gt;"", _xlfn.XLOOKUP(1,((SKUs!$A$2:$A$10001=cl_unmerged!B584) * (ISNUMBER(SEARCH("Bead",SKUs!$J$2:$J$10001)))), SKUs!$J$2:$J$10001,""),"") &amp; IF(C584&lt;&gt;"", " (Sash)","") &amp; _xlfn.IFS(I584="Height", ", H",I584="Height SLI", ", H SLI", I584="Height FIX", ", H FIX",I584="Width", ", W", I584="", "")</f>
        <v/>
      </c>
      <c r="F584" s="33" t="str" cm="1">
        <f t="array" ref="F584">_xlfn.XLOOKUP(1,((SKUs!$A$2:$A$10001=cl_unmerged!B584) * (ISNUMBER(SEARCH("Bead",SKUs!$J$2:$J$10001)))* (ISNUMBER(SEARCH(A584,SKUs!$C$2:$C$10001)))), SKUs!$C$2:$C$10001,"")</f>
        <v/>
      </c>
      <c r="G584" s="16"/>
      <c r="H584" s="16" t="str" cm="1">
        <f t="array" ref="H584">IF(C584&lt;&gt;"", _xlfn.IFS(I584="Height SLI",_xlfn.XLOOKUP(C584,'calc_s90&amp;138'!$C$15:$C$1000,'calc_s90&amp;138'!$AW$15:$AW$1000,"",0), I584="Height FIX",_xlfn.XLOOKUP(C584,'calc_s90&amp;138'!$C$15:$C$1000,'calc_s90&amp;138'!$AY$15:$AY$1000,"",0), I584="Width", _xlfn.XLOOKUP(C584,'calc_s90&amp;138'!$C$15:$C$1000,'calc_s90&amp;138'!$BA$15:$BA$1000,"",0)),"")</f>
        <v/>
      </c>
      <c r="I584" s="16" t="str">
        <f t="shared" si="11"/>
        <v/>
      </c>
    </row>
    <row r="585" spans="1:9" ht="13.5" customHeight="1" x14ac:dyDescent="0.25">
      <c r="A585" s="41" t="str">
        <f>_xlfn.XLOOKUP(G585,dd_color!$A$2:$A$8,dd_color!$B$2:$B$8,"",0)</f>
        <v/>
      </c>
      <c r="B585" s="41">
        <f>_xlfn.XLOOKUP(_xlfn.XLOOKUP(C585,'Project Details'!$C$17:$C$10003,'Project Details'!$E$17:$E$10003, "",0),dd_design_raw!$A$2:$A$9997,dd_design_raw!$C$2:$C$9997,"",0)</f>
        <v>0</v>
      </c>
      <c r="C585" s="16"/>
      <c r="D585" s="16" t="str" cm="1">
        <f t="array" ref="D585">IF(C585&lt;&gt;"", _xlfn.IFS(I585="Height SLI",_xlfn.XLOOKUP(C585,'calc_s90&amp;138'!$C$15:$C$1000,'calc_s90&amp;138'!$AX$15:$AX$1000,"",0),  I585="Height FIX",_xlfn.XLOOKUP(C585,'calc_s90&amp;138'!$C$15:$C$1000,'calc_s90&amp;138'!$AZ$15:$AZ$1000,"",0),  I585="Width", _xlfn.XLOOKUP(C585,'calc_s90&amp;138'!$C$15:$C$1000,'calc_s90&amp;138'!$BB$15:$BB$1000,"",0)),"")</f>
        <v/>
      </c>
      <c r="E585" s="16" t="str" cm="1">
        <f t="array" ref="E585">IF(C585&lt;&gt;"", _xlfn.XLOOKUP(1,((SKUs!$A$2:$A$10001=cl_unmerged!B585) * (ISNUMBER(SEARCH("Bead",SKUs!$J$2:$J$10001)))), SKUs!$J$2:$J$10001,""),"") &amp; IF(C585&lt;&gt;"", " (Sash)","") &amp; _xlfn.IFS(I585="Height", ", H",I585="Height SLI", ", H SLI", I585="Height FIX", ", H FIX",I585="Width", ", W", I585="", "")</f>
        <v/>
      </c>
      <c r="F585" s="33" t="str" cm="1">
        <f t="array" ref="F585">_xlfn.XLOOKUP(1,((SKUs!$A$2:$A$10001=cl_unmerged!B585) * (ISNUMBER(SEARCH("Bead",SKUs!$J$2:$J$10001)))* (ISNUMBER(SEARCH(A585,SKUs!$C$2:$C$10001)))), SKUs!$C$2:$C$10001,"")</f>
        <v/>
      </c>
      <c r="G585" s="16"/>
      <c r="H585" s="16" t="str" cm="1">
        <f t="array" ref="H585">IF(C585&lt;&gt;"", _xlfn.IFS(I585="Height SLI",_xlfn.XLOOKUP(C585,'calc_s90&amp;138'!$C$15:$C$1000,'calc_s90&amp;138'!$AW$15:$AW$1000,"",0), I585="Height FIX",_xlfn.XLOOKUP(C585,'calc_s90&amp;138'!$C$15:$C$1000,'calc_s90&amp;138'!$AY$15:$AY$1000,"",0), I585="Width", _xlfn.XLOOKUP(C585,'calc_s90&amp;138'!$C$15:$C$1000,'calc_s90&amp;138'!$BA$15:$BA$1000,"",0)),"")</f>
        <v/>
      </c>
      <c r="I585" s="16" t="str">
        <f t="shared" si="11"/>
        <v/>
      </c>
    </row>
    <row r="586" spans="1:9" ht="13.5" customHeight="1" x14ac:dyDescent="0.25">
      <c r="A586" s="41" t="str">
        <f>_xlfn.XLOOKUP(G586,dd_color!$A$2:$A$8,dd_color!$B$2:$B$8,"",0)</f>
        <v/>
      </c>
      <c r="B586" s="41">
        <f>_xlfn.XLOOKUP(_xlfn.XLOOKUP(C586,'Project Details'!$C$17:$C$10003,'Project Details'!$E$17:$E$10003, "",0),dd_design_raw!$A$2:$A$9997,dd_design_raw!$C$2:$C$9997,"",0)</f>
        <v>0</v>
      </c>
      <c r="C586" s="16"/>
      <c r="D586" s="16" t="str" cm="1">
        <f t="array" ref="D586">IF(C586&lt;&gt;"", _xlfn.IFS(I586="Height SLI",_xlfn.XLOOKUP(C586,'calc_s90&amp;138'!$C$15:$C$1000,'calc_s90&amp;138'!$AX$15:$AX$1000,"",0),  I586="Height FIX",_xlfn.XLOOKUP(C586,'calc_s90&amp;138'!$C$15:$C$1000,'calc_s90&amp;138'!$AZ$15:$AZ$1000,"",0),  I586="Width", _xlfn.XLOOKUP(C586,'calc_s90&amp;138'!$C$15:$C$1000,'calc_s90&amp;138'!$BB$15:$BB$1000,"",0)),"")</f>
        <v/>
      </c>
      <c r="E586" s="16" t="str" cm="1">
        <f t="array" ref="E586">IF(C586&lt;&gt;"", _xlfn.XLOOKUP(1,((SKUs!$A$2:$A$10001=cl_unmerged!B586) * (ISNUMBER(SEARCH("Bead",SKUs!$J$2:$J$10001)))), SKUs!$J$2:$J$10001,""),"") &amp; IF(C586&lt;&gt;"", " (Sash)","") &amp; _xlfn.IFS(I586="Height", ", H",I586="Height SLI", ", H SLI", I586="Height FIX", ", H FIX",I586="Width", ", W", I586="", "")</f>
        <v/>
      </c>
      <c r="F586" s="33" t="str" cm="1">
        <f t="array" ref="F586">_xlfn.XLOOKUP(1,((SKUs!$A$2:$A$10001=cl_unmerged!B586) * (ISNUMBER(SEARCH("Bead",SKUs!$J$2:$J$10001)))* (ISNUMBER(SEARCH(A586,SKUs!$C$2:$C$10001)))), SKUs!$C$2:$C$10001,"")</f>
        <v/>
      </c>
      <c r="G586" s="16"/>
      <c r="H586" s="16" t="str" cm="1">
        <f t="array" ref="H586">IF(C586&lt;&gt;"", _xlfn.IFS(I586="Height SLI",_xlfn.XLOOKUP(C586,'calc_s90&amp;138'!$C$15:$C$1000,'calc_s90&amp;138'!$AW$15:$AW$1000,"",0), I586="Height FIX",_xlfn.XLOOKUP(C586,'calc_s90&amp;138'!$C$15:$C$1000,'calc_s90&amp;138'!$AY$15:$AY$1000,"",0), I586="Width", _xlfn.XLOOKUP(C586,'calc_s90&amp;138'!$C$15:$C$1000,'calc_s90&amp;138'!$BA$15:$BA$1000,"",0)),"")</f>
        <v/>
      </c>
      <c r="I586" s="16" t="str">
        <f t="shared" si="11"/>
        <v/>
      </c>
    </row>
    <row r="587" spans="1:9" ht="13.5" customHeight="1" x14ac:dyDescent="0.25">
      <c r="A587" s="41" t="str">
        <f>_xlfn.XLOOKUP(G587,dd_color!$A$2:$A$8,dd_color!$B$2:$B$8,"",0)</f>
        <v/>
      </c>
      <c r="B587" s="41">
        <f>_xlfn.XLOOKUP(_xlfn.XLOOKUP(C587,'Project Details'!$C$17:$C$10003,'Project Details'!$E$17:$E$10003, "",0),dd_design_raw!$A$2:$A$9997,dd_design_raw!$C$2:$C$9997,"",0)</f>
        <v>0</v>
      </c>
      <c r="C587" s="16"/>
      <c r="D587" s="16" t="str" cm="1">
        <f t="array" ref="D587">IF(C587&lt;&gt;"", _xlfn.IFS(I587="Height SLI",_xlfn.XLOOKUP(C587,'calc_s90&amp;138'!$C$15:$C$1000,'calc_s90&amp;138'!$AX$15:$AX$1000,"",0),  I587="Height FIX",_xlfn.XLOOKUP(C587,'calc_s90&amp;138'!$C$15:$C$1000,'calc_s90&amp;138'!$AZ$15:$AZ$1000,"",0),  I587="Width", _xlfn.XLOOKUP(C587,'calc_s90&amp;138'!$C$15:$C$1000,'calc_s90&amp;138'!$BB$15:$BB$1000,"",0)),"")</f>
        <v/>
      </c>
      <c r="E587" s="16" t="str" cm="1">
        <f t="array" ref="E587">IF(C587&lt;&gt;"", _xlfn.XLOOKUP(1,((SKUs!$A$2:$A$10001=cl_unmerged!B587) * (ISNUMBER(SEARCH("Bead",SKUs!$J$2:$J$10001)))), SKUs!$J$2:$J$10001,""),"") &amp; IF(C587&lt;&gt;"", " (Sash)","") &amp; _xlfn.IFS(I587="Height", ", H",I587="Height SLI", ", H SLI", I587="Height FIX", ", H FIX",I587="Width", ", W", I587="", "")</f>
        <v/>
      </c>
      <c r="F587" s="33" t="str" cm="1">
        <f t="array" ref="F587">_xlfn.XLOOKUP(1,((SKUs!$A$2:$A$10001=cl_unmerged!B587) * (ISNUMBER(SEARCH("Bead",SKUs!$J$2:$J$10001)))* (ISNUMBER(SEARCH(A587,SKUs!$C$2:$C$10001)))), SKUs!$C$2:$C$10001,"")</f>
        <v/>
      </c>
      <c r="G587" s="16"/>
      <c r="H587" s="16" t="str" cm="1">
        <f t="array" ref="H587">IF(C587&lt;&gt;"", _xlfn.IFS(I587="Height SLI",_xlfn.XLOOKUP(C587,'calc_s90&amp;138'!$C$15:$C$1000,'calc_s90&amp;138'!$AW$15:$AW$1000,"",0), I587="Height FIX",_xlfn.XLOOKUP(C587,'calc_s90&amp;138'!$C$15:$C$1000,'calc_s90&amp;138'!$AY$15:$AY$1000,"",0), I587="Width", _xlfn.XLOOKUP(C587,'calc_s90&amp;138'!$C$15:$C$1000,'calc_s90&amp;138'!$BA$15:$BA$1000,"",0)),"")</f>
        <v/>
      </c>
      <c r="I587" s="16" t="str">
        <f t="shared" si="11"/>
        <v/>
      </c>
    </row>
    <row r="588" spans="1:9" ht="13.5" customHeight="1" x14ac:dyDescent="0.25">
      <c r="A588" s="41" t="str">
        <f>_xlfn.XLOOKUP(G588,dd_color!$A$2:$A$8,dd_color!$B$2:$B$8,"",0)</f>
        <v/>
      </c>
      <c r="B588" s="41">
        <f>_xlfn.XLOOKUP(_xlfn.XLOOKUP(C588,'Project Details'!$C$17:$C$10003,'Project Details'!$E$17:$E$10003, "",0),dd_design_raw!$A$2:$A$9997,dd_design_raw!$C$2:$C$9997,"",0)</f>
        <v>0</v>
      </c>
      <c r="C588" s="16"/>
      <c r="D588" s="16" t="str" cm="1">
        <f t="array" ref="D588">IF(C588&lt;&gt;"", _xlfn.IFS(I588="Height SLI",_xlfn.XLOOKUP(C588,'calc_s90&amp;138'!$C$15:$C$1000,'calc_s90&amp;138'!$AX$15:$AX$1000,"",0),  I588="Height FIX",_xlfn.XLOOKUP(C588,'calc_s90&amp;138'!$C$15:$C$1000,'calc_s90&amp;138'!$AZ$15:$AZ$1000,"",0),  I588="Width", _xlfn.XLOOKUP(C588,'calc_s90&amp;138'!$C$15:$C$1000,'calc_s90&amp;138'!$BB$15:$BB$1000,"",0)),"")</f>
        <v/>
      </c>
      <c r="E588" s="16" t="str" cm="1">
        <f t="array" ref="E588">IF(C588&lt;&gt;"", _xlfn.XLOOKUP(1,((SKUs!$A$2:$A$10001=cl_unmerged!B588) * (ISNUMBER(SEARCH("Bead",SKUs!$J$2:$J$10001)))), SKUs!$J$2:$J$10001,""),"") &amp; IF(C588&lt;&gt;"", " (Sash)","") &amp; _xlfn.IFS(I588="Height", ", H",I588="Height SLI", ", H SLI", I588="Height FIX", ", H FIX",I588="Width", ", W", I588="", "")</f>
        <v/>
      </c>
      <c r="F588" s="33" t="str" cm="1">
        <f t="array" ref="F588">_xlfn.XLOOKUP(1,((SKUs!$A$2:$A$10001=cl_unmerged!B588) * (ISNUMBER(SEARCH("Bead",SKUs!$J$2:$J$10001)))* (ISNUMBER(SEARCH(A588,SKUs!$C$2:$C$10001)))), SKUs!$C$2:$C$10001,"")</f>
        <v/>
      </c>
      <c r="G588" s="16"/>
      <c r="H588" s="16" t="str" cm="1">
        <f t="array" ref="H588">IF(C588&lt;&gt;"", _xlfn.IFS(I588="Height SLI",_xlfn.XLOOKUP(C588,'calc_s90&amp;138'!$C$15:$C$1000,'calc_s90&amp;138'!$AW$15:$AW$1000,"",0), I588="Height FIX",_xlfn.XLOOKUP(C588,'calc_s90&amp;138'!$C$15:$C$1000,'calc_s90&amp;138'!$AY$15:$AY$1000,"",0), I588="Width", _xlfn.XLOOKUP(C588,'calc_s90&amp;138'!$C$15:$C$1000,'calc_s90&amp;138'!$BA$15:$BA$1000,"",0)),"")</f>
        <v/>
      </c>
      <c r="I588" s="16" t="str">
        <f t="shared" si="11"/>
        <v/>
      </c>
    </row>
    <row r="589" spans="1:9" ht="13.5" customHeight="1" x14ac:dyDescent="0.25">
      <c r="A589" s="41" t="str">
        <f>_xlfn.XLOOKUP(G589,dd_color!$A$2:$A$8,dd_color!$B$2:$B$8,"",0)</f>
        <v/>
      </c>
      <c r="B589" s="41" t="str">
        <f>_xlfn.XLOOKUP(_xlfn.XLOOKUP(C589,'Project Details'!$C$17:$C$10003,'Project Details'!$E$17:$E$10003, "",0),dd_design_raw!$A$2:$A$9997,dd_design_raw!$C$2:$C$9997,"",0)</f>
        <v/>
      </c>
      <c r="C589" s="16"/>
      <c r="D589" s="16" t="str" cm="1">
        <f t="array" ref="D589">IF(C589&lt;&gt;"", _xlfn.IFS(I589="Height SLI",_xlfn.XLOOKUP(C589,'calc_s90&amp;138'!$C$15:$C$1000,'calc_s90&amp;138'!$AX$15:$AX$1000,"",0),  I589="Height FIX",_xlfn.XLOOKUP(C589,'calc_s90&amp;138'!$C$15:$C$1000,'calc_s90&amp;138'!$AZ$15:$AZ$1000,"",0),  I589="Width", _xlfn.XLOOKUP(C589,'calc_s90&amp;138'!$C$15:$C$1000,'calc_s90&amp;138'!$BB$15:$BB$1000,"",0)),"")</f>
        <v/>
      </c>
      <c r="E589" s="16" t="str" cm="1">
        <f t="array" ref="E589">IF(C589&lt;&gt;"", _xlfn.XLOOKUP(1,((SKUs!$A$2:$A$10001=cl_unmerged!B589) * (ISNUMBER(SEARCH("Bead",SKUs!$J$2:$J$10001)))), SKUs!$J$2:$J$10001,""),"") &amp; IF(C589&lt;&gt;"", " (Sash)","") &amp; _xlfn.IFS(I589="Height", ", H",I589="Height SLI", ", H SLI", I589="Height FIX", ", H FIX",I589="Width", ", W", I589="", "")</f>
        <v/>
      </c>
      <c r="F589" s="33" t="str" cm="1">
        <f t="array" ref="F589">_xlfn.XLOOKUP(1,((SKUs!$A$2:$A$10001=cl_unmerged!B589) * (ISNUMBER(SEARCH("Bead",SKUs!$J$2:$J$10001)))* (ISNUMBER(SEARCH(A589,SKUs!$C$2:$C$10001)))), SKUs!$C$2:$C$10001,"")</f>
        <v/>
      </c>
      <c r="G589" s="16"/>
      <c r="H589" s="16" t="str" cm="1">
        <f t="array" ref="H589">IF(C589&lt;&gt;"", _xlfn.IFS(I589="Height SLI",_xlfn.XLOOKUP(C589,'calc_s90&amp;138'!$C$15:$C$1000,'calc_s90&amp;138'!$AW$15:$AW$1000,"",0), I589="Height FIX",_xlfn.XLOOKUP(C589,'calc_s90&amp;138'!$C$15:$C$1000,'calc_s90&amp;138'!$AY$15:$AY$1000,"",0), I589="Width", _xlfn.XLOOKUP(C589,'calc_s90&amp;138'!$C$15:$C$1000,'calc_s90&amp;138'!$BA$15:$BA$1000,"",0)),"")</f>
        <v/>
      </c>
      <c r="I589" s="16" t="str">
        <f t="shared" si="11"/>
        <v/>
      </c>
    </row>
    <row r="590" spans="1:9" ht="13.5" customHeight="1" x14ac:dyDescent="0.25">
      <c r="A590" s="41" t="str">
        <f>_xlfn.XLOOKUP(G590,dd_color!$A$2:$A$8,dd_color!$B$2:$B$8,"",0)</f>
        <v/>
      </c>
      <c r="B590" s="41">
        <f>_xlfn.XLOOKUP(_xlfn.XLOOKUP(C590,'Project Details'!$C$17:$C$10003,'Project Details'!$E$17:$E$10003, "",0),dd_design_raw!$A$2:$A$9997,dd_design_raw!$C$2:$C$9997,"",0)</f>
        <v>0</v>
      </c>
      <c r="C590" s="16"/>
      <c r="D590" s="16" t="str" cm="1">
        <f t="array" ref="D590">IF(C590&lt;&gt;"", _xlfn.IFS(I590="Height SLI",_xlfn.XLOOKUP(C590,'calc_s90&amp;138'!$C$15:$C$1000,'calc_s90&amp;138'!$AX$15:$AX$1000,"",0),  I590="Height FIX",_xlfn.XLOOKUP(C590,'calc_s90&amp;138'!$C$15:$C$1000,'calc_s90&amp;138'!$AZ$15:$AZ$1000,"",0),  I590="Width", _xlfn.XLOOKUP(C590,'calc_s90&amp;138'!$C$15:$C$1000,'calc_s90&amp;138'!$BB$15:$BB$1000,"",0)),"")</f>
        <v/>
      </c>
      <c r="E590" s="16" t="str" cm="1">
        <f t="array" ref="E590">IF(C590&lt;&gt;"", _xlfn.XLOOKUP(1,((SKUs!$A$2:$A$10001=cl_unmerged!B590) * (ISNUMBER(SEARCH("Bead",SKUs!$J$2:$J$10001)))), SKUs!$J$2:$J$10001,""),"") &amp; IF(C590&lt;&gt;"", " (Sash)","") &amp; _xlfn.IFS(I590="Height", ", H",I590="Height SLI", ", H SLI", I590="Height FIX", ", H FIX",I590="Width", ", W", I590="", "")</f>
        <v/>
      </c>
      <c r="F590" s="33" t="str" cm="1">
        <f t="array" ref="F590">_xlfn.XLOOKUP(1,((SKUs!$A$2:$A$10001=cl_unmerged!B590) * (ISNUMBER(SEARCH("Bead",SKUs!$J$2:$J$10001)))* (ISNUMBER(SEARCH(A590,SKUs!$C$2:$C$10001)))), SKUs!$C$2:$C$10001,"")</f>
        <v/>
      </c>
      <c r="G590" s="16"/>
      <c r="H590" s="16" t="str" cm="1">
        <f t="array" ref="H590">IF(C590&lt;&gt;"", _xlfn.IFS(I590="Height SLI",_xlfn.XLOOKUP(C590,'calc_s90&amp;138'!$C$15:$C$1000,'calc_s90&amp;138'!$AW$15:$AW$1000,"",0), I590="Height FIX",_xlfn.XLOOKUP(C590,'calc_s90&amp;138'!$C$15:$C$1000,'calc_s90&amp;138'!$AY$15:$AY$1000,"",0), I590="Width", _xlfn.XLOOKUP(C590,'calc_s90&amp;138'!$C$15:$C$1000,'calc_s90&amp;138'!$BA$15:$BA$1000,"",0)),"")</f>
        <v/>
      </c>
      <c r="I590" s="16" t="str">
        <f t="shared" si="11"/>
        <v/>
      </c>
    </row>
    <row r="591" spans="1:9" ht="13.5" customHeight="1" x14ac:dyDescent="0.25">
      <c r="A591" s="41" t="str">
        <f>_xlfn.XLOOKUP(G591,dd_color!$A$2:$A$8,dd_color!$B$2:$B$8,"",0)</f>
        <v/>
      </c>
      <c r="B591" s="41" t="str">
        <f>_xlfn.XLOOKUP(_xlfn.XLOOKUP(C591,'Project Details'!$C$17:$C$10003,'Project Details'!$E$17:$E$10003, "",0),dd_design_raw!$A$2:$A$9997,dd_design_raw!$C$2:$C$9997,"",0)</f>
        <v/>
      </c>
      <c r="C591" s="16"/>
      <c r="D591" s="16" t="str" cm="1">
        <f t="array" ref="D591">IF(C591&lt;&gt;"", _xlfn.IFS(I591="Height SLI",_xlfn.XLOOKUP(C591,'calc_s90&amp;138'!$C$15:$C$1000,'calc_s90&amp;138'!$AX$15:$AX$1000,"",0),  I591="Height FIX",_xlfn.XLOOKUP(C591,'calc_s90&amp;138'!$C$15:$C$1000,'calc_s90&amp;138'!$AZ$15:$AZ$1000,"",0),  I591="Width", _xlfn.XLOOKUP(C591,'calc_s90&amp;138'!$C$15:$C$1000,'calc_s90&amp;138'!$BB$15:$BB$1000,"",0)),"")</f>
        <v/>
      </c>
      <c r="E591" s="16" t="str" cm="1">
        <f t="array" ref="E591">IF(C591&lt;&gt;"", _xlfn.XLOOKUP(1,((SKUs!$A$2:$A$10001=cl_unmerged!B591) * (ISNUMBER(SEARCH("Bead",SKUs!$J$2:$J$10001)))), SKUs!$J$2:$J$10001,""),"") &amp; IF(C591&lt;&gt;"", " (Sash)","") &amp; _xlfn.IFS(I591="Height", ", H",I591="Height SLI", ", H SLI", I591="Height FIX", ", H FIX",I591="Width", ", W", I591="", "")</f>
        <v/>
      </c>
      <c r="F591" s="33" t="str" cm="1">
        <f t="array" ref="F591">_xlfn.XLOOKUP(1,((SKUs!$A$2:$A$10001=cl_unmerged!B591) * (ISNUMBER(SEARCH("Bead",SKUs!$J$2:$J$10001)))* (ISNUMBER(SEARCH(A591,SKUs!$C$2:$C$10001)))), SKUs!$C$2:$C$10001,"")</f>
        <v/>
      </c>
      <c r="G591" s="16"/>
      <c r="H591" s="16" t="str" cm="1">
        <f t="array" ref="H591">IF(C591&lt;&gt;"", _xlfn.IFS(I591="Height SLI",_xlfn.XLOOKUP(C591,'calc_s90&amp;138'!$C$15:$C$1000,'calc_s90&amp;138'!$AW$15:$AW$1000,"",0), I591="Height FIX",_xlfn.XLOOKUP(C591,'calc_s90&amp;138'!$C$15:$C$1000,'calc_s90&amp;138'!$AY$15:$AY$1000,"",0), I591="Width", _xlfn.XLOOKUP(C591,'calc_s90&amp;138'!$C$15:$C$1000,'calc_s90&amp;138'!$BA$15:$BA$1000,"",0)),"")</f>
        <v/>
      </c>
      <c r="I591" s="16" t="str">
        <f t="shared" si="11"/>
        <v/>
      </c>
    </row>
    <row r="592" spans="1:9" ht="13.5" customHeight="1" x14ac:dyDescent="0.25">
      <c r="A592" s="41" t="str">
        <f>_xlfn.XLOOKUP(G592,dd_color!$A$2:$A$8,dd_color!$B$2:$B$8,"",0)</f>
        <v/>
      </c>
      <c r="B592" s="41">
        <f>_xlfn.XLOOKUP(_xlfn.XLOOKUP(C592,'Project Details'!$C$17:$C$10003,'Project Details'!$E$17:$E$10003, "",0),dd_design_raw!$A$2:$A$9997,dd_design_raw!$C$2:$C$9997,"",0)</f>
        <v>0</v>
      </c>
      <c r="C592" s="16"/>
      <c r="D592" s="16" t="str" cm="1">
        <f t="array" ref="D592">IF(C592&lt;&gt;"", _xlfn.IFS(I592="Height SLI",_xlfn.XLOOKUP(C592,'calc_s90&amp;138'!$C$15:$C$1000,'calc_s90&amp;138'!$AX$15:$AX$1000,"",0),  I592="Height FIX",_xlfn.XLOOKUP(C592,'calc_s90&amp;138'!$C$15:$C$1000,'calc_s90&amp;138'!$AZ$15:$AZ$1000,"",0),  I592="Width", _xlfn.XLOOKUP(C592,'calc_s90&amp;138'!$C$15:$C$1000,'calc_s90&amp;138'!$BB$15:$BB$1000,"",0)),"")</f>
        <v/>
      </c>
      <c r="E592" s="16" t="str" cm="1">
        <f t="array" ref="E592">IF(C592&lt;&gt;"", _xlfn.XLOOKUP(1,((SKUs!$A$2:$A$10001=cl_unmerged!B592) * (ISNUMBER(SEARCH("Bead",SKUs!$J$2:$J$10001)))), SKUs!$J$2:$J$10001,""),"") &amp; IF(C592&lt;&gt;"", " (Sash)","") &amp; _xlfn.IFS(I592="Height", ", H",I592="Height SLI", ", H SLI", I592="Height FIX", ", H FIX",I592="Width", ", W", I592="", "")</f>
        <v/>
      </c>
      <c r="F592" s="33" t="str" cm="1">
        <f t="array" ref="F592">_xlfn.XLOOKUP(1,((SKUs!$A$2:$A$10001=cl_unmerged!B592) * (ISNUMBER(SEARCH("Bead",SKUs!$J$2:$J$10001)))* (ISNUMBER(SEARCH(A592,SKUs!$C$2:$C$10001)))), SKUs!$C$2:$C$10001,"")</f>
        <v/>
      </c>
      <c r="G592" s="16"/>
      <c r="H592" s="16" t="str" cm="1">
        <f t="array" ref="H592">IF(C592&lt;&gt;"", _xlfn.IFS(I592="Height SLI",_xlfn.XLOOKUP(C592,'calc_s90&amp;138'!$C$15:$C$1000,'calc_s90&amp;138'!$AW$15:$AW$1000,"",0), I592="Height FIX",_xlfn.XLOOKUP(C592,'calc_s90&amp;138'!$C$15:$C$1000,'calc_s90&amp;138'!$AY$15:$AY$1000,"",0), I592="Width", _xlfn.XLOOKUP(C592,'calc_s90&amp;138'!$C$15:$C$1000,'calc_s90&amp;138'!$BA$15:$BA$1000,"",0)),"")</f>
        <v/>
      </c>
      <c r="I592" s="16" t="str">
        <f t="shared" si="11"/>
        <v/>
      </c>
    </row>
    <row r="593" spans="1:9" ht="13.5" customHeight="1" x14ac:dyDescent="0.25">
      <c r="A593" s="41" t="str">
        <f>_xlfn.XLOOKUP(G593,dd_color!$A$2:$A$8,dd_color!$B$2:$B$8,"",0)</f>
        <v/>
      </c>
      <c r="B593" s="41">
        <f>_xlfn.XLOOKUP(_xlfn.XLOOKUP(C593,'Project Details'!$C$17:$C$10003,'Project Details'!$E$17:$E$10003, "",0),dd_design_raw!$A$2:$A$9997,dd_design_raw!$C$2:$C$9997,"",0)</f>
        <v>0</v>
      </c>
      <c r="C593" s="16"/>
      <c r="D593" s="16" t="str" cm="1">
        <f t="array" ref="D593">IF(C593&lt;&gt;"", _xlfn.IFS(I593="Height SLI",_xlfn.XLOOKUP(C593,'calc_s90&amp;138'!$C$15:$C$1000,'calc_s90&amp;138'!$AX$15:$AX$1000,"",0),  I593="Height FIX",_xlfn.XLOOKUP(C593,'calc_s90&amp;138'!$C$15:$C$1000,'calc_s90&amp;138'!$AZ$15:$AZ$1000,"",0),  I593="Width", _xlfn.XLOOKUP(C593,'calc_s90&amp;138'!$C$15:$C$1000,'calc_s90&amp;138'!$BB$15:$BB$1000,"",0)),"")</f>
        <v/>
      </c>
      <c r="E593" s="16" t="str" cm="1">
        <f t="array" ref="E593">IF(C593&lt;&gt;"", _xlfn.XLOOKUP(1,((SKUs!$A$2:$A$10001=cl_unmerged!B593) * (ISNUMBER(SEARCH("Bead",SKUs!$J$2:$J$10001)))), SKUs!$J$2:$J$10001,""),"") &amp; IF(C593&lt;&gt;"", " (Sash)","") &amp; _xlfn.IFS(I593="Height", ", H",I593="Height SLI", ", H SLI", I593="Height FIX", ", H FIX",I593="Width", ", W", I593="", "")</f>
        <v/>
      </c>
      <c r="F593" s="33" t="str" cm="1">
        <f t="array" ref="F593">_xlfn.XLOOKUP(1,((SKUs!$A$2:$A$10001=cl_unmerged!B593) * (ISNUMBER(SEARCH("Bead",SKUs!$J$2:$J$10001)))* (ISNUMBER(SEARCH(A593,SKUs!$C$2:$C$10001)))), SKUs!$C$2:$C$10001,"")</f>
        <v/>
      </c>
      <c r="G593" s="16"/>
      <c r="H593" s="16" t="str" cm="1">
        <f t="array" ref="H593">IF(C593&lt;&gt;"", _xlfn.IFS(I593="Height SLI",_xlfn.XLOOKUP(C593,'calc_s90&amp;138'!$C$15:$C$1000,'calc_s90&amp;138'!$AW$15:$AW$1000,"",0), I593="Height FIX",_xlfn.XLOOKUP(C593,'calc_s90&amp;138'!$C$15:$C$1000,'calc_s90&amp;138'!$AY$15:$AY$1000,"",0), I593="Width", _xlfn.XLOOKUP(C593,'calc_s90&amp;138'!$C$15:$C$1000,'calc_s90&amp;138'!$BA$15:$BA$1000,"",0)),"")</f>
        <v/>
      </c>
      <c r="I593" s="16" t="str">
        <f t="shared" si="11"/>
        <v/>
      </c>
    </row>
    <row r="594" spans="1:9" ht="13.5" customHeight="1" x14ac:dyDescent="0.25">
      <c r="A594" s="41" t="str">
        <f>_xlfn.XLOOKUP(G594,dd_color!$A$2:$A$8,dd_color!$B$2:$B$8,"",0)</f>
        <v/>
      </c>
      <c r="B594" s="41" t="str">
        <f>_xlfn.XLOOKUP(_xlfn.XLOOKUP(C594,'Project Details'!$C$17:$C$10003,'Project Details'!$E$17:$E$10003, "",0),dd_design_raw!$A$2:$A$9997,dd_design_raw!$C$2:$C$9997,"",0)</f>
        <v/>
      </c>
      <c r="C594" s="16"/>
      <c r="D594" s="16" t="str" cm="1">
        <f t="array" ref="D594">IF(C594&lt;&gt;"", _xlfn.IFS(I594="Height SLI",_xlfn.XLOOKUP(C594,'calc_s90&amp;138'!$C$15:$C$1000,'calc_s90&amp;138'!$AX$15:$AX$1000,"",0),  I594="Height FIX",_xlfn.XLOOKUP(C594,'calc_s90&amp;138'!$C$15:$C$1000,'calc_s90&amp;138'!$AZ$15:$AZ$1000,"",0),  I594="Width", _xlfn.XLOOKUP(C594,'calc_s90&amp;138'!$C$15:$C$1000,'calc_s90&amp;138'!$BB$15:$BB$1000,"",0)),"")</f>
        <v/>
      </c>
      <c r="E594" s="16" t="str" cm="1">
        <f t="array" ref="E594">IF(C594&lt;&gt;"", _xlfn.XLOOKUP(1,((SKUs!$A$2:$A$10001=cl_unmerged!B594) * (ISNUMBER(SEARCH("Bead",SKUs!$J$2:$J$10001)))), SKUs!$J$2:$J$10001,""),"") &amp; IF(C594&lt;&gt;"", " (Sash)","") &amp; _xlfn.IFS(I594="Height", ", H",I594="Height SLI", ", H SLI", I594="Height FIX", ", H FIX",I594="Width", ", W", I594="", "")</f>
        <v/>
      </c>
      <c r="F594" s="33" t="str" cm="1">
        <f t="array" ref="F594">_xlfn.XLOOKUP(1,((SKUs!$A$2:$A$10001=cl_unmerged!B594) * (ISNUMBER(SEARCH("Bead",SKUs!$J$2:$J$10001)))* (ISNUMBER(SEARCH(A594,SKUs!$C$2:$C$10001)))), SKUs!$C$2:$C$10001,"")</f>
        <v/>
      </c>
      <c r="G594" s="16"/>
      <c r="H594" s="16" t="str" cm="1">
        <f t="array" ref="H594">IF(C594&lt;&gt;"", _xlfn.IFS(I594="Height SLI",_xlfn.XLOOKUP(C594,'calc_s90&amp;138'!$C$15:$C$1000,'calc_s90&amp;138'!$AW$15:$AW$1000,"",0), I594="Height FIX",_xlfn.XLOOKUP(C594,'calc_s90&amp;138'!$C$15:$C$1000,'calc_s90&amp;138'!$AY$15:$AY$1000,"",0), I594="Width", _xlfn.XLOOKUP(C594,'calc_s90&amp;138'!$C$15:$C$1000,'calc_s90&amp;138'!$BA$15:$BA$1000,"",0)),"")</f>
        <v/>
      </c>
      <c r="I594" s="16" t="str">
        <f t="shared" si="11"/>
        <v/>
      </c>
    </row>
    <row r="595" spans="1:9" ht="13.5" customHeight="1" x14ac:dyDescent="0.25">
      <c r="A595" s="41" t="str">
        <f>_xlfn.XLOOKUP(G595,dd_color!$A$2:$A$8,dd_color!$B$2:$B$8,"",0)</f>
        <v/>
      </c>
      <c r="B595" s="41">
        <f>_xlfn.XLOOKUP(_xlfn.XLOOKUP(C595,'Project Details'!$C$17:$C$10003,'Project Details'!$E$17:$E$10003, "",0),dd_design_raw!$A$2:$A$9997,dd_design_raw!$C$2:$C$9997,"",0)</f>
        <v>0</v>
      </c>
      <c r="C595" s="16"/>
      <c r="D595" s="16" t="str" cm="1">
        <f t="array" ref="D595">IF(C595&lt;&gt;"", _xlfn.IFS(I595="Height SLI",_xlfn.XLOOKUP(C595,'calc_s90&amp;138'!$C$15:$C$1000,'calc_s90&amp;138'!$AX$15:$AX$1000,"",0),  I595="Height FIX",_xlfn.XLOOKUP(C595,'calc_s90&amp;138'!$C$15:$C$1000,'calc_s90&amp;138'!$AZ$15:$AZ$1000,"",0),  I595="Width", _xlfn.XLOOKUP(C595,'calc_s90&amp;138'!$C$15:$C$1000,'calc_s90&amp;138'!$BB$15:$BB$1000,"",0)),"")</f>
        <v/>
      </c>
      <c r="E595" s="16" t="str" cm="1">
        <f t="array" ref="E595">IF(C595&lt;&gt;"", _xlfn.XLOOKUP(1,((SKUs!$A$2:$A$10001=cl_unmerged!B595) * (ISNUMBER(SEARCH("Bead",SKUs!$J$2:$J$10001)))), SKUs!$J$2:$J$10001,""),"") &amp; IF(C595&lt;&gt;"", " (Sash)","") &amp; _xlfn.IFS(I595="Height", ", H",I595="Height SLI", ", H SLI", I595="Height FIX", ", H FIX",I595="Width", ", W", I595="", "")</f>
        <v/>
      </c>
      <c r="F595" s="33" t="str" cm="1">
        <f t="array" ref="F595">_xlfn.XLOOKUP(1,((SKUs!$A$2:$A$10001=cl_unmerged!B595) * (ISNUMBER(SEARCH("Bead",SKUs!$J$2:$J$10001)))* (ISNUMBER(SEARCH(A595,SKUs!$C$2:$C$10001)))), SKUs!$C$2:$C$10001,"")</f>
        <v/>
      </c>
      <c r="G595" s="16"/>
      <c r="H595" s="16" t="str" cm="1">
        <f t="array" ref="H595">IF(C595&lt;&gt;"", _xlfn.IFS(I595="Height SLI",_xlfn.XLOOKUP(C595,'calc_s90&amp;138'!$C$15:$C$1000,'calc_s90&amp;138'!$AW$15:$AW$1000,"",0), I595="Height FIX",_xlfn.XLOOKUP(C595,'calc_s90&amp;138'!$C$15:$C$1000,'calc_s90&amp;138'!$AY$15:$AY$1000,"",0), I595="Width", _xlfn.XLOOKUP(C595,'calc_s90&amp;138'!$C$15:$C$1000,'calc_s90&amp;138'!$BA$15:$BA$1000,"",0)),"")</f>
        <v/>
      </c>
      <c r="I595" s="16" t="str">
        <f t="shared" si="11"/>
        <v/>
      </c>
    </row>
    <row r="596" spans="1:9" ht="13.5" customHeight="1" x14ac:dyDescent="0.25">
      <c r="A596" s="41" t="str">
        <f>_xlfn.XLOOKUP(G596,dd_color!$A$2:$A$8,dd_color!$B$2:$B$8,"",0)</f>
        <v/>
      </c>
      <c r="B596" s="41">
        <f>_xlfn.XLOOKUP(_xlfn.XLOOKUP(C596,'Project Details'!$C$17:$C$10003,'Project Details'!$E$17:$E$10003, "",0),dd_design_raw!$A$2:$A$9997,dd_design_raw!$C$2:$C$9997,"",0)</f>
        <v>0</v>
      </c>
      <c r="C596" s="16"/>
      <c r="D596" s="16" t="str" cm="1">
        <f t="array" ref="D596">IF(C596&lt;&gt;"", _xlfn.IFS(I596="Height SLI",_xlfn.XLOOKUP(C596,'calc_s90&amp;138'!$C$15:$C$1000,'calc_s90&amp;138'!$AX$15:$AX$1000,"",0),  I596="Height FIX",_xlfn.XLOOKUP(C596,'calc_s90&amp;138'!$C$15:$C$1000,'calc_s90&amp;138'!$AZ$15:$AZ$1000,"",0),  I596="Width", _xlfn.XLOOKUP(C596,'calc_s90&amp;138'!$C$15:$C$1000,'calc_s90&amp;138'!$BB$15:$BB$1000,"",0)),"")</f>
        <v/>
      </c>
      <c r="E596" s="16" t="str" cm="1">
        <f t="array" ref="E596">IF(C596&lt;&gt;"", _xlfn.XLOOKUP(1,((SKUs!$A$2:$A$10001=cl_unmerged!B596) * (ISNUMBER(SEARCH("Bead",SKUs!$J$2:$J$10001)))), SKUs!$J$2:$J$10001,""),"") &amp; IF(C596&lt;&gt;"", " (Sash)","") &amp; _xlfn.IFS(I596="Height", ", H",I596="Height SLI", ", H SLI", I596="Height FIX", ", H FIX",I596="Width", ", W", I596="", "")</f>
        <v/>
      </c>
      <c r="F596" s="33" t="str" cm="1">
        <f t="array" ref="F596">_xlfn.XLOOKUP(1,((SKUs!$A$2:$A$10001=cl_unmerged!B596) * (ISNUMBER(SEARCH("Bead",SKUs!$J$2:$J$10001)))* (ISNUMBER(SEARCH(A596,SKUs!$C$2:$C$10001)))), SKUs!$C$2:$C$10001,"")</f>
        <v/>
      </c>
      <c r="G596" s="16"/>
      <c r="H596" s="16" t="str" cm="1">
        <f t="array" ref="H596">IF(C596&lt;&gt;"", _xlfn.IFS(I596="Height SLI",_xlfn.XLOOKUP(C596,'calc_s90&amp;138'!$C$15:$C$1000,'calc_s90&amp;138'!$AW$15:$AW$1000,"",0), I596="Height FIX",_xlfn.XLOOKUP(C596,'calc_s90&amp;138'!$C$15:$C$1000,'calc_s90&amp;138'!$AY$15:$AY$1000,"",0), I596="Width", _xlfn.XLOOKUP(C596,'calc_s90&amp;138'!$C$15:$C$1000,'calc_s90&amp;138'!$BA$15:$BA$1000,"",0)),"")</f>
        <v/>
      </c>
      <c r="I596" s="16" t="str">
        <f t="shared" si="11"/>
        <v/>
      </c>
    </row>
    <row r="597" spans="1:9" ht="13.5" customHeight="1" x14ac:dyDescent="0.25">
      <c r="A597" s="41" t="str">
        <f>_xlfn.XLOOKUP(G597,dd_color!$A$2:$A$8,dd_color!$B$2:$B$8,"",0)</f>
        <v/>
      </c>
      <c r="B597" s="41">
        <f>_xlfn.XLOOKUP(_xlfn.XLOOKUP(C597,'Project Details'!$C$17:$C$10003,'Project Details'!$E$17:$E$10003, "",0),dd_design_raw!$A$2:$A$9997,dd_design_raw!$C$2:$C$9997,"",0)</f>
        <v>0</v>
      </c>
      <c r="C597" s="16"/>
      <c r="D597" s="16" t="str" cm="1">
        <f t="array" ref="D597">IF(C597&lt;&gt;"", _xlfn.IFS(I597="Height SLI",_xlfn.XLOOKUP(C597,'calc_s90&amp;138'!$C$15:$C$1000,'calc_s90&amp;138'!$AX$15:$AX$1000,"",0),  I597="Height FIX",_xlfn.XLOOKUP(C597,'calc_s90&amp;138'!$C$15:$C$1000,'calc_s90&amp;138'!$AZ$15:$AZ$1000,"",0),  I597="Width", _xlfn.XLOOKUP(C597,'calc_s90&amp;138'!$C$15:$C$1000,'calc_s90&amp;138'!$BB$15:$BB$1000,"",0)),"")</f>
        <v/>
      </c>
      <c r="E597" s="16" t="str" cm="1">
        <f t="array" ref="E597">IF(C597&lt;&gt;"", _xlfn.XLOOKUP(1,((SKUs!$A$2:$A$10001=cl_unmerged!B597) * (ISNUMBER(SEARCH("Bead",SKUs!$J$2:$J$10001)))), SKUs!$J$2:$J$10001,""),"") &amp; IF(C597&lt;&gt;"", " (Sash)","") &amp; _xlfn.IFS(I597="Height", ", H",I597="Height SLI", ", H SLI", I597="Height FIX", ", H FIX",I597="Width", ", W", I597="", "")</f>
        <v/>
      </c>
      <c r="F597" s="33" t="str" cm="1">
        <f t="array" ref="F597">_xlfn.XLOOKUP(1,((SKUs!$A$2:$A$10001=cl_unmerged!B597) * (ISNUMBER(SEARCH("Bead",SKUs!$J$2:$J$10001)))* (ISNUMBER(SEARCH(A597,SKUs!$C$2:$C$10001)))), SKUs!$C$2:$C$10001,"")</f>
        <v/>
      </c>
      <c r="G597" s="16"/>
      <c r="H597" s="16" t="str" cm="1">
        <f t="array" ref="H597">IF(C597&lt;&gt;"", _xlfn.IFS(I597="Height SLI",_xlfn.XLOOKUP(C597,'calc_s90&amp;138'!$C$15:$C$1000,'calc_s90&amp;138'!$AW$15:$AW$1000,"",0), I597="Height FIX",_xlfn.XLOOKUP(C597,'calc_s90&amp;138'!$C$15:$C$1000,'calc_s90&amp;138'!$AY$15:$AY$1000,"",0), I597="Width", _xlfn.XLOOKUP(C597,'calc_s90&amp;138'!$C$15:$C$1000,'calc_s90&amp;138'!$BA$15:$BA$1000,"",0)),"")</f>
        <v/>
      </c>
      <c r="I597" s="16" t="str">
        <f t="shared" si="11"/>
        <v/>
      </c>
    </row>
    <row r="598" spans="1:9" ht="13.5" customHeight="1" x14ac:dyDescent="0.25">
      <c r="A598" s="41" t="str">
        <f>_xlfn.XLOOKUP(G598,dd_color!$A$2:$A$8,dd_color!$B$2:$B$8,"",0)</f>
        <v/>
      </c>
      <c r="B598" s="41">
        <f>_xlfn.XLOOKUP(_xlfn.XLOOKUP(C598,'Project Details'!$C$17:$C$10003,'Project Details'!$E$17:$E$10003, "",0),dd_design_raw!$A$2:$A$9997,dd_design_raw!$C$2:$C$9997,"",0)</f>
        <v>0</v>
      </c>
      <c r="C598" s="16"/>
      <c r="D598" s="16" t="str" cm="1">
        <f t="array" ref="D598">IF(C598&lt;&gt;"", _xlfn.IFS(I598="Height SLI",_xlfn.XLOOKUP(C598,'calc_s90&amp;138'!$C$15:$C$1000,'calc_s90&amp;138'!$AX$15:$AX$1000,"",0),  I598="Height FIX",_xlfn.XLOOKUP(C598,'calc_s90&amp;138'!$C$15:$C$1000,'calc_s90&amp;138'!$AZ$15:$AZ$1000,"",0),  I598="Width", _xlfn.XLOOKUP(C598,'calc_s90&amp;138'!$C$15:$C$1000,'calc_s90&amp;138'!$BB$15:$BB$1000,"",0)),"")</f>
        <v/>
      </c>
      <c r="E598" s="16" t="str" cm="1">
        <f t="array" ref="E598">IF(C598&lt;&gt;"", _xlfn.XLOOKUP(1,((SKUs!$A$2:$A$10001=cl_unmerged!B598) * (ISNUMBER(SEARCH("Bead",SKUs!$J$2:$J$10001)))), SKUs!$J$2:$J$10001,""),"") &amp; IF(C598&lt;&gt;"", " (Sash)","") &amp; _xlfn.IFS(I598="Height", ", H",I598="Height SLI", ", H SLI", I598="Height FIX", ", H FIX",I598="Width", ", W", I598="", "")</f>
        <v/>
      </c>
      <c r="F598" s="33" t="str" cm="1">
        <f t="array" ref="F598">_xlfn.XLOOKUP(1,((SKUs!$A$2:$A$10001=cl_unmerged!B598) * (ISNUMBER(SEARCH("Bead",SKUs!$J$2:$J$10001)))* (ISNUMBER(SEARCH(A598,SKUs!$C$2:$C$10001)))), SKUs!$C$2:$C$10001,"")</f>
        <v/>
      </c>
      <c r="G598" s="16"/>
      <c r="H598" s="16" t="str" cm="1">
        <f t="array" ref="H598">IF(C598&lt;&gt;"", _xlfn.IFS(I598="Height SLI",_xlfn.XLOOKUP(C598,'calc_s90&amp;138'!$C$15:$C$1000,'calc_s90&amp;138'!$AW$15:$AW$1000,"",0), I598="Height FIX",_xlfn.XLOOKUP(C598,'calc_s90&amp;138'!$C$15:$C$1000,'calc_s90&amp;138'!$AY$15:$AY$1000,"",0), I598="Width", _xlfn.XLOOKUP(C598,'calc_s90&amp;138'!$C$15:$C$1000,'calc_s90&amp;138'!$BA$15:$BA$1000,"",0)),"")</f>
        <v/>
      </c>
      <c r="I598" s="16" t="str">
        <f t="shared" si="11"/>
        <v/>
      </c>
    </row>
    <row r="599" spans="1:9" ht="13.5" customHeight="1" x14ac:dyDescent="0.25">
      <c r="A599" s="41" t="str">
        <f>_xlfn.XLOOKUP(G599,dd_color!$A$2:$A$8,dd_color!$B$2:$B$8,"",0)</f>
        <v/>
      </c>
      <c r="B599" s="41">
        <f>_xlfn.XLOOKUP(_xlfn.XLOOKUP(C599,'Project Details'!$C$17:$C$10003,'Project Details'!$E$17:$E$10003, "",0),dd_design_raw!$A$2:$A$9997,dd_design_raw!$C$2:$C$9997,"",0)</f>
        <v>0</v>
      </c>
      <c r="C599" s="16"/>
      <c r="D599" s="16" t="str" cm="1">
        <f t="array" ref="D599">IF(C599&lt;&gt;"", _xlfn.IFS(I599="Height SLI",_xlfn.XLOOKUP(C599,'calc_s90&amp;138'!$C$15:$C$1000,'calc_s90&amp;138'!$AX$15:$AX$1000,"",0),  I599="Height FIX",_xlfn.XLOOKUP(C599,'calc_s90&amp;138'!$C$15:$C$1000,'calc_s90&amp;138'!$AZ$15:$AZ$1000,"",0),  I599="Width", _xlfn.XLOOKUP(C599,'calc_s90&amp;138'!$C$15:$C$1000,'calc_s90&amp;138'!$BB$15:$BB$1000,"",0)),"")</f>
        <v/>
      </c>
      <c r="E599" s="16" t="str" cm="1">
        <f t="array" ref="E599">IF(C599&lt;&gt;"", _xlfn.XLOOKUP(1,((SKUs!$A$2:$A$10001=cl_unmerged!B599) * (ISNUMBER(SEARCH("Bead",SKUs!$J$2:$J$10001)))), SKUs!$J$2:$J$10001,""),"") &amp; IF(C599&lt;&gt;"", " (Sash)","") &amp; _xlfn.IFS(I599="Height", ", H",I599="Height SLI", ", H SLI", I599="Height FIX", ", H FIX",I599="Width", ", W", I599="", "")</f>
        <v/>
      </c>
      <c r="F599" s="33" t="str" cm="1">
        <f t="array" ref="F599">_xlfn.XLOOKUP(1,((SKUs!$A$2:$A$10001=cl_unmerged!B599) * (ISNUMBER(SEARCH("Bead",SKUs!$J$2:$J$10001)))* (ISNUMBER(SEARCH(A599,SKUs!$C$2:$C$10001)))), SKUs!$C$2:$C$10001,"")</f>
        <v/>
      </c>
      <c r="G599" s="16"/>
      <c r="H599" s="16" t="str" cm="1">
        <f t="array" ref="H599">IF(C599&lt;&gt;"", _xlfn.IFS(I599="Height SLI",_xlfn.XLOOKUP(C599,'calc_s90&amp;138'!$C$15:$C$1000,'calc_s90&amp;138'!$AW$15:$AW$1000,"",0), I599="Height FIX",_xlfn.XLOOKUP(C599,'calc_s90&amp;138'!$C$15:$C$1000,'calc_s90&amp;138'!$AY$15:$AY$1000,"",0), I599="Width", _xlfn.XLOOKUP(C599,'calc_s90&amp;138'!$C$15:$C$1000,'calc_s90&amp;138'!$BA$15:$BA$1000,"",0)),"")</f>
        <v/>
      </c>
      <c r="I599" s="16" t="str">
        <f t="shared" si="11"/>
        <v/>
      </c>
    </row>
    <row r="600" spans="1:9" ht="13.5" customHeight="1" x14ac:dyDescent="0.25">
      <c r="A600" s="41" t="str">
        <f>_xlfn.XLOOKUP(G600,dd_color!$A$2:$A$8,dd_color!$B$2:$B$8,"",0)</f>
        <v/>
      </c>
      <c r="B600" s="41">
        <f>_xlfn.XLOOKUP(_xlfn.XLOOKUP(C600,'Project Details'!$C$17:$C$10003,'Project Details'!$E$17:$E$10003, "",0),dd_design_raw!$A$2:$A$9997,dd_design_raw!$C$2:$C$9997,"",0)</f>
        <v>0</v>
      </c>
      <c r="C600" s="16"/>
      <c r="D600" s="16" t="str" cm="1">
        <f t="array" ref="D600">IF(C600&lt;&gt;"", _xlfn.IFS(I600="Height SLI",_xlfn.XLOOKUP(C600,'calc_s90&amp;138'!$C$15:$C$1000,'calc_s90&amp;138'!$AX$15:$AX$1000,"",0),  I600="Height FIX",_xlfn.XLOOKUP(C600,'calc_s90&amp;138'!$C$15:$C$1000,'calc_s90&amp;138'!$AZ$15:$AZ$1000,"",0),  I600="Width", _xlfn.XLOOKUP(C600,'calc_s90&amp;138'!$C$15:$C$1000,'calc_s90&amp;138'!$BB$15:$BB$1000,"",0)),"")</f>
        <v/>
      </c>
      <c r="E600" s="16" t="str" cm="1">
        <f t="array" ref="E600">IF(C600&lt;&gt;"", _xlfn.XLOOKUP(1,((SKUs!$A$2:$A$10001=cl_unmerged!B600) * (ISNUMBER(SEARCH("Bead",SKUs!$J$2:$J$10001)))), SKUs!$J$2:$J$10001,""),"") &amp; IF(C600&lt;&gt;"", " (Sash)","") &amp; _xlfn.IFS(I600="Height", ", H",I600="Height SLI", ", H SLI", I600="Height FIX", ", H FIX",I600="Width", ", W", I600="", "")</f>
        <v/>
      </c>
      <c r="F600" s="33" t="str" cm="1">
        <f t="array" ref="F600">_xlfn.XLOOKUP(1,((SKUs!$A$2:$A$10001=cl_unmerged!B600) * (ISNUMBER(SEARCH("Bead",SKUs!$J$2:$J$10001)))* (ISNUMBER(SEARCH(A600,SKUs!$C$2:$C$10001)))), SKUs!$C$2:$C$10001,"")</f>
        <v/>
      </c>
      <c r="G600" s="16"/>
      <c r="H600" s="16" t="str" cm="1">
        <f t="array" ref="H600">IF(C600&lt;&gt;"", _xlfn.IFS(I600="Height SLI",_xlfn.XLOOKUP(C600,'calc_s90&amp;138'!$C$15:$C$1000,'calc_s90&amp;138'!$AW$15:$AW$1000,"",0), I600="Height FIX",_xlfn.XLOOKUP(C600,'calc_s90&amp;138'!$C$15:$C$1000,'calc_s90&amp;138'!$AY$15:$AY$1000,"",0), I600="Width", _xlfn.XLOOKUP(C600,'calc_s90&amp;138'!$C$15:$C$1000,'calc_s90&amp;138'!$BA$15:$BA$1000,"",0)),"")</f>
        <v/>
      </c>
      <c r="I600" s="16" t="str">
        <f t="shared" si="11"/>
        <v/>
      </c>
    </row>
    <row r="601" spans="1:9" ht="13.5" customHeight="1" x14ac:dyDescent="0.25">
      <c r="A601" s="41" t="str">
        <f>_xlfn.XLOOKUP(G601,dd_color!$A$2:$A$8,dd_color!$B$2:$B$8,"",0)</f>
        <v/>
      </c>
      <c r="B601" s="41">
        <f>_xlfn.XLOOKUP(_xlfn.XLOOKUP(C601,'Project Details'!$C$17:$C$10003,'Project Details'!$E$17:$E$10003, "",0),dd_design_raw!$A$2:$A$9997,dd_design_raw!$C$2:$C$9997,"",0)</f>
        <v>0</v>
      </c>
      <c r="C601" s="16"/>
      <c r="D601" s="16" t="str" cm="1">
        <f t="array" ref="D601">IF(C601&lt;&gt;"", _xlfn.IFS(I601="Height SLI",_xlfn.XLOOKUP(C601,'calc_s90&amp;138'!$C$15:$C$1000,'calc_s90&amp;138'!$AX$15:$AX$1000,"",0),  I601="Height FIX",_xlfn.XLOOKUP(C601,'calc_s90&amp;138'!$C$15:$C$1000,'calc_s90&amp;138'!$AZ$15:$AZ$1000,"",0),  I601="Width", _xlfn.XLOOKUP(C601,'calc_s90&amp;138'!$C$15:$C$1000,'calc_s90&amp;138'!$BB$15:$BB$1000,"",0)),"")</f>
        <v/>
      </c>
      <c r="E601" s="16" t="str" cm="1">
        <f t="array" ref="E601">IF(C601&lt;&gt;"", _xlfn.XLOOKUP(1,((SKUs!$A$2:$A$10001=cl_unmerged!B601) * (ISNUMBER(SEARCH("Bead",SKUs!$J$2:$J$10001)))), SKUs!$J$2:$J$10001,""),"") &amp; IF(C601&lt;&gt;"", " (Sash)","") &amp; _xlfn.IFS(I601="Height", ", H",I601="Height SLI", ", H SLI", I601="Height FIX", ", H FIX",I601="Width", ", W", I601="", "")</f>
        <v/>
      </c>
      <c r="F601" s="33" t="str" cm="1">
        <f t="array" ref="F601">_xlfn.XLOOKUP(1,((SKUs!$A$2:$A$10001=cl_unmerged!B601) * (ISNUMBER(SEARCH("Bead",SKUs!$J$2:$J$10001)))* (ISNUMBER(SEARCH(A601,SKUs!$C$2:$C$10001)))), SKUs!$C$2:$C$10001,"")</f>
        <v/>
      </c>
      <c r="G601" s="16"/>
      <c r="H601" s="16" t="str" cm="1">
        <f t="array" ref="H601">IF(C601&lt;&gt;"", _xlfn.IFS(I601="Height SLI",_xlfn.XLOOKUP(C601,'calc_s90&amp;138'!$C$15:$C$1000,'calc_s90&amp;138'!$AW$15:$AW$1000,"",0), I601="Height FIX",_xlfn.XLOOKUP(C601,'calc_s90&amp;138'!$C$15:$C$1000,'calc_s90&amp;138'!$AY$15:$AY$1000,"",0), I601="Width", _xlfn.XLOOKUP(C601,'calc_s90&amp;138'!$C$15:$C$1000,'calc_s90&amp;138'!$BA$15:$BA$1000,"",0)),"")</f>
        <v/>
      </c>
      <c r="I601" s="16" t="str">
        <f t="shared" si="11"/>
        <v/>
      </c>
    </row>
    <row r="602" spans="1:9" ht="13.5" customHeight="1" x14ac:dyDescent="0.25">
      <c r="A602" s="41" t="str">
        <f>_xlfn.XLOOKUP(G602,dd_color!$A$2:$A$8,dd_color!$B$2:$B$8,"",0)</f>
        <v/>
      </c>
      <c r="B602" s="41">
        <f>_xlfn.XLOOKUP(_xlfn.XLOOKUP(C602,'Project Details'!$C$17:$C$10003,'Project Details'!$E$17:$E$10003, "",0),dd_design_raw!$A$2:$A$9997,dd_design_raw!$C$2:$C$9997,"",0)</f>
        <v>0</v>
      </c>
      <c r="C602" s="16"/>
      <c r="D602" s="16" t="str" cm="1">
        <f t="array" ref="D602">IF(C602&lt;&gt;"", _xlfn.IFS(I602="Height SLI",_xlfn.XLOOKUP(C602,'calc_s90&amp;138'!$C$15:$C$1000,'calc_s90&amp;138'!$AX$15:$AX$1000,"",0),  I602="Height FIX",_xlfn.XLOOKUP(C602,'calc_s90&amp;138'!$C$15:$C$1000,'calc_s90&amp;138'!$AZ$15:$AZ$1000,"",0),  I602="Width", _xlfn.XLOOKUP(C602,'calc_s90&amp;138'!$C$15:$C$1000,'calc_s90&amp;138'!$BB$15:$BB$1000,"",0)),"")</f>
        <v/>
      </c>
      <c r="E602" s="16" t="str" cm="1">
        <f t="array" ref="E602">IF(C602&lt;&gt;"", _xlfn.XLOOKUP(1,((SKUs!$A$2:$A$10001=cl_unmerged!B602) * (ISNUMBER(SEARCH("Bead",SKUs!$J$2:$J$10001)))), SKUs!$J$2:$J$10001,""),"") &amp; IF(C602&lt;&gt;"", " (Sash)","") &amp; _xlfn.IFS(I602="Height", ", H",I602="Height SLI", ", H SLI", I602="Height FIX", ", H FIX",I602="Width", ", W", I602="", "")</f>
        <v/>
      </c>
      <c r="F602" s="33" t="str" cm="1">
        <f t="array" ref="F602">_xlfn.XLOOKUP(1,((SKUs!$A$2:$A$10001=cl_unmerged!B602) * (ISNUMBER(SEARCH("Bead",SKUs!$J$2:$J$10001)))* (ISNUMBER(SEARCH(A602,SKUs!$C$2:$C$10001)))), SKUs!$C$2:$C$10001,"")</f>
        <v/>
      </c>
      <c r="G602" s="16"/>
      <c r="H602" s="16" t="str" cm="1">
        <f t="array" ref="H602">IF(C602&lt;&gt;"", _xlfn.IFS(I602="Height SLI",_xlfn.XLOOKUP(C602,'calc_s90&amp;138'!$C$15:$C$1000,'calc_s90&amp;138'!$AW$15:$AW$1000,"",0), I602="Height FIX",_xlfn.XLOOKUP(C602,'calc_s90&amp;138'!$C$15:$C$1000,'calc_s90&amp;138'!$AY$15:$AY$1000,"",0), I602="Width", _xlfn.XLOOKUP(C602,'calc_s90&amp;138'!$C$15:$C$1000,'calc_s90&amp;138'!$BA$15:$BA$1000,"",0)),"")</f>
        <v/>
      </c>
      <c r="I602" s="16" t="str">
        <f t="shared" si="11"/>
        <v/>
      </c>
    </row>
    <row r="603" spans="1:9" ht="13.5" customHeight="1" x14ac:dyDescent="0.25">
      <c r="A603" s="41" t="str">
        <f>_xlfn.XLOOKUP(G603,dd_color!$A$2:$A$8,dd_color!$B$2:$B$8,"",0)</f>
        <v/>
      </c>
      <c r="B603" s="41">
        <f>_xlfn.XLOOKUP(_xlfn.XLOOKUP(C603,'Project Details'!$C$17:$C$10003,'Project Details'!$E$17:$E$10003, "",0),dd_design_raw!$A$2:$A$9997,dd_design_raw!$C$2:$C$9997,"",0)</f>
        <v>0</v>
      </c>
      <c r="C603" s="16"/>
      <c r="D603" s="16" t="str" cm="1">
        <f t="array" ref="D603">IF(C603&lt;&gt;"", _xlfn.IFS(I603="Height SLI",_xlfn.XLOOKUP(C603,'calc_s90&amp;138'!$C$15:$C$1000,'calc_s90&amp;138'!$AX$15:$AX$1000,"",0),  I603="Height FIX",_xlfn.XLOOKUP(C603,'calc_s90&amp;138'!$C$15:$C$1000,'calc_s90&amp;138'!$AZ$15:$AZ$1000,"",0),  I603="Width", _xlfn.XLOOKUP(C603,'calc_s90&amp;138'!$C$15:$C$1000,'calc_s90&amp;138'!$BB$15:$BB$1000,"",0)),"")</f>
        <v/>
      </c>
      <c r="E603" s="16" t="str" cm="1">
        <f t="array" ref="E603">IF(C603&lt;&gt;"", _xlfn.XLOOKUP(1,((SKUs!$A$2:$A$10001=cl_unmerged!B603) * (ISNUMBER(SEARCH("Bead",SKUs!$J$2:$J$10001)))), SKUs!$J$2:$J$10001,""),"") &amp; IF(C603&lt;&gt;"", " (Sash)","") &amp; _xlfn.IFS(I603="Height", ", H",I603="Height SLI", ", H SLI", I603="Height FIX", ", H FIX",I603="Width", ", W", I603="", "")</f>
        <v/>
      </c>
      <c r="F603" s="33" t="str" cm="1">
        <f t="array" ref="F603">_xlfn.XLOOKUP(1,((SKUs!$A$2:$A$10001=cl_unmerged!B603) * (ISNUMBER(SEARCH("Bead",SKUs!$J$2:$J$10001)))* (ISNUMBER(SEARCH(A603,SKUs!$C$2:$C$10001)))), SKUs!$C$2:$C$10001,"")</f>
        <v/>
      </c>
      <c r="G603" s="16"/>
      <c r="H603" s="16" t="str" cm="1">
        <f t="array" ref="H603">IF(C603&lt;&gt;"", _xlfn.IFS(I603="Height SLI",_xlfn.XLOOKUP(C603,'calc_s90&amp;138'!$C$15:$C$1000,'calc_s90&amp;138'!$AW$15:$AW$1000,"",0), I603="Height FIX",_xlfn.XLOOKUP(C603,'calc_s90&amp;138'!$C$15:$C$1000,'calc_s90&amp;138'!$AY$15:$AY$1000,"",0), I603="Width", _xlfn.XLOOKUP(C603,'calc_s90&amp;138'!$C$15:$C$1000,'calc_s90&amp;138'!$BA$15:$BA$1000,"",0)),"")</f>
        <v/>
      </c>
      <c r="I603" s="16" t="str">
        <f t="shared" si="11"/>
        <v/>
      </c>
    </row>
    <row r="604" spans="1:9" ht="13.5" customHeight="1" x14ac:dyDescent="0.25">
      <c r="A604" s="41" t="str">
        <f>_xlfn.XLOOKUP(G604,dd_color!$A$2:$A$8,dd_color!$B$2:$B$8,"",0)</f>
        <v/>
      </c>
      <c r="B604" s="41">
        <f>_xlfn.XLOOKUP(_xlfn.XLOOKUP(C604,'Project Details'!$C$17:$C$10003,'Project Details'!$E$17:$E$10003, "",0),dd_design_raw!$A$2:$A$9997,dd_design_raw!$C$2:$C$9997,"",0)</f>
        <v>0</v>
      </c>
      <c r="C604" s="16"/>
      <c r="D604" s="16" t="str" cm="1">
        <f t="array" ref="D604">IF(C604&lt;&gt;"", _xlfn.IFS(I604="Height SLI",_xlfn.XLOOKUP(C604,'calc_s90&amp;138'!$C$15:$C$1000,'calc_s90&amp;138'!$AX$15:$AX$1000,"",0),  I604="Height FIX",_xlfn.XLOOKUP(C604,'calc_s90&amp;138'!$C$15:$C$1000,'calc_s90&amp;138'!$AZ$15:$AZ$1000,"",0),  I604="Width", _xlfn.XLOOKUP(C604,'calc_s90&amp;138'!$C$15:$C$1000,'calc_s90&amp;138'!$BB$15:$BB$1000,"",0)),"")</f>
        <v/>
      </c>
      <c r="E604" s="16" t="str" cm="1">
        <f t="array" ref="E604">IF(C604&lt;&gt;"", _xlfn.XLOOKUP(1,((SKUs!$A$2:$A$10001=cl_unmerged!B604) * (ISNUMBER(SEARCH("Bead",SKUs!$J$2:$J$10001)))), SKUs!$J$2:$J$10001,""),"") &amp; IF(C604&lt;&gt;"", " (Sash)","") &amp; _xlfn.IFS(I604="Height", ", H",I604="Height SLI", ", H SLI", I604="Height FIX", ", H FIX",I604="Width", ", W", I604="", "")</f>
        <v/>
      </c>
      <c r="F604" s="33" t="str" cm="1">
        <f t="array" ref="F604">_xlfn.XLOOKUP(1,((SKUs!$A$2:$A$10001=cl_unmerged!B604) * (ISNUMBER(SEARCH("Bead",SKUs!$J$2:$J$10001)))* (ISNUMBER(SEARCH(A604,SKUs!$C$2:$C$10001)))), SKUs!$C$2:$C$10001,"")</f>
        <v/>
      </c>
      <c r="G604" s="16"/>
      <c r="H604" s="16" t="str" cm="1">
        <f t="array" ref="H604">IF(C604&lt;&gt;"", _xlfn.IFS(I604="Height SLI",_xlfn.XLOOKUP(C604,'calc_s90&amp;138'!$C$15:$C$1000,'calc_s90&amp;138'!$AW$15:$AW$1000,"",0), I604="Height FIX",_xlfn.XLOOKUP(C604,'calc_s90&amp;138'!$C$15:$C$1000,'calc_s90&amp;138'!$AY$15:$AY$1000,"",0), I604="Width", _xlfn.XLOOKUP(C604,'calc_s90&amp;138'!$C$15:$C$1000,'calc_s90&amp;138'!$BA$15:$BA$1000,"",0)),"")</f>
        <v/>
      </c>
      <c r="I604" s="16" t="str">
        <f t="shared" si="11"/>
        <v/>
      </c>
    </row>
    <row r="605" spans="1:9" ht="13.5" customHeight="1" x14ac:dyDescent="0.25">
      <c r="A605" s="41" t="str">
        <f>_xlfn.XLOOKUP(G605,dd_color!$A$2:$A$8,dd_color!$B$2:$B$8,"",0)</f>
        <v/>
      </c>
      <c r="B605" s="41" t="str">
        <f>_xlfn.XLOOKUP(_xlfn.XLOOKUP(C605,'Project Details'!$C$17:$C$10003,'Project Details'!$E$17:$E$10003, "",0),dd_design_raw!$A$2:$A$9997,dd_design_raw!$C$2:$C$9997,"",0)</f>
        <v/>
      </c>
      <c r="C605" s="16"/>
      <c r="D605" s="16" t="str" cm="1">
        <f t="array" ref="D605">IF(C605&lt;&gt;"", _xlfn.IFS(I605="Height SLI",_xlfn.XLOOKUP(C605,'calc_s90&amp;138'!$C$15:$C$1000,'calc_s90&amp;138'!$AX$15:$AX$1000,"",0),  I605="Height FIX",_xlfn.XLOOKUP(C605,'calc_s90&amp;138'!$C$15:$C$1000,'calc_s90&amp;138'!$AZ$15:$AZ$1000,"",0),  I605="Width", _xlfn.XLOOKUP(C605,'calc_s90&amp;138'!$C$15:$C$1000,'calc_s90&amp;138'!$BB$15:$BB$1000,"",0)),"")</f>
        <v/>
      </c>
      <c r="E605" s="16" t="str" cm="1">
        <f t="array" ref="E605">IF(C605&lt;&gt;"", _xlfn.XLOOKUP(1,((SKUs!$A$2:$A$10001=cl_unmerged!B605) * (ISNUMBER(SEARCH("Bead",SKUs!$J$2:$J$10001)))), SKUs!$J$2:$J$10001,""),"") &amp; IF(C605&lt;&gt;"", " (Sash)","") &amp; _xlfn.IFS(I605="Height", ", H",I605="Height SLI", ", H SLI", I605="Height FIX", ", H FIX",I605="Width", ", W", I605="", "")</f>
        <v/>
      </c>
      <c r="F605" s="33" t="str" cm="1">
        <f t="array" ref="F605">_xlfn.XLOOKUP(1,((SKUs!$A$2:$A$10001=cl_unmerged!B605) * (ISNUMBER(SEARCH("Bead",SKUs!$J$2:$J$10001)))* (ISNUMBER(SEARCH(A605,SKUs!$C$2:$C$10001)))), SKUs!$C$2:$C$10001,"")</f>
        <v/>
      </c>
      <c r="G605" s="16"/>
      <c r="H605" s="16" t="str" cm="1">
        <f t="array" ref="H605">IF(C605&lt;&gt;"", _xlfn.IFS(I605="Height SLI",_xlfn.XLOOKUP(C605,'calc_s90&amp;138'!$C$15:$C$1000,'calc_s90&amp;138'!$AW$15:$AW$1000,"",0), I605="Height FIX",_xlfn.XLOOKUP(C605,'calc_s90&amp;138'!$C$15:$C$1000,'calc_s90&amp;138'!$AY$15:$AY$1000,"",0), I605="Width", _xlfn.XLOOKUP(C605,'calc_s90&amp;138'!$C$15:$C$1000,'calc_s90&amp;138'!$BA$15:$BA$1000,"",0)),"")</f>
        <v/>
      </c>
      <c r="I605" s="16" t="str">
        <f t="shared" si="11"/>
        <v/>
      </c>
    </row>
    <row r="606" spans="1:9" ht="13.5" customHeight="1" x14ac:dyDescent="0.25">
      <c r="A606" s="41" t="str">
        <f>_xlfn.XLOOKUP(G606,dd_color!$A$2:$A$8,dd_color!$B$2:$B$8,"",0)</f>
        <v/>
      </c>
      <c r="B606" s="41">
        <f>_xlfn.XLOOKUP(_xlfn.XLOOKUP(C606,'Project Details'!$C$17:$C$10003,'Project Details'!$E$17:$E$10003, "",0),dd_design_raw!$A$2:$A$9997,dd_design_raw!$C$2:$C$9997,"",0)</f>
        <v>0</v>
      </c>
      <c r="C606" s="16"/>
      <c r="D606" s="16" t="str" cm="1">
        <f t="array" ref="D606">IF(C606&lt;&gt;"", _xlfn.IFS(I606="Height SLI",_xlfn.XLOOKUP(C606,'calc_s90&amp;138'!$C$15:$C$1000,'calc_s90&amp;138'!$AX$15:$AX$1000,"",0),  I606="Height FIX",_xlfn.XLOOKUP(C606,'calc_s90&amp;138'!$C$15:$C$1000,'calc_s90&amp;138'!$AZ$15:$AZ$1000,"",0),  I606="Width", _xlfn.XLOOKUP(C606,'calc_s90&amp;138'!$C$15:$C$1000,'calc_s90&amp;138'!$BB$15:$BB$1000,"",0)),"")</f>
        <v/>
      </c>
      <c r="E606" s="16" t="str" cm="1">
        <f t="array" ref="E606">IF(C606&lt;&gt;"", _xlfn.XLOOKUP(1,((SKUs!$A$2:$A$10001=cl_unmerged!B606) * (ISNUMBER(SEARCH("Bead",SKUs!$J$2:$J$10001)))), SKUs!$J$2:$J$10001,""),"") &amp; IF(C606&lt;&gt;"", " (Sash)","") &amp; _xlfn.IFS(I606="Height", ", H",I606="Height SLI", ", H SLI", I606="Height FIX", ", H FIX",I606="Width", ", W", I606="", "")</f>
        <v/>
      </c>
      <c r="F606" s="33" t="str" cm="1">
        <f t="array" ref="F606">_xlfn.XLOOKUP(1,((SKUs!$A$2:$A$10001=cl_unmerged!B606) * (ISNUMBER(SEARCH("Bead",SKUs!$J$2:$J$10001)))* (ISNUMBER(SEARCH(A606,SKUs!$C$2:$C$10001)))), SKUs!$C$2:$C$10001,"")</f>
        <v/>
      </c>
      <c r="G606" s="16"/>
      <c r="H606" s="16" t="str" cm="1">
        <f t="array" ref="H606">IF(C606&lt;&gt;"", _xlfn.IFS(I606="Height SLI",_xlfn.XLOOKUP(C606,'calc_s90&amp;138'!$C$15:$C$1000,'calc_s90&amp;138'!$AW$15:$AW$1000,"",0), I606="Height FIX",_xlfn.XLOOKUP(C606,'calc_s90&amp;138'!$C$15:$C$1000,'calc_s90&amp;138'!$AY$15:$AY$1000,"",0), I606="Width", _xlfn.XLOOKUP(C606,'calc_s90&amp;138'!$C$15:$C$1000,'calc_s90&amp;138'!$BA$15:$BA$1000,"",0)),"")</f>
        <v/>
      </c>
      <c r="I606" s="16" t="str">
        <f t="shared" ref="I606:I627" si="12">IF(C606&lt;&gt;"", I603,"")</f>
        <v/>
      </c>
    </row>
    <row r="607" spans="1:9" ht="13.5" customHeight="1" x14ac:dyDescent="0.25">
      <c r="A607" s="41" t="str">
        <f>_xlfn.XLOOKUP(G607,dd_color!$A$2:$A$8,dd_color!$B$2:$B$8,"",0)</f>
        <v/>
      </c>
      <c r="B607" s="41" t="str">
        <f>_xlfn.XLOOKUP(_xlfn.XLOOKUP(C607,'Project Details'!$C$17:$C$10003,'Project Details'!$E$17:$E$10003, "",0),dd_design_raw!$A$2:$A$9997,dd_design_raw!$C$2:$C$9997,"",0)</f>
        <v/>
      </c>
      <c r="C607" s="16"/>
      <c r="D607" s="16" t="str" cm="1">
        <f t="array" ref="D607">IF(C607&lt;&gt;"", _xlfn.IFS(I607="Height SLI",_xlfn.XLOOKUP(C607,'calc_s90&amp;138'!$C$15:$C$1000,'calc_s90&amp;138'!$AX$15:$AX$1000,"",0),  I607="Height FIX",_xlfn.XLOOKUP(C607,'calc_s90&amp;138'!$C$15:$C$1000,'calc_s90&amp;138'!$AZ$15:$AZ$1000,"",0),  I607="Width", _xlfn.XLOOKUP(C607,'calc_s90&amp;138'!$C$15:$C$1000,'calc_s90&amp;138'!$BB$15:$BB$1000,"",0)),"")</f>
        <v/>
      </c>
      <c r="E607" s="16" t="str" cm="1">
        <f t="array" ref="E607">IF(C607&lt;&gt;"", _xlfn.XLOOKUP(1,((SKUs!$A$2:$A$10001=cl_unmerged!B607) * (ISNUMBER(SEARCH("Bead",SKUs!$J$2:$J$10001)))), SKUs!$J$2:$J$10001,""),"") &amp; IF(C607&lt;&gt;"", " (Sash)","") &amp; _xlfn.IFS(I607="Height", ", H",I607="Height SLI", ", H SLI", I607="Height FIX", ", H FIX",I607="Width", ", W", I607="", "")</f>
        <v/>
      </c>
      <c r="F607" s="33" t="str" cm="1">
        <f t="array" ref="F607">_xlfn.XLOOKUP(1,((SKUs!$A$2:$A$10001=cl_unmerged!B607) * (ISNUMBER(SEARCH("Bead",SKUs!$J$2:$J$10001)))* (ISNUMBER(SEARCH(A607,SKUs!$C$2:$C$10001)))), SKUs!$C$2:$C$10001,"")</f>
        <v/>
      </c>
      <c r="G607" s="16"/>
      <c r="H607" s="16" t="str" cm="1">
        <f t="array" ref="H607">IF(C607&lt;&gt;"", _xlfn.IFS(I607="Height SLI",_xlfn.XLOOKUP(C607,'calc_s90&amp;138'!$C$15:$C$1000,'calc_s90&amp;138'!$AW$15:$AW$1000,"",0), I607="Height FIX",_xlfn.XLOOKUP(C607,'calc_s90&amp;138'!$C$15:$C$1000,'calc_s90&amp;138'!$AY$15:$AY$1000,"",0), I607="Width", _xlfn.XLOOKUP(C607,'calc_s90&amp;138'!$C$15:$C$1000,'calc_s90&amp;138'!$BA$15:$BA$1000,"",0)),"")</f>
        <v/>
      </c>
      <c r="I607" s="16" t="str">
        <f t="shared" si="12"/>
        <v/>
      </c>
    </row>
    <row r="608" spans="1:9" ht="13.5" customHeight="1" x14ac:dyDescent="0.25">
      <c r="A608" s="41" t="str">
        <f>_xlfn.XLOOKUP(G608,dd_color!$A$2:$A$8,dd_color!$B$2:$B$8,"",0)</f>
        <v/>
      </c>
      <c r="B608" s="41">
        <f>_xlfn.XLOOKUP(_xlfn.XLOOKUP(C608,'Project Details'!$C$17:$C$10003,'Project Details'!$E$17:$E$10003, "",0),dd_design_raw!$A$2:$A$9997,dd_design_raw!$C$2:$C$9997,"",0)</f>
        <v>0</v>
      </c>
      <c r="C608" s="16"/>
      <c r="D608" s="16" t="str" cm="1">
        <f t="array" ref="D608">IF(C608&lt;&gt;"", _xlfn.IFS(I608="Height SLI",_xlfn.XLOOKUP(C608,'calc_s90&amp;138'!$C$15:$C$1000,'calc_s90&amp;138'!$AX$15:$AX$1000,"",0),  I608="Height FIX",_xlfn.XLOOKUP(C608,'calc_s90&amp;138'!$C$15:$C$1000,'calc_s90&amp;138'!$AZ$15:$AZ$1000,"",0),  I608="Width", _xlfn.XLOOKUP(C608,'calc_s90&amp;138'!$C$15:$C$1000,'calc_s90&amp;138'!$BB$15:$BB$1000,"",0)),"")</f>
        <v/>
      </c>
      <c r="E608" s="16" t="str" cm="1">
        <f t="array" ref="E608">IF(C608&lt;&gt;"", _xlfn.XLOOKUP(1,((SKUs!$A$2:$A$10001=cl_unmerged!B608) * (ISNUMBER(SEARCH("Bead",SKUs!$J$2:$J$10001)))), SKUs!$J$2:$J$10001,""),"") &amp; IF(C608&lt;&gt;"", " (Sash)","") &amp; _xlfn.IFS(I608="Height", ", H",I608="Height SLI", ", H SLI", I608="Height FIX", ", H FIX",I608="Width", ", W", I608="", "")</f>
        <v/>
      </c>
      <c r="F608" s="33" t="str" cm="1">
        <f t="array" ref="F608">_xlfn.XLOOKUP(1,((SKUs!$A$2:$A$10001=cl_unmerged!B608) * (ISNUMBER(SEARCH("Bead",SKUs!$J$2:$J$10001)))* (ISNUMBER(SEARCH(A608,SKUs!$C$2:$C$10001)))), SKUs!$C$2:$C$10001,"")</f>
        <v/>
      </c>
      <c r="G608" s="16"/>
      <c r="H608" s="16" t="str" cm="1">
        <f t="array" ref="H608">IF(C608&lt;&gt;"", _xlfn.IFS(I608="Height SLI",_xlfn.XLOOKUP(C608,'calc_s90&amp;138'!$C$15:$C$1000,'calc_s90&amp;138'!$AW$15:$AW$1000,"",0), I608="Height FIX",_xlfn.XLOOKUP(C608,'calc_s90&amp;138'!$C$15:$C$1000,'calc_s90&amp;138'!$AY$15:$AY$1000,"",0), I608="Width", _xlfn.XLOOKUP(C608,'calc_s90&amp;138'!$C$15:$C$1000,'calc_s90&amp;138'!$BA$15:$BA$1000,"",0)),"")</f>
        <v/>
      </c>
      <c r="I608" s="16" t="str">
        <f t="shared" si="12"/>
        <v/>
      </c>
    </row>
    <row r="609" spans="1:9" ht="13.5" customHeight="1" x14ac:dyDescent="0.25">
      <c r="A609" s="41" t="str">
        <f>_xlfn.XLOOKUP(G609,dd_color!$A$2:$A$8,dd_color!$B$2:$B$8,"",0)</f>
        <v/>
      </c>
      <c r="B609" s="41">
        <f>_xlfn.XLOOKUP(_xlfn.XLOOKUP(C609,'Project Details'!$C$17:$C$10003,'Project Details'!$E$17:$E$10003, "",0),dd_design_raw!$A$2:$A$9997,dd_design_raw!$C$2:$C$9997,"",0)</f>
        <v>0</v>
      </c>
      <c r="C609" s="16"/>
      <c r="D609" s="16" t="str" cm="1">
        <f t="array" ref="D609">IF(C609&lt;&gt;"", _xlfn.IFS(I609="Height SLI",_xlfn.XLOOKUP(C609,'calc_s90&amp;138'!$C$15:$C$1000,'calc_s90&amp;138'!$AX$15:$AX$1000,"",0),  I609="Height FIX",_xlfn.XLOOKUP(C609,'calc_s90&amp;138'!$C$15:$C$1000,'calc_s90&amp;138'!$AZ$15:$AZ$1000,"",0),  I609="Width", _xlfn.XLOOKUP(C609,'calc_s90&amp;138'!$C$15:$C$1000,'calc_s90&amp;138'!$BB$15:$BB$1000,"",0)),"")</f>
        <v/>
      </c>
      <c r="E609" s="16" t="str" cm="1">
        <f t="array" ref="E609">IF(C609&lt;&gt;"", _xlfn.XLOOKUP(1,((SKUs!$A$2:$A$10001=cl_unmerged!B609) * (ISNUMBER(SEARCH("Bead",SKUs!$J$2:$J$10001)))), SKUs!$J$2:$J$10001,""),"") &amp; IF(C609&lt;&gt;"", " (Sash)","") &amp; _xlfn.IFS(I609="Height", ", H",I609="Height SLI", ", H SLI", I609="Height FIX", ", H FIX",I609="Width", ", W", I609="", "")</f>
        <v/>
      </c>
      <c r="F609" s="33" t="str" cm="1">
        <f t="array" ref="F609">_xlfn.XLOOKUP(1,((SKUs!$A$2:$A$10001=cl_unmerged!B609) * (ISNUMBER(SEARCH("Bead",SKUs!$J$2:$J$10001)))* (ISNUMBER(SEARCH(A609,SKUs!$C$2:$C$10001)))), SKUs!$C$2:$C$10001,"")</f>
        <v/>
      </c>
      <c r="G609" s="16"/>
      <c r="H609" s="16" t="str" cm="1">
        <f t="array" ref="H609">IF(C609&lt;&gt;"", _xlfn.IFS(I609="Height SLI",_xlfn.XLOOKUP(C609,'calc_s90&amp;138'!$C$15:$C$1000,'calc_s90&amp;138'!$AW$15:$AW$1000,"",0), I609="Height FIX",_xlfn.XLOOKUP(C609,'calc_s90&amp;138'!$C$15:$C$1000,'calc_s90&amp;138'!$AY$15:$AY$1000,"",0), I609="Width", _xlfn.XLOOKUP(C609,'calc_s90&amp;138'!$C$15:$C$1000,'calc_s90&amp;138'!$BA$15:$BA$1000,"",0)),"")</f>
        <v/>
      </c>
      <c r="I609" s="16" t="str">
        <f t="shared" si="12"/>
        <v/>
      </c>
    </row>
    <row r="610" spans="1:9" ht="13.5" customHeight="1" x14ac:dyDescent="0.25">
      <c r="A610" s="41" t="str">
        <f>_xlfn.XLOOKUP(G610,dd_color!$A$2:$A$8,dd_color!$B$2:$B$8,"",0)</f>
        <v/>
      </c>
      <c r="B610" s="41">
        <f>_xlfn.XLOOKUP(_xlfn.XLOOKUP(C610,'Project Details'!$C$17:$C$10003,'Project Details'!$E$17:$E$10003, "",0),dd_design_raw!$A$2:$A$9997,dd_design_raw!$C$2:$C$9997,"",0)</f>
        <v>0</v>
      </c>
      <c r="C610" s="16"/>
      <c r="D610" s="16" t="str" cm="1">
        <f t="array" ref="D610">IF(C610&lt;&gt;"", _xlfn.IFS(I610="Height SLI",_xlfn.XLOOKUP(C610,'calc_s90&amp;138'!$C$15:$C$1000,'calc_s90&amp;138'!$AX$15:$AX$1000,"",0),  I610="Height FIX",_xlfn.XLOOKUP(C610,'calc_s90&amp;138'!$C$15:$C$1000,'calc_s90&amp;138'!$AZ$15:$AZ$1000,"",0),  I610="Width", _xlfn.XLOOKUP(C610,'calc_s90&amp;138'!$C$15:$C$1000,'calc_s90&amp;138'!$BB$15:$BB$1000,"",0)),"")</f>
        <v/>
      </c>
      <c r="E610" s="16" t="str" cm="1">
        <f t="array" ref="E610">IF(C610&lt;&gt;"", _xlfn.XLOOKUP(1,((SKUs!$A$2:$A$10001=cl_unmerged!B610) * (ISNUMBER(SEARCH("Bead",SKUs!$J$2:$J$10001)))), SKUs!$J$2:$J$10001,""),"") &amp; IF(C610&lt;&gt;"", " (Sash)","") &amp; _xlfn.IFS(I610="Height", ", H",I610="Height SLI", ", H SLI", I610="Height FIX", ", H FIX",I610="Width", ", W", I610="", "")</f>
        <v/>
      </c>
      <c r="F610" s="33" t="str" cm="1">
        <f t="array" ref="F610">_xlfn.XLOOKUP(1,((SKUs!$A$2:$A$10001=cl_unmerged!B610) * (ISNUMBER(SEARCH("Bead",SKUs!$J$2:$J$10001)))* (ISNUMBER(SEARCH(A610,SKUs!$C$2:$C$10001)))), SKUs!$C$2:$C$10001,"")</f>
        <v/>
      </c>
      <c r="G610" s="16"/>
      <c r="H610" s="16" t="str" cm="1">
        <f t="array" ref="H610">IF(C610&lt;&gt;"", _xlfn.IFS(I610="Height SLI",_xlfn.XLOOKUP(C610,'calc_s90&amp;138'!$C$15:$C$1000,'calc_s90&amp;138'!$AW$15:$AW$1000,"",0), I610="Height FIX",_xlfn.XLOOKUP(C610,'calc_s90&amp;138'!$C$15:$C$1000,'calc_s90&amp;138'!$AY$15:$AY$1000,"",0), I610="Width", _xlfn.XLOOKUP(C610,'calc_s90&amp;138'!$C$15:$C$1000,'calc_s90&amp;138'!$BA$15:$BA$1000,"",0)),"")</f>
        <v/>
      </c>
      <c r="I610" s="16" t="str">
        <f t="shared" si="12"/>
        <v/>
      </c>
    </row>
    <row r="611" spans="1:9" ht="13.5" customHeight="1" x14ac:dyDescent="0.25">
      <c r="A611" s="41" t="str">
        <f>_xlfn.XLOOKUP(G611,dd_color!$A$2:$A$8,dd_color!$B$2:$B$8,"",0)</f>
        <v/>
      </c>
      <c r="B611" s="41">
        <f>_xlfn.XLOOKUP(_xlfn.XLOOKUP(C611,'Project Details'!$C$17:$C$10003,'Project Details'!$E$17:$E$10003, "",0),dd_design_raw!$A$2:$A$9997,dd_design_raw!$C$2:$C$9997,"",0)</f>
        <v>0</v>
      </c>
      <c r="C611" s="16"/>
      <c r="D611" s="16" t="str" cm="1">
        <f t="array" ref="D611">IF(C611&lt;&gt;"", _xlfn.IFS(I611="Height SLI",_xlfn.XLOOKUP(C611,'calc_s90&amp;138'!$C$15:$C$1000,'calc_s90&amp;138'!$AX$15:$AX$1000,"",0),  I611="Height FIX",_xlfn.XLOOKUP(C611,'calc_s90&amp;138'!$C$15:$C$1000,'calc_s90&amp;138'!$AZ$15:$AZ$1000,"",0),  I611="Width", _xlfn.XLOOKUP(C611,'calc_s90&amp;138'!$C$15:$C$1000,'calc_s90&amp;138'!$BB$15:$BB$1000,"",0)),"")</f>
        <v/>
      </c>
      <c r="E611" s="16" t="str" cm="1">
        <f t="array" ref="E611">IF(C611&lt;&gt;"", _xlfn.XLOOKUP(1,((SKUs!$A$2:$A$10001=cl_unmerged!B611) * (ISNUMBER(SEARCH("Bead",SKUs!$J$2:$J$10001)))), SKUs!$J$2:$J$10001,""),"") &amp; IF(C611&lt;&gt;"", " (Sash)","") &amp; _xlfn.IFS(I611="Height", ", H",I611="Height SLI", ", H SLI", I611="Height FIX", ", H FIX",I611="Width", ", W", I611="", "")</f>
        <v/>
      </c>
      <c r="F611" s="33" t="str" cm="1">
        <f t="array" ref="F611">_xlfn.XLOOKUP(1,((SKUs!$A$2:$A$10001=cl_unmerged!B611) * (ISNUMBER(SEARCH("Bead",SKUs!$J$2:$J$10001)))* (ISNUMBER(SEARCH(A611,SKUs!$C$2:$C$10001)))), SKUs!$C$2:$C$10001,"")</f>
        <v/>
      </c>
      <c r="G611" s="16"/>
      <c r="H611" s="16" t="str" cm="1">
        <f t="array" ref="H611">IF(C611&lt;&gt;"", _xlfn.IFS(I611="Height SLI",_xlfn.XLOOKUP(C611,'calc_s90&amp;138'!$C$15:$C$1000,'calc_s90&amp;138'!$AW$15:$AW$1000,"",0), I611="Height FIX",_xlfn.XLOOKUP(C611,'calc_s90&amp;138'!$C$15:$C$1000,'calc_s90&amp;138'!$AY$15:$AY$1000,"",0), I611="Width", _xlfn.XLOOKUP(C611,'calc_s90&amp;138'!$C$15:$C$1000,'calc_s90&amp;138'!$BA$15:$BA$1000,"",0)),"")</f>
        <v/>
      </c>
      <c r="I611" s="16" t="str">
        <f t="shared" si="12"/>
        <v/>
      </c>
    </row>
    <row r="612" spans="1:9" ht="13.5" customHeight="1" x14ac:dyDescent="0.25">
      <c r="A612" s="41" t="str">
        <f>_xlfn.XLOOKUP(G612,dd_color!$A$2:$A$8,dd_color!$B$2:$B$8,"",0)</f>
        <v/>
      </c>
      <c r="B612" s="41">
        <f>_xlfn.XLOOKUP(_xlfn.XLOOKUP(C612,'Project Details'!$C$17:$C$10003,'Project Details'!$E$17:$E$10003, "",0),dd_design_raw!$A$2:$A$9997,dd_design_raw!$C$2:$C$9997,"",0)</f>
        <v>0</v>
      </c>
      <c r="C612" s="16"/>
      <c r="D612" s="16" t="str" cm="1">
        <f t="array" ref="D612">IF(C612&lt;&gt;"", _xlfn.IFS(I612="Height SLI",_xlfn.XLOOKUP(C612,'calc_s90&amp;138'!$C$15:$C$1000,'calc_s90&amp;138'!$AX$15:$AX$1000,"",0),  I612="Height FIX",_xlfn.XLOOKUP(C612,'calc_s90&amp;138'!$C$15:$C$1000,'calc_s90&amp;138'!$AZ$15:$AZ$1000,"",0),  I612="Width", _xlfn.XLOOKUP(C612,'calc_s90&amp;138'!$C$15:$C$1000,'calc_s90&amp;138'!$BB$15:$BB$1000,"",0)),"")</f>
        <v/>
      </c>
      <c r="E612" s="16" t="str" cm="1">
        <f t="array" ref="E612">IF(C612&lt;&gt;"", _xlfn.XLOOKUP(1,((SKUs!$A$2:$A$10001=cl_unmerged!B612) * (ISNUMBER(SEARCH("Bead",SKUs!$J$2:$J$10001)))), SKUs!$J$2:$J$10001,""),"") &amp; IF(C612&lt;&gt;"", " (Sash)","") &amp; _xlfn.IFS(I612="Height", ", H",I612="Height SLI", ", H SLI", I612="Height FIX", ", H FIX",I612="Width", ", W", I612="", "")</f>
        <v/>
      </c>
      <c r="F612" s="33" t="str" cm="1">
        <f t="array" ref="F612">_xlfn.XLOOKUP(1,((SKUs!$A$2:$A$10001=cl_unmerged!B612) * (ISNUMBER(SEARCH("Bead",SKUs!$J$2:$J$10001)))* (ISNUMBER(SEARCH(A612,SKUs!$C$2:$C$10001)))), SKUs!$C$2:$C$10001,"")</f>
        <v/>
      </c>
      <c r="G612" s="16"/>
      <c r="H612" s="16" t="str" cm="1">
        <f t="array" ref="H612">IF(C612&lt;&gt;"", _xlfn.IFS(I612="Height SLI",_xlfn.XLOOKUP(C612,'calc_s90&amp;138'!$C$15:$C$1000,'calc_s90&amp;138'!$AW$15:$AW$1000,"",0), I612="Height FIX",_xlfn.XLOOKUP(C612,'calc_s90&amp;138'!$C$15:$C$1000,'calc_s90&amp;138'!$AY$15:$AY$1000,"",0), I612="Width", _xlfn.XLOOKUP(C612,'calc_s90&amp;138'!$C$15:$C$1000,'calc_s90&amp;138'!$BA$15:$BA$1000,"",0)),"")</f>
        <v/>
      </c>
      <c r="I612" s="16" t="str">
        <f t="shared" si="12"/>
        <v/>
      </c>
    </row>
    <row r="613" spans="1:9" ht="13.5" customHeight="1" x14ac:dyDescent="0.25">
      <c r="A613" s="41" t="str">
        <f>_xlfn.XLOOKUP(G613,dd_color!$A$2:$A$8,dd_color!$B$2:$B$8,"",0)</f>
        <v/>
      </c>
      <c r="B613" s="41">
        <f>_xlfn.XLOOKUP(_xlfn.XLOOKUP(C613,'Project Details'!$C$17:$C$10003,'Project Details'!$E$17:$E$10003, "",0),dd_design_raw!$A$2:$A$9997,dd_design_raw!$C$2:$C$9997,"",0)</f>
        <v>0</v>
      </c>
      <c r="C613" s="16"/>
      <c r="D613" s="16" t="str" cm="1">
        <f t="array" ref="D613">IF(C613&lt;&gt;"", _xlfn.IFS(I613="Height SLI",_xlfn.XLOOKUP(C613,'calc_s90&amp;138'!$C$15:$C$1000,'calc_s90&amp;138'!$AX$15:$AX$1000,"",0),  I613="Height FIX",_xlfn.XLOOKUP(C613,'calc_s90&amp;138'!$C$15:$C$1000,'calc_s90&amp;138'!$AZ$15:$AZ$1000,"",0),  I613="Width", _xlfn.XLOOKUP(C613,'calc_s90&amp;138'!$C$15:$C$1000,'calc_s90&amp;138'!$BB$15:$BB$1000,"",0)),"")</f>
        <v/>
      </c>
      <c r="E613" s="16" t="str" cm="1">
        <f t="array" ref="E613">IF(C613&lt;&gt;"", _xlfn.XLOOKUP(1,((SKUs!$A$2:$A$10001=cl_unmerged!B613) * (ISNUMBER(SEARCH("Bead",SKUs!$J$2:$J$10001)))), SKUs!$J$2:$J$10001,""),"") &amp; IF(C613&lt;&gt;"", " (Sash)","") &amp; _xlfn.IFS(I613="Height", ", H",I613="Height SLI", ", H SLI", I613="Height FIX", ", H FIX",I613="Width", ", W", I613="", "")</f>
        <v/>
      </c>
      <c r="F613" s="33" t="str" cm="1">
        <f t="array" ref="F613">_xlfn.XLOOKUP(1,((SKUs!$A$2:$A$10001=cl_unmerged!B613) * (ISNUMBER(SEARCH("Bead",SKUs!$J$2:$J$10001)))* (ISNUMBER(SEARCH(A613,SKUs!$C$2:$C$10001)))), SKUs!$C$2:$C$10001,"")</f>
        <v/>
      </c>
      <c r="G613" s="16"/>
      <c r="H613" s="16" t="str" cm="1">
        <f t="array" ref="H613">IF(C613&lt;&gt;"", _xlfn.IFS(I613="Height SLI",_xlfn.XLOOKUP(C613,'calc_s90&amp;138'!$C$15:$C$1000,'calc_s90&amp;138'!$AW$15:$AW$1000,"",0), I613="Height FIX",_xlfn.XLOOKUP(C613,'calc_s90&amp;138'!$C$15:$C$1000,'calc_s90&amp;138'!$AY$15:$AY$1000,"",0), I613="Width", _xlfn.XLOOKUP(C613,'calc_s90&amp;138'!$C$15:$C$1000,'calc_s90&amp;138'!$BA$15:$BA$1000,"",0)),"")</f>
        <v/>
      </c>
      <c r="I613" s="16" t="str">
        <f t="shared" si="12"/>
        <v/>
      </c>
    </row>
    <row r="614" spans="1:9" ht="13.5" customHeight="1" x14ac:dyDescent="0.25">
      <c r="A614" s="41" t="str">
        <f>_xlfn.XLOOKUP(G614,dd_color!$A$2:$A$8,dd_color!$B$2:$B$8,"",0)</f>
        <v/>
      </c>
      <c r="B614" s="41">
        <f>_xlfn.XLOOKUP(_xlfn.XLOOKUP(C614,'Project Details'!$C$17:$C$10003,'Project Details'!$E$17:$E$10003, "",0),dd_design_raw!$A$2:$A$9997,dd_design_raw!$C$2:$C$9997,"",0)</f>
        <v>0</v>
      </c>
      <c r="C614" s="16"/>
      <c r="D614" s="16" t="str" cm="1">
        <f t="array" ref="D614">IF(C614&lt;&gt;"", _xlfn.IFS(I614="Height SLI",_xlfn.XLOOKUP(C614,'calc_s90&amp;138'!$C$15:$C$1000,'calc_s90&amp;138'!$AX$15:$AX$1000,"",0),  I614="Height FIX",_xlfn.XLOOKUP(C614,'calc_s90&amp;138'!$C$15:$C$1000,'calc_s90&amp;138'!$AZ$15:$AZ$1000,"",0),  I614="Width", _xlfn.XLOOKUP(C614,'calc_s90&amp;138'!$C$15:$C$1000,'calc_s90&amp;138'!$BB$15:$BB$1000,"",0)),"")</f>
        <v/>
      </c>
      <c r="E614" s="16" t="str" cm="1">
        <f t="array" ref="E614">IF(C614&lt;&gt;"", _xlfn.XLOOKUP(1,((SKUs!$A$2:$A$10001=cl_unmerged!B614) * (ISNUMBER(SEARCH("Bead",SKUs!$J$2:$J$10001)))), SKUs!$J$2:$J$10001,""),"") &amp; IF(C614&lt;&gt;"", " (Sash)","") &amp; _xlfn.IFS(I614="Height", ", H",I614="Height SLI", ", H SLI", I614="Height FIX", ", H FIX",I614="Width", ", W", I614="", "")</f>
        <v/>
      </c>
      <c r="F614" s="33" t="str" cm="1">
        <f t="array" ref="F614">_xlfn.XLOOKUP(1,((SKUs!$A$2:$A$10001=cl_unmerged!B614) * (ISNUMBER(SEARCH("Bead",SKUs!$J$2:$J$10001)))* (ISNUMBER(SEARCH(A614,SKUs!$C$2:$C$10001)))), SKUs!$C$2:$C$10001,"")</f>
        <v/>
      </c>
      <c r="G614" s="16"/>
      <c r="H614" s="16" t="str" cm="1">
        <f t="array" ref="H614">IF(C614&lt;&gt;"", _xlfn.IFS(I614="Height SLI",_xlfn.XLOOKUP(C614,'calc_s90&amp;138'!$C$15:$C$1000,'calc_s90&amp;138'!$AW$15:$AW$1000,"",0), I614="Height FIX",_xlfn.XLOOKUP(C614,'calc_s90&amp;138'!$C$15:$C$1000,'calc_s90&amp;138'!$AY$15:$AY$1000,"",0), I614="Width", _xlfn.XLOOKUP(C614,'calc_s90&amp;138'!$C$15:$C$1000,'calc_s90&amp;138'!$BA$15:$BA$1000,"",0)),"")</f>
        <v/>
      </c>
      <c r="I614" s="16" t="str">
        <f t="shared" si="12"/>
        <v/>
      </c>
    </row>
    <row r="615" spans="1:9" ht="13.5" customHeight="1" x14ac:dyDescent="0.25">
      <c r="A615" s="41" t="str">
        <f>_xlfn.XLOOKUP(G615,dd_color!$A$2:$A$8,dd_color!$B$2:$B$8,"",0)</f>
        <v/>
      </c>
      <c r="B615" s="41" t="str">
        <f>_xlfn.XLOOKUP(_xlfn.XLOOKUP(C615,'Project Details'!$C$17:$C$10003,'Project Details'!$E$17:$E$10003, "",0),dd_design_raw!$A$2:$A$9997,dd_design_raw!$C$2:$C$9997,"",0)</f>
        <v/>
      </c>
      <c r="C615" s="16"/>
      <c r="D615" s="16" t="str" cm="1">
        <f t="array" ref="D615">IF(C615&lt;&gt;"", _xlfn.IFS(I615="Height SLI",_xlfn.XLOOKUP(C615,'calc_s90&amp;138'!$C$15:$C$1000,'calc_s90&amp;138'!$AX$15:$AX$1000,"",0),  I615="Height FIX",_xlfn.XLOOKUP(C615,'calc_s90&amp;138'!$C$15:$C$1000,'calc_s90&amp;138'!$AZ$15:$AZ$1000,"",0),  I615="Width", _xlfn.XLOOKUP(C615,'calc_s90&amp;138'!$C$15:$C$1000,'calc_s90&amp;138'!$BB$15:$BB$1000,"",0)),"")</f>
        <v/>
      </c>
      <c r="E615" s="16" t="str" cm="1">
        <f t="array" ref="E615">IF(C615&lt;&gt;"", _xlfn.XLOOKUP(1,((SKUs!$A$2:$A$10001=cl_unmerged!B615) * (ISNUMBER(SEARCH("Bead",SKUs!$J$2:$J$10001)))), SKUs!$J$2:$J$10001,""),"") &amp; IF(C615&lt;&gt;"", " (Sash)","") &amp; _xlfn.IFS(I615="Height", ", H",I615="Height SLI", ", H SLI", I615="Height FIX", ", H FIX",I615="Width", ", W", I615="", "")</f>
        <v/>
      </c>
      <c r="F615" s="33" t="str" cm="1">
        <f t="array" ref="F615">_xlfn.XLOOKUP(1,((SKUs!$A$2:$A$10001=cl_unmerged!B615) * (ISNUMBER(SEARCH("Bead",SKUs!$J$2:$J$10001)))* (ISNUMBER(SEARCH(A615,SKUs!$C$2:$C$10001)))), SKUs!$C$2:$C$10001,"")</f>
        <v/>
      </c>
      <c r="G615" s="16"/>
      <c r="H615" s="16" t="str" cm="1">
        <f t="array" ref="H615">IF(C615&lt;&gt;"", _xlfn.IFS(I615="Height SLI",_xlfn.XLOOKUP(C615,'calc_s90&amp;138'!$C$15:$C$1000,'calc_s90&amp;138'!$AW$15:$AW$1000,"",0), I615="Height FIX",_xlfn.XLOOKUP(C615,'calc_s90&amp;138'!$C$15:$C$1000,'calc_s90&amp;138'!$AY$15:$AY$1000,"",0), I615="Width", _xlfn.XLOOKUP(C615,'calc_s90&amp;138'!$C$15:$C$1000,'calc_s90&amp;138'!$BA$15:$BA$1000,"",0)),"")</f>
        <v/>
      </c>
      <c r="I615" s="16" t="str">
        <f t="shared" si="12"/>
        <v/>
      </c>
    </row>
    <row r="616" spans="1:9" ht="13.5" customHeight="1" x14ac:dyDescent="0.25">
      <c r="A616" s="41" t="str">
        <f>_xlfn.XLOOKUP(G616,dd_color!$A$2:$A$8,dd_color!$B$2:$B$8,"",0)</f>
        <v/>
      </c>
      <c r="B616" s="41">
        <f>_xlfn.XLOOKUP(_xlfn.XLOOKUP(C616,'Project Details'!$C$17:$C$10003,'Project Details'!$E$17:$E$10003, "",0),dd_design_raw!$A$2:$A$9997,dd_design_raw!$C$2:$C$9997,"",0)</f>
        <v>0</v>
      </c>
      <c r="C616" s="16"/>
      <c r="D616" s="16" t="str" cm="1">
        <f t="array" ref="D616">IF(C616&lt;&gt;"", _xlfn.IFS(I616="Height SLI",_xlfn.XLOOKUP(C616,'calc_s90&amp;138'!$C$15:$C$1000,'calc_s90&amp;138'!$AX$15:$AX$1000,"",0),  I616="Height FIX",_xlfn.XLOOKUP(C616,'calc_s90&amp;138'!$C$15:$C$1000,'calc_s90&amp;138'!$AZ$15:$AZ$1000,"",0),  I616="Width", _xlfn.XLOOKUP(C616,'calc_s90&amp;138'!$C$15:$C$1000,'calc_s90&amp;138'!$BB$15:$BB$1000,"",0)),"")</f>
        <v/>
      </c>
      <c r="E616" s="16" t="str" cm="1">
        <f t="array" ref="E616">IF(C616&lt;&gt;"", _xlfn.XLOOKUP(1,((SKUs!$A$2:$A$10001=cl_unmerged!B616) * (ISNUMBER(SEARCH("Bead",SKUs!$J$2:$J$10001)))), SKUs!$J$2:$J$10001,""),"") &amp; IF(C616&lt;&gt;"", " (Sash)","") &amp; _xlfn.IFS(I616="Height", ", H",I616="Height SLI", ", H SLI", I616="Height FIX", ", H FIX",I616="Width", ", W", I616="", "")</f>
        <v/>
      </c>
      <c r="F616" s="33" t="str" cm="1">
        <f t="array" ref="F616">_xlfn.XLOOKUP(1,((SKUs!$A$2:$A$10001=cl_unmerged!B616) * (ISNUMBER(SEARCH("Bead",SKUs!$J$2:$J$10001)))* (ISNUMBER(SEARCH(A616,SKUs!$C$2:$C$10001)))), SKUs!$C$2:$C$10001,"")</f>
        <v/>
      </c>
      <c r="G616" s="16"/>
      <c r="H616" s="16" t="str" cm="1">
        <f t="array" ref="H616">IF(C616&lt;&gt;"", _xlfn.IFS(I616="Height SLI",_xlfn.XLOOKUP(C616,'calc_s90&amp;138'!$C$15:$C$1000,'calc_s90&amp;138'!$AW$15:$AW$1000,"",0), I616="Height FIX",_xlfn.XLOOKUP(C616,'calc_s90&amp;138'!$C$15:$C$1000,'calc_s90&amp;138'!$AY$15:$AY$1000,"",0), I616="Width", _xlfn.XLOOKUP(C616,'calc_s90&amp;138'!$C$15:$C$1000,'calc_s90&amp;138'!$BA$15:$BA$1000,"",0)),"")</f>
        <v/>
      </c>
      <c r="I616" s="16" t="str">
        <f t="shared" si="12"/>
        <v/>
      </c>
    </row>
    <row r="617" spans="1:9" ht="13.5" customHeight="1" x14ac:dyDescent="0.25">
      <c r="A617" s="41" t="str">
        <f>_xlfn.XLOOKUP(G617,dd_color!$A$2:$A$8,dd_color!$B$2:$B$8,"",0)</f>
        <v/>
      </c>
      <c r="B617" s="41">
        <f>_xlfn.XLOOKUP(_xlfn.XLOOKUP(C617,'Project Details'!$C$17:$C$10003,'Project Details'!$E$17:$E$10003, "",0),dd_design_raw!$A$2:$A$9997,dd_design_raw!$C$2:$C$9997,"",0)</f>
        <v>0</v>
      </c>
      <c r="C617" s="16"/>
      <c r="D617" s="16" t="str" cm="1">
        <f t="array" ref="D617">IF(C617&lt;&gt;"", _xlfn.IFS(I617="Height SLI",_xlfn.XLOOKUP(C617,'calc_s90&amp;138'!$C$15:$C$1000,'calc_s90&amp;138'!$AX$15:$AX$1000,"",0),  I617="Height FIX",_xlfn.XLOOKUP(C617,'calc_s90&amp;138'!$C$15:$C$1000,'calc_s90&amp;138'!$AZ$15:$AZ$1000,"",0),  I617="Width", _xlfn.XLOOKUP(C617,'calc_s90&amp;138'!$C$15:$C$1000,'calc_s90&amp;138'!$BB$15:$BB$1000,"",0)),"")</f>
        <v/>
      </c>
      <c r="E617" s="16" t="str" cm="1">
        <f t="array" ref="E617">IF(C617&lt;&gt;"", _xlfn.XLOOKUP(1,((SKUs!$A$2:$A$10001=cl_unmerged!B617) * (ISNUMBER(SEARCH("Bead",SKUs!$J$2:$J$10001)))), SKUs!$J$2:$J$10001,""),"") &amp; IF(C617&lt;&gt;"", " (Sash)","") &amp; _xlfn.IFS(I617="Height", ", H",I617="Height SLI", ", H SLI", I617="Height FIX", ", H FIX",I617="Width", ", W", I617="", "")</f>
        <v/>
      </c>
      <c r="F617" s="33" t="str" cm="1">
        <f t="array" ref="F617">_xlfn.XLOOKUP(1,((SKUs!$A$2:$A$10001=cl_unmerged!B617) * (ISNUMBER(SEARCH("Bead",SKUs!$J$2:$J$10001)))* (ISNUMBER(SEARCH(A617,SKUs!$C$2:$C$10001)))), SKUs!$C$2:$C$10001,"")</f>
        <v/>
      </c>
      <c r="G617" s="16"/>
      <c r="H617" s="16" t="str" cm="1">
        <f t="array" ref="H617">IF(C617&lt;&gt;"", _xlfn.IFS(I617="Height SLI",_xlfn.XLOOKUP(C617,'calc_s90&amp;138'!$C$15:$C$1000,'calc_s90&amp;138'!$AW$15:$AW$1000,"",0), I617="Height FIX",_xlfn.XLOOKUP(C617,'calc_s90&amp;138'!$C$15:$C$1000,'calc_s90&amp;138'!$AY$15:$AY$1000,"",0), I617="Width", _xlfn.XLOOKUP(C617,'calc_s90&amp;138'!$C$15:$C$1000,'calc_s90&amp;138'!$BA$15:$BA$1000,"",0)),"")</f>
        <v/>
      </c>
      <c r="I617" s="16" t="str">
        <f t="shared" si="12"/>
        <v/>
      </c>
    </row>
    <row r="618" spans="1:9" ht="13.5" customHeight="1" x14ac:dyDescent="0.25">
      <c r="A618" s="41" t="str">
        <f>_xlfn.XLOOKUP(G618,dd_color!$A$2:$A$8,dd_color!$B$2:$B$8,"",0)</f>
        <v/>
      </c>
      <c r="B618" s="41">
        <f>_xlfn.XLOOKUP(_xlfn.XLOOKUP(C618,'Project Details'!$C$17:$C$10003,'Project Details'!$E$17:$E$10003, "",0),dd_design_raw!$A$2:$A$9997,dd_design_raw!$C$2:$C$9997,"",0)</f>
        <v>0</v>
      </c>
      <c r="C618" s="16"/>
      <c r="D618" s="16" t="str" cm="1">
        <f t="array" ref="D618">IF(C618&lt;&gt;"", _xlfn.IFS(I618="Height SLI",_xlfn.XLOOKUP(C618,'calc_s90&amp;138'!$C$15:$C$1000,'calc_s90&amp;138'!$AX$15:$AX$1000,"",0),  I618="Height FIX",_xlfn.XLOOKUP(C618,'calc_s90&amp;138'!$C$15:$C$1000,'calc_s90&amp;138'!$AZ$15:$AZ$1000,"",0),  I618="Width", _xlfn.XLOOKUP(C618,'calc_s90&amp;138'!$C$15:$C$1000,'calc_s90&amp;138'!$BB$15:$BB$1000,"",0)),"")</f>
        <v/>
      </c>
      <c r="E618" s="16" t="str" cm="1">
        <f t="array" ref="E618">IF(C618&lt;&gt;"", _xlfn.XLOOKUP(1,((SKUs!$A$2:$A$10001=cl_unmerged!B618) * (ISNUMBER(SEARCH("Bead",SKUs!$J$2:$J$10001)))), SKUs!$J$2:$J$10001,""),"") &amp; IF(C618&lt;&gt;"", " (Sash)","") &amp; _xlfn.IFS(I618="Height", ", H",I618="Height SLI", ", H SLI", I618="Height FIX", ", H FIX",I618="Width", ", W", I618="", "")</f>
        <v/>
      </c>
      <c r="F618" s="33" t="str" cm="1">
        <f t="array" ref="F618">_xlfn.XLOOKUP(1,((SKUs!$A$2:$A$10001=cl_unmerged!B618) * (ISNUMBER(SEARCH("Bead",SKUs!$J$2:$J$10001)))* (ISNUMBER(SEARCH(A618,SKUs!$C$2:$C$10001)))), SKUs!$C$2:$C$10001,"")</f>
        <v/>
      </c>
      <c r="G618" s="16"/>
      <c r="H618" s="16" t="str" cm="1">
        <f t="array" ref="H618">IF(C618&lt;&gt;"", _xlfn.IFS(I618="Height SLI",_xlfn.XLOOKUP(C618,'calc_s90&amp;138'!$C$15:$C$1000,'calc_s90&amp;138'!$AW$15:$AW$1000,"",0), I618="Height FIX",_xlfn.XLOOKUP(C618,'calc_s90&amp;138'!$C$15:$C$1000,'calc_s90&amp;138'!$AY$15:$AY$1000,"",0), I618="Width", _xlfn.XLOOKUP(C618,'calc_s90&amp;138'!$C$15:$C$1000,'calc_s90&amp;138'!$BA$15:$BA$1000,"",0)),"")</f>
        <v/>
      </c>
      <c r="I618" s="16" t="str">
        <f t="shared" si="12"/>
        <v/>
      </c>
    </row>
    <row r="619" spans="1:9" ht="13.5" customHeight="1" x14ac:dyDescent="0.25">
      <c r="A619" s="41" t="str">
        <f>_xlfn.XLOOKUP(G619,dd_color!$A$2:$A$8,dd_color!$B$2:$B$8,"",0)</f>
        <v/>
      </c>
      <c r="B619" s="41">
        <f>_xlfn.XLOOKUP(_xlfn.XLOOKUP(C619,'Project Details'!$C$17:$C$10003,'Project Details'!$E$17:$E$10003, "",0),dd_design_raw!$A$2:$A$9997,dd_design_raw!$C$2:$C$9997,"",0)</f>
        <v>0</v>
      </c>
      <c r="C619" s="16"/>
      <c r="D619" s="16" t="str" cm="1">
        <f t="array" ref="D619">IF(C619&lt;&gt;"", _xlfn.IFS(I619="Height SLI",_xlfn.XLOOKUP(C619,'calc_s90&amp;138'!$C$15:$C$1000,'calc_s90&amp;138'!$AX$15:$AX$1000,"",0),  I619="Height FIX",_xlfn.XLOOKUP(C619,'calc_s90&amp;138'!$C$15:$C$1000,'calc_s90&amp;138'!$AZ$15:$AZ$1000,"",0),  I619="Width", _xlfn.XLOOKUP(C619,'calc_s90&amp;138'!$C$15:$C$1000,'calc_s90&amp;138'!$BB$15:$BB$1000,"",0)),"")</f>
        <v/>
      </c>
      <c r="E619" s="16" t="str" cm="1">
        <f t="array" ref="E619">IF(C619&lt;&gt;"", _xlfn.XLOOKUP(1,((SKUs!$A$2:$A$10001=cl_unmerged!B619) * (ISNUMBER(SEARCH("Bead",SKUs!$J$2:$J$10001)))), SKUs!$J$2:$J$10001,""),"") &amp; IF(C619&lt;&gt;"", " (Sash)","") &amp; _xlfn.IFS(I619="Height", ", H",I619="Height SLI", ", H SLI", I619="Height FIX", ", H FIX",I619="Width", ", W", I619="", "")</f>
        <v/>
      </c>
      <c r="F619" s="33" t="str" cm="1">
        <f t="array" ref="F619">_xlfn.XLOOKUP(1,((SKUs!$A$2:$A$10001=cl_unmerged!B619) * (ISNUMBER(SEARCH("Bead",SKUs!$J$2:$J$10001)))* (ISNUMBER(SEARCH(A619,SKUs!$C$2:$C$10001)))), SKUs!$C$2:$C$10001,"")</f>
        <v/>
      </c>
      <c r="G619" s="16"/>
      <c r="H619" s="16" t="str" cm="1">
        <f t="array" ref="H619">IF(C619&lt;&gt;"", _xlfn.IFS(I619="Height SLI",_xlfn.XLOOKUP(C619,'calc_s90&amp;138'!$C$15:$C$1000,'calc_s90&amp;138'!$AW$15:$AW$1000,"",0), I619="Height FIX",_xlfn.XLOOKUP(C619,'calc_s90&amp;138'!$C$15:$C$1000,'calc_s90&amp;138'!$AY$15:$AY$1000,"",0), I619="Width", _xlfn.XLOOKUP(C619,'calc_s90&amp;138'!$C$15:$C$1000,'calc_s90&amp;138'!$BA$15:$BA$1000,"",0)),"")</f>
        <v/>
      </c>
      <c r="I619" s="16" t="str">
        <f t="shared" si="12"/>
        <v/>
      </c>
    </row>
    <row r="620" spans="1:9" ht="13.5" customHeight="1" x14ac:dyDescent="0.25">
      <c r="A620" s="41" t="str">
        <f>_xlfn.XLOOKUP(G620,dd_color!$A$2:$A$8,dd_color!$B$2:$B$8,"",0)</f>
        <v/>
      </c>
      <c r="B620" s="41">
        <f>_xlfn.XLOOKUP(_xlfn.XLOOKUP(C620,'Project Details'!$C$17:$C$10003,'Project Details'!$E$17:$E$10003, "",0),dd_design_raw!$A$2:$A$9997,dd_design_raw!$C$2:$C$9997,"",0)</f>
        <v>0</v>
      </c>
      <c r="C620" s="16"/>
      <c r="D620" s="16" t="str" cm="1">
        <f t="array" ref="D620">IF(C620&lt;&gt;"", _xlfn.IFS(I620="Height SLI",_xlfn.XLOOKUP(C620,'calc_s90&amp;138'!$C$15:$C$1000,'calc_s90&amp;138'!$AX$15:$AX$1000,"",0),  I620="Height FIX",_xlfn.XLOOKUP(C620,'calc_s90&amp;138'!$C$15:$C$1000,'calc_s90&amp;138'!$AZ$15:$AZ$1000,"",0),  I620="Width", _xlfn.XLOOKUP(C620,'calc_s90&amp;138'!$C$15:$C$1000,'calc_s90&amp;138'!$BB$15:$BB$1000,"",0)),"")</f>
        <v/>
      </c>
      <c r="E620" s="16" t="str" cm="1">
        <f t="array" ref="E620">IF(C620&lt;&gt;"", _xlfn.XLOOKUP(1,((SKUs!$A$2:$A$10001=cl_unmerged!B620) * (ISNUMBER(SEARCH("Bead",SKUs!$J$2:$J$10001)))), SKUs!$J$2:$J$10001,""),"") &amp; IF(C620&lt;&gt;"", " (Sash)","") &amp; _xlfn.IFS(I620="Height", ", H",I620="Height SLI", ", H SLI", I620="Height FIX", ", H FIX",I620="Width", ", W", I620="", "")</f>
        <v/>
      </c>
      <c r="F620" s="33" t="str" cm="1">
        <f t="array" ref="F620">_xlfn.XLOOKUP(1,((SKUs!$A$2:$A$10001=cl_unmerged!B620) * (ISNUMBER(SEARCH("Bead",SKUs!$J$2:$J$10001)))* (ISNUMBER(SEARCH(A620,SKUs!$C$2:$C$10001)))), SKUs!$C$2:$C$10001,"")</f>
        <v/>
      </c>
      <c r="G620" s="16"/>
      <c r="H620" s="16" t="str" cm="1">
        <f t="array" ref="H620">IF(C620&lt;&gt;"", _xlfn.IFS(I620="Height SLI",_xlfn.XLOOKUP(C620,'calc_s90&amp;138'!$C$15:$C$1000,'calc_s90&amp;138'!$AW$15:$AW$1000,"",0), I620="Height FIX",_xlfn.XLOOKUP(C620,'calc_s90&amp;138'!$C$15:$C$1000,'calc_s90&amp;138'!$AY$15:$AY$1000,"",0), I620="Width", _xlfn.XLOOKUP(C620,'calc_s90&amp;138'!$C$15:$C$1000,'calc_s90&amp;138'!$BA$15:$BA$1000,"",0)),"")</f>
        <v/>
      </c>
      <c r="I620" s="16" t="str">
        <f t="shared" si="12"/>
        <v/>
      </c>
    </row>
    <row r="621" spans="1:9" ht="13.5" customHeight="1" x14ac:dyDescent="0.25">
      <c r="A621" s="41" t="str">
        <f>_xlfn.XLOOKUP(G621,dd_color!$A$2:$A$8,dd_color!$B$2:$B$8,"",0)</f>
        <v/>
      </c>
      <c r="B621" s="41" t="str">
        <f>_xlfn.XLOOKUP(_xlfn.XLOOKUP(C621,'Project Details'!$C$17:$C$10003,'Project Details'!$E$17:$E$10003, "",0),dd_design_raw!$A$2:$A$9997,dd_design_raw!$C$2:$C$9997,"",0)</f>
        <v/>
      </c>
      <c r="C621" s="16"/>
      <c r="D621" s="16" t="str" cm="1">
        <f t="array" ref="D621">IF(C621&lt;&gt;"", _xlfn.IFS(I621="Height SLI",_xlfn.XLOOKUP(C621,'calc_s90&amp;138'!$C$15:$C$1000,'calc_s90&amp;138'!$AX$15:$AX$1000,"",0),  I621="Height FIX",_xlfn.XLOOKUP(C621,'calc_s90&amp;138'!$C$15:$C$1000,'calc_s90&amp;138'!$AZ$15:$AZ$1000,"",0),  I621="Width", _xlfn.XLOOKUP(C621,'calc_s90&amp;138'!$C$15:$C$1000,'calc_s90&amp;138'!$BB$15:$BB$1000,"",0)),"")</f>
        <v/>
      </c>
      <c r="E621" s="16" t="str" cm="1">
        <f t="array" ref="E621">IF(C621&lt;&gt;"", _xlfn.XLOOKUP(1,((SKUs!$A$2:$A$10001=cl_unmerged!B621) * (ISNUMBER(SEARCH("Bead",SKUs!$J$2:$J$10001)))), SKUs!$J$2:$J$10001,""),"") &amp; IF(C621&lt;&gt;"", " (Sash)","") &amp; _xlfn.IFS(I621="Height", ", H",I621="Height SLI", ", H SLI", I621="Height FIX", ", H FIX",I621="Width", ", W", I621="", "")</f>
        <v/>
      </c>
      <c r="F621" s="33" t="str" cm="1">
        <f t="array" ref="F621">_xlfn.XLOOKUP(1,((SKUs!$A$2:$A$10001=cl_unmerged!B621) * (ISNUMBER(SEARCH("Bead",SKUs!$J$2:$J$10001)))* (ISNUMBER(SEARCH(A621,SKUs!$C$2:$C$10001)))), SKUs!$C$2:$C$10001,"")</f>
        <v/>
      </c>
      <c r="G621" s="16"/>
      <c r="H621" s="16" t="str" cm="1">
        <f t="array" ref="H621">IF(C621&lt;&gt;"", _xlfn.IFS(I621="Height SLI",_xlfn.XLOOKUP(C621,'calc_s90&amp;138'!$C$15:$C$1000,'calc_s90&amp;138'!$AW$15:$AW$1000,"",0), I621="Height FIX",_xlfn.XLOOKUP(C621,'calc_s90&amp;138'!$C$15:$C$1000,'calc_s90&amp;138'!$AY$15:$AY$1000,"",0), I621="Width", _xlfn.XLOOKUP(C621,'calc_s90&amp;138'!$C$15:$C$1000,'calc_s90&amp;138'!$BA$15:$BA$1000,"",0)),"")</f>
        <v/>
      </c>
      <c r="I621" s="16" t="str">
        <f t="shared" si="12"/>
        <v/>
      </c>
    </row>
    <row r="622" spans="1:9" ht="13.5" customHeight="1" x14ac:dyDescent="0.25">
      <c r="A622" s="41" t="str">
        <f>_xlfn.XLOOKUP(G622,dd_color!$A$2:$A$8,dd_color!$B$2:$B$8,"",0)</f>
        <v/>
      </c>
      <c r="B622" s="41" t="str">
        <f>_xlfn.XLOOKUP(_xlfn.XLOOKUP(C622,'Project Details'!$C$17:$C$10003,'Project Details'!$E$17:$E$10003, "",0),dd_design_raw!$A$2:$A$9997,dd_design_raw!$C$2:$C$9997,"",0)</f>
        <v/>
      </c>
      <c r="C622" s="16"/>
      <c r="D622" s="16" t="str" cm="1">
        <f t="array" ref="D622">IF(C622&lt;&gt;"", _xlfn.IFS(I622="Height SLI",_xlfn.XLOOKUP(C622,'calc_s90&amp;138'!$C$15:$C$1000,'calc_s90&amp;138'!$AX$15:$AX$1000,"",0),  I622="Height FIX",_xlfn.XLOOKUP(C622,'calc_s90&amp;138'!$C$15:$C$1000,'calc_s90&amp;138'!$AZ$15:$AZ$1000,"",0),  I622="Width", _xlfn.XLOOKUP(C622,'calc_s90&amp;138'!$C$15:$C$1000,'calc_s90&amp;138'!$BB$15:$BB$1000,"",0)),"")</f>
        <v/>
      </c>
      <c r="E622" s="16" t="str" cm="1">
        <f t="array" ref="E622">IF(C622&lt;&gt;"", _xlfn.XLOOKUP(1,((SKUs!$A$2:$A$10001=cl_unmerged!B622) * (ISNUMBER(SEARCH("Bead",SKUs!$J$2:$J$10001)))), SKUs!$J$2:$J$10001,""),"") &amp; IF(C622&lt;&gt;"", " (Sash)","") &amp; _xlfn.IFS(I622="Height", ", H",I622="Height SLI", ", H SLI", I622="Height FIX", ", H FIX",I622="Width", ", W", I622="", "")</f>
        <v/>
      </c>
      <c r="F622" s="33" t="str" cm="1">
        <f t="array" ref="F622">_xlfn.XLOOKUP(1,((SKUs!$A$2:$A$10001=cl_unmerged!B622) * (ISNUMBER(SEARCH("Bead",SKUs!$J$2:$J$10001)))* (ISNUMBER(SEARCH(A622,SKUs!$C$2:$C$10001)))), SKUs!$C$2:$C$10001,"")</f>
        <v/>
      </c>
      <c r="G622" s="16"/>
      <c r="H622" s="16" t="str" cm="1">
        <f t="array" ref="H622">IF(C622&lt;&gt;"", _xlfn.IFS(I622="Height SLI",_xlfn.XLOOKUP(C622,'calc_s90&amp;138'!$C$15:$C$1000,'calc_s90&amp;138'!$AW$15:$AW$1000,"",0), I622="Height FIX",_xlfn.XLOOKUP(C622,'calc_s90&amp;138'!$C$15:$C$1000,'calc_s90&amp;138'!$AY$15:$AY$1000,"",0), I622="Width", _xlfn.XLOOKUP(C622,'calc_s90&amp;138'!$C$15:$C$1000,'calc_s90&amp;138'!$BA$15:$BA$1000,"",0)),"")</f>
        <v/>
      </c>
      <c r="I622" s="16" t="str">
        <f t="shared" si="12"/>
        <v/>
      </c>
    </row>
    <row r="623" spans="1:9" ht="13.5" customHeight="1" x14ac:dyDescent="0.25">
      <c r="A623" s="41" t="str">
        <f>_xlfn.XLOOKUP(G623,dd_color!$A$2:$A$8,dd_color!$B$2:$B$8,"",0)</f>
        <v/>
      </c>
      <c r="B623" s="41">
        <f>_xlfn.XLOOKUP(_xlfn.XLOOKUP(C623,'Project Details'!$C$17:$C$10003,'Project Details'!$E$17:$E$10003, "",0),dd_design_raw!$A$2:$A$9997,dd_design_raw!$C$2:$C$9997,"",0)</f>
        <v>0</v>
      </c>
      <c r="C623" s="16"/>
      <c r="D623" s="16" t="str" cm="1">
        <f t="array" ref="D623">IF(C623&lt;&gt;"", _xlfn.IFS(I623="Height SLI",_xlfn.XLOOKUP(C623,'calc_s90&amp;138'!$C$15:$C$1000,'calc_s90&amp;138'!$AX$15:$AX$1000,"",0),  I623="Height FIX",_xlfn.XLOOKUP(C623,'calc_s90&amp;138'!$C$15:$C$1000,'calc_s90&amp;138'!$AZ$15:$AZ$1000,"",0),  I623="Width", _xlfn.XLOOKUP(C623,'calc_s90&amp;138'!$C$15:$C$1000,'calc_s90&amp;138'!$BB$15:$BB$1000,"",0)),"")</f>
        <v/>
      </c>
      <c r="E623" s="16" t="str" cm="1">
        <f t="array" ref="E623">IF(C623&lt;&gt;"", _xlfn.XLOOKUP(1,((SKUs!$A$2:$A$10001=cl_unmerged!B623) * (ISNUMBER(SEARCH("Bead",SKUs!$J$2:$J$10001)))), SKUs!$J$2:$J$10001,""),"") &amp; IF(C623&lt;&gt;"", " (Sash)","") &amp; _xlfn.IFS(I623="Height", ", H",I623="Height SLI", ", H SLI", I623="Height FIX", ", H FIX",I623="Width", ", W", I623="", "")</f>
        <v/>
      </c>
      <c r="F623" s="33" t="str" cm="1">
        <f t="array" ref="F623">_xlfn.XLOOKUP(1,((SKUs!$A$2:$A$10001=cl_unmerged!B623) * (ISNUMBER(SEARCH("Bead",SKUs!$J$2:$J$10001)))* (ISNUMBER(SEARCH(A623,SKUs!$C$2:$C$10001)))), SKUs!$C$2:$C$10001,"")</f>
        <v/>
      </c>
      <c r="G623" s="16"/>
      <c r="H623" s="16" t="str" cm="1">
        <f t="array" ref="H623">IF(C623&lt;&gt;"", _xlfn.IFS(I623="Height SLI",_xlfn.XLOOKUP(C623,'calc_s90&amp;138'!$C$15:$C$1000,'calc_s90&amp;138'!$AW$15:$AW$1000,"",0), I623="Height FIX",_xlfn.XLOOKUP(C623,'calc_s90&amp;138'!$C$15:$C$1000,'calc_s90&amp;138'!$AY$15:$AY$1000,"",0), I623="Width", _xlfn.XLOOKUP(C623,'calc_s90&amp;138'!$C$15:$C$1000,'calc_s90&amp;138'!$BA$15:$BA$1000,"",0)),"")</f>
        <v/>
      </c>
      <c r="I623" s="16" t="str">
        <f t="shared" si="12"/>
        <v/>
      </c>
    </row>
    <row r="624" spans="1:9" ht="13.5" customHeight="1" x14ac:dyDescent="0.25">
      <c r="A624" s="41" t="str">
        <f>_xlfn.XLOOKUP(G624,dd_color!$A$2:$A$8,dd_color!$B$2:$B$8,"",0)</f>
        <v/>
      </c>
      <c r="B624" s="41">
        <f>_xlfn.XLOOKUP(_xlfn.XLOOKUP(C624,'Project Details'!$C$17:$C$10003,'Project Details'!$E$17:$E$10003, "",0),dd_design_raw!$A$2:$A$9997,dd_design_raw!$C$2:$C$9997,"",0)</f>
        <v>0</v>
      </c>
      <c r="C624" s="16"/>
      <c r="D624" s="16" t="str" cm="1">
        <f t="array" ref="D624">IF(C624&lt;&gt;"", _xlfn.IFS(I624="Height SLI",_xlfn.XLOOKUP(C624,'calc_s90&amp;138'!$C$15:$C$1000,'calc_s90&amp;138'!$AX$15:$AX$1000,"",0),  I624="Height FIX",_xlfn.XLOOKUP(C624,'calc_s90&amp;138'!$C$15:$C$1000,'calc_s90&amp;138'!$AZ$15:$AZ$1000,"",0),  I624="Width", _xlfn.XLOOKUP(C624,'calc_s90&amp;138'!$C$15:$C$1000,'calc_s90&amp;138'!$BB$15:$BB$1000,"",0)),"")</f>
        <v/>
      </c>
      <c r="E624" s="16" t="str" cm="1">
        <f t="array" ref="E624">IF(C624&lt;&gt;"", _xlfn.XLOOKUP(1,((SKUs!$A$2:$A$10001=cl_unmerged!B624) * (ISNUMBER(SEARCH("Bead",SKUs!$J$2:$J$10001)))), SKUs!$J$2:$J$10001,""),"") &amp; IF(C624&lt;&gt;"", " (Sash)","") &amp; _xlfn.IFS(I624="Height", ", H",I624="Height SLI", ", H SLI", I624="Height FIX", ", H FIX",I624="Width", ", W", I624="", "")</f>
        <v/>
      </c>
      <c r="F624" s="33" t="str" cm="1">
        <f t="array" ref="F624">_xlfn.XLOOKUP(1,((SKUs!$A$2:$A$10001=cl_unmerged!B624) * (ISNUMBER(SEARCH("Bead",SKUs!$J$2:$J$10001)))* (ISNUMBER(SEARCH(A624,SKUs!$C$2:$C$10001)))), SKUs!$C$2:$C$10001,"")</f>
        <v/>
      </c>
      <c r="G624" s="16"/>
      <c r="H624" s="16" t="str" cm="1">
        <f t="array" ref="H624">IF(C624&lt;&gt;"", _xlfn.IFS(I624="Height SLI",_xlfn.XLOOKUP(C624,'calc_s90&amp;138'!$C$15:$C$1000,'calc_s90&amp;138'!$AW$15:$AW$1000,"",0), I624="Height FIX",_xlfn.XLOOKUP(C624,'calc_s90&amp;138'!$C$15:$C$1000,'calc_s90&amp;138'!$AY$15:$AY$1000,"",0), I624="Width", _xlfn.XLOOKUP(C624,'calc_s90&amp;138'!$C$15:$C$1000,'calc_s90&amp;138'!$BA$15:$BA$1000,"",0)),"")</f>
        <v/>
      </c>
      <c r="I624" s="16" t="str">
        <f t="shared" si="12"/>
        <v/>
      </c>
    </row>
    <row r="625" spans="1:9" ht="13.5" customHeight="1" x14ac:dyDescent="0.25">
      <c r="A625" s="41" t="str">
        <f>_xlfn.XLOOKUP(G625,dd_color!$A$2:$A$8,dd_color!$B$2:$B$8,"",0)</f>
        <v/>
      </c>
      <c r="B625" s="41" t="str">
        <f>_xlfn.XLOOKUP(_xlfn.XLOOKUP(C625,'Project Details'!$C$17:$C$10003,'Project Details'!$E$17:$E$10003, "",0),dd_design_raw!$A$2:$A$9997,dd_design_raw!$C$2:$C$9997,"",0)</f>
        <v/>
      </c>
      <c r="C625" s="16"/>
      <c r="D625" s="16" t="str" cm="1">
        <f t="array" ref="D625">IF(C625&lt;&gt;"", _xlfn.IFS(I625="Height SLI",_xlfn.XLOOKUP(C625,'calc_s90&amp;138'!$C$15:$C$1000,'calc_s90&amp;138'!$AX$15:$AX$1000,"",0),  I625="Height FIX",_xlfn.XLOOKUP(C625,'calc_s90&amp;138'!$C$15:$C$1000,'calc_s90&amp;138'!$AZ$15:$AZ$1000,"",0),  I625="Width", _xlfn.XLOOKUP(C625,'calc_s90&amp;138'!$C$15:$C$1000,'calc_s90&amp;138'!$BB$15:$BB$1000,"",0)),"")</f>
        <v/>
      </c>
      <c r="E625" s="16" t="str" cm="1">
        <f t="array" ref="E625">IF(C625&lt;&gt;"", _xlfn.XLOOKUP(1,((SKUs!$A$2:$A$10001=cl_unmerged!B625) * (ISNUMBER(SEARCH("Bead",SKUs!$J$2:$J$10001)))), SKUs!$J$2:$J$10001,""),"") &amp; IF(C625&lt;&gt;"", " (Sash)","") &amp; _xlfn.IFS(I625="Height", ", H",I625="Height SLI", ", H SLI", I625="Height FIX", ", H FIX",I625="Width", ", W", I625="", "")</f>
        <v/>
      </c>
      <c r="F625" s="33" t="str" cm="1">
        <f t="array" ref="F625">_xlfn.XLOOKUP(1,((SKUs!$A$2:$A$10001=cl_unmerged!B625) * (ISNUMBER(SEARCH("Bead",SKUs!$J$2:$J$10001)))* (ISNUMBER(SEARCH(A625,SKUs!$C$2:$C$10001)))), SKUs!$C$2:$C$10001,"")</f>
        <v/>
      </c>
      <c r="G625" s="16"/>
      <c r="H625" s="16" t="str" cm="1">
        <f t="array" ref="H625">IF(C625&lt;&gt;"", _xlfn.IFS(I625="Height SLI",_xlfn.XLOOKUP(C625,'calc_s90&amp;138'!$C$15:$C$1000,'calc_s90&amp;138'!$AW$15:$AW$1000,"",0), I625="Height FIX",_xlfn.XLOOKUP(C625,'calc_s90&amp;138'!$C$15:$C$1000,'calc_s90&amp;138'!$AY$15:$AY$1000,"",0), I625="Width", _xlfn.XLOOKUP(C625,'calc_s90&amp;138'!$C$15:$C$1000,'calc_s90&amp;138'!$BA$15:$BA$1000,"",0)),"")</f>
        <v/>
      </c>
      <c r="I625" s="16" t="str">
        <f t="shared" si="12"/>
        <v/>
      </c>
    </row>
    <row r="626" spans="1:9" ht="13.5" customHeight="1" x14ac:dyDescent="0.25">
      <c r="A626" s="41" t="str">
        <f>_xlfn.XLOOKUP(G626,dd_color!$A$2:$A$8,dd_color!$B$2:$B$8,"",0)</f>
        <v/>
      </c>
      <c r="B626" s="41">
        <f>_xlfn.XLOOKUP(_xlfn.XLOOKUP(C626,'Project Details'!$C$17:$C$10003,'Project Details'!$E$17:$E$10003, "",0),dd_design_raw!$A$2:$A$9997,dd_design_raw!$C$2:$C$9997,"",0)</f>
        <v>0</v>
      </c>
      <c r="C626" s="16"/>
      <c r="D626" s="16" t="str" cm="1">
        <f t="array" ref="D626">IF(C626&lt;&gt;"", _xlfn.IFS(I626="Height SLI",_xlfn.XLOOKUP(C626,'calc_s90&amp;138'!$C$15:$C$1000,'calc_s90&amp;138'!$AX$15:$AX$1000,"",0),  I626="Height FIX",_xlfn.XLOOKUP(C626,'calc_s90&amp;138'!$C$15:$C$1000,'calc_s90&amp;138'!$AZ$15:$AZ$1000,"",0),  I626="Width", _xlfn.XLOOKUP(C626,'calc_s90&amp;138'!$C$15:$C$1000,'calc_s90&amp;138'!$BB$15:$BB$1000,"",0)),"")</f>
        <v/>
      </c>
      <c r="E626" s="16" t="str" cm="1">
        <f t="array" ref="E626">IF(C626&lt;&gt;"", _xlfn.XLOOKUP(1,((SKUs!$A$2:$A$10001=cl_unmerged!B626) * (ISNUMBER(SEARCH("Bead",SKUs!$J$2:$J$10001)))), SKUs!$J$2:$J$10001,""),"") &amp; IF(C626&lt;&gt;"", " (Sash)","") &amp; _xlfn.IFS(I626="Height", ", H",I626="Height SLI", ", H SLI", I626="Height FIX", ", H FIX",I626="Width", ", W", I626="", "")</f>
        <v/>
      </c>
      <c r="F626" s="33" t="str" cm="1">
        <f t="array" ref="F626">_xlfn.XLOOKUP(1,((SKUs!$A$2:$A$10001=cl_unmerged!B626) * (ISNUMBER(SEARCH("Bead",SKUs!$J$2:$J$10001)))* (ISNUMBER(SEARCH(A626,SKUs!$C$2:$C$10001)))), SKUs!$C$2:$C$10001,"")</f>
        <v/>
      </c>
      <c r="G626" s="16"/>
      <c r="H626" s="16" t="str" cm="1">
        <f t="array" ref="H626">IF(C626&lt;&gt;"", _xlfn.IFS(I626="Height SLI",_xlfn.XLOOKUP(C626,'calc_s90&amp;138'!$C$15:$C$1000,'calc_s90&amp;138'!$AW$15:$AW$1000,"",0), I626="Height FIX",_xlfn.XLOOKUP(C626,'calc_s90&amp;138'!$C$15:$C$1000,'calc_s90&amp;138'!$AY$15:$AY$1000,"",0), I626="Width", _xlfn.XLOOKUP(C626,'calc_s90&amp;138'!$C$15:$C$1000,'calc_s90&amp;138'!$BA$15:$BA$1000,"",0)),"")</f>
        <v/>
      </c>
      <c r="I626" s="16" t="str">
        <f t="shared" si="12"/>
        <v/>
      </c>
    </row>
    <row r="627" spans="1:9" ht="13.5" customHeight="1" x14ac:dyDescent="0.25">
      <c r="A627" s="41" t="str">
        <f>_xlfn.XLOOKUP(G627,dd_color!$A$2:$A$8,dd_color!$B$2:$B$8,"",0)</f>
        <v/>
      </c>
      <c r="B627" s="41">
        <f>_xlfn.XLOOKUP(_xlfn.XLOOKUP(C627,'Project Details'!$C$17:$C$10003,'Project Details'!$E$17:$E$10003, "",0),dd_design_raw!$A$2:$A$9997,dd_design_raw!$C$2:$C$9997,"",0)</f>
        <v>0</v>
      </c>
      <c r="C627" s="16"/>
      <c r="D627" s="16" t="str" cm="1">
        <f t="array" ref="D627">IF(C627&lt;&gt;"", _xlfn.IFS(I627="Height SLI",_xlfn.XLOOKUP(C627,'calc_s90&amp;138'!$C$15:$C$1000,'calc_s90&amp;138'!$AX$15:$AX$1000,"",0),  I627="Height FIX",_xlfn.XLOOKUP(C627,'calc_s90&amp;138'!$C$15:$C$1000,'calc_s90&amp;138'!$AZ$15:$AZ$1000,"",0),  I627="Width", _xlfn.XLOOKUP(C627,'calc_s90&amp;138'!$C$15:$C$1000,'calc_s90&amp;138'!$BB$15:$BB$1000,"",0)),"")</f>
        <v/>
      </c>
      <c r="E627" s="16" t="str" cm="1">
        <f t="array" ref="E627">IF(C627&lt;&gt;"", _xlfn.XLOOKUP(1,((SKUs!$A$2:$A$10001=cl_unmerged!B627) * (ISNUMBER(SEARCH("Bead",SKUs!$J$2:$J$10001)))), SKUs!$J$2:$J$10001,""),"") &amp; IF(C627&lt;&gt;"", " (Sash)","") &amp; _xlfn.IFS(I627="Height", ", H",I627="Height SLI", ", H SLI", I627="Height FIX", ", H FIX",I627="Width", ", W", I627="", "")</f>
        <v/>
      </c>
      <c r="F627" s="33" t="str" cm="1">
        <f t="array" ref="F627">_xlfn.XLOOKUP(1,((SKUs!$A$2:$A$10001=cl_unmerged!B627) * (ISNUMBER(SEARCH("Bead",SKUs!$J$2:$J$10001)))* (ISNUMBER(SEARCH(A627,SKUs!$C$2:$C$10001)))), SKUs!$C$2:$C$10001,"")</f>
        <v/>
      </c>
      <c r="G627" s="16"/>
      <c r="H627" s="16" t="str" cm="1">
        <f t="array" ref="H627">IF(C627&lt;&gt;"", _xlfn.IFS(I627="Height SLI",_xlfn.XLOOKUP(C627,'calc_s90&amp;138'!$C$15:$C$1000,'calc_s90&amp;138'!$AW$15:$AW$1000,"",0), I627="Height FIX",_xlfn.XLOOKUP(C627,'calc_s90&amp;138'!$C$15:$C$1000,'calc_s90&amp;138'!$AY$15:$AY$1000,"",0), I627="Width", _xlfn.XLOOKUP(C627,'calc_s90&amp;138'!$C$15:$C$1000,'calc_s90&amp;138'!$BA$15:$BA$1000,"",0)),"")</f>
        <v/>
      </c>
      <c r="I627" s="16" t="str">
        <f t="shared" si="12"/>
        <v/>
      </c>
    </row>
    <row r="629" spans="1:9" ht="13.5" customHeight="1" x14ac:dyDescent="0.25">
      <c r="C629" s="28" t="s">
        <v>85</v>
      </c>
      <c r="D629" s="29"/>
      <c r="E629" s="29"/>
      <c r="F629" s="29"/>
      <c r="G629" s="29"/>
      <c r="H629" s="29"/>
      <c r="I629" s="30"/>
    </row>
    <row r="630" spans="1:9" ht="13.5" customHeight="1" x14ac:dyDescent="0.25">
      <c r="C630" s="32" t="s">
        <v>719</v>
      </c>
      <c r="D630" s="32"/>
      <c r="E630" s="32"/>
      <c r="F630" s="32"/>
      <c r="G630" s="32"/>
      <c r="H630" s="32"/>
      <c r="I630" s="32"/>
    </row>
    <row r="631" spans="1:9" ht="13.5" customHeight="1" x14ac:dyDescent="0.25">
      <c r="A631" s="41" t="str">
        <f>_xlfn.XLOOKUP(G631,dd_color!$A$2:$A$8,dd_color!$B$2:$B$8,"",0)</f>
        <v/>
      </c>
      <c r="B631" s="41" t="str">
        <f>_xlfn.XLOOKUP(_xlfn.XLOOKUP(C631,'Project Details'!$C$17:$C$10003,'Project Details'!$E$17:$E$10003, "",0),dd_design_raw!$A$2:$A$9997,dd_design_raw!$C$2:$C$9997,"",0)</f>
        <v/>
      </c>
      <c r="C631" s="16" t="str" cm="1">
        <f t="array" ref="C631:C632">IFERROR(INDEX(_xlfn._xlws.FILTER('calc_s90&amp;138'!C15:C65, 'calc_s90&amp;138'!AO15:AO65&lt;&gt;""), INT((_xlfn.SEQUENCE(2 * COUNTA(_xlfn._xlws.FILTER('calc_s90&amp;138'!C15:C65, 'calc_s90&amp;138'!AO15:AO65&lt;&gt;""))) - 1) / 2) + 1), "")</f>
        <v/>
      </c>
      <c r="D631" s="16" t="str" cm="1">
        <f t="array" ref="D631">IF(C631&lt;&gt;"", _xlfn.IFS(I631="Height SLI",_xlfn.XLOOKUP(C631,'calc_s90&amp;138'!$C$15:$C$1000,'calc_s90&amp;138'!$AP$15:$AP$1000,"",0),  I631="Height FIX", _xlfn.XLOOKUP(C631,'calc_s90&amp;138'!$C$15:$C$1000,'calc_s90&amp;138'!$AR$15:$AR$1000,"",0)),"")</f>
        <v/>
      </c>
      <c r="E631" s="16" t="str" cm="1">
        <f t="array" ref="E631">IF(C631&lt;&gt;"", _xlfn.XLOOKUP(1,((SKUs!$A$2:$A$10001=cl_unmerged!B631) * (ISNUMBER(SEARCH("Interlocker",SKUs!$J$2:$J$10001)))), SKUs!$J$2:$J$10001,""),"") &amp; _xlfn.IFS(I631="Height", ", H",I631="Height SLI", ", H SLI", I631="Height FIX", ", H FIX",I631="Width", ", W", I631="", "")</f>
        <v/>
      </c>
      <c r="F631" s="33" t="str" cm="1">
        <f t="array" ref="F631">_xlfn.XLOOKUP(1,((SKUs!$A$2:$A$10001=cl_unmerged!B631) * (ISNUMBER(SEARCH("Interlocker",SKUs!$J$2:$J$10001)))* (ISNUMBER(SEARCH(A631,SKUs!$C$2:$C$10001)))), SKUs!$C$2:$C$10001,"")</f>
        <v/>
      </c>
      <c r="G631" s="16" t="str" cm="1">
        <f t="array" ref="G631:G632">IFERROR(INDEX(_xlfn._xlws.FILTER('calc_s90&amp;138'!G15:G65, 'calc_s90&amp;138'!AO15:AO65&lt;&gt;""), INT((_xlfn.SEQUENCE(2 * COUNTA(_xlfn._xlws.FILTER('calc_s90&amp;138'!G15:G65, 'calc_s90&amp;138'!AO15:AO65&lt;&gt;""))) - 1) / 2) + 1), "")</f>
        <v/>
      </c>
      <c r="H631" s="16" t="str" cm="1">
        <f t="array" ref="H631">IF(C631&lt;&gt;"", _xlfn.IFS(I631="Height SLI",_xlfn.XLOOKUP(C631,'calc_s90&amp;138'!$C$15:$C$1000,'calc_s90&amp;138'!$AO$15:$AO$1000,"",0), I631="Height FIX", _xlfn.XLOOKUP(C631,'calc_s90&amp;138'!$C$15:$C$1000,'calc_s90&amp;138'!$AQ$15:$AQ$1000,"",0)),"")</f>
        <v/>
      </c>
      <c r="I631" s="16" t="str">
        <f t="shared" ref="I631" si="13">IF(C631&lt;&gt;"", IF(C631=C630, "Height FIX", "Height SLI"),"")</f>
        <v/>
      </c>
    </row>
    <row r="632" spans="1:9" ht="13.5" customHeight="1" x14ac:dyDescent="0.25">
      <c r="A632" s="41" t="str">
        <f>_xlfn.XLOOKUP(G632,dd_color!$A$2:$A$8,dd_color!$B$2:$B$8,"",0)</f>
        <v/>
      </c>
      <c r="B632" s="41" t="str">
        <f>_xlfn.XLOOKUP(_xlfn.XLOOKUP(C632,'Project Details'!$C$17:$C$10003,'Project Details'!$E$17:$E$10003, "",0),dd_design_raw!$A$2:$A$9997,dd_design_raw!$C$2:$C$9997,"",0)</f>
        <v/>
      </c>
      <c r="C632" s="16" t="str">
        <v/>
      </c>
      <c r="D632" s="16" t="str" cm="1">
        <f t="array" ref="D632">IF(C632&lt;&gt;"", _xlfn.IFS(I632="Height SLI",_xlfn.XLOOKUP(C632,'calc_s90&amp;138'!$C$15:$C$1000,'calc_s90&amp;138'!$AP$15:$AP$1000,"",0),  I632="Height FIX", _xlfn.XLOOKUP(C632,'calc_s90&amp;138'!$C$15:$C$1000,'calc_s90&amp;138'!$AR$15:$AR$1000,"",0)),"")</f>
        <v/>
      </c>
      <c r="E632" s="16" t="str" cm="1">
        <f t="array" ref="E632">IF(C632&lt;&gt;"", _xlfn.XLOOKUP(1,((SKUs!$A$2:$A$10001=cl_unmerged!B632) * (ISNUMBER(SEARCH("Interlocker",SKUs!$J$2:$J$10001)))), SKUs!$J$2:$J$10001,""),"") &amp; _xlfn.IFS(I632="Height", ", H",I632="Height SLI", ", H SLI", I632="Height FIX", ", H FIX",I632="Width", ", W", I632="", "")</f>
        <v/>
      </c>
      <c r="F632" s="33" t="str" cm="1">
        <f t="array" ref="F632">_xlfn.XLOOKUP(1,((SKUs!$A$2:$A$10001=cl_unmerged!B632) * (ISNUMBER(SEARCH("Interlocker",SKUs!$J$2:$J$10001)))* (ISNUMBER(SEARCH(A632,SKUs!$C$2:$C$10001)))), SKUs!$C$2:$C$10001,"")</f>
        <v/>
      </c>
      <c r="G632" s="16" t="str">
        <v/>
      </c>
      <c r="H632" s="16" t="str" cm="1">
        <f t="array" ref="H632">IF(C632&lt;&gt;"", _xlfn.IFS(I632="Height SLI",_xlfn.XLOOKUP(C632,'calc_s90&amp;138'!$C$15:$C$1000,'calc_s90&amp;138'!$AO$15:$AO$1000,"",0), I632="Height FIX", _xlfn.XLOOKUP(C632,'calc_s90&amp;138'!$C$15:$C$1000,'calc_s90&amp;138'!$AQ$15:$AQ$1000,"",0)),"")</f>
        <v/>
      </c>
      <c r="I632" s="16" t="str">
        <f>IF(C632&lt;&gt;"", IF(C632=C631, "Height FIX", "Height SLI"),"")</f>
        <v/>
      </c>
    </row>
    <row r="633" spans="1:9" ht="13.5" customHeight="1" x14ac:dyDescent="0.25">
      <c r="A633" s="41" t="str">
        <f>_xlfn.XLOOKUP(G633,dd_color!$A$2:$A$8,dd_color!$B$2:$B$8,"",0)</f>
        <v/>
      </c>
      <c r="B633" s="41">
        <f>_xlfn.XLOOKUP(_xlfn.XLOOKUP(C633,'Project Details'!$C$17:$C$10003,'Project Details'!$E$17:$E$10003, "",0),dd_design_raw!$A$2:$A$9997,dd_design_raw!$C$2:$C$9997,"",0)</f>
        <v>0</v>
      </c>
      <c r="C633" s="16"/>
      <c r="D633" s="16" t="str" cm="1">
        <f t="array" ref="D633">IF(C633&lt;&gt;"", _xlfn.IFS(I633="Height SLI",_xlfn.XLOOKUP(C633,'calc_s90&amp;138'!$C$15:$C$1000,'calc_s90&amp;138'!$AP$15:$AP$1000,"",0),  I633="Height FIX", _xlfn.XLOOKUP(C633,'calc_s90&amp;138'!$C$15:$C$1000,'calc_s90&amp;138'!$AR$15:$AR$1000,"",0)),"")</f>
        <v/>
      </c>
      <c r="E633" s="16" t="str" cm="1">
        <f t="array" ref="E633">IF(C633&lt;&gt;"", _xlfn.XLOOKUP(1,((SKUs!$A$2:$A$10001=cl_unmerged!B633) * (ISNUMBER(SEARCH("Interlocker",SKUs!$J$2:$J$10001)))), SKUs!$J$2:$J$10001,""),"") &amp; _xlfn.IFS(I633="Height", ", H",I633="Height SLI", ", H SLI", I633="Height FIX", ", H FIX",I633="Width", ", W", I633="", "")</f>
        <v/>
      </c>
      <c r="F633" s="33" t="str" cm="1">
        <f t="array" ref="F633">_xlfn.XLOOKUP(1,((SKUs!$A$2:$A$10001=cl_unmerged!B633) * (ISNUMBER(SEARCH("Interlocker",SKUs!$J$2:$J$10001)))* (ISNUMBER(SEARCH(A633,SKUs!$C$2:$C$10001)))), SKUs!$C$2:$C$10001,"")</f>
        <v/>
      </c>
      <c r="G633" s="16"/>
      <c r="H633" s="16" t="str" cm="1">
        <f t="array" ref="H633">IF(C633&lt;&gt;"", _xlfn.IFS(I633="Height SLI",_xlfn.XLOOKUP(C633,'calc_s90&amp;138'!$C$15:$C$1000,'calc_s90&amp;138'!$AO$15:$AO$1000,"",0), I633="Height FIX", _xlfn.XLOOKUP(C633,'calc_s90&amp;138'!$C$15:$C$1000,'calc_s90&amp;138'!$AQ$15:$AQ$1000,"",0)),"")</f>
        <v/>
      </c>
      <c r="I633" s="16" t="str">
        <f t="shared" ref="I633:I690" si="14">IF(C633&lt;&gt;"", IF(C633=C632, "Height FIX", "Height SLI"),"")</f>
        <v/>
      </c>
    </row>
    <row r="634" spans="1:9" ht="13.5" customHeight="1" x14ac:dyDescent="0.25">
      <c r="A634" s="41" t="str">
        <f>_xlfn.XLOOKUP(G634,dd_color!$A$2:$A$8,dd_color!$B$2:$B$8,"",0)</f>
        <v/>
      </c>
      <c r="B634" s="41">
        <f>_xlfn.XLOOKUP(_xlfn.XLOOKUP(C634,'Project Details'!$C$17:$C$10003,'Project Details'!$E$17:$E$10003, "",0),dd_design_raw!$A$2:$A$9997,dd_design_raw!$C$2:$C$9997,"",0)</f>
        <v>0</v>
      </c>
      <c r="C634" s="16"/>
      <c r="D634" s="16" t="str" cm="1">
        <f t="array" ref="D634">IF(C634&lt;&gt;"", _xlfn.IFS(I634="Height SLI",_xlfn.XLOOKUP(C634,'calc_s90&amp;138'!$C$15:$C$1000,'calc_s90&amp;138'!$AP$15:$AP$1000,"",0),  I634="Height FIX", _xlfn.XLOOKUP(C634,'calc_s90&amp;138'!$C$15:$C$1000,'calc_s90&amp;138'!$AR$15:$AR$1000,"",0)),"")</f>
        <v/>
      </c>
      <c r="E634" s="16" t="str" cm="1">
        <f t="array" ref="E634">IF(C634&lt;&gt;"", _xlfn.XLOOKUP(1,((SKUs!$A$2:$A$10001=cl_unmerged!B634) * (ISNUMBER(SEARCH("Interlocker",SKUs!$J$2:$J$10001)))), SKUs!$J$2:$J$10001,""),"") &amp; _xlfn.IFS(I634="Height", ", H",I634="Height SLI", ", H SLI", I634="Height FIX", ", H FIX",I634="Width", ", W", I634="", "")</f>
        <v/>
      </c>
      <c r="F634" s="33" t="str" cm="1">
        <f t="array" ref="F634">_xlfn.XLOOKUP(1,((SKUs!$A$2:$A$10001=cl_unmerged!B634) * (ISNUMBER(SEARCH("Interlocker",SKUs!$J$2:$J$10001)))* (ISNUMBER(SEARCH(A634,SKUs!$C$2:$C$10001)))), SKUs!$C$2:$C$10001,"")</f>
        <v/>
      </c>
      <c r="G634" s="16"/>
      <c r="H634" s="16" t="str" cm="1">
        <f t="array" ref="H634">IF(C634&lt;&gt;"", _xlfn.IFS(I634="Height SLI",_xlfn.XLOOKUP(C634,'calc_s90&amp;138'!$C$15:$C$1000,'calc_s90&amp;138'!$AO$15:$AO$1000,"",0), I634="Height FIX", _xlfn.XLOOKUP(C634,'calc_s90&amp;138'!$C$15:$C$1000,'calc_s90&amp;138'!$AQ$15:$AQ$1000,"",0)),"")</f>
        <v/>
      </c>
      <c r="I634" s="16" t="str">
        <f t="shared" si="14"/>
        <v/>
      </c>
    </row>
    <row r="635" spans="1:9" ht="13.5" customHeight="1" x14ac:dyDescent="0.25">
      <c r="A635" s="41" t="str">
        <f>_xlfn.XLOOKUP(G635,dd_color!$A$2:$A$8,dd_color!$B$2:$B$8,"",0)</f>
        <v/>
      </c>
      <c r="B635" s="41" t="str">
        <f>_xlfn.XLOOKUP(_xlfn.XLOOKUP(C635,'Project Details'!$C$17:$C$10003,'Project Details'!$E$17:$E$10003, "",0),dd_design_raw!$A$2:$A$9997,dd_design_raw!$C$2:$C$9997,"",0)</f>
        <v/>
      </c>
      <c r="C635" s="16"/>
      <c r="D635" s="16" t="str" cm="1">
        <f t="array" ref="D635">IF(C635&lt;&gt;"", _xlfn.IFS(I635="Height SLI",_xlfn.XLOOKUP(C635,'calc_s90&amp;138'!$C$15:$C$1000,'calc_s90&amp;138'!$AP$15:$AP$1000,"",0),  I635="Height FIX", _xlfn.XLOOKUP(C635,'calc_s90&amp;138'!$C$15:$C$1000,'calc_s90&amp;138'!$AR$15:$AR$1000,"",0)),"")</f>
        <v/>
      </c>
      <c r="E635" s="16" t="str" cm="1">
        <f t="array" ref="E635">IF(C635&lt;&gt;"", _xlfn.XLOOKUP(1,((SKUs!$A$2:$A$10001=cl_unmerged!B635) * (ISNUMBER(SEARCH("Interlocker",SKUs!$J$2:$J$10001)))), SKUs!$J$2:$J$10001,""),"") &amp; _xlfn.IFS(I635="Height", ", H",I635="Height SLI", ", H SLI", I635="Height FIX", ", H FIX",I635="Width", ", W", I635="", "")</f>
        <v/>
      </c>
      <c r="F635" s="33" t="str" cm="1">
        <f t="array" ref="F635">_xlfn.XLOOKUP(1,((SKUs!$A$2:$A$10001=cl_unmerged!B635) * (ISNUMBER(SEARCH("Interlocker",SKUs!$J$2:$J$10001)))* (ISNUMBER(SEARCH(A635,SKUs!$C$2:$C$10001)))), SKUs!$C$2:$C$10001,"")</f>
        <v/>
      </c>
      <c r="G635" s="16"/>
      <c r="H635" s="16" t="str" cm="1">
        <f t="array" ref="H635">IF(C635&lt;&gt;"", _xlfn.IFS(I635="Height SLI",_xlfn.XLOOKUP(C635,'calc_s90&amp;138'!$C$15:$C$1000,'calc_s90&amp;138'!$AO$15:$AO$1000,"",0), I635="Height FIX", _xlfn.XLOOKUP(C635,'calc_s90&amp;138'!$C$15:$C$1000,'calc_s90&amp;138'!$AQ$15:$AQ$1000,"",0)),"")</f>
        <v/>
      </c>
      <c r="I635" s="16" t="str">
        <f t="shared" si="14"/>
        <v/>
      </c>
    </row>
    <row r="636" spans="1:9" ht="13.5" customHeight="1" x14ac:dyDescent="0.25">
      <c r="A636" s="41" t="str">
        <f>_xlfn.XLOOKUP(G636,dd_color!$A$2:$A$8,dd_color!$B$2:$B$8,"",0)</f>
        <v/>
      </c>
      <c r="B636" s="41" t="str">
        <f>_xlfn.XLOOKUP(_xlfn.XLOOKUP(C636,'Project Details'!$C$17:$C$10003,'Project Details'!$E$17:$E$10003, "",0),dd_design_raw!$A$2:$A$9997,dd_design_raw!$C$2:$C$9997,"",0)</f>
        <v/>
      </c>
      <c r="C636" s="16"/>
      <c r="D636" s="16" t="str" cm="1">
        <f t="array" ref="D636">IF(C636&lt;&gt;"", _xlfn.IFS(I636="Height SLI",_xlfn.XLOOKUP(C636,'calc_s90&amp;138'!$C$15:$C$1000,'calc_s90&amp;138'!$AP$15:$AP$1000,"",0),  I636="Height FIX", _xlfn.XLOOKUP(C636,'calc_s90&amp;138'!$C$15:$C$1000,'calc_s90&amp;138'!$AR$15:$AR$1000,"",0)),"")</f>
        <v/>
      </c>
      <c r="E636" s="16" t="str" cm="1">
        <f t="array" ref="E636">IF(C636&lt;&gt;"", _xlfn.XLOOKUP(1,((SKUs!$A$2:$A$10001=cl_unmerged!B636) * (ISNUMBER(SEARCH("Interlocker",SKUs!$J$2:$J$10001)))), SKUs!$J$2:$J$10001,""),"") &amp; _xlfn.IFS(I636="Height", ", H",I636="Height SLI", ", H SLI", I636="Height FIX", ", H FIX",I636="Width", ", W", I636="", "")</f>
        <v/>
      </c>
      <c r="F636" s="33" t="str" cm="1">
        <f t="array" ref="F636">_xlfn.XLOOKUP(1,((SKUs!$A$2:$A$10001=cl_unmerged!B636) * (ISNUMBER(SEARCH("Interlocker",SKUs!$J$2:$J$10001)))* (ISNUMBER(SEARCH(A636,SKUs!$C$2:$C$10001)))), SKUs!$C$2:$C$10001,"")</f>
        <v/>
      </c>
      <c r="G636" s="16"/>
      <c r="H636" s="16" t="str" cm="1">
        <f t="array" ref="H636">IF(C636&lt;&gt;"", _xlfn.IFS(I636="Height SLI",_xlfn.XLOOKUP(C636,'calc_s90&amp;138'!$C$15:$C$1000,'calc_s90&amp;138'!$AO$15:$AO$1000,"",0), I636="Height FIX", _xlfn.XLOOKUP(C636,'calc_s90&amp;138'!$C$15:$C$1000,'calc_s90&amp;138'!$AQ$15:$AQ$1000,"",0)),"")</f>
        <v/>
      </c>
      <c r="I636" s="16" t="str">
        <f t="shared" si="14"/>
        <v/>
      </c>
    </row>
    <row r="637" spans="1:9" ht="13.5" customHeight="1" x14ac:dyDescent="0.25">
      <c r="A637" s="41" t="str">
        <f>_xlfn.XLOOKUP(G637,dd_color!$A$2:$A$8,dd_color!$B$2:$B$8,"",0)</f>
        <v/>
      </c>
      <c r="B637" s="41" t="str">
        <f>_xlfn.XLOOKUP(_xlfn.XLOOKUP(C637,'Project Details'!$C$17:$C$10003,'Project Details'!$E$17:$E$10003, "",0),dd_design_raw!$A$2:$A$9997,dd_design_raw!$C$2:$C$9997,"",0)</f>
        <v/>
      </c>
      <c r="C637" s="16"/>
      <c r="D637" s="16" t="str" cm="1">
        <f t="array" ref="D637">IF(C637&lt;&gt;"", _xlfn.IFS(I637="Height SLI",_xlfn.XLOOKUP(C637,'calc_s90&amp;138'!$C$15:$C$1000,'calc_s90&amp;138'!$AP$15:$AP$1000,"",0),  I637="Height FIX", _xlfn.XLOOKUP(C637,'calc_s90&amp;138'!$C$15:$C$1000,'calc_s90&amp;138'!$AR$15:$AR$1000,"",0)),"")</f>
        <v/>
      </c>
      <c r="E637" s="16" t="str" cm="1">
        <f t="array" ref="E637">IF(C637&lt;&gt;"", _xlfn.XLOOKUP(1,((SKUs!$A$2:$A$10001=cl_unmerged!B637) * (ISNUMBER(SEARCH("Interlocker",SKUs!$J$2:$J$10001)))), SKUs!$J$2:$J$10001,""),"") &amp; _xlfn.IFS(I637="Height", ", H",I637="Height SLI", ", H SLI", I637="Height FIX", ", H FIX",I637="Width", ", W", I637="", "")</f>
        <v/>
      </c>
      <c r="F637" s="33" t="str" cm="1">
        <f t="array" ref="F637">_xlfn.XLOOKUP(1,((SKUs!$A$2:$A$10001=cl_unmerged!B637) * (ISNUMBER(SEARCH("Interlocker",SKUs!$J$2:$J$10001)))* (ISNUMBER(SEARCH(A637,SKUs!$C$2:$C$10001)))), SKUs!$C$2:$C$10001,"")</f>
        <v/>
      </c>
      <c r="G637" s="16"/>
      <c r="H637" s="16" t="str" cm="1">
        <f t="array" ref="H637">IF(C637&lt;&gt;"", _xlfn.IFS(I637="Height SLI",_xlfn.XLOOKUP(C637,'calc_s90&amp;138'!$C$15:$C$1000,'calc_s90&amp;138'!$AO$15:$AO$1000,"",0), I637="Height FIX", _xlfn.XLOOKUP(C637,'calc_s90&amp;138'!$C$15:$C$1000,'calc_s90&amp;138'!$AQ$15:$AQ$1000,"",0)),"")</f>
        <v/>
      </c>
      <c r="I637" s="16" t="str">
        <f t="shared" si="14"/>
        <v/>
      </c>
    </row>
    <row r="638" spans="1:9" ht="13.5" customHeight="1" x14ac:dyDescent="0.25">
      <c r="A638" s="41" t="str">
        <f>_xlfn.XLOOKUP(G638,dd_color!$A$2:$A$8,dd_color!$B$2:$B$8,"",0)</f>
        <v/>
      </c>
      <c r="B638" s="41">
        <f>_xlfn.XLOOKUP(_xlfn.XLOOKUP(C638,'Project Details'!$C$17:$C$10003,'Project Details'!$E$17:$E$10003, "",0),dd_design_raw!$A$2:$A$9997,dd_design_raw!$C$2:$C$9997,"",0)</f>
        <v>0</v>
      </c>
      <c r="C638" s="16"/>
      <c r="D638" s="16" t="str" cm="1">
        <f t="array" ref="D638">IF(C638&lt;&gt;"", _xlfn.IFS(I638="Height SLI",_xlfn.XLOOKUP(C638,'calc_s90&amp;138'!$C$15:$C$1000,'calc_s90&amp;138'!$AP$15:$AP$1000,"",0),  I638="Height FIX", _xlfn.XLOOKUP(C638,'calc_s90&amp;138'!$C$15:$C$1000,'calc_s90&amp;138'!$AR$15:$AR$1000,"",0)),"")</f>
        <v/>
      </c>
      <c r="E638" s="16" t="str" cm="1">
        <f t="array" ref="E638">IF(C638&lt;&gt;"", _xlfn.XLOOKUP(1,((SKUs!$A$2:$A$10001=cl_unmerged!B638) * (ISNUMBER(SEARCH("Interlocker",SKUs!$J$2:$J$10001)))), SKUs!$J$2:$J$10001,""),"") &amp; _xlfn.IFS(I638="Height", ", H",I638="Height SLI", ", H SLI", I638="Height FIX", ", H FIX",I638="Width", ", W", I638="", "")</f>
        <v/>
      </c>
      <c r="F638" s="33" t="str" cm="1">
        <f t="array" ref="F638">_xlfn.XLOOKUP(1,((SKUs!$A$2:$A$10001=cl_unmerged!B638) * (ISNUMBER(SEARCH("Interlocker",SKUs!$J$2:$J$10001)))* (ISNUMBER(SEARCH(A638,SKUs!$C$2:$C$10001)))), SKUs!$C$2:$C$10001,"")</f>
        <v/>
      </c>
      <c r="G638" s="16"/>
      <c r="H638" s="16" t="str" cm="1">
        <f t="array" ref="H638">IF(C638&lt;&gt;"", _xlfn.IFS(I638="Height SLI",_xlfn.XLOOKUP(C638,'calc_s90&amp;138'!$C$15:$C$1000,'calc_s90&amp;138'!$AO$15:$AO$1000,"",0), I638="Height FIX", _xlfn.XLOOKUP(C638,'calc_s90&amp;138'!$C$15:$C$1000,'calc_s90&amp;138'!$AQ$15:$AQ$1000,"",0)),"")</f>
        <v/>
      </c>
      <c r="I638" s="16" t="str">
        <f t="shared" si="14"/>
        <v/>
      </c>
    </row>
    <row r="639" spans="1:9" ht="13.5" customHeight="1" x14ac:dyDescent="0.25">
      <c r="A639" s="41" t="str">
        <f>_xlfn.XLOOKUP(G639,dd_color!$A$2:$A$8,dd_color!$B$2:$B$8,"",0)</f>
        <v/>
      </c>
      <c r="B639" s="41" t="str">
        <f>_xlfn.XLOOKUP(_xlfn.XLOOKUP(C639,'Project Details'!$C$17:$C$10003,'Project Details'!$E$17:$E$10003, "",0),dd_design_raw!$A$2:$A$9997,dd_design_raw!$C$2:$C$9997,"",0)</f>
        <v/>
      </c>
      <c r="C639" s="16"/>
      <c r="D639" s="16" t="str" cm="1">
        <f t="array" ref="D639">IF(C639&lt;&gt;"", _xlfn.IFS(I639="Height SLI",_xlfn.XLOOKUP(C639,'calc_s90&amp;138'!$C$15:$C$1000,'calc_s90&amp;138'!$AP$15:$AP$1000,"",0),  I639="Height FIX", _xlfn.XLOOKUP(C639,'calc_s90&amp;138'!$C$15:$C$1000,'calc_s90&amp;138'!$AR$15:$AR$1000,"",0)),"")</f>
        <v/>
      </c>
      <c r="E639" s="16" t="str" cm="1">
        <f t="array" ref="E639">IF(C639&lt;&gt;"", _xlfn.XLOOKUP(1,((SKUs!$A$2:$A$10001=cl_unmerged!B639) * (ISNUMBER(SEARCH("Interlocker",SKUs!$J$2:$J$10001)))), SKUs!$J$2:$J$10001,""),"") &amp; _xlfn.IFS(I639="Height", ", H",I639="Height SLI", ", H SLI", I639="Height FIX", ", H FIX",I639="Width", ", W", I639="", "")</f>
        <v/>
      </c>
      <c r="F639" s="33" t="str" cm="1">
        <f t="array" ref="F639">_xlfn.XLOOKUP(1,((SKUs!$A$2:$A$10001=cl_unmerged!B639) * (ISNUMBER(SEARCH("Interlocker",SKUs!$J$2:$J$10001)))* (ISNUMBER(SEARCH(A639,SKUs!$C$2:$C$10001)))), SKUs!$C$2:$C$10001,"")</f>
        <v/>
      </c>
      <c r="G639" s="16"/>
      <c r="H639" s="16" t="str" cm="1">
        <f t="array" ref="H639">IF(C639&lt;&gt;"", _xlfn.IFS(I639="Height SLI",_xlfn.XLOOKUP(C639,'calc_s90&amp;138'!$C$15:$C$1000,'calc_s90&amp;138'!$AO$15:$AO$1000,"",0), I639="Height FIX", _xlfn.XLOOKUP(C639,'calc_s90&amp;138'!$C$15:$C$1000,'calc_s90&amp;138'!$AQ$15:$AQ$1000,"",0)),"")</f>
        <v/>
      </c>
      <c r="I639" s="16" t="str">
        <f t="shared" si="14"/>
        <v/>
      </c>
    </row>
    <row r="640" spans="1:9" ht="13.5" customHeight="1" x14ac:dyDescent="0.25">
      <c r="A640" s="41" t="str">
        <f>_xlfn.XLOOKUP(G640,dd_color!$A$2:$A$8,dd_color!$B$2:$B$8,"",0)</f>
        <v/>
      </c>
      <c r="B640" s="41" t="str">
        <f>_xlfn.XLOOKUP(_xlfn.XLOOKUP(C640,'Project Details'!$C$17:$C$10003,'Project Details'!$E$17:$E$10003, "",0),dd_design_raw!$A$2:$A$9997,dd_design_raw!$C$2:$C$9997,"",0)</f>
        <v/>
      </c>
      <c r="C640" s="16"/>
      <c r="D640" s="16" t="str" cm="1">
        <f t="array" ref="D640">IF(C640&lt;&gt;"", _xlfn.IFS(I640="Height SLI",_xlfn.XLOOKUP(C640,'calc_s90&amp;138'!$C$15:$C$1000,'calc_s90&amp;138'!$AP$15:$AP$1000,"",0),  I640="Height FIX", _xlfn.XLOOKUP(C640,'calc_s90&amp;138'!$C$15:$C$1000,'calc_s90&amp;138'!$AR$15:$AR$1000,"",0)),"")</f>
        <v/>
      </c>
      <c r="E640" s="16" t="str" cm="1">
        <f t="array" ref="E640">IF(C640&lt;&gt;"", _xlfn.XLOOKUP(1,((SKUs!$A$2:$A$10001=cl_unmerged!B640) * (ISNUMBER(SEARCH("Interlocker",SKUs!$J$2:$J$10001)))), SKUs!$J$2:$J$10001,""),"") &amp; _xlfn.IFS(I640="Height", ", H",I640="Height SLI", ", H SLI", I640="Height FIX", ", H FIX",I640="Width", ", W", I640="", "")</f>
        <v/>
      </c>
      <c r="F640" s="33" t="str" cm="1">
        <f t="array" ref="F640">_xlfn.XLOOKUP(1,((SKUs!$A$2:$A$10001=cl_unmerged!B640) * (ISNUMBER(SEARCH("Interlocker",SKUs!$J$2:$J$10001)))* (ISNUMBER(SEARCH(A640,SKUs!$C$2:$C$10001)))), SKUs!$C$2:$C$10001,"")</f>
        <v/>
      </c>
      <c r="G640" s="16"/>
      <c r="H640" s="16" t="str" cm="1">
        <f t="array" ref="H640">IF(C640&lt;&gt;"", _xlfn.IFS(I640="Height SLI",_xlfn.XLOOKUP(C640,'calc_s90&amp;138'!$C$15:$C$1000,'calc_s90&amp;138'!$AO$15:$AO$1000,"",0), I640="Height FIX", _xlfn.XLOOKUP(C640,'calc_s90&amp;138'!$C$15:$C$1000,'calc_s90&amp;138'!$AQ$15:$AQ$1000,"",0)),"")</f>
        <v/>
      </c>
      <c r="I640" s="16" t="str">
        <f t="shared" si="14"/>
        <v/>
      </c>
    </row>
    <row r="641" spans="1:9" ht="13.5" customHeight="1" x14ac:dyDescent="0.25">
      <c r="A641" s="41" t="str">
        <f>_xlfn.XLOOKUP(G641,dd_color!$A$2:$A$8,dd_color!$B$2:$B$8,"",0)</f>
        <v/>
      </c>
      <c r="B641" s="41">
        <f>_xlfn.XLOOKUP(_xlfn.XLOOKUP(C641,'Project Details'!$C$17:$C$10003,'Project Details'!$E$17:$E$10003, "",0),dd_design_raw!$A$2:$A$9997,dd_design_raw!$C$2:$C$9997,"",0)</f>
        <v>0</v>
      </c>
      <c r="C641" s="16"/>
      <c r="D641" s="16" t="str" cm="1">
        <f t="array" ref="D641">IF(C641&lt;&gt;"", _xlfn.IFS(I641="Height SLI",_xlfn.XLOOKUP(C641,'calc_s90&amp;138'!$C$15:$C$1000,'calc_s90&amp;138'!$AP$15:$AP$1000,"",0),  I641="Height FIX", _xlfn.XLOOKUP(C641,'calc_s90&amp;138'!$C$15:$C$1000,'calc_s90&amp;138'!$AR$15:$AR$1000,"",0)),"")</f>
        <v/>
      </c>
      <c r="E641" s="16" t="str" cm="1">
        <f t="array" ref="E641">IF(C641&lt;&gt;"", _xlfn.XLOOKUP(1,((SKUs!$A$2:$A$10001=cl_unmerged!B641) * (ISNUMBER(SEARCH("Interlocker",SKUs!$J$2:$J$10001)))), SKUs!$J$2:$J$10001,""),"") &amp; _xlfn.IFS(I641="Height", ", H",I641="Height SLI", ", H SLI", I641="Height FIX", ", H FIX",I641="Width", ", W", I641="", "")</f>
        <v/>
      </c>
      <c r="F641" s="33" t="str" cm="1">
        <f t="array" ref="F641">_xlfn.XLOOKUP(1,((SKUs!$A$2:$A$10001=cl_unmerged!B641) * (ISNUMBER(SEARCH("Interlocker",SKUs!$J$2:$J$10001)))* (ISNUMBER(SEARCH(A641,SKUs!$C$2:$C$10001)))), SKUs!$C$2:$C$10001,"")</f>
        <v/>
      </c>
      <c r="G641" s="16"/>
      <c r="H641" s="16" t="str" cm="1">
        <f t="array" ref="H641">IF(C641&lt;&gt;"", _xlfn.IFS(I641="Height SLI",_xlfn.XLOOKUP(C641,'calc_s90&amp;138'!$C$15:$C$1000,'calc_s90&amp;138'!$AO$15:$AO$1000,"",0), I641="Height FIX", _xlfn.XLOOKUP(C641,'calc_s90&amp;138'!$C$15:$C$1000,'calc_s90&amp;138'!$AQ$15:$AQ$1000,"",0)),"")</f>
        <v/>
      </c>
      <c r="I641" s="16" t="str">
        <f t="shared" si="14"/>
        <v/>
      </c>
    </row>
    <row r="642" spans="1:9" ht="13.5" customHeight="1" x14ac:dyDescent="0.25">
      <c r="A642" s="41" t="str">
        <f>_xlfn.XLOOKUP(G642,dd_color!$A$2:$A$8,dd_color!$B$2:$B$8,"",0)</f>
        <v/>
      </c>
      <c r="B642" s="41">
        <f>_xlfn.XLOOKUP(_xlfn.XLOOKUP(C642,'Project Details'!$C$17:$C$10003,'Project Details'!$E$17:$E$10003, "",0),dd_design_raw!$A$2:$A$9997,dd_design_raw!$C$2:$C$9997,"",0)</f>
        <v>0</v>
      </c>
      <c r="C642" s="16"/>
      <c r="D642" s="16" t="str" cm="1">
        <f t="array" ref="D642">IF(C642&lt;&gt;"", _xlfn.IFS(I642="Height SLI",_xlfn.XLOOKUP(C642,'calc_s90&amp;138'!$C$15:$C$1000,'calc_s90&amp;138'!$AP$15:$AP$1000,"",0),  I642="Height FIX", _xlfn.XLOOKUP(C642,'calc_s90&amp;138'!$C$15:$C$1000,'calc_s90&amp;138'!$AR$15:$AR$1000,"",0)),"")</f>
        <v/>
      </c>
      <c r="E642" s="16" t="str" cm="1">
        <f t="array" ref="E642">IF(C642&lt;&gt;"", _xlfn.XLOOKUP(1,((SKUs!$A$2:$A$10001=cl_unmerged!B642) * (ISNUMBER(SEARCH("Interlocker",SKUs!$J$2:$J$10001)))), SKUs!$J$2:$J$10001,""),"") &amp; _xlfn.IFS(I642="Height", ", H",I642="Height SLI", ", H SLI", I642="Height FIX", ", H FIX",I642="Width", ", W", I642="", "")</f>
        <v/>
      </c>
      <c r="F642" s="33" t="str" cm="1">
        <f t="array" ref="F642">_xlfn.XLOOKUP(1,((SKUs!$A$2:$A$10001=cl_unmerged!B642) * (ISNUMBER(SEARCH("Interlocker",SKUs!$J$2:$J$10001)))* (ISNUMBER(SEARCH(A642,SKUs!$C$2:$C$10001)))), SKUs!$C$2:$C$10001,"")</f>
        <v/>
      </c>
      <c r="G642" s="16"/>
      <c r="H642" s="16" t="str" cm="1">
        <f t="array" ref="H642">IF(C642&lt;&gt;"", _xlfn.IFS(I642="Height SLI",_xlfn.XLOOKUP(C642,'calc_s90&amp;138'!$C$15:$C$1000,'calc_s90&amp;138'!$AO$15:$AO$1000,"",0), I642="Height FIX", _xlfn.XLOOKUP(C642,'calc_s90&amp;138'!$C$15:$C$1000,'calc_s90&amp;138'!$AQ$15:$AQ$1000,"",0)),"")</f>
        <v/>
      </c>
      <c r="I642" s="16" t="str">
        <f t="shared" si="14"/>
        <v/>
      </c>
    </row>
    <row r="643" spans="1:9" ht="13.5" customHeight="1" x14ac:dyDescent="0.25">
      <c r="A643" s="41" t="str">
        <f>_xlfn.XLOOKUP(G643,dd_color!$A$2:$A$8,dd_color!$B$2:$B$8,"",0)</f>
        <v/>
      </c>
      <c r="B643" s="41" t="str">
        <f>_xlfn.XLOOKUP(_xlfn.XLOOKUP(C643,'Project Details'!$C$17:$C$10003,'Project Details'!$E$17:$E$10003, "",0),dd_design_raw!$A$2:$A$9997,dd_design_raw!$C$2:$C$9997,"",0)</f>
        <v/>
      </c>
      <c r="C643" s="16"/>
      <c r="D643" s="16" t="str" cm="1">
        <f t="array" ref="D643">IF(C643&lt;&gt;"", _xlfn.IFS(I643="Height SLI",_xlfn.XLOOKUP(C643,'calc_s90&amp;138'!$C$15:$C$1000,'calc_s90&amp;138'!$AP$15:$AP$1000,"",0),  I643="Height FIX", _xlfn.XLOOKUP(C643,'calc_s90&amp;138'!$C$15:$C$1000,'calc_s90&amp;138'!$AR$15:$AR$1000,"",0)),"")</f>
        <v/>
      </c>
      <c r="E643" s="16" t="str" cm="1">
        <f t="array" ref="E643">IF(C643&lt;&gt;"", _xlfn.XLOOKUP(1,((SKUs!$A$2:$A$10001=cl_unmerged!B643) * (ISNUMBER(SEARCH("Interlocker",SKUs!$J$2:$J$10001)))), SKUs!$J$2:$J$10001,""),"") &amp; _xlfn.IFS(I643="Height", ", H",I643="Height SLI", ", H SLI", I643="Height FIX", ", H FIX",I643="Width", ", W", I643="", "")</f>
        <v/>
      </c>
      <c r="F643" s="33" t="str" cm="1">
        <f t="array" ref="F643">_xlfn.XLOOKUP(1,((SKUs!$A$2:$A$10001=cl_unmerged!B643) * (ISNUMBER(SEARCH("Interlocker",SKUs!$J$2:$J$10001)))* (ISNUMBER(SEARCH(A643,SKUs!$C$2:$C$10001)))), SKUs!$C$2:$C$10001,"")</f>
        <v/>
      </c>
      <c r="G643" s="16"/>
      <c r="H643" s="16" t="str" cm="1">
        <f t="array" ref="H643">IF(C643&lt;&gt;"", _xlfn.IFS(I643="Height SLI",_xlfn.XLOOKUP(C643,'calc_s90&amp;138'!$C$15:$C$1000,'calc_s90&amp;138'!$AO$15:$AO$1000,"",0), I643="Height FIX", _xlfn.XLOOKUP(C643,'calc_s90&amp;138'!$C$15:$C$1000,'calc_s90&amp;138'!$AQ$15:$AQ$1000,"",0)),"")</f>
        <v/>
      </c>
      <c r="I643" s="16" t="str">
        <f t="shared" si="14"/>
        <v/>
      </c>
    </row>
    <row r="644" spans="1:9" ht="13.5" customHeight="1" x14ac:dyDescent="0.25">
      <c r="A644" s="41" t="str">
        <f>_xlfn.XLOOKUP(G644,dd_color!$A$2:$A$8,dd_color!$B$2:$B$8,"",0)</f>
        <v/>
      </c>
      <c r="B644" s="41" t="str">
        <f>_xlfn.XLOOKUP(_xlfn.XLOOKUP(C644,'Project Details'!$C$17:$C$10003,'Project Details'!$E$17:$E$10003, "",0),dd_design_raw!$A$2:$A$9997,dd_design_raw!$C$2:$C$9997,"",0)</f>
        <v/>
      </c>
      <c r="C644" s="16"/>
      <c r="D644" s="16" t="str" cm="1">
        <f t="array" ref="D644">IF(C644&lt;&gt;"", _xlfn.IFS(I644="Height SLI",_xlfn.XLOOKUP(C644,'calc_s90&amp;138'!$C$15:$C$1000,'calc_s90&amp;138'!$AP$15:$AP$1000,"",0),  I644="Height FIX", _xlfn.XLOOKUP(C644,'calc_s90&amp;138'!$C$15:$C$1000,'calc_s90&amp;138'!$AR$15:$AR$1000,"",0)),"")</f>
        <v/>
      </c>
      <c r="E644" s="16" t="str" cm="1">
        <f t="array" ref="E644">IF(C644&lt;&gt;"", _xlfn.XLOOKUP(1,((SKUs!$A$2:$A$10001=cl_unmerged!B644) * (ISNUMBER(SEARCH("Interlocker",SKUs!$J$2:$J$10001)))), SKUs!$J$2:$J$10001,""),"") &amp; _xlfn.IFS(I644="Height", ", H",I644="Height SLI", ", H SLI", I644="Height FIX", ", H FIX",I644="Width", ", W", I644="", "")</f>
        <v/>
      </c>
      <c r="F644" s="33" t="str" cm="1">
        <f t="array" ref="F644">_xlfn.XLOOKUP(1,((SKUs!$A$2:$A$10001=cl_unmerged!B644) * (ISNUMBER(SEARCH("Interlocker",SKUs!$J$2:$J$10001)))* (ISNUMBER(SEARCH(A644,SKUs!$C$2:$C$10001)))), SKUs!$C$2:$C$10001,"")</f>
        <v/>
      </c>
      <c r="G644" s="16"/>
      <c r="H644" s="16" t="str" cm="1">
        <f t="array" ref="H644">IF(C644&lt;&gt;"", _xlfn.IFS(I644="Height SLI",_xlfn.XLOOKUP(C644,'calc_s90&amp;138'!$C$15:$C$1000,'calc_s90&amp;138'!$AO$15:$AO$1000,"",0), I644="Height FIX", _xlfn.XLOOKUP(C644,'calc_s90&amp;138'!$C$15:$C$1000,'calc_s90&amp;138'!$AQ$15:$AQ$1000,"",0)),"")</f>
        <v/>
      </c>
      <c r="I644" s="16" t="str">
        <f t="shared" si="14"/>
        <v/>
      </c>
    </row>
    <row r="645" spans="1:9" ht="13.5" customHeight="1" x14ac:dyDescent="0.25">
      <c r="A645" s="41" t="str">
        <f>_xlfn.XLOOKUP(G645,dd_color!$A$2:$A$8,dd_color!$B$2:$B$8,"",0)</f>
        <v/>
      </c>
      <c r="B645" s="41" t="str">
        <f>_xlfn.XLOOKUP(_xlfn.XLOOKUP(C645,'Project Details'!$C$17:$C$10003,'Project Details'!$E$17:$E$10003, "",0),dd_design_raw!$A$2:$A$9997,dd_design_raw!$C$2:$C$9997,"",0)</f>
        <v/>
      </c>
      <c r="C645" s="16"/>
      <c r="D645" s="16" t="str" cm="1">
        <f t="array" ref="D645">IF(C645&lt;&gt;"", _xlfn.IFS(I645="Height SLI",_xlfn.XLOOKUP(C645,'calc_s90&amp;138'!$C$15:$C$1000,'calc_s90&amp;138'!$AP$15:$AP$1000,"",0),  I645="Height FIX", _xlfn.XLOOKUP(C645,'calc_s90&amp;138'!$C$15:$C$1000,'calc_s90&amp;138'!$AR$15:$AR$1000,"",0)),"")</f>
        <v/>
      </c>
      <c r="E645" s="16" t="str" cm="1">
        <f t="array" ref="E645">IF(C645&lt;&gt;"", _xlfn.XLOOKUP(1,((SKUs!$A$2:$A$10001=cl_unmerged!B645) * (ISNUMBER(SEARCH("Interlocker",SKUs!$J$2:$J$10001)))), SKUs!$J$2:$J$10001,""),"") &amp; _xlfn.IFS(I645="Height", ", H",I645="Height SLI", ", H SLI", I645="Height FIX", ", H FIX",I645="Width", ", W", I645="", "")</f>
        <v/>
      </c>
      <c r="F645" s="33" t="str" cm="1">
        <f t="array" ref="F645">_xlfn.XLOOKUP(1,((SKUs!$A$2:$A$10001=cl_unmerged!B645) * (ISNUMBER(SEARCH("Interlocker",SKUs!$J$2:$J$10001)))* (ISNUMBER(SEARCH(A645,SKUs!$C$2:$C$10001)))), SKUs!$C$2:$C$10001,"")</f>
        <v/>
      </c>
      <c r="G645" s="16"/>
      <c r="H645" s="16" t="str" cm="1">
        <f t="array" ref="H645">IF(C645&lt;&gt;"", _xlfn.IFS(I645="Height SLI",_xlfn.XLOOKUP(C645,'calc_s90&amp;138'!$C$15:$C$1000,'calc_s90&amp;138'!$AO$15:$AO$1000,"",0), I645="Height FIX", _xlfn.XLOOKUP(C645,'calc_s90&amp;138'!$C$15:$C$1000,'calc_s90&amp;138'!$AQ$15:$AQ$1000,"",0)),"")</f>
        <v/>
      </c>
      <c r="I645" s="16" t="str">
        <f t="shared" si="14"/>
        <v/>
      </c>
    </row>
    <row r="646" spans="1:9" ht="13.5" customHeight="1" x14ac:dyDescent="0.25">
      <c r="A646" s="41" t="str">
        <f>_xlfn.XLOOKUP(G646,dd_color!$A$2:$A$8,dd_color!$B$2:$B$8,"",0)</f>
        <v/>
      </c>
      <c r="B646" s="41">
        <f>_xlfn.XLOOKUP(_xlfn.XLOOKUP(C646,'Project Details'!$C$17:$C$10003,'Project Details'!$E$17:$E$10003, "",0),dd_design_raw!$A$2:$A$9997,dd_design_raw!$C$2:$C$9997,"",0)</f>
        <v>0</v>
      </c>
      <c r="C646" s="16"/>
      <c r="D646" s="16" t="str" cm="1">
        <f t="array" ref="D646">IF(C646&lt;&gt;"", _xlfn.IFS(I646="Height SLI",_xlfn.XLOOKUP(C646,'calc_s90&amp;138'!$C$15:$C$1000,'calc_s90&amp;138'!$AP$15:$AP$1000,"",0),  I646="Height FIX", _xlfn.XLOOKUP(C646,'calc_s90&amp;138'!$C$15:$C$1000,'calc_s90&amp;138'!$AR$15:$AR$1000,"",0)),"")</f>
        <v/>
      </c>
      <c r="E646" s="16" t="str" cm="1">
        <f t="array" ref="E646">IF(C646&lt;&gt;"", _xlfn.XLOOKUP(1,((SKUs!$A$2:$A$10001=cl_unmerged!B646) * (ISNUMBER(SEARCH("Interlocker",SKUs!$J$2:$J$10001)))), SKUs!$J$2:$J$10001,""),"") &amp; _xlfn.IFS(I646="Height", ", H",I646="Height SLI", ", H SLI", I646="Height FIX", ", H FIX",I646="Width", ", W", I646="", "")</f>
        <v/>
      </c>
      <c r="F646" s="33" t="str" cm="1">
        <f t="array" ref="F646">_xlfn.XLOOKUP(1,((SKUs!$A$2:$A$10001=cl_unmerged!B646) * (ISNUMBER(SEARCH("Interlocker",SKUs!$J$2:$J$10001)))* (ISNUMBER(SEARCH(A646,SKUs!$C$2:$C$10001)))), SKUs!$C$2:$C$10001,"")</f>
        <v/>
      </c>
      <c r="G646" s="16"/>
      <c r="H646" s="16" t="str" cm="1">
        <f t="array" ref="H646">IF(C646&lt;&gt;"", _xlfn.IFS(I646="Height SLI",_xlfn.XLOOKUP(C646,'calc_s90&amp;138'!$C$15:$C$1000,'calc_s90&amp;138'!$AO$15:$AO$1000,"",0), I646="Height FIX", _xlfn.XLOOKUP(C646,'calc_s90&amp;138'!$C$15:$C$1000,'calc_s90&amp;138'!$AQ$15:$AQ$1000,"",0)),"")</f>
        <v/>
      </c>
      <c r="I646" s="16" t="str">
        <f t="shared" si="14"/>
        <v/>
      </c>
    </row>
    <row r="647" spans="1:9" ht="13.5" customHeight="1" x14ac:dyDescent="0.25">
      <c r="A647" s="41" t="str">
        <f>_xlfn.XLOOKUP(G647,dd_color!$A$2:$A$8,dd_color!$B$2:$B$8,"",0)</f>
        <v/>
      </c>
      <c r="B647" s="41" t="str">
        <f>_xlfn.XLOOKUP(_xlfn.XLOOKUP(C647,'Project Details'!$C$17:$C$10003,'Project Details'!$E$17:$E$10003, "",0),dd_design_raw!$A$2:$A$9997,dd_design_raw!$C$2:$C$9997,"",0)</f>
        <v/>
      </c>
      <c r="C647" s="16"/>
      <c r="D647" s="16" t="str" cm="1">
        <f t="array" ref="D647">IF(C647&lt;&gt;"", _xlfn.IFS(I647="Height SLI",_xlfn.XLOOKUP(C647,'calc_s90&amp;138'!$C$15:$C$1000,'calc_s90&amp;138'!$AP$15:$AP$1000,"",0),  I647="Height FIX", _xlfn.XLOOKUP(C647,'calc_s90&amp;138'!$C$15:$C$1000,'calc_s90&amp;138'!$AR$15:$AR$1000,"",0)),"")</f>
        <v/>
      </c>
      <c r="E647" s="16" t="str" cm="1">
        <f t="array" ref="E647">IF(C647&lt;&gt;"", _xlfn.XLOOKUP(1,((SKUs!$A$2:$A$10001=cl_unmerged!B647) * (ISNUMBER(SEARCH("Interlocker",SKUs!$J$2:$J$10001)))), SKUs!$J$2:$J$10001,""),"") &amp; _xlfn.IFS(I647="Height", ", H",I647="Height SLI", ", H SLI", I647="Height FIX", ", H FIX",I647="Width", ", W", I647="", "")</f>
        <v/>
      </c>
      <c r="F647" s="33" t="str" cm="1">
        <f t="array" ref="F647">_xlfn.XLOOKUP(1,((SKUs!$A$2:$A$10001=cl_unmerged!B647) * (ISNUMBER(SEARCH("Interlocker",SKUs!$J$2:$J$10001)))* (ISNUMBER(SEARCH(A647,SKUs!$C$2:$C$10001)))), SKUs!$C$2:$C$10001,"")</f>
        <v/>
      </c>
      <c r="G647" s="16"/>
      <c r="H647" s="16" t="str" cm="1">
        <f t="array" ref="H647">IF(C647&lt;&gt;"", _xlfn.IFS(I647="Height SLI",_xlfn.XLOOKUP(C647,'calc_s90&amp;138'!$C$15:$C$1000,'calc_s90&amp;138'!$AO$15:$AO$1000,"",0), I647="Height FIX", _xlfn.XLOOKUP(C647,'calc_s90&amp;138'!$C$15:$C$1000,'calc_s90&amp;138'!$AQ$15:$AQ$1000,"",0)),"")</f>
        <v/>
      </c>
      <c r="I647" s="16" t="str">
        <f t="shared" si="14"/>
        <v/>
      </c>
    </row>
    <row r="648" spans="1:9" ht="13.5" customHeight="1" x14ac:dyDescent="0.25">
      <c r="A648" s="41" t="str">
        <f>_xlfn.XLOOKUP(G648,dd_color!$A$2:$A$8,dd_color!$B$2:$B$8,"",0)</f>
        <v/>
      </c>
      <c r="B648" s="41">
        <f>_xlfn.XLOOKUP(_xlfn.XLOOKUP(C648,'Project Details'!$C$17:$C$10003,'Project Details'!$E$17:$E$10003, "",0),dd_design_raw!$A$2:$A$9997,dd_design_raw!$C$2:$C$9997,"",0)</f>
        <v>0</v>
      </c>
      <c r="C648" s="16"/>
      <c r="D648" s="16" t="str" cm="1">
        <f t="array" ref="D648">IF(C648&lt;&gt;"", _xlfn.IFS(I648="Height SLI",_xlfn.XLOOKUP(C648,'calc_s90&amp;138'!$C$15:$C$1000,'calc_s90&amp;138'!$AP$15:$AP$1000,"",0),  I648="Height FIX", _xlfn.XLOOKUP(C648,'calc_s90&amp;138'!$C$15:$C$1000,'calc_s90&amp;138'!$AR$15:$AR$1000,"",0)),"")</f>
        <v/>
      </c>
      <c r="E648" s="16" t="str" cm="1">
        <f t="array" ref="E648">IF(C648&lt;&gt;"", _xlfn.XLOOKUP(1,((SKUs!$A$2:$A$10001=cl_unmerged!B648) * (ISNUMBER(SEARCH("Interlocker",SKUs!$J$2:$J$10001)))), SKUs!$J$2:$J$10001,""),"") &amp; _xlfn.IFS(I648="Height", ", H",I648="Height SLI", ", H SLI", I648="Height FIX", ", H FIX",I648="Width", ", W", I648="", "")</f>
        <v/>
      </c>
      <c r="F648" s="33" t="str" cm="1">
        <f t="array" ref="F648">_xlfn.XLOOKUP(1,((SKUs!$A$2:$A$10001=cl_unmerged!B648) * (ISNUMBER(SEARCH("Interlocker",SKUs!$J$2:$J$10001)))* (ISNUMBER(SEARCH(A648,SKUs!$C$2:$C$10001)))), SKUs!$C$2:$C$10001,"")</f>
        <v/>
      </c>
      <c r="G648" s="16"/>
      <c r="H648" s="16" t="str" cm="1">
        <f t="array" ref="H648">IF(C648&lt;&gt;"", _xlfn.IFS(I648="Height SLI",_xlfn.XLOOKUP(C648,'calc_s90&amp;138'!$C$15:$C$1000,'calc_s90&amp;138'!$AO$15:$AO$1000,"",0), I648="Height FIX", _xlfn.XLOOKUP(C648,'calc_s90&amp;138'!$C$15:$C$1000,'calc_s90&amp;138'!$AQ$15:$AQ$1000,"",0)),"")</f>
        <v/>
      </c>
      <c r="I648" s="16" t="str">
        <f t="shared" si="14"/>
        <v/>
      </c>
    </row>
    <row r="649" spans="1:9" ht="13.5" customHeight="1" x14ac:dyDescent="0.25">
      <c r="A649" s="41" t="str">
        <f>_xlfn.XLOOKUP(G649,dd_color!$A$2:$A$8,dd_color!$B$2:$B$8,"",0)</f>
        <v/>
      </c>
      <c r="B649" s="41" t="str">
        <f>_xlfn.XLOOKUP(_xlfn.XLOOKUP(C649,'Project Details'!$C$17:$C$10003,'Project Details'!$E$17:$E$10003, "",0),dd_design_raw!$A$2:$A$9997,dd_design_raw!$C$2:$C$9997,"",0)</f>
        <v/>
      </c>
      <c r="C649" s="16"/>
      <c r="D649" s="16" t="str" cm="1">
        <f t="array" ref="D649">IF(C649&lt;&gt;"", _xlfn.IFS(I649="Height SLI",_xlfn.XLOOKUP(C649,'calc_s90&amp;138'!$C$15:$C$1000,'calc_s90&amp;138'!$AP$15:$AP$1000,"",0),  I649="Height FIX", _xlfn.XLOOKUP(C649,'calc_s90&amp;138'!$C$15:$C$1000,'calc_s90&amp;138'!$AR$15:$AR$1000,"",0)),"")</f>
        <v/>
      </c>
      <c r="E649" s="16" t="str" cm="1">
        <f t="array" ref="E649">IF(C649&lt;&gt;"", _xlfn.XLOOKUP(1,((SKUs!$A$2:$A$10001=cl_unmerged!B649) * (ISNUMBER(SEARCH("Interlocker",SKUs!$J$2:$J$10001)))), SKUs!$J$2:$J$10001,""),"") &amp; _xlfn.IFS(I649="Height", ", H",I649="Height SLI", ", H SLI", I649="Height FIX", ", H FIX",I649="Width", ", W", I649="", "")</f>
        <v/>
      </c>
      <c r="F649" s="33" t="str" cm="1">
        <f t="array" ref="F649">_xlfn.XLOOKUP(1,((SKUs!$A$2:$A$10001=cl_unmerged!B649) * (ISNUMBER(SEARCH("Interlocker",SKUs!$J$2:$J$10001)))* (ISNUMBER(SEARCH(A649,SKUs!$C$2:$C$10001)))), SKUs!$C$2:$C$10001,"")</f>
        <v/>
      </c>
      <c r="G649" s="16"/>
      <c r="H649" s="16" t="str" cm="1">
        <f t="array" ref="H649">IF(C649&lt;&gt;"", _xlfn.IFS(I649="Height SLI",_xlfn.XLOOKUP(C649,'calc_s90&amp;138'!$C$15:$C$1000,'calc_s90&amp;138'!$AO$15:$AO$1000,"",0), I649="Height FIX", _xlfn.XLOOKUP(C649,'calc_s90&amp;138'!$C$15:$C$1000,'calc_s90&amp;138'!$AQ$15:$AQ$1000,"",0)),"")</f>
        <v/>
      </c>
      <c r="I649" s="16" t="str">
        <f t="shared" si="14"/>
        <v/>
      </c>
    </row>
    <row r="650" spans="1:9" ht="13.5" customHeight="1" x14ac:dyDescent="0.25">
      <c r="A650" s="41" t="str">
        <f>_xlfn.XLOOKUP(G650,dd_color!$A$2:$A$8,dd_color!$B$2:$B$8,"",0)</f>
        <v/>
      </c>
      <c r="B650" s="41">
        <f>_xlfn.XLOOKUP(_xlfn.XLOOKUP(C650,'Project Details'!$C$17:$C$10003,'Project Details'!$E$17:$E$10003, "",0),dd_design_raw!$A$2:$A$9997,dd_design_raw!$C$2:$C$9997,"",0)</f>
        <v>0</v>
      </c>
      <c r="C650" s="16"/>
      <c r="D650" s="16" t="str" cm="1">
        <f t="array" ref="D650">IF(C650&lt;&gt;"", _xlfn.IFS(I650="Height SLI",_xlfn.XLOOKUP(C650,'calc_s90&amp;138'!$C$15:$C$1000,'calc_s90&amp;138'!$AP$15:$AP$1000,"",0),  I650="Height FIX", _xlfn.XLOOKUP(C650,'calc_s90&amp;138'!$C$15:$C$1000,'calc_s90&amp;138'!$AR$15:$AR$1000,"",0)),"")</f>
        <v/>
      </c>
      <c r="E650" s="16" t="str" cm="1">
        <f t="array" ref="E650">IF(C650&lt;&gt;"", _xlfn.XLOOKUP(1,((SKUs!$A$2:$A$10001=cl_unmerged!B650) * (ISNUMBER(SEARCH("Interlocker",SKUs!$J$2:$J$10001)))), SKUs!$J$2:$J$10001,""),"") &amp; _xlfn.IFS(I650="Height", ", H",I650="Height SLI", ", H SLI", I650="Height FIX", ", H FIX",I650="Width", ", W", I650="", "")</f>
        <v/>
      </c>
      <c r="F650" s="33" t="str" cm="1">
        <f t="array" ref="F650">_xlfn.XLOOKUP(1,((SKUs!$A$2:$A$10001=cl_unmerged!B650) * (ISNUMBER(SEARCH("Interlocker",SKUs!$J$2:$J$10001)))* (ISNUMBER(SEARCH(A650,SKUs!$C$2:$C$10001)))), SKUs!$C$2:$C$10001,"")</f>
        <v/>
      </c>
      <c r="G650" s="16"/>
      <c r="H650" s="16" t="str" cm="1">
        <f t="array" ref="H650">IF(C650&lt;&gt;"", _xlfn.IFS(I650="Height SLI",_xlfn.XLOOKUP(C650,'calc_s90&amp;138'!$C$15:$C$1000,'calc_s90&amp;138'!$AO$15:$AO$1000,"",0), I650="Height FIX", _xlfn.XLOOKUP(C650,'calc_s90&amp;138'!$C$15:$C$1000,'calc_s90&amp;138'!$AQ$15:$AQ$1000,"",0)),"")</f>
        <v/>
      </c>
      <c r="I650" s="16" t="str">
        <f t="shared" si="14"/>
        <v/>
      </c>
    </row>
    <row r="651" spans="1:9" ht="13.5" customHeight="1" x14ac:dyDescent="0.25">
      <c r="A651" s="41" t="str">
        <f>_xlfn.XLOOKUP(G651,dd_color!$A$2:$A$8,dd_color!$B$2:$B$8,"",0)</f>
        <v/>
      </c>
      <c r="B651" s="41">
        <f>_xlfn.XLOOKUP(_xlfn.XLOOKUP(C651,'Project Details'!$C$17:$C$10003,'Project Details'!$E$17:$E$10003, "",0),dd_design_raw!$A$2:$A$9997,dd_design_raw!$C$2:$C$9997,"",0)</f>
        <v>0</v>
      </c>
      <c r="C651" s="16"/>
      <c r="D651" s="16" t="str" cm="1">
        <f t="array" ref="D651">IF(C651&lt;&gt;"", _xlfn.IFS(I651="Height SLI",_xlfn.XLOOKUP(C651,'calc_s90&amp;138'!$C$15:$C$1000,'calc_s90&amp;138'!$AP$15:$AP$1000,"",0),  I651="Height FIX", _xlfn.XLOOKUP(C651,'calc_s90&amp;138'!$C$15:$C$1000,'calc_s90&amp;138'!$AR$15:$AR$1000,"",0)),"")</f>
        <v/>
      </c>
      <c r="E651" s="16" t="str" cm="1">
        <f t="array" ref="E651">IF(C651&lt;&gt;"", _xlfn.XLOOKUP(1,((SKUs!$A$2:$A$10001=cl_unmerged!B651) * (ISNUMBER(SEARCH("Interlocker",SKUs!$J$2:$J$10001)))), SKUs!$J$2:$J$10001,""),"") &amp; _xlfn.IFS(I651="Height", ", H",I651="Height SLI", ", H SLI", I651="Height FIX", ", H FIX",I651="Width", ", W", I651="", "")</f>
        <v/>
      </c>
      <c r="F651" s="33" t="str" cm="1">
        <f t="array" ref="F651">_xlfn.XLOOKUP(1,((SKUs!$A$2:$A$10001=cl_unmerged!B651) * (ISNUMBER(SEARCH("Interlocker",SKUs!$J$2:$J$10001)))* (ISNUMBER(SEARCH(A651,SKUs!$C$2:$C$10001)))), SKUs!$C$2:$C$10001,"")</f>
        <v/>
      </c>
      <c r="G651" s="16"/>
      <c r="H651" s="16" t="str" cm="1">
        <f t="array" ref="H651">IF(C651&lt;&gt;"", _xlfn.IFS(I651="Height SLI",_xlfn.XLOOKUP(C651,'calc_s90&amp;138'!$C$15:$C$1000,'calc_s90&amp;138'!$AO$15:$AO$1000,"",0), I651="Height FIX", _xlfn.XLOOKUP(C651,'calc_s90&amp;138'!$C$15:$C$1000,'calc_s90&amp;138'!$AQ$15:$AQ$1000,"",0)),"")</f>
        <v/>
      </c>
      <c r="I651" s="16" t="str">
        <f t="shared" si="14"/>
        <v/>
      </c>
    </row>
    <row r="652" spans="1:9" ht="13.5" customHeight="1" x14ac:dyDescent="0.25">
      <c r="A652" s="41" t="str">
        <f>_xlfn.XLOOKUP(G652,dd_color!$A$2:$A$8,dd_color!$B$2:$B$8,"",0)</f>
        <v/>
      </c>
      <c r="B652" s="41">
        <f>_xlfn.XLOOKUP(_xlfn.XLOOKUP(C652,'Project Details'!$C$17:$C$10003,'Project Details'!$E$17:$E$10003, "",0),dd_design_raw!$A$2:$A$9997,dd_design_raw!$C$2:$C$9997,"",0)</f>
        <v>0</v>
      </c>
      <c r="C652" s="16"/>
      <c r="D652" s="16" t="str" cm="1">
        <f t="array" ref="D652">IF(C652&lt;&gt;"", _xlfn.IFS(I652="Height SLI",_xlfn.XLOOKUP(C652,'calc_s90&amp;138'!$C$15:$C$1000,'calc_s90&amp;138'!$AP$15:$AP$1000,"",0),  I652="Height FIX", _xlfn.XLOOKUP(C652,'calc_s90&amp;138'!$C$15:$C$1000,'calc_s90&amp;138'!$AR$15:$AR$1000,"",0)),"")</f>
        <v/>
      </c>
      <c r="E652" s="16" t="str" cm="1">
        <f t="array" ref="E652">IF(C652&lt;&gt;"", _xlfn.XLOOKUP(1,((SKUs!$A$2:$A$10001=cl_unmerged!B652) * (ISNUMBER(SEARCH("Interlocker",SKUs!$J$2:$J$10001)))), SKUs!$J$2:$J$10001,""),"") &amp; _xlfn.IFS(I652="Height", ", H",I652="Height SLI", ", H SLI", I652="Height FIX", ", H FIX",I652="Width", ", W", I652="", "")</f>
        <v/>
      </c>
      <c r="F652" s="33" t="str" cm="1">
        <f t="array" ref="F652">_xlfn.XLOOKUP(1,((SKUs!$A$2:$A$10001=cl_unmerged!B652) * (ISNUMBER(SEARCH("Interlocker",SKUs!$J$2:$J$10001)))* (ISNUMBER(SEARCH(A652,SKUs!$C$2:$C$10001)))), SKUs!$C$2:$C$10001,"")</f>
        <v/>
      </c>
      <c r="G652" s="16"/>
      <c r="H652" s="16" t="str" cm="1">
        <f t="array" ref="H652">IF(C652&lt;&gt;"", _xlfn.IFS(I652="Height SLI",_xlfn.XLOOKUP(C652,'calc_s90&amp;138'!$C$15:$C$1000,'calc_s90&amp;138'!$AO$15:$AO$1000,"",0), I652="Height FIX", _xlfn.XLOOKUP(C652,'calc_s90&amp;138'!$C$15:$C$1000,'calc_s90&amp;138'!$AQ$15:$AQ$1000,"",0)),"")</f>
        <v/>
      </c>
      <c r="I652" s="16" t="str">
        <f t="shared" si="14"/>
        <v/>
      </c>
    </row>
    <row r="653" spans="1:9" ht="13.5" customHeight="1" x14ac:dyDescent="0.25">
      <c r="A653" s="41" t="str">
        <f>_xlfn.XLOOKUP(G653,dd_color!$A$2:$A$8,dd_color!$B$2:$B$8,"",0)</f>
        <v/>
      </c>
      <c r="B653" s="41">
        <f>_xlfn.XLOOKUP(_xlfn.XLOOKUP(C653,'Project Details'!$C$17:$C$10003,'Project Details'!$E$17:$E$10003, "",0),dd_design_raw!$A$2:$A$9997,dd_design_raw!$C$2:$C$9997,"",0)</f>
        <v>0</v>
      </c>
      <c r="C653" s="16"/>
      <c r="D653" s="16" t="str" cm="1">
        <f t="array" ref="D653">IF(C653&lt;&gt;"", _xlfn.IFS(I653="Height SLI",_xlfn.XLOOKUP(C653,'calc_s90&amp;138'!$C$15:$C$1000,'calc_s90&amp;138'!$AP$15:$AP$1000,"",0),  I653="Height FIX", _xlfn.XLOOKUP(C653,'calc_s90&amp;138'!$C$15:$C$1000,'calc_s90&amp;138'!$AR$15:$AR$1000,"",0)),"")</f>
        <v/>
      </c>
      <c r="E653" s="16" t="str" cm="1">
        <f t="array" ref="E653">IF(C653&lt;&gt;"", _xlfn.XLOOKUP(1,((SKUs!$A$2:$A$10001=cl_unmerged!B653) * (ISNUMBER(SEARCH("Interlocker",SKUs!$J$2:$J$10001)))), SKUs!$J$2:$J$10001,""),"") &amp; _xlfn.IFS(I653="Height", ", H",I653="Height SLI", ", H SLI", I653="Height FIX", ", H FIX",I653="Width", ", W", I653="", "")</f>
        <v/>
      </c>
      <c r="F653" s="33" t="str" cm="1">
        <f t="array" ref="F653">_xlfn.XLOOKUP(1,((SKUs!$A$2:$A$10001=cl_unmerged!B653) * (ISNUMBER(SEARCH("Interlocker",SKUs!$J$2:$J$10001)))* (ISNUMBER(SEARCH(A653,SKUs!$C$2:$C$10001)))), SKUs!$C$2:$C$10001,"")</f>
        <v/>
      </c>
      <c r="G653" s="16"/>
      <c r="H653" s="16" t="str" cm="1">
        <f t="array" ref="H653">IF(C653&lt;&gt;"", _xlfn.IFS(I653="Height SLI",_xlfn.XLOOKUP(C653,'calc_s90&amp;138'!$C$15:$C$1000,'calc_s90&amp;138'!$AO$15:$AO$1000,"",0), I653="Height FIX", _xlfn.XLOOKUP(C653,'calc_s90&amp;138'!$C$15:$C$1000,'calc_s90&amp;138'!$AQ$15:$AQ$1000,"",0)),"")</f>
        <v/>
      </c>
      <c r="I653" s="16" t="str">
        <f t="shared" si="14"/>
        <v/>
      </c>
    </row>
    <row r="654" spans="1:9" ht="13.5" customHeight="1" x14ac:dyDescent="0.25">
      <c r="A654" s="41" t="str">
        <f>_xlfn.XLOOKUP(G654,dd_color!$A$2:$A$8,dd_color!$B$2:$B$8,"",0)</f>
        <v/>
      </c>
      <c r="B654" s="41">
        <f>_xlfn.XLOOKUP(_xlfn.XLOOKUP(C654,'Project Details'!$C$17:$C$10003,'Project Details'!$E$17:$E$10003, "",0),dd_design_raw!$A$2:$A$9997,dd_design_raw!$C$2:$C$9997,"",0)</f>
        <v>0</v>
      </c>
      <c r="C654" s="16"/>
      <c r="D654" s="16" t="str" cm="1">
        <f t="array" ref="D654">IF(C654&lt;&gt;"", _xlfn.IFS(I654="Height SLI",_xlfn.XLOOKUP(C654,'calc_s90&amp;138'!$C$15:$C$1000,'calc_s90&amp;138'!$AP$15:$AP$1000,"",0),  I654="Height FIX", _xlfn.XLOOKUP(C654,'calc_s90&amp;138'!$C$15:$C$1000,'calc_s90&amp;138'!$AR$15:$AR$1000,"",0)),"")</f>
        <v/>
      </c>
      <c r="E654" s="16" t="str" cm="1">
        <f t="array" ref="E654">IF(C654&lt;&gt;"", _xlfn.XLOOKUP(1,((SKUs!$A$2:$A$10001=cl_unmerged!B654) * (ISNUMBER(SEARCH("Interlocker",SKUs!$J$2:$J$10001)))), SKUs!$J$2:$J$10001,""),"") &amp; _xlfn.IFS(I654="Height", ", H",I654="Height SLI", ", H SLI", I654="Height FIX", ", H FIX",I654="Width", ", W", I654="", "")</f>
        <v/>
      </c>
      <c r="F654" s="33" t="str" cm="1">
        <f t="array" ref="F654">_xlfn.XLOOKUP(1,((SKUs!$A$2:$A$10001=cl_unmerged!B654) * (ISNUMBER(SEARCH("Interlocker",SKUs!$J$2:$J$10001)))* (ISNUMBER(SEARCH(A654,SKUs!$C$2:$C$10001)))), SKUs!$C$2:$C$10001,"")</f>
        <v/>
      </c>
      <c r="G654" s="16"/>
      <c r="H654" s="16" t="str" cm="1">
        <f t="array" ref="H654">IF(C654&lt;&gt;"", _xlfn.IFS(I654="Height SLI",_xlfn.XLOOKUP(C654,'calc_s90&amp;138'!$C$15:$C$1000,'calc_s90&amp;138'!$AO$15:$AO$1000,"",0), I654="Height FIX", _xlfn.XLOOKUP(C654,'calc_s90&amp;138'!$C$15:$C$1000,'calc_s90&amp;138'!$AQ$15:$AQ$1000,"",0)),"")</f>
        <v/>
      </c>
      <c r="I654" s="16" t="str">
        <f t="shared" si="14"/>
        <v/>
      </c>
    </row>
    <row r="655" spans="1:9" ht="13.5" customHeight="1" x14ac:dyDescent="0.25">
      <c r="A655" s="41" t="str">
        <f>_xlfn.XLOOKUP(G655,dd_color!$A$2:$A$8,dd_color!$B$2:$B$8,"",0)</f>
        <v/>
      </c>
      <c r="B655" s="41">
        <f>_xlfn.XLOOKUP(_xlfn.XLOOKUP(C655,'Project Details'!$C$17:$C$10003,'Project Details'!$E$17:$E$10003, "",0),dd_design_raw!$A$2:$A$9997,dd_design_raw!$C$2:$C$9997,"",0)</f>
        <v>0</v>
      </c>
      <c r="C655" s="16"/>
      <c r="D655" s="16" t="str" cm="1">
        <f t="array" ref="D655">IF(C655&lt;&gt;"", _xlfn.IFS(I655="Height SLI",_xlfn.XLOOKUP(C655,'calc_s90&amp;138'!$C$15:$C$1000,'calc_s90&amp;138'!$AP$15:$AP$1000,"",0),  I655="Height FIX", _xlfn.XLOOKUP(C655,'calc_s90&amp;138'!$C$15:$C$1000,'calc_s90&amp;138'!$AR$15:$AR$1000,"",0)),"")</f>
        <v/>
      </c>
      <c r="E655" s="16" t="str" cm="1">
        <f t="array" ref="E655">IF(C655&lt;&gt;"", _xlfn.XLOOKUP(1,((SKUs!$A$2:$A$10001=cl_unmerged!B655) * (ISNUMBER(SEARCH("Interlocker",SKUs!$J$2:$J$10001)))), SKUs!$J$2:$J$10001,""),"") &amp; _xlfn.IFS(I655="Height", ", H",I655="Height SLI", ", H SLI", I655="Height FIX", ", H FIX",I655="Width", ", W", I655="", "")</f>
        <v/>
      </c>
      <c r="F655" s="33" t="str" cm="1">
        <f t="array" ref="F655">_xlfn.XLOOKUP(1,((SKUs!$A$2:$A$10001=cl_unmerged!B655) * (ISNUMBER(SEARCH("Interlocker",SKUs!$J$2:$J$10001)))* (ISNUMBER(SEARCH(A655,SKUs!$C$2:$C$10001)))), SKUs!$C$2:$C$10001,"")</f>
        <v/>
      </c>
      <c r="G655" s="16"/>
      <c r="H655" s="16" t="str" cm="1">
        <f t="array" ref="H655">IF(C655&lt;&gt;"", _xlfn.IFS(I655="Height SLI",_xlfn.XLOOKUP(C655,'calc_s90&amp;138'!$C$15:$C$1000,'calc_s90&amp;138'!$AO$15:$AO$1000,"",0), I655="Height FIX", _xlfn.XLOOKUP(C655,'calc_s90&amp;138'!$C$15:$C$1000,'calc_s90&amp;138'!$AQ$15:$AQ$1000,"",0)),"")</f>
        <v/>
      </c>
      <c r="I655" s="16" t="str">
        <f t="shared" si="14"/>
        <v/>
      </c>
    </row>
    <row r="656" spans="1:9" ht="13.5" customHeight="1" x14ac:dyDescent="0.25">
      <c r="A656" s="41" t="str">
        <f>_xlfn.XLOOKUP(G656,dd_color!$A$2:$A$8,dd_color!$B$2:$B$8,"",0)</f>
        <v/>
      </c>
      <c r="B656" s="41">
        <f>_xlfn.XLOOKUP(_xlfn.XLOOKUP(C656,'Project Details'!$C$17:$C$10003,'Project Details'!$E$17:$E$10003, "",0),dd_design_raw!$A$2:$A$9997,dd_design_raw!$C$2:$C$9997,"",0)</f>
        <v>0</v>
      </c>
      <c r="C656" s="16"/>
      <c r="D656" s="16" t="str" cm="1">
        <f t="array" ref="D656">IF(C656&lt;&gt;"", _xlfn.IFS(I656="Height SLI",_xlfn.XLOOKUP(C656,'calc_s90&amp;138'!$C$15:$C$1000,'calc_s90&amp;138'!$AP$15:$AP$1000,"",0),  I656="Height FIX", _xlfn.XLOOKUP(C656,'calc_s90&amp;138'!$C$15:$C$1000,'calc_s90&amp;138'!$AR$15:$AR$1000,"",0)),"")</f>
        <v/>
      </c>
      <c r="E656" s="16" t="str" cm="1">
        <f t="array" ref="E656">IF(C656&lt;&gt;"", _xlfn.XLOOKUP(1,((SKUs!$A$2:$A$10001=cl_unmerged!B656) * (ISNUMBER(SEARCH("Interlocker",SKUs!$J$2:$J$10001)))), SKUs!$J$2:$J$10001,""),"") &amp; _xlfn.IFS(I656="Height", ", H",I656="Height SLI", ", H SLI", I656="Height FIX", ", H FIX",I656="Width", ", W", I656="", "")</f>
        <v/>
      </c>
      <c r="F656" s="33" t="str" cm="1">
        <f t="array" ref="F656">_xlfn.XLOOKUP(1,((SKUs!$A$2:$A$10001=cl_unmerged!B656) * (ISNUMBER(SEARCH("Interlocker",SKUs!$J$2:$J$10001)))* (ISNUMBER(SEARCH(A656,SKUs!$C$2:$C$10001)))), SKUs!$C$2:$C$10001,"")</f>
        <v/>
      </c>
      <c r="G656" s="16"/>
      <c r="H656" s="16" t="str" cm="1">
        <f t="array" ref="H656">IF(C656&lt;&gt;"", _xlfn.IFS(I656="Height SLI",_xlfn.XLOOKUP(C656,'calc_s90&amp;138'!$C$15:$C$1000,'calc_s90&amp;138'!$AO$15:$AO$1000,"",0), I656="Height FIX", _xlfn.XLOOKUP(C656,'calc_s90&amp;138'!$C$15:$C$1000,'calc_s90&amp;138'!$AQ$15:$AQ$1000,"",0)),"")</f>
        <v/>
      </c>
      <c r="I656" s="16" t="str">
        <f t="shared" si="14"/>
        <v/>
      </c>
    </row>
    <row r="657" spans="1:9" ht="13.5" customHeight="1" x14ac:dyDescent="0.25">
      <c r="A657" s="41" t="str">
        <f>_xlfn.XLOOKUP(G657,dd_color!$A$2:$A$8,dd_color!$B$2:$B$8,"",0)</f>
        <v/>
      </c>
      <c r="B657" s="41">
        <f>_xlfn.XLOOKUP(_xlfn.XLOOKUP(C657,'Project Details'!$C$17:$C$10003,'Project Details'!$E$17:$E$10003, "",0),dd_design_raw!$A$2:$A$9997,dd_design_raw!$C$2:$C$9997,"",0)</f>
        <v>0</v>
      </c>
      <c r="C657" s="16"/>
      <c r="D657" s="16" t="str" cm="1">
        <f t="array" ref="D657">IF(C657&lt;&gt;"", _xlfn.IFS(I657="Height SLI",_xlfn.XLOOKUP(C657,'calc_s90&amp;138'!$C$15:$C$1000,'calc_s90&amp;138'!$AP$15:$AP$1000,"",0),  I657="Height FIX", _xlfn.XLOOKUP(C657,'calc_s90&amp;138'!$C$15:$C$1000,'calc_s90&amp;138'!$AR$15:$AR$1000,"",0)),"")</f>
        <v/>
      </c>
      <c r="E657" s="16" t="str" cm="1">
        <f t="array" ref="E657">IF(C657&lt;&gt;"", _xlfn.XLOOKUP(1,((SKUs!$A$2:$A$10001=cl_unmerged!B657) * (ISNUMBER(SEARCH("Interlocker",SKUs!$J$2:$J$10001)))), SKUs!$J$2:$J$10001,""),"") &amp; _xlfn.IFS(I657="Height", ", H",I657="Height SLI", ", H SLI", I657="Height FIX", ", H FIX",I657="Width", ", W", I657="", "")</f>
        <v/>
      </c>
      <c r="F657" s="33" t="str" cm="1">
        <f t="array" ref="F657">_xlfn.XLOOKUP(1,((SKUs!$A$2:$A$10001=cl_unmerged!B657) * (ISNUMBER(SEARCH("Interlocker",SKUs!$J$2:$J$10001)))* (ISNUMBER(SEARCH(A657,SKUs!$C$2:$C$10001)))), SKUs!$C$2:$C$10001,"")</f>
        <v/>
      </c>
      <c r="G657" s="16"/>
      <c r="H657" s="16" t="str" cm="1">
        <f t="array" ref="H657">IF(C657&lt;&gt;"", _xlfn.IFS(I657="Height SLI",_xlfn.XLOOKUP(C657,'calc_s90&amp;138'!$C$15:$C$1000,'calc_s90&amp;138'!$AO$15:$AO$1000,"",0), I657="Height FIX", _xlfn.XLOOKUP(C657,'calc_s90&amp;138'!$C$15:$C$1000,'calc_s90&amp;138'!$AQ$15:$AQ$1000,"",0)),"")</f>
        <v/>
      </c>
      <c r="I657" s="16" t="str">
        <f t="shared" si="14"/>
        <v/>
      </c>
    </row>
    <row r="658" spans="1:9" ht="13.5" customHeight="1" x14ac:dyDescent="0.25">
      <c r="A658" s="41" t="str">
        <f>_xlfn.XLOOKUP(G658,dd_color!$A$2:$A$8,dd_color!$B$2:$B$8,"",0)</f>
        <v/>
      </c>
      <c r="B658" s="41">
        <f>_xlfn.XLOOKUP(_xlfn.XLOOKUP(C658,'Project Details'!$C$17:$C$10003,'Project Details'!$E$17:$E$10003, "",0),dd_design_raw!$A$2:$A$9997,dd_design_raw!$C$2:$C$9997,"",0)</f>
        <v>0</v>
      </c>
      <c r="C658" s="16"/>
      <c r="D658" s="16" t="str" cm="1">
        <f t="array" ref="D658">IF(C658&lt;&gt;"", _xlfn.IFS(I658="Height SLI",_xlfn.XLOOKUP(C658,'calc_s90&amp;138'!$C$15:$C$1000,'calc_s90&amp;138'!$AP$15:$AP$1000,"",0),  I658="Height FIX", _xlfn.XLOOKUP(C658,'calc_s90&amp;138'!$C$15:$C$1000,'calc_s90&amp;138'!$AR$15:$AR$1000,"",0)),"")</f>
        <v/>
      </c>
      <c r="E658" s="16" t="str" cm="1">
        <f t="array" ref="E658">IF(C658&lt;&gt;"", _xlfn.XLOOKUP(1,((SKUs!$A$2:$A$10001=cl_unmerged!B658) * (ISNUMBER(SEARCH("Interlocker",SKUs!$J$2:$J$10001)))), SKUs!$J$2:$J$10001,""),"") &amp; _xlfn.IFS(I658="Height", ", H",I658="Height SLI", ", H SLI", I658="Height FIX", ", H FIX",I658="Width", ", W", I658="", "")</f>
        <v/>
      </c>
      <c r="F658" s="33" t="str" cm="1">
        <f t="array" ref="F658">_xlfn.XLOOKUP(1,((SKUs!$A$2:$A$10001=cl_unmerged!B658) * (ISNUMBER(SEARCH("Interlocker",SKUs!$J$2:$J$10001)))* (ISNUMBER(SEARCH(A658,SKUs!$C$2:$C$10001)))), SKUs!$C$2:$C$10001,"")</f>
        <v/>
      </c>
      <c r="G658" s="16"/>
      <c r="H658" s="16" t="str" cm="1">
        <f t="array" ref="H658">IF(C658&lt;&gt;"", _xlfn.IFS(I658="Height SLI",_xlfn.XLOOKUP(C658,'calc_s90&amp;138'!$C$15:$C$1000,'calc_s90&amp;138'!$AO$15:$AO$1000,"",0), I658="Height FIX", _xlfn.XLOOKUP(C658,'calc_s90&amp;138'!$C$15:$C$1000,'calc_s90&amp;138'!$AQ$15:$AQ$1000,"",0)),"")</f>
        <v/>
      </c>
      <c r="I658" s="16" t="str">
        <f t="shared" si="14"/>
        <v/>
      </c>
    </row>
    <row r="659" spans="1:9" ht="13.5" customHeight="1" x14ac:dyDescent="0.25">
      <c r="A659" s="41" t="str">
        <f>_xlfn.XLOOKUP(G659,dd_color!$A$2:$A$8,dd_color!$B$2:$B$8,"",0)</f>
        <v/>
      </c>
      <c r="B659" s="41">
        <f>_xlfn.XLOOKUP(_xlfn.XLOOKUP(C659,'Project Details'!$C$17:$C$10003,'Project Details'!$E$17:$E$10003, "",0),dd_design_raw!$A$2:$A$9997,dd_design_raw!$C$2:$C$9997,"",0)</f>
        <v>0</v>
      </c>
      <c r="C659" s="16"/>
      <c r="D659" s="16" t="str" cm="1">
        <f t="array" ref="D659">IF(C659&lt;&gt;"", _xlfn.IFS(I659="Height SLI",_xlfn.XLOOKUP(C659,'calc_s90&amp;138'!$C$15:$C$1000,'calc_s90&amp;138'!$AP$15:$AP$1000,"",0),  I659="Height FIX", _xlfn.XLOOKUP(C659,'calc_s90&amp;138'!$C$15:$C$1000,'calc_s90&amp;138'!$AR$15:$AR$1000,"",0)),"")</f>
        <v/>
      </c>
      <c r="E659" s="16" t="str" cm="1">
        <f t="array" ref="E659">IF(C659&lt;&gt;"", _xlfn.XLOOKUP(1,((SKUs!$A$2:$A$10001=cl_unmerged!B659) * (ISNUMBER(SEARCH("Interlocker",SKUs!$J$2:$J$10001)))), SKUs!$J$2:$J$10001,""),"") &amp; _xlfn.IFS(I659="Height", ", H",I659="Height SLI", ", H SLI", I659="Height FIX", ", H FIX",I659="Width", ", W", I659="", "")</f>
        <v/>
      </c>
      <c r="F659" s="33" t="str" cm="1">
        <f t="array" ref="F659">_xlfn.XLOOKUP(1,((SKUs!$A$2:$A$10001=cl_unmerged!B659) * (ISNUMBER(SEARCH("Interlocker",SKUs!$J$2:$J$10001)))* (ISNUMBER(SEARCH(A659,SKUs!$C$2:$C$10001)))), SKUs!$C$2:$C$10001,"")</f>
        <v/>
      </c>
      <c r="G659" s="16"/>
      <c r="H659" s="16" t="str" cm="1">
        <f t="array" ref="H659">IF(C659&lt;&gt;"", _xlfn.IFS(I659="Height SLI",_xlfn.XLOOKUP(C659,'calc_s90&amp;138'!$C$15:$C$1000,'calc_s90&amp;138'!$AO$15:$AO$1000,"",0), I659="Height FIX", _xlfn.XLOOKUP(C659,'calc_s90&amp;138'!$C$15:$C$1000,'calc_s90&amp;138'!$AQ$15:$AQ$1000,"",0)),"")</f>
        <v/>
      </c>
      <c r="I659" s="16" t="str">
        <f t="shared" si="14"/>
        <v/>
      </c>
    </row>
    <row r="660" spans="1:9" ht="13.5" customHeight="1" x14ac:dyDescent="0.25">
      <c r="A660" s="41" t="str">
        <f>_xlfn.XLOOKUP(G660,dd_color!$A$2:$A$8,dd_color!$B$2:$B$8,"",0)</f>
        <v/>
      </c>
      <c r="B660" s="41">
        <f>_xlfn.XLOOKUP(_xlfn.XLOOKUP(C660,'Project Details'!$C$17:$C$10003,'Project Details'!$E$17:$E$10003, "",0),dd_design_raw!$A$2:$A$9997,dd_design_raw!$C$2:$C$9997,"",0)</f>
        <v>0</v>
      </c>
      <c r="C660" s="16"/>
      <c r="D660" s="16" t="str" cm="1">
        <f t="array" ref="D660">IF(C660&lt;&gt;"", _xlfn.IFS(I660="Height SLI",_xlfn.XLOOKUP(C660,'calc_s90&amp;138'!$C$15:$C$1000,'calc_s90&amp;138'!$AP$15:$AP$1000,"",0),  I660="Height FIX", _xlfn.XLOOKUP(C660,'calc_s90&amp;138'!$C$15:$C$1000,'calc_s90&amp;138'!$AR$15:$AR$1000,"",0)),"")</f>
        <v/>
      </c>
      <c r="E660" s="16" t="str" cm="1">
        <f t="array" ref="E660">IF(C660&lt;&gt;"", _xlfn.XLOOKUP(1,((SKUs!$A$2:$A$10001=cl_unmerged!B660) * (ISNUMBER(SEARCH("Interlocker",SKUs!$J$2:$J$10001)))), SKUs!$J$2:$J$10001,""),"") &amp; _xlfn.IFS(I660="Height", ", H",I660="Height SLI", ", H SLI", I660="Height FIX", ", H FIX",I660="Width", ", W", I660="", "")</f>
        <v/>
      </c>
      <c r="F660" s="33" t="str" cm="1">
        <f t="array" ref="F660">_xlfn.XLOOKUP(1,((SKUs!$A$2:$A$10001=cl_unmerged!B660) * (ISNUMBER(SEARCH("Interlocker",SKUs!$J$2:$J$10001)))* (ISNUMBER(SEARCH(A660,SKUs!$C$2:$C$10001)))), SKUs!$C$2:$C$10001,"")</f>
        <v/>
      </c>
      <c r="G660" s="16"/>
      <c r="H660" s="16" t="str" cm="1">
        <f t="array" ref="H660">IF(C660&lt;&gt;"", _xlfn.IFS(I660="Height SLI",_xlfn.XLOOKUP(C660,'calc_s90&amp;138'!$C$15:$C$1000,'calc_s90&amp;138'!$AO$15:$AO$1000,"",0), I660="Height FIX", _xlfn.XLOOKUP(C660,'calc_s90&amp;138'!$C$15:$C$1000,'calc_s90&amp;138'!$AQ$15:$AQ$1000,"",0)),"")</f>
        <v/>
      </c>
      <c r="I660" s="16" t="str">
        <f t="shared" si="14"/>
        <v/>
      </c>
    </row>
    <row r="661" spans="1:9" ht="13.5" customHeight="1" x14ac:dyDescent="0.25">
      <c r="A661" s="41" t="str">
        <f>_xlfn.XLOOKUP(G661,dd_color!$A$2:$A$8,dd_color!$B$2:$B$8,"",0)</f>
        <v/>
      </c>
      <c r="B661" s="41">
        <f>_xlfn.XLOOKUP(_xlfn.XLOOKUP(C661,'Project Details'!$C$17:$C$10003,'Project Details'!$E$17:$E$10003, "",0),dd_design_raw!$A$2:$A$9997,dd_design_raw!$C$2:$C$9997,"",0)</f>
        <v>0</v>
      </c>
      <c r="C661" s="16"/>
      <c r="D661" s="16" t="str" cm="1">
        <f t="array" ref="D661">IF(C661&lt;&gt;"", _xlfn.IFS(I661="Height SLI",_xlfn.XLOOKUP(C661,'calc_s90&amp;138'!$C$15:$C$1000,'calc_s90&amp;138'!$AP$15:$AP$1000,"",0),  I661="Height FIX", _xlfn.XLOOKUP(C661,'calc_s90&amp;138'!$C$15:$C$1000,'calc_s90&amp;138'!$AR$15:$AR$1000,"",0)),"")</f>
        <v/>
      </c>
      <c r="E661" s="16" t="str" cm="1">
        <f t="array" ref="E661">IF(C661&lt;&gt;"", _xlfn.XLOOKUP(1,((SKUs!$A$2:$A$10001=cl_unmerged!B661) * (ISNUMBER(SEARCH("Interlocker",SKUs!$J$2:$J$10001)))), SKUs!$J$2:$J$10001,""),"") &amp; _xlfn.IFS(I661="Height", ", H",I661="Height SLI", ", H SLI", I661="Height FIX", ", H FIX",I661="Width", ", W", I661="", "")</f>
        <v/>
      </c>
      <c r="F661" s="33" t="str" cm="1">
        <f t="array" ref="F661">_xlfn.XLOOKUP(1,((SKUs!$A$2:$A$10001=cl_unmerged!B661) * (ISNUMBER(SEARCH("Interlocker",SKUs!$J$2:$J$10001)))* (ISNUMBER(SEARCH(A661,SKUs!$C$2:$C$10001)))), SKUs!$C$2:$C$10001,"")</f>
        <v/>
      </c>
      <c r="G661" s="16"/>
      <c r="H661" s="16" t="str" cm="1">
        <f t="array" ref="H661">IF(C661&lt;&gt;"", _xlfn.IFS(I661="Height SLI",_xlfn.XLOOKUP(C661,'calc_s90&amp;138'!$C$15:$C$1000,'calc_s90&amp;138'!$AO$15:$AO$1000,"",0), I661="Height FIX", _xlfn.XLOOKUP(C661,'calc_s90&amp;138'!$C$15:$C$1000,'calc_s90&amp;138'!$AQ$15:$AQ$1000,"",0)),"")</f>
        <v/>
      </c>
      <c r="I661" s="16" t="str">
        <f t="shared" si="14"/>
        <v/>
      </c>
    </row>
    <row r="662" spans="1:9" ht="13.5" customHeight="1" x14ac:dyDescent="0.25">
      <c r="A662" s="41" t="str">
        <f>_xlfn.XLOOKUP(G662,dd_color!$A$2:$A$8,dd_color!$B$2:$B$8,"",0)</f>
        <v/>
      </c>
      <c r="B662" s="41">
        <f>_xlfn.XLOOKUP(_xlfn.XLOOKUP(C662,'Project Details'!$C$17:$C$10003,'Project Details'!$E$17:$E$10003, "",0),dd_design_raw!$A$2:$A$9997,dd_design_raw!$C$2:$C$9997,"",0)</f>
        <v>0</v>
      </c>
      <c r="C662" s="16"/>
      <c r="D662" s="16" t="str" cm="1">
        <f t="array" ref="D662">IF(C662&lt;&gt;"", _xlfn.IFS(I662="Height SLI",_xlfn.XLOOKUP(C662,'calc_s90&amp;138'!$C$15:$C$1000,'calc_s90&amp;138'!$AP$15:$AP$1000,"",0),  I662="Height FIX", _xlfn.XLOOKUP(C662,'calc_s90&amp;138'!$C$15:$C$1000,'calc_s90&amp;138'!$AR$15:$AR$1000,"",0)),"")</f>
        <v/>
      </c>
      <c r="E662" s="16" t="str" cm="1">
        <f t="array" ref="E662">IF(C662&lt;&gt;"", _xlfn.XLOOKUP(1,((SKUs!$A$2:$A$10001=cl_unmerged!B662) * (ISNUMBER(SEARCH("Interlocker",SKUs!$J$2:$J$10001)))), SKUs!$J$2:$J$10001,""),"") &amp; _xlfn.IFS(I662="Height", ", H",I662="Height SLI", ", H SLI", I662="Height FIX", ", H FIX",I662="Width", ", W", I662="", "")</f>
        <v/>
      </c>
      <c r="F662" s="33" t="str" cm="1">
        <f t="array" ref="F662">_xlfn.XLOOKUP(1,((SKUs!$A$2:$A$10001=cl_unmerged!B662) * (ISNUMBER(SEARCH("Interlocker",SKUs!$J$2:$J$10001)))* (ISNUMBER(SEARCH(A662,SKUs!$C$2:$C$10001)))), SKUs!$C$2:$C$10001,"")</f>
        <v/>
      </c>
      <c r="G662" s="16"/>
      <c r="H662" s="16" t="str" cm="1">
        <f t="array" ref="H662">IF(C662&lt;&gt;"", _xlfn.IFS(I662="Height SLI",_xlfn.XLOOKUP(C662,'calc_s90&amp;138'!$C$15:$C$1000,'calc_s90&amp;138'!$AO$15:$AO$1000,"",0), I662="Height FIX", _xlfn.XLOOKUP(C662,'calc_s90&amp;138'!$C$15:$C$1000,'calc_s90&amp;138'!$AQ$15:$AQ$1000,"",0)),"")</f>
        <v/>
      </c>
      <c r="I662" s="16" t="str">
        <f t="shared" si="14"/>
        <v/>
      </c>
    </row>
    <row r="663" spans="1:9" ht="13.5" customHeight="1" x14ac:dyDescent="0.25">
      <c r="A663" s="41" t="str">
        <f>_xlfn.XLOOKUP(G663,dd_color!$A$2:$A$8,dd_color!$B$2:$B$8,"",0)</f>
        <v/>
      </c>
      <c r="B663" s="41">
        <f>_xlfn.XLOOKUP(_xlfn.XLOOKUP(C663,'Project Details'!$C$17:$C$10003,'Project Details'!$E$17:$E$10003, "",0),dd_design_raw!$A$2:$A$9997,dd_design_raw!$C$2:$C$9997,"",0)</f>
        <v>0</v>
      </c>
      <c r="C663" s="16"/>
      <c r="D663" s="16" t="str" cm="1">
        <f t="array" ref="D663">IF(C663&lt;&gt;"", _xlfn.IFS(I663="Height SLI",_xlfn.XLOOKUP(C663,'calc_s90&amp;138'!$C$15:$C$1000,'calc_s90&amp;138'!$AP$15:$AP$1000,"",0),  I663="Height FIX", _xlfn.XLOOKUP(C663,'calc_s90&amp;138'!$C$15:$C$1000,'calc_s90&amp;138'!$AR$15:$AR$1000,"",0)),"")</f>
        <v/>
      </c>
      <c r="E663" s="16" t="str" cm="1">
        <f t="array" ref="E663">IF(C663&lt;&gt;"", _xlfn.XLOOKUP(1,((SKUs!$A$2:$A$10001=cl_unmerged!B663) * (ISNUMBER(SEARCH("Interlocker",SKUs!$J$2:$J$10001)))), SKUs!$J$2:$J$10001,""),"") &amp; _xlfn.IFS(I663="Height", ", H",I663="Height SLI", ", H SLI", I663="Height FIX", ", H FIX",I663="Width", ", W", I663="", "")</f>
        <v/>
      </c>
      <c r="F663" s="33" t="str" cm="1">
        <f t="array" ref="F663">_xlfn.XLOOKUP(1,((SKUs!$A$2:$A$10001=cl_unmerged!B663) * (ISNUMBER(SEARCH("Interlocker",SKUs!$J$2:$J$10001)))* (ISNUMBER(SEARCH(A663,SKUs!$C$2:$C$10001)))), SKUs!$C$2:$C$10001,"")</f>
        <v/>
      </c>
      <c r="G663" s="16"/>
      <c r="H663" s="16" t="str" cm="1">
        <f t="array" ref="H663">IF(C663&lt;&gt;"", _xlfn.IFS(I663="Height SLI",_xlfn.XLOOKUP(C663,'calc_s90&amp;138'!$C$15:$C$1000,'calc_s90&amp;138'!$AO$15:$AO$1000,"",0), I663="Height FIX", _xlfn.XLOOKUP(C663,'calc_s90&amp;138'!$C$15:$C$1000,'calc_s90&amp;138'!$AQ$15:$AQ$1000,"",0)),"")</f>
        <v/>
      </c>
      <c r="I663" s="16" t="str">
        <f t="shared" si="14"/>
        <v/>
      </c>
    </row>
    <row r="664" spans="1:9" ht="13.5" customHeight="1" x14ac:dyDescent="0.25">
      <c r="A664" s="41" t="str">
        <f>_xlfn.XLOOKUP(G664,dd_color!$A$2:$A$8,dd_color!$B$2:$B$8,"",0)</f>
        <v/>
      </c>
      <c r="B664" s="41">
        <f>_xlfn.XLOOKUP(_xlfn.XLOOKUP(C664,'Project Details'!$C$17:$C$10003,'Project Details'!$E$17:$E$10003, "",0),dd_design_raw!$A$2:$A$9997,dd_design_raw!$C$2:$C$9997,"",0)</f>
        <v>0</v>
      </c>
      <c r="C664" s="16"/>
      <c r="D664" s="16" t="str" cm="1">
        <f t="array" ref="D664">IF(C664&lt;&gt;"", _xlfn.IFS(I664="Height SLI",_xlfn.XLOOKUP(C664,'calc_s90&amp;138'!$C$15:$C$1000,'calc_s90&amp;138'!$AP$15:$AP$1000,"",0),  I664="Height FIX", _xlfn.XLOOKUP(C664,'calc_s90&amp;138'!$C$15:$C$1000,'calc_s90&amp;138'!$AR$15:$AR$1000,"",0)),"")</f>
        <v/>
      </c>
      <c r="E664" s="16" t="str" cm="1">
        <f t="array" ref="E664">IF(C664&lt;&gt;"", _xlfn.XLOOKUP(1,((SKUs!$A$2:$A$10001=cl_unmerged!B664) * (ISNUMBER(SEARCH("Interlocker",SKUs!$J$2:$J$10001)))), SKUs!$J$2:$J$10001,""),"") &amp; _xlfn.IFS(I664="Height", ", H",I664="Height SLI", ", H SLI", I664="Height FIX", ", H FIX",I664="Width", ", W", I664="", "")</f>
        <v/>
      </c>
      <c r="F664" s="33" t="str" cm="1">
        <f t="array" ref="F664">_xlfn.XLOOKUP(1,((SKUs!$A$2:$A$10001=cl_unmerged!B664) * (ISNUMBER(SEARCH("Interlocker",SKUs!$J$2:$J$10001)))* (ISNUMBER(SEARCH(A664,SKUs!$C$2:$C$10001)))), SKUs!$C$2:$C$10001,"")</f>
        <v/>
      </c>
      <c r="G664" s="16"/>
      <c r="H664" s="16" t="str" cm="1">
        <f t="array" ref="H664">IF(C664&lt;&gt;"", _xlfn.IFS(I664="Height SLI",_xlfn.XLOOKUP(C664,'calc_s90&amp;138'!$C$15:$C$1000,'calc_s90&amp;138'!$AO$15:$AO$1000,"",0), I664="Height FIX", _xlfn.XLOOKUP(C664,'calc_s90&amp;138'!$C$15:$C$1000,'calc_s90&amp;138'!$AQ$15:$AQ$1000,"",0)),"")</f>
        <v/>
      </c>
      <c r="I664" s="16" t="str">
        <f t="shared" si="14"/>
        <v/>
      </c>
    </row>
    <row r="665" spans="1:9" ht="13.5" customHeight="1" x14ac:dyDescent="0.25">
      <c r="A665" s="41" t="str">
        <f>_xlfn.XLOOKUP(G665,dd_color!$A$2:$A$8,dd_color!$B$2:$B$8,"",0)</f>
        <v/>
      </c>
      <c r="B665" s="41">
        <f>_xlfn.XLOOKUP(_xlfn.XLOOKUP(C665,'Project Details'!$C$17:$C$10003,'Project Details'!$E$17:$E$10003, "",0),dd_design_raw!$A$2:$A$9997,dd_design_raw!$C$2:$C$9997,"",0)</f>
        <v>0</v>
      </c>
      <c r="C665" s="16"/>
      <c r="D665" s="16" t="str" cm="1">
        <f t="array" ref="D665">IF(C665&lt;&gt;"", _xlfn.IFS(I665="Height SLI",_xlfn.XLOOKUP(C665,'calc_s90&amp;138'!$C$15:$C$1000,'calc_s90&amp;138'!$AP$15:$AP$1000,"",0),  I665="Height FIX", _xlfn.XLOOKUP(C665,'calc_s90&amp;138'!$C$15:$C$1000,'calc_s90&amp;138'!$AR$15:$AR$1000,"",0)),"")</f>
        <v/>
      </c>
      <c r="E665" s="16" t="str" cm="1">
        <f t="array" ref="E665">IF(C665&lt;&gt;"", _xlfn.XLOOKUP(1,((SKUs!$A$2:$A$10001=cl_unmerged!B665) * (ISNUMBER(SEARCH("Interlocker",SKUs!$J$2:$J$10001)))), SKUs!$J$2:$J$10001,""),"") &amp; _xlfn.IFS(I665="Height", ", H",I665="Height SLI", ", H SLI", I665="Height FIX", ", H FIX",I665="Width", ", W", I665="", "")</f>
        <v/>
      </c>
      <c r="F665" s="33" t="str" cm="1">
        <f t="array" ref="F665">_xlfn.XLOOKUP(1,((SKUs!$A$2:$A$10001=cl_unmerged!B665) * (ISNUMBER(SEARCH("Interlocker",SKUs!$J$2:$J$10001)))* (ISNUMBER(SEARCH(A665,SKUs!$C$2:$C$10001)))), SKUs!$C$2:$C$10001,"")</f>
        <v/>
      </c>
      <c r="G665" s="16"/>
      <c r="H665" s="16" t="str" cm="1">
        <f t="array" ref="H665">IF(C665&lt;&gt;"", _xlfn.IFS(I665="Height SLI",_xlfn.XLOOKUP(C665,'calc_s90&amp;138'!$C$15:$C$1000,'calc_s90&amp;138'!$AO$15:$AO$1000,"",0), I665="Height FIX", _xlfn.XLOOKUP(C665,'calc_s90&amp;138'!$C$15:$C$1000,'calc_s90&amp;138'!$AQ$15:$AQ$1000,"",0)),"")</f>
        <v/>
      </c>
      <c r="I665" s="16" t="str">
        <f t="shared" si="14"/>
        <v/>
      </c>
    </row>
    <row r="666" spans="1:9" ht="13.5" customHeight="1" x14ac:dyDescent="0.25">
      <c r="A666" s="41" t="str">
        <f>_xlfn.XLOOKUP(G666,dd_color!$A$2:$A$8,dd_color!$B$2:$B$8,"",0)</f>
        <v/>
      </c>
      <c r="B666" s="41">
        <f>_xlfn.XLOOKUP(_xlfn.XLOOKUP(C666,'Project Details'!$C$17:$C$10003,'Project Details'!$E$17:$E$10003, "",0),dd_design_raw!$A$2:$A$9997,dd_design_raw!$C$2:$C$9997,"",0)</f>
        <v>0</v>
      </c>
      <c r="C666" s="16"/>
      <c r="D666" s="16" t="str" cm="1">
        <f t="array" ref="D666">IF(C666&lt;&gt;"", _xlfn.IFS(I666="Height SLI",_xlfn.XLOOKUP(C666,'calc_s90&amp;138'!$C$15:$C$1000,'calc_s90&amp;138'!$AP$15:$AP$1000,"",0),  I666="Height FIX", _xlfn.XLOOKUP(C666,'calc_s90&amp;138'!$C$15:$C$1000,'calc_s90&amp;138'!$AR$15:$AR$1000,"",0)),"")</f>
        <v/>
      </c>
      <c r="E666" s="16" t="str" cm="1">
        <f t="array" ref="E666">IF(C666&lt;&gt;"", _xlfn.XLOOKUP(1,((SKUs!$A$2:$A$10001=cl_unmerged!B666) * (ISNUMBER(SEARCH("Interlocker",SKUs!$J$2:$J$10001)))), SKUs!$J$2:$J$10001,""),"") &amp; _xlfn.IFS(I666="Height", ", H",I666="Height SLI", ", H SLI", I666="Height FIX", ", H FIX",I666="Width", ", W", I666="", "")</f>
        <v/>
      </c>
      <c r="F666" s="33" t="str" cm="1">
        <f t="array" ref="F666">_xlfn.XLOOKUP(1,((SKUs!$A$2:$A$10001=cl_unmerged!B666) * (ISNUMBER(SEARCH("Interlocker",SKUs!$J$2:$J$10001)))* (ISNUMBER(SEARCH(A666,SKUs!$C$2:$C$10001)))), SKUs!$C$2:$C$10001,"")</f>
        <v/>
      </c>
      <c r="G666" s="16"/>
      <c r="H666" s="16" t="str" cm="1">
        <f t="array" ref="H666">IF(C666&lt;&gt;"", _xlfn.IFS(I666="Height SLI",_xlfn.XLOOKUP(C666,'calc_s90&amp;138'!$C$15:$C$1000,'calc_s90&amp;138'!$AO$15:$AO$1000,"",0), I666="Height FIX", _xlfn.XLOOKUP(C666,'calc_s90&amp;138'!$C$15:$C$1000,'calc_s90&amp;138'!$AQ$15:$AQ$1000,"",0)),"")</f>
        <v/>
      </c>
      <c r="I666" s="16" t="str">
        <f t="shared" si="14"/>
        <v/>
      </c>
    </row>
    <row r="667" spans="1:9" ht="13.5" customHeight="1" x14ac:dyDescent="0.25">
      <c r="A667" s="41" t="str">
        <f>_xlfn.XLOOKUP(G667,dd_color!$A$2:$A$8,dd_color!$B$2:$B$8,"",0)</f>
        <v/>
      </c>
      <c r="B667" s="41">
        <f>_xlfn.XLOOKUP(_xlfn.XLOOKUP(C667,'Project Details'!$C$17:$C$10003,'Project Details'!$E$17:$E$10003, "",0),dd_design_raw!$A$2:$A$9997,dd_design_raw!$C$2:$C$9997,"",0)</f>
        <v>0</v>
      </c>
      <c r="C667" s="16"/>
      <c r="D667" s="16" t="str" cm="1">
        <f t="array" ref="D667">IF(C667&lt;&gt;"", _xlfn.IFS(I667="Height SLI",_xlfn.XLOOKUP(C667,'calc_s90&amp;138'!$C$15:$C$1000,'calc_s90&amp;138'!$AP$15:$AP$1000,"",0),  I667="Height FIX", _xlfn.XLOOKUP(C667,'calc_s90&amp;138'!$C$15:$C$1000,'calc_s90&amp;138'!$AR$15:$AR$1000,"",0)),"")</f>
        <v/>
      </c>
      <c r="E667" s="16" t="str" cm="1">
        <f t="array" ref="E667">IF(C667&lt;&gt;"", _xlfn.XLOOKUP(1,((SKUs!$A$2:$A$10001=cl_unmerged!B667) * (ISNUMBER(SEARCH("Interlocker",SKUs!$J$2:$J$10001)))), SKUs!$J$2:$J$10001,""),"") &amp; _xlfn.IFS(I667="Height", ", H",I667="Height SLI", ", H SLI", I667="Height FIX", ", H FIX",I667="Width", ", W", I667="", "")</f>
        <v/>
      </c>
      <c r="F667" s="33" t="str" cm="1">
        <f t="array" ref="F667">_xlfn.XLOOKUP(1,((SKUs!$A$2:$A$10001=cl_unmerged!B667) * (ISNUMBER(SEARCH("Interlocker",SKUs!$J$2:$J$10001)))* (ISNUMBER(SEARCH(A667,SKUs!$C$2:$C$10001)))), SKUs!$C$2:$C$10001,"")</f>
        <v/>
      </c>
      <c r="G667" s="16"/>
      <c r="H667" s="16" t="str" cm="1">
        <f t="array" ref="H667">IF(C667&lt;&gt;"", _xlfn.IFS(I667="Height SLI",_xlfn.XLOOKUP(C667,'calc_s90&amp;138'!$C$15:$C$1000,'calc_s90&amp;138'!$AO$15:$AO$1000,"",0), I667="Height FIX", _xlfn.XLOOKUP(C667,'calc_s90&amp;138'!$C$15:$C$1000,'calc_s90&amp;138'!$AQ$15:$AQ$1000,"",0)),"")</f>
        <v/>
      </c>
      <c r="I667" s="16" t="str">
        <f t="shared" si="14"/>
        <v/>
      </c>
    </row>
    <row r="668" spans="1:9" ht="13.5" customHeight="1" x14ac:dyDescent="0.25">
      <c r="A668" s="41" t="str">
        <f>_xlfn.XLOOKUP(G668,dd_color!$A$2:$A$8,dd_color!$B$2:$B$8,"",0)</f>
        <v/>
      </c>
      <c r="B668" s="41">
        <f>_xlfn.XLOOKUP(_xlfn.XLOOKUP(C668,'Project Details'!$C$17:$C$10003,'Project Details'!$E$17:$E$10003, "",0),dd_design_raw!$A$2:$A$9997,dd_design_raw!$C$2:$C$9997,"",0)</f>
        <v>0</v>
      </c>
      <c r="C668" s="16"/>
      <c r="D668" s="16" t="str" cm="1">
        <f t="array" ref="D668">IF(C668&lt;&gt;"", _xlfn.IFS(I668="Height SLI",_xlfn.XLOOKUP(C668,'calc_s90&amp;138'!$C$15:$C$1000,'calc_s90&amp;138'!$AP$15:$AP$1000,"",0),  I668="Height FIX", _xlfn.XLOOKUP(C668,'calc_s90&amp;138'!$C$15:$C$1000,'calc_s90&amp;138'!$AR$15:$AR$1000,"",0)),"")</f>
        <v/>
      </c>
      <c r="E668" s="16" t="str" cm="1">
        <f t="array" ref="E668">IF(C668&lt;&gt;"", _xlfn.XLOOKUP(1,((SKUs!$A$2:$A$10001=cl_unmerged!B668) * (ISNUMBER(SEARCH("Interlocker",SKUs!$J$2:$J$10001)))), SKUs!$J$2:$J$10001,""),"") &amp; _xlfn.IFS(I668="Height", ", H",I668="Height SLI", ", H SLI", I668="Height FIX", ", H FIX",I668="Width", ", W", I668="", "")</f>
        <v/>
      </c>
      <c r="F668" s="33" t="str" cm="1">
        <f t="array" ref="F668">_xlfn.XLOOKUP(1,((SKUs!$A$2:$A$10001=cl_unmerged!B668) * (ISNUMBER(SEARCH("Interlocker",SKUs!$J$2:$J$10001)))* (ISNUMBER(SEARCH(A668,SKUs!$C$2:$C$10001)))), SKUs!$C$2:$C$10001,"")</f>
        <v/>
      </c>
      <c r="G668" s="16"/>
      <c r="H668" s="16" t="str" cm="1">
        <f t="array" ref="H668">IF(C668&lt;&gt;"", _xlfn.IFS(I668="Height SLI",_xlfn.XLOOKUP(C668,'calc_s90&amp;138'!$C$15:$C$1000,'calc_s90&amp;138'!$AO$15:$AO$1000,"",0), I668="Height FIX", _xlfn.XLOOKUP(C668,'calc_s90&amp;138'!$C$15:$C$1000,'calc_s90&amp;138'!$AQ$15:$AQ$1000,"",0)),"")</f>
        <v/>
      </c>
      <c r="I668" s="16" t="str">
        <f t="shared" si="14"/>
        <v/>
      </c>
    </row>
    <row r="669" spans="1:9" ht="13.5" customHeight="1" x14ac:dyDescent="0.25">
      <c r="A669" s="41" t="str">
        <f>_xlfn.XLOOKUP(G669,dd_color!$A$2:$A$8,dd_color!$B$2:$B$8,"",0)</f>
        <v/>
      </c>
      <c r="B669" s="41">
        <f>_xlfn.XLOOKUP(_xlfn.XLOOKUP(C669,'Project Details'!$C$17:$C$10003,'Project Details'!$E$17:$E$10003, "",0),dd_design_raw!$A$2:$A$9997,dd_design_raw!$C$2:$C$9997,"",0)</f>
        <v>0</v>
      </c>
      <c r="C669" s="16"/>
      <c r="D669" s="16" t="str" cm="1">
        <f t="array" ref="D669">IF(C669&lt;&gt;"", _xlfn.IFS(I669="Height SLI",_xlfn.XLOOKUP(C669,'calc_s90&amp;138'!$C$15:$C$1000,'calc_s90&amp;138'!$AP$15:$AP$1000,"",0),  I669="Height FIX", _xlfn.XLOOKUP(C669,'calc_s90&amp;138'!$C$15:$C$1000,'calc_s90&amp;138'!$AR$15:$AR$1000,"",0)),"")</f>
        <v/>
      </c>
      <c r="E669" s="16" t="str" cm="1">
        <f t="array" ref="E669">IF(C669&lt;&gt;"", _xlfn.XLOOKUP(1,((SKUs!$A$2:$A$10001=cl_unmerged!B669) * (ISNUMBER(SEARCH("Interlocker",SKUs!$J$2:$J$10001)))), SKUs!$J$2:$J$10001,""),"") &amp; _xlfn.IFS(I669="Height", ", H",I669="Height SLI", ", H SLI", I669="Height FIX", ", H FIX",I669="Width", ", W", I669="", "")</f>
        <v/>
      </c>
      <c r="F669" s="33" t="str" cm="1">
        <f t="array" ref="F669">_xlfn.XLOOKUP(1,((SKUs!$A$2:$A$10001=cl_unmerged!B669) * (ISNUMBER(SEARCH("Interlocker",SKUs!$J$2:$J$10001)))* (ISNUMBER(SEARCH(A669,SKUs!$C$2:$C$10001)))), SKUs!$C$2:$C$10001,"")</f>
        <v/>
      </c>
      <c r="G669" s="16"/>
      <c r="H669" s="16" t="str" cm="1">
        <f t="array" ref="H669">IF(C669&lt;&gt;"", _xlfn.IFS(I669="Height SLI",_xlfn.XLOOKUP(C669,'calc_s90&amp;138'!$C$15:$C$1000,'calc_s90&amp;138'!$AO$15:$AO$1000,"",0), I669="Height FIX", _xlfn.XLOOKUP(C669,'calc_s90&amp;138'!$C$15:$C$1000,'calc_s90&amp;138'!$AQ$15:$AQ$1000,"",0)),"")</f>
        <v/>
      </c>
      <c r="I669" s="16" t="str">
        <f t="shared" si="14"/>
        <v/>
      </c>
    </row>
    <row r="670" spans="1:9" ht="13.5" customHeight="1" x14ac:dyDescent="0.25">
      <c r="A670" s="41" t="str">
        <f>_xlfn.XLOOKUP(G670,dd_color!$A$2:$A$8,dd_color!$B$2:$B$8,"",0)</f>
        <v/>
      </c>
      <c r="B670" s="41">
        <f>_xlfn.XLOOKUP(_xlfn.XLOOKUP(C670,'Project Details'!$C$17:$C$10003,'Project Details'!$E$17:$E$10003, "",0),dd_design_raw!$A$2:$A$9997,dd_design_raw!$C$2:$C$9997,"",0)</f>
        <v>0</v>
      </c>
      <c r="C670" s="16"/>
      <c r="D670" s="16" t="str" cm="1">
        <f t="array" ref="D670">IF(C670&lt;&gt;"", _xlfn.IFS(I670="Height SLI",_xlfn.XLOOKUP(C670,'calc_s90&amp;138'!$C$15:$C$1000,'calc_s90&amp;138'!$AP$15:$AP$1000,"",0),  I670="Height FIX", _xlfn.XLOOKUP(C670,'calc_s90&amp;138'!$C$15:$C$1000,'calc_s90&amp;138'!$AR$15:$AR$1000,"",0)),"")</f>
        <v/>
      </c>
      <c r="E670" s="16" t="str" cm="1">
        <f t="array" ref="E670">IF(C670&lt;&gt;"", _xlfn.XLOOKUP(1,((SKUs!$A$2:$A$10001=cl_unmerged!B670) * (ISNUMBER(SEARCH("Interlocker",SKUs!$J$2:$J$10001)))), SKUs!$J$2:$J$10001,""),"") &amp; _xlfn.IFS(I670="Height", ", H",I670="Height SLI", ", H SLI", I670="Height FIX", ", H FIX",I670="Width", ", W", I670="", "")</f>
        <v/>
      </c>
      <c r="F670" s="33" t="str" cm="1">
        <f t="array" ref="F670">_xlfn.XLOOKUP(1,((SKUs!$A$2:$A$10001=cl_unmerged!B670) * (ISNUMBER(SEARCH("Interlocker",SKUs!$J$2:$J$10001)))* (ISNUMBER(SEARCH(A670,SKUs!$C$2:$C$10001)))), SKUs!$C$2:$C$10001,"")</f>
        <v/>
      </c>
      <c r="G670" s="16"/>
      <c r="H670" s="16" t="str" cm="1">
        <f t="array" ref="H670">IF(C670&lt;&gt;"", _xlfn.IFS(I670="Height SLI",_xlfn.XLOOKUP(C670,'calc_s90&amp;138'!$C$15:$C$1000,'calc_s90&amp;138'!$AO$15:$AO$1000,"",0), I670="Height FIX", _xlfn.XLOOKUP(C670,'calc_s90&amp;138'!$C$15:$C$1000,'calc_s90&amp;138'!$AQ$15:$AQ$1000,"",0)),"")</f>
        <v/>
      </c>
      <c r="I670" s="16" t="str">
        <f t="shared" si="14"/>
        <v/>
      </c>
    </row>
    <row r="671" spans="1:9" ht="13.5" customHeight="1" x14ac:dyDescent="0.25">
      <c r="A671" s="41" t="str">
        <f>_xlfn.XLOOKUP(G671,dd_color!$A$2:$A$8,dd_color!$B$2:$B$8,"",0)</f>
        <v/>
      </c>
      <c r="B671" s="41">
        <f>_xlfn.XLOOKUP(_xlfn.XLOOKUP(C671,'Project Details'!$C$17:$C$10003,'Project Details'!$E$17:$E$10003, "",0),dd_design_raw!$A$2:$A$9997,dd_design_raw!$C$2:$C$9997,"",0)</f>
        <v>0</v>
      </c>
      <c r="C671" s="16"/>
      <c r="D671" s="16" t="str" cm="1">
        <f t="array" ref="D671">IF(C671&lt;&gt;"", _xlfn.IFS(I671="Height SLI",_xlfn.XLOOKUP(C671,'calc_s90&amp;138'!$C$15:$C$1000,'calc_s90&amp;138'!$AP$15:$AP$1000,"",0),  I671="Height FIX", _xlfn.XLOOKUP(C671,'calc_s90&amp;138'!$C$15:$C$1000,'calc_s90&amp;138'!$AR$15:$AR$1000,"",0)),"")</f>
        <v/>
      </c>
      <c r="E671" s="16" t="str" cm="1">
        <f t="array" ref="E671">IF(C671&lt;&gt;"", _xlfn.XLOOKUP(1,((SKUs!$A$2:$A$10001=cl_unmerged!B671) * (ISNUMBER(SEARCH("Interlocker",SKUs!$J$2:$J$10001)))), SKUs!$J$2:$J$10001,""),"") &amp; _xlfn.IFS(I671="Height", ", H",I671="Height SLI", ", H SLI", I671="Height FIX", ", H FIX",I671="Width", ", W", I671="", "")</f>
        <v/>
      </c>
      <c r="F671" s="33" t="str" cm="1">
        <f t="array" ref="F671">_xlfn.XLOOKUP(1,((SKUs!$A$2:$A$10001=cl_unmerged!B671) * (ISNUMBER(SEARCH("Interlocker",SKUs!$J$2:$J$10001)))* (ISNUMBER(SEARCH(A671,SKUs!$C$2:$C$10001)))), SKUs!$C$2:$C$10001,"")</f>
        <v/>
      </c>
      <c r="G671" s="16"/>
      <c r="H671" s="16" t="str" cm="1">
        <f t="array" ref="H671">IF(C671&lt;&gt;"", _xlfn.IFS(I671="Height SLI",_xlfn.XLOOKUP(C671,'calc_s90&amp;138'!$C$15:$C$1000,'calc_s90&amp;138'!$AO$15:$AO$1000,"",0), I671="Height FIX", _xlfn.XLOOKUP(C671,'calc_s90&amp;138'!$C$15:$C$1000,'calc_s90&amp;138'!$AQ$15:$AQ$1000,"",0)),"")</f>
        <v/>
      </c>
      <c r="I671" s="16" t="str">
        <f t="shared" si="14"/>
        <v/>
      </c>
    </row>
    <row r="672" spans="1:9" ht="13.5" customHeight="1" x14ac:dyDescent="0.25">
      <c r="A672" s="41" t="str">
        <f>_xlfn.XLOOKUP(G672,dd_color!$A$2:$A$8,dd_color!$B$2:$B$8,"",0)</f>
        <v/>
      </c>
      <c r="B672" s="41">
        <f>_xlfn.XLOOKUP(_xlfn.XLOOKUP(C672,'Project Details'!$C$17:$C$10003,'Project Details'!$E$17:$E$10003, "",0),dd_design_raw!$A$2:$A$9997,dd_design_raw!$C$2:$C$9997,"",0)</f>
        <v>0</v>
      </c>
      <c r="C672" s="16"/>
      <c r="D672" s="16" t="str" cm="1">
        <f t="array" ref="D672">IF(C672&lt;&gt;"", _xlfn.IFS(I672="Height SLI",_xlfn.XLOOKUP(C672,'calc_s90&amp;138'!$C$15:$C$1000,'calc_s90&amp;138'!$AP$15:$AP$1000,"",0),  I672="Height FIX", _xlfn.XLOOKUP(C672,'calc_s90&amp;138'!$C$15:$C$1000,'calc_s90&amp;138'!$AR$15:$AR$1000,"",0)),"")</f>
        <v/>
      </c>
      <c r="E672" s="16" t="str" cm="1">
        <f t="array" ref="E672">IF(C672&lt;&gt;"", _xlfn.XLOOKUP(1,((SKUs!$A$2:$A$10001=cl_unmerged!B672) * (ISNUMBER(SEARCH("Interlocker",SKUs!$J$2:$J$10001)))), SKUs!$J$2:$J$10001,""),"") &amp; _xlfn.IFS(I672="Height", ", H",I672="Height SLI", ", H SLI", I672="Height FIX", ", H FIX",I672="Width", ", W", I672="", "")</f>
        <v/>
      </c>
      <c r="F672" s="33" t="str" cm="1">
        <f t="array" ref="F672">_xlfn.XLOOKUP(1,((SKUs!$A$2:$A$10001=cl_unmerged!B672) * (ISNUMBER(SEARCH("Interlocker",SKUs!$J$2:$J$10001)))* (ISNUMBER(SEARCH(A672,SKUs!$C$2:$C$10001)))), SKUs!$C$2:$C$10001,"")</f>
        <v/>
      </c>
      <c r="G672" s="16"/>
      <c r="H672" s="16" t="str" cm="1">
        <f t="array" ref="H672">IF(C672&lt;&gt;"", _xlfn.IFS(I672="Height SLI",_xlfn.XLOOKUP(C672,'calc_s90&amp;138'!$C$15:$C$1000,'calc_s90&amp;138'!$AO$15:$AO$1000,"",0), I672="Height FIX", _xlfn.XLOOKUP(C672,'calc_s90&amp;138'!$C$15:$C$1000,'calc_s90&amp;138'!$AQ$15:$AQ$1000,"",0)),"")</f>
        <v/>
      </c>
      <c r="I672" s="16" t="str">
        <f t="shared" si="14"/>
        <v/>
      </c>
    </row>
    <row r="673" spans="1:9" ht="13.5" customHeight="1" x14ac:dyDescent="0.25">
      <c r="A673" s="41" t="str">
        <f>_xlfn.XLOOKUP(G673,dd_color!$A$2:$A$8,dd_color!$B$2:$B$8,"",0)</f>
        <v/>
      </c>
      <c r="B673" s="41">
        <f>_xlfn.XLOOKUP(_xlfn.XLOOKUP(C673,'Project Details'!$C$17:$C$10003,'Project Details'!$E$17:$E$10003, "",0),dd_design_raw!$A$2:$A$9997,dd_design_raw!$C$2:$C$9997,"",0)</f>
        <v>0</v>
      </c>
      <c r="C673" s="16"/>
      <c r="D673" s="16" t="str" cm="1">
        <f t="array" ref="D673">IF(C673&lt;&gt;"", _xlfn.IFS(I673="Height SLI",_xlfn.XLOOKUP(C673,'calc_s90&amp;138'!$C$15:$C$1000,'calc_s90&amp;138'!$AP$15:$AP$1000,"",0),  I673="Height FIX", _xlfn.XLOOKUP(C673,'calc_s90&amp;138'!$C$15:$C$1000,'calc_s90&amp;138'!$AR$15:$AR$1000,"",0)),"")</f>
        <v/>
      </c>
      <c r="E673" s="16" t="str" cm="1">
        <f t="array" ref="E673">IF(C673&lt;&gt;"", _xlfn.XLOOKUP(1,((SKUs!$A$2:$A$10001=cl_unmerged!B673) * (ISNUMBER(SEARCH("Interlocker",SKUs!$J$2:$J$10001)))), SKUs!$J$2:$J$10001,""),"") &amp; _xlfn.IFS(I673="Height", ", H",I673="Height SLI", ", H SLI", I673="Height FIX", ", H FIX",I673="Width", ", W", I673="", "")</f>
        <v/>
      </c>
      <c r="F673" s="33" t="str" cm="1">
        <f t="array" ref="F673">_xlfn.XLOOKUP(1,((SKUs!$A$2:$A$10001=cl_unmerged!B673) * (ISNUMBER(SEARCH("Interlocker",SKUs!$J$2:$J$10001)))* (ISNUMBER(SEARCH(A673,SKUs!$C$2:$C$10001)))), SKUs!$C$2:$C$10001,"")</f>
        <v/>
      </c>
      <c r="G673" s="16"/>
      <c r="H673" s="16" t="str" cm="1">
        <f t="array" ref="H673">IF(C673&lt;&gt;"", _xlfn.IFS(I673="Height SLI",_xlfn.XLOOKUP(C673,'calc_s90&amp;138'!$C$15:$C$1000,'calc_s90&amp;138'!$AO$15:$AO$1000,"",0), I673="Height FIX", _xlfn.XLOOKUP(C673,'calc_s90&amp;138'!$C$15:$C$1000,'calc_s90&amp;138'!$AQ$15:$AQ$1000,"",0)),"")</f>
        <v/>
      </c>
      <c r="I673" s="16" t="str">
        <f t="shared" si="14"/>
        <v/>
      </c>
    </row>
    <row r="674" spans="1:9" ht="13.5" customHeight="1" x14ac:dyDescent="0.25">
      <c r="A674" s="41" t="str">
        <f>_xlfn.XLOOKUP(G674,dd_color!$A$2:$A$8,dd_color!$B$2:$B$8,"",0)</f>
        <v/>
      </c>
      <c r="B674" s="41">
        <f>_xlfn.XLOOKUP(_xlfn.XLOOKUP(C674,'Project Details'!$C$17:$C$10003,'Project Details'!$E$17:$E$10003, "",0),dd_design_raw!$A$2:$A$9997,dd_design_raw!$C$2:$C$9997,"",0)</f>
        <v>0</v>
      </c>
      <c r="C674" s="16"/>
      <c r="D674" s="16" t="str" cm="1">
        <f t="array" ref="D674">IF(C674&lt;&gt;"", _xlfn.IFS(I674="Height SLI",_xlfn.XLOOKUP(C674,'calc_s90&amp;138'!$C$15:$C$1000,'calc_s90&amp;138'!$AP$15:$AP$1000,"",0),  I674="Height FIX", _xlfn.XLOOKUP(C674,'calc_s90&amp;138'!$C$15:$C$1000,'calc_s90&amp;138'!$AR$15:$AR$1000,"",0)),"")</f>
        <v/>
      </c>
      <c r="E674" s="16" t="str" cm="1">
        <f t="array" ref="E674">IF(C674&lt;&gt;"", _xlfn.XLOOKUP(1,((SKUs!$A$2:$A$10001=cl_unmerged!B674) * (ISNUMBER(SEARCH("Interlocker",SKUs!$J$2:$J$10001)))), SKUs!$J$2:$J$10001,""),"") &amp; _xlfn.IFS(I674="Height", ", H",I674="Height SLI", ", H SLI", I674="Height FIX", ", H FIX",I674="Width", ", W", I674="", "")</f>
        <v/>
      </c>
      <c r="F674" s="33" t="str" cm="1">
        <f t="array" ref="F674">_xlfn.XLOOKUP(1,((SKUs!$A$2:$A$10001=cl_unmerged!B674) * (ISNUMBER(SEARCH("Interlocker",SKUs!$J$2:$J$10001)))* (ISNUMBER(SEARCH(A674,SKUs!$C$2:$C$10001)))), SKUs!$C$2:$C$10001,"")</f>
        <v/>
      </c>
      <c r="G674" s="16"/>
      <c r="H674" s="16" t="str" cm="1">
        <f t="array" ref="H674">IF(C674&lt;&gt;"", _xlfn.IFS(I674="Height SLI",_xlfn.XLOOKUP(C674,'calc_s90&amp;138'!$C$15:$C$1000,'calc_s90&amp;138'!$AO$15:$AO$1000,"",0), I674="Height FIX", _xlfn.XLOOKUP(C674,'calc_s90&amp;138'!$C$15:$C$1000,'calc_s90&amp;138'!$AQ$15:$AQ$1000,"",0)),"")</f>
        <v/>
      </c>
      <c r="I674" s="16" t="str">
        <f t="shared" si="14"/>
        <v/>
      </c>
    </row>
    <row r="675" spans="1:9" ht="13.5" customHeight="1" x14ac:dyDescent="0.25">
      <c r="A675" s="41" t="str">
        <f>_xlfn.XLOOKUP(G675,dd_color!$A$2:$A$8,dd_color!$B$2:$B$8,"",0)</f>
        <v/>
      </c>
      <c r="B675" s="41">
        <f>_xlfn.XLOOKUP(_xlfn.XLOOKUP(C675,'Project Details'!$C$17:$C$10003,'Project Details'!$E$17:$E$10003, "",0),dd_design_raw!$A$2:$A$9997,dd_design_raw!$C$2:$C$9997,"",0)</f>
        <v>0</v>
      </c>
      <c r="C675" s="16"/>
      <c r="D675" s="16" t="str" cm="1">
        <f t="array" ref="D675">IF(C675&lt;&gt;"", _xlfn.IFS(I675="Height SLI",_xlfn.XLOOKUP(C675,'calc_s90&amp;138'!$C$15:$C$1000,'calc_s90&amp;138'!$AP$15:$AP$1000,"",0),  I675="Height FIX", _xlfn.XLOOKUP(C675,'calc_s90&amp;138'!$C$15:$C$1000,'calc_s90&amp;138'!$AR$15:$AR$1000,"",0)),"")</f>
        <v/>
      </c>
      <c r="E675" s="16" t="str" cm="1">
        <f t="array" ref="E675">IF(C675&lt;&gt;"", _xlfn.XLOOKUP(1,((SKUs!$A$2:$A$10001=cl_unmerged!B675) * (ISNUMBER(SEARCH("Interlocker",SKUs!$J$2:$J$10001)))), SKUs!$J$2:$J$10001,""),"") &amp; _xlfn.IFS(I675="Height", ", H",I675="Height SLI", ", H SLI", I675="Height FIX", ", H FIX",I675="Width", ", W", I675="", "")</f>
        <v/>
      </c>
      <c r="F675" s="33" t="str" cm="1">
        <f t="array" ref="F675">_xlfn.XLOOKUP(1,((SKUs!$A$2:$A$10001=cl_unmerged!B675) * (ISNUMBER(SEARCH("Interlocker",SKUs!$J$2:$J$10001)))* (ISNUMBER(SEARCH(A675,SKUs!$C$2:$C$10001)))), SKUs!$C$2:$C$10001,"")</f>
        <v/>
      </c>
      <c r="G675" s="16"/>
      <c r="H675" s="16" t="str" cm="1">
        <f t="array" ref="H675">IF(C675&lt;&gt;"", _xlfn.IFS(I675="Height SLI",_xlfn.XLOOKUP(C675,'calc_s90&amp;138'!$C$15:$C$1000,'calc_s90&amp;138'!$AO$15:$AO$1000,"",0), I675="Height FIX", _xlfn.XLOOKUP(C675,'calc_s90&amp;138'!$C$15:$C$1000,'calc_s90&amp;138'!$AQ$15:$AQ$1000,"",0)),"")</f>
        <v/>
      </c>
      <c r="I675" s="16" t="str">
        <f t="shared" si="14"/>
        <v/>
      </c>
    </row>
    <row r="676" spans="1:9" ht="13.5" customHeight="1" x14ac:dyDescent="0.25">
      <c r="A676" s="41" t="str">
        <f>_xlfn.XLOOKUP(G676,dd_color!$A$2:$A$8,dd_color!$B$2:$B$8,"",0)</f>
        <v/>
      </c>
      <c r="B676" s="41">
        <f>_xlfn.XLOOKUP(_xlfn.XLOOKUP(C676,'Project Details'!$C$17:$C$10003,'Project Details'!$E$17:$E$10003, "",0),dd_design_raw!$A$2:$A$9997,dd_design_raw!$C$2:$C$9997,"",0)</f>
        <v>0</v>
      </c>
      <c r="C676" s="16"/>
      <c r="D676" s="16" t="str" cm="1">
        <f t="array" ref="D676">IF(C676&lt;&gt;"", _xlfn.IFS(I676="Height SLI",_xlfn.XLOOKUP(C676,'calc_s90&amp;138'!$C$15:$C$1000,'calc_s90&amp;138'!$AP$15:$AP$1000,"",0),  I676="Height FIX", _xlfn.XLOOKUP(C676,'calc_s90&amp;138'!$C$15:$C$1000,'calc_s90&amp;138'!$AR$15:$AR$1000,"",0)),"")</f>
        <v/>
      </c>
      <c r="E676" s="16" t="str" cm="1">
        <f t="array" ref="E676">IF(C676&lt;&gt;"", _xlfn.XLOOKUP(1,((SKUs!$A$2:$A$10001=cl_unmerged!B676) * (ISNUMBER(SEARCH("Interlocker",SKUs!$J$2:$J$10001)))), SKUs!$J$2:$J$10001,""),"") &amp; _xlfn.IFS(I676="Height", ", H",I676="Height SLI", ", H SLI", I676="Height FIX", ", H FIX",I676="Width", ", W", I676="", "")</f>
        <v/>
      </c>
      <c r="F676" s="33" t="str" cm="1">
        <f t="array" ref="F676">_xlfn.XLOOKUP(1,((SKUs!$A$2:$A$10001=cl_unmerged!B676) * (ISNUMBER(SEARCH("Interlocker",SKUs!$J$2:$J$10001)))* (ISNUMBER(SEARCH(A676,SKUs!$C$2:$C$10001)))), SKUs!$C$2:$C$10001,"")</f>
        <v/>
      </c>
      <c r="G676" s="16"/>
      <c r="H676" s="16" t="str" cm="1">
        <f t="array" ref="H676">IF(C676&lt;&gt;"", _xlfn.IFS(I676="Height SLI",_xlfn.XLOOKUP(C676,'calc_s90&amp;138'!$C$15:$C$1000,'calc_s90&amp;138'!$AO$15:$AO$1000,"",0), I676="Height FIX", _xlfn.XLOOKUP(C676,'calc_s90&amp;138'!$C$15:$C$1000,'calc_s90&amp;138'!$AQ$15:$AQ$1000,"",0)),"")</f>
        <v/>
      </c>
      <c r="I676" s="16" t="str">
        <f t="shared" si="14"/>
        <v/>
      </c>
    </row>
    <row r="677" spans="1:9" ht="13.5" customHeight="1" x14ac:dyDescent="0.25">
      <c r="A677" s="41" t="str">
        <f>_xlfn.XLOOKUP(G677,dd_color!$A$2:$A$8,dd_color!$B$2:$B$8,"",0)</f>
        <v/>
      </c>
      <c r="B677" s="41">
        <f>_xlfn.XLOOKUP(_xlfn.XLOOKUP(C677,'Project Details'!$C$17:$C$10003,'Project Details'!$E$17:$E$10003, "",0),dd_design_raw!$A$2:$A$9997,dd_design_raw!$C$2:$C$9997,"",0)</f>
        <v>0</v>
      </c>
      <c r="C677" s="16"/>
      <c r="D677" s="16" t="str" cm="1">
        <f t="array" ref="D677">IF(C677&lt;&gt;"", _xlfn.IFS(I677="Height SLI",_xlfn.XLOOKUP(C677,'calc_s90&amp;138'!$C$15:$C$1000,'calc_s90&amp;138'!$AP$15:$AP$1000,"",0),  I677="Height FIX", _xlfn.XLOOKUP(C677,'calc_s90&amp;138'!$C$15:$C$1000,'calc_s90&amp;138'!$AR$15:$AR$1000,"",0)),"")</f>
        <v/>
      </c>
      <c r="E677" s="16" t="str" cm="1">
        <f t="array" ref="E677">IF(C677&lt;&gt;"", _xlfn.XLOOKUP(1,((SKUs!$A$2:$A$10001=cl_unmerged!B677) * (ISNUMBER(SEARCH("Interlocker",SKUs!$J$2:$J$10001)))), SKUs!$J$2:$J$10001,""),"") &amp; _xlfn.IFS(I677="Height", ", H",I677="Height SLI", ", H SLI", I677="Height FIX", ", H FIX",I677="Width", ", W", I677="", "")</f>
        <v/>
      </c>
      <c r="F677" s="33" t="str" cm="1">
        <f t="array" ref="F677">_xlfn.XLOOKUP(1,((SKUs!$A$2:$A$10001=cl_unmerged!B677) * (ISNUMBER(SEARCH("Interlocker",SKUs!$J$2:$J$10001)))* (ISNUMBER(SEARCH(A677,SKUs!$C$2:$C$10001)))), SKUs!$C$2:$C$10001,"")</f>
        <v/>
      </c>
      <c r="G677" s="16"/>
      <c r="H677" s="16" t="str" cm="1">
        <f t="array" ref="H677">IF(C677&lt;&gt;"", _xlfn.IFS(I677="Height SLI",_xlfn.XLOOKUP(C677,'calc_s90&amp;138'!$C$15:$C$1000,'calc_s90&amp;138'!$AO$15:$AO$1000,"",0), I677="Height FIX", _xlfn.XLOOKUP(C677,'calc_s90&amp;138'!$C$15:$C$1000,'calc_s90&amp;138'!$AQ$15:$AQ$1000,"",0)),"")</f>
        <v/>
      </c>
      <c r="I677" s="16" t="str">
        <f t="shared" si="14"/>
        <v/>
      </c>
    </row>
    <row r="678" spans="1:9" ht="13.5" customHeight="1" x14ac:dyDescent="0.25">
      <c r="A678" s="41" t="str">
        <f>_xlfn.XLOOKUP(G678,dd_color!$A$2:$A$8,dd_color!$B$2:$B$8,"",0)</f>
        <v/>
      </c>
      <c r="B678" s="41">
        <f>_xlfn.XLOOKUP(_xlfn.XLOOKUP(C678,'Project Details'!$C$17:$C$10003,'Project Details'!$E$17:$E$10003, "",0),dd_design_raw!$A$2:$A$9997,dd_design_raw!$C$2:$C$9997,"",0)</f>
        <v>0</v>
      </c>
      <c r="C678" s="16"/>
      <c r="D678" s="16" t="str" cm="1">
        <f t="array" ref="D678">IF(C678&lt;&gt;"", _xlfn.IFS(I678="Height SLI",_xlfn.XLOOKUP(C678,'calc_s90&amp;138'!$C$15:$C$1000,'calc_s90&amp;138'!$AP$15:$AP$1000,"",0),  I678="Height FIX", _xlfn.XLOOKUP(C678,'calc_s90&amp;138'!$C$15:$C$1000,'calc_s90&amp;138'!$AR$15:$AR$1000,"",0)),"")</f>
        <v/>
      </c>
      <c r="E678" s="16" t="str" cm="1">
        <f t="array" ref="E678">IF(C678&lt;&gt;"", _xlfn.XLOOKUP(1,((SKUs!$A$2:$A$10001=cl_unmerged!B678) * (ISNUMBER(SEARCH("Interlocker",SKUs!$J$2:$J$10001)))), SKUs!$J$2:$J$10001,""),"") &amp; _xlfn.IFS(I678="Height", ", H",I678="Height SLI", ", H SLI", I678="Height FIX", ", H FIX",I678="Width", ", W", I678="", "")</f>
        <v/>
      </c>
      <c r="F678" s="33" t="str" cm="1">
        <f t="array" ref="F678">_xlfn.XLOOKUP(1,((SKUs!$A$2:$A$10001=cl_unmerged!B678) * (ISNUMBER(SEARCH("Interlocker",SKUs!$J$2:$J$10001)))* (ISNUMBER(SEARCH(A678,SKUs!$C$2:$C$10001)))), SKUs!$C$2:$C$10001,"")</f>
        <v/>
      </c>
      <c r="G678" s="16"/>
      <c r="H678" s="16" t="str" cm="1">
        <f t="array" ref="H678">IF(C678&lt;&gt;"", _xlfn.IFS(I678="Height SLI",_xlfn.XLOOKUP(C678,'calc_s90&amp;138'!$C$15:$C$1000,'calc_s90&amp;138'!$AO$15:$AO$1000,"",0), I678="Height FIX", _xlfn.XLOOKUP(C678,'calc_s90&amp;138'!$C$15:$C$1000,'calc_s90&amp;138'!$AQ$15:$AQ$1000,"",0)),"")</f>
        <v/>
      </c>
      <c r="I678" s="16" t="str">
        <f t="shared" si="14"/>
        <v/>
      </c>
    </row>
    <row r="679" spans="1:9" ht="13.5" customHeight="1" x14ac:dyDescent="0.25">
      <c r="A679" s="41" t="str">
        <f>_xlfn.XLOOKUP(G679,dd_color!$A$2:$A$8,dd_color!$B$2:$B$8,"",0)</f>
        <v/>
      </c>
      <c r="B679" s="41">
        <f>_xlfn.XLOOKUP(_xlfn.XLOOKUP(C679,'Project Details'!$C$17:$C$10003,'Project Details'!$E$17:$E$10003, "",0),dd_design_raw!$A$2:$A$9997,dd_design_raw!$C$2:$C$9997,"",0)</f>
        <v>0</v>
      </c>
      <c r="C679" s="16"/>
      <c r="D679" s="16" t="str" cm="1">
        <f t="array" ref="D679">IF(C679&lt;&gt;"", _xlfn.IFS(I679="Height SLI",_xlfn.XLOOKUP(C679,'calc_s90&amp;138'!$C$15:$C$1000,'calc_s90&amp;138'!$AP$15:$AP$1000,"",0),  I679="Height FIX", _xlfn.XLOOKUP(C679,'calc_s90&amp;138'!$C$15:$C$1000,'calc_s90&amp;138'!$AR$15:$AR$1000,"",0)),"")</f>
        <v/>
      </c>
      <c r="E679" s="16" t="str" cm="1">
        <f t="array" ref="E679">IF(C679&lt;&gt;"", _xlfn.XLOOKUP(1,((SKUs!$A$2:$A$10001=cl_unmerged!B679) * (ISNUMBER(SEARCH("Interlocker",SKUs!$J$2:$J$10001)))), SKUs!$J$2:$J$10001,""),"") &amp; _xlfn.IFS(I679="Height", ", H",I679="Height SLI", ", H SLI", I679="Height FIX", ", H FIX",I679="Width", ", W", I679="", "")</f>
        <v/>
      </c>
      <c r="F679" s="33" t="str" cm="1">
        <f t="array" ref="F679">_xlfn.XLOOKUP(1,((SKUs!$A$2:$A$10001=cl_unmerged!B679) * (ISNUMBER(SEARCH("Interlocker",SKUs!$J$2:$J$10001)))* (ISNUMBER(SEARCH(A679,SKUs!$C$2:$C$10001)))), SKUs!$C$2:$C$10001,"")</f>
        <v/>
      </c>
      <c r="G679" s="16"/>
      <c r="H679" s="16" t="str" cm="1">
        <f t="array" ref="H679">IF(C679&lt;&gt;"", _xlfn.IFS(I679="Height SLI",_xlfn.XLOOKUP(C679,'calc_s90&amp;138'!$C$15:$C$1000,'calc_s90&amp;138'!$AO$15:$AO$1000,"",0), I679="Height FIX", _xlfn.XLOOKUP(C679,'calc_s90&amp;138'!$C$15:$C$1000,'calc_s90&amp;138'!$AQ$15:$AQ$1000,"",0)),"")</f>
        <v/>
      </c>
      <c r="I679" s="16" t="str">
        <f t="shared" si="14"/>
        <v/>
      </c>
    </row>
    <row r="680" spans="1:9" ht="13.5" customHeight="1" x14ac:dyDescent="0.25">
      <c r="A680" s="41" t="str">
        <f>_xlfn.XLOOKUP(G680,dd_color!$A$2:$A$8,dd_color!$B$2:$B$8,"",0)</f>
        <v/>
      </c>
      <c r="B680" s="41">
        <f>_xlfn.XLOOKUP(_xlfn.XLOOKUP(C680,'Project Details'!$C$17:$C$10003,'Project Details'!$E$17:$E$10003, "",0),dd_design_raw!$A$2:$A$9997,dd_design_raw!$C$2:$C$9997,"",0)</f>
        <v>0</v>
      </c>
      <c r="C680" s="16"/>
      <c r="D680" s="16" t="str" cm="1">
        <f t="array" ref="D680">IF(C680&lt;&gt;"", _xlfn.IFS(I680="Height SLI",_xlfn.XLOOKUP(C680,'calc_s90&amp;138'!$C$15:$C$1000,'calc_s90&amp;138'!$AP$15:$AP$1000,"",0),  I680="Height FIX", _xlfn.XLOOKUP(C680,'calc_s90&amp;138'!$C$15:$C$1000,'calc_s90&amp;138'!$AR$15:$AR$1000,"",0)),"")</f>
        <v/>
      </c>
      <c r="E680" s="16" t="str" cm="1">
        <f t="array" ref="E680">IF(C680&lt;&gt;"", _xlfn.XLOOKUP(1,((SKUs!$A$2:$A$10001=cl_unmerged!B680) * (ISNUMBER(SEARCH("Interlocker",SKUs!$J$2:$J$10001)))), SKUs!$J$2:$J$10001,""),"") &amp; _xlfn.IFS(I680="Height", ", H",I680="Height SLI", ", H SLI", I680="Height FIX", ", H FIX",I680="Width", ", W", I680="", "")</f>
        <v/>
      </c>
      <c r="F680" s="33" t="str" cm="1">
        <f t="array" ref="F680">_xlfn.XLOOKUP(1,((SKUs!$A$2:$A$10001=cl_unmerged!B680) * (ISNUMBER(SEARCH("Interlocker",SKUs!$J$2:$J$10001)))* (ISNUMBER(SEARCH(A680,SKUs!$C$2:$C$10001)))), SKUs!$C$2:$C$10001,"")</f>
        <v/>
      </c>
      <c r="G680" s="16"/>
      <c r="H680" s="16" t="str" cm="1">
        <f t="array" ref="H680">IF(C680&lt;&gt;"", _xlfn.IFS(I680="Height SLI",_xlfn.XLOOKUP(C680,'calc_s90&amp;138'!$C$15:$C$1000,'calc_s90&amp;138'!$AO$15:$AO$1000,"",0), I680="Height FIX", _xlfn.XLOOKUP(C680,'calc_s90&amp;138'!$C$15:$C$1000,'calc_s90&amp;138'!$AQ$15:$AQ$1000,"",0)),"")</f>
        <v/>
      </c>
      <c r="I680" s="16" t="str">
        <f t="shared" si="14"/>
        <v/>
      </c>
    </row>
    <row r="681" spans="1:9" ht="13.5" customHeight="1" x14ac:dyDescent="0.25">
      <c r="A681" s="41" t="str">
        <f>_xlfn.XLOOKUP(G681,dd_color!$A$2:$A$8,dd_color!$B$2:$B$8,"",0)</f>
        <v/>
      </c>
      <c r="B681" s="41">
        <f>_xlfn.XLOOKUP(_xlfn.XLOOKUP(C681,'Project Details'!$C$17:$C$10003,'Project Details'!$E$17:$E$10003, "",0),dd_design_raw!$A$2:$A$9997,dd_design_raw!$C$2:$C$9997,"",0)</f>
        <v>0</v>
      </c>
      <c r="C681" s="16"/>
      <c r="D681" s="16" t="str" cm="1">
        <f t="array" ref="D681">IF(C681&lt;&gt;"", _xlfn.IFS(I681="Height SLI",_xlfn.XLOOKUP(C681,'calc_s90&amp;138'!$C$15:$C$1000,'calc_s90&amp;138'!$AP$15:$AP$1000,"",0),  I681="Height FIX", _xlfn.XLOOKUP(C681,'calc_s90&amp;138'!$C$15:$C$1000,'calc_s90&amp;138'!$AR$15:$AR$1000,"",0)),"")</f>
        <v/>
      </c>
      <c r="E681" s="16" t="str" cm="1">
        <f t="array" ref="E681">IF(C681&lt;&gt;"", _xlfn.XLOOKUP(1,((SKUs!$A$2:$A$10001=cl_unmerged!B681) * (ISNUMBER(SEARCH("Interlocker",SKUs!$J$2:$J$10001)))), SKUs!$J$2:$J$10001,""),"") &amp; _xlfn.IFS(I681="Height", ", H",I681="Height SLI", ", H SLI", I681="Height FIX", ", H FIX",I681="Width", ", W", I681="", "")</f>
        <v/>
      </c>
      <c r="F681" s="33" t="str" cm="1">
        <f t="array" ref="F681">_xlfn.XLOOKUP(1,((SKUs!$A$2:$A$10001=cl_unmerged!B681) * (ISNUMBER(SEARCH("Interlocker",SKUs!$J$2:$J$10001)))* (ISNUMBER(SEARCH(A681,SKUs!$C$2:$C$10001)))), SKUs!$C$2:$C$10001,"")</f>
        <v/>
      </c>
      <c r="G681" s="16"/>
      <c r="H681" s="16" t="str" cm="1">
        <f t="array" ref="H681">IF(C681&lt;&gt;"", _xlfn.IFS(I681="Height SLI",_xlfn.XLOOKUP(C681,'calc_s90&amp;138'!$C$15:$C$1000,'calc_s90&amp;138'!$AO$15:$AO$1000,"",0), I681="Height FIX", _xlfn.XLOOKUP(C681,'calc_s90&amp;138'!$C$15:$C$1000,'calc_s90&amp;138'!$AQ$15:$AQ$1000,"",0)),"")</f>
        <v/>
      </c>
      <c r="I681" s="16" t="str">
        <f t="shared" si="14"/>
        <v/>
      </c>
    </row>
    <row r="682" spans="1:9" ht="13.5" customHeight="1" x14ac:dyDescent="0.25">
      <c r="A682" s="41" t="str">
        <f>_xlfn.XLOOKUP(G682,dd_color!$A$2:$A$8,dd_color!$B$2:$B$8,"",0)</f>
        <v/>
      </c>
      <c r="B682" s="41">
        <f>_xlfn.XLOOKUP(_xlfn.XLOOKUP(C682,'Project Details'!$C$17:$C$10003,'Project Details'!$E$17:$E$10003, "",0),dd_design_raw!$A$2:$A$9997,dd_design_raw!$C$2:$C$9997,"",0)</f>
        <v>0</v>
      </c>
      <c r="C682" s="16"/>
      <c r="D682" s="16" t="str" cm="1">
        <f t="array" ref="D682">IF(C682&lt;&gt;"", _xlfn.IFS(I682="Height SLI",_xlfn.XLOOKUP(C682,'calc_s90&amp;138'!$C$15:$C$1000,'calc_s90&amp;138'!$AP$15:$AP$1000,"",0),  I682="Height FIX", _xlfn.XLOOKUP(C682,'calc_s90&amp;138'!$C$15:$C$1000,'calc_s90&amp;138'!$AR$15:$AR$1000,"",0)),"")</f>
        <v/>
      </c>
      <c r="E682" s="16" t="str" cm="1">
        <f t="array" ref="E682">IF(C682&lt;&gt;"", _xlfn.XLOOKUP(1,((SKUs!$A$2:$A$10001=cl_unmerged!B682) * (ISNUMBER(SEARCH("Interlocker",SKUs!$J$2:$J$10001)))), SKUs!$J$2:$J$10001,""),"") &amp; _xlfn.IFS(I682="Height", ", H",I682="Height SLI", ", H SLI", I682="Height FIX", ", H FIX",I682="Width", ", W", I682="", "")</f>
        <v/>
      </c>
      <c r="F682" s="33" t="str" cm="1">
        <f t="array" ref="F682">_xlfn.XLOOKUP(1,((SKUs!$A$2:$A$10001=cl_unmerged!B682) * (ISNUMBER(SEARCH("Interlocker",SKUs!$J$2:$J$10001)))* (ISNUMBER(SEARCH(A682,SKUs!$C$2:$C$10001)))), SKUs!$C$2:$C$10001,"")</f>
        <v/>
      </c>
      <c r="G682" s="16"/>
      <c r="H682" s="16" t="str" cm="1">
        <f t="array" ref="H682">IF(C682&lt;&gt;"", _xlfn.IFS(I682="Height SLI",_xlfn.XLOOKUP(C682,'calc_s90&amp;138'!$C$15:$C$1000,'calc_s90&amp;138'!$AO$15:$AO$1000,"",0), I682="Height FIX", _xlfn.XLOOKUP(C682,'calc_s90&amp;138'!$C$15:$C$1000,'calc_s90&amp;138'!$AQ$15:$AQ$1000,"",0)),"")</f>
        <v/>
      </c>
      <c r="I682" s="16" t="str">
        <f t="shared" si="14"/>
        <v/>
      </c>
    </row>
    <row r="683" spans="1:9" ht="13.5" customHeight="1" x14ac:dyDescent="0.25">
      <c r="A683" s="41" t="str">
        <f>_xlfn.XLOOKUP(G683,dd_color!$A$2:$A$8,dd_color!$B$2:$B$8,"",0)</f>
        <v/>
      </c>
      <c r="B683" s="41">
        <f>_xlfn.XLOOKUP(_xlfn.XLOOKUP(C683,'Project Details'!$C$17:$C$10003,'Project Details'!$E$17:$E$10003, "",0),dd_design_raw!$A$2:$A$9997,dd_design_raw!$C$2:$C$9997,"",0)</f>
        <v>0</v>
      </c>
      <c r="C683" s="16"/>
      <c r="D683" s="16" t="str" cm="1">
        <f t="array" ref="D683">IF(C683&lt;&gt;"", _xlfn.IFS(I683="Height SLI",_xlfn.XLOOKUP(C683,'calc_s90&amp;138'!$C$15:$C$1000,'calc_s90&amp;138'!$AP$15:$AP$1000,"",0),  I683="Height FIX", _xlfn.XLOOKUP(C683,'calc_s90&amp;138'!$C$15:$C$1000,'calc_s90&amp;138'!$AR$15:$AR$1000,"",0)),"")</f>
        <v/>
      </c>
      <c r="E683" s="16" t="str" cm="1">
        <f t="array" ref="E683">IF(C683&lt;&gt;"", _xlfn.XLOOKUP(1,((SKUs!$A$2:$A$10001=cl_unmerged!B683) * (ISNUMBER(SEARCH("Interlocker",SKUs!$J$2:$J$10001)))), SKUs!$J$2:$J$10001,""),"") &amp; _xlfn.IFS(I683="Height", ", H",I683="Height SLI", ", H SLI", I683="Height FIX", ", H FIX",I683="Width", ", W", I683="", "")</f>
        <v/>
      </c>
      <c r="F683" s="33" t="str" cm="1">
        <f t="array" ref="F683">_xlfn.XLOOKUP(1,((SKUs!$A$2:$A$10001=cl_unmerged!B683) * (ISNUMBER(SEARCH("Interlocker",SKUs!$J$2:$J$10001)))* (ISNUMBER(SEARCH(A683,SKUs!$C$2:$C$10001)))), SKUs!$C$2:$C$10001,"")</f>
        <v/>
      </c>
      <c r="G683" s="16"/>
      <c r="H683" s="16" t="str" cm="1">
        <f t="array" ref="H683">IF(C683&lt;&gt;"", _xlfn.IFS(I683="Height SLI",_xlfn.XLOOKUP(C683,'calc_s90&amp;138'!$C$15:$C$1000,'calc_s90&amp;138'!$AO$15:$AO$1000,"",0), I683="Height FIX", _xlfn.XLOOKUP(C683,'calc_s90&amp;138'!$C$15:$C$1000,'calc_s90&amp;138'!$AQ$15:$AQ$1000,"",0)),"")</f>
        <v/>
      </c>
      <c r="I683" s="16" t="str">
        <f t="shared" si="14"/>
        <v/>
      </c>
    </row>
    <row r="684" spans="1:9" ht="13.5" customHeight="1" x14ac:dyDescent="0.25">
      <c r="A684" s="41" t="str">
        <f>_xlfn.XLOOKUP(G684,dd_color!$A$2:$A$8,dd_color!$B$2:$B$8,"",0)</f>
        <v/>
      </c>
      <c r="B684" s="41">
        <f>_xlfn.XLOOKUP(_xlfn.XLOOKUP(C684,'Project Details'!$C$17:$C$10003,'Project Details'!$E$17:$E$10003, "",0),dd_design_raw!$A$2:$A$9997,dd_design_raw!$C$2:$C$9997,"",0)</f>
        <v>0</v>
      </c>
      <c r="C684" s="16"/>
      <c r="D684" s="16" t="str" cm="1">
        <f t="array" ref="D684">IF(C684&lt;&gt;"", _xlfn.IFS(I684="Height SLI",_xlfn.XLOOKUP(C684,'calc_s90&amp;138'!$C$15:$C$1000,'calc_s90&amp;138'!$AP$15:$AP$1000,"",0),  I684="Height FIX", _xlfn.XLOOKUP(C684,'calc_s90&amp;138'!$C$15:$C$1000,'calc_s90&amp;138'!$AR$15:$AR$1000,"",0)),"")</f>
        <v/>
      </c>
      <c r="E684" s="16" t="str" cm="1">
        <f t="array" ref="E684">IF(C684&lt;&gt;"", _xlfn.XLOOKUP(1,((SKUs!$A$2:$A$10001=cl_unmerged!B684) * (ISNUMBER(SEARCH("Interlocker",SKUs!$J$2:$J$10001)))), SKUs!$J$2:$J$10001,""),"") &amp; _xlfn.IFS(I684="Height", ", H",I684="Height SLI", ", H SLI", I684="Height FIX", ", H FIX",I684="Width", ", W", I684="", "")</f>
        <v/>
      </c>
      <c r="F684" s="33" t="str" cm="1">
        <f t="array" ref="F684">_xlfn.XLOOKUP(1,((SKUs!$A$2:$A$10001=cl_unmerged!B684) * (ISNUMBER(SEARCH("Interlocker",SKUs!$J$2:$J$10001)))* (ISNUMBER(SEARCH(A684,SKUs!$C$2:$C$10001)))), SKUs!$C$2:$C$10001,"")</f>
        <v/>
      </c>
      <c r="G684" s="16"/>
      <c r="H684" s="16" t="str" cm="1">
        <f t="array" ref="H684">IF(C684&lt;&gt;"", _xlfn.IFS(I684="Height SLI",_xlfn.XLOOKUP(C684,'calc_s90&amp;138'!$C$15:$C$1000,'calc_s90&amp;138'!$AO$15:$AO$1000,"",0), I684="Height FIX", _xlfn.XLOOKUP(C684,'calc_s90&amp;138'!$C$15:$C$1000,'calc_s90&amp;138'!$AQ$15:$AQ$1000,"",0)),"")</f>
        <v/>
      </c>
      <c r="I684" s="16" t="str">
        <f t="shared" si="14"/>
        <v/>
      </c>
    </row>
    <row r="685" spans="1:9" ht="13.5" customHeight="1" x14ac:dyDescent="0.25">
      <c r="A685" s="41" t="str">
        <f>_xlfn.XLOOKUP(G685,dd_color!$A$2:$A$8,dd_color!$B$2:$B$8,"",0)</f>
        <v/>
      </c>
      <c r="B685" s="41">
        <f>_xlfn.XLOOKUP(_xlfn.XLOOKUP(C685,'Project Details'!$C$17:$C$10003,'Project Details'!$E$17:$E$10003, "",0),dd_design_raw!$A$2:$A$9997,dd_design_raw!$C$2:$C$9997,"",0)</f>
        <v>0</v>
      </c>
      <c r="C685" s="16"/>
      <c r="D685" s="16" t="str" cm="1">
        <f t="array" ref="D685">IF(C685&lt;&gt;"", _xlfn.IFS(I685="Height SLI",_xlfn.XLOOKUP(C685,'calc_s90&amp;138'!$C$15:$C$1000,'calc_s90&amp;138'!$AP$15:$AP$1000,"",0),  I685="Height FIX", _xlfn.XLOOKUP(C685,'calc_s90&amp;138'!$C$15:$C$1000,'calc_s90&amp;138'!$AR$15:$AR$1000,"",0)),"")</f>
        <v/>
      </c>
      <c r="E685" s="16" t="str" cm="1">
        <f t="array" ref="E685">IF(C685&lt;&gt;"", _xlfn.XLOOKUP(1,((SKUs!$A$2:$A$10001=cl_unmerged!B685) * (ISNUMBER(SEARCH("Interlocker",SKUs!$J$2:$J$10001)))), SKUs!$J$2:$J$10001,""),"") &amp; _xlfn.IFS(I685="Height", ", H",I685="Height SLI", ", H SLI", I685="Height FIX", ", H FIX",I685="Width", ", W", I685="", "")</f>
        <v/>
      </c>
      <c r="F685" s="33" t="str" cm="1">
        <f t="array" ref="F685">_xlfn.XLOOKUP(1,((SKUs!$A$2:$A$10001=cl_unmerged!B685) * (ISNUMBER(SEARCH("Interlocker",SKUs!$J$2:$J$10001)))* (ISNUMBER(SEARCH(A685,SKUs!$C$2:$C$10001)))), SKUs!$C$2:$C$10001,"")</f>
        <v/>
      </c>
      <c r="G685" s="16"/>
      <c r="H685" s="16" t="str" cm="1">
        <f t="array" ref="H685">IF(C685&lt;&gt;"", _xlfn.IFS(I685="Height SLI",_xlfn.XLOOKUP(C685,'calc_s90&amp;138'!$C$15:$C$1000,'calc_s90&amp;138'!$AO$15:$AO$1000,"",0), I685="Height FIX", _xlfn.XLOOKUP(C685,'calc_s90&amp;138'!$C$15:$C$1000,'calc_s90&amp;138'!$AQ$15:$AQ$1000,"",0)),"")</f>
        <v/>
      </c>
      <c r="I685" s="16" t="str">
        <f t="shared" si="14"/>
        <v/>
      </c>
    </row>
    <row r="686" spans="1:9" ht="13.5" customHeight="1" x14ac:dyDescent="0.25">
      <c r="A686" s="41" t="str">
        <f>_xlfn.XLOOKUP(G686,dd_color!$A$2:$A$8,dd_color!$B$2:$B$8,"",0)</f>
        <v/>
      </c>
      <c r="B686" s="41">
        <f>_xlfn.XLOOKUP(_xlfn.XLOOKUP(C686,'Project Details'!$C$17:$C$10003,'Project Details'!$E$17:$E$10003, "",0),dd_design_raw!$A$2:$A$9997,dd_design_raw!$C$2:$C$9997,"",0)</f>
        <v>0</v>
      </c>
      <c r="C686" s="16"/>
      <c r="D686" s="16" t="str" cm="1">
        <f t="array" ref="D686">IF(C686&lt;&gt;"", _xlfn.IFS(I686="Height SLI",_xlfn.XLOOKUP(C686,'calc_s90&amp;138'!$C$15:$C$1000,'calc_s90&amp;138'!$AP$15:$AP$1000,"",0),  I686="Height FIX", _xlfn.XLOOKUP(C686,'calc_s90&amp;138'!$C$15:$C$1000,'calc_s90&amp;138'!$AR$15:$AR$1000,"",0)),"")</f>
        <v/>
      </c>
      <c r="E686" s="16" t="str" cm="1">
        <f t="array" ref="E686">IF(C686&lt;&gt;"", _xlfn.XLOOKUP(1,((SKUs!$A$2:$A$10001=cl_unmerged!B686) * (ISNUMBER(SEARCH("Interlocker",SKUs!$J$2:$J$10001)))), SKUs!$J$2:$J$10001,""),"") &amp; _xlfn.IFS(I686="Height", ", H",I686="Height SLI", ", H SLI", I686="Height FIX", ", H FIX",I686="Width", ", W", I686="", "")</f>
        <v/>
      </c>
      <c r="F686" s="33" t="str" cm="1">
        <f t="array" ref="F686">_xlfn.XLOOKUP(1,((SKUs!$A$2:$A$10001=cl_unmerged!B686) * (ISNUMBER(SEARCH("Interlocker",SKUs!$J$2:$J$10001)))* (ISNUMBER(SEARCH(A686,SKUs!$C$2:$C$10001)))), SKUs!$C$2:$C$10001,"")</f>
        <v/>
      </c>
      <c r="G686" s="16"/>
      <c r="H686" s="16" t="str" cm="1">
        <f t="array" ref="H686">IF(C686&lt;&gt;"", _xlfn.IFS(I686="Height SLI",_xlfn.XLOOKUP(C686,'calc_s90&amp;138'!$C$15:$C$1000,'calc_s90&amp;138'!$AO$15:$AO$1000,"",0), I686="Height FIX", _xlfn.XLOOKUP(C686,'calc_s90&amp;138'!$C$15:$C$1000,'calc_s90&amp;138'!$AQ$15:$AQ$1000,"",0)),"")</f>
        <v/>
      </c>
      <c r="I686" s="16" t="str">
        <f t="shared" si="14"/>
        <v/>
      </c>
    </row>
    <row r="687" spans="1:9" ht="13.5" customHeight="1" x14ac:dyDescent="0.25">
      <c r="A687" s="41" t="str">
        <f>_xlfn.XLOOKUP(G687,dd_color!$A$2:$A$8,dd_color!$B$2:$B$8,"",0)</f>
        <v/>
      </c>
      <c r="B687" s="41">
        <f>_xlfn.XLOOKUP(_xlfn.XLOOKUP(C687,'Project Details'!$C$17:$C$10003,'Project Details'!$E$17:$E$10003, "",0),dd_design_raw!$A$2:$A$9997,dd_design_raw!$C$2:$C$9997,"",0)</f>
        <v>0</v>
      </c>
      <c r="C687" s="16"/>
      <c r="D687" s="16" t="str" cm="1">
        <f t="array" ref="D687">IF(C687&lt;&gt;"", _xlfn.IFS(I687="Height SLI",_xlfn.XLOOKUP(C687,'calc_s90&amp;138'!$C$15:$C$1000,'calc_s90&amp;138'!$AP$15:$AP$1000,"",0),  I687="Height FIX", _xlfn.XLOOKUP(C687,'calc_s90&amp;138'!$C$15:$C$1000,'calc_s90&amp;138'!$AR$15:$AR$1000,"",0)),"")</f>
        <v/>
      </c>
      <c r="E687" s="16" t="str" cm="1">
        <f t="array" ref="E687">IF(C687&lt;&gt;"", _xlfn.XLOOKUP(1,((SKUs!$A$2:$A$10001=cl_unmerged!B687) * (ISNUMBER(SEARCH("Interlocker",SKUs!$J$2:$J$10001)))), SKUs!$J$2:$J$10001,""),"") &amp; _xlfn.IFS(I687="Height", ", H",I687="Height SLI", ", H SLI", I687="Height FIX", ", H FIX",I687="Width", ", W", I687="", "")</f>
        <v/>
      </c>
      <c r="F687" s="33" t="str" cm="1">
        <f t="array" ref="F687">_xlfn.XLOOKUP(1,((SKUs!$A$2:$A$10001=cl_unmerged!B687) * (ISNUMBER(SEARCH("Interlocker",SKUs!$J$2:$J$10001)))* (ISNUMBER(SEARCH(A687,SKUs!$C$2:$C$10001)))), SKUs!$C$2:$C$10001,"")</f>
        <v/>
      </c>
      <c r="G687" s="16"/>
      <c r="H687" s="16" t="str" cm="1">
        <f t="array" ref="H687">IF(C687&lt;&gt;"", _xlfn.IFS(I687="Height SLI",_xlfn.XLOOKUP(C687,'calc_s90&amp;138'!$C$15:$C$1000,'calc_s90&amp;138'!$AO$15:$AO$1000,"",0), I687="Height FIX", _xlfn.XLOOKUP(C687,'calc_s90&amp;138'!$C$15:$C$1000,'calc_s90&amp;138'!$AQ$15:$AQ$1000,"",0)),"")</f>
        <v/>
      </c>
      <c r="I687" s="16" t="str">
        <f t="shared" si="14"/>
        <v/>
      </c>
    </row>
    <row r="688" spans="1:9" ht="13.5" customHeight="1" x14ac:dyDescent="0.25">
      <c r="A688" s="41" t="str">
        <f>_xlfn.XLOOKUP(G688,dd_color!$A$2:$A$8,dd_color!$B$2:$B$8,"",0)</f>
        <v/>
      </c>
      <c r="B688" s="41">
        <f>_xlfn.XLOOKUP(_xlfn.XLOOKUP(C688,'Project Details'!$C$17:$C$10003,'Project Details'!$E$17:$E$10003, "",0),dd_design_raw!$A$2:$A$9997,dd_design_raw!$C$2:$C$9997,"",0)</f>
        <v>0</v>
      </c>
      <c r="C688" s="16"/>
      <c r="D688" s="16" t="str" cm="1">
        <f t="array" ref="D688">IF(C688&lt;&gt;"", _xlfn.IFS(I688="Height SLI",_xlfn.XLOOKUP(C688,'calc_s90&amp;138'!$C$15:$C$1000,'calc_s90&amp;138'!$AP$15:$AP$1000,"",0),  I688="Height FIX", _xlfn.XLOOKUP(C688,'calc_s90&amp;138'!$C$15:$C$1000,'calc_s90&amp;138'!$AR$15:$AR$1000,"",0)),"")</f>
        <v/>
      </c>
      <c r="E688" s="16" t="str" cm="1">
        <f t="array" ref="E688">IF(C688&lt;&gt;"", _xlfn.XLOOKUP(1,((SKUs!$A$2:$A$10001=cl_unmerged!B688) * (ISNUMBER(SEARCH("Interlocker",SKUs!$J$2:$J$10001)))), SKUs!$J$2:$J$10001,""),"") &amp; _xlfn.IFS(I688="Height", ", H",I688="Height SLI", ", H SLI", I688="Height FIX", ", H FIX",I688="Width", ", W", I688="", "")</f>
        <v/>
      </c>
      <c r="F688" s="33" t="str" cm="1">
        <f t="array" ref="F688">_xlfn.XLOOKUP(1,((SKUs!$A$2:$A$10001=cl_unmerged!B688) * (ISNUMBER(SEARCH("Interlocker",SKUs!$J$2:$J$10001)))* (ISNUMBER(SEARCH(A688,SKUs!$C$2:$C$10001)))), SKUs!$C$2:$C$10001,"")</f>
        <v/>
      </c>
      <c r="G688" s="16"/>
      <c r="H688" s="16" t="str" cm="1">
        <f t="array" ref="H688">IF(C688&lt;&gt;"", _xlfn.IFS(I688="Height SLI",_xlfn.XLOOKUP(C688,'calc_s90&amp;138'!$C$15:$C$1000,'calc_s90&amp;138'!$AO$15:$AO$1000,"",0), I688="Height FIX", _xlfn.XLOOKUP(C688,'calc_s90&amp;138'!$C$15:$C$1000,'calc_s90&amp;138'!$AQ$15:$AQ$1000,"",0)),"")</f>
        <v/>
      </c>
      <c r="I688" s="16" t="str">
        <f t="shared" si="14"/>
        <v/>
      </c>
    </row>
    <row r="689" spans="1:9" ht="13.5" customHeight="1" x14ac:dyDescent="0.25">
      <c r="A689" s="41" t="str">
        <f>_xlfn.XLOOKUP(G689,dd_color!$A$2:$A$8,dd_color!$B$2:$B$8,"",0)</f>
        <v/>
      </c>
      <c r="B689" s="41">
        <f>_xlfn.XLOOKUP(_xlfn.XLOOKUP(C689,'Project Details'!$C$17:$C$10003,'Project Details'!$E$17:$E$10003, "",0),dd_design_raw!$A$2:$A$9997,dd_design_raw!$C$2:$C$9997,"",0)</f>
        <v>0</v>
      </c>
      <c r="C689" s="16"/>
      <c r="D689" s="16"/>
      <c r="E689" s="16" t="str" cm="1">
        <f t="array" ref="E689">IF(C689&lt;&gt;"", _xlfn.XLOOKUP(1,((SKUs!$A$2:$A$10001=cl_unmerged!B689) * (ISNUMBER(SEARCH("Interlocker",SKUs!$J$2:$J$10001)))), SKUs!$J$2:$J$10001,""),"") &amp; _xlfn.IFS(I689="Height", ", H",I689="Height SLI", ", H SLI", I689="Height FIX", ", H FIX",I689="Width", ", W", I689="", "")</f>
        <v/>
      </c>
      <c r="F689" s="33" t="str" cm="1">
        <f t="array" ref="F689">_xlfn.XLOOKUP(1,((SKUs!$A$2:$A$10001=cl_unmerged!B689) * (ISNUMBER(SEARCH("Interlocker",SKUs!$J$2:$J$10001)))* (ISNUMBER(SEARCH(A689,SKUs!$C$2:$C$10001)))), SKUs!$C$2:$C$10001,"")</f>
        <v/>
      </c>
      <c r="G689" s="16"/>
      <c r="H689" s="16" t="str" cm="1">
        <f t="array" ref="H689">IF(C689&lt;&gt;"", _xlfn.IFS(I689="Height SLI",_xlfn.XLOOKUP(C689,'calc_s90&amp;138'!$C$15:$C$1000,'calc_s90&amp;138'!$AO$15:$AO$1000,"",0), I689="Height FIX", _xlfn.XLOOKUP(C689,'calc_s90&amp;138'!$C$15:$C$1000,'calc_s90&amp;138'!$AQ$15:$AQ$1000,"",0)),"")</f>
        <v/>
      </c>
      <c r="I689" s="16" t="str">
        <f t="shared" si="14"/>
        <v/>
      </c>
    </row>
    <row r="690" spans="1:9" ht="13.5" customHeight="1" x14ac:dyDescent="0.25">
      <c r="A690" s="41" t="str">
        <f>_xlfn.XLOOKUP(G690,dd_color!$A$2:$A$8,dd_color!$B$2:$B$8,"",0)</f>
        <v/>
      </c>
      <c r="B690" s="41">
        <f>_xlfn.XLOOKUP(_xlfn.XLOOKUP(C690,'Project Details'!$C$17:$C$10003,'Project Details'!$E$17:$E$10003, "",0),dd_design_raw!$A$2:$A$9997,dd_design_raw!$C$2:$C$9997,"",0)</f>
        <v>0</v>
      </c>
      <c r="C690" s="16"/>
      <c r="D690" s="16" t="str" cm="1">
        <f t="array" ref="D690">IF(C690&lt;&gt;"", _xlfn.IFS(I690="Height SLI",_xlfn.XLOOKUP(C690,'calc_s90&amp;138'!$C$15:$C$1000,'calc_s90&amp;138'!$AP$15:$AP$1000,"",0),  I690="Height FIX", _xlfn.XLOOKUP(C690,'calc_s90&amp;138'!$C$15:$C$1000,'calc_s90&amp;138'!$AR$15:$AR$1000,"",0)),"")</f>
        <v/>
      </c>
      <c r="E690" s="16" t="str" cm="1">
        <f t="array" ref="E690">IF(C690&lt;&gt;"", _xlfn.XLOOKUP(1,((SKUs!$A$2:$A$10001=cl_unmerged!B690) * (ISNUMBER(SEARCH("Interlocker",SKUs!$J$2:$J$10001)))), SKUs!$J$2:$J$10001,""),"") &amp; _xlfn.IFS(I690="Height", ", H",I690="Height SLI", ", H SLI", I690="Height FIX", ", H FIX",I690="Width", ", W", I690="", "")</f>
        <v/>
      </c>
      <c r="F690" s="33" t="str" cm="1">
        <f t="array" ref="F690">_xlfn.XLOOKUP(1,((SKUs!$A$2:$A$10001=cl_unmerged!B690) * (ISNUMBER(SEARCH("Interlocker",SKUs!$J$2:$J$10001)))* (ISNUMBER(SEARCH(A690,SKUs!$C$2:$C$10001)))), SKUs!$C$2:$C$10001,"")</f>
        <v/>
      </c>
      <c r="G690" s="16"/>
      <c r="H690" s="16" t="str" cm="1">
        <f t="array" ref="H690">IF(C690&lt;&gt;"", _xlfn.IFS(I690="Height SLI",_xlfn.XLOOKUP(C690,'calc_s90&amp;138'!$C$15:$C$1000,'calc_s90&amp;138'!$AO$15:$AO$1000,"",0), I690="Height FIX", _xlfn.XLOOKUP(C690,'calc_s90&amp;138'!$C$15:$C$1000,'calc_s90&amp;138'!$AQ$15:$AQ$1000,"",0)),"")</f>
        <v/>
      </c>
      <c r="I690" s="16" t="str">
        <f t="shared" si="14"/>
        <v/>
      </c>
    </row>
    <row r="692" spans="1:9" ht="13.5" customHeight="1" x14ac:dyDescent="0.25">
      <c r="C692" s="28" t="s">
        <v>86</v>
      </c>
      <c r="D692" s="29"/>
      <c r="E692" s="29"/>
      <c r="F692" s="29"/>
      <c r="G692" s="29"/>
      <c r="H692" s="29"/>
      <c r="I692" s="30"/>
    </row>
    <row r="693" spans="1:9" ht="13.5" customHeight="1" x14ac:dyDescent="0.25">
      <c r="C693" s="32" t="s">
        <v>719</v>
      </c>
      <c r="D693" s="32"/>
      <c r="E693" s="32"/>
      <c r="F693" s="32"/>
      <c r="G693" s="32"/>
      <c r="H693" s="32"/>
      <c r="I693" s="32"/>
    </row>
    <row r="694" spans="1:9" ht="13.5" customHeight="1" x14ac:dyDescent="0.25">
      <c r="A694" s="41" t="str">
        <f>_xlfn.XLOOKUP(G694,dd_color!$A$2:$A$8,dd_color!$B$2:$B$8,"",0)</f>
        <v/>
      </c>
      <c r="B694" s="41" t="str">
        <f>_xlfn.XLOOKUP(_xlfn.XLOOKUP(C694,'Project Details'!$C$17:$C$10003,'Project Details'!$E$17:$E$10003, "",0),dd_design_raw!$A$2:$A$9997,dd_design_raw!$C$2:$C$9997,"",0)</f>
        <v/>
      </c>
      <c r="C694" s="16" t="str" cm="1">
        <f t="array" ref="C694">IFERROR(_xlfn._xlws.FILTER('calc_s90&amp;138'!C15:C65,'calc_s90&amp;138'!AT15:AT65&lt;&gt;""),"")</f>
        <v/>
      </c>
      <c r="D694" s="16" t="str" cm="1">
        <f t="array" ref="D694">IFERROR(_xlfn._xlws.FILTER('calc_s90&amp;138'!AU15:AU65,'calc_s90&amp;138'!AT15:AT65&lt;&gt;""),"")</f>
        <v/>
      </c>
      <c r="E694" s="16" t="str" cm="1">
        <f t="array" ref="E694">IF(C694&lt;&gt;"", _xlfn.XLOOKUP(1,((SKUs!$A$2:$A$10001=cl_unmerged!B694) * (ISNUMBER(SEARCH("Inline",SKUs!$J$2:$J$10001)))), SKUs!$J$2:$J$10001,""),"") &amp; _xlfn.IFS(I694="Height", ", H",I694="Height SLI", ", H SLI", I694="Height FIX", ", H FIX",I694="Width", ", W", I694="", "")</f>
        <v/>
      </c>
      <c r="F694" s="33" t="str" cm="1">
        <f t="array" ref="F694">_xlfn.XLOOKUP(1,((SKUs!$A$2:$A$10001=cl_unmerged!B694) * (ISNUMBER(SEARCH("Inline",SKUs!$J$2:$J$10001)))* (ISNUMBER(SEARCH(A694,SKUs!$C$2:$C$10001)))), SKUs!$C$2:$C$10001,"")</f>
        <v/>
      </c>
      <c r="G694" s="16" t="str" cm="1">
        <f t="array" ref="G694">IFERROR(_xlfn._xlws.FILTER('calc_s90&amp;138'!G15:G65,'calc_s90&amp;138'!AT15:AT65&lt;&gt;""),"")</f>
        <v/>
      </c>
      <c r="H694" s="16" t="str" cm="1">
        <f t="array" ref="H694">IFERROR(_xlfn._xlws.FILTER('calc_s90&amp;138'!AT15:AT65,'calc_s90&amp;138'!AT15:AT65&lt;&gt;""),"")</f>
        <v/>
      </c>
      <c r="I694" s="16" t="str">
        <f>IF(H694&lt;&gt;"", "Height SLI","")</f>
        <v/>
      </c>
    </row>
    <row r="695" spans="1:9" ht="13.5" customHeight="1" x14ac:dyDescent="0.25">
      <c r="A695" s="41" t="str">
        <f>_xlfn.XLOOKUP(G695,dd_color!$A$2:$A$8,dd_color!$B$2:$B$8,"",0)</f>
        <v/>
      </c>
      <c r="B695" s="41">
        <f>_xlfn.XLOOKUP(_xlfn.XLOOKUP(C695,'Project Details'!$C$17:$C$10003,'Project Details'!$E$17:$E$10003, "",0),dd_design_raw!$A$2:$A$9997,dd_design_raw!$C$2:$C$9997,"",0)</f>
        <v>0</v>
      </c>
      <c r="C695" s="16"/>
      <c r="D695" s="16"/>
      <c r="E695" s="16" t="str" cm="1">
        <f t="array" ref="E695">IF(C695&lt;&gt;"", _xlfn.XLOOKUP(1,((SKUs!$A$2:$A$10001=cl_unmerged!B695) * (ISNUMBER(SEARCH("Inline",SKUs!$J$2:$J$10001)))), SKUs!$J$2:$J$10001,""),"") &amp; _xlfn.IFS(I695="Height", ", H",I695="Height SLI", ", H SLI", I695="Height FIX", ", H FIX",I695="Width", ", W", I695="", "")</f>
        <v/>
      </c>
      <c r="F695" s="33" t="str" cm="1">
        <f t="array" ref="F695">_xlfn.XLOOKUP(1,((SKUs!$A$2:$A$10001=cl_unmerged!B695) * (ISNUMBER(SEARCH("Inline",SKUs!$J$2:$J$10001)))* (ISNUMBER(SEARCH(A695,SKUs!$C$2:$C$10001)))), SKUs!$C$2:$C$10001,"")</f>
        <v/>
      </c>
      <c r="G695" s="16"/>
      <c r="H695" s="16"/>
      <c r="I695" s="16" t="str">
        <f t="shared" ref="I695:I713" si="15">IF(H695&lt;&gt;"", "Height SLI","")</f>
        <v/>
      </c>
    </row>
    <row r="696" spans="1:9" ht="13.5" customHeight="1" x14ac:dyDescent="0.25">
      <c r="A696" s="41" t="str">
        <f>_xlfn.XLOOKUP(G696,dd_color!$A$2:$A$8,dd_color!$B$2:$B$8,"",0)</f>
        <v/>
      </c>
      <c r="B696" s="41">
        <f>_xlfn.XLOOKUP(_xlfn.XLOOKUP(C696,'Project Details'!$C$17:$C$10003,'Project Details'!$E$17:$E$10003, "",0),dd_design_raw!$A$2:$A$9997,dd_design_raw!$C$2:$C$9997,"",0)</f>
        <v>0</v>
      </c>
      <c r="C696" s="16"/>
      <c r="D696" s="16"/>
      <c r="E696" s="16" t="str" cm="1">
        <f t="array" ref="E696">IF(C696&lt;&gt;"", _xlfn.XLOOKUP(1,((SKUs!$A$2:$A$10001=cl_unmerged!B696) * (ISNUMBER(SEARCH("Inline",SKUs!$J$2:$J$10001)))), SKUs!$J$2:$J$10001,""),"") &amp; _xlfn.IFS(I696="Height", ", H",I696="Height SLI", ", H SLI", I696="Height FIX", ", H FIX",I696="Width", ", W", I696="", "")</f>
        <v/>
      </c>
      <c r="F696" s="33" t="str" cm="1">
        <f t="array" ref="F696">_xlfn.XLOOKUP(1,((SKUs!$A$2:$A$10001=cl_unmerged!B696) * (ISNUMBER(SEARCH("Inline",SKUs!$J$2:$J$10001)))* (ISNUMBER(SEARCH(A696,SKUs!$C$2:$C$10001)))), SKUs!$C$2:$C$10001,"")</f>
        <v/>
      </c>
      <c r="G696" s="16"/>
      <c r="H696" s="16"/>
      <c r="I696" s="16" t="str">
        <f t="shared" si="15"/>
        <v/>
      </c>
    </row>
    <row r="697" spans="1:9" ht="13.5" customHeight="1" x14ac:dyDescent="0.25">
      <c r="A697" s="41" t="str">
        <f>_xlfn.XLOOKUP(G697,dd_color!$A$2:$A$8,dd_color!$B$2:$B$8,"",0)</f>
        <v/>
      </c>
      <c r="B697" s="41">
        <f>_xlfn.XLOOKUP(_xlfn.XLOOKUP(C697,'Project Details'!$C$17:$C$10003,'Project Details'!$E$17:$E$10003, "",0),dd_design_raw!$A$2:$A$9997,dd_design_raw!$C$2:$C$9997,"",0)</f>
        <v>0</v>
      </c>
      <c r="C697" s="16"/>
      <c r="D697" s="16"/>
      <c r="E697" s="16" t="str" cm="1">
        <f t="array" ref="E697">IF(C697&lt;&gt;"", _xlfn.XLOOKUP(1,((SKUs!$A$2:$A$10001=cl_unmerged!B697) * (ISNUMBER(SEARCH("Inline",SKUs!$J$2:$J$10001)))), SKUs!$J$2:$J$10001,""),"") &amp; _xlfn.IFS(I697="Height", ", H",I697="Height SLI", ", H SLI", I697="Height FIX", ", H FIX",I697="Width", ", W", I697="", "")</f>
        <v/>
      </c>
      <c r="F697" s="33" t="str" cm="1">
        <f t="array" ref="F697">_xlfn.XLOOKUP(1,((SKUs!$A$2:$A$10001=cl_unmerged!B697) * (ISNUMBER(SEARCH("Inline",SKUs!$J$2:$J$10001)))* (ISNUMBER(SEARCH(A697,SKUs!$C$2:$C$10001)))), SKUs!$C$2:$C$10001,"")</f>
        <v/>
      </c>
      <c r="G697" s="16"/>
      <c r="H697" s="16"/>
      <c r="I697" s="16" t="str">
        <f t="shared" si="15"/>
        <v/>
      </c>
    </row>
    <row r="698" spans="1:9" ht="13.5" customHeight="1" x14ac:dyDescent="0.25">
      <c r="A698" s="41" t="str">
        <f>_xlfn.XLOOKUP(G698,dd_color!$A$2:$A$8,dd_color!$B$2:$B$8,"",0)</f>
        <v/>
      </c>
      <c r="B698" s="41">
        <f>_xlfn.XLOOKUP(_xlfn.XLOOKUP(C698,'Project Details'!$C$17:$C$10003,'Project Details'!$E$17:$E$10003, "",0),dd_design_raw!$A$2:$A$9997,dd_design_raw!$C$2:$C$9997,"",0)</f>
        <v>0</v>
      </c>
      <c r="C698" s="16"/>
      <c r="D698" s="16"/>
      <c r="E698" s="16" t="str" cm="1">
        <f t="array" ref="E698">IF(C698&lt;&gt;"", _xlfn.XLOOKUP(1,((SKUs!$A$2:$A$10001=cl_unmerged!B698) * (ISNUMBER(SEARCH("Inline",SKUs!$J$2:$J$10001)))), SKUs!$J$2:$J$10001,""),"") &amp; _xlfn.IFS(I698="Height", ", H",I698="Height SLI", ", H SLI", I698="Height FIX", ", H FIX",I698="Width", ", W", I698="", "")</f>
        <v/>
      </c>
      <c r="F698" s="33" t="str" cm="1">
        <f t="array" ref="F698">_xlfn.XLOOKUP(1,((SKUs!$A$2:$A$10001=cl_unmerged!B698) * (ISNUMBER(SEARCH("Inline",SKUs!$J$2:$J$10001)))* (ISNUMBER(SEARCH(A698,SKUs!$C$2:$C$10001)))), SKUs!$C$2:$C$10001,"")</f>
        <v/>
      </c>
      <c r="G698" s="16"/>
      <c r="H698" s="16"/>
      <c r="I698" s="16" t="str">
        <f t="shared" si="15"/>
        <v/>
      </c>
    </row>
    <row r="699" spans="1:9" ht="13.5" customHeight="1" x14ac:dyDescent="0.25">
      <c r="A699" s="41" t="str">
        <f>_xlfn.XLOOKUP(G699,dd_color!$A$2:$A$8,dd_color!$B$2:$B$8,"",0)</f>
        <v/>
      </c>
      <c r="B699" s="41">
        <f>_xlfn.XLOOKUP(_xlfn.XLOOKUP(C699,'Project Details'!$C$17:$C$10003,'Project Details'!$E$17:$E$10003, "",0),dd_design_raw!$A$2:$A$9997,dd_design_raw!$C$2:$C$9997,"",0)</f>
        <v>0</v>
      </c>
      <c r="C699" s="16"/>
      <c r="D699" s="16"/>
      <c r="E699" s="16" t="str" cm="1">
        <f t="array" ref="E699">IF(C699&lt;&gt;"", _xlfn.XLOOKUP(1,((SKUs!$A$2:$A$10001=cl_unmerged!B699) * (ISNUMBER(SEARCH("Inline",SKUs!$J$2:$J$10001)))), SKUs!$J$2:$J$10001,""),"") &amp; _xlfn.IFS(I699="Height", ", H",I699="Height SLI", ", H SLI", I699="Height FIX", ", H FIX",I699="Width", ", W", I699="", "")</f>
        <v/>
      </c>
      <c r="F699" s="33" t="str" cm="1">
        <f t="array" ref="F699">_xlfn.XLOOKUP(1,((SKUs!$A$2:$A$10001=cl_unmerged!B699) * (ISNUMBER(SEARCH("Inline",SKUs!$J$2:$J$10001)))* (ISNUMBER(SEARCH(A699,SKUs!$C$2:$C$10001)))), SKUs!$C$2:$C$10001,"")</f>
        <v/>
      </c>
      <c r="G699" s="16"/>
      <c r="H699" s="16"/>
      <c r="I699" s="16" t="str">
        <f t="shared" si="15"/>
        <v/>
      </c>
    </row>
    <row r="700" spans="1:9" ht="13.5" customHeight="1" x14ac:dyDescent="0.25">
      <c r="A700" s="41" t="str">
        <f>_xlfn.XLOOKUP(G700,dd_color!$A$2:$A$8,dd_color!$B$2:$B$8,"",0)</f>
        <v/>
      </c>
      <c r="B700" s="41">
        <f>_xlfn.XLOOKUP(_xlfn.XLOOKUP(C700,'Project Details'!$C$17:$C$10003,'Project Details'!$E$17:$E$10003, "",0),dd_design_raw!$A$2:$A$9997,dd_design_raw!$C$2:$C$9997,"",0)</f>
        <v>0</v>
      </c>
      <c r="C700" s="16"/>
      <c r="D700" s="16"/>
      <c r="E700" s="16" t="str" cm="1">
        <f t="array" ref="E700">IF(C700&lt;&gt;"", _xlfn.XLOOKUP(1,((SKUs!$A$2:$A$10001=cl_unmerged!B700) * (ISNUMBER(SEARCH("Inline",SKUs!$J$2:$J$10001)))), SKUs!$J$2:$J$10001,""),"") &amp; _xlfn.IFS(I700="Height", ", H",I700="Height SLI", ", H SLI", I700="Height FIX", ", H FIX",I700="Width", ", W", I700="", "")</f>
        <v/>
      </c>
      <c r="F700" s="33" t="str" cm="1">
        <f t="array" ref="F700">_xlfn.XLOOKUP(1,((SKUs!$A$2:$A$10001=cl_unmerged!B700) * (ISNUMBER(SEARCH("Inline",SKUs!$J$2:$J$10001)))* (ISNUMBER(SEARCH(A700,SKUs!$C$2:$C$10001)))), SKUs!$C$2:$C$10001,"")</f>
        <v/>
      </c>
      <c r="G700" s="16"/>
      <c r="H700" s="16"/>
      <c r="I700" s="16" t="str">
        <f t="shared" si="15"/>
        <v/>
      </c>
    </row>
    <row r="701" spans="1:9" ht="13.5" customHeight="1" x14ac:dyDescent="0.25">
      <c r="A701" s="41" t="str">
        <f>_xlfn.XLOOKUP(G701,dd_color!$A$2:$A$8,dd_color!$B$2:$B$8,"",0)</f>
        <v/>
      </c>
      <c r="B701" s="41">
        <f>_xlfn.XLOOKUP(_xlfn.XLOOKUP(C701,'Project Details'!$C$17:$C$10003,'Project Details'!$E$17:$E$10003, "",0),dd_design_raw!$A$2:$A$9997,dd_design_raw!$C$2:$C$9997,"",0)</f>
        <v>0</v>
      </c>
      <c r="C701" s="16"/>
      <c r="D701" s="16"/>
      <c r="E701" s="16" t="str" cm="1">
        <f t="array" ref="E701">IF(C701&lt;&gt;"", _xlfn.XLOOKUP(1,((SKUs!$A$2:$A$10001=cl_unmerged!B701) * (ISNUMBER(SEARCH("Inline",SKUs!$J$2:$J$10001)))), SKUs!$J$2:$J$10001,""),"") &amp; _xlfn.IFS(I701="Height", ", H",I701="Height SLI", ", H SLI", I701="Height FIX", ", H FIX",I701="Width", ", W", I701="", "")</f>
        <v/>
      </c>
      <c r="F701" s="33" t="str" cm="1">
        <f t="array" ref="F701">_xlfn.XLOOKUP(1,((SKUs!$A$2:$A$10001=cl_unmerged!B701) * (ISNUMBER(SEARCH("Inline",SKUs!$J$2:$J$10001)))* (ISNUMBER(SEARCH(A701,SKUs!$C$2:$C$10001)))), SKUs!$C$2:$C$10001,"")</f>
        <v/>
      </c>
      <c r="G701" s="16"/>
      <c r="H701" s="16"/>
      <c r="I701" s="16" t="str">
        <f t="shared" si="15"/>
        <v/>
      </c>
    </row>
    <row r="702" spans="1:9" ht="13.5" customHeight="1" x14ac:dyDescent="0.25">
      <c r="A702" s="41" t="str">
        <f>_xlfn.XLOOKUP(G702,dd_color!$A$2:$A$8,dd_color!$B$2:$B$8,"",0)</f>
        <v/>
      </c>
      <c r="B702" s="41" t="str">
        <f>_xlfn.XLOOKUP(_xlfn.XLOOKUP(C702,'Project Details'!$C$17:$C$10003,'Project Details'!$E$17:$E$10003, "",0),dd_design_raw!$A$2:$A$9997,dd_design_raw!$C$2:$C$9997,"",0)</f>
        <v/>
      </c>
      <c r="C702" s="16"/>
      <c r="D702" s="16"/>
      <c r="E702" s="16" t="str" cm="1">
        <f t="array" ref="E702">IF(C702&lt;&gt;"", _xlfn.XLOOKUP(1,((SKUs!$A$2:$A$10001=cl_unmerged!B702) * (ISNUMBER(SEARCH("Inline",SKUs!$J$2:$J$10001)))), SKUs!$J$2:$J$10001,""),"") &amp; _xlfn.IFS(I702="Height", ", H",I702="Height SLI", ", H SLI", I702="Height FIX", ", H FIX",I702="Width", ", W", I702="", "")</f>
        <v/>
      </c>
      <c r="F702" s="33" t="str" cm="1">
        <f t="array" ref="F702">_xlfn.XLOOKUP(1,((SKUs!$A$2:$A$10001=cl_unmerged!B702) * (ISNUMBER(SEARCH("Inline",SKUs!$J$2:$J$10001)))* (ISNUMBER(SEARCH(A702,SKUs!$C$2:$C$10001)))), SKUs!$C$2:$C$10001,"")</f>
        <v/>
      </c>
      <c r="G702" s="16"/>
      <c r="H702" s="16"/>
      <c r="I702" s="16" t="str">
        <f t="shared" si="15"/>
        <v/>
      </c>
    </row>
    <row r="703" spans="1:9" ht="13.5" customHeight="1" x14ac:dyDescent="0.25">
      <c r="A703" s="41" t="str">
        <f>_xlfn.XLOOKUP(G703,dd_color!$A$2:$A$8,dd_color!$B$2:$B$8,"",0)</f>
        <v/>
      </c>
      <c r="B703" s="41" t="str">
        <f>_xlfn.XLOOKUP(_xlfn.XLOOKUP(C703,'Project Details'!$C$17:$C$10003,'Project Details'!$E$17:$E$10003, "",0),dd_design_raw!$A$2:$A$9997,dd_design_raw!$C$2:$C$9997,"",0)</f>
        <v/>
      </c>
      <c r="C703" s="16"/>
      <c r="D703" s="16"/>
      <c r="E703" s="16" t="str" cm="1">
        <f t="array" ref="E703">IF(C703&lt;&gt;"", _xlfn.XLOOKUP(1,((SKUs!$A$2:$A$10001=cl_unmerged!B703) * (ISNUMBER(SEARCH("Inline",SKUs!$J$2:$J$10001)))), SKUs!$J$2:$J$10001,""),"") &amp; _xlfn.IFS(I703="Height", ", H",I703="Height SLI", ", H SLI", I703="Height FIX", ", H FIX",I703="Width", ", W", I703="", "")</f>
        <v/>
      </c>
      <c r="F703" s="33" t="str" cm="1">
        <f t="array" ref="F703">_xlfn.XLOOKUP(1,((SKUs!$A$2:$A$10001=cl_unmerged!B703) * (ISNUMBER(SEARCH("Inline",SKUs!$J$2:$J$10001)))* (ISNUMBER(SEARCH(A703,SKUs!$C$2:$C$10001)))), SKUs!$C$2:$C$10001,"")</f>
        <v/>
      </c>
      <c r="G703" s="16"/>
      <c r="H703" s="16"/>
      <c r="I703" s="16" t="str">
        <f t="shared" si="15"/>
        <v/>
      </c>
    </row>
    <row r="704" spans="1:9" ht="13.5" customHeight="1" x14ac:dyDescent="0.25">
      <c r="A704" s="41" t="str">
        <f>_xlfn.XLOOKUP(G704,dd_color!$A$2:$A$8,dd_color!$B$2:$B$8,"",0)</f>
        <v/>
      </c>
      <c r="B704" s="41">
        <f>_xlfn.XLOOKUP(_xlfn.XLOOKUP(C704,'Project Details'!$C$17:$C$10003,'Project Details'!$E$17:$E$10003, "",0),dd_design_raw!$A$2:$A$9997,dd_design_raw!$C$2:$C$9997,"",0)</f>
        <v>0</v>
      </c>
      <c r="C704" s="16"/>
      <c r="D704" s="16"/>
      <c r="E704" s="16" t="str" cm="1">
        <f t="array" ref="E704">IF(C704&lt;&gt;"", _xlfn.XLOOKUP(1,((SKUs!$A$2:$A$10001=cl_unmerged!B704) * (ISNUMBER(SEARCH("Inline",SKUs!$J$2:$J$10001)))), SKUs!$J$2:$J$10001,""),"") &amp; _xlfn.IFS(I704="Height", ", H",I704="Height SLI", ", H SLI", I704="Height FIX", ", H FIX",I704="Width", ", W", I704="", "")</f>
        <v/>
      </c>
      <c r="F704" s="33" t="str" cm="1">
        <f t="array" ref="F704">_xlfn.XLOOKUP(1,((SKUs!$A$2:$A$10001=cl_unmerged!B704) * (ISNUMBER(SEARCH("Inline",SKUs!$J$2:$J$10001)))* (ISNUMBER(SEARCH(A704,SKUs!$C$2:$C$10001)))), SKUs!$C$2:$C$10001,"")</f>
        <v/>
      </c>
      <c r="G704" s="16"/>
      <c r="H704" s="16"/>
      <c r="I704" s="16" t="str">
        <f t="shared" si="15"/>
        <v/>
      </c>
    </row>
    <row r="705" spans="1:9" ht="13.5" customHeight="1" x14ac:dyDescent="0.25">
      <c r="A705" s="41" t="str">
        <f>_xlfn.XLOOKUP(G705,dd_color!$A$2:$A$8,dd_color!$B$2:$B$8,"",0)</f>
        <v/>
      </c>
      <c r="B705" s="41">
        <f>_xlfn.XLOOKUP(_xlfn.XLOOKUP(C705,'Project Details'!$C$17:$C$10003,'Project Details'!$E$17:$E$10003, "",0),dd_design_raw!$A$2:$A$9997,dd_design_raw!$C$2:$C$9997,"",0)</f>
        <v>0</v>
      </c>
      <c r="C705" s="16"/>
      <c r="D705" s="16"/>
      <c r="E705" s="16" t="str" cm="1">
        <f t="array" ref="E705">IF(C705&lt;&gt;"", _xlfn.XLOOKUP(1,((SKUs!$A$2:$A$10001=cl_unmerged!B705) * (ISNUMBER(SEARCH("Inline",SKUs!$J$2:$J$10001)))), SKUs!$J$2:$J$10001,""),"") &amp; _xlfn.IFS(I705="Height", ", H",I705="Height SLI", ", H SLI", I705="Height FIX", ", H FIX",I705="Width", ", W", I705="", "")</f>
        <v/>
      </c>
      <c r="F705" s="33" t="str" cm="1">
        <f t="array" ref="F705">_xlfn.XLOOKUP(1,((SKUs!$A$2:$A$10001=cl_unmerged!B705) * (ISNUMBER(SEARCH("Inline",SKUs!$J$2:$J$10001)))* (ISNUMBER(SEARCH(A705,SKUs!$C$2:$C$10001)))), SKUs!$C$2:$C$10001,"")</f>
        <v/>
      </c>
      <c r="G705" s="16"/>
      <c r="H705" s="16"/>
      <c r="I705" s="16" t="str">
        <f t="shared" si="15"/>
        <v/>
      </c>
    </row>
    <row r="706" spans="1:9" ht="13.5" customHeight="1" x14ac:dyDescent="0.25">
      <c r="A706" s="41" t="str">
        <f>_xlfn.XLOOKUP(G706,dd_color!$A$2:$A$8,dd_color!$B$2:$B$8,"",0)</f>
        <v/>
      </c>
      <c r="B706" s="41" t="str">
        <f>_xlfn.XLOOKUP(_xlfn.XLOOKUP(C706,'Project Details'!$C$17:$C$10003,'Project Details'!$E$17:$E$10003, "",0),dd_design_raw!$A$2:$A$9997,dd_design_raw!$C$2:$C$9997,"",0)</f>
        <v/>
      </c>
      <c r="C706" s="16"/>
      <c r="D706" s="16"/>
      <c r="E706" s="16" t="str" cm="1">
        <f t="array" ref="E706">IF(C706&lt;&gt;"", _xlfn.XLOOKUP(1,((SKUs!$A$2:$A$10001=cl_unmerged!B706) * (ISNUMBER(SEARCH("Inline",SKUs!$J$2:$J$10001)))), SKUs!$J$2:$J$10001,""),"") &amp; _xlfn.IFS(I706="Height", ", H",I706="Height SLI", ", H SLI", I706="Height FIX", ", H FIX",I706="Width", ", W", I706="", "")</f>
        <v/>
      </c>
      <c r="F706" s="33" t="str" cm="1">
        <f t="array" ref="F706">_xlfn.XLOOKUP(1,((SKUs!$A$2:$A$10001=cl_unmerged!B706) * (ISNUMBER(SEARCH("Inline",SKUs!$J$2:$J$10001)))* (ISNUMBER(SEARCH(A706,SKUs!$C$2:$C$10001)))), SKUs!$C$2:$C$10001,"")</f>
        <v/>
      </c>
      <c r="G706" s="16"/>
      <c r="H706" s="16"/>
      <c r="I706" s="16" t="str">
        <f t="shared" si="15"/>
        <v/>
      </c>
    </row>
    <row r="707" spans="1:9" ht="13.5" customHeight="1" x14ac:dyDescent="0.25">
      <c r="A707" s="41" t="str">
        <f>_xlfn.XLOOKUP(G707,dd_color!$A$2:$A$8,dd_color!$B$2:$B$8,"",0)</f>
        <v/>
      </c>
      <c r="B707" s="41" t="str">
        <f>_xlfn.XLOOKUP(_xlfn.XLOOKUP(C707,'Project Details'!$C$17:$C$10003,'Project Details'!$E$17:$E$10003, "",0),dd_design_raw!$A$2:$A$9997,dd_design_raw!$C$2:$C$9997,"",0)</f>
        <v/>
      </c>
      <c r="C707" s="16"/>
      <c r="D707" s="16"/>
      <c r="E707" s="16" t="str" cm="1">
        <f t="array" ref="E707">IF(C707&lt;&gt;"", _xlfn.XLOOKUP(1,((SKUs!$A$2:$A$10001=cl_unmerged!B707) * (ISNUMBER(SEARCH("Inline",SKUs!$J$2:$J$10001)))), SKUs!$J$2:$J$10001,""),"") &amp; _xlfn.IFS(I707="Height", ", H",I707="Height SLI", ", H SLI", I707="Height FIX", ", H FIX",I707="Width", ", W", I707="", "")</f>
        <v/>
      </c>
      <c r="F707" s="33" t="str" cm="1">
        <f t="array" ref="F707">_xlfn.XLOOKUP(1,((SKUs!$A$2:$A$10001=cl_unmerged!B707) * (ISNUMBER(SEARCH("Inline",SKUs!$J$2:$J$10001)))* (ISNUMBER(SEARCH(A707,SKUs!$C$2:$C$10001)))), SKUs!$C$2:$C$10001,"")</f>
        <v/>
      </c>
      <c r="G707" s="16"/>
      <c r="H707" s="16"/>
      <c r="I707" s="16" t="str">
        <f t="shared" si="15"/>
        <v/>
      </c>
    </row>
    <row r="708" spans="1:9" ht="13.5" customHeight="1" x14ac:dyDescent="0.25">
      <c r="A708" s="41" t="str">
        <f>_xlfn.XLOOKUP(G708,dd_color!$A$2:$A$8,dd_color!$B$2:$B$8,"",0)</f>
        <v/>
      </c>
      <c r="B708" s="41">
        <f>_xlfn.XLOOKUP(_xlfn.XLOOKUP(C708,'Project Details'!$C$17:$C$10003,'Project Details'!$E$17:$E$10003, "",0),dd_design_raw!$A$2:$A$9997,dd_design_raw!$C$2:$C$9997,"",0)</f>
        <v>0</v>
      </c>
      <c r="C708" s="16"/>
      <c r="D708" s="16"/>
      <c r="E708" s="16" t="str" cm="1">
        <f t="array" ref="E708">IF(C708&lt;&gt;"", _xlfn.XLOOKUP(1,((SKUs!$A$2:$A$10001=cl_unmerged!B708) * (ISNUMBER(SEARCH("Inline",SKUs!$J$2:$J$10001)))), SKUs!$J$2:$J$10001,""),"") &amp; _xlfn.IFS(I708="Height", ", H",I708="Height SLI", ", H SLI", I708="Height FIX", ", H FIX",I708="Width", ", W", I708="", "")</f>
        <v/>
      </c>
      <c r="F708" s="33" t="str" cm="1">
        <f t="array" ref="F708">_xlfn.XLOOKUP(1,((SKUs!$A$2:$A$10001=cl_unmerged!B708) * (ISNUMBER(SEARCH("Inline",SKUs!$J$2:$J$10001)))* (ISNUMBER(SEARCH(A708,SKUs!$C$2:$C$10001)))), SKUs!$C$2:$C$10001,"")</f>
        <v/>
      </c>
      <c r="G708" s="16"/>
      <c r="H708" s="16"/>
      <c r="I708" s="16" t="str">
        <f t="shared" si="15"/>
        <v/>
      </c>
    </row>
    <row r="709" spans="1:9" ht="13.5" customHeight="1" x14ac:dyDescent="0.25">
      <c r="A709" s="41" t="str">
        <f>_xlfn.XLOOKUP(G709,dd_color!$A$2:$A$8,dd_color!$B$2:$B$8,"",0)</f>
        <v/>
      </c>
      <c r="B709" s="41">
        <f>_xlfn.XLOOKUP(_xlfn.XLOOKUP(C709,'Project Details'!$C$17:$C$10003,'Project Details'!$E$17:$E$10003, "",0),dd_design_raw!$A$2:$A$9997,dd_design_raw!$C$2:$C$9997,"",0)</f>
        <v>0</v>
      </c>
      <c r="C709" s="16"/>
      <c r="D709" s="16"/>
      <c r="E709" s="16" t="str" cm="1">
        <f t="array" ref="E709">IF(C709&lt;&gt;"", _xlfn.XLOOKUP(1,((SKUs!$A$2:$A$10001=cl_unmerged!B709) * (ISNUMBER(SEARCH("Inline",SKUs!$J$2:$J$10001)))), SKUs!$J$2:$J$10001,""),"") &amp; _xlfn.IFS(I709="Height", ", H",I709="Height SLI", ", H SLI", I709="Height FIX", ", H FIX",I709="Width", ", W", I709="", "")</f>
        <v/>
      </c>
      <c r="F709" s="33" t="str" cm="1">
        <f t="array" ref="F709">_xlfn.XLOOKUP(1,((SKUs!$A$2:$A$10001=cl_unmerged!B709) * (ISNUMBER(SEARCH("Inline",SKUs!$J$2:$J$10001)))* (ISNUMBER(SEARCH(A709,SKUs!$C$2:$C$10001)))), SKUs!$C$2:$C$10001,"")</f>
        <v/>
      </c>
      <c r="G709" s="16"/>
      <c r="H709" s="16"/>
      <c r="I709" s="16" t="str">
        <f t="shared" si="15"/>
        <v/>
      </c>
    </row>
    <row r="710" spans="1:9" ht="13.5" customHeight="1" x14ac:dyDescent="0.25">
      <c r="A710" s="41" t="str">
        <f>_xlfn.XLOOKUP(G710,dd_color!$A$2:$A$8,dd_color!$B$2:$B$8,"",0)</f>
        <v/>
      </c>
      <c r="B710" s="41" t="str">
        <f>_xlfn.XLOOKUP(_xlfn.XLOOKUP(C710,'Project Details'!$C$17:$C$10003,'Project Details'!$E$17:$E$10003, "",0),dd_design_raw!$A$2:$A$9997,dd_design_raw!$C$2:$C$9997,"",0)</f>
        <v/>
      </c>
      <c r="C710" s="16"/>
      <c r="D710" s="16"/>
      <c r="E710" s="16" t="str" cm="1">
        <f t="array" ref="E710">IF(C710&lt;&gt;"", _xlfn.XLOOKUP(1,((SKUs!$A$2:$A$10001=cl_unmerged!B710) * (ISNUMBER(SEARCH("Inline",SKUs!$J$2:$J$10001)))), SKUs!$J$2:$J$10001,""),"") &amp; _xlfn.IFS(I710="Height", ", H",I710="Height SLI", ", H SLI", I710="Height FIX", ", H FIX",I710="Width", ", W", I710="", "")</f>
        <v/>
      </c>
      <c r="F710" s="33" t="str" cm="1">
        <f t="array" ref="F710">_xlfn.XLOOKUP(1,((SKUs!$A$2:$A$10001=cl_unmerged!B710) * (ISNUMBER(SEARCH("Inline",SKUs!$J$2:$J$10001)))* (ISNUMBER(SEARCH(A710,SKUs!$C$2:$C$10001)))), SKUs!$C$2:$C$10001,"")</f>
        <v/>
      </c>
      <c r="G710" s="16"/>
      <c r="H710" s="16"/>
      <c r="I710" s="16" t="str">
        <f t="shared" si="15"/>
        <v/>
      </c>
    </row>
    <row r="711" spans="1:9" ht="13.5" customHeight="1" x14ac:dyDescent="0.25">
      <c r="A711" s="41" t="str">
        <f>_xlfn.XLOOKUP(G711,dd_color!$A$2:$A$8,dd_color!$B$2:$B$8,"",0)</f>
        <v/>
      </c>
      <c r="B711" s="41">
        <f>_xlfn.XLOOKUP(_xlfn.XLOOKUP(C711,'Project Details'!$C$17:$C$10003,'Project Details'!$E$17:$E$10003, "",0),dd_design_raw!$A$2:$A$9997,dd_design_raw!$C$2:$C$9997,"",0)</f>
        <v>0</v>
      </c>
      <c r="C711" s="16"/>
      <c r="D711" s="16"/>
      <c r="E711" s="16" t="str" cm="1">
        <f t="array" ref="E711">IF(C711&lt;&gt;"", _xlfn.XLOOKUP(1,((SKUs!$A$2:$A$10001=cl_unmerged!B711) * (ISNUMBER(SEARCH("Inline",SKUs!$J$2:$J$10001)))), SKUs!$J$2:$J$10001,""),"") &amp; _xlfn.IFS(I711="Height", ", H",I711="Height SLI", ", H SLI", I711="Height FIX", ", H FIX",I711="Width", ", W", I711="", "")</f>
        <v/>
      </c>
      <c r="F711" s="33" t="str" cm="1">
        <f t="array" ref="F711">_xlfn.XLOOKUP(1,((SKUs!$A$2:$A$10001=cl_unmerged!B711) * (ISNUMBER(SEARCH("Inline",SKUs!$J$2:$J$10001)))* (ISNUMBER(SEARCH(A711,SKUs!$C$2:$C$10001)))), SKUs!$C$2:$C$10001,"")</f>
        <v/>
      </c>
      <c r="G711" s="16"/>
      <c r="H711" s="16"/>
      <c r="I711" s="16" t="str">
        <f t="shared" si="15"/>
        <v/>
      </c>
    </row>
    <row r="712" spans="1:9" ht="13.5" customHeight="1" x14ac:dyDescent="0.25">
      <c r="A712" s="41" t="str">
        <f>_xlfn.XLOOKUP(G712,dd_color!$A$2:$A$8,dd_color!$B$2:$B$8,"",0)</f>
        <v/>
      </c>
      <c r="B712" s="41">
        <f>_xlfn.XLOOKUP(_xlfn.XLOOKUP(C712,'Project Details'!$C$17:$C$10003,'Project Details'!$E$17:$E$10003, "",0),dd_design_raw!$A$2:$A$9997,dd_design_raw!$C$2:$C$9997,"",0)</f>
        <v>0</v>
      </c>
      <c r="C712" s="16"/>
      <c r="D712" s="16"/>
      <c r="E712" s="16" t="str" cm="1">
        <f t="array" ref="E712">IF(C712&lt;&gt;"", _xlfn.XLOOKUP(1,((SKUs!$A$2:$A$10001=cl_unmerged!B712) * (ISNUMBER(SEARCH("Inline",SKUs!$J$2:$J$10001)))), SKUs!$J$2:$J$10001,""),"") &amp; _xlfn.IFS(I712="Height", ", H",I712="Height SLI", ", H SLI", I712="Height FIX", ", H FIX",I712="Width", ", W", I712="", "")</f>
        <v/>
      </c>
      <c r="F712" s="33" t="str" cm="1">
        <f t="array" ref="F712">_xlfn.XLOOKUP(1,((SKUs!$A$2:$A$10001=cl_unmerged!B712) * (ISNUMBER(SEARCH("Inline",SKUs!$J$2:$J$10001)))* (ISNUMBER(SEARCH(A712,SKUs!$C$2:$C$10001)))), SKUs!$C$2:$C$10001,"")</f>
        <v/>
      </c>
      <c r="G712" s="16"/>
      <c r="H712" s="16"/>
      <c r="I712" s="16" t="str">
        <f t="shared" si="15"/>
        <v/>
      </c>
    </row>
    <row r="713" spans="1:9" ht="13.5" customHeight="1" x14ac:dyDescent="0.25">
      <c r="A713" s="41" t="str">
        <f>_xlfn.XLOOKUP(G713,dd_color!$A$2:$A$8,dd_color!$B$2:$B$8,"",0)</f>
        <v/>
      </c>
      <c r="B713" s="41">
        <f>_xlfn.XLOOKUP(_xlfn.XLOOKUP(C713,'Project Details'!$C$17:$C$10003,'Project Details'!$E$17:$E$10003, "",0),dd_design_raw!$A$2:$A$9997,dd_design_raw!$C$2:$C$9997,"",0)</f>
        <v>0</v>
      </c>
      <c r="C713" s="16"/>
      <c r="D713" s="16"/>
      <c r="E713" s="16" t="str" cm="1">
        <f t="array" ref="E713">IF(C713&lt;&gt;"", _xlfn.XLOOKUP(1,((SKUs!$A$2:$A$10001=cl_unmerged!B713) * (ISNUMBER(SEARCH("Inline",SKUs!$J$2:$J$10001)))), SKUs!$J$2:$J$10001,""),"") &amp; _xlfn.IFS(I713="Height", ", H",I713="Height SLI", ", H SLI", I713="Height FIX", ", H FIX",I713="Width", ", W", I713="", "")</f>
        <v/>
      </c>
      <c r="F713" s="33" t="str" cm="1">
        <f t="array" ref="F713">_xlfn.XLOOKUP(1,((SKUs!$A$2:$A$10001=cl_unmerged!B713) * (ISNUMBER(SEARCH("Inline",SKUs!$J$2:$J$10001)))* (ISNUMBER(SEARCH(A713,SKUs!$C$2:$C$10001)))), SKUs!$C$2:$C$10001,"")</f>
        <v/>
      </c>
      <c r="G713" s="16"/>
      <c r="H713" s="16"/>
      <c r="I713" s="16" t="str">
        <f t="shared" si="15"/>
        <v/>
      </c>
    </row>
    <row r="714" spans="1:9" ht="13.5" customHeight="1" x14ac:dyDescent="0.25">
      <c r="A714" s="41" t="str">
        <f>_xlfn.XLOOKUP(G714,dd_color!$A$2:$A$8,dd_color!$B$2:$B$8,"",0)</f>
        <v/>
      </c>
      <c r="B714" s="41">
        <f>_xlfn.XLOOKUP(_xlfn.XLOOKUP(C714,'Project Details'!$C$17:$C$10003,'Project Details'!$E$17:$E$10003, "",0),dd_design_raw!$A$2:$A$9997,dd_design_raw!$C$2:$C$9997,"",0)</f>
        <v>0</v>
      </c>
      <c r="C714" s="16"/>
      <c r="D714" s="16"/>
      <c r="E714" s="16" t="str" cm="1">
        <f t="array" ref="E714">IF(C714&lt;&gt;"", _xlfn.XLOOKUP(1,((SKUs!$A$2:$A$10001=cl_unmerged!B714) * (ISNUMBER(SEARCH("Inline",SKUs!$J$2:$J$10001)))), SKUs!$J$2:$J$10001,""),"") &amp; _xlfn.IFS(I714="Height", ", H",I714="Height SLI", ", H SLI", I714="Height FIX", ", H FIX",I714="Width", ", W", I714="", "")</f>
        <v/>
      </c>
      <c r="F714" s="33" t="str" cm="1">
        <f t="array" ref="F714">_xlfn.XLOOKUP(1,((SKUs!$A$2:$A$10001=cl_unmerged!B714) * (ISNUMBER(SEARCH("Inline",SKUs!$J$2:$J$10001)))* (ISNUMBER(SEARCH(A714,SKUs!$C$2:$C$10001)))), SKUs!$C$2:$C$10001,"")</f>
        <v/>
      </c>
      <c r="G714" s="16"/>
      <c r="H714" s="16"/>
      <c r="I714" s="16" t="str">
        <f t="shared" ref="I714:I744" si="16">IF(H714&lt;&gt;"", "Height SLI","")</f>
        <v/>
      </c>
    </row>
    <row r="715" spans="1:9" ht="13.5" customHeight="1" x14ac:dyDescent="0.25">
      <c r="A715" s="41" t="str">
        <f>_xlfn.XLOOKUP(G715,dd_color!$A$2:$A$8,dd_color!$B$2:$B$8,"",0)</f>
        <v/>
      </c>
      <c r="B715" s="41">
        <f>_xlfn.XLOOKUP(_xlfn.XLOOKUP(C715,'Project Details'!$C$17:$C$10003,'Project Details'!$E$17:$E$10003, "",0),dd_design_raw!$A$2:$A$9997,dd_design_raw!$C$2:$C$9997,"",0)</f>
        <v>0</v>
      </c>
      <c r="C715" s="16"/>
      <c r="D715" s="16"/>
      <c r="E715" s="16" t="str" cm="1">
        <f t="array" ref="E715">IF(C715&lt;&gt;"", _xlfn.XLOOKUP(1,((SKUs!$A$2:$A$10001=cl_unmerged!B715) * (ISNUMBER(SEARCH("Inline",SKUs!$J$2:$J$10001)))), SKUs!$J$2:$J$10001,""),"") &amp; _xlfn.IFS(I715="Height", ", H",I715="Height SLI", ", H SLI", I715="Height FIX", ", H FIX",I715="Width", ", W", I715="", "")</f>
        <v/>
      </c>
      <c r="F715" s="33" t="str" cm="1">
        <f t="array" ref="F715">_xlfn.XLOOKUP(1,((SKUs!$A$2:$A$10001=cl_unmerged!B715) * (ISNUMBER(SEARCH("Inline",SKUs!$J$2:$J$10001)))* (ISNUMBER(SEARCH(A715,SKUs!$C$2:$C$10001)))), SKUs!$C$2:$C$10001,"")</f>
        <v/>
      </c>
      <c r="G715" s="16"/>
      <c r="H715" s="16"/>
      <c r="I715" s="16" t="str">
        <f t="shared" si="16"/>
        <v/>
      </c>
    </row>
    <row r="716" spans="1:9" ht="13.5" customHeight="1" x14ac:dyDescent="0.25">
      <c r="A716" s="41" t="str">
        <f>_xlfn.XLOOKUP(G716,dd_color!$A$2:$A$8,dd_color!$B$2:$B$8,"",0)</f>
        <v/>
      </c>
      <c r="B716" s="41">
        <f>_xlfn.XLOOKUP(_xlfn.XLOOKUP(C716,'Project Details'!$C$17:$C$10003,'Project Details'!$E$17:$E$10003, "",0),dd_design_raw!$A$2:$A$9997,dd_design_raw!$C$2:$C$9997,"",0)</f>
        <v>0</v>
      </c>
      <c r="C716" s="16"/>
      <c r="D716" s="16"/>
      <c r="E716" s="16" t="str" cm="1">
        <f t="array" ref="E716">IF(C716&lt;&gt;"", _xlfn.XLOOKUP(1,((SKUs!$A$2:$A$10001=cl_unmerged!B716) * (ISNUMBER(SEARCH("Inline",SKUs!$J$2:$J$10001)))), SKUs!$J$2:$J$10001,""),"") &amp; _xlfn.IFS(I716="Height", ", H",I716="Height SLI", ", H SLI", I716="Height FIX", ", H FIX",I716="Width", ", W", I716="", "")</f>
        <v/>
      </c>
      <c r="F716" s="33" t="str" cm="1">
        <f t="array" ref="F716">_xlfn.XLOOKUP(1,((SKUs!$A$2:$A$10001=cl_unmerged!B716) * (ISNUMBER(SEARCH("Inline",SKUs!$J$2:$J$10001)))* (ISNUMBER(SEARCH(A716,SKUs!$C$2:$C$10001)))), SKUs!$C$2:$C$10001,"")</f>
        <v/>
      </c>
      <c r="G716" s="16"/>
      <c r="H716" s="16"/>
      <c r="I716" s="16" t="str">
        <f t="shared" si="16"/>
        <v/>
      </c>
    </row>
    <row r="717" spans="1:9" ht="13.5" customHeight="1" x14ac:dyDescent="0.25">
      <c r="A717" s="41" t="str">
        <f>_xlfn.XLOOKUP(G717,dd_color!$A$2:$A$8,dd_color!$B$2:$B$8,"",0)</f>
        <v/>
      </c>
      <c r="B717" s="41">
        <f>_xlfn.XLOOKUP(_xlfn.XLOOKUP(C717,'Project Details'!$C$17:$C$10003,'Project Details'!$E$17:$E$10003, "",0),dd_design_raw!$A$2:$A$9997,dd_design_raw!$C$2:$C$9997,"",0)</f>
        <v>0</v>
      </c>
      <c r="C717" s="16"/>
      <c r="D717" s="16"/>
      <c r="E717" s="16" t="str" cm="1">
        <f t="array" ref="E717">IF(C717&lt;&gt;"", _xlfn.XLOOKUP(1,((SKUs!$A$2:$A$10001=cl_unmerged!B717) * (ISNUMBER(SEARCH("Inline",SKUs!$J$2:$J$10001)))), SKUs!$J$2:$J$10001,""),"") &amp; _xlfn.IFS(I717="Height", ", H",I717="Height SLI", ", H SLI", I717="Height FIX", ", H FIX",I717="Width", ", W", I717="", "")</f>
        <v/>
      </c>
      <c r="F717" s="33" t="str" cm="1">
        <f t="array" ref="F717">_xlfn.XLOOKUP(1,((SKUs!$A$2:$A$10001=cl_unmerged!B717) * (ISNUMBER(SEARCH("Inline",SKUs!$J$2:$J$10001)))* (ISNUMBER(SEARCH(A717,SKUs!$C$2:$C$10001)))), SKUs!$C$2:$C$10001,"")</f>
        <v/>
      </c>
      <c r="G717" s="16"/>
      <c r="H717" s="16"/>
      <c r="I717" s="16" t="str">
        <f t="shared" si="16"/>
        <v/>
      </c>
    </row>
    <row r="718" spans="1:9" ht="13.5" customHeight="1" x14ac:dyDescent="0.25">
      <c r="A718" s="41" t="str">
        <f>_xlfn.XLOOKUP(G718,dd_color!$A$2:$A$8,dd_color!$B$2:$B$8,"",0)</f>
        <v/>
      </c>
      <c r="B718" s="41">
        <f>_xlfn.XLOOKUP(_xlfn.XLOOKUP(C718,'Project Details'!$C$17:$C$10003,'Project Details'!$E$17:$E$10003, "",0),dd_design_raw!$A$2:$A$9997,dd_design_raw!$C$2:$C$9997,"",0)</f>
        <v>0</v>
      </c>
      <c r="C718" s="16"/>
      <c r="D718" s="16"/>
      <c r="E718" s="16" t="str" cm="1">
        <f t="array" ref="E718">IF(C718&lt;&gt;"", _xlfn.XLOOKUP(1,((SKUs!$A$2:$A$10001=cl_unmerged!B718) * (ISNUMBER(SEARCH("Inline",SKUs!$J$2:$J$10001)))), SKUs!$J$2:$J$10001,""),"") &amp; _xlfn.IFS(I718="Height", ", H",I718="Height SLI", ", H SLI", I718="Height FIX", ", H FIX",I718="Width", ", W", I718="", "")</f>
        <v/>
      </c>
      <c r="F718" s="33" t="str" cm="1">
        <f t="array" ref="F718">_xlfn.XLOOKUP(1,((SKUs!$A$2:$A$10001=cl_unmerged!B718) * (ISNUMBER(SEARCH("Inline",SKUs!$J$2:$J$10001)))* (ISNUMBER(SEARCH(A718,SKUs!$C$2:$C$10001)))), SKUs!$C$2:$C$10001,"")</f>
        <v/>
      </c>
      <c r="G718" s="16"/>
      <c r="H718" s="16"/>
      <c r="I718" s="16" t="str">
        <f t="shared" si="16"/>
        <v/>
      </c>
    </row>
    <row r="719" spans="1:9" ht="13.5" customHeight="1" x14ac:dyDescent="0.25">
      <c r="A719" s="41" t="str">
        <f>_xlfn.XLOOKUP(G719,dd_color!$A$2:$A$8,dd_color!$B$2:$B$8,"",0)</f>
        <v/>
      </c>
      <c r="B719" s="41">
        <f>_xlfn.XLOOKUP(_xlfn.XLOOKUP(C719,'Project Details'!$C$17:$C$10003,'Project Details'!$E$17:$E$10003, "",0),dd_design_raw!$A$2:$A$9997,dd_design_raw!$C$2:$C$9997,"",0)</f>
        <v>0</v>
      </c>
      <c r="C719" s="16"/>
      <c r="D719" s="16"/>
      <c r="E719" s="16" t="str" cm="1">
        <f t="array" ref="E719">IF(C719&lt;&gt;"", _xlfn.XLOOKUP(1,((SKUs!$A$2:$A$10001=cl_unmerged!B719) * (ISNUMBER(SEARCH("Inline",SKUs!$J$2:$J$10001)))), SKUs!$J$2:$J$10001,""),"") &amp; _xlfn.IFS(I719="Height", ", H",I719="Height SLI", ", H SLI", I719="Height FIX", ", H FIX",I719="Width", ", W", I719="", "")</f>
        <v/>
      </c>
      <c r="F719" s="33" t="str" cm="1">
        <f t="array" ref="F719">_xlfn.XLOOKUP(1,((SKUs!$A$2:$A$10001=cl_unmerged!B719) * (ISNUMBER(SEARCH("Inline",SKUs!$J$2:$J$10001)))* (ISNUMBER(SEARCH(A719,SKUs!$C$2:$C$10001)))), SKUs!$C$2:$C$10001,"")</f>
        <v/>
      </c>
      <c r="G719" s="16"/>
      <c r="H719" s="16"/>
      <c r="I719" s="16" t="str">
        <f t="shared" si="16"/>
        <v/>
      </c>
    </row>
    <row r="720" spans="1:9" ht="13.5" customHeight="1" x14ac:dyDescent="0.25">
      <c r="A720" s="41" t="str">
        <f>_xlfn.XLOOKUP(G720,dd_color!$A$2:$A$8,dd_color!$B$2:$B$8,"",0)</f>
        <v/>
      </c>
      <c r="B720" s="41">
        <f>_xlfn.XLOOKUP(_xlfn.XLOOKUP(C720,'Project Details'!$C$17:$C$10003,'Project Details'!$E$17:$E$10003, "",0),dd_design_raw!$A$2:$A$9997,dd_design_raw!$C$2:$C$9997,"",0)</f>
        <v>0</v>
      </c>
      <c r="C720" s="16"/>
      <c r="D720" s="16"/>
      <c r="E720" s="16" t="str" cm="1">
        <f t="array" ref="E720">IF(C720&lt;&gt;"", _xlfn.XLOOKUP(1,((SKUs!$A$2:$A$10001=cl_unmerged!B720) * (ISNUMBER(SEARCH("Inline",SKUs!$J$2:$J$10001)))), SKUs!$J$2:$J$10001,""),"") &amp; _xlfn.IFS(I720="Height", ", H",I720="Height SLI", ", H SLI", I720="Height FIX", ", H FIX",I720="Width", ", W", I720="", "")</f>
        <v/>
      </c>
      <c r="F720" s="33" t="str" cm="1">
        <f t="array" ref="F720">_xlfn.XLOOKUP(1,((SKUs!$A$2:$A$10001=cl_unmerged!B720) * (ISNUMBER(SEARCH("Inline",SKUs!$J$2:$J$10001)))* (ISNUMBER(SEARCH(A720,SKUs!$C$2:$C$10001)))), SKUs!$C$2:$C$10001,"")</f>
        <v/>
      </c>
      <c r="G720" s="16"/>
      <c r="H720" s="16"/>
      <c r="I720" s="16" t="str">
        <f t="shared" si="16"/>
        <v/>
      </c>
    </row>
    <row r="721" spans="1:9" ht="13.5" customHeight="1" x14ac:dyDescent="0.25">
      <c r="A721" s="41" t="str">
        <f>_xlfn.XLOOKUP(G721,dd_color!$A$2:$A$8,dd_color!$B$2:$B$8,"",0)</f>
        <v/>
      </c>
      <c r="B721" s="41">
        <f>_xlfn.XLOOKUP(_xlfn.XLOOKUP(C721,'Project Details'!$C$17:$C$10003,'Project Details'!$E$17:$E$10003, "",0),dd_design_raw!$A$2:$A$9997,dd_design_raw!$C$2:$C$9997,"",0)</f>
        <v>0</v>
      </c>
      <c r="C721" s="16"/>
      <c r="D721" s="16"/>
      <c r="E721" s="16" t="str" cm="1">
        <f t="array" ref="E721">IF(C721&lt;&gt;"", _xlfn.XLOOKUP(1,((SKUs!$A$2:$A$10001=cl_unmerged!B721) * (ISNUMBER(SEARCH("Inline",SKUs!$J$2:$J$10001)))), SKUs!$J$2:$J$10001,""),"") &amp; _xlfn.IFS(I721="Height", ", H",I721="Height SLI", ", H SLI", I721="Height FIX", ", H FIX",I721="Width", ", W", I721="", "")</f>
        <v/>
      </c>
      <c r="F721" s="33" t="str" cm="1">
        <f t="array" ref="F721">_xlfn.XLOOKUP(1,((SKUs!$A$2:$A$10001=cl_unmerged!B721) * (ISNUMBER(SEARCH("Inline",SKUs!$J$2:$J$10001)))* (ISNUMBER(SEARCH(A721,SKUs!$C$2:$C$10001)))), SKUs!$C$2:$C$10001,"")</f>
        <v/>
      </c>
      <c r="G721" s="16"/>
      <c r="H721" s="16"/>
      <c r="I721" s="16" t="str">
        <f t="shared" si="16"/>
        <v/>
      </c>
    </row>
    <row r="722" spans="1:9" ht="13.5" customHeight="1" x14ac:dyDescent="0.25">
      <c r="A722" s="41" t="str">
        <f>_xlfn.XLOOKUP(G722,dd_color!$A$2:$A$8,dd_color!$B$2:$B$8,"",0)</f>
        <v/>
      </c>
      <c r="B722" s="41">
        <f>_xlfn.XLOOKUP(_xlfn.XLOOKUP(C722,'Project Details'!$C$17:$C$10003,'Project Details'!$E$17:$E$10003, "",0),dd_design_raw!$A$2:$A$9997,dd_design_raw!$C$2:$C$9997,"",0)</f>
        <v>0</v>
      </c>
      <c r="C722" s="16"/>
      <c r="D722" s="16"/>
      <c r="E722" s="16" t="str" cm="1">
        <f t="array" ref="E722">IF(C722&lt;&gt;"", _xlfn.XLOOKUP(1,((SKUs!$A$2:$A$10001=cl_unmerged!B722) * (ISNUMBER(SEARCH("Inline",SKUs!$J$2:$J$10001)))), SKUs!$J$2:$J$10001,""),"") &amp; _xlfn.IFS(I722="Height", ", H",I722="Height SLI", ", H SLI", I722="Height FIX", ", H FIX",I722="Width", ", W", I722="", "")</f>
        <v/>
      </c>
      <c r="F722" s="33" t="str" cm="1">
        <f t="array" ref="F722">_xlfn.XLOOKUP(1,((SKUs!$A$2:$A$10001=cl_unmerged!B722) * (ISNUMBER(SEARCH("Inline",SKUs!$J$2:$J$10001)))* (ISNUMBER(SEARCH(A722,SKUs!$C$2:$C$10001)))), SKUs!$C$2:$C$10001,"")</f>
        <v/>
      </c>
      <c r="G722" s="16"/>
      <c r="H722" s="16"/>
      <c r="I722" s="16" t="str">
        <f t="shared" si="16"/>
        <v/>
      </c>
    </row>
    <row r="723" spans="1:9" ht="13.5" customHeight="1" x14ac:dyDescent="0.25">
      <c r="A723" s="41" t="str">
        <f>_xlfn.XLOOKUP(G723,dd_color!$A$2:$A$8,dd_color!$B$2:$B$8,"",0)</f>
        <v/>
      </c>
      <c r="B723" s="41">
        <f>_xlfn.XLOOKUP(_xlfn.XLOOKUP(C723,'Project Details'!$C$17:$C$10003,'Project Details'!$E$17:$E$10003, "",0),dd_design_raw!$A$2:$A$9997,dd_design_raw!$C$2:$C$9997,"",0)</f>
        <v>0</v>
      </c>
      <c r="C723" s="16"/>
      <c r="D723" s="16"/>
      <c r="E723" s="16" t="str" cm="1">
        <f t="array" ref="E723">IF(C723&lt;&gt;"", _xlfn.XLOOKUP(1,((SKUs!$A$2:$A$10001=cl_unmerged!B723) * (ISNUMBER(SEARCH("Inline",SKUs!$J$2:$J$10001)))), SKUs!$J$2:$J$10001,""),"") &amp; _xlfn.IFS(I723="Height", ", H",I723="Height SLI", ", H SLI", I723="Height FIX", ", H FIX",I723="Width", ", W", I723="", "")</f>
        <v/>
      </c>
      <c r="F723" s="33" t="str" cm="1">
        <f t="array" ref="F723">_xlfn.XLOOKUP(1,((SKUs!$A$2:$A$10001=cl_unmerged!B723) * (ISNUMBER(SEARCH("Inline",SKUs!$J$2:$J$10001)))* (ISNUMBER(SEARCH(A723,SKUs!$C$2:$C$10001)))), SKUs!$C$2:$C$10001,"")</f>
        <v/>
      </c>
      <c r="G723" s="16"/>
      <c r="H723" s="16"/>
      <c r="I723" s="16" t="str">
        <f t="shared" si="16"/>
        <v/>
      </c>
    </row>
    <row r="724" spans="1:9" ht="13.5" customHeight="1" x14ac:dyDescent="0.25">
      <c r="A724" s="41" t="str">
        <f>_xlfn.XLOOKUP(G724,dd_color!$A$2:$A$8,dd_color!$B$2:$B$8,"",0)</f>
        <v/>
      </c>
      <c r="B724" s="41">
        <f>_xlfn.XLOOKUP(_xlfn.XLOOKUP(C724,'Project Details'!$C$17:$C$10003,'Project Details'!$E$17:$E$10003, "",0),dd_design_raw!$A$2:$A$9997,dd_design_raw!$C$2:$C$9997,"",0)</f>
        <v>0</v>
      </c>
      <c r="C724" s="16"/>
      <c r="D724" s="16"/>
      <c r="E724" s="16" t="str" cm="1">
        <f t="array" ref="E724">IF(C724&lt;&gt;"", _xlfn.XLOOKUP(1,((SKUs!$A$2:$A$10001=cl_unmerged!B724) * (ISNUMBER(SEARCH("Inline",SKUs!$J$2:$J$10001)))), SKUs!$J$2:$J$10001,""),"") &amp; _xlfn.IFS(I724="Height", ", H",I724="Height SLI", ", H SLI", I724="Height FIX", ", H FIX",I724="Width", ", W", I724="", "")</f>
        <v/>
      </c>
      <c r="F724" s="33" t="str" cm="1">
        <f t="array" ref="F724">_xlfn.XLOOKUP(1,((SKUs!$A$2:$A$10001=cl_unmerged!B724) * (ISNUMBER(SEARCH("Inline",SKUs!$J$2:$J$10001)))* (ISNUMBER(SEARCH(A724,SKUs!$C$2:$C$10001)))), SKUs!$C$2:$C$10001,"")</f>
        <v/>
      </c>
      <c r="G724" s="16"/>
      <c r="H724" s="16"/>
      <c r="I724" s="16" t="str">
        <f t="shared" si="16"/>
        <v/>
      </c>
    </row>
    <row r="725" spans="1:9" ht="13.5" customHeight="1" x14ac:dyDescent="0.25">
      <c r="A725" s="41" t="str">
        <f>_xlfn.XLOOKUP(G725,dd_color!$A$2:$A$8,dd_color!$B$2:$B$8,"",0)</f>
        <v/>
      </c>
      <c r="B725" s="41">
        <f>_xlfn.XLOOKUP(_xlfn.XLOOKUP(C725,'Project Details'!$C$17:$C$10003,'Project Details'!$E$17:$E$10003, "",0),dd_design_raw!$A$2:$A$9997,dd_design_raw!$C$2:$C$9997,"",0)</f>
        <v>0</v>
      </c>
      <c r="C725" s="16"/>
      <c r="D725" s="16"/>
      <c r="E725" s="16" t="str" cm="1">
        <f t="array" ref="E725">IF(C725&lt;&gt;"", _xlfn.XLOOKUP(1,((SKUs!$A$2:$A$10001=cl_unmerged!B725) * (ISNUMBER(SEARCH("Inline",SKUs!$J$2:$J$10001)))), SKUs!$J$2:$J$10001,""),"") &amp; _xlfn.IFS(I725="Height", ", H",I725="Height SLI", ", H SLI", I725="Height FIX", ", H FIX",I725="Width", ", W", I725="", "")</f>
        <v/>
      </c>
      <c r="F725" s="33" t="str" cm="1">
        <f t="array" ref="F725">_xlfn.XLOOKUP(1,((SKUs!$A$2:$A$10001=cl_unmerged!B725) * (ISNUMBER(SEARCH("Inline",SKUs!$J$2:$J$10001)))* (ISNUMBER(SEARCH(A725,SKUs!$C$2:$C$10001)))), SKUs!$C$2:$C$10001,"")</f>
        <v/>
      </c>
      <c r="G725" s="16"/>
      <c r="H725" s="16"/>
      <c r="I725" s="16" t="str">
        <f t="shared" si="16"/>
        <v/>
      </c>
    </row>
    <row r="726" spans="1:9" ht="13.5" customHeight="1" x14ac:dyDescent="0.25">
      <c r="A726" s="41" t="str">
        <f>_xlfn.XLOOKUP(G726,dd_color!$A$2:$A$8,dd_color!$B$2:$B$8,"",0)</f>
        <v/>
      </c>
      <c r="B726" s="41">
        <f>_xlfn.XLOOKUP(_xlfn.XLOOKUP(C726,'Project Details'!$C$17:$C$10003,'Project Details'!$E$17:$E$10003, "",0),dd_design_raw!$A$2:$A$9997,dd_design_raw!$C$2:$C$9997,"",0)</f>
        <v>0</v>
      </c>
      <c r="C726" s="16"/>
      <c r="D726" s="16"/>
      <c r="E726" s="16" t="str" cm="1">
        <f t="array" ref="E726">IF(C726&lt;&gt;"", _xlfn.XLOOKUP(1,((SKUs!$A$2:$A$10001=cl_unmerged!B726) * (ISNUMBER(SEARCH("Inline",SKUs!$J$2:$J$10001)))), SKUs!$J$2:$J$10001,""),"") &amp; _xlfn.IFS(I726="Height", ", H",I726="Height SLI", ", H SLI", I726="Height FIX", ", H FIX",I726="Width", ", W", I726="", "")</f>
        <v/>
      </c>
      <c r="F726" s="33" t="str" cm="1">
        <f t="array" ref="F726">_xlfn.XLOOKUP(1,((SKUs!$A$2:$A$10001=cl_unmerged!B726) * (ISNUMBER(SEARCH("Inline",SKUs!$J$2:$J$10001)))* (ISNUMBER(SEARCH(A726,SKUs!$C$2:$C$10001)))), SKUs!$C$2:$C$10001,"")</f>
        <v/>
      </c>
      <c r="G726" s="16"/>
      <c r="H726" s="16"/>
      <c r="I726" s="16" t="str">
        <f t="shared" si="16"/>
        <v/>
      </c>
    </row>
    <row r="727" spans="1:9" ht="13.5" customHeight="1" x14ac:dyDescent="0.25">
      <c r="A727" s="41" t="str">
        <f>_xlfn.XLOOKUP(G727,dd_color!$A$2:$A$8,dd_color!$B$2:$B$8,"",0)</f>
        <v/>
      </c>
      <c r="B727" s="41">
        <f>_xlfn.XLOOKUP(_xlfn.XLOOKUP(C727,'Project Details'!$C$17:$C$10003,'Project Details'!$E$17:$E$10003, "",0),dd_design_raw!$A$2:$A$9997,dd_design_raw!$C$2:$C$9997,"",0)</f>
        <v>0</v>
      </c>
      <c r="C727" s="16"/>
      <c r="D727" s="16"/>
      <c r="E727" s="16" t="str" cm="1">
        <f t="array" ref="E727">IF(C727&lt;&gt;"", _xlfn.XLOOKUP(1,((SKUs!$A$2:$A$10001=cl_unmerged!B727) * (ISNUMBER(SEARCH("Inline",SKUs!$J$2:$J$10001)))), SKUs!$J$2:$J$10001,""),"") &amp; _xlfn.IFS(I727="Height", ", H",I727="Height SLI", ", H SLI", I727="Height FIX", ", H FIX",I727="Width", ", W", I727="", "")</f>
        <v/>
      </c>
      <c r="F727" s="33" t="str" cm="1">
        <f t="array" ref="F727">_xlfn.XLOOKUP(1,((SKUs!$A$2:$A$10001=cl_unmerged!B727) * (ISNUMBER(SEARCH("Inline",SKUs!$J$2:$J$10001)))* (ISNUMBER(SEARCH(A727,SKUs!$C$2:$C$10001)))), SKUs!$C$2:$C$10001,"")</f>
        <v/>
      </c>
      <c r="G727" s="16"/>
      <c r="H727" s="16"/>
      <c r="I727" s="16" t="str">
        <f t="shared" si="16"/>
        <v/>
      </c>
    </row>
    <row r="728" spans="1:9" ht="13.5" customHeight="1" x14ac:dyDescent="0.25">
      <c r="A728" s="41" t="str">
        <f>_xlfn.XLOOKUP(G728,dd_color!$A$2:$A$8,dd_color!$B$2:$B$8,"",0)</f>
        <v/>
      </c>
      <c r="B728" s="41">
        <f>_xlfn.XLOOKUP(_xlfn.XLOOKUP(C728,'Project Details'!$C$17:$C$10003,'Project Details'!$E$17:$E$10003, "",0),dd_design_raw!$A$2:$A$9997,dd_design_raw!$C$2:$C$9997,"",0)</f>
        <v>0</v>
      </c>
      <c r="C728" s="16"/>
      <c r="D728" s="16"/>
      <c r="E728" s="16" t="str" cm="1">
        <f t="array" ref="E728">IF(C728&lt;&gt;"", _xlfn.XLOOKUP(1,((SKUs!$A$2:$A$10001=cl_unmerged!B728) * (ISNUMBER(SEARCH("Inline",SKUs!$J$2:$J$10001)))), SKUs!$J$2:$J$10001,""),"") &amp; _xlfn.IFS(I728="Height", ", H",I728="Height SLI", ", H SLI", I728="Height FIX", ", H FIX",I728="Width", ", W", I728="", "")</f>
        <v/>
      </c>
      <c r="F728" s="33" t="str" cm="1">
        <f t="array" ref="F728">_xlfn.XLOOKUP(1,((SKUs!$A$2:$A$10001=cl_unmerged!B728) * (ISNUMBER(SEARCH("Inline",SKUs!$J$2:$J$10001)))* (ISNUMBER(SEARCH(A728,SKUs!$C$2:$C$10001)))), SKUs!$C$2:$C$10001,"")</f>
        <v/>
      </c>
      <c r="G728" s="16"/>
      <c r="H728" s="16"/>
      <c r="I728" s="16" t="str">
        <f t="shared" si="16"/>
        <v/>
      </c>
    </row>
    <row r="729" spans="1:9" ht="13.5" customHeight="1" x14ac:dyDescent="0.25">
      <c r="A729" s="41" t="str">
        <f>_xlfn.XLOOKUP(G729,dd_color!$A$2:$A$8,dd_color!$B$2:$B$8,"",0)</f>
        <v/>
      </c>
      <c r="B729" s="41">
        <f>_xlfn.XLOOKUP(_xlfn.XLOOKUP(C729,'Project Details'!$C$17:$C$10003,'Project Details'!$E$17:$E$10003, "",0),dd_design_raw!$A$2:$A$9997,dd_design_raw!$C$2:$C$9997,"",0)</f>
        <v>0</v>
      </c>
      <c r="C729" s="16"/>
      <c r="D729" s="16"/>
      <c r="E729" s="16" t="str" cm="1">
        <f t="array" ref="E729">IF(C729&lt;&gt;"", _xlfn.XLOOKUP(1,((SKUs!$A$2:$A$10001=cl_unmerged!B729) * (ISNUMBER(SEARCH("Inline",SKUs!$J$2:$J$10001)))), SKUs!$J$2:$J$10001,""),"") &amp; _xlfn.IFS(I729="Height", ", H",I729="Height SLI", ", H SLI", I729="Height FIX", ", H FIX",I729="Width", ", W", I729="", "")</f>
        <v/>
      </c>
      <c r="F729" s="33" t="str" cm="1">
        <f t="array" ref="F729">_xlfn.XLOOKUP(1,((SKUs!$A$2:$A$10001=cl_unmerged!B729) * (ISNUMBER(SEARCH("Inline",SKUs!$J$2:$J$10001)))* (ISNUMBER(SEARCH(A729,SKUs!$C$2:$C$10001)))), SKUs!$C$2:$C$10001,"")</f>
        <v/>
      </c>
      <c r="G729" s="16"/>
      <c r="H729" s="16"/>
      <c r="I729" s="16" t="str">
        <f t="shared" si="16"/>
        <v/>
      </c>
    </row>
    <row r="730" spans="1:9" ht="13.5" customHeight="1" x14ac:dyDescent="0.25">
      <c r="A730" s="41" t="str">
        <f>_xlfn.XLOOKUP(G730,dd_color!$A$2:$A$8,dd_color!$B$2:$B$8,"",0)</f>
        <v/>
      </c>
      <c r="B730" s="41">
        <f>_xlfn.XLOOKUP(_xlfn.XLOOKUP(C730,'Project Details'!$C$17:$C$10003,'Project Details'!$E$17:$E$10003, "",0),dd_design_raw!$A$2:$A$9997,dd_design_raw!$C$2:$C$9997,"",0)</f>
        <v>0</v>
      </c>
      <c r="C730" s="16"/>
      <c r="D730" s="16"/>
      <c r="E730" s="16" t="str" cm="1">
        <f t="array" ref="E730">IF(C730&lt;&gt;"", _xlfn.XLOOKUP(1,((SKUs!$A$2:$A$10001=cl_unmerged!B730) * (ISNUMBER(SEARCH("Inline",SKUs!$J$2:$J$10001)))), SKUs!$J$2:$J$10001,""),"") &amp; _xlfn.IFS(I730="Height", ", H",I730="Height SLI", ", H SLI", I730="Height FIX", ", H FIX",I730="Width", ", W", I730="", "")</f>
        <v/>
      </c>
      <c r="F730" s="33" t="str" cm="1">
        <f t="array" ref="F730">_xlfn.XLOOKUP(1,((SKUs!$A$2:$A$10001=cl_unmerged!B730) * (ISNUMBER(SEARCH("Inline",SKUs!$J$2:$J$10001)))* (ISNUMBER(SEARCH(A730,SKUs!$C$2:$C$10001)))), SKUs!$C$2:$C$10001,"")</f>
        <v/>
      </c>
      <c r="G730" s="16"/>
      <c r="H730" s="16"/>
      <c r="I730" s="16" t="str">
        <f t="shared" si="16"/>
        <v/>
      </c>
    </row>
    <row r="731" spans="1:9" ht="13.5" customHeight="1" x14ac:dyDescent="0.25">
      <c r="A731" s="41" t="str">
        <f>_xlfn.XLOOKUP(G731,dd_color!$A$2:$A$8,dd_color!$B$2:$B$8,"",0)</f>
        <v/>
      </c>
      <c r="B731" s="41">
        <f>_xlfn.XLOOKUP(_xlfn.XLOOKUP(C731,'Project Details'!$C$17:$C$10003,'Project Details'!$E$17:$E$10003, "",0),dd_design_raw!$A$2:$A$9997,dd_design_raw!$C$2:$C$9997,"",0)</f>
        <v>0</v>
      </c>
      <c r="C731" s="16"/>
      <c r="D731" s="16"/>
      <c r="E731" s="16" t="str" cm="1">
        <f t="array" ref="E731">IF(C731&lt;&gt;"", _xlfn.XLOOKUP(1,((SKUs!$A$2:$A$10001=cl_unmerged!B731) * (ISNUMBER(SEARCH("Inline",SKUs!$J$2:$J$10001)))), SKUs!$J$2:$J$10001,""),"") &amp; _xlfn.IFS(I731="Height", ", H",I731="Height SLI", ", H SLI", I731="Height FIX", ", H FIX",I731="Width", ", W", I731="", "")</f>
        <v/>
      </c>
      <c r="F731" s="33" t="str" cm="1">
        <f t="array" ref="F731">_xlfn.XLOOKUP(1,((SKUs!$A$2:$A$10001=cl_unmerged!B731) * (ISNUMBER(SEARCH("Inline",SKUs!$J$2:$J$10001)))* (ISNUMBER(SEARCH(A731,SKUs!$C$2:$C$10001)))), SKUs!$C$2:$C$10001,"")</f>
        <v/>
      </c>
      <c r="G731" s="16"/>
      <c r="H731" s="16"/>
      <c r="I731" s="16" t="str">
        <f t="shared" si="16"/>
        <v/>
      </c>
    </row>
    <row r="732" spans="1:9" ht="13.5" customHeight="1" x14ac:dyDescent="0.25">
      <c r="A732" s="41" t="str">
        <f>_xlfn.XLOOKUP(G732,dd_color!$A$2:$A$8,dd_color!$B$2:$B$8,"",0)</f>
        <v/>
      </c>
      <c r="B732" s="41">
        <f>_xlfn.XLOOKUP(_xlfn.XLOOKUP(C732,'Project Details'!$C$17:$C$10003,'Project Details'!$E$17:$E$10003, "",0),dd_design_raw!$A$2:$A$9997,dd_design_raw!$C$2:$C$9997,"",0)</f>
        <v>0</v>
      </c>
      <c r="C732" s="16"/>
      <c r="D732" s="16"/>
      <c r="E732" s="16" t="str" cm="1">
        <f t="array" ref="E732">IF(C732&lt;&gt;"", _xlfn.XLOOKUP(1,((SKUs!$A$2:$A$10001=cl_unmerged!B732) * (ISNUMBER(SEARCH("Inline",SKUs!$J$2:$J$10001)))), SKUs!$J$2:$J$10001,""),"") &amp; _xlfn.IFS(I732="Height", ", H",I732="Height SLI", ", H SLI", I732="Height FIX", ", H FIX",I732="Width", ", W", I732="", "")</f>
        <v/>
      </c>
      <c r="F732" s="33" t="str" cm="1">
        <f t="array" ref="F732">_xlfn.XLOOKUP(1,((SKUs!$A$2:$A$10001=cl_unmerged!B732) * (ISNUMBER(SEARCH("Inline",SKUs!$J$2:$J$10001)))* (ISNUMBER(SEARCH(A732,SKUs!$C$2:$C$10001)))), SKUs!$C$2:$C$10001,"")</f>
        <v/>
      </c>
      <c r="G732" s="16"/>
      <c r="H732" s="16"/>
      <c r="I732" s="16" t="str">
        <f t="shared" si="16"/>
        <v/>
      </c>
    </row>
    <row r="733" spans="1:9" ht="13.5" customHeight="1" x14ac:dyDescent="0.25">
      <c r="A733" s="41" t="str">
        <f>_xlfn.XLOOKUP(G733,dd_color!$A$2:$A$8,dd_color!$B$2:$B$8,"",0)</f>
        <v/>
      </c>
      <c r="B733" s="41">
        <f>_xlfn.XLOOKUP(_xlfn.XLOOKUP(C733,'Project Details'!$C$17:$C$10003,'Project Details'!$E$17:$E$10003, "",0),dd_design_raw!$A$2:$A$9997,dd_design_raw!$C$2:$C$9997,"",0)</f>
        <v>0</v>
      </c>
      <c r="C733" s="16"/>
      <c r="D733" s="16"/>
      <c r="E733" s="16" t="str" cm="1">
        <f t="array" ref="E733">IF(C733&lt;&gt;"", _xlfn.XLOOKUP(1,((SKUs!$A$2:$A$10001=cl_unmerged!B733) * (ISNUMBER(SEARCH("Inline",SKUs!$J$2:$J$10001)))), SKUs!$J$2:$J$10001,""),"") &amp; _xlfn.IFS(I733="Height", ", H",I733="Height SLI", ", H SLI", I733="Height FIX", ", H FIX",I733="Width", ", W", I733="", "")</f>
        <v/>
      </c>
      <c r="F733" s="33" t="str" cm="1">
        <f t="array" ref="F733">_xlfn.XLOOKUP(1,((SKUs!$A$2:$A$10001=cl_unmerged!B733) * (ISNUMBER(SEARCH("Inline",SKUs!$J$2:$J$10001)))* (ISNUMBER(SEARCH(A733,SKUs!$C$2:$C$10001)))), SKUs!$C$2:$C$10001,"")</f>
        <v/>
      </c>
      <c r="G733" s="16"/>
      <c r="H733" s="16"/>
      <c r="I733" s="16" t="str">
        <f t="shared" si="16"/>
        <v/>
      </c>
    </row>
    <row r="734" spans="1:9" ht="13.5" customHeight="1" x14ac:dyDescent="0.25">
      <c r="A734" s="41" t="str">
        <f>_xlfn.XLOOKUP(G734,dd_color!$A$2:$A$8,dd_color!$B$2:$B$8,"",0)</f>
        <v/>
      </c>
      <c r="B734" s="41">
        <f>_xlfn.XLOOKUP(_xlfn.XLOOKUP(C734,'Project Details'!$C$17:$C$10003,'Project Details'!$E$17:$E$10003, "",0),dd_design_raw!$A$2:$A$9997,dd_design_raw!$C$2:$C$9997,"",0)</f>
        <v>0</v>
      </c>
      <c r="C734" s="16"/>
      <c r="D734" s="16"/>
      <c r="E734" s="16" t="str" cm="1">
        <f t="array" ref="E734">IF(C734&lt;&gt;"", _xlfn.XLOOKUP(1,((SKUs!$A$2:$A$10001=cl_unmerged!B734) * (ISNUMBER(SEARCH("Inline",SKUs!$J$2:$J$10001)))), SKUs!$J$2:$J$10001,""),"") &amp; _xlfn.IFS(I734="Height", ", H",I734="Height SLI", ", H SLI", I734="Height FIX", ", H FIX",I734="Width", ", W", I734="", "")</f>
        <v/>
      </c>
      <c r="F734" s="33" t="str" cm="1">
        <f t="array" ref="F734">_xlfn.XLOOKUP(1,((SKUs!$A$2:$A$10001=cl_unmerged!B734) * (ISNUMBER(SEARCH("Inline",SKUs!$J$2:$J$10001)))* (ISNUMBER(SEARCH(A734,SKUs!$C$2:$C$10001)))), SKUs!$C$2:$C$10001,"")</f>
        <v/>
      </c>
      <c r="G734" s="16"/>
      <c r="H734" s="16"/>
      <c r="I734" s="16" t="str">
        <f t="shared" si="16"/>
        <v/>
      </c>
    </row>
    <row r="735" spans="1:9" ht="13.5" customHeight="1" x14ac:dyDescent="0.25">
      <c r="A735" s="41" t="str">
        <f>_xlfn.XLOOKUP(G735,dd_color!$A$2:$A$8,dd_color!$B$2:$B$8,"",0)</f>
        <v/>
      </c>
      <c r="B735" s="41">
        <f>_xlfn.XLOOKUP(_xlfn.XLOOKUP(C735,'Project Details'!$C$17:$C$10003,'Project Details'!$E$17:$E$10003, "",0),dd_design_raw!$A$2:$A$9997,dd_design_raw!$C$2:$C$9997,"",0)</f>
        <v>0</v>
      </c>
      <c r="C735" s="16"/>
      <c r="D735" s="16"/>
      <c r="E735" s="16" t="str" cm="1">
        <f t="array" ref="E735">IF(C735&lt;&gt;"", _xlfn.XLOOKUP(1,((SKUs!$A$2:$A$10001=cl_unmerged!B735) * (ISNUMBER(SEARCH("Inline",SKUs!$J$2:$J$10001)))), SKUs!$J$2:$J$10001,""),"") &amp; _xlfn.IFS(I735="Height", ", H",I735="Height SLI", ", H SLI", I735="Height FIX", ", H FIX",I735="Width", ", W", I735="", "")</f>
        <v/>
      </c>
      <c r="F735" s="33" t="str" cm="1">
        <f t="array" ref="F735">_xlfn.XLOOKUP(1,((SKUs!$A$2:$A$10001=cl_unmerged!B735) * (ISNUMBER(SEARCH("Inline",SKUs!$J$2:$J$10001)))* (ISNUMBER(SEARCH(A735,SKUs!$C$2:$C$10001)))), SKUs!$C$2:$C$10001,"")</f>
        <v/>
      </c>
      <c r="G735" s="16"/>
      <c r="H735" s="16"/>
      <c r="I735" s="16" t="str">
        <f t="shared" si="16"/>
        <v/>
      </c>
    </row>
    <row r="736" spans="1:9" ht="13.5" customHeight="1" x14ac:dyDescent="0.25">
      <c r="A736" s="41" t="str">
        <f>_xlfn.XLOOKUP(G736,dd_color!$A$2:$A$8,dd_color!$B$2:$B$8,"",0)</f>
        <v/>
      </c>
      <c r="B736" s="41">
        <f>_xlfn.XLOOKUP(_xlfn.XLOOKUP(C736,'Project Details'!$C$17:$C$10003,'Project Details'!$E$17:$E$10003, "",0),dd_design_raw!$A$2:$A$9997,dd_design_raw!$C$2:$C$9997,"",0)</f>
        <v>0</v>
      </c>
      <c r="C736" s="16"/>
      <c r="D736" s="16"/>
      <c r="E736" s="16" t="str" cm="1">
        <f t="array" ref="E736">IF(C736&lt;&gt;"", _xlfn.XLOOKUP(1,((SKUs!$A$2:$A$10001=cl_unmerged!B736) * (ISNUMBER(SEARCH("Inline",SKUs!$J$2:$J$10001)))), SKUs!$J$2:$J$10001,""),"") &amp; _xlfn.IFS(I736="Height", ", H",I736="Height SLI", ", H SLI", I736="Height FIX", ", H FIX",I736="Width", ", W", I736="", "")</f>
        <v/>
      </c>
      <c r="F736" s="33" t="str" cm="1">
        <f t="array" ref="F736">_xlfn.XLOOKUP(1,((SKUs!$A$2:$A$10001=cl_unmerged!B736) * (ISNUMBER(SEARCH("Inline",SKUs!$J$2:$J$10001)))* (ISNUMBER(SEARCH(A736,SKUs!$C$2:$C$10001)))), SKUs!$C$2:$C$10001,"")</f>
        <v/>
      </c>
      <c r="G736" s="16"/>
      <c r="H736" s="16"/>
      <c r="I736" s="16" t="str">
        <f t="shared" si="16"/>
        <v/>
      </c>
    </row>
    <row r="737" spans="1:9" ht="13.5" customHeight="1" x14ac:dyDescent="0.25">
      <c r="A737" s="41" t="str">
        <f>_xlfn.XLOOKUP(G737,dd_color!$A$2:$A$8,dd_color!$B$2:$B$8,"",0)</f>
        <v/>
      </c>
      <c r="B737" s="41">
        <f>_xlfn.XLOOKUP(_xlfn.XLOOKUP(C737,'Project Details'!$C$17:$C$10003,'Project Details'!$E$17:$E$10003, "",0),dd_design_raw!$A$2:$A$9997,dd_design_raw!$C$2:$C$9997,"",0)</f>
        <v>0</v>
      </c>
      <c r="C737" s="16"/>
      <c r="D737" s="16"/>
      <c r="E737" s="16" t="str" cm="1">
        <f t="array" ref="E737">IF(C737&lt;&gt;"", _xlfn.XLOOKUP(1,((SKUs!$A$2:$A$10001=cl_unmerged!B737) * (ISNUMBER(SEARCH("Inline",SKUs!$J$2:$J$10001)))), SKUs!$J$2:$J$10001,""),"") &amp; _xlfn.IFS(I737="Height", ", H",I737="Height SLI", ", H SLI", I737="Height FIX", ", H FIX",I737="Width", ", W", I737="", "")</f>
        <v/>
      </c>
      <c r="F737" s="33" t="str" cm="1">
        <f t="array" ref="F737">_xlfn.XLOOKUP(1,((SKUs!$A$2:$A$10001=cl_unmerged!B737) * (ISNUMBER(SEARCH("Inline",SKUs!$J$2:$J$10001)))* (ISNUMBER(SEARCH(A737,SKUs!$C$2:$C$10001)))), SKUs!$C$2:$C$10001,"")</f>
        <v/>
      </c>
      <c r="G737" s="16"/>
      <c r="H737" s="16"/>
      <c r="I737" s="16" t="str">
        <f t="shared" si="16"/>
        <v/>
      </c>
    </row>
    <row r="738" spans="1:9" ht="13.5" customHeight="1" x14ac:dyDescent="0.25">
      <c r="A738" s="41" t="str">
        <f>_xlfn.XLOOKUP(G738,dd_color!$A$2:$A$8,dd_color!$B$2:$B$8,"",0)</f>
        <v/>
      </c>
      <c r="B738" s="41">
        <f>_xlfn.XLOOKUP(_xlfn.XLOOKUP(C738,'Project Details'!$C$17:$C$10003,'Project Details'!$E$17:$E$10003, "",0),dd_design_raw!$A$2:$A$9997,dd_design_raw!$C$2:$C$9997,"",0)</f>
        <v>0</v>
      </c>
      <c r="C738" s="16"/>
      <c r="D738" s="16"/>
      <c r="E738" s="16" t="str" cm="1">
        <f t="array" ref="E738">IF(C738&lt;&gt;"", _xlfn.XLOOKUP(1,((SKUs!$A$2:$A$10001=cl_unmerged!B738) * (ISNUMBER(SEARCH("Inline",SKUs!$J$2:$J$10001)))), SKUs!$J$2:$J$10001,""),"") &amp; _xlfn.IFS(I738="Height", ", H",I738="Height SLI", ", H SLI", I738="Height FIX", ", H FIX",I738="Width", ", W", I738="", "")</f>
        <v/>
      </c>
      <c r="F738" s="33" t="str" cm="1">
        <f t="array" ref="F738">_xlfn.XLOOKUP(1,((SKUs!$A$2:$A$10001=cl_unmerged!B738) * (ISNUMBER(SEARCH("Inline",SKUs!$J$2:$J$10001)))* (ISNUMBER(SEARCH(A738,SKUs!$C$2:$C$10001)))), SKUs!$C$2:$C$10001,"")</f>
        <v/>
      </c>
      <c r="G738" s="16"/>
      <c r="H738" s="16"/>
      <c r="I738" s="16" t="str">
        <f t="shared" si="16"/>
        <v/>
      </c>
    </row>
    <row r="739" spans="1:9" ht="13.5" customHeight="1" x14ac:dyDescent="0.25">
      <c r="A739" s="41" t="str">
        <f>_xlfn.XLOOKUP(G739,dd_color!$A$2:$A$8,dd_color!$B$2:$B$8,"",0)</f>
        <v/>
      </c>
      <c r="B739" s="41">
        <f>_xlfn.XLOOKUP(_xlfn.XLOOKUP(C739,'Project Details'!$C$17:$C$10003,'Project Details'!$E$17:$E$10003, "",0),dd_design_raw!$A$2:$A$9997,dd_design_raw!$C$2:$C$9997,"",0)</f>
        <v>0</v>
      </c>
      <c r="C739" s="16"/>
      <c r="D739" s="16"/>
      <c r="E739" s="16" t="str" cm="1">
        <f t="array" ref="E739">IF(C739&lt;&gt;"", _xlfn.XLOOKUP(1,((SKUs!$A$2:$A$10001=cl_unmerged!B739) * (ISNUMBER(SEARCH("Inline",SKUs!$J$2:$J$10001)))), SKUs!$J$2:$J$10001,""),"") &amp; _xlfn.IFS(I739="Height", ", H",I739="Height SLI", ", H SLI", I739="Height FIX", ", H FIX",I739="Width", ", W", I739="", "")</f>
        <v/>
      </c>
      <c r="F739" s="33" t="str" cm="1">
        <f t="array" ref="F739">_xlfn.XLOOKUP(1,((SKUs!$A$2:$A$10001=cl_unmerged!B739) * (ISNUMBER(SEARCH("Inline",SKUs!$J$2:$J$10001)))* (ISNUMBER(SEARCH(A739,SKUs!$C$2:$C$10001)))), SKUs!$C$2:$C$10001,"")</f>
        <v/>
      </c>
      <c r="G739" s="16"/>
      <c r="H739" s="16"/>
      <c r="I739" s="16" t="str">
        <f t="shared" si="16"/>
        <v/>
      </c>
    </row>
    <row r="740" spans="1:9" ht="13.5" customHeight="1" x14ac:dyDescent="0.25">
      <c r="A740" s="41" t="str">
        <f>_xlfn.XLOOKUP(G740,dd_color!$A$2:$A$8,dd_color!$B$2:$B$8,"",0)</f>
        <v/>
      </c>
      <c r="B740" s="41">
        <f>_xlfn.XLOOKUP(_xlfn.XLOOKUP(C740,'Project Details'!$C$17:$C$10003,'Project Details'!$E$17:$E$10003, "",0),dd_design_raw!$A$2:$A$9997,dd_design_raw!$C$2:$C$9997,"",0)</f>
        <v>0</v>
      </c>
      <c r="C740" s="16"/>
      <c r="D740" s="16"/>
      <c r="E740" s="16" t="str" cm="1">
        <f t="array" ref="E740">IF(C740&lt;&gt;"", _xlfn.XLOOKUP(1,((SKUs!$A$2:$A$10001=cl_unmerged!B740) * (ISNUMBER(SEARCH("Inline",SKUs!$J$2:$J$10001)))), SKUs!$J$2:$J$10001,""),"") &amp; _xlfn.IFS(I740="Height", ", H",I740="Height SLI", ", H SLI", I740="Height FIX", ", H FIX",I740="Width", ", W", I740="", "")</f>
        <v/>
      </c>
      <c r="F740" s="33" t="str" cm="1">
        <f t="array" ref="F740">_xlfn.XLOOKUP(1,((SKUs!$A$2:$A$10001=cl_unmerged!B740) * (ISNUMBER(SEARCH("Inline",SKUs!$J$2:$J$10001)))* (ISNUMBER(SEARCH(A740,SKUs!$C$2:$C$10001)))), SKUs!$C$2:$C$10001,"")</f>
        <v/>
      </c>
      <c r="G740" s="16"/>
      <c r="H740" s="16"/>
      <c r="I740" s="16" t="str">
        <f t="shared" si="16"/>
        <v/>
      </c>
    </row>
    <row r="741" spans="1:9" ht="13.5" customHeight="1" x14ac:dyDescent="0.25">
      <c r="A741" s="41" t="str">
        <f>_xlfn.XLOOKUP(G741,dd_color!$A$2:$A$8,dd_color!$B$2:$B$8,"",0)</f>
        <v/>
      </c>
      <c r="B741" s="41">
        <f>_xlfn.XLOOKUP(_xlfn.XLOOKUP(C741,'Project Details'!$C$17:$C$10003,'Project Details'!$E$17:$E$10003, "",0),dd_design_raw!$A$2:$A$9997,dd_design_raw!$C$2:$C$9997,"",0)</f>
        <v>0</v>
      </c>
      <c r="C741" s="16"/>
      <c r="D741" s="16"/>
      <c r="E741" s="16" t="str" cm="1">
        <f t="array" ref="E741">IF(C741&lt;&gt;"", _xlfn.XLOOKUP(1,((SKUs!$A$2:$A$10001=cl_unmerged!B741) * (ISNUMBER(SEARCH("Inline",SKUs!$J$2:$J$10001)))), SKUs!$J$2:$J$10001,""),"") &amp; _xlfn.IFS(I741="Height", ", H",I741="Height SLI", ", H SLI", I741="Height FIX", ", H FIX",I741="Width", ", W", I741="", "")</f>
        <v/>
      </c>
      <c r="F741" s="33" t="str" cm="1">
        <f t="array" ref="F741">_xlfn.XLOOKUP(1,((SKUs!$A$2:$A$10001=cl_unmerged!B741) * (ISNUMBER(SEARCH("Inline",SKUs!$J$2:$J$10001)))* (ISNUMBER(SEARCH(A741,SKUs!$C$2:$C$10001)))), SKUs!$C$2:$C$10001,"")</f>
        <v/>
      </c>
      <c r="G741" s="16"/>
      <c r="H741" s="16"/>
      <c r="I741" s="16" t="str">
        <f t="shared" si="16"/>
        <v/>
      </c>
    </row>
    <row r="742" spans="1:9" ht="13.5" customHeight="1" x14ac:dyDescent="0.25">
      <c r="A742" s="41" t="str">
        <f>_xlfn.XLOOKUP(G742,dd_color!$A$2:$A$8,dd_color!$B$2:$B$8,"",0)</f>
        <v/>
      </c>
      <c r="B742" s="41">
        <f>_xlfn.XLOOKUP(_xlfn.XLOOKUP(C742,'Project Details'!$C$17:$C$10003,'Project Details'!$E$17:$E$10003, "",0),dd_design_raw!$A$2:$A$9997,dd_design_raw!$C$2:$C$9997,"",0)</f>
        <v>0</v>
      </c>
      <c r="C742" s="16"/>
      <c r="D742" s="16"/>
      <c r="E742" s="16" t="str" cm="1">
        <f t="array" ref="E742">IF(C742&lt;&gt;"", _xlfn.XLOOKUP(1,((SKUs!$A$2:$A$10001=cl_unmerged!B742) * (ISNUMBER(SEARCH("Inline",SKUs!$J$2:$J$10001)))), SKUs!$J$2:$J$10001,""),"") &amp; _xlfn.IFS(I742="Height", ", H",I742="Height SLI", ", H SLI", I742="Height FIX", ", H FIX",I742="Width", ", W", I742="", "")</f>
        <v/>
      </c>
      <c r="F742" s="33" t="str" cm="1">
        <f t="array" ref="F742">_xlfn.XLOOKUP(1,((SKUs!$A$2:$A$10001=cl_unmerged!B742) * (ISNUMBER(SEARCH("Inline",SKUs!$J$2:$J$10001)))* (ISNUMBER(SEARCH(A742,SKUs!$C$2:$C$10001)))), SKUs!$C$2:$C$10001,"")</f>
        <v/>
      </c>
      <c r="G742" s="16"/>
      <c r="H742" s="16"/>
      <c r="I742" s="16" t="str">
        <f t="shared" si="16"/>
        <v/>
      </c>
    </row>
    <row r="743" spans="1:9" ht="13.5" customHeight="1" x14ac:dyDescent="0.25">
      <c r="A743" s="41" t="str">
        <f>_xlfn.XLOOKUP(G743,dd_color!$A$2:$A$8,dd_color!$B$2:$B$8,"",0)</f>
        <v/>
      </c>
      <c r="B743" s="41">
        <f>_xlfn.XLOOKUP(_xlfn.XLOOKUP(C743,'Project Details'!$C$17:$C$10003,'Project Details'!$E$17:$E$10003, "",0),dd_design_raw!$A$2:$A$9997,dd_design_raw!$C$2:$C$9997,"",0)</f>
        <v>0</v>
      </c>
      <c r="C743" s="16"/>
      <c r="D743" s="16"/>
      <c r="E743" s="16" t="str" cm="1">
        <f t="array" ref="E743">IF(C743&lt;&gt;"", _xlfn.XLOOKUP(1,((SKUs!$A$2:$A$10001=cl_unmerged!B743) * (ISNUMBER(SEARCH("Inline",SKUs!$J$2:$J$10001)))), SKUs!$J$2:$J$10001,""),"") &amp; _xlfn.IFS(I743="Height", ", H",I743="Height SLI", ", H SLI", I743="Height FIX", ", H FIX",I743="Width", ", W", I743="", "")</f>
        <v/>
      </c>
      <c r="F743" s="33" t="str" cm="1">
        <f t="array" ref="F743">_xlfn.XLOOKUP(1,((SKUs!$A$2:$A$10001=cl_unmerged!B743) * (ISNUMBER(SEARCH("Inline",SKUs!$J$2:$J$10001)))* (ISNUMBER(SEARCH(A743,SKUs!$C$2:$C$10001)))), SKUs!$C$2:$C$10001,"")</f>
        <v/>
      </c>
      <c r="G743" s="16"/>
      <c r="H743" s="16"/>
      <c r="I743" s="16" t="str">
        <f t="shared" si="16"/>
        <v/>
      </c>
    </row>
    <row r="744" spans="1:9" ht="13.5" customHeight="1" x14ac:dyDescent="0.25">
      <c r="A744" s="41" t="str">
        <f>_xlfn.XLOOKUP(G744,dd_color!$A$2:$A$8,dd_color!$B$2:$B$8,"",0)</f>
        <v/>
      </c>
      <c r="B744" s="41">
        <f>_xlfn.XLOOKUP(_xlfn.XLOOKUP(C744,'Project Details'!$C$17:$C$10003,'Project Details'!$E$17:$E$10003, "",0),dd_design_raw!$A$2:$A$9997,dd_design_raw!$C$2:$C$9997,"",0)</f>
        <v>0</v>
      </c>
      <c r="C744" s="16"/>
      <c r="D744" s="16"/>
      <c r="E744" s="16" t="str" cm="1">
        <f t="array" ref="E744">IF(C744&lt;&gt;"", _xlfn.XLOOKUP(1,((SKUs!$A$2:$A$10001=cl_unmerged!B744) * (ISNUMBER(SEARCH("Inline",SKUs!$J$2:$J$10001)))), SKUs!$J$2:$J$10001,""),"") &amp; _xlfn.IFS(I744="Height", ", H",I744="Height SLI", ", H SLI", I744="Height FIX", ", H FIX",I744="Width", ", W", I744="", "")</f>
        <v/>
      </c>
      <c r="F744" s="33" t="str" cm="1">
        <f t="array" ref="F744">_xlfn.XLOOKUP(1,((SKUs!$A$2:$A$10001=cl_unmerged!B744) * (ISNUMBER(SEARCH("Inline",SKUs!$J$2:$J$10001)))* (ISNUMBER(SEARCH(A744,SKUs!$C$2:$C$10001)))), SKUs!$C$2:$C$10001,"")</f>
        <v/>
      </c>
      <c r="G744" s="16"/>
      <c r="H744" s="16"/>
      <c r="I744" s="16" t="str">
        <f t="shared" si="16"/>
        <v/>
      </c>
    </row>
    <row r="745" spans="1:9" ht="13.5" customHeight="1" x14ac:dyDescent="0.25">
      <c r="A745" s="41"/>
      <c r="B745" s="41"/>
    </row>
    <row r="746" spans="1:9" ht="13.5" customHeight="1" x14ac:dyDescent="0.25">
      <c r="C746" s="28" t="s">
        <v>70</v>
      </c>
      <c r="D746" s="29"/>
      <c r="E746" s="29"/>
      <c r="F746" s="29"/>
      <c r="G746" s="29"/>
      <c r="H746" s="29"/>
      <c r="I746" s="30"/>
    </row>
    <row r="747" spans="1:9" ht="13.5" customHeight="1" x14ac:dyDescent="0.25">
      <c r="C747" s="32" t="s">
        <v>719</v>
      </c>
      <c r="D747" s="32"/>
      <c r="E747" s="32"/>
      <c r="F747" s="32"/>
      <c r="G747" s="32"/>
      <c r="H747" s="32"/>
      <c r="I747" s="32"/>
    </row>
    <row r="748" spans="1:9" ht="13.5" customHeight="1" x14ac:dyDescent="0.25">
      <c r="A748" s="41" t="str">
        <f>_xlfn.XLOOKUP(G748,dd_color!$A$2:$A$8,dd_color!$B$2:$B$8,"",0)</f>
        <v/>
      </c>
      <c r="B748" s="41" t="str">
        <f>_xlfn.XLOOKUP(_xlfn.XLOOKUP(C748,'Project Details'!$C$17:$C$10003,'Project Details'!$E$17:$E$10003, "",0),dd_design_raw!$A$2:$A$9997,dd_design_raw!$C$2:$C$9997,"",0)</f>
        <v/>
      </c>
      <c r="C748" s="16" t="str" cm="1">
        <f t="array" ref="C748:C749">IFERROR(INDEX(_xlfn._xlws.FILTER('calc_s90&amp;138'!C15:C65, 'calc_s90&amp;138'!AG15:AG65&lt;&gt;""), INT((_xlfn.SEQUENCE(2 * COUNTA(_xlfn._xlws.FILTER('calc_s90&amp;138'!C15:C65, 'calc_s90&amp;138'!AG15:AG65&lt;&gt;""))) - 1) / 2) + 1), "")</f>
        <v/>
      </c>
      <c r="D748" s="16" t="str" cm="1">
        <f t="array" ref="D748">IF(C748&lt;&gt;"", _xlfn.IFS(I748="Height SLI",_xlfn.XLOOKUP(C748,'calc_s90&amp;138'!$C$15:$C$1000,'calc_s90&amp;138'!$AH$15:$AH$1000,"",0),  I748="Width", _xlfn.XLOOKUP(C748,'calc_s90&amp;138'!$C$15:$C$1000,'calc_s90&amp;138'!$AJ$15:$AJ$1000,"",0)),"")</f>
        <v/>
      </c>
      <c r="E748" s="16" t="str" cm="1">
        <f t="array" ref="E748">IF(C748&lt;&gt;"", _xlfn.XLOOKUP(1,((SKUs!$A$2:$A$10001=cl_unmerged!B748) * (ISNUMBER(SEARCH("Screen Frame",SKUs!$J$2:$J$10001)))), SKUs!$J$2:$J$10001,""),"") &amp; _xlfn.IFS(I748="Height", ", H",I748="Height SLI", ", H SLI", I748="Height FIX", ", H FIX",I748="Width", ", W", I748="", "")</f>
        <v/>
      </c>
      <c r="F748" s="33" t="str" cm="1">
        <f t="array" ref="F748">_xlfn.XLOOKUP(1,((SKUs!$A$2:$A$10001=cl_unmerged!B748) * (ISNUMBER(SEARCH("Screen Frame",SKUs!$J$2:$J$10001)))* (ISNUMBER(SEARCH(A748,SKUs!$C$2:$C$10001)))), SKUs!$C$2:$C$10001,"")</f>
        <v/>
      </c>
      <c r="G748" s="16" t="str" cm="1">
        <f t="array" ref="G748:G749">IFERROR(INDEX(_xlfn._xlws.FILTER('calc_s90&amp;138'!G15:G65, 'calc_s90&amp;138'!AG15:AG65&lt;&gt;""), INT((_xlfn.SEQUENCE(2 * COUNTA(_xlfn._xlws.FILTER('calc_s90&amp;138'!G15:G65, 'calc_s90&amp;138'!AG15:AG65&lt;&gt;""))) - 1) / 2) + 1), "")</f>
        <v/>
      </c>
      <c r="H748" s="16" t="str" cm="1">
        <f t="array" ref="H748">IF(C748&lt;&gt;"", _xlfn.IFS(I748="Height SLI",_xlfn.XLOOKUP(C748,'calc_s90&amp;138'!$C$15:$C$1000,'calc_s90&amp;138'!$AG$15:$AG$1000,"",0), I748="Width", _xlfn.XLOOKUP(C748,'calc_s90&amp;138'!$C$15:$C$1000,'calc_s90&amp;138'!$AI$15:$AI$1000,"",0)),"")</f>
        <v/>
      </c>
      <c r="I748" s="16" t="str">
        <f t="shared" ref="I748:I798" si="17">IF(C748&lt;&gt;"", IF(C748=C747, "Width", "Height SLI"),"")</f>
        <v/>
      </c>
    </row>
    <row r="749" spans="1:9" ht="13.5" customHeight="1" x14ac:dyDescent="0.25">
      <c r="A749" s="41" t="str">
        <f>_xlfn.XLOOKUP(G749,dd_color!$A$2:$A$8,dd_color!$B$2:$B$8,"",0)</f>
        <v/>
      </c>
      <c r="B749" s="41" t="str">
        <f>_xlfn.XLOOKUP(_xlfn.XLOOKUP(C749,'Project Details'!$C$17:$C$10003,'Project Details'!$E$17:$E$10003, "",0),dd_design_raw!$A$2:$A$9997,dd_design_raw!$C$2:$C$9997,"",0)</f>
        <v/>
      </c>
      <c r="C749" s="16" t="str">
        <v/>
      </c>
      <c r="D749" s="16" t="str" cm="1">
        <f t="array" ref="D749">IF(C749&lt;&gt;"", _xlfn.IFS(I749="Height SLI",_xlfn.XLOOKUP(C749,'calc_s90&amp;138'!$C$15:$C$1000,'calc_s90&amp;138'!$AH$15:$AH$1000,"",0),  I749="Width", _xlfn.XLOOKUP(C749,'calc_s90&amp;138'!$C$15:$C$1000,'calc_s90&amp;138'!$AJ$15:$AJ$1000,"",0)),"")</f>
        <v/>
      </c>
      <c r="E749" s="16" t="str" cm="1">
        <f t="array" ref="E749">IF(C749&lt;&gt;"", _xlfn.XLOOKUP(1,((SKUs!$A$2:$A$10001=cl_unmerged!B749) * (ISNUMBER(SEARCH("Screen Frame",SKUs!$J$2:$J$10001)))), SKUs!$J$2:$J$10001,""),"") &amp; _xlfn.IFS(I749="Height", ", H",I749="Height SLI", ", H SLI", I749="Height FIX", ", H FIX",I749="Width", ", W", I749="", "")</f>
        <v/>
      </c>
      <c r="F749" s="33" t="str" cm="1">
        <f t="array" ref="F749">_xlfn.XLOOKUP(1,((SKUs!$A$2:$A$10001=cl_unmerged!B749) * (ISNUMBER(SEARCH("Screen Frame",SKUs!$J$2:$J$10001)))* (ISNUMBER(SEARCH(A749,SKUs!$C$2:$C$10001)))), SKUs!$C$2:$C$10001,"")</f>
        <v/>
      </c>
      <c r="G749" s="16" t="str">
        <v/>
      </c>
      <c r="H749" s="16" t="str" cm="1">
        <f t="array" ref="H749">IF(C749&lt;&gt;"", _xlfn.IFS(I749="Height SLI",_xlfn.XLOOKUP(C749,'calc_s90&amp;138'!$C$15:$C$1000,'calc_s90&amp;138'!$AG$15:$AG$1000,"",0), I749="Width", _xlfn.XLOOKUP(C749,'calc_s90&amp;138'!$C$15:$C$1000,'calc_s90&amp;138'!$AI$15:$AI$1000,"",0)),"")</f>
        <v/>
      </c>
      <c r="I749" s="16" t="str">
        <f t="shared" si="17"/>
        <v/>
      </c>
    </row>
    <row r="750" spans="1:9" ht="13.5" customHeight="1" x14ac:dyDescent="0.25">
      <c r="A750" s="41" t="str">
        <f>_xlfn.XLOOKUP(G750,dd_color!$A$2:$A$8,dd_color!$B$2:$B$8,"",0)</f>
        <v/>
      </c>
      <c r="B750" s="41">
        <f>_xlfn.XLOOKUP(_xlfn.XLOOKUP(C750,'Project Details'!$C$17:$C$10003,'Project Details'!$E$17:$E$10003, "",0),dd_design_raw!$A$2:$A$9997,dd_design_raw!$C$2:$C$9997,"",0)</f>
        <v>0</v>
      </c>
      <c r="C750" s="16"/>
      <c r="D750" s="16" t="str" cm="1">
        <f t="array" ref="D750">IF(C750&lt;&gt;"", _xlfn.IFS(I750="Height SLI",_xlfn.XLOOKUP(C750,'calc_s90&amp;138'!$C$15:$C$1000,'calc_s90&amp;138'!$AH$15:$AH$1000,"",0),  I750="Width", _xlfn.XLOOKUP(C750,'calc_s90&amp;138'!$C$15:$C$1000,'calc_s90&amp;138'!$AJ$15:$AJ$1000,"",0)),"")</f>
        <v/>
      </c>
      <c r="E750" s="16" t="str" cm="1">
        <f t="array" ref="E750">IF(C750&lt;&gt;"", _xlfn.XLOOKUP(1,((SKUs!$A$2:$A$10001=cl_unmerged!B750) * (ISNUMBER(SEARCH("Screen Frame",SKUs!$J$2:$J$10001)))), SKUs!$J$2:$J$10001,""),"") &amp; _xlfn.IFS(I750="Height", ", H",I750="Height SLI", ", H SLI", I750="Height FIX", ", H FIX",I750="Width", ", W", I750="", "")</f>
        <v/>
      </c>
      <c r="F750" s="33" t="str" cm="1">
        <f t="array" ref="F750">_xlfn.XLOOKUP(1,((SKUs!$A$2:$A$10001=cl_unmerged!B750) * (ISNUMBER(SEARCH("Screen Frame",SKUs!$J$2:$J$10001)))* (ISNUMBER(SEARCH(A750,SKUs!$C$2:$C$10001)))), SKUs!$C$2:$C$10001,"")</f>
        <v/>
      </c>
      <c r="G750" s="16"/>
      <c r="H750" s="16" t="str" cm="1">
        <f t="array" ref="H750">IF(C750&lt;&gt;"", _xlfn.IFS(I750="Height SLI",_xlfn.XLOOKUP(C750,'calc_s90&amp;138'!$C$15:$C$1000,'calc_s90&amp;138'!$AG$15:$AG$1000,"",0), I750="Width", _xlfn.XLOOKUP(C750,'calc_s90&amp;138'!$C$15:$C$1000,'calc_s90&amp;138'!$AI$15:$AI$1000,"",0)),"")</f>
        <v/>
      </c>
      <c r="I750" s="16" t="str">
        <f t="shared" si="17"/>
        <v/>
      </c>
    </row>
    <row r="751" spans="1:9" ht="13.5" customHeight="1" x14ac:dyDescent="0.25">
      <c r="A751" s="41" t="str">
        <f>_xlfn.XLOOKUP(G751,dd_color!$A$2:$A$8,dd_color!$B$2:$B$8,"",0)</f>
        <v/>
      </c>
      <c r="B751" s="41">
        <f>_xlfn.XLOOKUP(_xlfn.XLOOKUP(C751,'Project Details'!$C$17:$C$10003,'Project Details'!$E$17:$E$10003, "",0),dd_design_raw!$A$2:$A$9997,dd_design_raw!$C$2:$C$9997,"",0)</f>
        <v>0</v>
      </c>
      <c r="C751" s="16"/>
      <c r="D751" s="16" t="str" cm="1">
        <f t="array" ref="D751">IF(C751&lt;&gt;"", _xlfn.IFS(I751="Height SLI",_xlfn.XLOOKUP(C751,'calc_s90&amp;138'!$C$15:$C$1000,'calc_s90&amp;138'!$AH$15:$AH$1000,"",0),  I751="Width", _xlfn.XLOOKUP(C751,'calc_s90&amp;138'!$C$15:$C$1000,'calc_s90&amp;138'!$AJ$15:$AJ$1000,"",0)),"")</f>
        <v/>
      </c>
      <c r="E751" s="16" t="str" cm="1">
        <f t="array" ref="E751">IF(C751&lt;&gt;"", _xlfn.XLOOKUP(1,((SKUs!$A$2:$A$10001=cl_unmerged!B751) * (ISNUMBER(SEARCH("Screen Frame",SKUs!$J$2:$J$10001)))), SKUs!$J$2:$J$10001,""),"") &amp; _xlfn.IFS(I751="Height", ", H",I751="Height SLI", ", H SLI", I751="Height FIX", ", H FIX",I751="Width", ", W", I751="", "")</f>
        <v/>
      </c>
      <c r="F751" s="33" t="str" cm="1">
        <f t="array" ref="F751">_xlfn.XLOOKUP(1,((SKUs!$A$2:$A$10001=cl_unmerged!B751) * (ISNUMBER(SEARCH("Screen Frame",SKUs!$J$2:$J$10001)))* (ISNUMBER(SEARCH(A751,SKUs!$C$2:$C$10001)))), SKUs!$C$2:$C$10001,"")</f>
        <v/>
      </c>
      <c r="G751" s="16"/>
      <c r="H751" s="16" t="str" cm="1">
        <f t="array" ref="H751">IF(C751&lt;&gt;"", _xlfn.IFS(I751="Height SLI",_xlfn.XLOOKUP(C751,'calc_s90&amp;138'!$C$15:$C$1000,'calc_s90&amp;138'!$AG$15:$AG$1000,"",0), I751="Width", _xlfn.XLOOKUP(C751,'calc_s90&amp;138'!$C$15:$C$1000,'calc_s90&amp;138'!$AI$15:$AI$1000,"",0)),"")</f>
        <v/>
      </c>
      <c r="I751" s="16" t="str">
        <f t="shared" si="17"/>
        <v/>
      </c>
    </row>
    <row r="752" spans="1:9" ht="13.5" customHeight="1" x14ac:dyDescent="0.25">
      <c r="A752" s="41" t="str">
        <f>_xlfn.XLOOKUP(G752,dd_color!$A$2:$A$8,dd_color!$B$2:$B$8,"",0)</f>
        <v/>
      </c>
      <c r="B752" s="41">
        <f>_xlfn.XLOOKUP(_xlfn.XLOOKUP(C752,'Project Details'!$C$17:$C$10003,'Project Details'!$E$17:$E$10003, "",0),dd_design_raw!$A$2:$A$9997,dd_design_raw!$C$2:$C$9997,"",0)</f>
        <v>0</v>
      </c>
      <c r="C752" s="16"/>
      <c r="D752" s="16" t="str" cm="1">
        <f t="array" ref="D752">IF(C752&lt;&gt;"", _xlfn.IFS(I752="Height SLI",_xlfn.XLOOKUP(C752,'calc_s90&amp;138'!$C$15:$C$1000,'calc_s90&amp;138'!$AH$15:$AH$1000,"",0),  I752="Width", _xlfn.XLOOKUP(C752,'calc_s90&amp;138'!$C$15:$C$1000,'calc_s90&amp;138'!$AJ$15:$AJ$1000,"",0)),"")</f>
        <v/>
      </c>
      <c r="E752" s="16" t="str" cm="1">
        <f t="array" ref="E752">IF(C752&lt;&gt;"", _xlfn.XLOOKUP(1,((SKUs!$A$2:$A$10001=cl_unmerged!B752) * (ISNUMBER(SEARCH("Screen Frame",SKUs!$J$2:$J$10001)))), SKUs!$J$2:$J$10001,""),"") &amp; _xlfn.IFS(I752="Height", ", H",I752="Height SLI", ", H SLI", I752="Height FIX", ", H FIX",I752="Width", ", W", I752="", "")</f>
        <v/>
      </c>
      <c r="F752" s="33" t="str" cm="1">
        <f t="array" ref="F752">_xlfn.XLOOKUP(1,((SKUs!$A$2:$A$10001=cl_unmerged!B752) * (ISNUMBER(SEARCH("Screen Frame",SKUs!$J$2:$J$10001)))* (ISNUMBER(SEARCH(A752,SKUs!$C$2:$C$10001)))), SKUs!$C$2:$C$10001,"")</f>
        <v/>
      </c>
      <c r="G752" s="16"/>
      <c r="H752" s="16" t="str" cm="1">
        <f t="array" ref="H752">IF(C752&lt;&gt;"", _xlfn.IFS(I752="Height SLI",_xlfn.XLOOKUP(C752,'calc_s90&amp;138'!$C$15:$C$1000,'calc_s90&amp;138'!$AG$15:$AG$1000,"",0), I752="Width", _xlfn.XLOOKUP(C752,'calc_s90&amp;138'!$C$15:$C$1000,'calc_s90&amp;138'!$AI$15:$AI$1000,"",0)),"")</f>
        <v/>
      </c>
      <c r="I752" s="16" t="str">
        <f t="shared" si="17"/>
        <v/>
      </c>
    </row>
    <row r="753" spans="1:9" ht="13.5" customHeight="1" x14ac:dyDescent="0.25">
      <c r="A753" s="41" t="str">
        <f>_xlfn.XLOOKUP(G753,dd_color!$A$2:$A$8,dd_color!$B$2:$B$8,"",0)</f>
        <v/>
      </c>
      <c r="B753" s="41">
        <f>_xlfn.XLOOKUP(_xlfn.XLOOKUP(C753,'Project Details'!$C$17:$C$10003,'Project Details'!$E$17:$E$10003, "",0),dd_design_raw!$A$2:$A$9997,dd_design_raw!$C$2:$C$9997,"",0)</f>
        <v>0</v>
      </c>
      <c r="C753" s="16"/>
      <c r="D753" s="16" t="str" cm="1">
        <f t="array" ref="D753">IF(C753&lt;&gt;"", _xlfn.IFS(I753="Height SLI",_xlfn.XLOOKUP(C753,'calc_s90&amp;138'!$C$15:$C$1000,'calc_s90&amp;138'!$AH$15:$AH$1000,"",0),  I753="Width", _xlfn.XLOOKUP(C753,'calc_s90&amp;138'!$C$15:$C$1000,'calc_s90&amp;138'!$AJ$15:$AJ$1000,"",0)),"")</f>
        <v/>
      </c>
      <c r="E753" s="16" t="str" cm="1">
        <f t="array" ref="E753">IF(C753&lt;&gt;"", _xlfn.XLOOKUP(1,((SKUs!$A$2:$A$10001=cl_unmerged!B753) * (ISNUMBER(SEARCH("Screen Frame",SKUs!$J$2:$J$10001)))), SKUs!$J$2:$J$10001,""),"") &amp; _xlfn.IFS(I753="Height", ", H",I753="Height SLI", ", H SLI", I753="Height FIX", ", H FIX",I753="Width", ", W", I753="", "")</f>
        <v/>
      </c>
      <c r="F753" s="33" t="str" cm="1">
        <f t="array" ref="F753">_xlfn.XLOOKUP(1,((SKUs!$A$2:$A$10001=cl_unmerged!B753) * (ISNUMBER(SEARCH("Screen Frame",SKUs!$J$2:$J$10001)))* (ISNUMBER(SEARCH(A753,SKUs!$C$2:$C$10001)))), SKUs!$C$2:$C$10001,"")</f>
        <v/>
      </c>
      <c r="G753" s="16"/>
      <c r="H753" s="16" t="str" cm="1">
        <f t="array" ref="H753">IF(C753&lt;&gt;"", _xlfn.IFS(I753="Height SLI",_xlfn.XLOOKUP(C753,'calc_s90&amp;138'!$C$15:$C$1000,'calc_s90&amp;138'!$AG$15:$AG$1000,"",0), I753="Width", _xlfn.XLOOKUP(C753,'calc_s90&amp;138'!$C$15:$C$1000,'calc_s90&amp;138'!$AI$15:$AI$1000,"",0)),"")</f>
        <v/>
      </c>
      <c r="I753" s="16" t="str">
        <f t="shared" si="17"/>
        <v/>
      </c>
    </row>
    <row r="754" spans="1:9" ht="13.5" customHeight="1" x14ac:dyDescent="0.25">
      <c r="A754" s="41" t="str">
        <f>_xlfn.XLOOKUP(G754,dd_color!$A$2:$A$8,dd_color!$B$2:$B$8,"",0)</f>
        <v/>
      </c>
      <c r="B754" s="41">
        <f>_xlfn.XLOOKUP(_xlfn.XLOOKUP(C754,'Project Details'!$C$17:$C$10003,'Project Details'!$E$17:$E$10003, "",0),dd_design_raw!$A$2:$A$9997,dd_design_raw!$C$2:$C$9997,"",0)</f>
        <v>0</v>
      </c>
      <c r="C754" s="16"/>
      <c r="D754" s="16" t="str" cm="1">
        <f t="array" ref="D754">IF(C754&lt;&gt;"", _xlfn.IFS(I754="Height SLI",_xlfn.XLOOKUP(C754,'calc_s90&amp;138'!$C$15:$C$1000,'calc_s90&amp;138'!$AH$15:$AH$1000,"",0),  I754="Width", _xlfn.XLOOKUP(C754,'calc_s90&amp;138'!$C$15:$C$1000,'calc_s90&amp;138'!$AJ$15:$AJ$1000,"",0)),"")</f>
        <v/>
      </c>
      <c r="E754" s="16" t="str" cm="1">
        <f t="array" ref="E754">IF(C754&lt;&gt;"", _xlfn.XLOOKUP(1,((SKUs!$A$2:$A$10001=cl_unmerged!B754) * (ISNUMBER(SEARCH("Screen Frame",SKUs!$J$2:$J$10001)))), SKUs!$J$2:$J$10001,""),"") &amp; _xlfn.IFS(I754="Height", ", H",I754="Height SLI", ", H SLI", I754="Height FIX", ", H FIX",I754="Width", ", W", I754="", "")</f>
        <v/>
      </c>
      <c r="F754" s="33" t="str" cm="1">
        <f t="array" ref="F754">_xlfn.XLOOKUP(1,((SKUs!$A$2:$A$10001=cl_unmerged!B754) * (ISNUMBER(SEARCH("Screen Frame",SKUs!$J$2:$J$10001)))* (ISNUMBER(SEARCH(A754,SKUs!$C$2:$C$10001)))), SKUs!$C$2:$C$10001,"")</f>
        <v/>
      </c>
      <c r="G754" s="16"/>
      <c r="H754" s="16" t="str" cm="1">
        <f t="array" ref="H754">IF(C754&lt;&gt;"", _xlfn.IFS(I754="Height SLI",_xlfn.XLOOKUP(C754,'calc_s90&amp;138'!$C$15:$C$1000,'calc_s90&amp;138'!$AG$15:$AG$1000,"",0), I754="Width", _xlfn.XLOOKUP(C754,'calc_s90&amp;138'!$C$15:$C$1000,'calc_s90&amp;138'!$AI$15:$AI$1000,"",0)),"")</f>
        <v/>
      </c>
      <c r="I754" s="16" t="str">
        <f t="shared" si="17"/>
        <v/>
      </c>
    </row>
    <row r="755" spans="1:9" ht="13.5" customHeight="1" x14ac:dyDescent="0.25">
      <c r="A755" s="41" t="str">
        <f>_xlfn.XLOOKUP(G755,dd_color!$A$2:$A$8,dd_color!$B$2:$B$8,"",0)</f>
        <v/>
      </c>
      <c r="B755" s="41">
        <f>_xlfn.XLOOKUP(_xlfn.XLOOKUP(C755,'Project Details'!$C$17:$C$10003,'Project Details'!$E$17:$E$10003, "",0),dd_design_raw!$A$2:$A$9997,dd_design_raw!$C$2:$C$9997,"",0)</f>
        <v>0</v>
      </c>
      <c r="C755" s="16"/>
      <c r="D755" s="16" t="str" cm="1">
        <f t="array" ref="D755">IF(C755&lt;&gt;"", _xlfn.IFS(I755="Height SLI",_xlfn.XLOOKUP(C755,'calc_s90&amp;138'!$C$15:$C$1000,'calc_s90&amp;138'!$AH$15:$AH$1000,"",0),  I755="Width", _xlfn.XLOOKUP(C755,'calc_s90&amp;138'!$C$15:$C$1000,'calc_s90&amp;138'!$AJ$15:$AJ$1000,"",0)),"")</f>
        <v/>
      </c>
      <c r="E755" s="16" t="str" cm="1">
        <f t="array" ref="E755">IF(C755&lt;&gt;"", _xlfn.XLOOKUP(1,((SKUs!$A$2:$A$10001=cl_unmerged!B755) * (ISNUMBER(SEARCH("Screen Frame",SKUs!$J$2:$J$10001)))), SKUs!$J$2:$J$10001,""),"") &amp; _xlfn.IFS(I755="Height", ", H",I755="Height SLI", ", H SLI", I755="Height FIX", ", H FIX",I755="Width", ", W", I755="", "")</f>
        <v/>
      </c>
      <c r="F755" s="33" t="str" cm="1">
        <f t="array" ref="F755">_xlfn.XLOOKUP(1,((SKUs!$A$2:$A$10001=cl_unmerged!B755) * (ISNUMBER(SEARCH("Screen Frame",SKUs!$J$2:$J$10001)))* (ISNUMBER(SEARCH(A755,SKUs!$C$2:$C$10001)))), SKUs!$C$2:$C$10001,"")</f>
        <v/>
      </c>
      <c r="G755" s="16"/>
      <c r="H755" s="16" t="str" cm="1">
        <f t="array" ref="H755">IF(C755&lt;&gt;"", _xlfn.IFS(I755="Height SLI",_xlfn.XLOOKUP(C755,'calc_s90&amp;138'!$C$15:$C$1000,'calc_s90&amp;138'!$AG$15:$AG$1000,"",0), I755="Width", _xlfn.XLOOKUP(C755,'calc_s90&amp;138'!$C$15:$C$1000,'calc_s90&amp;138'!$AI$15:$AI$1000,"",0)),"")</f>
        <v/>
      </c>
      <c r="I755" s="16" t="str">
        <f t="shared" si="17"/>
        <v/>
      </c>
    </row>
    <row r="756" spans="1:9" ht="13.5" customHeight="1" x14ac:dyDescent="0.25">
      <c r="A756" s="41" t="str">
        <f>_xlfn.XLOOKUP(G756,dd_color!$A$2:$A$8,dd_color!$B$2:$B$8,"",0)</f>
        <v/>
      </c>
      <c r="B756" s="41">
        <f>_xlfn.XLOOKUP(_xlfn.XLOOKUP(C756,'Project Details'!$C$17:$C$10003,'Project Details'!$E$17:$E$10003, "",0),dd_design_raw!$A$2:$A$9997,dd_design_raw!$C$2:$C$9997,"",0)</f>
        <v>0</v>
      </c>
      <c r="C756" s="16"/>
      <c r="D756" s="16" t="str" cm="1">
        <f t="array" ref="D756">IF(C756&lt;&gt;"", _xlfn.IFS(I756="Height SLI",_xlfn.XLOOKUP(C756,'calc_s90&amp;138'!$C$15:$C$1000,'calc_s90&amp;138'!$AH$15:$AH$1000,"",0),  I756="Width", _xlfn.XLOOKUP(C756,'calc_s90&amp;138'!$C$15:$C$1000,'calc_s90&amp;138'!$AJ$15:$AJ$1000,"",0)),"")</f>
        <v/>
      </c>
      <c r="E756" s="16" t="str" cm="1">
        <f t="array" ref="E756">IF(C756&lt;&gt;"", _xlfn.XLOOKUP(1,((SKUs!$A$2:$A$10001=cl_unmerged!B756) * (ISNUMBER(SEARCH("Screen Frame",SKUs!$J$2:$J$10001)))), SKUs!$J$2:$J$10001,""),"") &amp; _xlfn.IFS(I756="Height", ", H",I756="Height SLI", ", H SLI", I756="Height FIX", ", H FIX",I756="Width", ", W", I756="", "")</f>
        <v/>
      </c>
      <c r="F756" s="33" t="str" cm="1">
        <f t="array" ref="F756">_xlfn.XLOOKUP(1,((SKUs!$A$2:$A$10001=cl_unmerged!B756) * (ISNUMBER(SEARCH("Screen Frame",SKUs!$J$2:$J$10001)))* (ISNUMBER(SEARCH(A756,SKUs!$C$2:$C$10001)))), SKUs!$C$2:$C$10001,"")</f>
        <v/>
      </c>
      <c r="G756" s="16"/>
      <c r="H756" s="16" t="str" cm="1">
        <f t="array" ref="H756">IF(C756&lt;&gt;"", _xlfn.IFS(I756="Height SLI",_xlfn.XLOOKUP(C756,'calc_s90&amp;138'!$C$15:$C$1000,'calc_s90&amp;138'!$AG$15:$AG$1000,"",0), I756="Width", _xlfn.XLOOKUP(C756,'calc_s90&amp;138'!$C$15:$C$1000,'calc_s90&amp;138'!$AI$15:$AI$1000,"",0)),"")</f>
        <v/>
      </c>
      <c r="I756" s="16" t="str">
        <f t="shared" si="17"/>
        <v/>
      </c>
    </row>
    <row r="757" spans="1:9" ht="13.5" customHeight="1" x14ac:dyDescent="0.25">
      <c r="A757" s="41" t="str">
        <f>_xlfn.XLOOKUP(G757,dd_color!$A$2:$A$8,dd_color!$B$2:$B$8,"",0)</f>
        <v/>
      </c>
      <c r="B757" s="41">
        <f>_xlfn.XLOOKUP(_xlfn.XLOOKUP(C757,'Project Details'!$C$17:$C$10003,'Project Details'!$E$17:$E$10003, "",0),dd_design_raw!$A$2:$A$9997,dd_design_raw!$C$2:$C$9997,"",0)</f>
        <v>0</v>
      </c>
      <c r="C757" s="16"/>
      <c r="D757" s="16" t="str" cm="1">
        <f t="array" ref="D757">IF(C757&lt;&gt;"", _xlfn.IFS(I757="Height SLI",_xlfn.XLOOKUP(C757,'calc_s90&amp;138'!$C$15:$C$1000,'calc_s90&amp;138'!$AH$15:$AH$1000,"",0),  I757="Width", _xlfn.XLOOKUP(C757,'calc_s90&amp;138'!$C$15:$C$1000,'calc_s90&amp;138'!$AJ$15:$AJ$1000,"",0)),"")</f>
        <v/>
      </c>
      <c r="E757" s="16" t="str" cm="1">
        <f t="array" ref="E757">IF(C757&lt;&gt;"", _xlfn.XLOOKUP(1,((SKUs!$A$2:$A$10001=cl_unmerged!B757) * (ISNUMBER(SEARCH("Screen Frame",SKUs!$J$2:$J$10001)))), SKUs!$J$2:$J$10001,""),"") &amp; _xlfn.IFS(I757="Height", ", H",I757="Height SLI", ", H SLI", I757="Height FIX", ", H FIX",I757="Width", ", W", I757="", "")</f>
        <v/>
      </c>
      <c r="F757" s="33" t="str" cm="1">
        <f t="array" ref="F757">_xlfn.XLOOKUP(1,((SKUs!$A$2:$A$10001=cl_unmerged!B757) * (ISNUMBER(SEARCH("Screen Frame",SKUs!$J$2:$J$10001)))* (ISNUMBER(SEARCH(A757,SKUs!$C$2:$C$10001)))), SKUs!$C$2:$C$10001,"")</f>
        <v/>
      </c>
      <c r="G757" s="16"/>
      <c r="H757" s="16" t="str" cm="1">
        <f t="array" ref="H757">IF(C757&lt;&gt;"", _xlfn.IFS(I757="Height SLI",_xlfn.XLOOKUP(C757,'calc_s90&amp;138'!$C$15:$C$1000,'calc_s90&amp;138'!$AG$15:$AG$1000,"",0), I757="Width", _xlfn.XLOOKUP(C757,'calc_s90&amp;138'!$C$15:$C$1000,'calc_s90&amp;138'!$AI$15:$AI$1000,"",0)),"")</f>
        <v/>
      </c>
      <c r="I757" s="16" t="str">
        <f t="shared" si="17"/>
        <v/>
      </c>
    </row>
    <row r="758" spans="1:9" ht="13.5" customHeight="1" x14ac:dyDescent="0.25">
      <c r="A758" s="41" t="str">
        <f>_xlfn.XLOOKUP(G758,dd_color!$A$2:$A$8,dd_color!$B$2:$B$8,"",0)</f>
        <v/>
      </c>
      <c r="B758" s="41">
        <f>_xlfn.XLOOKUP(_xlfn.XLOOKUP(C758,'Project Details'!$C$17:$C$10003,'Project Details'!$E$17:$E$10003, "",0),dd_design_raw!$A$2:$A$9997,dd_design_raw!$C$2:$C$9997,"",0)</f>
        <v>0</v>
      </c>
      <c r="C758" s="16"/>
      <c r="D758" s="16" t="str" cm="1">
        <f t="array" ref="D758">IF(C758&lt;&gt;"", _xlfn.IFS(I758="Height SLI",_xlfn.XLOOKUP(C758,'calc_s90&amp;138'!$C$15:$C$1000,'calc_s90&amp;138'!$AH$15:$AH$1000,"",0),  I758="Width", _xlfn.XLOOKUP(C758,'calc_s90&amp;138'!$C$15:$C$1000,'calc_s90&amp;138'!$AJ$15:$AJ$1000,"",0)),"")</f>
        <v/>
      </c>
      <c r="E758" s="16" t="str" cm="1">
        <f t="array" ref="E758">IF(C758&lt;&gt;"", _xlfn.XLOOKUP(1,((SKUs!$A$2:$A$10001=cl_unmerged!B758) * (ISNUMBER(SEARCH("Screen Frame",SKUs!$J$2:$J$10001)))), SKUs!$J$2:$J$10001,""),"") &amp; _xlfn.IFS(I758="Height", ", H",I758="Height SLI", ", H SLI", I758="Height FIX", ", H FIX",I758="Width", ", W", I758="", "")</f>
        <v/>
      </c>
      <c r="F758" s="33" t="str" cm="1">
        <f t="array" ref="F758">_xlfn.XLOOKUP(1,((SKUs!$A$2:$A$10001=cl_unmerged!B758) * (ISNUMBER(SEARCH("Screen Frame",SKUs!$J$2:$J$10001)))* (ISNUMBER(SEARCH(A758,SKUs!$C$2:$C$10001)))), SKUs!$C$2:$C$10001,"")</f>
        <v/>
      </c>
      <c r="G758" s="16"/>
      <c r="H758" s="16" t="str" cm="1">
        <f t="array" ref="H758">IF(C758&lt;&gt;"", _xlfn.IFS(I758="Height SLI",_xlfn.XLOOKUP(C758,'calc_s90&amp;138'!$C$15:$C$1000,'calc_s90&amp;138'!$AG$15:$AG$1000,"",0), I758="Width", _xlfn.XLOOKUP(C758,'calc_s90&amp;138'!$C$15:$C$1000,'calc_s90&amp;138'!$AI$15:$AI$1000,"",0)),"")</f>
        <v/>
      </c>
      <c r="I758" s="16" t="str">
        <f t="shared" si="17"/>
        <v/>
      </c>
    </row>
    <row r="759" spans="1:9" ht="13.5" customHeight="1" x14ac:dyDescent="0.25">
      <c r="A759" s="41" t="str">
        <f>_xlfn.XLOOKUP(G759,dd_color!$A$2:$A$8,dd_color!$B$2:$B$8,"",0)</f>
        <v/>
      </c>
      <c r="B759" s="41">
        <f>_xlfn.XLOOKUP(_xlfn.XLOOKUP(C759,'Project Details'!$C$17:$C$10003,'Project Details'!$E$17:$E$10003, "",0),dd_design_raw!$A$2:$A$9997,dd_design_raw!$C$2:$C$9997,"",0)</f>
        <v>0</v>
      </c>
      <c r="C759" s="16"/>
      <c r="D759" s="16" t="str" cm="1">
        <f t="array" ref="D759">IF(C759&lt;&gt;"", _xlfn.IFS(I759="Height SLI",_xlfn.XLOOKUP(C759,'calc_s90&amp;138'!$C$15:$C$1000,'calc_s90&amp;138'!$AH$15:$AH$1000,"",0),  I759="Width", _xlfn.XLOOKUP(C759,'calc_s90&amp;138'!$C$15:$C$1000,'calc_s90&amp;138'!$AJ$15:$AJ$1000,"",0)),"")</f>
        <v/>
      </c>
      <c r="E759" s="16" t="str" cm="1">
        <f t="array" ref="E759">IF(C759&lt;&gt;"", _xlfn.XLOOKUP(1,((SKUs!$A$2:$A$10001=cl_unmerged!B759) * (ISNUMBER(SEARCH("Screen Frame",SKUs!$J$2:$J$10001)))), SKUs!$J$2:$J$10001,""),"") &amp; _xlfn.IFS(I759="Height", ", H",I759="Height SLI", ", H SLI", I759="Height FIX", ", H FIX",I759="Width", ", W", I759="", "")</f>
        <v/>
      </c>
      <c r="F759" s="33" t="str" cm="1">
        <f t="array" ref="F759">_xlfn.XLOOKUP(1,((SKUs!$A$2:$A$10001=cl_unmerged!B759) * (ISNUMBER(SEARCH("Screen Frame",SKUs!$J$2:$J$10001)))* (ISNUMBER(SEARCH(A759,SKUs!$C$2:$C$10001)))), SKUs!$C$2:$C$10001,"")</f>
        <v/>
      </c>
      <c r="G759" s="16"/>
      <c r="H759" s="16" t="str" cm="1">
        <f t="array" ref="H759">IF(C759&lt;&gt;"", _xlfn.IFS(I759="Height SLI",_xlfn.XLOOKUP(C759,'calc_s90&amp;138'!$C$15:$C$1000,'calc_s90&amp;138'!$AG$15:$AG$1000,"",0), I759="Width", _xlfn.XLOOKUP(C759,'calc_s90&amp;138'!$C$15:$C$1000,'calc_s90&amp;138'!$AI$15:$AI$1000,"",0)),"")</f>
        <v/>
      </c>
      <c r="I759" s="16" t="str">
        <f t="shared" si="17"/>
        <v/>
      </c>
    </row>
    <row r="760" spans="1:9" ht="13.5" customHeight="1" x14ac:dyDescent="0.25">
      <c r="A760" s="41" t="str">
        <f>_xlfn.XLOOKUP(G760,dd_color!$A$2:$A$8,dd_color!$B$2:$B$8,"",0)</f>
        <v/>
      </c>
      <c r="B760" s="41">
        <f>_xlfn.XLOOKUP(_xlfn.XLOOKUP(C760,'Project Details'!$C$17:$C$10003,'Project Details'!$E$17:$E$10003, "",0),dd_design_raw!$A$2:$A$9997,dd_design_raw!$C$2:$C$9997,"",0)</f>
        <v>0</v>
      </c>
      <c r="C760" s="16"/>
      <c r="D760" s="16" t="str" cm="1">
        <f t="array" ref="D760">IF(C760&lt;&gt;"", _xlfn.IFS(I760="Height SLI",_xlfn.XLOOKUP(C760,'calc_s90&amp;138'!$C$15:$C$1000,'calc_s90&amp;138'!$AH$15:$AH$1000,"",0),  I760="Width", _xlfn.XLOOKUP(C760,'calc_s90&amp;138'!$C$15:$C$1000,'calc_s90&amp;138'!$AJ$15:$AJ$1000,"",0)),"")</f>
        <v/>
      </c>
      <c r="E760" s="16" t="str" cm="1">
        <f t="array" ref="E760">IF(C760&lt;&gt;"", _xlfn.XLOOKUP(1,((SKUs!$A$2:$A$10001=cl_unmerged!B760) * (ISNUMBER(SEARCH("Screen Frame",SKUs!$J$2:$J$10001)))), SKUs!$J$2:$J$10001,""),"") &amp; _xlfn.IFS(I760="Height", ", H",I760="Height SLI", ", H SLI", I760="Height FIX", ", H FIX",I760="Width", ", W", I760="", "")</f>
        <v/>
      </c>
      <c r="F760" s="33" t="str" cm="1">
        <f t="array" ref="F760">_xlfn.XLOOKUP(1,((SKUs!$A$2:$A$10001=cl_unmerged!B760) * (ISNUMBER(SEARCH("Screen Frame",SKUs!$J$2:$J$10001)))* (ISNUMBER(SEARCH(A760,SKUs!$C$2:$C$10001)))), SKUs!$C$2:$C$10001,"")</f>
        <v/>
      </c>
      <c r="G760" s="16"/>
      <c r="H760" s="16" t="str" cm="1">
        <f t="array" ref="H760">IF(C760&lt;&gt;"", _xlfn.IFS(I760="Height SLI",_xlfn.XLOOKUP(C760,'calc_s90&amp;138'!$C$15:$C$1000,'calc_s90&amp;138'!$AG$15:$AG$1000,"",0), I760="Width", _xlfn.XLOOKUP(C760,'calc_s90&amp;138'!$C$15:$C$1000,'calc_s90&amp;138'!$AI$15:$AI$1000,"",0)),"")</f>
        <v/>
      </c>
      <c r="I760" s="16" t="str">
        <f t="shared" si="17"/>
        <v/>
      </c>
    </row>
    <row r="761" spans="1:9" ht="13.5" customHeight="1" x14ac:dyDescent="0.25">
      <c r="A761" s="41" t="str">
        <f>_xlfn.XLOOKUP(G761,dd_color!$A$2:$A$8,dd_color!$B$2:$B$8,"",0)</f>
        <v/>
      </c>
      <c r="B761" s="41">
        <f>_xlfn.XLOOKUP(_xlfn.XLOOKUP(C761,'Project Details'!$C$17:$C$10003,'Project Details'!$E$17:$E$10003, "",0),dd_design_raw!$A$2:$A$9997,dd_design_raw!$C$2:$C$9997,"",0)</f>
        <v>0</v>
      </c>
      <c r="C761" s="16"/>
      <c r="D761" s="16" t="str" cm="1">
        <f t="array" ref="D761">IF(C761&lt;&gt;"", _xlfn.IFS(I761="Height SLI",_xlfn.XLOOKUP(C761,'calc_s90&amp;138'!$C$15:$C$1000,'calc_s90&amp;138'!$AH$15:$AH$1000,"",0),  I761="Width", _xlfn.XLOOKUP(C761,'calc_s90&amp;138'!$C$15:$C$1000,'calc_s90&amp;138'!$AJ$15:$AJ$1000,"",0)),"")</f>
        <v/>
      </c>
      <c r="E761" s="16" t="str" cm="1">
        <f t="array" ref="E761">IF(C761&lt;&gt;"", _xlfn.XLOOKUP(1,((SKUs!$A$2:$A$10001=cl_unmerged!B761) * (ISNUMBER(SEARCH("Screen Frame",SKUs!$J$2:$J$10001)))), SKUs!$J$2:$J$10001,""),"") &amp; _xlfn.IFS(I761="Height", ", H",I761="Height SLI", ", H SLI", I761="Height FIX", ", H FIX",I761="Width", ", W", I761="", "")</f>
        <v/>
      </c>
      <c r="F761" s="33" t="str" cm="1">
        <f t="array" ref="F761">_xlfn.XLOOKUP(1,((SKUs!$A$2:$A$10001=cl_unmerged!B761) * (ISNUMBER(SEARCH("Screen Frame",SKUs!$J$2:$J$10001)))* (ISNUMBER(SEARCH(A761,SKUs!$C$2:$C$10001)))), SKUs!$C$2:$C$10001,"")</f>
        <v/>
      </c>
      <c r="G761" s="16"/>
      <c r="H761" s="16" t="str" cm="1">
        <f t="array" ref="H761">IF(C761&lt;&gt;"", _xlfn.IFS(I761="Height SLI",_xlfn.XLOOKUP(C761,'calc_s90&amp;138'!$C$15:$C$1000,'calc_s90&amp;138'!$AG$15:$AG$1000,"",0), I761="Width", _xlfn.XLOOKUP(C761,'calc_s90&amp;138'!$C$15:$C$1000,'calc_s90&amp;138'!$AI$15:$AI$1000,"",0)),"")</f>
        <v/>
      </c>
      <c r="I761" s="16" t="str">
        <f t="shared" si="17"/>
        <v/>
      </c>
    </row>
    <row r="762" spans="1:9" ht="13.5" customHeight="1" x14ac:dyDescent="0.25">
      <c r="A762" s="41" t="str">
        <f>_xlfn.XLOOKUP(G762,dd_color!$A$2:$A$8,dd_color!$B$2:$B$8,"",0)</f>
        <v/>
      </c>
      <c r="B762" s="41">
        <f>_xlfn.XLOOKUP(_xlfn.XLOOKUP(C762,'Project Details'!$C$17:$C$10003,'Project Details'!$E$17:$E$10003, "",0),dd_design_raw!$A$2:$A$9997,dd_design_raw!$C$2:$C$9997,"",0)</f>
        <v>0</v>
      </c>
      <c r="C762" s="16"/>
      <c r="D762" s="16" t="str" cm="1">
        <f t="array" ref="D762">IF(C762&lt;&gt;"", _xlfn.IFS(I762="Height SLI",_xlfn.XLOOKUP(C762,'calc_s90&amp;138'!$C$15:$C$1000,'calc_s90&amp;138'!$AH$15:$AH$1000,"",0),  I762="Width", _xlfn.XLOOKUP(C762,'calc_s90&amp;138'!$C$15:$C$1000,'calc_s90&amp;138'!$AJ$15:$AJ$1000,"",0)),"")</f>
        <v/>
      </c>
      <c r="E762" s="16" t="str" cm="1">
        <f t="array" ref="E762">IF(C762&lt;&gt;"", _xlfn.XLOOKUP(1,((SKUs!$A$2:$A$10001=cl_unmerged!B762) * (ISNUMBER(SEARCH("Screen Frame",SKUs!$J$2:$J$10001)))), SKUs!$J$2:$J$10001,""),"") &amp; _xlfn.IFS(I762="Height", ", H",I762="Height SLI", ", H SLI", I762="Height FIX", ", H FIX",I762="Width", ", W", I762="", "")</f>
        <v/>
      </c>
      <c r="F762" s="33" t="str" cm="1">
        <f t="array" ref="F762">_xlfn.XLOOKUP(1,((SKUs!$A$2:$A$10001=cl_unmerged!B762) * (ISNUMBER(SEARCH("Screen Frame",SKUs!$J$2:$J$10001)))* (ISNUMBER(SEARCH(A762,SKUs!$C$2:$C$10001)))), SKUs!$C$2:$C$10001,"")</f>
        <v/>
      </c>
      <c r="G762" s="16"/>
      <c r="H762" s="16" t="str" cm="1">
        <f t="array" ref="H762">IF(C762&lt;&gt;"", _xlfn.IFS(I762="Height SLI",_xlfn.XLOOKUP(C762,'calc_s90&amp;138'!$C$15:$C$1000,'calc_s90&amp;138'!$AG$15:$AG$1000,"",0), I762="Width", _xlfn.XLOOKUP(C762,'calc_s90&amp;138'!$C$15:$C$1000,'calc_s90&amp;138'!$AI$15:$AI$1000,"",0)),"")</f>
        <v/>
      </c>
      <c r="I762" s="16" t="str">
        <f t="shared" si="17"/>
        <v/>
      </c>
    </row>
    <row r="763" spans="1:9" ht="13.5" customHeight="1" x14ac:dyDescent="0.25">
      <c r="A763" s="41" t="str">
        <f>_xlfn.XLOOKUP(G763,dd_color!$A$2:$A$8,dd_color!$B$2:$B$8,"",0)</f>
        <v/>
      </c>
      <c r="B763" s="41">
        <f>_xlfn.XLOOKUP(_xlfn.XLOOKUP(C763,'Project Details'!$C$17:$C$10003,'Project Details'!$E$17:$E$10003, "",0),dd_design_raw!$A$2:$A$9997,dd_design_raw!$C$2:$C$9997,"",0)</f>
        <v>0</v>
      </c>
      <c r="C763" s="16"/>
      <c r="D763" s="16" t="str" cm="1">
        <f t="array" ref="D763">IF(C763&lt;&gt;"", _xlfn.IFS(I763="Height SLI",_xlfn.XLOOKUP(C763,'calc_s90&amp;138'!$C$15:$C$1000,'calc_s90&amp;138'!$AH$15:$AH$1000,"",0),  I763="Width", _xlfn.XLOOKUP(C763,'calc_s90&amp;138'!$C$15:$C$1000,'calc_s90&amp;138'!$AJ$15:$AJ$1000,"",0)),"")</f>
        <v/>
      </c>
      <c r="E763" s="16" t="str" cm="1">
        <f t="array" ref="E763">IF(C763&lt;&gt;"", _xlfn.XLOOKUP(1,((SKUs!$A$2:$A$10001=cl_unmerged!B763) * (ISNUMBER(SEARCH("Screen Frame",SKUs!$J$2:$J$10001)))), SKUs!$J$2:$J$10001,""),"") &amp; _xlfn.IFS(I763="Height", ", H",I763="Height SLI", ", H SLI", I763="Height FIX", ", H FIX",I763="Width", ", W", I763="", "")</f>
        <v/>
      </c>
      <c r="F763" s="33" t="str" cm="1">
        <f t="array" ref="F763">_xlfn.XLOOKUP(1,((SKUs!$A$2:$A$10001=cl_unmerged!B763) * (ISNUMBER(SEARCH("Screen Frame",SKUs!$J$2:$J$10001)))* (ISNUMBER(SEARCH(A763,SKUs!$C$2:$C$10001)))), SKUs!$C$2:$C$10001,"")</f>
        <v/>
      </c>
      <c r="G763" s="16"/>
      <c r="H763" s="16" t="str" cm="1">
        <f t="array" ref="H763">IF(C763&lt;&gt;"", _xlfn.IFS(I763="Height SLI",_xlfn.XLOOKUP(C763,'calc_s90&amp;138'!$C$15:$C$1000,'calc_s90&amp;138'!$AG$15:$AG$1000,"",0), I763="Width", _xlfn.XLOOKUP(C763,'calc_s90&amp;138'!$C$15:$C$1000,'calc_s90&amp;138'!$AI$15:$AI$1000,"",0)),"")</f>
        <v/>
      </c>
      <c r="I763" s="16" t="str">
        <f t="shared" si="17"/>
        <v/>
      </c>
    </row>
    <row r="764" spans="1:9" ht="13.5" customHeight="1" x14ac:dyDescent="0.25">
      <c r="A764" s="41" t="str">
        <f>_xlfn.XLOOKUP(G764,dd_color!$A$2:$A$8,dd_color!$B$2:$B$8,"",0)</f>
        <v/>
      </c>
      <c r="B764" s="41">
        <f>_xlfn.XLOOKUP(_xlfn.XLOOKUP(C764,'Project Details'!$C$17:$C$10003,'Project Details'!$E$17:$E$10003, "",0),dd_design_raw!$A$2:$A$9997,dd_design_raw!$C$2:$C$9997,"",0)</f>
        <v>0</v>
      </c>
      <c r="C764" s="16"/>
      <c r="D764" s="16" t="str" cm="1">
        <f t="array" ref="D764">IF(C764&lt;&gt;"", _xlfn.IFS(I764="Height SLI",_xlfn.XLOOKUP(C764,'calc_s90&amp;138'!$C$15:$C$1000,'calc_s90&amp;138'!$AH$15:$AH$1000,"",0),  I764="Width", _xlfn.XLOOKUP(C764,'calc_s90&amp;138'!$C$15:$C$1000,'calc_s90&amp;138'!$AJ$15:$AJ$1000,"",0)),"")</f>
        <v/>
      </c>
      <c r="E764" s="16" t="str" cm="1">
        <f t="array" ref="E764">IF(C764&lt;&gt;"", _xlfn.XLOOKUP(1,((SKUs!$A$2:$A$10001=cl_unmerged!B764) * (ISNUMBER(SEARCH("Screen Frame",SKUs!$J$2:$J$10001)))), SKUs!$J$2:$J$10001,""),"") &amp; _xlfn.IFS(I764="Height", ", H",I764="Height SLI", ", H SLI", I764="Height FIX", ", H FIX",I764="Width", ", W", I764="", "")</f>
        <v/>
      </c>
      <c r="F764" s="33" t="str" cm="1">
        <f t="array" ref="F764">_xlfn.XLOOKUP(1,((SKUs!$A$2:$A$10001=cl_unmerged!B764) * (ISNUMBER(SEARCH("Screen Frame",SKUs!$J$2:$J$10001)))* (ISNUMBER(SEARCH(A764,SKUs!$C$2:$C$10001)))), SKUs!$C$2:$C$10001,"")</f>
        <v/>
      </c>
      <c r="G764" s="16"/>
      <c r="H764" s="16" t="str" cm="1">
        <f t="array" ref="H764">IF(C764&lt;&gt;"", _xlfn.IFS(I764="Height SLI",_xlfn.XLOOKUP(C764,'calc_s90&amp;138'!$C$15:$C$1000,'calc_s90&amp;138'!$AG$15:$AG$1000,"",0), I764="Width", _xlfn.XLOOKUP(C764,'calc_s90&amp;138'!$C$15:$C$1000,'calc_s90&amp;138'!$AI$15:$AI$1000,"",0)),"")</f>
        <v/>
      </c>
      <c r="I764" s="16" t="str">
        <f t="shared" si="17"/>
        <v/>
      </c>
    </row>
    <row r="765" spans="1:9" ht="13.5" customHeight="1" x14ac:dyDescent="0.25">
      <c r="A765" s="41" t="str">
        <f>_xlfn.XLOOKUP(G765,dd_color!$A$2:$A$8,dd_color!$B$2:$B$8,"",0)</f>
        <v/>
      </c>
      <c r="B765" s="41">
        <f>_xlfn.XLOOKUP(_xlfn.XLOOKUP(C765,'Project Details'!$C$17:$C$10003,'Project Details'!$E$17:$E$10003, "",0),dd_design_raw!$A$2:$A$9997,dd_design_raw!$C$2:$C$9997,"",0)</f>
        <v>0</v>
      </c>
      <c r="C765" s="16"/>
      <c r="D765" s="16" t="str" cm="1">
        <f t="array" ref="D765">IF(C765&lt;&gt;"", _xlfn.IFS(I765="Height SLI",_xlfn.XLOOKUP(C765,'calc_s90&amp;138'!$C$15:$C$1000,'calc_s90&amp;138'!$AH$15:$AH$1000,"",0),  I765="Width", _xlfn.XLOOKUP(C765,'calc_s90&amp;138'!$C$15:$C$1000,'calc_s90&amp;138'!$AJ$15:$AJ$1000,"",0)),"")</f>
        <v/>
      </c>
      <c r="E765" s="16" t="str" cm="1">
        <f t="array" ref="E765">IF(C765&lt;&gt;"", _xlfn.XLOOKUP(1,((SKUs!$A$2:$A$10001=cl_unmerged!B765) * (ISNUMBER(SEARCH("Screen Frame",SKUs!$J$2:$J$10001)))), SKUs!$J$2:$J$10001,""),"") &amp; _xlfn.IFS(I765="Height", ", H",I765="Height SLI", ", H SLI", I765="Height FIX", ", H FIX",I765="Width", ", W", I765="", "")</f>
        <v/>
      </c>
      <c r="F765" s="33" t="str" cm="1">
        <f t="array" ref="F765">_xlfn.XLOOKUP(1,((SKUs!$A$2:$A$10001=cl_unmerged!B765) * (ISNUMBER(SEARCH("Screen Frame",SKUs!$J$2:$J$10001)))* (ISNUMBER(SEARCH(A765,SKUs!$C$2:$C$10001)))), SKUs!$C$2:$C$10001,"")</f>
        <v/>
      </c>
      <c r="G765" s="16"/>
      <c r="H765" s="16" t="str" cm="1">
        <f t="array" ref="H765">IF(C765&lt;&gt;"", _xlfn.IFS(I765="Height SLI",_xlfn.XLOOKUP(C765,'calc_s90&amp;138'!$C$15:$C$1000,'calc_s90&amp;138'!$AG$15:$AG$1000,"",0), I765="Width", _xlfn.XLOOKUP(C765,'calc_s90&amp;138'!$C$15:$C$1000,'calc_s90&amp;138'!$AI$15:$AI$1000,"",0)),"")</f>
        <v/>
      </c>
      <c r="I765" s="16" t="str">
        <f t="shared" si="17"/>
        <v/>
      </c>
    </row>
    <row r="766" spans="1:9" ht="13.5" customHeight="1" x14ac:dyDescent="0.25">
      <c r="A766" s="41" t="str">
        <f>_xlfn.XLOOKUP(G766,dd_color!$A$2:$A$8,dd_color!$B$2:$B$8,"",0)</f>
        <v/>
      </c>
      <c r="B766" s="41">
        <f>_xlfn.XLOOKUP(_xlfn.XLOOKUP(C766,'Project Details'!$C$17:$C$10003,'Project Details'!$E$17:$E$10003, "",0),dd_design_raw!$A$2:$A$9997,dd_design_raw!$C$2:$C$9997,"",0)</f>
        <v>0</v>
      </c>
      <c r="C766" s="16"/>
      <c r="D766" s="16" t="str" cm="1">
        <f t="array" ref="D766">IF(C766&lt;&gt;"", _xlfn.IFS(I766="Height SLI",_xlfn.XLOOKUP(C766,'calc_s90&amp;138'!$C$15:$C$1000,'calc_s90&amp;138'!$AH$15:$AH$1000,"",0),  I766="Width", _xlfn.XLOOKUP(C766,'calc_s90&amp;138'!$C$15:$C$1000,'calc_s90&amp;138'!$AJ$15:$AJ$1000,"",0)),"")</f>
        <v/>
      </c>
      <c r="E766" s="16" t="str" cm="1">
        <f t="array" ref="E766">IF(C766&lt;&gt;"", _xlfn.XLOOKUP(1,((SKUs!$A$2:$A$10001=cl_unmerged!B766) * (ISNUMBER(SEARCH("Screen Frame",SKUs!$J$2:$J$10001)))), SKUs!$J$2:$J$10001,""),"") &amp; _xlfn.IFS(I766="Height", ", H",I766="Height SLI", ", H SLI", I766="Height FIX", ", H FIX",I766="Width", ", W", I766="", "")</f>
        <v/>
      </c>
      <c r="F766" s="33" t="str" cm="1">
        <f t="array" ref="F766">_xlfn.XLOOKUP(1,((SKUs!$A$2:$A$10001=cl_unmerged!B766) * (ISNUMBER(SEARCH("Screen Frame",SKUs!$J$2:$J$10001)))* (ISNUMBER(SEARCH(A766,SKUs!$C$2:$C$10001)))), SKUs!$C$2:$C$10001,"")</f>
        <v/>
      </c>
      <c r="G766" s="16"/>
      <c r="H766" s="16" t="str" cm="1">
        <f t="array" ref="H766">IF(C766&lt;&gt;"", _xlfn.IFS(I766="Height SLI",_xlfn.XLOOKUP(C766,'calc_s90&amp;138'!$C$15:$C$1000,'calc_s90&amp;138'!$AG$15:$AG$1000,"",0), I766="Width", _xlfn.XLOOKUP(C766,'calc_s90&amp;138'!$C$15:$C$1000,'calc_s90&amp;138'!$AI$15:$AI$1000,"",0)),"")</f>
        <v/>
      </c>
      <c r="I766" s="16" t="str">
        <f t="shared" si="17"/>
        <v/>
      </c>
    </row>
    <row r="767" spans="1:9" ht="13.5" customHeight="1" x14ac:dyDescent="0.25">
      <c r="A767" s="41" t="str">
        <f>_xlfn.XLOOKUP(G767,dd_color!$A$2:$A$8,dd_color!$B$2:$B$8,"",0)</f>
        <v/>
      </c>
      <c r="B767" s="41">
        <f>_xlfn.XLOOKUP(_xlfn.XLOOKUP(C767,'Project Details'!$C$17:$C$10003,'Project Details'!$E$17:$E$10003, "",0),dd_design_raw!$A$2:$A$9997,dd_design_raw!$C$2:$C$9997,"",0)</f>
        <v>0</v>
      </c>
      <c r="C767" s="16"/>
      <c r="D767" s="16" t="str" cm="1">
        <f t="array" ref="D767">IF(C767&lt;&gt;"", _xlfn.IFS(I767="Height SLI",_xlfn.XLOOKUP(C767,'calc_s90&amp;138'!$C$15:$C$1000,'calc_s90&amp;138'!$AH$15:$AH$1000,"",0),  I767="Width", _xlfn.XLOOKUP(C767,'calc_s90&amp;138'!$C$15:$C$1000,'calc_s90&amp;138'!$AJ$15:$AJ$1000,"",0)),"")</f>
        <v/>
      </c>
      <c r="E767" s="16" t="str" cm="1">
        <f t="array" ref="E767">IF(C767&lt;&gt;"", _xlfn.XLOOKUP(1,((SKUs!$A$2:$A$10001=cl_unmerged!B767) * (ISNUMBER(SEARCH("Screen Frame",SKUs!$J$2:$J$10001)))), SKUs!$J$2:$J$10001,""),"") &amp; _xlfn.IFS(I767="Height", ", H",I767="Height SLI", ", H SLI", I767="Height FIX", ", H FIX",I767="Width", ", W", I767="", "")</f>
        <v/>
      </c>
      <c r="F767" s="33" t="str" cm="1">
        <f t="array" ref="F767">_xlfn.XLOOKUP(1,((SKUs!$A$2:$A$10001=cl_unmerged!B767) * (ISNUMBER(SEARCH("Screen Frame",SKUs!$J$2:$J$10001)))* (ISNUMBER(SEARCH(A767,SKUs!$C$2:$C$10001)))), SKUs!$C$2:$C$10001,"")</f>
        <v/>
      </c>
      <c r="G767" s="16"/>
      <c r="H767" s="16" t="str" cm="1">
        <f t="array" ref="H767">IF(C767&lt;&gt;"", _xlfn.IFS(I767="Height SLI",_xlfn.XLOOKUP(C767,'calc_s90&amp;138'!$C$15:$C$1000,'calc_s90&amp;138'!$AG$15:$AG$1000,"",0), I767="Width", _xlfn.XLOOKUP(C767,'calc_s90&amp;138'!$C$15:$C$1000,'calc_s90&amp;138'!$AI$15:$AI$1000,"",0)),"")</f>
        <v/>
      </c>
      <c r="I767" s="16" t="str">
        <f t="shared" si="17"/>
        <v/>
      </c>
    </row>
    <row r="768" spans="1:9" ht="13.5" customHeight="1" x14ac:dyDescent="0.25">
      <c r="A768" s="41" t="str">
        <f>_xlfn.XLOOKUP(G768,dd_color!$A$2:$A$8,dd_color!$B$2:$B$8,"",0)</f>
        <v/>
      </c>
      <c r="B768" s="41">
        <f>_xlfn.XLOOKUP(_xlfn.XLOOKUP(C768,'Project Details'!$C$17:$C$10003,'Project Details'!$E$17:$E$10003, "",0),dd_design_raw!$A$2:$A$9997,dd_design_raw!$C$2:$C$9997,"",0)</f>
        <v>0</v>
      </c>
      <c r="C768" s="16"/>
      <c r="D768" s="16" t="str" cm="1">
        <f t="array" ref="D768">IF(C768&lt;&gt;"", _xlfn.IFS(I768="Height SLI",_xlfn.XLOOKUP(C768,'calc_s90&amp;138'!$C$15:$C$1000,'calc_s90&amp;138'!$AH$15:$AH$1000,"",0),  I768="Width", _xlfn.XLOOKUP(C768,'calc_s90&amp;138'!$C$15:$C$1000,'calc_s90&amp;138'!$AJ$15:$AJ$1000,"",0)),"")</f>
        <v/>
      </c>
      <c r="E768" s="16" t="str" cm="1">
        <f t="array" ref="E768">IF(C768&lt;&gt;"", _xlfn.XLOOKUP(1,((SKUs!$A$2:$A$10001=cl_unmerged!B768) * (ISNUMBER(SEARCH("Screen Frame",SKUs!$J$2:$J$10001)))), SKUs!$J$2:$J$10001,""),"") &amp; _xlfn.IFS(I768="Height", ", H",I768="Height SLI", ", H SLI", I768="Height FIX", ", H FIX",I768="Width", ", W", I768="", "")</f>
        <v/>
      </c>
      <c r="F768" s="33" t="str" cm="1">
        <f t="array" ref="F768">_xlfn.XLOOKUP(1,((SKUs!$A$2:$A$10001=cl_unmerged!B768) * (ISNUMBER(SEARCH("Screen Frame",SKUs!$J$2:$J$10001)))* (ISNUMBER(SEARCH(A768,SKUs!$C$2:$C$10001)))), SKUs!$C$2:$C$10001,"")</f>
        <v/>
      </c>
      <c r="G768" s="16"/>
      <c r="H768" s="16" t="str" cm="1">
        <f t="array" ref="H768">IF(C768&lt;&gt;"", _xlfn.IFS(I768="Height SLI",_xlfn.XLOOKUP(C768,'calc_s90&amp;138'!$C$15:$C$1000,'calc_s90&amp;138'!$AG$15:$AG$1000,"",0), I768="Width", _xlfn.XLOOKUP(C768,'calc_s90&amp;138'!$C$15:$C$1000,'calc_s90&amp;138'!$AI$15:$AI$1000,"",0)),"")</f>
        <v/>
      </c>
      <c r="I768" s="16" t="str">
        <f t="shared" si="17"/>
        <v/>
      </c>
    </row>
    <row r="769" spans="1:9" ht="13.5" customHeight="1" x14ac:dyDescent="0.25">
      <c r="A769" s="41" t="str">
        <f>_xlfn.XLOOKUP(G769,dd_color!$A$2:$A$8,dd_color!$B$2:$B$8,"",0)</f>
        <v/>
      </c>
      <c r="B769" s="41">
        <f>_xlfn.XLOOKUP(_xlfn.XLOOKUP(C769,'Project Details'!$C$17:$C$10003,'Project Details'!$E$17:$E$10003, "",0),dd_design_raw!$A$2:$A$9997,dd_design_raw!$C$2:$C$9997,"",0)</f>
        <v>0</v>
      </c>
      <c r="C769" s="16"/>
      <c r="D769" s="16" t="str" cm="1">
        <f t="array" ref="D769">IF(C769&lt;&gt;"", _xlfn.IFS(I769="Height SLI",_xlfn.XLOOKUP(C769,'calc_s90&amp;138'!$C$15:$C$1000,'calc_s90&amp;138'!$AH$15:$AH$1000,"",0),  I769="Width", _xlfn.XLOOKUP(C769,'calc_s90&amp;138'!$C$15:$C$1000,'calc_s90&amp;138'!$AJ$15:$AJ$1000,"",0)),"")</f>
        <v/>
      </c>
      <c r="E769" s="16" t="str" cm="1">
        <f t="array" ref="E769">IF(C769&lt;&gt;"", _xlfn.XLOOKUP(1,((SKUs!$A$2:$A$10001=cl_unmerged!B769) * (ISNUMBER(SEARCH("Screen Frame",SKUs!$J$2:$J$10001)))), SKUs!$J$2:$J$10001,""),"") &amp; _xlfn.IFS(I769="Height", ", H",I769="Height SLI", ", H SLI", I769="Height FIX", ", H FIX",I769="Width", ", W", I769="", "")</f>
        <v/>
      </c>
      <c r="F769" s="33" t="str" cm="1">
        <f t="array" ref="F769">_xlfn.XLOOKUP(1,((SKUs!$A$2:$A$10001=cl_unmerged!B769) * (ISNUMBER(SEARCH("Screen Frame",SKUs!$J$2:$J$10001)))* (ISNUMBER(SEARCH(A769,SKUs!$C$2:$C$10001)))), SKUs!$C$2:$C$10001,"")</f>
        <v/>
      </c>
      <c r="G769" s="16"/>
      <c r="H769" s="16" t="str" cm="1">
        <f t="array" ref="H769">IF(C769&lt;&gt;"", _xlfn.IFS(I769="Height SLI",_xlfn.XLOOKUP(C769,'calc_s90&amp;138'!$C$15:$C$1000,'calc_s90&amp;138'!$AG$15:$AG$1000,"",0), I769="Width", _xlfn.XLOOKUP(C769,'calc_s90&amp;138'!$C$15:$C$1000,'calc_s90&amp;138'!$AI$15:$AI$1000,"",0)),"")</f>
        <v/>
      </c>
      <c r="I769" s="16" t="str">
        <f t="shared" si="17"/>
        <v/>
      </c>
    </row>
    <row r="770" spans="1:9" ht="13.5" customHeight="1" x14ac:dyDescent="0.25">
      <c r="A770" s="41" t="str">
        <f>_xlfn.XLOOKUP(G770,dd_color!$A$2:$A$8,dd_color!$B$2:$B$8,"",0)</f>
        <v/>
      </c>
      <c r="B770" s="41">
        <f>_xlfn.XLOOKUP(_xlfn.XLOOKUP(C770,'Project Details'!$C$17:$C$10003,'Project Details'!$E$17:$E$10003, "",0),dd_design_raw!$A$2:$A$9997,dd_design_raw!$C$2:$C$9997,"",0)</f>
        <v>0</v>
      </c>
      <c r="C770" s="16"/>
      <c r="D770" s="16" t="str" cm="1">
        <f t="array" ref="D770">IF(C770&lt;&gt;"", _xlfn.IFS(I770="Height SLI",_xlfn.XLOOKUP(C770,'calc_s90&amp;138'!$C$15:$C$1000,'calc_s90&amp;138'!$AH$15:$AH$1000,"",0),  I770="Width", _xlfn.XLOOKUP(C770,'calc_s90&amp;138'!$C$15:$C$1000,'calc_s90&amp;138'!$AJ$15:$AJ$1000,"",0)),"")</f>
        <v/>
      </c>
      <c r="E770" s="16" t="str" cm="1">
        <f t="array" ref="E770">IF(C770&lt;&gt;"", _xlfn.XLOOKUP(1,((SKUs!$A$2:$A$10001=cl_unmerged!B770) * (ISNUMBER(SEARCH("Screen Frame",SKUs!$J$2:$J$10001)))), SKUs!$J$2:$J$10001,""),"") &amp; _xlfn.IFS(I770="Height", ", H",I770="Height SLI", ", H SLI", I770="Height FIX", ", H FIX",I770="Width", ", W", I770="", "")</f>
        <v/>
      </c>
      <c r="F770" s="33" t="str" cm="1">
        <f t="array" ref="F770">_xlfn.XLOOKUP(1,((SKUs!$A$2:$A$10001=cl_unmerged!B770) * (ISNUMBER(SEARCH("Screen Frame",SKUs!$J$2:$J$10001)))* (ISNUMBER(SEARCH(A770,SKUs!$C$2:$C$10001)))), SKUs!$C$2:$C$10001,"")</f>
        <v/>
      </c>
      <c r="G770" s="16"/>
      <c r="H770" s="16" t="str" cm="1">
        <f t="array" ref="H770">IF(C770&lt;&gt;"", _xlfn.IFS(I770="Height SLI",_xlfn.XLOOKUP(C770,'calc_s90&amp;138'!$C$15:$C$1000,'calc_s90&amp;138'!$AG$15:$AG$1000,"",0), I770="Width", _xlfn.XLOOKUP(C770,'calc_s90&amp;138'!$C$15:$C$1000,'calc_s90&amp;138'!$AI$15:$AI$1000,"",0)),"")</f>
        <v/>
      </c>
      <c r="I770" s="16" t="str">
        <f t="shared" si="17"/>
        <v/>
      </c>
    </row>
    <row r="771" spans="1:9" ht="13.5" customHeight="1" x14ac:dyDescent="0.25">
      <c r="A771" s="41" t="str">
        <f>_xlfn.XLOOKUP(G771,dd_color!$A$2:$A$8,dd_color!$B$2:$B$8,"",0)</f>
        <v/>
      </c>
      <c r="B771" s="41">
        <f>_xlfn.XLOOKUP(_xlfn.XLOOKUP(C771,'Project Details'!$C$17:$C$10003,'Project Details'!$E$17:$E$10003, "",0),dd_design_raw!$A$2:$A$9997,dd_design_raw!$C$2:$C$9997,"",0)</f>
        <v>0</v>
      </c>
      <c r="C771" s="16"/>
      <c r="D771" s="16" t="str" cm="1">
        <f t="array" ref="D771">IF(C771&lt;&gt;"", _xlfn.IFS(I771="Height SLI",_xlfn.XLOOKUP(C771,'calc_s90&amp;138'!$C$15:$C$1000,'calc_s90&amp;138'!$AH$15:$AH$1000,"",0),  I771="Width", _xlfn.XLOOKUP(C771,'calc_s90&amp;138'!$C$15:$C$1000,'calc_s90&amp;138'!$AJ$15:$AJ$1000,"",0)),"")</f>
        <v/>
      </c>
      <c r="E771" s="16" t="str" cm="1">
        <f t="array" ref="E771">IF(C771&lt;&gt;"", _xlfn.XLOOKUP(1,((SKUs!$A$2:$A$10001=cl_unmerged!B771) * (ISNUMBER(SEARCH("Screen Frame",SKUs!$J$2:$J$10001)))), SKUs!$J$2:$J$10001,""),"") &amp; _xlfn.IFS(I771="Height", ", H",I771="Height SLI", ", H SLI", I771="Height FIX", ", H FIX",I771="Width", ", W", I771="", "")</f>
        <v/>
      </c>
      <c r="F771" s="33" t="str" cm="1">
        <f t="array" ref="F771">_xlfn.XLOOKUP(1,((SKUs!$A$2:$A$10001=cl_unmerged!B771) * (ISNUMBER(SEARCH("Screen Frame",SKUs!$J$2:$J$10001)))* (ISNUMBER(SEARCH(A771,SKUs!$C$2:$C$10001)))), SKUs!$C$2:$C$10001,"")</f>
        <v/>
      </c>
      <c r="G771" s="16"/>
      <c r="H771" s="16" t="str" cm="1">
        <f t="array" ref="H771">IF(C771&lt;&gt;"", _xlfn.IFS(I771="Height SLI",_xlfn.XLOOKUP(C771,'calc_s90&amp;138'!$C$15:$C$1000,'calc_s90&amp;138'!$AG$15:$AG$1000,"",0), I771="Width", _xlfn.XLOOKUP(C771,'calc_s90&amp;138'!$C$15:$C$1000,'calc_s90&amp;138'!$AI$15:$AI$1000,"",0)),"")</f>
        <v/>
      </c>
      <c r="I771" s="16" t="str">
        <f t="shared" si="17"/>
        <v/>
      </c>
    </row>
    <row r="772" spans="1:9" ht="13.5" customHeight="1" x14ac:dyDescent="0.25">
      <c r="A772" s="41" t="str">
        <f>_xlfn.XLOOKUP(G772,dd_color!$A$2:$A$8,dd_color!$B$2:$B$8,"",0)</f>
        <v/>
      </c>
      <c r="B772" s="41">
        <f>_xlfn.XLOOKUP(_xlfn.XLOOKUP(C772,'Project Details'!$C$17:$C$10003,'Project Details'!$E$17:$E$10003, "",0),dd_design_raw!$A$2:$A$9997,dd_design_raw!$C$2:$C$9997,"",0)</f>
        <v>0</v>
      </c>
      <c r="C772" s="16"/>
      <c r="D772" s="16" t="str" cm="1">
        <f t="array" ref="D772">IF(C772&lt;&gt;"", _xlfn.IFS(I772="Height SLI",_xlfn.XLOOKUP(C772,'calc_s90&amp;138'!$C$15:$C$1000,'calc_s90&amp;138'!$AH$15:$AH$1000,"",0),  I772="Width", _xlfn.XLOOKUP(C772,'calc_s90&amp;138'!$C$15:$C$1000,'calc_s90&amp;138'!$AJ$15:$AJ$1000,"",0)),"")</f>
        <v/>
      </c>
      <c r="E772" s="16" t="str" cm="1">
        <f t="array" ref="E772">IF(C772&lt;&gt;"", _xlfn.XLOOKUP(1,((SKUs!$A$2:$A$10001=cl_unmerged!B772) * (ISNUMBER(SEARCH("Screen Frame",SKUs!$J$2:$J$10001)))), SKUs!$J$2:$J$10001,""),"") &amp; _xlfn.IFS(I772="Height", ", H",I772="Height SLI", ", H SLI", I772="Height FIX", ", H FIX",I772="Width", ", W", I772="", "")</f>
        <v/>
      </c>
      <c r="F772" s="33" t="str" cm="1">
        <f t="array" ref="F772">_xlfn.XLOOKUP(1,((SKUs!$A$2:$A$10001=cl_unmerged!B772) * (ISNUMBER(SEARCH("Screen Frame",SKUs!$J$2:$J$10001)))* (ISNUMBER(SEARCH(A772,SKUs!$C$2:$C$10001)))), SKUs!$C$2:$C$10001,"")</f>
        <v/>
      </c>
      <c r="G772" s="16"/>
      <c r="H772" s="16" t="str" cm="1">
        <f t="array" ref="H772">IF(C772&lt;&gt;"", _xlfn.IFS(I772="Height SLI",_xlfn.XLOOKUP(C772,'calc_s90&amp;138'!$C$15:$C$1000,'calc_s90&amp;138'!$AG$15:$AG$1000,"",0), I772="Width", _xlfn.XLOOKUP(C772,'calc_s90&amp;138'!$C$15:$C$1000,'calc_s90&amp;138'!$AI$15:$AI$1000,"",0)),"")</f>
        <v/>
      </c>
      <c r="I772" s="16" t="str">
        <f t="shared" si="17"/>
        <v/>
      </c>
    </row>
    <row r="773" spans="1:9" ht="13.5" customHeight="1" x14ac:dyDescent="0.25">
      <c r="A773" s="41" t="str">
        <f>_xlfn.XLOOKUP(G773,dd_color!$A$2:$A$8,dd_color!$B$2:$B$8,"",0)</f>
        <v/>
      </c>
      <c r="B773" s="41">
        <f>_xlfn.XLOOKUP(_xlfn.XLOOKUP(C773,'Project Details'!$C$17:$C$10003,'Project Details'!$E$17:$E$10003, "",0),dd_design_raw!$A$2:$A$9997,dd_design_raw!$C$2:$C$9997,"",0)</f>
        <v>0</v>
      </c>
      <c r="C773" s="16"/>
      <c r="D773" s="16" t="str" cm="1">
        <f t="array" ref="D773">IF(C773&lt;&gt;"", _xlfn.IFS(I773="Height SLI",_xlfn.XLOOKUP(C773,'calc_s90&amp;138'!$C$15:$C$1000,'calc_s90&amp;138'!$AH$15:$AH$1000,"",0),  I773="Width", _xlfn.XLOOKUP(C773,'calc_s90&amp;138'!$C$15:$C$1000,'calc_s90&amp;138'!$AJ$15:$AJ$1000,"",0)),"")</f>
        <v/>
      </c>
      <c r="E773" s="16" t="str" cm="1">
        <f t="array" ref="E773">IF(C773&lt;&gt;"", _xlfn.XLOOKUP(1,((SKUs!$A$2:$A$10001=cl_unmerged!B773) * (ISNUMBER(SEARCH("Screen Frame",SKUs!$J$2:$J$10001)))), SKUs!$J$2:$J$10001,""),"") &amp; _xlfn.IFS(I773="Height", ", H",I773="Height SLI", ", H SLI", I773="Height FIX", ", H FIX",I773="Width", ", W", I773="", "")</f>
        <v/>
      </c>
      <c r="F773" s="33" t="str" cm="1">
        <f t="array" ref="F773">_xlfn.XLOOKUP(1,((SKUs!$A$2:$A$10001=cl_unmerged!B773) * (ISNUMBER(SEARCH("Screen Frame",SKUs!$J$2:$J$10001)))* (ISNUMBER(SEARCH(A773,SKUs!$C$2:$C$10001)))), SKUs!$C$2:$C$10001,"")</f>
        <v/>
      </c>
      <c r="G773" s="16"/>
      <c r="H773" s="16" t="str" cm="1">
        <f t="array" ref="H773">IF(C773&lt;&gt;"", _xlfn.IFS(I773="Height SLI",_xlfn.XLOOKUP(C773,'calc_s90&amp;138'!$C$15:$C$1000,'calc_s90&amp;138'!$AG$15:$AG$1000,"",0), I773="Width", _xlfn.XLOOKUP(C773,'calc_s90&amp;138'!$C$15:$C$1000,'calc_s90&amp;138'!$AI$15:$AI$1000,"",0)),"")</f>
        <v/>
      </c>
      <c r="I773" s="16" t="str">
        <f t="shared" si="17"/>
        <v/>
      </c>
    </row>
    <row r="774" spans="1:9" ht="13.5" customHeight="1" x14ac:dyDescent="0.25">
      <c r="A774" s="41" t="str">
        <f>_xlfn.XLOOKUP(G774,dd_color!$A$2:$A$8,dd_color!$B$2:$B$8,"",0)</f>
        <v/>
      </c>
      <c r="B774" s="41">
        <f>_xlfn.XLOOKUP(_xlfn.XLOOKUP(C774,'Project Details'!$C$17:$C$10003,'Project Details'!$E$17:$E$10003, "",0),dd_design_raw!$A$2:$A$9997,dd_design_raw!$C$2:$C$9997,"",0)</f>
        <v>0</v>
      </c>
      <c r="C774" s="16"/>
      <c r="D774" s="16" t="str" cm="1">
        <f t="array" ref="D774">IF(C774&lt;&gt;"", _xlfn.IFS(I774="Height SLI",_xlfn.XLOOKUP(C774,'calc_s90&amp;138'!$C$15:$C$1000,'calc_s90&amp;138'!$AH$15:$AH$1000,"",0),  I774="Width", _xlfn.XLOOKUP(C774,'calc_s90&amp;138'!$C$15:$C$1000,'calc_s90&amp;138'!$AJ$15:$AJ$1000,"",0)),"")</f>
        <v/>
      </c>
      <c r="E774" s="16" t="str" cm="1">
        <f t="array" ref="E774">IF(C774&lt;&gt;"", _xlfn.XLOOKUP(1,((SKUs!$A$2:$A$10001=cl_unmerged!B774) * (ISNUMBER(SEARCH("Screen Frame",SKUs!$J$2:$J$10001)))), SKUs!$J$2:$J$10001,""),"") &amp; _xlfn.IFS(I774="Height", ", H",I774="Height SLI", ", H SLI", I774="Height FIX", ", H FIX",I774="Width", ", W", I774="", "")</f>
        <v/>
      </c>
      <c r="F774" s="33" t="str" cm="1">
        <f t="array" ref="F774">_xlfn.XLOOKUP(1,((SKUs!$A$2:$A$10001=cl_unmerged!B774) * (ISNUMBER(SEARCH("Screen Frame",SKUs!$J$2:$J$10001)))* (ISNUMBER(SEARCH(A774,SKUs!$C$2:$C$10001)))), SKUs!$C$2:$C$10001,"")</f>
        <v/>
      </c>
      <c r="G774" s="16"/>
      <c r="H774" s="16" t="str" cm="1">
        <f t="array" ref="H774">IF(C774&lt;&gt;"", _xlfn.IFS(I774="Height SLI",_xlfn.XLOOKUP(C774,'calc_s90&amp;138'!$C$15:$C$1000,'calc_s90&amp;138'!$AG$15:$AG$1000,"",0), I774="Width", _xlfn.XLOOKUP(C774,'calc_s90&amp;138'!$C$15:$C$1000,'calc_s90&amp;138'!$AI$15:$AI$1000,"",0)),"")</f>
        <v/>
      </c>
      <c r="I774" s="16" t="str">
        <f t="shared" si="17"/>
        <v/>
      </c>
    </row>
    <row r="775" spans="1:9" ht="13.5" customHeight="1" x14ac:dyDescent="0.25">
      <c r="A775" s="41" t="str">
        <f>_xlfn.XLOOKUP(G775,dd_color!$A$2:$A$8,dd_color!$B$2:$B$8,"",0)</f>
        <v/>
      </c>
      <c r="B775" s="41">
        <f>_xlfn.XLOOKUP(_xlfn.XLOOKUP(C775,'Project Details'!$C$17:$C$10003,'Project Details'!$E$17:$E$10003, "",0),dd_design_raw!$A$2:$A$9997,dd_design_raw!$C$2:$C$9997,"",0)</f>
        <v>0</v>
      </c>
      <c r="C775" s="16"/>
      <c r="D775" s="16" t="str" cm="1">
        <f t="array" ref="D775">IF(C775&lt;&gt;"", _xlfn.IFS(I775="Height SLI",_xlfn.XLOOKUP(C775,'calc_s90&amp;138'!$C$15:$C$1000,'calc_s90&amp;138'!$AH$15:$AH$1000,"",0),  I775="Width", _xlfn.XLOOKUP(C775,'calc_s90&amp;138'!$C$15:$C$1000,'calc_s90&amp;138'!$AJ$15:$AJ$1000,"",0)),"")</f>
        <v/>
      </c>
      <c r="E775" s="16" t="str" cm="1">
        <f t="array" ref="E775">IF(C775&lt;&gt;"", _xlfn.XLOOKUP(1,((SKUs!$A$2:$A$10001=cl_unmerged!B775) * (ISNUMBER(SEARCH("Screen Frame",SKUs!$J$2:$J$10001)))), SKUs!$J$2:$J$10001,""),"") &amp; _xlfn.IFS(I775="Height", ", H",I775="Height SLI", ", H SLI", I775="Height FIX", ", H FIX",I775="Width", ", W", I775="", "")</f>
        <v/>
      </c>
      <c r="F775" s="33" t="str" cm="1">
        <f t="array" ref="F775">_xlfn.XLOOKUP(1,((SKUs!$A$2:$A$10001=cl_unmerged!B775) * (ISNUMBER(SEARCH("Screen Frame",SKUs!$J$2:$J$10001)))* (ISNUMBER(SEARCH(A775,SKUs!$C$2:$C$10001)))), SKUs!$C$2:$C$10001,"")</f>
        <v/>
      </c>
      <c r="G775" s="16"/>
      <c r="H775" s="16" t="str" cm="1">
        <f t="array" ref="H775">IF(C775&lt;&gt;"", _xlfn.IFS(I775="Height SLI",_xlfn.XLOOKUP(C775,'calc_s90&amp;138'!$C$15:$C$1000,'calc_s90&amp;138'!$AG$15:$AG$1000,"",0), I775="Width", _xlfn.XLOOKUP(C775,'calc_s90&amp;138'!$C$15:$C$1000,'calc_s90&amp;138'!$AI$15:$AI$1000,"",0)),"")</f>
        <v/>
      </c>
      <c r="I775" s="16" t="str">
        <f t="shared" si="17"/>
        <v/>
      </c>
    </row>
    <row r="776" spans="1:9" ht="13.5" customHeight="1" x14ac:dyDescent="0.25">
      <c r="A776" s="41" t="str">
        <f>_xlfn.XLOOKUP(G776,dd_color!$A$2:$A$8,dd_color!$B$2:$B$8,"",0)</f>
        <v/>
      </c>
      <c r="B776" s="41">
        <f>_xlfn.XLOOKUP(_xlfn.XLOOKUP(C776,'Project Details'!$C$17:$C$10003,'Project Details'!$E$17:$E$10003, "",0),dd_design_raw!$A$2:$A$9997,dd_design_raw!$C$2:$C$9997,"",0)</f>
        <v>0</v>
      </c>
      <c r="C776" s="16"/>
      <c r="D776" s="16" t="str" cm="1">
        <f t="array" ref="D776">IF(C776&lt;&gt;"", _xlfn.IFS(I776="Height SLI",_xlfn.XLOOKUP(C776,'calc_s90&amp;138'!$C$15:$C$1000,'calc_s90&amp;138'!$AH$15:$AH$1000,"",0),  I776="Width", _xlfn.XLOOKUP(C776,'calc_s90&amp;138'!$C$15:$C$1000,'calc_s90&amp;138'!$AJ$15:$AJ$1000,"",0)),"")</f>
        <v/>
      </c>
      <c r="E776" s="16" t="str" cm="1">
        <f t="array" ref="E776">IF(C776&lt;&gt;"", _xlfn.XLOOKUP(1,((SKUs!$A$2:$A$10001=cl_unmerged!B776) * (ISNUMBER(SEARCH("Screen Frame",SKUs!$J$2:$J$10001)))), SKUs!$J$2:$J$10001,""),"") &amp; _xlfn.IFS(I776="Height", ", H",I776="Height SLI", ", H SLI", I776="Height FIX", ", H FIX",I776="Width", ", W", I776="", "")</f>
        <v/>
      </c>
      <c r="F776" s="33" t="str" cm="1">
        <f t="array" ref="F776">_xlfn.XLOOKUP(1,((SKUs!$A$2:$A$10001=cl_unmerged!B776) * (ISNUMBER(SEARCH("Screen Frame",SKUs!$J$2:$J$10001)))* (ISNUMBER(SEARCH(A776,SKUs!$C$2:$C$10001)))), SKUs!$C$2:$C$10001,"")</f>
        <v/>
      </c>
      <c r="G776" s="16"/>
      <c r="H776" s="16" t="str" cm="1">
        <f t="array" ref="H776">IF(C776&lt;&gt;"", _xlfn.IFS(I776="Height SLI",_xlfn.XLOOKUP(C776,'calc_s90&amp;138'!$C$15:$C$1000,'calc_s90&amp;138'!$AG$15:$AG$1000,"",0), I776="Width", _xlfn.XLOOKUP(C776,'calc_s90&amp;138'!$C$15:$C$1000,'calc_s90&amp;138'!$AI$15:$AI$1000,"",0)),"")</f>
        <v/>
      </c>
      <c r="I776" s="16" t="str">
        <f t="shared" si="17"/>
        <v/>
      </c>
    </row>
    <row r="777" spans="1:9" ht="13.5" customHeight="1" x14ac:dyDescent="0.25">
      <c r="A777" s="41" t="str">
        <f>_xlfn.XLOOKUP(G777,dd_color!$A$2:$A$8,dd_color!$B$2:$B$8,"",0)</f>
        <v/>
      </c>
      <c r="B777" s="41">
        <f>_xlfn.XLOOKUP(_xlfn.XLOOKUP(C777,'Project Details'!$C$17:$C$10003,'Project Details'!$E$17:$E$10003, "",0),dd_design_raw!$A$2:$A$9997,dd_design_raw!$C$2:$C$9997,"",0)</f>
        <v>0</v>
      </c>
      <c r="C777" s="16"/>
      <c r="D777" s="16" t="str" cm="1">
        <f t="array" ref="D777">IF(C777&lt;&gt;"", _xlfn.IFS(I777="Height SLI",_xlfn.XLOOKUP(C777,'calc_s90&amp;138'!$C$15:$C$1000,'calc_s90&amp;138'!$AH$15:$AH$1000,"",0),  I777="Width", _xlfn.XLOOKUP(C777,'calc_s90&amp;138'!$C$15:$C$1000,'calc_s90&amp;138'!$AJ$15:$AJ$1000,"",0)),"")</f>
        <v/>
      </c>
      <c r="E777" s="16" t="str" cm="1">
        <f t="array" ref="E777">IF(C777&lt;&gt;"", _xlfn.XLOOKUP(1,((SKUs!$A$2:$A$10001=cl_unmerged!B777) * (ISNUMBER(SEARCH("Screen Frame",SKUs!$J$2:$J$10001)))), SKUs!$J$2:$J$10001,""),"") &amp; _xlfn.IFS(I777="Height", ", H",I777="Height SLI", ", H SLI", I777="Height FIX", ", H FIX",I777="Width", ", W", I777="", "")</f>
        <v/>
      </c>
      <c r="F777" s="33" t="str" cm="1">
        <f t="array" ref="F777">_xlfn.XLOOKUP(1,((SKUs!$A$2:$A$10001=cl_unmerged!B777) * (ISNUMBER(SEARCH("Screen Frame",SKUs!$J$2:$J$10001)))* (ISNUMBER(SEARCH(A777,SKUs!$C$2:$C$10001)))), SKUs!$C$2:$C$10001,"")</f>
        <v/>
      </c>
      <c r="G777" s="16"/>
      <c r="H777" s="16" t="str" cm="1">
        <f t="array" ref="H777">IF(C777&lt;&gt;"", _xlfn.IFS(I777="Height SLI",_xlfn.XLOOKUP(C777,'calc_s90&amp;138'!$C$15:$C$1000,'calc_s90&amp;138'!$AG$15:$AG$1000,"",0), I777="Width", _xlfn.XLOOKUP(C777,'calc_s90&amp;138'!$C$15:$C$1000,'calc_s90&amp;138'!$AI$15:$AI$1000,"",0)),"")</f>
        <v/>
      </c>
      <c r="I777" s="16" t="str">
        <f t="shared" si="17"/>
        <v/>
      </c>
    </row>
    <row r="778" spans="1:9" ht="13.5" customHeight="1" x14ac:dyDescent="0.25">
      <c r="A778" s="41" t="str">
        <f>_xlfn.XLOOKUP(G778,dd_color!$A$2:$A$8,dd_color!$B$2:$B$8,"",0)</f>
        <v/>
      </c>
      <c r="B778" s="41">
        <f>_xlfn.XLOOKUP(_xlfn.XLOOKUP(C778,'Project Details'!$C$17:$C$10003,'Project Details'!$E$17:$E$10003, "",0),dd_design_raw!$A$2:$A$9997,dd_design_raw!$C$2:$C$9997,"",0)</f>
        <v>0</v>
      </c>
      <c r="C778" s="16"/>
      <c r="D778" s="16" t="str" cm="1">
        <f t="array" ref="D778">IF(C778&lt;&gt;"", _xlfn.IFS(I778="Height SLI",_xlfn.XLOOKUP(C778,'calc_s90&amp;138'!$C$15:$C$1000,'calc_s90&amp;138'!$AH$15:$AH$1000,"",0),  I778="Width", _xlfn.XLOOKUP(C778,'calc_s90&amp;138'!$C$15:$C$1000,'calc_s90&amp;138'!$AJ$15:$AJ$1000,"",0)),"")</f>
        <v/>
      </c>
      <c r="E778" s="16" t="str" cm="1">
        <f t="array" ref="E778">IF(C778&lt;&gt;"", _xlfn.XLOOKUP(1,((SKUs!$A$2:$A$10001=cl_unmerged!B778) * (ISNUMBER(SEARCH("Screen Frame",SKUs!$J$2:$J$10001)))), SKUs!$J$2:$J$10001,""),"") &amp; _xlfn.IFS(I778="Height", ", H",I778="Height SLI", ", H SLI", I778="Height FIX", ", H FIX",I778="Width", ", W", I778="", "")</f>
        <v/>
      </c>
      <c r="F778" s="33" t="str" cm="1">
        <f t="array" ref="F778">_xlfn.XLOOKUP(1,((SKUs!$A$2:$A$10001=cl_unmerged!B778) * (ISNUMBER(SEARCH("Screen Frame",SKUs!$J$2:$J$10001)))* (ISNUMBER(SEARCH(A778,SKUs!$C$2:$C$10001)))), SKUs!$C$2:$C$10001,"")</f>
        <v/>
      </c>
      <c r="G778" s="16"/>
      <c r="H778" s="16" t="str" cm="1">
        <f t="array" ref="H778">IF(C778&lt;&gt;"", _xlfn.IFS(I778="Height SLI",_xlfn.XLOOKUP(C778,'calc_s90&amp;138'!$C$15:$C$1000,'calc_s90&amp;138'!$AG$15:$AG$1000,"",0), I778="Width", _xlfn.XLOOKUP(C778,'calc_s90&amp;138'!$C$15:$C$1000,'calc_s90&amp;138'!$AI$15:$AI$1000,"",0)),"")</f>
        <v/>
      </c>
      <c r="I778" s="16" t="str">
        <f t="shared" si="17"/>
        <v/>
      </c>
    </row>
    <row r="779" spans="1:9" ht="13.5" customHeight="1" x14ac:dyDescent="0.25">
      <c r="A779" s="41" t="str">
        <f>_xlfn.XLOOKUP(G779,dd_color!$A$2:$A$8,dd_color!$B$2:$B$8,"",0)</f>
        <v/>
      </c>
      <c r="B779" s="41">
        <f>_xlfn.XLOOKUP(_xlfn.XLOOKUP(C779,'Project Details'!$C$17:$C$10003,'Project Details'!$E$17:$E$10003, "",0),dd_design_raw!$A$2:$A$9997,dd_design_raw!$C$2:$C$9997,"",0)</f>
        <v>0</v>
      </c>
      <c r="C779" s="16"/>
      <c r="D779" s="16" t="str" cm="1">
        <f t="array" ref="D779">IF(C779&lt;&gt;"", _xlfn.IFS(I779="Height SLI",_xlfn.XLOOKUP(C779,'calc_s90&amp;138'!$C$15:$C$1000,'calc_s90&amp;138'!$AH$15:$AH$1000,"",0),  I779="Width", _xlfn.XLOOKUP(C779,'calc_s90&amp;138'!$C$15:$C$1000,'calc_s90&amp;138'!$AJ$15:$AJ$1000,"",0)),"")</f>
        <v/>
      </c>
      <c r="E779" s="16" t="str" cm="1">
        <f t="array" ref="E779">IF(C779&lt;&gt;"", _xlfn.XLOOKUP(1,((SKUs!$A$2:$A$10001=cl_unmerged!B779) * (ISNUMBER(SEARCH("Screen Frame",SKUs!$J$2:$J$10001)))), SKUs!$J$2:$J$10001,""),"") &amp; _xlfn.IFS(I779="Height", ", H",I779="Height SLI", ", H SLI", I779="Height FIX", ", H FIX",I779="Width", ", W", I779="", "")</f>
        <v/>
      </c>
      <c r="F779" s="33" t="str" cm="1">
        <f t="array" ref="F779">_xlfn.XLOOKUP(1,((SKUs!$A$2:$A$10001=cl_unmerged!B779) * (ISNUMBER(SEARCH("Screen Frame",SKUs!$J$2:$J$10001)))* (ISNUMBER(SEARCH(A779,SKUs!$C$2:$C$10001)))), SKUs!$C$2:$C$10001,"")</f>
        <v/>
      </c>
      <c r="G779" s="16"/>
      <c r="H779" s="16" t="str" cm="1">
        <f t="array" ref="H779">IF(C779&lt;&gt;"", _xlfn.IFS(I779="Height SLI",_xlfn.XLOOKUP(C779,'calc_s90&amp;138'!$C$15:$C$1000,'calc_s90&amp;138'!$AG$15:$AG$1000,"",0), I779="Width", _xlfn.XLOOKUP(C779,'calc_s90&amp;138'!$C$15:$C$1000,'calc_s90&amp;138'!$AI$15:$AI$1000,"",0)),"")</f>
        <v/>
      </c>
      <c r="I779" s="16" t="str">
        <f t="shared" si="17"/>
        <v/>
      </c>
    </row>
    <row r="780" spans="1:9" ht="13.5" customHeight="1" x14ac:dyDescent="0.25">
      <c r="A780" s="41" t="str">
        <f>_xlfn.XLOOKUP(G780,dd_color!$A$2:$A$8,dd_color!$B$2:$B$8,"",0)</f>
        <v/>
      </c>
      <c r="B780" s="41">
        <f>_xlfn.XLOOKUP(_xlfn.XLOOKUP(C780,'Project Details'!$C$17:$C$10003,'Project Details'!$E$17:$E$10003, "",0),dd_design_raw!$A$2:$A$9997,dd_design_raw!$C$2:$C$9997,"",0)</f>
        <v>0</v>
      </c>
      <c r="C780" s="16"/>
      <c r="D780" s="16" t="str" cm="1">
        <f t="array" ref="D780">IF(C780&lt;&gt;"", _xlfn.IFS(I780="Height SLI",_xlfn.XLOOKUP(C780,'calc_s90&amp;138'!$C$15:$C$1000,'calc_s90&amp;138'!$AH$15:$AH$1000,"",0),  I780="Width", _xlfn.XLOOKUP(C780,'calc_s90&amp;138'!$C$15:$C$1000,'calc_s90&amp;138'!$AJ$15:$AJ$1000,"",0)),"")</f>
        <v/>
      </c>
      <c r="E780" s="16" t="str" cm="1">
        <f t="array" ref="E780">IF(C780&lt;&gt;"", _xlfn.XLOOKUP(1,((SKUs!$A$2:$A$10001=cl_unmerged!B780) * (ISNUMBER(SEARCH("Screen Frame",SKUs!$J$2:$J$10001)))), SKUs!$J$2:$J$10001,""),"") &amp; _xlfn.IFS(I780="Height", ", H",I780="Height SLI", ", H SLI", I780="Height FIX", ", H FIX",I780="Width", ", W", I780="", "")</f>
        <v/>
      </c>
      <c r="F780" s="33" t="str" cm="1">
        <f t="array" ref="F780">_xlfn.XLOOKUP(1,((SKUs!$A$2:$A$10001=cl_unmerged!B780) * (ISNUMBER(SEARCH("Screen Frame",SKUs!$J$2:$J$10001)))* (ISNUMBER(SEARCH(A780,SKUs!$C$2:$C$10001)))), SKUs!$C$2:$C$10001,"")</f>
        <v/>
      </c>
      <c r="G780" s="16"/>
      <c r="H780" s="16" t="str" cm="1">
        <f t="array" ref="H780">IF(C780&lt;&gt;"", _xlfn.IFS(I780="Height SLI",_xlfn.XLOOKUP(C780,'calc_s90&amp;138'!$C$15:$C$1000,'calc_s90&amp;138'!$AG$15:$AG$1000,"",0), I780="Width", _xlfn.XLOOKUP(C780,'calc_s90&amp;138'!$C$15:$C$1000,'calc_s90&amp;138'!$AI$15:$AI$1000,"",0)),"")</f>
        <v/>
      </c>
      <c r="I780" s="16" t="str">
        <f t="shared" si="17"/>
        <v/>
      </c>
    </row>
    <row r="781" spans="1:9" ht="13.5" customHeight="1" x14ac:dyDescent="0.25">
      <c r="A781" s="41" t="str">
        <f>_xlfn.XLOOKUP(G781,dd_color!$A$2:$A$8,dd_color!$B$2:$B$8,"",0)</f>
        <v/>
      </c>
      <c r="B781" s="41">
        <f>_xlfn.XLOOKUP(_xlfn.XLOOKUP(C781,'Project Details'!$C$17:$C$10003,'Project Details'!$E$17:$E$10003, "",0),dd_design_raw!$A$2:$A$9997,dd_design_raw!$C$2:$C$9997,"",0)</f>
        <v>0</v>
      </c>
      <c r="C781" s="16"/>
      <c r="D781" s="16" t="str" cm="1">
        <f t="array" ref="D781">IF(C781&lt;&gt;"", _xlfn.IFS(I781="Height SLI",_xlfn.XLOOKUP(C781,'calc_s90&amp;138'!$C$15:$C$1000,'calc_s90&amp;138'!$AH$15:$AH$1000,"",0),  I781="Width", _xlfn.XLOOKUP(C781,'calc_s90&amp;138'!$C$15:$C$1000,'calc_s90&amp;138'!$AJ$15:$AJ$1000,"",0)),"")</f>
        <v/>
      </c>
      <c r="E781" s="16" t="str" cm="1">
        <f t="array" ref="E781">IF(C781&lt;&gt;"", _xlfn.XLOOKUP(1,((SKUs!$A$2:$A$10001=cl_unmerged!B781) * (ISNUMBER(SEARCH("Screen Frame",SKUs!$J$2:$J$10001)))), SKUs!$J$2:$J$10001,""),"") &amp; _xlfn.IFS(I781="Height", ", H",I781="Height SLI", ", H SLI", I781="Height FIX", ", H FIX",I781="Width", ", W", I781="", "")</f>
        <v/>
      </c>
      <c r="F781" s="33" t="str" cm="1">
        <f t="array" ref="F781">_xlfn.XLOOKUP(1,((SKUs!$A$2:$A$10001=cl_unmerged!B781) * (ISNUMBER(SEARCH("Screen Frame",SKUs!$J$2:$J$10001)))* (ISNUMBER(SEARCH(A781,SKUs!$C$2:$C$10001)))), SKUs!$C$2:$C$10001,"")</f>
        <v/>
      </c>
      <c r="G781" s="16"/>
      <c r="H781" s="16" t="str" cm="1">
        <f t="array" ref="H781">IF(C781&lt;&gt;"", _xlfn.IFS(I781="Height SLI",_xlfn.XLOOKUP(C781,'calc_s90&amp;138'!$C$15:$C$1000,'calc_s90&amp;138'!$AG$15:$AG$1000,"",0), I781="Width", _xlfn.XLOOKUP(C781,'calc_s90&amp;138'!$C$15:$C$1000,'calc_s90&amp;138'!$AI$15:$AI$1000,"",0)),"")</f>
        <v/>
      </c>
      <c r="I781" s="16" t="str">
        <f t="shared" si="17"/>
        <v/>
      </c>
    </row>
    <row r="782" spans="1:9" ht="13.5" customHeight="1" x14ac:dyDescent="0.25">
      <c r="A782" s="41" t="str">
        <f>_xlfn.XLOOKUP(G782,dd_color!$A$2:$A$8,dd_color!$B$2:$B$8,"",0)</f>
        <v/>
      </c>
      <c r="B782" s="41">
        <f>_xlfn.XLOOKUP(_xlfn.XLOOKUP(C782,'Project Details'!$C$17:$C$10003,'Project Details'!$E$17:$E$10003, "",0),dd_design_raw!$A$2:$A$9997,dd_design_raw!$C$2:$C$9997,"",0)</f>
        <v>0</v>
      </c>
      <c r="C782" s="16"/>
      <c r="D782" s="16" t="str" cm="1">
        <f t="array" ref="D782">IF(C782&lt;&gt;"", _xlfn.IFS(I782="Height SLI",_xlfn.XLOOKUP(C782,'calc_s90&amp;138'!$C$15:$C$1000,'calc_s90&amp;138'!$AH$15:$AH$1000,"",0),  I782="Width", _xlfn.XLOOKUP(C782,'calc_s90&amp;138'!$C$15:$C$1000,'calc_s90&amp;138'!$AJ$15:$AJ$1000,"",0)),"")</f>
        <v/>
      </c>
      <c r="E782" s="16" t="str" cm="1">
        <f t="array" ref="E782">IF(C782&lt;&gt;"", _xlfn.XLOOKUP(1,((SKUs!$A$2:$A$10001=cl_unmerged!B782) * (ISNUMBER(SEARCH("Screen Frame",SKUs!$J$2:$J$10001)))), SKUs!$J$2:$J$10001,""),"") &amp; _xlfn.IFS(I782="Height", ", H",I782="Height SLI", ", H SLI", I782="Height FIX", ", H FIX",I782="Width", ", W", I782="", "")</f>
        <v/>
      </c>
      <c r="F782" s="33" t="str" cm="1">
        <f t="array" ref="F782">_xlfn.XLOOKUP(1,((SKUs!$A$2:$A$10001=cl_unmerged!B782) * (ISNUMBER(SEARCH("Screen Frame",SKUs!$J$2:$J$10001)))* (ISNUMBER(SEARCH(A782,SKUs!$C$2:$C$10001)))), SKUs!$C$2:$C$10001,"")</f>
        <v/>
      </c>
      <c r="G782" s="16"/>
      <c r="H782" s="16" t="str" cm="1">
        <f t="array" ref="H782">IF(C782&lt;&gt;"", _xlfn.IFS(I782="Height SLI",_xlfn.XLOOKUP(C782,'calc_s90&amp;138'!$C$15:$C$1000,'calc_s90&amp;138'!$AG$15:$AG$1000,"",0), I782="Width", _xlfn.XLOOKUP(C782,'calc_s90&amp;138'!$C$15:$C$1000,'calc_s90&amp;138'!$AI$15:$AI$1000,"",0)),"")</f>
        <v/>
      </c>
      <c r="I782" s="16" t="str">
        <f t="shared" si="17"/>
        <v/>
      </c>
    </row>
    <row r="783" spans="1:9" ht="13.5" customHeight="1" x14ac:dyDescent="0.25">
      <c r="A783" s="41" t="str">
        <f>_xlfn.XLOOKUP(G783,dd_color!$A$2:$A$8,dd_color!$B$2:$B$8,"",0)</f>
        <v/>
      </c>
      <c r="B783" s="41">
        <f>_xlfn.XLOOKUP(_xlfn.XLOOKUP(C783,'Project Details'!$C$17:$C$10003,'Project Details'!$E$17:$E$10003, "",0),dd_design_raw!$A$2:$A$9997,dd_design_raw!$C$2:$C$9997,"",0)</f>
        <v>0</v>
      </c>
      <c r="C783" s="16"/>
      <c r="D783" s="16" t="str" cm="1">
        <f t="array" ref="D783">IF(C783&lt;&gt;"", _xlfn.IFS(I783="Height SLI",_xlfn.XLOOKUP(C783,'calc_s90&amp;138'!$C$15:$C$1000,'calc_s90&amp;138'!$AH$15:$AH$1000,"",0),  I783="Width", _xlfn.XLOOKUP(C783,'calc_s90&amp;138'!$C$15:$C$1000,'calc_s90&amp;138'!$AJ$15:$AJ$1000,"",0)),"")</f>
        <v/>
      </c>
      <c r="E783" s="16" t="str" cm="1">
        <f t="array" ref="E783">IF(C783&lt;&gt;"", _xlfn.XLOOKUP(1,((SKUs!$A$2:$A$10001=cl_unmerged!B783) * (ISNUMBER(SEARCH("Screen Frame",SKUs!$J$2:$J$10001)))), SKUs!$J$2:$J$10001,""),"") &amp; _xlfn.IFS(I783="Height", ", H",I783="Height SLI", ", H SLI", I783="Height FIX", ", H FIX",I783="Width", ", W", I783="", "")</f>
        <v/>
      </c>
      <c r="F783" s="33" t="str" cm="1">
        <f t="array" ref="F783">_xlfn.XLOOKUP(1,((SKUs!$A$2:$A$10001=cl_unmerged!B783) * (ISNUMBER(SEARCH("Screen Frame",SKUs!$J$2:$J$10001)))* (ISNUMBER(SEARCH(A783,SKUs!$C$2:$C$10001)))), SKUs!$C$2:$C$10001,"")</f>
        <v/>
      </c>
      <c r="G783" s="16"/>
      <c r="H783" s="16" t="str" cm="1">
        <f t="array" ref="H783">IF(C783&lt;&gt;"", _xlfn.IFS(I783="Height SLI",_xlfn.XLOOKUP(C783,'calc_s90&amp;138'!$C$15:$C$1000,'calc_s90&amp;138'!$AG$15:$AG$1000,"",0), I783="Width", _xlfn.XLOOKUP(C783,'calc_s90&amp;138'!$C$15:$C$1000,'calc_s90&amp;138'!$AI$15:$AI$1000,"",0)),"")</f>
        <v/>
      </c>
      <c r="I783" s="16" t="str">
        <f t="shared" si="17"/>
        <v/>
      </c>
    </row>
    <row r="784" spans="1:9" ht="13.5" customHeight="1" x14ac:dyDescent="0.25">
      <c r="A784" s="41" t="str">
        <f>_xlfn.XLOOKUP(G784,dd_color!$A$2:$A$8,dd_color!$B$2:$B$8,"",0)</f>
        <v/>
      </c>
      <c r="B784" s="41">
        <f>_xlfn.XLOOKUP(_xlfn.XLOOKUP(C784,'Project Details'!$C$17:$C$10003,'Project Details'!$E$17:$E$10003, "",0),dd_design_raw!$A$2:$A$9997,dd_design_raw!$C$2:$C$9997,"",0)</f>
        <v>0</v>
      </c>
      <c r="C784" s="16"/>
      <c r="D784" s="16" t="str" cm="1">
        <f t="array" ref="D784">IF(C784&lt;&gt;"", _xlfn.IFS(I784="Height SLI",_xlfn.XLOOKUP(C784,'calc_s90&amp;138'!$C$15:$C$1000,'calc_s90&amp;138'!$AH$15:$AH$1000,"",0),  I784="Width", _xlfn.XLOOKUP(C784,'calc_s90&amp;138'!$C$15:$C$1000,'calc_s90&amp;138'!$AJ$15:$AJ$1000,"",0)),"")</f>
        <v/>
      </c>
      <c r="E784" s="16" t="str" cm="1">
        <f t="array" ref="E784">IF(C784&lt;&gt;"", _xlfn.XLOOKUP(1,((SKUs!$A$2:$A$10001=cl_unmerged!B784) * (ISNUMBER(SEARCH("Screen Frame",SKUs!$J$2:$J$10001)))), SKUs!$J$2:$J$10001,""),"") &amp; _xlfn.IFS(I784="Height", ", H",I784="Height SLI", ", H SLI", I784="Height FIX", ", H FIX",I784="Width", ", W", I784="", "")</f>
        <v/>
      </c>
      <c r="F784" s="33" t="str" cm="1">
        <f t="array" ref="F784">_xlfn.XLOOKUP(1,((SKUs!$A$2:$A$10001=cl_unmerged!B784) * (ISNUMBER(SEARCH("Screen Frame",SKUs!$J$2:$J$10001)))* (ISNUMBER(SEARCH(A784,SKUs!$C$2:$C$10001)))), SKUs!$C$2:$C$10001,"")</f>
        <v/>
      </c>
      <c r="G784" s="16"/>
      <c r="H784" s="16" t="str" cm="1">
        <f t="array" ref="H784">IF(C784&lt;&gt;"", _xlfn.IFS(I784="Height SLI",_xlfn.XLOOKUP(C784,'calc_s90&amp;138'!$C$15:$C$1000,'calc_s90&amp;138'!$AG$15:$AG$1000,"",0), I784="Width", _xlfn.XLOOKUP(C784,'calc_s90&amp;138'!$C$15:$C$1000,'calc_s90&amp;138'!$AI$15:$AI$1000,"",0)),"")</f>
        <v/>
      </c>
      <c r="I784" s="16" t="str">
        <f t="shared" si="17"/>
        <v/>
      </c>
    </row>
    <row r="785" spans="1:9" ht="13.5" customHeight="1" x14ac:dyDescent="0.25">
      <c r="A785" s="41" t="str">
        <f>_xlfn.XLOOKUP(G785,dd_color!$A$2:$A$8,dd_color!$B$2:$B$8,"",0)</f>
        <v/>
      </c>
      <c r="B785" s="41">
        <f>_xlfn.XLOOKUP(_xlfn.XLOOKUP(C785,'Project Details'!$C$17:$C$10003,'Project Details'!$E$17:$E$10003, "",0),dd_design_raw!$A$2:$A$9997,dd_design_raw!$C$2:$C$9997,"",0)</f>
        <v>0</v>
      </c>
      <c r="C785" s="16"/>
      <c r="D785" s="16" t="str" cm="1">
        <f t="array" ref="D785">IF(C785&lt;&gt;"", _xlfn.IFS(I785="Height SLI",_xlfn.XLOOKUP(C785,'calc_s90&amp;138'!$C$15:$C$1000,'calc_s90&amp;138'!$AH$15:$AH$1000,"",0),  I785="Width", _xlfn.XLOOKUP(C785,'calc_s90&amp;138'!$C$15:$C$1000,'calc_s90&amp;138'!$AJ$15:$AJ$1000,"",0)),"")</f>
        <v/>
      </c>
      <c r="E785" s="16" t="str" cm="1">
        <f t="array" ref="E785">IF(C785&lt;&gt;"", _xlfn.XLOOKUP(1,((SKUs!$A$2:$A$10001=cl_unmerged!B785) * (ISNUMBER(SEARCH("Screen Frame",SKUs!$J$2:$J$10001)))), SKUs!$J$2:$J$10001,""),"") &amp; _xlfn.IFS(I785="Height", ", H",I785="Height SLI", ", H SLI", I785="Height FIX", ", H FIX",I785="Width", ", W", I785="", "")</f>
        <v/>
      </c>
      <c r="F785" s="33" t="str" cm="1">
        <f t="array" ref="F785">_xlfn.XLOOKUP(1,((SKUs!$A$2:$A$10001=cl_unmerged!B785) * (ISNUMBER(SEARCH("Screen Frame",SKUs!$J$2:$J$10001)))* (ISNUMBER(SEARCH(A785,SKUs!$C$2:$C$10001)))), SKUs!$C$2:$C$10001,"")</f>
        <v/>
      </c>
      <c r="G785" s="16"/>
      <c r="H785" s="16" t="str" cm="1">
        <f t="array" ref="H785">IF(C785&lt;&gt;"", _xlfn.IFS(I785="Height SLI",_xlfn.XLOOKUP(C785,'calc_s90&amp;138'!$C$15:$C$1000,'calc_s90&amp;138'!$AG$15:$AG$1000,"",0), I785="Width", _xlfn.XLOOKUP(C785,'calc_s90&amp;138'!$C$15:$C$1000,'calc_s90&amp;138'!$AI$15:$AI$1000,"",0)),"")</f>
        <v/>
      </c>
      <c r="I785" s="16" t="str">
        <f t="shared" si="17"/>
        <v/>
      </c>
    </row>
    <row r="786" spans="1:9" ht="13.5" customHeight="1" x14ac:dyDescent="0.25">
      <c r="A786" s="41" t="str">
        <f>_xlfn.XLOOKUP(G786,dd_color!$A$2:$A$8,dd_color!$B$2:$B$8,"",0)</f>
        <v/>
      </c>
      <c r="B786" s="41">
        <f>_xlfn.XLOOKUP(_xlfn.XLOOKUP(C786,'Project Details'!$C$17:$C$10003,'Project Details'!$E$17:$E$10003, "",0),dd_design_raw!$A$2:$A$9997,dd_design_raw!$C$2:$C$9997,"",0)</f>
        <v>0</v>
      </c>
      <c r="C786" s="16"/>
      <c r="D786" s="16" t="str" cm="1">
        <f t="array" ref="D786">IF(C786&lt;&gt;"", _xlfn.IFS(I786="Height SLI",_xlfn.XLOOKUP(C786,'calc_s90&amp;138'!$C$15:$C$1000,'calc_s90&amp;138'!$AH$15:$AH$1000,"",0),  I786="Width", _xlfn.XLOOKUP(C786,'calc_s90&amp;138'!$C$15:$C$1000,'calc_s90&amp;138'!$AJ$15:$AJ$1000,"",0)),"")</f>
        <v/>
      </c>
      <c r="E786" s="16" t="str" cm="1">
        <f t="array" ref="E786">IF(C786&lt;&gt;"", _xlfn.XLOOKUP(1,((SKUs!$A$2:$A$10001=cl_unmerged!B786) * (ISNUMBER(SEARCH("Screen Frame",SKUs!$J$2:$J$10001)))), SKUs!$J$2:$J$10001,""),"") &amp; _xlfn.IFS(I786="Height", ", H",I786="Height SLI", ", H SLI", I786="Height FIX", ", H FIX",I786="Width", ", W", I786="", "")</f>
        <v/>
      </c>
      <c r="F786" s="33" t="str" cm="1">
        <f t="array" ref="F786">_xlfn.XLOOKUP(1,((SKUs!$A$2:$A$10001=cl_unmerged!B786) * (ISNUMBER(SEARCH("Screen Frame",SKUs!$J$2:$J$10001)))* (ISNUMBER(SEARCH(A786,SKUs!$C$2:$C$10001)))), SKUs!$C$2:$C$10001,"")</f>
        <v/>
      </c>
      <c r="G786" s="16"/>
      <c r="H786" s="16" t="str" cm="1">
        <f t="array" ref="H786">IF(C786&lt;&gt;"", _xlfn.IFS(I786="Height SLI",_xlfn.XLOOKUP(C786,'calc_s90&amp;138'!$C$15:$C$1000,'calc_s90&amp;138'!$AG$15:$AG$1000,"",0), I786="Width", _xlfn.XLOOKUP(C786,'calc_s90&amp;138'!$C$15:$C$1000,'calc_s90&amp;138'!$AI$15:$AI$1000,"",0)),"")</f>
        <v/>
      </c>
      <c r="I786" s="16" t="str">
        <f t="shared" si="17"/>
        <v/>
      </c>
    </row>
    <row r="787" spans="1:9" ht="13.5" customHeight="1" x14ac:dyDescent="0.25">
      <c r="A787" s="41" t="str">
        <f>_xlfn.XLOOKUP(G787,dd_color!$A$2:$A$8,dd_color!$B$2:$B$8,"",0)</f>
        <v/>
      </c>
      <c r="B787" s="41">
        <f>_xlfn.XLOOKUP(_xlfn.XLOOKUP(C787,'Project Details'!$C$17:$C$10003,'Project Details'!$E$17:$E$10003, "",0),dd_design_raw!$A$2:$A$9997,dd_design_raw!$C$2:$C$9997,"",0)</f>
        <v>0</v>
      </c>
      <c r="C787" s="16"/>
      <c r="D787" s="16" t="str" cm="1">
        <f t="array" ref="D787">IF(C787&lt;&gt;"", _xlfn.IFS(I787="Height SLI",_xlfn.XLOOKUP(C787,'calc_s90&amp;138'!$C$15:$C$1000,'calc_s90&amp;138'!$AH$15:$AH$1000,"",0),  I787="Width", _xlfn.XLOOKUP(C787,'calc_s90&amp;138'!$C$15:$C$1000,'calc_s90&amp;138'!$AJ$15:$AJ$1000,"",0)),"")</f>
        <v/>
      </c>
      <c r="E787" s="16" t="str" cm="1">
        <f t="array" ref="E787">IF(C787&lt;&gt;"", _xlfn.XLOOKUP(1,((SKUs!$A$2:$A$10001=cl_unmerged!B787) * (ISNUMBER(SEARCH("Screen Frame",SKUs!$J$2:$J$10001)))), SKUs!$J$2:$J$10001,""),"") &amp; _xlfn.IFS(I787="Height", ", H",I787="Height SLI", ", H SLI", I787="Height FIX", ", H FIX",I787="Width", ", W", I787="", "")</f>
        <v/>
      </c>
      <c r="F787" s="33" t="str" cm="1">
        <f t="array" ref="F787">_xlfn.XLOOKUP(1,((SKUs!$A$2:$A$10001=cl_unmerged!B787) * (ISNUMBER(SEARCH("Screen Frame",SKUs!$J$2:$J$10001)))* (ISNUMBER(SEARCH(A787,SKUs!$C$2:$C$10001)))), SKUs!$C$2:$C$10001,"")</f>
        <v/>
      </c>
      <c r="G787" s="16"/>
      <c r="H787" s="16" t="str" cm="1">
        <f t="array" ref="H787">IF(C787&lt;&gt;"", _xlfn.IFS(I787="Height SLI",_xlfn.XLOOKUP(C787,'calc_s90&amp;138'!$C$15:$C$1000,'calc_s90&amp;138'!$AG$15:$AG$1000,"",0), I787="Width", _xlfn.XLOOKUP(C787,'calc_s90&amp;138'!$C$15:$C$1000,'calc_s90&amp;138'!$AI$15:$AI$1000,"",0)),"")</f>
        <v/>
      </c>
      <c r="I787" s="16" t="str">
        <f t="shared" si="17"/>
        <v/>
      </c>
    </row>
    <row r="788" spans="1:9" ht="13.5" customHeight="1" x14ac:dyDescent="0.25">
      <c r="A788" s="41" t="str">
        <f>_xlfn.XLOOKUP(G788,dd_color!$A$2:$A$8,dd_color!$B$2:$B$8,"",0)</f>
        <v/>
      </c>
      <c r="B788" s="41">
        <f>_xlfn.XLOOKUP(_xlfn.XLOOKUP(C788,'Project Details'!$C$17:$C$10003,'Project Details'!$E$17:$E$10003, "",0),dd_design_raw!$A$2:$A$9997,dd_design_raw!$C$2:$C$9997,"",0)</f>
        <v>0</v>
      </c>
      <c r="C788" s="16"/>
      <c r="D788" s="16" t="str" cm="1">
        <f t="array" ref="D788">IF(C788&lt;&gt;"", _xlfn.IFS(I788="Height SLI",_xlfn.XLOOKUP(C788,'calc_s90&amp;138'!$C$15:$C$1000,'calc_s90&amp;138'!$AH$15:$AH$1000,"",0),  I788="Width", _xlfn.XLOOKUP(C788,'calc_s90&amp;138'!$C$15:$C$1000,'calc_s90&amp;138'!$AJ$15:$AJ$1000,"",0)),"")</f>
        <v/>
      </c>
      <c r="E788" s="16" t="str" cm="1">
        <f t="array" ref="E788">IF(C788&lt;&gt;"", _xlfn.XLOOKUP(1,((SKUs!$A$2:$A$10001=cl_unmerged!B788) * (ISNUMBER(SEARCH("Screen Frame",SKUs!$J$2:$J$10001)))), SKUs!$J$2:$J$10001,""),"") &amp; _xlfn.IFS(I788="Height", ", H",I788="Height SLI", ", H SLI", I788="Height FIX", ", H FIX",I788="Width", ", W", I788="", "")</f>
        <v/>
      </c>
      <c r="F788" s="33" t="str" cm="1">
        <f t="array" ref="F788">_xlfn.XLOOKUP(1,((SKUs!$A$2:$A$10001=cl_unmerged!B788) * (ISNUMBER(SEARCH("Screen Frame",SKUs!$J$2:$J$10001)))* (ISNUMBER(SEARCH(A788,SKUs!$C$2:$C$10001)))), SKUs!$C$2:$C$10001,"")</f>
        <v/>
      </c>
      <c r="G788" s="16"/>
      <c r="H788" s="16" t="str" cm="1">
        <f t="array" ref="H788">IF(C788&lt;&gt;"", _xlfn.IFS(I788="Height SLI",_xlfn.XLOOKUP(C788,'calc_s90&amp;138'!$C$15:$C$1000,'calc_s90&amp;138'!$AG$15:$AG$1000,"",0), I788="Width", _xlfn.XLOOKUP(C788,'calc_s90&amp;138'!$C$15:$C$1000,'calc_s90&amp;138'!$AI$15:$AI$1000,"",0)),"")</f>
        <v/>
      </c>
      <c r="I788" s="16" t="str">
        <f t="shared" si="17"/>
        <v/>
      </c>
    </row>
    <row r="789" spans="1:9" ht="13.5" customHeight="1" x14ac:dyDescent="0.25">
      <c r="A789" s="41" t="str">
        <f>_xlfn.XLOOKUP(G789,dd_color!$A$2:$A$8,dd_color!$B$2:$B$8,"",0)</f>
        <v/>
      </c>
      <c r="B789" s="41">
        <f>_xlfn.XLOOKUP(_xlfn.XLOOKUP(C789,'Project Details'!$C$17:$C$10003,'Project Details'!$E$17:$E$10003, "",0),dd_design_raw!$A$2:$A$9997,dd_design_raw!$C$2:$C$9997,"",0)</f>
        <v>0</v>
      </c>
      <c r="C789" s="16"/>
      <c r="D789" s="16" t="str" cm="1">
        <f t="array" ref="D789">IF(C789&lt;&gt;"", _xlfn.IFS(I789="Height SLI",_xlfn.XLOOKUP(C789,'calc_s90&amp;138'!$C$15:$C$1000,'calc_s90&amp;138'!$AH$15:$AH$1000,"",0),  I789="Width", _xlfn.XLOOKUP(C789,'calc_s90&amp;138'!$C$15:$C$1000,'calc_s90&amp;138'!$AJ$15:$AJ$1000,"",0)),"")</f>
        <v/>
      </c>
      <c r="E789" s="16" t="str" cm="1">
        <f t="array" ref="E789">IF(C789&lt;&gt;"", _xlfn.XLOOKUP(1,((SKUs!$A$2:$A$10001=cl_unmerged!B789) * (ISNUMBER(SEARCH("Screen Frame",SKUs!$J$2:$J$10001)))), SKUs!$J$2:$J$10001,""),"") &amp; _xlfn.IFS(I789="Height", ", H",I789="Height SLI", ", H SLI", I789="Height FIX", ", H FIX",I789="Width", ", W", I789="", "")</f>
        <v/>
      </c>
      <c r="F789" s="33" t="str" cm="1">
        <f t="array" ref="F789">_xlfn.XLOOKUP(1,((SKUs!$A$2:$A$10001=cl_unmerged!B789) * (ISNUMBER(SEARCH("Screen Frame",SKUs!$J$2:$J$10001)))* (ISNUMBER(SEARCH(A789,SKUs!$C$2:$C$10001)))), SKUs!$C$2:$C$10001,"")</f>
        <v/>
      </c>
      <c r="G789" s="16"/>
      <c r="H789" s="16" t="str" cm="1">
        <f t="array" ref="H789">IF(C789&lt;&gt;"", _xlfn.IFS(I789="Height SLI",_xlfn.XLOOKUP(C789,'calc_s90&amp;138'!$C$15:$C$1000,'calc_s90&amp;138'!$AG$15:$AG$1000,"",0), I789="Width", _xlfn.XLOOKUP(C789,'calc_s90&amp;138'!$C$15:$C$1000,'calc_s90&amp;138'!$AI$15:$AI$1000,"",0)),"")</f>
        <v/>
      </c>
      <c r="I789" s="16" t="str">
        <f t="shared" si="17"/>
        <v/>
      </c>
    </row>
    <row r="790" spans="1:9" ht="13.5" customHeight="1" x14ac:dyDescent="0.25">
      <c r="A790" s="41" t="str">
        <f>_xlfn.XLOOKUP(G790,dd_color!$A$2:$A$8,dd_color!$B$2:$B$8,"",0)</f>
        <v/>
      </c>
      <c r="B790" s="41">
        <f>_xlfn.XLOOKUP(_xlfn.XLOOKUP(C790,'Project Details'!$C$17:$C$10003,'Project Details'!$E$17:$E$10003, "",0),dd_design_raw!$A$2:$A$9997,dd_design_raw!$C$2:$C$9997,"",0)</f>
        <v>0</v>
      </c>
      <c r="C790" s="16"/>
      <c r="D790" s="16" t="str" cm="1">
        <f t="array" ref="D790">IF(C790&lt;&gt;"", _xlfn.IFS(I790="Height SLI",_xlfn.XLOOKUP(C790,'calc_s90&amp;138'!$C$15:$C$1000,'calc_s90&amp;138'!$AH$15:$AH$1000,"",0),  I790="Width", _xlfn.XLOOKUP(C790,'calc_s90&amp;138'!$C$15:$C$1000,'calc_s90&amp;138'!$AJ$15:$AJ$1000,"",0)),"")</f>
        <v/>
      </c>
      <c r="E790" s="16" t="str" cm="1">
        <f t="array" ref="E790">IF(C790&lt;&gt;"", _xlfn.XLOOKUP(1,((SKUs!$A$2:$A$10001=cl_unmerged!B790) * (ISNUMBER(SEARCH("Screen Frame",SKUs!$J$2:$J$10001)))), SKUs!$J$2:$J$10001,""),"") &amp; _xlfn.IFS(I790="Height", ", H",I790="Height SLI", ", H SLI", I790="Height FIX", ", H FIX",I790="Width", ", W", I790="", "")</f>
        <v/>
      </c>
      <c r="F790" s="33" t="str" cm="1">
        <f t="array" ref="F790">_xlfn.XLOOKUP(1,((SKUs!$A$2:$A$10001=cl_unmerged!B790) * (ISNUMBER(SEARCH("Screen Frame",SKUs!$J$2:$J$10001)))* (ISNUMBER(SEARCH(A790,SKUs!$C$2:$C$10001)))), SKUs!$C$2:$C$10001,"")</f>
        <v/>
      </c>
      <c r="G790" s="16"/>
      <c r="H790" s="16" t="str" cm="1">
        <f t="array" ref="H790">IF(C790&lt;&gt;"", _xlfn.IFS(I790="Height SLI",_xlfn.XLOOKUP(C790,'calc_s90&amp;138'!$C$15:$C$1000,'calc_s90&amp;138'!$AG$15:$AG$1000,"",0), I790="Width", _xlfn.XLOOKUP(C790,'calc_s90&amp;138'!$C$15:$C$1000,'calc_s90&amp;138'!$AI$15:$AI$1000,"",0)),"")</f>
        <v/>
      </c>
      <c r="I790" s="16" t="str">
        <f t="shared" si="17"/>
        <v/>
      </c>
    </row>
    <row r="791" spans="1:9" ht="13.5" customHeight="1" x14ac:dyDescent="0.25">
      <c r="A791" s="41" t="str">
        <f>_xlfn.XLOOKUP(G791,dd_color!$A$2:$A$8,dd_color!$B$2:$B$8,"",0)</f>
        <v/>
      </c>
      <c r="B791" s="41">
        <f>_xlfn.XLOOKUP(_xlfn.XLOOKUP(C791,'Project Details'!$C$17:$C$10003,'Project Details'!$E$17:$E$10003, "",0),dd_design_raw!$A$2:$A$9997,dd_design_raw!$C$2:$C$9997,"",0)</f>
        <v>0</v>
      </c>
      <c r="C791" s="16"/>
      <c r="D791" s="16" t="str" cm="1">
        <f t="array" ref="D791">IF(C791&lt;&gt;"", _xlfn.IFS(I791="Height SLI",_xlfn.XLOOKUP(C791,'calc_s90&amp;138'!$C$15:$C$1000,'calc_s90&amp;138'!$AH$15:$AH$1000,"",0),  I791="Width", _xlfn.XLOOKUP(C791,'calc_s90&amp;138'!$C$15:$C$1000,'calc_s90&amp;138'!$AJ$15:$AJ$1000,"",0)),"")</f>
        <v/>
      </c>
      <c r="E791" s="16" t="str" cm="1">
        <f t="array" ref="E791">IF(C791&lt;&gt;"", _xlfn.XLOOKUP(1,((SKUs!$A$2:$A$10001=cl_unmerged!B791) * (ISNUMBER(SEARCH("Screen Frame",SKUs!$J$2:$J$10001)))), SKUs!$J$2:$J$10001,""),"") &amp; _xlfn.IFS(I791="Height", ", H",I791="Height SLI", ", H SLI", I791="Height FIX", ", H FIX",I791="Width", ", W", I791="", "")</f>
        <v/>
      </c>
      <c r="F791" s="33" t="str" cm="1">
        <f t="array" ref="F791">_xlfn.XLOOKUP(1,((SKUs!$A$2:$A$10001=cl_unmerged!B791) * (ISNUMBER(SEARCH("Screen Frame",SKUs!$J$2:$J$10001)))* (ISNUMBER(SEARCH(A791,SKUs!$C$2:$C$10001)))), SKUs!$C$2:$C$10001,"")</f>
        <v/>
      </c>
      <c r="G791" s="16"/>
      <c r="H791" s="16" t="str" cm="1">
        <f t="array" ref="H791">IF(C791&lt;&gt;"", _xlfn.IFS(I791="Height SLI",_xlfn.XLOOKUP(C791,'calc_s90&amp;138'!$C$15:$C$1000,'calc_s90&amp;138'!$AG$15:$AG$1000,"",0), I791="Width", _xlfn.XLOOKUP(C791,'calc_s90&amp;138'!$C$15:$C$1000,'calc_s90&amp;138'!$AI$15:$AI$1000,"",0)),"")</f>
        <v/>
      </c>
      <c r="I791" s="16" t="str">
        <f t="shared" si="17"/>
        <v/>
      </c>
    </row>
    <row r="792" spans="1:9" ht="13.5" customHeight="1" x14ac:dyDescent="0.25">
      <c r="A792" s="41" t="str">
        <f>_xlfn.XLOOKUP(G792,dd_color!$A$2:$A$8,dd_color!$B$2:$B$8,"",0)</f>
        <v/>
      </c>
      <c r="B792" s="41">
        <f>_xlfn.XLOOKUP(_xlfn.XLOOKUP(C792,'Project Details'!$C$17:$C$10003,'Project Details'!$E$17:$E$10003, "",0),dd_design_raw!$A$2:$A$9997,dd_design_raw!$C$2:$C$9997,"",0)</f>
        <v>0</v>
      </c>
      <c r="C792" s="16"/>
      <c r="D792" s="16" t="str" cm="1">
        <f t="array" ref="D792">IF(C792&lt;&gt;"", _xlfn.IFS(I792="Height SLI",_xlfn.XLOOKUP(C792,'calc_s90&amp;138'!$C$15:$C$1000,'calc_s90&amp;138'!$AH$15:$AH$1000,"",0),  I792="Width", _xlfn.XLOOKUP(C792,'calc_s90&amp;138'!$C$15:$C$1000,'calc_s90&amp;138'!$AJ$15:$AJ$1000,"",0)),"")</f>
        <v/>
      </c>
      <c r="E792" s="16" t="str" cm="1">
        <f t="array" ref="E792">IF(C792&lt;&gt;"", _xlfn.XLOOKUP(1,((SKUs!$A$2:$A$10001=cl_unmerged!B792) * (ISNUMBER(SEARCH("Screen Frame",SKUs!$J$2:$J$10001)))), SKUs!$J$2:$J$10001,""),"") &amp; _xlfn.IFS(I792="Height", ", H",I792="Height SLI", ", H SLI", I792="Height FIX", ", H FIX",I792="Width", ", W", I792="", "")</f>
        <v/>
      </c>
      <c r="F792" s="33" t="str" cm="1">
        <f t="array" ref="F792">_xlfn.XLOOKUP(1,((SKUs!$A$2:$A$10001=cl_unmerged!B792) * (ISNUMBER(SEARCH("Screen Frame",SKUs!$J$2:$J$10001)))* (ISNUMBER(SEARCH(A792,SKUs!$C$2:$C$10001)))), SKUs!$C$2:$C$10001,"")</f>
        <v/>
      </c>
      <c r="G792" s="16"/>
      <c r="H792" s="16" t="str" cm="1">
        <f t="array" ref="H792">IF(C792&lt;&gt;"", _xlfn.IFS(I792="Height SLI",_xlfn.XLOOKUP(C792,'calc_s90&amp;138'!$C$15:$C$1000,'calc_s90&amp;138'!$AG$15:$AG$1000,"",0), I792="Width", _xlfn.XLOOKUP(C792,'calc_s90&amp;138'!$C$15:$C$1000,'calc_s90&amp;138'!$AI$15:$AI$1000,"",0)),"")</f>
        <v/>
      </c>
      <c r="I792" s="16" t="str">
        <f t="shared" si="17"/>
        <v/>
      </c>
    </row>
    <row r="793" spans="1:9" ht="13.5" customHeight="1" x14ac:dyDescent="0.25">
      <c r="A793" s="41" t="str">
        <f>_xlfn.XLOOKUP(G793,dd_color!$A$2:$A$8,dd_color!$B$2:$B$8,"",0)</f>
        <v/>
      </c>
      <c r="B793" s="41">
        <f>_xlfn.XLOOKUP(_xlfn.XLOOKUP(C793,'Project Details'!$C$17:$C$10003,'Project Details'!$E$17:$E$10003, "",0),dd_design_raw!$A$2:$A$9997,dd_design_raw!$C$2:$C$9997,"",0)</f>
        <v>0</v>
      </c>
      <c r="C793" s="16"/>
      <c r="D793" s="16" t="str" cm="1">
        <f t="array" ref="D793">IF(C793&lt;&gt;"", _xlfn.IFS(I793="Height SLI",_xlfn.XLOOKUP(C793,'calc_s90&amp;138'!$C$15:$C$1000,'calc_s90&amp;138'!$AH$15:$AH$1000,"",0),  I793="Width", _xlfn.XLOOKUP(C793,'calc_s90&amp;138'!$C$15:$C$1000,'calc_s90&amp;138'!$AJ$15:$AJ$1000,"",0)),"")</f>
        <v/>
      </c>
      <c r="E793" s="16" t="str" cm="1">
        <f t="array" ref="E793">IF(C793&lt;&gt;"", _xlfn.XLOOKUP(1,((SKUs!$A$2:$A$10001=cl_unmerged!B793) * (ISNUMBER(SEARCH("Screen Frame",SKUs!$J$2:$J$10001)))), SKUs!$J$2:$J$10001,""),"") &amp; _xlfn.IFS(I793="Height", ", H",I793="Height SLI", ", H SLI", I793="Height FIX", ", H FIX",I793="Width", ", W", I793="", "")</f>
        <v/>
      </c>
      <c r="F793" s="33" t="str" cm="1">
        <f t="array" ref="F793">_xlfn.XLOOKUP(1,((SKUs!$A$2:$A$10001=cl_unmerged!B793) * (ISNUMBER(SEARCH("Screen Frame",SKUs!$J$2:$J$10001)))* (ISNUMBER(SEARCH(A793,SKUs!$C$2:$C$10001)))), SKUs!$C$2:$C$10001,"")</f>
        <v/>
      </c>
      <c r="G793" s="16"/>
      <c r="H793" s="16" t="str" cm="1">
        <f t="array" ref="H793">IF(C793&lt;&gt;"", _xlfn.IFS(I793="Height SLI",_xlfn.XLOOKUP(C793,'calc_s90&amp;138'!$C$15:$C$1000,'calc_s90&amp;138'!$AG$15:$AG$1000,"",0), I793="Width", _xlfn.XLOOKUP(C793,'calc_s90&amp;138'!$C$15:$C$1000,'calc_s90&amp;138'!$AI$15:$AI$1000,"",0)),"")</f>
        <v/>
      </c>
      <c r="I793" s="16" t="str">
        <f t="shared" si="17"/>
        <v/>
      </c>
    </row>
    <row r="794" spans="1:9" ht="13.5" customHeight="1" x14ac:dyDescent="0.25">
      <c r="A794" s="41" t="str">
        <f>_xlfn.XLOOKUP(G794,dd_color!$A$2:$A$8,dd_color!$B$2:$B$8,"",0)</f>
        <v/>
      </c>
      <c r="B794" s="41">
        <f>_xlfn.XLOOKUP(_xlfn.XLOOKUP(C794,'Project Details'!$C$17:$C$10003,'Project Details'!$E$17:$E$10003, "",0),dd_design_raw!$A$2:$A$9997,dd_design_raw!$C$2:$C$9997,"",0)</f>
        <v>0</v>
      </c>
      <c r="C794" s="16"/>
      <c r="D794" s="16" t="str" cm="1">
        <f t="array" ref="D794">IF(C794&lt;&gt;"", _xlfn.IFS(I794="Height SLI",_xlfn.XLOOKUP(C794,'calc_s90&amp;138'!$C$15:$C$1000,'calc_s90&amp;138'!$AH$15:$AH$1000,"",0),  I794="Width", _xlfn.XLOOKUP(C794,'calc_s90&amp;138'!$C$15:$C$1000,'calc_s90&amp;138'!$AJ$15:$AJ$1000,"",0)),"")</f>
        <v/>
      </c>
      <c r="E794" s="16" t="str" cm="1">
        <f t="array" ref="E794">IF(C794&lt;&gt;"", _xlfn.XLOOKUP(1,((SKUs!$A$2:$A$10001=cl_unmerged!B794) * (ISNUMBER(SEARCH("Screen Frame",SKUs!$J$2:$J$10001)))), SKUs!$J$2:$J$10001,""),"") &amp; _xlfn.IFS(I794="Height", ", H",I794="Height SLI", ", H SLI", I794="Height FIX", ", H FIX",I794="Width", ", W", I794="", "")</f>
        <v/>
      </c>
      <c r="F794" s="33" t="str" cm="1">
        <f t="array" ref="F794">_xlfn.XLOOKUP(1,((SKUs!$A$2:$A$10001=cl_unmerged!B794) * (ISNUMBER(SEARCH("Screen Frame",SKUs!$J$2:$J$10001)))* (ISNUMBER(SEARCH(A794,SKUs!$C$2:$C$10001)))), SKUs!$C$2:$C$10001,"")</f>
        <v/>
      </c>
      <c r="G794" s="16"/>
      <c r="H794" s="16" t="str" cm="1">
        <f t="array" ref="H794">IF(C794&lt;&gt;"", _xlfn.IFS(I794="Height SLI",_xlfn.XLOOKUP(C794,'calc_s90&amp;138'!$C$15:$C$1000,'calc_s90&amp;138'!$AG$15:$AG$1000,"",0), I794="Width", _xlfn.XLOOKUP(C794,'calc_s90&amp;138'!$C$15:$C$1000,'calc_s90&amp;138'!$AI$15:$AI$1000,"",0)),"")</f>
        <v/>
      </c>
      <c r="I794" s="16" t="str">
        <f t="shared" si="17"/>
        <v/>
      </c>
    </row>
    <row r="795" spans="1:9" ht="13.5" customHeight="1" x14ac:dyDescent="0.25">
      <c r="A795" s="41" t="str">
        <f>_xlfn.XLOOKUP(G795,dd_color!$A$2:$A$8,dd_color!$B$2:$B$8,"",0)</f>
        <v/>
      </c>
      <c r="B795" s="41">
        <f>_xlfn.XLOOKUP(_xlfn.XLOOKUP(C795,'Project Details'!$C$17:$C$10003,'Project Details'!$E$17:$E$10003, "",0),dd_design_raw!$A$2:$A$9997,dd_design_raw!$C$2:$C$9997,"",0)</f>
        <v>0</v>
      </c>
      <c r="C795" s="16"/>
      <c r="D795" s="16" t="str" cm="1">
        <f t="array" ref="D795">IF(C795&lt;&gt;"", _xlfn.IFS(I795="Height SLI",_xlfn.XLOOKUP(C795,'calc_s90&amp;138'!$C$15:$C$1000,'calc_s90&amp;138'!$AH$15:$AH$1000,"",0),  I795="Width", _xlfn.XLOOKUP(C795,'calc_s90&amp;138'!$C$15:$C$1000,'calc_s90&amp;138'!$AJ$15:$AJ$1000,"",0)),"")</f>
        <v/>
      </c>
      <c r="E795" s="16" t="str" cm="1">
        <f t="array" ref="E795">IF(C795&lt;&gt;"", _xlfn.XLOOKUP(1,((SKUs!$A$2:$A$10001=cl_unmerged!B795) * (ISNUMBER(SEARCH("Screen Frame",SKUs!$J$2:$J$10001)))), SKUs!$J$2:$J$10001,""),"") &amp; _xlfn.IFS(I795="Height", ", H",I795="Height SLI", ", H SLI", I795="Height FIX", ", H FIX",I795="Width", ", W", I795="", "")</f>
        <v/>
      </c>
      <c r="F795" s="33" t="str" cm="1">
        <f t="array" ref="F795">_xlfn.XLOOKUP(1,((SKUs!$A$2:$A$10001=cl_unmerged!B795) * (ISNUMBER(SEARCH("Screen Frame",SKUs!$J$2:$J$10001)))* (ISNUMBER(SEARCH(A795,SKUs!$C$2:$C$10001)))), SKUs!$C$2:$C$10001,"")</f>
        <v/>
      </c>
      <c r="G795" s="16"/>
      <c r="H795" s="16" t="str" cm="1">
        <f t="array" ref="H795">IF(C795&lt;&gt;"", _xlfn.IFS(I795="Height SLI",_xlfn.XLOOKUP(C795,'calc_s90&amp;138'!$C$15:$C$1000,'calc_s90&amp;138'!$AG$15:$AG$1000,"",0), I795="Width", _xlfn.XLOOKUP(C795,'calc_s90&amp;138'!$C$15:$C$1000,'calc_s90&amp;138'!$AI$15:$AI$1000,"",0)),"")</f>
        <v/>
      </c>
      <c r="I795" s="16" t="str">
        <f t="shared" si="17"/>
        <v/>
      </c>
    </row>
    <row r="796" spans="1:9" ht="13.5" customHeight="1" x14ac:dyDescent="0.25">
      <c r="A796" s="41" t="str">
        <f>_xlfn.XLOOKUP(G796,dd_color!$A$2:$A$8,dd_color!$B$2:$B$8,"",0)</f>
        <v/>
      </c>
      <c r="B796" s="41">
        <f>_xlfn.XLOOKUP(_xlfn.XLOOKUP(C796,'Project Details'!$C$17:$C$10003,'Project Details'!$E$17:$E$10003, "",0),dd_design_raw!$A$2:$A$9997,dd_design_raw!$C$2:$C$9997,"",0)</f>
        <v>0</v>
      </c>
      <c r="C796" s="16"/>
      <c r="D796" s="16" t="str" cm="1">
        <f t="array" ref="D796">IF(C796&lt;&gt;"", _xlfn.IFS(I796="Height SLI",_xlfn.XLOOKUP(C796,'calc_s90&amp;138'!$C$15:$C$1000,'calc_s90&amp;138'!$AH$15:$AH$1000,"",0),  I796="Width", _xlfn.XLOOKUP(C796,'calc_s90&amp;138'!$C$15:$C$1000,'calc_s90&amp;138'!$AJ$15:$AJ$1000,"",0)),"")</f>
        <v/>
      </c>
      <c r="E796" s="16" t="str" cm="1">
        <f t="array" ref="E796">IF(C796&lt;&gt;"", _xlfn.XLOOKUP(1,((SKUs!$A$2:$A$10001=cl_unmerged!B796) * (ISNUMBER(SEARCH("Screen Frame",SKUs!$J$2:$J$10001)))), SKUs!$J$2:$J$10001,""),"") &amp; _xlfn.IFS(I796="Height", ", H",I796="Height SLI", ", H SLI", I796="Height FIX", ", H FIX",I796="Width", ", W", I796="", "")</f>
        <v/>
      </c>
      <c r="F796" s="33" t="str" cm="1">
        <f t="array" ref="F796">_xlfn.XLOOKUP(1,((SKUs!$A$2:$A$10001=cl_unmerged!B796) * (ISNUMBER(SEARCH("Screen Frame",SKUs!$J$2:$J$10001)))* (ISNUMBER(SEARCH(A796,SKUs!$C$2:$C$10001)))), SKUs!$C$2:$C$10001,"")</f>
        <v/>
      </c>
      <c r="G796" s="16"/>
      <c r="H796" s="16" t="str" cm="1">
        <f t="array" ref="H796">IF(C796&lt;&gt;"", _xlfn.IFS(I796="Height SLI",_xlfn.XLOOKUP(C796,'calc_s90&amp;138'!$C$15:$C$1000,'calc_s90&amp;138'!$AG$15:$AG$1000,"",0), I796="Width", _xlfn.XLOOKUP(C796,'calc_s90&amp;138'!$C$15:$C$1000,'calc_s90&amp;138'!$AI$15:$AI$1000,"",0)),"")</f>
        <v/>
      </c>
      <c r="I796" s="16" t="str">
        <f t="shared" si="17"/>
        <v/>
      </c>
    </row>
    <row r="797" spans="1:9" ht="13.5" customHeight="1" x14ac:dyDescent="0.25">
      <c r="A797" s="41" t="str">
        <f>_xlfn.XLOOKUP(G797,dd_color!$A$2:$A$8,dd_color!$B$2:$B$8,"",0)</f>
        <v/>
      </c>
      <c r="B797" s="41">
        <f>_xlfn.XLOOKUP(_xlfn.XLOOKUP(C797,'Project Details'!$C$17:$C$10003,'Project Details'!$E$17:$E$10003, "",0),dd_design_raw!$A$2:$A$9997,dd_design_raw!$C$2:$C$9997,"",0)</f>
        <v>0</v>
      </c>
      <c r="C797" s="16"/>
      <c r="D797" s="16" t="str" cm="1">
        <f t="array" ref="D797">IF(C797&lt;&gt;"", _xlfn.IFS(I797="Height SLI",_xlfn.XLOOKUP(C797,'calc_s90&amp;138'!$C$15:$C$1000,'calc_s90&amp;138'!$AH$15:$AH$1000,"",0),  I797="Width", _xlfn.XLOOKUP(C797,'calc_s90&amp;138'!$C$15:$C$1000,'calc_s90&amp;138'!$AJ$15:$AJ$1000,"",0)),"")</f>
        <v/>
      </c>
      <c r="E797" s="16" t="str" cm="1">
        <f t="array" ref="E797">IF(C797&lt;&gt;"", _xlfn.XLOOKUP(1,((SKUs!$A$2:$A$10001=cl_unmerged!B797) * (ISNUMBER(SEARCH("Screen Frame",SKUs!$J$2:$J$10001)))), SKUs!$J$2:$J$10001,""),"") &amp; _xlfn.IFS(I797="Height", ", H",I797="Height SLI", ", H SLI", I797="Height FIX", ", H FIX",I797="Width", ", W", I797="", "")</f>
        <v/>
      </c>
      <c r="F797" s="33" t="str" cm="1">
        <f t="array" ref="F797">_xlfn.XLOOKUP(1,((SKUs!$A$2:$A$10001=cl_unmerged!B797) * (ISNUMBER(SEARCH("Screen Frame",SKUs!$J$2:$J$10001)))* (ISNUMBER(SEARCH(A797,SKUs!$C$2:$C$10001)))), SKUs!$C$2:$C$10001,"")</f>
        <v/>
      </c>
      <c r="G797" s="16"/>
      <c r="H797" s="16" t="str" cm="1">
        <f t="array" ref="H797">IF(C797&lt;&gt;"", _xlfn.IFS(I797="Height SLI",_xlfn.XLOOKUP(C797,'calc_s90&amp;138'!$C$15:$C$1000,'calc_s90&amp;138'!$AG$15:$AG$1000,"",0), I797="Width", _xlfn.XLOOKUP(C797,'calc_s90&amp;138'!$C$15:$C$1000,'calc_s90&amp;138'!$AI$15:$AI$1000,"",0)),"")</f>
        <v/>
      </c>
      <c r="I797" s="16" t="str">
        <f t="shared" si="17"/>
        <v/>
      </c>
    </row>
    <row r="798" spans="1:9" ht="13.5" customHeight="1" x14ac:dyDescent="0.25">
      <c r="A798" s="41" t="str">
        <f>_xlfn.XLOOKUP(G798,dd_color!$A$2:$A$8,dd_color!$B$2:$B$8,"",0)</f>
        <v/>
      </c>
      <c r="B798" s="41">
        <f>_xlfn.XLOOKUP(_xlfn.XLOOKUP(C798,'Project Details'!$C$17:$C$10003,'Project Details'!$E$17:$E$10003, "",0),dd_design_raw!$A$2:$A$9997,dd_design_raw!$C$2:$C$9997,"",0)</f>
        <v>0</v>
      </c>
      <c r="C798" s="16"/>
      <c r="D798" s="16" t="str" cm="1">
        <f t="array" ref="D798">IF(C798&lt;&gt;"", _xlfn.IFS(I798="Height SLI",_xlfn.XLOOKUP(C798,'calc_s90&amp;138'!$C$15:$C$1000,'calc_s90&amp;138'!$AH$15:$AH$1000,"",0),  I798="Width", _xlfn.XLOOKUP(C798,'calc_s90&amp;138'!$C$15:$C$1000,'calc_s90&amp;138'!$AJ$15:$AJ$1000,"",0)),"")</f>
        <v/>
      </c>
      <c r="E798" s="16" t="str" cm="1">
        <f t="array" ref="E798">IF(C798&lt;&gt;"", _xlfn.XLOOKUP(1,((SKUs!$A$2:$A$10001=cl_unmerged!B798) * (ISNUMBER(SEARCH("Screen Frame",SKUs!$J$2:$J$10001)))), SKUs!$J$2:$J$10001,""),"") &amp; _xlfn.IFS(I798="Height", ", H",I798="Height SLI", ", H SLI", I798="Height FIX", ", H FIX",I798="Width", ", W", I798="", "")</f>
        <v/>
      </c>
      <c r="F798" s="33" t="str" cm="1">
        <f t="array" ref="F798">_xlfn.XLOOKUP(1,((SKUs!$A$2:$A$10001=cl_unmerged!B798) * (ISNUMBER(SEARCH("Screen Frame",SKUs!$J$2:$J$10001)))* (ISNUMBER(SEARCH(A798,SKUs!$C$2:$C$10001)))), SKUs!$C$2:$C$10001,"")</f>
        <v/>
      </c>
      <c r="G798" s="16"/>
      <c r="H798" s="16" t="str" cm="1">
        <f t="array" ref="H798">IF(C798&lt;&gt;"", _xlfn.IFS(I798="Height SLI",_xlfn.XLOOKUP(C798,'calc_s90&amp;138'!$C$15:$C$1000,'calc_s90&amp;138'!$AG$15:$AG$1000,"",0), I798="Width", _xlfn.XLOOKUP(C798,'calc_s90&amp;138'!$C$15:$C$1000,'calc_s90&amp;138'!$AI$15:$AI$1000,"",0)),"")</f>
        <v/>
      </c>
      <c r="I798" s="16" t="str">
        <f t="shared" si="17"/>
        <v/>
      </c>
    </row>
    <row r="800" spans="1:9" ht="13.5" customHeight="1" x14ac:dyDescent="0.25">
      <c r="C800" s="28" t="s">
        <v>66</v>
      </c>
      <c r="D800" s="29"/>
      <c r="E800" s="29"/>
      <c r="F800" s="29"/>
      <c r="G800" s="29"/>
      <c r="H800" s="29"/>
      <c r="I800" s="30"/>
    </row>
    <row r="801" spans="1:9" ht="13.5" customHeight="1" x14ac:dyDescent="0.25">
      <c r="C801" s="32" t="s">
        <v>188</v>
      </c>
      <c r="D801" s="32"/>
      <c r="E801" s="32"/>
      <c r="F801" s="32"/>
      <c r="G801" s="32"/>
      <c r="H801" s="32"/>
      <c r="I801" s="32"/>
    </row>
    <row r="802" spans="1:9" ht="13.5" customHeight="1" x14ac:dyDescent="0.25">
      <c r="A802" s="41" t="str">
        <f>_xlfn.XLOOKUP(G802,dd_color!$A$2:$A$8,dd_color!$B$2:$B$8,"",0)</f>
        <v/>
      </c>
      <c r="B802" s="41" t="str">
        <f>_xlfn.XLOOKUP(_xlfn.XLOOKUP(C802,'Project Details'!$C$17:$C$10003,'Project Details'!$E$17:$E$10003, "",0),dd_design_raw!$A$2:$A$9997,dd_design_raw!$C$2:$C$9997,"",0)</f>
        <v/>
      </c>
      <c r="C802" s="16" t="str" cm="1">
        <f t="array" ref="C802:C803">IFERROR(INDEX(_xlfn._xlws.FILTER(calc_s60!C15:C65, calc_s60!AL15:AL65&lt;&gt;""), INT((_xlfn.SEQUENCE(2 * COUNTA(_xlfn._xlws.FILTER(calc_s60!C15:C65, calc_s60!AL15:AL65&lt;&gt;""))) - 1) / 2) + 1), "")</f>
        <v/>
      </c>
      <c r="D802" s="16" t="str" cm="1">
        <f t="array" ref="D802">IF(C802&lt;&gt;"", _xlfn.IFS(I802="Height",_xlfn.XLOOKUP(C802,calc_s60!$C$15:$C$1000,calc_s60!$AM$15:$AM$1000,"",0),  I802="Width", _xlfn.XLOOKUP(C802,calc_s60!$C$15:$C$1000,calc_s60!$AO$15:$AO$1000,"",0)),"")</f>
        <v/>
      </c>
      <c r="E802" s="16" t="str" cm="1">
        <f t="array" ref="E802">IF(C802&lt;&gt;"", _xlfn.XLOOKUP(1,((SKUs!$A$2:$A$10001=cl_unmerged!B802) * (ISNUMBER(SEARCH("Steel-Frame60",SKUs!$J$2:$J$10001)))), SKUs!$J$2:$J$10001,""),"")  &amp; _xlfn.IFS(I802="Height", ", H",I802="Height SLI", ", H SLI", I802="Height FIX", ", H FIX",I802="Width", ", W", I802="", "")</f>
        <v/>
      </c>
      <c r="F802" s="33" t="str" cm="1">
        <f t="array" ref="F802">IF(I802="Height", _xlfn.XLOOKUP(1,((SKUs!$A$2:$A$10001=cl_unmerged!B802) * (ISNUMBER(SEARCH("Steel-Frame60-H",SKUs!$J$2:$J$10001)))), SKUs!$C$2:$C$10001,""),_xlfn.XLOOKUP(1,((SKUs!$A$2:$A$10001=cl_unmerged!B802) * (ISNUMBER(SEARCH("Steel-Frame60",SKUs!$J$2:$J$10001)))), SKUs!$C$2:$C$10001,""))</f>
        <v/>
      </c>
      <c r="G802" s="16"/>
      <c r="H802" s="16" t="str" cm="1">
        <f t="array" ref="H802">IF(C802&lt;&gt;"", _xlfn.IFS(I802="Height",_xlfn.XLOOKUP(C802,calc_s60!$C$15:$C$1000,calc_s60!$AL$15:$AL$1000,"",0), I802="Width", _xlfn.XLOOKUP(C802,calc_s60!$C$15:$C$1000,calc_s60!$AN$15:$AN$1000,"",0)),"")</f>
        <v/>
      </c>
      <c r="I802" s="16" t="str">
        <f t="shared" ref="I802" si="18">IF(C802&lt;&gt;"", IF(C802=C801, "Width", "Height"),"")</f>
        <v/>
      </c>
    </row>
    <row r="803" spans="1:9" ht="13.5" customHeight="1" x14ac:dyDescent="0.25">
      <c r="A803" s="41" t="str">
        <f>_xlfn.XLOOKUP(G803,dd_color!$A$2:$A$8,dd_color!$B$2:$B$8,"",0)</f>
        <v/>
      </c>
      <c r="B803" s="41" t="str">
        <f>_xlfn.XLOOKUP(_xlfn.XLOOKUP(C803,'Project Details'!$C$17:$C$10003,'Project Details'!$E$17:$E$10003, "",0),dd_design_raw!$A$2:$A$9997,dd_design_raw!$C$2:$C$9997,"",0)</f>
        <v/>
      </c>
      <c r="C803" s="16" t="str">
        <v/>
      </c>
      <c r="D803" s="16" t="str" cm="1">
        <f t="array" ref="D803">IF(C803&lt;&gt;"", _xlfn.IFS(I803="Height",_xlfn.XLOOKUP(C803,calc_s60!$C$15:$C$1000,calc_s60!$AM$15:$AM$1000,"",0),  I803="Width", _xlfn.XLOOKUP(C803,calc_s60!$C$15:$C$1000,calc_s60!$AO$15:$AO$1000,"",0)),"")</f>
        <v/>
      </c>
      <c r="E803" s="16" t="str" cm="1">
        <f t="array" ref="E803">IF(C803&lt;&gt;"", _xlfn.XLOOKUP(1,((SKUs!$A$2:$A$10001=cl_unmerged!B803) * (ISNUMBER(SEARCH("Steel-Frame60",SKUs!$J$2:$J$10001)))), SKUs!$J$2:$J$10001,""),"")  &amp; _xlfn.IFS(I803="Height", ", H",I803="Height SLI", ", H SLI", I803="Height FIX", ", H FIX",I803="Width", ", W", I803="", "")</f>
        <v/>
      </c>
      <c r="F803" s="33" t="str" cm="1">
        <f t="array" ref="F803">IF(I803="Height", _xlfn.XLOOKUP(1,((SKUs!$A$2:$A$10001=cl_unmerged!B803) * (ISNUMBER(SEARCH("Steel-Frame60-H",SKUs!$J$2:$J$10001)))), SKUs!$C$2:$C$10001,""),_xlfn.XLOOKUP(1,((SKUs!$A$2:$A$10001=cl_unmerged!B803) * (ISNUMBER(SEARCH("Steel-Frame60",SKUs!$J$2:$J$10001)))), SKUs!$C$2:$C$10001,""))</f>
        <v/>
      </c>
      <c r="G803" s="16"/>
      <c r="H803" s="16" t="str" cm="1">
        <f t="array" ref="H803">IF(C803&lt;&gt;"", _xlfn.IFS(I803="Height",_xlfn.XLOOKUP(C803,calc_s60!$C$15:$C$1000,calc_s60!$AL$15:$AL$1000,"",0), I803="Width", _xlfn.XLOOKUP(C803,calc_s60!$C$15:$C$1000,calc_s60!$AN$15:$AN$1000,"",0)),"")</f>
        <v/>
      </c>
      <c r="I803" s="16" t="str">
        <f>IF(C803&lt;&gt;"", IF(C803=C802, "Width", "Height"),"")</f>
        <v/>
      </c>
    </row>
    <row r="804" spans="1:9" ht="13.5" customHeight="1" x14ac:dyDescent="0.25">
      <c r="A804" s="41" t="str">
        <f>_xlfn.XLOOKUP(G804,dd_color!$A$2:$A$8,dd_color!$B$2:$B$8,"",0)</f>
        <v/>
      </c>
      <c r="B804" s="41">
        <f>_xlfn.XLOOKUP(_xlfn.XLOOKUP(C804,'Project Details'!$C$17:$C$10003,'Project Details'!$E$17:$E$10003, "",0),dd_design_raw!$A$2:$A$9997,dd_design_raw!$C$2:$C$9997,"",0)</f>
        <v>0</v>
      </c>
      <c r="C804" s="16"/>
      <c r="D804" s="16" t="str" cm="1">
        <f t="array" ref="D804">IF(C804&lt;&gt;"", _xlfn.IFS(I804="Height",_xlfn.XLOOKUP(C804,calc_s60!$C$15:$C$1000,calc_s60!$AM$15:$AM$1000,"",0),  I804="Width", _xlfn.XLOOKUP(C804,calc_s60!$C$15:$C$1000,calc_s60!$AO$15:$AO$1000,"",0)),"")</f>
        <v/>
      </c>
      <c r="E804" s="16" t="str" cm="1">
        <f t="array" ref="E804">IF(C804&lt;&gt;"", _xlfn.XLOOKUP(1,((SKUs!$A$2:$A$10001=cl_unmerged!B804) * (ISNUMBER(SEARCH("Steel-Frame60",SKUs!$J$2:$J$10001)))), SKUs!$J$2:$J$10001,""),"")  &amp; _xlfn.IFS(I804="Height", ", H",I804="Height SLI", ", H SLI", I804="Height FIX", ", H FIX",I804="Width", ", W", I804="", "")</f>
        <v/>
      </c>
      <c r="F804" s="33" t="str" cm="1">
        <f t="array" ref="F804">IF(I804="Height", _xlfn.XLOOKUP(1,((SKUs!$A$2:$A$10001=cl_unmerged!B804) * (ISNUMBER(SEARCH("Steel-Frame60-H",SKUs!$J$2:$J$10001)))), SKUs!$C$2:$C$10001,""),_xlfn.XLOOKUP(1,((SKUs!$A$2:$A$10001=cl_unmerged!B804) * (ISNUMBER(SEARCH("Steel-Frame60",SKUs!$J$2:$J$10001)))), SKUs!$C$2:$C$10001,""))</f>
        <v/>
      </c>
      <c r="G804" s="16"/>
      <c r="H804" s="16" t="str" cm="1">
        <f t="array" ref="H804">IF(C804&lt;&gt;"", _xlfn.IFS(I804="Height",_xlfn.XLOOKUP(C804,calc_s60!$C$15:$C$1000,calc_s60!$AL$15:$AL$1000,"",0), I804="Width", _xlfn.XLOOKUP(C804,calc_s60!$C$15:$C$1000,calc_s60!$AN$15:$AN$1000,"",0)),"")</f>
        <v/>
      </c>
      <c r="I804" s="16" t="str">
        <f t="shared" ref="I804:I852" si="19">IF(C804&lt;&gt;"", IF(C804=C803, "Width", "Height"),"")</f>
        <v/>
      </c>
    </row>
    <row r="805" spans="1:9" ht="13.5" customHeight="1" x14ac:dyDescent="0.25">
      <c r="A805" s="41" t="str">
        <f>_xlfn.XLOOKUP(G805,dd_color!$A$2:$A$8,dd_color!$B$2:$B$8,"",0)</f>
        <v/>
      </c>
      <c r="B805" s="41">
        <f>_xlfn.XLOOKUP(_xlfn.XLOOKUP(C805,'Project Details'!$C$17:$C$10003,'Project Details'!$E$17:$E$10003, "",0),dd_design_raw!$A$2:$A$9997,dd_design_raw!$C$2:$C$9997,"",0)</f>
        <v>0</v>
      </c>
      <c r="C805" s="16"/>
      <c r="D805" s="16" t="str" cm="1">
        <f t="array" ref="D805">IF(C805&lt;&gt;"", _xlfn.IFS(I805="Height",_xlfn.XLOOKUP(C805,calc_s60!$C$15:$C$1000,calc_s60!$AM$15:$AM$1000,"",0),  I805="Width", _xlfn.XLOOKUP(C805,calc_s60!$C$15:$C$1000,calc_s60!$AO$15:$AO$1000,"",0)),"")</f>
        <v/>
      </c>
      <c r="E805" s="16" t="str" cm="1">
        <f t="array" ref="E805">IF(C805&lt;&gt;"", _xlfn.XLOOKUP(1,((SKUs!$A$2:$A$10001=cl_unmerged!B805) * (ISNUMBER(SEARCH("Steel-Frame60",SKUs!$J$2:$J$10001)))), SKUs!$J$2:$J$10001,""),"")  &amp; _xlfn.IFS(I805="Height", ", H",I805="Height SLI", ", H SLI", I805="Height FIX", ", H FIX",I805="Width", ", W", I805="", "")</f>
        <v/>
      </c>
      <c r="F805" s="33" t="str" cm="1">
        <f t="array" ref="F805">IF(I805="Height", _xlfn.XLOOKUP(1,((SKUs!$A$2:$A$10001=cl_unmerged!B805) * (ISNUMBER(SEARCH("Steel-Frame60-H",SKUs!$J$2:$J$10001)))), SKUs!$C$2:$C$10001,""),_xlfn.XLOOKUP(1,((SKUs!$A$2:$A$10001=cl_unmerged!B805) * (ISNUMBER(SEARCH("Steel-Frame60",SKUs!$J$2:$J$10001)))), SKUs!$C$2:$C$10001,""))</f>
        <v/>
      </c>
      <c r="G805" s="16"/>
      <c r="H805" s="16" t="str" cm="1">
        <f t="array" ref="H805">IF(C805&lt;&gt;"", _xlfn.IFS(I805="Height",_xlfn.XLOOKUP(C805,calc_s60!$C$15:$C$1000,calc_s60!$AL$15:$AL$1000,"",0), I805="Width", _xlfn.XLOOKUP(C805,calc_s60!$C$15:$C$1000,calc_s60!$AN$15:$AN$1000,"",0)),"")</f>
        <v/>
      </c>
      <c r="I805" s="16" t="str">
        <f t="shared" si="19"/>
        <v/>
      </c>
    </row>
    <row r="806" spans="1:9" ht="13.5" customHeight="1" x14ac:dyDescent="0.25">
      <c r="A806" s="41" t="str">
        <f>_xlfn.XLOOKUP(G806,dd_color!$A$2:$A$8,dd_color!$B$2:$B$8,"",0)</f>
        <v/>
      </c>
      <c r="B806" s="41">
        <f>_xlfn.XLOOKUP(_xlfn.XLOOKUP(C806,'Project Details'!$C$17:$C$10003,'Project Details'!$E$17:$E$10003, "",0),dd_design_raw!$A$2:$A$9997,dd_design_raw!$C$2:$C$9997,"",0)</f>
        <v>0</v>
      </c>
      <c r="C806" s="16"/>
      <c r="D806" s="16" t="str" cm="1">
        <f t="array" ref="D806">IF(C806&lt;&gt;"", _xlfn.IFS(I806="Height",_xlfn.XLOOKUP(C806,calc_s60!$C$15:$C$1000,calc_s60!$AM$15:$AM$1000,"",0),  I806="Width", _xlfn.XLOOKUP(C806,calc_s60!$C$15:$C$1000,calc_s60!$AO$15:$AO$1000,"",0)),"")</f>
        <v/>
      </c>
      <c r="E806" s="16" t="str" cm="1">
        <f t="array" ref="E806">IF(C806&lt;&gt;"", _xlfn.XLOOKUP(1,((SKUs!$A$2:$A$10001=cl_unmerged!B806) * (ISNUMBER(SEARCH("Steel-Frame60",SKUs!$J$2:$J$10001)))), SKUs!$J$2:$J$10001,""),"")  &amp; _xlfn.IFS(I806="Height", ", H",I806="Height SLI", ", H SLI", I806="Height FIX", ", H FIX",I806="Width", ", W", I806="", "")</f>
        <v/>
      </c>
      <c r="F806" s="33" t="str" cm="1">
        <f t="array" ref="F806">IF(I806="Height", _xlfn.XLOOKUP(1,((SKUs!$A$2:$A$10001=cl_unmerged!B806) * (ISNUMBER(SEARCH("Steel-Frame60-H",SKUs!$J$2:$J$10001)))), SKUs!$C$2:$C$10001,""),_xlfn.XLOOKUP(1,((SKUs!$A$2:$A$10001=cl_unmerged!B806) * (ISNUMBER(SEARCH("Steel-Frame60",SKUs!$J$2:$J$10001)))), SKUs!$C$2:$C$10001,""))</f>
        <v/>
      </c>
      <c r="G806" s="16"/>
      <c r="H806" s="16" t="str" cm="1">
        <f t="array" ref="H806">IF(C806&lt;&gt;"", _xlfn.IFS(I806="Height",_xlfn.XLOOKUP(C806,calc_s60!$C$15:$C$1000,calc_s60!$AL$15:$AL$1000,"",0), I806="Width", _xlfn.XLOOKUP(C806,calc_s60!$C$15:$C$1000,calc_s60!$AN$15:$AN$1000,"",0)),"")</f>
        <v/>
      </c>
      <c r="I806" s="16" t="str">
        <f t="shared" si="19"/>
        <v/>
      </c>
    </row>
    <row r="807" spans="1:9" ht="13.5" customHeight="1" x14ac:dyDescent="0.25">
      <c r="A807" s="41" t="str">
        <f>_xlfn.XLOOKUP(G807,dd_color!$A$2:$A$8,dd_color!$B$2:$B$8,"",0)</f>
        <v/>
      </c>
      <c r="B807" s="41">
        <f>_xlfn.XLOOKUP(_xlfn.XLOOKUP(C807,'Project Details'!$C$17:$C$10003,'Project Details'!$E$17:$E$10003, "",0),dd_design_raw!$A$2:$A$9997,dd_design_raw!$C$2:$C$9997,"",0)</f>
        <v>0</v>
      </c>
      <c r="C807" s="16"/>
      <c r="D807" s="16" t="str" cm="1">
        <f t="array" ref="D807">IF(C807&lt;&gt;"", _xlfn.IFS(I807="Height",_xlfn.XLOOKUP(C807,calc_s60!$C$15:$C$1000,calc_s60!$AM$15:$AM$1000,"",0),  I807="Width", _xlfn.XLOOKUP(C807,calc_s60!$C$15:$C$1000,calc_s60!$AO$15:$AO$1000,"",0)),"")</f>
        <v/>
      </c>
      <c r="E807" s="16" t="str" cm="1">
        <f t="array" ref="E807">IF(C807&lt;&gt;"", _xlfn.XLOOKUP(1,((SKUs!$A$2:$A$10001=cl_unmerged!B807) * (ISNUMBER(SEARCH("Steel-Frame60",SKUs!$J$2:$J$10001)))), SKUs!$J$2:$J$10001,""),"")  &amp; _xlfn.IFS(I807="Height", ", H",I807="Height SLI", ", H SLI", I807="Height FIX", ", H FIX",I807="Width", ", W", I807="", "")</f>
        <v/>
      </c>
      <c r="F807" s="33" t="str" cm="1">
        <f t="array" ref="F807">IF(I807="Height", _xlfn.XLOOKUP(1,((SKUs!$A$2:$A$10001=cl_unmerged!B807) * (ISNUMBER(SEARCH("Steel-Frame60-H",SKUs!$J$2:$J$10001)))), SKUs!$C$2:$C$10001,""),_xlfn.XLOOKUP(1,((SKUs!$A$2:$A$10001=cl_unmerged!B807) * (ISNUMBER(SEARCH("Steel-Frame60",SKUs!$J$2:$J$10001)))), SKUs!$C$2:$C$10001,""))</f>
        <v/>
      </c>
      <c r="G807" s="16"/>
      <c r="H807" s="16" t="str" cm="1">
        <f t="array" ref="H807">IF(C807&lt;&gt;"", _xlfn.IFS(I807="Height",_xlfn.XLOOKUP(C807,calc_s60!$C$15:$C$1000,calc_s60!$AL$15:$AL$1000,"",0), I807="Width", _xlfn.XLOOKUP(C807,calc_s60!$C$15:$C$1000,calc_s60!$AN$15:$AN$1000,"",0)),"")</f>
        <v/>
      </c>
      <c r="I807" s="16" t="str">
        <f t="shared" si="19"/>
        <v/>
      </c>
    </row>
    <row r="808" spans="1:9" ht="13.5" customHeight="1" x14ac:dyDescent="0.25">
      <c r="A808" s="41" t="str">
        <f>_xlfn.XLOOKUP(G808,dd_color!$A$2:$A$8,dd_color!$B$2:$B$8,"",0)</f>
        <v/>
      </c>
      <c r="B808" s="41">
        <f>_xlfn.XLOOKUP(_xlfn.XLOOKUP(C808,'Project Details'!$C$17:$C$10003,'Project Details'!$E$17:$E$10003, "",0),dd_design_raw!$A$2:$A$9997,dd_design_raw!$C$2:$C$9997,"",0)</f>
        <v>0</v>
      </c>
      <c r="C808" s="16"/>
      <c r="D808" s="16" t="str" cm="1">
        <f t="array" ref="D808">IF(C808&lt;&gt;"", _xlfn.IFS(I808="Height",_xlfn.XLOOKUP(C808,calc_s60!$C$15:$C$1000,calc_s60!$AM$15:$AM$1000,"",0),  I808="Width", _xlfn.XLOOKUP(C808,calc_s60!$C$15:$C$1000,calc_s60!$AO$15:$AO$1000,"",0)),"")</f>
        <v/>
      </c>
      <c r="E808" s="16" t="str" cm="1">
        <f t="array" ref="E808">IF(C808&lt;&gt;"", _xlfn.XLOOKUP(1,((SKUs!$A$2:$A$10001=cl_unmerged!B808) * (ISNUMBER(SEARCH("Steel-Frame60",SKUs!$J$2:$J$10001)))), SKUs!$J$2:$J$10001,""),"")  &amp; _xlfn.IFS(I808="Height", ", H",I808="Height SLI", ", H SLI", I808="Height FIX", ", H FIX",I808="Width", ", W", I808="", "")</f>
        <v/>
      </c>
      <c r="F808" s="33" t="str" cm="1">
        <f t="array" ref="F808">IF(I808="Height", _xlfn.XLOOKUP(1,((SKUs!$A$2:$A$10001=cl_unmerged!B808) * (ISNUMBER(SEARCH("Steel-Frame60-H",SKUs!$J$2:$J$10001)))), SKUs!$C$2:$C$10001,""),_xlfn.XLOOKUP(1,((SKUs!$A$2:$A$10001=cl_unmerged!B808) * (ISNUMBER(SEARCH("Steel-Frame60",SKUs!$J$2:$J$10001)))), SKUs!$C$2:$C$10001,""))</f>
        <v/>
      </c>
      <c r="G808" s="16"/>
      <c r="H808" s="16" t="str" cm="1">
        <f t="array" ref="H808">IF(C808&lt;&gt;"", _xlfn.IFS(I808="Height",_xlfn.XLOOKUP(C808,calc_s60!$C$15:$C$1000,calc_s60!$AL$15:$AL$1000,"",0), I808="Width", _xlfn.XLOOKUP(C808,calc_s60!$C$15:$C$1000,calc_s60!$AN$15:$AN$1000,"",0)),"")</f>
        <v/>
      </c>
      <c r="I808" s="16" t="str">
        <f t="shared" si="19"/>
        <v/>
      </c>
    </row>
    <row r="809" spans="1:9" ht="13.5" customHeight="1" x14ac:dyDescent="0.25">
      <c r="A809" s="41" t="str">
        <f>_xlfn.XLOOKUP(G809,dd_color!$A$2:$A$8,dd_color!$B$2:$B$8,"",0)</f>
        <v/>
      </c>
      <c r="B809" s="41">
        <f>_xlfn.XLOOKUP(_xlfn.XLOOKUP(C809,'Project Details'!$C$17:$C$10003,'Project Details'!$E$17:$E$10003, "",0),dd_design_raw!$A$2:$A$9997,dd_design_raw!$C$2:$C$9997,"",0)</f>
        <v>0</v>
      </c>
      <c r="C809" s="16"/>
      <c r="D809" s="16" t="str" cm="1">
        <f t="array" ref="D809">IF(C809&lt;&gt;"", _xlfn.IFS(I809="Height",_xlfn.XLOOKUP(C809,calc_s60!$C$15:$C$1000,calc_s60!$AM$15:$AM$1000,"",0),  I809="Width", _xlfn.XLOOKUP(C809,calc_s60!$C$15:$C$1000,calc_s60!$AO$15:$AO$1000,"",0)),"")</f>
        <v/>
      </c>
      <c r="E809" s="16" t="str" cm="1">
        <f t="array" ref="E809">IF(C809&lt;&gt;"", _xlfn.XLOOKUP(1,((SKUs!$A$2:$A$10001=cl_unmerged!B809) * (ISNUMBER(SEARCH("Steel-Frame60",SKUs!$J$2:$J$10001)))), SKUs!$J$2:$J$10001,""),"")  &amp; _xlfn.IFS(I809="Height", ", H",I809="Height SLI", ", H SLI", I809="Height FIX", ", H FIX",I809="Width", ", W", I809="", "")</f>
        <v/>
      </c>
      <c r="F809" s="33" t="str" cm="1">
        <f t="array" ref="F809">IF(I809="Height", _xlfn.XLOOKUP(1,((SKUs!$A$2:$A$10001=cl_unmerged!B809) * (ISNUMBER(SEARCH("Steel-Frame60-H",SKUs!$J$2:$J$10001)))), SKUs!$C$2:$C$10001,""),_xlfn.XLOOKUP(1,((SKUs!$A$2:$A$10001=cl_unmerged!B809) * (ISNUMBER(SEARCH("Steel-Frame60",SKUs!$J$2:$J$10001)))), SKUs!$C$2:$C$10001,""))</f>
        <v/>
      </c>
      <c r="G809" s="16"/>
      <c r="H809" s="16" t="str" cm="1">
        <f t="array" ref="H809">IF(C809&lt;&gt;"", _xlfn.IFS(I809="Height",_xlfn.XLOOKUP(C809,calc_s60!$C$15:$C$1000,calc_s60!$AL$15:$AL$1000,"",0), I809="Width", _xlfn.XLOOKUP(C809,calc_s60!$C$15:$C$1000,calc_s60!$AN$15:$AN$1000,"",0)),"")</f>
        <v/>
      </c>
      <c r="I809" s="16" t="str">
        <f t="shared" si="19"/>
        <v/>
      </c>
    </row>
    <row r="810" spans="1:9" ht="13.5" customHeight="1" x14ac:dyDescent="0.25">
      <c r="A810" s="41" t="str">
        <f>_xlfn.XLOOKUP(G810,dd_color!$A$2:$A$8,dd_color!$B$2:$B$8,"",0)</f>
        <v/>
      </c>
      <c r="B810" s="41">
        <f>_xlfn.XLOOKUP(_xlfn.XLOOKUP(C810,'Project Details'!$C$17:$C$10003,'Project Details'!$E$17:$E$10003, "",0),dd_design_raw!$A$2:$A$9997,dd_design_raw!$C$2:$C$9997,"",0)</f>
        <v>0</v>
      </c>
      <c r="C810" s="16"/>
      <c r="D810" s="16" t="str" cm="1">
        <f t="array" ref="D810">IF(C810&lt;&gt;"", _xlfn.IFS(I810="Height",_xlfn.XLOOKUP(C810,calc_s60!$C$15:$C$1000,calc_s60!$AM$15:$AM$1000,"",0),  I810="Width", _xlfn.XLOOKUP(C810,calc_s60!$C$15:$C$1000,calc_s60!$AO$15:$AO$1000,"",0)),"")</f>
        <v/>
      </c>
      <c r="E810" s="16" t="str" cm="1">
        <f t="array" ref="E810">IF(C810&lt;&gt;"", _xlfn.XLOOKUP(1,((SKUs!$A$2:$A$10001=cl_unmerged!B810) * (ISNUMBER(SEARCH("Steel-Frame60",SKUs!$J$2:$J$10001)))), SKUs!$J$2:$J$10001,""),"")  &amp; _xlfn.IFS(I810="Height", ", H",I810="Height SLI", ", H SLI", I810="Height FIX", ", H FIX",I810="Width", ", W", I810="", "")</f>
        <v/>
      </c>
      <c r="F810" s="33" t="str" cm="1">
        <f t="array" ref="F810">IF(I810="Height", _xlfn.XLOOKUP(1,((SKUs!$A$2:$A$10001=cl_unmerged!B810) * (ISNUMBER(SEARCH("Steel-Frame60-H",SKUs!$J$2:$J$10001)))), SKUs!$C$2:$C$10001,""),_xlfn.XLOOKUP(1,((SKUs!$A$2:$A$10001=cl_unmerged!B810) * (ISNUMBER(SEARCH("Steel-Frame60",SKUs!$J$2:$J$10001)))), SKUs!$C$2:$C$10001,""))</f>
        <v/>
      </c>
      <c r="G810" s="16"/>
      <c r="H810" s="16" t="str" cm="1">
        <f t="array" ref="H810">IF(C810&lt;&gt;"", _xlfn.IFS(I810="Height",_xlfn.XLOOKUP(C810,calc_s60!$C$15:$C$1000,calc_s60!$AL$15:$AL$1000,"",0), I810="Width", _xlfn.XLOOKUP(C810,calc_s60!$C$15:$C$1000,calc_s60!$AN$15:$AN$1000,"",0)),"")</f>
        <v/>
      </c>
      <c r="I810" s="16" t="str">
        <f t="shared" si="19"/>
        <v/>
      </c>
    </row>
    <row r="811" spans="1:9" ht="13.5" customHeight="1" x14ac:dyDescent="0.25">
      <c r="A811" s="41" t="str">
        <f>_xlfn.XLOOKUP(G811,dd_color!$A$2:$A$8,dd_color!$B$2:$B$8,"",0)</f>
        <v/>
      </c>
      <c r="B811" s="41">
        <f>_xlfn.XLOOKUP(_xlfn.XLOOKUP(C811,'Project Details'!$C$17:$C$10003,'Project Details'!$E$17:$E$10003, "",0),dd_design_raw!$A$2:$A$9997,dd_design_raw!$C$2:$C$9997,"",0)</f>
        <v>0</v>
      </c>
      <c r="C811" s="16"/>
      <c r="D811" s="16" t="str" cm="1">
        <f t="array" ref="D811">IF(C811&lt;&gt;"", _xlfn.IFS(I811="Height",_xlfn.XLOOKUP(C811,calc_s60!$C$15:$C$1000,calc_s60!$AM$15:$AM$1000,"",0),  I811="Width", _xlfn.XLOOKUP(C811,calc_s60!$C$15:$C$1000,calc_s60!$AO$15:$AO$1000,"",0)),"")</f>
        <v/>
      </c>
      <c r="E811" s="16" t="str" cm="1">
        <f t="array" ref="E811">IF(C811&lt;&gt;"", _xlfn.XLOOKUP(1,((SKUs!$A$2:$A$10001=cl_unmerged!B811) * (ISNUMBER(SEARCH("Steel-Frame60",SKUs!$J$2:$J$10001)))), SKUs!$J$2:$J$10001,""),"")  &amp; _xlfn.IFS(I811="Height", ", H",I811="Height SLI", ", H SLI", I811="Height FIX", ", H FIX",I811="Width", ", W", I811="", "")</f>
        <v/>
      </c>
      <c r="F811" s="33" t="str" cm="1">
        <f t="array" ref="F811">IF(I811="Height", _xlfn.XLOOKUP(1,((SKUs!$A$2:$A$10001=cl_unmerged!B811) * (ISNUMBER(SEARCH("Steel-Frame60-H",SKUs!$J$2:$J$10001)))), SKUs!$C$2:$C$10001,""),_xlfn.XLOOKUP(1,((SKUs!$A$2:$A$10001=cl_unmerged!B811) * (ISNUMBER(SEARCH("Steel-Frame60",SKUs!$J$2:$J$10001)))), SKUs!$C$2:$C$10001,""))</f>
        <v/>
      </c>
      <c r="G811" s="16"/>
      <c r="H811" s="16" t="str" cm="1">
        <f t="array" ref="H811">IF(C811&lt;&gt;"", _xlfn.IFS(I811="Height",_xlfn.XLOOKUP(C811,calc_s60!$C$15:$C$1000,calc_s60!$AL$15:$AL$1000,"",0), I811="Width", _xlfn.XLOOKUP(C811,calc_s60!$C$15:$C$1000,calc_s60!$AN$15:$AN$1000,"",0)),"")</f>
        <v/>
      </c>
      <c r="I811" s="16" t="str">
        <f t="shared" si="19"/>
        <v/>
      </c>
    </row>
    <row r="812" spans="1:9" ht="13.5" customHeight="1" x14ac:dyDescent="0.25">
      <c r="A812" s="41" t="str">
        <f>_xlfn.XLOOKUP(G812,dd_color!$A$2:$A$8,dd_color!$B$2:$B$8,"",0)</f>
        <v/>
      </c>
      <c r="B812" s="41">
        <f>_xlfn.XLOOKUP(_xlfn.XLOOKUP(C812,'Project Details'!$C$17:$C$10003,'Project Details'!$E$17:$E$10003, "",0),dd_design_raw!$A$2:$A$9997,dd_design_raw!$C$2:$C$9997,"",0)</f>
        <v>0</v>
      </c>
      <c r="C812" s="16"/>
      <c r="D812" s="16" t="str" cm="1">
        <f t="array" ref="D812">IF(C812&lt;&gt;"", _xlfn.IFS(I812="Height",_xlfn.XLOOKUP(C812,calc_s60!$C$15:$C$1000,calc_s60!$AM$15:$AM$1000,"",0),  I812="Width", _xlfn.XLOOKUP(C812,calc_s60!$C$15:$C$1000,calc_s60!$AO$15:$AO$1000,"",0)),"")</f>
        <v/>
      </c>
      <c r="E812" s="16" t="str" cm="1">
        <f t="array" ref="E812">IF(C812&lt;&gt;"", _xlfn.XLOOKUP(1,((SKUs!$A$2:$A$10001=cl_unmerged!B812) * (ISNUMBER(SEARCH("Steel-Frame60",SKUs!$J$2:$J$10001)))), SKUs!$J$2:$J$10001,""),"")  &amp; _xlfn.IFS(I812="Height", ", H",I812="Height SLI", ", H SLI", I812="Height FIX", ", H FIX",I812="Width", ", W", I812="", "")</f>
        <v/>
      </c>
      <c r="F812" s="33" t="str" cm="1">
        <f t="array" ref="F812">IF(I812="Height", _xlfn.XLOOKUP(1,((SKUs!$A$2:$A$10001=cl_unmerged!B812) * (ISNUMBER(SEARCH("Steel-Frame60-H",SKUs!$J$2:$J$10001)))), SKUs!$C$2:$C$10001,""),_xlfn.XLOOKUP(1,((SKUs!$A$2:$A$10001=cl_unmerged!B812) * (ISNUMBER(SEARCH("Steel-Frame60",SKUs!$J$2:$J$10001)))), SKUs!$C$2:$C$10001,""))</f>
        <v/>
      </c>
      <c r="G812" s="16"/>
      <c r="H812" s="16" t="str" cm="1">
        <f t="array" ref="H812">IF(C812&lt;&gt;"", _xlfn.IFS(I812="Height",_xlfn.XLOOKUP(C812,calc_s60!$C$15:$C$1000,calc_s60!$AL$15:$AL$1000,"",0), I812="Width", _xlfn.XLOOKUP(C812,calc_s60!$C$15:$C$1000,calc_s60!$AN$15:$AN$1000,"",0)),"")</f>
        <v/>
      </c>
      <c r="I812" s="16" t="str">
        <f t="shared" si="19"/>
        <v/>
      </c>
    </row>
    <row r="813" spans="1:9" ht="13.5" customHeight="1" x14ac:dyDescent="0.25">
      <c r="A813" s="41" t="str">
        <f>_xlfn.XLOOKUP(G813,dd_color!$A$2:$A$8,dd_color!$B$2:$B$8,"",0)</f>
        <v/>
      </c>
      <c r="B813" s="41">
        <f>_xlfn.XLOOKUP(_xlfn.XLOOKUP(C813,'Project Details'!$C$17:$C$10003,'Project Details'!$E$17:$E$10003, "",0),dd_design_raw!$A$2:$A$9997,dd_design_raw!$C$2:$C$9997,"",0)</f>
        <v>0</v>
      </c>
      <c r="C813" s="16"/>
      <c r="D813" s="16" t="str" cm="1">
        <f t="array" ref="D813">IF(C813&lt;&gt;"", _xlfn.IFS(I813="Height",_xlfn.XLOOKUP(C813,calc_s60!$C$15:$C$1000,calc_s60!$AM$15:$AM$1000,"",0),  I813="Width", _xlfn.XLOOKUP(C813,calc_s60!$C$15:$C$1000,calc_s60!$AO$15:$AO$1000,"",0)),"")</f>
        <v/>
      </c>
      <c r="E813" s="16" t="str" cm="1">
        <f t="array" ref="E813">IF(C813&lt;&gt;"", _xlfn.XLOOKUP(1,((SKUs!$A$2:$A$10001=cl_unmerged!B813) * (ISNUMBER(SEARCH("Steel-Frame60",SKUs!$J$2:$J$10001)))), SKUs!$J$2:$J$10001,""),"")  &amp; _xlfn.IFS(I813="Height", ", H",I813="Height SLI", ", H SLI", I813="Height FIX", ", H FIX",I813="Width", ", W", I813="", "")</f>
        <v/>
      </c>
      <c r="F813" s="33" t="str" cm="1">
        <f t="array" ref="F813">IF(I813="Height", _xlfn.XLOOKUP(1,((SKUs!$A$2:$A$10001=cl_unmerged!B813) * (ISNUMBER(SEARCH("Steel-Frame60-H",SKUs!$J$2:$J$10001)))), SKUs!$C$2:$C$10001,""),_xlfn.XLOOKUP(1,((SKUs!$A$2:$A$10001=cl_unmerged!B813) * (ISNUMBER(SEARCH("Steel-Frame60",SKUs!$J$2:$J$10001)))), SKUs!$C$2:$C$10001,""))</f>
        <v/>
      </c>
      <c r="G813" s="16"/>
      <c r="H813" s="16" t="str" cm="1">
        <f t="array" ref="H813">IF(C813&lt;&gt;"", _xlfn.IFS(I813="Height",_xlfn.XLOOKUP(C813,calc_s60!$C$15:$C$1000,calc_s60!$AL$15:$AL$1000,"",0), I813="Width", _xlfn.XLOOKUP(C813,calc_s60!$C$15:$C$1000,calc_s60!$AN$15:$AN$1000,"",0)),"")</f>
        <v/>
      </c>
      <c r="I813" s="16" t="str">
        <f t="shared" si="19"/>
        <v/>
      </c>
    </row>
    <row r="814" spans="1:9" ht="13.5" customHeight="1" x14ac:dyDescent="0.25">
      <c r="A814" s="41" t="str">
        <f>_xlfn.XLOOKUP(G814,dd_color!$A$2:$A$8,dd_color!$B$2:$B$8,"",0)</f>
        <v/>
      </c>
      <c r="B814" s="41">
        <f>_xlfn.XLOOKUP(_xlfn.XLOOKUP(C814,'Project Details'!$C$17:$C$10003,'Project Details'!$E$17:$E$10003, "",0),dd_design_raw!$A$2:$A$9997,dd_design_raw!$C$2:$C$9997,"",0)</f>
        <v>0</v>
      </c>
      <c r="C814" s="16"/>
      <c r="D814" s="16" t="str" cm="1">
        <f t="array" ref="D814">IF(C814&lt;&gt;"", _xlfn.IFS(I814="Height",_xlfn.XLOOKUP(C814,calc_s60!$C$15:$C$1000,calc_s60!$AM$15:$AM$1000,"",0),  I814="Width", _xlfn.XLOOKUP(C814,calc_s60!$C$15:$C$1000,calc_s60!$AO$15:$AO$1000,"",0)),"")</f>
        <v/>
      </c>
      <c r="E814" s="16" t="str" cm="1">
        <f t="array" ref="E814">IF(C814&lt;&gt;"", _xlfn.XLOOKUP(1,((SKUs!$A$2:$A$10001=cl_unmerged!B814) * (ISNUMBER(SEARCH("Steel-Frame60",SKUs!$J$2:$J$10001)))), SKUs!$J$2:$J$10001,""),"")  &amp; _xlfn.IFS(I814="Height", ", H",I814="Height SLI", ", H SLI", I814="Height FIX", ", H FIX",I814="Width", ", W", I814="", "")</f>
        <v/>
      </c>
      <c r="F814" s="33" t="str" cm="1">
        <f t="array" ref="F814">IF(I814="Height", _xlfn.XLOOKUP(1,((SKUs!$A$2:$A$10001=cl_unmerged!B814) * (ISNUMBER(SEARCH("Steel-Frame60-H",SKUs!$J$2:$J$10001)))), SKUs!$C$2:$C$10001,""),_xlfn.XLOOKUP(1,((SKUs!$A$2:$A$10001=cl_unmerged!B814) * (ISNUMBER(SEARCH("Steel-Frame60",SKUs!$J$2:$J$10001)))), SKUs!$C$2:$C$10001,""))</f>
        <v/>
      </c>
      <c r="G814" s="16"/>
      <c r="H814" s="16" t="str" cm="1">
        <f t="array" ref="H814">IF(C814&lt;&gt;"", _xlfn.IFS(I814="Height",_xlfn.XLOOKUP(C814,calc_s60!$C$15:$C$1000,calc_s60!$AL$15:$AL$1000,"",0), I814="Width", _xlfn.XLOOKUP(C814,calc_s60!$C$15:$C$1000,calc_s60!$AN$15:$AN$1000,"",0)),"")</f>
        <v/>
      </c>
      <c r="I814" s="16" t="str">
        <f t="shared" si="19"/>
        <v/>
      </c>
    </row>
    <row r="815" spans="1:9" ht="13.5" customHeight="1" x14ac:dyDescent="0.25">
      <c r="A815" s="41" t="str">
        <f>_xlfn.XLOOKUP(G815,dd_color!$A$2:$A$8,dd_color!$B$2:$B$8,"",0)</f>
        <v/>
      </c>
      <c r="B815" s="41">
        <f>_xlfn.XLOOKUP(_xlfn.XLOOKUP(C815,'Project Details'!$C$17:$C$10003,'Project Details'!$E$17:$E$10003, "",0),dd_design_raw!$A$2:$A$9997,dd_design_raw!$C$2:$C$9997,"",0)</f>
        <v>0</v>
      </c>
      <c r="C815" s="16"/>
      <c r="D815" s="16" t="str" cm="1">
        <f t="array" ref="D815">IF(C815&lt;&gt;"", _xlfn.IFS(I815="Height",_xlfn.XLOOKUP(C815,calc_s60!$C$15:$C$1000,calc_s60!$AM$15:$AM$1000,"",0),  I815="Width", _xlfn.XLOOKUP(C815,calc_s60!$C$15:$C$1000,calc_s60!$AO$15:$AO$1000,"",0)),"")</f>
        <v/>
      </c>
      <c r="E815" s="16" t="str" cm="1">
        <f t="array" ref="E815">IF(C815&lt;&gt;"", _xlfn.XLOOKUP(1,((SKUs!$A$2:$A$10001=cl_unmerged!B815) * (ISNUMBER(SEARCH("Steel-Frame60",SKUs!$J$2:$J$10001)))), SKUs!$J$2:$J$10001,""),"")  &amp; _xlfn.IFS(I815="Height", ", H",I815="Height SLI", ", H SLI", I815="Height FIX", ", H FIX",I815="Width", ", W", I815="", "")</f>
        <v/>
      </c>
      <c r="F815" s="33" t="str" cm="1">
        <f t="array" ref="F815">IF(I815="Height", _xlfn.XLOOKUP(1,((SKUs!$A$2:$A$10001=cl_unmerged!B815) * (ISNUMBER(SEARCH("Steel-Frame60-H",SKUs!$J$2:$J$10001)))), SKUs!$C$2:$C$10001,""),_xlfn.XLOOKUP(1,((SKUs!$A$2:$A$10001=cl_unmerged!B815) * (ISNUMBER(SEARCH("Steel-Frame60",SKUs!$J$2:$J$10001)))), SKUs!$C$2:$C$10001,""))</f>
        <v/>
      </c>
      <c r="G815" s="16"/>
      <c r="H815" s="16" t="str" cm="1">
        <f t="array" ref="H815">IF(C815&lt;&gt;"", _xlfn.IFS(I815="Height",_xlfn.XLOOKUP(C815,calc_s60!$C$15:$C$1000,calc_s60!$AL$15:$AL$1000,"",0), I815="Width", _xlfn.XLOOKUP(C815,calc_s60!$C$15:$C$1000,calc_s60!$AN$15:$AN$1000,"",0)),"")</f>
        <v/>
      </c>
      <c r="I815" s="16" t="str">
        <f t="shared" si="19"/>
        <v/>
      </c>
    </row>
    <row r="816" spans="1:9" ht="13.5" customHeight="1" x14ac:dyDescent="0.25">
      <c r="A816" s="41" t="str">
        <f>_xlfn.XLOOKUP(G816,dd_color!$A$2:$A$8,dd_color!$B$2:$B$8,"",0)</f>
        <v/>
      </c>
      <c r="B816" s="41">
        <f>_xlfn.XLOOKUP(_xlfn.XLOOKUP(C816,'Project Details'!$C$17:$C$10003,'Project Details'!$E$17:$E$10003, "",0),dd_design_raw!$A$2:$A$9997,dd_design_raw!$C$2:$C$9997,"",0)</f>
        <v>0</v>
      </c>
      <c r="C816" s="16"/>
      <c r="D816" s="16" t="str" cm="1">
        <f t="array" ref="D816">IF(C816&lt;&gt;"", _xlfn.IFS(I816="Height",_xlfn.XLOOKUP(C816,calc_s60!$C$15:$C$1000,calc_s60!$AM$15:$AM$1000,"",0),  I816="Width", _xlfn.XLOOKUP(C816,calc_s60!$C$15:$C$1000,calc_s60!$AO$15:$AO$1000,"",0)),"")</f>
        <v/>
      </c>
      <c r="E816" s="16" t="str" cm="1">
        <f t="array" ref="E816">IF(C816&lt;&gt;"", _xlfn.XLOOKUP(1,((SKUs!$A$2:$A$10001=cl_unmerged!B816) * (ISNUMBER(SEARCH("Steel-Frame60",SKUs!$J$2:$J$10001)))), SKUs!$J$2:$J$10001,""),"")  &amp; _xlfn.IFS(I816="Height", ", H",I816="Height SLI", ", H SLI", I816="Height FIX", ", H FIX",I816="Width", ", W", I816="", "")</f>
        <v/>
      </c>
      <c r="F816" s="33" t="str" cm="1">
        <f t="array" ref="F816">IF(I816="Height", _xlfn.XLOOKUP(1,((SKUs!$A$2:$A$10001=cl_unmerged!B816) * (ISNUMBER(SEARCH("Steel-Frame60-H",SKUs!$J$2:$J$10001)))), SKUs!$C$2:$C$10001,""),_xlfn.XLOOKUP(1,((SKUs!$A$2:$A$10001=cl_unmerged!B816) * (ISNUMBER(SEARCH("Steel-Frame60",SKUs!$J$2:$J$10001)))), SKUs!$C$2:$C$10001,""))</f>
        <v/>
      </c>
      <c r="G816" s="16"/>
      <c r="H816" s="16" t="str" cm="1">
        <f t="array" ref="H816">IF(C816&lt;&gt;"", _xlfn.IFS(I816="Height",_xlfn.XLOOKUP(C816,calc_s60!$C$15:$C$1000,calc_s60!$AL$15:$AL$1000,"",0), I816="Width", _xlfn.XLOOKUP(C816,calc_s60!$C$15:$C$1000,calc_s60!$AN$15:$AN$1000,"",0)),"")</f>
        <v/>
      </c>
      <c r="I816" s="16" t="str">
        <f t="shared" si="19"/>
        <v/>
      </c>
    </row>
    <row r="817" spans="1:9" ht="13.5" customHeight="1" x14ac:dyDescent="0.25">
      <c r="A817" s="41" t="str">
        <f>_xlfn.XLOOKUP(G817,dd_color!$A$2:$A$8,dd_color!$B$2:$B$8,"",0)</f>
        <v/>
      </c>
      <c r="B817" s="41">
        <f>_xlfn.XLOOKUP(_xlfn.XLOOKUP(C817,'Project Details'!$C$17:$C$10003,'Project Details'!$E$17:$E$10003, "",0),dd_design_raw!$A$2:$A$9997,dd_design_raw!$C$2:$C$9997,"",0)</f>
        <v>0</v>
      </c>
      <c r="C817" s="16"/>
      <c r="D817" s="16" t="str" cm="1">
        <f t="array" ref="D817">IF(C817&lt;&gt;"", _xlfn.IFS(I817="Height",_xlfn.XLOOKUP(C817,calc_s60!$C$15:$C$1000,calc_s60!$AM$15:$AM$1000,"",0),  I817="Width", _xlfn.XLOOKUP(C817,calc_s60!$C$15:$C$1000,calc_s60!$AO$15:$AO$1000,"",0)),"")</f>
        <v/>
      </c>
      <c r="E817" s="16" t="str" cm="1">
        <f t="array" ref="E817">IF(C817&lt;&gt;"", _xlfn.XLOOKUP(1,((SKUs!$A$2:$A$10001=cl_unmerged!B817) * (ISNUMBER(SEARCH("Steel-Frame60",SKUs!$J$2:$J$10001)))), SKUs!$J$2:$J$10001,""),"")  &amp; _xlfn.IFS(I817="Height", ", H",I817="Height SLI", ", H SLI", I817="Height FIX", ", H FIX",I817="Width", ", W", I817="", "")</f>
        <v/>
      </c>
      <c r="F817" s="33" t="str" cm="1">
        <f t="array" ref="F817">IF(I817="Height", _xlfn.XLOOKUP(1,((SKUs!$A$2:$A$10001=cl_unmerged!B817) * (ISNUMBER(SEARCH("Steel-Frame60-H",SKUs!$J$2:$J$10001)))), SKUs!$C$2:$C$10001,""),_xlfn.XLOOKUP(1,((SKUs!$A$2:$A$10001=cl_unmerged!B817) * (ISNUMBER(SEARCH("Steel-Frame60",SKUs!$J$2:$J$10001)))), SKUs!$C$2:$C$10001,""))</f>
        <v/>
      </c>
      <c r="G817" s="16"/>
      <c r="H817" s="16" t="str" cm="1">
        <f t="array" ref="H817">IF(C817&lt;&gt;"", _xlfn.IFS(I817="Height",_xlfn.XLOOKUP(C817,calc_s60!$C$15:$C$1000,calc_s60!$AL$15:$AL$1000,"",0), I817="Width", _xlfn.XLOOKUP(C817,calc_s60!$C$15:$C$1000,calc_s60!$AN$15:$AN$1000,"",0)),"")</f>
        <v/>
      </c>
      <c r="I817" s="16" t="str">
        <f t="shared" si="19"/>
        <v/>
      </c>
    </row>
    <row r="818" spans="1:9" ht="13.5" customHeight="1" x14ac:dyDescent="0.25">
      <c r="A818" s="41" t="str">
        <f>_xlfn.XLOOKUP(G818,dd_color!$A$2:$A$8,dd_color!$B$2:$B$8,"",0)</f>
        <v/>
      </c>
      <c r="B818" s="41">
        <f>_xlfn.XLOOKUP(_xlfn.XLOOKUP(C818,'Project Details'!$C$17:$C$10003,'Project Details'!$E$17:$E$10003, "",0),dd_design_raw!$A$2:$A$9997,dd_design_raw!$C$2:$C$9997,"",0)</f>
        <v>0</v>
      </c>
      <c r="C818" s="16"/>
      <c r="D818" s="16" t="str" cm="1">
        <f t="array" ref="D818">IF(C818&lt;&gt;"", _xlfn.IFS(I818="Height",_xlfn.XLOOKUP(C818,calc_s60!$C$15:$C$1000,calc_s60!$AM$15:$AM$1000,"",0),  I818="Width", _xlfn.XLOOKUP(C818,calc_s60!$C$15:$C$1000,calc_s60!$AO$15:$AO$1000,"",0)),"")</f>
        <v/>
      </c>
      <c r="E818" s="16" t="str" cm="1">
        <f t="array" ref="E818">IF(C818&lt;&gt;"", _xlfn.XLOOKUP(1,((SKUs!$A$2:$A$10001=cl_unmerged!B818) * (ISNUMBER(SEARCH("Steel-Frame60",SKUs!$J$2:$J$10001)))), SKUs!$J$2:$J$10001,""),"")  &amp; _xlfn.IFS(I818="Height", ", H",I818="Height SLI", ", H SLI", I818="Height FIX", ", H FIX",I818="Width", ", W", I818="", "")</f>
        <v/>
      </c>
      <c r="F818" s="33" t="str" cm="1">
        <f t="array" ref="F818">IF(I818="Height", _xlfn.XLOOKUP(1,((SKUs!$A$2:$A$10001=cl_unmerged!B818) * (ISNUMBER(SEARCH("Steel-Frame60-H",SKUs!$J$2:$J$10001)))), SKUs!$C$2:$C$10001,""),_xlfn.XLOOKUP(1,((SKUs!$A$2:$A$10001=cl_unmerged!B818) * (ISNUMBER(SEARCH("Steel-Frame60",SKUs!$J$2:$J$10001)))), SKUs!$C$2:$C$10001,""))</f>
        <v/>
      </c>
      <c r="G818" s="16"/>
      <c r="H818" s="16" t="str" cm="1">
        <f t="array" ref="H818">IF(C818&lt;&gt;"", _xlfn.IFS(I818="Height",_xlfn.XLOOKUP(C818,calc_s60!$C$15:$C$1000,calc_s60!$AL$15:$AL$1000,"",0), I818="Width", _xlfn.XLOOKUP(C818,calc_s60!$C$15:$C$1000,calc_s60!$AN$15:$AN$1000,"",0)),"")</f>
        <v/>
      </c>
      <c r="I818" s="16" t="str">
        <f t="shared" si="19"/>
        <v/>
      </c>
    </row>
    <row r="819" spans="1:9" ht="13.5" customHeight="1" x14ac:dyDescent="0.25">
      <c r="A819" s="41" t="str">
        <f>_xlfn.XLOOKUP(G819,dd_color!$A$2:$A$8,dd_color!$B$2:$B$8,"",0)</f>
        <v/>
      </c>
      <c r="B819" s="41">
        <f>_xlfn.XLOOKUP(_xlfn.XLOOKUP(C819,'Project Details'!$C$17:$C$10003,'Project Details'!$E$17:$E$10003, "",0),dd_design_raw!$A$2:$A$9997,dd_design_raw!$C$2:$C$9997,"",0)</f>
        <v>0</v>
      </c>
      <c r="C819" s="16"/>
      <c r="D819" s="16" t="str" cm="1">
        <f t="array" ref="D819">IF(C819&lt;&gt;"", _xlfn.IFS(I819="Height",_xlfn.XLOOKUP(C819,calc_s60!$C$15:$C$1000,calc_s60!$AM$15:$AM$1000,"",0),  I819="Width", _xlfn.XLOOKUP(C819,calc_s60!$C$15:$C$1000,calc_s60!$AO$15:$AO$1000,"",0)),"")</f>
        <v/>
      </c>
      <c r="E819" s="16" t="str" cm="1">
        <f t="array" ref="E819">IF(C819&lt;&gt;"", _xlfn.XLOOKUP(1,((SKUs!$A$2:$A$10001=cl_unmerged!B819) * (ISNUMBER(SEARCH("Steel-Frame60",SKUs!$J$2:$J$10001)))), SKUs!$J$2:$J$10001,""),"")  &amp; _xlfn.IFS(I819="Height", ", H",I819="Height SLI", ", H SLI", I819="Height FIX", ", H FIX",I819="Width", ", W", I819="", "")</f>
        <v/>
      </c>
      <c r="F819" s="33" t="str" cm="1">
        <f t="array" ref="F819">IF(I819="Height", _xlfn.XLOOKUP(1,((SKUs!$A$2:$A$10001=cl_unmerged!B819) * (ISNUMBER(SEARCH("Steel-Frame60-H",SKUs!$J$2:$J$10001)))), SKUs!$C$2:$C$10001,""),_xlfn.XLOOKUP(1,((SKUs!$A$2:$A$10001=cl_unmerged!B819) * (ISNUMBER(SEARCH("Steel-Frame60",SKUs!$J$2:$J$10001)))), SKUs!$C$2:$C$10001,""))</f>
        <v/>
      </c>
      <c r="G819" s="16"/>
      <c r="H819" s="16" t="str" cm="1">
        <f t="array" ref="H819">IF(C819&lt;&gt;"", _xlfn.IFS(I819="Height",_xlfn.XLOOKUP(C819,calc_s60!$C$15:$C$1000,calc_s60!$AL$15:$AL$1000,"",0), I819="Width", _xlfn.XLOOKUP(C819,calc_s60!$C$15:$C$1000,calc_s60!$AN$15:$AN$1000,"",0)),"")</f>
        <v/>
      </c>
      <c r="I819" s="16" t="str">
        <f t="shared" si="19"/>
        <v/>
      </c>
    </row>
    <row r="820" spans="1:9" ht="13.5" customHeight="1" x14ac:dyDescent="0.25">
      <c r="A820" s="41" t="str">
        <f>_xlfn.XLOOKUP(G820,dd_color!$A$2:$A$8,dd_color!$B$2:$B$8,"",0)</f>
        <v/>
      </c>
      <c r="B820" s="41">
        <f>_xlfn.XLOOKUP(_xlfn.XLOOKUP(C820,'Project Details'!$C$17:$C$10003,'Project Details'!$E$17:$E$10003, "",0),dd_design_raw!$A$2:$A$9997,dd_design_raw!$C$2:$C$9997,"",0)</f>
        <v>0</v>
      </c>
      <c r="C820" s="16"/>
      <c r="D820" s="16" t="str" cm="1">
        <f t="array" ref="D820">IF(C820&lt;&gt;"", _xlfn.IFS(I820="Height",_xlfn.XLOOKUP(C820,calc_s60!$C$15:$C$1000,calc_s60!$AM$15:$AM$1000,"",0),  I820="Width", _xlfn.XLOOKUP(C820,calc_s60!$C$15:$C$1000,calc_s60!$AO$15:$AO$1000,"",0)),"")</f>
        <v/>
      </c>
      <c r="E820" s="16" t="str" cm="1">
        <f t="array" ref="E820">IF(C820&lt;&gt;"", _xlfn.XLOOKUP(1,((SKUs!$A$2:$A$10001=cl_unmerged!B820) * (ISNUMBER(SEARCH("Steel-Frame60",SKUs!$J$2:$J$10001)))), SKUs!$J$2:$J$10001,""),"")  &amp; _xlfn.IFS(I820="Height", ", H",I820="Height SLI", ", H SLI", I820="Height FIX", ", H FIX",I820="Width", ", W", I820="", "")</f>
        <v/>
      </c>
      <c r="F820" s="33" t="str" cm="1">
        <f t="array" ref="F820">IF(I820="Height", _xlfn.XLOOKUP(1,((SKUs!$A$2:$A$10001=cl_unmerged!B820) * (ISNUMBER(SEARCH("Steel-Frame60-H",SKUs!$J$2:$J$10001)))), SKUs!$C$2:$C$10001,""),_xlfn.XLOOKUP(1,((SKUs!$A$2:$A$10001=cl_unmerged!B820) * (ISNUMBER(SEARCH("Steel-Frame60",SKUs!$J$2:$J$10001)))), SKUs!$C$2:$C$10001,""))</f>
        <v/>
      </c>
      <c r="G820" s="16"/>
      <c r="H820" s="16" t="str" cm="1">
        <f t="array" ref="H820">IF(C820&lt;&gt;"", _xlfn.IFS(I820="Height",_xlfn.XLOOKUP(C820,calc_s60!$C$15:$C$1000,calc_s60!$AL$15:$AL$1000,"",0), I820="Width", _xlfn.XLOOKUP(C820,calc_s60!$C$15:$C$1000,calc_s60!$AN$15:$AN$1000,"",0)),"")</f>
        <v/>
      </c>
      <c r="I820" s="16" t="str">
        <f t="shared" si="19"/>
        <v/>
      </c>
    </row>
    <row r="821" spans="1:9" ht="13.5" customHeight="1" x14ac:dyDescent="0.25">
      <c r="A821" s="41" t="str">
        <f>_xlfn.XLOOKUP(G821,dd_color!$A$2:$A$8,dd_color!$B$2:$B$8,"",0)</f>
        <v/>
      </c>
      <c r="B821" s="41">
        <f>_xlfn.XLOOKUP(_xlfn.XLOOKUP(C821,'Project Details'!$C$17:$C$10003,'Project Details'!$E$17:$E$10003, "",0),dd_design_raw!$A$2:$A$9997,dd_design_raw!$C$2:$C$9997,"",0)</f>
        <v>0</v>
      </c>
      <c r="C821" s="16"/>
      <c r="D821" s="16" t="str" cm="1">
        <f t="array" ref="D821">IF(C821&lt;&gt;"", _xlfn.IFS(I821="Height",_xlfn.XLOOKUP(C821,calc_s60!$C$15:$C$1000,calc_s60!$AM$15:$AM$1000,"",0),  I821="Width", _xlfn.XLOOKUP(C821,calc_s60!$C$15:$C$1000,calc_s60!$AO$15:$AO$1000,"",0)),"")</f>
        <v/>
      </c>
      <c r="E821" s="16" t="str" cm="1">
        <f t="array" ref="E821">IF(C821&lt;&gt;"", _xlfn.XLOOKUP(1,((SKUs!$A$2:$A$10001=cl_unmerged!B821) * (ISNUMBER(SEARCH("Steel-Frame60",SKUs!$J$2:$J$10001)))), SKUs!$J$2:$J$10001,""),"")  &amp; _xlfn.IFS(I821="Height", ", H",I821="Height SLI", ", H SLI", I821="Height FIX", ", H FIX",I821="Width", ", W", I821="", "")</f>
        <v/>
      </c>
      <c r="F821" s="33" t="str" cm="1">
        <f t="array" ref="F821">IF(I821="Height", _xlfn.XLOOKUP(1,((SKUs!$A$2:$A$10001=cl_unmerged!B821) * (ISNUMBER(SEARCH("Steel-Frame60-H",SKUs!$J$2:$J$10001)))), SKUs!$C$2:$C$10001,""),_xlfn.XLOOKUP(1,((SKUs!$A$2:$A$10001=cl_unmerged!B821) * (ISNUMBER(SEARCH("Steel-Frame60",SKUs!$J$2:$J$10001)))), SKUs!$C$2:$C$10001,""))</f>
        <v/>
      </c>
      <c r="G821" s="16"/>
      <c r="H821" s="16" t="str" cm="1">
        <f t="array" ref="H821">IF(C821&lt;&gt;"", _xlfn.IFS(I821="Height",_xlfn.XLOOKUP(C821,calc_s60!$C$15:$C$1000,calc_s60!$AL$15:$AL$1000,"",0), I821="Width", _xlfn.XLOOKUP(C821,calc_s60!$C$15:$C$1000,calc_s60!$AN$15:$AN$1000,"",0)),"")</f>
        <v/>
      </c>
      <c r="I821" s="16" t="str">
        <f t="shared" si="19"/>
        <v/>
      </c>
    </row>
    <row r="822" spans="1:9" ht="13.5" customHeight="1" x14ac:dyDescent="0.25">
      <c r="A822" s="41" t="str">
        <f>_xlfn.XLOOKUP(G822,dd_color!$A$2:$A$8,dd_color!$B$2:$B$8,"",0)</f>
        <v/>
      </c>
      <c r="B822" s="41">
        <f>_xlfn.XLOOKUP(_xlfn.XLOOKUP(C822,'Project Details'!$C$17:$C$10003,'Project Details'!$E$17:$E$10003, "",0),dd_design_raw!$A$2:$A$9997,dd_design_raw!$C$2:$C$9997,"",0)</f>
        <v>0</v>
      </c>
      <c r="C822" s="16"/>
      <c r="D822" s="16" t="str" cm="1">
        <f t="array" ref="D822">IF(C822&lt;&gt;"", _xlfn.IFS(I822="Height",_xlfn.XLOOKUP(C822,calc_s60!$C$15:$C$1000,calc_s60!$AM$15:$AM$1000,"",0),  I822="Width", _xlfn.XLOOKUP(C822,calc_s60!$C$15:$C$1000,calc_s60!$AO$15:$AO$1000,"",0)),"")</f>
        <v/>
      </c>
      <c r="E822" s="16" t="str" cm="1">
        <f t="array" ref="E822">IF(C822&lt;&gt;"", _xlfn.XLOOKUP(1,((SKUs!$A$2:$A$10001=cl_unmerged!B822) * (ISNUMBER(SEARCH("Steel-Frame60",SKUs!$J$2:$J$10001)))), SKUs!$J$2:$J$10001,""),"")  &amp; _xlfn.IFS(I822="Height", ", H",I822="Height SLI", ", H SLI", I822="Height FIX", ", H FIX",I822="Width", ", W", I822="", "")</f>
        <v/>
      </c>
      <c r="F822" s="33" t="str" cm="1">
        <f t="array" ref="F822">IF(I822="Height", _xlfn.XLOOKUP(1,((SKUs!$A$2:$A$10001=cl_unmerged!B822) * (ISNUMBER(SEARCH("Steel-Frame60-H",SKUs!$J$2:$J$10001)))), SKUs!$C$2:$C$10001,""),_xlfn.XLOOKUP(1,((SKUs!$A$2:$A$10001=cl_unmerged!B822) * (ISNUMBER(SEARCH("Steel-Frame60",SKUs!$J$2:$J$10001)))), SKUs!$C$2:$C$10001,""))</f>
        <v/>
      </c>
      <c r="G822" s="16"/>
      <c r="H822" s="16" t="str" cm="1">
        <f t="array" ref="H822">IF(C822&lt;&gt;"", _xlfn.IFS(I822="Height",_xlfn.XLOOKUP(C822,calc_s60!$C$15:$C$1000,calc_s60!$AL$15:$AL$1000,"",0), I822="Width", _xlfn.XLOOKUP(C822,calc_s60!$C$15:$C$1000,calc_s60!$AN$15:$AN$1000,"",0)),"")</f>
        <v/>
      </c>
      <c r="I822" s="16" t="str">
        <f t="shared" si="19"/>
        <v/>
      </c>
    </row>
    <row r="823" spans="1:9" ht="13.5" customHeight="1" x14ac:dyDescent="0.25">
      <c r="A823" s="41" t="str">
        <f>_xlfn.XLOOKUP(G823,dd_color!$A$2:$A$8,dd_color!$B$2:$B$8,"",0)</f>
        <v/>
      </c>
      <c r="B823" s="41">
        <f>_xlfn.XLOOKUP(_xlfn.XLOOKUP(C823,'Project Details'!$C$17:$C$10003,'Project Details'!$E$17:$E$10003, "",0),dd_design_raw!$A$2:$A$9997,dd_design_raw!$C$2:$C$9997,"",0)</f>
        <v>0</v>
      </c>
      <c r="C823" s="16"/>
      <c r="D823" s="16" t="str" cm="1">
        <f t="array" ref="D823">IF(C823&lt;&gt;"", _xlfn.IFS(I823="Height",_xlfn.XLOOKUP(C823,calc_s60!$C$15:$C$1000,calc_s60!$AM$15:$AM$1000,"",0),  I823="Width", _xlfn.XLOOKUP(C823,calc_s60!$C$15:$C$1000,calc_s60!$AO$15:$AO$1000,"",0)),"")</f>
        <v/>
      </c>
      <c r="E823" s="16" t="str" cm="1">
        <f t="array" ref="E823">IF(C823&lt;&gt;"", _xlfn.XLOOKUP(1,((SKUs!$A$2:$A$10001=cl_unmerged!B823) * (ISNUMBER(SEARCH("Steel-Frame60",SKUs!$J$2:$J$10001)))), SKUs!$J$2:$J$10001,""),"")  &amp; _xlfn.IFS(I823="Height", ", H",I823="Height SLI", ", H SLI", I823="Height FIX", ", H FIX",I823="Width", ", W", I823="", "")</f>
        <v/>
      </c>
      <c r="F823" s="33" t="str" cm="1">
        <f t="array" ref="F823">IF(I823="Height", _xlfn.XLOOKUP(1,((SKUs!$A$2:$A$10001=cl_unmerged!B823) * (ISNUMBER(SEARCH("Steel-Frame60-H",SKUs!$J$2:$J$10001)))), SKUs!$C$2:$C$10001,""),_xlfn.XLOOKUP(1,((SKUs!$A$2:$A$10001=cl_unmerged!B823) * (ISNUMBER(SEARCH("Steel-Frame60",SKUs!$J$2:$J$10001)))), SKUs!$C$2:$C$10001,""))</f>
        <v/>
      </c>
      <c r="G823" s="16"/>
      <c r="H823" s="16" t="str" cm="1">
        <f t="array" ref="H823">IF(C823&lt;&gt;"", _xlfn.IFS(I823="Height",_xlfn.XLOOKUP(C823,calc_s60!$C$15:$C$1000,calc_s60!$AL$15:$AL$1000,"",0), I823="Width", _xlfn.XLOOKUP(C823,calc_s60!$C$15:$C$1000,calc_s60!$AN$15:$AN$1000,"",0)),"")</f>
        <v/>
      </c>
      <c r="I823" s="16" t="str">
        <f t="shared" si="19"/>
        <v/>
      </c>
    </row>
    <row r="824" spans="1:9" ht="13.5" customHeight="1" x14ac:dyDescent="0.25">
      <c r="A824" s="41" t="str">
        <f>_xlfn.XLOOKUP(G824,dd_color!$A$2:$A$8,dd_color!$B$2:$B$8,"",0)</f>
        <v/>
      </c>
      <c r="B824" s="41">
        <f>_xlfn.XLOOKUP(_xlfn.XLOOKUP(C824,'Project Details'!$C$17:$C$10003,'Project Details'!$E$17:$E$10003, "",0),dd_design_raw!$A$2:$A$9997,dd_design_raw!$C$2:$C$9997,"",0)</f>
        <v>0</v>
      </c>
      <c r="C824" s="16"/>
      <c r="D824" s="16" t="str" cm="1">
        <f t="array" ref="D824">IF(C824&lt;&gt;"", _xlfn.IFS(I824="Height",_xlfn.XLOOKUP(C824,calc_s60!$C$15:$C$1000,calc_s60!$AM$15:$AM$1000,"",0),  I824="Width", _xlfn.XLOOKUP(C824,calc_s60!$C$15:$C$1000,calc_s60!$AO$15:$AO$1000,"",0)),"")</f>
        <v/>
      </c>
      <c r="E824" s="16" t="str" cm="1">
        <f t="array" ref="E824">IF(C824&lt;&gt;"", _xlfn.XLOOKUP(1,((SKUs!$A$2:$A$10001=cl_unmerged!B824) * (ISNUMBER(SEARCH("Steel-Frame60",SKUs!$J$2:$J$10001)))), SKUs!$J$2:$J$10001,""),"")  &amp; _xlfn.IFS(I824="Height", ", H",I824="Height SLI", ", H SLI", I824="Height FIX", ", H FIX",I824="Width", ", W", I824="", "")</f>
        <v/>
      </c>
      <c r="F824" s="33" t="str" cm="1">
        <f t="array" ref="F824">IF(I824="Height", _xlfn.XLOOKUP(1,((SKUs!$A$2:$A$10001=cl_unmerged!B824) * (ISNUMBER(SEARCH("Steel-Frame60-H",SKUs!$J$2:$J$10001)))), SKUs!$C$2:$C$10001,""),_xlfn.XLOOKUP(1,((SKUs!$A$2:$A$10001=cl_unmerged!B824) * (ISNUMBER(SEARCH("Steel-Frame60",SKUs!$J$2:$J$10001)))), SKUs!$C$2:$C$10001,""))</f>
        <v/>
      </c>
      <c r="G824" s="16"/>
      <c r="H824" s="16" t="str" cm="1">
        <f t="array" ref="H824">IF(C824&lt;&gt;"", _xlfn.IFS(I824="Height",_xlfn.XLOOKUP(C824,calc_s60!$C$15:$C$1000,calc_s60!$AL$15:$AL$1000,"",0), I824="Width", _xlfn.XLOOKUP(C824,calc_s60!$C$15:$C$1000,calc_s60!$AN$15:$AN$1000,"",0)),"")</f>
        <v/>
      </c>
      <c r="I824" s="16" t="str">
        <f t="shared" si="19"/>
        <v/>
      </c>
    </row>
    <row r="825" spans="1:9" ht="13.5" customHeight="1" x14ac:dyDescent="0.25">
      <c r="A825" s="41" t="str">
        <f>_xlfn.XLOOKUP(G825,dd_color!$A$2:$A$8,dd_color!$B$2:$B$8,"",0)</f>
        <v/>
      </c>
      <c r="B825" s="41">
        <f>_xlfn.XLOOKUP(_xlfn.XLOOKUP(C825,'Project Details'!$C$17:$C$10003,'Project Details'!$E$17:$E$10003, "",0),dd_design_raw!$A$2:$A$9997,dd_design_raw!$C$2:$C$9997,"",0)</f>
        <v>0</v>
      </c>
      <c r="C825" s="16"/>
      <c r="D825" s="16" t="str" cm="1">
        <f t="array" ref="D825">IF(C825&lt;&gt;"", _xlfn.IFS(I825="Height",_xlfn.XLOOKUP(C825,calc_s60!$C$15:$C$1000,calc_s60!$AM$15:$AM$1000,"",0),  I825="Width", _xlfn.XLOOKUP(C825,calc_s60!$C$15:$C$1000,calc_s60!$AO$15:$AO$1000,"",0)),"")</f>
        <v/>
      </c>
      <c r="E825" s="16" t="str" cm="1">
        <f t="array" ref="E825">IF(C825&lt;&gt;"", _xlfn.XLOOKUP(1,((SKUs!$A$2:$A$10001=cl_unmerged!B825) * (ISNUMBER(SEARCH("Steel-Frame60",SKUs!$J$2:$J$10001)))), SKUs!$J$2:$J$10001,""),"")  &amp; _xlfn.IFS(I825="Height", ", H",I825="Height SLI", ", H SLI", I825="Height FIX", ", H FIX",I825="Width", ", W", I825="", "")</f>
        <v/>
      </c>
      <c r="F825" s="33" t="str" cm="1">
        <f t="array" ref="F825">IF(I825="Height", _xlfn.XLOOKUP(1,((SKUs!$A$2:$A$10001=cl_unmerged!B825) * (ISNUMBER(SEARCH("Steel-Frame60-H",SKUs!$J$2:$J$10001)))), SKUs!$C$2:$C$10001,""),_xlfn.XLOOKUP(1,((SKUs!$A$2:$A$10001=cl_unmerged!B825) * (ISNUMBER(SEARCH("Steel-Frame60",SKUs!$J$2:$J$10001)))), SKUs!$C$2:$C$10001,""))</f>
        <v/>
      </c>
      <c r="G825" s="16"/>
      <c r="H825" s="16" t="str" cm="1">
        <f t="array" ref="H825">IF(C825&lt;&gt;"", _xlfn.IFS(I825="Height",_xlfn.XLOOKUP(C825,calc_s60!$C$15:$C$1000,calc_s60!$AL$15:$AL$1000,"",0), I825="Width", _xlfn.XLOOKUP(C825,calc_s60!$C$15:$C$1000,calc_s60!$AN$15:$AN$1000,"",0)),"")</f>
        <v/>
      </c>
      <c r="I825" s="16" t="str">
        <f t="shared" si="19"/>
        <v/>
      </c>
    </row>
    <row r="826" spans="1:9" ht="13.5" customHeight="1" x14ac:dyDescent="0.25">
      <c r="A826" s="41" t="str">
        <f>_xlfn.XLOOKUP(G826,dd_color!$A$2:$A$8,dd_color!$B$2:$B$8,"",0)</f>
        <v/>
      </c>
      <c r="B826" s="41">
        <f>_xlfn.XLOOKUP(_xlfn.XLOOKUP(C826,'Project Details'!$C$17:$C$10003,'Project Details'!$E$17:$E$10003, "",0),dd_design_raw!$A$2:$A$9997,dd_design_raw!$C$2:$C$9997,"",0)</f>
        <v>0</v>
      </c>
      <c r="C826" s="16"/>
      <c r="D826" s="16" t="str" cm="1">
        <f t="array" ref="D826">IF(C826&lt;&gt;"", _xlfn.IFS(I826="Height",_xlfn.XLOOKUP(C826,calc_s60!$C$15:$C$1000,calc_s60!$AM$15:$AM$1000,"",0),  I826="Width", _xlfn.XLOOKUP(C826,calc_s60!$C$15:$C$1000,calc_s60!$AO$15:$AO$1000,"",0)),"")</f>
        <v/>
      </c>
      <c r="E826" s="16" t="str" cm="1">
        <f t="array" ref="E826">IF(C826&lt;&gt;"", _xlfn.XLOOKUP(1,((SKUs!$A$2:$A$10001=cl_unmerged!B826) * (ISNUMBER(SEARCH("Steel-Frame60",SKUs!$J$2:$J$10001)))), SKUs!$J$2:$J$10001,""),"")  &amp; _xlfn.IFS(I826="Height", ", H",I826="Height SLI", ", H SLI", I826="Height FIX", ", H FIX",I826="Width", ", W", I826="", "")</f>
        <v/>
      </c>
      <c r="F826" s="33" t="str" cm="1">
        <f t="array" ref="F826">IF(I826="Height", _xlfn.XLOOKUP(1,((SKUs!$A$2:$A$10001=cl_unmerged!B826) * (ISNUMBER(SEARCH("Steel-Frame60-H",SKUs!$J$2:$J$10001)))), SKUs!$C$2:$C$10001,""),_xlfn.XLOOKUP(1,((SKUs!$A$2:$A$10001=cl_unmerged!B826) * (ISNUMBER(SEARCH("Steel-Frame60",SKUs!$J$2:$J$10001)))), SKUs!$C$2:$C$10001,""))</f>
        <v/>
      </c>
      <c r="G826" s="16"/>
      <c r="H826" s="16" t="str" cm="1">
        <f t="array" ref="H826">IF(C826&lt;&gt;"", _xlfn.IFS(I826="Height",_xlfn.XLOOKUP(C826,calc_s60!$C$15:$C$1000,calc_s60!$AL$15:$AL$1000,"",0), I826="Width", _xlfn.XLOOKUP(C826,calc_s60!$C$15:$C$1000,calc_s60!$AN$15:$AN$1000,"",0)),"")</f>
        <v/>
      </c>
      <c r="I826" s="16" t="str">
        <f t="shared" si="19"/>
        <v/>
      </c>
    </row>
    <row r="827" spans="1:9" ht="13.5" customHeight="1" x14ac:dyDescent="0.25">
      <c r="A827" s="41" t="str">
        <f>_xlfn.XLOOKUP(G827,dd_color!$A$2:$A$8,dd_color!$B$2:$B$8,"",0)</f>
        <v/>
      </c>
      <c r="B827" s="41">
        <f>_xlfn.XLOOKUP(_xlfn.XLOOKUP(C827,'Project Details'!$C$17:$C$10003,'Project Details'!$E$17:$E$10003, "",0),dd_design_raw!$A$2:$A$9997,dd_design_raw!$C$2:$C$9997,"",0)</f>
        <v>0</v>
      </c>
      <c r="C827" s="16"/>
      <c r="D827" s="16" t="str" cm="1">
        <f t="array" ref="D827">IF(C827&lt;&gt;"", _xlfn.IFS(I827="Height",_xlfn.XLOOKUP(C827,calc_s60!$C$15:$C$1000,calc_s60!$AM$15:$AM$1000,"",0),  I827="Width", _xlfn.XLOOKUP(C827,calc_s60!$C$15:$C$1000,calc_s60!$AO$15:$AO$1000,"",0)),"")</f>
        <v/>
      </c>
      <c r="E827" s="16" t="str" cm="1">
        <f t="array" ref="E827">IF(C827&lt;&gt;"", _xlfn.XLOOKUP(1,((SKUs!$A$2:$A$10001=cl_unmerged!B827) * (ISNUMBER(SEARCH("Steel-Frame60",SKUs!$J$2:$J$10001)))), SKUs!$J$2:$J$10001,""),"")  &amp; _xlfn.IFS(I827="Height", ", H",I827="Height SLI", ", H SLI", I827="Height FIX", ", H FIX",I827="Width", ", W", I827="", "")</f>
        <v/>
      </c>
      <c r="F827" s="33" t="str" cm="1">
        <f t="array" ref="F827">IF(I827="Height", _xlfn.XLOOKUP(1,((SKUs!$A$2:$A$10001=cl_unmerged!B827) * (ISNUMBER(SEARCH("Steel-Frame60-H",SKUs!$J$2:$J$10001)))), SKUs!$C$2:$C$10001,""),_xlfn.XLOOKUP(1,((SKUs!$A$2:$A$10001=cl_unmerged!B827) * (ISNUMBER(SEARCH("Steel-Frame60",SKUs!$J$2:$J$10001)))), SKUs!$C$2:$C$10001,""))</f>
        <v/>
      </c>
      <c r="G827" s="16"/>
      <c r="H827" s="16" t="str" cm="1">
        <f t="array" ref="H827">IF(C827&lt;&gt;"", _xlfn.IFS(I827="Height",_xlfn.XLOOKUP(C827,calc_s60!$C$15:$C$1000,calc_s60!$AL$15:$AL$1000,"",0), I827="Width", _xlfn.XLOOKUP(C827,calc_s60!$C$15:$C$1000,calc_s60!$AN$15:$AN$1000,"",0)),"")</f>
        <v/>
      </c>
      <c r="I827" s="16" t="str">
        <f t="shared" si="19"/>
        <v/>
      </c>
    </row>
    <row r="828" spans="1:9" ht="13.5" customHeight="1" x14ac:dyDescent="0.25">
      <c r="A828" s="41" t="str">
        <f>_xlfn.XLOOKUP(G828,dd_color!$A$2:$A$8,dd_color!$B$2:$B$8,"",0)</f>
        <v/>
      </c>
      <c r="B828" s="41">
        <f>_xlfn.XLOOKUP(_xlfn.XLOOKUP(C828,'Project Details'!$C$17:$C$10003,'Project Details'!$E$17:$E$10003, "",0),dd_design_raw!$A$2:$A$9997,dd_design_raw!$C$2:$C$9997,"",0)</f>
        <v>0</v>
      </c>
      <c r="C828" s="16"/>
      <c r="D828" s="16" t="str" cm="1">
        <f t="array" ref="D828">IF(C828&lt;&gt;"", _xlfn.IFS(I828="Height",_xlfn.XLOOKUP(C828,calc_s60!$C$15:$C$1000,calc_s60!$AM$15:$AM$1000,"",0),  I828="Width", _xlfn.XLOOKUP(C828,calc_s60!$C$15:$C$1000,calc_s60!$AO$15:$AO$1000,"",0)),"")</f>
        <v/>
      </c>
      <c r="E828" s="16" t="str" cm="1">
        <f t="array" ref="E828">IF(C828&lt;&gt;"", _xlfn.XLOOKUP(1,((SKUs!$A$2:$A$10001=cl_unmerged!B828) * (ISNUMBER(SEARCH("Steel-Frame60",SKUs!$J$2:$J$10001)))), SKUs!$J$2:$J$10001,""),"")  &amp; _xlfn.IFS(I828="Height", ", H",I828="Height SLI", ", H SLI", I828="Height FIX", ", H FIX",I828="Width", ", W", I828="", "")</f>
        <v/>
      </c>
      <c r="F828" s="33" t="str" cm="1">
        <f t="array" ref="F828">IF(I828="Height", _xlfn.XLOOKUP(1,((SKUs!$A$2:$A$10001=cl_unmerged!B828) * (ISNUMBER(SEARCH("Steel-Frame60-H",SKUs!$J$2:$J$10001)))), SKUs!$C$2:$C$10001,""),_xlfn.XLOOKUP(1,((SKUs!$A$2:$A$10001=cl_unmerged!B828) * (ISNUMBER(SEARCH("Steel-Frame60",SKUs!$J$2:$J$10001)))), SKUs!$C$2:$C$10001,""))</f>
        <v/>
      </c>
      <c r="G828" s="16"/>
      <c r="H828" s="16" t="str" cm="1">
        <f t="array" ref="H828">IF(C828&lt;&gt;"", _xlfn.IFS(I828="Height",_xlfn.XLOOKUP(C828,calc_s60!$C$15:$C$1000,calc_s60!$AL$15:$AL$1000,"",0), I828="Width", _xlfn.XLOOKUP(C828,calc_s60!$C$15:$C$1000,calc_s60!$AN$15:$AN$1000,"",0)),"")</f>
        <v/>
      </c>
      <c r="I828" s="16" t="str">
        <f t="shared" si="19"/>
        <v/>
      </c>
    </row>
    <row r="829" spans="1:9" ht="13.5" customHeight="1" x14ac:dyDescent="0.25">
      <c r="A829" s="41" t="str">
        <f>_xlfn.XLOOKUP(G829,dd_color!$A$2:$A$8,dd_color!$B$2:$B$8,"",0)</f>
        <v/>
      </c>
      <c r="B829" s="41">
        <f>_xlfn.XLOOKUP(_xlfn.XLOOKUP(C829,'Project Details'!$C$17:$C$10003,'Project Details'!$E$17:$E$10003, "",0),dd_design_raw!$A$2:$A$9997,dd_design_raw!$C$2:$C$9997,"",0)</f>
        <v>0</v>
      </c>
      <c r="C829" s="16"/>
      <c r="D829" s="16" t="str" cm="1">
        <f t="array" ref="D829">IF(C829&lt;&gt;"", _xlfn.IFS(I829="Height",_xlfn.XLOOKUP(C829,calc_s60!$C$15:$C$1000,calc_s60!$AM$15:$AM$1000,"",0),  I829="Width", _xlfn.XLOOKUP(C829,calc_s60!$C$15:$C$1000,calc_s60!$AO$15:$AO$1000,"",0)),"")</f>
        <v/>
      </c>
      <c r="E829" s="16" t="str" cm="1">
        <f t="array" ref="E829">IF(C829&lt;&gt;"", _xlfn.XLOOKUP(1,((SKUs!$A$2:$A$10001=cl_unmerged!B829) * (ISNUMBER(SEARCH("Steel-Frame60",SKUs!$J$2:$J$10001)))), SKUs!$J$2:$J$10001,""),"")  &amp; _xlfn.IFS(I829="Height", ", H",I829="Height SLI", ", H SLI", I829="Height FIX", ", H FIX",I829="Width", ", W", I829="", "")</f>
        <v/>
      </c>
      <c r="F829" s="33" t="str" cm="1">
        <f t="array" ref="F829">IF(I829="Height", _xlfn.XLOOKUP(1,((SKUs!$A$2:$A$10001=cl_unmerged!B829) * (ISNUMBER(SEARCH("Steel-Frame60-H",SKUs!$J$2:$J$10001)))), SKUs!$C$2:$C$10001,""),_xlfn.XLOOKUP(1,((SKUs!$A$2:$A$10001=cl_unmerged!B829) * (ISNUMBER(SEARCH("Steel-Frame60",SKUs!$J$2:$J$10001)))), SKUs!$C$2:$C$10001,""))</f>
        <v/>
      </c>
      <c r="G829" s="16"/>
      <c r="H829" s="16" t="str" cm="1">
        <f t="array" ref="H829">IF(C829&lt;&gt;"", _xlfn.IFS(I829="Height",_xlfn.XLOOKUP(C829,calc_s60!$C$15:$C$1000,calc_s60!$AL$15:$AL$1000,"",0), I829="Width", _xlfn.XLOOKUP(C829,calc_s60!$C$15:$C$1000,calc_s60!$AN$15:$AN$1000,"",0)),"")</f>
        <v/>
      </c>
      <c r="I829" s="16" t="str">
        <f t="shared" si="19"/>
        <v/>
      </c>
    </row>
    <row r="830" spans="1:9" ht="13.5" customHeight="1" x14ac:dyDescent="0.25">
      <c r="A830" s="41" t="str">
        <f>_xlfn.XLOOKUP(G830,dd_color!$A$2:$A$8,dd_color!$B$2:$B$8,"",0)</f>
        <v/>
      </c>
      <c r="B830" s="41">
        <f>_xlfn.XLOOKUP(_xlfn.XLOOKUP(C830,'Project Details'!$C$17:$C$10003,'Project Details'!$E$17:$E$10003, "",0),dd_design_raw!$A$2:$A$9997,dd_design_raw!$C$2:$C$9997,"",0)</f>
        <v>0</v>
      </c>
      <c r="C830" s="16"/>
      <c r="D830" s="16" t="str" cm="1">
        <f t="array" ref="D830">IF(C830&lt;&gt;"", _xlfn.IFS(I830="Height",_xlfn.XLOOKUP(C830,calc_s60!$C$15:$C$1000,calc_s60!$AM$15:$AM$1000,"",0),  I830="Width", _xlfn.XLOOKUP(C830,calc_s60!$C$15:$C$1000,calc_s60!$AO$15:$AO$1000,"",0)),"")</f>
        <v/>
      </c>
      <c r="E830" s="16" t="str" cm="1">
        <f t="array" ref="E830">IF(C830&lt;&gt;"", _xlfn.XLOOKUP(1,((SKUs!$A$2:$A$10001=cl_unmerged!B830) * (ISNUMBER(SEARCH("Steel-Frame60",SKUs!$J$2:$J$10001)))), SKUs!$J$2:$J$10001,""),"")  &amp; _xlfn.IFS(I830="Height", ", H",I830="Height SLI", ", H SLI", I830="Height FIX", ", H FIX",I830="Width", ", W", I830="", "")</f>
        <v/>
      </c>
      <c r="F830" s="33" t="str" cm="1">
        <f t="array" ref="F830">IF(I830="Height", _xlfn.XLOOKUP(1,((SKUs!$A$2:$A$10001=cl_unmerged!B830) * (ISNUMBER(SEARCH("Steel-Frame60-H",SKUs!$J$2:$J$10001)))), SKUs!$C$2:$C$10001,""),_xlfn.XLOOKUP(1,((SKUs!$A$2:$A$10001=cl_unmerged!B830) * (ISNUMBER(SEARCH("Steel-Frame60",SKUs!$J$2:$J$10001)))), SKUs!$C$2:$C$10001,""))</f>
        <v/>
      </c>
      <c r="G830" s="16"/>
      <c r="H830" s="16" t="str" cm="1">
        <f t="array" ref="H830">IF(C830&lt;&gt;"", _xlfn.IFS(I830="Height",_xlfn.XLOOKUP(C830,calc_s60!$C$15:$C$1000,calc_s60!$AL$15:$AL$1000,"",0), I830="Width", _xlfn.XLOOKUP(C830,calc_s60!$C$15:$C$1000,calc_s60!$AN$15:$AN$1000,"",0)),"")</f>
        <v/>
      </c>
      <c r="I830" s="16" t="str">
        <f t="shared" si="19"/>
        <v/>
      </c>
    </row>
    <row r="831" spans="1:9" ht="13.5" customHeight="1" x14ac:dyDescent="0.25">
      <c r="A831" s="41" t="str">
        <f>_xlfn.XLOOKUP(G831,dd_color!$A$2:$A$8,dd_color!$B$2:$B$8,"",0)</f>
        <v/>
      </c>
      <c r="B831" s="41">
        <f>_xlfn.XLOOKUP(_xlfn.XLOOKUP(C831,'Project Details'!$C$17:$C$10003,'Project Details'!$E$17:$E$10003, "",0),dd_design_raw!$A$2:$A$9997,dd_design_raw!$C$2:$C$9997,"",0)</f>
        <v>0</v>
      </c>
      <c r="C831" s="16"/>
      <c r="D831" s="16" t="str" cm="1">
        <f t="array" ref="D831">IF(C831&lt;&gt;"", _xlfn.IFS(I831="Height",_xlfn.XLOOKUP(C831,calc_s60!$C$15:$C$1000,calc_s60!$AM$15:$AM$1000,"",0),  I831="Width", _xlfn.XLOOKUP(C831,calc_s60!$C$15:$C$1000,calc_s60!$AO$15:$AO$1000,"",0)),"")</f>
        <v/>
      </c>
      <c r="E831" s="16" t="str" cm="1">
        <f t="array" ref="E831">IF(C831&lt;&gt;"", _xlfn.XLOOKUP(1,((SKUs!$A$2:$A$10001=cl_unmerged!B831) * (ISNUMBER(SEARCH("Steel-Frame60",SKUs!$J$2:$J$10001)))), SKUs!$J$2:$J$10001,""),"")  &amp; _xlfn.IFS(I831="Height", ", H",I831="Height SLI", ", H SLI", I831="Height FIX", ", H FIX",I831="Width", ", W", I831="", "")</f>
        <v/>
      </c>
      <c r="F831" s="33" t="str" cm="1">
        <f t="array" ref="F831">IF(I831="Height", _xlfn.XLOOKUP(1,((SKUs!$A$2:$A$10001=cl_unmerged!B831) * (ISNUMBER(SEARCH("Steel-Frame60-H",SKUs!$J$2:$J$10001)))), SKUs!$C$2:$C$10001,""),_xlfn.XLOOKUP(1,((SKUs!$A$2:$A$10001=cl_unmerged!B831) * (ISNUMBER(SEARCH("Steel-Frame60",SKUs!$J$2:$J$10001)))), SKUs!$C$2:$C$10001,""))</f>
        <v/>
      </c>
      <c r="G831" s="16"/>
      <c r="H831" s="16" t="str" cm="1">
        <f t="array" ref="H831">IF(C831&lt;&gt;"", _xlfn.IFS(I831="Height",_xlfn.XLOOKUP(C831,calc_s60!$C$15:$C$1000,calc_s60!$AL$15:$AL$1000,"",0), I831="Width", _xlfn.XLOOKUP(C831,calc_s60!$C$15:$C$1000,calc_s60!$AN$15:$AN$1000,"",0)),"")</f>
        <v/>
      </c>
      <c r="I831" s="16" t="str">
        <f t="shared" si="19"/>
        <v/>
      </c>
    </row>
    <row r="832" spans="1:9" ht="13.5" customHeight="1" x14ac:dyDescent="0.25">
      <c r="A832" s="41" t="str">
        <f>_xlfn.XLOOKUP(G832,dd_color!$A$2:$A$8,dd_color!$B$2:$B$8,"",0)</f>
        <v/>
      </c>
      <c r="B832" s="41">
        <f>_xlfn.XLOOKUP(_xlfn.XLOOKUP(C832,'Project Details'!$C$17:$C$10003,'Project Details'!$E$17:$E$10003, "",0),dd_design_raw!$A$2:$A$9997,dd_design_raw!$C$2:$C$9997,"",0)</f>
        <v>0</v>
      </c>
      <c r="C832" s="16"/>
      <c r="D832" s="16" t="str" cm="1">
        <f t="array" ref="D832">IF(C832&lt;&gt;"", _xlfn.IFS(I832="Height",_xlfn.XLOOKUP(C832,calc_s60!$C$15:$C$1000,calc_s60!$AM$15:$AM$1000,"",0),  I832="Width", _xlfn.XLOOKUP(C832,calc_s60!$C$15:$C$1000,calc_s60!$AO$15:$AO$1000,"",0)),"")</f>
        <v/>
      </c>
      <c r="E832" s="16" t="str" cm="1">
        <f t="array" ref="E832">IF(C832&lt;&gt;"", _xlfn.XLOOKUP(1,((SKUs!$A$2:$A$10001=cl_unmerged!B832) * (ISNUMBER(SEARCH("Steel-Frame60",SKUs!$J$2:$J$10001)))), SKUs!$J$2:$J$10001,""),"")  &amp; _xlfn.IFS(I832="Height", ", H",I832="Height SLI", ", H SLI", I832="Height FIX", ", H FIX",I832="Width", ", W", I832="", "")</f>
        <v/>
      </c>
      <c r="F832" s="33" t="str" cm="1">
        <f t="array" ref="F832">IF(I832="Height", _xlfn.XLOOKUP(1,((SKUs!$A$2:$A$10001=cl_unmerged!B832) * (ISNUMBER(SEARCH("Steel-Frame60-H",SKUs!$J$2:$J$10001)))), SKUs!$C$2:$C$10001,""),_xlfn.XLOOKUP(1,((SKUs!$A$2:$A$10001=cl_unmerged!B832) * (ISNUMBER(SEARCH("Steel-Frame60",SKUs!$J$2:$J$10001)))), SKUs!$C$2:$C$10001,""))</f>
        <v/>
      </c>
      <c r="G832" s="16"/>
      <c r="H832" s="16" t="str" cm="1">
        <f t="array" ref="H832">IF(C832&lt;&gt;"", _xlfn.IFS(I832="Height",_xlfn.XLOOKUP(C832,calc_s60!$C$15:$C$1000,calc_s60!$AL$15:$AL$1000,"",0), I832="Width", _xlfn.XLOOKUP(C832,calc_s60!$C$15:$C$1000,calc_s60!$AN$15:$AN$1000,"",0)),"")</f>
        <v/>
      </c>
      <c r="I832" s="16" t="str">
        <f t="shared" si="19"/>
        <v/>
      </c>
    </row>
    <row r="833" spans="1:9" ht="13.5" customHeight="1" x14ac:dyDescent="0.25">
      <c r="A833" s="41" t="str">
        <f>_xlfn.XLOOKUP(G833,dd_color!$A$2:$A$8,dd_color!$B$2:$B$8,"",0)</f>
        <v/>
      </c>
      <c r="B833" s="41">
        <f>_xlfn.XLOOKUP(_xlfn.XLOOKUP(C833,'Project Details'!$C$17:$C$10003,'Project Details'!$E$17:$E$10003, "",0),dd_design_raw!$A$2:$A$9997,dd_design_raw!$C$2:$C$9997,"",0)</f>
        <v>0</v>
      </c>
      <c r="C833" s="16"/>
      <c r="D833" s="16" t="str" cm="1">
        <f t="array" ref="D833">IF(C833&lt;&gt;"", _xlfn.IFS(I833="Height",_xlfn.XLOOKUP(C833,calc_s60!$C$15:$C$1000,calc_s60!$AM$15:$AM$1000,"",0),  I833="Width", _xlfn.XLOOKUP(C833,calc_s60!$C$15:$C$1000,calc_s60!$AO$15:$AO$1000,"",0)),"")</f>
        <v/>
      </c>
      <c r="E833" s="16" t="str" cm="1">
        <f t="array" ref="E833">IF(C833&lt;&gt;"", _xlfn.XLOOKUP(1,((SKUs!$A$2:$A$10001=cl_unmerged!B833) * (ISNUMBER(SEARCH("Steel-Frame60",SKUs!$J$2:$J$10001)))), SKUs!$J$2:$J$10001,""),"")  &amp; _xlfn.IFS(I833="Height", ", H",I833="Height SLI", ", H SLI", I833="Height FIX", ", H FIX",I833="Width", ", W", I833="", "")</f>
        <v/>
      </c>
      <c r="F833" s="33" t="str" cm="1">
        <f t="array" ref="F833">IF(I833="Height", _xlfn.XLOOKUP(1,((SKUs!$A$2:$A$10001=cl_unmerged!B833) * (ISNUMBER(SEARCH("Steel-Frame60-H",SKUs!$J$2:$J$10001)))), SKUs!$C$2:$C$10001,""),_xlfn.XLOOKUP(1,((SKUs!$A$2:$A$10001=cl_unmerged!B833) * (ISNUMBER(SEARCH("Steel-Frame60",SKUs!$J$2:$J$10001)))), SKUs!$C$2:$C$10001,""))</f>
        <v/>
      </c>
      <c r="G833" s="16"/>
      <c r="H833" s="16" t="str" cm="1">
        <f t="array" ref="H833">IF(C833&lt;&gt;"", _xlfn.IFS(I833="Height",_xlfn.XLOOKUP(C833,calc_s60!$C$15:$C$1000,calc_s60!$AL$15:$AL$1000,"",0), I833="Width", _xlfn.XLOOKUP(C833,calc_s60!$C$15:$C$1000,calc_s60!$AN$15:$AN$1000,"",0)),"")</f>
        <v/>
      </c>
      <c r="I833" s="16" t="str">
        <f t="shared" si="19"/>
        <v/>
      </c>
    </row>
    <row r="834" spans="1:9" ht="13.5" customHeight="1" x14ac:dyDescent="0.25">
      <c r="A834" s="41" t="str">
        <f>_xlfn.XLOOKUP(G834,dd_color!$A$2:$A$8,dd_color!$B$2:$B$8,"",0)</f>
        <v/>
      </c>
      <c r="B834" s="41">
        <f>_xlfn.XLOOKUP(_xlfn.XLOOKUP(C834,'Project Details'!$C$17:$C$10003,'Project Details'!$E$17:$E$10003, "",0),dd_design_raw!$A$2:$A$9997,dd_design_raw!$C$2:$C$9997,"",0)</f>
        <v>0</v>
      </c>
      <c r="C834" s="16"/>
      <c r="D834" s="16" t="str" cm="1">
        <f t="array" ref="D834">IF(C834&lt;&gt;"", _xlfn.IFS(I834="Height",_xlfn.XLOOKUP(C834,calc_s60!$C$15:$C$1000,calc_s60!$AM$15:$AM$1000,"",0),  I834="Width", _xlfn.XLOOKUP(C834,calc_s60!$C$15:$C$1000,calc_s60!$AO$15:$AO$1000,"",0)),"")</f>
        <v/>
      </c>
      <c r="E834" s="16" t="str" cm="1">
        <f t="array" ref="E834">IF(C834&lt;&gt;"", _xlfn.XLOOKUP(1,((SKUs!$A$2:$A$10001=cl_unmerged!B834) * (ISNUMBER(SEARCH("Steel-Frame60",SKUs!$J$2:$J$10001)))), SKUs!$J$2:$J$10001,""),"")  &amp; _xlfn.IFS(I834="Height", ", H",I834="Height SLI", ", H SLI", I834="Height FIX", ", H FIX",I834="Width", ", W", I834="", "")</f>
        <v/>
      </c>
      <c r="F834" s="33" t="str" cm="1">
        <f t="array" ref="F834">IF(I834="Height", _xlfn.XLOOKUP(1,((SKUs!$A$2:$A$10001=cl_unmerged!B834) * (ISNUMBER(SEARCH("Steel-Frame60-H",SKUs!$J$2:$J$10001)))), SKUs!$C$2:$C$10001,""),_xlfn.XLOOKUP(1,((SKUs!$A$2:$A$10001=cl_unmerged!B834) * (ISNUMBER(SEARCH("Steel-Frame60",SKUs!$J$2:$J$10001)))), SKUs!$C$2:$C$10001,""))</f>
        <v/>
      </c>
      <c r="G834" s="16"/>
      <c r="H834" s="16" t="str" cm="1">
        <f t="array" ref="H834">IF(C834&lt;&gt;"", _xlfn.IFS(I834="Height",_xlfn.XLOOKUP(C834,calc_s60!$C$15:$C$1000,calc_s60!$AL$15:$AL$1000,"",0), I834="Width", _xlfn.XLOOKUP(C834,calc_s60!$C$15:$C$1000,calc_s60!$AN$15:$AN$1000,"",0)),"")</f>
        <v/>
      </c>
      <c r="I834" s="16" t="str">
        <f t="shared" si="19"/>
        <v/>
      </c>
    </row>
    <row r="835" spans="1:9" ht="13.5" customHeight="1" x14ac:dyDescent="0.25">
      <c r="A835" s="41" t="str">
        <f>_xlfn.XLOOKUP(G835,dd_color!$A$2:$A$8,dd_color!$B$2:$B$8,"",0)</f>
        <v/>
      </c>
      <c r="B835" s="41">
        <f>_xlfn.XLOOKUP(_xlfn.XLOOKUP(C835,'Project Details'!$C$17:$C$10003,'Project Details'!$E$17:$E$10003, "",0),dd_design_raw!$A$2:$A$9997,dd_design_raw!$C$2:$C$9997,"",0)</f>
        <v>0</v>
      </c>
      <c r="C835" s="16"/>
      <c r="D835" s="16" t="str" cm="1">
        <f t="array" ref="D835">IF(C835&lt;&gt;"", _xlfn.IFS(I835="Height",_xlfn.XLOOKUP(C835,calc_s60!$C$15:$C$1000,calc_s60!$AM$15:$AM$1000,"",0),  I835="Width", _xlfn.XLOOKUP(C835,calc_s60!$C$15:$C$1000,calc_s60!$AO$15:$AO$1000,"",0)),"")</f>
        <v/>
      </c>
      <c r="E835" s="16" t="str" cm="1">
        <f t="array" ref="E835">IF(C835&lt;&gt;"", _xlfn.XLOOKUP(1,((SKUs!$A$2:$A$10001=cl_unmerged!B835) * (ISNUMBER(SEARCH("Steel-Frame60",SKUs!$J$2:$J$10001)))), SKUs!$J$2:$J$10001,""),"")  &amp; _xlfn.IFS(I835="Height", ", H",I835="Height SLI", ", H SLI", I835="Height FIX", ", H FIX",I835="Width", ", W", I835="", "")</f>
        <v/>
      </c>
      <c r="F835" s="33" t="str" cm="1">
        <f t="array" ref="F835">IF(I835="Height", _xlfn.XLOOKUP(1,((SKUs!$A$2:$A$10001=cl_unmerged!B835) * (ISNUMBER(SEARCH("Steel-Frame60-H",SKUs!$J$2:$J$10001)))), SKUs!$C$2:$C$10001,""),_xlfn.XLOOKUP(1,((SKUs!$A$2:$A$10001=cl_unmerged!B835) * (ISNUMBER(SEARCH("Steel-Frame60",SKUs!$J$2:$J$10001)))), SKUs!$C$2:$C$10001,""))</f>
        <v/>
      </c>
      <c r="G835" s="16"/>
      <c r="H835" s="16" t="str" cm="1">
        <f t="array" ref="H835">IF(C835&lt;&gt;"", _xlfn.IFS(I835="Height",_xlfn.XLOOKUP(C835,calc_s60!$C$15:$C$1000,calc_s60!$AL$15:$AL$1000,"",0), I835="Width", _xlfn.XLOOKUP(C835,calc_s60!$C$15:$C$1000,calc_s60!$AN$15:$AN$1000,"",0)),"")</f>
        <v/>
      </c>
      <c r="I835" s="16" t="str">
        <f t="shared" si="19"/>
        <v/>
      </c>
    </row>
    <row r="836" spans="1:9" ht="13.5" customHeight="1" x14ac:dyDescent="0.25">
      <c r="A836" s="41" t="str">
        <f>_xlfn.XLOOKUP(G836,dd_color!$A$2:$A$8,dd_color!$B$2:$B$8,"",0)</f>
        <v/>
      </c>
      <c r="B836" s="41">
        <f>_xlfn.XLOOKUP(_xlfn.XLOOKUP(C836,'Project Details'!$C$17:$C$10003,'Project Details'!$E$17:$E$10003, "",0),dd_design_raw!$A$2:$A$9997,dd_design_raw!$C$2:$C$9997,"",0)</f>
        <v>0</v>
      </c>
      <c r="C836" s="16"/>
      <c r="D836" s="16" t="str" cm="1">
        <f t="array" ref="D836">IF(C836&lt;&gt;"", _xlfn.IFS(I836="Height",_xlfn.XLOOKUP(C836,calc_s60!$C$15:$C$1000,calc_s60!$AM$15:$AM$1000,"",0),  I836="Width", _xlfn.XLOOKUP(C836,calc_s60!$C$15:$C$1000,calc_s60!$AO$15:$AO$1000,"",0)),"")</f>
        <v/>
      </c>
      <c r="E836" s="16" t="str" cm="1">
        <f t="array" ref="E836">IF(C836&lt;&gt;"", _xlfn.XLOOKUP(1,((SKUs!$A$2:$A$10001=cl_unmerged!B836) * (ISNUMBER(SEARCH("Steel-Frame60",SKUs!$J$2:$J$10001)))), SKUs!$J$2:$J$10001,""),"")  &amp; _xlfn.IFS(I836="Height", ", H",I836="Height SLI", ", H SLI", I836="Height FIX", ", H FIX",I836="Width", ", W", I836="", "")</f>
        <v/>
      </c>
      <c r="F836" s="33" t="str" cm="1">
        <f t="array" ref="F836">IF(I836="Height", _xlfn.XLOOKUP(1,((SKUs!$A$2:$A$10001=cl_unmerged!B836) * (ISNUMBER(SEARCH("Steel-Frame60-H",SKUs!$J$2:$J$10001)))), SKUs!$C$2:$C$10001,""),_xlfn.XLOOKUP(1,((SKUs!$A$2:$A$10001=cl_unmerged!B836) * (ISNUMBER(SEARCH("Steel-Frame60",SKUs!$J$2:$J$10001)))), SKUs!$C$2:$C$10001,""))</f>
        <v/>
      </c>
      <c r="G836" s="16"/>
      <c r="H836" s="16" t="str" cm="1">
        <f t="array" ref="H836">IF(C836&lt;&gt;"", _xlfn.IFS(I836="Height",_xlfn.XLOOKUP(C836,calc_s60!$C$15:$C$1000,calc_s60!$AL$15:$AL$1000,"",0), I836="Width", _xlfn.XLOOKUP(C836,calc_s60!$C$15:$C$1000,calc_s60!$AN$15:$AN$1000,"",0)),"")</f>
        <v/>
      </c>
      <c r="I836" s="16" t="str">
        <f t="shared" si="19"/>
        <v/>
      </c>
    </row>
    <row r="837" spans="1:9" ht="13.5" customHeight="1" x14ac:dyDescent="0.25">
      <c r="A837" s="41" t="str">
        <f>_xlfn.XLOOKUP(G837,dd_color!$A$2:$A$8,dd_color!$B$2:$B$8,"",0)</f>
        <v/>
      </c>
      <c r="B837" s="41">
        <f>_xlfn.XLOOKUP(_xlfn.XLOOKUP(C837,'Project Details'!$C$17:$C$10003,'Project Details'!$E$17:$E$10003, "",0),dd_design_raw!$A$2:$A$9997,dd_design_raw!$C$2:$C$9997,"",0)</f>
        <v>0</v>
      </c>
      <c r="C837" s="16"/>
      <c r="D837" s="16" t="str" cm="1">
        <f t="array" ref="D837">IF(C837&lt;&gt;"", _xlfn.IFS(I837="Height",_xlfn.XLOOKUP(C837,calc_s60!$C$15:$C$1000,calc_s60!$AM$15:$AM$1000,"",0),  I837="Width", _xlfn.XLOOKUP(C837,calc_s60!$C$15:$C$1000,calc_s60!$AO$15:$AO$1000,"",0)),"")</f>
        <v/>
      </c>
      <c r="E837" s="16" t="str" cm="1">
        <f t="array" ref="E837">IF(C837&lt;&gt;"", _xlfn.XLOOKUP(1,((SKUs!$A$2:$A$10001=cl_unmerged!B837) * (ISNUMBER(SEARCH("Steel-Frame60",SKUs!$J$2:$J$10001)))), SKUs!$J$2:$J$10001,""),"")  &amp; _xlfn.IFS(I837="Height", ", H",I837="Height SLI", ", H SLI", I837="Height FIX", ", H FIX",I837="Width", ", W", I837="", "")</f>
        <v/>
      </c>
      <c r="F837" s="33" t="str" cm="1">
        <f t="array" ref="F837">IF(I837="Height", _xlfn.XLOOKUP(1,((SKUs!$A$2:$A$10001=cl_unmerged!B837) * (ISNUMBER(SEARCH("Steel-Frame60-H",SKUs!$J$2:$J$10001)))), SKUs!$C$2:$C$10001,""),_xlfn.XLOOKUP(1,((SKUs!$A$2:$A$10001=cl_unmerged!B837) * (ISNUMBER(SEARCH("Steel-Frame60",SKUs!$J$2:$J$10001)))), SKUs!$C$2:$C$10001,""))</f>
        <v/>
      </c>
      <c r="G837" s="16"/>
      <c r="H837" s="16" t="str" cm="1">
        <f t="array" ref="H837">IF(C837&lt;&gt;"", _xlfn.IFS(I837="Height",_xlfn.XLOOKUP(C837,calc_s60!$C$15:$C$1000,calc_s60!$AL$15:$AL$1000,"",0), I837="Width", _xlfn.XLOOKUP(C837,calc_s60!$C$15:$C$1000,calc_s60!$AN$15:$AN$1000,"",0)),"")</f>
        <v/>
      </c>
      <c r="I837" s="16" t="str">
        <f t="shared" si="19"/>
        <v/>
      </c>
    </row>
    <row r="838" spans="1:9" ht="13.5" customHeight="1" x14ac:dyDescent="0.25">
      <c r="A838" s="41" t="str">
        <f>_xlfn.XLOOKUP(G838,dd_color!$A$2:$A$8,dd_color!$B$2:$B$8,"",0)</f>
        <v/>
      </c>
      <c r="B838" s="41">
        <f>_xlfn.XLOOKUP(_xlfn.XLOOKUP(C838,'Project Details'!$C$17:$C$10003,'Project Details'!$E$17:$E$10003, "",0),dd_design_raw!$A$2:$A$9997,dd_design_raw!$C$2:$C$9997,"",0)</f>
        <v>0</v>
      </c>
      <c r="C838" s="16"/>
      <c r="D838" s="16" t="str" cm="1">
        <f t="array" ref="D838">IF(C838&lt;&gt;"", _xlfn.IFS(I838="Height",_xlfn.XLOOKUP(C838,calc_s60!$C$15:$C$1000,calc_s60!$AM$15:$AM$1000,"",0),  I838="Width", _xlfn.XLOOKUP(C838,calc_s60!$C$15:$C$1000,calc_s60!$AO$15:$AO$1000,"",0)),"")</f>
        <v/>
      </c>
      <c r="E838" s="16" t="str" cm="1">
        <f t="array" ref="E838">IF(C838&lt;&gt;"", _xlfn.XLOOKUP(1,((SKUs!$A$2:$A$10001=cl_unmerged!B838) * (ISNUMBER(SEARCH("Steel-Frame60",SKUs!$J$2:$J$10001)))), SKUs!$J$2:$J$10001,""),"")  &amp; _xlfn.IFS(I838="Height", ", H",I838="Height SLI", ", H SLI", I838="Height FIX", ", H FIX",I838="Width", ", W", I838="", "")</f>
        <v/>
      </c>
      <c r="F838" s="33" t="str" cm="1">
        <f t="array" ref="F838">IF(I838="Height", _xlfn.XLOOKUP(1,((SKUs!$A$2:$A$10001=cl_unmerged!B838) * (ISNUMBER(SEARCH("Steel-Frame60-H",SKUs!$J$2:$J$10001)))), SKUs!$C$2:$C$10001,""),_xlfn.XLOOKUP(1,((SKUs!$A$2:$A$10001=cl_unmerged!B838) * (ISNUMBER(SEARCH("Steel-Frame60",SKUs!$J$2:$J$10001)))), SKUs!$C$2:$C$10001,""))</f>
        <v/>
      </c>
      <c r="G838" s="16"/>
      <c r="H838" s="16" t="str" cm="1">
        <f t="array" ref="H838">IF(C838&lt;&gt;"", _xlfn.IFS(I838="Height",_xlfn.XLOOKUP(C838,calc_s60!$C$15:$C$1000,calc_s60!$AL$15:$AL$1000,"",0), I838="Width", _xlfn.XLOOKUP(C838,calc_s60!$C$15:$C$1000,calc_s60!$AN$15:$AN$1000,"",0)),"")</f>
        <v/>
      </c>
      <c r="I838" s="16" t="str">
        <f t="shared" si="19"/>
        <v/>
      </c>
    </row>
    <row r="839" spans="1:9" ht="13.5" customHeight="1" x14ac:dyDescent="0.25">
      <c r="A839" s="41" t="str">
        <f>_xlfn.XLOOKUP(G839,dd_color!$A$2:$A$8,dd_color!$B$2:$B$8,"",0)</f>
        <v/>
      </c>
      <c r="B839" s="41">
        <f>_xlfn.XLOOKUP(_xlfn.XLOOKUP(C839,'Project Details'!$C$17:$C$10003,'Project Details'!$E$17:$E$10003, "",0),dd_design_raw!$A$2:$A$9997,dd_design_raw!$C$2:$C$9997,"",0)</f>
        <v>0</v>
      </c>
      <c r="C839" s="16"/>
      <c r="D839" s="16" t="str" cm="1">
        <f t="array" ref="D839">IF(C839&lt;&gt;"", _xlfn.IFS(I839="Height",_xlfn.XLOOKUP(C839,calc_s60!$C$15:$C$1000,calc_s60!$AM$15:$AM$1000,"",0),  I839="Width", _xlfn.XLOOKUP(C839,calc_s60!$C$15:$C$1000,calc_s60!$AO$15:$AO$1000,"",0)),"")</f>
        <v/>
      </c>
      <c r="E839" s="16" t="str" cm="1">
        <f t="array" ref="E839">IF(C839&lt;&gt;"", _xlfn.XLOOKUP(1,((SKUs!$A$2:$A$10001=cl_unmerged!B839) * (ISNUMBER(SEARCH("Steel-Frame60",SKUs!$J$2:$J$10001)))), SKUs!$J$2:$J$10001,""),"")  &amp; _xlfn.IFS(I839="Height", ", H",I839="Height SLI", ", H SLI", I839="Height FIX", ", H FIX",I839="Width", ", W", I839="", "")</f>
        <v/>
      </c>
      <c r="F839" s="33" t="str" cm="1">
        <f t="array" ref="F839">IF(I839="Height", _xlfn.XLOOKUP(1,((SKUs!$A$2:$A$10001=cl_unmerged!B839) * (ISNUMBER(SEARCH("Steel-Frame60-H",SKUs!$J$2:$J$10001)))), SKUs!$C$2:$C$10001,""),_xlfn.XLOOKUP(1,((SKUs!$A$2:$A$10001=cl_unmerged!B839) * (ISNUMBER(SEARCH("Steel-Frame60",SKUs!$J$2:$J$10001)))), SKUs!$C$2:$C$10001,""))</f>
        <v/>
      </c>
      <c r="G839" s="16"/>
      <c r="H839" s="16" t="str" cm="1">
        <f t="array" ref="H839">IF(C839&lt;&gt;"", _xlfn.IFS(I839="Height",_xlfn.XLOOKUP(C839,calc_s60!$C$15:$C$1000,calc_s60!$AL$15:$AL$1000,"",0), I839="Width", _xlfn.XLOOKUP(C839,calc_s60!$C$15:$C$1000,calc_s60!$AN$15:$AN$1000,"",0)),"")</f>
        <v/>
      </c>
      <c r="I839" s="16" t="str">
        <f t="shared" si="19"/>
        <v/>
      </c>
    </row>
    <row r="840" spans="1:9" ht="13.5" customHeight="1" x14ac:dyDescent="0.25">
      <c r="A840" s="41" t="str">
        <f>_xlfn.XLOOKUP(G840,dd_color!$A$2:$A$8,dd_color!$B$2:$B$8,"",0)</f>
        <v/>
      </c>
      <c r="B840" s="41">
        <f>_xlfn.XLOOKUP(_xlfn.XLOOKUP(C840,'Project Details'!$C$17:$C$10003,'Project Details'!$E$17:$E$10003, "",0),dd_design_raw!$A$2:$A$9997,dd_design_raw!$C$2:$C$9997,"",0)</f>
        <v>0</v>
      </c>
      <c r="C840" s="16"/>
      <c r="D840" s="16" t="str" cm="1">
        <f t="array" ref="D840">IF(C840&lt;&gt;"", _xlfn.IFS(I840="Height",_xlfn.XLOOKUP(C840,calc_s60!$C$15:$C$1000,calc_s60!$AM$15:$AM$1000,"",0),  I840="Width", _xlfn.XLOOKUP(C840,calc_s60!$C$15:$C$1000,calc_s60!$AO$15:$AO$1000,"",0)),"")</f>
        <v/>
      </c>
      <c r="E840" s="16" t="str" cm="1">
        <f t="array" ref="E840">IF(C840&lt;&gt;"", _xlfn.XLOOKUP(1,((SKUs!$A$2:$A$10001=cl_unmerged!B840) * (ISNUMBER(SEARCH("Steel-Frame60",SKUs!$J$2:$J$10001)))), SKUs!$J$2:$J$10001,""),"")  &amp; _xlfn.IFS(I840="Height", ", H",I840="Height SLI", ", H SLI", I840="Height FIX", ", H FIX",I840="Width", ", W", I840="", "")</f>
        <v/>
      </c>
      <c r="F840" s="33" t="str" cm="1">
        <f t="array" ref="F840">IF(I840="Height", _xlfn.XLOOKUP(1,((SKUs!$A$2:$A$10001=cl_unmerged!B840) * (ISNUMBER(SEARCH("Steel-Frame60-H",SKUs!$J$2:$J$10001)))), SKUs!$C$2:$C$10001,""),_xlfn.XLOOKUP(1,((SKUs!$A$2:$A$10001=cl_unmerged!B840) * (ISNUMBER(SEARCH("Steel-Frame60",SKUs!$J$2:$J$10001)))), SKUs!$C$2:$C$10001,""))</f>
        <v/>
      </c>
      <c r="G840" s="16"/>
      <c r="H840" s="16" t="str" cm="1">
        <f t="array" ref="H840">IF(C840&lt;&gt;"", _xlfn.IFS(I840="Height",_xlfn.XLOOKUP(C840,calc_s60!$C$15:$C$1000,calc_s60!$AL$15:$AL$1000,"",0), I840="Width", _xlfn.XLOOKUP(C840,calc_s60!$C$15:$C$1000,calc_s60!$AN$15:$AN$1000,"",0)),"")</f>
        <v/>
      </c>
      <c r="I840" s="16" t="str">
        <f t="shared" si="19"/>
        <v/>
      </c>
    </row>
    <row r="841" spans="1:9" ht="13.5" customHeight="1" x14ac:dyDescent="0.25">
      <c r="A841" s="41" t="str">
        <f>_xlfn.XLOOKUP(G841,dd_color!$A$2:$A$8,dd_color!$B$2:$B$8,"",0)</f>
        <v/>
      </c>
      <c r="B841" s="41" t="str">
        <f>_xlfn.XLOOKUP(_xlfn.XLOOKUP(C841,'Project Details'!$C$17:$C$10003,'Project Details'!$E$17:$E$10003, "",0),dd_design_raw!$A$2:$A$9997,dd_design_raw!$C$2:$C$9997,"",0)</f>
        <v/>
      </c>
      <c r="C841" s="16"/>
      <c r="D841" s="16" t="str" cm="1">
        <f t="array" ref="D841">IF(C841&lt;&gt;"", _xlfn.IFS(I841="Height",_xlfn.XLOOKUP(C841,calc_s60!$C$15:$C$1000,calc_s60!$AM$15:$AM$1000,"",0),  I841="Width", _xlfn.XLOOKUP(C841,calc_s60!$C$15:$C$1000,calc_s60!$AO$15:$AO$1000,"",0)),"")</f>
        <v/>
      </c>
      <c r="E841" s="16" t="str" cm="1">
        <f t="array" ref="E841">IF(C841&lt;&gt;"", _xlfn.XLOOKUP(1,((SKUs!$A$2:$A$10001=cl_unmerged!B841) * (ISNUMBER(SEARCH("Steel-Frame60",SKUs!$J$2:$J$10001)))), SKUs!$J$2:$J$10001,""),"")  &amp; _xlfn.IFS(I841="Height", ", H",I841="Height SLI", ", H SLI", I841="Height FIX", ", H FIX",I841="Width", ", W", I841="", "")</f>
        <v/>
      </c>
      <c r="F841" s="33" t="str" cm="1">
        <f t="array" ref="F841">IF(I841="Height", _xlfn.XLOOKUP(1,((SKUs!$A$2:$A$10001=cl_unmerged!B841) * (ISNUMBER(SEARCH("Steel-Frame60-H",SKUs!$J$2:$J$10001)))), SKUs!$C$2:$C$10001,""),_xlfn.XLOOKUP(1,((SKUs!$A$2:$A$10001=cl_unmerged!B841) * (ISNUMBER(SEARCH("Steel-Frame60",SKUs!$J$2:$J$10001)))), SKUs!$C$2:$C$10001,""))</f>
        <v/>
      </c>
      <c r="G841" s="16"/>
      <c r="H841" s="16" t="str" cm="1">
        <f t="array" ref="H841">IF(C841&lt;&gt;"", _xlfn.IFS(I841="Height",_xlfn.XLOOKUP(C841,calc_s60!$C$15:$C$1000,calc_s60!$AL$15:$AL$1000,"",0), I841="Width", _xlfn.XLOOKUP(C841,calc_s60!$C$15:$C$1000,calc_s60!$AN$15:$AN$1000,"",0)),"")</f>
        <v/>
      </c>
      <c r="I841" s="16" t="str">
        <f t="shared" si="19"/>
        <v/>
      </c>
    </row>
    <row r="842" spans="1:9" ht="13.5" customHeight="1" x14ac:dyDescent="0.25">
      <c r="A842" s="41" t="str">
        <f>_xlfn.XLOOKUP(G842,dd_color!$A$2:$A$8,dd_color!$B$2:$B$8,"",0)</f>
        <v/>
      </c>
      <c r="B842" s="41">
        <f>_xlfn.XLOOKUP(_xlfn.XLOOKUP(C842,'Project Details'!$C$17:$C$10003,'Project Details'!$E$17:$E$10003, "",0),dd_design_raw!$A$2:$A$9997,dd_design_raw!$C$2:$C$9997,"",0)</f>
        <v>0</v>
      </c>
      <c r="C842" s="16"/>
      <c r="D842" s="16" t="str" cm="1">
        <f t="array" ref="D842">IF(C842&lt;&gt;"", _xlfn.IFS(I842="Height",_xlfn.XLOOKUP(C842,calc_s60!$C$15:$C$1000,calc_s60!$AM$15:$AM$1000,"",0),  I842="Width", _xlfn.XLOOKUP(C842,calc_s60!$C$15:$C$1000,calc_s60!$AO$15:$AO$1000,"",0)),"")</f>
        <v/>
      </c>
      <c r="E842" s="16" t="str" cm="1">
        <f t="array" ref="E842">IF(C842&lt;&gt;"", _xlfn.XLOOKUP(1,((SKUs!$A$2:$A$10001=cl_unmerged!B842) * (ISNUMBER(SEARCH("Steel-Frame60",SKUs!$J$2:$J$10001)))), SKUs!$J$2:$J$10001,""),"")  &amp; _xlfn.IFS(I842="Height", ", H",I842="Height SLI", ", H SLI", I842="Height FIX", ", H FIX",I842="Width", ", W", I842="", "")</f>
        <v/>
      </c>
      <c r="F842" s="33" t="str" cm="1">
        <f t="array" ref="F842">IF(I842="Height", _xlfn.XLOOKUP(1,((SKUs!$A$2:$A$10001=cl_unmerged!B842) * (ISNUMBER(SEARCH("Steel-Frame60-H",SKUs!$J$2:$J$10001)))), SKUs!$C$2:$C$10001,""),_xlfn.XLOOKUP(1,((SKUs!$A$2:$A$10001=cl_unmerged!B842) * (ISNUMBER(SEARCH("Steel-Frame60",SKUs!$J$2:$J$10001)))), SKUs!$C$2:$C$10001,""))</f>
        <v/>
      </c>
      <c r="G842" s="16"/>
      <c r="H842" s="16" t="str" cm="1">
        <f t="array" ref="H842">IF(C842&lt;&gt;"", _xlfn.IFS(I842="Height",_xlfn.XLOOKUP(C842,calc_s60!$C$15:$C$1000,calc_s60!$AL$15:$AL$1000,"",0), I842="Width", _xlfn.XLOOKUP(C842,calc_s60!$C$15:$C$1000,calc_s60!$AN$15:$AN$1000,"",0)),"")</f>
        <v/>
      </c>
      <c r="I842" s="16" t="str">
        <f t="shared" si="19"/>
        <v/>
      </c>
    </row>
    <row r="843" spans="1:9" ht="13.5" customHeight="1" x14ac:dyDescent="0.25">
      <c r="A843" s="41" t="str">
        <f>_xlfn.XLOOKUP(G843,dd_color!$A$2:$A$8,dd_color!$B$2:$B$8,"",0)</f>
        <v/>
      </c>
      <c r="B843" s="41">
        <f>_xlfn.XLOOKUP(_xlfn.XLOOKUP(C843,'Project Details'!$C$17:$C$10003,'Project Details'!$E$17:$E$10003, "",0),dd_design_raw!$A$2:$A$9997,dd_design_raw!$C$2:$C$9997,"",0)</f>
        <v>0</v>
      </c>
      <c r="C843" s="16"/>
      <c r="D843" s="16" t="str" cm="1">
        <f t="array" ref="D843">IF(C843&lt;&gt;"", _xlfn.IFS(I843="Height",_xlfn.XLOOKUP(C843,calc_s60!$C$15:$C$1000,calc_s60!$AM$15:$AM$1000,"",0),  I843="Width", _xlfn.XLOOKUP(C843,calc_s60!$C$15:$C$1000,calc_s60!$AO$15:$AO$1000,"",0)),"")</f>
        <v/>
      </c>
      <c r="E843" s="16" t="str" cm="1">
        <f t="array" ref="E843">IF(C843&lt;&gt;"", _xlfn.XLOOKUP(1,((SKUs!$A$2:$A$10001=cl_unmerged!B843) * (ISNUMBER(SEARCH("Steel-Frame60",SKUs!$J$2:$J$10001)))), SKUs!$J$2:$J$10001,""),"")  &amp; _xlfn.IFS(I843="Height", ", H",I843="Height SLI", ", H SLI", I843="Height FIX", ", H FIX",I843="Width", ", W", I843="", "")</f>
        <v/>
      </c>
      <c r="F843" s="33" t="str" cm="1">
        <f t="array" ref="F843">IF(I843="Height", _xlfn.XLOOKUP(1,((SKUs!$A$2:$A$10001=cl_unmerged!B843) * (ISNUMBER(SEARCH("Steel-Frame60-H",SKUs!$J$2:$J$10001)))), SKUs!$C$2:$C$10001,""),_xlfn.XLOOKUP(1,((SKUs!$A$2:$A$10001=cl_unmerged!B843) * (ISNUMBER(SEARCH("Steel-Frame60",SKUs!$J$2:$J$10001)))), SKUs!$C$2:$C$10001,""))</f>
        <v/>
      </c>
      <c r="G843" s="16"/>
      <c r="H843" s="16" t="str" cm="1">
        <f t="array" ref="H843">IF(C843&lt;&gt;"", _xlfn.IFS(I843="Height",_xlfn.XLOOKUP(C843,calc_s60!$C$15:$C$1000,calc_s60!$AL$15:$AL$1000,"",0), I843="Width", _xlfn.XLOOKUP(C843,calc_s60!$C$15:$C$1000,calc_s60!$AN$15:$AN$1000,"",0)),"")</f>
        <v/>
      </c>
      <c r="I843" s="16" t="str">
        <f t="shared" si="19"/>
        <v/>
      </c>
    </row>
    <row r="844" spans="1:9" ht="13.5" customHeight="1" x14ac:dyDescent="0.25">
      <c r="A844" s="41" t="str">
        <f>_xlfn.XLOOKUP(G844,dd_color!$A$2:$A$8,dd_color!$B$2:$B$8,"",0)</f>
        <v/>
      </c>
      <c r="B844" s="41">
        <f>_xlfn.XLOOKUP(_xlfn.XLOOKUP(C844,'Project Details'!$C$17:$C$10003,'Project Details'!$E$17:$E$10003, "",0),dd_design_raw!$A$2:$A$9997,dd_design_raw!$C$2:$C$9997,"",0)</f>
        <v>0</v>
      </c>
      <c r="C844" s="16"/>
      <c r="D844" s="16" t="str" cm="1">
        <f t="array" ref="D844">IF(C844&lt;&gt;"", _xlfn.IFS(I844="Height",_xlfn.XLOOKUP(C844,calc_s60!$C$15:$C$1000,calc_s60!$AM$15:$AM$1000,"",0),  I844="Width", _xlfn.XLOOKUP(C844,calc_s60!$C$15:$C$1000,calc_s60!$AO$15:$AO$1000,"",0)),"")</f>
        <v/>
      </c>
      <c r="E844" s="16" t="str" cm="1">
        <f t="array" ref="E844">IF(C844&lt;&gt;"", _xlfn.XLOOKUP(1,((SKUs!$A$2:$A$10001=cl_unmerged!B844) * (ISNUMBER(SEARCH("Steel-Frame60",SKUs!$J$2:$J$10001)))), SKUs!$J$2:$J$10001,""),"")  &amp; _xlfn.IFS(I844="Height", ", H",I844="Height SLI", ", H SLI", I844="Height FIX", ", H FIX",I844="Width", ", W", I844="", "")</f>
        <v/>
      </c>
      <c r="F844" s="33" t="str" cm="1">
        <f t="array" ref="F844">IF(I844="Height", _xlfn.XLOOKUP(1,((SKUs!$A$2:$A$10001=cl_unmerged!B844) * (ISNUMBER(SEARCH("Steel-Frame60-H",SKUs!$J$2:$J$10001)))), SKUs!$C$2:$C$10001,""),_xlfn.XLOOKUP(1,((SKUs!$A$2:$A$10001=cl_unmerged!B844) * (ISNUMBER(SEARCH("Steel-Frame60",SKUs!$J$2:$J$10001)))), SKUs!$C$2:$C$10001,""))</f>
        <v/>
      </c>
      <c r="G844" s="16"/>
      <c r="H844" s="16" t="str" cm="1">
        <f t="array" ref="H844">IF(C844&lt;&gt;"", _xlfn.IFS(I844="Height",_xlfn.XLOOKUP(C844,calc_s60!$C$15:$C$1000,calc_s60!$AL$15:$AL$1000,"",0), I844="Width", _xlfn.XLOOKUP(C844,calc_s60!$C$15:$C$1000,calc_s60!$AN$15:$AN$1000,"",0)),"")</f>
        <v/>
      </c>
      <c r="I844" s="16" t="str">
        <f t="shared" si="19"/>
        <v/>
      </c>
    </row>
    <row r="845" spans="1:9" ht="13.5" customHeight="1" x14ac:dyDescent="0.25">
      <c r="A845" s="41" t="str">
        <f>_xlfn.XLOOKUP(G845,dd_color!$A$2:$A$8,dd_color!$B$2:$B$8,"",0)</f>
        <v/>
      </c>
      <c r="B845" s="41">
        <f>_xlfn.XLOOKUP(_xlfn.XLOOKUP(C845,'Project Details'!$C$17:$C$10003,'Project Details'!$E$17:$E$10003, "",0),dd_design_raw!$A$2:$A$9997,dd_design_raw!$C$2:$C$9997,"",0)</f>
        <v>0</v>
      </c>
      <c r="C845" s="16"/>
      <c r="D845" s="16" t="str" cm="1">
        <f t="array" ref="D845">IF(C845&lt;&gt;"", _xlfn.IFS(I845="Height",_xlfn.XLOOKUP(C845,calc_s60!$C$15:$C$1000,calc_s60!$AM$15:$AM$1000,"",0),  I845="Width", _xlfn.XLOOKUP(C845,calc_s60!$C$15:$C$1000,calc_s60!$AO$15:$AO$1000,"",0)),"")</f>
        <v/>
      </c>
      <c r="E845" s="16" t="str" cm="1">
        <f t="array" ref="E845">IF(C845&lt;&gt;"", _xlfn.XLOOKUP(1,((SKUs!$A$2:$A$10001=cl_unmerged!B845) * (ISNUMBER(SEARCH("Steel-Frame60",SKUs!$J$2:$J$10001)))), SKUs!$J$2:$J$10001,""),"")  &amp; _xlfn.IFS(I845="Height", ", H",I845="Height SLI", ", H SLI", I845="Height FIX", ", H FIX",I845="Width", ", W", I845="", "")</f>
        <v/>
      </c>
      <c r="F845" s="33" t="str" cm="1">
        <f t="array" ref="F845">IF(I845="Height", _xlfn.XLOOKUP(1,((SKUs!$A$2:$A$10001=cl_unmerged!B845) * (ISNUMBER(SEARCH("Steel-Frame60-H",SKUs!$J$2:$J$10001)))), SKUs!$C$2:$C$10001,""),_xlfn.XLOOKUP(1,((SKUs!$A$2:$A$10001=cl_unmerged!B845) * (ISNUMBER(SEARCH("Steel-Frame60",SKUs!$J$2:$J$10001)))), SKUs!$C$2:$C$10001,""))</f>
        <v/>
      </c>
      <c r="G845" s="16"/>
      <c r="H845" s="16" t="str" cm="1">
        <f t="array" ref="H845">IF(C845&lt;&gt;"", _xlfn.IFS(I845="Height",_xlfn.XLOOKUP(C845,calc_s60!$C$15:$C$1000,calc_s60!$AL$15:$AL$1000,"",0), I845="Width", _xlfn.XLOOKUP(C845,calc_s60!$C$15:$C$1000,calc_s60!$AN$15:$AN$1000,"",0)),"")</f>
        <v/>
      </c>
      <c r="I845" s="16" t="str">
        <f t="shared" si="19"/>
        <v/>
      </c>
    </row>
    <row r="846" spans="1:9" ht="13.5" customHeight="1" x14ac:dyDescent="0.25">
      <c r="A846" s="41" t="str">
        <f>_xlfn.XLOOKUP(G846,dd_color!$A$2:$A$8,dd_color!$B$2:$B$8,"",0)</f>
        <v/>
      </c>
      <c r="B846" s="41">
        <f>_xlfn.XLOOKUP(_xlfn.XLOOKUP(C846,'Project Details'!$C$17:$C$10003,'Project Details'!$E$17:$E$10003, "",0),dd_design_raw!$A$2:$A$9997,dd_design_raw!$C$2:$C$9997,"",0)</f>
        <v>0</v>
      </c>
      <c r="C846" s="16"/>
      <c r="D846" s="16" t="str" cm="1">
        <f t="array" ref="D846">IF(C846&lt;&gt;"", _xlfn.IFS(I846="Height",_xlfn.XLOOKUP(C846,calc_s60!$C$15:$C$1000,calc_s60!$AM$15:$AM$1000,"",0),  I846="Width", _xlfn.XLOOKUP(C846,calc_s60!$C$15:$C$1000,calc_s60!$AO$15:$AO$1000,"",0)),"")</f>
        <v/>
      </c>
      <c r="E846" s="16" t="str" cm="1">
        <f t="array" ref="E846">IF(C846&lt;&gt;"", _xlfn.XLOOKUP(1,((SKUs!$A$2:$A$10001=cl_unmerged!B846) * (ISNUMBER(SEARCH("Steel-Frame60",SKUs!$J$2:$J$10001)))), SKUs!$J$2:$J$10001,""),"")  &amp; _xlfn.IFS(I846="Height", ", H",I846="Height SLI", ", H SLI", I846="Height FIX", ", H FIX",I846="Width", ", W", I846="", "")</f>
        <v/>
      </c>
      <c r="F846" s="33" t="str" cm="1">
        <f t="array" ref="F846">IF(I846="Height", _xlfn.XLOOKUP(1,((SKUs!$A$2:$A$10001=cl_unmerged!B846) * (ISNUMBER(SEARCH("Steel-Frame60-H",SKUs!$J$2:$J$10001)))), SKUs!$C$2:$C$10001,""),_xlfn.XLOOKUP(1,((SKUs!$A$2:$A$10001=cl_unmerged!B846) * (ISNUMBER(SEARCH("Steel-Frame60",SKUs!$J$2:$J$10001)))), SKUs!$C$2:$C$10001,""))</f>
        <v/>
      </c>
      <c r="G846" s="16"/>
      <c r="H846" s="16" t="str" cm="1">
        <f t="array" ref="H846">IF(C846&lt;&gt;"", _xlfn.IFS(I846="Height",_xlfn.XLOOKUP(C846,calc_s60!$C$15:$C$1000,calc_s60!$AL$15:$AL$1000,"",0), I846="Width", _xlfn.XLOOKUP(C846,calc_s60!$C$15:$C$1000,calc_s60!$AN$15:$AN$1000,"",0)),"")</f>
        <v/>
      </c>
      <c r="I846" s="16" t="str">
        <f t="shared" si="19"/>
        <v/>
      </c>
    </row>
    <row r="847" spans="1:9" ht="13.5" customHeight="1" x14ac:dyDescent="0.25">
      <c r="A847" s="41" t="str">
        <f>_xlfn.XLOOKUP(G847,dd_color!$A$2:$A$8,dd_color!$B$2:$B$8,"",0)</f>
        <v/>
      </c>
      <c r="B847" s="41">
        <f>_xlfn.XLOOKUP(_xlfn.XLOOKUP(C847,'Project Details'!$C$17:$C$10003,'Project Details'!$E$17:$E$10003, "",0),dd_design_raw!$A$2:$A$9997,dd_design_raw!$C$2:$C$9997,"",0)</f>
        <v>0</v>
      </c>
      <c r="C847" s="16"/>
      <c r="D847" s="16" t="str" cm="1">
        <f t="array" ref="D847">IF(C847&lt;&gt;"", _xlfn.IFS(I847="Height",_xlfn.XLOOKUP(C847,calc_s60!$C$15:$C$1000,calc_s60!$AM$15:$AM$1000,"",0),  I847="Width", _xlfn.XLOOKUP(C847,calc_s60!$C$15:$C$1000,calc_s60!$AO$15:$AO$1000,"",0)),"")</f>
        <v/>
      </c>
      <c r="E847" s="16" t="str" cm="1">
        <f t="array" ref="E847">IF(C847&lt;&gt;"", _xlfn.XLOOKUP(1,((SKUs!$A$2:$A$10001=cl_unmerged!B847) * (ISNUMBER(SEARCH("Steel-Frame60",SKUs!$J$2:$J$10001)))), SKUs!$J$2:$J$10001,""),"")  &amp; _xlfn.IFS(I847="Height", ", H",I847="Height SLI", ", H SLI", I847="Height FIX", ", H FIX",I847="Width", ", W", I847="", "")</f>
        <v/>
      </c>
      <c r="F847" s="33" t="str" cm="1">
        <f t="array" ref="F847">IF(I847="Height", _xlfn.XLOOKUP(1,((SKUs!$A$2:$A$10001=cl_unmerged!B847) * (ISNUMBER(SEARCH("Steel-Frame60-H",SKUs!$J$2:$J$10001)))), SKUs!$C$2:$C$10001,""),_xlfn.XLOOKUP(1,((SKUs!$A$2:$A$10001=cl_unmerged!B847) * (ISNUMBER(SEARCH("Steel-Frame60",SKUs!$J$2:$J$10001)))), SKUs!$C$2:$C$10001,""))</f>
        <v/>
      </c>
      <c r="G847" s="16"/>
      <c r="H847" s="16" t="str" cm="1">
        <f t="array" ref="H847">IF(C847&lt;&gt;"", _xlfn.IFS(I847="Height",_xlfn.XLOOKUP(C847,calc_s60!$C$15:$C$1000,calc_s60!$AL$15:$AL$1000,"",0), I847="Width", _xlfn.XLOOKUP(C847,calc_s60!$C$15:$C$1000,calc_s60!$AN$15:$AN$1000,"",0)),"")</f>
        <v/>
      </c>
      <c r="I847" s="16" t="str">
        <f t="shared" si="19"/>
        <v/>
      </c>
    </row>
    <row r="848" spans="1:9" ht="13.5" customHeight="1" x14ac:dyDescent="0.25">
      <c r="A848" s="41" t="str">
        <f>_xlfn.XLOOKUP(G848,dd_color!$A$2:$A$8,dd_color!$B$2:$B$8,"",0)</f>
        <v/>
      </c>
      <c r="B848" s="41">
        <f>_xlfn.XLOOKUP(_xlfn.XLOOKUP(C848,'Project Details'!$C$17:$C$10003,'Project Details'!$E$17:$E$10003, "",0),dd_design_raw!$A$2:$A$9997,dd_design_raw!$C$2:$C$9997,"",0)</f>
        <v>0</v>
      </c>
      <c r="C848" s="16"/>
      <c r="D848" s="16" t="str" cm="1">
        <f t="array" ref="D848">IF(C848&lt;&gt;"", _xlfn.IFS(I848="Height",_xlfn.XLOOKUP(C848,calc_s60!$C$15:$C$1000,calc_s60!$AM$15:$AM$1000,"",0),  I848="Width", _xlfn.XLOOKUP(C848,calc_s60!$C$15:$C$1000,calc_s60!$AO$15:$AO$1000,"",0)),"")</f>
        <v/>
      </c>
      <c r="E848" s="16" t="str" cm="1">
        <f t="array" ref="E848">IF(C848&lt;&gt;"", _xlfn.XLOOKUP(1,((SKUs!$A$2:$A$10001=cl_unmerged!B848) * (ISNUMBER(SEARCH("Steel-Frame60",SKUs!$J$2:$J$10001)))), SKUs!$J$2:$J$10001,""),"")  &amp; _xlfn.IFS(I848="Height", ", H",I848="Height SLI", ", H SLI", I848="Height FIX", ", H FIX",I848="Width", ", W", I848="", "")</f>
        <v/>
      </c>
      <c r="F848" s="33" t="str" cm="1">
        <f t="array" ref="F848">IF(I848="Height", _xlfn.XLOOKUP(1,((SKUs!$A$2:$A$10001=cl_unmerged!B848) * (ISNUMBER(SEARCH("Steel-Frame60-H",SKUs!$J$2:$J$10001)))), SKUs!$C$2:$C$10001,""),_xlfn.XLOOKUP(1,((SKUs!$A$2:$A$10001=cl_unmerged!B848) * (ISNUMBER(SEARCH("Steel-Frame60",SKUs!$J$2:$J$10001)))), SKUs!$C$2:$C$10001,""))</f>
        <v/>
      </c>
      <c r="G848" s="16"/>
      <c r="H848" s="16" t="str" cm="1">
        <f t="array" ref="H848">IF(C848&lt;&gt;"", _xlfn.IFS(I848="Height",_xlfn.XLOOKUP(C848,calc_s60!$C$15:$C$1000,calc_s60!$AL$15:$AL$1000,"",0), I848="Width", _xlfn.XLOOKUP(C848,calc_s60!$C$15:$C$1000,calc_s60!$AN$15:$AN$1000,"",0)),"")</f>
        <v/>
      </c>
      <c r="I848" s="16" t="str">
        <f t="shared" si="19"/>
        <v/>
      </c>
    </row>
    <row r="849" spans="1:9" ht="13.5" customHeight="1" x14ac:dyDescent="0.25">
      <c r="A849" s="41" t="str">
        <f>_xlfn.XLOOKUP(G849,dd_color!$A$2:$A$8,dd_color!$B$2:$B$8,"",0)</f>
        <v/>
      </c>
      <c r="B849" s="41">
        <f>_xlfn.XLOOKUP(_xlfn.XLOOKUP(C849,'Project Details'!$C$17:$C$10003,'Project Details'!$E$17:$E$10003, "",0),dd_design_raw!$A$2:$A$9997,dd_design_raw!$C$2:$C$9997,"",0)</f>
        <v>0</v>
      </c>
      <c r="C849" s="16"/>
      <c r="D849" s="16" t="str" cm="1">
        <f t="array" ref="D849">IF(C849&lt;&gt;"", _xlfn.IFS(I849="Height",_xlfn.XLOOKUP(C849,calc_s60!$C$15:$C$1000,calc_s60!$AM$15:$AM$1000,"",0),  I849="Width", _xlfn.XLOOKUP(C849,calc_s60!$C$15:$C$1000,calc_s60!$AO$15:$AO$1000,"",0)),"")</f>
        <v/>
      </c>
      <c r="E849" s="16" t="str" cm="1">
        <f t="array" ref="E849">IF(C849&lt;&gt;"", _xlfn.XLOOKUP(1,((SKUs!$A$2:$A$10001=cl_unmerged!B849) * (ISNUMBER(SEARCH("Steel-Frame60",SKUs!$J$2:$J$10001)))), SKUs!$J$2:$J$10001,""),"")  &amp; _xlfn.IFS(I849="Height", ", H",I849="Height SLI", ", H SLI", I849="Height FIX", ", H FIX",I849="Width", ", W", I849="", "")</f>
        <v/>
      </c>
      <c r="F849" s="33" t="str" cm="1">
        <f t="array" ref="F849">IF(I849="Height", _xlfn.XLOOKUP(1,((SKUs!$A$2:$A$10001=cl_unmerged!B849) * (ISNUMBER(SEARCH("Steel-Frame60-H",SKUs!$J$2:$J$10001)))), SKUs!$C$2:$C$10001,""),_xlfn.XLOOKUP(1,((SKUs!$A$2:$A$10001=cl_unmerged!B849) * (ISNUMBER(SEARCH("Steel-Frame60",SKUs!$J$2:$J$10001)))), SKUs!$C$2:$C$10001,""))</f>
        <v/>
      </c>
      <c r="G849" s="16"/>
      <c r="H849" s="16" t="str" cm="1">
        <f t="array" ref="H849">IF(C849&lt;&gt;"", _xlfn.IFS(I849="Height",_xlfn.XLOOKUP(C849,calc_s60!$C$15:$C$1000,calc_s60!$AL$15:$AL$1000,"",0), I849="Width", _xlfn.XLOOKUP(C849,calc_s60!$C$15:$C$1000,calc_s60!$AN$15:$AN$1000,"",0)),"")</f>
        <v/>
      </c>
      <c r="I849" s="16" t="str">
        <f t="shared" si="19"/>
        <v/>
      </c>
    </row>
    <row r="850" spans="1:9" ht="13.5" customHeight="1" x14ac:dyDescent="0.25">
      <c r="A850" s="41" t="str">
        <f>_xlfn.XLOOKUP(G850,dd_color!$A$2:$A$8,dd_color!$B$2:$B$8,"",0)</f>
        <v/>
      </c>
      <c r="B850" s="41">
        <f>_xlfn.XLOOKUP(_xlfn.XLOOKUP(C850,'Project Details'!$C$17:$C$10003,'Project Details'!$E$17:$E$10003, "",0),dd_design_raw!$A$2:$A$9997,dd_design_raw!$C$2:$C$9997,"",0)</f>
        <v>0</v>
      </c>
      <c r="C850" s="16"/>
      <c r="D850" s="16" t="str" cm="1">
        <f t="array" ref="D850">IF(C850&lt;&gt;"", _xlfn.IFS(I850="Height",_xlfn.XLOOKUP(C850,calc_s60!$C$15:$C$1000,calc_s60!$AM$15:$AM$1000,"",0),  I850="Width", _xlfn.XLOOKUP(C850,calc_s60!$C$15:$C$1000,calc_s60!$AO$15:$AO$1000,"",0)),"")</f>
        <v/>
      </c>
      <c r="E850" s="16" t="str" cm="1">
        <f t="array" ref="E850">IF(C850&lt;&gt;"", _xlfn.XLOOKUP(1,((SKUs!$A$2:$A$10001=cl_unmerged!B850) * (ISNUMBER(SEARCH("Steel-Frame60",SKUs!$J$2:$J$10001)))), SKUs!$J$2:$J$10001,""),"")  &amp; _xlfn.IFS(I850="Height", ", H",I850="Height SLI", ", H SLI", I850="Height FIX", ", H FIX",I850="Width", ", W", I850="", "")</f>
        <v/>
      </c>
      <c r="F850" s="33" t="str" cm="1">
        <f t="array" ref="F850">IF(I850="Height", _xlfn.XLOOKUP(1,((SKUs!$A$2:$A$10001=cl_unmerged!B850) * (ISNUMBER(SEARCH("Steel-Frame60-H",SKUs!$J$2:$J$10001)))), SKUs!$C$2:$C$10001,""),_xlfn.XLOOKUP(1,((SKUs!$A$2:$A$10001=cl_unmerged!B850) * (ISNUMBER(SEARCH("Steel-Frame60",SKUs!$J$2:$J$10001)))), SKUs!$C$2:$C$10001,""))</f>
        <v/>
      </c>
      <c r="G850" s="16"/>
      <c r="H850" s="16" t="str" cm="1">
        <f t="array" ref="H850">IF(C850&lt;&gt;"", _xlfn.IFS(I850="Height",_xlfn.XLOOKUP(C850,calc_s60!$C$15:$C$1000,calc_s60!$AL$15:$AL$1000,"",0), I850="Width", _xlfn.XLOOKUP(C850,calc_s60!$C$15:$C$1000,calc_s60!$AN$15:$AN$1000,"",0)),"")</f>
        <v/>
      </c>
      <c r="I850" s="16" t="str">
        <f t="shared" si="19"/>
        <v/>
      </c>
    </row>
    <row r="851" spans="1:9" ht="13.5" customHeight="1" x14ac:dyDescent="0.25">
      <c r="A851" s="41" t="str">
        <f>_xlfn.XLOOKUP(G851,dd_color!$A$2:$A$8,dd_color!$B$2:$B$8,"",0)</f>
        <v/>
      </c>
      <c r="B851" s="41">
        <f>_xlfn.XLOOKUP(_xlfn.XLOOKUP(C851,'Project Details'!$C$17:$C$10003,'Project Details'!$E$17:$E$10003, "",0),dd_design_raw!$A$2:$A$9997,dd_design_raw!$C$2:$C$9997,"",0)</f>
        <v>0</v>
      </c>
      <c r="C851" s="16"/>
      <c r="D851" s="16" t="str" cm="1">
        <f t="array" ref="D851">IF(C851&lt;&gt;"", _xlfn.IFS(I851="Height",_xlfn.XLOOKUP(C851,calc_s60!$C$15:$C$1000,calc_s60!$AM$15:$AM$1000,"",0),  I851="Width", _xlfn.XLOOKUP(C851,calc_s60!$C$15:$C$1000,calc_s60!$AO$15:$AO$1000,"",0)),"")</f>
        <v/>
      </c>
      <c r="E851" s="16" t="str" cm="1">
        <f t="array" ref="E851">IF(C851&lt;&gt;"", _xlfn.XLOOKUP(1,((SKUs!$A$2:$A$10001=cl_unmerged!B851) * (ISNUMBER(SEARCH("Steel-Frame60",SKUs!$J$2:$J$10001)))), SKUs!$J$2:$J$10001,""),"")  &amp; _xlfn.IFS(I851="Height", ", H",I851="Height SLI", ", H SLI", I851="Height FIX", ", H FIX",I851="Width", ", W", I851="", "")</f>
        <v/>
      </c>
      <c r="F851" s="33" t="str" cm="1">
        <f t="array" ref="F851">IF(I851="Height", _xlfn.XLOOKUP(1,((SKUs!$A$2:$A$10001=cl_unmerged!B851) * (ISNUMBER(SEARCH("Steel-Frame60-H",SKUs!$J$2:$J$10001)))), SKUs!$C$2:$C$10001,""),_xlfn.XLOOKUP(1,((SKUs!$A$2:$A$10001=cl_unmerged!B851) * (ISNUMBER(SEARCH("Steel-Frame60",SKUs!$J$2:$J$10001)))), SKUs!$C$2:$C$10001,""))</f>
        <v/>
      </c>
      <c r="G851" s="16"/>
      <c r="H851" s="16" t="str" cm="1">
        <f t="array" ref="H851">IF(C851&lt;&gt;"", _xlfn.IFS(I851="Height",_xlfn.XLOOKUP(C851,calc_s60!$C$15:$C$1000,calc_s60!$AL$15:$AL$1000,"",0), I851="Width", _xlfn.XLOOKUP(C851,calc_s60!$C$15:$C$1000,calc_s60!$AN$15:$AN$1000,"",0)),"")</f>
        <v/>
      </c>
      <c r="I851" s="16" t="str">
        <f t="shared" si="19"/>
        <v/>
      </c>
    </row>
    <row r="852" spans="1:9" ht="13.5" customHeight="1" x14ac:dyDescent="0.25">
      <c r="A852" s="41" t="str">
        <f>_xlfn.XLOOKUP(G852,dd_color!$A$2:$A$8,dd_color!$B$2:$B$8,"",0)</f>
        <v/>
      </c>
      <c r="B852" s="41">
        <f>_xlfn.XLOOKUP(_xlfn.XLOOKUP(C852,'Project Details'!$C$17:$C$10003,'Project Details'!$E$17:$E$10003, "",0),dd_design_raw!$A$2:$A$9997,dd_design_raw!$C$2:$C$9997,"",0)</f>
        <v>0</v>
      </c>
      <c r="C852" s="16"/>
      <c r="D852" s="16" t="str" cm="1">
        <f t="array" ref="D852">IF(C852&lt;&gt;"", _xlfn.IFS(I852="Height",_xlfn.XLOOKUP(C852,calc_s60!$C$15:$C$1000,calc_s60!$AM$15:$AM$1000,"",0),  I852="Width", _xlfn.XLOOKUP(C852,calc_s60!$C$15:$C$1000,calc_s60!$AO$15:$AO$1000,"",0)),"")</f>
        <v/>
      </c>
      <c r="E852" s="16" t="str" cm="1">
        <f t="array" ref="E852">IF(C852&lt;&gt;"", _xlfn.XLOOKUP(1,((SKUs!$A$2:$A$10001=cl_unmerged!B852) * (ISNUMBER(SEARCH("Steel-Frame60",SKUs!$J$2:$J$10001)))), SKUs!$J$2:$J$10001,""),"")  &amp; _xlfn.IFS(I852="Height", ", H",I852="Height SLI", ", H SLI", I852="Height FIX", ", H FIX",I852="Width", ", W", I852="", "")</f>
        <v/>
      </c>
      <c r="F852" s="33" t="str" cm="1">
        <f t="array" ref="F852">IF(I852="Height", _xlfn.XLOOKUP(1,((SKUs!$A$2:$A$10001=cl_unmerged!B852) * (ISNUMBER(SEARCH("Steel-Frame60-H",SKUs!$J$2:$J$10001)))), SKUs!$C$2:$C$10001,""),_xlfn.XLOOKUP(1,((SKUs!$A$2:$A$10001=cl_unmerged!B852) * (ISNUMBER(SEARCH("Steel-Frame60",SKUs!$J$2:$J$10001)))), SKUs!$C$2:$C$10001,""))</f>
        <v/>
      </c>
      <c r="G852" s="16"/>
      <c r="H852" s="16" t="str" cm="1">
        <f t="array" ref="H852">IF(C852&lt;&gt;"", _xlfn.IFS(I852="Height",_xlfn.XLOOKUP(C852,calc_s60!$C$15:$C$1000,calc_s60!$AL$15:$AL$1000,"",0), I852="Width", _xlfn.XLOOKUP(C852,calc_s60!$C$15:$C$1000,calc_s60!$AN$15:$AN$1000,"",0)),"")</f>
        <v/>
      </c>
      <c r="I852" s="16" t="str">
        <f t="shared" si="19"/>
        <v/>
      </c>
    </row>
    <row r="853" spans="1:9" ht="13.5" customHeight="1" x14ac:dyDescent="0.25">
      <c r="C853" s="32" t="s">
        <v>721</v>
      </c>
      <c r="D853" s="32"/>
      <c r="E853" s="32"/>
      <c r="F853" s="32"/>
      <c r="G853" s="32"/>
      <c r="H853" s="32"/>
      <c r="I853" s="32"/>
    </row>
    <row r="854" spans="1:9" ht="13.5" customHeight="1" x14ac:dyDescent="0.25">
      <c r="A854" s="41" t="str">
        <f>_xlfn.XLOOKUP(G854,dd_color!$A$2:$A$8,dd_color!$B$2:$B$8,"",0)</f>
        <v/>
      </c>
      <c r="B854" s="41" t="str">
        <f>_xlfn.XLOOKUP(_xlfn.XLOOKUP(C854,'Project Details'!$C$17:$C$10003,'Project Details'!$E$17:$E$10003, "",0),dd_design_raw!$A$2:$A$9997,dd_design_raw!$C$2:$C$9997,"",0)</f>
        <v/>
      </c>
      <c r="C854" s="16" t="str" cm="1">
        <f t="array" ref="C854:C855">IFERROR(INDEX(_xlfn._xlws.FILTER('calc_s90&amp;138'!C15:C65, 'calc_s90&amp;138'!BD15:BD65&lt;&gt;""), INT((_xlfn.SEQUENCE(2 * COUNTA(_xlfn._xlws.FILTER('calc_s90&amp;138'!C15:C65, 'calc_s90&amp;138'!BD15:BD65&lt;&gt;""))) - 1) / 2) + 1), "")</f>
        <v/>
      </c>
      <c r="D854" s="16" t="str" cm="1">
        <f t="array" ref="D854">IF(C854&lt;&gt;"", _xlfn.IFS(I854="Height",_xlfn.XLOOKUP(C854,'calc_s90&amp;138'!$C$15:$C$1000,'calc_s90&amp;138'!$BE$15:$BE$1000,"",0),  I854="Width", _xlfn.XLOOKUP(C854,'calc_s90&amp;138'!$C$15:$C$1000,'calc_s90&amp;138'!$BG$15:$BG$1000,"",0)),"")</f>
        <v/>
      </c>
      <c r="E854" s="16" t="str" cm="1">
        <f t="array" ref="E854">IF(C854&lt;&gt;"", IF(_xlfn.XLOOKUP(1,((SKUs!$A$2:$A$10001=cl_unmerged!B854) * (ISNUMBER(SEARCH("Steel-Frame",SKUs!$J$2:$J$10001)))), SKUs!$J$2:$J$10001,"")=""," Steel-Frame90",_xlfn.XLOOKUP(1,((SKUs!$A$2:$A$10001=cl_unmerged!B854) * (ISNUMBER(SEARCH("Steel-Frame",SKUs!$J$2:$J$10001)))), SKUs!$J$2:$J$10001,"")),"")  &amp; _xlfn.IFS(I854="Height", ", H",I854="Height SLI", ", H SLI", I854="Height FIX", ", H FIX",I854="Width", ", W", I854="", "")</f>
        <v/>
      </c>
      <c r="F854" s="33" t="str" cm="1">
        <f t="array" ref="F854">_xlfn.XLOOKUP(1,((SKUs!$A$2:$A$10001=cl_unmerged!B854) * (ISNUMBER(SEARCH("Steel-Frame",SKUs!$J$2:$J$10001)))* (ISNUMBER(SEARCH(A854,SKUs!$C$2:$C$10001)))), SKUs!$C$2:$C$10001,"")</f>
        <v/>
      </c>
      <c r="G854" s="16"/>
      <c r="H854" s="16" t="str" cm="1">
        <f t="array" ref="H854">IF(C854&lt;&gt;"", _xlfn.IFS(I854="Height",_xlfn.XLOOKUP(C854,'calc_s90&amp;138'!$C$15:$C$1000,'calc_s90&amp;138'!$BD$15:$BD$1000,"",0),  I854="Width", _xlfn.XLOOKUP(C854,'calc_s90&amp;138'!$C$15:$C$1000,'calc_s90&amp;138'!$BF$15:$BF$1000,"",0)),"")</f>
        <v/>
      </c>
      <c r="I854" s="16" t="str">
        <f>IF(C854&lt;&gt;"", IF(C854=C853, "Width", "Height"),"")</f>
        <v/>
      </c>
    </row>
    <row r="855" spans="1:9" ht="13.5" customHeight="1" x14ac:dyDescent="0.25">
      <c r="A855" s="41" t="str">
        <f>_xlfn.XLOOKUP(G855,dd_color!$A$2:$A$8,dd_color!$B$2:$B$8,"",0)</f>
        <v/>
      </c>
      <c r="B855" s="41" t="str">
        <f>_xlfn.XLOOKUP(_xlfn.XLOOKUP(C855,'Project Details'!$C$17:$C$10003,'Project Details'!$E$17:$E$10003, "",0),dd_design_raw!$A$2:$A$9997,dd_design_raw!$C$2:$C$9997,"",0)</f>
        <v/>
      </c>
      <c r="C855" s="16" t="str">
        <v/>
      </c>
      <c r="D855" s="16" t="str" cm="1">
        <f t="array" ref="D855">IF(C855&lt;&gt;"", _xlfn.IFS(I855="Height",_xlfn.XLOOKUP(C855,'calc_s90&amp;138'!$C$15:$C$1000,'calc_s90&amp;138'!$BE$15:$BE$1000,"",0),  I855="Width", _xlfn.XLOOKUP(C855,'calc_s90&amp;138'!$C$15:$C$1000,'calc_s90&amp;138'!$BG$15:$BG$1000,"",0)),"")</f>
        <v/>
      </c>
      <c r="E855" s="16" t="str" cm="1">
        <f t="array" ref="E855">IF(C855&lt;&gt;"", IF(_xlfn.XLOOKUP(1,((SKUs!$A$2:$A$10001=cl_unmerged!B855) * (ISNUMBER(SEARCH("Steel-Frame",SKUs!$J$2:$J$10001)))), SKUs!$J$2:$J$10001,"")=""," Steel-Frame90",_xlfn.XLOOKUP(1,((SKUs!$A$2:$A$10001=cl_unmerged!B855) * (ISNUMBER(SEARCH("Steel-Frame",SKUs!$J$2:$J$10001)))), SKUs!$J$2:$J$10001,"")),"")  &amp; _xlfn.IFS(I855="Height", ", H",I855="Height SLI", ", H SLI", I855="Height FIX", ", H FIX",I855="Width", ", W", I855="", "")</f>
        <v/>
      </c>
      <c r="F855" s="33" t="str" cm="1">
        <f t="array" ref="F855">_xlfn.XLOOKUP(1,((SKUs!$A$2:$A$10001=cl_unmerged!B855) * (ISNUMBER(SEARCH("Steel-Frame",SKUs!$J$2:$J$10001)))* (ISNUMBER(SEARCH(A855,SKUs!$C$2:$C$10001)))), SKUs!$C$2:$C$10001,"")</f>
        <v/>
      </c>
      <c r="G855" s="16"/>
      <c r="H855" s="16" t="str" cm="1">
        <f t="array" ref="H855">IF(C855&lt;&gt;"", _xlfn.IFS(I855="Height",_xlfn.XLOOKUP(C855,'calc_s90&amp;138'!$C$15:$C$1000,'calc_s90&amp;138'!$BD$15:$BD$1000,"",0),  I855="Width", _xlfn.XLOOKUP(C855,'calc_s90&amp;138'!$C$15:$C$1000,'calc_s90&amp;138'!$BF$15:$BF$1000,"",0)),"")</f>
        <v/>
      </c>
      <c r="I855" s="16" t="str">
        <f>IF(C855&lt;&gt;"", IF(C855=C854, "Width", "Height"),"")</f>
        <v/>
      </c>
    </row>
    <row r="856" spans="1:9" ht="13.5" customHeight="1" x14ac:dyDescent="0.25">
      <c r="A856" s="41" t="str">
        <f>_xlfn.XLOOKUP(G856,dd_color!$A$2:$A$8,dd_color!$B$2:$B$8,"",0)</f>
        <v/>
      </c>
      <c r="B856" s="41" t="str">
        <f>_xlfn.XLOOKUP(_xlfn.XLOOKUP(C856,'Project Details'!$C$17:$C$10003,'Project Details'!$E$17:$E$10003, "",0),dd_design_raw!$A$2:$A$9997,dd_design_raw!$C$2:$C$9997,"",0)</f>
        <v/>
      </c>
      <c r="C856" s="16"/>
      <c r="D856" s="16" t="str" cm="1">
        <f t="array" ref="D856">IF(C856&lt;&gt;"", _xlfn.IFS(I856="Height",_xlfn.XLOOKUP(C856,'calc_s90&amp;138'!$C$15:$C$1000,'calc_s90&amp;138'!$BE$15:$BE$1000,"",0),  I856="Width", _xlfn.XLOOKUP(C856,'calc_s90&amp;138'!$C$15:$C$1000,'calc_s90&amp;138'!$BG$15:$BG$1000,"",0)),"")</f>
        <v/>
      </c>
      <c r="E856" s="16" t="str" cm="1">
        <f t="array" ref="E856">IF(C856&lt;&gt;"", IF(_xlfn.XLOOKUP(1,((SKUs!$A$2:$A$10001=cl_unmerged!B856) * (ISNUMBER(SEARCH("Steel-Frame",SKUs!$J$2:$J$10001)))), SKUs!$J$2:$J$10001,"")=""," Steel-Frame90",_xlfn.XLOOKUP(1,((SKUs!$A$2:$A$10001=cl_unmerged!B856) * (ISNUMBER(SEARCH("Steel-Frame",SKUs!$J$2:$J$10001)))), SKUs!$J$2:$J$10001,"")),"")  &amp; _xlfn.IFS(I856="Height", ", H",I856="Height SLI", ", H SLI", I856="Height FIX", ", H FIX",I856="Width", ", W", I856="", "")</f>
        <v/>
      </c>
      <c r="F856" s="33" t="str" cm="1">
        <f t="array" ref="F856">_xlfn.XLOOKUP(1,((SKUs!$A$2:$A$10001=cl_unmerged!B856) * (ISNUMBER(SEARCH("Steel-Frame",SKUs!$J$2:$J$10001)))* (ISNUMBER(SEARCH(A856,SKUs!$C$2:$C$10001)))), SKUs!$C$2:$C$10001,"")</f>
        <v/>
      </c>
      <c r="G856" s="16"/>
      <c r="H856" s="16" t="str" cm="1">
        <f t="array" ref="H856">IF(C856&lt;&gt;"", _xlfn.IFS(I856="Height",_xlfn.XLOOKUP(C856,'calc_s90&amp;138'!$C$15:$C$1000,'calc_s90&amp;138'!$BD$15:$BD$1000,"",0),  I856="Width", _xlfn.XLOOKUP(C856,'calc_s90&amp;138'!$C$15:$C$1000,'calc_s90&amp;138'!$BF$15:$BF$1000,"",0)),"")</f>
        <v/>
      </c>
      <c r="I856" s="16" t="str">
        <f t="shared" ref="I856:I913" si="20">IF(C856&lt;&gt;"", IF(C856=C855, "Width", "Height"),"")</f>
        <v/>
      </c>
    </row>
    <row r="857" spans="1:9" ht="13.5" customHeight="1" x14ac:dyDescent="0.25">
      <c r="A857" s="41" t="str">
        <f>_xlfn.XLOOKUP(G857,dd_color!$A$2:$A$8,dd_color!$B$2:$B$8,"",0)</f>
        <v/>
      </c>
      <c r="B857" s="41">
        <f>_xlfn.XLOOKUP(_xlfn.XLOOKUP(C857,'Project Details'!$C$17:$C$10003,'Project Details'!$E$17:$E$10003, "",0),dd_design_raw!$A$2:$A$9997,dd_design_raw!$C$2:$C$9997,"",0)</f>
        <v>0</v>
      </c>
      <c r="C857" s="16"/>
      <c r="D857" s="16" t="str" cm="1">
        <f t="array" ref="D857">IF(C857&lt;&gt;"", _xlfn.IFS(I857="Height",_xlfn.XLOOKUP(C857,'calc_s90&amp;138'!$C$15:$C$1000,'calc_s90&amp;138'!$BE$15:$BE$1000,"",0),  I857="Width", _xlfn.XLOOKUP(C857,'calc_s90&amp;138'!$C$15:$C$1000,'calc_s90&amp;138'!$BG$15:$BG$1000,"",0)),"")</f>
        <v/>
      </c>
      <c r="E857" s="16" t="str" cm="1">
        <f t="array" ref="E857">IF(C857&lt;&gt;"", IF(_xlfn.XLOOKUP(1,((SKUs!$A$2:$A$10001=cl_unmerged!B857) * (ISNUMBER(SEARCH("Steel-Frame",SKUs!$J$2:$J$10001)))), SKUs!$J$2:$J$10001,"")=""," Steel-Frame90",_xlfn.XLOOKUP(1,((SKUs!$A$2:$A$10001=cl_unmerged!B857) * (ISNUMBER(SEARCH("Steel-Frame",SKUs!$J$2:$J$10001)))), SKUs!$J$2:$J$10001,"")),"")  &amp; _xlfn.IFS(I857="Height", ", H",I857="Height SLI", ", H SLI", I857="Height FIX", ", H FIX",I857="Width", ", W", I857="", "")</f>
        <v/>
      </c>
      <c r="F857" s="33" t="str" cm="1">
        <f t="array" ref="F857">_xlfn.XLOOKUP(1,((SKUs!$A$2:$A$10001=cl_unmerged!B857) * (ISNUMBER(SEARCH("Steel-Frame",SKUs!$J$2:$J$10001)))* (ISNUMBER(SEARCH(A857,SKUs!$C$2:$C$10001)))), SKUs!$C$2:$C$10001,"")</f>
        <v/>
      </c>
      <c r="G857" s="16"/>
      <c r="H857" s="16" t="str" cm="1">
        <f t="array" ref="H857">IF(C857&lt;&gt;"", _xlfn.IFS(I857="Height",_xlfn.XLOOKUP(C857,'calc_s90&amp;138'!$C$15:$C$1000,'calc_s90&amp;138'!$BD$15:$BD$1000,"",0),  I857="Width", _xlfn.XLOOKUP(C857,'calc_s90&amp;138'!$C$15:$C$1000,'calc_s90&amp;138'!$BF$15:$BF$1000,"",0)),"")</f>
        <v/>
      </c>
      <c r="I857" s="16" t="str">
        <f t="shared" si="20"/>
        <v/>
      </c>
    </row>
    <row r="858" spans="1:9" ht="13.5" customHeight="1" x14ac:dyDescent="0.25">
      <c r="A858" s="41" t="str">
        <f>_xlfn.XLOOKUP(G858,dd_color!$A$2:$A$8,dd_color!$B$2:$B$8,"",0)</f>
        <v/>
      </c>
      <c r="B858" s="41">
        <f>_xlfn.XLOOKUP(_xlfn.XLOOKUP(C858,'Project Details'!$C$17:$C$10003,'Project Details'!$E$17:$E$10003, "",0),dd_design_raw!$A$2:$A$9997,dd_design_raw!$C$2:$C$9997,"",0)</f>
        <v>0</v>
      </c>
      <c r="C858" s="16"/>
      <c r="D858" s="16" t="str" cm="1">
        <f t="array" ref="D858">IF(C858&lt;&gt;"", _xlfn.IFS(I858="Height",_xlfn.XLOOKUP(C858,'calc_s90&amp;138'!$C$15:$C$1000,'calc_s90&amp;138'!$BE$15:$BE$1000,"",0),  I858="Width", _xlfn.XLOOKUP(C858,'calc_s90&amp;138'!$C$15:$C$1000,'calc_s90&amp;138'!$BG$15:$BG$1000,"",0)),"")</f>
        <v/>
      </c>
      <c r="E858" s="16" t="str" cm="1">
        <f t="array" ref="E858">IF(C858&lt;&gt;"", IF(_xlfn.XLOOKUP(1,((SKUs!$A$2:$A$10001=cl_unmerged!B858) * (ISNUMBER(SEARCH("Steel-Frame",SKUs!$J$2:$J$10001)))), SKUs!$J$2:$J$10001,"")=""," Steel-Frame90",_xlfn.XLOOKUP(1,((SKUs!$A$2:$A$10001=cl_unmerged!B858) * (ISNUMBER(SEARCH("Steel-Frame",SKUs!$J$2:$J$10001)))), SKUs!$J$2:$J$10001,"")),"")  &amp; _xlfn.IFS(I858="Height", ", H",I858="Height SLI", ", H SLI", I858="Height FIX", ", H FIX",I858="Width", ", W", I858="", "")</f>
        <v/>
      </c>
      <c r="F858" s="33" t="str" cm="1">
        <f t="array" ref="F858">_xlfn.XLOOKUP(1,((SKUs!$A$2:$A$10001=cl_unmerged!B858) * (ISNUMBER(SEARCH("Steel-Frame",SKUs!$J$2:$J$10001)))* (ISNUMBER(SEARCH(A858,SKUs!$C$2:$C$10001)))), SKUs!$C$2:$C$10001,"")</f>
        <v/>
      </c>
      <c r="G858" s="16"/>
      <c r="H858" s="16" t="str" cm="1">
        <f t="array" ref="H858">IF(C858&lt;&gt;"", _xlfn.IFS(I858="Height",_xlfn.XLOOKUP(C858,'calc_s90&amp;138'!$C$15:$C$1000,'calc_s90&amp;138'!$BD$15:$BD$1000,"",0),  I858="Width", _xlfn.XLOOKUP(C858,'calc_s90&amp;138'!$C$15:$C$1000,'calc_s90&amp;138'!$BF$15:$BF$1000,"",0)),"")</f>
        <v/>
      </c>
      <c r="I858" s="16" t="str">
        <f t="shared" si="20"/>
        <v/>
      </c>
    </row>
    <row r="859" spans="1:9" ht="13.5" customHeight="1" x14ac:dyDescent="0.25">
      <c r="A859" s="41" t="str">
        <f>_xlfn.XLOOKUP(G859,dd_color!$A$2:$A$8,dd_color!$B$2:$B$8,"",0)</f>
        <v/>
      </c>
      <c r="B859" s="41">
        <f>_xlfn.XLOOKUP(_xlfn.XLOOKUP(C859,'Project Details'!$C$17:$C$10003,'Project Details'!$E$17:$E$10003, "",0),dd_design_raw!$A$2:$A$9997,dd_design_raw!$C$2:$C$9997,"",0)</f>
        <v>0</v>
      </c>
      <c r="C859" s="16"/>
      <c r="D859" s="16" t="str" cm="1">
        <f t="array" ref="D859">IF(C859&lt;&gt;"", _xlfn.IFS(I859="Height",_xlfn.XLOOKUP(C859,'calc_s90&amp;138'!$C$15:$C$1000,'calc_s90&amp;138'!$BE$15:$BE$1000,"",0),  I859="Width", _xlfn.XLOOKUP(C859,'calc_s90&amp;138'!$C$15:$C$1000,'calc_s90&amp;138'!$BG$15:$BG$1000,"",0)),"")</f>
        <v/>
      </c>
      <c r="E859" s="16" t="str" cm="1">
        <f t="array" ref="E859">IF(C859&lt;&gt;"", IF(_xlfn.XLOOKUP(1,((SKUs!$A$2:$A$10001=cl_unmerged!B859) * (ISNUMBER(SEARCH("Steel-Frame",SKUs!$J$2:$J$10001)))), SKUs!$J$2:$J$10001,"")=""," Steel-Frame90",_xlfn.XLOOKUP(1,((SKUs!$A$2:$A$10001=cl_unmerged!B859) * (ISNUMBER(SEARCH("Steel-Frame",SKUs!$J$2:$J$10001)))), SKUs!$J$2:$J$10001,"")),"")  &amp; _xlfn.IFS(I859="Height", ", H",I859="Height SLI", ", H SLI", I859="Height FIX", ", H FIX",I859="Width", ", W", I859="", "")</f>
        <v/>
      </c>
      <c r="F859" s="33" t="str" cm="1">
        <f t="array" ref="F859">_xlfn.XLOOKUP(1,((SKUs!$A$2:$A$10001=cl_unmerged!B859) * (ISNUMBER(SEARCH("Steel-Frame",SKUs!$J$2:$J$10001)))* (ISNUMBER(SEARCH(A859,SKUs!$C$2:$C$10001)))), SKUs!$C$2:$C$10001,"")</f>
        <v/>
      </c>
      <c r="G859" s="16"/>
      <c r="H859" s="16" t="str" cm="1">
        <f t="array" ref="H859">IF(C859&lt;&gt;"", _xlfn.IFS(I859="Height",_xlfn.XLOOKUP(C859,'calc_s90&amp;138'!$C$15:$C$1000,'calc_s90&amp;138'!$BD$15:$BD$1000,"",0),  I859="Width", _xlfn.XLOOKUP(C859,'calc_s90&amp;138'!$C$15:$C$1000,'calc_s90&amp;138'!$BF$15:$BF$1000,"",0)),"")</f>
        <v/>
      </c>
      <c r="I859" s="16" t="str">
        <f t="shared" si="20"/>
        <v/>
      </c>
    </row>
    <row r="860" spans="1:9" ht="13.5" customHeight="1" x14ac:dyDescent="0.25">
      <c r="A860" s="41" t="str">
        <f>_xlfn.XLOOKUP(G860,dd_color!$A$2:$A$8,dd_color!$B$2:$B$8,"",0)</f>
        <v/>
      </c>
      <c r="B860" s="41">
        <f>_xlfn.XLOOKUP(_xlfn.XLOOKUP(C860,'Project Details'!$C$17:$C$10003,'Project Details'!$E$17:$E$10003, "",0),dd_design_raw!$A$2:$A$9997,dd_design_raw!$C$2:$C$9997,"",0)</f>
        <v>0</v>
      </c>
      <c r="C860" s="16"/>
      <c r="D860" s="16" t="str" cm="1">
        <f t="array" ref="D860">IF(C860&lt;&gt;"", _xlfn.IFS(I860="Height",_xlfn.XLOOKUP(C860,'calc_s90&amp;138'!$C$15:$C$1000,'calc_s90&amp;138'!$BE$15:$BE$1000,"",0),  I860="Width", _xlfn.XLOOKUP(C860,'calc_s90&amp;138'!$C$15:$C$1000,'calc_s90&amp;138'!$BG$15:$BG$1000,"",0)),"")</f>
        <v/>
      </c>
      <c r="E860" s="16" t="str" cm="1">
        <f t="array" ref="E860">IF(C860&lt;&gt;"", IF(_xlfn.XLOOKUP(1,((SKUs!$A$2:$A$10001=cl_unmerged!B860) * (ISNUMBER(SEARCH("Steel-Frame",SKUs!$J$2:$J$10001)))), SKUs!$J$2:$J$10001,"")=""," Steel-Frame90",_xlfn.XLOOKUP(1,((SKUs!$A$2:$A$10001=cl_unmerged!B860) * (ISNUMBER(SEARCH("Steel-Frame",SKUs!$J$2:$J$10001)))), SKUs!$J$2:$J$10001,"")),"")  &amp; _xlfn.IFS(I860="Height", ", H",I860="Height SLI", ", H SLI", I860="Height FIX", ", H FIX",I860="Width", ", W", I860="", "")</f>
        <v/>
      </c>
      <c r="F860" s="33" t="str" cm="1">
        <f t="array" ref="F860">_xlfn.XLOOKUP(1,((SKUs!$A$2:$A$10001=cl_unmerged!B860) * (ISNUMBER(SEARCH("Steel-Frame",SKUs!$J$2:$J$10001)))* (ISNUMBER(SEARCH(A860,SKUs!$C$2:$C$10001)))), SKUs!$C$2:$C$10001,"")</f>
        <v/>
      </c>
      <c r="G860" s="16"/>
      <c r="H860" s="16" t="str" cm="1">
        <f t="array" ref="H860">IF(C860&lt;&gt;"", _xlfn.IFS(I860="Height",_xlfn.XLOOKUP(C860,'calc_s90&amp;138'!$C$15:$C$1000,'calc_s90&amp;138'!$BD$15:$BD$1000,"",0),  I860="Width", _xlfn.XLOOKUP(C860,'calc_s90&amp;138'!$C$15:$C$1000,'calc_s90&amp;138'!$BF$15:$BF$1000,"",0)),"")</f>
        <v/>
      </c>
      <c r="I860" s="16" t="str">
        <f t="shared" si="20"/>
        <v/>
      </c>
    </row>
    <row r="861" spans="1:9" ht="13.5" customHeight="1" x14ac:dyDescent="0.25">
      <c r="A861" s="41" t="str">
        <f>_xlfn.XLOOKUP(G861,dd_color!$A$2:$A$8,dd_color!$B$2:$B$8,"",0)</f>
        <v/>
      </c>
      <c r="B861" s="41">
        <f>_xlfn.XLOOKUP(_xlfn.XLOOKUP(C861,'Project Details'!$C$17:$C$10003,'Project Details'!$E$17:$E$10003, "",0),dd_design_raw!$A$2:$A$9997,dd_design_raw!$C$2:$C$9997,"",0)</f>
        <v>0</v>
      </c>
      <c r="C861" s="16"/>
      <c r="D861" s="16" t="str" cm="1">
        <f t="array" ref="D861">IF(C861&lt;&gt;"", _xlfn.IFS(I861="Height",_xlfn.XLOOKUP(C861,'calc_s90&amp;138'!$C$15:$C$1000,'calc_s90&amp;138'!$BE$15:$BE$1000,"",0),  I861="Width", _xlfn.XLOOKUP(C861,'calc_s90&amp;138'!$C$15:$C$1000,'calc_s90&amp;138'!$BG$15:$BG$1000,"",0)),"")</f>
        <v/>
      </c>
      <c r="E861" s="16" t="str" cm="1">
        <f t="array" ref="E861">IF(C861&lt;&gt;"", IF(_xlfn.XLOOKUP(1,((SKUs!$A$2:$A$10001=cl_unmerged!B861) * (ISNUMBER(SEARCH("Steel-Frame",SKUs!$J$2:$J$10001)))), SKUs!$J$2:$J$10001,"")=""," Steel-Frame90",_xlfn.XLOOKUP(1,((SKUs!$A$2:$A$10001=cl_unmerged!B861) * (ISNUMBER(SEARCH("Steel-Frame",SKUs!$J$2:$J$10001)))), SKUs!$J$2:$J$10001,"")),"")  &amp; _xlfn.IFS(I861="Height", ", H",I861="Height SLI", ", H SLI", I861="Height FIX", ", H FIX",I861="Width", ", W", I861="", "")</f>
        <v/>
      </c>
      <c r="F861" s="33" t="str" cm="1">
        <f t="array" ref="F861">_xlfn.XLOOKUP(1,((SKUs!$A$2:$A$10001=cl_unmerged!B861) * (ISNUMBER(SEARCH("Steel-Frame",SKUs!$J$2:$J$10001)))* (ISNUMBER(SEARCH(A861,SKUs!$C$2:$C$10001)))), SKUs!$C$2:$C$10001,"")</f>
        <v/>
      </c>
      <c r="G861" s="16"/>
      <c r="H861" s="16" t="str" cm="1">
        <f t="array" ref="H861">IF(C861&lt;&gt;"", _xlfn.IFS(I861="Height",_xlfn.XLOOKUP(C861,'calc_s90&amp;138'!$C$15:$C$1000,'calc_s90&amp;138'!$BD$15:$BD$1000,"",0),  I861="Width", _xlfn.XLOOKUP(C861,'calc_s90&amp;138'!$C$15:$C$1000,'calc_s90&amp;138'!$BF$15:$BF$1000,"",0)),"")</f>
        <v/>
      </c>
      <c r="I861" s="16" t="str">
        <f t="shared" si="20"/>
        <v/>
      </c>
    </row>
    <row r="862" spans="1:9" ht="13.5" customHeight="1" x14ac:dyDescent="0.25">
      <c r="A862" s="41" t="str">
        <f>_xlfn.XLOOKUP(G862,dd_color!$A$2:$A$8,dd_color!$B$2:$B$8,"",0)</f>
        <v/>
      </c>
      <c r="B862" s="41">
        <f>_xlfn.XLOOKUP(_xlfn.XLOOKUP(C862,'Project Details'!$C$17:$C$10003,'Project Details'!$E$17:$E$10003, "",0),dd_design_raw!$A$2:$A$9997,dd_design_raw!$C$2:$C$9997,"",0)</f>
        <v>0</v>
      </c>
      <c r="C862" s="16"/>
      <c r="D862" s="16" t="str" cm="1">
        <f t="array" ref="D862">IF(C862&lt;&gt;"", _xlfn.IFS(I862="Height",_xlfn.XLOOKUP(C862,'calc_s90&amp;138'!$C$15:$C$1000,'calc_s90&amp;138'!$BE$15:$BE$1000,"",0),  I862="Width", _xlfn.XLOOKUP(C862,'calc_s90&amp;138'!$C$15:$C$1000,'calc_s90&amp;138'!$BG$15:$BG$1000,"",0)),"")</f>
        <v/>
      </c>
      <c r="E862" s="16" t="str" cm="1">
        <f t="array" ref="E862">IF(C862&lt;&gt;"", IF(_xlfn.XLOOKUP(1,((SKUs!$A$2:$A$10001=cl_unmerged!B862) * (ISNUMBER(SEARCH("Steel-Frame",SKUs!$J$2:$J$10001)))), SKUs!$J$2:$J$10001,"")=""," Steel-Frame90",_xlfn.XLOOKUP(1,((SKUs!$A$2:$A$10001=cl_unmerged!B862) * (ISNUMBER(SEARCH("Steel-Frame",SKUs!$J$2:$J$10001)))), SKUs!$J$2:$J$10001,"")),"")  &amp; _xlfn.IFS(I862="Height", ", H",I862="Height SLI", ", H SLI", I862="Height FIX", ", H FIX",I862="Width", ", W", I862="", "")</f>
        <v/>
      </c>
      <c r="F862" s="33" t="str" cm="1">
        <f t="array" ref="F862">_xlfn.XLOOKUP(1,((SKUs!$A$2:$A$10001=cl_unmerged!B862) * (ISNUMBER(SEARCH("Steel-Frame",SKUs!$J$2:$J$10001)))* (ISNUMBER(SEARCH(A862,SKUs!$C$2:$C$10001)))), SKUs!$C$2:$C$10001,"")</f>
        <v/>
      </c>
      <c r="G862" s="16"/>
      <c r="H862" s="16" t="str" cm="1">
        <f t="array" ref="H862">IF(C862&lt;&gt;"", _xlfn.IFS(I862="Height",_xlfn.XLOOKUP(C862,'calc_s90&amp;138'!$C$15:$C$1000,'calc_s90&amp;138'!$BD$15:$BD$1000,"",0),  I862="Width", _xlfn.XLOOKUP(C862,'calc_s90&amp;138'!$C$15:$C$1000,'calc_s90&amp;138'!$BF$15:$BF$1000,"",0)),"")</f>
        <v/>
      </c>
      <c r="I862" s="16" t="str">
        <f t="shared" si="20"/>
        <v/>
      </c>
    </row>
    <row r="863" spans="1:9" ht="13.5" customHeight="1" x14ac:dyDescent="0.25">
      <c r="A863" s="41" t="str">
        <f>_xlfn.XLOOKUP(G863,dd_color!$A$2:$A$8,dd_color!$B$2:$B$8,"",0)</f>
        <v/>
      </c>
      <c r="B863" s="41">
        <f>_xlfn.XLOOKUP(_xlfn.XLOOKUP(C863,'Project Details'!$C$17:$C$10003,'Project Details'!$E$17:$E$10003, "",0),dd_design_raw!$A$2:$A$9997,dd_design_raw!$C$2:$C$9997,"",0)</f>
        <v>0</v>
      </c>
      <c r="C863" s="16"/>
      <c r="D863" s="16" t="str" cm="1">
        <f t="array" ref="D863">IF(C863&lt;&gt;"", _xlfn.IFS(I863="Height",_xlfn.XLOOKUP(C863,'calc_s90&amp;138'!$C$15:$C$1000,'calc_s90&amp;138'!$BE$15:$BE$1000,"",0),  I863="Width", _xlfn.XLOOKUP(C863,'calc_s90&amp;138'!$C$15:$C$1000,'calc_s90&amp;138'!$BG$15:$BG$1000,"",0)),"")</f>
        <v/>
      </c>
      <c r="E863" s="16" t="str" cm="1">
        <f t="array" ref="E863">IF(C863&lt;&gt;"", IF(_xlfn.XLOOKUP(1,((SKUs!$A$2:$A$10001=cl_unmerged!B863) * (ISNUMBER(SEARCH("Steel-Frame",SKUs!$J$2:$J$10001)))), SKUs!$J$2:$J$10001,"")=""," Steel-Frame90",_xlfn.XLOOKUP(1,((SKUs!$A$2:$A$10001=cl_unmerged!B863) * (ISNUMBER(SEARCH("Steel-Frame",SKUs!$J$2:$J$10001)))), SKUs!$J$2:$J$10001,"")),"")  &amp; _xlfn.IFS(I863="Height", ", H",I863="Height SLI", ", H SLI", I863="Height FIX", ", H FIX",I863="Width", ", W", I863="", "")</f>
        <v/>
      </c>
      <c r="F863" s="33" t="str" cm="1">
        <f t="array" ref="F863">_xlfn.XLOOKUP(1,((SKUs!$A$2:$A$10001=cl_unmerged!B863) * (ISNUMBER(SEARCH("Steel-Frame",SKUs!$J$2:$J$10001)))* (ISNUMBER(SEARCH(A863,SKUs!$C$2:$C$10001)))), SKUs!$C$2:$C$10001,"")</f>
        <v/>
      </c>
      <c r="G863" s="16"/>
      <c r="H863" s="16" t="str" cm="1">
        <f t="array" ref="H863">IF(C863&lt;&gt;"", _xlfn.IFS(I863="Height",_xlfn.XLOOKUP(C863,'calc_s90&amp;138'!$C$15:$C$1000,'calc_s90&amp;138'!$BD$15:$BD$1000,"",0),  I863="Width", _xlfn.XLOOKUP(C863,'calc_s90&amp;138'!$C$15:$C$1000,'calc_s90&amp;138'!$BF$15:$BF$1000,"",0)),"")</f>
        <v/>
      </c>
      <c r="I863" s="16" t="str">
        <f t="shared" si="20"/>
        <v/>
      </c>
    </row>
    <row r="864" spans="1:9" ht="13.5" customHeight="1" x14ac:dyDescent="0.25">
      <c r="A864" s="41" t="str">
        <f>_xlfn.XLOOKUP(G864,dd_color!$A$2:$A$8,dd_color!$B$2:$B$8,"",0)</f>
        <v/>
      </c>
      <c r="B864" s="41">
        <f>_xlfn.XLOOKUP(_xlfn.XLOOKUP(C864,'Project Details'!$C$17:$C$10003,'Project Details'!$E$17:$E$10003, "",0),dd_design_raw!$A$2:$A$9997,dd_design_raw!$C$2:$C$9997,"",0)</f>
        <v>0</v>
      </c>
      <c r="C864" s="16"/>
      <c r="D864" s="16" t="str" cm="1">
        <f t="array" ref="D864">IF(C864&lt;&gt;"", _xlfn.IFS(I864="Height",_xlfn.XLOOKUP(C864,'calc_s90&amp;138'!$C$15:$C$1000,'calc_s90&amp;138'!$BE$15:$BE$1000,"",0),  I864="Width", _xlfn.XLOOKUP(C864,'calc_s90&amp;138'!$C$15:$C$1000,'calc_s90&amp;138'!$BG$15:$BG$1000,"",0)),"")</f>
        <v/>
      </c>
      <c r="E864" s="16" t="str" cm="1">
        <f t="array" ref="E864">IF(C864&lt;&gt;"", IF(_xlfn.XLOOKUP(1,((SKUs!$A$2:$A$10001=cl_unmerged!B864) * (ISNUMBER(SEARCH("Steel-Frame",SKUs!$J$2:$J$10001)))), SKUs!$J$2:$J$10001,"")=""," Steel-Frame90",_xlfn.XLOOKUP(1,((SKUs!$A$2:$A$10001=cl_unmerged!B864) * (ISNUMBER(SEARCH("Steel-Frame",SKUs!$J$2:$J$10001)))), SKUs!$J$2:$J$10001,"")),"")  &amp; _xlfn.IFS(I864="Height", ", H",I864="Height SLI", ", H SLI", I864="Height FIX", ", H FIX",I864="Width", ", W", I864="", "")</f>
        <v/>
      </c>
      <c r="F864" s="33" t="str" cm="1">
        <f t="array" ref="F864">_xlfn.XLOOKUP(1,((SKUs!$A$2:$A$10001=cl_unmerged!B864) * (ISNUMBER(SEARCH("Steel-Frame",SKUs!$J$2:$J$10001)))* (ISNUMBER(SEARCH(A864,SKUs!$C$2:$C$10001)))), SKUs!$C$2:$C$10001,"")</f>
        <v/>
      </c>
      <c r="G864" s="16"/>
      <c r="H864" s="16" t="str" cm="1">
        <f t="array" ref="H864">IF(C864&lt;&gt;"", _xlfn.IFS(I864="Height",_xlfn.XLOOKUP(C864,'calc_s90&amp;138'!$C$15:$C$1000,'calc_s90&amp;138'!$BD$15:$BD$1000,"",0),  I864="Width", _xlfn.XLOOKUP(C864,'calc_s90&amp;138'!$C$15:$C$1000,'calc_s90&amp;138'!$BF$15:$BF$1000,"",0)),"")</f>
        <v/>
      </c>
      <c r="I864" s="16" t="str">
        <f t="shared" si="20"/>
        <v/>
      </c>
    </row>
    <row r="865" spans="1:9" ht="13.5" customHeight="1" x14ac:dyDescent="0.25">
      <c r="A865" s="41" t="str">
        <f>_xlfn.XLOOKUP(G865,dd_color!$A$2:$A$8,dd_color!$B$2:$B$8,"",0)</f>
        <v/>
      </c>
      <c r="B865" s="41">
        <f>_xlfn.XLOOKUP(_xlfn.XLOOKUP(C865,'Project Details'!$C$17:$C$10003,'Project Details'!$E$17:$E$10003, "",0),dd_design_raw!$A$2:$A$9997,dd_design_raw!$C$2:$C$9997,"",0)</f>
        <v>0</v>
      </c>
      <c r="C865" s="16"/>
      <c r="D865" s="16" t="str" cm="1">
        <f t="array" ref="D865">IF(C865&lt;&gt;"", _xlfn.IFS(I865="Height",_xlfn.XLOOKUP(C865,'calc_s90&amp;138'!$C$15:$C$1000,'calc_s90&amp;138'!$BE$15:$BE$1000,"",0),  I865="Width", _xlfn.XLOOKUP(C865,'calc_s90&amp;138'!$C$15:$C$1000,'calc_s90&amp;138'!$BG$15:$BG$1000,"",0)),"")</f>
        <v/>
      </c>
      <c r="E865" s="16" t="str" cm="1">
        <f t="array" ref="E865">IF(C865&lt;&gt;"", IF(_xlfn.XLOOKUP(1,((SKUs!$A$2:$A$10001=cl_unmerged!B865) * (ISNUMBER(SEARCH("Steel-Frame",SKUs!$J$2:$J$10001)))), SKUs!$J$2:$J$10001,"")=""," Steel-Frame90",_xlfn.XLOOKUP(1,((SKUs!$A$2:$A$10001=cl_unmerged!B865) * (ISNUMBER(SEARCH("Steel-Frame",SKUs!$J$2:$J$10001)))), SKUs!$J$2:$J$10001,"")),"")  &amp; _xlfn.IFS(I865="Height", ", H",I865="Height SLI", ", H SLI", I865="Height FIX", ", H FIX",I865="Width", ", W", I865="", "")</f>
        <v/>
      </c>
      <c r="F865" s="33" t="str" cm="1">
        <f t="array" ref="F865">_xlfn.XLOOKUP(1,((SKUs!$A$2:$A$10001=cl_unmerged!B865) * (ISNUMBER(SEARCH("Steel-Frame",SKUs!$J$2:$J$10001)))* (ISNUMBER(SEARCH(A865,SKUs!$C$2:$C$10001)))), SKUs!$C$2:$C$10001,"")</f>
        <v/>
      </c>
      <c r="G865" s="16"/>
      <c r="H865" s="16" t="str" cm="1">
        <f t="array" ref="H865">IF(C865&lt;&gt;"", _xlfn.IFS(I865="Height",_xlfn.XLOOKUP(C865,'calc_s90&amp;138'!$C$15:$C$1000,'calc_s90&amp;138'!$BD$15:$BD$1000,"",0),  I865="Width", _xlfn.XLOOKUP(C865,'calc_s90&amp;138'!$C$15:$C$1000,'calc_s90&amp;138'!$BF$15:$BF$1000,"",0)),"")</f>
        <v/>
      </c>
      <c r="I865" s="16" t="str">
        <f t="shared" si="20"/>
        <v/>
      </c>
    </row>
    <row r="866" spans="1:9" ht="13.5" customHeight="1" x14ac:dyDescent="0.25">
      <c r="A866" s="41" t="str">
        <f>_xlfn.XLOOKUP(G866,dd_color!$A$2:$A$8,dd_color!$B$2:$B$8,"",0)</f>
        <v/>
      </c>
      <c r="B866" s="41">
        <f>_xlfn.XLOOKUP(_xlfn.XLOOKUP(C866,'Project Details'!$C$17:$C$10003,'Project Details'!$E$17:$E$10003, "",0),dd_design_raw!$A$2:$A$9997,dd_design_raw!$C$2:$C$9997,"",0)</f>
        <v>0</v>
      </c>
      <c r="C866" s="16"/>
      <c r="D866" s="16" t="str" cm="1">
        <f t="array" ref="D866">IF(C866&lt;&gt;"", _xlfn.IFS(I866="Height",_xlfn.XLOOKUP(C866,'calc_s90&amp;138'!$C$15:$C$1000,'calc_s90&amp;138'!$BE$15:$BE$1000,"",0),  I866="Width", _xlfn.XLOOKUP(C866,'calc_s90&amp;138'!$C$15:$C$1000,'calc_s90&amp;138'!$BG$15:$BG$1000,"",0)),"")</f>
        <v/>
      </c>
      <c r="E866" s="16" t="str" cm="1">
        <f t="array" ref="E866">IF(C866&lt;&gt;"", IF(_xlfn.XLOOKUP(1,((SKUs!$A$2:$A$10001=cl_unmerged!B866) * (ISNUMBER(SEARCH("Steel-Frame",SKUs!$J$2:$J$10001)))), SKUs!$J$2:$J$10001,"")=""," Steel-Frame90",_xlfn.XLOOKUP(1,((SKUs!$A$2:$A$10001=cl_unmerged!B866) * (ISNUMBER(SEARCH("Steel-Frame",SKUs!$J$2:$J$10001)))), SKUs!$J$2:$J$10001,"")),"")  &amp; _xlfn.IFS(I866="Height", ", H",I866="Height SLI", ", H SLI", I866="Height FIX", ", H FIX",I866="Width", ", W", I866="", "")</f>
        <v/>
      </c>
      <c r="F866" s="33" t="str" cm="1">
        <f t="array" ref="F866">_xlfn.XLOOKUP(1,((SKUs!$A$2:$A$10001=cl_unmerged!B866) * (ISNUMBER(SEARCH("Steel-Frame",SKUs!$J$2:$J$10001)))* (ISNUMBER(SEARCH(A866,SKUs!$C$2:$C$10001)))), SKUs!$C$2:$C$10001,"")</f>
        <v/>
      </c>
      <c r="G866" s="16"/>
      <c r="H866" s="16" t="str" cm="1">
        <f t="array" ref="H866">IF(C866&lt;&gt;"", _xlfn.IFS(I866="Height",_xlfn.XLOOKUP(C866,'calc_s90&amp;138'!$C$15:$C$1000,'calc_s90&amp;138'!$BD$15:$BD$1000,"",0),  I866="Width", _xlfn.XLOOKUP(C866,'calc_s90&amp;138'!$C$15:$C$1000,'calc_s90&amp;138'!$BF$15:$BF$1000,"",0)),"")</f>
        <v/>
      </c>
      <c r="I866" s="16" t="str">
        <f t="shared" si="20"/>
        <v/>
      </c>
    </row>
    <row r="867" spans="1:9" ht="13.5" customHeight="1" x14ac:dyDescent="0.25">
      <c r="A867" s="41" t="str">
        <f>_xlfn.XLOOKUP(G867,dd_color!$A$2:$A$8,dd_color!$B$2:$B$8,"",0)</f>
        <v/>
      </c>
      <c r="B867" s="41">
        <f>_xlfn.XLOOKUP(_xlfn.XLOOKUP(C867,'Project Details'!$C$17:$C$10003,'Project Details'!$E$17:$E$10003, "",0),dd_design_raw!$A$2:$A$9997,dd_design_raw!$C$2:$C$9997,"",0)</f>
        <v>0</v>
      </c>
      <c r="C867" s="16"/>
      <c r="D867" s="16" t="str" cm="1">
        <f t="array" ref="D867">IF(C867&lt;&gt;"", _xlfn.IFS(I867="Height",_xlfn.XLOOKUP(C867,'calc_s90&amp;138'!$C$15:$C$1000,'calc_s90&amp;138'!$BE$15:$BE$1000,"",0),  I867="Width", _xlfn.XLOOKUP(C867,'calc_s90&amp;138'!$C$15:$C$1000,'calc_s90&amp;138'!$BG$15:$BG$1000,"",0)),"")</f>
        <v/>
      </c>
      <c r="E867" s="16" t="str" cm="1">
        <f t="array" ref="E867">IF(C867&lt;&gt;"", IF(_xlfn.XLOOKUP(1,((SKUs!$A$2:$A$10001=cl_unmerged!B867) * (ISNUMBER(SEARCH("Steel-Frame",SKUs!$J$2:$J$10001)))), SKUs!$J$2:$J$10001,"")=""," Steel-Frame90",_xlfn.XLOOKUP(1,((SKUs!$A$2:$A$10001=cl_unmerged!B867) * (ISNUMBER(SEARCH("Steel-Frame",SKUs!$J$2:$J$10001)))), SKUs!$J$2:$J$10001,"")),"")  &amp; _xlfn.IFS(I867="Height", ", H",I867="Height SLI", ", H SLI", I867="Height FIX", ", H FIX",I867="Width", ", W", I867="", "")</f>
        <v/>
      </c>
      <c r="F867" s="33" t="str" cm="1">
        <f t="array" ref="F867">_xlfn.XLOOKUP(1,((SKUs!$A$2:$A$10001=cl_unmerged!B867) * (ISNUMBER(SEARCH("Steel-Frame",SKUs!$J$2:$J$10001)))* (ISNUMBER(SEARCH(A867,SKUs!$C$2:$C$10001)))), SKUs!$C$2:$C$10001,"")</f>
        <v/>
      </c>
      <c r="G867" s="16"/>
      <c r="H867" s="16" t="str" cm="1">
        <f t="array" ref="H867">IF(C867&lt;&gt;"", _xlfn.IFS(I867="Height",_xlfn.XLOOKUP(C867,'calc_s90&amp;138'!$C$15:$C$1000,'calc_s90&amp;138'!$BD$15:$BD$1000,"",0),  I867="Width", _xlfn.XLOOKUP(C867,'calc_s90&amp;138'!$C$15:$C$1000,'calc_s90&amp;138'!$BF$15:$BF$1000,"",0)),"")</f>
        <v/>
      </c>
      <c r="I867" s="16" t="str">
        <f t="shared" si="20"/>
        <v/>
      </c>
    </row>
    <row r="868" spans="1:9" ht="13.5" customHeight="1" x14ac:dyDescent="0.25">
      <c r="A868" s="41" t="str">
        <f>_xlfn.XLOOKUP(G868,dd_color!$A$2:$A$8,dd_color!$B$2:$B$8,"",0)</f>
        <v/>
      </c>
      <c r="B868" s="41">
        <f>_xlfn.XLOOKUP(_xlfn.XLOOKUP(C868,'Project Details'!$C$17:$C$10003,'Project Details'!$E$17:$E$10003, "",0),dd_design_raw!$A$2:$A$9997,dd_design_raw!$C$2:$C$9997,"",0)</f>
        <v>0</v>
      </c>
      <c r="C868" s="16"/>
      <c r="D868" s="16" t="str" cm="1">
        <f t="array" ref="D868">IF(C868&lt;&gt;"", _xlfn.IFS(I868="Height",_xlfn.XLOOKUP(C868,'calc_s90&amp;138'!$C$15:$C$1000,'calc_s90&amp;138'!$BE$15:$BE$1000,"",0),  I868="Width", _xlfn.XLOOKUP(C868,'calc_s90&amp;138'!$C$15:$C$1000,'calc_s90&amp;138'!$BG$15:$BG$1000,"",0)),"")</f>
        <v/>
      </c>
      <c r="E868" s="16" t="str" cm="1">
        <f t="array" ref="E868">IF(C868&lt;&gt;"", IF(_xlfn.XLOOKUP(1,((SKUs!$A$2:$A$10001=cl_unmerged!B868) * (ISNUMBER(SEARCH("Steel-Frame",SKUs!$J$2:$J$10001)))), SKUs!$J$2:$J$10001,"")=""," Steel-Frame90",_xlfn.XLOOKUP(1,((SKUs!$A$2:$A$10001=cl_unmerged!B868) * (ISNUMBER(SEARCH("Steel-Frame",SKUs!$J$2:$J$10001)))), SKUs!$J$2:$J$10001,"")),"")  &amp; _xlfn.IFS(I868="Height", ", H",I868="Height SLI", ", H SLI", I868="Height FIX", ", H FIX",I868="Width", ", W", I868="", "")</f>
        <v/>
      </c>
      <c r="F868" s="33" t="str" cm="1">
        <f t="array" ref="F868">_xlfn.XLOOKUP(1,((SKUs!$A$2:$A$10001=cl_unmerged!B868) * (ISNUMBER(SEARCH("Steel-Frame",SKUs!$J$2:$J$10001)))* (ISNUMBER(SEARCH(A868,SKUs!$C$2:$C$10001)))), SKUs!$C$2:$C$10001,"")</f>
        <v/>
      </c>
      <c r="G868" s="16"/>
      <c r="H868" s="16" t="str" cm="1">
        <f t="array" ref="H868">IF(C868&lt;&gt;"", _xlfn.IFS(I868="Height",_xlfn.XLOOKUP(C868,'calc_s90&amp;138'!$C$15:$C$1000,'calc_s90&amp;138'!$BD$15:$BD$1000,"",0),  I868="Width", _xlfn.XLOOKUP(C868,'calc_s90&amp;138'!$C$15:$C$1000,'calc_s90&amp;138'!$BF$15:$BF$1000,"",0)),"")</f>
        <v/>
      </c>
      <c r="I868" s="16" t="str">
        <f t="shared" si="20"/>
        <v/>
      </c>
    </row>
    <row r="869" spans="1:9" ht="13.5" customHeight="1" x14ac:dyDescent="0.25">
      <c r="A869" s="41" t="str">
        <f>_xlfn.XLOOKUP(G869,dd_color!$A$2:$A$8,dd_color!$B$2:$B$8,"",0)</f>
        <v/>
      </c>
      <c r="B869" s="41">
        <f>_xlfn.XLOOKUP(_xlfn.XLOOKUP(C869,'Project Details'!$C$17:$C$10003,'Project Details'!$E$17:$E$10003, "",0),dd_design_raw!$A$2:$A$9997,dd_design_raw!$C$2:$C$9997,"",0)</f>
        <v>0</v>
      </c>
      <c r="C869" s="16"/>
      <c r="D869" s="16" t="str" cm="1">
        <f t="array" ref="D869">IF(C869&lt;&gt;"", _xlfn.IFS(I869="Height",_xlfn.XLOOKUP(C869,'calc_s90&amp;138'!$C$15:$C$1000,'calc_s90&amp;138'!$BE$15:$BE$1000,"",0),  I869="Width", _xlfn.XLOOKUP(C869,'calc_s90&amp;138'!$C$15:$C$1000,'calc_s90&amp;138'!$BG$15:$BG$1000,"",0)),"")</f>
        <v/>
      </c>
      <c r="E869" s="16" t="str" cm="1">
        <f t="array" ref="E869">IF(C869&lt;&gt;"", IF(_xlfn.XLOOKUP(1,((SKUs!$A$2:$A$10001=cl_unmerged!B869) * (ISNUMBER(SEARCH("Steel-Frame",SKUs!$J$2:$J$10001)))), SKUs!$J$2:$J$10001,"")=""," Steel-Frame90",_xlfn.XLOOKUP(1,((SKUs!$A$2:$A$10001=cl_unmerged!B869) * (ISNUMBER(SEARCH("Steel-Frame",SKUs!$J$2:$J$10001)))), SKUs!$J$2:$J$10001,"")),"")  &amp; _xlfn.IFS(I869="Height", ", H",I869="Height SLI", ", H SLI", I869="Height FIX", ", H FIX",I869="Width", ", W", I869="", "")</f>
        <v/>
      </c>
      <c r="F869" s="33" t="str" cm="1">
        <f t="array" ref="F869">_xlfn.XLOOKUP(1,((SKUs!$A$2:$A$10001=cl_unmerged!B869) * (ISNUMBER(SEARCH("Steel-Frame",SKUs!$J$2:$J$10001)))* (ISNUMBER(SEARCH(A869,SKUs!$C$2:$C$10001)))), SKUs!$C$2:$C$10001,"")</f>
        <v/>
      </c>
      <c r="G869" s="16"/>
      <c r="H869" s="16" t="str" cm="1">
        <f t="array" ref="H869">IF(C869&lt;&gt;"", _xlfn.IFS(I869="Height",_xlfn.XLOOKUP(C869,'calc_s90&amp;138'!$C$15:$C$1000,'calc_s90&amp;138'!$BD$15:$BD$1000,"",0),  I869="Width", _xlfn.XLOOKUP(C869,'calc_s90&amp;138'!$C$15:$C$1000,'calc_s90&amp;138'!$BF$15:$BF$1000,"",0)),"")</f>
        <v/>
      </c>
      <c r="I869" s="16" t="str">
        <f t="shared" si="20"/>
        <v/>
      </c>
    </row>
    <row r="870" spans="1:9" ht="13.5" customHeight="1" x14ac:dyDescent="0.25">
      <c r="A870" s="41" t="str">
        <f>_xlfn.XLOOKUP(G870,dd_color!$A$2:$A$8,dd_color!$B$2:$B$8,"",0)</f>
        <v/>
      </c>
      <c r="B870" s="41">
        <f>_xlfn.XLOOKUP(_xlfn.XLOOKUP(C870,'Project Details'!$C$17:$C$10003,'Project Details'!$E$17:$E$10003, "",0),dd_design_raw!$A$2:$A$9997,dd_design_raw!$C$2:$C$9997,"",0)</f>
        <v>0</v>
      </c>
      <c r="C870" s="16"/>
      <c r="D870" s="16" t="str" cm="1">
        <f t="array" ref="D870">IF(C870&lt;&gt;"", _xlfn.IFS(I870="Height",_xlfn.XLOOKUP(C870,'calc_s90&amp;138'!$C$15:$C$1000,'calc_s90&amp;138'!$BE$15:$BE$1000,"",0),  I870="Width", _xlfn.XLOOKUP(C870,'calc_s90&amp;138'!$C$15:$C$1000,'calc_s90&amp;138'!$BG$15:$BG$1000,"",0)),"")</f>
        <v/>
      </c>
      <c r="E870" s="16" t="str" cm="1">
        <f t="array" ref="E870">IF(C870&lt;&gt;"", IF(_xlfn.XLOOKUP(1,((SKUs!$A$2:$A$10001=cl_unmerged!B870) * (ISNUMBER(SEARCH("Steel-Frame",SKUs!$J$2:$J$10001)))), SKUs!$J$2:$J$10001,"")=""," Steel-Frame90",_xlfn.XLOOKUP(1,((SKUs!$A$2:$A$10001=cl_unmerged!B870) * (ISNUMBER(SEARCH("Steel-Frame",SKUs!$J$2:$J$10001)))), SKUs!$J$2:$J$10001,"")),"")  &amp; _xlfn.IFS(I870="Height", ", H",I870="Height SLI", ", H SLI", I870="Height FIX", ", H FIX",I870="Width", ", W", I870="", "")</f>
        <v/>
      </c>
      <c r="F870" s="33" t="str" cm="1">
        <f t="array" ref="F870">_xlfn.XLOOKUP(1,((SKUs!$A$2:$A$10001=cl_unmerged!B870) * (ISNUMBER(SEARCH("Steel-Frame",SKUs!$J$2:$J$10001)))* (ISNUMBER(SEARCH(A870,SKUs!$C$2:$C$10001)))), SKUs!$C$2:$C$10001,"")</f>
        <v/>
      </c>
      <c r="G870" s="16"/>
      <c r="H870" s="16" t="str" cm="1">
        <f t="array" ref="H870">IF(C870&lt;&gt;"", _xlfn.IFS(I870="Height",_xlfn.XLOOKUP(C870,'calc_s90&amp;138'!$C$15:$C$1000,'calc_s90&amp;138'!$BD$15:$BD$1000,"",0),  I870="Width", _xlfn.XLOOKUP(C870,'calc_s90&amp;138'!$C$15:$C$1000,'calc_s90&amp;138'!$BF$15:$BF$1000,"",0)),"")</f>
        <v/>
      </c>
      <c r="I870" s="16" t="str">
        <f t="shared" si="20"/>
        <v/>
      </c>
    </row>
    <row r="871" spans="1:9" ht="13.5" customHeight="1" x14ac:dyDescent="0.25">
      <c r="A871" s="41" t="str">
        <f>_xlfn.XLOOKUP(G871,dd_color!$A$2:$A$8,dd_color!$B$2:$B$8,"",0)</f>
        <v/>
      </c>
      <c r="B871" s="41">
        <f>_xlfn.XLOOKUP(_xlfn.XLOOKUP(C871,'Project Details'!$C$17:$C$10003,'Project Details'!$E$17:$E$10003, "",0),dd_design_raw!$A$2:$A$9997,dd_design_raw!$C$2:$C$9997,"",0)</f>
        <v>0</v>
      </c>
      <c r="C871" s="16"/>
      <c r="D871" s="16" t="str" cm="1">
        <f t="array" ref="D871">IF(C871&lt;&gt;"", _xlfn.IFS(I871="Height",_xlfn.XLOOKUP(C871,'calc_s90&amp;138'!$C$15:$C$1000,'calc_s90&amp;138'!$BE$15:$BE$1000,"",0),  I871="Width", _xlfn.XLOOKUP(C871,'calc_s90&amp;138'!$C$15:$C$1000,'calc_s90&amp;138'!$BG$15:$BG$1000,"",0)),"")</f>
        <v/>
      </c>
      <c r="E871" s="16" t="str" cm="1">
        <f t="array" ref="E871">IF(C871&lt;&gt;"", IF(_xlfn.XLOOKUP(1,((SKUs!$A$2:$A$10001=cl_unmerged!B871) * (ISNUMBER(SEARCH("Steel-Frame",SKUs!$J$2:$J$10001)))), SKUs!$J$2:$J$10001,"")=""," Steel-Frame90",_xlfn.XLOOKUP(1,((SKUs!$A$2:$A$10001=cl_unmerged!B871) * (ISNUMBER(SEARCH("Steel-Frame",SKUs!$J$2:$J$10001)))), SKUs!$J$2:$J$10001,"")),"")  &amp; _xlfn.IFS(I871="Height", ", H",I871="Height SLI", ", H SLI", I871="Height FIX", ", H FIX",I871="Width", ", W", I871="", "")</f>
        <v/>
      </c>
      <c r="F871" s="33" t="str" cm="1">
        <f t="array" ref="F871">_xlfn.XLOOKUP(1,((SKUs!$A$2:$A$10001=cl_unmerged!B871) * (ISNUMBER(SEARCH("Steel-Frame",SKUs!$J$2:$J$10001)))* (ISNUMBER(SEARCH(A871,SKUs!$C$2:$C$10001)))), SKUs!$C$2:$C$10001,"")</f>
        <v/>
      </c>
      <c r="G871" s="16"/>
      <c r="H871" s="16" t="str" cm="1">
        <f t="array" ref="H871">IF(C871&lt;&gt;"", _xlfn.IFS(I871="Height",_xlfn.XLOOKUP(C871,'calc_s90&amp;138'!$C$15:$C$1000,'calc_s90&amp;138'!$BD$15:$BD$1000,"",0),  I871="Width", _xlfn.XLOOKUP(C871,'calc_s90&amp;138'!$C$15:$C$1000,'calc_s90&amp;138'!$BF$15:$BF$1000,"",0)),"")</f>
        <v/>
      </c>
      <c r="I871" s="16" t="str">
        <f t="shared" si="20"/>
        <v/>
      </c>
    </row>
    <row r="872" spans="1:9" ht="13.5" customHeight="1" x14ac:dyDescent="0.25">
      <c r="A872" s="41" t="str">
        <f>_xlfn.XLOOKUP(G872,dd_color!$A$2:$A$8,dd_color!$B$2:$B$8,"",0)</f>
        <v/>
      </c>
      <c r="B872" s="41">
        <f>_xlfn.XLOOKUP(_xlfn.XLOOKUP(C872,'Project Details'!$C$17:$C$10003,'Project Details'!$E$17:$E$10003, "",0),dd_design_raw!$A$2:$A$9997,dd_design_raw!$C$2:$C$9997,"",0)</f>
        <v>0</v>
      </c>
      <c r="C872" s="16"/>
      <c r="D872" s="16" t="str" cm="1">
        <f t="array" ref="D872">IF(C872&lt;&gt;"", _xlfn.IFS(I872="Height",_xlfn.XLOOKUP(C872,'calc_s90&amp;138'!$C$15:$C$1000,'calc_s90&amp;138'!$BE$15:$BE$1000,"",0),  I872="Width", _xlfn.XLOOKUP(C872,'calc_s90&amp;138'!$C$15:$C$1000,'calc_s90&amp;138'!$BG$15:$BG$1000,"",0)),"")</f>
        <v/>
      </c>
      <c r="E872" s="16" t="str" cm="1">
        <f t="array" ref="E872">IF(C872&lt;&gt;"", IF(_xlfn.XLOOKUP(1,((SKUs!$A$2:$A$10001=cl_unmerged!B872) * (ISNUMBER(SEARCH("Steel-Frame",SKUs!$J$2:$J$10001)))), SKUs!$J$2:$J$10001,"")=""," Steel-Frame90",_xlfn.XLOOKUP(1,((SKUs!$A$2:$A$10001=cl_unmerged!B872) * (ISNUMBER(SEARCH("Steel-Frame",SKUs!$J$2:$J$10001)))), SKUs!$J$2:$J$10001,"")),"")  &amp; _xlfn.IFS(I872="Height", ", H",I872="Height SLI", ", H SLI", I872="Height FIX", ", H FIX",I872="Width", ", W", I872="", "")</f>
        <v/>
      </c>
      <c r="F872" s="33" t="str" cm="1">
        <f t="array" ref="F872">_xlfn.XLOOKUP(1,((SKUs!$A$2:$A$10001=cl_unmerged!B872) * (ISNUMBER(SEARCH("Steel-Frame",SKUs!$J$2:$J$10001)))* (ISNUMBER(SEARCH(A872,SKUs!$C$2:$C$10001)))), SKUs!$C$2:$C$10001,"")</f>
        <v/>
      </c>
      <c r="G872" s="16"/>
      <c r="H872" s="16" t="str" cm="1">
        <f t="array" ref="H872">IF(C872&lt;&gt;"", _xlfn.IFS(I872="Height",_xlfn.XLOOKUP(C872,'calc_s90&amp;138'!$C$15:$C$1000,'calc_s90&amp;138'!$BD$15:$BD$1000,"",0),  I872="Width", _xlfn.XLOOKUP(C872,'calc_s90&amp;138'!$C$15:$C$1000,'calc_s90&amp;138'!$BF$15:$BF$1000,"",0)),"")</f>
        <v/>
      </c>
      <c r="I872" s="16" t="str">
        <f t="shared" si="20"/>
        <v/>
      </c>
    </row>
    <row r="873" spans="1:9" ht="13.5" customHeight="1" x14ac:dyDescent="0.25">
      <c r="A873" s="41" t="str">
        <f>_xlfn.XLOOKUP(G873,dd_color!$A$2:$A$8,dd_color!$B$2:$B$8,"",0)</f>
        <v/>
      </c>
      <c r="B873" s="41" t="str">
        <f>_xlfn.XLOOKUP(_xlfn.XLOOKUP(C873,'Project Details'!$C$17:$C$10003,'Project Details'!$E$17:$E$10003, "",0),dd_design_raw!$A$2:$A$9997,dd_design_raw!$C$2:$C$9997,"",0)</f>
        <v/>
      </c>
      <c r="C873" s="16"/>
      <c r="D873" s="16" t="str" cm="1">
        <f t="array" ref="D873">IF(C873&lt;&gt;"", _xlfn.IFS(I873="Height",_xlfn.XLOOKUP(C873,'calc_s90&amp;138'!$C$15:$C$1000,'calc_s90&amp;138'!$BE$15:$BE$1000,"",0),  I873="Width", _xlfn.XLOOKUP(C873,'calc_s90&amp;138'!$C$15:$C$1000,'calc_s90&amp;138'!$BG$15:$BG$1000,"",0)),"")</f>
        <v/>
      </c>
      <c r="E873" s="16" t="str" cm="1">
        <f t="array" ref="E873">IF(C873&lt;&gt;"", IF(_xlfn.XLOOKUP(1,((SKUs!$A$2:$A$10001=cl_unmerged!B873) * (ISNUMBER(SEARCH("Steel-Frame",SKUs!$J$2:$J$10001)))), SKUs!$J$2:$J$10001,"")=""," Steel-Frame90",_xlfn.XLOOKUP(1,((SKUs!$A$2:$A$10001=cl_unmerged!B873) * (ISNUMBER(SEARCH("Steel-Frame",SKUs!$J$2:$J$10001)))), SKUs!$J$2:$J$10001,"")),"")  &amp; _xlfn.IFS(I873="Height", ", H",I873="Height SLI", ", H SLI", I873="Height FIX", ", H FIX",I873="Width", ", W", I873="", "")</f>
        <v/>
      </c>
      <c r="F873" s="33" t="str" cm="1">
        <f t="array" ref="F873">_xlfn.XLOOKUP(1,((SKUs!$A$2:$A$10001=cl_unmerged!B873) * (ISNUMBER(SEARCH("Steel-Frame",SKUs!$J$2:$J$10001)))* (ISNUMBER(SEARCH(A873,SKUs!$C$2:$C$10001)))), SKUs!$C$2:$C$10001,"")</f>
        <v/>
      </c>
      <c r="G873" s="16"/>
      <c r="H873" s="16" t="str" cm="1">
        <f t="array" ref="H873">IF(C873&lt;&gt;"", _xlfn.IFS(I873="Height",_xlfn.XLOOKUP(C873,'calc_s90&amp;138'!$C$15:$C$1000,'calc_s90&amp;138'!$BD$15:$BD$1000,"",0),  I873="Width", _xlfn.XLOOKUP(C873,'calc_s90&amp;138'!$C$15:$C$1000,'calc_s90&amp;138'!$BF$15:$BF$1000,"",0)),"")</f>
        <v/>
      </c>
      <c r="I873" s="16" t="str">
        <f t="shared" si="20"/>
        <v/>
      </c>
    </row>
    <row r="874" spans="1:9" ht="13.5" customHeight="1" x14ac:dyDescent="0.25">
      <c r="A874" s="41" t="str">
        <f>_xlfn.XLOOKUP(G874,dd_color!$A$2:$A$8,dd_color!$B$2:$B$8,"",0)</f>
        <v/>
      </c>
      <c r="B874" s="41">
        <f>_xlfn.XLOOKUP(_xlfn.XLOOKUP(C874,'Project Details'!$C$17:$C$10003,'Project Details'!$E$17:$E$10003, "",0),dd_design_raw!$A$2:$A$9997,dd_design_raw!$C$2:$C$9997,"",0)</f>
        <v>0</v>
      </c>
      <c r="C874" s="16"/>
      <c r="D874" s="16" t="str" cm="1">
        <f t="array" ref="D874">IF(C874&lt;&gt;"", _xlfn.IFS(I874="Height",_xlfn.XLOOKUP(C874,'calc_s90&amp;138'!$C$15:$C$1000,'calc_s90&amp;138'!$BE$15:$BE$1000,"",0),  I874="Width", _xlfn.XLOOKUP(C874,'calc_s90&amp;138'!$C$15:$C$1000,'calc_s90&amp;138'!$BG$15:$BG$1000,"",0)),"")</f>
        <v/>
      </c>
      <c r="E874" s="16" t="str" cm="1">
        <f t="array" ref="E874">IF(C874&lt;&gt;"", IF(_xlfn.XLOOKUP(1,((SKUs!$A$2:$A$10001=cl_unmerged!B874) * (ISNUMBER(SEARCH("Steel-Frame",SKUs!$J$2:$J$10001)))), SKUs!$J$2:$J$10001,"")=""," Steel-Frame90",_xlfn.XLOOKUP(1,((SKUs!$A$2:$A$10001=cl_unmerged!B874) * (ISNUMBER(SEARCH("Steel-Frame",SKUs!$J$2:$J$10001)))), SKUs!$J$2:$J$10001,"")),"")  &amp; _xlfn.IFS(I874="Height", ", H",I874="Height SLI", ", H SLI", I874="Height FIX", ", H FIX",I874="Width", ", W", I874="", "")</f>
        <v/>
      </c>
      <c r="F874" s="33" t="str" cm="1">
        <f t="array" ref="F874">_xlfn.XLOOKUP(1,((SKUs!$A$2:$A$10001=cl_unmerged!B874) * (ISNUMBER(SEARCH("Steel-Frame",SKUs!$J$2:$J$10001)))* (ISNUMBER(SEARCH(A874,SKUs!$C$2:$C$10001)))), SKUs!$C$2:$C$10001,"")</f>
        <v/>
      </c>
      <c r="G874" s="16"/>
      <c r="H874" s="16" t="str" cm="1">
        <f t="array" ref="H874">IF(C874&lt;&gt;"", _xlfn.IFS(I874="Height",_xlfn.XLOOKUP(C874,'calc_s90&amp;138'!$C$15:$C$1000,'calc_s90&amp;138'!$BD$15:$BD$1000,"",0),  I874="Width", _xlfn.XLOOKUP(C874,'calc_s90&amp;138'!$C$15:$C$1000,'calc_s90&amp;138'!$BF$15:$BF$1000,"",0)),"")</f>
        <v/>
      </c>
      <c r="I874" s="16" t="str">
        <f t="shared" si="20"/>
        <v/>
      </c>
    </row>
    <row r="875" spans="1:9" ht="13.5" customHeight="1" x14ac:dyDescent="0.25">
      <c r="A875" s="41" t="str">
        <f>_xlfn.XLOOKUP(G875,dd_color!$A$2:$A$8,dd_color!$B$2:$B$8,"",0)</f>
        <v/>
      </c>
      <c r="B875" s="41" t="str">
        <f>_xlfn.XLOOKUP(_xlfn.XLOOKUP(C875,'Project Details'!$C$17:$C$10003,'Project Details'!$E$17:$E$10003, "",0),dd_design_raw!$A$2:$A$9997,dd_design_raw!$C$2:$C$9997,"",0)</f>
        <v/>
      </c>
      <c r="C875" s="16"/>
      <c r="D875" s="16" t="str" cm="1">
        <f t="array" ref="D875">IF(C875&lt;&gt;"", _xlfn.IFS(I875="Height",_xlfn.XLOOKUP(C875,'calc_s90&amp;138'!$C$15:$C$1000,'calc_s90&amp;138'!$BE$15:$BE$1000,"",0),  I875="Width", _xlfn.XLOOKUP(C875,'calc_s90&amp;138'!$C$15:$C$1000,'calc_s90&amp;138'!$BG$15:$BG$1000,"",0)),"")</f>
        <v/>
      </c>
      <c r="E875" s="16" t="str" cm="1">
        <f t="array" ref="E875">IF(C875&lt;&gt;"", IF(_xlfn.XLOOKUP(1,((SKUs!$A$2:$A$10001=cl_unmerged!B875) * (ISNUMBER(SEARCH("Steel-Frame",SKUs!$J$2:$J$10001)))), SKUs!$J$2:$J$10001,"")=""," Steel-Frame90",_xlfn.XLOOKUP(1,((SKUs!$A$2:$A$10001=cl_unmerged!B875) * (ISNUMBER(SEARCH("Steel-Frame",SKUs!$J$2:$J$10001)))), SKUs!$J$2:$J$10001,"")),"")  &amp; _xlfn.IFS(I875="Height", ", H",I875="Height SLI", ", H SLI", I875="Height FIX", ", H FIX",I875="Width", ", W", I875="", "")</f>
        <v/>
      </c>
      <c r="F875" s="33" t="str" cm="1">
        <f t="array" ref="F875">_xlfn.XLOOKUP(1,((SKUs!$A$2:$A$10001=cl_unmerged!B875) * (ISNUMBER(SEARCH("Steel-Frame",SKUs!$J$2:$J$10001)))* (ISNUMBER(SEARCH(A875,SKUs!$C$2:$C$10001)))), SKUs!$C$2:$C$10001,"")</f>
        <v/>
      </c>
      <c r="G875" s="16"/>
      <c r="H875" s="16" t="str" cm="1">
        <f t="array" ref="H875">IF(C875&lt;&gt;"", _xlfn.IFS(I875="Height",_xlfn.XLOOKUP(C875,'calc_s90&amp;138'!$C$15:$C$1000,'calc_s90&amp;138'!$BD$15:$BD$1000,"",0),  I875="Width", _xlfn.XLOOKUP(C875,'calc_s90&amp;138'!$C$15:$C$1000,'calc_s90&amp;138'!$BF$15:$BF$1000,"",0)),"")</f>
        <v/>
      </c>
      <c r="I875" s="16" t="str">
        <f t="shared" si="20"/>
        <v/>
      </c>
    </row>
    <row r="876" spans="1:9" ht="13.5" customHeight="1" x14ac:dyDescent="0.25">
      <c r="A876" s="41" t="str">
        <f>_xlfn.XLOOKUP(G876,dd_color!$A$2:$A$8,dd_color!$B$2:$B$8,"",0)</f>
        <v/>
      </c>
      <c r="B876" s="41" t="str">
        <f>_xlfn.XLOOKUP(_xlfn.XLOOKUP(C876,'Project Details'!$C$17:$C$10003,'Project Details'!$E$17:$E$10003, "",0),dd_design_raw!$A$2:$A$9997,dd_design_raw!$C$2:$C$9997,"",0)</f>
        <v/>
      </c>
      <c r="C876" s="16"/>
      <c r="D876" s="16" t="str" cm="1">
        <f t="array" ref="D876">IF(C876&lt;&gt;"", _xlfn.IFS(I876="Height",_xlfn.XLOOKUP(C876,'calc_s90&amp;138'!$C$15:$C$1000,'calc_s90&amp;138'!$BE$15:$BE$1000,"",0),  I876="Width", _xlfn.XLOOKUP(C876,'calc_s90&amp;138'!$C$15:$C$1000,'calc_s90&amp;138'!$BG$15:$BG$1000,"",0)),"")</f>
        <v/>
      </c>
      <c r="E876" s="16" t="str" cm="1">
        <f t="array" ref="E876">IF(C876&lt;&gt;"", IF(_xlfn.XLOOKUP(1,((SKUs!$A$2:$A$10001=cl_unmerged!B876) * (ISNUMBER(SEARCH("Steel-Frame",SKUs!$J$2:$J$10001)))), SKUs!$J$2:$J$10001,"")=""," Steel-Frame90",_xlfn.XLOOKUP(1,((SKUs!$A$2:$A$10001=cl_unmerged!B876) * (ISNUMBER(SEARCH("Steel-Frame",SKUs!$J$2:$J$10001)))), SKUs!$J$2:$J$10001,"")),"")  &amp; _xlfn.IFS(I876="Height", ", H",I876="Height SLI", ", H SLI", I876="Height FIX", ", H FIX",I876="Width", ", W", I876="", "")</f>
        <v/>
      </c>
      <c r="F876" s="33" t="str" cm="1">
        <f t="array" ref="F876">_xlfn.XLOOKUP(1,((SKUs!$A$2:$A$10001=cl_unmerged!B876) * (ISNUMBER(SEARCH("Steel-Frame",SKUs!$J$2:$J$10001)))* (ISNUMBER(SEARCH(A876,SKUs!$C$2:$C$10001)))), SKUs!$C$2:$C$10001,"")</f>
        <v/>
      </c>
      <c r="G876" s="16"/>
      <c r="H876" s="16" t="str" cm="1">
        <f t="array" ref="H876">IF(C876&lt;&gt;"", _xlfn.IFS(I876="Height",_xlfn.XLOOKUP(C876,'calc_s90&amp;138'!$C$15:$C$1000,'calc_s90&amp;138'!$BD$15:$BD$1000,"",0),  I876="Width", _xlfn.XLOOKUP(C876,'calc_s90&amp;138'!$C$15:$C$1000,'calc_s90&amp;138'!$BF$15:$BF$1000,"",0)),"")</f>
        <v/>
      </c>
      <c r="I876" s="16" t="str">
        <f t="shared" si="20"/>
        <v/>
      </c>
    </row>
    <row r="877" spans="1:9" ht="13.5" customHeight="1" x14ac:dyDescent="0.25">
      <c r="A877" s="41" t="str">
        <f>_xlfn.XLOOKUP(G877,dd_color!$A$2:$A$8,dd_color!$B$2:$B$8,"",0)</f>
        <v/>
      </c>
      <c r="B877" s="41">
        <f>_xlfn.XLOOKUP(_xlfn.XLOOKUP(C877,'Project Details'!$C$17:$C$10003,'Project Details'!$E$17:$E$10003, "",0),dd_design_raw!$A$2:$A$9997,dd_design_raw!$C$2:$C$9997,"",0)</f>
        <v>0</v>
      </c>
      <c r="C877" s="16"/>
      <c r="D877" s="16" t="str" cm="1">
        <f t="array" ref="D877">IF(C877&lt;&gt;"", _xlfn.IFS(I877="Height",_xlfn.XLOOKUP(C877,'calc_s90&amp;138'!$C$15:$C$1000,'calc_s90&amp;138'!$BE$15:$BE$1000,"",0),  I877="Width", _xlfn.XLOOKUP(C877,'calc_s90&amp;138'!$C$15:$C$1000,'calc_s90&amp;138'!$BG$15:$BG$1000,"",0)),"")</f>
        <v/>
      </c>
      <c r="E877" s="16" t="str" cm="1">
        <f t="array" ref="E877">IF(C877&lt;&gt;"", IF(_xlfn.XLOOKUP(1,((SKUs!$A$2:$A$10001=cl_unmerged!B877) * (ISNUMBER(SEARCH("Steel-Frame",SKUs!$J$2:$J$10001)))), SKUs!$J$2:$J$10001,"")=""," Steel-Frame90",_xlfn.XLOOKUP(1,((SKUs!$A$2:$A$10001=cl_unmerged!B877) * (ISNUMBER(SEARCH("Steel-Frame",SKUs!$J$2:$J$10001)))), SKUs!$J$2:$J$10001,"")),"")  &amp; _xlfn.IFS(I877="Height", ", H",I877="Height SLI", ", H SLI", I877="Height FIX", ", H FIX",I877="Width", ", W", I877="", "")</f>
        <v/>
      </c>
      <c r="F877" s="33" t="str" cm="1">
        <f t="array" ref="F877">_xlfn.XLOOKUP(1,((SKUs!$A$2:$A$10001=cl_unmerged!B877) * (ISNUMBER(SEARCH("Steel-Frame",SKUs!$J$2:$J$10001)))* (ISNUMBER(SEARCH(A877,SKUs!$C$2:$C$10001)))), SKUs!$C$2:$C$10001,"")</f>
        <v/>
      </c>
      <c r="G877" s="16"/>
      <c r="H877" s="16" t="str" cm="1">
        <f t="array" ref="H877">IF(C877&lt;&gt;"", _xlfn.IFS(I877="Height",_xlfn.XLOOKUP(C877,'calc_s90&amp;138'!$C$15:$C$1000,'calc_s90&amp;138'!$BD$15:$BD$1000,"",0),  I877="Width", _xlfn.XLOOKUP(C877,'calc_s90&amp;138'!$C$15:$C$1000,'calc_s90&amp;138'!$BF$15:$BF$1000,"",0)),"")</f>
        <v/>
      </c>
      <c r="I877" s="16" t="str">
        <f t="shared" si="20"/>
        <v/>
      </c>
    </row>
    <row r="878" spans="1:9" ht="13.5" customHeight="1" x14ac:dyDescent="0.25">
      <c r="A878" s="41" t="str">
        <f>_xlfn.XLOOKUP(G878,dd_color!$A$2:$A$8,dd_color!$B$2:$B$8,"",0)</f>
        <v/>
      </c>
      <c r="B878" s="41">
        <f>_xlfn.XLOOKUP(_xlfn.XLOOKUP(C878,'Project Details'!$C$17:$C$10003,'Project Details'!$E$17:$E$10003, "",0),dd_design_raw!$A$2:$A$9997,dd_design_raw!$C$2:$C$9997,"",0)</f>
        <v>0</v>
      </c>
      <c r="C878" s="16"/>
      <c r="D878" s="16" t="str" cm="1">
        <f t="array" ref="D878">IF(C878&lt;&gt;"", _xlfn.IFS(I878="Height",_xlfn.XLOOKUP(C878,'calc_s90&amp;138'!$C$15:$C$1000,'calc_s90&amp;138'!$BE$15:$BE$1000,"",0),  I878="Width", _xlfn.XLOOKUP(C878,'calc_s90&amp;138'!$C$15:$C$1000,'calc_s90&amp;138'!$BG$15:$BG$1000,"",0)),"")</f>
        <v/>
      </c>
      <c r="E878" s="16" t="str" cm="1">
        <f t="array" ref="E878">IF(C878&lt;&gt;"", IF(_xlfn.XLOOKUP(1,((SKUs!$A$2:$A$10001=cl_unmerged!B878) * (ISNUMBER(SEARCH("Steel-Frame",SKUs!$J$2:$J$10001)))), SKUs!$J$2:$J$10001,"")=""," Steel-Frame90",_xlfn.XLOOKUP(1,((SKUs!$A$2:$A$10001=cl_unmerged!B878) * (ISNUMBER(SEARCH("Steel-Frame",SKUs!$J$2:$J$10001)))), SKUs!$J$2:$J$10001,"")),"")  &amp; _xlfn.IFS(I878="Height", ", H",I878="Height SLI", ", H SLI", I878="Height FIX", ", H FIX",I878="Width", ", W", I878="", "")</f>
        <v/>
      </c>
      <c r="F878" s="33" t="str" cm="1">
        <f t="array" ref="F878">_xlfn.XLOOKUP(1,((SKUs!$A$2:$A$10001=cl_unmerged!B878) * (ISNUMBER(SEARCH("Steel-Frame",SKUs!$J$2:$J$10001)))* (ISNUMBER(SEARCH(A878,SKUs!$C$2:$C$10001)))), SKUs!$C$2:$C$10001,"")</f>
        <v/>
      </c>
      <c r="G878" s="16"/>
      <c r="H878" s="16" t="str" cm="1">
        <f t="array" ref="H878">IF(C878&lt;&gt;"", _xlfn.IFS(I878="Height",_xlfn.XLOOKUP(C878,'calc_s90&amp;138'!$C$15:$C$1000,'calc_s90&amp;138'!$BD$15:$BD$1000,"",0),  I878="Width", _xlfn.XLOOKUP(C878,'calc_s90&amp;138'!$C$15:$C$1000,'calc_s90&amp;138'!$BF$15:$BF$1000,"",0)),"")</f>
        <v/>
      </c>
      <c r="I878" s="16" t="str">
        <f t="shared" si="20"/>
        <v/>
      </c>
    </row>
    <row r="879" spans="1:9" ht="13.5" customHeight="1" x14ac:dyDescent="0.25">
      <c r="A879" s="41" t="str">
        <f>_xlfn.XLOOKUP(G879,dd_color!$A$2:$A$8,dd_color!$B$2:$B$8,"",0)</f>
        <v/>
      </c>
      <c r="B879" s="41" t="str">
        <f>_xlfn.XLOOKUP(_xlfn.XLOOKUP(C879,'Project Details'!$C$17:$C$10003,'Project Details'!$E$17:$E$10003, "",0),dd_design_raw!$A$2:$A$9997,dd_design_raw!$C$2:$C$9997,"",0)</f>
        <v/>
      </c>
      <c r="C879" s="16"/>
      <c r="D879" s="16" t="str" cm="1">
        <f t="array" ref="D879">IF(C879&lt;&gt;"", _xlfn.IFS(I879="Height",_xlfn.XLOOKUP(C879,'calc_s90&amp;138'!$C$15:$C$1000,'calc_s90&amp;138'!$BE$15:$BE$1000,"",0),  I879="Width", _xlfn.XLOOKUP(C879,'calc_s90&amp;138'!$C$15:$C$1000,'calc_s90&amp;138'!$BG$15:$BG$1000,"",0)),"")</f>
        <v/>
      </c>
      <c r="E879" s="16" t="str" cm="1">
        <f t="array" ref="E879">IF(C879&lt;&gt;"", IF(_xlfn.XLOOKUP(1,((SKUs!$A$2:$A$10001=cl_unmerged!B879) * (ISNUMBER(SEARCH("Steel-Frame",SKUs!$J$2:$J$10001)))), SKUs!$J$2:$J$10001,"")=""," Steel-Frame90",_xlfn.XLOOKUP(1,((SKUs!$A$2:$A$10001=cl_unmerged!B879) * (ISNUMBER(SEARCH("Steel-Frame",SKUs!$J$2:$J$10001)))), SKUs!$J$2:$J$10001,"")),"")  &amp; _xlfn.IFS(I879="Height", ", H",I879="Height SLI", ", H SLI", I879="Height FIX", ", H FIX",I879="Width", ", W", I879="", "")</f>
        <v/>
      </c>
      <c r="F879" s="33" t="str" cm="1">
        <f t="array" ref="F879">_xlfn.XLOOKUP(1,((SKUs!$A$2:$A$10001=cl_unmerged!B879) * (ISNUMBER(SEARCH("Steel-Frame",SKUs!$J$2:$J$10001)))* (ISNUMBER(SEARCH(A879,SKUs!$C$2:$C$10001)))), SKUs!$C$2:$C$10001,"")</f>
        <v/>
      </c>
      <c r="G879" s="16"/>
      <c r="H879" s="16" t="str" cm="1">
        <f t="array" ref="H879">IF(C879&lt;&gt;"", _xlfn.IFS(I879="Height",_xlfn.XLOOKUP(C879,'calc_s90&amp;138'!$C$15:$C$1000,'calc_s90&amp;138'!$BD$15:$BD$1000,"",0),  I879="Width", _xlfn.XLOOKUP(C879,'calc_s90&amp;138'!$C$15:$C$1000,'calc_s90&amp;138'!$BF$15:$BF$1000,"",0)),"")</f>
        <v/>
      </c>
      <c r="I879" s="16" t="str">
        <f t="shared" si="20"/>
        <v/>
      </c>
    </row>
    <row r="880" spans="1:9" ht="13.5" customHeight="1" x14ac:dyDescent="0.25">
      <c r="A880" s="41" t="str">
        <f>_xlfn.XLOOKUP(G880,dd_color!$A$2:$A$8,dd_color!$B$2:$B$8,"",0)</f>
        <v/>
      </c>
      <c r="B880" s="41">
        <f>_xlfn.XLOOKUP(_xlfn.XLOOKUP(C880,'Project Details'!$C$17:$C$10003,'Project Details'!$E$17:$E$10003, "",0),dd_design_raw!$A$2:$A$9997,dd_design_raw!$C$2:$C$9997,"",0)</f>
        <v>0</v>
      </c>
      <c r="C880" s="16"/>
      <c r="D880" s="16" t="str" cm="1">
        <f t="array" ref="D880">IF(C880&lt;&gt;"", _xlfn.IFS(I880="Height",_xlfn.XLOOKUP(C880,'calc_s90&amp;138'!$C$15:$C$1000,'calc_s90&amp;138'!$BE$15:$BE$1000,"",0),  I880="Width", _xlfn.XLOOKUP(C880,'calc_s90&amp;138'!$C$15:$C$1000,'calc_s90&amp;138'!$BG$15:$BG$1000,"",0)),"")</f>
        <v/>
      </c>
      <c r="E880" s="16" t="str" cm="1">
        <f t="array" ref="E880">IF(C880&lt;&gt;"", IF(_xlfn.XLOOKUP(1,((SKUs!$A$2:$A$10001=cl_unmerged!B880) * (ISNUMBER(SEARCH("Steel-Frame",SKUs!$J$2:$J$10001)))), SKUs!$J$2:$J$10001,"")=""," Steel-Frame90",_xlfn.XLOOKUP(1,((SKUs!$A$2:$A$10001=cl_unmerged!B880) * (ISNUMBER(SEARCH("Steel-Frame",SKUs!$J$2:$J$10001)))), SKUs!$J$2:$J$10001,"")),"")  &amp; _xlfn.IFS(I880="Height", ", H",I880="Height SLI", ", H SLI", I880="Height FIX", ", H FIX",I880="Width", ", W", I880="", "")</f>
        <v/>
      </c>
      <c r="F880" s="33" t="str" cm="1">
        <f t="array" ref="F880">_xlfn.XLOOKUP(1,((SKUs!$A$2:$A$10001=cl_unmerged!B880) * (ISNUMBER(SEARCH("Steel-Frame",SKUs!$J$2:$J$10001)))* (ISNUMBER(SEARCH(A880,SKUs!$C$2:$C$10001)))), SKUs!$C$2:$C$10001,"")</f>
        <v/>
      </c>
      <c r="G880" s="16"/>
      <c r="H880" s="16" t="str" cm="1">
        <f t="array" ref="H880">IF(C880&lt;&gt;"", _xlfn.IFS(I880="Height",_xlfn.XLOOKUP(C880,'calc_s90&amp;138'!$C$15:$C$1000,'calc_s90&amp;138'!$BD$15:$BD$1000,"",0),  I880="Width", _xlfn.XLOOKUP(C880,'calc_s90&amp;138'!$C$15:$C$1000,'calc_s90&amp;138'!$BF$15:$BF$1000,"",0)),"")</f>
        <v/>
      </c>
      <c r="I880" s="16" t="str">
        <f t="shared" si="20"/>
        <v/>
      </c>
    </row>
    <row r="881" spans="1:9" ht="13.5" customHeight="1" x14ac:dyDescent="0.25">
      <c r="A881" s="41" t="str">
        <f>_xlfn.XLOOKUP(G881,dd_color!$A$2:$A$8,dd_color!$B$2:$B$8,"",0)</f>
        <v/>
      </c>
      <c r="B881" s="41" t="str">
        <f>_xlfn.XLOOKUP(_xlfn.XLOOKUP(C881,'Project Details'!$C$17:$C$10003,'Project Details'!$E$17:$E$10003, "",0),dd_design_raw!$A$2:$A$9997,dd_design_raw!$C$2:$C$9997,"",0)</f>
        <v/>
      </c>
      <c r="C881" s="16"/>
      <c r="D881" s="16" t="str" cm="1">
        <f t="array" ref="D881">IF(C881&lt;&gt;"", _xlfn.IFS(I881="Height",_xlfn.XLOOKUP(C881,'calc_s90&amp;138'!$C$15:$C$1000,'calc_s90&amp;138'!$BE$15:$BE$1000,"",0),  I881="Width", _xlfn.XLOOKUP(C881,'calc_s90&amp;138'!$C$15:$C$1000,'calc_s90&amp;138'!$BG$15:$BG$1000,"",0)),"")</f>
        <v/>
      </c>
      <c r="E881" s="16" t="str" cm="1">
        <f t="array" ref="E881">IF(C881&lt;&gt;"", IF(_xlfn.XLOOKUP(1,((SKUs!$A$2:$A$10001=cl_unmerged!B881) * (ISNUMBER(SEARCH("Steel-Frame",SKUs!$J$2:$J$10001)))), SKUs!$J$2:$J$10001,"")=""," Steel-Frame90",_xlfn.XLOOKUP(1,((SKUs!$A$2:$A$10001=cl_unmerged!B881) * (ISNUMBER(SEARCH("Steel-Frame",SKUs!$J$2:$J$10001)))), SKUs!$J$2:$J$10001,"")),"")  &amp; _xlfn.IFS(I881="Height", ", H",I881="Height SLI", ", H SLI", I881="Height FIX", ", H FIX",I881="Width", ", W", I881="", "")</f>
        <v/>
      </c>
      <c r="F881" s="33" t="str" cm="1">
        <f t="array" ref="F881">_xlfn.XLOOKUP(1,((SKUs!$A$2:$A$10001=cl_unmerged!B881) * (ISNUMBER(SEARCH("Steel-Frame",SKUs!$J$2:$J$10001)))* (ISNUMBER(SEARCH(A881,SKUs!$C$2:$C$10001)))), SKUs!$C$2:$C$10001,"")</f>
        <v/>
      </c>
      <c r="G881" s="16"/>
      <c r="H881" s="16" t="str" cm="1">
        <f t="array" ref="H881">IF(C881&lt;&gt;"", _xlfn.IFS(I881="Height",_xlfn.XLOOKUP(C881,'calc_s90&amp;138'!$C$15:$C$1000,'calc_s90&amp;138'!$BD$15:$BD$1000,"",0),  I881="Width", _xlfn.XLOOKUP(C881,'calc_s90&amp;138'!$C$15:$C$1000,'calc_s90&amp;138'!$BF$15:$BF$1000,"",0)),"")</f>
        <v/>
      </c>
      <c r="I881" s="16" t="str">
        <f t="shared" si="20"/>
        <v/>
      </c>
    </row>
    <row r="882" spans="1:9" ht="13.5" customHeight="1" x14ac:dyDescent="0.25">
      <c r="A882" s="41" t="str">
        <f>_xlfn.XLOOKUP(G882,dd_color!$A$2:$A$8,dd_color!$B$2:$B$8,"",0)</f>
        <v/>
      </c>
      <c r="B882" s="41">
        <f>_xlfn.XLOOKUP(_xlfn.XLOOKUP(C882,'Project Details'!$C$17:$C$10003,'Project Details'!$E$17:$E$10003, "",0),dd_design_raw!$A$2:$A$9997,dd_design_raw!$C$2:$C$9997,"",0)</f>
        <v>0</v>
      </c>
      <c r="C882" s="16"/>
      <c r="D882" s="16" t="str" cm="1">
        <f t="array" ref="D882">IF(C882&lt;&gt;"", _xlfn.IFS(I882="Height",_xlfn.XLOOKUP(C882,'calc_s90&amp;138'!$C$15:$C$1000,'calc_s90&amp;138'!$BE$15:$BE$1000,"",0),  I882="Width", _xlfn.XLOOKUP(C882,'calc_s90&amp;138'!$C$15:$C$1000,'calc_s90&amp;138'!$BG$15:$BG$1000,"",0)),"")</f>
        <v/>
      </c>
      <c r="E882" s="16" t="str" cm="1">
        <f t="array" ref="E882">IF(C882&lt;&gt;"", IF(_xlfn.XLOOKUP(1,((SKUs!$A$2:$A$10001=cl_unmerged!B882) * (ISNUMBER(SEARCH("Steel-Frame",SKUs!$J$2:$J$10001)))), SKUs!$J$2:$J$10001,"")=""," Steel-Frame90",_xlfn.XLOOKUP(1,((SKUs!$A$2:$A$10001=cl_unmerged!B882) * (ISNUMBER(SEARCH("Steel-Frame",SKUs!$J$2:$J$10001)))), SKUs!$J$2:$J$10001,"")),"")  &amp; _xlfn.IFS(I882="Height", ", H",I882="Height SLI", ", H SLI", I882="Height FIX", ", H FIX",I882="Width", ", W", I882="", "")</f>
        <v/>
      </c>
      <c r="F882" s="33" t="str" cm="1">
        <f t="array" ref="F882">_xlfn.XLOOKUP(1,((SKUs!$A$2:$A$10001=cl_unmerged!B882) * (ISNUMBER(SEARCH("Steel-Frame",SKUs!$J$2:$J$10001)))* (ISNUMBER(SEARCH(A882,SKUs!$C$2:$C$10001)))), SKUs!$C$2:$C$10001,"")</f>
        <v/>
      </c>
      <c r="G882" s="16"/>
      <c r="H882" s="16" t="str" cm="1">
        <f t="array" ref="H882">IF(C882&lt;&gt;"", _xlfn.IFS(I882="Height",_xlfn.XLOOKUP(C882,'calc_s90&amp;138'!$C$15:$C$1000,'calc_s90&amp;138'!$BD$15:$BD$1000,"",0),  I882="Width", _xlfn.XLOOKUP(C882,'calc_s90&amp;138'!$C$15:$C$1000,'calc_s90&amp;138'!$BF$15:$BF$1000,"",0)),"")</f>
        <v/>
      </c>
      <c r="I882" s="16" t="str">
        <f t="shared" si="20"/>
        <v/>
      </c>
    </row>
    <row r="883" spans="1:9" ht="13.5" customHeight="1" x14ac:dyDescent="0.25">
      <c r="A883" s="41" t="str">
        <f>_xlfn.XLOOKUP(G883,dd_color!$A$2:$A$8,dd_color!$B$2:$B$8,"",0)</f>
        <v/>
      </c>
      <c r="B883" s="41" t="str">
        <f>_xlfn.XLOOKUP(_xlfn.XLOOKUP(C883,'Project Details'!$C$17:$C$10003,'Project Details'!$E$17:$E$10003, "",0),dd_design_raw!$A$2:$A$9997,dd_design_raw!$C$2:$C$9997,"",0)</f>
        <v/>
      </c>
      <c r="C883" s="16"/>
      <c r="D883" s="16" t="str" cm="1">
        <f t="array" ref="D883">IF(C883&lt;&gt;"", _xlfn.IFS(I883="Height",_xlfn.XLOOKUP(C883,'calc_s90&amp;138'!$C$15:$C$1000,'calc_s90&amp;138'!$BE$15:$BE$1000,"",0),  I883="Width", _xlfn.XLOOKUP(C883,'calc_s90&amp;138'!$C$15:$C$1000,'calc_s90&amp;138'!$BG$15:$BG$1000,"",0)),"")</f>
        <v/>
      </c>
      <c r="E883" s="16" t="str" cm="1">
        <f t="array" ref="E883">IF(C883&lt;&gt;"", IF(_xlfn.XLOOKUP(1,((SKUs!$A$2:$A$10001=cl_unmerged!B883) * (ISNUMBER(SEARCH("Steel-Frame",SKUs!$J$2:$J$10001)))), SKUs!$J$2:$J$10001,"")=""," Steel-Frame90",_xlfn.XLOOKUP(1,((SKUs!$A$2:$A$10001=cl_unmerged!B883) * (ISNUMBER(SEARCH("Steel-Frame",SKUs!$J$2:$J$10001)))), SKUs!$J$2:$J$10001,"")),"")  &amp; _xlfn.IFS(I883="Height", ", H",I883="Height SLI", ", H SLI", I883="Height FIX", ", H FIX",I883="Width", ", W", I883="", "")</f>
        <v/>
      </c>
      <c r="F883" s="33" t="str" cm="1">
        <f t="array" ref="F883">_xlfn.XLOOKUP(1,((SKUs!$A$2:$A$10001=cl_unmerged!B883) * (ISNUMBER(SEARCH("Steel-Frame",SKUs!$J$2:$J$10001)))* (ISNUMBER(SEARCH(A883,SKUs!$C$2:$C$10001)))), SKUs!$C$2:$C$10001,"")</f>
        <v/>
      </c>
      <c r="G883" s="16"/>
      <c r="H883" s="16" t="str" cm="1">
        <f t="array" ref="H883">IF(C883&lt;&gt;"", _xlfn.IFS(I883="Height",_xlfn.XLOOKUP(C883,'calc_s90&amp;138'!$C$15:$C$1000,'calc_s90&amp;138'!$BD$15:$BD$1000,"",0),  I883="Width", _xlfn.XLOOKUP(C883,'calc_s90&amp;138'!$C$15:$C$1000,'calc_s90&amp;138'!$BF$15:$BF$1000,"",0)),"")</f>
        <v/>
      </c>
      <c r="I883" s="16" t="str">
        <f t="shared" si="20"/>
        <v/>
      </c>
    </row>
    <row r="884" spans="1:9" ht="13.5" customHeight="1" x14ac:dyDescent="0.25">
      <c r="A884" s="41" t="str">
        <f>_xlfn.XLOOKUP(G884,dd_color!$A$2:$A$8,dd_color!$B$2:$B$8,"",0)</f>
        <v/>
      </c>
      <c r="B884" s="41" t="str">
        <f>_xlfn.XLOOKUP(_xlfn.XLOOKUP(C884,'Project Details'!$C$17:$C$10003,'Project Details'!$E$17:$E$10003, "",0),dd_design_raw!$A$2:$A$9997,dd_design_raw!$C$2:$C$9997,"",0)</f>
        <v/>
      </c>
      <c r="C884" s="16"/>
      <c r="D884" s="16" t="str" cm="1">
        <f t="array" ref="D884">IF(C884&lt;&gt;"", _xlfn.IFS(I884="Height",_xlfn.XLOOKUP(C884,'calc_s90&amp;138'!$C$15:$C$1000,'calc_s90&amp;138'!$BE$15:$BE$1000,"",0),  I884="Width", _xlfn.XLOOKUP(C884,'calc_s90&amp;138'!$C$15:$C$1000,'calc_s90&amp;138'!$BG$15:$BG$1000,"",0)),"")</f>
        <v/>
      </c>
      <c r="E884" s="16" t="str" cm="1">
        <f t="array" ref="E884">IF(C884&lt;&gt;"", IF(_xlfn.XLOOKUP(1,((SKUs!$A$2:$A$10001=cl_unmerged!B884) * (ISNUMBER(SEARCH("Steel-Frame",SKUs!$J$2:$J$10001)))), SKUs!$J$2:$J$10001,"")=""," Steel-Frame90",_xlfn.XLOOKUP(1,((SKUs!$A$2:$A$10001=cl_unmerged!B884) * (ISNUMBER(SEARCH("Steel-Frame",SKUs!$J$2:$J$10001)))), SKUs!$J$2:$J$10001,"")),"")  &amp; _xlfn.IFS(I884="Height", ", H",I884="Height SLI", ", H SLI", I884="Height FIX", ", H FIX",I884="Width", ", W", I884="", "")</f>
        <v/>
      </c>
      <c r="F884" s="33" t="str" cm="1">
        <f t="array" ref="F884">_xlfn.XLOOKUP(1,((SKUs!$A$2:$A$10001=cl_unmerged!B884) * (ISNUMBER(SEARCH("Steel-Frame",SKUs!$J$2:$J$10001)))* (ISNUMBER(SEARCH(A884,SKUs!$C$2:$C$10001)))), SKUs!$C$2:$C$10001,"")</f>
        <v/>
      </c>
      <c r="G884" s="16"/>
      <c r="H884" s="16" t="str" cm="1">
        <f t="array" ref="H884">IF(C884&lt;&gt;"", _xlfn.IFS(I884="Height",_xlfn.XLOOKUP(C884,'calc_s90&amp;138'!$C$15:$C$1000,'calc_s90&amp;138'!$BD$15:$BD$1000,"",0),  I884="Width", _xlfn.XLOOKUP(C884,'calc_s90&amp;138'!$C$15:$C$1000,'calc_s90&amp;138'!$BF$15:$BF$1000,"",0)),"")</f>
        <v/>
      </c>
      <c r="I884" s="16" t="str">
        <f t="shared" si="20"/>
        <v/>
      </c>
    </row>
    <row r="885" spans="1:9" ht="13.5" customHeight="1" x14ac:dyDescent="0.25">
      <c r="A885" s="41" t="str">
        <f>_xlfn.XLOOKUP(G885,dd_color!$A$2:$A$8,dd_color!$B$2:$B$8,"",0)</f>
        <v/>
      </c>
      <c r="B885" s="41">
        <f>_xlfn.XLOOKUP(_xlfn.XLOOKUP(C885,'Project Details'!$C$17:$C$10003,'Project Details'!$E$17:$E$10003, "",0),dd_design_raw!$A$2:$A$9997,dd_design_raw!$C$2:$C$9997,"",0)</f>
        <v>0</v>
      </c>
      <c r="C885" s="16"/>
      <c r="D885" s="16" t="str" cm="1">
        <f t="array" ref="D885">IF(C885&lt;&gt;"", _xlfn.IFS(I885="Height",_xlfn.XLOOKUP(C885,'calc_s90&amp;138'!$C$15:$C$1000,'calc_s90&amp;138'!$BE$15:$BE$1000,"",0),  I885="Width", _xlfn.XLOOKUP(C885,'calc_s90&amp;138'!$C$15:$C$1000,'calc_s90&amp;138'!$BG$15:$BG$1000,"",0)),"")</f>
        <v/>
      </c>
      <c r="E885" s="16" t="str" cm="1">
        <f t="array" ref="E885">IF(C885&lt;&gt;"", IF(_xlfn.XLOOKUP(1,((SKUs!$A$2:$A$10001=cl_unmerged!B885) * (ISNUMBER(SEARCH("Steel-Frame",SKUs!$J$2:$J$10001)))), SKUs!$J$2:$J$10001,"")=""," Steel-Frame90",_xlfn.XLOOKUP(1,((SKUs!$A$2:$A$10001=cl_unmerged!B885) * (ISNUMBER(SEARCH("Steel-Frame",SKUs!$J$2:$J$10001)))), SKUs!$J$2:$J$10001,"")),"")  &amp; _xlfn.IFS(I885="Height", ", H",I885="Height SLI", ", H SLI", I885="Height FIX", ", H FIX",I885="Width", ", W", I885="", "")</f>
        <v/>
      </c>
      <c r="F885" s="33" t="str" cm="1">
        <f t="array" ref="F885">_xlfn.XLOOKUP(1,((SKUs!$A$2:$A$10001=cl_unmerged!B885) * (ISNUMBER(SEARCH("Steel-Frame",SKUs!$J$2:$J$10001)))* (ISNUMBER(SEARCH(A885,SKUs!$C$2:$C$10001)))), SKUs!$C$2:$C$10001,"")</f>
        <v/>
      </c>
      <c r="G885" s="16"/>
      <c r="H885" s="16" t="str" cm="1">
        <f t="array" ref="H885">IF(C885&lt;&gt;"", _xlfn.IFS(I885="Height",_xlfn.XLOOKUP(C885,'calc_s90&amp;138'!$C$15:$C$1000,'calc_s90&amp;138'!$BD$15:$BD$1000,"",0),  I885="Width", _xlfn.XLOOKUP(C885,'calc_s90&amp;138'!$C$15:$C$1000,'calc_s90&amp;138'!$BF$15:$BF$1000,"",0)),"")</f>
        <v/>
      </c>
      <c r="I885" s="16" t="str">
        <f t="shared" si="20"/>
        <v/>
      </c>
    </row>
    <row r="886" spans="1:9" ht="13.5" customHeight="1" x14ac:dyDescent="0.25">
      <c r="A886" s="41" t="str">
        <f>_xlfn.XLOOKUP(G886,dd_color!$A$2:$A$8,dd_color!$B$2:$B$8,"",0)</f>
        <v/>
      </c>
      <c r="B886" s="41" t="str">
        <f>_xlfn.XLOOKUP(_xlfn.XLOOKUP(C886,'Project Details'!$C$17:$C$10003,'Project Details'!$E$17:$E$10003, "",0),dd_design_raw!$A$2:$A$9997,dd_design_raw!$C$2:$C$9997,"",0)</f>
        <v/>
      </c>
      <c r="C886" s="16"/>
      <c r="D886" s="16" t="str" cm="1">
        <f t="array" ref="D886">IF(C886&lt;&gt;"", _xlfn.IFS(I886="Height",_xlfn.XLOOKUP(C886,'calc_s90&amp;138'!$C$15:$C$1000,'calc_s90&amp;138'!$BE$15:$BE$1000,"",0),  I886="Width", _xlfn.XLOOKUP(C886,'calc_s90&amp;138'!$C$15:$C$1000,'calc_s90&amp;138'!$BG$15:$BG$1000,"",0)),"")</f>
        <v/>
      </c>
      <c r="E886" s="16" t="str" cm="1">
        <f t="array" ref="E886">IF(C886&lt;&gt;"", IF(_xlfn.XLOOKUP(1,((SKUs!$A$2:$A$10001=cl_unmerged!B886) * (ISNUMBER(SEARCH("Steel-Frame",SKUs!$J$2:$J$10001)))), SKUs!$J$2:$J$10001,"")=""," Steel-Frame90",_xlfn.XLOOKUP(1,((SKUs!$A$2:$A$10001=cl_unmerged!B886) * (ISNUMBER(SEARCH("Steel-Frame",SKUs!$J$2:$J$10001)))), SKUs!$J$2:$J$10001,"")),"")  &amp; _xlfn.IFS(I886="Height", ", H",I886="Height SLI", ", H SLI", I886="Height FIX", ", H FIX",I886="Width", ", W", I886="", "")</f>
        <v/>
      </c>
      <c r="F886" s="33" t="str" cm="1">
        <f t="array" ref="F886">_xlfn.XLOOKUP(1,((SKUs!$A$2:$A$10001=cl_unmerged!B886) * (ISNUMBER(SEARCH("Steel-Frame",SKUs!$J$2:$J$10001)))* (ISNUMBER(SEARCH(A886,SKUs!$C$2:$C$10001)))), SKUs!$C$2:$C$10001,"")</f>
        <v/>
      </c>
      <c r="G886" s="16"/>
      <c r="H886" s="16" t="str" cm="1">
        <f t="array" ref="H886">IF(C886&lt;&gt;"", _xlfn.IFS(I886="Height",_xlfn.XLOOKUP(C886,'calc_s90&amp;138'!$C$15:$C$1000,'calc_s90&amp;138'!$BD$15:$BD$1000,"",0),  I886="Width", _xlfn.XLOOKUP(C886,'calc_s90&amp;138'!$C$15:$C$1000,'calc_s90&amp;138'!$BF$15:$BF$1000,"",0)),"")</f>
        <v/>
      </c>
      <c r="I886" s="16" t="str">
        <f t="shared" si="20"/>
        <v/>
      </c>
    </row>
    <row r="887" spans="1:9" ht="13.5" customHeight="1" x14ac:dyDescent="0.25">
      <c r="A887" s="41" t="str">
        <f>_xlfn.XLOOKUP(G887,dd_color!$A$2:$A$8,dd_color!$B$2:$B$8,"",0)</f>
        <v/>
      </c>
      <c r="B887" s="41">
        <f>_xlfn.XLOOKUP(_xlfn.XLOOKUP(C887,'Project Details'!$C$17:$C$10003,'Project Details'!$E$17:$E$10003, "",0),dd_design_raw!$A$2:$A$9997,dd_design_raw!$C$2:$C$9997,"",0)</f>
        <v>0</v>
      </c>
      <c r="C887" s="16"/>
      <c r="D887" s="16" t="str" cm="1">
        <f t="array" ref="D887">IF(C887&lt;&gt;"", _xlfn.IFS(I887="Height",_xlfn.XLOOKUP(C887,'calc_s90&amp;138'!$C$15:$C$1000,'calc_s90&amp;138'!$BE$15:$BE$1000,"",0),  I887="Width", _xlfn.XLOOKUP(C887,'calc_s90&amp;138'!$C$15:$C$1000,'calc_s90&amp;138'!$BG$15:$BG$1000,"",0)),"")</f>
        <v/>
      </c>
      <c r="E887" s="16" t="str" cm="1">
        <f t="array" ref="E887">IF(C887&lt;&gt;"", IF(_xlfn.XLOOKUP(1,((SKUs!$A$2:$A$10001=cl_unmerged!B887) * (ISNUMBER(SEARCH("Steel-Frame",SKUs!$J$2:$J$10001)))), SKUs!$J$2:$J$10001,"")=""," Steel-Frame90",_xlfn.XLOOKUP(1,((SKUs!$A$2:$A$10001=cl_unmerged!B887) * (ISNUMBER(SEARCH("Steel-Frame",SKUs!$J$2:$J$10001)))), SKUs!$J$2:$J$10001,"")),"")  &amp; _xlfn.IFS(I887="Height", ", H",I887="Height SLI", ", H SLI", I887="Height FIX", ", H FIX",I887="Width", ", W", I887="", "")</f>
        <v/>
      </c>
      <c r="F887" s="33" t="str" cm="1">
        <f t="array" ref="F887">_xlfn.XLOOKUP(1,((SKUs!$A$2:$A$10001=cl_unmerged!B887) * (ISNUMBER(SEARCH("Steel-Frame",SKUs!$J$2:$J$10001)))* (ISNUMBER(SEARCH(A887,SKUs!$C$2:$C$10001)))), SKUs!$C$2:$C$10001,"")</f>
        <v/>
      </c>
      <c r="G887" s="16"/>
      <c r="H887" s="16" t="str" cm="1">
        <f t="array" ref="H887">IF(C887&lt;&gt;"", _xlfn.IFS(I887="Height",_xlfn.XLOOKUP(C887,'calc_s90&amp;138'!$C$15:$C$1000,'calc_s90&amp;138'!$BD$15:$BD$1000,"",0),  I887="Width", _xlfn.XLOOKUP(C887,'calc_s90&amp;138'!$C$15:$C$1000,'calc_s90&amp;138'!$BF$15:$BF$1000,"",0)),"")</f>
        <v/>
      </c>
      <c r="I887" s="16" t="str">
        <f t="shared" si="20"/>
        <v/>
      </c>
    </row>
    <row r="888" spans="1:9" ht="13.5" customHeight="1" x14ac:dyDescent="0.25">
      <c r="A888" s="41" t="str">
        <f>_xlfn.XLOOKUP(G888,dd_color!$A$2:$A$8,dd_color!$B$2:$B$8,"",0)</f>
        <v/>
      </c>
      <c r="B888" s="41" t="str">
        <f>_xlfn.XLOOKUP(_xlfn.XLOOKUP(C888,'Project Details'!$C$17:$C$10003,'Project Details'!$E$17:$E$10003, "",0),dd_design_raw!$A$2:$A$9997,dd_design_raw!$C$2:$C$9997,"",0)</f>
        <v/>
      </c>
      <c r="C888" s="16"/>
      <c r="D888" s="16" t="str" cm="1">
        <f t="array" ref="D888">IF(C888&lt;&gt;"", _xlfn.IFS(I888="Height",_xlfn.XLOOKUP(C888,'calc_s90&amp;138'!$C$15:$C$1000,'calc_s90&amp;138'!$BE$15:$BE$1000,"",0),  I888="Width", _xlfn.XLOOKUP(C888,'calc_s90&amp;138'!$C$15:$C$1000,'calc_s90&amp;138'!$BG$15:$BG$1000,"",0)),"")</f>
        <v/>
      </c>
      <c r="E888" s="16" t="str" cm="1">
        <f t="array" ref="E888">IF(C888&lt;&gt;"", IF(_xlfn.XLOOKUP(1,((SKUs!$A$2:$A$10001=cl_unmerged!B888) * (ISNUMBER(SEARCH("Steel-Frame",SKUs!$J$2:$J$10001)))), SKUs!$J$2:$J$10001,"")=""," Steel-Frame90",_xlfn.XLOOKUP(1,((SKUs!$A$2:$A$10001=cl_unmerged!B888) * (ISNUMBER(SEARCH("Steel-Frame",SKUs!$J$2:$J$10001)))), SKUs!$J$2:$J$10001,"")),"")  &amp; _xlfn.IFS(I888="Height", ", H",I888="Height SLI", ", H SLI", I888="Height FIX", ", H FIX",I888="Width", ", W", I888="", "")</f>
        <v/>
      </c>
      <c r="F888" s="33" t="str" cm="1">
        <f t="array" ref="F888">_xlfn.XLOOKUP(1,((SKUs!$A$2:$A$10001=cl_unmerged!B888) * (ISNUMBER(SEARCH("Steel-Frame",SKUs!$J$2:$J$10001)))* (ISNUMBER(SEARCH(A888,SKUs!$C$2:$C$10001)))), SKUs!$C$2:$C$10001,"")</f>
        <v/>
      </c>
      <c r="G888" s="16"/>
      <c r="H888" s="16" t="str" cm="1">
        <f t="array" ref="H888">IF(C888&lt;&gt;"", _xlfn.IFS(I888="Height",_xlfn.XLOOKUP(C888,'calc_s90&amp;138'!$C$15:$C$1000,'calc_s90&amp;138'!$BD$15:$BD$1000,"",0),  I888="Width", _xlfn.XLOOKUP(C888,'calc_s90&amp;138'!$C$15:$C$1000,'calc_s90&amp;138'!$BF$15:$BF$1000,"",0)),"")</f>
        <v/>
      </c>
      <c r="I888" s="16" t="str">
        <f t="shared" si="20"/>
        <v/>
      </c>
    </row>
    <row r="889" spans="1:9" ht="13.5" customHeight="1" x14ac:dyDescent="0.25">
      <c r="A889" s="41" t="str">
        <f>_xlfn.XLOOKUP(G889,dd_color!$A$2:$A$8,dd_color!$B$2:$B$8,"",0)</f>
        <v/>
      </c>
      <c r="B889" s="41" t="str">
        <f>_xlfn.XLOOKUP(_xlfn.XLOOKUP(C889,'Project Details'!$C$17:$C$10003,'Project Details'!$E$17:$E$10003, "",0),dd_design_raw!$A$2:$A$9997,dd_design_raw!$C$2:$C$9997,"",0)</f>
        <v/>
      </c>
      <c r="C889" s="16"/>
      <c r="D889" s="16" t="str" cm="1">
        <f t="array" ref="D889">IF(C889&lt;&gt;"", _xlfn.IFS(I889="Height",_xlfn.XLOOKUP(C889,'calc_s90&amp;138'!$C$15:$C$1000,'calc_s90&amp;138'!$BE$15:$BE$1000,"",0),  I889="Width", _xlfn.XLOOKUP(C889,'calc_s90&amp;138'!$C$15:$C$1000,'calc_s90&amp;138'!$BG$15:$BG$1000,"",0)),"")</f>
        <v/>
      </c>
      <c r="E889" s="16" t="str" cm="1">
        <f t="array" ref="E889">IF(C889&lt;&gt;"", IF(_xlfn.XLOOKUP(1,((SKUs!$A$2:$A$10001=cl_unmerged!B889) * (ISNUMBER(SEARCH("Steel-Frame",SKUs!$J$2:$J$10001)))), SKUs!$J$2:$J$10001,"")=""," Steel-Frame90",_xlfn.XLOOKUP(1,((SKUs!$A$2:$A$10001=cl_unmerged!B889) * (ISNUMBER(SEARCH("Steel-Frame",SKUs!$J$2:$J$10001)))), SKUs!$J$2:$J$10001,"")),"")  &amp; _xlfn.IFS(I889="Height", ", H",I889="Height SLI", ", H SLI", I889="Height FIX", ", H FIX",I889="Width", ", W", I889="", "")</f>
        <v/>
      </c>
      <c r="F889" s="33" t="str" cm="1">
        <f t="array" ref="F889">_xlfn.XLOOKUP(1,((SKUs!$A$2:$A$10001=cl_unmerged!B889) * (ISNUMBER(SEARCH("Steel-Frame",SKUs!$J$2:$J$10001)))* (ISNUMBER(SEARCH(A889,SKUs!$C$2:$C$10001)))), SKUs!$C$2:$C$10001,"")</f>
        <v/>
      </c>
      <c r="G889" s="16"/>
      <c r="H889" s="16" t="str" cm="1">
        <f t="array" ref="H889">IF(C889&lt;&gt;"", _xlfn.IFS(I889="Height",_xlfn.XLOOKUP(C889,'calc_s90&amp;138'!$C$15:$C$1000,'calc_s90&amp;138'!$BD$15:$BD$1000,"",0),  I889="Width", _xlfn.XLOOKUP(C889,'calc_s90&amp;138'!$C$15:$C$1000,'calc_s90&amp;138'!$BF$15:$BF$1000,"",0)),"")</f>
        <v/>
      </c>
      <c r="I889" s="16" t="str">
        <f t="shared" si="20"/>
        <v/>
      </c>
    </row>
    <row r="890" spans="1:9" ht="13.5" customHeight="1" x14ac:dyDescent="0.25">
      <c r="A890" s="41" t="str">
        <f>_xlfn.XLOOKUP(G890,dd_color!$A$2:$A$8,dd_color!$B$2:$B$8,"",0)</f>
        <v/>
      </c>
      <c r="B890" s="41" t="str">
        <f>_xlfn.XLOOKUP(_xlfn.XLOOKUP(C890,'Project Details'!$C$17:$C$10003,'Project Details'!$E$17:$E$10003, "",0),dd_design_raw!$A$2:$A$9997,dd_design_raw!$C$2:$C$9997,"",0)</f>
        <v/>
      </c>
      <c r="C890" s="16"/>
      <c r="D890" s="16" t="str" cm="1">
        <f t="array" ref="D890">IF(C890&lt;&gt;"", _xlfn.IFS(I890="Height",_xlfn.XLOOKUP(C890,'calc_s90&amp;138'!$C$15:$C$1000,'calc_s90&amp;138'!$BE$15:$BE$1000,"",0),  I890="Width", _xlfn.XLOOKUP(C890,'calc_s90&amp;138'!$C$15:$C$1000,'calc_s90&amp;138'!$BG$15:$BG$1000,"",0)),"")</f>
        <v/>
      </c>
      <c r="E890" s="16" t="str" cm="1">
        <f t="array" ref="E890">IF(C890&lt;&gt;"", IF(_xlfn.XLOOKUP(1,((SKUs!$A$2:$A$10001=cl_unmerged!B890) * (ISNUMBER(SEARCH("Steel-Frame",SKUs!$J$2:$J$10001)))), SKUs!$J$2:$J$10001,"")=""," Steel-Frame90",_xlfn.XLOOKUP(1,((SKUs!$A$2:$A$10001=cl_unmerged!B890) * (ISNUMBER(SEARCH("Steel-Frame",SKUs!$J$2:$J$10001)))), SKUs!$J$2:$J$10001,"")),"")  &amp; _xlfn.IFS(I890="Height", ", H",I890="Height SLI", ", H SLI", I890="Height FIX", ", H FIX",I890="Width", ", W", I890="", "")</f>
        <v/>
      </c>
      <c r="F890" s="33" t="str" cm="1">
        <f t="array" ref="F890">_xlfn.XLOOKUP(1,((SKUs!$A$2:$A$10001=cl_unmerged!B890) * (ISNUMBER(SEARCH("Steel-Frame",SKUs!$J$2:$J$10001)))* (ISNUMBER(SEARCH(A890,SKUs!$C$2:$C$10001)))), SKUs!$C$2:$C$10001,"")</f>
        <v/>
      </c>
      <c r="G890" s="16"/>
      <c r="H890" s="16" t="str" cm="1">
        <f t="array" ref="H890">IF(C890&lt;&gt;"", _xlfn.IFS(I890="Height",_xlfn.XLOOKUP(C890,'calc_s90&amp;138'!$C$15:$C$1000,'calc_s90&amp;138'!$BD$15:$BD$1000,"",0),  I890="Width", _xlfn.XLOOKUP(C890,'calc_s90&amp;138'!$C$15:$C$1000,'calc_s90&amp;138'!$BF$15:$BF$1000,"",0)),"")</f>
        <v/>
      </c>
      <c r="I890" s="16" t="str">
        <f t="shared" si="20"/>
        <v/>
      </c>
    </row>
    <row r="891" spans="1:9" ht="13.5" customHeight="1" x14ac:dyDescent="0.25">
      <c r="A891" s="41" t="str">
        <f>_xlfn.XLOOKUP(G891,dd_color!$A$2:$A$8,dd_color!$B$2:$B$8,"",0)</f>
        <v/>
      </c>
      <c r="B891" s="41">
        <f>_xlfn.XLOOKUP(_xlfn.XLOOKUP(C891,'Project Details'!$C$17:$C$10003,'Project Details'!$E$17:$E$10003, "",0),dd_design_raw!$A$2:$A$9997,dd_design_raw!$C$2:$C$9997,"",0)</f>
        <v>0</v>
      </c>
      <c r="C891" s="16"/>
      <c r="D891" s="16" t="str" cm="1">
        <f t="array" ref="D891">IF(C891&lt;&gt;"", _xlfn.IFS(I891="Height",_xlfn.XLOOKUP(C891,'calc_s90&amp;138'!$C$15:$C$1000,'calc_s90&amp;138'!$BE$15:$BE$1000,"",0),  I891="Width", _xlfn.XLOOKUP(C891,'calc_s90&amp;138'!$C$15:$C$1000,'calc_s90&amp;138'!$BG$15:$BG$1000,"",0)),"")</f>
        <v/>
      </c>
      <c r="E891" s="16" t="str" cm="1">
        <f t="array" ref="E891">IF(C891&lt;&gt;"", IF(_xlfn.XLOOKUP(1,((SKUs!$A$2:$A$10001=cl_unmerged!B891) * (ISNUMBER(SEARCH("Steel-Frame",SKUs!$J$2:$J$10001)))), SKUs!$J$2:$J$10001,"")=""," Steel-Frame90",_xlfn.XLOOKUP(1,((SKUs!$A$2:$A$10001=cl_unmerged!B891) * (ISNUMBER(SEARCH("Steel-Frame",SKUs!$J$2:$J$10001)))), SKUs!$J$2:$J$10001,"")),"")  &amp; _xlfn.IFS(I891="Height", ", H",I891="Height SLI", ", H SLI", I891="Height FIX", ", H FIX",I891="Width", ", W", I891="", "")</f>
        <v/>
      </c>
      <c r="F891" s="33" t="str" cm="1">
        <f t="array" ref="F891">_xlfn.XLOOKUP(1,((SKUs!$A$2:$A$10001=cl_unmerged!B891) * (ISNUMBER(SEARCH("Steel-Frame",SKUs!$J$2:$J$10001)))* (ISNUMBER(SEARCH(A891,SKUs!$C$2:$C$10001)))), SKUs!$C$2:$C$10001,"")</f>
        <v/>
      </c>
      <c r="G891" s="16"/>
      <c r="H891" s="16" t="str" cm="1">
        <f t="array" ref="H891">IF(C891&lt;&gt;"", _xlfn.IFS(I891="Height",_xlfn.XLOOKUP(C891,'calc_s90&amp;138'!$C$15:$C$1000,'calc_s90&amp;138'!$BD$15:$BD$1000,"",0),  I891="Width", _xlfn.XLOOKUP(C891,'calc_s90&amp;138'!$C$15:$C$1000,'calc_s90&amp;138'!$BF$15:$BF$1000,"",0)),"")</f>
        <v/>
      </c>
      <c r="I891" s="16" t="str">
        <f t="shared" si="20"/>
        <v/>
      </c>
    </row>
    <row r="892" spans="1:9" ht="13.5" customHeight="1" x14ac:dyDescent="0.25">
      <c r="A892" s="41" t="str">
        <f>_xlfn.XLOOKUP(G892,dd_color!$A$2:$A$8,dd_color!$B$2:$B$8,"",0)</f>
        <v/>
      </c>
      <c r="B892" s="41" t="str">
        <f>_xlfn.XLOOKUP(_xlfn.XLOOKUP(C892,'Project Details'!$C$17:$C$10003,'Project Details'!$E$17:$E$10003, "",0),dd_design_raw!$A$2:$A$9997,dd_design_raw!$C$2:$C$9997,"",0)</f>
        <v/>
      </c>
      <c r="C892" s="16"/>
      <c r="D892" s="16" t="str" cm="1">
        <f t="array" ref="D892">IF(C892&lt;&gt;"", _xlfn.IFS(I892="Height",_xlfn.XLOOKUP(C892,'calc_s90&amp;138'!$C$15:$C$1000,'calc_s90&amp;138'!$BE$15:$BE$1000,"",0),  I892="Width", _xlfn.XLOOKUP(C892,'calc_s90&amp;138'!$C$15:$C$1000,'calc_s90&amp;138'!$BG$15:$BG$1000,"",0)),"")</f>
        <v/>
      </c>
      <c r="E892" s="16" t="str" cm="1">
        <f t="array" ref="E892">IF(C892&lt;&gt;"", IF(_xlfn.XLOOKUP(1,((SKUs!$A$2:$A$10001=cl_unmerged!B892) * (ISNUMBER(SEARCH("Steel-Frame",SKUs!$J$2:$J$10001)))), SKUs!$J$2:$J$10001,"")=""," Steel-Frame90",_xlfn.XLOOKUP(1,((SKUs!$A$2:$A$10001=cl_unmerged!B892) * (ISNUMBER(SEARCH("Steel-Frame",SKUs!$J$2:$J$10001)))), SKUs!$J$2:$J$10001,"")),"")  &amp; _xlfn.IFS(I892="Height", ", H",I892="Height SLI", ", H SLI", I892="Height FIX", ", H FIX",I892="Width", ", W", I892="", "")</f>
        <v/>
      </c>
      <c r="F892" s="33" t="str" cm="1">
        <f t="array" ref="F892">_xlfn.XLOOKUP(1,((SKUs!$A$2:$A$10001=cl_unmerged!B892) * (ISNUMBER(SEARCH("Steel-Frame",SKUs!$J$2:$J$10001)))* (ISNUMBER(SEARCH(A892,SKUs!$C$2:$C$10001)))), SKUs!$C$2:$C$10001,"")</f>
        <v/>
      </c>
      <c r="G892" s="16"/>
      <c r="H892" s="16" t="str" cm="1">
        <f t="array" ref="H892">IF(C892&lt;&gt;"", _xlfn.IFS(I892="Height",_xlfn.XLOOKUP(C892,'calc_s90&amp;138'!$C$15:$C$1000,'calc_s90&amp;138'!$BD$15:$BD$1000,"",0),  I892="Width", _xlfn.XLOOKUP(C892,'calc_s90&amp;138'!$C$15:$C$1000,'calc_s90&amp;138'!$BF$15:$BF$1000,"",0)),"")</f>
        <v/>
      </c>
      <c r="I892" s="16" t="str">
        <f t="shared" si="20"/>
        <v/>
      </c>
    </row>
    <row r="893" spans="1:9" ht="13.5" customHeight="1" x14ac:dyDescent="0.25">
      <c r="A893" s="41" t="str">
        <f>_xlfn.XLOOKUP(G893,dd_color!$A$2:$A$8,dd_color!$B$2:$B$8,"",0)</f>
        <v/>
      </c>
      <c r="B893" s="41">
        <f>_xlfn.XLOOKUP(_xlfn.XLOOKUP(C893,'Project Details'!$C$17:$C$10003,'Project Details'!$E$17:$E$10003, "",0),dd_design_raw!$A$2:$A$9997,dd_design_raw!$C$2:$C$9997,"",0)</f>
        <v>0</v>
      </c>
      <c r="C893" s="16"/>
      <c r="D893" s="16" t="str" cm="1">
        <f t="array" ref="D893">IF(C893&lt;&gt;"", _xlfn.IFS(I893="Height",_xlfn.XLOOKUP(C893,'calc_s90&amp;138'!$C$15:$C$1000,'calc_s90&amp;138'!$BE$15:$BE$1000,"",0),  I893="Width", _xlfn.XLOOKUP(C893,'calc_s90&amp;138'!$C$15:$C$1000,'calc_s90&amp;138'!$BG$15:$BG$1000,"",0)),"")</f>
        <v/>
      </c>
      <c r="E893" s="16" t="str" cm="1">
        <f t="array" ref="E893">IF(C893&lt;&gt;"", IF(_xlfn.XLOOKUP(1,((SKUs!$A$2:$A$10001=cl_unmerged!B893) * (ISNUMBER(SEARCH("Steel-Frame",SKUs!$J$2:$J$10001)))), SKUs!$J$2:$J$10001,"")=""," Steel-Frame90",_xlfn.XLOOKUP(1,((SKUs!$A$2:$A$10001=cl_unmerged!B893) * (ISNUMBER(SEARCH("Steel-Frame",SKUs!$J$2:$J$10001)))), SKUs!$J$2:$J$10001,"")),"")  &amp; _xlfn.IFS(I893="Height", ", H",I893="Height SLI", ", H SLI", I893="Height FIX", ", H FIX",I893="Width", ", W", I893="", "")</f>
        <v/>
      </c>
      <c r="F893" s="33" t="str" cm="1">
        <f t="array" ref="F893">_xlfn.XLOOKUP(1,((SKUs!$A$2:$A$10001=cl_unmerged!B893) * (ISNUMBER(SEARCH("Steel-Frame",SKUs!$J$2:$J$10001)))* (ISNUMBER(SEARCH(A893,SKUs!$C$2:$C$10001)))), SKUs!$C$2:$C$10001,"")</f>
        <v/>
      </c>
      <c r="G893" s="16"/>
      <c r="H893" s="16" t="str" cm="1">
        <f t="array" ref="H893">IF(C893&lt;&gt;"", _xlfn.IFS(I893="Height",_xlfn.XLOOKUP(C893,'calc_s90&amp;138'!$C$15:$C$1000,'calc_s90&amp;138'!$BD$15:$BD$1000,"",0),  I893="Width", _xlfn.XLOOKUP(C893,'calc_s90&amp;138'!$C$15:$C$1000,'calc_s90&amp;138'!$BF$15:$BF$1000,"",0)),"")</f>
        <v/>
      </c>
      <c r="I893" s="16" t="str">
        <f t="shared" si="20"/>
        <v/>
      </c>
    </row>
    <row r="894" spans="1:9" ht="13.5" customHeight="1" x14ac:dyDescent="0.25">
      <c r="A894" s="41" t="str">
        <f>_xlfn.XLOOKUP(G894,dd_color!$A$2:$A$8,dd_color!$B$2:$B$8,"",0)</f>
        <v/>
      </c>
      <c r="B894" s="41">
        <f>_xlfn.XLOOKUP(_xlfn.XLOOKUP(C894,'Project Details'!$C$17:$C$10003,'Project Details'!$E$17:$E$10003, "",0),dd_design_raw!$A$2:$A$9997,dd_design_raw!$C$2:$C$9997,"",0)</f>
        <v>0</v>
      </c>
      <c r="C894" s="16"/>
      <c r="D894" s="16" t="str" cm="1">
        <f t="array" ref="D894">IF(C894&lt;&gt;"", _xlfn.IFS(I894="Height",_xlfn.XLOOKUP(C894,'calc_s90&amp;138'!$C$15:$C$1000,'calc_s90&amp;138'!$BE$15:$BE$1000,"",0),  I894="Width", _xlfn.XLOOKUP(C894,'calc_s90&amp;138'!$C$15:$C$1000,'calc_s90&amp;138'!$BG$15:$BG$1000,"",0)),"")</f>
        <v/>
      </c>
      <c r="E894" s="16" t="str" cm="1">
        <f t="array" ref="E894">IF(C894&lt;&gt;"", IF(_xlfn.XLOOKUP(1,((SKUs!$A$2:$A$10001=cl_unmerged!B894) * (ISNUMBER(SEARCH("Steel-Frame",SKUs!$J$2:$J$10001)))), SKUs!$J$2:$J$10001,"")=""," Steel-Frame90",_xlfn.XLOOKUP(1,((SKUs!$A$2:$A$10001=cl_unmerged!B894) * (ISNUMBER(SEARCH("Steel-Frame",SKUs!$J$2:$J$10001)))), SKUs!$J$2:$J$10001,"")),"")  &amp; _xlfn.IFS(I894="Height", ", H",I894="Height SLI", ", H SLI", I894="Height FIX", ", H FIX",I894="Width", ", W", I894="", "")</f>
        <v/>
      </c>
      <c r="F894" s="33" t="str" cm="1">
        <f t="array" ref="F894">_xlfn.XLOOKUP(1,((SKUs!$A$2:$A$10001=cl_unmerged!B894) * (ISNUMBER(SEARCH("Steel-Frame",SKUs!$J$2:$J$10001)))* (ISNUMBER(SEARCH(A894,SKUs!$C$2:$C$10001)))), SKUs!$C$2:$C$10001,"")</f>
        <v/>
      </c>
      <c r="G894" s="16"/>
      <c r="H894" s="16" t="str" cm="1">
        <f t="array" ref="H894">IF(C894&lt;&gt;"", _xlfn.IFS(I894="Height",_xlfn.XLOOKUP(C894,'calc_s90&amp;138'!$C$15:$C$1000,'calc_s90&amp;138'!$BD$15:$BD$1000,"",0),  I894="Width", _xlfn.XLOOKUP(C894,'calc_s90&amp;138'!$C$15:$C$1000,'calc_s90&amp;138'!$BF$15:$BF$1000,"",0)),"")</f>
        <v/>
      </c>
      <c r="I894" s="16" t="str">
        <f t="shared" si="20"/>
        <v/>
      </c>
    </row>
    <row r="895" spans="1:9" ht="13.5" customHeight="1" x14ac:dyDescent="0.25">
      <c r="A895" s="41" t="str">
        <f>_xlfn.XLOOKUP(G895,dd_color!$A$2:$A$8,dd_color!$B$2:$B$8,"",0)</f>
        <v/>
      </c>
      <c r="B895" s="41">
        <f>_xlfn.XLOOKUP(_xlfn.XLOOKUP(C895,'Project Details'!$C$17:$C$10003,'Project Details'!$E$17:$E$10003, "",0),dd_design_raw!$A$2:$A$9997,dd_design_raw!$C$2:$C$9997,"",0)</f>
        <v>0</v>
      </c>
      <c r="C895" s="16"/>
      <c r="D895" s="16" t="str" cm="1">
        <f t="array" ref="D895">IF(C895&lt;&gt;"", _xlfn.IFS(I895="Height",_xlfn.XLOOKUP(C895,'calc_s90&amp;138'!$C$15:$C$1000,'calc_s90&amp;138'!$BE$15:$BE$1000,"",0),  I895="Width", _xlfn.XLOOKUP(C895,'calc_s90&amp;138'!$C$15:$C$1000,'calc_s90&amp;138'!$BG$15:$BG$1000,"",0)),"")</f>
        <v/>
      </c>
      <c r="E895" s="16" t="str" cm="1">
        <f t="array" ref="E895">IF(C895&lt;&gt;"", IF(_xlfn.XLOOKUP(1,((SKUs!$A$2:$A$10001=cl_unmerged!B895) * (ISNUMBER(SEARCH("Steel-Frame",SKUs!$J$2:$J$10001)))), SKUs!$J$2:$J$10001,"")=""," Steel-Frame90",_xlfn.XLOOKUP(1,((SKUs!$A$2:$A$10001=cl_unmerged!B895) * (ISNUMBER(SEARCH("Steel-Frame",SKUs!$J$2:$J$10001)))), SKUs!$J$2:$J$10001,"")),"")  &amp; _xlfn.IFS(I895="Height", ", H",I895="Height SLI", ", H SLI", I895="Height FIX", ", H FIX",I895="Width", ", W", I895="", "")</f>
        <v/>
      </c>
      <c r="F895" s="33" t="str" cm="1">
        <f t="array" ref="F895">_xlfn.XLOOKUP(1,((SKUs!$A$2:$A$10001=cl_unmerged!B895) * (ISNUMBER(SEARCH("Steel-Frame",SKUs!$J$2:$J$10001)))* (ISNUMBER(SEARCH(A895,SKUs!$C$2:$C$10001)))), SKUs!$C$2:$C$10001,"")</f>
        <v/>
      </c>
      <c r="G895" s="16"/>
      <c r="H895" s="16" t="str" cm="1">
        <f t="array" ref="H895">IF(C895&lt;&gt;"", _xlfn.IFS(I895="Height",_xlfn.XLOOKUP(C895,'calc_s90&amp;138'!$C$15:$C$1000,'calc_s90&amp;138'!$BD$15:$BD$1000,"",0),  I895="Width", _xlfn.XLOOKUP(C895,'calc_s90&amp;138'!$C$15:$C$1000,'calc_s90&amp;138'!$BF$15:$BF$1000,"",0)),"")</f>
        <v/>
      </c>
      <c r="I895" s="16" t="str">
        <f t="shared" si="20"/>
        <v/>
      </c>
    </row>
    <row r="896" spans="1:9" ht="13.5" customHeight="1" x14ac:dyDescent="0.25">
      <c r="A896" s="41" t="str">
        <f>_xlfn.XLOOKUP(G896,dd_color!$A$2:$A$8,dd_color!$B$2:$B$8,"",0)</f>
        <v/>
      </c>
      <c r="B896" s="41" t="str">
        <f>_xlfn.XLOOKUP(_xlfn.XLOOKUP(C896,'Project Details'!$C$17:$C$10003,'Project Details'!$E$17:$E$10003, "",0),dd_design_raw!$A$2:$A$9997,dd_design_raw!$C$2:$C$9997,"",0)</f>
        <v/>
      </c>
      <c r="C896" s="16"/>
      <c r="D896" s="16" t="str" cm="1">
        <f t="array" ref="D896">IF(C896&lt;&gt;"", _xlfn.IFS(I896="Height",_xlfn.XLOOKUP(C896,'calc_s90&amp;138'!$C$15:$C$1000,'calc_s90&amp;138'!$BE$15:$BE$1000,"",0),  I896="Width", _xlfn.XLOOKUP(C896,'calc_s90&amp;138'!$C$15:$C$1000,'calc_s90&amp;138'!$BG$15:$BG$1000,"",0)),"")</f>
        <v/>
      </c>
      <c r="E896" s="16" t="str" cm="1">
        <f t="array" ref="E896">IF(C896&lt;&gt;"", IF(_xlfn.XLOOKUP(1,((SKUs!$A$2:$A$10001=cl_unmerged!B896) * (ISNUMBER(SEARCH("Steel-Frame",SKUs!$J$2:$J$10001)))), SKUs!$J$2:$J$10001,"")=""," Steel-Frame90",_xlfn.XLOOKUP(1,((SKUs!$A$2:$A$10001=cl_unmerged!B896) * (ISNUMBER(SEARCH("Steel-Frame",SKUs!$J$2:$J$10001)))), SKUs!$J$2:$J$10001,"")),"")  &amp; _xlfn.IFS(I896="Height", ", H",I896="Height SLI", ", H SLI", I896="Height FIX", ", H FIX",I896="Width", ", W", I896="", "")</f>
        <v/>
      </c>
      <c r="F896" s="33" t="str" cm="1">
        <f t="array" ref="F896">_xlfn.XLOOKUP(1,((SKUs!$A$2:$A$10001=cl_unmerged!B896) * (ISNUMBER(SEARCH("Steel-Frame",SKUs!$J$2:$J$10001)))* (ISNUMBER(SEARCH(A896,SKUs!$C$2:$C$10001)))), SKUs!$C$2:$C$10001,"")</f>
        <v/>
      </c>
      <c r="G896" s="16"/>
      <c r="H896" s="16" t="str" cm="1">
        <f t="array" ref="H896">IF(C896&lt;&gt;"", _xlfn.IFS(I896="Height",_xlfn.XLOOKUP(C896,'calc_s90&amp;138'!$C$15:$C$1000,'calc_s90&amp;138'!$BD$15:$BD$1000,"",0),  I896="Width", _xlfn.XLOOKUP(C896,'calc_s90&amp;138'!$C$15:$C$1000,'calc_s90&amp;138'!$BF$15:$BF$1000,"",0)),"")</f>
        <v/>
      </c>
      <c r="I896" s="16" t="str">
        <f t="shared" si="20"/>
        <v/>
      </c>
    </row>
    <row r="897" spans="1:9" ht="13.5" customHeight="1" x14ac:dyDescent="0.25">
      <c r="A897" s="41" t="str">
        <f>_xlfn.XLOOKUP(G897,dd_color!$A$2:$A$8,dd_color!$B$2:$B$8,"",0)</f>
        <v/>
      </c>
      <c r="B897" s="41">
        <f>_xlfn.XLOOKUP(_xlfn.XLOOKUP(C897,'Project Details'!$C$17:$C$10003,'Project Details'!$E$17:$E$10003, "",0),dd_design_raw!$A$2:$A$9997,dd_design_raw!$C$2:$C$9997,"",0)</f>
        <v>0</v>
      </c>
      <c r="C897" s="16"/>
      <c r="D897" s="16" t="str" cm="1">
        <f t="array" ref="D897">IF(C897&lt;&gt;"", _xlfn.IFS(I897="Height",_xlfn.XLOOKUP(C897,'calc_s90&amp;138'!$C$15:$C$1000,'calc_s90&amp;138'!$BE$15:$BE$1000,"",0),  I897="Width", _xlfn.XLOOKUP(C897,'calc_s90&amp;138'!$C$15:$C$1000,'calc_s90&amp;138'!$BG$15:$BG$1000,"",0)),"")</f>
        <v/>
      </c>
      <c r="E897" s="16" t="str" cm="1">
        <f t="array" ref="E897">IF(C897&lt;&gt;"", IF(_xlfn.XLOOKUP(1,((SKUs!$A$2:$A$10001=cl_unmerged!B897) * (ISNUMBER(SEARCH("Steel-Frame",SKUs!$J$2:$J$10001)))), SKUs!$J$2:$J$10001,"")=""," Steel-Frame90",_xlfn.XLOOKUP(1,((SKUs!$A$2:$A$10001=cl_unmerged!B897) * (ISNUMBER(SEARCH("Steel-Frame",SKUs!$J$2:$J$10001)))), SKUs!$J$2:$J$10001,"")),"")  &amp; _xlfn.IFS(I897="Height", ", H",I897="Height SLI", ", H SLI", I897="Height FIX", ", H FIX",I897="Width", ", W", I897="", "")</f>
        <v/>
      </c>
      <c r="F897" s="33" t="str" cm="1">
        <f t="array" ref="F897">_xlfn.XLOOKUP(1,((SKUs!$A$2:$A$10001=cl_unmerged!B897) * (ISNUMBER(SEARCH("Steel-Frame",SKUs!$J$2:$J$10001)))* (ISNUMBER(SEARCH(A897,SKUs!$C$2:$C$10001)))), SKUs!$C$2:$C$10001,"")</f>
        <v/>
      </c>
      <c r="G897" s="16"/>
      <c r="H897" s="16" t="str" cm="1">
        <f t="array" ref="H897">IF(C897&lt;&gt;"", _xlfn.IFS(I897="Height",_xlfn.XLOOKUP(C897,'calc_s90&amp;138'!$C$15:$C$1000,'calc_s90&amp;138'!$BD$15:$BD$1000,"",0),  I897="Width", _xlfn.XLOOKUP(C897,'calc_s90&amp;138'!$C$15:$C$1000,'calc_s90&amp;138'!$BF$15:$BF$1000,"",0)),"")</f>
        <v/>
      </c>
      <c r="I897" s="16" t="str">
        <f t="shared" si="20"/>
        <v/>
      </c>
    </row>
    <row r="898" spans="1:9" ht="13.5" customHeight="1" x14ac:dyDescent="0.25">
      <c r="A898" s="41" t="str">
        <f>_xlfn.XLOOKUP(G898,dd_color!$A$2:$A$8,dd_color!$B$2:$B$8,"",0)</f>
        <v/>
      </c>
      <c r="B898" s="41" t="str">
        <f>_xlfn.XLOOKUP(_xlfn.XLOOKUP(C898,'Project Details'!$C$17:$C$10003,'Project Details'!$E$17:$E$10003, "",0),dd_design_raw!$A$2:$A$9997,dd_design_raw!$C$2:$C$9997,"",0)</f>
        <v/>
      </c>
      <c r="C898" s="16"/>
      <c r="D898" s="16" t="str" cm="1">
        <f t="array" ref="D898">IF(C898&lt;&gt;"", _xlfn.IFS(I898="Height",_xlfn.XLOOKUP(C898,'calc_s90&amp;138'!$C$15:$C$1000,'calc_s90&amp;138'!$BE$15:$BE$1000,"",0),  I898="Width", _xlfn.XLOOKUP(C898,'calc_s90&amp;138'!$C$15:$C$1000,'calc_s90&amp;138'!$BG$15:$BG$1000,"",0)),"")</f>
        <v/>
      </c>
      <c r="E898" s="16" t="str" cm="1">
        <f t="array" ref="E898">IF(C898&lt;&gt;"", IF(_xlfn.XLOOKUP(1,((SKUs!$A$2:$A$10001=cl_unmerged!B898) * (ISNUMBER(SEARCH("Steel-Frame",SKUs!$J$2:$J$10001)))), SKUs!$J$2:$J$10001,"")=""," Steel-Frame90",_xlfn.XLOOKUP(1,((SKUs!$A$2:$A$10001=cl_unmerged!B898) * (ISNUMBER(SEARCH("Steel-Frame",SKUs!$J$2:$J$10001)))), SKUs!$J$2:$J$10001,"")),"")  &amp; _xlfn.IFS(I898="Height", ", H",I898="Height SLI", ", H SLI", I898="Height FIX", ", H FIX",I898="Width", ", W", I898="", "")</f>
        <v/>
      </c>
      <c r="F898" s="33" t="str" cm="1">
        <f t="array" ref="F898">_xlfn.XLOOKUP(1,((SKUs!$A$2:$A$10001=cl_unmerged!B898) * (ISNUMBER(SEARCH("Steel-Frame",SKUs!$J$2:$J$10001)))* (ISNUMBER(SEARCH(A898,SKUs!$C$2:$C$10001)))), SKUs!$C$2:$C$10001,"")</f>
        <v/>
      </c>
      <c r="G898" s="16"/>
      <c r="H898" s="16" t="str" cm="1">
        <f t="array" ref="H898">IF(C898&lt;&gt;"", _xlfn.IFS(I898="Height",_xlfn.XLOOKUP(C898,'calc_s90&amp;138'!$C$15:$C$1000,'calc_s90&amp;138'!$BD$15:$BD$1000,"",0),  I898="Width", _xlfn.XLOOKUP(C898,'calc_s90&amp;138'!$C$15:$C$1000,'calc_s90&amp;138'!$BF$15:$BF$1000,"",0)),"")</f>
        <v/>
      </c>
      <c r="I898" s="16" t="str">
        <f t="shared" si="20"/>
        <v/>
      </c>
    </row>
    <row r="899" spans="1:9" ht="13.5" customHeight="1" x14ac:dyDescent="0.25">
      <c r="A899" s="41" t="str">
        <f>_xlfn.XLOOKUP(G899,dd_color!$A$2:$A$8,dd_color!$B$2:$B$8,"",0)</f>
        <v/>
      </c>
      <c r="B899" s="41">
        <f>_xlfn.XLOOKUP(_xlfn.XLOOKUP(C899,'Project Details'!$C$17:$C$10003,'Project Details'!$E$17:$E$10003, "",0),dd_design_raw!$A$2:$A$9997,dd_design_raw!$C$2:$C$9997,"",0)</f>
        <v>0</v>
      </c>
      <c r="C899" s="16"/>
      <c r="D899" s="16" t="str" cm="1">
        <f t="array" ref="D899">IF(C899&lt;&gt;"", _xlfn.IFS(I899="Height",_xlfn.XLOOKUP(C899,'calc_s90&amp;138'!$C$15:$C$1000,'calc_s90&amp;138'!$BE$15:$BE$1000,"",0),  I899="Width", _xlfn.XLOOKUP(C899,'calc_s90&amp;138'!$C$15:$C$1000,'calc_s90&amp;138'!$BG$15:$BG$1000,"",0)),"")</f>
        <v/>
      </c>
      <c r="E899" s="16" t="str" cm="1">
        <f t="array" ref="E899">IF(C899&lt;&gt;"", IF(_xlfn.XLOOKUP(1,((SKUs!$A$2:$A$10001=cl_unmerged!B899) * (ISNUMBER(SEARCH("Steel-Frame",SKUs!$J$2:$J$10001)))), SKUs!$J$2:$J$10001,"")=""," Steel-Frame90",_xlfn.XLOOKUP(1,((SKUs!$A$2:$A$10001=cl_unmerged!B899) * (ISNUMBER(SEARCH("Steel-Frame",SKUs!$J$2:$J$10001)))), SKUs!$J$2:$J$10001,"")),"")  &amp; _xlfn.IFS(I899="Height", ", H",I899="Height SLI", ", H SLI", I899="Height FIX", ", H FIX",I899="Width", ", W", I899="", "")</f>
        <v/>
      </c>
      <c r="F899" s="33" t="str" cm="1">
        <f t="array" ref="F899">_xlfn.XLOOKUP(1,((SKUs!$A$2:$A$10001=cl_unmerged!B899) * (ISNUMBER(SEARCH("Steel-Frame",SKUs!$J$2:$J$10001)))* (ISNUMBER(SEARCH(A899,SKUs!$C$2:$C$10001)))), SKUs!$C$2:$C$10001,"")</f>
        <v/>
      </c>
      <c r="G899" s="16"/>
      <c r="H899" s="16" t="str" cm="1">
        <f t="array" ref="H899">IF(C899&lt;&gt;"", _xlfn.IFS(I899="Height",_xlfn.XLOOKUP(C899,'calc_s90&amp;138'!$C$15:$C$1000,'calc_s90&amp;138'!$BD$15:$BD$1000,"",0),  I899="Width", _xlfn.XLOOKUP(C899,'calc_s90&amp;138'!$C$15:$C$1000,'calc_s90&amp;138'!$BF$15:$BF$1000,"",0)),"")</f>
        <v/>
      </c>
      <c r="I899" s="16" t="str">
        <f t="shared" si="20"/>
        <v/>
      </c>
    </row>
    <row r="900" spans="1:9" ht="13.5" customHeight="1" x14ac:dyDescent="0.25">
      <c r="A900" s="41" t="str">
        <f>_xlfn.XLOOKUP(G900,dd_color!$A$2:$A$8,dd_color!$B$2:$B$8,"",0)</f>
        <v/>
      </c>
      <c r="B900" s="41" t="str">
        <f>_xlfn.XLOOKUP(_xlfn.XLOOKUP(C900,'Project Details'!$C$17:$C$10003,'Project Details'!$E$17:$E$10003, "",0),dd_design_raw!$A$2:$A$9997,dd_design_raw!$C$2:$C$9997,"",0)</f>
        <v/>
      </c>
      <c r="C900" s="16"/>
      <c r="D900" s="16" t="str" cm="1">
        <f t="array" ref="D900">IF(C900&lt;&gt;"", _xlfn.IFS(I900="Height",_xlfn.XLOOKUP(C900,'calc_s90&amp;138'!$C$15:$C$1000,'calc_s90&amp;138'!$BE$15:$BE$1000,"",0),  I900="Width", _xlfn.XLOOKUP(C900,'calc_s90&amp;138'!$C$15:$C$1000,'calc_s90&amp;138'!$BG$15:$BG$1000,"",0)),"")</f>
        <v/>
      </c>
      <c r="E900" s="16" t="str" cm="1">
        <f t="array" ref="E900">IF(C900&lt;&gt;"", IF(_xlfn.XLOOKUP(1,((SKUs!$A$2:$A$10001=cl_unmerged!B900) * (ISNUMBER(SEARCH("Steel-Frame",SKUs!$J$2:$J$10001)))), SKUs!$J$2:$J$10001,"")=""," Steel-Frame90",_xlfn.XLOOKUP(1,((SKUs!$A$2:$A$10001=cl_unmerged!B900) * (ISNUMBER(SEARCH("Steel-Frame",SKUs!$J$2:$J$10001)))), SKUs!$J$2:$J$10001,"")),"")  &amp; _xlfn.IFS(I900="Height", ", H",I900="Height SLI", ", H SLI", I900="Height FIX", ", H FIX",I900="Width", ", W", I900="", "")</f>
        <v/>
      </c>
      <c r="F900" s="33" t="str" cm="1">
        <f t="array" ref="F900">_xlfn.XLOOKUP(1,((SKUs!$A$2:$A$10001=cl_unmerged!B900) * (ISNUMBER(SEARCH("Steel-Frame",SKUs!$J$2:$J$10001)))* (ISNUMBER(SEARCH(A900,SKUs!$C$2:$C$10001)))), SKUs!$C$2:$C$10001,"")</f>
        <v/>
      </c>
      <c r="G900" s="16"/>
      <c r="H900" s="16" t="str" cm="1">
        <f t="array" ref="H900">IF(C900&lt;&gt;"", _xlfn.IFS(I900="Height",_xlfn.XLOOKUP(C900,'calc_s90&amp;138'!$C$15:$C$1000,'calc_s90&amp;138'!$BD$15:$BD$1000,"",0),  I900="Width", _xlfn.XLOOKUP(C900,'calc_s90&amp;138'!$C$15:$C$1000,'calc_s90&amp;138'!$BF$15:$BF$1000,"",0)),"")</f>
        <v/>
      </c>
      <c r="I900" s="16" t="str">
        <f t="shared" si="20"/>
        <v/>
      </c>
    </row>
    <row r="901" spans="1:9" ht="13.5" customHeight="1" x14ac:dyDescent="0.25">
      <c r="A901" s="41" t="str">
        <f>_xlfn.XLOOKUP(G901,dd_color!$A$2:$A$8,dd_color!$B$2:$B$8,"",0)</f>
        <v/>
      </c>
      <c r="B901" s="41" t="str">
        <f>_xlfn.XLOOKUP(_xlfn.XLOOKUP(C901,'Project Details'!$C$17:$C$10003,'Project Details'!$E$17:$E$10003, "",0),dd_design_raw!$A$2:$A$9997,dd_design_raw!$C$2:$C$9997,"",0)</f>
        <v/>
      </c>
      <c r="C901" s="16"/>
      <c r="D901" s="16" t="str" cm="1">
        <f t="array" ref="D901">IF(C901&lt;&gt;"", _xlfn.IFS(I901="Height",_xlfn.XLOOKUP(C901,'calc_s90&amp;138'!$C$15:$C$1000,'calc_s90&amp;138'!$BE$15:$BE$1000,"",0),  I901="Width", _xlfn.XLOOKUP(C901,'calc_s90&amp;138'!$C$15:$C$1000,'calc_s90&amp;138'!$BG$15:$BG$1000,"",0)),"")</f>
        <v/>
      </c>
      <c r="E901" s="16" t="str" cm="1">
        <f t="array" ref="E901">IF(C901&lt;&gt;"", IF(_xlfn.XLOOKUP(1,((SKUs!$A$2:$A$10001=cl_unmerged!B901) * (ISNUMBER(SEARCH("Steel-Frame",SKUs!$J$2:$J$10001)))), SKUs!$J$2:$J$10001,"")=""," Steel-Frame90",_xlfn.XLOOKUP(1,((SKUs!$A$2:$A$10001=cl_unmerged!B901) * (ISNUMBER(SEARCH("Steel-Frame",SKUs!$J$2:$J$10001)))), SKUs!$J$2:$J$10001,"")),"")  &amp; _xlfn.IFS(I901="Height", ", H",I901="Height SLI", ", H SLI", I901="Height FIX", ", H FIX",I901="Width", ", W", I901="", "")</f>
        <v/>
      </c>
      <c r="F901" s="33" t="str" cm="1">
        <f t="array" ref="F901">_xlfn.XLOOKUP(1,((SKUs!$A$2:$A$10001=cl_unmerged!B901) * (ISNUMBER(SEARCH("Steel-Frame",SKUs!$J$2:$J$10001)))* (ISNUMBER(SEARCH(A901,SKUs!$C$2:$C$10001)))), SKUs!$C$2:$C$10001,"")</f>
        <v/>
      </c>
      <c r="G901" s="16"/>
      <c r="H901" s="16" t="str" cm="1">
        <f t="array" ref="H901">IF(C901&lt;&gt;"", _xlfn.IFS(I901="Height",_xlfn.XLOOKUP(C901,'calc_s90&amp;138'!$C$15:$C$1000,'calc_s90&amp;138'!$BD$15:$BD$1000,"",0),  I901="Width", _xlfn.XLOOKUP(C901,'calc_s90&amp;138'!$C$15:$C$1000,'calc_s90&amp;138'!$BF$15:$BF$1000,"",0)),"")</f>
        <v/>
      </c>
      <c r="I901" s="16" t="str">
        <f t="shared" si="20"/>
        <v/>
      </c>
    </row>
    <row r="902" spans="1:9" ht="13.5" customHeight="1" x14ac:dyDescent="0.25">
      <c r="A902" s="41" t="str">
        <f>_xlfn.XLOOKUP(G902,dd_color!$A$2:$A$8,dd_color!$B$2:$B$8,"",0)</f>
        <v/>
      </c>
      <c r="B902" s="41" t="str">
        <f>_xlfn.XLOOKUP(_xlfn.XLOOKUP(C902,'Project Details'!$C$17:$C$10003,'Project Details'!$E$17:$E$10003, "",0),dd_design_raw!$A$2:$A$9997,dd_design_raw!$C$2:$C$9997,"",0)</f>
        <v/>
      </c>
      <c r="C902" s="16"/>
      <c r="D902" s="16" t="str" cm="1">
        <f t="array" ref="D902">IF(C902&lt;&gt;"", _xlfn.IFS(I902="Height",_xlfn.XLOOKUP(C902,'calc_s90&amp;138'!$C$15:$C$1000,'calc_s90&amp;138'!$BE$15:$BE$1000,"",0),  I902="Width", _xlfn.XLOOKUP(C902,'calc_s90&amp;138'!$C$15:$C$1000,'calc_s90&amp;138'!$BG$15:$BG$1000,"",0)),"")</f>
        <v/>
      </c>
      <c r="E902" s="16" t="str" cm="1">
        <f t="array" ref="E902">IF(C902&lt;&gt;"", IF(_xlfn.XLOOKUP(1,((SKUs!$A$2:$A$10001=cl_unmerged!B902) * (ISNUMBER(SEARCH("Steel-Frame",SKUs!$J$2:$J$10001)))), SKUs!$J$2:$J$10001,"")=""," Steel-Frame90",_xlfn.XLOOKUP(1,((SKUs!$A$2:$A$10001=cl_unmerged!B902) * (ISNUMBER(SEARCH("Steel-Frame",SKUs!$J$2:$J$10001)))), SKUs!$J$2:$J$10001,"")),"")  &amp; _xlfn.IFS(I902="Height", ", H",I902="Height SLI", ", H SLI", I902="Height FIX", ", H FIX",I902="Width", ", W", I902="", "")</f>
        <v/>
      </c>
      <c r="F902" s="33" t="str" cm="1">
        <f t="array" ref="F902">_xlfn.XLOOKUP(1,((SKUs!$A$2:$A$10001=cl_unmerged!B902) * (ISNUMBER(SEARCH("Steel-Frame",SKUs!$J$2:$J$10001)))* (ISNUMBER(SEARCH(A902,SKUs!$C$2:$C$10001)))), SKUs!$C$2:$C$10001,"")</f>
        <v/>
      </c>
      <c r="G902" s="16"/>
      <c r="H902" s="16" t="str" cm="1">
        <f t="array" ref="H902">IF(C902&lt;&gt;"", _xlfn.IFS(I902="Height",_xlfn.XLOOKUP(C902,'calc_s90&amp;138'!$C$15:$C$1000,'calc_s90&amp;138'!$BD$15:$BD$1000,"",0),  I902="Width", _xlfn.XLOOKUP(C902,'calc_s90&amp;138'!$C$15:$C$1000,'calc_s90&amp;138'!$BF$15:$BF$1000,"",0)),"")</f>
        <v/>
      </c>
      <c r="I902" s="16" t="str">
        <f t="shared" si="20"/>
        <v/>
      </c>
    </row>
    <row r="903" spans="1:9" ht="13.5" customHeight="1" x14ac:dyDescent="0.25">
      <c r="A903" s="41" t="str">
        <f>_xlfn.XLOOKUP(G903,dd_color!$A$2:$A$8,dd_color!$B$2:$B$8,"",0)</f>
        <v/>
      </c>
      <c r="B903" s="41" t="str">
        <f>_xlfn.XLOOKUP(_xlfn.XLOOKUP(C903,'Project Details'!$C$17:$C$10003,'Project Details'!$E$17:$E$10003, "",0),dd_design_raw!$A$2:$A$9997,dd_design_raw!$C$2:$C$9997,"",0)</f>
        <v/>
      </c>
      <c r="C903" s="16"/>
      <c r="D903" s="16" t="str" cm="1">
        <f t="array" ref="D903">IF(C903&lt;&gt;"", _xlfn.IFS(I903="Height",_xlfn.XLOOKUP(C903,'calc_s90&amp;138'!$C$15:$C$1000,'calc_s90&amp;138'!$BE$15:$BE$1000,"",0),  I903="Width", _xlfn.XLOOKUP(C903,'calc_s90&amp;138'!$C$15:$C$1000,'calc_s90&amp;138'!$BG$15:$BG$1000,"",0)),"")</f>
        <v/>
      </c>
      <c r="E903" s="16" t="str" cm="1">
        <f t="array" ref="E903">IF(C903&lt;&gt;"", IF(_xlfn.XLOOKUP(1,((SKUs!$A$2:$A$10001=cl_unmerged!B903) * (ISNUMBER(SEARCH("Steel-Frame",SKUs!$J$2:$J$10001)))), SKUs!$J$2:$J$10001,"")=""," Steel-Frame90",_xlfn.XLOOKUP(1,((SKUs!$A$2:$A$10001=cl_unmerged!B903) * (ISNUMBER(SEARCH("Steel-Frame",SKUs!$J$2:$J$10001)))), SKUs!$J$2:$J$10001,"")),"")  &amp; _xlfn.IFS(I903="Height", ", H",I903="Height SLI", ", H SLI", I903="Height FIX", ", H FIX",I903="Width", ", W", I903="", "")</f>
        <v/>
      </c>
      <c r="F903" s="33" t="str" cm="1">
        <f t="array" ref="F903">_xlfn.XLOOKUP(1,((SKUs!$A$2:$A$10001=cl_unmerged!B903) * (ISNUMBER(SEARCH("Steel-Frame",SKUs!$J$2:$J$10001)))* (ISNUMBER(SEARCH(A903,SKUs!$C$2:$C$10001)))), SKUs!$C$2:$C$10001,"")</f>
        <v/>
      </c>
      <c r="G903" s="16"/>
      <c r="H903" s="16" t="str" cm="1">
        <f t="array" ref="H903">IF(C903&lt;&gt;"", _xlfn.IFS(I903="Height",_xlfn.XLOOKUP(C903,'calc_s90&amp;138'!$C$15:$C$1000,'calc_s90&amp;138'!$BD$15:$BD$1000,"",0),  I903="Width", _xlfn.XLOOKUP(C903,'calc_s90&amp;138'!$C$15:$C$1000,'calc_s90&amp;138'!$BF$15:$BF$1000,"",0)),"")</f>
        <v/>
      </c>
      <c r="I903" s="16" t="str">
        <f t="shared" si="20"/>
        <v/>
      </c>
    </row>
    <row r="904" spans="1:9" ht="13.5" customHeight="1" x14ac:dyDescent="0.25">
      <c r="A904" s="41" t="str">
        <f>_xlfn.XLOOKUP(G904,dd_color!$A$2:$A$8,dd_color!$B$2:$B$8,"",0)</f>
        <v/>
      </c>
      <c r="B904" s="41">
        <f>_xlfn.XLOOKUP(_xlfn.XLOOKUP(C904,'Project Details'!$C$17:$C$10003,'Project Details'!$E$17:$E$10003, "",0),dd_design_raw!$A$2:$A$9997,dd_design_raw!$C$2:$C$9997,"",0)</f>
        <v>0</v>
      </c>
      <c r="C904" s="16"/>
      <c r="D904" s="16" t="str" cm="1">
        <f t="array" ref="D904">IF(C904&lt;&gt;"", _xlfn.IFS(I904="Height",_xlfn.XLOOKUP(C904,'calc_s90&amp;138'!$C$15:$C$1000,'calc_s90&amp;138'!$BE$15:$BE$1000,"",0),  I904="Width", _xlfn.XLOOKUP(C904,'calc_s90&amp;138'!$C$15:$C$1000,'calc_s90&amp;138'!$BG$15:$BG$1000,"",0)),"")</f>
        <v/>
      </c>
      <c r="E904" s="16" t="str" cm="1">
        <f t="array" ref="E904">IF(C904&lt;&gt;"", IF(_xlfn.XLOOKUP(1,((SKUs!$A$2:$A$10001=cl_unmerged!B904) * (ISNUMBER(SEARCH("Steel-Frame",SKUs!$J$2:$J$10001)))), SKUs!$J$2:$J$10001,"")=""," Steel-Frame90",_xlfn.XLOOKUP(1,((SKUs!$A$2:$A$10001=cl_unmerged!B904) * (ISNUMBER(SEARCH("Steel-Frame",SKUs!$J$2:$J$10001)))), SKUs!$J$2:$J$10001,"")),"")  &amp; _xlfn.IFS(I904="Height", ", H",I904="Height SLI", ", H SLI", I904="Height FIX", ", H FIX",I904="Width", ", W", I904="", "")</f>
        <v/>
      </c>
      <c r="F904" s="33" t="str" cm="1">
        <f t="array" ref="F904">_xlfn.XLOOKUP(1,((SKUs!$A$2:$A$10001=cl_unmerged!B904) * (ISNUMBER(SEARCH("Steel-Frame",SKUs!$J$2:$J$10001)))* (ISNUMBER(SEARCH(A904,SKUs!$C$2:$C$10001)))), SKUs!$C$2:$C$10001,"")</f>
        <v/>
      </c>
      <c r="G904" s="16"/>
      <c r="H904" s="16" t="str" cm="1">
        <f t="array" ref="H904">IF(C904&lt;&gt;"", _xlfn.IFS(I904="Height",_xlfn.XLOOKUP(C904,'calc_s90&amp;138'!$C$15:$C$1000,'calc_s90&amp;138'!$BD$15:$BD$1000,"",0),  I904="Width", _xlfn.XLOOKUP(C904,'calc_s90&amp;138'!$C$15:$C$1000,'calc_s90&amp;138'!$BF$15:$BF$1000,"",0)),"")</f>
        <v/>
      </c>
      <c r="I904" s="16" t="str">
        <f t="shared" si="20"/>
        <v/>
      </c>
    </row>
    <row r="905" spans="1:9" ht="13.5" customHeight="1" x14ac:dyDescent="0.25">
      <c r="A905" s="41" t="str">
        <f>_xlfn.XLOOKUP(G905,dd_color!$A$2:$A$8,dd_color!$B$2:$B$8,"",0)</f>
        <v/>
      </c>
      <c r="B905" s="41">
        <f>_xlfn.XLOOKUP(_xlfn.XLOOKUP(C905,'Project Details'!$C$17:$C$10003,'Project Details'!$E$17:$E$10003, "",0),dd_design_raw!$A$2:$A$9997,dd_design_raw!$C$2:$C$9997,"",0)</f>
        <v>0</v>
      </c>
      <c r="C905" s="16"/>
      <c r="D905" s="16" t="str" cm="1">
        <f t="array" ref="D905">IF(C905&lt;&gt;"", _xlfn.IFS(I905="Height",_xlfn.XLOOKUP(C905,'calc_s90&amp;138'!$C$15:$C$1000,'calc_s90&amp;138'!$BE$15:$BE$1000,"",0),  I905="Width", _xlfn.XLOOKUP(C905,'calc_s90&amp;138'!$C$15:$C$1000,'calc_s90&amp;138'!$BG$15:$BG$1000,"",0)),"")</f>
        <v/>
      </c>
      <c r="E905" s="16" t="str" cm="1">
        <f t="array" ref="E905">IF(C905&lt;&gt;"", IF(_xlfn.XLOOKUP(1,((SKUs!$A$2:$A$10001=cl_unmerged!B905) * (ISNUMBER(SEARCH("Steel-Frame",SKUs!$J$2:$J$10001)))), SKUs!$J$2:$J$10001,"")=""," Steel-Frame90",_xlfn.XLOOKUP(1,((SKUs!$A$2:$A$10001=cl_unmerged!B905) * (ISNUMBER(SEARCH("Steel-Frame",SKUs!$J$2:$J$10001)))), SKUs!$J$2:$J$10001,"")),"")  &amp; _xlfn.IFS(I905="Height", ", H",I905="Height SLI", ", H SLI", I905="Height FIX", ", H FIX",I905="Width", ", W", I905="", "")</f>
        <v/>
      </c>
      <c r="F905" s="33" t="str" cm="1">
        <f t="array" ref="F905">_xlfn.XLOOKUP(1,((SKUs!$A$2:$A$10001=cl_unmerged!B905) * (ISNUMBER(SEARCH("Steel-Frame",SKUs!$J$2:$J$10001)))* (ISNUMBER(SEARCH(A905,SKUs!$C$2:$C$10001)))), SKUs!$C$2:$C$10001,"")</f>
        <v/>
      </c>
      <c r="G905" s="16"/>
      <c r="H905" s="16" t="str" cm="1">
        <f t="array" ref="H905">IF(C905&lt;&gt;"", _xlfn.IFS(I905="Height",_xlfn.XLOOKUP(C905,'calc_s90&amp;138'!$C$15:$C$1000,'calc_s90&amp;138'!$BD$15:$BD$1000,"",0),  I905="Width", _xlfn.XLOOKUP(C905,'calc_s90&amp;138'!$C$15:$C$1000,'calc_s90&amp;138'!$BF$15:$BF$1000,"",0)),"")</f>
        <v/>
      </c>
      <c r="I905" s="16" t="str">
        <f t="shared" si="20"/>
        <v/>
      </c>
    </row>
    <row r="906" spans="1:9" ht="13.5" customHeight="1" x14ac:dyDescent="0.25">
      <c r="A906" s="41" t="str">
        <f>_xlfn.XLOOKUP(G906,dd_color!$A$2:$A$8,dd_color!$B$2:$B$8,"",0)</f>
        <v/>
      </c>
      <c r="B906" s="41" t="str">
        <f>_xlfn.XLOOKUP(_xlfn.XLOOKUP(C906,'Project Details'!$C$17:$C$10003,'Project Details'!$E$17:$E$10003, "",0),dd_design_raw!$A$2:$A$9997,dd_design_raw!$C$2:$C$9997,"",0)</f>
        <v/>
      </c>
      <c r="C906" s="16"/>
      <c r="D906" s="16" t="str" cm="1">
        <f t="array" ref="D906">IF(C906&lt;&gt;"", _xlfn.IFS(I906="Height",_xlfn.XLOOKUP(C906,'calc_s90&amp;138'!$C$15:$C$1000,'calc_s90&amp;138'!$BE$15:$BE$1000,"",0),  I906="Width", _xlfn.XLOOKUP(C906,'calc_s90&amp;138'!$C$15:$C$1000,'calc_s90&amp;138'!$BG$15:$BG$1000,"",0)),"")</f>
        <v/>
      </c>
      <c r="E906" s="16" t="str" cm="1">
        <f t="array" ref="E906">IF(C906&lt;&gt;"", IF(_xlfn.XLOOKUP(1,((SKUs!$A$2:$A$10001=cl_unmerged!B906) * (ISNUMBER(SEARCH("Steel-Frame",SKUs!$J$2:$J$10001)))), SKUs!$J$2:$J$10001,"")=""," Steel-Frame90",_xlfn.XLOOKUP(1,((SKUs!$A$2:$A$10001=cl_unmerged!B906) * (ISNUMBER(SEARCH("Steel-Frame",SKUs!$J$2:$J$10001)))), SKUs!$J$2:$J$10001,"")),"")  &amp; _xlfn.IFS(I906="Height", ", H",I906="Height SLI", ", H SLI", I906="Height FIX", ", H FIX",I906="Width", ", W", I906="", "")</f>
        <v/>
      </c>
      <c r="F906" s="33" t="str" cm="1">
        <f t="array" ref="F906">_xlfn.XLOOKUP(1,((SKUs!$A$2:$A$10001=cl_unmerged!B906) * (ISNUMBER(SEARCH("Steel-Frame",SKUs!$J$2:$J$10001)))* (ISNUMBER(SEARCH(A906,SKUs!$C$2:$C$10001)))), SKUs!$C$2:$C$10001,"")</f>
        <v/>
      </c>
      <c r="G906" s="16"/>
      <c r="H906" s="16" t="str" cm="1">
        <f t="array" ref="H906">IF(C906&lt;&gt;"", _xlfn.IFS(I906="Height",_xlfn.XLOOKUP(C906,'calc_s90&amp;138'!$C$15:$C$1000,'calc_s90&amp;138'!$BD$15:$BD$1000,"",0),  I906="Width", _xlfn.XLOOKUP(C906,'calc_s90&amp;138'!$C$15:$C$1000,'calc_s90&amp;138'!$BF$15:$BF$1000,"",0)),"")</f>
        <v/>
      </c>
      <c r="I906" s="16" t="str">
        <f t="shared" si="20"/>
        <v/>
      </c>
    </row>
    <row r="907" spans="1:9" ht="13.5" customHeight="1" x14ac:dyDescent="0.25">
      <c r="A907" s="41" t="str">
        <f>_xlfn.XLOOKUP(G907,dd_color!$A$2:$A$8,dd_color!$B$2:$B$8,"",0)</f>
        <v/>
      </c>
      <c r="B907" s="41" t="str">
        <f>_xlfn.XLOOKUP(_xlfn.XLOOKUP(C907,'Project Details'!$C$17:$C$10003,'Project Details'!$E$17:$E$10003, "",0),dd_design_raw!$A$2:$A$9997,dd_design_raw!$C$2:$C$9997,"",0)</f>
        <v/>
      </c>
      <c r="C907" s="16"/>
      <c r="D907" s="16" t="str" cm="1">
        <f t="array" ref="D907">IF(C907&lt;&gt;"", _xlfn.IFS(I907="Height",_xlfn.XLOOKUP(C907,'calc_s90&amp;138'!$C$15:$C$1000,'calc_s90&amp;138'!$BE$15:$BE$1000,"",0),  I907="Width", _xlfn.XLOOKUP(C907,'calc_s90&amp;138'!$C$15:$C$1000,'calc_s90&amp;138'!$BG$15:$BG$1000,"",0)),"")</f>
        <v/>
      </c>
      <c r="E907" s="16" t="str" cm="1">
        <f t="array" ref="E907">IF(C907&lt;&gt;"", IF(_xlfn.XLOOKUP(1,((SKUs!$A$2:$A$10001=cl_unmerged!B907) * (ISNUMBER(SEARCH("Steel-Frame",SKUs!$J$2:$J$10001)))), SKUs!$J$2:$J$10001,"")=""," Steel-Frame90",_xlfn.XLOOKUP(1,((SKUs!$A$2:$A$10001=cl_unmerged!B907) * (ISNUMBER(SEARCH("Steel-Frame",SKUs!$J$2:$J$10001)))), SKUs!$J$2:$J$10001,"")),"")  &amp; _xlfn.IFS(I907="Height", ", H",I907="Height SLI", ", H SLI", I907="Height FIX", ", H FIX",I907="Width", ", W", I907="", "")</f>
        <v/>
      </c>
      <c r="F907" s="33" t="str" cm="1">
        <f t="array" ref="F907">_xlfn.XLOOKUP(1,((SKUs!$A$2:$A$10001=cl_unmerged!B907) * (ISNUMBER(SEARCH("Steel-Frame",SKUs!$J$2:$J$10001)))* (ISNUMBER(SEARCH(A907,SKUs!$C$2:$C$10001)))), SKUs!$C$2:$C$10001,"")</f>
        <v/>
      </c>
      <c r="G907" s="16"/>
      <c r="H907" s="16" t="str" cm="1">
        <f t="array" ref="H907">IF(C907&lt;&gt;"", _xlfn.IFS(I907="Height",_xlfn.XLOOKUP(C907,'calc_s90&amp;138'!$C$15:$C$1000,'calc_s90&amp;138'!$BD$15:$BD$1000,"",0),  I907="Width", _xlfn.XLOOKUP(C907,'calc_s90&amp;138'!$C$15:$C$1000,'calc_s90&amp;138'!$BF$15:$BF$1000,"",0)),"")</f>
        <v/>
      </c>
      <c r="I907" s="16" t="str">
        <f t="shared" si="20"/>
        <v/>
      </c>
    </row>
    <row r="908" spans="1:9" ht="13.5" customHeight="1" x14ac:dyDescent="0.25">
      <c r="A908" s="41" t="str">
        <f>_xlfn.XLOOKUP(G908,dd_color!$A$2:$A$8,dd_color!$B$2:$B$8,"",0)</f>
        <v/>
      </c>
      <c r="B908" s="41" t="str">
        <f>_xlfn.XLOOKUP(_xlfn.XLOOKUP(C908,'Project Details'!$C$17:$C$10003,'Project Details'!$E$17:$E$10003, "",0),dd_design_raw!$A$2:$A$9997,dd_design_raw!$C$2:$C$9997,"",0)</f>
        <v/>
      </c>
      <c r="C908" s="16"/>
      <c r="D908" s="16" t="str" cm="1">
        <f t="array" ref="D908">IF(C908&lt;&gt;"", _xlfn.IFS(I908="Height",_xlfn.XLOOKUP(C908,'calc_s90&amp;138'!$C$15:$C$1000,'calc_s90&amp;138'!$BE$15:$BE$1000,"",0),  I908="Width", _xlfn.XLOOKUP(C908,'calc_s90&amp;138'!$C$15:$C$1000,'calc_s90&amp;138'!$BG$15:$BG$1000,"",0)),"")</f>
        <v/>
      </c>
      <c r="E908" s="16" t="str" cm="1">
        <f t="array" ref="E908">IF(C908&lt;&gt;"", IF(_xlfn.XLOOKUP(1,((SKUs!$A$2:$A$10001=cl_unmerged!B908) * (ISNUMBER(SEARCH("Steel-Frame",SKUs!$J$2:$J$10001)))), SKUs!$J$2:$J$10001,"")=""," Steel-Frame90",_xlfn.XLOOKUP(1,((SKUs!$A$2:$A$10001=cl_unmerged!B908) * (ISNUMBER(SEARCH("Steel-Frame",SKUs!$J$2:$J$10001)))), SKUs!$J$2:$J$10001,"")),"")  &amp; _xlfn.IFS(I908="Height", ", H",I908="Height SLI", ", H SLI", I908="Height FIX", ", H FIX",I908="Width", ", W", I908="", "")</f>
        <v/>
      </c>
      <c r="F908" s="33" t="str" cm="1">
        <f t="array" ref="F908">_xlfn.XLOOKUP(1,((SKUs!$A$2:$A$10001=cl_unmerged!B908) * (ISNUMBER(SEARCH("Steel-Frame",SKUs!$J$2:$J$10001)))* (ISNUMBER(SEARCH(A908,SKUs!$C$2:$C$10001)))), SKUs!$C$2:$C$10001,"")</f>
        <v/>
      </c>
      <c r="G908" s="16"/>
      <c r="H908" s="16" t="str" cm="1">
        <f t="array" ref="H908">IF(C908&lt;&gt;"", _xlfn.IFS(I908="Height",_xlfn.XLOOKUP(C908,'calc_s90&amp;138'!$C$15:$C$1000,'calc_s90&amp;138'!$BD$15:$BD$1000,"",0),  I908="Width", _xlfn.XLOOKUP(C908,'calc_s90&amp;138'!$C$15:$C$1000,'calc_s90&amp;138'!$BF$15:$BF$1000,"",0)),"")</f>
        <v/>
      </c>
      <c r="I908" s="16" t="str">
        <f t="shared" si="20"/>
        <v/>
      </c>
    </row>
    <row r="909" spans="1:9" ht="13.5" customHeight="1" x14ac:dyDescent="0.25">
      <c r="A909" s="41" t="str">
        <f>_xlfn.XLOOKUP(G909,dd_color!$A$2:$A$8,dd_color!$B$2:$B$8,"",0)</f>
        <v/>
      </c>
      <c r="B909" s="41">
        <f>_xlfn.XLOOKUP(_xlfn.XLOOKUP(C909,'Project Details'!$C$17:$C$10003,'Project Details'!$E$17:$E$10003, "",0),dd_design_raw!$A$2:$A$9997,dd_design_raw!$C$2:$C$9997,"",0)</f>
        <v>0</v>
      </c>
      <c r="C909" s="16"/>
      <c r="D909" s="16" t="str" cm="1">
        <f t="array" ref="D909">IF(C909&lt;&gt;"", _xlfn.IFS(I909="Height",_xlfn.XLOOKUP(C909,'calc_s90&amp;138'!$C$15:$C$1000,'calc_s90&amp;138'!$BE$15:$BE$1000,"",0),  I909="Width", _xlfn.XLOOKUP(C909,'calc_s90&amp;138'!$C$15:$C$1000,'calc_s90&amp;138'!$BG$15:$BG$1000,"",0)),"")</f>
        <v/>
      </c>
      <c r="E909" s="16" t="str" cm="1">
        <f t="array" ref="E909">IF(C909&lt;&gt;"", IF(_xlfn.XLOOKUP(1,((SKUs!$A$2:$A$10001=cl_unmerged!B909) * (ISNUMBER(SEARCH("Steel-Frame",SKUs!$J$2:$J$10001)))), SKUs!$J$2:$J$10001,"")=""," Steel-Frame90",_xlfn.XLOOKUP(1,((SKUs!$A$2:$A$10001=cl_unmerged!B909) * (ISNUMBER(SEARCH("Steel-Frame",SKUs!$J$2:$J$10001)))), SKUs!$J$2:$J$10001,"")),"")  &amp; _xlfn.IFS(I909="Height", ", H",I909="Height SLI", ", H SLI", I909="Height FIX", ", H FIX",I909="Width", ", W", I909="", "")</f>
        <v/>
      </c>
      <c r="F909" s="33" t="str" cm="1">
        <f t="array" ref="F909">_xlfn.XLOOKUP(1,((SKUs!$A$2:$A$10001=cl_unmerged!B909) * (ISNUMBER(SEARCH("Steel-Frame",SKUs!$J$2:$J$10001)))* (ISNUMBER(SEARCH(A909,SKUs!$C$2:$C$10001)))), SKUs!$C$2:$C$10001,"")</f>
        <v/>
      </c>
      <c r="G909" s="16"/>
      <c r="H909" s="16" t="str" cm="1">
        <f t="array" ref="H909">IF(C909&lt;&gt;"", _xlfn.IFS(I909="Height",_xlfn.XLOOKUP(C909,'calc_s90&amp;138'!$C$15:$C$1000,'calc_s90&amp;138'!$BD$15:$BD$1000,"",0),  I909="Width", _xlfn.XLOOKUP(C909,'calc_s90&amp;138'!$C$15:$C$1000,'calc_s90&amp;138'!$BF$15:$BF$1000,"",0)),"")</f>
        <v/>
      </c>
      <c r="I909" s="16" t="str">
        <f t="shared" si="20"/>
        <v/>
      </c>
    </row>
    <row r="910" spans="1:9" ht="13.5" customHeight="1" x14ac:dyDescent="0.25">
      <c r="A910" s="41" t="str">
        <f>_xlfn.XLOOKUP(G910,dd_color!$A$2:$A$8,dd_color!$B$2:$B$8,"",0)</f>
        <v/>
      </c>
      <c r="B910" s="41" t="str">
        <f>_xlfn.XLOOKUP(_xlfn.XLOOKUP(C910,'Project Details'!$C$17:$C$10003,'Project Details'!$E$17:$E$10003, "",0),dd_design_raw!$A$2:$A$9997,dd_design_raw!$C$2:$C$9997,"",0)</f>
        <v/>
      </c>
      <c r="C910" s="16"/>
      <c r="D910" s="16" t="str" cm="1">
        <f t="array" ref="D910">IF(C910&lt;&gt;"", _xlfn.IFS(I910="Height",_xlfn.XLOOKUP(C910,'calc_s90&amp;138'!$C$15:$C$1000,'calc_s90&amp;138'!$BE$15:$BE$1000,"",0),  I910="Width", _xlfn.XLOOKUP(C910,'calc_s90&amp;138'!$C$15:$C$1000,'calc_s90&amp;138'!$BG$15:$BG$1000,"",0)),"")</f>
        <v/>
      </c>
      <c r="E910" s="16" t="str" cm="1">
        <f t="array" ref="E910">IF(C910&lt;&gt;"", IF(_xlfn.XLOOKUP(1,((SKUs!$A$2:$A$10001=cl_unmerged!B910) * (ISNUMBER(SEARCH("Steel-Frame",SKUs!$J$2:$J$10001)))), SKUs!$J$2:$J$10001,"")=""," Steel-Frame90",_xlfn.XLOOKUP(1,((SKUs!$A$2:$A$10001=cl_unmerged!B910) * (ISNUMBER(SEARCH("Steel-Frame",SKUs!$J$2:$J$10001)))), SKUs!$J$2:$J$10001,"")),"")  &amp; _xlfn.IFS(I910="Height", ", H",I910="Height SLI", ", H SLI", I910="Height FIX", ", H FIX",I910="Width", ", W", I910="", "")</f>
        <v/>
      </c>
      <c r="F910" s="33" t="str" cm="1">
        <f t="array" ref="F910">_xlfn.XLOOKUP(1,((SKUs!$A$2:$A$10001=cl_unmerged!B910) * (ISNUMBER(SEARCH("Steel-Frame",SKUs!$J$2:$J$10001)))* (ISNUMBER(SEARCH(A910,SKUs!$C$2:$C$10001)))), SKUs!$C$2:$C$10001,"")</f>
        <v/>
      </c>
      <c r="G910" s="16"/>
      <c r="H910" s="16" t="str" cm="1">
        <f t="array" ref="H910">IF(C910&lt;&gt;"", _xlfn.IFS(I910="Height",_xlfn.XLOOKUP(C910,'calc_s90&amp;138'!$C$15:$C$1000,'calc_s90&amp;138'!$BD$15:$BD$1000,"",0),  I910="Width", _xlfn.XLOOKUP(C910,'calc_s90&amp;138'!$C$15:$C$1000,'calc_s90&amp;138'!$BF$15:$BF$1000,"",0)),"")</f>
        <v/>
      </c>
      <c r="I910" s="16" t="str">
        <f t="shared" si="20"/>
        <v/>
      </c>
    </row>
    <row r="911" spans="1:9" ht="13.5" customHeight="1" x14ac:dyDescent="0.25">
      <c r="A911" s="41" t="str">
        <f>_xlfn.XLOOKUP(G911,dd_color!$A$2:$A$8,dd_color!$B$2:$B$8,"",0)</f>
        <v/>
      </c>
      <c r="B911" s="41" t="str">
        <f>_xlfn.XLOOKUP(_xlfn.XLOOKUP(C911,'Project Details'!$C$17:$C$10003,'Project Details'!$E$17:$E$10003, "",0),dd_design_raw!$A$2:$A$9997,dd_design_raw!$C$2:$C$9997,"",0)</f>
        <v/>
      </c>
      <c r="C911" s="16"/>
      <c r="D911" s="16" t="str" cm="1">
        <f t="array" ref="D911">IF(C911&lt;&gt;"", _xlfn.IFS(I911="Height",_xlfn.XLOOKUP(C911,'calc_s90&amp;138'!$C$15:$C$1000,'calc_s90&amp;138'!$BE$15:$BE$1000,"",0),  I911="Width", _xlfn.XLOOKUP(C911,'calc_s90&amp;138'!$C$15:$C$1000,'calc_s90&amp;138'!$BG$15:$BG$1000,"",0)),"")</f>
        <v/>
      </c>
      <c r="E911" s="16" t="str" cm="1">
        <f t="array" ref="E911">IF(C911&lt;&gt;"", IF(_xlfn.XLOOKUP(1,((SKUs!$A$2:$A$10001=cl_unmerged!B911) * (ISNUMBER(SEARCH("Steel-Frame",SKUs!$J$2:$J$10001)))), SKUs!$J$2:$J$10001,"")=""," Steel-Frame90",_xlfn.XLOOKUP(1,((SKUs!$A$2:$A$10001=cl_unmerged!B911) * (ISNUMBER(SEARCH("Steel-Frame",SKUs!$J$2:$J$10001)))), SKUs!$J$2:$J$10001,"")),"")  &amp; _xlfn.IFS(I911="Height", ", H",I911="Height SLI", ", H SLI", I911="Height FIX", ", H FIX",I911="Width", ", W", I911="", "")</f>
        <v/>
      </c>
      <c r="F911" s="33" t="str" cm="1">
        <f t="array" ref="F911">_xlfn.XLOOKUP(1,((SKUs!$A$2:$A$10001=cl_unmerged!B911) * (ISNUMBER(SEARCH("Steel-Frame",SKUs!$J$2:$J$10001)))* (ISNUMBER(SEARCH(A911,SKUs!$C$2:$C$10001)))), SKUs!$C$2:$C$10001,"")</f>
        <v/>
      </c>
      <c r="G911" s="16"/>
      <c r="H911" s="16" t="str" cm="1">
        <f t="array" ref="H911">IF(C911&lt;&gt;"", _xlfn.IFS(I911="Height",_xlfn.XLOOKUP(C911,'calc_s90&amp;138'!$C$15:$C$1000,'calc_s90&amp;138'!$BD$15:$BD$1000,"",0),  I911="Width", _xlfn.XLOOKUP(C911,'calc_s90&amp;138'!$C$15:$C$1000,'calc_s90&amp;138'!$BF$15:$BF$1000,"",0)),"")</f>
        <v/>
      </c>
      <c r="I911" s="16" t="str">
        <f t="shared" si="20"/>
        <v/>
      </c>
    </row>
    <row r="912" spans="1:9" ht="13.5" customHeight="1" x14ac:dyDescent="0.25">
      <c r="A912" s="41" t="str">
        <f>_xlfn.XLOOKUP(G912,dd_color!$A$2:$A$8,dd_color!$B$2:$B$8,"",0)</f>
        <v/>
      </c>
      <c r="B912" s="41" t="str">
        <f>_xlfn.XLOOKUP(_xlfn.XLOOKUP(C912,'Project Details'!$C$17:$C$10003,'Project Details'!$E$17:$E$10003, "",0),dd_design_raw!$A$2:$A$9997,dd_design_raw!$C$2:$C$9997,"",0)</f>
        <v/>
      </c>
      <c r="C912" s="16"/>
      <c r="D912" s="16" t="str" cm="1">
        <f t="array" ref="D912">IF(C912&lt;&gt;"", _xlfn.IFS(I912="Height",_xlfn.XLOOKUP(C912,'calc_s90&amp;138'!$C$15:$C$1000,'calc_s90&amp;138'!$BE$15:$BE$1000,"",0),  I912="Width", _xlfn.XLOOKUP(C912,'calc_s90&amp;138'!$C$15:$C$1000,'calc_s90&amp;138'!$BG$15:$BG$1000,"",0)),"")</f>
        <v/>
      </c>
      <c r="E912" s="16" t="str" cm="1">
        <f t="array" ref="E912">IF(C912&lt;&gt;"", IF(_xlfn.XLOOKUP(1,((SKUs!$A$2:$A$10001=cl_unmerged!B912) * (ISNUMBER(SEARCH("Steel-Frame",SKUs!$J$2:$J$10001)))), SKUs!$J$2:$J$10001,"")=""," Steel-Frame90",_xlfn.XLOOKUP(1,((SKUs!$A$2:$A$10001=cl_unmerged!B912) * (ISNUMBER(SEARCH("Steel-Frame",SKUs!$J$2:$J$10001)))), SKUs!$J$2:$J$10001,"")),"")  &amp; _xlfn.IFS(I912="Height", ", H",I912="Height SLI", ", H SLI", I912="Height FIX", ", H FIX",I912="Width", ", W", I912="", "")</f>
        <v/>
      </c>
      <c r="F912" s="33" t="str" cm="1">
        <f t="array" ref="F912">_xlfn.XLOOKUP(1,((SKUs!$A$2:$A$10001=cl_unmerged!B912) * (ISNUMBER(SEARCH("Steel-Frame",SKUs!$J$2:$J$10001)))* (ISNUMBER(SEARCH(A912,SKUs!$C$2:$C$10001)))), SKUs!$C$2:$C$10001,"")</f>
        <v/>
      </c>
      <c r="G912" s="16"/>
      <c r="H912" s="16" t="str" cm="1">
        <f t="array" ref="H912">IF(C912&lt;&gt;"", _xlfn.IFS(I912="Height",_xlfn.XLOOKUP(C912,'calc_s90&amp;138'!$C$15:$C$1000,'calc_s90&amp;138'!$BD$15:$BD$1000,"",0),  I912="Width", _xlfn.XLOOKUP(C912,'calc_s90&amp;138'!$C$15:$C$1000,'calc_s90&amp;138'!$BF$15:$BF$1000,"",0)),"")</f>
        <v/>
      </c>
      <c r="I912" s="16" t="str">
        <f t="shared" si="20"/>
        <v/>
      </c>
    </row>
    <row r="913" spans="1:9" ht="13.5" customHeight="1" x14ac:dyDescent="0.25">
      <c r="A913" s="41" t="str">
        <f>_xlfn.XLOOKUP(G913,dd_color!$A$2:$A$8,dd_color!$B$2:$B$8,"",0)</f>
        <v/>
      </c>
      <c r="B913" s="41">
        <f>_xlfn.XLOOKUP(_xlfn.XLOOKUP(C913,'Project Details'!$C$17:$C$10003,'Project Details'!$E$17:$E$10003, "",0),dd_design_raw!$A$2:$A$9997,dd_design_raw!$C$2:$C$9997,"",0)</f>
        <v>0</v>
      </c>
      <c r="C913" s="16"/>
      <c r="D913" s="16" t="str" cm="1">
        <f t="array" ref="D913">IF(C913&lt;&gt;"", _xlfn.IFS(I913="Height",_xlfn.XLOOKUP(C913,'calc_s90&amp;138'!$C$15:$C$1000,'calc_s90&amp;138'!$BE$15:$BE$1000,"",0),  I913="Width", _xlfn.XLOOKUP(C913,'calc_s90&amp;138'!$C$15:$C$1000,'calc_s90&amp;138'!$BG$15:$BG$1000,"",0)),"")</f>
        <v/>
      </c>
      <c r="E913" s="16" t="str" cm="1">
        <f t="array" ref="E913">IF(C913&lt;&gt;"", IF(_xlfn.XLOOKUP(1,((SKUs!$A$2:$A$10001=cl_unmerged!B913) * (ISNUMBER(SEARCH("Steel-Frame",SKUs!$J$2:$J$10001)))), SKUs!$J$2:$J$10001,"")=""," Steel-Frame90",_xlfn.XLOOKUP(1,((SKUs!$A$2:$A$10001=cl_unmerged!B913) * (ISNUMBER(SEARCH("Steel-Frame",SKUs!$J$2:$J$10001)))), SKUs!$J$2:$J$10001,"")),"")  &amp; _xlfn.IFS(I913="Height", ", H",I913="Height SLI", ", H SLI", I913="Height FIX", ", H FIX",I913="Width", ", W", I913="", "")</f>
        <v/>
      </c>
      <c r="F913" s="33" t="str" cm="1">
        <f t="array" ref="F913">_xlfn.XLOOKUP(1,((SKUs!$A$2:$A$10001=cl_unmerged!B913) * (ISNUMBER(SEARCH("Steel-Frame",SKUs!$J$2:$J$10001)))* (ISNUMBER(SEARCH(A913,SKUs!$C$2:$C$10001)))), SKUs!$C$2:$C$10001,"")</f>
        <v/>
      </c>
      <c r="G913" s="16"/>
      <c r="H913" s="16" t="str" cm="1">
        <f t="array" ref="H913">IF(C913&lt;&gt;"", _xlfn.IFS(I913="Height",_xlfn.XLOOKUP(C913,'calc_s90&amp;138'!$C$15:$C$1000,'calc_s90&amp;138'!$BD$15:$BD$1000,"",0),  I913="Width", _xlfn.XLOOKUP(C913,'calc_s90&amp;138'!$C$15:$C$1000,'calc_s90&amp;138'!$BF$15:$BF$1000,"",0)),"")</f>
        <v/>
      </c>
      <c r="I913" s="16" t="str">
        <f t="shared" si="20"/>
        <v/>
      </c>
    </row>
    <row r="914" spans="1:9" ht="13.5" customHeight="1" x14ac:dyDescent="0.25">
      <c r="C914" s="32" t="s">
        <v>189</v>
      </c>
      <c r="D914" s="32"/>
      <c r="E914" s="32"/>
      <c r="F914" s="32"/>
      <c r="G914" s="32"/>
      <c r="H914" s="32"/>
      <c r="I914" s="32"/>
    </row>
    <row r="915" spans="1:9" ht="13.5" customHeight="1" x14ac:dyDescent="0.25">
      <c r="A915" s="41" t="str">
        <f>_xlfn.XLOOKUP(G915,dd_color!$A$2:$A$8,dd_color!$B$2:$B$8,"",0)</f>
        <v/>
      </c>
      <c r="B915" s="41" t="str">
        <f>_xlfn.XLOOKUP(_xlfn.XLOOKUP(C915,'Project Details'!$C$17:$C$10003,'Project Details'!$E$17:$E$10003, "",0),dd_design_raw!$A$2:$A$9997,dd_design_raw!$C$2:$C$9997,"",0)</f>
        <v/>
      </c>
      <c r="C915" s="16" t="str" cm="1">
        <f t="array" ref="C915:C916">IFERROR(INDEX(_xlfn._xlws.FILTER(calc_s60!C15:C65, calc_s60!AQ15:AQ65&lt;&gt;""), INT((_xlfn.SEQUENCE(2 * COUNTA(_xlfn._xlws.FILTER(calc_s60!C15:C65, calc_s60!AQ15:AQ65&lt;&gt;""))) - 1) / 2) + 1), "")</f>
        <v/>
      </c>
      <c r="D915" s="16" t="str" cm="1">
        <f t="array" ref="D915">IF(C915&lt;&gt;"", _xlfn.IFS(I915="Height",_xlfn.XLOOKUP(C915,calc_s60!$C$15:$C$1000,calc_s60!$AR$15:$AR$1000,"",0),  I915="Width", _xlfn.XLOOKUP(C915,calc_s60!$C$15:$C$1000,calc_s60!$AT$15:$AT$1000,"",0)),"")</f>
        <v/>
      </c>
      <c r="E915" s="16" t="str" cm="1">
        <f t="array" ref="E915">IF(C915&lt;&gt;"", _xlfn.XLOOKUP(1,((SKUs!$A$2:$A$10001=cl_unmerged!B915) * (ISNUMBER(SEARCH("Steel-Sash",SKUs!$J$2:$J$10001)))), SKUs!$J$2:$J$10001,""),"")  &amp; _xlfn.IFS(I915="Height", ", H",I915="Height SLI", ", H SLI", I915="Height FIX", ", H FIX",I915="Width", ", W", I915="", "")</f>
        <v/>
      </c>
      <c r="F915" s="33" t="str" cm="1">
        <f t="array" ref="F915">_xlfn.XLOOKUP(1,((SKUs!$A$2:$A$10001=cl_unmerged!B915) * (ISNUMBER(SEARCH("Steel-Sash",SKUs!$J$2:$J$10001)))), SKUs!$C$2:$C$10001,"")</f>
        <v/>
      </c>
      <c r="G915" s="16"/>
      <c r="H915" s="16" t="str" cm="1">
        <f t="array" ref="H915">IF(C915&lt;&gt;"", _xlfn.IFS(I915="Height",_xlfn.XLOOKUP(C915,calc_s60!$C$15:$C$1000,calc_s60!$AQ$15:$AQ$1000,"",0), I915="Width", _xlfn.XLOOKUP(C915,calc_s60!$C$15:$C$1000,calc_s60!$AS$15:$AS$1000,"",0)),"")</f>
        <v/>
      </c>
      <c r="I915" s="16" t="str">
        <f>IF(C915&lt;&gt;"", IF(C915=C914, "Width", "Height"),"")</f>
        <v/>
      </c>
    </row>
    <row r="916" spans="1:9" ht="13.5" customHeight="1" x14ac:dyDescent="0.25">
      <c r="A916" s="41" t="str">
        <f>_xlfn.XLOOKUP(G916,dd_color!$A$2:$A$8,dd_color!$B$2:$B$8,"",0)</f>
        <v/>
      </c>
      <c r="B916" s="41" t="str">
        <f>_xlfn.XLOOKUP(_xlfn.XLOOKUP(C916,'Project Details'!$C$17:$C$10003,'Project Details'!$E$17:$E$10003, "",0),dd_design_raw!$A$2:$A$9997,dd_design_raw!$C$2:$C$9997,"",0)</f>
        <v/>
      </c>
      <c r="C916" s="16" t="str">
        <v/>
      </c>
      <c r="D916" s="16" t="str" cm="1">
        <f t="array" ref="D916">IF(C916&lt;&gt;"", _xlfn.IFS(I916="Height",_xlfn.XLOOKUP(C916,calc_s60!$C$15:$C$1000,calc_s60!$AR$15:$AR$1000,"",0),  I916="Width", _xlfn.XLOOKUP(C916,calc_s60!$C$15:$C$1000,calc_s60!$AT$15:$AT$1000,"",0)),"")</f>
        <v/>
      </c>
      <c r="E916" s="16" t="str" cm="1">
        <f t="array" ref="E916">IF(C916&lt;&gt;"", _xlfn.XLOOKUP(1,((SKUs!$A$2:$A$10001=cl_unmerged!B916) * (ISNUMBER(SEARCH("Steel-Sash",SKUs!$J$2:$J$10001)))), SKUs!$J$2:$J$10001,""),"")  &amp; _xlfn.IFS(I916="Height", ", H",I916="Height SLI", ", H SLI", I916="Height FIX", ", H FIX",I916="Width", ", W", I916="", "")</f>
        <v/>
      </c>
      <c r="F916" s="33" t="str" cm="1">
        <f t="array" ref="F916">_xlfn.XLOOKUP(1,((SKUs!$A$2:$A$10001=cl_unmerged!B916) * (ISNUMBER(SEARCH("Steel-Sash",SKUs!$J$2:$J$10001)))), SKUs!$C$2:$C$10001,"")</f>
        <v/>
      </c>
      <c r="G916" s="16"/>
      <c r="H916" s="16" t="str" cm="1">
        <f t="array" ref="H916">IF(C916&lt;&gt;"", _xlfn.IFS(I916="Height",_xlfn.XLOOKUP(C916,calc_s60!$C$15:$C$1000,calc_s60!$AQ$15:$AQ$1000,"",0), I916="Width", _xlfn.XLOOKUP(C916,calc_s60!$C$15:$C$1000,calc_s60!$AS$15:$AS$1000,"",0)),"")</f>
        <v/>
      </c>
      <c r="I916" s="16" t="str">
        <f>IF(C916&lt;&gt;"", IF(C916=C915, "Width", "Height"),"")</f>
        <v/>
      </c>
    </row>
    <row r="917" spans="1:9" ht="13.5" customHeight="1" x14ac:dyDescent="0.25">
      <c r="A917" s="41" t="str">
        <f>_xlfn.XLOOKUP(G917,dd_color!$A$2:$A$8,dd_color!$B$2:$B$8,"",0)</f>
        <v/>
      </c>
      <c r="B917" s="41">
        <f>_xlfn.XLOOKUP(_xlfn.XLOOKUP(C917,'Project Details'!$C$17:$C$10003,'Project Details'!$E$17:$E$10003, "",0),dd_design_raw!$A$2:$A$9997,dd_design_raw!$C$2:$C$9997,"",0)</f>
        <v>0</v>
      </c>
      <c r="C917" s="16"/>
      <c r="D917" s="16" t="str" cm="1">
        <f t="array" ref="D917">IF(C917&lt;&gt;"", _xlfn.IFS(I917="Height",_xlfn.XLOOKUP(C917,calc_s60!$C$15:$C$1000,calc_s60!$AR$15:$AR$1000,"",0),  I917="Width", _xlfn.XLOOKUP(C917,calc_s60!$C$15:$C$1000,calc_s60!$AT$15:$AT$1000,"",0)),"")</f>
        <v/>
      </c>
      <c r="E917" s="16" t="str" cm="1">
        <f t="array" ref="E917">IF(C917&lt;&gt;"", _xlfn.XLOOKUP(1,((SKUs!$A$2:$A$10001=cl_unmerged!B917) * (ISNUMBER(SEARCH("Steel-Sash",SKUs!$J$2:$J$10001)))), SKUs!$J$2:$J$10001,""),"")  &amp; _xlfn.IFS(I917="Height", ", H",I917="Height SLI", ", H SLI", I917="Height FIX", ", H FIX",I917="Width", ", W", I917="", "")</f>
        <v/>
      </c>
      <c r="F917" s="33" t="str" cm="1">
        <f t="array" ref="F917">_xlfn.XLOOKUP(1,((SKUs!$A$2:$A$10001=cl_unmerged!B917) * (ISNUMBER(SEARCH("Steel-Sash",SKUs!$J$2:$J$10001)))), SKUs!$C$2:$C$10001,"")</f>
        <v/>
      </c>
      <c r="G917" s="16"/>
      <c r="H917" s="16" t="str" cm="1">
        <f t="array" ref="H917">IF(C917&lt;&gt;"", _xlfn.IFS(I917="Height",_xlfn.XLOOKUP(C917,calc_s60!$C$15:$C$1000,calc_s60!$AQ$15:$AQ$1000,"",0), I917="Width", _xlfn.XLOOKUP(C917,calc_s60!$C$15:$C$1000,calc_s60!$AS$15:$AS$1000,"",0)),"")</f>
        <v/>
      </c>
      <c r="I917" s="16" t="str">
        <f t="shared" ref="I917:I965" si="21">IF(C917&lt;&gt;"", IF(C917=C916, "Width", "Height"),"")</f>
        <v/>
      </c>
    </row>
    <row r="918" spans="1:9" ht="13.5" customHeight="1" x14ac:dyDescent="0.25">
      <c r="A918" s="41" t="str">
        <f>_xlfn.XLOOKUP(G918,dd_color!$A$2:$A$8,dd_color!$B$2:$B$8,"",0)</f>
        <v/>
      </c>
      <c r="B918" s="41">
        <f>_xlfn.XLOOKUP(_xlfn.XLOOKUP(C918,'Project Details'!$C$17:$C$10003,'Project Details'!$E$17:$E$10003, "",0),dd_design_raw!$A$2:$A$9997,dd_design_raw!$C$2:$C$9997,"",0)</f>
        <v>0</v>
      </c>
      <c r="C918" s="16"/>
      <c r="D918" s="16" t="str" cm="1">
        <f t="array" ref="D918">IF(C918&lt;&gt;"", _xlfn.IFS(I918="Height",_xlfn.XLOOKUP(C918,calc_s60!$C$15:$C$1000,calc_s60!$AR$15:$AR$1000,"",0),  I918="Width", _xlfn.XLOOKUP(C918,calc_s60!$C$15:$C$1000,calc_s60!$AT$15:$AT$1000,"",0)),"")</f>
        <v/>
      </c>
      <c r="E918" s="16" t="str" cm="1">
        <f t="array" ref="E918">IF(C918&lt;&gt;"", _xlfn.XLOOKUP(1,((SKUs!$A$2:$A$10001=cl_unmerged!B918) * (ISNUMBER(SEARCH("Steel-Sash",SKUs!$J$2:$J$10001)))), SKUs!$J$2:$J$10001,""),"")  &amp; _xlfn.IFS(I918="Height", ", H",I918="Height SLI", ", H SLI", I918="Height FIX", ", H FIX",I918="Width", ", W", I918="", "")</f>
        <v/>
      </c>
      <c r="F918" s="33" t="str" cm="1">
        <f t="array" ref="F918">_xlfn.XLOOKUP(1,((SKUs!$A$2:$A$10001=cl_unmerged!B918) * (ISNUMBER(SEARCH("Steel-Sash",SKUs!$J$2:$J$10001)))), SKUs!$C$2:$C$10001,"")</f>
        <v/>
      </c>
      <c r="G918" s="16"/>
      <c r="H918" s="16" t="str" cm="1">
        <f t="array" ref="H918">IF(C918&lt;&gt;"", _xlfn.IFS(I918="Height",_xlfn.XLOOKUP(C918,calc_s60!$C$15:$C$1000,calc_s60!$AQ$15:$AQ$1000,"",0), I918="Width", _xlfn.XLOOKUP(C918,calc_s60!$C$15:$C$1000,calc_s60!$AS$15:$AS$1000,"",0)),"")</f>
        <v/>
      </c>
      <c r="I918" s="16" t="str">
        <f t="shared" si="21"/>
        <v/>
      </c>
    </row>
    <row r="919" spans="1:9" ht="13.5" customHeight="1" x14ac:dyDescent="0.25">
      <c r="A919" s="41" t="str">
        <f>_xlfn.XLOOKUP(G919,dd_color!$A$2:$A$8,dd_color!$B$2:$B$8,"",0)</f>
        <v/>
      </c>
      <c r="B919" s="41">
        <f>_xlfn.XLOOKUP(_xlfn.XLOOKUP(C919,'Project Details'!$C$17:$C$10003,'Project Details'!$E$17:$E$10003, "",0),dd_design_raw!$A$2:$A$9997,dd_design_raw!$C$2:$C$9997,"",0)</f>
        <v>0</v>
      </c>
      <c r="C919" s="16"/>
      <c r="D919" s="16" t="str" cm="1">
        <f t="array" ref="D919">IF(C919&lt;&gt;"", _xlfn.IFS(I919="Height",_xlfn.XLOOKUP(C919,calc_s60!$C$15:$C$1000,calc_s60!$AR$15:$AR$1000,"",0),  I919="Width", _xlfn.XLOOKUP(C919,calc_s60!$C$15:$C$1000,calc_s60!$AT$15:$AT$1000,"",0)),"")</f>
        <v/>
      </c>
      <c r="E919" s="16" t="str" cm="1">
        <f t="array" ref="E919">IF(C919&lt;&gt;"", _xlfn.XLOOKUP(1,((SKUs!$A$2:$A$10001=cl_unmerged!B919) * (ISNUMBER(SEARCH("Steel-Sash",SKUs!$J$2:$J$10001)))), SKUs!$J$2:$J$10001,""),"")  &amp; _xlfn.IFS(I919="Height", ", H",I919="Height SLI", ", H SLI", I919="Height FIX", ", H FIX",I919="Width", ", W", I919="", "")</f>
        <v/>
      </c>
      <c r="F919" s="33" t="str" cm="1">
        <f t="array" ref="F919">_xlfn.XLOOKUP(1,((SKUs!$A$2:$A$10001=cl_unmerged!B919) * (ISNUMBER(SEARCH("Steel-Sash",SKUs!$J$2:$J$10001)))), SKUs!$C$2:$C$10001,"")</f>
        <v/>
      </c>
      <c r="G919" s="16"/>
      <c r="H919" s="16" t="str" cm="1">
        <f t="array" ref="H919">IF(C919&lt;&gt;"", _xlfn.IFS(I919="Height",_xlfn.XLOOKUP(C919,calc_s60!$C$15:$C$1000,calc_s60!$AQ$15:$AQ$1000,"",0), I919="Width", _xlfn.XLOOKUP(C919,calc_s60!$C$15:$C$1000,calc_s60!$AS$15:$AS$1000,"",0)),"")</f>
        <v/>
      </c>
      <c r="I919" s="16" t="str">
        <f t="shared" si="21"/>
        <v/>
      </c>
    </row>
    <row r="920" spans="1:9" ht="13.5" customHeight="1" x14ac:dyDescent="0.25">
      <c r="A920" s="41" t="str">
        <f>_xlfn.XLOOKUP(G920,dd_color!$A$2:$A$8,dd_color!$B$2:$B$8,"",0)</f>
        <v/>
      </c>
      <c r="B920" s="41">
        <f>_xlfn.XLOOKUP(_xlfn.XLOOKUP(C920,'Project Details'!$C$17:$C$10003,'Project Details'!$E$17:$E$10003, "",0),dd_design_raw!$A$2:$A$9997,dd_design_raw!$C$2:$C$9997,"",0)</f>
        <v>0</v>
      </c>
      <c r="C920" s="16"/>
      <c r="D920" s="16" t="str" cm="1">
        <f t="array" ref="D920">IF(C920&lt;&gt;"", _xlfn.IFS(I920="Height",_xlfn.XLOOKUP(C920,calc_s60!$C$15:$C$1000,calc_s60!$AR$15:$AR$1000,"",0),  I920="Width", _xlfn.XLOOKUP(C920,calc_s60!$C$15:$C$1000,calc_s60!$AT$15:$AT$1000,"",0)),"")</f>
        <v/>
      </c>
      <c r="E920" s="16" t="str" cm="1">
        <f t="array" ref="E920">IF(C920&lt;&gt;"", _xlfn.XLOOKUP(1,((SKUs!$A$2:$A$10001=cl_unmerged!B920) * (ISNUMBER(SEARCH("Steel-Sash",SKUs!$J$2:$J$10001)))), SKUs!$J$2:$J$10001,""),"")  &amp; _xlfn.IFS(I920="Height", ", H",I920="Height SLI", ", H SLI", I920="Height FIX", ", H FIX",I920="Width", ", W", I920="", "")</f>
        <v/>
      </c>
      <c r="F920" s="33" t="str" cm="1">
        <f t="array" ref="F920">_xlfn.XLOOKUP(1,((SKUs!$A$2:$A$10001=cl_unmerged!B920) * (ISNUMBER(SEARCH("Steel-Sash",SKUs!$J$2:$J$10001)))), SKUs!$C$2:$C$10001,"")</f>
        <v/>
      </c>
      <c r="G920" s="16"/>
      <c r="H920" s="16" t="str" cm="1">
        <f t="array" ref="H920">IF(C920&lt;&gt;"", _xlfn.IFS(I920="Height",_xlfn.XLOOKUP(C920,calc_s60!$C$15:$C$1000,calc_s60!$AQ$15:$AQ$1000,"",0), I920="Width", _xlfn.XLOOKUP(C920,calc_s60!$C$15:$C$1000,calc_s60!$AS$15:$AS$1000,"",0)),"")</f>
        <v/>
      </c>
      <c r="I920" s="16" t="str">
        <f t="shared" si="21"/>
        <v/>
      </c>
    </row>
    <row r="921" spans="1:9" ht="13.5" customHeight="1" x14ac:dyDescent="0.25">
      <c r="A921" s="41" t="str">
        <f>_xlfn.XLOOKUP(G921,dd_color!$A$2:$A$8,dd_color!$B$2:$B$8,"",0)</f>
        <v/>
      </c>
      <c r="B921" s="41">
        <f>_xlfn.XLOOKUP(_xlfn.XLOOKUP(C921,'Project Details'!$C$17:$C$10003,'Project Details'!$E$17:$E$10003, "",0),dd_design_raw!$A$2:$A$9997,dd_design_raw!$C$2:$C$9997,"",0)</f>
        <v>0</v>
      </c>
      <c r="C921" s="16"/>
      <c r="D921" s="16" t="str" cm="1">
        <f t="array" ref="D921">IF(C921&lt;&gt;"", _xlfn.IFS(I921="Height",_xlfn.XLOOKUP(C921,calc_s60!$C$15:$C$1000,calc_s60!$AR$15:$AR$1000,"",0),  I921="Width", _xlfn.XLOOKUP(C921,calc_s60!$C$15:$C$1000,calc_s60!$AT$15:$AT$1000,"",0)),"")</f>
        <v/>
      </c>
      <c r="E921" s="16" t="str" cm="1">
        <f t="array" ref="E921">IF(C921&lt;&gt;"", _xlfn.XLOOKUP(1,((SKUs!$A$2:$A$10001=cl_unmerged!B921) * (ISNUMBER(SEARCH("Steel-Sash",SKUs!$J$2:$J$10001)))), SKUs!$J$2:$J$10001,""),"")  &amp; _xlfn.IFS(I921="Height", ", H",I921="Height SLI", ", H SLI", I921="Height FIX", ", H FIX",I921="Width", ", W", I921="", "")</f>
        <v/>
      </c>
      <c r="F921" s="33" t="str" cm="1">
        <f t="array" ref="F921">_xlfn.XLOOKUP(1,((SKUs!$A$2:$A$10001=cl_unmerged!B921) * (ISNUMBER(SEARCH("Steel-Sash",SKUs!$J$2:$J$10001)))), SKUs!$C$2:$C$10001,"")</f>
        <v/>
      </c>
      <c r="G921" s="16"/>
      <c r="H921" s="16" t="str" cm="1">
        <f t="array" ref="H921">IF(C921&lt;&gt;"", _xlfn.IFS(I921="Height",_xlfn.XLOOKUP(C921,calc_s60!$C$15:$C$1000,calc_s60!$AQ$15:$AQ$1000,"",0), I921="Width", _xlfn.XLOOKUP(C921,calc_s60!$C$15:$C$1000,calc_s60!$AS$15:$AS$1000,"",0)),"")</f>
        <v/>
      </c>
      <c r="I921" s="16" t="str">
        <f t="shared" si="21"/>
        <v/>
      </c>
    </row>
    <row r="922" spans="1:9" ht="13.5" customHeight="1" x14ac:dyDescent="0.25">
      <c r="A922" s="41" t="str">
        <f>_xlfn.XLOOKUP(G922,dd_color!$A$2:$A$8,dd_color!$B$2:$B$8,"",0)</f>
        <v/>
      </c>
      <c r="B922" s="41">
        <f>_xlfn.XLOOKUP(_xlfn.XLOOKUP(C922,'Project Details'!$C$17:$C$10003,'Project Details'!$E$17:$E$10003, "",0),dd_design_raw!$A$2:$A$9997,dd_design_raw!$C$2:$C$9997,"",0)</f>
        <v>0</v>
      </c>
      <c r="C922" s="16"/>
      <c r="D922" s="16" t="str" cm="1">
        <f t="array" ref="D922">IF(C922&lt;&gt;"", _xlfn.IFS(I922="Height",_xlfn.XLOOKUP(C922,calc_s60!$C$15:$C$1000,calc_s60!$AR$15:$AR$1000,"",0),  I922="Width", _xlfn.XLOOKUP(C922,calc_s60!$C$15:$C$1000,calc_s60!$AT$15:$AT$1000,"",0)),"")</f>
        <v/>
      </c>
      <c r="E922" s="16" t="str" cm="1">
        <f t="array" ref="E922">IF(C922&lt;&gt;"", _xlfn.XLOOKUP(1,((SKUs!$A$2:$A$10001=cl_unmerged!B922) * (ISNUMBER(SEARCH("Steel-Sash",SKUs!$J$2:$J$10001)))), SKUs!$J$2:$J$10001,""),"")  &amp; _xlfn.IFS(I922="Height", ", H",I922="Height SLI", ", H SLI", I922="Height FIX", ", H FIX",I922="Width", ", W", I922="", "")</f>
        <v/>
      </c>
      <c r="F922" s="33" t="str" cm="1">
        <f t="array" ref="F922">_xlfn.XLOOKUP(1,((SKUs!$A$2:$A$10001=cl_unmerged!B922) * (ISNUMBER(SEARCH("Steel-Sash",SKUs!$J$2:$J$10001)))), SKUs!$C$2:$C$10001,"")</f>
        <v/>
      </c>
      <c r="G922" s="16"/>
      <c r="H922" s="16" t="str" cm="1">
        <f t="array" ref="H922">IF(C922&lt;&gt;"", _xlfn.IFS(I922="Height",_xlfn.XLOOKUP(C922,calc_s60!$C$15:$C$1000,calc_s60!$AQ$15:$AQ$1000,"",0), I922="Width", _xlfn.XLOOKUP(C922,calc_s60!$C$15:$C$1000,calc_s60!$AS$15:$AS$1000,"",0)),"")</f>
        <v/>
      </c>
      <c r="I922" s="16" t="str">
        <f t="shared" si="21"/>
        <v/>
      </c>
    </row>
    <row r="923" spans="1:9" ht="13.5" customHeight="1" x14ac:dyDescent="0.25">
      <c r="A923" s="41" t="str">
        <f>_xlfn.XLOOKUP(G923,dd_color!$A$2:$A$8,dd_color!$B$2:$B$8,"",0)</f>
        <v/>
      </c>
      <c r="B923" s="41">
        <f>_xlfn.XLOOKUP(_xlfn.XLOOKUP(C923,'Project Details'!$C$17:$C$10003,'Project Details'!$E$17:$E$10003, "",0),dd_design_raw!$A$2:$A$9997,dd_design_raw!$C$2:$C$9997,"",0)</f>
        <v>0</v>
      </c>
      <c r="C923" s="16"/>
      <c r="D923" s="16" t="str" cm="1">
        <f t="array" ref="D923">IF(C923&lt;&gt;"", _xlfn.IFS(I923="Height",_xlfn.XLOOKUP(C923,calc_s60!$C$15:$C$1000,calc_s60!$AR$15:$AR$1000,"",0),  I923="Width", _xlfn.XLOOKUP(C923,calc_s60!$C$15:$C$1000,calc_s60!$AT$15:$AT$1000,"",0)),"")</f>
        <v/>
      </c>
      <c r="E923" s="16" t="str" cm="1">
        <f t="array" ref="E923">IF(C923&lt;&gt;"", _xlfn.XLOOKUP(1,((SKUs!$A$2:$A$10001=cl_unmerged!B923) * (ISNUMBER(SEARCH("Steel-Sash",SKUs!$J$2:$J$10001)))), SKUs!$J$2:$J$10001,""),"")  &amp; _xlfn.IFS(I923="Height", ", H",I923="Height SLI", ", H SLI", I923="Height FIX", ", H FIX",I923="Width", ", W", I923="", "")</f>
        <v/>
      </c>
      <c r="F923" s="33" t="str" cm="1">
        <f t="array" ref="F923">_xlfn.XLOOKUP(1,((SKUs!$A$2:$A$10001=cl_unmerged!B923) * (ISNUMBER(SEARCH("Steel-Sash",SKUs!$J$2:$J$10001)))), SKUs!$C$2:$C$10001,"")</f>
        <v/>
      </c>
      <c r="G923" s="16"/>
      <c r="H923" s="16" t="str" cm="1">
        <f t="array" ref="H923">IF(C923&lt;&gt;"", _xlfn.IFS(I923="Height",_xlfn.XLOOKUP(C923,calc_s60!$C$15:$C$1000,calc_s60!$AQ$15:$AQ$1000,"",0), I923="Width", _xlfn.XLOOKUP(C923,calc_s60!$C$15:$C$1000,calc_s60!$AS$15:$AS$1000,"",0)),"")</f>
        <v/>
      </c>
      <c r="I923" s="16" t="str">
        <f t="shared" si="21"/>
        <v/>
      </c>
    </row>
    <row r="924" spans="1:9" ht="13.5" customHeight="1" x14ac:dyDescent="0.25">
      <c r="A924" s="41" t="str">
        <f>_xlfn.XLOOKUP(G924,dd_color!$A$2:$A$8,dd_color!$B$2:$B$8,"",0)</f>
        <v/>
      </c>
      <c r="B924" s="41">
        <f>_xlfn.XLOOKUP(_xlfn.XLOOKUP(C924,'Project Details'!$C$17:$C$10003,'Project Details'!$E$17:$E$10003, "",0),dd_design_raw!$A$2:$A$9997,dd_design_raw!$C$2:$C$9997,"",0)</f>
        <v>0</v>
      </c>
      <c r="C924" s="16"/>
      <c r="D924" s="16" t="str" cm="1">
        <f t="array" ref="D924">IF(C924&lt;&gt;"", _xlfn.IFS(I924="Height",_xlfn.XLOOKUP(C924,calc_s60!$C$15:$C$1000,calc_s60!$AR$15:$AR$1000,"",0),  I924="Width", _xlfn.XLOOKUP(C924,calc_s60!$C$15:$C$1000,calc_s60!$AT$15:$AT$1000,"",0)),"")</f>
        <v/>
      </c>
      <c r="E924" s="16" t="str" cm="1">
        <f t="array" ref="E924">IF(C924&lt;&gt;"", _xlfn.XLOOKUP(1,((SKUs!$A$2:$A$10001=cl_unmerged!B924) * (ISNUMBER(SEARCH("Steel-Sash",SKUs!$J$2:$J$10001)))), SKUs!$J$2:$J$10001,""),"")  &amp; _xlfn.IFS(I924="Height", ", H",I924="Height SLI", ", H SLI", I924="Height FIX", ", H FIX",I924="Width", ", W", I924="", "")</f>
        <v/>
      </c>
      <c r="F924" s="33" t="str" cm="1">
        <f t="array" ref="F924">_xlfn.XLOOKUP(1,((SKUs!$A$2:$A$10001=cl_unmerged!B924) * (ISNUMBER(SEARCH("Steel-Sash",SKUs!$J$2:$J$10001)))), SKUs!$C$2:$C$10001,"")</f>
        <v/>
      </c>
      <c r="G924" s="16"/>
      <c r="H924" s="16" t="str" cm="1">
        <f t="array" ref="H924">IF(C924&lt;&gt;"", _xlfn.IFS(I924="Height",_xlfn.XLOOKUP(C924,calc_s60!$C$15:$C$1000,calc_s60!$AQ$15:$AQ$1000,"",0), I924="Width", _xlfn.XLOOKUP(C924,calc_s60!$C$15:$C$1000,calc_s60!$AS$15:$AS$1000,"",0)),"")</f>
        <v/>
      </c>
      <c r="I924" s="16" t="str">
        <f t="shared" si="21"/>
        <v/>
      </c>
    </row>
    <row r="925" spans="1:9" ht="13.5" customHeight="1" x14ac:dyDescent="0.25">
      <c r="A925" s="41" t="str">
        <f>_xlfn.XLOOKUP(G925,dd_color!$A$2:$A$8,dd_color!$B$2:$B$8,"",0)</f>
        <v/>
      </c>
      <c r="B925" s="41">
        <f>_xlfn.XLOOKUP(_xlfn.XLOOKUP(C925,'Project Details'!$C$17:$C$10003,'Project Details'!$E$17:$E$10003, "",0),dd_design_raw!$A$2:$A$9997,dd_design_raw!$C$2:$C$9997,"",0)</f>
        <v>0</v>
      </c>
      <c r="C925" s="16"/>
      <c r="D925" s="16" t="str" cm="1">
        <f t="array" ref="D925">IF(C925&lt;&gt;"", _xlfn.IFS(I925="Height",_xlfn.XLOOKUP(C925,calc_s60!$C$15:$C$1000,calc_s60!$AR$15:$AR$1000,"",0),  I925="Width", _xlfn.XLOOKUP(C925,calc_s60!$C$15:$C$1000,calc_s60!$AT$15:$AT$1000,"",0)),"")</f>
        <v/>
      </c>
      <c r="E925" s="16" t="str" cm="1">
        <f t="array" ref="E925">IF(C925&lt;&gt;"", _xlfn.XLOOKUP(1,((SKUs!$A$2:$A$10001=cl_unmerged!B925) * (ISNUMBER(SEARCH("Steel-Sash",SKUs!$J$2:$J$10001)))), SKUs!$J$2:$J$10001,""),"")  &amp; _xlfn.IFS(I925="Height", ", H",I925="Height SLI", ", H SLI", I925="Height FIX", ", H FIX",I925="Width", ", W", I925="", "")</f>
        <v/>
      </c>
      <c r="F925" s="33" t="str" cm="1">
        <f t="array" ref="F925">_xlfn.XLOOKUP(1,((SKUs!$A$2:$A$10001=cl_unmerged!B925) * (ISNUMBER(SEARCH("Steel-Sash",SKUs!$J$2:$J$10001)))), SKUs!$C$2:$C$10001,"")</f>
        <v/>
      </c>
      <c r="G925" s="16"/>
      <c r="H925" s="16" t="str" cm="1">
        <f t="array" ref="H925">IF(C925&lt;&gt;"", _xlfn.IFS(I925="Height",_xlfn.XLOOKUP(C925,calc_s60!$C$15:$C$1000,calc_s60!$AQ$15:$AQ$1000,"",0), I925="Width", _xlfn.XLOOKUP(C925,calc_s60!$C$15:$C$1000,calc_s60!$AS$15:$AS$1000,"",0)),"")</f>
        <v/>
      </c>
      <c r="I925" s="16" t="str">
        <f t="shared" si="21"/>
        <v/>
      </c>
    </row>
    <row r="926" spans="1:9" ht="13.5" customHeight="1" x14ac:dyDescent="0.25">
      <c r="A926" s="41" t="str">
        <f>_xlfn.XLOOKUP(G926,dd_color!$A$2:$A$8,dd_color!$B$2:$B$8,"",0)</f>
        <v/>
      </c>
      <c r="B926" s="41">
        <f>_xlfn.XLOOKUP(_xlfn.XLOOKUP(C926,'Project Details'!$C$17:$C$10003,'Project Details'!$E$17:$E$10003, "",0),dd_design_raw!$A$2:$A$9997,dd_design_raw!$C$2:$C$9997,"",0)</f>
        <v>0</v>
      </c>
      <c r="C926" s="16"/>
      <c r="D926" s="16" t="str" cm="1">
        <f t="array" ref="D926">IF(C926&lt;&gt;"", _xlfn.IFS(I926="Height",_xlfn.XLOOKUP(C926,calc_s60!$C$15:$C$1000,calc_s60!$AR$15:$AR$1000,"",0),  I926="Width", _xlfn.XLOOKUP(C926,calc_s60!$C$15:$C$1000,calc_s60!$AT$15:$AT$1000,"",0)),"")</f>
        <v/>
      </c>
      <c r="E926" s="16" t="str" cm="1">
        <f t="array" ref="E926">IF(C926&lt;&gt;"", _xlfn.XLOOKUP(1,((SKUs!$A$2:$A$10001=cl_unmerged!B926) * (ISNUMBER(SEARCH("Steel-Sash",SKUs!$J$2:$J$10001)))), SKUs!$J$2:$J$10001,""),"")  &amp; _xlfn.IFS(I926="Height", ", H",I926="Height SLI", ", H SLI", I926="Height FIX", ", H FIX",I926="Width", ", W", I926="", "")</f>
        <v/>
      </c>
      <c r="F926" s="33" t="str" cm="1">
        <f t="array" ref="F926">_xlfn.XLOOKUP(1,((SKUs!$A$2:$A$10001=cl_unmerged!B926) * (ISNUMBER(SEARCH("Steel-Sash",SKUs!$J$2:$J$10001)))), SKUs!$C$2:$C$10001,"")</f>
        <v/>
      </c>
      <c r="G926" s="16"/>
      <c r="H926" s="16" t="str" cm="1">
        <f t="array" ref="H926">IF(C926&lt;&gt;"", _xlfn.IFS(I926="Height",_xlfn.XLOOKUP(C926,calc_s60!$C$15:$C$1000,calc_s60!$AQ$15:$AQ$1000,"",0), I926="Width", _xlfn.XLOOKUP(C926,calc_s60!$C$15:$C$1000,calc_s60!$AS$15:$AS$1000,"",0)),"")</f>
        <v/>
      </c>
      <c r="I926" s="16" t="str">
        <f t="shared" si="21"/>
        <v/>
      </c>
    </row>
    <row r="927" spans="1:9" ht="13.5" customHeight="1" x14ac:dyDescent="0.25">
      <c r="A927" s="41" t="str">
        <f>_xlfn.XLOOKUP(G927,dd_color!$A$2:$A$8,dd_color!$B$2:$B$8,"",0)</f>
        <v/>
      </c>
      <c r="B927" s="41">
        <f>_xlfn.XLOOKUP(_xlfn.XLOOKUP(C927,'Project Details'!$C$17:$C$10003,'Project Details'!$E$17:$E$10003, "",0),dd_design_raw!$A$2:$A$9997,dd_design_raw!$C$2:$C$9997,"",0)</f>
        <v>0</v>
      </c>
      <c r="C927" s="16"/>
      <c r="D927" s="16" t="str" cm="1">
        <f t="array" ref="D927">IF(C927&lt;&gt;"", _xlfn.IFS(I927="Height",_xlfn.XLOOKUP(C927,calc_s60!$C$15:$C$1000,calc_s60!$AR$15:$AR$1000,"",0),  I927="Width", _xlfn.XLOOKUP(C927,calc_s60!$C$15:$C$1000,calc_s60!$AT$15:$AT$1000,"",0)),"")</f>
        <v/>
      </c>
      <c r="E927" s="16" t="str" cm="1">
        <f t="array" ref="E927">IF(C927&lt;&gt;"", _xlfn.XLOOKUP(1,((SKUs!$A$2:$A$10001=cl_unmerged!B927) * (ISNUMBER(SEARCH("Steel-Sash",SKUs!$J$2:$J$10001)))), SKUs!$J$2:$J$10001,""),"")  &amp; _xlfn.IFS(I927="Height", ", H",I927="Height SLI", ", H SLI", I927="Height FIX", ", H FIX",I927="Width", ", W", I927="", "")</f>
        <v/>
      </c>
      <c r="F927" s="33" t="str" cm="1">
        <f t="array" ref="F927">_xlfn.XLOOKUP(1,((SKUs!$A$2:$A$10001=cl_unmerged!B927) * (ISNUMBER(SEARCH("Steel-Sash",SKUs!$J$2:$J$10001)))), SKUs!$C$2:$C$10001,"")</f>
        <v/>
      </c>
      <c r="G927" s="16"/>
      <c r="H927" s="16" t="str" cm="1">
        <f t="array" ref="H927">IF(C927&lt;&gt;"", _xlfn.IFS(I927="Height",_xlfn.XLOOKUP(C927,calc_s60!$C$15:$C$1000,calc_s60!$AQ$15:$AQ$1000,"",0), I927="Width", _xlfn.XLOOKUP(C927,calc_s60!$C$15:$C$1000,calc_s60!$AS$15:$AS$1000,"",0)),"")</f>
        <v/>
      </c>
      <c r="I927" s="16" t="str">
        <f t="shared" si="21"/>
        <v/>
      </c>
    </row>
    <row r="928" spans="1:9" ht="13.5" customHeight="1" x14ac:dyDescent="0.25">
      <c r="A928" s="41" t="str">
        <f>_xlfn.XLOOKUP(G928,dd_color!$A$2:$A$8,dd_color!$B$2:$B$8,"",0)</f>
        <v/>
      </c>
      <c r="B928" s="41">
        <f>_xlfn.XLOOKUP(_xlfn.XLOOKUP(C928,'Project Details'!$C$17:$C$10003,'Project Details'!$E$17:$E$10003, "",0),dd_design_raw!$A$2:$A$9997,dd_design_raw!$C$2:$C$9997,"",0)</f>
        <v>0</v>
      </c>
      <c r="C928" s="16"/>
      <c r="D928" s="16" t="str" cm="1">
        <f t="array" ref="D928">IF(C928&lt;&gt;"", _xlfn.IFS(I928="Height",_xlfn.XLOOKUP(C928,calc_s60!$C$15:$C$1000,calc_s60!$AR$15:$AR$1000,"",0),  I928="Width", _xlfn.XLOOKUP(C928,calc_s60!$C$15:$C$1000,calc_s60!$AT$15:$AT$1000,"",0)),"")</f>
        <v/>
      </c>
      <c r="E928" s="16" t="str" cm="1">
        <f t="array" ref="E928">IF(C928&lt;&gt;"", _xlfn.XLOOKUP(1,((SKUs!$A$2:$A$10001=cl_unmerged!B928) * (ISNUMBER(SEARCH("Steel-Sash",SKUs!$J$2:$J$10001)))), SKUs!$J$2:$J$10001,""),"")  &amp; _xlfn.IFS(I928="Height", ", H",I928="Height SLI", ", H SLI", I928="Height FIX", ", H FIX",I928="Width", ", W", I928="", "")</f>
        <v/>
      </c>
      <c r="F928" s="33" t="str" cm="1">
        <f t="array" ref="F928">_xlfn.XLOOKUP(1,((SKUs!$A$2:$A$10001=cl_unmerged!B928) * (ISNUMBER(SEARCH("Steel-Sash",SKUs!$J$2:$J$10001)))), SKUs!$C$2:$C$10001,"")</f>
        <v/>
      </c>
      <c r="G928" s="16"/>
      <c r="H928" s="16" t="str" cm="1">
        <f t="array" ref="H928">IF(C928&lt;&gt;"", _xlfn.IFS(I928="Height",_xlfn.XLOOKUP(C928,calc_s60!$C$15:$C$1000,calc_s60!$AQ$15:$AQ$1000,"",0), I928="Width", _xlfn.XLOOKUP(C928,calc_s60!$C$15:$C$1000,calc_s60!$AS$15:$AS$1000,"",0)),"")</f>
        <v/>
      </c>
      <c r="I928" s="16" t="str">
        <f t="shared" si="21"/>
        <v/>
      </c>
    </row>
    <row r="929" spans="1:9" ht="13.5" customHeight="1" x14ac:dyDescent="0.25">
      <c r="A929" s="41" t="str">
        <f>_xlfn.XLOOKUP(G929,dd_color!$A$2:$A$8,dd_color!$B$2:$B$8,"",0)</f>
        <v/>
      </c>
      <c r="B929" s="41">
        <f>_xlfn.XLOOKUP(_xlfn.XLOOKUP(C929,'Project Details'!$C$17:$C$10003,'Project Details'!$E$17:$E$10003, "",0),dd_design_raw!$A$2:$A$9997,dd_design_raw!$C$2:$C$9997,"",0)</f>
        <v>0</v>
      </c>
      <c r="C929" s="16"/>
      <c r="D929" s="16" t="str" cm="1">
        <f t="array" ref="D929">IF(C929&lt;&gt;"", _xlfn.IFS(I929="Height",_xlfn.XLOOKUP(C929,calc_s60!$C$15:$C$1000,calc_s60!$AR$15:$AR$1000,"",0),  I929="Width", _xlfn.XLOOKUP(C929,calc_s60!$C$15:$C$1000,calc_s60!$AT$15:$AT$1000,"",0)),"")</f>
        <v/>
      </c>
      <c r="E929" s="16" t="str" cm="1">
        <f t="array" ref="E929">IF(C929&lt;&gt;"", _xlfn.XLOOKUP(1,((SKUs!$A$2:$A$10001=cl_unmerged!B929) * (ISNUMBER(SEARCH("Steel-Sash",SKUs!$J$2:$J$10001)))), SKUs!$J$2:$J$10001,""),"")  &amp; _xlfn.IFS(I929="Height", ", H",I929="Height SLI", ", H SLI", I929="Height FIX", ", H FIX",I929="Width", ", W", I929="", "")</f>
        <v/>
      </c>
      <c r="F929" s="33" t="str" cm="1">
        <f t="array" ref="F929">_xlfn.XLOOKUP(1,((SKUs!$A$2:$A$10001=cl_unmerged!B929) * (ISNUMBER(SEARCH("Steel-Sash",SKUs!$J$2:$J$10001)))), SKUs!$C$2:$C$10001,"")</f>
        <v/>
      </c>
      <c r="G929" s="16"/>
      <c r="H929" s="16" t="str" cm="1">
        <f t="array" ref="H929">IF(C929&lt;&gt;"", _xlfn.IFS(I929="Height",_xlfn.XLOOKUP(C929,calc_s60!$C$15:$C$1000,calc_s60!$AQ$15:$AQ$1000,"",0), I929="Width", _xlfn.XLOOKUP(C929,calc_s60!$C$15:$C$1000,calc_s60!$AS$15:$AS$1000,"",0)),"")</f>
        <v/>
      </c>
      <c r="I929" s="16" t="str">
        <f t="shared" si="21"/>
        <v/>
      </c>
    </row>
    <row r="930" spans="1:9" ht="13.5" customHeight="1" x14ac:dyDescent="0.25">
      <c r="A930" s="41" t="str">
        <f>_xlfn.XLOOKUP(G930,dd_color!$A$2:$A$8,dd_color!$B$2:$B$8,"",0)</f>
        <v/>
      </c>
      <c r="B930" s="41">
        <f>_xlfn.XLOOKUP(_xlfn.XLOOKUP(C930,'Project Details'!$C$17:$C$10003,'Project Details'!$E$17:$E$10003, "",0),dd_design_raw!$A$2:$A$9997,dd_design_raw!$C$2:$C$9997,"",0)</f>
        <v>0</v>
      </c>
      <c r="C930" s="16"/>
      <c r="D930" s="16" t="str" cm="1">
        <f t="array" ref="D930">IF(C930&lt;&gt;"", _xlfn.IFS(I930="Height",_xlfn.XLOOKUP(C930,calc_s60!$C$15:$C$1000,calc_s60!$AR$15:$AR$1000,"",0),  I930="Width", _xlfn.XLOOKUP(C930,calc_s60!$C$15:$C$1000,calc_s60!$AT$15:$AT$1000,"",0)),"")</f>
        <v/>
      </c>
      <c r="E930" s="16" t="str" cm="1">
        <f t="array" ref="E930">IF(C930&lt;&gt;"", _xlfn.XLOOKUP(1,((SKUs!$A$2:$A$10001=cl_unmerged!B930) * (ISNUMBER(SEARCH("Steel-Sash",SKUs!$J$2:$J$10001)))), SKUs!$J$2:$J$10001,""),"")  &amp; _xlfn.IFS(I930="Height", ", H",I930="Height SLI", ", H SLI", I930="Height FIX", ", H FIX",I930="Width", ", W", I930="", "")</f>
        <v/>
      </c>
      <c r="F930" s="33" t="str" cm="1">
        <f t="array" ref="F930">_xlfn.XLOOKUP(1,((SKUs!$A$2:$A$10001=cl_unmerged!B930) * (ISNUMBER(SEARCH("Steel-Sash",SKUs!$J$2:$J$10001)))), SKUs!$C$2:$C$10001,"")</f>
        <v/>
      </c>
      <c r="G930" s="16"/>
      <c r="H930" s="16" t="str" cm="1">
        <f t="array" ref="H930">IF(C930&lt;&gt;"", _xlfn.IFS(I930="Height",_xlfn.XLOOKUP(C930,calc_s60!$C$15:$C$1000,calc_s60!$AQ$15:$AQ$1000,"",0), I930="Width", _xlfn.XLOOKUP(C930,calc_s60!$C$15:$C$1000,calc_s60!$AS$15:$AS$1000,"",0)),"")</f>
        <v/>
      </c>
      <c r="I930" s="16" t="str">
        <f t="shared" si="21"/>
        <v/>
      </c>
    </row>
    <row r="931" spans="1:9" ht="13.5" customHeight="1" x14ac:dyDescent="0.25">
      <c r="A931" s="41" t="str">
        <f>_xlfn.XLOOKUP(G931,dd_color!$A$2:$A$8,dd_color!$B$2:$B$8,"",0)</f>
        <v/>
      </c>
      <c r="B931" s="41">
        <f>_xlfn.XLOOKUP(_xlfn.XLOOKUP(C931,'Project Details'!$C$17:$C$10003,'Project Details'!$E$17:$E$10003, "",0),dd_design_raw!$A$2:$A$9997,dd_design_raw!$C$2:$C$9997,"",0)</f>
        <v>0</v>
      </c>
      <c r="C931" s="16"/>
      <c r="D931" s="16" t="str" cm="1">
        <f t="array" ref="D931">IF(C931&lt;&gt;"", _xlfn.IFS(I931="Height",_xlfn.XLOOKUP(C931,calc_s60!$C$15:$C$1000,calc_s60!$AR$15:$AR$1000,"",0),  I931="Width", _xlfn.XLOOKUP(C931,calc_s60!$C$15:$C$1000,calc_s60!$AT$15:$AT$1000,"",0)),"")</f>
        <v/>
      </c>
      <c r="E931" s="16" t="str" cm="1">
        <f t="array" ref="E931">IF(C931&lt;&gt;"", _xlfn.XLOOKUP(1,((SKUs!$A$2:$A$10001=cl_unmerged!B931) * (ISNUMBER(SEARCH("Steel-Sash",SKUs!$J$2:$J$10001)))), SKUs!$J$2:$J$10001,""),"")  &amp; _xlfn.IFS(I931="Height", ", H",I931="Height SLI", ", H SLI", I931="Height FIX", ", H FIX",I931="Width", ", W", I931="", "")</f>
        <v/>
      </c>
      <c r="F931" s="33" t="str" cm="1">
        <f t="array" ref="F931">_xlfn.XLOOKUP(1,((SKUs!$A$2:$A$10001=cl_unmerged!B931) * (ISNUMBER(SEARCH("Steel-Sash",SKUs!$J$2:$J$10001)))), SKUs!$C$2:$C$10001,"")</f>
        <v/>
      </c>
      <c r="G931" s="16"/>
      <c r="H931" s="16" t="str" cm="1">
        <f t="array" ref="H931">IF(C931&lt;&gt;"", _xlfn.IFS(I931="Height",_xlfn.XLOOKUP(C931,calc_s60!$C$15:$C$1000,calc_s60!$AQ$15:$AQ$1000,"",0), I931="Width", _xlfn.XLOOKUP(C931,calc_s60!$C$15:$C$1000,calc_s60!$AS$15:$AS$1000,"",0)),"")</f>
        <v/>
      </c>
      <c r="I931" s="16" t="str">
        <f t="shared" si="21"/>
        <v/>
      </c>
    </row>
    <row r="932" spans="1:9" ht="13.5" customHeight="1" x14ac:dyDescent="0.25">
      <c r="A932" s="41" t="str">
        <f>_xlfn.XLOOKUP(G932,dd_color!$A$2:$A$8,dd_color!$B$2:$B$8,"",0)</f>
        <v/>
      </c>
      <c r="B932" s="41">
        <f>_xlfn.XLOOKUP(_xlfn.XLOOKUP(C932,'Project Details'!$C$17:$C$10003,'Project Details'!$E$17:$E$10003, "",0),dd_design_raw!$A$2:$A$9997,dd_design_raw!$C$2:$C$9997,"",0)</f>
        <v>0</v>
      </c>
      <c r="C932" s="16"/>
      <c r="D932" s="16" t="str" cm="1">
        <f t="array" ref="D932">IF(C932&lt;&gt;"", _xlfn.IFS(I932="Height",_xlfn.XLOOKUP(C932,calc_s60!$C$15:$C$1000,calc_s60!$AR$15:$AR$1000,"",0),  I932="Width", _xlfn.XLOOKUP(C932,calc_s60!$C$15:$C$1000,calc_s60!$AT$15:$AT$1000,"",0)),"")</f>
        <v/>
      </c>
      <c r="E932" s="16" t="str" cm="1">
        <f t="array" ref="E932">IF(C932&lt;&gt;"", _xlfn.XLOOKUP(1,((SKUs!$A$2:$A$10001=cl_unmerged!B932) * (ISNUMBER(SEARCH("Steel-Sash",SKUs!$J$2:$J$10001)))), SKUs!$J$2:$J$10001,""),"")  &amp; _xlfn.IFS(I932="Height", ", H",I932="Height SLI", ", H SLI", I932="Height FIX", ", H FIX",I932="Width", ", W", I932="", "")</f>
        <v/>
      </c>
      <c r="F932" s="33" t="str" cm="1">
        <f t="array" ref="F932">_xlfn.XLOOKUP(1,((SKUs!$A$2:$A$10001=cl_unmerged!B932) * (ISNUMBER(SEARCH("Steel-Sash",SKUs!$J$2:$J$10001)))), SKUs!$C$2:$C$10001,"")</f>
        <v/>
      </c>
      <c r="G932" s="16"/>
      <c r="H932" s="16" t="str" cm="1">
        <f t="array" ref="H932">IF(C932&lt;&gt;"", _xlfn.IFS(I932="Height",_xlfn.XLOOKUP(C932,calc_s60!$C$15:$C$1000,calc_s60!$AQ$15:$AQ$1000,"",0), I932="Width", _xlfn.XLOOKUP(C932,calc_s60!$C$15:$C$1000,calc_s60!$AS$15:$AS$1000,"",0)),"")</f>
        <v/>
      </c>
      <c r="I932" s="16" t="str">
        <f t="shared" si="21"/>
        <v/>
      </c>
    </row>
    <row r="933" spans="1:9" ht="13.5" customHeight="1" x14ac:dyDescent="0.25">
      <c r="A933" s="41" t="str">
        <f>_xlfn.XLOOKUP(G933,dd_color!$A$2:$A$8,dd_color!$B$2:$B$8,"",0)</f>
        <v/>
      </c>
      <c r="B933" s="41">
        <f>_xlfn.XLOOKUP(_xlfn.XLOOKUP(C933,'Project Details'!$C$17:$C$10003,'Project Details'!$E$17:$E$10003, "",0),dd_design_raw!$A$2:$A$9997,dd_design_raw!$C$2:$C$9997,"",0)</f>
        <v>0</v>
      </c>
      <c r="C933" s="16"/>
      <c r="D933" s="16" t="str" cm="1">
        <f t="array" ref="D933">IF(C933&lt;&gt;"", _xlfn.IFS(I933="Height",_xlfn.XLOOKUP(C933,calc_s60!$C$15:$C$1000,calc_s60!$AR$15:$AR$1000,"",0),  I933="Width", _xlfn.XLOOKUP(C933,calc_s60!$C$15:$C$1000,calc_s60!$AT$15:$AT$1000,"",0)),"")</f>
        <v/>
      </c>
      <c r="E933" s="16" t="str" cm="1">
        <f t="array" ref="E933">IF(C933&lt;&gt;"", _xlfn.XLOOKUP(1,((SKUs!$A$2:$A$10001=cl_unmerged!B933) * (ISNUMBER(SEARCH("Steel-Sash",SKUs!$J$2:$J$10001)))), SKUs!$J$2:$J$10001,""),"")  &amp; _xlfn.IFS(I933="Height", ", H",I933="Height SLI", ", H SLI", I933="Height FIX", ", H FIX",I933="Width", ", W", I933="", "")</f>
        <v/>
      </c>
      <c r="F933" s="33" t="str" cm="1">
        <f t="array" ref="F933">_xlfn.XLOOKUP(1,((SKUs!$A$2:$A$10001=cl_unmerged!B933) * (ISNUMBER(SEARCH("Steel-Sash",SKUs!$J$2:$J$10001)))), SKUs!$C$2:$C$10001,"")</f>
        <v/>
      </c>
      <c r="G933" s="16"/>
      <c r="H933" s="16" t="str" cm="1">
        <f t="array" ref="H933">IF(C933&lt;&gt;"", _xlfn.IFS(I933="Height",_xlfn.XLOOKUP(C933,calc_s60!$C$15:$C$1000,calc_s60!$AQ$15:$AQ$1000,"",0), I933="Width", _xlfn.XLOOKUP(C933,calc_s60!$C$15:$C$1000,calc_s60!$AS$15:$AS$1000,"",0)),"")</f>
        <v/>
      </c>
      <c r="I933" s="16" t="str">
        <f t="shared" si="21"/>
        <v/>
      </c>
    </row>
    <row r="934" spans="1:9" ht="13.5" customHeight="1" x14ac:dyDescent="0.25">
      <c r="A934" s="41" t="str">
        <f>_xlfn.XLOOKUP(G934,dd_color!$A$2:$A$8,dd_color!$B$2:$B$8,"",0)</f>
        <v/>
      </c>
      <c r="B934" s="41">
        <f>_xlfn.XLOOKUP(_xlfn.XLOOKUP(C934,'Project Details'!$C$17:$C$10003,'Project Details'!$E$17:$E$10003, "",0),dd_design_raw!$A$2:$A$9997,dd_design_raw!$C$2:$C$9997,"",0)</f>
        <v>0</v>
      </c>
      <c r="C934" s="16"/>
      <c r="D934" s="16" t="str" cm="1">
        <f t="array" ref="D934">IF(C934&lt;&gt;"", _xlfn.IFS(I934="Height",_xlfn.XLOOKUP(C934,calc_s60!$C$15:$C$1000,calc_s60!$AR$15:$AR$1000,"",0),  I934="Width", _xlfn.XLOOKUP(C934,calc_s60!$C$15:$C$1000,calc_s60!$AT$15:$AT$1000,"",0)),"")</f>
        <v/>
      </c>
      <c r="E934" s="16" t="str" cm="1">
        <f t="array" ref="E934">IF(C934&lt;&gt;"", _xlfn.XLOOKUP(1,((SKUs!$A$2:$A$10001=cl_unmerged!B934) * (ISNUMBER(SEARCH("Steel-Sash",SKUs!$J$2:$J$10001)))), SKUs!$J$2:$J$10001,""),"")  &amp; _xlfn.IFS(I934="Height", ", H",I934="Height SLI", ", H SLI", I934="Height FIX", ", H FIX",I934="Width", ", W", I934="", "")</f>
        <v/>
      </c>
      <c r="F934" s="33" t="str" cm="1">
        <f t="array" ref="F934">_xlfn.XLOOKUP(1,((SKUs!$A$2:$A$10001=cl_unmerged!B934) * (ISNUMBER(SEARCH("Steel-Sash",SKUs!$J$2:$J$10001)))), SKUs!$C$2:$C$10001,"")</f>
        <v/>
      </c>
      <c r="G934" s="16"/>
      <c r="H934" s="16" t="str" cm="1">
        <f t="array" ref="H934">IF(C934&lt;&gt;"", _xlfn.IFS(I934="Height",_xlfn.XLOOKUP(C934,calc_s60!$C$15:$C$1000,calc_s60!$AQ$15:$AQ$1000,"",0), I934="Width", _xlfn.XLOOKUP(C934,calc_s60!$C$15:$C$1000,calc_s60!$AS$15:$AS$1000,"",0)),"")</f>
        <v/>
      </c>
      <c r="I934" s="16" t="str">
        <f t="shared" si="21"/>
        <v/>
      </c>
    </row>
    <row r="935" spans="1:9" ht="13.5" customHeight="1" x14ac:dyDescent="0.25">
      <c r="A935" s="41" t="str">
        <f>_xlfn.XLOOKUP(G935,dd_color!$A$2:$A$8,dd_color!$B$2:$B$8,"",0)</f>
        <v/>
      </c>
      <c r="B935" s="41">
        <f>_xlfn.XLOOKUP(_xlfn.XLOOKUP(C935,'Project Details'!$C$17:$C$10003,'Project Details'!$E$17:$E$10003, "",0),dd_design_raw!$A$2:$A$9997,dd_design_raw!$C$2:$C$9997,"",0)</f>
        <v>0</v>
      </c>
      <c r="C935" s="16"/>
      <c r="D935" s="16" t="str" cm="1">
        <f t="array" ref="D935">IF(C935&lt;&gt;"", _xlfn.IFS(I935="Height",_xlfn.XLOOKUP(C935,calc_s60!$C$15:$C$1000,calc_s60!$AR$15:$AR$1000,"",0),  I935="Width", _xlfn.XLOOKUP(C935,calc_s60!$C$15:$C$1000,calc_s60!$AT$15:$AT$1000,"",0)),"")</f>
        <v/>
      </c>
      <c r="E935" s="16" t="str" cm="1">
        <f t="array" ref="E935">IF(C935&lt;&gt;"", _xlfn.XLOOKUP(1,((SKUs!$A$2:$A$10001=cl_unmerged!B935) * (ISNUMBER(SEARCH("Steel-Sash",SKUs!$J$2:$J$10001)))), SKUs!$J$2:$J$10001,""),"")  &amp; _xlfn.IFS(I935="Height", ", H",I935="Height SLI", ", H SLI", I935="Height FIX", ", H FIX",I935="Width", ", W", I935="", "")</f>
        <v/>
      </c>
      <c r="F935" s="33" t="str" cm="1">
        <f t="array" ref="F935">_xlfn.XLOOKUP(1,((SKUs!$A$2:$A$10001=cl_unmerged!B935) * (ISNUMBER(SEARCH("Steel-Sash",SKUs!$J$2:$J$10001)))), SKUs!$C$2:$C$10001,"")</f>
        <v/>
      </c>
      <c r="G935" s="16"/>
      <c r="H935" s="16" t="str" cm="1">
        <f t="array" ref="H935">IF(C935&lt;&gt;"", _xlfn.IFS(I935="Height",_xlfn.XLOOKUP(C935,calc_s60!$C$15:$C$1000,calc_s60!$AQ$15:$AQ$1000,"",0), I935="Width", _xlfn.XLOOKUP(C935,calc_s60!$C$15:$C$1000,calc_s60!$AS$15:$AS$1000,"",0)),"")</f>
        <v/>
      </c>
      <c r="I935" s="16" t="str">
        <f t="shared" si="21"/>
        <v/>
      </c>
    </row>
    <row r="936" spans="1:9" ht="13.5" customHeight="1" x14ac:dyDescent="0.25">
      <c r="A936" s="41" t="str">
        <f>_xlfn.XLOOKUP(G936,dd_color!$A$2:$A$8,dd_color!$B$2:$B$8,"",0)</f>
        <v/>
      </c>
      <c r="B936" s="41">
        <f>_xlfn.XLOOKUP(_xlfn.XLOOKUP(C936,'Project Details'!$C$17:$C$10003,'Project Details'!$E$17:$E$10003, "",0),dd_design_raw!$A$2:$A$9997,dd_design_raw!$C$2:$C$9997,"",0)</f>
        <v>0</v>
      </c>
      <c r="C936" s="16"/>
      <c r="D936" s="16" t="str" cm="1">
        <f t="array" ref="D936">IF(C936&lt;&gt;"", _xlfn.IFS(I936="Height",_xlfn.XLOOKUP(C936,calc_s60!$C$15:$C$1000,calc_s60!$AR$15:$AR$1000,"",0),  I936="Width", _xlfn.XLOOKUP(C936,calc_s60!$C$15:$C$1000,calc_s60!$AT$15:$AT$1000,"",0)),"")</f>
        <v/>
      </c>
      <c r="E936" s="16" t="str" cm="1">
        <f t="array" ref="E936">IF(C936&lt;&gt;"", _xlfn.XLOOKUP(1,((SKUs!$A$2:$A$10001=cl_unmerged!B936) * (ISNUMBER(SEARCH("Steel-Sash",SKUs!$J$2:$J$10001)))), SKUs!$J$2:$J$10001,""),"")  &amp; _xlfn.IFS(I936="Height", ", H",I936="Height SLI", ", H SLI", I936="Height FIX", ", H FIX",I936="Width", ", W", I936="", "")</f>
        <v/>
      </c>
      <c r="F936" s="33" t="str" cm="1">
        <f t="array" ref="F936">_xlfn.XLOOKUP(1,((SKUs!$A$2:$A$10001=cl_unmerged!B936) * (ISNUMBER(SEARCH("Steel-Sash",SKUs!$J$2:$J$10001)))), SKUs!$C$2:$C$10001,"")</f>
        <v/>
      </c>
      <c r="G936" s="16"/>
      <c r="H936" s="16" t="str" cm="1">
        <f t="array" ref="H936">IF(C936&lt;&gt;"", _xlfn.IFS(I936="Height",_xlfn.XLOOKUP(C936,calc_s60!$C$15:$C$1000,calc_s60!$AQ$15:$AQ$1000,"",0), I936="Width", _xlfn.XLOOKUP(C936,calc_s60!$C$15:$C$1000,calc_s60!$AS$15:$AS$1000,"",0)),"")</f>
        <v/>
      </c>
      <c r="I936" s="16" t="str">
        <f t="shared" si="21"/>
        <v/>
      </c>
    </row>
    <row r="937" spans="1:9" ht="13.5" customHeight="1" x14ac:dyDescent="0.25">
      <c r="A937" s="41" t="str">
        <f>_xlfn.XLOOKUP(G937,dd_color!$A$2:$A$8,dd_color!$B$2:$B$8,"",0)</f>
        <v/>
      </c>
      <c r="B937" s="41">
        <f>_xlfn.XLOOKUP(_xlfn.XLOOKUP(C937,'Project Details'!$C$17:$C$10003,'Project Details'!$E$17:$E$10003, "",0),dd_design_raw!$A$2:$A$9997,dd_design_raw!$C$2:$C$9997,"",0)</f>
        <v>0</v>
      </c>
      <c r="C937" s="16"/>
      <c r="D937" s="16" t="str" cm="1">
        <f t="array" ref="D937">IF(C937&lt;&gt;"", _xlfn.IFS(I937="Height",_xlfn.XLOOKUP(C937,calc_s60!$C$15:$C$1000,calc_s60!$AR$15:$AR$1000,"",0),  I937="Width", _xlfn.XLOOKUP(C937,calc_s60!$C$15:$C$1000,calc_s60!$AT$15:$AT$1000,"",0)),"")</f>
        <v/>
      </c>
      <c r="E937" s="16" t="str" cm="1">
        <f t="array" ref="E937">IF(C937&lt;&gt;"", _xlfn.XLOOKUP(1,((SKUs!$A$2:$A$10001=cl_unmerged!B937) * (ISNUMBER(SEARCH("Steel-Sash",SKUs!$J$2:$J$10001)))), SKUs!$J$2:$J$10001,""),"")  &amp; _xlfn.IFS(I937="Height", ", H",I937="Height SLI", ", H SLI", I937="Height FIX", ", H FIX",I937="Width", ", W", I937="", "")</f>
        <v/>
      </c>
      <c r="F937" s="33" t="str" cm="1">
        <f t="array" ref="F937">_xlfn.XLOOKUP(1,((SKUs!$A$2:$A$10001=cl_unmerged!B937) * (ISNUMBER(SEARCH("Steel-Sash",SKUs!$J$2:$J$10001)))), SKUs!$C$2:$C$10001,"")</f>
        <v/>
      </c>
      <c r="G937" s="16"/>
      <c r="H937" s="16" t="str" cm="1">
        <f t="array" ref="H937">IF(C937&lt;&gt;"", _xlfn.IFS(I937="Height",_xlfn.XLOOKUP(C937,calc_s60!$C$15:$C$1000,calc_s60!$AQ$15:$AQ$1000,"",0), I937="Width", _xlfn.XLOOKUP(C937,calc_s60!$C$15:$C$1000,calc_s60!$AS$15:$AS$1000,"",0)),"")</f>
        <v/>
      </c>
      <c r="I937" s="16" t="str">
        <f t="shared" si="21"/>
        <v/>
      </c>
    </row>
    <row r="938" spans="1:9" ht="13.5" customHeight="1" x14ac:dyDescent="0.25">
      <c r="A938" s="41" t="str">
        <f>_xlfn.XLOOKUP(G938,dd_color!$A$2:$A$8,dd_color!$B$2:$B$8,"",0)</f>
        <v/>
      </c>
      <c r="B938" s="41">
        <f>_xlfn.XLOOKUP(_xlfn.XLOOKUP(C938,'Project Details'!$C$17:$C$10003,'Project Details'!$E$17:$E$10003, "",0),dd_design_raw!$A$2:$A$9997,dd_design_raw!$C$2:$C$9997,"",0)</f>
        <v>0</v>
      </c>
      <c r="C938" s="16"/>
      <c r="D938" s="16" t="str" cm="1">
        <f t="array" ref="D938">IF(C938&lt;&gt;"", _xlfn.IFS(I938="Height",_xlfn.XLOOKUP(C938,calc_s60!$C$15:$C$1000,calc_s60!$AR$15:$AR$1000,"",0),  I938="Width", _xlfn.XLOOKUP(C938,calc_s60!$C$15:$C$1000,calc_s60!$AT$15:$AT$1000,"",0)),"")</f>
        <v/>
      </c>
      <c r="E938" s="16" t="str" cm="1">
        <f t="array" ref="E938">IF(C938&lt;&gt;"", _xlfn.XLOOKUP(1,((SKUs!$A$2:$A$10001=cl_unmerged!B938) * (ISNUMBER(SEARCH("Steel-Sash",SKUs!$J$2:$J$10001)))), SKUs!$J$2:$J$10001,""),"")  &amp; _xlfn.IFS(I938="Height", ", H",I938="Height SLI", ", H SLI", I938="Height FIX", ", H FIX",I938="Width", ", W", I938="", "")</f>
        <v/>
      </c>
      <c r="F938" s="33" t="str" cm="1">
        <f t="array" ref="F938">_xlfn.XLOOKUP(1,((SKUs!$A$2:$A$10001=cl_unmerged!B938) * (ISNUMBER(SEARCH("Steel-Sash",SKUs!$J$2:$J$10001)))), SKUs!$C$2:$C$10001,"")</f>
        <v/>
      </c>
      <c r="G938" s="16"/>
      <c r="H938" s="16" t="str" cm="1">
        <f t="array" ref="H938">IF(C938&lt;&gt;"", _xlfn.IFS(I938="Height",_xlfn.XLOOKUP(C938,calc_s60!$C$15:$C$1000,calc_s60!$AQ$15:$AQ$1000,"",0), I938="Width", _xlfn.XLOOKUP(C938,calc_s60!$C$15:$C$1000,calc_s60!$AS$15:$AS$1000,"",0)),"")</f>
        <v/>
      </c>
      <c r="I938" s="16" t="str">
        <f t="shared" si="21"/>
        <v/>
      </c>
    </row>
    <row r="939" spans="1:9" ht="13.5" customHeight="1" x14ac:dyDescent="0.25">
      <c r="A939" s="41" t="str">
        <f>_xlfn.XLOOKUP(G939,dd_color!$A$2:$A$8,dd_color!$B$2:$B$8,"",0)</f>
        <v/>
      </c>
      <c r="B939" s="41">
        <f>_xlfn.XLOOKUP(_xlfn.XLOOKUP(C939,'Project Details'!$C$17:$C$10003,'Project Details'!$E$17:$E$10003, "",0),dd_design_raw!$A$2:$A$9997,dd_design_raw!$C$2:$C$9997,"",0)</f>
        <v>0</v>
      </c>
      <c r="C939" s="16"/>
      <c r="D939" s="16" t="str" cm="1">
        <f t="array" ref="D939">IF(C939&lt;&gt;"", _xlfn.IFS(I939="Height",_xlfn.XLOOKUP(C939,calc_s60!$C$15:$C$1000,calc_s60!$AR$15:$AR$1000,"",0),  I939="Width", _xlfn.XLOOKUP(C939,calc_s60!$C$15:$C$1000,calc_s60!$AT$15:$AT$1000,"",0)),"")</f>
        <v/>
      </c>
      <c r="E939" s="16" t="str" cm="1">
        <f t="array" ref="E939">IF(C939&lt;&gt;"", _xlfn.XLOOKUP(1,((SKUs!$A$2:$A$10001=cl_unmerged!B939) * (ISNUMBER(SEARCH("Steel-Sash",SKUs!$J$2:$J$10001)))), SKUs!$J$2:$J$10001,""),"")  &amp; _xlfn.IFS(I939="Height", ", H",I939="Height SLI", ", H SLI", I939="Height FIX", ", H FIX",I939="Width", ", W", I939="", "")</f>
        <v/>
      </c>
      <c r="F939" s="33" t="str" cm="1">
        <f t="array" ref="F939">_xlfn.XLOOKUP(1,((SKUs!$A$2:$A$10001=cl_unmerged!B939) * (ISNUMBER(SEARCH("Steel-Sash",SKUs!$J$2:$J$10001)))), SKUs!$C$2:$C$10001,"")</f>
        <v/>
      </c>
      <c r="G939" s="16"/>
      <c r="H939" s="16" t="str" cm="1">
        <f t="array" ref="H939">IF(C939&lt;&gt;"", _xlfn.IFS(I939="Height",_xlfn.XLOOKUP(C939,calc_s60!$C$15:$C$1000,calc_s60!$AQ$15:$AQ$1000,"",0), I939="Width", _xlfn.XLOOKUP(C939,calc_s60!$C$15:$C$1000,calc_s60!$AS$15:$AS$1000,"",0)),"")</f>
        <v/>
      </c>
      <c r="I939" s="16" t="str">
        <f t="shared" si="21"/>
        <v/>
      </c>
    </row>
    <row r="940" spans="1:9" ht="13.5" customHeight="1" x14ac:dyDescent="0.25">
      <c r="A940" s="41" t="str">
        <f>_xlfn.XLOOKUP(G940,dd_color!$A$2:$A$8,dd_color!$B$2:$B$8,"",0)</f>
        <v/>
      </c>
      <c r="B940" s="41">
        <f>_xlfn.XLOOKUP(_xlfn.XLOOKUP(C940,'Project Details'!$C$17:$C$10003,'Project Details'!$E$17:$E$10003, "",0),dd_design_raw!$A$2:$A$9997,dd_design_raw!$C$2:$C$9997,"",0)</f>
        <v>0</v>
      </c>
      <c r="C940" s="16"/>
      <c r="D940" s="16" t="str" cm="1">
        <f t="array" ref="D940">IF(C940&lt;&gt;"", _xlfn.IFS(I940="Height",_xlfn.XLOOKUP(C940,calc_s60!$C$15:$C$1000,calc_s60!$AR$15:$AR$1000,"",0),  I940="Width", _xlfn.XLOOKUP(C940,calc_s60!$C$15:$C$1000,calc_s60!$AT$15:$AT$1000,"",0)),"")</f>
        <v/>
      </c>
      <c r="E940" s="16" t="str" cm="1">
        <f t="array" ref="E940">IF(C940&lt;&gt;"", _xlfn.XLOOKUP(1,((SKUs!$A$2:$A$10001=cl_unmerged!B940) * (ISNUMBER(SEARCH("Steel-Sash",SKUs!$J$2:$J$10001)))), SKUs!$J$2:$J$10001,""),"")  &amp; _xlfn.IFS(I940="Height", ", H",I940="Height SLI", ", H SLI", I940="Height FIX", ", H FIX",I940="Width", ", W", I940="", "")</f>
        <v/>
      </c>
      <c r="F940" s="33" t="str" cm="1">
        <f t="array" ref="F940">_xlfn.XLOOKUP(1,((SKUs!$A$2:$A$10001=cl_unmerged!B940) * (ISNUMBER(SEARCH("Steel-Sash",SKUs!$J$2:$J$10001)))), SKUs!$C$2:$C$10001,"")</f>
        <v/>
      </c>
      <c r="G940" s="16"/>
      <c r="H940" s="16" t="str" cm="1">
        <f t="array" ref="H940">IF(C940&lt;&gt;"", _xlfn.IFS(I940="Height",_xlfn.XLOOKUP(C940,calc_s60!$C$15:$C$1000,calc_s60!$AQ$15:$AQ$1000,"",0), I940="Width", _xlfn.XLOOKUP(C940,calc_s60!$C$15:$C$1000,calc_s60!$AS$15:$AS$1000,"",0)),"")</f>
        <v/>
      </c>
      <c r="I940" s="16" t="str">
        <f t="shared" si="21"/>
        <v/>
      </c>
    </row>
    <row r="941" spans="1:9" ht="13.5" customHeight="1" x14ac:dyDescent="0.25">
      <c r="A941" s="41" t="str">
        <f>_xlfn.XLOOKUP(G941,dd_color!$A$2:$A$8,dd_color!$B$2:$B$8,"",0)</f>
        <v/>
      </c>
      <c r="B941" s="41">
        <f>_xlfn.XLOOKUP(_xlfn.XLOOKUP(C941,'Project Details'!$C$17:$C$10003,'Project Details'!$E$17:$E$10003, "",0),dd_design_raw!$A$2:$A$9997,dd_design_raw!$C$2:$C$9997,"",0)</f>
        <v>0</v>
      </c>
      <c r="C941" s="16"/>
      <c r="D941" s="16" t="str" cm="1">
        <f t="array" ref="D941">IF(C941&lt;&gt;"", _xlfn.IFS(I941="Height",_xlfn.XLOOKUP(C941,calc_s60!$C$15:$C$1000,calc_s60!$AR$15:$AR$1000,"",0),  I941="Width", _xlfn.XLOOKUP(C941,calc_s60!$C$15:$C$1000,calc_s60!$AT$15:$AT$1000,"",0)),"")</f>
        <v/>
      </c>
      <c r="E941" s="16" t="str" cm="1">
        <f t="array" ref="E941">IF(C941&lt;&gt;"", _xlfn.XLOOKUP(1,((SKUs!$A$2:$A$10001=cl_unmerged!B941) * (ISNUMBER(SEARCH("Steel-Sash",SKUs!$J$2:$J$10001)))), SKUs!$J$2:$J$10001,""),"")  &amp; _xlfn.IFS(I941="Height", ", H",I941="Height SLI", ", H SLI", I941="Height FIX", ", H FIX",I941="Width", ", W", I941="", "")</f>
        <v/>
      </c>
      <c r="F941" s="33" t="str" cm="1">
        <f t="array" ref="F941">_xlfn.XLOOKUP(1,((SKUs!$A$2:$A$10001=cl_unmerged!B941) * (ISNUMBER(SEARCH("Steel-Sash",SKUs!$J$2:$J$10001)))), SKUs!$C$2:$C$10001,"")</f>
        <v/>
      </c>
      <c r="G941" s="16"/>
      <c r="H941" s="16" t="str" cm="1">
        <f t="array" ref="H941">IF(C941&lt;&gt;"", _xlfn.IFS(I941="Height",_xlfn.XLOOKUP(C941,calc_s60!$C$15:$C$1000,calc_s60!$AQ$15:$AQ$1000,"",0), I941="Width", _xlfn.XLOOKUP(C941,calc_s60!$C$15:$C$1000,calc_s60!$AS$15:$AS$1000,"",0)),"")</f>
        <v/>
      </c>
      <c r="I941" s="16" t="str">
        <f t="shared" si="21"/>
        <v/>
      </c>
    </row>
    <row r="942" spans="1:9" ht="13.5" customHeight="1" x14ac:dyDescent="0.25">
      <c r="A942" s="41" t="str">
        <f>_xlfn.XLOOKUP(G942,dd_color!$A$2:$A$8,dd_color!$B$2:$B$8,"",0)</f>
        <v/>
      </c>
      <c r="B942" s="41">
        <f>_xlfn.XLOOKUP(_xlfn.XLOOKUP(C942,'Project Details'!$C$17:$C$10003,'Project Details'!$E$17:$E$10003, "",0),dd_design_raw!$A$2:$A$9997,dd_design_raw!$C$2:$C$9997,"",0)</f>
        <v>0</v>
      </c>
      <c r="C942" s="16"/>
      <c r="D942" s="16" t="str" cm="1">
        <f t="array" ref="D942">IF(C942&lt;&gt;"", _xlfn.IFS(I942="Height",_xlfn.XLOOKUP(C942,calc_s60!$C$15:$C$1000,calc_s60!$AR$15:$AR$1000,"",0),  I942="Width", _xlfn.XLOOKUP(C942,calc_s60!$C$15:$C$1000,calc_s60!$AT$15:$AT$1000,"",0)),"")</f>
        <v/>
      </c>
      <c r="E942" s="16" t="str" cm="1">
        <f t="array" ref="E942">IF(C942&lt;&gt;"", _xlfn.XLOOKUP(1,((SKUs!$A$2:$A$10001=cl_unmerged!B942) * (ISNUMBER(SEARCH("Steel-Sash",SKUs!$J$2:$J$10001)))), SKUs!$J$2:$J$10001,""),"")  &amp; _xlfn.IFS(I942="Height", ", H",I942="Height SLI", ", H SLI", I942="Height FIX", ", H FIX",I942="Width", ", W", I942="", "")</f>
        <v/>
      </c>
      <c r="F942" s="33" t="str" cm="1">
        <f t="array" ref="F942">_xlfn.XLOOKUP(1,((SKUs!$A$2:$A$10001=cl_unmerged!B942) * (ISNUMBER(SEARCH("Steel-Sash",SKUs!$J$2:$J$10001)))), SKUs!$C$2:$C$10001,"")</f>
        <v/>
      </c>
      <c r="G942" s="16"/>
      <c r="H942" s="16" t="str" cm="1">
        <f t="array" ref="H942">IF(C942&lt;&gt;"", _xlfn.IFS(I942="Height",_xlfn.XLOOKUP(C942,calc_s60!$C$15:$C$1000,calc_s60!$AQ$15:$AQ$1000,"",0), I942="Width", _xlfn.XLOOKUP(C942,calc_s60!$C$15:$C$1000,calc_s60!$AS$15:$AS$1000,"",0)),"")</f>
        <v/>
      </c>
      <c r="I942" s="16" t="str">
        <f t="shared" si="21"/>
        <v/>
      </c>
    </row>
    <row r="943" spans="1:9" ht="13.5" customHeight="1" x14ac:dyDescent="0.25">
      <c r="A943" s="41" t="str">
        <f>_xlfn.XLOOKUP(G943,dd_color!$A$2:$A$8,dd_color!$B$2:$B$8,"",0)</f>
        <v/>
      </c>
      <c r="B943" s="41">
        <f>_xlfn.XLOOKUP(_xlfn.XLOOKUP(C943,'Project Details'!$C$17:$C$10003,'Project Details'!$E$17:$E$10003, "",0),dd_design_raw!$A$2:$A$9997,dd_design_raw!$C$2:$C$9997,"",0)</f>
        <v>0</v>
      </c>
      <c r="C943" s="16"/>
      <c r="D943" s="16" t="str" cm="1">
        <f t="array" ref="D943">IF(C943&lt;&gt;"", _xlfn.IFS(I943="Height",_xlfn.XLOOKUP(C943,calc_s60!$C$15:$C$1000,calc_s60!$AR$15:$AR$1000,"",0),  I943="Width", _xlfn.XLOOKUP(C943,calc_s60!$C$15:$C$1000,calc_s60!$AT$15:$AT$1000,"",0)),"")</f>
        <v/>
      </c>
      <c r="E943" s="16" t="str" cm="1">
        <f t="array" ref="E943">IF(C943&lt;&gt;"", _xlfn.XLOOKUP(1,((SKUs!$A$2:$A$10001=cl_unmerged!B943) * (ISNUMBER(SEARCH("Steel-Sash",SKUs!$J$2:$J$10001)))), SKUs!$J$2:$J$10001,""),"")  &amp; _xlfn.IFS(I943="Height", ", H",I943="Height SLI", ", H SLI", I943="Height FIX", ", H FIX",I943="Width", ", W", I943="", "")</f>
        <v/>
      </c>
      <c r="F943" s="33" t="str" cm="1">
        <f t="array" ref="F943">_xlfn.XLOOKUP(1,((SKUs!$A$2:$A$10001=cl_unmerged!B943) * (ISNUMBER(SEARCH("Steel-Sash",SKUs!$J$2:$J$10001)))), SKUs!$C$2:$C$10001,"")</f>
        <v/>
      </c>
      <c r="G943" s="16"/>
      <c r="H943" s="16" t="str" cm="1">
        <f t="array" ref="H943">IF(C943&lt;&gt;"", _xlfn.IFS(I943="Height",_xlfn.XLOOKUP(C943,calc_s60!$C$15:$C$1000,calc_s60!$AQ$15:$AQ$1000,"",0), I943="Width", _xlfn.XLOOKUP(C943,calc_s60!$C$15:$C$1000,calc_s60!$AS$15:$AS$1000,"",0)),"")</f>
        <v/>
      </c>
      <c r="I943" s="16" t="str">
        <f t="shared" si="21"/>
        <v/>
      </c>
    </row>
    <row r="944" spans="1:9" ht="13.5" customHeight="1" x14ac:dyDescent="0.25">
      <c r="A944" s="41" t="str">
        <f>_xlfn.XLOOKUP(G944,dd_color!$A$2:$A$8,dd_color!$B$2:$B$8,"",0)</f>
        <v/>
      </c>
      <c r="B944" s="41">
        <f>_xlfn.XLOOKUP(_xlfn.XLOOKUP(C944,'Project Details'!$C$17:$C$10003,'Project Details'!$E$17:$E$10003, "",0),dd_design_raw!$A$2:$A$9997,dd_design_raw!$C$2:$C$9997,"",0)</f>
        <v>0</v>
      </c>
      <c r="C944" s="16"/>
      <c r="D944" s="16" t="str" cm="1">
        <f t="array" ref="D944">IF(C944&lt;&gt;"", _xlfn.IFS(I944="Height",_xlfn.XLOOKUP(C944,calc_s60!$C$15:$C$1000,calc_s60!$AR$15:$AR$1000,"",0),  I944="Width", _xlfn.XLOOKUP(C944,calc_s60!$C$15:$C$1000,calc_s60!$AT$15:$AT$1000,"",0)),"")</f>
        <v/>
      </c>
      <c r="E944" s="16" t="str" cm="1">
        <f t="array" ref="E944">IF(C944&lt;&gt;"", _xlfn.XLOOKUP(1,((SKUs!$A$2:$A$10001=cl_unmerged!B944) * (ISNUMBER(SEARCH("Steel-Sash",SKUs!$J$2:$J$10001)))), SKUs!$J$2:$J$10001,""),"")  &amp; _xlfn.IFS(I944="Height", ", H",I944="Height SLI", ", H SLI", I944="Height FIX", ", H FIX",I944="Width", ", W", I944="", "")</f>
        <v/>
      </c>
      <c r="F944" s="33" t="str" cm="1">
        <f t="array" ref="F944">_xlfn.XLOOKUP(1,((SKUs!$A$2:$A$10001=cl_unmerged!B944) * (ISNUMBER(SEARCH("Steel-Sash",SKUs!$J$2:$J$10001)))), SKUs!$C$2:$C$10001,"")</f>
        <v/>
      </c>
      <c r="G944" s="16"/>
      <c r="H944" s="16" t="str" cm="1">
        <f t="array" ref="H944">IF(C944&lt;&gt;"", _xlfn.IFS(I944="Height",_xlfn.XLOOKUP(C944,calc_s60!$C$15:$C$1000,calc_s60!$AQ$15:$AQ$1000,"",0), I944="Width", _xlfn.XLOOKUP(C944,calc_s60!$C$15:$C$1000,calc_s60!$AS$15:$AS$1000,"",0)),"")</f>
        <v/>
      </c>
      <c r="I944" s="16" t="str">
        <f t="shared" si="21"/>
        <v/>
      </c>
    </row>
    <row r="945" spans="1:9" ht="13.5" customHeight="1" x14ac:dyDescent="0.25">
      <c r="A945" s="41" t="str">
        <f>_xlfn.XLOOKUP(G945,dd_color!$A$2:$A$8,dd_color!$B$2:$B$8,"",0)</f>
        <v/>
      </c>
      <c r="B945" s="41">
        <f>_xlfn.XLOOKUP(_xlfn.XLOOKUP(C945,'Project Details'!$C$17:$C$10003,'Project Details'!$E$17:$E$10003, "",0),dd_design_raw!$A$2:$A$9997,dd_design_raw!$C$2:$C$9997,"",0)</f>
        <v>0</v>
      </c>
      <c r="C945" s="16"/>
      <c r="D945" s="16" t="str" cm="1">
        <f t="array" ref="D945">IF(C945&lt;&gt;"", _xlfn.IFS(I945="Height",_xlfn.XLOOKUP(C945,calc_s60!$C$15:$C$1000,calc_s60!$AR$15:$AR$1000,"",0),  I945="Width", _xlfn.XLOOKUP(C945,calc_s60!$C$15:$C$1000,calc_s60!$AT$15:$AT$1000,"",0)),"")</f>
        <v/>
      </c>
      <c r="E945" s="16" t="str" cm="1">
        <f t="array" ref="E945">IF(C945&lt;&gt;"", _xlfn.XLOOKUP(1,((SKUs!$A$2:$A$10001=cl_unmerged!B945) * (ISNUMBER(SEARCH("Steel-Sash",SKUs!$J$2:$J$10001)))), SKUs!$J$2:$J$10001,""),"")  &amp; _xlfn.IFS(I945="Height", ", H",I945="Height SLI", ", H SLI", I945="Height FIX", ", H FIX",I945="Width", ", W", I945="", "")</f>
        <v/>
      </c>
      <c r="F945" s="33" t="str" cm="1">
        <f t="array" ref="F945">_xlfn.XLOOKUP(1,((SKUs!$A$2:$A$10001=cl_unmerged!B945) * (ISNUMBER(SEARCH("Steel-Sash",SKUs!$J$2:$J$10001)))), SKUs!$C$2:$C$10001,"")</f>
        <v/>
      </c>
      <c r="G945" s="16"/>
      <c r="H945" s="16" t="str" cm="1">
        <f t="array" ref="H945">IF(C945&lt;&gt;"", _xlfn.IFS(I945="Height",_xlfn.XLOOKUP(C945,calc_s60!$C$15:$C$1000,calc_s60!$AQ$15:$AQ$1000,"",0), I945="Width", _xlfn.XLOOKUP(C945,calc_s60!$C$15:$C$1000,calc_s60!$AS$15:$AS$1000,"",0)),"")</f>
        <v/>
      </c>
      <c r="I945" s="16" t="str">
        <f t="shared" si="21"/>
        <v/>
      </c>
    </row>
    <row r="946" spans="1:9" ht="13.5" customHeight="1" x14ac:dyDescent="0.25">
      <c r="A946" s="41" t="str">
        <f>_xlfn.XLOOKUP(G946,dd_color!$A$2:$A$8,dd_color!$B$2:$B$8,"",0)</f>
        <v/>
      </c>
      <c r="B946" s="41">
        <f>_xlfn.XLOOKUP(_xlfn.XLOOKUP(C946,'Project Details'!$C$17:$C$10003,'Project Details'!$E$17:$E$10003, "",0),dd_design_raw!$A$2:$A$9997,dd_design_raw!$C$2:$C$9997,"",0)</f>
        <v>0</v>
      </c>
      <c r="C946" s="16"/>
      <c r="D946" s="16" t="str" cm="1">
        <f t="array" ref="D946">IF(C946&lt;&gt;"", _xlfn.IFS(I946="Height",_xlfn.XLOOKUP(C946,calc_s60!$C$15:$C$1000,calc_s60!$AR$15:$AR$1000,"",0),  I946="Width", _xlfn.XLOOKUP(C946,calc_s60!$C$15:$C$1000,calc_s60!$AT$15:$AT$1000,"",0)),"")</f>
        <v/>
      </c>
      <c r="E946" s="16" t="str" cm="1">
        <f t="array" ref="E946">IF(C946&lt;&gt;"", _xlfn.XLOOKUP(1,((SKUs!$A$2:$A$10001=cl_unmerged!B946) * (ISNUMBER(SEARCH("Steel-Sash",SKUs!$J$2:$J$10001)))), SKUs!$J$2:$J$10001,""),"")  &amp; _xlfn.IFS(I946="Height", ", H",I946="Height SLI", ", H SLI", I946="Height FIX", ", H FIX",I946="Width", ", W", I946="", "")</f>
        <v/>
      </c>
      <c r="F946" s="33" t="str" cm="1">
        <f t="array" ref="F946">_xlfn.XLOOKUP(1,((SKUs!$A$2:$A$10001=cl_unmerged!B946) * (ISNUMBER(SEARCH("Steel-Sash",SKUs!$J$2:$J$10001)))), SKUs!$C$2:$C$10001,"")</f>
        <v/>
      </c>
      <c r="G946" s="16"/>
      <c r="H946" s="16" t="str" cm="1">
        <f t="array" ref="H946">IF(C946&lt;&gt;"", _xlfn.IFS(I946="Height",_xlfn.XLOOKUP(C946,calc_s60!$C$15:$C$1000,calc_s60!$AQ$15:$AQ$1000,"",0), I946="Width", _xlfn.XLOOKUP(C946,calc_s60!$C$15:$C$1000,calc_s60!$AS$15:$AS$1000,"",0)),"")</f>
        <v/>
      </c>
      <c r="I946" s="16" t="str">
        <f t="shared" si="21"/>
        <v/>
      </c>
    </row>
    <row r="947" spans="1:9" ht="13.5" customHeight="1" x14ac:dyDescent="0.25">
      <c r="A947" s="41" t="str">
        <f>_xlfn.XLOOKUP(G947,dd_color!$A$2:$A$8,dd_color!$B$2:$B$8,"",0)</f>
        <v/>
      </c>
      <c r="B947" s="41">
        <f>_xlfn.XLOOKUP(_xlfn.XLOOKUP(C947,'Project Details'!$C$17:$C$10003,'Project Details'!$E$17:$E$10003, "",0),dd_design_raw!$A$2:$A$9997,dd_design_raw!$C$2:$C$9997,"",0)</f>
        <v>0</v>
      </c>
      <c r="C947" s="16"/>
      <c r="D947" s="16" t="str" cm="1">
        <f t="array" ref="D947">IF(C947&lt;&gt;"", _xlfn.IFS(I947="Height",_xlfn.XLOOKUP(C947,calc_s60!$C$15:$C$1000,calc_s60!$AR$15:$AR$1000,"",0),  I947="Width", _xlfn.XLOOKUP(C947,calc_s60!$C$15:$C$1000,calc_s60!$AT$15:$AT$1000,"",0)),"")</f>
        <v/>
      </c>
      <c r="E947" s="16" t="str" cm="1">
        <f t="array" ref="E947">IF(C947&lt;&gt;"", _xlfn.XLOOKUP(1,((SKUs!$A$2:$A$10001=cl_unmerged!B947) * (ISNUMBER(SEARCH("Steel-Sash",SKUs!$J$2:$J$10001)))), SKUs!$J$2:$J$10001,""),"")  &amp; _xlfn.IFS(I947="Height", ", H",I947="Height SLI", ", H SLI", I947="Height FIX", ", H FIX",I947="Width", ", W", I947="", "")</f>
        <v/>
      </c>
      <c r="F947" s="33" t="str" cm="1">
        <f t="array" ref="F947">_xlfn.XLOOKUP(1,((SKUs!$A$2:$A$10001=cl_unmerged!B947) * (ISNUMBER(SEARCH("Steel-Sash",SKUs!$J$2:$J$10001)))), SKUs!$C$2:$C$10001,"")</f>
        <v/>
      </c>
      <c r="G947" s="16"/>
      <c r="H947" s="16" t="str" cm="1">
        <f t="array" ref="H947">IF(C947&lt;&gt;"", _xlfn.IFS(I947="Height",_xlfn.XLOOKUP(C947,calc_s60!$C$15:$C$1000,calc_s60!$AQ$15:$AQ$1000,"",0), I947="Width", _xlfn.XLOOKUP(C947,calc_s60!$C$15:$C$1000,calc_s60!$AS$15:$AS$1000,"",0)),"")</f>
        <v/>
      </c>
      <c r="I947" s="16" t="str">
        <f t="shared" si="21"/>
        <v/>
      </c>
    </row>
    <row r="948" spans="1:9" ht="13.5" customHeight="1" x14ac:dyDescent="0.25">
      <c r="A948" s="41" t="str">
        <f>_xlfn.XLOOKUP(G948,dd_color!$A$2:$A$8,dd_color!$B$2:$B$8,"",0)</f>
        <v/>
      </c>
      <c r="B948" s="41">
        <f>_xlfn.XLOOKUP(_xlfn.XLOOKUP(C948,'Project Details'!$C$17:$C$10003,'Project Details'!$E$17:$E$10003, "",0),dd_design_raw!$A$2:$A$9997,dd_design_raw!$C$2:$C$9997,"",0)</f>
        <v>0</v>
      </c>
      <c r="C948" s="16"/>
      <c r="D948" s="16" t="str" cm="1">
        <f t="array" ref="D948">IF(C948&lt;&gt;"", _xlfn.IFS(I948="Height",_xlfn.XLOOKUP(C948,calc_s60!$C$15:$C$1000,calc_s60!$AR$15:$AR$1000,"",0),  I948="Width", _xlfn.XLOOKUP(C948,calc_s60!$C$15:$C$1000,calc_s60!$AT$15:$AT$1000,"",0)),"")</f>
        <v/>
      </c>
      <c r="E948" s="16" t="str" cm="1">
        <f t="array" ref="E948">IF(C948&lt;&gt;"", _xlfn.XLOOKUP(1,((SKUs!$A$2:$A$10001=cl_unmerged!B948) * (ISNUMBER(SEARCH("Steel-Sash",SKUs!$J$2:$J$10001)))), SKUs!$J$2:$J$10001,""),"")  &amp; _xlfn.IFS(I948="Height", ", H",I948="Height SLI", ", H SLI", I948="Height FIX", ", H FIX",I948="Width", ", W", I948="", "")</f>
        <v/>
      </c>
      <c r="F948" s="33" t="str" cm="1">
        <f t="array" ref="F948">_xlfn.XLOOKUP(1,((SKUs!$A$2:$A$10001=cl_unmerged!B948) * (ISNUMBER(SEARCH("Steel-Sash",SKUs!$J$2:$J$10001)))), SKUs!$C$2:$C$10001,"")</f>
        <v/>
      </c>
      <c r="G948" s="16"/>
      <c r="H948" s="16" t="str" cm="1">
        <f t="array" ref="H948">IF(C948&lt;&gt;"", _xlfn.IFS(I948="Height",_xlfn.XLOOKUP(C948,calc_s60!$C$15:$C$1000,calc_s60!$AQ$15:$AQ$1000,"",0), I948="Width", _xlfn.XLOOKUP(C948,calc_s60!$C$15:$C$1000,calc_s60!$AS$15:$AS$1000,"",0)),"")</f>
        <v/>
      </c>
      <c r="I948" s="16" t="str">
        <f t="shared" si="21"/>
        <v/>
      </c>
    </row>
    <row r="949" spans="1:9" ht="13.5" customHeight="1" x14ac:dyDescent="0.25">
      <c r="A949" s="41" t="str">
        <f>_xlfn.XLOOKUP(G949,dd_color!$A$2:$A$8,dd_color!$B$2:$B$8,"",0)</f>
        <v/>
      </c>
      <c r="B949" s="41">
        <f>_xlfn.XLOOKUP(_xlfn.XLOOKUP(C949,'Project Details'!$C$17:$C$10003,'Project Details'!$E$17:$E$10003, "",0),dd_design_raw!$A$2:$A$9997,dd_design_raw!$C$2:$C$9997,"",0)</f>
        <v>0</v>
      </c>
      <c r="C949" s="16"/>
      <c r="D949" s="16" t="str" cm="1">
        <f t="array" ref="D949">IF(C949&lt;&gt;"", _xlfn.IFS(I949="Height",_xlfn.XLOOKUP(C949,calc_s60!$C$15:$C$1000,calc_s60!$AR$15:$AR$1000,"",0),  I949="Width", _xlfn.XLOOKUP(C949,calc_s60!$C$15:$C$1000,calc_s60!$AT$15:$AT$1000,"",0)),"")</f>
        <v/>
      </c>
      <c r="E949" s="16" t="str" cm="1">
        <f t="array" ref="E949">IF(C949&lt;&gt;"", _xlfn.XLOOKUP(1,((SKUs!$A$2:$A$10001=cl_unmerged!B949) * (ISNUMBER(SEARCH("Steel-Sash",SKUs!$J$2:$J$10001)))), SKUs!$J$2:$J$10001,""),"")  &amp; _xlfn.IFS(I949="Height", ", H",I949="Height SLI", ", H SLI", I949="Height FIX", ", H FIX",I949="Width", ", W", I949="", "")</f>
        <v/>
      </c>
      <c r="F949" s="33" t="str" cm="1">
        <f t="array" ref="F949">_xlfn.XLOOKUP(1,((SKUs!$A$2:$A$10001=cl_unmerged!B949) * (ISNUMBER(SEARCH("Steel-Sash",SKUs!$J$2:$J$10001)))), SKUs!$C$2:$C$10001,"")</f>
        <v/>
      </c>
      <c r="G949" s="16"/>
      <c r="H949" s="16" t="str" cm="1">
        <f t="array" ref="H949">IF(C949&lt;&gt;"", _xlfn.IFS(I949="Height",_xlfn.XLOOKUP(C949,calc_s60!$C$15:$C$1000,calc_s60!$AQ$15:$AQ$1000,"",0), I949="Width", _xlfn.XLOOKUP(C949,calc_s60!$C$15:$C$1000,calc_s60!$AS$15:$AS$1000,"",0)),"")</f>
        <v/>
      </c>
      <c r="I949" s="16" t="str">
        <f t="shared" si="21"/>
        <v/>
      </c>
    </row>
    <row r="950" spans="1:9" ht="13.5" customHeight="1" x14ac:dyDescent="0.25">
      <c r="A950" s="41" t="str">
        <f>_xlfn.XLOOKUP(G950,dd_color!$A$2:$A$8,dd_color!$B$2:$B$8,"",0)</f>
        <v/>
      </c>
      <c r="B950" s="41">
        <f>_xlfn.XLOOKUP(_xlfn.XLOOKUP(C950,'Project Details'!$C$17:$C$10003,'Project Details'!$E$17:$E$10003, "",0),dd_design_raw!$A$2:$A$9997,dd_design_raw!$C$2:$C$9997,"",0)</f>
        <v>0</v>
      </c>
      <c r="C950" s="16"/>
      <c r="D950" s="16" t="str" cm="1">
        <f t="array" ref="D950">IF(C950&lt;&gt;"", _xlfn.IFS(I950="Height",_xlfn.XLOOKUP(C950,calc_s60!$C$15:$C$1000,calc_s60!$AR$15:$AR$1000,"",0),  I950="Width", _xlfn.XLOOKUP(C950,calc_s60!$C$15:$C$1000,calc_s60!$AT$15:$AT$1000,"",0)),"")</f>
        <v/>
      </c>
      <c r="E950" s="16" t="str" cm="1">
        <f t="array" ref="E950">IF(C950&lt;&gt;"", _xlfn.XLOOKUP(1,((SKUs!$A$2:$A$10001=cl_unmerged!B950) * (ISNUMBER(SEARCH("Steel-Sash",SKUs!$J$2:$J$10001)))), SKUs!$J$2:$J$10001,""),"")  &amp; _xlfn.IFS(I950="Height", ", H",I950="Height SLI", ", H SLI", I950="Height FIX", ", H FIX",I950="Width", ", W", I950="", "")</f>
        <v/>
      </c>
      <c r="F950" s="33" t="str" cm="1">
        <f t="array" ref="F950">_xlfn.XLOOKUP(1,((SKUs!$A$2:$A$10001=cl_unmerged!B950) * (ISNUMBER(SEARCH("Steel-Sash",SKUs!$J$2:$J$10001)))), SKUs!$C$2:$C$10001,"")</f>
        <v/>
      </c>
      <c r="G950" s="16"/>
      <c r="H950" s="16" t="str" cm="1">
        <f t="array" ref="H950">IF(C950&lt;&gt;"", _xlfn.IFS(I950="Height",_xlfn.XLOOKUP(C950,calc_s60!$C$15:$C$1000,calc_s60!$AQ$15:$AQ$1000,"",0), I950="Width", _xlfn.XLOOKUP(C950,calc_s60!$C$15:$C$1000,calc_s60!$AS$15:$AS$1000,"",0)),"")</f>
        <v/>
      </c>
      <c r="I950" s="16" t="str">
        <f t="shared" si="21"/>
        <v/>
      </c>
    </row>
    <row r="951" spans="1:9" ht="13.5" customHeight="1" x14ac:dyDescent="0.25">
      <c r="A951" s="41" t="str">
        <f>_xlfn.XLOOKUP(G951,dd_color!$A$2:$A$8,dd_color!$B$2:$B$8,"",0)</f>
        <v/>
      </c>
      <c r="B951" s="41">
        <f>_xlfn.XLOOKUP(_xlfn.XLOOKUP(C951,'Project Details'!$C$17:$C$10003,'Project Details'!$E$17:$E$10003, "",0),dd_design_raw!$A$2:$A$9997,dd_design_raw!$C$2:$C$9997,"",0)</f>
        <v>0</v>
      </c>
      <c r="C951" s="16"/>
      <c r="D951" s="16" t="str" cm="1">
        <f t="array" ref="D951">IF(C951&lt;&gt;"", _xlfn.IFS(I951="Height",_xlfn.XLOOKUP(C951,calc_s60!$C$15:$C$1000,calc_s60!$AR$15:$AR$1000,"",0),  I951="Width", _xlfn.XLOOKUP(C951,calc_s60!$C$15:$C$1000,calc_s60!$AT$15:$AT$1000,"",0)),"")</f>
        <v/>
      </c>
      <c r="E951" s="16" t="str" cm="1">
        <f t="array" ref="E951">IF(C951&lt;&gt;"", _xlfn.XLOOKUP(1,((SKUs!$A$2:$A$10001=cl_unmerged!B951) * (ISNUMBER(SEARCH("Steel-Sash",SKUs!$J$2:$J$10001)))), SKUs!$J$2:$J$10001,""),"")  &amp; _xlfn.IFS(I951="Height", ", H",I951="Height SLI", ", H SLI", I951="Height FIX", ", H FIX",I951="Width", ", W", I951="", "")</f>
        <v/>
      </c>
      <c r="F951" s="33" t="str" cm="1">
        <f t="array" ref="F951">_xlfn.XLOOKUP(1,((SKUs!$A$2:$A$10001=cl_unmerged!B951) * (ISNUMBER(SEARCH("Steel-Sash",SKUs!$J$2:$J$10001)))), SKUs!$C$2:$C$10001,"")</f>
        <v/>
      </c>
      <c r="G951" s="16"/>
      <c r="H951" s="16" t="str" cm="1">
        <f t="array" ref="H951">IF(C951&lt;&gt;"", _xlfn.IFS(I951="Height",_xlfn.XLOOKUP(C951,calc_s60!$C$15:$C$1000,calc_s60!$AQ$15:$AQ$1000,"",0), I951="Width", _xlfn.XLOOKUP(C951,calc_s60!$C$15:$C$1000,calc_s60!$AS$15:$AS$1000,"",0)),"")</f>
        <v/>
      </c>
      <c r="I951" s="16" t="str">
        <f t="shared" si="21"/>
        <v/>
      </c>
    </row>
    <row r="952" spans="1:9" ht="13.5" customHeight="1" x14ac:dyDescent="0.25">
      <c r="A952" s="41" t="str">
        <f>_xlfn.XLOOKUP(G952,dd_color!$A$2:$A$8,dd_color!$B$2:$B$8,"",0)</f>
        <v/>
      </c>
      <c r="B952" s="41">
        <f>_xlfn.XLOOKUP(_xlfn.XLOOKUP(C952,'Project Details'!$C$17:$C$10003,'Project Details'!$E$17:$E$10003, "",0),dd_design_raw!$A$2:$A$9997,dd_design_raw!$C$2:$C$9997,"",0)</f>
        <v>0</v>
      </c>
      <c r="C952" s="16"/>
      <c r="D952" s="16" t="str" cm="1">
        <f t="array" ref="D952">IF(C952&lt;&gt;"", _xlfn.IFS(I952="Height",_xlfn.XLOOKUP(C952,calc_s60!$C$15:$C$1000,calc_s60!$AR$15:$AR$1000,"",0),  I952="Width", _xlfn.XLOOKUP(C952,calc_s60!$C$15:$C$1000,calc_s60!$AT$15:$AT$1000,"",0)),"")</f>
        <v/>
      </c>
      <c r="E952" s="16" t="str" cm="1">
        <f t="array" ref="E952">IF(C952&lt;&gt;"", _xlfn.XLOOKUP(1,((SKUs!$A$2:$A$10001=cl_unmerged!B952) * (ISNUMBER(SEARCH("Steel-Sash",SKUs!$J$2:$J$10001)))), SKUs!$J$2:$J$10001,""),"")  &amp; _xlfn.IFS(I952="Height", ", H",I952="Height SLI", ", H SLI", I952="Height FIX", ", H FIX",I952="Width", ", W", I952="", "")</f>
        <v/>
      </c>
      <c r="F952" s="33" t="str" cm="1">
        <f t="array" ref="F952">_xlfn.XLOOKUP(1,((SKUs!$A$2:$A$10001=cl_unmerged!B952) * (ISNUMBER(SEARCH("Steel-Sash",SKUs!$J$2:$J$10001)))), SKUs!$C$2:$C$10001,"")</f>
        <v/>
      </c>
      <c r="G952" s="16"/>
      <c r="H952" s="16" t="str" cm="1">
        <f t="array" ref="H952">IF(C952&lt;&gt;"", _xlfn.IFS(I952="Height",_xlfn.XLOOKUP(C952,calc_s60!$C$15:$C$1000,calc_s60!$AQ$15:$AQ$1000,"",0), I952="Width", _xlfn.XLOOKUP(C952,calc_s60!$C$15:$C$1000,calc_s60!$AS$15:$AS$1000,"",0)),"")</f>
        <v/>
      </c>
      <c r="I952" s="16" t="str">
        <f t="shared" si="21"/>
        <v/>
      </c>
    </row>
    <row r="953" spans="1:9" ht="13.5" customHeight="1" x14ac:dyDescent="0.25">
      <c r="A953" s="41" t="str">
        <f>_xlfn.XLOOKUP(G953,dd_color!$A$2:$A$8,dd_color!$B$2:$B$8,"",0)</f>
        <v/>
      </c>
      <c r="B953" s="41">
        <f>_xlfn.XLOOKUP(_xlfn.XLOOKUP(C953,'Project Details'!$C$17:$C$10003,'Project Details'!$E$17:$E$10003, "",0),dd_design_raw!$A$2:$A$9997,dd_design_raw!$C$2:$C$9997,"",0)</f>
        <v>0</v>
      </c>
      <c r="C953" s="16"/>
      <c r="D953" s="16" t="str" cm="1">
        <f t="array" ref="D953">IF(C953&lt;&gt;"", _xlfn.IFS(I953="Height",_xlfn.XLOOKUP(C953,calc_s60!$C$15:$C$1000,calc_s60!$AR$15:$AR$1000,"",0),  I953="Width", _xlfn.XLOOKUP(C953,calc_s60!$C$15:$C$1000,calc_s60!$AT$15:$AT$1000,"",0)),"")</f>
        <v/>
      </c>
      <c r="E953" s="16" t="str" cm="1">
        <f t="array" ref="E953">IF(C953&lt;&gt;"", _xlfn.XLOOKUP(1,((SKUs!$A$2:$A$10001=cl_unmerged!B953) * (ISNUMBER(SEARCH("Steel-Sash",SKUs!$J$2:$J$10001)))), SKUs!$J$2:$J$10001,""),"")  &amp; _xlfn.IFS(I953="Height", ", H",I953="Height SLI", ", H SLI", I953="Height FIX", ", H FIX",I953="Width", ", W", I953="", "")</f>
        <v/>
      </c>
      <c r="F953" s="33" t="str" cm="1">
        <f t="array" ref="F953">_xlfn.XLOOKUP(1,((SKUs!$A$2:$A$10001=cl_unmerged!B953) * (ISNUMBER(SEARCH("Steel-Sash",SKUs!$J$2:$J$10001)))), SKUs!$C$2:$C$10001,"")</f>
        <v/>
      </c>
      <c r="G953" s="16"/>
      <c r="H953" s="16" t="str" cm="1">
        <f t="array" ref="H953">IF(C953&lt;&gt;"", _xlfn.IFS(I953="Height",_xlfn.XLOOKUP(C953,calc_s60!$C$15:$C$1000,calc_s60!$AQ$15:$AQ$1000,"",0), I953="Width", _xlfn.XLOOKUP(C953,calc_s60!$C$15:$C$1000,calc_s60!$AS$15:$AS$1000,"",0)),"")</f>
        <v/>
      </c>
      <c r="I953" s="16" t="str">
        <f t="shared" si="21"/>
        <v/>
      </c>
    </row>
    <row r="954" spans="1:9" ht="13.5" customHeight="1" x14ac:dyDescent="0.25">
      <c r="A954" s="41" t="str">
        <f>_xlfn.XLOOKUP(G954,dd_color!$A$2:$A$8,dd_color!$B$2:$B$8,"",0)</f>
        <v/>
      </c>
      <c r="B954" s="41">
        <f>_xlfn.XLOOKUP(_xlfn.XLOOKUP(C954,'Project Details'!$C$17:$C$10003,'Project Details'!$E$17:$E$10003, "",0),dd_design_raw!$A$2:$A$9997,dd_design_raw!$C$2:$C$9997,"",0)</f>
        <v>0</v>
      </c>
      <c r="C954" s="16"/>
      <c r="D954" s="16" t="str" cm="1">
        <f t="array" ref="D954">IF(C954&lt;&gt;"", _xlfn.IFS(I954="Height",_xlfn.XLOOKUP(C954,calc_s60!$C$15:$C$1000,calc_s60!$AR$15:$AR$1000,"",0),  I954="Width", _xlfn.XLOOKUP(C954,calc_s60!$C$15:$C$1000,calc_s60!$AT$15:$AT$1000,"",0)),"")</f>
        <v/>
      </c>
      <c r="E954" s="16" t="str" cm="1">
        <f t="array" ref="E954">IF(C954&lt;&gt;"", _xlfn.XLOOKUP(1,((SKUs!$A$2:$A$10001=cl_unmerged!B954) * (ISNUMBER(SEARCH("Steel-Sash",SKUs!$J$2:$J$10001)))), SKUs!$J$2:$J$10001,""),"")  &amp; _xlfn.IFS(I954="Height", ", H",I954="Height SLI", ", H SLI", I954="Height FIX", ", H FIX",I954="Width", ", W", I954="", "")</f>
        <v/>
      </c>
      <c r="F954" s="33" t="str" cm="1">
        <f t="array" ref="F954">_xlfn.XLOOKUP(1,((SKUs!$A$2:$A$10001=cl_unmerged!B954) * (ISNUMBER(SEARCH("Steel-Sash",SKUs!$J$2:$J$10001)))), SKUs!$C$2:$C$10001,"")</f>
        <v/>
      </c>
      <c r="G954" s="16"/>
      <c r="H954" s="16" t="str" cm="1">
        <f t="array" ref="H954">IF(C954&lt;&gt;"", _xlfn.IFS(I954="Height",_xlfn.XLOOKUP(C954,calc_s60!$C$15:$C$1000,calc_s60!$AQ$15:$AQ$1000,"",0), I954="Width", _xlfn.XLOOKUP(C954,calc_s60!$C$15:$C$1000,calc_s60!$AS$15:$AS$1000,"",0)),"")</f>
        <v/>
      </c>
      <c r="I954" s="16" t="str">
        <f t="shared" si="21"/>
        <v/>
      </c>
    </row>
    <row r="955" spans="1:9" ht="13.5" customHeight="1" x14ac:dyDescent="0.25">
      <c r="A955" s="41" t="str">
        <f>_xlfn.XLOOKUP(G955,dd_color!$A$2:$A$8,dd_color!$B$2:$B$8,"",0)</f>
        <v/>
      </c>
      <c r="B955" s="41">
        <f>_xlfn.XLOOKUP(_xlfn.XLOOKUP(C955,'Project Details'!$C$17:$C$10003,'Project Details'!$E$17:$E$10003, "",0),dd_design_raw!$A$2:$A$9997,dd_design_raw!$C$2:$C$9997,"",0)</f>
        <v>0</v>
      </c>
      <c r="C955" s="16"/>
      <c r="D955" s="16" t="str" cm="1">
        <f t="array" ref="D955">IF(C955&lt;&gt;"", _xlfn.IFS(I955="Height",_xlfn.XLOOKUP(C955,calc_s60!$C$15:$C$1000,calc_s60!$AR$15:$AR$1000,"",0),  I955="Width", _xlfn.XLOOKUP(C955,calc_s60!$C$15:$C$1000,calc_s60!$AT$15:$AT$1000,"",0)),"")</f>
        <v/>
      </c>
      <c r="E955" s="16" t="str" cm="1">
        <f t="array" ref="E955">IF(C955&lt;&gt;"", _xlfn.XLOOKUP(1,((SKUs!$A$2:$A$10001=cl_unmerged!B955) * (ISNUMBER(SEARCH("Steel-Sash",SKUs!$J$2:$J$10001)))), SKUs!$J$2:$J$10001,""),"")  &amp; _xlfn.IFS(I955="Height", ", H",I955="Height SLI", ", H SLI", I955="Height FIX", ", H FIX",I955="Width", ", W", I955="", "")</f>
        <v/>
      </c>
      <c r="F955" s="33" t="str" cm="1">
        <f t="array" ref="F955">_xlfn.XLOOKUP(1,((SKUs!$A$2:$A$10001=cl_unmerged!B955) * (ISNUMBER(SEARCH("Steel-Sash",SKUs!$J$2:$J$10001)))), SKUs!$C$2:$C$10001,"")</f>
        <v/>
      </c>
      <c r="G955" s="16"/>
      <c r="H955" s="16" t="str" cm="1">
        <f t="array" ref="H955">IF(C955&lt;&gt;"", _xlfn.IFS(I955="Height",_xlfn.XLOOKUP(C955,calc_s60!$C$15:$C$1000,calc_s60!$AQ$15:$AQ$1000,"",0), I955="Width", _xlfn.XLOOKUP(C955,calc_s60!$C$15:$C$1000,calc_s60!$AS$15:$AS$1000,"",0)),"")</f>
        <v/>
      </c>
      <c r="I955" s="16" t="str">
        <f t="shared" si="21"/>
        <v/>
      </c>
    </row>
    <row r="956" spans="1:9" ht="13.5" customHeight="1" x14ac:dyDescent="0.25">
      <c r="A956" s="41" t="str">
        <f>_xlfn.XLOOKUP(G956,dd_color!$A$2:$A$8,dd_color!$B$2:$B$8,"",0)</f>
        <v/>
      </c>
      <c r="B956" s="41">
        <f>_xlfn.XLOOKUP(_xlfn.XLOOKUP(C956,'Project Details'!$C$17:$C$10003,'Project Details'!$E$17:$E$10003, "",0),dd_design_raw!$A$2:$A$9997,dd_design_raw!$C$2:$C$9997,"",0)</f>
        <v>0</v>
      </c>
      <c r="C956" s="16"/>
      <c r="D956" s="16" t="str" cm="1">
        <f t="array" ref="D956">IF(C956&lt;&gt;"", _xlfn.IFS(I956="Height",_xlfn.XLOOKUP(C956,calc_s60!$C$15:$C$1000,calc_s60!$AR$15:$AR$1000,"",0),  I956="Width", _xlfn.XLOOKUP(C956,calc_s60!$C$15:$C$1000,calc_s60!$AT$15:$AT$1000,"",0)),"")</f>
        <v/>
      </c>
      <c r="E956" s="16" t="str" cm="1">
        <f t="array" ref="E956">IF(C956&lt;&gt;"", _xlfn.XLOOKUP(1,((SKUs!$A$2:$A$10001=cl_unmerged!B956) * (ISNUMBER(SEARCH("Steel-Sash",SKUs!$J$2:$J$10001)))), SKUs!$J$2:$J$10001,""),"")  &amp; _xlfn.IFS(I956="Height", ", H",I956="Height SLI", ", H SLI", I956="Height FIX", ", H FIX",I956="Width", ", W", I956="", "")</f>
        <v/>
      </c>
      <c r="F956" s="33" t="str" cm="1">
        <f t="array" ref="F956">_xlfn.XLOOKUP(1,((SKUs!$A$2:$A$10001=cl_unmerged!B956) * (ISNUMBER(SEARCH("Steel-Sash",SKUs!$J$2:$J$10001)))), SKUs!$C$2:$C$10001,"")</f>
        <v/>
      </c>
      <c r="G956" s="16"/>
      <c r="H956" s="16" t="str" cm="1">
        <f t="array" ref="H956">IF(C956&lt;&gt;"", _xlfn.IFS(I956="Height",_xlfn.XLOOKUP(C956,calc_s60!$C$15:$C$1000,calc_s60!$AQ$15:$AQ$1000,"",0), I956="Width", _xlfn.XLOOKUP(C956,calc_s60!$C$15:$C$1000,calc_s60!$AS$15:$AS$1000,"",0)),"")</f>
        <v/>
      </c>
      <c r="I956" s="16" t="str">
        <f t="shared" si="21"/>
        <v/>
      </c>
    </row>
    <row r="957" spans="1:9" ht="13.5" customHeight="1" x14ac:dyDescent="0.25">
      <c r="A957" s="41" t="str">
        <f>_xlfn.XLOOKUP(G957,dd_color!$A$2:$A$8,dd_color!$B$2:$B$8,"",0)</f>
        <v/>
      </c>
      <c r="B957" s="41">
        <f>_xlfn.XLOOKUP(_xlfn.XLOOKUP(C957,'Project Details'!$C$17:$C$10003,'Project Details'!$E$17:$E$10003, "",0),dd_design_raw!$A$2:$A$9997,dd_design_raw!$C$2:$C$9997,"",0)</f>
        <v>0</v>
      </c>
      <c r="C957" s="16"/>
      <c r="D957" s="16" t="str" cm="1">
        <f t="array" ref="D957">IF(C957&lt;&gt;"", _xlfn.IFS(I957="Height",_xlfn.XLOOKUP(C957,calc_s60!$C$15:$C$1000,calc_s60!$AR$15:$AR$1000,"",0),  I957="Width", _xlfn.XLOOKUP(C957,calc_s60!$C$15:$C$1000,calc_s60!$AT$15:$AT$1000,"",0)),"")</f>
        <v/>
      </c>
      <c r="E957" s="16" t="str" cm="1">
        <f t="array" ref="E957">IF(C957&lt;&gt;"", _xlfn.XLOOKUP(1,((SKUs!$A$2:$A$10001=cl_unmerged!B957) * (ISNUMBER(SEARCH("Steel-Sash",SKUs!$J$2:$J$10001)))), SKUs!$J$2:$J$10001,""),"")  &amp; _xlfn.IFS(I957="Height", ", H",I957="Height SLI", ", H SLI", I957="Height FIX", ", H FIX",I957="Width", ", W", I957="", "")</f>
        <v/>
      </c>
      <c r="F957" s="33" t="str" cm="1">
        <f t="array" ref="F957">_xlfn.XLOOKUP(1,((SKUs!$A$2:$A$10001=cl_unmerged!B957) * (ISNUMBER(SEARCH("Steel-Sash",SKUs!$J$2:$J$10001)))), SKUs!$C$2:$C$10001,"")</f>
        <v/>
      </c>
      <c r="G957" s="16"/>
      <c r="H957" s="16" t="str" cm="1">
        <f t="array" ref="H957">IF(C957&lt;&gt;"", _xlfn.IFS(I957="Height",_xlfn.XLOOKUP(C957,calc_s60!$C$15:$C$1000,calc_s60!$AQ$15:$AQ$1000,"",0), I957="Width", _xlfn.XLOOKUP(C957,calc_s60!$C$15:$C$1000,calc_s60!$AS$15:$AS$1000,"",0)),"")</f>
        <v/>
      </c>
      <c r="I957" s="16" t="str">
        <f t="shared" si="21"/>
        <v/>
      </c>
    </row>
    <row r="958" spans="1:9" ht="13.5" customHeight="1" x14ac:dyDescent="0.25">
      <c r="A958" s="41" t="str">
        <f>_xlfn.XLOOKUP(G958,dd_color!$A$2:$A$8,dd_color!$B$2:$B$8,"",0)</f>
        <v/>
      </c>
      <c r="B958" s="41">
        <f>_xlfn.XLOOKUP(_xlfn.XLOOKUP(C958,'Project Details'!$C$17:$C$10003,'Project Details'!$E$17:$E$10003, "",0),dd_design_raw!$A$2:$A$9997,dd_design_raw!$C$2:$C$9997,"",0)</f>
        <v>0</v>
      </c>
      <c r="C958" s="16"/>
      <c r="D958" s="16" t="str" cm="1">
        <f t="array" ref="D958">IF(C958&lt;&gt;"", _xlfn.IFS(I958="Height",_xlfn.XLOOKUP(C958,calc_s60!$C$15:$C$1000,calc_s60!$AR$15:$AR$1000,"",0),  I958="Width", _xlfn.XLOOKUP(C958,calc_s60!$C$15:$C$1000,calc_s60!$AT$15:$AT$1000,"",0)),"")</f>
        <v/>
      </c>
      <c r="E958" s="16" t="str" cm="1">
        <f t="array" ref="E958">IF(C958&lt;&gt;"", _xlfn.XLOOKUP(1,((SKUs!$A$2:$A$10001=cl_unmerged!B958) * (ISNUMBER(SEARCH("Steel-Sash",SKUs!$J$2:$J$10001)))), SKUs!$J$2:$J$10001,""),"")  &amp; _xlfn.IFS(I958="Height", ", H",I958="Height SLI", ", H SLI", I958="Height FIX", ", H FIX",I958="Width", ", W", I958="", "")</f>
        <v/>
      </c>
      <c r="F958" s="33" t="str" cm="1">
        <f t="array" ref="F958">_xlfn.XLOOKUP(1,((SKUs!$A$2:$A$10001=cl_unmerged!B958) * (ISNUMBER(SEARCH("Steel-Sash",SKUs!$J$2:$J$10001)))), SKUs!$C$2:$C$10001,"")</f>
        <v/>
      </c>
      <c r="G958" s="16"/>
      <c r="H958" s="16" t="str" cm="1">
        <f t="array" ref="H958">IF(C958&lt;&gt;"", _xlfn.IFS(I958="Height",_xlfn.XLOOKUP(C958,calc_s60!$C$15:$C$1000,calc_s60!$AQ$15:$AQ$1000,"",0), I958="Width", _xlfn.XLOOKUP(C958,calc_s60!$C$15:$C$1000,calc_s60!$AS$15:$AS$1000,"",0)),"")</f>
        <v/>
      </c>
      <c r="I958" s="16" t="str">
        <f t="shared" si="21"/>
        <v/>
      </c>
    </row>
    <row r="959" spans="1:9" ht="13.5" customHeight="1" x14ac:dyDescent="0.25">
      <c r="A959" s="41" t="str">
        <f>_xlfn.XLOOKUP(G959,dd_color!$A$2:$A$8,dd_color!$B$2:$B$8,"",0)</f>
        <v/>
      </c>
      <c r="B959" s="41">
        <f>_xlfn.XLOOKUP(_xlfn.XLOOKUP(C959,'Project Details'!$C$17:$C$10003,'Project Details'!$E$17:$E$10003, "",0),dd_design_raw!$A$2:$A$9997,dd_design_raw!$C$2:$C$9997,"",0)</f>
        <v>0</v>
      </c>
      <c r="C959" s="16"/>
      <c r="D959" s="16" t="str" cm="1">
        <f t="array" ref="D959">IF(C959&lt;&gt;"", _xlfn.IFS(I959="Height",_xlfn.XLOOKUP(C959,calc_s60!$C$15:$C$1000,calc_s60!$AR$15:$AR$1000,"",0),  I959="Width", _xlfn.XLOOKUP(C959,calc_s60!$C$15:$C$1000,calc_s60!$AT$15:$AT$1000,"",0)),"")</f>
        <v/>
      </c>
      <c r="E959" s="16" t="str" cm="1">
        <f t="array" ref="E959">IF(C959&lt;&gt;"", _xlfn.XLOOKUP(1,((SKUs!$A$2:$A$10001=cl_unmerged!B959) * (ISNUMBER(SEARCH("Steel-Sash",SKUs!$J$2:$J$10001)))), SKUs!$J$2:$J$10001,""),"")  &amp; _xlfn.IFS(I959="Height", ", H",I959="Height SLI", ", H SLI", I959="Height FIX", ", H FIX",I959="Width", ", W", I959="", "")</f>
        <v/>
      </c>
      <c r="F959" s="33" t="str" cm="1">
        <f t="array" ref="F959">_xlfn.XLOOKUP(1,((SKUs!$A$2:$A$10001=cl_unmerged!B959) * (ISNUMBER(SEARCH("Steel-Sash",SKUs!$J$2:$J$10001)))), SKUs!$C$2:$C$10001,"")</f>
        <v/>
      </c>
      <c r="G959" s="16"/>
      <c r="H959" s="16" t="str" cm="1">
        <f t="array" ref="H959">IF(C959&lt;&gt;"", _xlfn.IFS(I959="Height",_xlfn.XLOOKUP(C959,calc_s60!$C$15:$C$1000,calc_s60!$AQ$15:$AQ$1000,"",0), I959="Width", _xlfn.XLOOKUP(C959,calc_s60!$C$15:$C$1000,calc_s60!$AS$15:$AS$1000,"",0)),"")</f>
        <v/>
      </c>
      <c r="I959" s="16" t="str">
        <f t="shared" si="21"/>
        <v/>
      </c>
    </row>
    <row r="960" spans="1:9" ht="13.5" customHeight="1" x14ac:dyDescent="0.25">
      <c r="A960" s="41" t="str">
        <f>_xlfn.XLOOKUP(G960,dd_color!$A$2:$A$8,dd_color!$B$2:$B$8,"",0)</f>
        <v/>
      </c>
      <c r="B960" s="41">
        <f>_xlfn.XLOOKUP(_xlfn.XLOOKUP(C960,'Project Details'!$C$17:$C$10003,'Project Details'!$E$17:$E$10003, "",0),dd_design_raw!$A$2:$A$9997,dd_design_raw!$C$2:$C$9997,"",0)</f>
        <v>0</v>
      </c>
      <c r="C960" s="16"/>
      <c r="D960" s="16" t="str" cm="1">
        <f t="array" ref="D960">IF(C960&lt;&gt;"", _xlfn.IFS(I960="Height",_xlfn.XLOOKUP(C960,calc_s60!$C$15:$C$1000,calc_s60!$AR$15:$AR$1000,"",0),  I960="Width", _xlfn.XLOOKUP(C960,calc_s60!$C$15:$C$1000,calc_s60!$AT$15:$AT$1000,"",0)),"")</f>
        <v/>
      </c>
      <c r="E960" s="16" t="str" cm="1">
        <f t="array" ref="E960">IF(C960&lt;&gt;"", _xlfn.XLOOKUP(1,((SKUs!$A$2:$A$10001=cl_unmerged!B960) * (ISNUMBER(SEARCH("Steel-Sash",SKUs!$J$2:$J$10001)))), SKUs!$J$2:$J$10001,""),"")  &amp; _xlfn.IFS(I960="Height", ", H",I960="Height SLI", ", H SLI", I960="Height FIX", ", H FIX",I960="Width", ", W", I960="", "")</f>
        <v/>
      </c>
      <c r="F960" s="33" t="str" cm="1">
        <f t="array" ref="F960">_xlfn.XLOOKUP(1,((SKUs!$A$2:$A$10001=cl_unmerged!B960) * (ISNUMBER(SEARCH("Steel-Sash",SKUs!$J$2:$J$10001)))), SKUs!$C$2:$C$10001,"")</f>
        <v/>
      </c>
      <c r="G960" s="16"/>
      <c r="H960" s="16" t="str" cm="1">
        <f t="array" ref="H960">IF(C960&lt;&gt;"", _xlfn.IFS(I960="Height",_xlfn.XLOOKUP(C960,calc_s60!$C$15:$C$1000,calc_s60!$AQ$15:$AQ$1000,"",0), I960="Width", _xlfn.XLOOKUP(C960,calc_s60!$C$15:$C$1000,calc_s60!$AS$15:$AS$1000,"",0)),"")</f>
        <v/>
      </c>
      <c r="I960" s="16" t="str">
        <f t="shared" si="21"/>
        <v/>
      </c>
    </row>
    <row r="961" spans="1:11" ht="13.5" customHeight="1" x14ac:dyDescent="0.25">
      <c r="A961" s="41" t="str">
        <f>_xlfn.XLOOKUP(G961,dd_color!$A$2:$A$8,dd_color!$B$2:$B$8,"",0)</f>
        <v/>
      </c>
      <c r="B961" s="41">
        <f>_xlfn.XLOOKUP(_xlfn.XLOOKUP(C961,'Project Details'!$C$17:$C$10003,'Project Details'!$E$17:$E$10003, "",0),dd_design_raw!$A$2:$A$9997,dd_design_raw!$C$2:$C$9997,"",0)</f>
        <v>0</v>
      </c>
      <c r="C961" s="16"/>
      <c r="D961" s="16" t="str" cm="1">
        <f t="array" ref="D961">IF(C961&lt;&gt;"", _xlfn.IFS(I961="Height",_xlfn.XLOOKUP(C961,calc_s60!$C$15:$C$1000,calc_s60!$AR$15:$AR$1000,"",0),  I961="Width", _xlfn.XLOOKUP(C961,calc_s60!$C$15:$C$1000,calc_s60!$AT$15:$AT$1000,"",0)),"")</f>
        <v/>
      </c>
      <c r="E961" s="16" t="str" cm="1">
        <f t="array" ref="E961">IF(C961&lt;&gt;"", _xlfn.XLOOKUP(1,((SKUs!$A$2:$A$10001=cl_unmerged!B961) * (ISNUMBER(SEARCH("Steel-Sash",SKUs!$J$2:$J$10001)))), SKUs!$J$2:$J$10001,""),"")  &amp; _xlfn.IFS(I961="Height", ", H",I961="Height SLI", ", H SLI", I961="Height FIX", ", H FIX",I961="Width", ", W", I961="", "")</f>
        <v/>
      </c>
      <c r="F961" s="33" t="str" cm="1">
        <f t="array" ref="F961">_xlfn.XLOOKUP(1,((SKUs!$A$2:$A$10001=cl_unmerged!B961) * (ISNUMBER(SEARCH("Steel-Sash",SKUs!$J$2:$J$10001)))), SKUs!$C$2:$C$10001,"")</f>
        <v/>
      </c>
      <c r="G961" s="16"/>
      <c r="H961" s="16" t="str" cm="1">
        <f t="array" ref="H961">IF(C961&lt;&gt;"", _xlfn.IFS(I961="Height",_xlfn.XLOOKUP(C961,calc_s60!$C$15:$C$1000,calc_s60!$AQ$15:$AQ$1000,"",0), I961="Width", _xlfn.XLOOKUP(C961,calc_s60!$C$15:$C$1000,calc_s60!$AS$15:$AS$1000,"",0)),"")</f>
        <v/>
      </c>
      <c r="I961" s="16" t="str">
        <f t="shared" si="21"/>
        <v/>
      </c>
    </row>
    <row r="962" spans="1:11" ht="13.5" customHeight="1" x14ac:dyDescent="0.25">
      <c r="A962" s="41" t="str">
        <f>_xlfn.XLOOKUP(G962,dd_color!$A$2:$A$8,dd_color!$B$2:$B$8,"",0)</f>
        <v/>
      </c>
      <c r="B962" s="41">
        <f>_xlfn.XLOOKUP(_xlfn.XLOOKUP(C962,'Project Details'!$C$17:$C$10003,'Project Details'!$E$17:$E$10003, "",0),dd_design_raw!$A$2:$A$9997,dd_design_raw!$C$2:$C$9997,"",0)</f>
        <v>0</v>
      </c>
      <c r="C962" s="16"/>
      <c r="D962" s="16" t="str" cm="1">
        <f t="array" ref="D962">IF(C962&lt;&gt;"", _xlfn.IFS(I962="Height",_xlfn.XLOOKUP(C962,calc_s60!$C$15:$C$1000,calc_s60!$AR$15:$AR$1000,"",0),  I962="Width", _xlfn.XLOOKUP(C962,calc_s60!$C$15:$C$1000,calc_s60!$AT$15:$AT$1000,"",0)),"")</f>
        <v/>
      </c>
      <c r="E962" s="16" t="str" cm="1">
        <f t="array" ref="E962">IF(C962&lt;&gt;"", _xlfn.XLOOKUP(1,((SKUs!$A$2:$A$10001=cl_unmerged!B962) * (ISNUMBER(SEARCH("Steel-Sash",SKUs!$J$2:$J$10001)))), SKUs!$J$2:$J$10001,""),"")  &amp; _xlfn.IFS(I962="Height", ", H",I962="Height SLI", ", H SLI", I962="Height FIX", ", H FIX",I962="Width", ", W", I962="", "")</f>
        <v/>
      </c>
      <c r="F962" s="33" t="str" cm="1">
        <f t="array" ref="F962">_xlfn.XLOOKUP(1,((SKUs!$A$2:$A$10001=cl_unmerged!B962) * (ISNUMBER(SEARCH("Steel-Sash",SKUs!$J$2:$J$10001)))), SKUs!$C$2:$C$10001,"")</f>
        <v/>
      </c>
      <c r="G962" s="16"/>
      <c r="H962" s="16" t="str" cm="1">
        <f t="array" ref="H962">IF(C962&lt;&gt;"", _xlfn.IFS(I962="Height",_xlfn.XLOOKUP(C962,calc_s60!$C$15:$C$1000,calc_s60!$AQ$15:$AQ$1000,"",0), I962="Width", _xlfn.XLOOKUP(C962,calc_s60!$C$15:$C$1000,calc_s60!$AS$15:$AS$1000,"",0)),"")</f>
        <v/>
      </c>
      <c r="I962" s="16" t="str">
        <f t="shared" si="21"/>
        <v/>
      </c>
    </row>
    <row r="963" spans="1:11" ht="13.5" customHeight="1" x14ac:dyDescent="0.25">
      <c r="A963" s="41" t="str">
        <f>_xlfn.XLOOKUP(G963,dd_color!$A$2:$A$8,dd_color!$B$2:$B$8,"",0)</f>
        <v/>
      </c>
      <c r="B963" s="41">
        <f>_xlfn.XLOOKUP(_xlfn.XLOOKUP(C963,'Project Details'!$C$17:$C$10003,'Project Details'!$E$17:$E$10003, "",0),dd_design_raw!$A$2:$A$9997,dd_design_raw!$C$2:$C$9997,"",0)</f>
        <v>0</v>
      </c>
      <c r="C963" s="16"/>
      <c r="D963" s="16" t="str" cm="1">
        <f t="array" ref="D963">IF(C963&lt;&gt;"", _xlfn.IFS(I963="Height",_xlfn.XLOOKUP(C963,calc_s60!$C$15:$C$1000,calc_s60!$AR$15:$AR$1000,"",0),  I963="Width", _xlfn.XLOOKUP(C963,calc_s60!$C$15:$C$1000,calc_s60!$AT$15:$AT$1000,"",0)),"")</f>
        <v/>
      </c>
      <c r="E963" s="16" t="str" cm="1">
        <f t="array" ref="E963">IF(C963&lt;&gt;"", _xlfn.XLOOKUP(1,((SKUs!$A$2:$A$10001=cl_unmerged!B963) * (ISNUMBER(SEARCH("Steel-Sash",SKUs!$J$2:$J$10001)))), SKUs!$J$2:$J$10001,""),"")  &amp; _xlfn.IFS(I963="Height", ", H",I963="Height SLI", ", H SLI", I963="Height FIX", ", H FIX",I963="Width", ", W", I963="", "")</f>
        <v/>
      </c>
      <c r="F963" s="33" t="str" cm="1">
        <f t="array" ref="F963">_xlfn.XLOOKUP(1,((SKUs!$A$2:$A$10001=cl_unmerged!B963) * (ISNUMBER(SEARCH("Steel-Sash",SKUs!$J$2:$J$10001)))), SKUs!$C$2:$C$10001,"")</f>
        <v/>
      </c>
      <c r="G963" s="16"/>
      <c r="H963" s="16" t="str" cm="1">
        <f t="array" ref="H963">IF(C963&lt;&gt;"", _xlfn.IFS(I963="Height",_xlfn.XLOOKUP(C963,calc_s60!$C$15:$C$1000,calc_s60!$AQ$15:$AQ$1000,"",0), I963="Width", _xlfn.XLOOKUP(C963,calc_s60!$C$15:$C$1000,calc_s60!$AS$15:$AS$1000,"",0)),"")</f>
        <v/>
      </c>
      <c r="I963" s="16" t="str">
        <f t="shared" si="21"/>
        <v/>
      </c>
    </row>
    <row r="964" spans="1:11" ht="13.5" customHeight="1" x14ac:dyDescent="0.25">
      <c r="A964" s="41" t="str">
        <f>_xlfn.XLOOKUP(G964,dd_color!$A$2:$A$8,dd_color!$B$2:$B$8,"",0)</f>
        <v/>
      </c>
      <c r="B964" s="41">
        <f>_xlfn.XLOOKUP(_xlfn.XLOOKUP(C964,'Project Details'!$C$17:$C$10003,'Project Details'!$E$17:$E$10003, "",0),dd_design_raw!$A$2:$A$9997,dd_design_raw!$C$2:$C$9997,"",0)</f>
        <v>0</v>
      </c>
      <c r="C964" s="16"/>
      <c r="D964" s="16" t="str" cm="1">
        <f t="array" ref="D964">IF(C964&lt;&gt;"", _xlfn.IFS(I964="Height",_xlfn.XLOOKUP(C964,calc_s60!$C$15:$C$1000,calc_s60!$AR$15:$AR$1000,"",0),  I964="Width", _xlfn.XLOOKUP(C964,calc_s60!$C$15:$C$1000,calc_s60!$AT$15:$AT$1000,"",0)),"")</f>
        <v/>
      </c>
      <c r="E964" s="16" t="str" cm="1">
        <f t="array" ref="E964">IF(C964&lt;&gt;"", _xlfn.XLOOKUP(1,((SKUs!$A$2:$A$10001=cl_unmerged!B964) * (ISNUMBER(SEARCH("Steel-Sash",SKUs!$J$2:$J$10001)))), SKUs!$J$2:$J$10001,""),"")  &amp; _xlfn.IFS(I964="Height", ", H",I964="Height SLI", ", H SLI", I964="Height FIX", ", H FIX",I964="Width", ", W", I964="", "")</f>
        <v/>
      </c>
      <c r="F964" s="33" t="str" cm="1">
        <f t="array" ref="F964">_xlfn.XLOOKUP(1,((SKUs!$A$2:$A$10001=cl_unmerged!B964) * (ISNUMBER(SEARCH("Steel-Sash",SKUs!$J$2:$J$10001)))), SKUs!$C$2:$C$10001,"")</f>
        <v/>
      </c>
      <c r="G964" s="16"/>
      <c r="H964" s="16" t="str" cm="1">
        <f t="array" ref="H964">IF(C964&lt;&gt;"", _xlfn.IFS(I964="Height",_xlfn.XLOOKUP(C964,calc_s60!$C$15:$C$1000,calc_s60!$AQ$15:$AQ$1000,"",0), I964="Width", _xlfn.XLOOKUP(C964,calc_s60!$C$15:$C$1000,calc_s60!$AS$15:$AS$1000,"",0)),"")</f>
        <v/>
      </c>
      <c r="I964" s="16" t="str">
        <f t="shared" si="21"/>
        <v/>
      </c>
    </row>
    <row r="965" spans="1:11" ht="13.5" customHeight="1" x14ac:dyDescent="0.25">
      <c r="A965" s="41" t="str">
        <f>_xlfn.XLOOKUP(G965,dd_color!$A$2:$A$8,dd_color!$B$2:$B$8,"",0)</f>
        <v/>
      </c>
      <c r="B965" s="41">
        <f>_xlfn.XLOOKUP(_xlfn.XLOOKUP(C965,'Project Details'!$C$17:$C$10003,'Project Details'!$E$17:$E$10003, "",0),dd_design_raw!$A$2:$A$9997,dd_design_raw!$C$2:$C$9997,"",0)</f>
        <v>0</v>
      </c>
      <c r="C965" s="16"/>
      <c r="D965" s="16" t="str" cm="1">
        <f t="array" ref="D965">IF(C965&lt;&gt;"", _xlfn.IFS(I965="Height",_xlfn.XLOOKUP(C965,calc_s60!$C$15:$C$1000,calc_s60!$AR$15:$AR$1000,"",0),  I965="Width", _xlfn.XLOOKUP(C965,calc_s60!$C$15:$C$1000,calc_s60!$AT$15:$AT$1000,"",0)),"")</f>
        <v/>
      </c>
      <c r="E965" s="16" t="str" cm="1">
        <f t="array" ref="E965">IF(C965&lt;&gt;"", _xlfn.XLOOKUP(1,((SKUs!$A$2:$A$10001=cl_unmerged!B965) * (ISNUMBER(SEARCH("Steel-Sash",SKUs!$J$2:$J$10001)))), SKUs!$J$2:$J$10001,""),"")  &amp; _xlfn.IFS(I965="Height", ", H",I965="Height SLI", ", H SLI", I965="Height FIX", ", H FIX",I965="Width", ", W", I965="", "")</f>
        <v/>
      </c>
      <c r="F965" s="33" t="str" cm="1">
        <f t="array" ref="F965">_xlfn.XLOOKUP(1,((SKUs!$A$2:$A$10001=cl_unmerged!B965) * (ISNUMBER(SEARCH("Steel-Sash",SKUs!$J$2:$J$10001)))), SKUs!$C$2:$C$10001,"")</f>
        <v/>
      </c>
      <c r="G965" s="16"/>
      <c r="H965" s="16" t="str" cm="1">
        <f t="array" ref="H965">IF(C965&lt;&gt;"", _xlfn.IFS(I965="Height",_xlfn.XLOOKUP(C965,calc_s60!$C$15:$C$1000,calc_s60!$AQ$15:$AQ$1000,"",0), I965="Width", _xlfn.XLOOKUP(C965,calc_s60!$C$15:$C$1000,calc_s60!$AS$15:$AS$1000,"",0)),"")</f>
        <v/>
      </c>
      <c r="I965" s="16" t="str">
        <f t="shared" si="21"/>
        <v/>
      </c>
    </row>
    <row r="966" spans="1:11" ht="13.5" customHeight="1" x14ac:dyDescent="0.25">
      <c r="C966" s="32" t="s">
        <v>722</v>
      </c>
      <c r="D966" s="32"/>
      <c r="E966" s="32"/>
      <c r="F966" s="32"/>
      <c r="G966" s="32"/>
      <c r="H966" s="32"/>
      <c r="I966" s="32"/>
    </row>
    <row r="967" spans="1:11" ht="13.5" customHeight="1" x14ac:dyDescent="0.25">
      <c r="A967" s="41" t="str">
        <f>_xlfn.XLOOKUP(G967,dd_color!$A$2:$A$8,dd_color!$B$2:$B$8,"",0)</f>
        <v/>
      </c>
      <c r="B967" s="41" t="str">
        <f>_xlfn.XLOOKUP(_xlfn.XLOOKUP(C967,'Project Details'!$C$17:$C$10003,'Project Details'!$E$17:$E$10003, "",0),dd_design_raw!$A$2:$A$9997,dd_design_raw!$C$2:$C$9997,"",0)</f>
        <v/>
      </c>
      <c r="C967" s="16" t="str" cm="1">
        <f t="array" ref="C967:C969">IFERROR(INDEX(_xlfn._xlws.FILTER('calc_s90&amp;138'!C15:C65, 'calc_s90&amp;138'!BI15:BI65&lt;&gt;""), INT((_xlfn.SEQUENCE(3 * COUNTA(_xlfn._xlws.FILTER('calc_s90&amp;138'!C15:C65, 'calc_s90&amp;138'!BI15:BI65&lt;&gt;""))) - 1) / 3) + 1), "")</f>
        <v/>
      </c>
      <c r="D967" s="16" t="str" cm="1">
        <f t="array" ref="D967">IF(C967&lt;&gt;"", _xlfn.IFS(I967="Height SLI",_xlfn.XLOOKUP(C967,'calc_s90&amp;138'!$C$15:$C$1000,'calc_s90&amp;138'!$BJ$15:$BJ$1000,"",0),  I967="Height FIX",_xlfn.XLOOKUP(C967,'calc_s90&amp;138'!$C$15:$C$1000,'calc_s90&amp;138'!$BL$15:$BL$1000,"",0),  I967="Width", _xlfn.XLOOKUP(C967,'calc_s90&amp;138'!$C$15:$C$1000,'calc_s90&amp;138'!$BN$15:$BN$1000,"",0)),"")</f>
        <v/>
      </c>
      <c r="E967" s="16" t="str" cm="1">
        <f t="array" ref="E967">IF(C967&lt;&gt;"", _xlfn.XLOOKUP(1,((SKUs!$A$2:$A$10001=cl_unmerged!B967) * (ISNUMBER(SEARCH("Steel-"&amp;K967,SKUs!$J$2:$J$10001)))), SKUs!$J$2:$J$10001,""),"")  &amp; _xlfn.IFS(I967="Height", ", H",I967="Height SLI", ", H SLI", I967="Height FIX", ", H FIX",I967="Width", ", W", I967="", "")</f>
        <v>, H SLI</v>
      </c>
      <c r="F967" s="33" t="str" cm="1">
        <f t="array" ref="F967">_xlfn.XLOOKUP(1,((SKUs!$A$2:$A$10001=cl_unmerged!B967) * (ISNUMBER(SEARCH("Steel-"&amp;K967,SKUs!$J$2:$J$10001)))), SKUs!$C$2:$C$10001,"")</f>
        <v/>
      </c>
      <c r="G967" s="16"/>
      <c r="H967" s="16" t="str" cm="1">
        <f t="array" ref="H967">IF(C967&lt;&gt;"", _xlfn.IFS(I967="Height SLI",_xlfn.XLOOKUP(C967,'calc_s90&amp;138'!$C$15:$C$1000,'calc_s90&amp;138'!$BI$15:$BI$1000,"",0), I967="Height FIX",_xlfn.XLOOKUP(C967,'calc_s90&amp;138'!$C$15:$C$1000,'calc_s90&amp;138'!$BK$15:$BK$1000,"",0), I967="Width", _xlfn.XLOOKUP(C967,'calc_s90&amp;138'!$C$15:$C$1000,'calc_s90&amp;138'!$BM$15:$BM$1000,"",0)),"")</f>
        <v/>
      </c>
      <c r="I967" s="16" t="s">
        <v>184</v>
      </c>
      <c r="K967" s="1" t="str" cm="1">
        <f t="array" ref="K967">IF(C967&lt;&gt;"", _xlfn.XLOOKUP(1,((SKUs!$A$2:$A$10001=cl_unmerged!B967) * (ISNUMBER(SEARCH("Sash",SKUs!$J$2:$J$10001)))), SKUs!$J$2:$J$10001,""),"")</f>
        <v/>
      </c>
    </row>
    <row r="968" spans="1:11" ht="13.5" customHeight="1" x14ac:dyDescent="0.25">
      <c r="A968" s="41" t="str">
        <f>_xlfn.XLOOKUP(G968,dd_color!$A$2:$A$8,dd_color!$B$2:$B$8,"",0)</f>
        <v/>
      </c>
      <c r="B968" s="41" t="str">
        <f>_xlfn.XLOOKUP(_xlfn.XLOOKUP(C968,'Project Details'!$C$17:$C$10003,'Project Details'!$E$17:$E$10003, "",0),dd_design_raw!$A$2:$A$9997,dd_design_raw!$C$2:$C$9997,"",0)</f>
        <v/>
      </c>
      <c r="C968" s="16" t="str">
        <v/>
      </c>
      <c r="D968" s="16" t="str" cm="1">
        <f t="array" ref="D968">IF(C968&lt;&gt;"", _xlfn.IFS(I968="Height SLI",_xlfn.XLOOKUP(C968,'calc_s90&amp;138'!$C$15:$C$1000,'calc_s90&amp;138'!$BJ$15:$BJ$1000,"",0),  I968="Height FIX",_xlfn.XLOOKUP(C968,'calc_s90&amp;138'!$C$15:$C$1000,'calc_s90&amp;138'!$BL$15:$BL$1000,"",0),  I968="Width", _xlfn.XLOOKUP(C968,'calc_s90&amp;138'!$C$15:$C$1000,'calc_s90&amp;138'!$BN$15:$BN$1000,"",0)),"")</f>
        <v/>
      </c>
      <c r="E968" s="16" t="str" cm="1">
        <f t="array" ref="E968">IF(C968&lt;&gt;"", _xlfn.XLOOKUP(1,((SKUs!$A$2:$A$10001=cl_unmerged!B968) * (ISNUMBER(SEARCH("Steel-"&amp;K968,SKUs!$J$2:$J$10001)))), SKUs!$J$2:$J$10001,""),"")  &amp; _xlfn.IFS(I968="Height", ", H",I968="Height SLI", ", H SLI", I968="Height FIX", ", H FIX",I968="Width", ", W", I968="", "")</f>
        <v>, H FIX</v>
      </c>
      <c r="F968" s="33" t="str" cm="1">
        <f t="array" ref="F968">_xlfn.XLOOKUP(1,((SKUs!$A$2:$A$10001=cl_unmerged!B968) * (ISNUMBER(SEARCH("Steel-"&amp;K968,SKUs!$J$2:$J$10001)))), SKUs!$C$2:$C$10001,"")</f>
        <v/>
      </c>
      <c r="G968" s="16"/>
      <c r="H968" s="16" t="str" cm="1">
        <f t="array" ref="H968">IF(C968&lt;&gt;"", _xlfn.IFS(I968="Height SLI",_xlfn.XLOOKUP(C968,'calc_s90&amp;138'!$C$15:$C$1000,'calc_s90&amp;138'!$BI$15:$BI$1000,"",0), I968="Height FIX",_xlfn.XLOOKUP(C968,'calc_s90&amp;138'!$C$15:$C$1000,'calc_s90&amp;138'!$BK$15:$BK$1000,"",0), I968="Width", _xlfn.XLOOKUP(C968,'calc_s90&amp;138'!$C$15:$C$1000,'calc_s90&amp;138'!$BM$15:$BM$1000,"",0)),"")</f>
        <v/>
      </c>
      <c r="I968" s="16" t="s">
        <v>185</v>
      </c>
      <c r="K968" s="1" t="str" cm="1">
        <f t="array" ref="K968">IF(C968&lt;&gt;"", _xlfn.XLOOKUP(1,((SKUs!$A$2:$A$10001=cl_unmerged!B968) * (ISNUMBER(SEARCH("Sash",SKUs!$J$2:$J$10001)))), SKUs!$J$2:$J$10001,""),"")</f>
        <v/>
      </c>
    </row>
    <row r="969" spans="1:11" ht="13.5" customHeight="1" x14ac:dyDescent="0.25">
      <c r="A969" s="41" t="str">
        <f>_xlfn.XLOOKUP(G969,dd_color!$A$2:$A$8,dd_color!$B$2:$B$8,"",0)</f>
        <v/>
      </c>
      <c r="B969" s="41" t="str">
        <f>_xlfn.XLOOKUP(_xlfn.XLOOKUP(C969,'Project Details'!$C$17:$C$10003,'Project Details'!$E$17:$E$10003, "",0),dd_design_raw!$A$2:$A$9997,dd_design_raw!$C$2:$C$9997,"",0)</f>
        <v/>
      </c>
      <c r="C969" s="16" t="str">
        <v/>
      </c>
      <c r="D969" s="16" t="str" cm="1">
        <f t="array" ref="D969">IF(C969&lt;&gt;"", _xlfn.IFS(I969="Height SLI",_xlfn.XLOOKUP(C969,'calc_s90&amp;138'!$C$15:$C$1000,'calc_s90&amp;138'!$BJ$15:$BJ$1000,"",0),  I969="Height FIX",_xlfn.XLOOKUP(C969,'calc_s90&amp;138'!$C$15:$C$1000,'calc_s90&amp;138'!$BL$15:$BL$1000,"",0),  I969="Width", _xlfn.XLOOKUP(C969,'calc_s90&amp;138'!$C$15:$C$1000,'calc_s90&amp;138'!$BN$15:$BN$1000,"",0)),"")</f>
        <v/>
      </c>
      <c r="E969" s="16" t="str" cm="1">
        <f t="array" ref="E969">IF(C969&lt;&gt;"", _xlfn.XLOOKUP(1,((SKUs!$A$2:$A$10001=cl_unmerged!B969) * (ISNUMBER(SEARCH("Steel-"&amp;K969,SKUs!$J$2:$J$10001)))), SKUs!$J$2:$J$10001,""),"")  &amp; _xlfn.IFS(I969="Height", ", H",I969="Height SLI", ", H SLI", I969="Height FIX", ", H FIX",I969="Width", ", W", I969="", "")</f>
        <v>, W</v>
      </c>
      <c r="F969" s="33" t="str" cm="1">
        <f t="array" ref="F969">_xlfn.XLOOKUP(1,((SKUs!$A$2:$A$10001=cl_unmerged!B969) * (ISNUMBER(SEARCH("Steel-"&amp;K969,SKUs!$J$2:$J$10001)))), SKUs!$C$2:$C$10001,"")</f>
        <v/>
      </c>
      <c r="G969" s="16"/>
      <c r="H969" s="16" t="str" cm="1">
        <f t="array" ref="H969">IF(C969&lt;&gt;"", _xlfn.IFS(I969="Height SLI",_xlfn.XLOOKUP(C969,'calc_s90&amp;138'!$C$15:$C$1000,'calc_s90&amp;138'!$BI$15:$BI$1000,"",0), I969="Height FIX",_xlfn.XLOOKUP(C969,'calc_s90&amp;138'!$C$15:$C$1000,'calc_s90&amp;138'!$BK$15:$BK$1000,"",0), I969="Width", _xlfn.XLOOKUP(C969,'calc_s90&amp;138'!$C$15:$C$1000,'calc_s90&amp;138'!$BM$15:$BM$1000,"",0)),"")</f>
        <v/>
      </c>
      <c r="I969" s="16" t="s">
        <v>65</v>
      </c>
      <c r="K969" s="1" t="str" cm="1">
        <f t="array" ref="K969">IF(C969&lt;&gt;"", _xlfn.XLOOKUP(1,((SKUs!$A$2:$A$10001=cl_unmerged!B969) * (ISNUMBER(SEARCH("Sash",SKUs!$J$2:$J$10001)))), SKUs!$J$2:$J$10001,""),"")</f>
        <v/>
      </c>
    </row>
    <row r="970" spans="1:11" ht="13.5" customHeight="1" x14ac:dyDescent="0.25">
      <c r="A970" s="41" t="str">
        <f>_xlfn.XLOOKUP(G970,dd_color!$A$2:$A$8,dd_color!$B$2:$B$8,"",0)</f>
        <v/>
      </c>
      <c r="B970" s="41">
        <f>_xlfn.XLOOKUP(_xlfn.XLOOKUP(C970,'Project Details'!$C$17:$C$10003,'Project Details'!$E$17:$E$10003, "",0),dd_design_raw!$A$2:$A$9997,dd_design_raw!$C$2:$C$9997,"",0)</f>
        <v>0</v>
      </c>
      <c r="C970" s="16"/>
      <c r="D970" s="16" t="str" cm="1">
        <f t="array" ref="D970">IF(C970&lt;&gt;"", _xlfn.IFS(I970="Height SLI",_xlfn.XLOOKUP(C970,'calc_s90&amp;138'!$C$15:$C$1000,'calc_s90&amp;138'!$BJ$15:$BJ$1000,"",0),  I970="Height FIX",_xlfn.XLOOKUP(C970,'calc_s90&amp;138'!$C$15:$C$1000,'calc_s90&amp;138'!$BL$15:$BL$1000,"",0),  I970="Width", _xlfn.XLOOKUP(C970,'calc_s90&amp;138'!$C$15:$C$1000,'calc_s90&amp;138'!$BN$15:$BN$1000,"",0)),"")</f>
        <v/>
      </c>
      <c r="E970" s="16" t="str" cm="1">
        <f t="array" ref="E970">IF(C970&lt;&gt;"", _xlfn.XLOOKUP(1,((SKUs!$A$2:$A$10001=cl_unmerged!B970) * (ISNUMBER(SEARCH("Steel-"&amp;K970,SKUs!$J$2:$J$10001)))), SKUs!$J$2:$J$10001,""),"")  &amp; _xlfn.IFS(I970="Height", ", H",I970="Height SLI", ", H SLI", I970="Height FIX", ", H FIX",I970="Width", ", W", I970="", "")</f>
        <v/>
      </c>
      <c r="F970" s="33" t="str" cm="1">
        <f t="array" ref="F970">_xlfn.XLOOKUP(1,((SKUs!$A$2:$A$10001=cl_unmerged!B970) * (ISNUMBER(SEARCH("Steel-"&amp;K970,SKUs!$J$2:$J$10001)))), SKUs!$C$2:$C$10001,"")</f>
        <v/>
      </c>
      <c r="G970" s="16"/>
      <c r="H970" s="16" t="str" cm="1">
        <f t="array" ref="H970">IF(C970&lt;&gt;"", _xlfn.IFS(I970="Height SLI",_xlfn.XLOOKUP(C970,'calc_s90&amp;138'!$C$15:$C$1000,'calc_s90&amp;138'!$BI$15:$BI$1000,"",0), I970="Height FIX",_xlfn.XLOOKUP(C970,'calc_s90&amp;138'!$C$15:$C$1000,'calc_s90&amp;138'!$BK$15:$BK$1000,"",0), I970="Width", _xlfn.XLOOKUP(C970,'calc_s90&amp;138'!$C$15:$C$1000,'calc_s90&amp;138'!$BM$15:$BM$1000,"",0)),"")</f>
        <v/>
      </c>
      <c r="I970" s="16" t="str">
        <f>IF(C970&lt;&gt;"", I967,"")</f>
        <v/>
      </c>
      <c r="K970" s="1" t="str" cm="1">
        <f t="array" ref="K970">IF(C970&lt;&gt;"", _xlfn.XLOOKUP(1,((SKUs!$A$2:$A$10001=cl_unmerged!B970) * (ISNUMBER(SEARCH("Sash",SKUs!$J$2:$J$10001)))), SKUs!$J$2:$J$10001,""),"")</f>
        <v/>
      </c>
    </row>
    <row r="971" spans="1:11" ht="13.5" customHeight="1" x14ac:dyDescent="0.25">
      <c r="A971" s="41" t="str">
        <f>_xlfn.XLOOKUP(G971,dd_color!$A$2:$A$8,dd_color!$B$2:$B$8,"",0)</f>
        <v/>
      </c>
      <c r="B971" s="41">
        <f>_xlfn.XLOOKUP(_xlfn.XLOOKUP(C971,'Project Details'!$C$17:$C$10003,'Project Details'!$E$17:$E$10003, "",0),dd_design_raw!$A$2:$A$9997,dd_design_raw!$C$2:$C$9997,"",0)</f>
        <v>0</v>
      </c>
      <c r="C971" s="16"/>
      <c r="D971" s="16" t="str" cm="1">
        <f t="array" ref="D971">IF(C971&lt;&gt;"", _xlfn.IFS(I971="Height SLI",_xlfn.XLOOKUP(C971,'calc_s90&amp;138'!$C$15:$C$1000,'calc_s90&amp;138'!$BJ$15:$BJ$1000,"",0),  I971="Height FIX",_xlfn.XLOOKUP(C971,'calc_s90&amp;138'!$C$15:$C$1000,'calc_s90&amp;138'!$BL$15:$BL$1000,"",0),  I971="Width", _xlfn.XLOOKUP(C971,'calc_s90&amp;138'!$C$15:$C$1000,'calc_s90&amp;138'!$BN$15:$BN$1000,"",0)),"")</f>
        <v/>
      </c>
      <c r="E971" s="16" t="str" cm="1">
        <f t="array" ref="E971">IF(C971&lt;&gt;"", _xlfn.XLOOKUP(1,((SKUs!$A$2:$A$10001=cl_unmerged!B971) * (ISNUMBER(SEARCH("Steel-"&amp;K971,SKUs!$J$2:$J$10001)))), SKUs!$J$2:$J$10001,""),"")  &amp; _xlfn.IFS(I971="Height", ", H",I971="Height SLI", ", H SLI", I971="Height FIX", ", H FIX",I971="Width", ", W", I971="", "")</f>
        <v/>
      </c>
      <c r="F971" s="33" t="str" cm="1">
        <f t="array" ref="F971">_xlfn.XLOOKUP(1,((SKUs!$A$2:$A$10001=cl_unmerged!B971) * (ISNUMBER(SEARCH("Steel-"&amp;K971,SKUs!$J$2:$J$10001)))), SKUs!$C$2:$C$10001,"")</f>
        <v/>
      </c>
      <c r="G971" s="16"/>
      <c r="H971" s="16" t="str" cm="1">
        <f t="array" ref="H971">IF(C971&lt;&gt;"", _xlfn.IFS(I971="Height SLI",_xlfn.XLOOKUP(C971,'calc_s90&amp;138'!$C$15:$C$1000,'calc_s90&amp;138'!$BI$15:$BI$1000,"",0), I971="Height FIX",_xlfn.XLOOKUP(C971,'calc_s90&amp;138'!$C$15:$C$1000,'calc_s90&amp;138'!$BK$15:$BK$1000,"",0), I971="Width", _xlfn.XLOOKUP(C971,'calc_s90&amp;138'!$C$15:$C$1000,'calc_s90&amp;138'!$BM$15:$BM$1000,"",0)),"")</f>
        <v/>
      </c>
      <c r="I971" s="16" t="str">
        <f t="shared" ref="I971:I1034" si="22">IF(C971&lt;&gt;"", I968,"")</f>
        <v/>
      </c>
      <c r="K971" s="1" t="str" cm="1">
        <f t="array" ref="K971">IF(C971&lt;&gt;"", _xlfn.XLOOKUP(1,((SKUs!$A$2:$A$10001=cl_unmerged!B971) * (ISNUMBER(SEARCH("Sash",SKUs!$J$2:$J$10001)))), SKUs!$J$2:$J$10001,""),"")</f>
        <v/>
      </c>
    </row>
    <row r="972" spans="1:11" ht="13.5" customHeight="1" x14ac:dyDescent="0.25">
      <c r="A972" s="41" t="str">
        <f>_xlfn.XLOOKUP(G972,dd_color!$A$2:$A$8,dd_color!$B$2:$B$8,"",0)</f>
        <v/>
      </c>
      <c r="B972" s="41">
        <f>_xlfn.XLOOKUP(_xlfn.XLOOKUP(C972,'Project Details'!$C$17:$C$10003,'Project Details'!$E$17:$E$10003, "",0),dd_design_raw!$A$2:$A$9997,dd_design_raw!$C$2:$C$9997,"",0)</f>
        <v>0</v>
      </c>
      <c r="C972" s="16"/>
      <c r="D972" s="16" t="str" cm="1">
        <f t="array" ref="D972">IF(C972&lt;&gt;"", _xlfn.IFS(I972="Height SLI",_xlfn.XLOOKUP(C972,'calc_s90&amp;138'!$C$15:$C$1000,'calc_s90&amp;138'!$BJ$15:$BJ$1000,"",0),  I972="Height FIX",_xlfn.XLOOKUP(C972,'calc_s90&amp;138'!$C$15:$C$1000,'calc_s90&amp;138'!$BL$15:$BL$1000,"",0),  I972="Width", _xlfn.XLOOKUP(C972,'calc_s90&amp;138'!$C$15:$C$1000,'calc_s90&amp;138'!$BN$15:$BN$1000,"",0)),"")</f>
        <v/>
      </c>
      <c r="E972" s="16" t="str" cm="1">
        <f t="array" ref="E972">IF(C972&lt;&gt;"", _xlfn.XLOOKUP(1,((SKUs!$A$2:$A$10001=cl_unmerged!B972) * (ISNUMBER(SEARCH("Steel-"&amp;K972,SKUs!$J$2:$J$10001)))), SKUs!$J$2:$J$10001,""),"")  &amp; _xlfn.IFS(I972="Height", ", H",I972="Height SLI", ", H SLI", I972="Height FIX", ", H FIX",I972="Width", ", W", I972="", "")</f>
        <v/>
      </c>
      <c r="F972" s="33" t="str" cm="1">
        <f t="array" ref="F972">_xlfn.XLOOKUP(1,((SKUs!$A$2:$A$10001=cl_unmerged!B972) * (ISNUMBER(SEARCH("Steel-"&amp;K972,SKUs!$J$2:$J$10001)))), SKUs!$C$2:$C$10001,"")</f>
        <v/>
      </c>
      <c r="G972" s="16"/>
      <c r="H972" s="16" t="str" cm="1">
        <f t="array" ref="H972">IF(C972&lt;&gt;"", _xlfn.IFS(I972="Height SLI",_xlfn.XLOOKUP(C972,'calc_s90&amp;138'!$C$15:$C$1000,'calc_s90&amp;138'!$BI$15:$BI$1000,"",0), I972="Height FIX",_xlfn.XLOOKUP(C972,'calc_s90&amp;138'!$C$15:$C$1000,'calc_s90&amp;138'!$BK$15:$BK$1000,"",0), I972="Width", _xlfn.XLOOKUP(C972,'calc_s90&amp;138'!$C$15:$C$1000,'calc_s90&amp;138'!$BM$15:$BM$1000,"",0)),"")</f>
        <v/>
      </c>
      <c r="I972" s="16" t="str">
        <f t="shared" si="22"/>
        <v/>
      </c>
      <c r="K972" s="1" t="str" cm="1">
        <f t="array" ref="K972">IF(C972&lt;&gt;"", _xlfn.XLOOKUP(1,((SKUs!$A$2:$A$10001=cl_unmerged!B972) * (ISNUMBER(SEARCH("Sash",SKUs!$J$2:$J$10001)))), SKUs!$J$2:$J$10001,""),"")</f>
        <v/>
      </c>
    </row>
    <row r="973" spans="1:11" ht="13.5" customHeight="1" x14ac:dyDescent="0.25">
      <c r="A973" s="41" t="str">
        <f>_xlfn.XLOOKUP(G973,dd_color!$A$2:$A$8,dd_color!$B$2:$B$8,"",0)</f>
        <v/>
      </c>
      <c r="B973" s="41">
        <f>_xlfn.XLOOKUP(_xlfn.XLOOKUP(C973,'Project Details'!$C$17:$C$10003,'Project Details'!$E$17:$E$10003, "",0),dd_design_raw!$A$2:$A$9997,dd_design_raw!$C$2:$C$9997,"",0)</f>
        <v>0</v>
      </c>
      <c r="C973" s="16"/>
      <c r="D973" s="16" t="str" cm="1">
        <f t="array" ref="D973">IF(C973&lt;&gt;"", _xlfn.IFS(I973="Height SLI",_xlfn.XLOOKUP(C973,'calc_s90&amp;138'!$C$15:$C$1000,'calc_s90&amp;138'!$BJ$15:$BJ$1000,"",0),  I973="Height FIX",_xlfn.XLOOKUP(C973,'calc_s90&amp;138'!$C$15:$C$1000,'calc_s90&amp;138'!$BL$15:$BL$1000,"",0),  I973="Width", _xlfn.XLOOKUP(C973,'calc_s90&amp;138'!$C$15:$C$1000,'calc_s90&amp;138'!$BN$15:$BN$1000,"",0)),"")</f>
        <v/>
      </c>
      <c r="E973" s="16" t="str" cm="1">
        <f t="array" ref="E973">IF(C973&lt;&gt;"", _xlfn.XLOOKUP(1,((SKUs!$A$2:$A$10001=cl_unmerged!B973) * (ISNUMBER(SEARCH("Steel-"&amp;K973,SKUs!$J$2:$J$10001)))), SKUs!$J$2:$J$10001,""),"")  &amp; _xlfn.IFS(I973="Height", ", H",I973="Height SLI", ", H SLI", I973="Height FIX", ", H FIX",I973="Width", ", W", I973="", "")</f>
        <v/>
      </c>
      <c r="F973" s="33" t="str" cm="1">
        <f t="array" ref="F973">_xlfn.XLOOKUP(1,((SKUs!$A$2:$A$10001=cl_unmerged!B973) * (ISNUMBER(SEARCH("Steel-"&amp;K973,SKUs!$J$2:$J$10001)))), SKUs!$C$2:$C$10001,"")</f>
        <v/>
      </c>
      <c r="G973" s="16"/>
      <c r="H973" s="16" t="str" cm="1">
        <f t="array" ref="H973">IF(C973&lt;&gt;"", _xlfn.IFS(I973="Height SLI",_xlfn.XLOOKUP(C973,'calc_s90&amp;138'!$C$15:$C$1000,'calc_s90&amp;138'!$BI$15:$BI$1000,"",0), I973="Height FIX",_xlfn.XLOOKUP(C973,'calc_s90&amp;138'!$C$15:$C$1000,'calc_s90&amp;138'!$BK$15:$BK$1000,"",0), I973="Width", _xlfn.XLOOKUP(C973,'calc_s90&amp;138'!$C$15:$C$1000,'calc_s90&amp;138'!$BM$15:$BM$1000,"",0)),"")</f>
        <v/>
      </c>
      <c r="I973" s="16" t="str">
        <f t="shared" si="22"/>
        <v/>
      </c>
      <c r="K973" s="1" t="str" cm="1">
        <f t="array" ref="K973">IF(C973&lt;&gt;"", _xlfn.XLOOKUP(1,((SKUs!$A$2:$A$10001=cl_unmerged!B973) * (ISNUMBER(SEARCH("Sash",SKUs!$J$2:$J$10001)))), SKUs!$J$2:$J$10001,""),"")</f>
        <v/>
      </c>
    </row>
    <row r="974" spans="1:11" ht="13.5" customHeight="1" x14ac:dyDescent="0.25">
      <c r="A974" s="41" t="str">
        <f>_xlfn.XLOOKUP(G974,dd_color!$A$2:$A$8,dd_color!$B$2:$B$8,"",0)</f>
        <v/>
      </c>
      <c r="B974" s="41">
        <f>_xlfn.XLOOKUP(_xlfn.XLOOKUP(C974,'Project Details'!$C$17:$C$10003,'Project Details'!$E$17:$E$10003, "",0),dd_design_raw!$A$2:$A$9997,dd_design_raw!$C$2:$C$9997,"",0)</f>
        <v>0</v>
      </c>
      <c r="C974" s="16"/>
      <c r="D974" s="16" t="str" cm="1">
        <f t="array" ref="D974">IF(C974&lt;&gt;"", _xlfn.IFS(I974="Height SLI",_xlfn.XLOOKUP(C974,'calc_s90&amp;138'!$C$15:$C$1000,'calc_s90&amp;138'!$BJ$15:$BJ$1000,"",0),  I974="Height FIX",_xlfn.XLOOKUP(C974,'calc_s90&amp;138'!$C$15:$C$1000,'calc_s90&amp;138'!$BL$15:$BL$1000,"",0),  I974="Width", _xlfn.XLOOKUP(C974,'calc_s90&amp;138'!$C$15:$C$1000,'calc_s90&amp;138'!$BN$15:$BN$1000,"",0)),"")</f>
        <v/>
      </c>
      <c r="E974" s="16" t="str" cm="1">
        <f t="array" ref="E974">IF(C974&lt;&gt;"", _xlfn.XLOOKUP(1,((SKUs!$A$2:$A$10001=cl_unmerged!B974) * (ISNUMBER(SEARCH("Steel-"&amp;K974,SKUs!$J$2:$J$10001)))), SKUs!$J$2:$J$10001,""),"")  &amp; _xlfn.IFS(I974="Height", ", H",I974="Height SLI", ", H SLI", I974="Height FIX", ", H FIX",I974="Width", ", W", I974="", "")</f>
        <v/>
      </c>
      <c r="F974" s="33" t="str" cm="1">
        <f t="array" ref="F974">_xlfn.XLOOKUP(1,((SKUs!$A$2:$A$10001=cl_unmerged!B974) * (ISNUMBER(SEARCH("Steel-"&amp;K974,SKUs!$J$2:$J$10001)))), SKUs!$C$2:$C$10001,"")</f>
        <v/>
      </c>
      <c r="G974" s="16"/>
      <c r="H974" s="16" t="str" cm="1">
        <f t="array" ref="H974">IF(C974&lt;&gt;"", _xlfn.IFS(I974="Height SLI",_xlfn.XLOOKUP(C974,'calc_s90&amp;138'!$C$15:$C$1000,'calc_s90&amp;138'!$BI$15:$BI$1000,"",0), I974="Height FIX",_xlfn.XLOOKUP(C974,'calc_s90&amp;138'!$C$15:$C$1000,'calc_s90&amp;138'!$BK$15:$BK$1000,"",0), I974="Width", _xlfn.XLOOKUP(C974,'calc_s90&amp;138'!$C$15:$C$1000,'calc_s90&amp;138'!$BM$15:$BM$1000,"",0)),"")</f>
        <v/>
      </c>
      <c r="I974" s="16" t="str">
        <f t="shared" si="22"/>
        <v/>
      </c>
      <c r="K974" s="1" t="str" cm="1">
        <f t="array" ref="K974">IF(C974&lt;&gt;"", _xlfn.XLOOKUP(1,((SKUs!$A$2:$A$10001=cl_unmerged!B974) * (ISNUMBER(SEARCH("Sash",SKUs!$J$2:$J$10001)))), SKUs!$J$2:$J$10001,""),"")</f>
        <v/>
      </c>
    </row>
    <row r="975" spans="1:11" ht="13.5" customHeight="1" x14ac:dyDescent="0.25">
      <c r="A975" s="41" t="str">
        <f>_xlfn.XLOOKUP(G975,dd_color!$A$2:$A$8,dd_color!$B$2:$B$8,"",0)</f>
        <v/>
      </c>
      <c r="B975" s="41">
        <f>_xlfn.XLOOKUP(_xlfn.XLOOKUP(C975,'Project Details'!$C$17:$C$10003,'Project Details'!$E$17:$E$10003, "",0),dd_design_raw!$A$2:$A$9997,dd_design_raw!$C$2:$C$9997,"",0)</f>
        <v>0</v>
      </c>
      <c r="C975" s="16"/>
      <c r="D975" s="16" t="str" cm="1">
        <f t="array" ref="D975">IF(C975&lt;&gt;"", _xlfn.IFS(I975="Height SLI",_xlfn.XLOOKUP(C975,'calc_s90&amp;138'!$C$15:$C$1000,'calc_s90&amp;138'!$BJ$15:$BJ$1000,"",0),  I975="Height FIX",_xlfn.XLOOKUP(C975,'calc_s90&amp;138'!$C$15:$C$1000,'calc_s90&amp;138'!$BL$15:$BL$1000,"",0),  I975="Width", _xlfn.XLOOKUP(C975,'calc_s90&amp;138'!$C$15:$C$1000,'calc_s90&amp;138'!$BN$15:$BN$1000,"",0)),"")</f>
        <v/>
      </c>
      <c r="E975" s="16" t="str" cm="1">
        <f t="array" ref="E975">IF(C975&lt;&gt;"", _xlfn.XLOOKUP(1,((SKUs!$A$2:$A$10001=cl_unmerged!B975) * (ISNUMBER(SEARCH("Steel-"&amp;K975,SKUs!$J$2:$J$10001)))), SKUs!$J$2:$J$10001,""),"")  &amp; _xlfn.IFS(I975="Height", ", H",I975="Height SLI", ", H SLI", I975="Height FIX", ", H FIX",I975="Width", ", W", I975="", "")</f>
        <v/>
      </c>
      <c r="F975" s="33" t="str" cm="1">
        <f t="array" ref="F975">_xlfn.XLOOKUP(1,((SKUs!$A$2:$A$10001=cl_unmerged!B975) * (ISNUMBER(SEARCH("Steel-"&amp;K975,SKUs!$J$2:$J$10001)))), SKUs!$C$2:$C$10001,"")</f>
        <v/>
      </c>
      <c r="G975" s="16"/>
      <c r="H975" s="16" t="str" cm="1">
        <f t="array" ref="H975">IF(C975&lt;&gt;"", _xlfn.IFS(I975="Height SLI",_xlfn.XLOOKUP(C975,'calc_s90&amp;138'!$C$15:$C$1000,'calc_s90&amp;138'!$BI$15:$BI$1000,"",0), I975="Height FIX",_xlfn.XLOOKUP(C975,'calc_s90&amp;138'!$C$15:$C$1000,'calc_s90&amp;138'!$BK$15:$BK$1000,"",0), I975="Width", _xlfn.XLOOKUP(C975,'calc_s90&amp;138'!$C$15:$C$1000,'calc_s90&amp;138'!$BM$15:$BM$1000,"",0)),"")</f>
        <v/>
      </c>
      <c r="I975" s="16" t="str">
        <f t="shared" si="22"/>
        <v/>
      </c>
      <c r="K975" s="1" t="str" cm="1">
        <f t="array" ref="K975">IF(C975&lt;&gt;"", _xlfn.XLOOKUP(1,((SKUs!$A$2:$A$10001=cl_unmerged!B975) * (ISNUMBER(SEARCH("Sash",SKUs!$J$2:$J$10001)))), SKUs!$J$2:$J$10001,""),"")</f>
        <v/>
      </c>
    </row>
    <row r="976" spans="1:11" ht="13.5" customHeight="1" x14ac:dyDescent="0.25">
      <c r="A976" s="41" t="str">
        <f>_xlfn.XLOOKUP(G976,dd_color!$A$2:$A$8,dd_color!$B$2:$B$8,"",0)</f>
        <v/>
      </c>
      <c r="B976" s="41">
        <f>_xlfn.XLOOKUP(_xlfn.XLOOKUP(C976,'Project Details'!$C$17:$C$10003,'Project Details'!$E$17:$E$10003, "",0),dd_design_raw!$A$2:$A$9997,dd_design_raw!$C$2:$C$9997,"",0)</f>
        <v>0</v>
      </c>
      <c r="C976" s="16"/>
      <c r="D976" s="16" t="str" cm="1">
        <f t="array" ref="D976">IF(C976&lt;&gt;"", _xlfn.IFS(I976="Height SLI",_xlfn.XLOOKUP(C976,'calc_s90&amp;138'!$C$15:$C$1000,'calc_s90&amp;138'!$BJ$15:$BJ$1000,"",0),  I976="Height FIX",_xlfn.XLOOKUP(C976,'calc_s90&amp;138'!$C$15:$C$1000,'calc_s90&amp;138'!$BL$15:$BL$1000,"",0),  I976="Width", _xlfn.XLOOKUP(C976,'calc_s90&amp;138'!$C$15:$C$1000,'calc_s90&amp;138'!$BN$15:$BN$1000,"",0)),"")</f>
        <v/>
      </c>
      <c r="E976" s="16" t="str" cm="1">
        <f t="array" ref="E976">IF(C976&lt;&gt;"", _xlfn.XLOOKUP(1,((SKUs!$A$2:$A$10001=cl_unmerged!B976) * (ISNUMBER(SEARCH("Steel-"&amp;K976,SKUs!$J$2:$J$10001)))), SKUs!$J$2:$J$10001,""),"")  &amp; _xlfn.IFS(I976="Height", ", H",I976="Height SLI", ", H SLI", I976="Height FIX", ", H FIX",I976="Width", ", W", I976="", "")</f>
        <v/>
      </c>
      <c r="F976" s="33" t="str" cm="1">
        <f t="array" ref="F976">_xlfn.XLOOKUP(1,((SKUs!$A$2:$A$10001=cl_unmerged!B976) * (ISNUMBER(SEARCH("Steel-"&amp;K976,SKUs!$J$2:$J$10001)))), SKUs!$C$2:$C$10001,"")</f>
        <v/>
      </c>
      <c r="G976" s="16"/>
      <c r="H976" s="16" t="str" cm="1">
        <f t="array" ref="H976">IF(C976&lt;&gt;"", _xlfn.IFS(I976="Height SLI",_xlfn.XLOOKUP(C976,'calc_s90&amp;138'!$C$15:$C$1000,'calc_s90&amp;138'!$BI$15:$BI$1000,"",0), I976="Height FIX",_xlfn.XLOOKUP(C976,'calc_s90&amp;138'!$C$15:$C$1000,'calc_s90&amp;138'!$BK$15:$BK$1000,"",0), I976="Width", _xlfn.XLOOKUP(C976,'calc_s90&amp;138'!$C$15:$C$1000,'calc_s90&amp;138'!$BM$15:$BM$1000,"",0)),"")</f>
        <v/>
      </c>
      <c r="I976" s="16" t="str">
        <f t="shared" si="22"/>
        <v/>
      </c>
      <c r="K976" s="1" t="str" cm="1">
        <f t="array" ref="K976">IF(C976&lt;&gt;"", _xlfn.XLOOKUP(1,((SKUs!$A$2:$A$10001=cl_unmerged!B976) * (ISNUMBER(SEARCH("Sash",SKUs!$J$2:$J$10001)))), SKUs!$J$2:$J$10001,""),"")</f>
        <v/>
      </c>
    </row>
    <row r="977" spans="1:11" ht="13.5" customHeight="1" x14ac:dyDescent="0.25">
      <c r="A977" s="41" t="str">
        <f>_xlfn.XLOOKUP(G977,dd_color!$A$2:$A$8,dd_color!$B$2:$B$8,"",0)</f>
        <v/>
      </c>
      <c r="B977" s="41">
        <f>_xlfn.XLOOKUP(_xlfn.XLOOKUP(C977,'Project Details'!$C$17:$C$10003,'Project Details'!$E$17:$E$10003, "",0),dd_design_raw!$A$2:$A$9997,dd_design_raw!$C$2:$C$9997,"",0)</f>
        <v>0</v>
      </c>
      <c r="C977" s="16"/>
      <c r="D977" s="16" t="str" cm="1">
        <f t="array" ref="D977">IF(C977&lt;&gt;"", _xlfn.IFS(I977="Height SLI",_xlfn.XLOOKUP(C977,'calc_s90&amp;138'!$C$15:$C$1000,'calc_s90&amp;138'!$BJ$15:$BJ$1000,"",0),  I977="Height FIX",_xlfn.XLOOKUP(C977,'calc_s90&amp;138'!$C$15:$C$1000,'calc_s90&amp;138'!$BL$15:$BL$1000,"",0),  I977="Width", _xlfn.XLOOKUP(C977,'calc_s90&amp;138'!$C$15:$C$1000,'calc_s90&amp;138'!$BN$15:$BN$1000,"",0)),"")</f>
        <v/>
      </c>
      <c r="E977" s="16" t="str" cm="1">
        <f t="array" ref="E977">IF(C977&lt;&gt;"", _xlfn.XLOOKUP(1,((SKUs!$A$2:$A$10001=cl_unmerged!B977) * (ISNUMBER(SEARCH("Steel-"&amp;K977,SKUs!$J$2:$J$10001)))), SKUs!$J$2:$J$10001,""),"")  &amp; _xlfn.IFS(I977="Height", ", H",I977="Height SLI", ", H SLI", I977="Height FIX", ", H FIX",I977="Width", ", W", I977="", "")</f>
        <v/>
      </c>
      <c r="F977" s="33" t="str" cm="1">
        <f t="array" ref="F977">_xlfn.XLOOKUP(1,((SKUs!$A$2:$A$10001=cl_unmerged!B977) * (ISNUMBER(SEARCH("Steel-"&amp;K977,SKUs!$J$2:$J$10001)))), SKUs!$C$2:$C$10001,"")</f>
        <v/>
      </c>
      <c r="G977" s="16"/>
      <c r="H977" s="16" t="str" cm="1">
        <f t="array" ref="H977">IF(C977&lt;&gt;"", _xlfn.IFS(I977="Height SLI",_xlfn.XLOOKUP(C977,'calc_s90&amp;138'!$C$15:$C$1000,'calc_s90&amp;138'!$BI$15:$BI$1000,"",0), I977="Height FIX",_xlfn.XLOOKUP(C977,'calc_s90&amp;138'!$C$15:$C$1000,'calc_s90&amp;138'!$BK$15:$BK$1000,"",0), I977="Width", _xlfn.XLOOKUP(C977,'calc_s90&amp;138'!$C$15:$C$1000,'calc_s90&amp;138'!$BM$15:$BM$1000,"",0)),"")</f>
        <v/>
      </c>
      <c r="I977" s="16" t="str">
        <f t="shared" si="22"/>
        <v/>
      </c>
      <c r="K977" s="1" t="str" cm="1">
        <f t="array" ref="K977">IF(C977&lt;&gt;"", _xlfn.XLOOKUP(1,((SKUs!$A$2:$A$10001=cl_unmerged!B977) * (ISNUMBER(SEARCH("Sash",SKUs!$J$2:$J$10001)))), SKUs!$J$2:$J$10001,""),"")</f>
        <v/>
      </c>
    </row>
    <row r="978" spans="1:11" ht="13.5" customHeight="1" x14ac:dyDescent="0.25">
      <c r="A978" s="41" t="str">
        <f>_xlfn.XLOOKUP(G978,dd_color!$A$2:$A$8,dd_color!$B$2:$B$8,"",0)</f>
        <v/>
      </c>
      <c r="B978" s="41">
        <f>_xlfn.XLOOKUP(_xlfn.XLOOKUP(C978,'Project Details'!$C$17:$C$10003,'Project Details'!$E$17:$E$10003, "",0),dd_design_raw!$A$2:$A$9997,dd_design_raw!$C$2:$C$9997,"",0)</f>
        <v>0</v>
      </c>
      <c r="C978" s="16"/>
      <c r="D978" s="16" t="str" cm="1">
        <f t="array" ref="D978">IF(C978&lt;&gt;"", _xlfn.IFS(I978="Height SLI",_xlfn.XLOOKUP(C978,'calc_s90&amp;138'!$C$15:$C$1000,'calc_s90&amp;138'!$BJ$15:$BJ$1000,"",0),  I978="Height FIX",_xlfn.XLOOKUP(C978,'calc_s90&amp;138'!$C$15:$C$1000,'calc_s90&amp;138'!$BL$15:$BL$1000,"",0),  I978="Width", _xlfn.XLOOKUP(C978,'calc_s90&amp;138'!$C$15:$C$1000,'calc_s90&amp;138'!$BN$15:$BN$1000,"",0)),"")</f>
        <v/>
      </c>
      <c r="E978" s="16" t="str" cm="1">
        <f t="array" ref="E978">IF(C978&lt;&gt;"", _xlfn.XLOOKUP(1,((SKUs!$A$2:$A$10001=cl_unmerged!B978) * (ISNUMBER(SEARCH("Steel-"&amp;K978,SKUs!$J$2:$J$10001)))), SKUs!$J$2:$J$10001,""),"")  &amp; _xlfn.IFS(I978="Height", ", H",I978="Height SLI", ", H SLI", I978="Height FIX", ", H FIX",I978="Width", ", W", I978="", "")</f>
        <v/>
      </c>
      <c r="F978" s="33" t="str" cm="1">
        <f t="array" ref="F978">_xlfn.XLOOKUP(1,((SKUs!$A$2:$A$10001=cl_unmerged!B978) * (ISNUMBER(SEARCH("Steel-"&amp;K978,SKUs!$J$2:$J$10001)))), SKUs!$C$2:$C$10001,"")</f>
        <v/>
      </c>
      <c r="G978" s="16"/>
      <c r="H978" s="16" t="str" cm="1">
        <f t="array" ref="H978">IF(C978&lt;&gt;"", _xlfn.IFS(I978="Height SLI",_xlfn.XLOOKUP(C978,'calc_s90&amp;138'!$C$15:$C$1000,'calc_s90&amp;138'!$BI$15:$BI$1000,"",0), I978="Height FIX",_xlfn.XLOOKUP(C978,'calc_s90&amp;138'!$C$15:$C$1000,'calc_s90&amp;138'!$BK$15:$BK$1000,"",0), I978="Width", _xlfn.XLOOKUP(C978,'calc_s90&amp;138'!$C$15:$C$1000,'calc_s90&amp;138'!$BM$15:$BM$1000,"",0)),"")</f>
        <v/>
      </c>
      <c r="I978" s="16" t="str">
        <f t="shared" si="22"/>
        <v/>
      </c>
      <c r="K978" s="1" t="str" cm="1">
        <f t="array" ref="K978">IF(C978&lt;&gt;"", _xlfn.XLOOKUP(1,((SKUs!$A$2:$A$10001=cl_unmerged!B978) * (ISNUMBER(SEARCH("Sash",SKUs!$J$2:$J$10001)))), SKUs!$J$2:$J$10001,""),"")</f>
        <v/>
      </c>
    </row>
    <row r="979" spans="1:11" ht="13.5" customHeight="1" x14ac:dyDescent="0.25">
      <c r="A979" s="41" t="str">
        <f>_xlfn.XLOOKUP(G979,dd_color!$A$2:$A$8,dd_color!$B$2:$B$8,"",0)</f>
        <v/>
      </c>
      <c r="B979" s="41">
        <f>_xlfn.XLOOKUP(_xlfn.XLOOKUP(C979,'Project Details'!$C$17:$C$10003,'Project Details'!$E$17:$E$10003, "",0),dd_design_raw!$A$2:$A$9997,dd_design_raw!$C$2:$C$9997,"",0)</f>
        <v>0</v>
      </c>
      <c r="C979" s="16"/>
      <c r="D979" s="16" t="str" cm="1">
        <f t="array" ref="D979">IF(C979&lt;&gt;"", _xlfn.IFS(I979="Height SLI",_xlfn.XLOOKUP(C979,'calc_s90&amp;138'!$C$15:$C$1000,'calc_s90&amp;138'!$BJ$15:$BJ$1000,"",0),  I979="Height FIX",_xlfn.XLOOKUP(C979,'calc_s90&amp;138'!$C$15:$C$1000,'calc_s90&amp;138'!$BL$15:$BL$1000,"",0),  I979="Width", _xlfn.XLOOKUP(C979,'calc_s90&amp;138'!$C$15:$C$1000,'calc_s90&amp;138'!$BN$15:$BN$1000,"",0)),"")</f>
        <v/>
      </c>
      <c r="E979" s="16" t="str" cm="1">
        <f t="array" ref="E979">IF(C979&lt;&gt;"", _xlfn.XLOOKUP(1,((SKUs!$A$2:$A$10001=cl_unmerged!B979) * (ISNUMBER(SEARCH("Steel-"&amp;K979,SKUs!$J$2:$J$10001)))), SKUs!$J$2:$J$10001,""),"")  &amp; _xlfn.IFS(I979="Height", ", H",I979="Height SLI", ", H SLI", I979="Height FIX", ", H FIX",I979="Width", ", W", I979="", "")</f>
        <v/>
      </c>
      <c r="F979" s="33" t="str" cm="1">
        <f t="array" ref="F979">_xlfn.XLOOKUP(1,((SKUs!$A$2:$A$10001=cl_unmerged!B979) * (ISNUMBER(SEARCH("Steel-"&amp;K979,SKUs!$J$2:$J$10001)))), SKUs!$C$2:$C$10001,"")</f>
        <v/>
      </c>
      <c r="G979" s="16"/>
      <c r="H979" s="16" t="str" cm="1">
        <f t="array" ref="H979">IF(C979&lt;&gt;"", _xlfn.IFS(I979="Height SLI",_xlfn.XLOOKUP(C979,'calc_s90&amp;138'!$C$15:$C$1000,'calc_s90&amp;138'!$BI$15:$BI$1000,"",0), I979="Height FIX",_xlfn.XLOOKUP(C979,'calc_s90&amp;138'!$C$15:$C$1000,'calc_s90&amp;138'!$BK$15:$BK$1000,"",0), I979="Width", _xlfn.XLOOKUP(C979,'calc_s90&amp;138'!$C$15:$C$1000,'calc_s90&amp;138'!$BM$15:$BM$1000,"",0)),"")</f>
        <v/>
      </c>
      <c r="I979" s="16" t="str">
        <f t="shared" si="22"/>
        <v/>
      </c>
      <c r="K979" s="1" t="str" cm="1">
        <f t="array" ref="K979">IF(C979&lt;&gt;"", _xlfn.XLOOKUP(1,((SKUs!$A$2:$A$10001=cl_unmerged!B979) * (ISNUMBER(SEARCH("Sash",SKUs!$J$2:$J$10001)))), SKUs!$J$2:$J$10001,""),"")</f>
        <v/>
      </c>
    </row>
    <row r="980" spans="1:11" ht="13.5" customHeight="1" x14ac:dyDescent="0.25">
      <c r="A980" s="41" t="str">
        <f>_xlfn.XLOOKUP(G980,dd_color!$A$2:$A$8,dd_color!$B$2:$B$8,"",0)</f>
        <v/>
      </c>
      <c r="B980" s="41">
        <f>_xlfn.XLOOKUP(_xlfn.XLOOKUP(C980,'Project Details'!$C$17:$C$10003,'Project Details'!$E$17:$E$10003, "",0),dd_design_raw!$A$2:$A$9997,dd_design_raw!$C$2:$C$9997,"",0)</f>
        <v>0</v>
      </c>
      <c r="C980" s="16"/>
      <c r="D980" s="16" t="str" cm="1">
        <f t="array" ref="D980">IF(C980&lt;&gt;"", _xlfn.IFS(I980="Height SLI",_xlfn.XLOOKUP(C980,'calc_s90&amp;138'!$C$15:$C$1000,'calc_s90&amp;138'!$BJ$15:$BJ$1000,"",0),  I980="Height FIX",_xlfn.XLOOKUP(C980,'calc_s90&amp;138'!$C$15:$C$1000,'calc_s90&amp;138'!$BL$15:$BL$1000,"",0),  I980="Width", _xlfn.XLOOKUP(C980,'calc_s90&amp;138'!$C$15:$C$1000,'calc_s90&amp;138'!$BN$15:$BN$1000,"",0)),"")</f>
        <v/>
      </c>
      <c r="E980" s="16" t="str" cm="1">
        <f t="array" ref="E980">IF(C980&lt;&gt;"", _xlfn.XLOOKUP(1,((SKUs!$A$2:$A$10001=cl_unmerged!B980) * (ISNUMBER(SEARCH("Steel-"&amp;K980,SKUs!$J$2:$J$10001)))), SKUs!$J$2:$J$10001,""),"")  &amp; _xlfn.IFS(I980="Height", ", H",I980="Height SLI", ", H SLI", I980="Height FIX", ", H FIX",I980="Width", ", W", I980="", "")</f>
        <v/>
      </c>
      <c r="F980" s="33" t="str" cm="1">
        <f t="array" ref="F980">_xlfn.XLOOKUP(1,((SKUs!$A$2:$A$10001=cl_unmerged!B980) * (ISNUMBER(SEARCH("Steel-"&amp;K980,SKUs!$J$2:$J$10001)))), SKUs!$C$2:$C$10001,"")</f>
        <v/>
      </c>
      <c r="G980" s="16"/>
      <c r="H980" s="16" t="str" cm="1">
        <f t="array" ref="H980">IF(C980&lt;&gt;"", _xlfn.IFS(I980="Height SLI",_xlfn.XLOOKUP(C980,'calc_s90&amp;138'!$C$15:$C$1000,'calc_s90&amp;138'!$BI$15:$BI$1000,"",0), I980="Height FIX",_xlfn.XLOOKUP(C980,'calc_s90&amp;138'!$C$15:$C$1000,'calc_s90&amp;138'!$BK$15:$BK$1000,"",0), I980="Width", _xlfn.XLOOKUP(C980,'calc_s90&amp;138'!$C$15:$C$1000,'calc_s90&amp;138'!$BM$15:$BM$1000,"",0)),"")</f>
        <v/>
      </c>
      <c r="I980" s="16" t="str">
        <f t="shared" si="22"/>
        <v/>
      </c>
      <c r="K980" s="1" t="str" cm="1">
        <f t="array" ref="K980">IF(C980&lt;&gt;"", _xlfn.XLOOKUP(1,((SKUs!$A$2:$A$10001=cl_unmerged!B980) * (ISNUMBER(SEARCH("Sash",SKUs!$J$2:$J$10001)))), SKUs!$J$2:$J$10001,""),"")</f>
        <v/>
      </c>
    </row>
    <row r="981" spans="1:11" ht="13.5" customHeight="1" x14ac:dyDescent="0.25">
      <c r="A981" s="41" t="str">
        <f>_xlfn.XLOOKUP(G981,dd_color!$A$2:$A$8,dd_color!$B$2:$B$8,"",0)</f>
        <v/>
      </c>
      <c r="B981" s="41">
        <f>_xlfn.XLOOKUP(_xlfn.XLOOKUP(C981,'Project Details'!$C$17:$C$10003,'Project Details'!$E$17:$E$10003, "",0),dd_design_raw!$A$2:$A$9997,dd_design_raw!$C$2:$C$9997,"",0)</f>
        <v>0</v>
      </c>
      <c r="C981" s="16"/>
      <c r="D981" s="16" t="str" cm="1">
        <f t="array" ref="D981">IF(C981&lt;&gt;"", _xlfn.IFS(I981="Height SLI",_xlfn.XLOOKUP(C981,'calc_s90&amp;138'!$C$15:$C$1000,'calc_s90&amp;138'!$BJ$15:$BJ$1000,"",0),  I981="Height FIX",_xlfn.XLOOKUP(C981,'calc_s90&amp;138'!$C$15:$C$1000,'calc_s90&amp;138'!$BL$15:$BL$1000,"",0),  I981="Width", _xlfn.XLOOKUP(C981,'calc_s90&amp;138'!$C$15:$C$1000,'calc_s90&amp;138'!$BN$15:$BN$1000,"",0)),"")</f>
        <v/>
      </c>
      <c r="E981" s="16" t="str" cm="1">
        <f t="array" ref="E981">IF(C981&lt;&gt;"", _xlfn.XLOOKUP(1,((SKUs!$A$2:$A$10001=cl_unmerged!B981) * (ISNUMBER(SEARCH("Steel-"&amp;K981,SKUs!$J$2:$J$10001)))), SKUs!$J$2:$J$10001,""),"")  &amp; _xlfn.IFS(I981="Height", ", H",I981="Height SLI", ", H SLI", I981="Height FIX", ", H FIX",I981="Width", ", W", I981="", "")</f>
        <v/>
      </c>
      <c r="F981" s="33" t="str" cm="1">
        <f t="array" ref="F981">_xlfn.XLOOKUP(1,((SKUs!$A$2:$A$10001=cl_unmerged!B981) * (ISNUMBER(SEARCH("Steel-"&amp;K981,SKUs!$J$2:$J$10001)))), SKUs!$C$2:$C$10001,"")</f>
        <v/>
      </c>
      <c r="G981" s="16"/>
      <c r="H981" s="16" t="str" cm="1">
        <f t="array" ref="H981">IF(C981&lt;&gt;"", _xlfn.IFS(I981="Height SLI",_xlfn.XLOOKUP(C981,'calc_s90&amp;138'!$C$15:$C$1000,'calc_s90&amp;138'!$BI$15:$BI$1000,"",0), I981="Height FIX",_xlfn.XLOOKUP(C981,'calc_s90&amp;138'!$C$15:$C$1000,'calc_s90&amp;138'!$BK$15:$BK$1000,"",0), I981="Width", _xlfn.XLOOKUP(C981,'calc_s90&amp;138'!$C$15:$C$1000,'calc_s90&amp;138'!$BM$15:$BM$1000,"",0)),"")</f>
        <v/>
      </c>
      <c r="I981" s="16" t="str">
        <f t="shared" si="22"/>
        <v/>
      </c>
      <c r="K981" s="1" t="str" cm="1">
        <f t="array" ref="K981">IF(C981&lt;&gt;"", _xlfn.XLOOKUP(1,((SKUs!$A$2:$A$10001=cl_unmerged!B981) * (ISNUMBER(SEARCH("Sash",SKUs!$J$2:$J$10001)))), SKUs!$J$2:$J$10001,""),"")</f>
        <v/>
      </c>
    </row>
    <row r="982" spans="1:11" ht="13.5" customHeight="1" x14ac:dyDescent="0.25">
      <c r="A982" s="41" t="str">
        <f>_xlfn.XLOOKUP(G982,dd_color!$A$2:$A$8,dd_color!$B$2:$B$8,"",0)</f>
        <v/>
      </c>
      <c r="B982" s="41">
        <f>_xlfn.XLOOKUP(_xlfn.XLOOKUP(C982,'Project Details'!$C$17:$C$10003,'Project Details'!$E$17:$E$10003, "",0),dd_design_raw!$A$2:$A$9997,dd_design_raw!$C$2:$C$9997,"",0)</f>
        <v>0</v>
      </c>
      <c r="C982" s="16"/>
      <c r="D982" s="16" t="str" cm="1">
        <f t="array" ref="D982">IF(C982&lt;&gt;"", _xlfn.IFS(I982="Height SLI",_xlfn.XLOOKUP(C982,'calc_s90&amp;138'!$C$15:$C$1000,'calc_s90&amp;138'!$BJ$15:$BJ$1000,"",0),  I982="Height FIX",_xlfn.XLOOKUP(C982,'calc_s90&amp;138'!$C$15:$C$1000,'calc_s90&amp;138'!$BL$15:$BL$1000,"",0),  I982="Width", _xlfn.XLOOKUP(C982,'calc_s90&amp;138'!$C$15:$C$1000,'calc_s90&amp;138'!$BN$15:$BN$1000,"",0)),"")</f>
        <v/>
      </c>
      <c r="E982" s="16" t="str" cm="1">
        <f t="array" ref="E982">IF(C982&lt;&gt;"", _xlfn.XLOOKUP(1,((SKUs!$A$2:$A$10001=cl_unmerged!B982) * (ISNUMBER(SEARCH("Steel-"&amp;K982,SKUs!$J$2:$J$10001)))), SKUs!$J$2:$J$10001,""),"")  &amp; _xlfn.IFS(I982="Height", ", H",I982="Height SLI", ", H SLI", I982="Height FIX", ", H FIX",I982="Width", ", W", I982="", "")</f>
        <v/>
      </c>
      <c r="F982" s="33" t="str" cm="1">
        <f t="array" ref="F982">_xlfn.XLOOKUP(1,((SKUs!$A$2:$A$10001=cl_unmerged!B982) * (ISNUMBER(SEARCH("Steel-"&amp;K982,SKUs!$J$2:$J$10001)))), SKUs!$C$2:$C$10001,"")</f>
        <v/>
      </c>
      <c r="G982" s="16"/>
      <c r="H982" s="16" t="str" cm="1">
        <f t="array" ref="H982">IF(C982&lt;&gt;"", _xlfn.IFS(I982="Height SLI",_xlfn.XLOOKUP(C982,'calc_s90&amp;138'!$C$15:$C$1000,'calc_s90&amp;138'!$BI$15:$BI$1000,"",0), I982="Height FIX",_xlfn.XLOOKUP(C982,'calc_s90&amp;138'!$C$15:$C$1000,'calc_s90&amp;138'!$BK$15:$BK$1000,"",0), I982="Width", _xlfn.XLOOKUP(C982,'calc_s90&amp;138'!$C$15:$C$1000,'calc_s90&amp;138'!$BM$15:$BM$1000,"",0)),"")</f>
        <v/>
      </c>
      <c r="I982" s="16" t="str">
        <f t="shared" si="22"/>
        <v/>
      </c>
      <c r="K982" s="1" t="str" cm="1">
        <f t="array" ref="K982">IF(C982&lt;&gt;"", _xlfn.XLOOKUP(1,((SKUs!$A$2:$A$10001=cl_unmerged!B982) * (ISNUMBER(SEARCH("Sash",SKUs!$J$2:$J$10001)))), SKUs!$J$2:$J$10001,""),"")</f>
        <v/>
      </c>
    </row>
    <row r="983" spans="1:11" ht="13.5" customHeight="1" x14ac:dyDescent="0.25">
      <c r="A983" s="41" t="str">
        <f>_xlfn.XLOOKUP(G983,dd_color!$A$2:$A$8,dd_color!$B$2:$B$8,"",0)</f>
        <v/>
      </c>
      <c r="B983" s="41">
        <f>_xlfn.XLOOKUP(_xlfn.XLOOKUP(C983,'Project Details'!$C$17:$C$10003,'Project Details'!$E$17:$E$10003, "",0),dd_design_raw!$A$2:$A$9997,dd_design_raw!$C$2:$C$9997,"",0)</f>
        <v>0</v>
      </c>
      <c r="C983" s="16"/>
      <c r="D983" s="16" t="str" cm="1">
        <f t="array" ref="D983">IF(C983&lt;&gt;"", _xlfn.IFS(I983="Height SLI",_xlfn.XLOOKUP(C983,'calc_s90&amp;138'!$C$15:$C$1000,'calc_s90&amp;138'!$BJ$15:$BJ$1000,"",0),  I983="Height FIX",_xlfn.XLOOKUP(C983,'calc_s90&amp;138'!$C$15:$C$1000,'calc_s90&amp;138'!$BL$15:$BL$1000,"",0),  I983="Width", _xlfn.XLOOKUP(C983,'calc_s90&amp;138'!$C$15:$C$1000,'calc_s90&amp;138'!$BN$15:$BN$1000,"",0)),"")</f>
        <v/>
      </c>
      <c r="E983" s="16" t="str" cm="1">
        <f t="array" ref="E983">IF(C983&lt;&gt;"", _xlfn.XLOOKUP(1,((SKUs!$A$2:$A$10001=cl_unmerged!B983) * (ISNUMBER(SEARCH("Steel-"&amp;K983,SKUs!$J$2:$J$10001)))), SKUs!$J$2:$J$10001,""),"")  &amp; _xlfn.IFS(I983="Height", ", H",I983="Height SLI", ", H SLI", I983="Height FIX", ", H FIX",I983="Width", ", W", I983="", "")</f>
        <v/>
      </c>
      <c r="F983" s="33" t="str" cm="1">
        <f t="array" ref="F983">_xlfn.XLOOKUP(1,((SKUs!$A$2:$A$10001=cl_unmerged!B983) * (ISNUMBER(SEARCH("Steel-"&amp;K983,SKUs!$J$2:$J$10001)))), SKUs!$C$2:$C$10001,"")</f>
        <v/>
      </c>
      <c r="G983" s="16"/>
      <c r="H983" s="16" t="str" cm="1">
        <f t="array" ref="H983">IF(C983&lt;&gt;"", _xlfn.IFS(I983="Height SLI",_xlfn.XLOOKUP(C983,'calc_s90&amp;138'!$C$15:$C$1000,'calc_s90&amp;138'!$BI$15:$BI$1000,"",0), I983="Height FIX",_xlfn.XLOOKUP(C983,'calc_s90&amp;138'!$C$15:$C$1000,'calc_s90&amp;138'!$BK$15:$BK$1000,"",0), I983="Width", _xlfn.XLOOKUP(C983,'calc_s90&amp;138'!$C$15:$C$1000,'calc_s90&amp;138'!$BM$15:$BM$1000,"",0)),"")</f>
        <v/>
      </c>
      <c r="I983" s="16" t="str">
        <f t="shared" si="22"/>
        <v/>
      </c>
      <c r="K983" s="1" t="str" cm="1">
        <f t="array" ref="K983">IF(C983&lt;&gt;"", _xlfn.XLOOKUP(1,((SKUs!$A$2:$A$10001=cl_unmerged!B983) * (ISNUMBER(SEARCH("Sash",SKUs!$J$2:$J$10001)))), SKUs!$J$2:$J$10001,""),"")</f>
        <v/>
      </c>
    </row>
    <row r="984" spans="1:11" ht="13.5" customHeight="1" x14ac:dyDescent="0.25">
      <c r="A984" s="41" t="str">
        <f>_xlfn.XLOOKUP(G984,dd_color!$A$2:$A$8,dd_color!$B$2:$B$8,"",0)</f>
        <v/>
      </c>
      <c r="B984" s="41">
        <f>_xlfn.XLOOKUP(_xlfn.XLOOKUP(C984,'Project Details'!$C$17:$C$10003,'Project Details'!$E$17:$E$10003, "",0),dd_design_raw!$A$2:$A$9997,dd_design_raw!$C$2:$C$9997,"",0)</f>
        <v>0</v>
      </c>
      <c r="C984" s="16"/>
      <c r="D984" s="16" t="str" cm="1">
        <f t="array" ref="D984">IF(C984&lt;&gt;"", _xlfn.IFS(I984="Height SLI",_xlfn.XLOOKUP(C984,'calc_s90&amp;138'!$C$15:$C$1000,'calc_s90&amp;138'!$BJ$15:$BJ$1000,"",0),  I984="Height FIX",_xlfn.XLOOKUP(C984,'calc_s90&amp;138'!$C$15:$C$1000,'calc_s90&amp;138'!$BL$15:$BL$1000,"",0),  I984="Width", _xlfn.XLOOKUP(C984,'calc_s90&amp;138'!$C$15:$C$1000,'calc_s90&amp;138'!$BN$15:$BN$1000,"",0)),"")</f>
        <v/>
      </c>
      <c r="E984" s="16" t="str" cm="1">
        <f t="array" ref="E984">IF(C984&lt;&gt;"", _xlfn.XLOOKUP(1,((SKUs!$A$2:$A$10001=cl_unmerged!B984) * (ISNUMBER(SEARCH("Steel-"&amp;K984,SKUs!$J$2:$J$10001)))), SKUs!$J$2:$J$10001,""),"")  &amp; _xlfn.IFS(I984="Height", ", H",I984="Height SLI", ", H SLI", I984="Height FIX", ", H FIX",I984="Width", ", W", I984="", "")</f>
        <v/>
      </c>
      <c r="F984" s="33" t="str" cm="1">
        <f t="array" ref="F984">_xlfn.XLOOKUP(1,((SKUs!$A$2:$A$10001=cl_unmerged!B984) * (ISNUMBER(SEARCH("Steel-"&amp;K984,SKUs!$J$2:$J$10001)))), SKUs!$C$2:$C$10001,"")</f>
        <v/>
      </c>
      <c r="G984" s="16"/>
      <c r="H984" s="16" t="str" cm="1">
        <f t="array" ref="H984">IF(C984&lt;&gt;"", _xlfn.IFS(I984="Height SLI",_xlfn.XLOOKUP(C984,'calc_s90&amp;138'!$C$15:$C$1000,'calc_s90&amp;138'!$BI$15:$BI$1000,"",0), I984="Height FIX",_xlfn.XLOOKUP(C984,'calc_s90&amp;138'!$C$15:$C$1000,'calc_s90&amp;138'!$BK$15:$BK$1000,"",0), I984="Width", _xlfn.XLOOKUP(C984,'calc_s90&amp;138'!$C$15:$C$1000,'calc_s90&amp;138'!$BM$15:$BM$1000,"",0)),"")</f>
        <v/>
      </c>
      <c r="I984" s="16" t="str">
        <f t="shared" si="22"/>
        <v/>
      </c>
      <c r="K984" s="1" t="str" cm="1">
        <f t="array" ref="K984">IF(C984&lt;&gt;"", _xlfn.XLOOKUP(1,((SKUs!$A$2:$A$10001=cl_unmerged!B984) * (ISNUMBER(SEARCH("Sash",SKUs!$J$2:$J$10001)))), SKUs!$J$2:$J$10001,""),"")</f>
        <v/>
      </c>
    </row>
    <row r="985" spans="1:11" ht="13.5" customHeight="1" x14ac:dyDescent="0.25">
      <c r="A985" s="41" t="str">
        <f>_xlfn.XLOOKUP(G985,dd_color!$A$2:$A$8,dd_color!$B$2:$B$8,"",0)</f>
        <v/>
      </c>
      <c r="B985" s="41">
        <f>_xlfn.XLOOKUP(_xlfn.XLOOKUP(C985,'Project Details'!$C$17:$C$10003,'Project Details'!$E$17:$E$10003, "",0),dd_design_raw!$A$2:$A$9997,dd_design_raw!$C$2:$C$9997,"",0)</f>
        <v>0</v>
      </c>
      <c r="C985" s="16"/>
      <c r="D985" s="16" t="str" cm="1">
        <f t="array" ref="D985">IF(C985&lt;&gt;"", _xlfn.IFS(I985="Height SLI",_xlfn.XLOOKUP(C985,'calc_s90&amp;138'!$C$15:$C$1000,'calc_s90&amp;138'!$BJ$15:$BJ$1000,"",0),  I985="Height FIX",_xlfn.XLOOKUP(C985,'calc_s90&amp;138'!$C$15:$C$1000,'calc_s90&amp;138'!$BL$15:$BL$1000,"",0),  I985="Width", _xlfn.XLOOKUP(C985,'calc_s90&amp;138'!$C$15:$C$1000,'calc_s90&amp;138'!$BN$15:$BN$1000,"",0)),"")</f>
        <v/>
      </c>
      <c r="E985" s="16" t="str" cm="1">
        <f t="array" ref="E985">IF(C985&lt;&gt;"", _xlfn.XLOOKUP(1,((SKUs!$A$2:$A$10001=cl_unmerged!B985) * (ISNUMBER(SEARCH("Steel-"&amp;K985,SKUs!$J$2:$J$10001)))), SKUs!$J$2:$J$10001,""),"")  &amp; _xlfn.IFS(I985="Height", ", H",I985="Height SLI", ", H SLI", I985="Height FIX", ", H FIX",I985="Width", ", W", I985="", "")</f>
        <v/>
      </c>
      <c r="F985" s="33" t="str" cm="1">
        <f t="array" ref="F985">_xlfn.XLOOKUP(1,((SKUs!$A$2:$A$10001=cl_unmerged!B985) * (ISNUMBER(SEARCH("Steel-"&amp;K985,SKUs!$J$2:$J$10001)))), SKUs!$C$2:$C$10001,"")</f>
        <v/>
      </c>
      <c r="G985" s="16"/>
      <c r="H985" s="16" t="str" cm="1">
        <f t="array" ref="H985">IF(C985&lt;&gt;"", _xlfn.IFS(I985="Height SLI",_xlfn.XLOOKUP(C985,'calc_s90&amp;138'!$C$15:$C$1000,'calc_s90&amp;138'!$BI$15:$BI$1000,"",0), I985="Height FIX",_xlfn.XLOOKUP(C985,'calc_s90&amp;138'!$C$15:$C$1000,'calc_s90&amp;138'!$BK$15:$BK$1000,"",0), I985="Width", _xlfn.XLOOKUP(C985,'calc_s90&amp;138'!$C$15:$C$1000,'calc_s90&amp;138'!$BM$15:$BM$1000,"",0)),"")</f>
        <v/>
      </c>
      <c r="I985" s="16" t="str">
        <f t="shared" si="22"/>
        <v/>
      </c>
      <c r="K985" s="1" t="str" cm="1">
        <f t="array" ref="K985">IF(C985&lt;&gt;"", _xlfn.XLOOKUP(1,((SKUs!$A$2:$A$10001=cl_unmerged!B985) * (ISNUMBER(SEARCH("Sash",SKUs!$J$2:$J$10001)))), SKUs!$J$2:$J$10001,""),"")</f>
        <v/>
      </c>
    </row>
    <row r="986" spans="1:11" ht="13.5" customHeight="1" x14ac:dyDescent="0.25">
      <c r="A986" s="41" t="str">
        <f>_xlfn.XLOOKUP(G986,dd_color!$A$2:$A$8,dd_color!$B$2:$B$8,"",0)</f>
        <v/>
      </c>
      <c r="B986" s="41">
        <f>_xlfn.XLOOKUP(_xlfn.XLOOKUP(C986,'Project Details'!$C$17:$C$10003,'Project Details'!$E$17:$E$10003, "",0),dd_design_raw!$A$2:$A$9997,dd_design_raw!$C$2:$C$9997,"",0)</f>
        <v>0</v>
      </c>
      <c r="C986" s="16"/>
      <c r="D986" s="16" t="str" cm="1">
        <f t="array" ref="D986">IF(C986&lt;&gt;"", _xlfn.IFS(I986="Height SLI",_xlfn.XLOOKUP(C986,'calc_s90&amp;138'!$C$15:$C$1000,'calc_s90&amp;138'!$BJ$15:$BJ$1000,"",0),  I986="Height FIX",_xlfn.XLOOKUP(C986,'calc_s90&amp;138'!$C$15:$C$1000,'calc_s90&amp;138'!$BL$15:$BL$1000,"",0),  I986="Width", _xlfn.XLOOKUP(C986,'calc_s90&amp;138'!$C$15:$C$1000,'calc_s90&amp;138'!$BN$15:$BN$1000,"",0)),"")</f>
        <v/>
      </c>
      <c r="E986" s="16" t="str" cm="1">
        <f t="array" ref="E986">IF(C986&lt;&gt;"", _xlfn.XLOOKUP(1,((SKUs!$A$2:$A$10001=cl_unmerged!B986) * (ISNUMBER(SEARCH("Steel-"&amp;K986,SKUs!$J$2:$J$10001)))), SKUs!$J$2:$J$10001,""),"")  &amp; _xlfn.IFS(I986="Height", ", H",I986="Height SLI", ", H SLI", I986="Height FIX", ", H FIX",I986="Width", ", W", I986="", "")</f>
        <v/>
      </c>
      <c r="F986" s="33" t="str" cm="1">
        <f t="array" ref="F986">_xlfn.XLOOKUP(1,((SKUs!$A$2:$A$10001=cl_unmerged!B986) * (ISNUMBER(SEARCH("Steel-"&amp;K986,SKUs!$J$2:$J$10001)))), SKUs!$C$2:$C$10001,"")</f>
        <v/>
      </c>
      <c r="G986" s="16"/>
      <c r="H986" s="16" t="str" cm="1">
        <f t="array" ref="H986">IF(C986&lt;&gt;"", _xlfn.IFS(I986="Height SLI",_xlfn.XLOOKUP(C986,'calc_s90&amp;138'!$C$15:$C$1000,'calc_s90&amp;138'!$BI$15:$BI$1000,"",0), I986="Height FIX",_xlfn.XLOOKUP(C986,'calc_s90&amp;138'!$C$15:$C$1000,'calc_s90&amp;138'!$BK$15:$BK$1000,"",0), I986="Width", _xlfn.XLOOKUP(C986,'calc_s90&amp;138'!$C$15:$C$1000,'calc_s90&amp;138'!$BM$15:$BM$1000,"",0)),"")</f>
        <v/>
      </c>
      <c r="I986" s="16" t="str">
        <f t="shared" si="22"/>
        <v/>
      </c>
      <c r="K986" s="1" t="str" cm="1">
        <f t="array" ref="K986">IF(C986&lt;&gt;"", _xlfn.XLOOKUP(1,((SKUs!$A$2:$A$10001=cl_unmerged!B986) * (ISNUMBER(SEARCH("Sash",SKUs!$J$2:$J$10001)))), SKUs!$J$2:$J$10001,""),"")</f>
        <v/>
      </c>
    </row>
    <row r="987" spans="1:11" ht="13.5" customHeight="1" x14ac:dyDescent="0.25">
      <c r="A987" s="41" t="str">
        <f>_xlfn.XLOOKUP(G987,dd_color!$A$2:$A$8,dd_color!$B$2:$B$8,"",0)</f>
        <v/>
      </c>
      <c r="B987" s="41">
        <f>_xlfn.XLOOKUP(_xlfn.XLOOKUP(C987,'Project Details'!$C$17:$C$10003,'Project Details'!$E$17:$E$10003, "",0),dd_design_raw!$A$2:$A$9997,dd_design_raw!$C$2:$C$9997,"",0)</f>
        <v>0</v>
      </c>
      <c r="C987" s="16"/>
      <c r="D987" s="16" t="str" cm="1">
        <f t="array" ref="D987">IF(C987&lt;&gt;"", _xlfn.IFS(I987="Height SLI",_xlfn.XLOOKUP(C987,'calc_s90&amp;138'!$C$15:$C$1000,'calc_s90&amp;138'!$BJ$15:$BJ$1000,"",0),  I987="Height FIX",_xlfn.XLOOKUP(C987,'calc_s90&amp;138'!$C$15:$C$1000,'calc_s90&amp;138'!$BL$15:$BL$1000,"",0),  I987="Width", _xlfn.XLOOKUP(C987,'calc_s90&amp;138'!$C$15:$C$1000,'calc_s90&amp;138'!$BN$15:$BN$1000,"",0)),"")</f>
        <v/>
      </c>
      <c r="E987" s="16" t="str" cm="1">
        <f t="array" ref="E987">IF(C987&lt;&gt;"", _xlfn.XLOOKUP(1,((SKUs!$A$2:$A$10001=cl_unmerged!B987) * (ISNUMBER(SEARCH("Steel-"&amp;K987,SKUs!$J$2:$J$10001)))), SKUs!$J$2:$J$10001,""),"")  &amp; _xlfn.IFS(I987="Height", ", H",I987="Height SLI", ", H SLI", I987="Height FIX", ", H FIX",I987="Width", ", W", I987="", "")</f>
        <v/>
      </c>
      <c r="F987" s="33" t="str" cm="1">
        <f t="array" ref="F987">_xlfn.XLOOKUP(1,((SKUs!$A$2:$A$10001=cl_unmerged!B987) * (ISNUMBER(SEARCH("Steel-"&amp;K987,SKUs!$J$2:$J$10001)))), SKUs!$C$2:$C$10001,"")</f>
        <v/>
      </c>
      <c r="G987" s="16"/>
      <c r="H987" s="16" t="str" cm="1">
        <f t="array" ref="H987">IF(C987&lt;&gt;"", _xlfn.IFS(I987="Height SLI",_xlfn.XLOOKUP(C987,'calc_s90&amp;138'!$C$15:$C$1000,'calc_s90&amp;138'!$BI$15:$BI$1000,"",0), I987="Height FIX",_xlfn.XLOOKUP(C987,'calc_s90&amp;138'!$C$15:$C$1000,'calc_s90&amp;138'!$BK$15:$BK$1000,"",0), I987="Width", _xlfn.XLOOKUP(C987,'calc_s90&amp;138'!$C$15:$C$1000,'calc_s90&amp;138'!$BM$15:$BM$1000,"",0)),"")</f>
        <v/>
      </c>
      <c r="I987" s="16" t="str">
        <f t="shared" si="22"/>
        <v/>
      </c>
      <c r="K987" s="1" t="str" cm="1">
        <f t="array" ref="K987">IF(C987&lt;&gt;"", _xlfn.XLOOKUP(1,((SKUs!$A$2:$A$10001=cl_unmerged!B987) * (ISNUMBER(SEARCH("Sash",SKUs!$J$2:$J$10001)))), SKUs!$J$2:$J$10001,""),"")</f>
        <v/>
      </c>
    </row>
    <row r="988" spans="1:11" ht="13.5" customHeight="1" x14ac:dyDescent="0.25">
      <c r="A988" s="41" t="str">
        <f>_xlfn.XLOOKUP(G988,dd_color!$A$2:$A$8,dd_color!$B$2:$B$8,"",0)</f>
        <v/>
      </c>
      <c r="B988" s="41">
        <f>_xlfn.XLOOKUP(_xlfn.XLOOKUP(C988,'Project Details'!$C$17:$C$10003,'Project Details'!$E$17:$E$10003, "",0),dd_design_raw!$A$2:$A$9997,dd_design_raw!$C$2:$C$9997,"",0)</f>
        <v>0</v>
      </c>
      <c r="C988" s="16"/>
      <c r="D988" s="16" t="str" cm="1">
        <f t="array" ref="D988">IF(C988&lt;&gt;"", _xlfn.IFS(I988="Height SLI",_xlfn.XLOOKUP(C988,'calc_s90&amp;138'!$C$15:$C$1000,'calc_s90&amp;138'!$BJ$15:$BJ$1000,"",0),  I988="Height FIX",_xlfn.XLOOKUP(C988,'calc_s90&amp;138'!$C$15:$C$1000,'calc_s90&amp;138'!$BL$15:$BL$1000,"",0),  I988="Width", _xlfn.XLOOKUP(C988,'calc_s90&amp;138'!$C$15:$C$1000,'calc_s90&amp;138'!$BN$15:$BN$1000,"",0)),"")</f>
        <v/>
      </c>
      <c r="E988" s="16" t="str" cm="1">
        <f t="array" ref="E988">IF(C988&lt;&gt;"", _xlfn.XLOOKUP(1,((SKUs!$A$2:$A$10001=cl_unmerged!B988) * (ISNUMBER(SEARCH("Steel-"&amp;K988,SKUs!$J$2:$J$10001)))), SKUs!$J$2:$J$10001,""),"")  &amp; _xlfn.IFS(I988="Height", ", H",I988="Height SLI", ", H SLI", I988="Height FIX", ", H FIX",I988="Width", ", W", I988="", "")</f>
        <v/>
      </c>
      <c r="F988" s="33" t="str" cm="1">
        <f t="array" ref="F988">_xlfn.XLOOKUP(1,((SKUs!$A$2:$A$10001=cl_unmerged!B988) * (ISNUMBER(SEARCH("Steel-"&amp;K988,SKUs!$J$2:$J$10001)))), SKUs!$C$2:$C$10001,"")</f>
        <v/>
      </c>
      <c r="G988" s="16"/>
      <c r="H988" s="16" t="str" cm="1">
        <f t="array" ref="H988">IF(C988&lt;&gt;"", _xlfn.IFS(I988="Height SLI",_xlfn.XLOOKUP(C988,'calc_s90&amp;138'!$C$15:$C$1000,'calc_s90&amp;138'!$BI$15:$BI$1000,"",0), I988="Height FIX",_xlfn.XLOOKUP(C988,'calc_s90&amp;138'!$C$15:$C$1000,'calc_s90&amp;138'!$BK$15:$BK$1000,"",0), I988="Width", _xlfn.XLOOKUP(C988,'calc_s90&amp;138'!$C$15:$C$1000,'calc_s90&amp;138'!$BM$15:$BM$1000,"",0)),"")</f>
        <v/>
      </c>
      <c r="I988" s="16" t="str">
        <f t="shared" si="22"/>
        <v/>
      </c>
      <c r="K988" s="1" t="str" cm="1">
        <f t="array" ref="K988">IF(C988&lt;&gt;"", _xlfn.XLOOKUP(1,((SKUs!$A$2:$A$10001=cl_unmerged!B988) * (ISNUMBER(SEARCH("Sash",SKUs!$J$2:$J$10001)))), SKUs!$J$2:$J$10001,""),"")</f>
        <v/>
      </c>
    </row>
    <row r="989" spans="1:11" ht="13.5" customHeight="1" x14ac:dyDescent="0.25">
      <c r="A989" s="41" t="str">
        <f>_xlfn.XLOOKUP(G989,dd_color!$A$2:$A$8,dd_color!$B$2:$B$8,"",0)</f>
        <v/>
      </c>
      <c r="B989" s="41">
        <f>_xlfn.XLOOKUP(_xlfn.XLOOKUP(C989,'Project Details'!$C$17:$C$10003,'Project Details'!$E$17:$E$10003, "",0),dd_design_raw!$A$2:$A$9997,dd_design_raw!$C$2:$C$9997,"",0)</f>
        <v>0</v>
      </c>
      <c r="C989" s="16"/>
      <c r="D989" s="16" t="str" cm="1">
        <f t="array" ref="D989">IF(C989&lt;&gt;"", _xlfn.IFS(I989="Height SLI",_xlfn.XLOOKUP(C989,'calc_s90&amp;138'!$C$15:$C$1000,'calc_s90&amp;138'!$BJ$15:$BJ$1000,"",0),  I989="Height FIX",_xlfn.XLOOKUP(C989,'calc_s90&amp;138'!$C$15:$C$1000,'calc_s90&amp;138'!$BL$15:$BL$1000,"",0),  I989="Width", _xlfn.XLOOKUP(C989,'calc_s90&amp;138'!$C$15:$C$1000,'calc_s90&amp;138'!$BN$15:$BN$1000,"",0)),"")</f>
        <v/>
      </c>
      <c r="E989" s="16" t="str" cm="1">
        <f t="array" ref="E989">IF(C989&lt;&gt;"", _xlfn.XLOOKUP(1,((SKUs!$A$2:$A$10001=cl_unmerged!B989) * (ISNUMBER(SEARCH("Steel-"&amp;K989,SKUs!$J$2:$J$10001)))), SKUs!$J$2:$J$10001,""),"")  &amp; _xlfn.IFS(I989="Height", ", H",I989="Height SLI", ", H SLI", I989="Height FIX", ", H FIX",I989="Width", ", W", I989="", "")</f>
        <v/>
      </c>
      <c r="F989" s="33" t="str" cm="1">
        <f t="array" ref="F989">_xlfn.XLOOKUP(1,((SKUs!$A$2:$A$10001=cl_unmerged!B989) * (ISNUMBER(SEARCH("Steel-"&amp;K989,SKUs!$J$2:$J$10001)))), SKUs!$C$2:$C$10001,"")</f>
        <v/>
      </c>
      <c r="G989" s="16"/>
      <c r="H989" s="16" t="str" cm="1">
        <f t="array" ref="H989">IF(C989&lt;&gt;"", _xlfn.IFS(I989="Height SLI",_xlfn.XLOOKUP(C989,'calc_s90&amp;138'!$C$15:$C$1000,'calc_s90&amp;138'!$BI$15:$BI$1000,"",0), I989="Height FIX",_xlfn.XLOOKUP(C989,'calc_s90&amp;138'!$C$15:$C$1000,'calc_s90&amp;138'!$BK$15:$BK$1000,"",0), I989="Width", _xlfn.XLOOKUP(C989,'calc_s90&amp;138'!$C$15:$C$1000,'calc_s90&amp;138'!$BM$15:$BM$1000,"",0)),"")</f>
        <v/>
      </c>
      <c r="I989" s="16" t="str">
        <f t="shared" si="22"/>
        <v/>
      </c>
      <c r="K989" s="1" t="str" cm="1">
        <f t="array" ref="K989">IF(C989&lt;&gt;"", _xlfn.XLOOKUP(1,((SKUs!$A$2:$A$10001=cl_unmerged!B989) * (ISNUMBER(SEARCH("Sash",SKUs!$J$2:$J$10001)))), SKUs!$J$2:$J$10001,""),"")</f>
        <v/>
      </c>
    </row>
    <row r="990" spans="1:11" ht="13.5" customHeight="1" x14ac:dyDescent="0.25">
      <c r="A990" s="41" t="str">
        <f>_xlfn.XLOOKUP(G990,dd_color!$A$2:$A$8,dd_color!$B$2:$B$8,"",0)</f>
        <v/>
      </c>
      <c r="B990" s="41">
        <f>_xlfn.XLOOKUP(_xlfn.XLOOKUP(C990,'Project Details'!$C$17:$C$10003,'Project Details'!$E$17:$E$10003, "",0),dd_design_raw!$A$2:$A$9997,dd_design_raw!$C$2:$C$9997,"",0)</f>
        <v>0</v>
      </c>
      <c r="C990" s="16"/>
      <c r="D990" s="16" t="str" cm="1">
        <f t="array" ref="D990">IF(C990&lt;&gt;"", _xlfn.IFS(I990="Height SLI",_xlfn.XLOOKUP(C990,'calc_s90&amp;138'!$C$15:$C$1000,'calc_s90&amp;138'!$BJ$15:$BJ$1000,"",0),  I990="Height FIX",_xlfn.XLOOKUP(C990,'calc_s90&amp;138'!$C$15:$C$1000,'calc_s90&amp;138'!$BL$15:$BL$1000,"",0),  I990="Width", _xlfn.XLOOKUP(C990,'calc_s90&amp;138'!$C$15:$C$1000,'calc_s90&amp;138'!$BN$15:$BN$1000,"",0)),"")</f>
        <v/>
      </c>
      <c r="E990" s="16" t="str" cm="1">
        <f t="array" ref="E990">IF(C990&lt;&gt;"", _xlfn.XLOOKUP(1,((SKUs!$A$2:$A$10001=cl_unmerged!B990) * (ISNUMBER(SEARCH("Steel-"&amp;K990,SKUs!$J$2:$J$10001)))), SKUs!$J$2:$J$10001,""),"")  &amp; _xlfn.IFS(I990="Height", ", H",I990="Height SLI", ", H SLI", I990="Height FIX", ", H FIX",I990="Width", ", W", I990="", "")</f>
        <v/>
      </c>
      <c r="F990" s="33" t="str" cm="1">
        <f t="array" ref="F990">_xlfn.XLOOKUP(1,((SKUs!$A$2:$A$10001=cl_unmerged!B990) * (ISNUMBER(SEARCH("Steel-"&amp;K990,SKUs!$J$2:$J$10001)))), SKUs!$C$2:$C$10001,"")</f>
        <v/>
      </c>
      <c r="G990" s="16"/>
      <c r="H990" s="16" t="str" cm="1">
        <f t="array" ref="H990">IF(C990&lt;&gt;"", _xlfn.IFS(I990="Height SLI",_xlfn.XLOOKUP(C990,'calc_s90&amp;138'!$C$15:$C$1000,'calc_s90&amp;138'!$BI$15:$BI$1000,"",0), I990="Height FIX",_xlfn.XLOOKUP(C990,'calc_s90&amp;138'!$C$15:$C$1000,'calc_s90&amp;138'!$BK$15:$BK$1000,"",0), I990="Width", _xlfn.XLOOKUP(C990,'calc_s90&amp;138'!$C$15:$C$1000,'calc_s90&amp;138'!$BM$15:$BM$1000,"",0)),"")</f>
        <v/>
      </c>
      <c r="I990" s="16" t="str">
        <f t="shared" si="22"/>
        <v/>
      </c>
      <c r="K990" s="1" t="str" cm="1">
        <f t="array" ref="K990">IF(C990&lt;&gt;"", _xlfn.XLOOKUP(1,((SKUs!$A$2:$A$10001=cl_unmerged!B990) * (ISNUMBER(SEARCH("Sash",SKUs!$J$2:$J$10001)))), SKUs!$J$2:$J$10001,""),"")</f>
        <v/>
      </c>
    </row>
    <row r="991" spans="1:11" ht="13.5" customHeight="1" x14ac:dyDescent="0.25">
      <c r="A991" s="41" t="str">
        <f>_xlfn.XLOOKUP(G991,dd_color!$A$2:$A$8,dd_color!$B$2:$B$8,"",0)</f>
        <v/>
      </c>
      <c r="B991" s="41">
        <f>_xlfn.XLOOKUP(_xlfn.XLOOKUP(C991,'Project Details'!$C$17:$C$10003,'Project Details'!$E$17:$E$10003, "",0),dd_design_raw!$A$2:$A$9997,dd_design_raw!$C$2:$C$9997,"",0)</f>
        <v>0</v>
      </c>
      <c r="C991" s="16"/>
      <c r="D991" s="16" t="str" cm="1">
        <f t="array" ref="D991">IF(C991&lt;&gt;"", _xlfn.IFS(I991="Height SLI",_xlfn.XLOOKUP(C991,'calc_s90&amp;138'!$C$15:$C$1000,'calc_s90&amp;138'!$BJ$15:$BJ$1000,"",0),  I991="Height FIX",_xlfn.XLOOKUP(C991,'calc_s90&amp;138'!$C$15:$C$1000,'calc_s90&amp;138'!$BL$15:$BL$1000,"",0),  I991="Width", _xlfn.XLOOKUP(C991,'calc_s90&amp;138'!$C$15:$C$1000,'calc_s90&amp;138'!$BN$15:$BN$1000,"",0)),"")</f>
        <v/>
      </c>
      <c r="E991" s="16" t="str" cm="1">
        <f t="array" ref="E991">IF(C991&lt;&gt;"", _xlfn.XLOOKUP(1,((SKUs!$A$2:$A$10001=cl_unmerged!B991) * (ISNUMBER(SEARCH("Steel-"&amp;K991,SKUs!$J$2:$J$10001)))), SKUs!$J$2:$J$10001,""),"")  &amp; _xlfn.IFS(I991="Height", ", H",I991="Height SLI", ", H SLI", I991="Height FIX", ", H FIX",I991="Width", ", W", I991="", "")</f>
        <v/>
      </c>
      <c r="F991" s="33" t="str" cm="1">
        <f t="array" ref="F991">_xlfn.XLOOKUP(1,((SKUs!$A$2:$A$10001=cl_unmerged!B991) * (ISNUMBER(SEARCH("Steel-"&amp;K991,SKUs!$J$2:$J$10001)))), SKUs!$C$2:$C$10001,"")</f>
        <v/>
      </c>
      <c r="G991" s="16"/>
      <c r="H991" s="16" t="str" cm="1">
        <f t="array" ref="H991">IF(C991&lt;&gt;"", _xlfn.IFS(I991="Height SLI",_xlfn.XLOOKUP(C991,'calc_s90&amp;138'!$C$15:$C$1000,'calc_s90&amp;138'!$BI$15:$BI$1000,"",0), I991="Height FIX",_xlfn.XLOOKUP(C991,'calc_s90&amp;138'!$C$15:$C$1000,'calc_s90&amp;138'!$BK$15:$BK$1000,"",0), I991="Width", _xlfn.XLOOKUP(C991,'calc_s90&amp;138'!$C$15:$C$1000,'calc_s90&amp;138'!$BM$15:$BM$1000,"",0)),"")</f>
        <v/>
      </c>
      <c r="I991" s="16" t="str">
        <f t="shared" si="22"/>
        <v/>
      </c>
      <c r="K991" s="1" t="str" cm="1">
        <f t="array" ref="K991">IF(C991&lt;&gt;"", _xlfn.XLOOKUP(1,((SKUs!$A$2:$A$10001=cl_unmerged!B991) * (ISNUMBER(SEARCH("Sash",SKUs!$J$2:$J$10001)))), SKUs!$J$2:$J$10001,""),"")</f>
        <v/>
      </c>
    </row>
    <row r="992" spans="1:11" ht="13.5" customHeight="1" x14ac:dyDescent="0.25">
      <c r="A992" s="41" t="str">
        <f>_xlfn.XLOOKUP(G992,dd_color!$A$2:$A$8,dd_color!$B$2:$B$8,"",0)</f>
        <v/>
      </c>
      <c r="B992" s="41">
        <f>_xlfn.XLOOKUP(_xlfn.XLOOKUP(C992,'Project Details'!$C$17:$C$10003,'Project Details'!$E$17:$E$10003, "",0),dd_design_raw!$A$2:$A$9997,dd_design_raw!$C$2:$C$9997,"",0)</f>
        <v>0</v>
      </c>
      <c r="C992" s="16"/>
      <c r="D992" s="16" t="str" cm="1">
        <f t="array" ref="D992">IF(C992&lt;&gt;"", _xlfn.IFS(I992="Height SLI",_xlfn.XLOOKUP(C992,'calc_s90&amp;138'!$C$15:$C$1000,'calc_s90&amp;138'!$BJ$15:$BJ$1000,"",0),  I992="Height FIX",_xlfn.XLOOKUP(C992,'calc_s90&amp;138'!$C$15:$C$1000,'calc_s90&amp;138'!$BL$15:$BL$1000,"",0),  I992="Width", _xlfn.XLOOKUP(C992,'calc_s90&amp;138'!$C$15:$C$1000,'calc_s90&amp;138'!$BN$15:$BN$1000,"",0)),"")</f>
        <v/>
      </c>
      <c r="E992" s="16" t="str" cm="1">
        <f t="array" ref="E992">IF(C992&lt;&gt;"", _xlfn.XLOOKUP(1,((SKUs!$A$2:$A$10001=cl_unmerged!B992) * (ISNUMBER(SEARCH("Steel-"&amp;K992,SKUs!$J$2:$J$10001)))), SKUs!$J$2:$J$10001,""),"")  &amp; _xlfn.IFS(I992="Height", ", H",I992="Height SLI", ", H SLI", I992="Height FIX", ", H FIX",I992="Width", ", W", I992="", "")</f>
        <v/>
      </c>
      <c r="F992" s="33" t="str" cm="1">
        <f t="array" ref="F992">_xlfn.XLOOKUP(1,((SKUs!$A$2:$A$10001=cl_unmerged!B992) * (ISNUMBER(SEARCH("Steel-"&amp;K992,SKUs!$J$2:$J$10001)))), SKUs!$C$2:$C$10001,"")</f>
        <v/>
      </c>
      <c r="G992" s="16"/>
      <c r="H992" s="16" t="str" cm="1">
        <f t="array" ref="H992">IF(C992&lt;&gt;"", _xlfn.IFS(I992="Height SLI",_xlfn.XLOOKUP(C992,'calc_s90&amp;138'!$C$15:$C$1000,'calc_s90&amp;138'!$BI$15:$BI$1000,"",0), I992="Height FIX",_xlfn.XLOOKUP(C992,'calc_s90&amp;138'!$C$15:$C$1000,'calc_s90&amp;138'!$BK$15:$BK$1000,"",0), I992="Width", _xlfn.XLOOKUP(C992,'calc_s90&amp;138'!$C$15:$C$1000,'calc_s90&amp;138'!$BM$15:$BM$1000,"",0)),"")</f>
        <v/>
      </c>
      <c r="I992" s="16" t="str">
        <f t="shared" si="22"/>
        <v/>
      </c>
      <c r="K992" s="1" t="str" cm="1">
        <f t="array" ref="K992">IF(C992&lt;&gt;"", _xlfn.XLOOKUP(1,((SKUs!$A$2:$A$10001=cl_unmerged!B992) * (ISNUMBER(SEARCH("Sash",SKUs!$J$2:$J$10001)))), SKUs!$J$2:$J$10001,""),"")</f>
        <v/>
      </c>
    </row>
    <row r="993" spans="1:11" ht="13.5" customHeight="1" x14ac:dyDescent="0.25">
      <c r="A993" s="41" t="str">
        <f>_xlfn.XLOOKUP(G993,dd_color!$A$2:$A$8,dd_color!$B$2:$B$8,"",0)</f>
        <v/>
      </c>
      <c r="B993" s="41">
        <f>_xlfn.XLOOKUP(_xlfn.XLOOKUP(C993,'Project Details'!$C$17:$C$10003,'Project Details'!$E$17:$E$10003, "",0),dd_design_raw!$A$2:$A$9997,dd_design_raw!$C$2:$C$9997,"",0)</f>
        <v>0</v>
      </c>
      <c r="C993" s="16"/>
      <c r="D993" s="16" t="str" cm="1">
        <f t="array" ref="D993">IF(C993&lt;&gt;"", _xlfn.IFS(I993="Height SLI",_xlfn.XLOOKUP(C993,'calc_s90&amp;138'!$C$15:$C$1000,'calc_s90&amp;138'!$BJ$15:$BJ$1000,"",0),  I993="Height FIX",_xlfn.XLOOKUP(C993,'calc_s90&amp;138'!$C$15:$C$1000,'calc_s90&amp;138'!$BL$15:$BL$1000,"",0),  I993="Width", _xlfn.XLOOKUP(C993,'calc_s90&amp;138'!$C$15:$C$1000,'calc_s90&amp;138'!$BN$15:$BN$1000,"",0)),"")</f>
        <v/>
      </c>
      <c r="E993" s="16" t="str" cm="1">
        <f t="array" ref="E993">IF(C993&lt;&gt;"", _xlfn.XLOOKUP(1,((SKUs!$A$2:$A$10001=cl_unmerged!B993) * (ISNUMBER(SEARCH("Steel-"&amp;K993,SKUs!$J$2:$J$10001)))), SKUs!$J$2:$J$10001,""),"")  &amp; _xlfn.IFS(I993="Height", ", H",I993="Height SLI", ", H SLI", I993="Height FIX", ", H FIX",I993="Width", ", W", I993="", "")</f>
        <v/>
      </c>
      <c r="F993" s="33" t="str" cm="1">
        <f t="array" ref="F993">_xlfn.XLOOKUP(1,((SKUs!$A$2:$A$10001=cl_unmerged!B993) * (ISNUMBER(SEARCH("Steel-"&amp;K993,SKUs!$J$2:$J$10001)))), SKUs!$C$2:$C$10001,"")</f>
        <v/>
      </c>
      <c r="G993" s="16"/>
      <c r="H993" s="16" t="str" cm="1">
        <f t="array" ref="H993">IF(C993&lt;&gt;"", _xlfn.IFS(I993="Height SLI",_xlfn.XLOOKUP(C993,'calc_s90&amp;138'!$C$15:$C$1000,'calc_s90&amp;138'!$BI$15:$BI$1000,"",0), I993="Height FIX",_xlfn.XLOOKUP(C993,'calc_s90&amp;138'!$C$15:$C$1000,'calc_s90&amp;138'!$BK$15:$BK$1000,"",0), I993="Width", _xlfn.XLOOKUP(C993,'calc_s90&amp;138'!$C$15:$C$1000,'calc_s90&amp;138'!$BM$15:$BM$1000,"",0)),"")</f>
        <v/>
      </c>
      <c r="I993" s="16" t="str">
        <f t="shared" si="22"/>
        <v/>
      </c>
      <c r="K993" s="1" t="str" cm="1">
        <f t="array" ref="K993">IF(C993&lt;&gt;"", _xlfn.XLOOKUP(1,((SKUs!$A$2:$A$10001=cl_unmerged!B993) * (ISNUMBER(SEARCH("Sash",SKUs!$J$2:$J$10001)))), SKUs!$J$2:$J$10001,""),"")</f>
        <v/>
      </c>
    </row>
    <row r="994" spans="1:11" ht="13.5" customHeight="1" x14ac:dyDescent="0.25">
      <c r="A994" s="41" t="str">
        <f>_xlfn.XLOOKUP(G994,dd_color!$A$2:$A$8,dd_color!$B$2:$B$8,"",0)</f>
        <v/>
      </c>
      <c r="B994" s="41">
        <f>_xlfn.XLOOKUP(_xlfn.XLOOKUP(C994,'Project Details'!$C$17:$C$10003,'Project Details'!$E$17:$E$10003, "",0),dd_design_raw!$A$2:$A$9997,dd_design_raw!$C$2:$C$9997,"",0)</f>
        <v>0</v>
      </c>
      <c r="C994" s="16"/>
      <c r="D994" s="16" t="str" cm="1">
        <f t="array" ref="D994">IF(C994&lt;&gt;"", _xlfn.IFS(I994="Height SLI",_xlfn.XLOOKUP(C994,'calc_s90&amp;138'!$C$15:$C$1000,'calc_s90&amp;138'!$BJ$15:$BJ$1000,"",0),  I994="Height FIX",_xlfn.XLOOKUP(C994,'calc_s90&amp;138'!$C$15:$C$1000,'calc_s90&amp;138'!$BL$15:$BL$1000,"",0),  I994="Width", _xlfn.XLOOKUP(C994,'calc_s90&amp;138'!$C$15:$C$1000,'calc_s90&amp;138'!$BN$15:$BN$1000,"",0)),"")</f>
        <v/>
      </c>
      <c r="E994" s="16" t="str" cm="1">
        <f t="array" ref="E994">IF(C994&lt;&gt;"", _xlfn.XLOOKUP(1,((SKUs!$A$2:$A$10001=cl_unmerged!B994) * (ISNUMBER(SEARCH("Steel-"&amp;K994,SKUs!$J$2:$J$10001)))), SKUs!$J$2:$J$10001,""),"")  &amp; _xlfn.IFS(I994="Height", ", H",I994="Height SLI", ", H SLI", I994="Height FIX", ", H FIX",I994="Width", ", W", I994="", "")</f>
        <v/>
      </c>
      <c r="F994" s="33" t="str" cm="1">
        <f t="array" ref="F994">_xlfn.XLOOKUP(1,((SKUs!$A$2:$A$10001=cl_unmerged!B994) * (ISNUMBER(SEARCH("Steel-"&amp;K994,SKUs!$J$2:$J$10001)))), SKUs!$C$2:$C$10001,"")</f>
        <v/>
      </c>
      <c r="G994" s="16"/>
      <c r="H994" s="16" t="str" cm="1">
        <f t="array" ref="H994">IF(C994&lt;&gt;"", _xlfn.IFS(I994="Height SLI",_xlfn.XLOOKUP(C994,'calc_s90&amp;138'!$C$15:$C$1000,'calc_s90&amp;138'!$BI$15:$BI$1000,"",0), I994="Height FIX",_xlfn.XLOOKUP(C994,'calc_s90&amp;138'!$C$15:$C$1000,'calc_s90&amp;138'!$BK$15:$BK$1000,"",0), I994="Width", _xlfn.XLOOKUP(C994,'calc_s90&amp;138'!$C$15:$C$1000,'calc_s90&amp;138'!$BM$15:$BM$1000,"",0)),"")</f>
        <v/>
      </c>
      <c r="I994" s="16" t="str">
        <f t="shared" si="22"/>
        <v/>
      </c>
      <c r="K994" s="1" t="str" cm="1">
        <f t="array" ref="K994">IF(C994&lt;&gt;"", _xlfn.XLOOKUP(1,((SKUs!$A$2:$A$10001=cl_unmerged!B994) * (ISNUMBER(SEARCH("Sash",SKUs!$J$2:$J$10001)))), SKUs!$J$2:$J$10001,""),"")</f>
        <v/>
      </c>
    </row>
    <row r="995" spans="1:11" ht="13.5" customHeight="1" x14ac:dyDescent="0.25">
      <c r="A995" s="41" t="str">
        <f>_xlfn.XLOOKUP(G995,dd_color!$A$2:$A$8,dd_color!$B$2:$B$8,"",0)</f>
        <v/>
      </c>
      <c r="B995" s="41">
        <f>_xlfn.XLOOKUP(_xlfn.XLOOKUP(C995,'Project Details'!$C$17:$C$10003,'Project Details'!$E$17:$E$10003, "",0),dd_design_raw!$A$2:$A$9997,dd_design_raw!$C$2:$C$9997,"",0)</f>
        <v>0</v>
      </c>
      <c r="C995" s="16"/>
      <c r="D995" s="16" t="str" cm="1">
        <f t="array" ref="D995">IF(C995&lt;&gt;"", _xlfn.IFS(I995="Height SLI",_xlfn.XLOOKUP(C995,'calc_s90&amp;138'!$C$15:$C$1000,'calc_s90&amp;138'!$BJ$15:$BJ$1000,"",0),  I995="Height FIX",_xlfn.XLOOKUP(C995,'calc_s90&amp;138'!$C$15:$C$1000,'calc_s90&amp;138'!$BL$15:$BL$1000,"",0),  I995="Width", _xlfn.XLOOKUP(C995,'calc_s90&amp;138'!$C$15:$C$1000,'calc_s90&amp;138'!$BN$15:$BN$1000,"",0)),"")</f>
        <v/>
      </c>
      <c r="E995" s="16" t="str" cm="1">
        <f t="array" ref="E995">IF(C995&lt;&gt;"", _xlfn.XLOOKUP(1,((SKUs!$A$2:$A$10001=cl_unmerged!B995) * (ISNUMBER(SEARCH("Steel-"&amp;K995,SKUs!$J$2:$J$10001)))), SKUs!$J$2:$J$10001,""),"")  &amp; _xlfn.IFS(I995="Height", ", H",I995="Height SLI", ", H SLI", I995="Height FIX", ", H FIX",I995="Width", ", W", I995="", "")</f>
        <v/>
      </c>
      <c r="F995" s="33" t="str" cm="1">
        <f t="array" ref="F995">_xlfn.XLOOKUP(1,((SKUs!$A$2:$A$10001=cl_unmerged!B995) * (ISNUMBER(SEARCH("Steel-"&amp;K995,SKUs!$J$2:$J$10001)))), SKUs!$C$2:$C$10001,"")</f>
        <v/>
      </c>
      <c r="G995" s="16"/>
      <c r="H995" s="16" t="str" cm="1">
        <f t="array" ref="H995">IF(C995&lt;&gt;"", _xlfn.IFS(I995="Height SLI",_xlfn.XLOOKUP(C995,'calc_s90&amp;138'!$C$15:$C$1000,'calc_s90&amp;138'!$BI$15:$BI$1000,"",0), I995="Height FIX",_xlfn.XLOOKUP(C995,'calc_s90&amp;138'!$C$15:$C$1000,'calc_s90&amp;138'!$BK$15:$BK$1000,"",0), I995="Width", _xlfn.XLOOKUP(C995,'calc_s90&amp;138'!$C$15:$C$1000,'calc_s90&amp;138'!$BM$15:$BM$1000,"",0)),"")</f>
        <v/>
      </c>
      <c r="I995" s="16" t="str">
        <f t="shared" si="22"/>
        <v/>
      </c>
      <c r="K995" s="1" t="str" cm="1">
        <f t="array" ref="K995">IF(C995&lt;&gt;"", _xlfn.XLOOKUP(1,((SKUs!$A$2:$A$10001=cl_unmerged!B995) * (ISNUMBER(SEARCH("Sash",SKUs!$J$2:$J$10001)))), SKUs!$J$2:$J$10001,""),"")</f>
        <v/>
      </c>
    </row>
    <row r="996" spans="1:11" ht="13.5" customHeight="1" x14ac:dyDescent="0.25">
      <c r="A996" s="41" t="str">
        <f>_xlfn.XLOOKUP(G996,dd_color!$A$2:$A$8,dd_color!$B$2:$B$8,"",0)</f>
        <v/>
      </c>
      <c r="B996" s="41">
        <f>_xlfn.XLOOKUP(_xlfn.XLOOKUP(C996,'Project Details'!$C$17:$C$10003,'Project Details'!$E$17:$E$10003, "",0),dd_design_raw!$A$2:$A$9997,dd_design_raw!$C$2:$C$9997,"",0)</f>
        <v>0</v>
      </c>
      <c r="C996" s="16"/>
      <c r="D996" s="16" t="str" cm="1">
        <f t="array" ref="D996">IF(C996&lt;&gt;"", _xlfn.IFS(I996="Height SLI",_xlfn.XLOOKUP(C996,'calc_s90&amp;138'!$C$15:$C$1000,'calc_s90&amp;138'!$BJ$15:$BJ$1000,"",0),  I996="Height FIX",_xlfn.XLOOKUP(C996,'calc_s90&amp;138'!$C$15:$C$1000,'calc_s90&amp;138'!$BL$15:$BL$1000,"",0),  I996="Width", _xlfn.XLOOKUP(C996,'calc_s90&amp;138'!$C$15:$C$1000,'calc_s90&amp;138'!$BN$15:$BN$1000,"",0)),"")</f>
        <v/>
      </c>
      <c r="E996" s="16" t="str" cm="1">
        <f t="array" ref="E996">IF(C996&lt;&gt;"", _xlfn.XLOOKUP(1,((SKUs!$A$2:$A$10001=cl_unmerged!B996) * (ISNUMBER(SEARCH("Steel-"&amp;K996,SKUs!$J$2:$J$10001)))), SKUs!$J$2:$J$10001,""),"")  &amp; _xlfn.IFS(I996="Height", ", H",I996="Height SLI", ", H SLI", I996="Height FIX", ", H FIX",I996="Width", ", W", I996="", "")</f>
        <v/>
      </c>
      <c r="F996" s="33" t="str" cm="1">
        <f t="array" ref="F996">_xlfn.XLOOKUP(1,((SKUs!$A$2:$A$10001=cl_unmerged!B996) * (ISNUMBER(SEARCH("Steel-"&amp;K996,SKUs!$J$2:$J$10001)))), SKUs!$C$2:$C$10001,"")</f>
        <v/>
      </c>
      <c r="G996" s="16"/>
      <c r="H996" s="16" t="str" cm="1">
        <f t="array" ref="H996">IF(C996&lt;&gt;"", _xlfn.IFS(I996="Height SLI",_xlfn.XLOOKUP(C996,'calc_s90&amp;138'!$C$15:$C$1000,'calc_s90&amp;138'!$BI$15:$BI$1000,"",0), I996="Height FIX",_xlfn.XLOOKUP(C996,'calc_s90&amp;138'!$C$15:$C$1000,'calc_s90&amp;138'!$BK$15:$BK$1000,"",0), I996="Width", _xlfn.XLOOKUP(C996,'calc_s90&amp;138'!$C$15:$C$1000,'calc_s90&amp;138'!$BM$15:$BM$1000,"",0)),"")</f>
        <v/>
      </c>
      <c r="I996" s="16" t="str">
        <f t="shared" si="22"/>
        <v/>
      </c>
      <c r="K996" s="1" t="str" cm="1">
        <f t="array" ref="K996">IF(C996&lt;&gt;"", _xlfn.XLOOKUP(1,((SKUs!$A$2:$A$10001=cl_unmerged!B996) * (ISNUMBER(SEARCH("Sash",SKUs!$J$2:$J$10001)))), SKUs!$J$2:$J$10001,""),"")</f>
        <v/>
      </c>
    </row>
    <row r="997" spans="1:11" ht="13.5" customHeight="1" x14ac:dyDescent="0.25">
      <c r="A997" s="41" t="str">
        <f>_xlfn.XLOOKUP(G997,dd_color!$A$2:$A$8,dd_color!$B$2:$B$8,"",0)</f>
        <v/>
      </c>
      <c r="B997" s="41">
        <f>_xlfn.XLOOKUP(_xlfn.XLOOKUP(C997,'Project Details'!$C$17:$C$10003,'Project Details'!$E$17:$E$10003, "",0),dd_design_raw!$A$2:$A$9997,dd_design_raw!$C$2:$C$9997,"",0)</f>
        <v>0</v>
      </c>
      <c r="C997" s="16"/>
      <c r="D997" s="16" t="str" cm="1">
        <f t="array" ref="D997">IF(C997&lt;&gt;"", _xlfn.IFS(I997="Height SLI",_xlfn.XLOOKUP(C997,'calc_s90&amp;138'!$C$15:$C$1000,'calc_s90&amp;138'!$BJ$15:$BJ$1000,"",0),  I997="Height FIX",_xlfn.XLOOKUP(C997,'calc_s90&amp;138'!$C$15:$C$1000,'calc_s90&amp;138'!$BL$15:$BL$1000,"",0),  I997="Width", _xlfn.XLOOKUP(C997,'calc_s90&amp;138'!$C$15:$C$1000,'calc_s90&amp;138'!$BN$15:$BN$1000,"",0)),"")</f>
        <v/>
      </c>
      <c r="E997" s="16" t="str" cm="1">
        <f t="array" ref="E997">IF(C997&lt;&gt;"", _xlfn.XLOOKUP(1,((SKUs!$A$2:$A$10001=cl_unmerged!B997) * (ISNUMBER(SEARCH("Steel-"&amp;K997,SKUs!$J$2:$J$10001)))), SKUs!$J$2:$J$10001,""),"")  &amp; _xlfn.IFS(I997="Height", ", H",I997="Height SLI", ", H SLI", I997="Height FIX", ", H FIX",I997="Width", ", W", I997="", "")</f>
        <v/>
      </c>
      <c r="F997" s="33" t="str" cm="1">
        <f t="array" ref="F997">_xlfn.XLOOKUP(1,((SKUs!$A$2:$A$10001=cl_unmerged!B997) * (ISNUMBER(SEARCH("Steel-"&amp;K997,SKUs!$J$2:$J$10001)))), SKUs!$C$2:$C$10001,"")</f>
        <v/>
      </c>
      <c r="G997" s="16"/>
      <c r="H997" s="16" t="str" cm="1">
        <f t="array" ref="H997">IF(C997&lt;&gt;"", _xlfn.IFS(I997="Height SLI",_xlfn.XLOOKUP(C997,'calc_s90&amp;138'!$C$15:$C$1000,'calc_s90&amp;138'!$BI$15:$BI$1000,"",0), I997="Height FIX",_xlfn.XLOOKUP(C997,'calc_s90&amp;138'!$C$15:$C$1000,'calc_s90&amp;138'!$BK$15:$BK$1000,"",0), I997="Width", _xlfn.XLOOKUP(C997,'calc_s90&amp;138'!$C$15:$C$1000,'calc_s90&amp;138'!$BM$15:$BM$1000,"",0)),"")</f>
        <v/>
      </c>
      <c r="I997" s="16" t="str">
        <f t="shared" si="22"/>
        <v/>
      </c>
      <c r="K997" s="1" t="str" cm="1">
        <f t="array" ref="K997">IF(C997&lt;&gt;"", _xlfn.XLOOKUP(1,((SKUs!$A$2:$A$10001=cl_unmerged!B997) * (ISNUMBER(SEARCH("Sash",SKUs!$J$2:$J$10001)))), SKUs!$J$2:$J$10001,""),"")</f>
        <v/>
      </c>
    </row>
    <row r="998" spans="1:11" ht="13.5" customHeight="1" x14ac:dyDescent="0.25">
      <c r="A998" s="41" t="str">
        <f>_xlfn.XLOOKUP(G998,dd_color!$A$2:$A$8,dd_color!$B$2:$B$8,"",0)</f>
        <v/>
      </c>
      <c r="B998" s="41">
        <f>_xlfn.XLOOKUP(_xlfn.XLOOKUP(C998,'Project Details'!$C$17:$C$10003,'Project Details'!$E$17:$E$10003, "",0),dd_design_raw!$A$2:$A$9997,dd_design_raw!$C$2:$C$9997,"",0)</f>
        <v>0</v>
      </c>
      <c r="C998" s="16"/>
      <c r="D998" s="16" t="str" cm="1">
        <f t="array" ref="D998">IF(C998&lt;&gt;"", _xlfn.IFS(I998="Height SLI",_xlfn.XLOOKUP(C998,'calc_s90&amp;138'!$C$15:$C$1000,'calc_s90&amp;138'!$BJ$15:$BJ$1000,"",0),  I998="Height FIX",_xlfn.XLOOKUP(C998,'calc_s90&amp;138'!$C$15:$C$1000,'calc_s90&amp;138'!$BL$15:$BL$1000,"",0),  I998="Width", _xlfn.XLOOKUP(C998,'calc_s90&amp;138'!$C$15:$C$1000,'calc_s90&amp;138'!$BN$15:$BN$1000,"",0)),"")</f>
        <v/>
      </c>
      <c r="E998" s="16" t="str" cm="1">
        <f t="array" ref="E998">IF(C998&lt;&gt;"", _xlfn.XLOOKUP(1,((SKUs!$A$2:$A$10001=cl_unmerged!B998) * (ISNUMBER(SEARCH("Steel-"&amp;K998,SKUs!$J$2:$J$10001)))), SKUs!$J$2:$J$10001,""),"")  &amp; _xlfn.IFS(I998="Height", ", H",I998="Height SLI", ", H SLI", I998="Height FIX", ", H FIX",I998="Width", ", W", I998="", "")</f>
        <v/>
      </c>
      <c r="F998" s="33" t="str" cm="1">
        <f t="array" ref="F998">_xlfn.XLOOKUP(1,((SKUs!$A$2:$A$10001=cl_unmerged!B998) * (ISNUMBER(SEARCH("Steel-"&amp;K998,SKUs!$J$2:$J$10001)))), SKUs!$C$2:$C$10001,"")</f>
        <v/>
      </c>
      <c r="G998" s="16"/>
      <c r="H998" s="16" t="str" cm="1">
        <f t="array" ref="H998">IF(C998&lt;&gt;"", _xlfn.IFS(I998="Height SLI",_xlfn.XLOOKUP(C998,'calc_s90&amp;138'!$C$15:$C$1000,'calc_s90&amp;138'!$BI$15:$BI$1000,"",0), I998="Height FIX",_xlfn.XLOOKUP(C998,'calc_s90&amp;138'!$C$15:$C$1000,'calc_s90&amp;138'!$BK$15:$BK$1000,"",0), I998="Width", _xlfn.XLOOKUP(C998,'calc_s90&amp;138'!$C$15:$C$1000,'calc_s90&amp;138'!$BM$15:$BM$1000,"",0)),"")</f>
        <v/>
      </c>
      <c r="I998" s="16" t="str">
        <f t="shared" si="22"/>
        <v/>
      </c>
      <c r="K998" s="1" t="str" cm="1">
        <f t="array" ref="K998">IF(C998&lt;&gt;"", _xlfn.XLOOKUP(1,((SKUs!$A$2:$A$10001=cl_unmerged!B998) * (ISNUMBER(SEARCH("Sash",SKUs!$J$2:$J$10001)))), SKUs!$J$2:$J$10001,""),"")</f>
        <v/>
      </c>
    </row>
    <row r="999" spans="1:11" ht="13.5" customHeight="1" x14ac:dyDescent="0.25">
      <c r="A999" s="41" t="str">
        <f>_xlfn.XLOOKUP(G999,dd_color!$A$2:$A$8,dd_color!$B$2:$B$8,"",0)</f>
        <v/>
      </c>
      <c r="B999" s="41">
        <f>_xlfn.XLOOKUP(_xlfn.XLOOKUP(C999,'Project Details'!$C$17:$C$10003,'Project Details'!$E$17:$E$10003, "",0),dd_design_raw!$A$2:$A$9997,dd_design_raw!$C$2:$C$9997,"",0)</f>
        <v>0</v>
      </c>
      <c r="C999" s="16"/>
      <c r="D999" s="16" t="str" cm="1">
        <f t="array" ref="D999">IF(C999&lt;&gt;"", _xlfn.IFS(I999="Height SLI",_xlfn.XLOOKUP(C999,'calc_s90&amp;138'!$C$15:$C$1000,'calc_s90&amp;138'!$BJ$15:$BJ$1000,"",0),  I999="Height FIX",_xlfn.XLOOKUP(C999,'calc_s90&amp;138'!$C$15:$C$1000,'calc_s90&amp;138'!$BL$15:$BL$1000,"",0),  I999="Width", _xlfn.XLOOKUP(C999,'calc_s90&amp;138'!$C$15:$C$1000,'calc_s90&amp;138'!$BN$15:$BN$1000,"",0)),"")</f>
        <v/>
      </c>
      <c r="E999" s="16" t="str" cm="1">
        <f t="array" ref="E999">IF(C999&lt;&gt;"", _xlfn.XLOOKUP(1,((SKUs!$A$2:$A$10001=cl_unmerged!B999) * (ISNUMBER(SEARCH("Steel-"&amp;K999,SKUs!$J$2:$J$10001)))), SKUs!$J$2:$J$10001,""),"")  &amp; _xlfn.IFS(I999="Height", ", H",I999="Height SLI", ", H SLI", I999="Height FIX", ", H FIX",I999="Width", ", W", I999="", "")</f>
        <v/>
      </c>
      <c r="F999" s="33" t="str" cm="1">
        <f t="array" ref="F999">_xlfn.XLOOKUP(1,((SKUs!$A$2:$A$10001=cl_unmerged!B999) * (ISNUMBER(SEARCH("Steel-"&amp;K999,SKUs!$J$2:$J$10001)))), SKUs!$C$2:$C$10001,"")</f>
        <v/>
      </c>
      <c r="G999" s="16"/>
      <c r="H999" s="16" t="str" cm="1">
        <f t="array" ref="H999">IF(C999&lt;&gt;"", _xlfn.IFS(I999="Height SLI",_xlfn.XLOOKUP(C999,'calc_s90&amp;138'!$C$15:$C$1000,'calc_s90&amp;138'!$BI$15:$BI$1000,"",0), I999="Height FIX",_xlfn.XLOOKUP(C999,'calc_s90&amp;138'!$C$15:$C$1000,'calc_s90&amp;138'!$BK$15:$BK$1000,"",0), I999="Width", _xlfn.XLOOKUP(C999,'calc_s90&amp;138'!$C$15:$C$1000,'calc_s90&amp;138'!$BM$15:$BM$1000,"",0)),"")</f>
        <v/>
      </c>
      <c r="I999" s="16" t="str">
        <f t="shared" si="22"/>
        <v/>
      </c>
      <c r="K999" s="1" t="str" cm="1">
        <f t="array" ref="K999">IF(C999&lt;&gt;"", _xlfn.XLOOKUP(1,((SKUs!$A$2:$A$10001=cl_unmerged!B999) * (ISNUMBER(SEARCH("Sash",SKUs!$J$2:$J$10001)))), SKUs!$J$2:$J$10001,""),"")</f>
        <v/>
      </c>
    </row>
    <row r="1000" spans="1:11" ht="13.5" customHeight="1" x14ac:dyDescent="0.25">
      <c r="A1000" s="41" t="str">
        <f>_xlfn.XLOOKUP(G1000,dd_color!$A$2:$A$8,dd_color!$B$2:$B$8,"",0)</f>
        <v/>
      </c>
      <c r="B1000" s="41">
        <f>_xlfn.XLOOKUP(_xlfn.XLOOKUP(C1000,'Project Details'!$C$17:$C$10003,'Project Details'!$E$17:$E$10003, "",0),dd_design_raw!$A$2:$A$9997,dd_design_raw!$C$2:$C$9997,"",0)</f>
        <v>0</v>
      </c>
      <c r="C1000" s="16"/>
      <c r="D1000" s="16" t="str" cm="1">
        <f t="array" ref="D1000">IF(C1000&lt;&gt;"", _xlfn.IFS(I1000="Height SLI",_xlfn.XLOOKUP(C1000,'calc_s90&amp;138'!$C$15:$C$1000,'calc_s90&amp;138'!$BJ$15:$BJ$1000,"",0),  I1000="Height FIX",_xlfn.XLOOKUP(C1000,'calc_s90&amp;138'!$C$15:$C$1000,'calc_s90&amp;138'!$BL$15:$BL$1000,"",0),  I1000="Width", _xlfn.XLOOKUP(C1000,'calc_s90&amp;138'!$C$15:$C$1000,'calc_s90&amp;138'!$BN$15:$BN$1000,"",0)),"")</f>
        <v/>
      </c>
      <c r="E1000" s="16" t="str" cm="1">
        <f t="array" ref="E1000">IF(C1000&lt;&gt;"", _xlfn.XLOOKUP(1,((SKUs!$A$2:$A$10001=cl_unmerged!B1000) * (ISNUMBER(SEARCH("Steel-"&amp;K1000,SKUs!$J$2:$J$10001)))), SKUs!$J$2:$J$10001,""),"")  &amp; _xlfn.IFS(I1000="Height", ", H",I1000="Height SLI", ", H SLI", I1000="Height FIX", ", H FIX",I1000="Width", ", W", I1000="", "")</f>
        <v/>
      </c>
      <c r="F1000" s="33" t="str" cm="1">
        <f t="array" ref="F1000">_xlfn.XLOOKUP(1,((SKUs!$A$2:$A$10001=cl_unmerged!B1000) * (ISNUMBER(SEARCH("Steel-"&amp;K1000,SKUs!$J$2:$J$10001)))), SKUs!$C$2:$C$10001,"")</f>
        <v/>
      </c>
      <c r="G1000" s="16"/>
      <c r="H1000" s="16" t="str" cm="1">
        <f t="array" ref="H1000">IF(C1000&lt;&gt;"", _xlfn.IFS(I1000="Height SLI",_xlfn.XLOOKUP(C1000,'calc_s90&amp;138'!$C$15:$C$1000,'calc_s90&amp;138'!$BI$15:$BI$1000,"",0), I1000="Height FIX",_xlfn.XLOOKUP(C1000,'calc_s90&amp;138'!$C$15:$C$1000,'calc_s90&amp;138'!$BK$15:$BK$1000,"",0), I1000="Width", _xlfn.XLOOKUP(C1000,'calc_s90&amp;138'!$C$15:$C$1000,'calc_s90&amp;138'!$BM$15:$BM$1000,"",0)),"")</f>
        <v/>
      </c>
      <c r="I1000" s="16" t="str">
        <f t="shared" si="22"/>
        <v/>
      </c>
      <c r="K1000" s="1" t="str" cm="1">
        <f t="array" ref="K1000">IF(C1000&lt;&gt;"", _xlfn.XLOOKUP(1,((SKUs!$A$2:$A$10001=cl_unmerged!B1000) * (ISNUMBER(SEARCH("Sash",SKUs!$J$2:$J$10001)))), SKUs!$J$2:$J$10001,""),"")</f>
        <v/>
      </c>
    </row>
    <row r="1001" spans="1:11" ht="13.5" customHeight="1" x14ac:dyDescent="0.25">
      <c r="A1001" s="41" t="str">
        <f>_xlfn.XLOOKUP(G1001,dd_color!$A$2:$A$8,dd_color!$B$2:$B$8,"",0)</f>
        <v/>
      </c>
      <c r="B1001" s="41">
        <f>_xlfn.XLOOKUP(_xlfn.XLOOKUP(C1001,'Project Details'!$C$17:$C$10003,'Project Details'!$E$17:$E$10003, "",0),dd_design_raw!$A$2:$A$9997,dd_design_raw!$C$2:$C$9997,"",0)</f>
        <v>0</v>
      </c>
      <c r="C1001" s="16"/>
      <c r="D1001" s="16" t="str" cm="1">
        <f t="array" ref="D1001">IF(C1001&lt;&gt;"", _xlfn.IFS(I1001="Height SLI",_xlfn.XLOOKUP(C1001,'calc_s90&amp;138'!$C$15:$C$1000,'calc_s90&amp;138'!$BJ$15:$BJ$1000,"",0),  I1001="Height FIX",_xlfn.XLOOKUP(C1001,'calc_s90&amp;138'!$C$15:$C$1000,'calc_s90&amp;138'!$BL$15:$BL$1000,"",0),  I1001="Width", _xlfn.XLOOKUP(C1001,'calc_s90&amp;138'!$C$15:$C$1000,'calc_s90&amp;138'!$BN$15:$BN$1000,"",0)),"")</f>
        <v/>
      </c>
      <c r="E1001" s="16" t="str" cm="1">
        <f t="array" ref="E1001">IF(C1001&lt;&gt;"", _xlfn.XLOOKUP(1,((SKUs!$A$2:$A$10001=cl_unmerged!B1001) * (ISNUMBER(SEARCH("Steel-"&amp;K1001,SKUs!$J$2:$J$10001)))), SKUs!$J$2:$J$10001,""),"")  &amp; _xlfn.IFS(I1001="Height", ", H",I1001="Height SLI", ", H SLI", I1001="Height FIX", ", H FIX",I1001="Width", ", W", I1001="", "")</f>
        <v/>
      </c>
      <c r="F1001" s="33" t="str" cm="1">
        <f t="array" ref="F1001">_xlfn.XLOOKUP(1,((SKUs!$A$2:$A$10001=cl_unmerged!B1001) * (ISNUMBER(SEARCH("Steel-"&amp;K1001,SKUs!$J$2:$J$10001)))), SKUs!$C$2:$C$10001,"")</f>
        <v/>
      </c>
      <c r="G1001" s="16"/>
      <c r="H1001" s="16" t="str" cm="1">
        <f t="array" ref="H1001">IF(C1001&lt;&gt;"", _xlfn.IFS(I1001="Height SLI",_xlfn.XLOOKUP(C1001,'calc_s90&amp;138'!$C$15:$C$1000,'calc_s90&amp;138'!$BI$15:$BI$1000,"",0), I1001="Height FIX",_xlfn.XLOOKUP(C1001,'calc_s90&amp;138'!$C$15:$C$1000,'calc_s90&amp;138'!$BK$15:$BK$1000,"",0), I1001="Width", _xlfn.XLOOKUP(C1001,'calc_s90&amp;138'!$C$15:$C$1000,'calc_s90&amp;138'!$BM$15:$BM$1000,"",0)),"")</f>
        <v/>
      </c>
      <c r="I1001" s="16" t="str">
        <f t="shared" si="22"/>
        <v/>
      </c>
      <c r="K1001" s="1" t="str" cm="1">
        <f t="array" ref="K1001">IF(C1001&lt;&gt;"", _xlfn.XLOOKUP(1,((SKUs!$A$2:$A$10001=cl_unmerged!B1001) * (ISNUMBER(SEARCH("Sash",SKUs!$J$2:$J$10001)))), SKUs!$J$2:$J$10001,""),"")</f>
        <v/>
      </c>
    </row>
    <row r="1002" spans="1:11" ht="13.5" customHeight="1" x14ac:dyDescent="0.25">
      <c r="A1002" s="41" t="str">
        <f>_xlfn.XLOOKUP(G1002,dd_color!$A$2:$A$8,dd_color!$B$2:$B$8,"",0)</f>
        <v/>
      </c>
      <c r="B1002" s="41">
        <f>_xlfn.XLOOKUP(_xlfn.XLOOKUP(C1002,'Project Details'!$C$17:$C$10003,'Project Details'!$E$17:$E$10003, "",0),dd_design_raw!$A$2:$A$9997,dd_design_raw!$C$2:$C$9997,"",0)</f>
        <v>0</v>
      </c>
      <c r="C1002" s="16"/>
      <c r="D1002" s="16" t="str" cm="1">
        <f t="array" ref="D1002">IF(C1002&lt;&gt;"", _xlfn.IFS(I1002="Height SLI",_xlfn.XLOOKUP(C1002,'calc_s90&amp;138'!$C$15:$C$1000,'calc_s90&amp;138'!$BJ$15:$BJ$1000,"",0),  I1002="Height FIX",_xlfn.XLOOKUP(C1002,'calc_s90&amp;138'!$C$15:$C$1000,'calc_s90&amp;138'!$BL$15:$BL$1000,"",0),  I1002="Width", _xlfn.XLOOKUP(C1002,'calc_s90&amp;138'!$C$15:$C$1000,'calc_s90&amp;138'!$BN$15:$BN$1000,"",0)),"")</f>
        <v/>
      </c>
      <c r="E1002" s="16" t="str" cm="1">
        <f t="array" ref="E1002">IF(C1002&lt;&gt;"", _xlfn.XLOOKUP(1,((SKUs!$A$2:$A$10001=cl_unmerged!B1002) * (ISNUMBER(SEARCH("Steel-"&amp;K1002,SKUs!$J$2:$J$10001)))), SKUs!$J$2:$J$10001,""),"")  &amp; _xlfn.IFS(I1002="Height", ", H",I1002="Height SLI", ", H SLI", I1002="Height FIX", ", H FIX",I1002="Width", ", W", I1002="", "")</f>
        <v/>
      </c>
      <c r="F1002" s="33" t="str" cm="1">
        <f t="array" ref="F1002">_xlfn.XLOOKUP(1,((SKUs!$A$2:$A$10001=cl_unmerged!B1002) * (ISNUMBER(SEARCH("Steel-"&amp;K1002,SKUs!$J$2:$J$10001)))), SKUs!$C$2:$C$10001,"")</f>
        <v/>
      </c>
      <c r="G1002" s="16"/>
      <c r="H1002" s="16" t="str" cm="1">
        <f t="array" ref="H1002">IF(C1002&lt;&gt;"", _xlfn.IFS(I1002="Height SLI",_xlfn.XLOOKUP(C1002,'calc_s90&amp;138'!$C$15:$C$1000,'calc_s90&amp;138'!$BI$15:$BI$1000,"",0), I1002="Height FIX",_xlfn.XLOOKUP(C1002,'calc_s90&amp;138'!$C$15:$C$1000,'calc_s90&amp;138'!$BK$15:$BK$1000,"",0), I1002="Width", _xlfn.XLOOKUP(C1002,'calc_s90&amp;138'!$C$15:$C$1000,'calc_s90&amp;138'!$BM$15:$BM$1000,"",0)),"")</f>
        <v/>
      </c>
      <c r="I1002" s="16" t="str">
        <f t="shared" si="22"/>
        <v/>
      </c>
      <c r="K1002" s="1" t="str" cm="1">
        <f t="array" ref="K1002">IF(C1002&lt;&gt;"", _xlfn.XLOOKUP(1,((SKUs!$A$2:$A$10001=cl_unmerged!B1002) * (ISNUMBER(SEARCH("Sash",SKUs!$J$2:$J$10001)))), SKUs!$J$2:$J$10001,""),"")</f>
        <v/>
      </c>
    </row>
    <row r="1003" spans="1:11" ht="13.5" customHeight="1" x14ac:dyDescent="0.25">
      <c r="A1003" s="41" t="str">
        <f>_xlfn.XLOOKUP(G1003,dd_color!$A$2:$A$8,dd_color!$B$2:$B$8,"",0)</f>
        <v/>
      </c>
      <c r="B1003" s="41">
        <f>_xlfn.XLOOKUP(_xlfn.XLOOKUP(C1003,'Project Details'!$C$17:$C$10003,'Project Details'!$E$17:$E$10003, "",0),dd_design_raw!$A$2:$A$9997,dd_design_raw!$C$2:$C$9997,"",0)</f>
        <v>0</v>
      </c>
      <c r="C1003" s="16"/>
      <c r="D1003" s="16" t="str" cm="1">
        <f t="array" ref="D1003">IF(C1003&lt;&gt;"", _xlfn.IFS(I1003="Height SLI",_xlfn.XLOOKUP(C1003,'calc_s90&amp;138'!$C$15:$C$1000,'calc_s90&amp;138'!$BJ$15:$BJ$1000,"",0),  I1003="Height FIX",_xlfn.XLOOKUP(C1003,'calc_s90&amp;138'!$C$15:$C$1000,'calc_s90&amp;138'!$BL$15:$BL$1000,"",0),  I1003="Width", _xlfn.XLOOKUP(C1003,'calc_s90&amp;138'!$C$15:$C$1000,'calc_s90&amp;138'!$BN$15:$BN$1000,"",0)),"")</f>
        <v/>
      </c>
      <c r="E1003" s="16" t="str" cm="1">
        <f t="array" ref="E1003">IF(C1003&lt;&gt;"", _xlfn.XLOOKUP(1,((SKUs!$A$2:$A$10001=cl_unmerged!B1003) * (ISNUMBER(SEARCH("Steel-"&amp;K1003,SKUs!$J$2:$J$10001)))), SKUs!$J$2:$J$10001,""),"")  &amp; _xlfn.IFS(I1003="Height", ", H",I1003="Height SLI", ", H SLI", I1003="Height FIX", ", H FIX",I1003="Width", ", W", I1003="", "")</f>
        <v/>
      </c>
      <c r="F1003" s="33" t="str" cm="1">
        <f t="array" ref="F1003">_xlfn.XLOOKUP(1,((SKUs!$A$2:$A$10001=cl_unmerged!B1003) * (ISNUMBER(SEARCH("Steel-"&amp;K1003,SKUs!$J$2:$J$10001)))), SKUs!$C$2:$C$10001,"")</f>
        <v/>
      </c>
      <c r="G1003" s="16"/>
      <c r="H1003" s="16" t="str" cm="1">
        <f t="array" ref="H1003">IF(C1003&lt;&gt;"", _xlfn.IFS(I1003="Height SLI",_xlfn.XLOOKUP(C1003,'calc_s90&amp;138'!$C$15:$C$1000,'calc_s90&amp;138'!$BI$15:$BI$1000,"",0), I1003="Height FIX",_xlfn.XLOOKUP(C1003,'calc_s90&amp;138'!$C$15:$C$1000,'calc_s90&amp;138'!$BK$15:$BK$1000,"",0), I1003="Width", _xlfn.XLOOKUP(C1003,'calc_s90&amp;138'!$C$15:$C$1000,'calc_s90&amp;138'!$BM$15:$BM$1000,"",0)),"")</f>
        <v/>
      </c>
      <c r="I1003" s="16" t="str">
        <f t="shared" si="22"/>
        <v/>
      </c>
      <c r="K1003" s="1" t="str" cm="1">
        <f t="array" ref="K1003">IF(C1003&lt;&gt;"", _xlfn.XLOOKUP(1,((SKUs!$A$2:$A$10001=cl_unmerged!B1003) * (ISNUMBER(SEARCH("Sash",SKUs!$J$2:$J$10001)))), SKUs!$J$2:$J$10001,""),"")</f>
        <v/>
      </c>
    </row>
    <row r="1004" spans="1:11" ht="13.5" customHeight="1" x14ac:dyDescent="0.25">
      <c r="A1004" s="41" t="str">
        <f>_xlfn.XLOOKUP(G1004,dd_color!$A$2:$A$8,dd_color!$B$2:$B$8,"",0)</f>
        <v/>
      </c>
      <c r="B1004" s="41">
        <f>_xlfn.XLOOKUP(_xlfn.XLOOKUP(C1004,'Project Details'!$C$17:$C$10003,'Project Details'!$E$17:$E$10003, "",0),dd_design_raw!$A$2:$A$9997,dd_design_raw!$C$2:$C$9997,"",0)</f>
        <v>0</v>
      </c>
      <c r="C1004" s="16"/>
      <c r="D1004" s="16" t="str" cm="1">
        <f t="array" ref="D1004">IF(C1004&lt;&gt;"", _xlfn.IFS(I1004="Height SLI",_xlfn.XLOOKUP(C1004,'calc_s90&amp;138'!$C$15:$C$1000,'calc_s90&amp;138'!$BJ$15:$BJ$1000,"",0),  I1004="Height FIX",_xlfn.XLOOKUP(C1004,'calc_s90&amp;138'!$C$15:$C$1000,'calc_s90&amp;138'!$BL$15:$BL$1000,"",0),  I1004="Width", _xlfn.XLOOKUP(C1004,'calc_s90&amp;138'!$C$15:$C$1000,'calc_s90&amp;138'!$BN$15:$BN$1000,"",0)),"")</f>
        <v/>
      </c>
      <c r="E1004" s="16" t="str" cm="1">
        <f t="array" ref="E1004">IF(C1004&lt;&gt;"", _xlfn.XLOOKUP(1,((SKUs!$A$2:$A$10001=cl_unmerged!B1004) * (ISNUMBER(SEARCH("Steel-"&amp;K1004,SKUs!$J$2:$J$10001)))), SKUs!$J$2:$J$10001,""),"")  &amp; _xlfn.IFS(I1004="Height", ", H",I1004="Height SLI", ", H SLI", I1004="Height FIX", ", H FIX",I1004="Width", ", W", I1004="", "")</f>
        <v/>
      </c>
      <c r="F1004" s="33" t="str" cm="1">
        <f t="array" ref="F1004">_xlfn.XLOOKUP(1,((SKUs!$A$2:$A$10001=cl_unmerged!B1004) * (ISNUMBER(SEARCH("Steel-"&amp;K1004,SKUs!$J$2:$J$10001)))), SKUs!$C$2:$C$10001,"")</f>
        <v/>
      </c>
      <c r="G1004" s="16"/>
      <c r="H1004" s="16" t="str" cm="1">
        <f t="array" ref="H1004">IF(C1004&lt;&gt;"", _xlfn.IFS(I1004="Height SLI",_xlfn.XLOOKUP(C1004,'calc_s90&amp;138'!$C$15:$C$1000,'calc_s90&amp;138'!$BI$15:$BI$1000,"",0), I1004="Height FIX",_xlfn.XLOOKUP(C1004,'calc_s90&amp;138'!$C$15:$C$1000,'calc_s90&amp;138'!$BK$15:$BK$1000,"",0), I1004="Width", _xlfn.XLOOKUP(C1004,'calc_s90&amp;138'!$C$15:$C$1000,'calc_s90&amp;138'!$BM$15:$BM$1000,"",0)),"")</f>
        <v/>
      </c>
      <c r="I1004" s="16" t="str">
        <f t="shared" si="22"/>
        <v/>
      </c>
      <c r="K1004" s="1" t="str" cm="1">
        <f t="array" ref="K1004">IF(C1004&lt;&gt;"", _xlfn.XLOOKUP(1,((SKUs!$A$2:$A$10001=cl_unmerged!B1004) * (ISNUMBER(SEARCH("Sash",SKUs!$J$2:$J$10001)))), SKUs!$J$2:$J$10001,""),"")</f>
        <v/>
      </c>
    </row>
    <row r="1005" spans="1:11" ht="13.5" customHeight="1" x14ac:dyDescent="0.25">
      <c r="A1005" s="41" t="str">
        <f>_xlfn.XLOOKUP(G1005,dd_color!$A$2:$A$8,dd_color!$B$2:$B$8,"",0)</f>
        <v/>
      </c>
      <c r="B1005" s="41">
        <f>_xlfn.XLOOKUP(_xlfn.XLOOKUP(C1005,'Project Details'!$C$17:$C$10003,'Project Details'!$E$17:$E$10003, "",0),dd_design_raw!$A$2:$A$9997,dd_design_raw!$C$2:$C$9997,"",0)</f>
        <v>0</v>
      </c>
      <c r="C1005" s="16"/>
      <c r="D1005" s="16" t="str" cm="1">
        <f t="array" ref="D1005">IF(C1005&lt;&gt;"", _xlfn.IFS(I1005="Height SLI",_xlfn.XLOOKUP(C1005,'calc_s90&amp;138'!$C$15:$C$1000,'calc_s90&amp;138'!$BJ$15:$BJ$1000,"",0),  I1005="Height FIX",_xlfn.XLOOKUP(C1005,'calc_s90&amp;138'!$C$15:$C$1000,'calc_s90&amp;138'!$BL$15:$BL$1000,"",0),  I1005="Width", _xlfn.XLOOKUP(C1005,'calc_s90&amp;138'!$C$15:$C$1000,'calc_s90&amp;138'!$BN$15:$BN$1000,"",0)),"")</f>
        <v/>
      </c>
      <c r="E1005" s="16" t="str" cm="1">
        <f t="array" ref="E1005">IF(C1005&lt;&gt;"", _xlfn.XLOOKUP(1,((SKUs!$A$2:$A$10001=cl_unmerged!B1005) * (ISNUMBER(SEARCH("Steel-"&amp;K1005,SKUs!$J$2:$J$10001)))), SKUs!$J$2:$J$10001,""),"")  &amp; _xlfn.IFS(I1005="Height", ", H",I1005="Height SLI", ", H SLI", I1005="Height FIX", ", H FIX",I1005="Width", ", W", I1005="", "")</f>
        <v/>
      </c>
      <c r="F1005" s="33" t="str" cm="1">
        <f t="array" ref="F1005">_xlfn.XLOOKUP(1,((SKUs!$A$2:$A$10001=cl_unmerged!B1005) * (ISNUMBER(SEARCH("Steel-"&amp;K1005,SKUs!$J$2:$J$10001)))), SKUs!$C$2:$C$10001,"")</f>
        <v/>
      </c>
      <c r="G1005" s="16"/>
      <c r="H1005" s="16" t="str" cm="1">
        <f t="array" ref="H1005">IF(C1005&lt;&gt;"", _xlfn.IFS(I1005="Height SLI",_xlfn.XLOOKUP(C1005,'calc_s90&amp;138'!$C$15:$C$1000,'calc_s90&amp;138'!$BI$15:$BI$1000,"",0), I1005="Height FIX",_xlfn.XLOOKUP(C1005,'calc_s90&amp;138'!$C$15:$C$1000,'calc_s90&amp;138'!$BK$15:$BK$1000,"",0), I1005="Width", _xlfn.XLOOKUP(C1005,'calc_s90&amp;138'!$C$15:$C$1000,'calc_s90&amp;138'!$BM$15:$BM$1000,"",0)),"")</f>
        <v/>
      </c>
      <c r="I1005" s="16" t="str">
        <f t="shared" si="22"/>
        <v/>
      </c>
      <c r="K1005" s="1" t="str" cm="1">
        <f t="array" ref="K1005">IF(C1005&lt;&gt;"", _xlfn.XLOOKUP(1,((SKUs!$A$2:$A$10001=cl_unmerged!B1005) * (ISNUMBER(SEARCH("Sash",SKUs!$J$2:$J$10001)))), SKUs!$J$2:$J$10001,""),"")</f>
        <v/>
      </c>
    </row>
    <row r="1006" spans="1:11" ht="13.5" customHeight="1" x14ac:dyDescent="0.25">
      <c r="A1006" s="41" t="str">
        <f>_xlfn.XLOOKUP(G1006,dd_color!$A$2:$A$8,dd_color!$B$2:$B$8,"",0)</f>
        <v/>
      </c>
      <c r="B1006" s="41">
        <f>_xlfn.XLOOKUP(_xlfn.XLOOKUP(C1006,'Project Details'!$C$17:$C$10003,'Project Details'!$E$17:$E$10003, "",0),dd_design_raw!$A$2:$A$9997,dd_design_raw!$C$2:$C$9997,"",0)</f>
        <v>0</v>
      </c>
      <c r="C1006" s="16"/>
      <c r="D1006" s="16" t="str" cm="1">
        <f t="array" ref="D1006">IF(C1006&lt;&gt;"", _xlfn.IFS(I1006="Height SLI",_xlfn.XLOOKUP(C1006,'calc_s90&amp;138'!$C$15:$C$1000,'calc_s90&amp;138'!$BJ$15:$BJ$1000,"",0),  I1006="Height FIX",_xlfn.XLOOKUP(C1006,'calc_s90&amp;138'!$C$15:$C$1000,'calc_s90&amp;138'!$BL$15:$BL$1000,"",0),  I1006="Width", _xlfn.XLOOKUP(C1006,'calc_s90&amp;138'!$C$15:$C$1000,'calc_s90&amp;138'!$BN$15:$BN$1000,"",0)),"")</f>
        <v/>
      </c>
      <c r="E1006" s="16" t="str" cm="1">
        <f t="array" ref="E1006">IF(C1006&lt;&gt;"", _xlfn.XLOOKUP(1,((SKUs!$A$2:$A$10001=cl_unmerged!B1006) * (ISNUMBER(SEARCH("Steel-"&amp;K1006,SKUs!$J$2:$J$10001)))), SKUs!$J$2:$J$10001,""),"")  &amp; _xlfn.IFS(I1006="Height", ", H",I1006="Height SLI", ", H SLI", I1006="Height FIX", ", H FIX",I1006="Width", ", W", I1006="", "")</f>
        <v/>
      </c>
      <c r="F1006" s="33" t="str" cm="1">
        <f t="array" ref="F1006">_xlfn.XLOOKUP(1,((SKUs!$A$2:$A$10001=cl_unmerged!B1006) * (ISNUMBER(SEARCH("Steel-"&amp;K1006,SKUs!$J$2:$J$10001)))), SKUs!$C$2:$C$10001,"")</f>
        <v/>
      </c>
      <c r="G1006" s="16"/>
      <c r="H1006" s="16" t="str" cm="1">
        <f t="array" ref="H1006">IF(C1006&lt;&gt;"", _xlfn.IFS(I1006="Height SLI",_xlfn.XLOOKUP(C1006,'calc_s90&amp;138'!$C$15:$C$1000,'calc_s90&amp;138'!$BI$15:$BI$1000,"",0), I1006="Height FIX",_xlfn.XLOOKUP(C1006,'calc_s90&amp;138'!$C$15:$C$1000,'calc_s90&amp;138'!$BK$15:$BK$1000,"",0), I1006="Width", _xlfn.XLOOKUP(C1006,'calc_s90&amp;138'!$C$15:$C$1000,'calc_s90&amp;138'!$BM$15:$BM$1000,"",0)),"")</f>
        <v/>
      </c>
      <c r="I1006" s="16" t="str">
        <f t="shared" si="22"/>
        <v/>
      </c>
      <c r="K1006" s="1" t="str" cm="1">
        <f t="array" ref="K1006">IF(C1006&lt;&gt;"", _xlfn.XLOOKUP(1,((SKUs!$A$2:$A$10001=cl_unmerged!B1006) * (ISNUMBER(SEARCH("Sash",SKUs!$J$2:$J$10001)))), SKUs!$J$2:$J$10001,""),"")</f>
        <v/>
      </c>
    </row>
    <row r="1007" spans="1:11" ht="13.5" customHeight="1" x14ac:dyDescent="0.25">
      <c r="A1007" s="41" t="str">
        <f>_xlfn.XLOOKUP(G1007,dd_color!$A$2:$A$8,dd_color!$B$2:$B$8,"",0)</f>
        <v/>
      </c>
      <c r="B1007" s="41">
        <f>_xlfn.XLOOKUP(_xlfn.XLOOKUP(C1007,'Project Details'!$C$17:$C$10003,'Project Details'!$E$17:$E$10003, "",0),dd_design_raw!$A$2:$A$9997,dd_design_raw!$C$2:$C$9997,"",0)</f>
        <v>0</v>
      </c>
      <c r="C1007" s="16"/>
      <c r="D1007" s="16" t="str" cm="1">
        <f t="array" ref="D1007">IF(C1007&lt;&gt;"", _xlfn.IFS(I1007="Height SLI",_xlfn.XLOOKUP(C1007,'calc_s90&amp;138'!$C$15:$C$1000,'calc_s90&amp;138'!$BJ$15:$BJ$1000,"",0),  I1007="Height FIX",_xlfn.XLOOKUP(C1007,'calc_s90&amp;138'!$C$15:$C$1000,'calc_s90&amp;138'!$BL$15:$BL$1000,"",0),  I1007="Width", _xlfn.XLOOKUP(C1007,'calc_s90&amp;138'!$C$15:$C$1000,'calc_s90&amp;138'!$BN$15:$BN$1000,"",0)),"")</f>
        <v/>
      </c>
      <c r="E1007" s="16" t="str" cm="1">
        <f t="array" ref="E1007">IF(C1007&lt;&gt;"", _xlfn.XLOOKUP(1,((SKUs!$A$2:$A$10001=cl_unmerged!B1007) * (ISNUMBER(SEARCH("Steel-"&amp;K1007,SKUs!$J$2:$J$10001)))), SKUs!$J$2:$J$10001,""),"")  &amp; _xlfn.IFS(I1007="Height", ", H",I1007="Height SLI", ", H SLI", I1007="Height FIX", ", H FIX",I1007="Width", ", W", I1007="", "")</f>
        <v/>
      </c>
      <c r="F1007" s="33" t="str" cm="1">
        <f t="array" ref="F1007">_xlfn.XLOOKUP(1,((SKUs!$A$2:$A$10001=cl_unmerged!B1007) * (ISNUMBER(SEARCH("Steel-"&amp;K1007,SKUs!$J$2:$J$10001)))), SKUs!$C$2:$C$10001,"")</f>
        <v/>
      </c>
      <c r="G1007" s="16"/>
      <c r="H1007" s="16" t="str" cm="1">
        <f t="array" ref="H1007">IF(C1007&lt;&gt;"", _xlfn.IFS(I1007="Height SLI",_xlfn.XLOOKUP(C1007,'calc_s90&amp;138'!$C$15:$C$1000,'calc_s90&amp;138'!$BI$15:$BI$1000,"",0), I1007="Height FIX",_xlfn.XLOOKUP(C1007,'calc_s90&amp;138'!$C$15:$C$1000,'calc_s90&amp;138'!$BK$15:$BK$1000,"",0), I1007="Width", _xlfn.XLOOKUP(C1007,'calc_s90&amp;138'!$C$15:$C$1000,'calc_s90&amp;138'!$BM$15:$BM$1000,"",0)),"")</f>
        <v/>
      </c>
      <c r="I1007" s="16" t="str">
        <f t="shared" si="22"/>
        <v/>
      </c>
      <c r="K1007" s="1" t="str" cm="1">
        <f t="array" ref="K1007">IF(C1007&lt;&gt;"", _xlfn.XLOOKUP(1,((SKUs!$A$2:$A$10001=cl_unmerged!B1007) * (ISNUMBER(SEARCH("Sash",SKUs!$J$2:$J$10001)))), SKUs!$J$2:$J$10001,""),"")</f>
        <v/>
      </c>
    </row>
    <row r="1008" spans="1:11" ht="13.5" customHeight="1" x14ac:dyDescent="0.25">
      <c r="A1008" s="41" t="str">
        <f>_xlfn.XLOOKUP(G1008,dd_color!$A$2:$A$8,dd_color!$B$2:$B$8,"",0)</f>
        <v/>
      </c>
      <c r="B1008" s="41">
        <f>_xlfn.XLOOKUP(_xlfn.XLOOKUP(C1008,'Project Details'!$C$17:$C$10003,'Project Details'!$E$17:$E$10003, "",0),dd_design_raw!$A$2:$A$9997,dd_design_raw!$C$2:$C$9997,"",0)</f>
        <v>0</v>
      </c>
      <c r="C1008" s="16"/>
      <c r="D1008" s="16" t="str" cm="1">
        <f t="array" ref="D1008">IF(C1008&lt;&gt;"", _xlfn.IFS(I1008="Height SLI",_xlfn.XLOOKUP(C1008,'calc_s90&amp;138'!$C$15:$C$1000,'calc_s90&amp;138'!$BJ$15:$BJ$1000,"",0),  I1008="Height FIX",_xlfn.XLOOKUP(C1008,'calc_s90&amp;138'!$C$15:$C$1000,'calc_s90&amp;138'!$BL$15:$BL$1000,"",0),  I1008="Width", _xlfn.XLOOKUP(C1008,'calc_s90&amp;138'!$C$15:$C$1000,'calc_s90&amp;138'!$BN$15:$BN$1000,"",0)),"")</f>
        <v/>
      </c>
      <c r="E1008" s="16" t="str" cm="1">
        <f t="array" ref="E1008">IF(C1008&lt;&gt;"", _xlfn.XLOOKUP(1,((SKUs!$A$2:$A$10001=cl_unmerged!B1008) * (ISNUMBER(SEARCH("Steel-"&amp;K1008,SKUs!$J$2:$J$10001)))), SKUs!$J$2:$J$10001,""),"")  &amp; _xlfn.IFS(I1008="Height", ", H",I1008="Height SLI", ", H SLI", I1008="Height FIX", ", H FIX",I1008="Width", ", W", I1008="", "")</f>
        <v/>
      </c>
      <c r="F1008" s="33" t="str" cm="1">
        <f t="array" ref="F1008">_xlfn.XLOOKUP(1,((SKUs!$A$2:$A$10001=cl_unmerged!B1008) * (ISNUMBER(SEARCH("Steel-"&amp;K1008,SKUs!$J$2:$J$10001)))), SKUs!$C$2:$C$10001,"")</f>
        <v/>
      </c>
      <c r="G1008" s="16"/>
      <c r="H1008" s="16" t="str" cm="1">
        <f t="array" ref="H1008">IF(C1008&lt;&gt;"", _xlfn.IFS(I1008="Height SLI",_xlfn.XLOOKUP(C1008,'calc_s90&amp;138'!$C$15:$C$1000,'calc_s90&amp;138'!$BI$15:$BI$1000,"",0), I1008="Height FIX",_xlfn.XLOOKUP(C1008,'calc_s90&amp;138'!$C$15:$C$1000,'calc_s90&amp;138'!$BK$15:$BK$1000,"",0), I1008="Width", _xlfn.XLOOKUP(C1008,'calc_s90&amp;138'!$C$15:$C$1000,'calc_s90&amp;138'!$BM$15:$BM$1000,"",0)),"")</f>
        <v/>
      </c>
      <c r="I1008" s="16" t="str">
        <f t="shared" si="22"/>
        <v/>
      </c>
      <c r="K1008" s="1" t="str" cm="1">
        <f t="array" ref="K1008">IF(C1008&lt;&gt;"", _xlfn.XLOOKUP(1,((SKUs!$A$2:$A$10001=cl_unmerged!B1008) * (ISNUMBER(SEARCH("Sash",SKUs!$J$2:$J$10001)))), SKUs!$J$2:$J$10001,""),"")</f>
        <v/>
      </c>
    </row>
    <row r="1009" spans="1:11" ht="13.5" customHeight="1" x14ac:dyDescent="0.25">
      <c r="A1009" s="41" t="str">
        <f>_xlfn.XLOOKUP(G1009,dd_color!$A$2:$A$8,dd_color!$B$2:$B$8,"",0)</f>
        <v/>
      </c>
      <c r="B1009" s="41">
        <f>_xlfn.XLOOKUP(_xlfn.XLOOKUP(C1009,'Project Details'!$C$17:$C$10003,'Project Details'!$E$17:$E$10003, "",0),dd_design_raw!$A$2:$A$9997,dd_design_raw!$C$2:$C$9997,"",0)</f>
        <v>0</v>
      </c>
      <c r="C1009" s="16"/>
      <c r="D1009" s="16" t="str" cm="1">
        <f t="array" ref="D1009">IF(C1009&lt;&gt;"", _xlfn.IFS(I1009="Height SLI",_xlfn.XLOOKUP(C1009,'calc_s90&amp;138'!$C$15:$C$1000,'calc_s90&amp;138'!$BJ$15:$BJ$1000,"",0),  I1009="Height FIX",_xlfn.XLOOKUP(C1009,'calc_s90&amp;138'!$C$15:$C$1000,'calc_s90&amp;138'!$BL$15:$BL$1000,"",0),  I1009="Width", _xlfn.XLOOKUP(C1009,'calc_s90&amp;138'!$C$15:$C$1000,'calc_s90&amp;138'!$BN$15:$BN$1000,"",0)),"")</f>
        <v/>
      </c>
      <c r="E1009" s="16" t="str" cm="1">
        <f t="array" ref="E1009">IF(C1009&lt;&gt;"", _xlfn.XLOOKUP(1,((SKUs!$A$2:$A$10001=cl_unmerged!B1009) * (ISNUMBER(SEARCH("Steel-"&amp;K1009,SKUs!$J$2:$J$10001)))), SKUs!$J$2:$J$10001,""),"")  &amp; _xlfn.IFS(I1009="Height", ", H",I1009="Height SLI", ", H SLI", I1009="Height FIX", ", H FIX",I1009="Width", ", W", I1009="", "")</f>
        <v/>
      </c>
      <c r="F1009" s="33" t="str" cm="1">
        <f t="array" ref="F1009">_xlfn.XLOOKUP(1,((SKUs!$A$2:$A$10001=cl_unmerged!B1009) * (ISNUMBER(SEARCH("Steel-"&amp;K1009,SKUs!$J$2:$J$10001)))), SKUs!$C$2:$C$10001,"")</f>
        <v/>
      </c>
      <c r="G1009" s="16"/>
      <c r="H1009" s="16" t="str" cm="1">
        <f t="array" ref="H1009">IF(C1009&lt;&gt;"", _xlfn.IFS(I1009="Height SLI",_xlfn.XLOOKUP(C1009,'calc_s90&amp;138'!$C$15:$C$1000,'calc_s90&amp;138'!$BI$15:$BI$1000,"",0), I1009="Height FIX",_xlfn.XLOOKUP(C1009,'calc_s90&amp;138'!$C$15:$C$1000,'calc_s90&amp;138'!$BK$15:$BK$1000,"",0), I1009="Width", _xlfn.XLOOKUP(C1009,'calc_s90&amp;138'!$C$15:$C$1000,'calc_s90&amp;138'!$BM$15:$BM$1000,"",0)),"")</f>
        <v/>
      </c>
      <c r="I1009" s="16" t="str">
        <f t="shared" si="22"/>
        <v/>
      </c>
      <c r="K1009" s="1" t="str" cm="1">
        <f t="array" ref="K1009">IF(C1009&lt;&gt;"", _xlfn.XLOOKUP(1,((SKUs!$A$2:$A$10001=cl_unmerged!B1009) * (ISNUMBER(SEARCH("Sash",SKUs!$J$2:$J$10001)))), SKUs!$J$2:$J$10001,""),"")</f>
        <v/>
      </c>
    </row>
    <row r="1010" spans="1:11" ht="13.5" customHeight="1" x14ac:dyDescent="0.25">
      <c r="A1010" s="41" t="str">
        <f>_xlfn.XLOOKUP(G1010,dd_color!$A$2:$A$8,dd_color!$B$2:$B$8,"",0)</f>
        <v/>
      </c>
      <c r="B1010" s="41">
        <f>_xlfn.XLOOKUP(_xlfn.XLOOKUP(C1010,'Project Details'!$C$17:$C$10003,'Project Details'!$E$17:$E$10003, "",0),dd_design_raw!$A$2:$A$9997,dd_design_raw!$C$2:$C$9997,"",0)</f>
        <v>0</v>
      </c>
      <c r="C1010" s="16"/>
      <c r="D1010" s="16" t="str" cm="1">
        <f t="array" ref="D1010">IF(C1010&lt;&gt;"", _xlfn.IFS(I1010="Height SLI",_xlfn.XLOOKUP(C1010,'calc_s90&amp;138'!$C$15:$C$1000,'calc_s90&amp;138'!$BJ$15:$BJ$1000,"",0),  I1010="Height FIX",_xlfn.XLOOKUP(C1010,'calc_s90&amp;138'!$C$15:$C$1000,'calc_s90&amp;138'!$BL$15:$BL$1000,"",0),  I1010="Width", _xlfn.XLOOKUP(C1010,'calc_s90&amp;138'!$C$15:$C$1000,'calc_s90&amp;138'!$BN$15:$BN$1000,"",0)),"")</f>
        <v/>
      </c>
      <c r="E1010" s="16" t="str" cm="1">
        <f t="array" ref="E1010">IF(C1010&lt;&gt;"", _xlfn.XLOOKUP(1,((SKUs!$A$2:$A$10001=cl_unmerged!B1010) * (ISNUMBER(SEARCH("Steel-"&amp;K1010,SKUs!$J$2:$J$10001)))), SKUs!$J$2:$J$10001,""),"")  &amp; _xlfn.IFS(I1010="Height", ", H",I1010="Height SLI", ", H SLI", I1010="Height FIX", ", H FIX",I1010="Width", ", W", I1010="", "")</f>
        <v/>
      </c>
      <c r="F1010" s="33" t="str" cm="1">
        <f t="array" ref="F1010">_xlfn.XLOOKUP(1,((SKUs!$A$2:$A$10001=cl_unmerged!B1010) * (ISNUMBER(SEARCH("Steel-"&amp;K1010,SKUs!$J$2:$J$10001)))), SKUs!$C$2:$C$10001,"")</f>
        <v/>
      </c>
      <c r="G1010" s="16"/>
      <c r="H1010" s="16" t="str" cm="1">
        <f t="array" ref="H1010">IF(C1010&lt;&gt;"", _xlfn.IFS(I1010="Height SLI",_xlfn.XLOOKUP(C1010,'calc_s90&amp;138'!$C$15:$C$1000,'calc_s90&amp;138'!$BI$15:$BI$1000,"",0), I1010="Height FIX",_xlfn.XLOOKUP(C1010,'calc_s90&amp;138'!$C$15:$C$1000,'calc_s90&amp;138'!$BK$15:$BK$1000,"",0), I1010="Width", _xlfn.XLOOKUP(C1010,'calc_s90&amp;138'!$C$15:$C$1000,'calc_s90&amp;138'!$BM$15:$BM$1000,"",0)),"")</f>
        <v/>
      </c>
      <c r="I1010" s="16" t="str">
        <f t="shared" si="22"/>
        <v/>
      </c>
      <c r="K1010" s="1" t="str" cm="1">
        <f t="array" ref="K1010">IF(C1010&lt;&gt;"", _xlfn.XLOOKUP(1,((SKUs!$A$2:$A$10001=cl_unmerged!B1010) * (ISNUMBER(SEARCH("Sash",SKUs!$J$2:$J$10001)))), SKUs!$J$2:$J$10001,""),"")</f>
        <v/>
      </c>
    </row>
    <row r="1011" spans="1:11" ht="13.5" customHeight="1" x14ac:dyDescent="0.25">
      <c r="A1011" s="41" t="str">
        <f>_xlfn.XLOOKUP(G1011,dd_color!$A$2:$A$8,dd_color!$B$2:$B$8,"",0)</f>
        <v/>
      </c>
      <c r="B1011" s="41">
        <f>_xlfn.XLOOKUP(_xlfn.XLOOKUP(C1011,'Project Details'!$C$17:$C$10003,'Project Details'!$E$17:$E$10003, "",0),dd_design_raw!$A$2:$A$9997,dd_design_raw!$C$2:$C$9997,"",0)</f>
        <v>0</v>
      </c>
      <c r="C1011" s="16"/>
      <c r="D1011" s="16" t="str" cm="1">
        <f t="array" ref="D1011">IF(C1011&lt;&gt;"", _xlfn.IFS(I1011="Height SLI",_xlfn.XLOOKUP(C1011,'calc_s90&amp;138'!$C$15:$C$1000,'calc_s90&amp;138'!$BJ$15:$BJ$1000,"",0),  I1011="Height FIX",_xlfn.XLOOKUP(C1011,'calc_s90&amp;138'!$C$15:$C$1000,'calc_s90&amp;138'!$BL$15:$BL$1000,"",0),  I1011="Width", _xlfn.XLOOKUP(C1011,'calc_s90&amp;138'!$C$15:$C$1000,'calc_s90&amp;138'!$BN$15:$BN$1000,"",0)),"")</f>
        <v/>
      </c>
      <c r="E1011" s="16" t="str" cm="1">
        <f t="array" ref="E1011">IF(C1011&lt;&gt;"", _xlfn.XLOOKUP(1,((SKUs!$A$2:$A$10001=cl_unmerged!B1011) * (ISNUMBER(SEARCH("Steel-"&amp;K1011,SKUs!$J$2:$J$10001)))), SKUs!$J$2:$J$10001,""),"")  &amp; _xlfn.IFS(I1011="Height", ", H",I1011="Height SLI", ", H SLI", I1011="Height FIX", ", H FIX",I1011="Width", ", W", I1011="", "")</f>
        <v/>
      </c>
      <c r="F1011" s="33" t="str" cm="1">
        <f t="array" ref="F1011">_xlfn.XLOOKUP(1,((SKUs!$A$2:$A$10001=cl_unmerged!B1011) * (ISNUMBER(SEARCH("Steel-"&amp;K1011,SKUs!$J$2:$J$10001)))), SKUs!$C$2:$C$10001,"")</f>
        <v/>
      </c>
      <c r="G1011" s="16"/>
      <c r="H1011" s="16" t="str" cm="1">
        <f t="array" ref="H1011">IF(C1011&lt;&gt;"", _xlfn.IFS(I1011="Height SLI",_xlfn.XLOOKUP(C1011,'calc_s90&amp;138'!$C$15:$C$1000,'calc_s90&amp;138'!$BI$15:$BI$1000,"",0), I1011="Height FIX",_xlfn.XLOOKUP(C1011,'calc_s90&amp;138'!$C$15:$C$1000,'calc_s90&amp;138'!$BK$15:$BK$1000,"",0), I1011="Width", _xlfn.XLOOKUP(C1011,'calc_s90&amp;138'!$C$15:$C$1000,'calc_s90&amp;138'!$BM$15:$BM$1000,"",0)),"")</f>
        <v/>
      </c>
      <c r="I1011" s="16" t="str">
        <f t="shared" si="22"/>
        <v/>
      </c>
      <c r="K1011" s="1" t="str" cm="1">
        <f t="array" ref="K1011">IF(C1011&lt;&gt;"", _xlfn.XLOOKUP(1,((SKUs!$A$2:$A$10001=cl_unmerged!B1011) * (ISNUMBER(SEARCH("Sash",SKUs!$J$2:$J$10001)))), SKUs!$J$2:$J$10001,""),"")</f>
        <v/>
      </c>
    </row>
    <row r="1012" spans="1:11" ht="13.5" customHeight="1" x14ac:dyDescent="0.25">
      <c r="A1012" s="41" t="str">
        <f>_xlfn.XLOOKUP(G1012,dd_color!$A$2:$A$8,dd_color!$B$2:$B$8,"",0)</f>
        <v/>
      </c>
      <c r="B1012" s="41">
        <f>_xlfn.XLOOKUP(_xlfn.XLOOKUP(C1012,'Project Details'!$C$17:$C$10003,'Project Details'!$E$17:$E$10003, "",0),dd_design_raw!$A$2:$A$9997,dd_design_raw!$C$2:$C$9997,"",0)</f>
        <v>0</v>
      </c>
      <c r="C1012" s="16"/>
      <c r="D1012" s="16" t="str" cm="1">
        <f t="array" ref="D1012">IF(C1012&lt;&gt;"", _xlfn.IFS(I1012="Height SLI",_xlfn.XLOOKUP(C1012,'calc_s90&amp;138'!$C$15:$C$1000,'calc_s90&amp;138'!$BJ$15:$BJ$1000,"",0),  I1012="Height FIX",_xlfn.XLOOKUP(C1012,'calc_s90&amp;138'!$C$15:$C$1000,'calc_s90&amp;138'!$BL$15:$BL$1000,"",0),  I1012="Width", _xlfn.XLOOKUP(C1012,'calc_s90&amp;138'!$C$15:$C$1000,'calc_s90&amp;138'!$BN$15:$BN$1000,"",0)),"")</f>
        <v/>
      </c>
      <c r="E1012" s="16" t="str" cm="1">
        <f t="array" ref="E1012">IF(C1012&lt;&gt;"", _xlfn.XLOOKUP(1,((SKUs!$A$2:$A$10001=cl_unmerged!B1012) * (ISNUMBER(SEARCH("Steel-"&amp;K1012,SKUs!$J$2:$J$10001)))), SKUs!$J$2:$J$10001,""),"")  &amp; _xlfn.IFS(I1012="Height", ", H",I1012="Height SLI", ", H SLI", I1012="Height FIX", ", H FIX",I1012="Width", ", W", I1012="", "")</f>
        <v/>
      </c>
      <c r="F1012" s="33" t="str" cm="1">
        <f t="array" ref="F1012">_xlfn.XLOOKUP(1,((SKUs!$A$2:$A$10001=cl_unmerged!B1012) * (ISNUMBER(SEARCH("Steel-"&amp;K1012,SKUs!$J$2:$J$10001)))), SKUs!$C$2:$C$10001,"")</f>
        <v/>
      </c>
      <c r="G1012" s="16"/>
      <c r="H1012" s="16" t="str" cm="1">
        <f t="array" ref="H1012">IF(C1012&lt;&gt;"", _xlfn.IFS(I1012="Height SLI",_xlfn.XLOOKUP(C1012,'calc_s90&amp;138'!$C$15:$C$1000,'calc_s90&amp;138'!$BI$15:$BI$1000,"",0), I1012="Height FIX",_xlfn.XLOOKUP(C1012,'calc_s90&amp;138'!$C$15:$C$1000,'calc_s90&amp;138'!$BK$15:$BK$1000,"",0), I1012="Width", _xlfn.XLOOKUP(C1012,'calc_s90&amp;138'!$C$15:$C$1000,'calc_s90&amp;138'!$BM$15:$BM$1000,"",0)),"")</f>
        <v/>
      </c>
      <c r="I1012" s="16" t="str">
        <f t="shared" si="22"/>
        <v/>
      </c>
      <c r="K1012" s="1" t="str" cm="1">
        <f t="array" ref="K1012">IF(C1012&lt;&gt;"", _xlfn.XLOOKUP(1,((SKUs!$A$2:$A$10001=cl_unmerged!B1012) * (ISNUMBER(SEARCH("Sash",SKUs!$J$2:$J$10001)))), SKUs!$J$2:$J$10001,""),"")</f>
        <v/>
      </c>
    </row>
    <row r="1013" spans="1:11" ht="13.5" customHeight="1" x14ac:dyDescent="0.25">
      <c r="A1013" s="41" t="str">
        <f>_xlfn.XLOOKUP(G1013,dd_color!$A$2:$A$8,dd_color!$B$2:$B$8,"",0)</f>
        <v/>
      </c>
      <c r="B1013" s="41">
        <f>_xlfn.XLOOKUP(_xlfn.XLOOKUP(C1013,'Project Details'!$C$17:$C$10003,'Project Details'!$E$17:$E$10003, "",0),dd_design_raw!$A$2:$A$9997,dd_design_raw!$C$2:$C$9997,"",0)</f>
        <v>0</v>
      </c>
      <c r="C1013" s="16"/>
      <c r="D1013" s="16" t="str" cm="1">
        <f t="array" ref="D1013">IF(C1013&lt;&gt;"", _xlfn.IFS(I1013="Height SLI",_xlfn.XLOOKUP(C1013,'calc_s90&amp;138'!$C$15:$C$1000,'calc_s90&amp;138'!$BJ$15:$BJ$1000,"",0),  I1013="Height FIX",_xlfn.XLOOKUP(C1013,'calc_s90&amp;138'!$C$15:$C$1000,'calc_s90&amp;138'!$BL$15:$BL$1000,"",0),  I1013="Width", _xlfn.XLOOKUP(C1013,'calc_s90&amp;138'!$C$15:$C$1000,'calc_s90&amp;138'!$BN$15:$BN$1000,"",0)),"")</f>
        <v/>
      </c>
      <c r="E1013" s="16" t="str" cm="1">
        <f t="array" ref="E1013">IF(C1013&lt;&gt;"", _xlfn.XLOOKUP(1,((SKUs!$A$2:$A$10001=cl_unmerged!B1013) * (ISNUMBER(SEARCH("Steel-"&amp;K1013,SKUs!$J$2:$J$10001)))), SKUs!$J$2:$J$10001,""),"")  &amp; _xlfn.IFS(I1013="Height", ", H",I1013="Height SLI", ", H SLI", I1013="Height FIX", ", H FIX",I1013="Width", ", W", I1013="", "")</f>
        <v/>
      </c>
      <c r="F1013" s="33" t="str" cm="1">
        <f t="array" ref="F1013">_xlfn.XLOOKUP(1,((SKUs!$A$2:$A$10001=cl_unmerged!B1013) * (ISNUMBER(SEARCH("Steel-"&amp;K1013,SKUs!$J$2:$J$10001)))), SKUs!$C$2:$C$10001,"")</f>
        <v/>
      </c>
      <c r="G1013" s="16"/>
      <c r="H1013" s="16" t="str" cm="1">
        <f t="array" ref="H1013">IF(C1013&lt;&gt;"", _xlfn.IFS(I1013="Height SLI",_xlfn.XLOOKUP(C1013,'calc_s90&amp;138'!$C$15:$C$1000,'calc_s90&amp;138'!$BI$15:$BI$1000,"",0), I1013="Height FIX",_xlfn.XLOOKUP(C1013,'calc_s90&amp;138'!$C$15:$C$1000,'calc_s90&amp;138'!$BK$15:$BK$1000,"",0), I1013="Width", _xlfn.XLOOKUP(C1013,'calc_s90&amp;138'!$C$15:$C$1000,'calc_s90&amp;138'!$BM$15:$BM$1000,"",0)),"")</f>
        <v/>
      </c>
      <c r="I1013" s="16" t="str">
        <f t="shared" si="22"/>
        <v/>
      </c>
      <c r="K1013" s="1" t="str" cm="1">
        <f t="array" ref="K1013">IF(C1013&lt;&gt;"", _xlfn.XLOOKUP(1,((SKUs!$A$2:$A$10001=cl_unmerged!B1013) * (ISNUMBER(SEARCH("Sash",SKUs!$J$2:$J$10001)))), SKUs!$J$2:$J$10001,""),"")</f>
        <v/>
      </c>
    </row>
    <row r="1014" spans="1:11" ht="13.5" customHeight="1" x14ac:dyDescent="0.25">
      <c r="A1014" s="41" t="str">
        <f>_xlfn.XLOOKUP(G1014,dd_color!$A$2:$A$8,dd_color!$B$2:$B$8,"",0)</f>
        <v/>
      </c>
      <c r="B1014" s="41">
        <f>_xlfn.XLOOKUP(_xlfn.XLOOKUP(C1014,'Project Details'!$C$17:$C$10003,'Project Details'!$E$17:$E$10003, "",0),dd_design_raw!$A$2:$A$9997,dd_design_raw!$C$2:$C$9997,"",0)</f>
        <v>0</v>
      </c>
      <c r="C1014" s="16"/>
      <c r="D1014" s="16" t="str" cm="1">
        <f t="array" ref="D1014">IF(C1014&lt;&gt;"", _xlfn.IFS(I1014="Height SLI",_xlfn.XLOOKUP(C1014,'calc_s90&amp;138'!$C$15:$C$1000,'calc_s90&amp;138'!$BJ$15:$BJ$1000,"",0),  I1014="Height FIX",_xlfn.XLOOKUP(C1014,'calc_s90&amp;138'!$C$15:$C$1000,'calc_s90&amp;138'!$BL$15:$BL$1000,"",0),  I1014="Width", _xlfn.XLOOKUP(C1014,'calc_s90&amp;138'!$C$15:$C$1000,'calc_s90&amp;138'!$BN$15:$BN$1000,"",0)),"")</f>
        <v/>
      </c>
      <c r="E1014" s="16" t="str" cm="1">
        <f t="array" ref="E1014">IF(C1014&lt;&gt;"", _xlfn.XLOOKUP(1,((SKUs!$A$2:$A$10001=cl_unmerged!B1014) * (ISNUMBER(SEARCH("Steel-"&amp;K1014,SKUs!$J$2:$J$10001)))), SKUs!$J$2:$J$10001,""),"")  &amp; _xlfn.IFS(I1014="Height", ", H",I1014="Height SLI", ", H SLI", I1014="Height FIX", ", H FIX",I1014="Width", ", W", I1014="", "")</f>
        <v/>
      </c>
      <c r="F1014" s="33" t="str" cm="1">
        <f t="array" ref="F1014">_xlfn.XLOOKUP(1,((SKUs!$A$2:$A$10001=cl_unmerged!B1014) * (ISNUMBER(SEARCH("Steel-"&amp;K1014,SKUs!$J$2:$J$10001)))), SKUs!$C$2:$C$10001,"")</f>
        <v/>
      </c>
      <c r="G1014" s="16"/>
      <c r="H1014" s="16" t="str" cm="1">
        <f t="array" ref="H1014">IF(C1014&lt;&gt;"", _xlfn.IFS(I1014="Height SLI",_xlfn.XLOOKUP(C1014,'calc_s90&amp;138'!$C$15:$C$1000,'calc_s90&amp;138'!$BI$15:$BI$1000,"",0), I1014="Height FIX",_xlfn.XLOOKUP(C1014,'calc_s90&amp;138'!$C$15:$C$1000,'calc_s90&amp;138'!$BK$15:$BK$1000,"",0), I1014="Width", _xlfn.XLOOKUP(C1014,'calc_s90&amp;138'!$C$15:$C$1000,'calc_s90&amp;138'!$BM$15:$BM$1000,"",0)),"")</f>
        <v/>
      </c>
      <c r="I1014" s="16" t="str">
        <f t="shared" si="22"/>
        <v/>
      </c>
      <c r="K1014" s="1" t="str" cm="1">
        <f t="array" ref="K1014">IF(C1014&lt;&gt;"", _xlfn.XLOOKUP(1,((SKUs!$A$2:$A$10001=cl_unmerged!B1014) * (ISNUMBER(SEARCH("Sash",SKUs!$J$2:$J$10001)))), SKUs!$J$2:$J$10001,""),"")</f>
        <v/>
      </c>
    </row>
    <row r="1015" spans="1:11" ht="13.5" customHeight="1" x14ac:dyDescent="0.25">
      <c r="A1015" s="41" t="str">
        <f>_xlfn.XLOOKUP(G1015,dd_color!$A$2:$A$8,dd_color!$B$2:$B$8,"",0)</f>
        <v/>
      </c>
      <c r="B1015" s="41">
        <f>_xlfn.XLOOKUP(_xlfn.XLOOKUP(C1015,'Project Details'!$C$17:$C$10003,'Project Details'!$E$17:$E$10003, "",0),dd_design_raw!$A$2:$A$9997,dd_design_raw!$C$2:$C$9997,"",0)</f>
        <v>0</v>
      </c>
      <c r="C1015" s="16"/>
      <c r="D1015" s="16" t="str" cm="1">
        <f t="array" ref="D1015">IF(C1015&lt;&gt;"", _xlfn.IFS(I1015="Height SLI",_xlfn.XLOOKUP(C1015,'calc_s90&amp;138'!$C$15:$C$1000,'calc_s90&amp;138'!$BJ$15:$BJ$1000,"",0),  I1015="Height FIX",_xlfn.XLOOKUP(C1015,'calc_s90&amp;138'!$C$15:$C$1000,'calc_s90&amp;138'!$BL$15:$BL$1000,"",0),  I1015="Width", _xlfn.XLOOKUP(C1015,'calc_s90&amp;138'!$C$15:$C$1000,'calc_s90&amp;138'!$BN$15:$BN$1000,"",0)),"")</f>
        <v/>
      </c>
      <c r="E1015" s="16" t="str" cm="1">
        <f t="array" ref="E1015">IF(C1015&lt;&gt;"", _xlfn.XLOOKUP(1,((SKUs!$A$2:$A$10001=cl_unmerged!B1015) * (ISNUMBER(SEARCH("Steel-"&amp;K1015,SKUs!$J$2:$J$10001)))), SKUs!$J$2:$J$10001,""),"")  &amp; _xlfn.IFS(I1015="Height", ", H",I1015="Height SLI", ", H SLI", I1015="Height FIX", ", H FIX",I1015="Width", ", W", I1015="", "")</f>
        <v/>
      </c>
      <c r="F1015" s="33" t="str" cm="1">
        <f t="array" ref="F1015">_xlfn.XLOOKUP(1,((SKUs!$A$2:$A$10001=cl_unmerged!B1015) * (ISNUMBER(SEARCH("Steel-"&amp;K1015,SKUs!$J$2:$J$10001)))), SKUs!$C$2:$C$10001,"")</f>
        <v/>
      </c>
      <c r="G1015" s="16"/>
      <c r="H1015" s="16" t="str" cm="1">
        <f t="array" ref="H1015">IF(C1015&lt;&gt;"", _xlfn.IFS(I1015="Height SLI",_xlfn.XLOOKUP(C1015,'calc_s90&amp;138'!$C$15:$C$1000,'calc_s90&amp;138'!$BI$15:$BI$1000,"",0), I1015="Height FIX",_xlfn.XLOOKUP(C1015,'calc_s90&amp;138'!$C$15:$C$1000,'calc_s90&amp;138'!$BK$15:$BK$1000,"",0), I1015="Width", _xlfn.XLOOKUP(C1015,'calc_s90&amp;138'!$C$15:$C$1000,'calc_s90&amp;138'!$BM$15:$BM$1000,"",0)),"")</f>
        <v/>
      </c>
      <c r="I1015" s="16" t="str">
        <f t="shared" si="22"/>
        <v/>
      </c>
      <c r="K1015" s="1" t="str" cm="1">
        <f t="array" ref="K1015">IF(C1015&lt;&gt;"", _xlfn.XLOOKUP(1,((SKUs!$A$2:$A$10001=cl_unmerged!B1015) * (ISNUMBER(SEARCH("Sash",SKUs!$J$2:$J$10001)))), SKUs!$J$2:$J$10001,""),"")</f>
        <v/>
      </c>
    </row>
    <row r="1016" spans="1:11" ht="13.5" customHeight="1" x14ac:dyDescent="0.25">
      <c r="A1016" s="41" t="str">
        <f>_xlfn.XLOOKUP(G1016,dd_color!$A$2:$A$8,dd_color!$B$2:$B$8,"",0)</f>
        <v/>
      </c>
      <c r="B1016" s="41">
        <f>_xlfn.XLOOKUP(_xlfn.XLOOKUP(C1016,'Project Details'!$C$17:$C$10003,'Project Details'!$E$17:$E$10003, "",0),dd_design_raw!$A$2:$A$9997,dd_design_raw!$C$2:$C$9997,"",0)</f>
        <v>0</v>
      </c>
      <c r="C1016" s="16"/>
      <c r="D1016" s="16" t="str" cm="1">
        <f t="array" ref="D1016">IF(C1016&lt;&gt;"", _xlfn.IFS(I1016="Height SLI",_xlfn.XLOOKUP(C1016,'calc_s90&amp;138'!$C$15:$C$1000,'calc_s90&amp;138'!$BJ$15:$BJ$1000,"",0),  I1016="Height FIX",_xlfn.XLOOKUP(C1016,'calc_s90&amp;138'!$C$15:$C$1000,'calc_s90&amp;138'!$BL$15:$BL$1000,"",0),  I1016="Width", _xlfn.XLOOKUP(C1016,'calc_s90&amp;138'!$C$15:$C$1000,'calc_s90&amp;138'!$BN$15:$BN$1000,"",0)),"")</f>
        <v/>
      </c>
      <c r="E1016" s="16" t="str" cm="1">
        <f t="array" ref="E1016">IF(C1016&lt;&gt;"", _xlfn.XLOOKUP(1,((SKUs!$A$2:$A$10001=cl_unmerged!B1016) * (ISNUMBER(SEARCH("Steel-"&amp;K1016,SKUs!$J$2:$J$10001)))), SKUs!$J$2:$J$10001,""),"")  &amp; _xlfn.IFS(I1016="Height", ", H",I1016="Height SLI", ", H SLI", I1016="Height FIX", ", H FIX",I1016="Width", ", W", I1016="", "")</f>
        <v/>
      </c>
      <c r="F1016" s="33" t="str" cm="1">
        <f t="array" ref="F1016">_xlfn.XLOOKUP(1,((SKUs!$A$2:$A$10001=cl_unmerged!B1016) * (ISNUMBER(SEARCH("Steel-"&amp;K1016,SKUs!$J$2:$J$10001)))), SKUs!$C$2:$C$10001,"")</f>
        <v/>
      </c>
      <c r="G1016" s="16"/>
      <c r="H1016" s="16" t="str" cm="1">
        <f t="array" ref="H1016">IF(C1016&lt;&gt;"", _xlfn.IFS(I1016="Height SLI",_xlfn.XLOOKUP(C1016,'calc_s90&amp;138'!$C$15:$C$1000,'calc_s90&amp;138'!$BI$15:$BI$1000,"",0), I1016="Height FIX",_xlfn.XLOOKUP(C1016,'calc_s90&amp;138'!$C$15:$C$1000,'calc_s90&amp;138'!$BK$15:$BK$1000,"",0), I1016="Width", _xlfn.XLOOKUP(C1016,'calc_s90&amp;138'!$C$15:$C$1000,'calc_s90&amp;138'!$BM$15:$BM$1000,"",0)),"")</f>
        <v/>
      </c>
      <c r="I1016" s="16" t="str">
        <f t="shared" si="22"/>
        <v/>
      </c>
      <c r="K1016" s="1" t="str" cm="1">
        <f t="array" ref="K1016">IF(C1016&lt;&gt;"", _xlfn.XLOOKUP(1,((SKUs!$A$2:$A$10001=cl_unmerged!B1016) * (ISNUMBER(SEARCH("Sash",SKUs!$J$2:$J$10001)))), SKUs!$J$2:$J$10001,""),"")</f>
        <v/>
      </c>
    </row>
    <row r="1017" spans="1:11" ht="13.5" customHeight="1" x14ac:dyDescent="0.25">
      <c r="A1017" s="41" t="str">
        <f>_xlfn.XLOOKUP(G1017,dd_color!$A$2:$A$8,dd_color!$B$2:$B$8,"",0)</f>
        <v/>
      </c>
      <c r="B1017" s="41">
        <f>_xlfn.XLOOKUP(_xlfn.XLOOKUP(C1017,'Project Details'!$C$17:$C$10003,'Project Details'!$E$17:$E$10003, "",0),dd_design_raw!$A$2:$A$9997,dd_design_raw!$C$2:$C$9997,"",0)</f>
        <v>0</v>
      </c>
      <c r="C1017" s="16"/>
      <c r="D1017" s="16" t="str" cm="1">
        <f t="array" ref="D1017">IF(C1017&lt;&gt;"", _xlfn.IFS(I1017="Height SLI",_xlfn.XLOOKUP(C1017,'calc_s90&amp;138'!$C$15:$C$1000,'calc_s90&amp;138'!$BJ$15:$BJ$1000,"",0),  I1017="Height FIX",_xlfn.XLOOKUP(C1017,'calc_s90&amp;138'!$C$15:$C$1000,'calc_s90&amp;138'!$BL$15:$BL$1000,"",0),  I1017="Width", _xlfn.XLOOKUP(C1017,'calc_s90&amp;138'!$C$15:$C$1000,'calc_s90&amp;138'!$BN$15:$BN$1000,"",0)),"")</f>
        <v/>
      </c>
      <c r="E1017" s="16" t="str" cm="1">
        <f t="array" ref="E1017">IF(C1017&lt;&gt;"", _xlfn.XLOOKUP(1,((SKUs!$A$2:$A$10001=cl_unmerged!B1017) * (ISNUMBER(SEARCH("Steel-"&amp;K1017,SKUs!$J$2:$J$10001)))), SKUs!$J$2:$J$10001,""),"")  &amp; _xlfn.IFS(I1017="Height", ", H",I1017="Height SLI", ", H SLI", I1017="Height FIX", ", H FIX",I1017="Width", ", W", I1017="", "")</f>
        <v/>
      </c>
      <c r="F1017" s="33" t="str" cm="1">
        <f t="array" ref="F1017">_xlfn.XLOOKUP(1,((SKUs!$A$2:$A$10001=cl_unmerged!B1017) * (ISNUMBER(SEARCH("Steel-"&amp;K1017,SKUs!$J$2:$J$10001)))), SKUs!$C$2:$C$10001,"")</f>
        <v/>
      </c>
      <c r="G1017" s="16"/>
      <c r="H1017" s="16" t="str" cm="1">
        <f t="array" ref="H1017">IF(C1017&lt;&gt;"", _xlfn.IFS(I1017="Height SLI",_xlfn.XLOOKUP(C1017,'calc_s90&amp;138'!$C$15:$C$1000,'calc_s90&amp;138'!$BI$15:$BI$1000,"",0), I1017="Height FIX",_xlfn.XLOOKUP(C1017,'calc_s90&amp;138'!$C$15:$C$1000,'calc_s90&amp;138'!$BK$15:$BK$1000,"",0), I1017="Width", _xlfn.XLOOKUP(C1017,'calc_s90&amp;138'!$C$15:$C$1000,'calc_s90&amp;138'!$BM$15:$BM$1000,"",0)),"")</f>
        <v/>
      </c>
      <c r="I1017" s="16" t="str">
        <f t="shared" si="22"/>
        <v/>
      </c>
      <c r="K1017" s="1" t="str" cm="1">
        <f t="array" ref="K1017">IF(C1017&lt;&gt;"", _xlfn.XLOOKUP(1,((SKUs!$A$2:$A$10001=cl_unmerged!B1017) * (ISNUMBER(SEARCH("Sash",SKUs!$J$2:$J$10001)))), SKUs!$J$2:$J$10001,""),"")</f>
        <v/>
      </c>
    </row>
    <row r="1018" spans="1:11" ht="13.5" customHeight="1" x14ac:dyDescent="0.25">
      <c r="A1018" s="41" t="str">
        <f>_xlfn.XLOOKUP(G1018,dd_color!$A$2:$A$8,dd_color!$B$2:$B$8,"",0)</f>
        <v/>
      </c>
      <c r="B1018" s="41">
        <f>_xlfn.XLOOKUP(_xlfn.XLOOKUP(C1018,'Project Details'!$C$17:$C$10003,'Project Details'!$E$17:$E$10003, "",0),dd_design_raw!$A$2:$A$9997,dd_design_raw!$C$2:$C$9997,"",0)</f>
        <v>0</v>
      </c>
      <c r="C1018" s="16"/>
      <c r="D1018" s="16" t="str" cm="1">
        <f t="array" ref="D1018">IF(C1018&lt;&gt;"", _xlfn.IFS(I1018="Height SLI",_xlfn.XLOOKUP(C1018,'calc_s90&amp;138'!$C$15:$C$1000,'calc_s90&amp;138'!$BJ$15:$BJ$1000,"",0),  I1018="Height FIX",_xlfn.XLOOKUP(C1018,'calc_s90&amp;138'!$C$15:$C$1000,'calc_s90&amp;138'!$BL$15:$BL$1000,"",0),  I1018="Width", _xlfn.XLOOKUP(C1018,'calc_s90&amp;138'!$C$15:$C$1000,'calc_s90&amp;138'!$BN$15:$BN$1000,"",0)),"")</f>
        <v/>
      </c>
      <c r="E1018" s="16" t="str" cm="1">
        <f t="array" ref="E1018">IF(C1018&lt;&gt;"", _xlfn.XLOOKUP(1,((SKUs!$A$2:$A$10001=cl_unmerged!B1018) * (ISNUMBER(SEARCH("Steel-"&amp;K1018,SKUs!$J$2:$J$10001)))), SKUs!$J$2:$J$10001,""),"")  &amp; _xlfn.IFS(I1018="Height", ", H",I1018="Height SLI", ", H SLI", I1018="Height FIX", ", H FIX",I1018="Width", ", W", I1018="", "")</f>
        <v/>
      </c>
      <c r="F1018" s="33" t="str" cm="1">
        <f t="array" ref="F1018">_xlfn.XLOOKUP(1,((SKUs!$A$2:$A$10001=cl_unmerged!B1018) * (ISNUMBER(SEARCH("Steel-"&amp;K1018,SKUs!$J$2:$J$10001)))), SKUs!$C$2:$C$10001,"")</f>
        <v/>
      </c>
      <c r="G1018" s="16"/>
      <c r="H1018" s="16" t="str" cm="1">
        <f t="array" ref="H1018">IF(C1018&lt;&gt;"", _xlfn.IFS(I1018="Height SLI",_xlfn.XLOOKUP(C1018,'calc_s90&amp;138'!$C$15:$C$1000,'calc_s90&amp;138'!$BI$15:$BI$1000,"",0), I1018="Height FIX",_xlfn.XLOOKUP(C1018,'calc_s90&amp;138'!$C$15:$C$1000,'calc_s90&amp;138'!$BK$15:$BK$1000,"",0), I1018="Width", _xlfn.XLOOKUP(C1018,'calc_s90&amp;138'!$C$15:$C$1000,'calc_s90&amp;138'!$BM$15:$BM$1000,"",0)),"")</f>
        <v/>
      </c>
      <c r="I1018" s="16" t="str">
        <f t="shared" si="22"/>
        <v/>
      </c>
      <c r="K1018" s="1" t="str" cm="1">
        <f t="array" ref="K1018">IF(C1018&lt;&gt;"", _xlfn.XLOOKUP(1,((SKUs!$A$2:$A$10001=cl_unmerged!B1018) * (ISNUMBER(SEARCH("Sash",SKUs!$J$2:$J$10001)))), SKUs!$J$2:$J$10001,""),"")</f>
        <v/>
      </c>
    </row>
    <row r="1019" spans="1:11" ht="13.5" customHeight="1" x14ac:dyDescent="0.25">
      <c r="A1019" s="41" t="str">
        <f>_xlfn.XLOOKUP(G1019,dd_color!$A$2:$A$8,dd_color!$B$2:$B$8,"",0)</f>
        <v/>
      </c>
      <c r="B1019" s="41">
        <f>_xlfn.XLOOKUP(_xlfn.XLOOKUP(C1019,'Project Details'!$C$17:$C$10003,'Project Details'!$E$17:$E$10003, "",0),dd_design_raw!$A$2:$A$9997,dd_design_raw!$C$2:$C$9997,"",0)</f>
        <v>0</v>
      </c>
      <c r="C1019" s="16"/>
      <c r="D1019" s="16" t="str" cm="1">
        <f t="array" ref="D1019">IF(C1019&lt;&gt;"", _xlfn.IFS(I1019="Height SLI",_xlfn.XLOOKUP(C1019,'calc_s90&amp;138'!$C$15:$C$1000,'calc_s90&amp;138'!$BJ$15:$BJ$1000,"",0),  I1019="Height FIX",_xlfn.XLOOKUP(C1019,'calc_s90&amp;138'!$C$15:$C$1000,'calc_s90&amp;138'!$BL$15:$BL$1000,"",0),  I1019="Width", _xlfn.XLOOKUP(C1019,'calc_s90&amp;138'!$C$15:$C$1000,'calc_s90&amp;138'!$BN$15:$BN$1000,"",0)),"")</f>
        <v/>
      </c>
      <c r="E1019" s="16" t="str" cm="1">
        <f t="array" ref="E1019">IF(C1019&lt;&gt;"", _xlfn.XLOOKUP(1,((SKUs!$A$2:$A$10001=cl_unmerged!B1019) * (ISNUMBER(SEARCH("Steel-"&amp;K1019,SKUs!$J$2:$J$10001)))), SKUs!$J$2:$J$10001,""),"")  &amp; _xlfn.IFS(I1019="Height", ", H",I1019="Height SLI", ", H SLI", I1019="Height FIX", ", H FIX",I1019="Width", ", W", I1019="", "")</f>
        <v/>
      </c>
      <c r="F1019" s="33" t="str" cm="1">
        <f t="array" ref="F1019">_xlfn.XLOOKUP(1,((SKUs!$A$2:$A$10001=cl_unmerged!B1019) * (ISNUMBER(SEARCH("Steel-"&amp;K1019,SKUs!$J$2:$J$10001)))), SKUs!$C$2:$C$10001,"")</f>
        <v/>
      </c>
      <c r="G1019" s="16"/>
      <c r="H1019" s="16" t="str" cm="1">
        <f t="array" ref="H1019">IF(C1019&lt;&gt;"", _xlfn.IFS(I1019="Height SLI",_xlfn.XLOOKUP(C1019,'calc_s90&amp;138'!$C$15:$C$1000,'calc_s90&amp;138'!$BI$15:$BI$1000,"",0), I1019="Height FIX",_xlfn.XLOOKUP(C1019,'calc_s90&amp;138'!$C$15:$C$1000,'calc_s90&amp;138'!$BK$15:$BK$1000,"",0), I1019="Width", _xlfn.XLOOKUP(C1019,'calc_s90&amp;138'!$C$15:$C$1000,'calc_s90&amp;138'!$BM$15:$BM$1000,"",0)),"")</f>
        <v/>
      </c>
      <c r="I1019" s="16" t="str">
        <f t="shared" si="22"/>
        <v/>
      </c>
      <c r="K1019" s="1" t="str" cm="1">
        <f t="array" ref="K1019">IF(C1019&lt;&gt;"", _xlfn.XLOOKUP(1,((SKUs!$A$2:$A$10001=cl_unmerged!B1019) * (ISNUMBER(SEARCH("Sash",SKUs!$J$2:$J$10001)))), SKUs!$J$2:$J$10001,""),"")</f>
        <v/>
      </c>
    </row>
    <row r="1020" spans="1:11" ht="13.5" customHeight="1" x14ac:dyDescent="0.25">
      <c r="A1020" s="41" t="str">
        <f>_xlfn.XLOOKUP(G1020,dd_color!$A$2:$A$8,dd_color!$B$2:$B$8,"",0)</f>
        <v/>
      </c>
      <c r="B1020" s="41">
        <f>_xlfn.XLOOKUP(_xlfn.XLOOKUP(C1020,'Project Details'!$C$17:$C$10003,'Project Details'!$E$17:$E$10003, "",0),dd_design_raw!$A$2:$A$9997,dd_design_raw!$C$2:$C$9997,"",0)</f>
        <v>0</v>
      </c>
      <c r="C1020" s="16"/>
      <c r="D1020" s="16" t="str" cm="1">
        <f t="array" ref="D1020">IF(C1020&lt;&gt;"", _xlfn.IFS(I1020="Height SLI",_xlfn.XLOOKUP(C1020,'calc_s90&amp;138'!$C$15:$C$1000,'calc_s90&amp;138'!$BJ$15:$BJ$1000,"",0),  I1020="Height FIX",_xlfn.XLOOKUP(C1020,'calc_s90&amp;138'!$C$15:$C$1000,'calc_s90&amp;138'!$BL$15:$BL$1000,"",0),  I1020="Width", _xlfn.XLOOKUP(C1020,'calc_s90&amp;138'!$C$15:$C$1000,'calc_s90&amp;138'!$BN$15:$BN$1000,"",0)),"")</f>
        <v/>
      </c>
      <c r="E1020" s="16" t="str" cm="1">
        <f t="array" ref="E1020">IF(C1020&lt;&gt;"", _xlfn.XLOOKUP(1,((SKUs!$A$2:$A$10001=cl_unmerged!B1020) * (ISNUMBER(SEARCH("Steel-"&amp;K1020,SKUs!$J$2:$J$10001)))), SKUs!$J$2:$J$10001,""),"")  &amp; _xlfn.IFS(I1020="Height", ", H",I1020="Height SLI", ", H SLI", I1020="Height FIX", ", H FIX",I1020="Width", ", W", I1020="", "")</f>
        <v/>
      </c>
      <c r="F1020" s="33" t="str" cm="1">
        <f t="array" ref="F1020">_xlfn.XLOOKUP(1,((SKUs!$A$2:$A$10001=cl_unmerged!B1020) * (ISNUMBER(SEARCH("Steel-"&amp;K1020,SKUs!$J$2:$J$10001)))), SKUs!$C$2:$C$10001,"")</f>
        <v/>
      </c>
      <c r="G1020" s="16"/>
      <c r="H1020" s="16" t="str" cm="1">
        <f t="array" ref="H1020">IF(C1020&lt;&gt;"", _xlfn.IFS(I1020="Height SLI",_xlfn.XLOOKUP(C1020,'calc_s90&amp;138'!$C$15:$C$1000,'calc_s90&amp;138'!$BI$15:$BI$1000,"",0), I1020="Height FIX",_xlfn.XLOOKUP(C1020,'calc_s90&amp;138'!$C$15:$C$1000,'calc_s90&amp;138'!$BK$15:$BK$1000,"",0), I1020="Width", _xlfn.XLOOKUP(C1020,'calc_s90&amp;138'!$C$15:$C$1000,'calc_s90&amp;138'!$BM$15:$BM$1000,"",0)),"")</f>
        <v/>
      </c>
      <c r="I1020" s="16" t="str">
        <f t="shared" si="22"/>
        <v/>
      </c>
      <c r="K1020" s="1" t="str" cm="1">
        <f t="array" ref="K1020">IF(C1020&lt;&gt;"", _xlfn.XLOOKUP(1,((SKUs!$A$2:$A$10001=cl_unmerged!B1020) * (ISNUMBER(SEARCH("Sash",SKUs!$J$2:$J$10001)))), SKUs!$J$2:$J$10001,""),"")</f>
        <v/>
      </c>
    </row>
    <row r="1021" spans="1:11" ht="13.5" customHeight="1" x14ac:dyDescent="0.25">
      <c r="A1021" s="41" t="str">
        <f>_xlfn.XLOOKUP(G1021,dd_color!$A$2:$A$8,dd_color!$B$2:$B$8,"",0)</f>
        <v/>
      </c>
      <c r="B1021" s="41">
        <f>_xlfn.XLOOKUP(_xlfn.XLOOKUP(C1021,'Project Details'!$C$17:$C$10003,'Project Details'!$E$17:$E$10003, "",0),dd_design_raw!$A$2:$A$9997,dd_design_raw!$C$2:$C$9997,"",0)</f>
        <v>0</v>
      </c>
      <c r="C1021" s="16"/>
      <c r="D1021" s="16" t="str" cm="1">
        <f t="array" ref="D1021">IF(C1021&lt;&gt;"", _xlfn.IFS(I1021="Height SLI",_xlfn.XLOOKUP(C1021,'calc_s90&amp;138'!$C$15:$C$1000,'calc_s90&amp;138'!$BJ$15:$BJ$1000,"",0),  I1021="Height FIX",_xlfn.XLOOKUP(C1021,'calc_s90&amp;138'!$C$15:$C$1000,'calc_s90&amp;138'!$BL$15:$BL$1000,"",0),  I1021="Width", _xlfn.XLOOKUP(C1021,'calc_s90&amp;138'!$C$15:$C$1000,'calc_s90&amp;138'!$BN$15:$BN$1000,"",0)),"")</f>
        <v/>
      </c>
      <c r="E1021" s="16" t="str" cm="1">
        <f t="array" ref="E1021">IF(C1021&lt;&gt;"", _xlfn.XLOOKUP(1,((SKUs!$A$2:$A$10001=cl_unmerged!B1021) * (ISNUMBER(SEARCH("Steel-"&amp;K1021,SKUs!$J$2:$J$10001)))), SKUs!$J$2:$J$10001,""),"")  &amp; _xlfn.IFS(I1021="Height", ", H",I1021="Height SLI", ", H SLI", I1021="Height FIX", ", H FIX",I1021="Width", ", W", I1021="", "")</f>
        <v/>
      </c>
      <c r="F1021" s="33" t="str" cm="1">
        <f t="array" ref="F1021">_xlfn.XLOOKUP(1,((SKUs!$A$2:$A$10001=cl_unmerged!B1021) * (ISNUMBER(SEARCH("Steel-"&amp;K1021,SKUs!$J$2:$J$10001)))), SKUs!$C$2:$C$10001,"")</f>
        <v/>
      </c>
      <c r="G1021" s="16"/>
      <c r="H1021" s="16" t="str" cm="1">
        <f t="array" ref="H1021">IF(C1021&lt;&gt;"", _xlfn.IFS(I1021="Height SLI",_xlfn.XLOOKUP(C1021,'calc_s90&amp;138'!$C$15:$C$1000,'calc_s90&amp;138'!$BI$15:$BI$1000,"",0), I1021="Height FIX",_xlfn.XLOOKUP(C1021,'calc_s90&amp;138'!$C$15:$C$1000,'calc_s90&amp;138'!$BK$15:$BK$1000,"",0), I1021="Width", _xlfn.XLOOKUP(C1021,'calc_s90&amp;138'!$C$15:$C$1000,'calc_s90&amp;138'!$BM$15:$BM$1000,"",0)),"")</f>
        <v/>
      </c>
      <c r="I1021" s="16" t="str">
        <f t="shared" si="22"/>
        <v/>
      </c>
      <c r="K1021" s="1" t="str" cm="1">
        <f t="array" ref="K1021">IF(C1021&lt;&gt;"", _xlfn.XLOOKUP(1,((SKUs!$A$2:$A$10001=cl_unmerged!B1021) * (ISNUMBER(SEARCH("Sash",SKUs!$J$2:$J$10001)))), SKUs!$J$2:$J$10001,""),"")</f>
        <v/>
      </c>
    </row>
    <row r="1022" spans="1:11" ht="13.5" customHeight="1" x14ac:dyDescent="0.25">
      <c r="A1022" s="41" t="str">
        <f>_xlfn.XLOOKUP(G1022,dd_color!$A$2:$A$8,dd_color!$B$2:$B$8,"",0)</f>
        <v/>
      </c>
      <c r="B1022" s="41">
        <f>_xlfn.XLOOKUP(_xlfn.XLOOKUP(C1022,'Project Details'!$C$17:$C$10003,'Project Details'!$E$17:$E$10003, "",0),dd_design_raw!$A$2:$A$9997,dd_design_raw!$C$2:$C$9997,"",0)</f>
        <v>0</v>
      </c>
      <c r="C1022" s="16"/>
      <c r="D1022" s="16" t="str" cm="1">
        <f t="array" ref="D1022">IF(C1022&lt;&gt;"", _xlfn.IFS(I1022="Height SLI",_xlfn.XLOOKUP(C1022,'calc_s90&amp;138'!$C$15:$C$1000,'calc_s90&amp;138'!$BJ$15:$BJ$1000,"",0),  I1022="Height FIX",_xlfn.XLOOKUP(C1022,'calc_s90&amp;138'!$C$15:$C$1000,'calc_s90&amp;138'!$BL$15:$BL$1000,"",0),  I1022="Width", _xlfn.XLOOKUP(C1022,'calc_s90&amp;138'!$C$15:$C$1000,'calc_s90&amp;138'!$BN$15:$BN$1000,"",0)),"")</f>
        <v/>
      </c>
      <c r="E1022" s="16" t="str" cm="1">
        <f t="array" ref="E1022">IF(C1022&lt;&gt;"", _xlfn.XLOOKUP(1,((SKUs!$A$2:$A$10001=cl_unmerged!B1022) * (ISNUMBER(SEARCH("Steel-"&amp;K1022,SKUs!$J$2:$J$10001)))), SKUs!$J$2:$J$10001,""),"")  &amp; _xlfn.IFS(I1022="Height", ", H",I1022="Height SLI", ", H SLI", I1022="Height FIX", ", H FIX",I1022="Width", ", W", I1022="", "")</f>
        <v/>
      </c>
      <c r="F1022" s="33" t="str" cm="1">
        <f t="array" ref="F1022">_xlfn.XLOOKUP(1,((SKUs!$A$2:$A$10001=cl_unmerged!B1022) * (ISNUMBER(SEARCH("Steel-"&amp;K1022,SKUs!$J$2:$J$10001)))), SKUs!$C$2:$C$10001,"")</f>
        <v/>
      </c>
      <c r="G1022" s="16"/>
      <c r="H1022" s="16" t="str" cm="1">
        <f t="array" ref="H1022">IF(C1022&lt;&gt;"", _xlfn.IFS(I1022="Height SLI",_xlfn.XLOOKUP(C1022,'calc_s90&amp;138'!$C$15:$C$1000,'calc_s90&amp;138'!$BI$15:$BI$1000,"",0), I1022="Height FIX",_xlfn.XLOOKUP(C1022,'calc_s90&amp;138'!$C$15:$C$1000,'calc_s90&amp;138'!$BK$15:$BK$1000,"",0), I1022="Width", _xlfn.XLOOKUP(C1022,'calc_s90&amp;138'!$C$15:$C$1000,'calc_s90&amp;138'!$BM$15:$BM$1000,"",0)),"")</f>
        <v/>
      </c>
      <c r="I1022" s="16" t="str">
        <f t="shared" si="22"/>
        <v/>
      </c>
      <c r="K1022" s="1" t="str" cm="1">
        <f t="array" ref="K1022">IF(C1022&lt;&gt;"", _xlfn.XLOOKUP(1,((SKUs!$A$2:$A$10001=cl_unmerged!B1022) * (ISNUMBER(SEARCH("Sash",SKUs!$J$2:$J$10001)))), SKUs!$J$2:$J$10001,""),"")</f>
        <v/>
      </c>
    </row>
    <row r="1023" spans="1:11" ht="13.5" customHeight="1" x14ac:dyDescent="0.25">
      <c r="A1023" s="41" t="str">
        <f>_xlfn.XLOOKUP(G1023,dd_color!$A$2:$A$8,dd_color!$B$2:$B$8,"",0)</f>
        <v/>
      </c>
      <c r="B1023" s="41">
        <f>_xlfn.XLOOKUP(_xlfn.XLOOKUP(C1023,'Project Details'!$C$17:$C$10003,'Project Details'!$E$17:$E$10003, "",0),dd_design_raw!$A$2:$A$9997,dd_design_raw!$C$2:$C$9997,"",0)</f>
        <v>0</v>
      </c>
      <c r="C1023" s="16"/>
      <c r="D1023" s="16" t="str" cm="1">
        <f t="array" ref="D1023">IF(C1023&lt;&gt;"", _xlfn.IFS(I1023="Height SLI",_xlfn.XLOOKUP(C1023,'calc_s90&amp;138'!$C$15:$C$1000,'calc_s90&amp;138'!$BJ$15:$BJ$1000,"",0),  I1023="Height FIX",_xlfn.XLOOKUP(C1023,'calc_s90&amp;138'!$C$15:$C$1000,'calc_s90&amp;138'!$BL$15:$BL$1000,"",0),  I1023="Width", _xlfn.XLOOKUP(C1023,'calc_s90&amp;138'!$C$15:$C$1000,'calc_s90&amp;138'!$BN$15:$BN$1000,"",0)),"")</f>
        <v/>
      </c>
      <c r="E1023" s="16" t="str" cm="1">
        <f t="array" ref="E1023">IF(C1023&lt;&gt;"", _xlfn.XLOOKUP(1,((SKUs!$A$2:$A$10001=cl_unmerged!B1023) * (ISNUMBER(SEARCH("Steel-"&amp;K1023,SKUs!$J$2:$J$10001)))), SKUs!$J$2:$J$10001,""),"")  &amp; _xlfn.IFS(I1023="Height", ", H",I1023="Height SLI", ", H SLI", I1023="Height FIX", ", H FIX",I1023="Width", ", W", I1023="", "")</f>
        <v/>
      </c>
      <c r="F1023" s="33" t="str" cm="1">
        <f t="array" ref="F1023">_xlfn.XLOOKUP(1,((SKUs!$A$2:$A$10001=cl_unmerged!B1023) * (ISNUMBER(SEARCH("Steel-"&amp;K1023,SKUs!$J$2:$J$10001)))), SKUs!$C$2:$C$10001,"")</f>
        <v/>
      </c>
      <c r="G1023" s="16"/>
      <c r="H1023" s="16" t="str" cm="1">
        <f t="array" ref="H1023">IF(C1023&lt;&gt;"", _xlfn.IFS(I1023="Height SLI",_xlfn.XLOOKUP(C1023,'calc_s90&amp;138'!$C$15:$C$1000,'calc_s90&amp;138'!$BI$15:$BI$1000,"",0), I1023="Height FIX",_xlfn.XLOOKUP(C1023,'calc_s90&amp;138'!$C$15:$C$1000,'calc_s90&amp;138'!$BK$15:$BK$1000,"",0), I1023="Width", _xlfn.XLOOKUP(C1023,'calc_s90&amp;138'!$C$15:$C$1000,'calc_s90&amp;138'!$BM$15:$BM$1000,"",0)),"")</f>
        <v/>
      </c>
      <c r="I1023" s="16" t="str">
        <f t="shared" si="22"/>
        <v/>
      </c>
      <c r="K1023" s="1" t="str" cm="1">
        <f t="array" ref="K1023">IF(C1023&lt;&gt;"", _xlfn.XLOOKUP(1,((SKUs!$A$2:$A$10001=cl_unmerged!B1023) * (ISNUMBER(SEARCH("Sash",SKUs!$J$2:$J$10001)))), SKUs!$J$2:$J$10001,""),"")</f>
        <v/>
      </c>
    </row>
    <row r="1024" spans="1:11" ht="13.5" customHeight="1" x14ac:dyDescent="0.25">
      <c r="A1024" s="41" t="str">
        <f>_xlfn.XLOOKUP(G1024,dd_color!$A$2:$A$8,dd_color!$B$2:$B$8,"",0)</f>
        <v/>
      </c>
      <c r="B1024" s="41">
        <f>_xlfn.XLOOKUP(_xlfn.XLOOKUP(C1024,'Project Details'!$C$17:$C$10003,'Project Details'!$E$17:$E$10003, "",0),dd_design_raw!$A$2:$A$9997,dd_design_raw!$C$2:$C$9997,"",0)</f>
        <v>0</v>
      </c>
      <c r="C1024" s="16"/>
      <c r="D1024" s="16" t="str" cm="1">
        <f t="array" ref="D1024">IF(C1024&lt;&gt;"", _xlfn.IFS(I1024="Height SLI",_xlfn.XLOOKUP(C1024,'calc_s90&amp;138'!$C$15:$C$1000,'calc_s90&amp;138'!$BJ$15:$BJ$1000,"",0),  I1024="Height FIX",_xlfn.XLOOKUP(C1024,'calc_s90&amp;138'!$C$15:$C$1000,'calc_s90&amp;138'!$BL$15:$BL$1000,"",0),  I1024="Width", _xlfn.XLOOKUP(C1024,'calc_s90&amp;138'!$C$15:$C$1000,'calc_s90&amp;138'!$BN$15:$BN$1000,"",0)),"")</f>
        <v/>
      </c>
      <c r="E1024" s="16" t="str" cm="1">
        <f t="array" ref="E1024">IF(C1024&lt;&gt;"", _xlfn.XLOOKUP(1,((SKUs!$A$2:$A$10001=cl_unmerged!B1024) * (ISNUMBER(SEARCH("Steel-"&amp;K1024,SKUs!$J$2:$J$10001)))), SKUs!$J$2:$J$10001,""),"")  &amp; _xlfn.IFS(I1024="Height", ", H",I1024="Height SLI", ", H SLI", I1024="Height FIX", ", H FIX",I1024="Width", ", W", I1024="", "")</f>
        <v/>
      </c>
      <c r="F1024" s="33" t="str" cm="1">
        <f t="array" ref="F1024">_xlfn.XLOOKUP(1,((SKUs!$A$2:$A$10001=cl_unmerged!B1024) * (ISNUMBER(SEARCH("Steel-"&amp;K1024,SKUs!$J$2:$J$10001)))), SKUs!$C$2:$C$10001,"")</f>
        <v/>
      </c>
      <c r="G1024" s="16"/>
      <c r="H1024" s="16" t="str" cm="1">
        <f t="array" ref="H1024">IF(C1024&lt;&gt;"", _xlfn.IFS(I1024="Height SLI",_xlfn.XLOOKUP(C1024,'calc_s90&amp;138'!$C$15:$C$1000,'calc_s90&amp;138'!$BI$15:$BI$1000,"",0), I1024="Height FIX",_xlfn.XLOOKUP(C1024,'calc_s90&amp;138'!$C$15:$C$1000,'calc_s90&amp;138'!$BK$15:$BK$1000,"",0), I1024="Width", _xlfn.XLOOKUP(C1024,'calc_s90&amp;138'!$C$15:$C$1000,'calc_s90&amp;138'!$BM$15:$BM$1000,"",0)),"")</f>
        <v/>
      </c>
      <c r="I1024" s="16" t="str">
        <f t="shared" si="22"/>
        <v/>
      </c>
      <c r="K1024" s="1" t="str" cm="1">
        <f t="array" ref="K1024">IF(C1024&lt;&gt;"", _xlfn.XLOOKUP(1,((SKUs!$A$2:$A$10001=cl_unmerged!B1024) * (ISNUMBER(SEARCH("Sash",SKUs!$J$2:$J$10001)))), SKUs!$J$2:$J$10001,""),"")</f>
        <v/>
      </c>
    </row>
    <row r="1025" spans="1:11" ht="13.5" customHeight="1" x14ac:dyDescent="0.25">
      <c r="A1025" s="41" t="str">
        <f>_xlfn.XLOOKUP(G1025,dd_color!$A$2:$A$8,dd_color!$B$2:$B$8,"",0)</f>
        <v/>
      </c>
      <c r="B1025" s="41" t="str">
        <f>_xlfn.XLOOKUP(_xlfn.XLOOKUP(C1025,'Project Details'!$C$17:$C$10003,'Project Details'!$E$17:$E$10003, "",0),dd_design_raw!$A$2:$A$9997,dd_design_raw!$C$2:$C$9997,"",0)</f>
        <v/>
      </c>
      <c r="C1025" s="16"/>
      <c r="D1025" s="16" t="str" cm="1">
        <f t="array" ref="D1025">IF(C1025&lt;&gt;"", _xlfn.IFS(I1025="Height SLI",_xlfn.XLOOKUP(C1025,'calc_s90&amp;138'!$C$15:$C$1000,'calc_s90&amp;138'!$BJ$15:$BJ$1000,"",0),  I1025="Height FIX",_xlfn.XLOOKUP(C1025,'calc_s90&amp;138'!$C$15:$C$1000,'calc_s90&amp;138'!$BL$15:$BL$1000,"",0),  I1025="Width", _xlfn.XLOOKUP(C1025,'calc_s90&amp;138'!$C$15:$C$1000,'calc_s90&amp;138'!$BN$15:$BN$1000,"",0)),"")</f>
        <v/>
      </c>
      <c r="E1025" s="16" t="str" cm="1">
        <f t="array" ref="E1025">IF(C1025&lt;&gt;"", _xlfn.XLOOKUP(1,((SKUs!$A$2:$A$10001=cl_unmerged!B1025) * (ISNUMBER(SEARCH("Steel-"&amp;K1025,SKUs!$J$2:$J$10001)))), SKUs!$J$2:$J$10001,""),"")  &amp; _xlfn.IFS(I1025="Height", ", H",I1025="Height SLI", ", H SLI", I1025="Height FIX", ", H FIX",I1025="Width", ", W", I1025="", "")</f>
        <v/>
      </c>
      <c r="F1025" s="33" t="str" cm="1">
        <f t="array" ref="F1025">_xlfn.XLOOKUP(1,((SKUs!$A$2:$A$10001=cl_unmerged!B1025) * (ISNUMBER(SEARCH("Steel-"&amp;K1025,SKUs!$J$2:$J$10001)))), SKUs!$C$2:$C$10001,"")</f>
        <v/>
      </c>
      <c r="G1025" s="16"/>
      <c r="H1025" s="16" t="str" cm="1">
        <f t="array" ref="H1025">IF(C1025&lt;&gt;"", _xlfn.IFS(I1025="Height SLI",_xlfn.XLOOKUP(C1025,'calc_s90&amp;138'!$C$15:$C$1000,'calc_s90&amp;138'!$BI$15:$BI$1000,"",0), I1025="Height FIX",_xlfn.XLOOKUP(C1025,'calc_s90&amp;138'!$C$15:$C$1000,'calc_s90&amp;138'!$BK$15:$BK$1000,"",0), I1025="Width", _xlfn.XLOOKUP(C1025,'calc_s90&amp;138'!$C$15:$C$1000,'calc_s90&amp;138'!$BM$15:$BM$1000,"",0)),"")</f>
        <v/>
      </c>
      <c r="I1025" s="16" t="str">
        <f t="shared" si="22"/>
        <v/>
      </c>
      <c r="K1025" s="1" t="str" cm="1">
        <f t="array" ref="K1025">IF(C1025&lt;&gt;"", _xlfn.XLOOKUP(1,((SKUs!$A$2:$A$10001=cl_unmerged!B1025) * (ISNUMBER(SEARCH("Sash",SKUs!$J$2:$J$10001)))), SKUs!$J$2:$J$10001,""),"")</f>
        <v/>
      </c>
    </row>
    <row r="1026" spans="1:11" ht="13.5" customHeight="1" x14ac:dyDescent="0.25">
      <c r="A1026" s="41" t="str">
        <f>_xlfn.XLOOKUP(G1026,dd_color!$A$2:$A$8,dd_color!$B$2:$B$8,"",0)</f>
        <v/>
      </c>
      <c r="B1026" s="41" t="str">
        <f>_xlfn.XLOOKUP(_xlfn.XLOOKUP(C1026,'Project Details'!$C$17:$C$10003,'Project Details'!$E$17:$E$10003, "",0),dd_design_raw!$A$2:$A$9997,dd_design_raw!$C$2:$C$9997,"",0)</f>
        <v/>
      </c>
      <c r="C1026" s="16"/>
      <c r="D1026" s="16" t="str" cm="1">
        <f t="array" ref="D1026">IF(C1026&lt;&gt;"", _xlfn.IFS(I1026="Height SLI",_xlfn.XLOOKUP(C1026,'calc_s90&amp;138'!$C$15:$C$1000,'calc_s90&amp;138'!$BJ$15:$BJ$1000,"",0),  I1026="Height FIX",_xlfn.XLOOKUP(C1026,'calc_s90&amp;138'!$C$15:$C$1000,'calc_s90&amp;138'!$BL$15:$BL$1000,"",0),  I1026="Width", _xlfn.XLOOKUP(C1026,'calc_s90&amp;138'!$C$15:$C$1000,'calc_s90&amp;138'!$BN$15:$BN$1000,"",0)),"")</f>
        <v/>
      </c>
      <c r="E1026" s="16" t="str" cm="1">
        <f t="array" ref="E1026">IF(C1026&lt;&gt;"", _xlfn.XLOOKUP(1,((SKUs!$A$2:$A$10001=cl_unmerged!B1026) * (ISNUMBER(SEARCH("Steel-"&amp;K1026,SKUs!$J$2:$J$10001)))), SKUs!$J$2:$J$10001,""),"")  &amp; _xlfn.IFS(I1026="Height", ", H",I1026="Height SLI", ", H SLI", I1026="Height FIX", ", H FIX",I1026="Width", ", W", I1026="", "")</f>
        <v/>
      </c>
      <c r="F1026" s="33" t="str" cm="1">
        <f t="array" ref="F1026">_xlfn.XLOOKUP(1,((SKUs!$A$2:$A$10001=cl_unmerged!B1026) * (ISNUMBER(SEARCH("Steel-"&amp;K1026,SKUs!$J$2:$J$10001)))), SKUs!$C$2:$C$10001,"")</f>
        <v/>
      </c>
      <c r="G1026" s="16"/>
      <c r="H1026" s="16" t="str" cm="1">
        <f t="array" ref="H1026">IF(C1026&lt;&gt;"", _xlfn.IFS(I1026="Height SLI",_xlfn.XLOOKUP(C1026,'calc_s90&amp;138'!$C$15:$C$1000,'calc_s90&amp;138'!$BI$15:$BI$1000,"",0), I1026="Height FIX",_xlfn.XLOOKUP(C1026,'calc_s90&amp;138'!$C$15:$C$1000,'calc_s90&amp;138'!$BK$15:$BK$1000,"",0), I1026="Width", _xlfn.XLOOKUP(C1026,'calc_s90&amp;138'!$C$15:$C$1000,'calc_s90&amp;138'!$BM$15:$BM$1000,"",0)),"")</f>
        <v/>
      </c>
      <c r="I1026" s="16" t="str">
        <f t="shared" si="22"/>
        <v/>
      </c>
      <c r="K1026" s="1" t="str" cm="1">
        <f t="array" ref="K1026">IF(C1026&lt;&gt;"", _xlfn.XLOOKUP(1,((SKUs!$A$2:$A$10001=cl_unmerged!B1026) * (ISNUMBER(SEARCH("Sash",SKUs!$J$2:$J$10001)))), SKUs!$J$2:$J$10001,""),"")</f>
        <v/>
      </c>
    </row>
    <row r="1027" spans="1:11" ht="13.5" customHeight="1" x14ac:dyDescent="0.25">
      <c r="A1027" s="41" t="str">
        <f>_xlfn.XLOOKUP(G1027,dd_color!$A$2:$A$8,dd_color!$B$2:$B$8,"",0)</f>
        <v/>
      </c>
      <c r="B1027" s="41">
        <f>_xlfn.XLOOKUP(_xlfn.XLOOKUP(C1027,'Project Details'!$C$17:$C$10003,'Project Details'!$E$17:$E$10003, "",0),dd_design_raw!$A$2:$A$9997,dd_design_raw!$C$2:$C$9997,"",0)</f>
        <v>0</v>
      </c>
      <c r="C1027" s="16"/>
      <c r="D1027" s="16" t="str" cm="1">
        <f t="array" ref="D1027">IF(C1027&lt;&gt;"", _xlfn.IFS(I1027="Height SLI",_xlfn.XLOOKUP(C1027,'calc_s90&amp;138'!$C$15:$C$1000,'calc_s90&amp;138'!$BJ$15:$BJ$1000,"",0),  I1027="Height FIX",_xlfn.XLOOKUP(C1027,'calc_s90&amp;138'!$C$15:$C$1000,'calc_s90&amp;138'!$BL$15:$BL$1000,"",0),  I1027="Width", _xlfn.XLOOKUP(C1027,'calc_s90&amp;138'!$C$15:$C$1000,'calc_s90&amp;138'!$BN$15:$BN$1000,"",0)),"")</f>
        <v/>
      </c>
      <c r="E1027" s="16" t="str" cm="1">
        <f t="array" ref="E1027">IF(C1027&lt;&gt;"", _xlfn.XLOOKUP(1,((SKUs!$A$2:$A$10001=cl_unmerged!B1027) * (ISNUMBER(SEARCH("Steel-"&amp;K1027,SKUs!$J$2:$J$10001)))), SKUs!$J$2:$J$10001,""),"")  &amp; _xlfn.IFS(I1027="Height", ", H",I1027="Height SLI", ", H SLI", I1027="Height FIX", ", H FIX",I1027="Width", ", W", I1027="", "")</f>
        <v/>
      </c>
      <c r="F1027" s="33" t="str" cm="1">
        <f t="array" ref="F1027">_xlfn.XLOOKUP(1,((SKUs!$A$2:$A$10001=cl_unmerged!B1027) * (ISNUMBER(SEARCH("Steel-"&amp;K1027,SKUs!$J$2:$J$10001)))), SKUs!$C$2:$C$10001,"")</f>
        <v/>
      </c>
      <c r="G1027" s="16"/>
      <c r="H1027" s="16" t="str" cm="1">
        <f t="array" ref="H1027">IF(C1027&lt;&gt;"", _xlfn.IFS(I1027="Height SLI",_xlfn.XLOOKUP(C1027,'calc_s90&amp;138'!$C$15:$C$1000,'calc_s90&amp;138'!$BI$15:$BI$1000,"",0), I1027="Height FIX",_xlfn.XLOOKUP(C1027,'calc_s90&amp;138'!$C$15:$C$1000,'calc_s90&amp;138'!$BK$15:$BK$1000,"",0), I1027="Width", _xlfn.XLOOKUP(C1027,'calc_s90&amp;138'!$C$15:$C$1000,'calc_s90&amp;138'!$BM$15:$BM$1000,"",0)),"")</f>
        <v/>
      </c>
      <c r="I1027" s="16" t="str">
        <f t="shared" si="22"/>
        <v/>
      </c>
      <c r="K1027" s="1" t="str" cm="1">
        <f t="array" ref="K1027">IF(C1027&lt;&gt;"", _xlfn.XLOOKUP(1,((SKUs!$A$2:$A$10001=cl_unmerged!B1027) * (ISNUMBER(SEARCH("Sash",SKUs!$J$2:$J$10001)))), SKUs!$J$2:$J$10001,""),"")</f>
        <v/>
      </c>
    </row>
    <row r="1028" spans="1:11" ht="13.5" customHeight="1" x14ac:dyDescent="0.25">
      <c r="A1028" s="41" t="str">
        <f>_xlfn.XLOOKUP(G1028,dd_color!$A$2:$A$8,dd_color!$B$2:$B$8,"",0)</f>
        <v/>
      </c>
      <c r="B1028" s="41">
        <f>_xlfn.XLOOKUP(_xlfn.XLOOKUP(C1028,'Project Details'!$C$17:$C$10003,'Project Details'!$E$17:$E$10003, "",0),dd_design_raw!$A$2:$A$9997,dd_design_raw!$C$2:$C$9997,"",0)</f>
        <v>0</v>
      </c>
      <c r="C1028" s="16"/>
      <c r="D1028" s="16" t="str" cm="1">
        <f t="array" ref="D1028">IF(C1028&lt;&gt;"", _xlfn.IFS(I1028="Height SLI",_xlfn.XLOOKUP(C1028,'calc_s90&amp;138'!$C$15:$C$1000,'calc_s90&amp;138'!$BJ$15:$BJ$1000,"",0),  I1028="Height FIX",_xlfn.XLOOKUP(C1028,'calc_s90&amp;138'!$C$15:$C$1000,'calc_s90&amp;138'!$BL$15:$BL$1000,"",0),  I1028="Width", _xlfn.XLOOKUP(C1028,'calc_s90&amp;138'!$C$15:$C$1000,'calc_s90&amp;138'!$BN$15:$BN$1000,"",0)),"")</f>
        <v/>
      </c>
      <c r="E1028" s="16" t="str" cm="1">
        <f t="array" ref="E1028">IF(C1028&lt;&gt;"", _xlfn.XLOOKUP(1,((SKUs!$A$2:$A$10001=cl_unmerged!B1028) * (ISNUMBER(SEARCH("Steel-"&amp;K1028,SKUs!$J$2:$J$10001)))), SKUs!$J$2:$J$10001,""),"")  &amp; _xlfn.IFS(I1028="Height", ", H",I1028="Height SLI", ", H SLI", I1028="Height FIX", ", H FIX",I1028="Width", ", W", I1028="", "")</f>
        <v/>
      </c>
      <c r="F1028" s="33" t="str" cm="1">
        <f t="array" ref="F1028">_xlfn.XLOOKUP(1,((SKUs!$A$2:$A$10001=cl_unmerged!B1028) * (ISNUMBER(SEARCH("Steel-"&amp;K1028,SKUs!$J$2:$J$10001)))), SKUs!$C$2:$C$10001,"")</f>
        <v/>
      </c>
      <c r="G1028" s="16"/>
      <c r="H1028" s="16" t="str" cm="1">
        <f t="array" ref="H1028">IF(C1028&lt;&gt;"", _xlfn.IFS(I1028="Height SLI",_xlfn.XLOOKUP(C1028,'calc_s90&amp;138'!$C$15:$C$1000,'calc_s90&amp;138'!$BI$15:$BI$1000,"",0), I1028="Height FIX",_xlfn.XLOOKUP(C1028,'calc_s90&amp;138'!$C$15:$C$1000,'calc_s90&amp;138'!$BK$15:$BK$1000,"",0), I1028="Width", _xlfn.XLOOKUP(C1028,'calc_s90&amp;138'!$C$15:$C$1000,'calc_s90&amp;138'!$BM$15:$BM$1000,"",0)),"")</f>
        <v/>
      </c>
      <c r="I1028" s="16" t="str">
        <f t="shared" si="22"/>
        <v/>
      </c>
      <c r="K1028" s="1" t="str" cm="1">
        <f t="array" ref="K1028">IF(C1028&lt;&gt;"", _xlfn.XLOOKUP(1,((SKUs!$A$2:$A$10001=cl_unmerged!B1028) * (ISNUMBER(SEARCH("Sash",SKUs!$J$2:$J$10001)))), SKUs!$J$2:$J$10001,""),"")</f>
        <v/>
      </c>
    </row>
    <row r="1029" spans="1:11" ht="13.5" customHeight="1" x14ac:dyDescent="0.25">
      <c r="A1029" s="41" t="str">
        <f>_xlfn.XLOOKUP(G1029,dd_color!$A$2:$A$8,dd_color!$B$2:$B$8,"",0)</f>
        <v/>
      </c>
      <c r="B1029" s="41" t="str">
        <f>_xlfn.XLOOKUP(_xlfn.XLOOKUP(C1029,'Project Details'!$C$17:$C$10003,'Project Details'!$E$17:$E$10003, "",0),dd_design_raw!$A$2:$A$9997,dd_design_raw!$C$2:$C$9997,"",0)</f>
        <v/>
      </c>
      <c r="C1029" s="16"/>
      <c r="D1029" s="16" t="str" cm="1">
        <f t="array" ref="D1029">IF(C1029&lt;&gt;"", _xlfn.IFS(I1029="Height SLI",_xlfn.XLOOKUP(C1029,'calc_s90&amp;138'!$C$15:$C$1000,'calc_s90&amp;138'!$BJ$15:$BJ$1000,"",0),  I1029="Height FIX",_xlfn.XLOOKUP(C1029,'calc_s90&amp;138'!$C$15:$C$1000,'calc_s90&amp;138'!$BL$15:$BL$1000,"",0),  I1029="Width", _xlfn.XLOOKUP(C1029,'calc_s90&amp;138'!$C$15:$C$1000,'calc_s90&amp;138'!$BN$15:$BN$1000,"",0)),"")</f>
        <v/>
      </c>
      <c r="E1029" s="16" t="str" cm="1">
        <f t="array" ref="E1029">IF(C1029&lt;&gt;"", _xlfn.XLOOKUP(1,((SKUs!$A$2:$A$10001=cl_unmerged!B1029) * (ISNUMBER(SEARCH("Steel-"&amp;K1029,SKUs!$J$2:$J$10001)))), SKUs!$J$2:$J$10001,""),"")  &amp; _xlfn.IFS(I1029="Height", ", H",I1029="Height SLI", ", H SLI", I1029="Height FIX", ", H FIX",I1029="Width", ", W", I1029="", "")</f>
        <v/>
      </c>
      <c r="F1029" s="33" t="str" cm="1">
        <f t="array" ref="F1029">_xlfn.XLOOKUP(1,((SKUs!$A$2:$A$10001=cl_unmerged!B1029) * (ISNUMBER(SEARCH("Steel-"&amp;K1029,SKUs!$J$2:$J$10001)))), SKUs!$C$2:$C$10001,"")</f>
        <v/>
      </c>
      <c r="G1029" s="16"/>
      <c r="H1029" s="16" t="str" cm="1">
        <f t="array" ref="H1029">IF(C1029&lt;&gt;"", _xlfn.IFS(I1029="Height SLI",_xlfn.XLOOKUP(C1029,'calc_s90&amp;138'!$C$15:$C$1000,'calc_s90&amp;138'!$BI$15:$BI$1000,"",0), I1029="Height FIX",_xlfn.XLOOKUP(C1029,'calc_s90&amp;138'!$C$15:$C$1000,'calc_s90&amp;138'!$BK$15:$BK$1000,"",0), I1029="Width", _xlfn.XLOOKUP(C1029,'calc_s90&amp;138'!$C$15:$C$1000,'calc_s90&amp;138'!$BM$15:$BM$1000,"",0)),"")</f>
        <v/>
      </c>
      <c r="I1029" s="16" t="str">
        <f t="shared" si="22"/>
        <v/>
      </c>
      <c r="K1029" s="1" t="str" cm="1">
        <f t="array" ref="K1029">IF(C1029&lt;&gt;"", _xlfn.XLOOKUP(1,((SKUs!$A$2:$A$10001=cl_unmerged!B1029) * (ISNUMBER(SEARCH("Sash",SKUs!$J$2:$J$10001)))), SKUs!$J$2:$J$10001,""),"")</f>
        <v/>
      </c>
    </row>
    <row r="1030" spans="1:11" ht="13.5" customHeight="1" x14ac:dyDescent="0.25">
      <c r="A1030" s="41" t="str">
        <f>_xlfn.XLOOKUP(G1030,dd_color!$A$2:$A$8,dd_color!$B$2:$B$8,"",0)</f>
        <v/>
      </c>
      <c r="B1030" s="41">
        <f>_xlfn.XLOOKUP(_xlfn.XLOOKUP(C1030,'Project Details'!$C$17:$C$10003,'Project Details'!$E$17:$E$10003, "",0),dd_design_raw!$A$2:$A$9997,dd_design_raw!$C$2:$C$9997,"",0)</f>
        <v>0</v>
      </c>
      <c r="C1030" s="16"/>
      <c r="D1030" s="16" t="str" cm="1">
        <f t="array" ref="D1030">IF(C1030&lt;&gt;"", _xlfn.IFS(I1030="Height SLI",_xlfn.XLOOKUP(C1030,'calc_s90&amp;138'!$C$15:$C$1000,'calc_s90&amp;138'!$BJ$15:$BJ$1000,"",0),  I1030="Height FIX",_xlfn.XLOOKUP(C1030,'calc_s90&amp;138'!$C$15:$C$1000,'calc_s90&amp;138'!$BL$15:$BL$1000,"",0),  I1030="Width", _xlfn.XLOOKUP(C1030,'calc_s90&amp;138'!$C$15:$C$1000,'calc_s90&amp;138'!$BN$15:$BN$1000,"",0)),"")</f>
        <v/>
      </c>
      <c r="E1030" s="16" t="str" cm="1">
        <f t="array" ref="E1030">IF(C1030&lt;&gt;"", _xlfn.XLOOKUP(1,((SKUs!$A$2:$A$10001=cl_unmerged!B1030) * (ISNUMBER(SEARCH("Steel-"&amp;K1030,SKUs!$J$2:$J$10001)))), SKUs!$J$2:$J$10001,""),"")  &amp; _xlfn.IFS(I1030="Height", ", H",I1030="Height SLI", ", H SLI", I1030="Height FIX", ", H FIX",I1030="Width", ", W", I1030="", "")</f>
        <v/>
      </c>
      <c r="F1030" s="33" t="str" cm="1">
        <f t="array" ref="F1030">_xlfn.XLOOKUP(1,((SKUs!$A$2:$A$10001=cl_unmerged!B1030) * (ISNUMBER(SEARCH("Steel-"&amp;K1030,SKUs!$J$2:$J$10001)))), SKUs!$C$2:$C$10001,"")</f>
        <v/>
      </c>
      <c r="G1030" s="16"/>
      <c r="H1030" s="16" t="str" cm="1">
        <f t="array" ref="H1030">IF(C1030&lt;&gt;"", _xlfn.IFS(I1030="Height SLI",_xlfn.XLOOKUP(C1030,'calc_s90&amp;138'!$C$15:$C$1000,'calc_s90&amp;138'!$BI$15:$BI$1000,"",0), I1030="Height FIX",_xlfn.XLOOKUP(C1030,'calc_s90&amp;138'!$C$15:$C$1000,'calc_s90&amp;138'!$BK$15:$BK$1000,"",0), I1030="Width", _xlfn.XLOOKUP(C1030,'calc_s90&amp;138'!$C$15:$C$1000,'calc_s90&amp;138'!$BM$15:$BM$1000,"",0)),"")</f>
        <v/>
      </c>
      <c r="I1030" s="16" t="str">
        <f t="shared" si="22"/>
        <v/>
      </c>
      <c r="K1030" s="1" t="str" cm="1">
        <f t="array" ref="K1030">IF(C1030&lt;&gt;"", _xlfn.XLOOKUP(1,((SKUs!$A$2:$A$10001=cl_unmerged!B1030) * (ISNUMBER(SEARCH("Sash",SKUs!$J$2:$J$10001)))), SKUs!$J$2:$J$10001,""),"")</f>
        <v/>
      </c>
    </row>
    <row r="1031" spans="1:11" ht="13.5" customHeight="1" x14ac:dyDescent="0.25">
      <c r="A1031" s="41" t="str">
        <f>_xlfn.XLOOKUP(G1031,dd_color!$A$2:$A$8,dd_color!$B$2:$B$8,"",0)</f>
        <v/>
      </c>
      <c r="B1031" s="41">
        <f>_xlfn.XLOOKUP(_xlfn.XLOOKUP(C1031,'Project Details'!$C$17:$C$10003,'Project Details'!$E$17:$E$10003, "",0),dd_design_raw!$A$2:$A$9997,dd_design_raw!$C$2:$C$9997,"",0)</f>
        <v>0</v>
      </c>
      <c r="C1031" s="16"/>
      <c r="D1031" s="16" t="str" cm="1">
        <f t="array" ref="D1031">IF(C1031&lt;&gt;"", _xlfn.IFS(I1031="Height SLI",_xlfn.XLOOKUP(C1031,'calc_s90&amp;138'!$C$15:$C$1000,'calc_s90&amp;138'!$BJ$15:$BJ$1000,"",0),  I1031="Height FIX",_xlfn.XLOOKUP(C1031,'calc_s90&amp;138'!$C$15:$C$1000,'calc_s90&amp;138'!$BL$15:$BL$1000,"",0),  I1031="Width", _xlfn.XLOOKUP(C1031,'calc_s90&amp;138'!$C$15:$C$1000,'calc_s90&amp;138'!$BN$15:$BN$1000,"",0)),"")</f>
        <v/>
      </c>
      <c r="E1031" s="16" t="str" cm="1">
        <f t="array" ref="E1031">IF(C1031&lt;&gt;"", _xlfn.XLOOKUP(1,((SKUs!$A$2:$A$10001=cl_unmerged!B1031) * (ISNUMBER(SEARCH("Steel-"&amp;K1031,SKUs!$J$2:$J$10001)))), SKUs!$J$2:$J$10001,""),"")  &amp; _xlfn.IFS(I1031="Height", ", H",I1031="Height SLI", ", H SLI", I1031="Height FIX", ", H FIX",I1031="Width", ", W", I1031="", "")</f>
        <v/>
      </c>
      <c r="F1031" s="33" t="str" cm="1">
        <f t="array" ref="F1031">_xlfn.XLOOKUP(1,((SKUs!$A$2:$A$10001=cl_unmerged!B1031) * (ISNUMBER(SEARCH("Steel-"&amp;K1031,SKUs!$J$2:$J$10001)))), SKUs!$C$2:$C$10001,"")</f>
        <v/>
      </c>
      <c r="G1031" s="16"/>
      <c r="H1031" s="16" t="str" cm="1">
        <f t="array" ref="H1031">IF(C1031&lt;&gt;"", _xlfn.IFS(I1031="Height SLI",_xlfn.XLOOKUP(C1031,'calc_s90&amp;138'!$C$15:$C$1000,'calc_s90&amp;138'!$BI$15:$BI$1000,"",0), I1031="Height FIX",_xlfn.XLOOKUP(C1031,'calc_s90&amp;138'!$C$15:$C$1000,'calc_s90&amp;138'!$BK$15:$BK$1000,"",0), I1031="Width", _xlfn.XLOOKUP(C1031,'calc_s90&amp;138'!$C$15:$C$1000,'calc_s90&amp;138'!$BM$15:$BM$1000,"",0)),"")</f>
        <v/>
      </c>
      <c r="I1031" s="16" t="str">
        <f t="shared" si="22"/>
        <v/>
      </c>
      <c r="K1031" s="1" t="str" cm="1">
        <f t="array" ref="K1031">IF(C1031&lt;&gt;"", _xlfn.XLOOKUP(1,((SKUs!$A$2:$A$10001=cl_unmerged!B1031) * (ISNUMBER(SEARCH("Sash",SKUs!$J$2:$J$10001)))), SKUs!$J$2:$J$10001,""),"")</f>
        <v/>
      </c>
    </row>
    <row r="1032" spans="1:11" ht="13.5" customHeight="1" x14ac:dyDescent="0.25">
      <c r="A1032" s="41" t="str">
        <f>_xlfn.XLOOKUP(G1032,dd_color!$A$2:$A$8,dd_color!$B$2:$B$8,"",0)</f>
        <v/>
      </c>
      <c r="B1032" s="41">
        <f>_xlfn.XLOOKUP(_xlfn.XLOOKUP(C1032,'Project Details'!$C$17:$C$10003,'Project Details'!$E$17:$E$10003, "",0),dd_design_raw!$A$2:$A$9997,dd_design_raw!$C$2:$C$9997,"",0)</f>
        <v>0</v>
      </c>
      <c r="C1032" s="16"/>
      <c r="D1032" s="16" t="str" cm="1">
        <f t="array" ref="D1032">IF(C1032&lt;&gt;"", _xlfn.IFS(I1032="Height SLI",_xlfn.XLOOKUP(C1032,'calc_s90&amp;138'!$C$15:$C$1000,'calc_s90&amp;138'!$BJ$15:$BJ$1000,"",0),  I1032="Height FIX",_xlfn.XLOOKUP(C1032,'calc_s90&amp;138'!$C$15:$C$1000,'calc_s90&amp;138'!$BL$15:$BL$1000,"",0),  I1032="Width", _xlfn.XLOOKUP(C1032,'calc_s90&amp;138'!$C$15:$C$1000,'calc_s90&amp;138'!$BN$15:$BN$1000,"",0)),"")</f>
        <v/>
      </c>
      <c r="E1032" s="16" t="str" cm="1">
        <f t="array" ref="E1032">IF(C1032&lt;&gt;"", _xlfn.XLOOKUP(1,((SKUs!$A$2:$A$10001=cl_unmerged!B1032) * (ISNUMBER(SEARCH("Steel-"&amp;K1032,SKUs!$J$2:$J$10001)))), SKUs!$J$2:$J$10001,""),"")  &amp; _xlfn.IFS(I1032="Height", ", H",I1032="Height SLI", ", H SLI", I1032="Height FIX", ", H FIX",I1032="Width", ", W", I1032="", "")</f>
        <v/>
      </c>
      <c r="F1032" s="33" t="str" cm="1">
        <f t="array" ref="F1032">_xlfn.XLOOKUP(1,((SKUs!$A$2:$A$10001=cl_unmerged!B1032) * (ISNUMBER(SEARCH("Steel-"&amp;K1032,SKUs!$J$2:$J$10001)))), SKUs!$C$2:$C$10001,"")</f>
        <v/>
      </c>
      <c r="G1032" s="16"/>
      <c r="H1032" s="16" t="str" cm="1">
        <f t="array" ref="H1032">IF(C1032&lt;&gt;"", _xlfn.IFS(I1032="Height SLI",_xlfn.XLOOKUP(C1032,'calc_s90&amp;138'!$C$15:$C$1000,'calc_s90&amp;138'!$BI$15:$BI$1000,"",0), I1032="Height FIX",_xlfn.XLOOKUP(C1032,'calc_s90&amp;138'!$C$15:$C$1000,'calc_s90&amp;138'!$BK$15:$BK$1000,"",0), I1032="Width", _xlfn.XLOOKUP(C1032,'calc_s90&amp;138'!$C$15:$C$1000,'calc_s90&amp;138'!$BM$15:$BM$1000,"",0)),"")</f>
        <v/>
      </c>
      <c r="I1032" s="16" t="str">
        <f t="shared" si="22"/>
        <v/>
      </c>
      <c r="K1032" s="1" t="str" cm="1">
        <f t="array" ref="K1032">IF(C1032&lt;&gt;"", _xlfn.XLOOKUP(1,((SKUs!$A$2:$A$10001=cl_unmerged!B1032) * (ISNUMBER(SEARCH("Sash",SKUs!$J$2:$J$10001)))), SKUs!$J$2:$J$10001,""),"")</f>
        <v/>
      </c>
    </row>
    <row r="1033" spans="1:11" ht="13.5" customHeight="1" x14ac:dyDescent="0.25">
      <c r="A1033" s="41" t="str">
        <f>_xlfn.XLOOKUP(G1033,dd_color!$A$2:$A$8,dd_color!$B$2:$B$8,"",0)</f>
        <v/>
      </c>
      <c r="B1033" s="41">
        <f>_xlfn.XLOOKUP(_xlfn.XLOOKUP(C1033,'Project Details'!$C$17:$C$10003,'Project Details'!$E$17:$E$10003, "",0),dd_design_raw!$A$2:$A$9997,dd_design_raw!$C$2:$C$9997,"",0)</f>
        <v>0</v>
      </c>
      <c r="C1033" s="16"/>
      <c r="D1033" s="16" t="str" cm="1">
        <f t="array" ref="D1033">IF(C1033&lt;&gt;"", _xlfn.IFS(I1033="Height SLI",_xlfn.XLOOKUP(C1033,'calc_s90&amp;138'!$C$15:$C$1000,'calc_s90&amp;138'!$BJ$15:$BJ$1000,"",0),  I1033="Height FIX",_xlfn.XLOOKUP(C1033,'calc_s90&amp;138'!$C$15:$C$1000,'calc_s90&amp;138'!$BL$15:$BL$1000,"",0),  I1033="Width", _xlfn.XLOOKUP(C1033,'calc_s90&amp;138'!$C$15:$C$1000,'calc_s90&amp;138'!$BN$15:$BN$1000,"",0)),"")</f>
        <v/>
      </c>
      <c r="E1033" s="16" t="str" cm="1">
        <f t="array" ref="E1033">IF(C1033&lt;&gt;"", _xlfn.XLOOKUP(1,((SKUs!$A$2:$A$10001=cl_unmerged!B1033) * (ISNUMBER(SEARCH("Steel-"&amp;K1033,SKUs!$J$2:$J$10001)))), SKUs!$J$2:$J$10001,""),"")  &amp; _xlfn.IFS(I1033="Height", ", H",I1033="Height SLI", ", H SLI", I1033="Height FIX", ", H FIX",I1033="Width", ", W", I1033="", "")</f>
        <v/>
      </c>
      <c r="F1033" s="33" t="str" cm="1">
        <f t="array" ref="F1033">_xlfn.XLOOKUP(1,((SKUs!$A$2:$A$10001=cl_unmerged!B1033) * (ISNUMBER(SEARCH("Steel-"&amp;K1033,SKUs!$J$2:$J$10001)))), SKUs!$C$2:$C$10001,"")</f>
        <v/>
      </c>
      <c r="G1033" s="16"/>
      <c r="H1033" s="16" t="str" cm="1">
        <f t="array" ref="H1033">IF(C1033&lt;&gt;"", _xlfn.IFS(I1033="Height SLI",_xlfn.XLOOKUP(C1033,'calc_s90&amp;138'!$C$15:$C$1000,'calc_s90&amp;138'!$BI$15:$BI$1000,"",0), I1033="Height FIX",_xlfn.XLOOKUP(C1033,'calc_s90&amp;138'!$C$15:$C$1000,'calc_s90&amp;138'!$BK$15:$BK$1000,"",0), I1033="Width", _xlfn.XLOOKUP(C1033,'calc_s90&amp;138'!$C$15:$C$1000,'calc_s90&amp;138'!$BM$15:$BM$1000,"",0)),"")</f>
        <v/>
      </c>
      <c r="I1033" s="16" t="str">
        <f t="shared" si="22"/>
        <v/>
      </c>
      <c r="K1033" s="1" t="str" cm="1">
        <f t="array" ref="K1033">IF(C1033&lt;&gt;"", _xlfn.XLOOKUP(1,((SKUs!$A$2:$A$10001=cl_unmerged!B1033) * (ISNUMBER(SEARCH("Sash",SKUs!$J$2:$J$10001)))), SKUs!$J$2:$J$10001,""),"")</f>
        <v/>
      </c>
    </row>
    <row r="1034" spans="1:11" ht="13.5" customHeight="1" x14ac:dyDescent="0.25">
      <c r="A1034" s="41" t="str">
        <f>_xlfn.XLOOKUP(G1034,dd_color!$A$2:$A$8,dd_color!$B$2:$B$8,"",0)</f>
        <v/>
      </c>
      <c r="B1034" s="41">
        <f>_xlfn.XLOOKUP(_xlfn.XLOOKUP(C1034,'Project Details'!$C$17:$C$10003,'Project Details'!$E$17:$E$10003, "",0),dd_design_raw!$A$2:$A$9997,dd_design_raw!$C$2:$C$9997,"",0)</f>
        <v>0</v>
      </c>
      <c r="C1034" s="16"/>
      <c r="D1034" s="16" t="str" cm="1">
        <f t="array" ref="D1034">IF(C1034&lt;&gt;"", _xlfn.IFS(I1034="Height SLI",_xlfn.XLOOKUP(C1034,'calc_s90&amp;138'!$C$15:$C$1000,'calc_s90&amp;138'!$BJ$15:$BJ$1000,"",0),  I1034="Height FIX",_xlfn.XLOOKUP(C1034,'calc_s90&amp;138'!$C$15:$C$1000,'calc_s90&amp;138'!$BL$15:$BL$1000,"",0),  I1034="Width", _xlfn.XLOOKUP(C1034,'calc_s90&amp;138'!$C$15:$C$1000,'calc_s90&amp;138'!$BN$15:$BN$1000,"",0)),"")</f>
        <v/>
      </c>
      <c r="E1034" s="16" t="str" cm="1">
        <f t="array" ref="E1034">IF(C1034&lt;&gt;"", _xlfn.XLOOKUP(1,((SKUs!$A$2:$A$10001=cl_unmerged!B1034) * (ISNUMBER(SEARCH("Steel-"&amp;K1034,SKUs!$J$2:$J$10001)))), SKUs!$J$2:$J$10001,""),"")  &amp; _xlfn.IFS(I1034="Height", ", H",I1034="Height SLI", ", H SLI", I1034="Height FIX", ", H FIX",I1034="Width", ", W", I1034="", "")</f>
        <v/>
      </c>
      <c r="F1034" s="33" t="str" cm="1">
        <f t="array" ref="F1034">_xlfn.XLOOKUP(1,((SKUs!$A$2:$A$10001=cl_unmerged!B1034) * (ISNUMBER(SEARCH("Steel-"&amp;K1034,SKUs!$J$2:$J$10001)))), SKUs!$C$2:$C$10001,"")</f>
        <v/>
      </c>
      <c r="G1034" s="16"/>
      <c r="H1034" s="16" t="str" cm="1">
        <f t="array" ref="H1034">IF(C1034&lt;&gt;"", _xlfn.IFS(I1034="Height SLI",_xlfn.XLOOKUP(C1034,'calc_s90&amp;138'!$C$15:$C$1000,'calc_s90&amp;138'!$BI$15:$BI$1000,"",0), I1034="Height FIX",_xlfn.XLOOKUP(C1034,'calc_s90&amp;138'!$C$15:$C$1000,'calc_s90&amp;138'!$BK$15:$BK$1000,"",0), I1034="Width", _xlfn.XLOOKUP(C1034,'calc_s90&amp;138'!$C$15:$C$1000,'calc_s90&amp;138'!$BM$15:$BM$1000,"",0)),"")</f>
        <v/>
      </c>
      <c r="I1034" s="16" t="str">
        <f t="shared" si="22"/>
        <v/>
      </c>
      <c r="K1034" s="1" t="str" cm="1">
        <f t="array" ref="K1034">IF(C1034&lt;&gt;"", _xlfn.XLOOKUP(1,((SKUs!$A$2:$A$10001=cl_unmerged!B1034) * (ISNUMBER(SEARCH("Sash",SKUs!$J$2:$J$10001)))), SKUs!$J$2:$J$10001,""),"")</f>
        <v/>
      </c>
    </row>
    <row r="1035" spans="1:11" ht="13.5" customHeight="1" x14ac:dyDescent="0.25">
      <c r="A1035" s="41" t="str">
        <f>_xlfn.XLOOKUP(G1035,dd_color!$A$2:$A$8,dd_color!$B$2:$B$8,"",0)</f>
        <v/>
      </c>
      <c r="B1035" s="41">
        <f>_xlfn.XLOOKUP(_xlfn.XLOOKUP(C1035,'Project Details'!$C$17:$C$10003,'Project Details'!$E$17:$E$10003, "",0),dd_design_raw!$A$2:$A$9997,dd_design_raw!$C$2:$C$9997,"",0)</f>
        <v>0</v>
      </c>
      <c r="C1035" s="16"/>
      <c r="D1035" s="16" t="str" cm="1">
        <f t="array" ref="D1035">IF(C1035&lt;&gt;"", _xlfn.IFS(I1035="Height SLI",_xlfn.XLOOKUP(C1035,'calc_s90&amp;138'!$C$15:$C$1000,'calc_s90&amp;138'!$BJ$15:$BJ$1000,"",0),  I1035="Height FIX",_xlfn.XLOOKUP(C1035,'calc_s90&amp;138'!$C$15:$C$1000,'calc_s90&amp;138'!$BL$15:$BL$1000,"",0),  I1035="Width", _xlfn.XLOOKUP(C1035,'calc_s90&amp;138'!$C$15:$C$1000,'calc_s90&amp;138'!$BN$15:$BN$1000,"",0)),"")</f>
        <v/>
      </c>
      <c r="E1035" s="16" t="str" cm="1">
        <f t="array" ref="E1035">IF(C1035&lt;&gt;"", _xlfn.XLOOKUP(1,((SKUs!$A$2:$A$10001=cl_unmerged!B1035) * (ISNUMBER(SEARCH("Steel-"&amp;K1035,SKUs!$J$2:$J$10001)))), SKUs!$J$2:$J$10001,""),"")  &amp; _xlfn.IFS(I1035="Height", ", H",I1035="Height SLI", ", H SLI", I1035="Height FIX", ", H FIX",I1035="Width", ", W", I1035="", "")</f>
        <v/>
      </c>
      <c r="F1035" s="33" t="str" cm="1">
        <f t="array" ref="F1035">_xlfn.XLOOKUP(1,((SKUs!$A$2:$A$10001=cl_unmerged!B1035) * (ISNUMBER(SEARCH("Steel-"&amp;K1035,SKUs!$J$2:$J$10001)))), SKUs!$C$2:$C$10001,"")</f>
        <v/>
      </c>
      <c r="G1035" s="16"/>
      <c r="H1035" s="16" t="str" cm="1">
        <f t="array" ref="H1035">IF(C1035&lt;&gt;"", _xlfn.IFS(I1035="Height SLI",_xlfn.XLOOKUP(C1035,'calc_s90&amp;138'!$C$15:$C$1000,'calc_s90&amp;138'!$BI$15:$BI$1000,"",0), I1035="Height FIX",_xlfn.XLOOKUP(C1035,'calc_s90&amp;138'!$C$15:$C$1000,'calc_s90&amp;138'!$BK$15:$BK$1000,"",0), I1035="Width", _xlfn.XLOOKUP(C1035,'calc_s90&amp;138'!$C$15:$C$1000,'calc_s90&amp;138'!$BM$15:$BM$1000,"",0)),"")</f>
        <v/>
      </c>
      <c r="I1035" s="16" t="str">
        <f t="shared" ref="I1035:I1056" si="23">IF(C1035&lt;&gt;"", I1032,"")</f>
        <v/>
      </c>
      <c r="K1035" s="1" t="str" cm="1">
        <f t="array" ref="K1035">IF(C1035&lt;&gt;"", _xlfn.XLOOKUP(1,((SKUs!$A$2:$A$10001=cl_unmerged!B1035) * (ISNUMBER(SEARCH("Sash",SKUs!$J$2:$J$10001)))), SKUs!$J$2:$J$10001,""),"")</f>
        <v/>
      </c>
    </row>
    <row r="1036" spans="1:11" ht="13.5" customHeight="1" x14ac:dyDescent="0.25">
      <c r="A1036" s="41" t="str">
        <f>_xlfn.XLOOKUP(G1036,dd_color!$A$2:$A$8,dd_color!$B$2:$B$8,"",0)</f>
        <v/>
      </c>
      <c r="B1036" s="41" t="str">
        <f>_xlfn.XLOOKUP(_xlfn.XLOOKUP(C1036,'Project Details'!$C$17:$C$10003,'Project Details'!$E$17:$E$10003, "",0),dd_design_raw!$A$2:$A$9997,dd_design_raw!$C$2:$C$9997,"",0)</f>
        <v/>
      </c>
      <c r="C1036" s="16"/>
      <c r="D1036" s="16" t="str" cm="1">
        <f t="array" ref="D1036">IF(C1036&lt;&gt;"", _xlfn.IFS(I1036="Height SLI",_xlfn.XLOOKUP(C1036,'calc_s90&amp;138'!$C$15:$C$1000,'calc_s90&amp;138'!$BJ$15:$BJ$1000,"",0),  I1036="Height FIX",_xlfn.XLOOKUP(C1036,'calc_s90&amp;138'!$C$15:$C$1000,'calc_s90&amp;138'!$BL$15:$BL$1000,"",0),  I1036="Width", _xlfn.XLOOKUP(C1036,'calc_s90&amp;138'!$C$15:$C$1000,'calc_s90&amp;138'!$BN$15:$BN$1000,"",0)),"")</f>
        <v/>
      </c>
      <c r="E1036" s="16" t="str" cm="1">
        <f t="array" ref="E1036">IF(C1036&lt;&gt;"", _xlfn.XLOOKUP(1,((SKUs!$A$2:$A$10001=cl_unmerged!B1036) * (ISNUMBER(SEARCH("Steel-"&amp;K1036,SKUs!$J$2:$J$10001)))), SKUs!$J$2:$J$10001,""),"")  &amp; _xlfn.IFS(I1036="Height", ", H",I1036="Height SLI", ", H SLI", I1036="Height FIX", ", H FIX",I1036="Width", ", W", I1036="", "")</f>
        <v/>
      </c>
      <c r="F1036" s="33" t="str" cm="1">
        <f t="array" ref="F1036">_xlfn.XLOOKUP(1,((SKUs!$A$2:$A$10001=cl_unmerged!B1036) * (ISNUMBER(SEARCH("Steel-"&amp;K1036,SKUs!$J$2:$J$10001)))), SKUs!$C$2:$C$10001,"")</f>
        <v/>
      </c>
      <c r="G1036" s="16"/>
      <c r="H1036" s="16" t="str" cm="1">
        <f t="array" ref="H1036">IF(C1036&lt;&gt;"", _xlfn.IFS(I1036="Height SLI",_xlfn.XLOOKUP(C1036,'calc_s90&amp;138'!$C$15:$C$1000,'calc_s90&amp;138'!$BI$15:$BI$1000,"",0), I1036="Height FIX",_xlfn.XLOOKUP(C1036,'calc_s90&amp;138'!$C$15:$C$1000,'calc_s90&amp;138'!$BK$15:$BK$1000,"",0), I1036="Width", _xlfn.XLOOKUP(C1036,'calc_s90&amp;138'!$C$15:$C$1000,'calc_s90&amp;138'!$BM$15:$BM$1000,"",0)),"")</f>
        <v/>
      </c>
      <c r="I1036" s="16" t="str">
        <f t="shared" si="23"/>
        <v/>
      </c>
      <c r="K1036" s="1" t="str" cm="1">
        <f t="array" ref="K1036">IF(C1036&lt;&gt;"", _xlfn.XLOOKUP(1,((SKUs!$A$2:$A$10001=cl_unmerged!B1036) * (ISNUMBER(SEARCH("Sash",SKUs!$J$2:$J$10001)))), SKUs!$J$2:$J$10001,""),"")</f>
        <v/>
      </c>
    </row>
    <row r="1037" spans="1:11" ht="13.5" customHeight="1" x14ac:dyDescent="0.25">
      <c r="A1037" s="41" t="str">
        <f>_xlfn.XLOOKUP(G1037,dd_color!$A$2:$A$8,dd_color!$B$2:$B$8,"",0)</f>
        <v/>
      </c>
      <c r="B1037" s="41">
        <f>_xlfn.XLOOKUP(_xlfn.XLOOKUP(C1037,'Project Details'!$C$17:$C$10003,'Project Details'!$E$17:$E$10003, "",0),dd_design_raw!$A$2:$A$9997,dd_design_raw!$C$2:$C$9997,"",0)</f>
        <v>0</v>
      </c>
      <c r="C1037" s="16"/>
      <c r="D1037" s="16" t="str" cm="1">
        <f t="array" ref="D1037">IF(C1037&lt;&gt;"", _xlfn.IFS(I1037="Height SLI",_xlfn.XLOOKUP(C1037,'calc_s90&amp;138'!$C$15:$C$1000,'calc_s90&amp;138'!$BJ$15:$BJ$1000,"",0),  I1037="Height FIX",_xlfn.XLOOKUP(C1037,'calc_s90&amp;138'!$C$15:$C$1000,'calc_s90&amp;138'!$BL$15:$BL$1000,"",0),  I1037="Width", _xlfn.XLOOKUP(C1037,'calc_s90&amp;138'!$C$15:$C$1000,'calc_s90&amp;138'!$BN$15:$BN$1000,"",0)),"")</f>
        <v/>
      </c>
      <c r="E1037" s="16" t="str" cm="1">
        <f t="array" ref="E1037">IF(C1037&lt;&gt;"", _xlfn.XLOOKUP(1,((SKUs!$A$2:$A$10001=cl_unmerged!B1037) * (ISNUMBER(SEARCH("Steel-"&amp;K1037,SKUs!$J$2:$J$10001)))), SKUs!$J$2:$J$10001,""),"")  &amp; _xlfn.IFS(I1037="Height", ", H",I1037="Height SLI", ", H SLI", I1037="Height FIX", ", H FIX",I1037="Width", ", W", I1037="", "")</f>
        <v/>
      </c>
      <c r="F1037" s="33" t="str" cm="1">
        <f t="array" ref="F1037">_xlfn.XLOOKUP(1,((SKUs!$A$2:$A$10001=cl_unmerged!B1037) * (ISNUMBER(SEARCH("Steel-"&amp;K1037,SKUs!$J$2:$J$10001)))), SKUs!$C$2:$C$10001,"")</f>
        <v/>
      </c>
      <c r="G1037" s="16"/>
      <c r="H1037" s="16" t="str" cm="1">
        <f t="array" ref="H1037">IF(C1037&lt;&gt;"", _xlfn.IFS(I1037="Height SLI",_xlfn.XLOOKUP(C1037,'calc_s90&amp;138'!$C$15:$C$1000,'calc_s90&amp;138'!$BI$15:$BI$1000,"",0), I1037="Height FIX",_xlfn.XLOOKUP(C1037,'calc_s90&amp;138'!$C$15:$C$1000,'calc_s90&amp;138'!$BK$15:$BK$1000,"",0), I1037="Width", _xlfn.XLOOKUP(C1037,'calc_s90&amp;138'!$C$15:$C$1000,'calc_s90&amp;138'!$BM$15:$BM$1000,"",0)),"")</f>
        <v/>
      </c>
      <c r="I1037" s="16" t="str">
        <f t="shared" si="23"/>
        <v/>
      </c>
      <c r="K1037" s="1" t="str" cm="1">
        <f t="array" ref="K1037">IF(C1037&lt;&gt;"", _xlfn.XLOOKUP(1,((SKUs!$A$2:$A$10001=cl_unmerged!B1037) * (ISNUMBER(SEARCH("Sash",SKUs!$J$2:$J$10001)))), SKUs!$J$2:$J$10001,""),"")</f>
        <v/>
      </c>
    </row>
    <row r="1038" spans="1:11" ht="13.5" customHeight="1" x14ac:dyDescent="0.25">
      <c r="A1038" s="41" t="str">
        <f>_xlfn.XLOOKUP(G1038,dd_color!$A$2:$A$8,dd_color!$B$2:$B$8,"",0)</f>
        <v/>
      </c>
      <c r="B1038" s="41">
        <f>_xlfn.XLOOKUP(_xlfn.XLOOKUP(C1038,'Project Details'!$C$17:$C$10003,'Project Details'!$E$17:$E$10003, "",0),dd_design_raw!$A$2:$A$9997,dd_design_raw!$C$2:$C$9997,"",0)</f>
        <v>0</v>
      </c>
      <c r="C1038" s="16"/>
      <c r="D1038" s="16" t="str" cm="1">
        <f t="array" ref="D1038">IF(C1038&lt;&gt;"", _xlfn.IFS(I1038="Height SLI",_xlfn.XLOOKUP(C1038,'calc_s90&amp;138'!$C$15:$C$1000,'calc_s90&amp;138'!$BJ$15:$BJ$1000,"",0),  I1038="Height FIX",_xlfn.XLOOKUP(C1038,'calc_s90&amp;138'!$C$15:$C$1000,'calc_s90&amp;138'!$BL$15:$BL$1000,"",0),  I1038="Width", _xlfn.XLOOKUP(C1038,'calc_s90&amp;138'!$C$15:$C$1000,'calc_s90&amp;138'!$BN$15:$BN$1000,"",0)),"")</f>
        <v/>
      </c>
      <c r="E1038" s="16" t="str" cm="1">
        <f t="array" ref="E1038">IF(C1038&lt;&gt;"", _xlfn.XLOOKUP(1,((SKUs!$A$2:$A$10001=cl_unmerged!B1038) * (ISNUMBER(SEARCH("Steel-"&amp;K1038,SKUs!$J$2:$J$10001)))), SKUs!$J$2:$J$10001,""),"")  &amp; _xlfn.IFS(I1038="Height", ", H",I1038="Height SLI", ", H SLI", I1038="Height FIX", ", H FIX",I1038="Width", ", W", I1038="", "")</f>
        <v/>
      </c>
      <c r="F1038" s="33" t="str" cm="1">
        <f t="array" ref="F1038">_xlfn.XLOOKUP(1,((SKUs!$A$2:$A$10001=cl_unmerged!B1038) * (ISNUMBER(SEARCH("Steel-"&amp;K1038,SKUs!$J$2:$J$10001)))), SKUs!$C$2:$C$10001,"")</f>
        <v/>
      </c>
      <c r="G1038" s="16"/>
      <c r="H1038" s="16" t="str" cm="1">
        <f t="array" ref="H1038">IF(C1038&lt;&gt;"", _xlfn.IFS(I1038="Height SLI",_xlfn.XLOOKUP(C1038,'calc_s90&amp;138'!$C$15:$C$1000,'calc_s90&amp;138'!$BI$15:$BI$1000,"",0), I1038="Height FIX",_xlfn.XLOOKUP(C1038,'calc_s90&amp;138'!$C$15:$C$1000,'calc_s90&amp;138'!$BK$15:$BK$1000,"",0), I1038="Width", _xlfn.XLOOKUP(C1038,'calc_s90&amp;138'!$C$15:$C$1000,'calc_s90&amp;138'!$BM$15:$BM$1000,"",0)),"")</f>
        <v/>
      </c>
      <c r="I1038" s="16" t="str">
        <f t="shared" si="23"/>
        <v/>
      </c>
      <c r="K1038" s="1" t="str" cm="1">
        <f t="array" ref="K1038">IF(C1038&lt;&gt;"", _xlfn.XLOOKUP(1,((SKUs!$A$2:$A$10001=cl_unmerged!B1038) * (ISNUMBER(SEARCH("Sash",SKUs!$J$2:$J$10001)))), SKUs!$J$2:$J$10001,""),"")</f>
        <v/>
      </c>
    </row>
    <row r="1039" spans="1:11" ht="13.5" customHeight="1" x14ac:dyDescent="0.25">
      <c r="A1039" s="41" t="str">
        <f>_xlfn.XLOOKUP(G1039,dd_color!$A$2:$A$8,dd_color!$B$2:$B$8,"",0)</f>
        <v/>
      </c>
      <c r="B1039" s="41" t="str">
        <f>_xlfn.XLOOKUP(_xlfn.XLOOKUP(C1039,'Project Details'!$C$17:$C$10003,'Project Details'!$E$17:$E$10003, "",0),dd_design_raw!$A$2:$A$9997,dd_design_raw!$C$2:$C$9997,"",0)</f>
        <v/>
      </c>
      <c r="C1039" s="16"/>
      <c r="D1039" s="16" t="str" cm="1">
        <f t="array" ref="D1039">IF(C1039&lt;&gt;"", _xlfn.IFS(I1039="Height SLI",_xlfn.XLOOKUP(C1039,'calc_s90&amp;138'!$C$15:$C$1000,'calc_s90&amp;138'!$BJ$15:$BJ$1000,"",0),  I1039="Height FIX",_xlfn.XLOOKUP(C1039,'calc_s90&amp;138'!$C$15:$C$1000,'calc_s90&amp;138'!$BL$15:$BL$1000,"",0),  I1039="Width", _xlfn.XLOOKUP(C1039,'calc_s90&amp;138'!$C$15:$C$1000,'calc_s90&amp;138'!$BN$15:$BN$1000,"",0)),"")</f>
        <v/>
      </c>
      <c r="E1039" s="16" t="str" cm="1">
        <f t="array" ref="E1039">IF(C1039&lt;&gt;"", _xlfn.XLOOKUP(1,((SKUs!$A$2:$A$10001=cl_unmerged!B1039) * (ISNUMBER(SEARCH("Steel-"&amp;K1039,SKUs!$J$2:$J$10001)))), SKUs!$J$2:$J$10001,""),"")  &amp; _xlfn.IFS(I1039="Height", ", H",I1039="Height SLI", ", H SLI", I1039="Height FIX", ", H FIX",I1039="Width", ", W", I1039="", "")</f>
        <v/>
      </c>
      <c r="F1039" s="33" t="str" cm="1">
        <f t="array" ref="F1039">_xlfn.XLOOKUP(1,((SKUs!$A$2:$A$10001=cl_unmerged!B1039) * (ISNUMBER(SEARCH("Steel-"&amp;K1039,SKUs!$J$2:$J$10001)))), SKUs!$C$2:$C$10001,"")</f>
        <v/>
      </c>
      <c r="G1039" s="16"/>
      <c r="H1039" s="16" t="str" cm="1">
        <f t="array" ref="H1039">IF(C1039&lt;&gt;"", _xlfn.IFS(I1039="Height SLI",_xlfn.XLOOKUP(C1039,'calc_s90&amp;138'!$C$15:$C$1000,'calc_s90&amp;138'!$BI$15:$BI$1000,"",0), I1039="Height FIX",_xlfn.XLOOKUP(C1039,'calc_s90&amp;138'!$C$15:$C$1000,'calc_s90&amp;138'!$BK$15:$BK$1000,"",0), I1039="Width", _xlfn.XLOOKUP(C1039,'calc_s90&amp;138'!$C$15:$C$1000,'calc_s90&amp;138'!$BM$15:$BM$1000,"",0)),"")</f>
        <v/>
      </c>
      <c r="I1039" s="16" t="str">
        <f t="shared" si="23"/>
        <v/>
      </c>
      <c r="K1039" s="1" t="str" cm="1">
        <f t="array" ref="K1039">IF(C1039&lt;&gt;"", _xlfn.XLOOKUP(1,((SKUs!$A$2:$A$10001=cl_unmerged!B1039) * (ISNUMBER(SEARCH("Sash",SKUs!$J$2:$J$10001)))), SKUs!$J$2:$J$10001,""),"")</f>
        <v/>
      </c>
    </row>
    <row r="1040" spans="1:11" ht="13.5" customHeight="1" x14ac:dyDescent="0.25">
      <c r="A1040" s="41" t="str">
        <f>_xlfn.XLOOKUP(G1040,dd_color!$A$2:$A$8,dd_color!$B$2:$B$8,"",0)</f>
        <v/>
      </c>
      <c r="B1040" s="41" t="str">
        <f>_xlfn.XLOOKUP(_xlfn.XLOOKUP(C1040,'Project Details'!$C$17:$C$10003,'Project Details'!$E$17:$E$10003, "",0),dd_design_raw!$A$2:$A$9997,dd_design_raw!$C$2:$C$9997,"",0)</f>
        <v/>
      </c>
      <c r="C1040" s="16"/>
      <c r="D1040" s="16" t="str" cm="1">
        <f t="array" ref="D1040">IF(C1040&lt;&gt;"", _xlfn.IFS(I1040="Height SLI",_xlfn.XLOOKUP(C1040,'calc_s90&amp;138'!$C$15:$C$1000,'calc_s90&amp;138'!$BJ$15:$BJ$1000,"",0),  I1040="Height FIX",_xlfn.XLOOKUP(C1040,'calc_s90&amp;138'!$C$15:$C$1000,'calc_s90&amp;138'!$BL$15:$BL$1000,"",0),  I1040="Width", _xlfn.XLOOKUP(C1040,'calc_s90&amp;138'!$C$15:$C$1000,'calc_s90&amp;138'!$BN$15:$BN$1000,"",0)),"")</f>
        <v/>
      </c>
      <c r="E1040" s="16" t="str" cm="1">
        <f t="array" ref="E1040">IF(C1040&lt;&gt;"", _xlfn.XLOOKUP(1,((SKUs!$A$2:$A$10001=cl_unmerged!B1040) * (ISNUMBER(SEARCH("Steel-"&amp;K1040,SKUs!$J$2:$J$10001)))), SKUs!$J$2:$J$10001,""),"")  &amp; _xlfn.IFS(I1040="Height", ", H",I1040="Height SLI", ", H SLI", I1040="Height FIX", ", H FIX",I1040="Width", ", W", I1040="", "")</f>
        <v/>
      </c>
      <c r="F1040" s="33" t="str" cm="1">
        <f t="array" ref="F1040">_xlfn.XLOOKUP(1,((SKUs!$A$2:$A$10001=cl_unmerged!B1040) * (ISNUMBER(SEARCH("Steel-"&amp;K1040,SKUs!$J$2:$J$10001)))), SKUs!$C$2:$C$10001,"")</f>
        <v/>
      </c>
      <c r="G1040" s="16"/>
      <c r="H1040" s="16" t="str" cm="1">
        <f t="array" ref="H1040">IF(C1040&lt;&gt;"", _xlfn.IFS(I1040="Height SLI",_xlfn.XLOOKUP(C1040,'calc_s90&amp;138'!$C$15:$C$1000,'calc_s90&amp;138'!$BI$15:$BI$1000,"",0), I1040="Height FIX",_xlfn.XLOOKUP(C1040,'calc_s90&amp;138'!$C$15:$C$1000,'calc_s90&amp;138'!$BK$15:$BK$1000,"",0), I1040="Width", _xlfn.XLOOKUP(C1040,'calc_s90&amp;138'!$C$15:$C$1000,'calc_s90&amp;138'!$BM$15:$BM$1000,"",0)),"")</f>
        <v/>
      </c>
      <c r="I1040" s="16" t="str">
        <f t="shared" si="23"/>
        <v/>
      </c>
      <c r="K1040" s="1" t="str" cm="1">
        <f t="array" ref="K1040">IF(C1040&lt;&gt;"", _xlfn.XLOOKUP(1,((SKUs!$A$2:$A$10001=cl_unmerged!B1040) * (ISNUMBER(SEARCH("Sash",SKUs!$J$2:$J$10001)))), SKUs!$J$2:$J$10001,""),"")</f>
        <v/>
      </c>
    </row>
    <row r="1041" spans="1:11" ht="13.5" customHeight="1" x14ac:dyDescent="0.25">
      <c r="A1041" s="41" t="str">
        <f>_xlfn.XLOOKUP(G1041,dd_color!$A$2:$A$8,dd_color!$B$2:$B$8,"",0)</f>
        <v/>
      </c>
      <c r="B1041" s="41" t="str">
        <f>_xlfn.XLOOKUP(_xlfn.XLOOKUP(C1041,'Project Details'!$C$17:$C$10003,'Project Details'!$E$17:$E$10003, "",0),dd_design_raw!$A$2:$A$9997,dd_design_raw!$C$2:$C$9997,"",0)</f>
        <v/>
      </c>
      <c r="C1041" s="16"/>
      <c r="D1041" s="16" t="str" cm="1">
        <f t="array" ref="D1041">IF(C1041&lt;&gt;"", _xlfn.IFS(I1041="Height SLI",_xlfn.XLOOKUP(C1041,'calc_s90&amp;138'!$C$15:$C$1000,'calc_s90&amp;138'!$BJ$15:$BJ$1000,"",0),  I1041="Height FIX",_xlfn.XLOOKUP(C1041,'calc_s90&amp;138'!$C$15:$C$1000,'calc_s90&amp;138'!$BL$15:$BL$1000,"",0),  I1041="Width", _xlfn.XLOOKUP(C1041,'calc_s90&amp;138'!$C$15:$C$1000,'calc_s90&amp;138'!$BN$15:$BN$1000,"",0)),"")</f>
        <v/>
      </c>
      <c r="E1041" s="16" t="str" cm="1">
        <f t="array" ref="E1041">IF(C1041&lt;&gt;"", _xlfn.XLOOKUP(1,((SKUs!$A$2:$A$10001=cl_unmerged!B1041) * (ISNUMBER(SEARCH("Steel-"&amp;K1041,SKUs!$J$2:$J$10001)))), SKUs!$J$2:$J$10001,""),"")  &amp; _xlfn.IFS(I1041="Height", ", H",I1041="Height SLI", ", H SLI", I1041="Height FIX", ", H FIX",I1041="Width", ", W", I1041="", "")</f>
        <v/>
      </c>
      <c r="F1041" s="33" t="str" cm="1">
        <f t="array" ref="F1041">_xlfn.XLOOKUP(1,((SKUs!$A$2:$A$10001=cl_unmerged!B1041) * (ISNUMBER(SEARCH("Steel-"&amp;K1041,SKUs!$J$2:$J$10001)))), SKUs!$C$2:$C$10001,"")</f>
        <v/>
      </c>
      <c r="G1041" s="16"/>
      <c r="H1041" s="16" t="str" cm="1">
        <f t="array" ref="H1041">IF(C1041&lt;&gt;"", _xlfn.IFS(I1041="Height SLI",_xlfn.XLOOKUP(C1041,'calc_s90&amp;138'!$C$15:$C$1000,'calc_s90&amp;138'!$BI$15:$BI$1000,"",0), I1041="Height FIX",_xlfn.XLOOKUP(C1041,'calc_s90&amp;138'!$C$15:$C$1000,'calc_s90&amp;138'!$BK$15:$BK$1000,"",0), I1041="Width", _xlfn.XLOOKUP(C1041,'calc_s90&amp;138'!$C$15:$C$1000,'calc_s90&amp;138'!$BM$15:$BM$1000,"",0)),"")</f>
        <v/>
      </c>
      <c r="I1041" s="16" t="str">
        <f t="shared" si="23"/>
        <v/>
      </c>
      <c r="K1041" s="1" t="str" cm="1">
        <f t="array" ref="K1041">IF(C1041&lt;&gt;"", _xlfn.XLOOKUP(1,((SKUs!$A$2:$A$10001=cl_unmerged!B1041) * (ISNUMBER(SEARCH("Sash",SKUs!$J$2:$J$10001)))), SKUs!$J$2:$J$10001,""),"")</f>
        <v/>
      </c>
    </row>
    <row r="1042" spans="1:11" ht="13.5" customHeight="1" x14ac:dyDescent="0.25">
      <c r="A1042" s="41" t="str">
        <f>_xlfn.XLOOKUP(G1042,dd_color!$A$2:$A$8,dd_color!$B$2:$B$8,"",0)</f>
        <v/>
      </c>
      <c r="B1042" s="41">
        <f>_xlfn.XLOOKUP(_xlfn.XLOOKUP(C1042,'Project Details'!$C$17:$C$10003,'Project Details'!$E$17:$E$10003, "",0),dd_design_raw!$A$2:$A$9997,dd_design_raw!$C$2:$C$9997,"",0)</f>
        <v>0</v>
      </c>
      <c r="C1042" s="16"/>
      <c r="D1042" s="16" t="str" cm="1">
        <f t="array" ref="D1042">IF(C1042&lt;&gt;"", _xlfn.IFS(I1042="Height SLI",_xlfn.XLOOKUP(C1042,'calc_s90&amp;138'!$C$15:$C$1000,'calc_s90&amp;138'!$BJ$15:$BJ$1000,"",0),  I1042="Height FIX",_xlfn.XLOOKUP(C1042,'calc_s90&amp;138'!$C$15:$C$1000,'calc_s90&amp;138'!$BL$15:$BL$1000,"",0),  I1042="Width", _xlfn.XLOOKUP(C1042,'calc_s90&amp;138'!$C$15:$C$1000,'calc_s90&amp;138'!$BN$15:$BN$1000,"",0)),"")</f>
        <v/>
      </c>
      <c r="E1042" s="16" t="str" cm="1">
        <f t="array" ref="E1042">IF(C1042&lt;&gt;"", _xlfn.XLOOKUP(1,((SKUs!$A$2:$A$10001=cl_unmerged!B1042) * (ISNUMBER(SEARCH("Steel-"&amp;K1042,SKUs!$J$2:$J$10001)))), SKUs!$J$2:$J$10001,""),"")  &amp; _xlfn.IFS(I1042="Height", ", H",I1042="Height SLI", ", H SLI", I1042="Height FIX", ", H FIX",I1042="Width", ", W", I1042="", "")</f>
        <v/>
      </c>
      <c r="F1042" s="33" t="str" cm="1">
        <f t="array" ref="F1042">_xlfn.XLOOKUP(1,((SKUs!$A$2:$A$10001=cl_unmerged!B1042) * (ISNUMBER(SEARCH("Steel-"&amp;K1042,SKUs!$J$2:$J$10001)))), SKUs!$C$2:$C$10001,"")</f>
        <v/>
      </c>
      <c r="G1042" s="16"/>
      <c r="H1042" s="16" t="str" cm="1">
        <f t="array" ref="H1042">IF(C1042&lt;&gt;"", _xlfn.IFS(I1042="Height SLI",_xlfn.XLOOKUP(C1042,'calc_s90&amp;138'!$C$15:$C$1000,'calc_s90&amp;138'!$BI$15:$BI$1000,"",0), I1042="Height FIX",_xlfn.XLOOKUP(C1042,'calc_s90&amp;138'!$C$15:$C$1000,'calc_s90&amp;138'!$BK$15:$BK$1000,"",0), I1042="Width", _xlfn.XLOOKUP(C1042,'calc_s90&amp;138'!$C$15:$C$1000,'calc_s90&amp;138'!$BM$15:$BM$1000,"",0)),"")</f>
        <v/>
      </c>
      <c r="I1042" s="16" t="str">
        <f t="shared" si="23"/>
        <v/>
      </c>
      <c r="K1042" s="1" t="str" cm="1">
        <f t="array" ref="K1042">IF(C1042&lt;&gt;"", _xlfn.XLOOKUP(1,((SKUs!$A$2:$A$10001=cl_unmerged!B1042) * (ISNUMBER(SEARCH("Sash",SKUs!$J$2:$J$10001)))), SKUs!$J$2:$J$10001,""),"")</f>
        <v/>
      </c>
    </row>
    <row r="1043" spans="1:11" ht="13.5" customHeight="1" x14ac:dyDescent="0.25">
      <c r="A1043" s="41" t="str">
        <f>_xlfn.XLOOKUP(G1043,dd_color!$A$2:$A$8,dd_color!$B$2:$B$8,"",0)</f>
        <v/>
      </c>
      <c r="B1043" s="41">
        <f>_xlfn.XLOOKUP(_xlfn.XLOOKUP(C1043,'Project Details'!$C$17:$C$10003,'Project Details'!$E$17:$E$10003, "",0),dd_design_raw!$A$2:$A$9997,dd_design_raw!$C$2:$C$9997,"",0)</f>
        <v>0</v>
      </c>
      <c r="C1043" s="16"/>
      <c r="D1043" s="16" t="str" cm="1">
        <f t="array" ref="D1043">IF(C1043&lt;&gt;"", _xlfn.IFS(I1043="Height SLI",_xlfn.XLOOKUP(C1043,'calc_s90&amp;138'!$C$15:$C$1000,'calc_s90&amp;138'!$BJ$15:$BJ$1000,"",0),  I1043="Height FIX",_xlfn.XLOOKUP(C1043,'calc_s90&amp;138'!$C$15:$C$1000,'calc_s90&amp;138'!$BL$15:$BL$1000,"",0),  I1043="Width", _xlfn.XLOOKUP(C1043,'calc_s90&amp;138'!$C$15:$C$1000,'calc_s90&amp;138'!$BN$15:$BN$1000,"",0)),"")</f>
        <v/>
      </c>
      <c r="E1043" s="16" t="str" cm="1">
        <f t="array" ref="E1043">IF(C1043&lt;&gt;"", _xlfn.XLOOKUP(1,((SKUs!$A$2:$A$10001=cl_unmerged!B1043) * (ISNUMBER(SEARCH("Steel-"&amp;K1043,SKUs!$J$2:$J$10001)))), SKUs!$J$2:$J$10001,""),"")  &amp; _xlfn.IFS(I1043="Height", ", H",I1043="Height SLI", ", H SLI", I1043="Height FIX", ", H FIX",I1043="Width", ", W", I1043="", "")</f>
        <v/>
      </c>
      <c r="F1043" s="33" t="str" cm="1">
        <f t="array" ref="F1043">_xlfn.XLOOKUP(1,((SKUs!$A$2:$A$10001=cl_unmerged!B1043) * (ISNUMBER(SEARCH("Steel-"&amp;K1043,SKUs!$J$2:$J$10001)))), SKUs!$C$2:$C$10001,"")</f>
        <v/>
      </c>
      <c r="G1043" s="16"/>
      <c r="H1043" s="16" t="str" cm="1">
        <f t="array" ref="H1043">IF(C1043&lt;&gt;"", _xlfn.IFS(I1043="Height SLI",_xlfn.XLOOKUP(C1043,'calc_s90&amp;138'!$C$15:$C$1000,'calc_s90&amp;138'!$BI$15:$BI$1000,"",0), I1043="Height FIX",_xlfn.XLOOKUP(C1043,'calc_s90&amp;138'!$C$15:$C$1000,'calc_s90&amp;138'!$BK$15:$BK$1000,"",0), I1043="Width", _xlfn.XLOOKUP(C1043,'calc_s90&amp;138'!$C$15:$C$1000,'calc_s90&amp;138'!$BM$15:$BM$1000,"",0)),"")</f>
        <v/>
      </c>
      <c r="I1043" s="16" t="str">
        <f t="shared" si="23"/>
        <v/>
      </c>
      <c r="K1043" s="1" t="str" cm="1">
        <f t="array" ref="K1043">IF(C1043&lt;&gt;"", _xlfn.XLOOKUP(1,((SKUs!$A$2:$A$10001=cl_unmerged!B1043) * (ISNUMBER(SEARCH("Sash",SKUs!$J$2:$J$10001)))), SKUs!$J$2:$J$10001,""),"")</f>
        <v/>
      </c>
    </row>
    <row r="1044" spans="1:11" ht="13.5" customHeight="1" x14ac:dyDescent="0.25">
      <c r="A1044" s="41" t="str">
        <f>_xlfn.XLOOKUP(G1044,dd_color!$A$2:$A$8,dd_color!$B$2:$B$8,"",0)</f>
        <v/>
      </c>
      <c r="B1044" s="41" t="str">
        <f>_xlfn.XLOOKUP(_xlfn.XLOOKUP(C1044,'Project Details'!$C$17:$C$10003,'Project Details'!$E$17:$E$10003, "",0),dd_design_raw!$A$2:$A$9997,dd_design_raw!$C$2:$C$9997,"",0)</f>
        <v/>
      </c>
      <c r="C1044" s="16"/>
      <c r="D1044" s="16" t="str" cm="1">
        <f t="array" ref="D1044">IF(C1044&lt;&gt;"", _xlfn.IFS(I1044="Height SLI",_xlfn.XLOOKUP(C1044,'calc_s90&amp;138'!$C$15:$C$1000,'calc_s90&amp;138'!$BJ$15:$BJ$1000,"",0),  I1044="Height FIX",_xlfn.XLOOKUP(C1044,'calc_s90&amp;138'!$C$15:$C$1000,'calc_s90&amp;138'!$BL$15:$BL$1000,"",0),  I1044="Width", _xlfn.XLOOKUP(C1044,'calc_s90&amp;138'!$C$15:$C$1000,'calc_s90&amp;138'!$BN$15:$BN$1000,"",0)),"")</f>
        <v/>
      </c>
      <c r="E1044" s="16" t="str" cm="1">
        <f t="array" ref="E1044">IF(C1044&lt;&gt;"", _xlfn.XLOOKUP(1,((SKUs!$A$2:$A$10001=cl_unmerged!B1044) * (ISNUMBER(SEARCH("Steel-"&amp;K1044,SKUs!$J$2:$J$10001)))), SKUs!$J$2:$J$10001,""),"")  &amp; _xlfn.IFS(I1044="Height", ", H",I1044="Height SLI", ", H SLI", I1044="Height FIX", ", H FIX",I1044="Width", ", W", I1044="", "")</f>
        <v/>
      </c>
      <c r="F1044" s="33" t="str" cm="1">
        <f t="array" ref="F1044">_xlfn.XLOOKUP(1,((SKUs!$A$2:$A$10001=cl_unmerged!B1044) * (ISNUMBER(SEARCH("Steel-"&amp;K1044,SKUs!$J$2:$J$10001)))), SKUs!$C$2:$C$10001,"")</f>
        <v/>
      </c>
      <c r="G1044" s="16"/>
      <c r="H1044" s="16" t="str" cm="1">
        <f t="array" ref="H1044">IF(C1044&lt;&gt;"", _xlfn.IFS(I1044="Height SLI",_xlfn.XLOOKUP(C1044,'calc_s90&amp;138'!$C$15:$C$1000,'calc_s90&amp;138'!$BI$15:$BI$1000,"",0), I1044="Height FIX",_xlfn.XLOOKUP(C1044,'calc_s90&amp;138'!$C$15:$C$1000,'calc_s90&amp;138'!$BK$15:$BK$1000,"",0), I1044="Width", _xlfn.XLOOKUP(C1044,'calc_s90&amp;138'!$C$15:$C$1000,'calc_s90&amp;138'!$BM$15:$BM$1000,"",0)),"")</f>
        <v/>
      </c>
      <c r="I1044" s="16" t="str">
        <f t="shared" si="23"/>
        <v/>
      </c>
      <c r="K1044" s="1" t="str" cm="1">
        <f t="array" ref="K1044">IF(C1044&lt;&gt;"", _xlfn.XLOOKUP(1,((SKUs!$A$2:$A$10001=cl_unmerged!B1044) * (ISNUMBER(SEARCH("Sash",SKUs!$J$2:$J$10001)))), SKUs!$J$2:$J$10001,""),"")</f>
        <v/>
      </c>
    </row>
    <row r="1045" spans="1:11" ht="13.5" customHeight="1" x14ac:dyDescent="0.25">
      <c r="A1045" s="41" t="str">
        <f>_xlfn.XLOOKUP(G1045,dd_color!$A$2:$A$8,dd_color!$B$2:$B$8,"",0)</f>
        <v/>
      </c>
      <c r="B1045" s="41" t="str">
        <f>_xlfn.XLOOKUP(_xlfn.XLOOKUP(C1045,'Project Details'!$C$17:$C$10003,'Project Details'!$E$17:$E$10003, "",0),dd_design_raw!$A$2:$A$9997,dd_design_raw!$C$2:$C$9997,"",0)</f>
        <v/>
      </c>
      <c r="C1045" s="16"/>
      <c r="D1045" s="16" t="str" cm="1">
        <f t="array" ref="D1045">IF(C1045&lt;&gt;"", _xlfn.IFS(I1045="Height SLI",_xlfn.XLOOKUP(C1045,'calc_s90&amp;138'!$C$15:$C$1000,'calc_s90&amp;138'!$BJ$15:$BJ$1000,"",0),  I1045="Height FIX",_xlfn.XLOOKUP(C1045,'calc_s90&amp;138'!$C$15:$C$1000,'calc_s90&amp;138'!$BL$15:$BL$1000,"",0),  I1045="Width", _xlfn.XLOOKUP(C1045,'calc_s90&amp;138'!$C$15:$C$1000,'calc_s90&amp;138'!$BN$15:$BN$1000,"",0)),"")</f>
        <v/>
      </c>
      <c r="E1045" s="16" t="str" cm="1">
        <f t="array" ref="E1045">IF(C1045&lt;&gt;"", _xlfn.XLOOKUP(1,((SKUs!$A$2:$A$10001=cl_unmerged!B1045) * (ISNUMBER(SEARCH("Steel-"&amp;K1045,SKUs!$J$2:$J$10001)))), SKUs!$J$2:$J$10001,""),"")  &amp; _xlfn.IFS(I1045="Height", ", H",I1045="Height SLI", ", H SLI", I1045="Height FIX", ", H FIX",I1045="Width", ", W", I1045="", "")</f>
        <v/>
      </c>
      <c r="F1045" s="33" t="str" cm="1">
        <f t="array" ref="F1045">_xlfn.XLOOKUP(1,((SKUs!$A$2:$A$10001=cl_unmerged!B1045) * (ISNUMBER(SEARCH("Steel-"&amp;K1045,SKUs!$J$2:$J$10001)))), SKUs!$C$2:$C$10001,"")</f>
        <v/>
      </c>
      <c r="G1045" s="16"/>
      <c r="H1045" s="16" t="str" cm="1">
        <f t="array" ref="H1045">IF(C1045&lt;&gt;"", _xlfn.IFS(I1045="Height SLI",_xlfn.XLOOKUP(C1045,'calc_s90&amp;138'!$C$15:$C$1000,'calc_s90&amp;138'!$BI$15:$BI$1000,"",0), I1045="Height FIX",_xlfn.XLOOKUP(C1045,'calc_s90&amp;138'!$C$15:$C$1000,'calc_s90&amp;138'!$BK$15:$BK$1000,"",0), I1045="Width", _xlfn.XLOOKUP(C1045,'calc_s90&amp;138'!$C$15:$C$1000,'calc_s90&amp;138'!$BM$15:$BM$1000,"",0)),"")</f>
        <v/>
      </c>
      <c r="I1045" s="16" t="str">
        <f t="shared" si="23"/>
        <v/>
      </c>
      <c r="K1045" s="1" t="str" cm="1">
        <f t="array" ref="K1045">IF(C1045&lt;&gt;"", _xlfn.XLOOKUP(1,((SKUs!$A$2:$A$10001=cl_unmerged!B1045) * (ISNUMBER(SEARCH("Sash",SKUs!$J$2:$J$10001)))), SKUs!$J$2:$J$10001,""),"")</f>
        <v/>
      </c>
    </row>
    <row r="1046" spans="1:11" ht="13.5" customHeight="1" x14ac:dyDescent="0.25">
      <c r="A1046" s="41" t="str">
        <f>_xlfn.XLOOKUP(G1046,dd_color!$A$2:$A$8,dd_color!$B$2:$B$8,"",0)</f>
        <v/>
      </c>
      <c r="B1046" s="41">
        <f>_xlfn.XLOOKUP(_xlfn.XLOOKUP(C1046,'Project Details'!$C$17:$C$10003,'Project Details'!$E$17:$E$10003, "",0),dd_design_raw!$A$2:$A$9997,dd_design_raw!$C$2:$C$9997,"",0)</f>
        <v>0</v>
      </c>
      <c r="C1046" s="16"/>
      <c r="D1046" s="16" t="str" cm="1">
        <f t="array" ref="D1046">IF(C1046&lt;&gt;"", _xlfn.IFS(I1046="Height SLI",_xlfn.XLOOKUP(C1046,'calc_s90&amp;138'!$C$15:$C$1000,'calc_s90&amp;138'!$BJ$15:$BJ$1000,"",0),  I1046="Height FIX",_xlfn.XLOOKUP(C1046,'calc_s90&amp;138'!$C$15:$C$1000,'calc_s90&amp;138'!$BL$15:$BL$1000,"",0),  I1046="Width", _xlfn.XLOOKUP(C1046,'calc_s90&amp;138'!$C$15:$C$1000,'calc_s90&amp;138'!$BN$15:$BN$1000,"",0)),"")</f>
        <v/>
      </c>
      <c r="E1046" s="16" t="str" cm="1">
        <f t="array" ref="E1046">IF(C1046&lt;&gt;"", _xlfn.XLOOKUP(1,((SKUs!$A$2:$A$10001=cl_unmerged!B1046) * (ISNUMBER(SEARCH("Steel-"&amp;K1046,SKUs!$J$2:$J$10001)))), SKUs!$J$2:$J$10001,""),"")  &amp; _xlfn.IFS(I1046="Height", ", H",I1046="Height SLI", ", H SLI", I1046="Height FIX", ", H FIX",I1046="Width", ", W", I1046="", "")</f>
        <v/>
      </c>
      <c r="F1046" s="33" t="str" cm="1">
        <f t="array" ref="F1046">_xlfn.XLOOKUP(1,((SKUs!$A$2:$A$10001=cl_unmerged!B1046) * (ISNUMBER(SEARCH("Steel-"&amp;K1046,SKUs!$J$2:$J$10001)))), SKUs!$C$2:$C$10001,"")</f>
        <v/>
      </c>
      <c r="G1046" s="16"/>
      <c r="H1046" s="16" t="str" cm="1">
        <f t="array" ref="H1046">IF(C1046&lt;&gt;"", _xlfn.IFS(I1046="Height SLI",_xlfn.XLOOKUP(C1046,'calc_s90&amp;138'!$C$15:$C$1000,'calc_s90&amp;138'!$BI$15:$BI$1000,"",0), I1046="Height FIX",_xlfn.XLOOKUP(C1046,'calc_s90&amp;138'!$C$15:$C$1000,'calc_s90&amp;138'!$BK$15:$BK$1000,"",0), I1046="Width", _xlfn.XLOOKUP(C1046,'calc_s90&amp;138'!$C$15:$C$1000,'calc_s90&amp;138'!$BM$15:$BM$1000,"",0)),"")</f>
        <v/>
      </c>
      <c r="I1046" s="16" t="str">
        <f t="shared" si="23"/>
        <v/>
      </c>
      <c r="K1046" s="1" t="str" cm="1">
        <f t="array" ref="K1046">IF(C1046&lt;&gt;"", _xlfn.XLOOKUP(1,((SKUs!$A$2:$A$10001=cl_unmerged!B1046) * (ISNUMBER(SEARCH("Sash",SKUs!$J$2:$J$10001)))), SKUs!$J$2:$J$10001,""),"")</f>
        <v/>
      </c>
    </row>
    <row r="1047" spans="1:11" ht="13.5" customHeight="1" x14ac:dyDescent="0.25">
      <c r="A1047" s="41" t="str">
        <f>_xlfn.XLOOKUP(G1047,dd_color!$A$2:$A$8,dd_color!$B$2:$B$8,"",0)</f>
        <v/>
      </c>
      <c r="B1047" s="41" t="str">
        <f>_xlfn.XLOOKUP(_xlfn.XLOOKUP(C1047,'Project Details'!$C$17:$C$10003,'Project Details'!$E$17:$E$10003, "",0),dd_design_raw!$A$2:$A$9997,dd_design_raw!$C$2:$C$9997,"",0)</f>
        <v/>
      </c>
      <c r="C1047" s="16"/>
      <c r="D1047" s="16" t="str" cm="1">
        <f t="array" ref="D1047">IF(C1047&lt;&gt;"", _xlfn.IFS(I1047="Height SLI",_xlfn.XLOOKUP(C1047,'calc_s90&amp;138'!$C$15:$C$1000,'calc_s90&amp;138'!$BJ$15:$BJ$1000,"",0),  I1047="Height FIX",_xlfn.XLOOKUP(C1047,'calc_s90&amp;138'!$C$15:$C$1000,'calc_s90&amp;138'!$BL$15:$BL$1000,"",0),  I1047="Width", _xlfn.XLOOKUP(C1047,'calc_s90&amp;138'!$C$15:$C$1000,'calc_s90&amp;138'!$BN$15:$BN$1000,"",0)),"")</f>
        <v/>
      </c>
      <c r="E1047" s="16" t="str" cm="1">
        <f t="array" ref="E1047">IF(C1047&lt;&gt;"", _xlfn.XLOOKUP(1,((SKUs!$A$2:$A$10001=cl_unmerged!B1047) * (ISNUMBER(SEARCH("Steel-"&amp;K1047,SKUs!$J$2:$J$10001)))), SKUs!$J$2:$J$10001,""),"")  &amp; _xlfn.IFS(I1047="Height", ", H",I1047="Height SLI", ", H SLI", I1047="Height FIX", ", H FIX",I1047="Width", ", W", I1047="", "")</f>
        <v/>
      </c>
      <c r="F1047" s="33" t="str" cm="1">
        <f t="array" ref="F1047">_xlfn.XLOOKUP(1,((SKUs!$A$2:$A$10001=cl_unmerged!B1047) * (ISNUMBER(SEARCH("Steel-"&amp;K1047,SKUs!$J$2:$J$10001)))), SKUs!$C$2:$C$10001,"")</f>
        <v/>
      </c>
      <c r="G1047" s="16"/>
      <c r="H1047" s="16" t="str" cm="1">
        <f t="array" ref="H1047">IF(C1047&lt;&gt;"", _xlfn.IFS(I1047="Height SLI",_xlfn.XLOOKUP(C1047,'calc_s90&amp;138'!$C$15:$C$1000,'calc_s90&amp;138'!$BI$15:$BI$1000,"",0), I1047="Height FIX",_xlfn.XLOOKUP(C1047,'calc_s90&amp;138'!$C$15:$C$1000,'calc_s90&amp;138'!$BK$15:$BK$1000,"",0), I1047="Width", _xlfn.XLOOKUP(C1047,'calc_s90&amp;138'!$C$15:$C$1000,'calc_s90&amp;138'!$BM$15:$BM$1000,"",0)),"")</f>
        <v/>
      </c>
      <c r="I1047" s="16" t="str">
        <f t="shared" si="23"/>
        <v/>
      </c>
      <c r="K1047" s="1" t="str" cm="1">
        <f t="array" ref="K1047">IF(C1047&lt;&gt;"", _xlfn.XLOOKUP(1,((SKUs!$A$2:$A$10001=cl_unmerged!B1047) * (ISNUMBER(SEARCH("Sash",SKUs!$J$2:$J$10001)))), SKUs!$J$2:$J$10001,""),"")</f>
        <v/>
      </c>
    </row>
    <row r="1048" spans="1:11" ht="13.5" customHeight="1" x14ac:dyDescent="0.25">
      <c r="A1048" s="41" t="str">
        <f>_xlfn.XLOOKUP(G1048,dd_color!$A$2:$A$8,dd_color!$B$2:$B$8,"",0)</f>
        <v/>
      </c>
      <c r="B1048" s="41">
        <f>_xlfn.XLOOKUP(_xlfn.XLOOKUP(C1048,'Project Details'!$C$17:$C$10003,'Project Details'!$E$17:$E$10003, "",0),dd_design_raw!$A$2:$A$9997,dd_design_raw!$C$2:$C$9997,"",0)</f>
        <v>0</v>
      </c>
      <c r="C1048" s="16"/>
      <c r="D1048" s="16" t="str" cm="1">
        <f t="array" ref="D1048">IF(C1048&lt;&gt;"", _xlfn.IFS(I1048="Height SLI",_xlfn.XLOOKUP(C1048,'calc_s90&amp;138'!$C$15:$C$1000,'calc_s90&amp;138'!$BJ$15:$BJ$1000,"",0),  I1048="Height FIX",_xlfn.XLOOKUP(C1048,'calc_s90&amp;138'!$C$15:$C$1000,'calc_s90&amp;138'!$BL$15:$BL$1000,"",0),  I1048="Width", _xlfn.XLOOKUP(C1048,'calc_s90&amp;138'!$C$15:$C$1000,'calc_s90&amp;138'!$BN$15:$BN$1000,"",0)),"")</f>
        <v/>
      </c>
      <c r="E1048" s="16" t="str" cm="1">
        <f t="array" ref="E1048">IF(C1048&lt;&gt;"", _xlfn.XLOOKUP(1,((SKUs!$A$2:$A$10001=cl_unmerged!B1048) * (ISNUMBER(SEARCH("Steel-"&amp;K1048,SKUs!$J$2:$J$10001)))), SKUs!$J$2:$J$10001,""),"")  &amp; _xlfn.IFS(I1048="Height", ", H",I1048="Height SLI", ", H SLI", I1048="Height FIX", ", H FIX",I1048="Width", ", W", I1048="", "")</f>
        <v/>
      </c>
      <c r="F1048" s="33" t="str" cm="1">
        <f t="array" ref="F1048">_xlfn.XLOOKUP(1,((SKUs!$A$2:$A$10001=cl_unmerged!B1048) * (ISNUMBER(SEARCH("Steel-"&amp;K1048,SKUs!$J$2:$J$10001)))), SKUs!$C$2:$C$10001,"")</f>
        <v/>
      </c>
      <c r="G1048" s="16"/>
      <c r="H1048" s="16" t="str" cm="1">
        <f t="array" ref="H1048">IF(C1048&lt;&gt;"", _xlfn.IFS(I1048="Height SLI",_xlfn.XLOOKUP(C1048,'calc_s90&amp;138'!$C$15:$C$1000,'calc_s90&amp;138'!$BI$15:$BI$1000,"",0), I1048="Height FIX",_xlfn.XLOOKUP(C1048,'calc_s90&amp;138'!$C$15:$C$1000,'calc_s90&amp;138'!$BK$15:$BK$1000,"",0), I1048="Width", _xlfn.XLOOKUP(C1048,'calc_s90&amp;138'!$C$15:$C$1000,'calc_s90&amp;138'!$BM$15:$BM$1000,"",0)),"")</f>
        <v/>
      </c>
      <c r="I1048" s="16" t="str">
        <f t="shared" si="23"/>
        <v/>
      </c>
      <c r="K1048" s="1" t="str" cm="1">
        <f t="array" ref="K1048">IF(C1048&lt;&gt;"", _xlfn.XLOOKUP(1,((SKUs!$A$2:$A$10001=cl_unmerged!B1048) * (ISNUMBER(SEARCH("Sash",SKUs!$J$2:$J$10001)))), SKUs!$J$2:$J$10001,""),"")</f>
        <v/>
      </c>
    </row>
    <row r="1049" spans="1:11" ht="13.5" customHeight="1" x14ac:dyDescent="0.25">
      <c r="A1049" s="41" t="str">
        <f>_xlfn.XLOOKUP(G1049,dd_color!$A$2:$A$8,dd_color!$B$2:$B$8,"",0)</f>
        <v/>
      </c>
      <c r="B1049" s="41">
        <f>_xlfn.XLOOKUP(_xlfn.XLOOKUP(C1049,'Project Details'!$C$17:$C$10003,'Project Details'!$E$17:$E$10003, "",0),dd_design_raw!$A$2:$A$9997,dd_design_raw!$C$2:$C$9997,"",0)</f>
        <v>0</v>
      </c>
      <c r="C1049" s="16"/>
      <c r="D1049" s="16" t="str" cm="1">
        <f t="array" ref="D1049">IF(C1049&lt;&gt;"", _xlfn.IFS(I1049="Height SLI",_xlfn.XLOOKUP(C1049,'calc_s90&amp;138'!$C$15:$C$1000,'calc_s90&amp;138'!$BJ$15:$BJ$1000,"",0),  I1049="Height FIX",_xlfn.XLOOKUP(C1049,'calc_s90&amp;138'!$C$15:$C$1000,'calc_s90&amp;138'!$BL$15:$BL$1000,"",0),  I1049="Width", _xlfn.XLOOKUP(C1049,'calc_s90&amp;138'!$C$15:$C$1000,'calc_s90&amp;138'!$BN$15:$BN$1000,"",0)),"")</f>
        <v/>
      </c>
      <c r="E1049" s="16" t="str" cm="1">
        <f t="array" ref="E1049">IF(C1049&lt;&gt;"", _xlfn.XLOOKUP(1,((SKUs!$A$2:$A$10001=cl_unmerged!B1049) * (ISNUMBER(SEARCH("Steel-"&amp;K1049,SKUs!$J$2:$J$10001)))), SKUs!$J$2:$J$10001,""),"")  &amp; _xlfn.IFS(I1049="Height", ", H",I1049="Height SLI", ", H SLI", I1049="Height FIX", ", H FIX",I1049="Width", ", W", I1049="", "")</f>
        <v/>
      </c>
      <c r="F1049" s="33" t="str" cm="1">
        <f t="array" ref="F1049">_xlfn.XLOOKUP(1,((SKUs!$A$2:$A$10001=cl_unmerged!B1049) * (ISNUMBER(SEARCH("Steel-"&amp;K1049,SKUs!$J$2:$J$10001)))), SKUs!$C$2:$C$10001,"")</f>
        <v/>
      </c>
      <c r="G1049" s="16"/>
      <c r="H1049" s="16" t="str" cm="1">
        <f t="array" ref="H1049">IF(C1049&lt;&gt;"", _xlfn.IFS(I1049="Height SLI",_xlfn.XLOOKUP(C1049,'calc_s90&amp;138'!$C$15:$C$1000,'calc_s90&amp;138'!$BI$15:$BI$1000,"",0), I1049="Height FIX",_xlfn.XLOOKUP(C1049,'calc_s90&amp;138'!$C$15:$C$1000,'calc_s90&amp;138'!$BK$15:$BK$1000,"",0), I1049="Width", _xlfn.XLOOKUP(C1049,'calc_s90&amp;138'!$C$15:$C$1000,'calc_s90&amp;138'!$BM$15:$BM$1000,"",0)),"")</f>
        <v/>
      </c>
      <c r="I1049" s="16" t="str">
        <f t="shared" si="23"/>
        <v/>
      </c>
      <c r="K1049" s="1" t="str" cm="1">
        <f t="array" ref="K1049">IF(C1049&lt;&gt;"", _xlfn.XLOOKUP(1,((SKUs!$A$2:$A$10001=cl_unmerged!B1049) * (ISNUMBER(SEARCH("Sash",SKUs!$J$2:$J$10001)))), SKUs!$J$2:$J$10001,""),"")</f>
        <v/>
      </c>
    </row>
    <row r="1050" spans="1:11" ht="13.5" customHeight="1" x14ac:dyDescent="0.25">
      <c r="A1050" s="41" t="str">
        <f>_xlfn.XLOOKUP(G1050,dd_color!$A$2:$A$8,dd_color!$B$2:$B$8,"",0)</f>
        <v/>
      </c>
      <c r="B1050" s="41">
        <f>_xlfn.XLOOKUP(_xlfn.XLOOKUP(C1050,'Project Details'!$C$17:$C$10003,'Project Details'!$E$17:$E$10003, "",0),dd_design_raw!$A$2:$A$9997,dd_design_raw!$C$2:$C$9997,"",0)</f>
        <v>0</v>
      </c>
      <c r="C1050" s="16"/>
      <c r="D1050" s="16" t="str" cm="1">
        <f t="array" ref="D1050">IF(C1050&lt;&gt;"", _xlfn.IFS(I1050="Height SLI",_xlfn.XLOOKUP(C1050,'calc_s90&amp;138'!$C$15:$C$1000,'calc_s90&amp;138'!$BJ$15:$BJ$1000,"",0),  I1050="Height FIX",_xlfn.XLOOKUP(C1050,'calc_s90&amp;138'!$C$15:$C$1000,'calc_s90&amp;138'!$BL$15:$BL$1000,"",0),  I1050="Width", _xlfn.XLOOKUP(C1050,'calc_s90&amp;138'!$C$15:$C$1000,'calc_s90&amp;138'!$BN$15:$BN$1000,"",0)),"")</f>
        <v/>
      </c>
      <c r="E1050" s="16" t="str" cm="1">
        <f t="array" ref="E1050">IF(C1050&lt;&gt;"", _xlfn.XLOOKUP(1,((SKUs!$A$2:$A$10001=cl_unmerged!B1050) * (ISNUMBER(SEARCH("Steel-"&amp;K1050,SKUs!$J$2:$J$10001)))), SKUs!$J$2:$J$10001,""),"")  &amp; _xlfn.IFS(I1050="Height", ", H",I1050="Height SLI", ", H SLI", I1050="Height FIX", ", H FIX",I1050="Width", ", W", I1050="", "")</f>
        <v/>
      </c>
      <c r="F1050" s="33" t="str" cm="1">
        <f t="array" ref="F1050">_xlfn.XLOOKUP(1,((SKUs!$A$2:$A$10001=cl_unmerged!B1050) * (ISNUMBER(SEARCH("Steel-"&amp;K1050,SKUs!$J$2:$J$10001)))), SKUs!$C$2:$C$10001,"")</f>
        <v/>
      </c>
      <c r="G1050" s="16"/>
      <c r="H1050" s="16" t="str" cm="1">
        <f t="array" ref="H1050">IF(C1050&lt;&gt;"", _xlfn.IFS(I1050="Height SLI",_xlfn.XLOOKUP(C1050,'calc_s90&amp;138'!$C$15:$C$1000,'calc_s90&amp;138'!$BI$15:$BI$1000,"",0), I1050="Height FIX",_xlfn.XLOOKUP(C1050,'calc_s90&amp;138'!$C$15:$C$1000,'calc_s90&amp;138'!$BK$15:$BK$1000,"",0), I1050="Width", _xlfn.XLOOKUP(C1050,'calc_s90&amp;138'!$C$15:$C$1000,'calc_s90&amp;138'!$BM$15:$BM$1000,"",0)),"")</f>
        <v/>
      </c>
      <c r="I1050" s="16" t="str">
        <f t="shared" si="23"/>
        <v/>
      </c>
      <c r="K1050" s="1" t="str" cm="1">
        <f t="array" ref="K1050">IF(C1050&lt;&gt;"", _xlfn.XLOOKUP(1,((SKUs!$A$2:$A$10001=cl_unmerged!B1050) * (ISNUMBER(SEARCH("Sash",SKUs!$J$2:$J$10001)))), SKUs!$J$2:$J$10001,""),"")</f>
        <v/>
      </c>
    </row>
    <row r="1051" spans="1:11" ht="13.5" customHeight="1" x14ac:dyDescent="0.25">
      <c r="A1051" s="41" t="str">
        <f>_xlfn.XLOOKUP(G1051,dd_color!$A$2:$A$8,dd_color!$B$2:$B$8,"",0)</f>
        <v/>
      </c>
      <c r="B1051" s="41">
        <f>_xlfn.XLOOKUP(_xlfn.XLOOKUP(C1051,'Project Details'!$C$17:$C$10003,'Project Details'!$E$17:$E$10003, "",0),dd_design_raw!$A$2:$A$9997,dd_design_raw!$C$2:$C$9997,"",0)</f>
        <v>0</v>
      </c>
      <c r="C1051" s="16"/>
      <c r="D1051" s="16" t="str" cm="1">
        <f t="array" ref="D1051">IF(C1051&lt;&gt;"", _xlfn.IFS(I1051="Height SLI",_xlfn.XLOOKUP(C1051,'calc_s90&amp;138'!$C$15:$C$1000,'calc_s90&amp;138'!$BJ$15:$BJ$1000,"",0),  I1051="Height FIX",_xlfn.XLOOKUP(C1051,'calc_s90&amp;138'!$C$15:$C$1000,'calc_s90&amp;138'!$BL$15:$BL$1000,"",0),  I1051="Width", _xlfn.XLOOKUP(C1051,'calc_s90&amp;138'!$C$15:$C$1000,'calc_s90&amp;138'!$BN$15:$BN$1000,"",0)),"")</f>
        <v/>
      </c>
      <c r="E1051" s="16" t="str" cm="1">
        <f t="array" ref="E1051">IF(C1051&lt;&gt;"", _xlfn.XLOOKUP(1,((SKUs!$A$2:$A$10001=cl_unmerged!B1051) * (ISNUMBER(SEARCH("Steel-"&amp;K1051,SKUs!$J$2:$J$10001)))), SKUs!$J$2:$J$10001,""),"")  &amp; _xlfn.IFS(I1051="Height", ", H",I1051="Height SLI", ", H SLI", I1051="Height FIX", ", H FIX",I1051="Width", ", W", I1051="", "")</f>
        <v/>
      </c>
      <c r="F1051" s="33" t="str" cm="1">
        <f t="array" ref="F1051">_xlfn.XLOOKUP(1,((SKUs!$A$2:$A$10001=cl_unmerged!B1051) * (ISNUMBER(SEARCH("Steel-"&amp;K1051,SKUs!$J$2:$J$10001)))), SKUs!$C$2:$C$10001,"")</f>
        <v/>
      </c>
      <c r="G1051" s="16"/>
      <c r="H1051" s="16" t="str" cm="1">
        <f t="array" ref="H1051">IF(C1051&lt;&gt;"", _xlfn.IFS(I1051="Height SLI",_xlfn.XLOOKUP(C1051,'calc_s90&amp;138'!$C$15:$C$1000,'calc_s90&amp;138'!$BI$15:$BI$1000,"",0), I1051="Height FIX",_xlfn.XLOOKUP(C1051,'calc_s90&amp;138'!$C$15:$C$1000,'calc_s90&amp;138'!$BK$15:$BK$1000,"",0), I1051="Width", _xlfn.XLOOKUP(C1051,'calc_s90&amp;138'!$C$15:$C$1000,'calc_s90&amp;138'!$BM$15:$BM$1000,"",0)),"")</f>
        <v/>
      </c>
      <c r="I1051" s="16" t="str">
        <f t="shared" si="23"/>
        <v/>
      </c>
      <c r="K1051" s="1" t="str" cm="1">
        <f t="array" ref="K1051">IF(C1051&lt;&gt;"", _xlfn.XLOOKUP(1,((SKUs!$A$2:$A$10001=cl_unmerged!B1051) * (ISNUMBER(SEARCH("Sash",SKUs!$J$2:$J$10001)))), SKUs!$J$2:$J$10001,""),"")</f>
        <v/>
      </c>
    </row>
    <row r="1052" spans="1:11" ht="13.5" customHeight="1" x14ac:dyDescent="0.25">
      <c r="A1052" s="41" t="str">
        <f>_xlfn.XLOOKUP(G1052,dd_color!$A$2:$A$8,dd_color!$B$2:$B$8,"",0)</f>
        <v/>
      </c>
      <c r="B1052" s="41">
        <f>_xlfn.XLOOKUP(_xlfn.XLOOKUP(C1052,'Project Details'!$C$17:$C$10003,'Project Details'!$E$17:$E$10003, "",0),dd_design_raw!$A$2:$A$9997,dd_design_raw!$C$2:$C$9997,"",0)</f>
        <v>0</v>
      </c>
      <c r="C1052" s="16"/>
      <c r="D1052" s="16" t="str" cm="1">
        <f t="array" ref="D1052">IF(C1052&lt;&gt;"", _xlfn.IFS(I1052="Height SLI",_xlfn.XLOOKUP(C1052,'calc_s90&amp;138'!$C$15:$C$1000,'calc_s90&amp;138'!$BJ$15:$BJ$1000,"",0),  I1052="Height FIX",_xlfn.XLOOKUP(C1052,'calc_s90&amp;138'!$C$15:$C$1000,'calc_s90&amp;138'!$BL$15:$BL$1000,"",0),  I1052="Width", _xlfn.XLOOKUP(C1052,'calc_s90&amp;138'!$C$15:$C$1000,'calc_s90&amp;138'!$BN$15:$BN$1000,"",0)),"")</f>
        <v/>
      </c>
      <c r="E1052" s="16" t="str" cm="1">
        <f t="array" ref="E1052">IF(C1052&lt;&gt;"", _xlfn.XLOOKUP(1,((SKUs!$A$2:$A$10001=cl_unmerged!B1052) * (ISNUMBER(SEARCH("Steel-"&amp;K1052,SKUs!$J$2:$J$10001)))), SKUs!$J$2:$J$10001,""),"")  &amp; _xlfn.IFS(I1052="Height", ", H",I1052="Height SLI", ", H SLI", I1052="Height FIX", ", H FIX",I1052="Width", ", W", I1052="", "")</f>
        <v/>
      </c>
      <c r="F1052" s="33" t="str" cm="1">
        <f t="array" ref="F1052">_xlfn.XLOOKUP(1,((SKUs!$A$2:$A$10001=cl_unmerged!B1052) * (ISNUMBER(SEARCH("Steel-"&amp;K1052,SKUs!$J$2:$J$10001)))), SKUs!$C$2:$C$10001,"")</f>
        <v/>
      </c>
      <c r="G1052" s="16"/>
      <c r="H1052" s="16" t="str" cm="1">
        <f t="array" ref="H1052">IF(C1052&lt;&gt;"", _xlfn.IFS(I1052="Height SLI",_xlfn.XLOOKUP(C1052,'calc_s90&amp;138'!$C$15:$C$1000,'calc_s90&amp;138'!$BI$15:$BI$1000,"",0), I1052="Height FIX",_xlfn.XLOOKUP(C1052,'calc_s90&amp;138'!$C$15:$C$1000,'calc_s90&amp;138'!$BK$15:$BK$1000,"",0), I1052="Width", _xlfn.XLOOKUP(C1052,'calc_s90&amp;138'!$C$15:$C$1000,'calc_s90&amp;138'!$BM$15:$BM$1000,"",0)),"")</f>
        <v/>
      </c>
      <c r="I1052" s="16" t="str">
        <f t="shared" si="23"/>
        <v/>
      </c>
      <c r="K1052" s="1" t="str" cm="1">
        <f t="array" ref="K1052">IF(C1052&lt;&gt;"", _xlfn.XLOOKUP(1,((SKUs!$A$2:$A$10001=cl_unmerged!B1052) * (ISNUMBER(SEARCH("Sash",SKUs!$J$2:$J$10001)))), SKUs!$J$2:$J$10001,""),"")</f>
        <v/>
      </c>
    </row>
    <row r="1053" spans="1:11" ht="13.5" customHeight="1" x14ac:dyDescent="0.25">
      <c r="A1053" s="41" t="str">
        <f>_xlfn.XLOOKUP(G1053,dd_color!$A$2:$A$8,dd_color!$B$2:$B$8,"",0)</f>
        <v/>
      </c>
      <c r="B1053" s="41" t="str">
        <f>_xlfn.XLOOKUP(_xlfn.XLOOKUP(C1053,'Project Details'!$C$17:$C$10003,'Project Details'!$E$17:$E$10003, "",0),dd_design_raw!$A$2:$A$9997,dd_design_raw!$C$2:$C$9997,"",0)</f>
        <v/>
      </c>
      <c r="C1053" s="16"/>
      <c r="D1053" s="16" t="str" cm="1">
        <f t="array" ref="D1053">IF(C1053&lt;&gt;"", _xlfn.IFS(I1053="Height SLI",_xlfn.XLOOKUP(C1053,'calc_s90&amp;138'!$C$15:$C$1000,'calc_s90&amp;138'!$BJ$15:$BJ$1000,"",0),  I1053="Height FIX",_xlfn.XLOOKUP(C1053,'calc_s90&amp;138'!$C$15:$C$1000,'calc_s90&amp;138'!$BL$15:$BL$1000,"",0),  I1053="Width", _xlfn.XLOOKUP(C1053,'calc_s90&amp;138'!$C$15:$C$1000,'calc_s90&amp;138'!$BN$15:$BN$1000,"",0)),"")</f>
        <v/>
      </c>
      <c r="E1053" s="16" t="str" cm="1">
        <f t="array" ref="E1053">IF(C1053&lt;&gt;"", _xlfn.XLOOKUP(1,((SKUs!$A$2:$A$10001=cl_unmerged!B1053) * (ISNUMBER(SEARCH("Steel-"&amp;K1053,SKUs!$J$2:$J$10001)))), SKUs!$J$2:$J$10001,""),"")  &amp; _xlfn.IFS(I1053="Height", ", H",I1053="Height SLI", ", H SLI", I1053="Height FIX", ", H FIX",I1053="Width", ", W", I1053="", "")</f>
        <v/>
      </c>
      <c r="F1053" s="33" t="str" cm="1">
        <f t="array" ref="F1053">_xlfn.XLOOKUP(1,((SKUs!$A$2:$A$10001=cl_unmerged!B1053) * (ISNUMBER(SEARCH("Steel-"&amp;K1053,SKUs!$J$2:$J$10001)))), SKUs!$C$2:$C$10001,"")</f>
        <v/>
      </c>
      <c r="G1053" s="16"/>
      <c r="H1053" s="16" t="str" cm="1">
        <f t="array" ref="H1053">IF(C1053&lt;&gt;"", _xlfn.IFS(I1053="Height SLI",_xlfn.XLOOKUP(C1053,'calc_s90&amp;138'!$C$15:$C$1000,'calc_s90&amp;138'!$BI$15:$BI$1000,"",0), I1053="Height FIX",_xlfn.XLOOKUP(C1053,'calc_s90&amp;138'!$C$15:$C$1000,'calc_s90&amp;138'!$BK$15:$BK$1000,"",0), I1053="Width", _xlfn.XLOOKUP(C1053,'calc_s90&amp;138'!$C$15:$C$1000,'calc_s90&amp;138'!$BM$15:$BM$1000,"",0)),"")</f>
        <v/>
      </c>
      <c r="I1053" s="16" t="str">
        <f t="shared" si="23"/>
        <v/>
      </c>
      <c r="K1053" s="1" t="str" cm="1">
        <f t="array" ref="K1053">IF(C1053&lt;&gt;"", _xlfn.XLOOKUP(1,((SKUs!$A$2:$A$10001=cl_unmerged!B1053) * (ISNUMBER(SEARCH("Sash",SKUs!$J$2:$J$10001)))), SKUs!$J$2:$J$10001,""),"")</f>
        <v/>
      </c>
    </row>
    <row r="1054" spans="1:11" ht="13.5" customHeight="1" x14ac:dyDescent="0.25">
      <c r="A1054" s="41" t="str">
        <f>_xlfn.XLOOKUP(G1054,dd_color!$A$2:$A$8,dd_color!$B$2:$B$8,"",0)</f>
        <v/>
      </c>
      <c r="B1054" s="41" t="str">
        <f>_xlfn.XLOOKUP(_xlfn.XLOOKUP(C1054,'Project Details'!$C$17:$C$10003,'Project Details'!$E$17:$E$10003, "",0),dd_design_raw!$A$2:$A$9997,dd_design_raw!$C$2:$C$9997,"",0)</f>
        <v/>
      </c>
      <c r="C1054" s="16"/>
      <c r="D1054" s="16" t="str" cm="1">
        <f t="array" ref="D1054">IF(C1054&lt;&gt;"", _xlfn.IFS(I1054="Height SLI",_xlfn.XLOOKUP(C1054,'calc_s90&amp;138'!$C$15:$C$1000,'calc_s90&amp;138'!$BJ$15:$BJ$1000,"",0),  I1054="Height FIX",_xlfn.XLOOKUP(C1054,'calc_s90&amp;138'!$C$15:$C$1000,'calc_s90&amp;138'!$BL$15:$BL$1000,"",0),  I1054="Width", _xlfn.XLOOKUP(C1054,'calc_s90&amp;138'!$C$15:$C$1000,'calc_s90&amp;138'!$BN$15:$BN$1000,"",0)),"")</f>
        <v/>
      </c>
      <c r="E1054" s="16" t="str" cm="1">
        <f t="array" ref="E1054">IF(C1054&lt;&gt;"", _xlfn.XLOOKUP(1,((SKUs!$A$2:$A$10001=cl_unmerged!B1054) * (ISNUMBER(SEARCH("Steel-"&amp;K1054,SKUs!$J$2:$J$10001)))), SKUs!$J$2:$J$10001,""),"")  &amp; _xlfn.IFS(I1054="Height", ", H",I1054="Height SLI", ", H SLI", I1054="Height FIX", ", H FIX",I1054="Width", ", W", I1054="", "")</f>
        <v/>
      </c>
      <c r="F1054" s="33" t="str" cm="1">
        <f t="array" ref="F1054">_xlfn.XLOOKUP(1,((SKUs!$A$2:$A$10001=cl_unmerged!B1054) * (ISNUMBER(SEARCH("Steel-"&amp;K1054,SKUs!$J$2:$J$10001)))), SKUs!$C$2:$C$10001,"")</f>
        <v/>
      </c>
      <c r="G1054" s="16"/>
      <c r="H1054" s="16" t="str" cm="1">
        <f t="array" ref="H1054">IF(C1054&lt;&gt;"", _xlfn.IFS(I1054="Height SLI",_xlfn.XLOOKUP(C1054,'calc_s90&amp;138'!$C$15:$C$1000,'calc_s90&amp;138'!$BI$15:$BI$1000,"",0), I1054="Height FIX",_xlfn.XLOOKUP(C1054,'calc_s90&amp;138'!$C$15:$C$1000,'calc_s90&amp;138'!$BK$15:$BK$1000,"",0), I1054="Width", _xlfn.XLOOKUP(C1054,'calc_s90&amp;138'!$C$15:$C$1000,'calc_s90&amp;138'!$BM$15:$BM$1000,"",0)),"")</f>
        <v/>
      </c>
      <c r="I1054" s="16" t="str">
        <f t="shared" si="23"/>
        <v/>
      </c>
      <c r="K1054" s="1" t="str" cm="1">
        <f t="array" ref="K1054">IF(C1054&lt;&gt;"", _xlfn.XLOOKUP(1,((SKUs!$A$2:$A$10001=cl_unmerged!B1054) * (ISNUMBER(SEARCH("Sash",SKUs!$J$2:$J$10001)))), SKUs!$J$2:$J$10001,""),"")</f>
        <v/>
      </c>
    </row>
    <row r="1055" spans="1:11" ht="13.5" customHeight="1" x14ac:dyDescent="0.25">
      <c r="A1055" s="41" t="str">
        <f>_xlfn.XLOOKUP(G1055,dd_color!$A$2:$A$8,dd_color!$B$2:$B$8,"",0)</f>
        <v/>
      </c>
      <c r="B1055" s="41">
        <f>_xlfn.XLOOKUP(_xlfn.XLOOKUP(C1055,'Project Details'!$C$17:$C$10003,'Project Details'!$E$17:$E$10003, "",0),dd_design_raw!$A$2:$A$9997,dd_design_raw!$C$2:$C$9997,"",0)</f>
        <v>0</v>
      </c>
      <c r="C1055" s="16"/>
      <c r="D1055" s="16" t="str" cm="1">
        <f t="array" ref="D1055">IF(C1055&lt;&gt;"", _xlfn.IFS(I1055="Height SLI",_xlfn.XLOOKUP(C1055,'calc_s90&amp;138'!$C$15:$C$1000,'calc_s90&amp;138'!$BJ$15:$BJ$1000,"",0),  I1055="Height FIX",_xlfn.XLOOKUP(C1055,'calc_s90&amp;138'!$C$15:$C$1000,'calc_s90&amp;138'!$BL$15:$BL$1000,"",0),  I1055="Width", _xlfn.XLOOKUP(C1055,'calc_s90&amp;138'!$C$15:$C$1000,'calc_s90&amp;138'!$BN$15:$BN$1000,"",0)),"")</f>
        <v/>
      </c>
      <c r="E1055" s="16" t="str" cm="1">
        <f t="array" ref="E1055">IF(C1055&lt;&gt;"", _xlfn.XLOOKUP(1,((SKUs!$A$2:$A$10001=cl_unmerged!B1055) * (ISNUMBER(SEARCH("Steel-"&amp;K1055,SKUs!$J$2:$J$10001)))), SKUs!$J$2:$J$10001,""),"")  &amp; _xlfn.IFS(I1055="Height", ", H",I1055="Height SLI", ", H SLI", I1055="Height FIX", ", H FIX",I1055="Width", ", W", I1055="", "")</f>
        <v/>
      </c>
      <c r="F1055" s="33" t="str" cm="1">
        <f t="array" ref="F1055">_xlfn.XLOOKUP(1,((SKUs!$A$2:$A$10001=cl_unmerged!B1055) * (ISNUMBER(SEARCH("Steel-"&amp;K1055,SKUs!$J$2:$J$10001)))), SKUs!$C$2:$C$10001,"")</f>
        <v/>
      </c>
      <c r="G1055" s="16"/>
      <c r="H1055" s="16" t="str" cm="1">
        <f t="array" ref="H1055">IF(C1055&lt;&gt;"", _xlfn.IFS(I1055="Height SLI",_xlfn.XLOOKUP(C1055,'calc_s90&amp;138'!$C$15:$C$1000,'calc_s90&amp;138'!$BI$15:$BI$1000,"",0), I1055="Height FIX",_xlfn.XLOOKUP(C1055,'calc_s90&amp;138'!$C$15:$C$1000,'calc_s90&amp;138'!$BK$15:$BK$1000,"",0), I1055="Width", _xlfn.XLOOKUP(C1055,'calc_s90&amp;138'!$C$15:$C$1000,'calc_s90&amp;138'!$BM$15:$BM$1000,"",0)),"")</f>
        <v/>
      </c>
      <c r="I1055" s="16" t="str">
        <f t="shared" si="23"/>
        <v/>
      </c>
      <c r="K1055" s="1" t="str" cm="1">
        <f t="array" ref="K1055">IF(C1055&lt;&gt;"", _xlfn.XLOOKUP(1,((SKUs!$A$2:$A$10001=cl_unmerged!B1055) * (ISNUMBER(SEARCH("Sash",SKUs!$J$2:$J$10001)))), SKUs!$J$2:$J$10001,""),"")</f>
        <v/>
      </c>
    </row>
    <row r="1056" spans="1:11" ht="13.5" customHeight="1" x14ac:dyDescent="0.25">
      <c r="A1056" s="41" t="str">
        <f>_xlfn.XLOOKUP(G1056,dd_color!$A$2:$A$8,dd_color!$B$2:$B$8,"",0)</f>
        <v/>
      </c>
      <c r="B1056" s="41">
        <f>_xlfn.XLOOKUP(_xlfn.XLOOKUP(C1056,'Project Details'!$C$17:$C$10003,'Project Details'!$E$17:$E$10003, "",0),dd_design_raw!$A$2:$A$9997,dd_design_raw!$C$2:$C$9997,"",0)</f>
        <v>0</v>
      </c>
      <c r="C1056" s="16"/>
      <c r="D1056" s="16" t="str" cm="1">
        <f t="array" ref="D1056">IF(C1056&lt;&gt;"", _xlfn.IFS(I1056="Height SLI",_xlfn.XLOOKUP(C1056,'calc_s90&amp;138'!$C$15:$C$1000,'calc_s90&amp;138'!$BJ$15:$BJ$1000,"",0),  I1056="Height FIX",_xlfn.XLOOKUP(C1056,'calc_s90&amp;138'!$C$15:$C$1000,'calc_s90&amp;138'!$BL$15:$BL$1000,"",0),  I1056="Width", _xlfn.XLOOKUP(C1056,'calc_s90&amp;138'!$C$15:$C$1000,'calc_s90&amp;138'!$BN$15:$BN$1000,"",0)),"")</f>
        <v/>
      </c>
      <c r="E1056" s="16" t="str" cm="1">
        <f t="array" ref="E1056">IF(C1056&lt;&gt;"", _xlfn.XLOOKUP(1,((SKUs!$A$2:$A$10001=cl_unmerged!B1056) * (ISNUMBER(SEARCH("Steel-"&amp;K1056,SKUs!$J$2:$J$10001)))), SKUs!$J$2:$J$10001,""),"")  &amp; _xlfn.IFS(I1056="Height", ", H",I1056="Height SLI", ", H SLI", I1056="Height FIX", ", H FIX",I1056="Width", ", W", I1056="", "")</f>
        <v/>
      </c>
      <c r="F1056" s="33" t="str" cm="1">
        <f t="array" ref="F1056">_xlfn.XLOOKUP(1,((SKUs!$A$2:$A$10001=cl_unmerged!B1056) * (ISNUMBER(SEARCH("Steel-"&amp;K1056,SKUs!$J$2:$J$10001)))), SKUs!$C$2:$C$10001,"")</f>
        <v/>
      </c>
      <c r="G1056" s="16"/>
      <c r="H1056" s="16" t="str" cm="1">
        <f t="array" ref="H1056">IF(C1056&lt;&gt;"", _xlfn.IFS(I1056="Height SLI",_xlfn.XLOOKUP(C1056,'calc_s90&amp;138'!$C$15:$C$1000,'calc_s90&amp;138'!$BI$15:$BI$1000,"",0), I1056="Height FIX",_xlfn.XLOOKUP(C1056,'calc_s90&amp;138'!$C$15:$C$1000,'calc_s90&amp;138'!$BK$15:$BK$1000,"",0), I1056="Width", _xlfn.XLOOKUP(C1056,'calc_s90&amp;138'!$C$15:$C$1000,'calc_s90&amp;138'!$BM$15:$BM$1000,"",0)),"")</f>
        <v/>
      </c>
      <c r="I1056" s="16" t="str">
        <f t="shared" si="23"/>
        <v/>
      </c>
      <c r="K1056" s="1" t="str" cm="1">
        <f t="array" ref="K1056">IF(C1056&lt;&gt;"", _xlfn.XLOOKUP(1,((SKUs!$A$2:$A$10001=cl_unmerged!B1056) * (ISNUMBER(SEARCH("Sash",SKUs!$J$2:$J$10001)))), SKUs!$J$2:$J$10001,""),"")</f>
        <v/>
      </c>
    </row>
    <row r="1057" spans="1:9" ht="13.5" customHeight="1" x14ac:dyDescent="0.25">
      <c r="C1057" s="32" t="s">
        <v>723</v>
      </c>
      <c r="D1057" s="32"/>
      <c r="E1057" s="32"/>
      <c r="F1057" s="32"/>
      <c r="G1057" s="32"/>
      <c r="H1057" s="32"/>
      <c r="I1057" s="32"/>
    </row>
    <row r="1058" spans="1:9" ht="13.5" customHeight="1" x14ac:dyDescent="0.25">
      <c r="A1058" s="41" t="str">
        <f>_xlfn.XLOOKUP(G1058,dd_color!$A$2:$A$8,dd_color!$B$2:$B$8,"",0)</f>
        <v/>
      </c>
      <c r="B1058" s="41" t="str">
        <f>_xlfn.XLOOKUP(_xlfn.XLOOKUP(C1058,'Project Details'!$C$17:$C$10003,'Project Details'!$E$17:$E$10003, "",0),dd_design_raw!$A$2:$A$9997,dd_design_raw!$C$2:$C$9997,"",0)</f>
        <v/>
      </c>
      <c r="C1058" s="16" t="str" cm="1">
        <f t="array" ref="C1058:C1059">IFERROR(INDEX(_xlfn._xlws.FILTER('calc_s90&amp;138'!C15:C65, 'calc_s90&amp;138'!BP15:BP65&lt;&gt;""), INT((_xlfn.SEQUENCE(2 * COUNTA(_xlfn._xlws.FILTER('calc_s90&amp;138'!C15:C65, 'calc_s90&amp;138'!BP15:BP65&lt;&gt;""))) - 1) / 2) + 1), "")</f>
        <v/>
      </c>
      <c r="D1058" s="16" t="str" cm="1">
        <f t="array" ref="D1058">IF(C1058&lt;&gt;"", _xlfn.IFS(I1058="Height SLI",_xlfn.XLOOKUP(C1058,'calc_s90&amp;138'!$C$15:$C$1000,'calc_s90&amp;138'!$BQ$15:$BQ$1000,"",0),    I1058="Width", _xlfn.XLOOKUP(C1058,'calc_s90&amp;138'!$C$15:$C$1000,'calc_s90&amp;138'!$BS$15:$BS$1000,"",0)),"")</f>
        <v/>
      </c>
      <c r="E1058" s="16" t="str" cm="1">
        <f t="array" ref="E1058">IF(C1058&lt;&gt;"", _xlfn.XLOOKUP(1,((SKUs!$A$2:$A$10001=cl_unmerged!B1058) * (ISNUMBER(SEARCH("Steel-Sash66",SKUs!$J$2:$J$10001)))), SKUs!$J$2:$J$10001,""),"")  &amp; _xlfn.IFS(I1058="Height", ", H",I1058="Height SLI", ", H SLI", I1058="Height FIX", ", H FIX",I1058="Width", ", W", I1058="", "")</f>
        <v/>
      </c>
      <c r="F1058" s="33" t="str" cm="1">
        <f t="array" ref="F1058">_xlfn.XLOOKUP(1,((SKUs!$A$2:$A$10001=cl_unmerged!B1058) * (ISNUMBER(SEARCH("Steel-Sash66",SKUs!$J$2:$J$10001)))), SKUs!$C$2:$C$10001,"")</f>
        <v/>
      </c>
      <c r="G1058" s="16"/>
      <c r="H1058" s="16" t="str" cm="1">
        <f t="array" ref="H1058">IF(C1058&lt;&gt;"", _xlfn.IFS(I1058="Height SLI",_xlfn.XLOOKUP(C1058,'calc_s90&amp;138'!$C$15:$C$1000,'calc_s90&amp;138'!$BP$15:$BP$1000,"",0),  I1058="Width", _xlfn.XLOOKUP(C1058,'calc_s90&amp;138'!$C$15:$C$1000,'calc_s90&amp;138'!$BR$15:$BR$1000,"",0)),"")</f>
        <v/>
      </c>
      <c r="I1058" s="16" t="str">
        <f>IF(C1058&lt;&gt;"", IF(C1058=C1057, "Width", "Height SLI"),"")</f>
        <v/>
      </c>
    </row>
    <row r="1059" spans="1:9" ht="13.5" customHeight="1" x14ac:dyDescent="0.25">
      <c r="A1059" s="41" t="str">
        <f>_xlfn.XLOOKUP(G1059,dd_color!$A$2:$A$8,dd_color!$B$2:$B$8,"",0)</f>
        <v/>
      </c>
      <c r="B1059" s="41" t="str">
        <f>_xlfn.XLOOKUP(_xlfn.XLOOKUP(C1059,'Project Details'!$C$17:$C$10003,'Project Details'!$E$17:$E$10003, "",0),dd_design_raw!$A$2:$A$9997,dd_design_raw!$C$2:$C$9997,"",0)</f>
        <v/>
      </c>
      <c r="C1059" s="16" t="str">
        <v/>
      </c>
      <c r="D1059" s="16" t="str" cm="1">
        <f t="array" ref="D1059">IF(C1059&lt;&gt;"", _xlfn.IFS(I1059="Height SLI",_xlfn.XLOOKUP(C1059,'calc_s90&amp;138'!$C$15:$C$1000,'calc_s90&amp;138'!$BQ$15:$BQ$1000,"",0),    I1059="Width", _xlfn.XLOOKUP(C1059,'calc_s90&amp;138'!$C$15:$C$1000,'calc_s90&amp;138'!$BS$15:$BS$1000,"",0)),"")</f>
        <v/>
      </c>
      <c r="E1059" s="16" t="str" cm="1">
        <f t="array" ref="E1059">IF(C1059&lt;&gt;"", _xlfn.XLOOKUP(1,((SKUs!$A$2:$A$10001=cl_unmerged!B1059) * (ISNUMBER(SEARCH("Steel-Sash66",SKUs!$J$2:$J$10001)))), SKUs!$J$2:$J$10001,""),"")  &amp; _xlfn.IFS(I1059="Height", ", H",I1059="Height SLI", ", H SLI", I1059="Height FIX", ", H FIX",I1059="Width", ", W", I1059="", "")</f>
        <v/>
      </c>
      <c r="F1059" s="33" t="str" cm="1">
        <f t="array" ref="F1059">_xlfn.XLOOKUP(1,((SKUs!$A$2:$A$10001=cl_unmerged!B1059) * (ISNUMBER(SEARCH("Steel-Sash66",SKUs!$J$2:$J$10001)))), SKUs!$C$2:$C$10001,"")</f>
        <v/>
      </c>
      <c r="G1059" s="16"/>
      <c r="H1059" s="16" t="str" cm="1">
        <f t="array" ref="H1059">IF(C1059&lt;&gt;"", _xlfn.IFS(I1059="Height SLI",_xlfn.XLOOKUP(C1059,'calc_s90&amp;138'!$C$15:$C$1000,'calc_s90&amp;138'!$BP$15:$BP$1000,"",0),  I1059="Width", _xlfn.XLOOKUP(C1059,'calc_s90&amp;138'!$C$15:$C$1000,'calc_s90&amp;138'!$BR$15:$BR$1000,"",0)),"")</f>
        <v/>
      </c>
      <c r="I1059" s="16" t="str">
        <f>IF(C1059&lt;&gt;"", IF(C1059=C1058, "Width", "Height SLI"),"")</f>
        <v/>
      </c>
    </row>
    <row r="1060" spans="1:9" ht="13.5" customHeight="1" x14ac:dyDescent="0.25">
      <c r="A1060" s="41" t="str">
        <f>_xlfn.XLOOKUP(G1060,dd_color!$A$2:$A$8,dd_color!$B$2:$B$8,"",0)</f>
        <v/>
      </c>
      <c r="B1060" s="41">
        <f>_xlfn.XLOOKUP(_xlfn.XLOOKUP(C1060,'Project Details'!$C$17:$C$10003,'Project Details'!$E$17:$E$10003, "",0),dd_design_raw!$A$2:$A$9997,dd_design_raw!$C$2:$C$9997,"",0)</f>
        <v>0</v>
      </c>
      <c r="C1060" s="16"/>
      <c r="D1060" s="16" t="str" cm="1">
        <f t="array" ref="D1060">IF(C1060&lt;&gt;"", _xlfn.IFS(I1060="Height SLI",_xlfn.XLOOKUP(C1060,'calc_s90&amp;138'!$C$15:$C$1000,'calc_s90&amp;138'!$BQ$15:$BQ$1000,"",0),    I1060="Width", _xlfn.XLOOKUP(C1060,'calc_s90&amp;138'!$C$15:$C$1000,'calc_s90&amp;138'!$BS$15:$BS$1000,"",0)),"")</f>
        <v/>
      </c>
      <c r="E1060" s="16" t="str" cm="1">
        <f t="array" ref="E1060">IF(C1060&lt;&gt;"", _xlfn.XLOOKUP(1,((SKUs!$A$2:$A$10001=cl_unmerged!B1060) * (ISNUMBER(SEARCH("Steel-Sash66",SKUs!$J$2:$J$10001)))), SKUs!$J$2:$J$10001,""),"")  &amp; _xlfn.IFS(I1060="Height", ", H",I1060="Height SLI", ", H SLI", I1060="Height FIX", ", H FIX",I1060="Width", ", W", I1060="", "")</f>
        <v/>
      </c>
      <c r="F1060" s="33" t="str" cm="1">
        <f t="array" ref="F1060">_xlfn.XLOOKUP(1,((SKUs!$A$2:$A$10001=cl_unmerged!B1060) * (ISNUMBER(SEARCH("Steel-Sash66",SKUs!$J$2:$J$10001)))), SKUs!$C$2:$C$10001,"")</f>
        <v/>
      </c>
      <c r="G1060" s="16"/>
      <c r="H1060" s="16" t="str" cm="1">
        <f t="array" ref="H1060">IF(C1060&lt;&gt;"", _xlfn.IFS(I1060="Height SLI",_xlfn.XLOOKUP(C1060,'calc_s90&amp;138'!$C$15:$C$1000,'calc_s90&amp;138'!$BP$15:$BP$1000,"",0),  I1060="Width", _xlfn.XLOOKUP(C1060,'calc_s90&amp;138'!$C$15:$C$1000,'calc_s90&amp;138'!$BR$15:$BR$1000,"",0)),"")</f>
        <v/>
      </c>
      <c r="I1060" s="16" t="str">
        <f t="shared" ref="I1060:I1108" si="24">IF(C1060&lt;&gt;"", IF(C1060=C1059, "Width", "Height SLI"),"")</f>
        <v/>
      </c>
    </row>
    <row r="1061" spans="1:9" ht="13.5" customHeight="1" x14ac:dyDescent="0.25">
      <c r="A1061" s="41" t="str">
        <f>_xlfn.XLOOKUP(G1061,dd_color!$A$2:$A$8,dd_color!$B$2:$B$8,"",0)</f>
        <v/>
      </c>
      <c r="B1061" s="41">
        <f>_xlfn.XLOOKUP(_xlfn.XLOOKUP(C1061,'Project Details'!$C$17:$C$10003,'Project Details'!$E$17:$E$10003, "",0),dd_design_raw!$A$2:$A$9997,dd_design_raw!$C$2:$C$9997,"",0)</f>
        <v>0</v>
      </c>
      <c r="C1061" s="16"/>
      <c r="D1061" s="16" t="str" cm="1">
        <f t="array" ref="D1061">IF(C1061&lt;&gt;"", _xlfn.IFS(I1061="Height SLI",_xlfn.XLOOKUP(C1061,'calc_s90&amp;138'!$C$15:$C$1000,'calc_s90&amp;138'!$BQ$15:$BQ$1000,"",0),    I1061="Width", _xlfn.XLOOKUP(C1061,'calc_s90&amp;138'!$C$15:$C$1000,'calc_s90&amp;138'!$BS$15:$BS$1000,"",0)),"")</f>
        <v/>
      </c>
      <c r="E1061" s="16" t="str" cm="1">
        <f t="array" ref="E1061">IF(C1061&lt;&gt;"", _xlfn.XLOOKUP(1,((SKUs!$A$2:$A$10001=cl_unmerged!B1061) * (ISNUMBER(SEARCH("Steel-Sash66",SKUs!$J$2:$J$10001)))), SKUs!$J$2:$J$10001,""),"")  &amp; _xlfn.IFS(I1061="Height", ", H",I1061="Height SLI", ", H SLI", I1061="Height FIX", ", H FIX",I1061="Width", ", W", I1061="", "")</f>
        <v/>
      </c>
      <c r="F1061" s="33" t="str" cm="1">
        <f t="array" ref="F1061">_xlfn.XLOOKUP(1,((SKUs!$A$2:$A$10001=cl_unmerged!B1061) * (ISNUMBER(SEARCH("Steel-Sash66",SKUs!$J$2:$J$10001)))), SKUs!$C$2:$C$10001,"")</f>
        <v/>
      </c>
      <c r="G1061" s="16"/>
      <c r="H1061" s="16" t="str" cm="1">
        <f t="array" ref="H1061">IF(C1061&lt;&gt;"", _xlfn.IFS(I1061="Height SLI",_xlfn.XLOOKUP(C1061,'calc_s90&amp;138'!$C$15:$C$1000,'calc_s90&amp;138'!$BP$15:$BP$1000,"",0),  I1061="Width", _xlfn.XLOOKUP(C1061,'calc_s90&amp;138'!$C$15:$C$1000,'calc_s90&amp;138'!$BR$15:$BR$1000,"",0)),"")</f>
        <v/>
      </c>
      <c r="I1061" s="16" t="str">
        <f t="shared" si="24"/>
        <v/>
      </c>
    </row>
    <row r="1062" spans="1:9" ht="13.5" customHeight="1" x14ac:dyDescent="0.25">
      <c r="A1062" s="41" t="str">
        <f>_xlfn.XLOOKUP(G1062,dd_color!$A$2:$A$8,dd_color!$B$2:$B$8,"",0)</f>
        <v/>
      </c>
      <c r="B1062" s="41">
        <f>_xlfn.XLOOKUP(_xlfn.XLOOKUP(C1062,'Project Details'!$C$17:$C$10003,'Project Details'!$E$17:$E$10003, "",0),dd_design_raw!$A$2:$A$9997,dd_design_raw!$C$2:$C$9997,"",0)</f>
        <v>0</v>
      </c>
      <c r="C1062" s="16"/>
      <c r="D1062" s="16" t="str" cm="1">
        <f t="array" ref="D1062">IF(C1062&lt;&gt;"", _xlfn.IFS(I1062="Height SLI",_xlfn.XLOOKUP(C1062,'calc_s90&amp;138'!$C$15:$C$1000,'calc_s90&amp;138'!$BQ$15:$BQ$1000,"",0),    I1062="Width", _xlfn.XLOOKUP(C1062,'calc_s90&amp;138'!$C$15:$C$1000,'calc_s90&amp;138'!$BS$15:$BS$1000,"",0)),"")</f>
        <v/>
      </c>
      <c r="E1062" s="16" t="str" cm="1">
        <f t="array" ref="E1062">IF(C1062&lt;&gt;"", _xlfn.XLOOKUP(1,((SKUs!$A$2:$A$10001=cl_unmerged!B1062) * (ISNUMBER(SEARCH("Steel-Sash66",SKUs!$J$2:$J$10001)))), SKUs!$J$2:$J$10001,""),"")  &amp; _xlfn.IFS(I1062="Height", ", H",I1062="Height SLI", ", H SLI", I1062="Height FIX", ", H FIX",I1062="Width", ", W", I1062="", "")</f>
        <v/>
      </c>
      <c r="F1062" s="33" t="str" cm="1">
        <f t="array" ref="F1062">_xlfn.XLOOKUP(1,((SKUs!$A$2:$A$10001=cl_unmerged!B1062) * (ISNUMBER(SEARCH("Steel-Sash66",SKUs!$J$2:$J$10001)))), SKUs!$C$2:$C$10001,"")</f>
        <v/>
      </c>
      <c r="G1062" s="16"/>
      <c r="H1062" s="16" t="str" cm="1">
        <f t="array" ref="H1062">IF(C1062&lt;&gt;"", _xlfn.IFS(I1062="Height SLI",_xlfn.XLOOKUP(C1062,'calc_s90&amp;138'!$C$15:$C$1000,'calc_s90&amp;138'!$BP$15:$BP$1000,"",0),  I1062="Width", _xlfn.XLOOKUP(C1062,'calc_s90&amp;138'!$C$15:$C$1000,'calc_s90&amp;138'!$BR$15:$BR$1000,"",0)),"")</f>
        <v/>
      </c>
      <c r="I1062" s="16" t="str">
        <f t="shared" si="24"/>
        <v/>
      </c>
    </row>
    <row r="1063" spans="1:9" ht="13.5" customHeight="1" x14ac:dyDescent="0.25">
      <c r="A1063" s="41" t="str">
        <f>_xlfn.XLOOKUP(G1063,dd_color!$A$2:$A$8,dd_color!$B$2:$B$8,"",0)</f>
        <v/>
      </c>
      <c r="B1063" s="41" t="str">
        <f>_xlfn.XLOOKUP(_xlfn.XLOOKUP(C1063,'Project Details'!$C$17:$C$10003,'Project Details'!$E$17:$E$10003, "",0),dd_design_raw!$A$2:$A$9997,dd_design_raw!$C$2:$C$9997,"",0)</f>
        <v/>
      </c>
      <c r="C1063" s="16"/>
      <c r="D1063" s="16" t="str" cm="1">
        <f t="array" ref="D1063">IF(C1063&lt;&gt;"", _xlfn.IFS(I1063="Height SLI",_xlfn.XLOOKUP(C1063,'calc_s90&amp;138'!$C$15:$C$1000,'calc_s90&amp;138'!$BQ$15:$BQ$1000,"",0),    I1063="Width", _xlfn.XLOOKUP(C1063,'calc_s90&amp;138'!$C$15:$C$1000,'calc_s90&amp;138'!$BS$15:$BS$1000,"",0)),"")</f>
        <v/>
      </c>
      <c r="E1063" s="16" t="str" cm="1">
        <f t="array" ref="E1063">IF(C1063&lt;&gt;"", _xlfn.XLOOKUP(1,((SKUs!$A$2:$A$10001=cl_unmerged!B1063) * (ISNUMBER(SEARCH("Steel-Sash66",SKUs!$J$2:$J$10001)))), SKUs!$J$2:$J$10001,""),"")  &amp; _xlfn.IFS(I1063="Height", ", H",I1063="Height SLI", ", H SLI", I1063="Height FIX", ", H FIX",I1063="Width", ", W", I1063="", "")</f>
        <v/>
      </c>
      <c r="F1063" s="33" t="str" cm="1">
        <f t="array" ref="F1063">_xlfn.XLOOKUP(1,((SKUs!$A$2:$A$10001=cl_unmerged!B1063) * (ISNUMBER(SEARCH("Steel-Sash66",SKUs!$J$2:$J$10001)))), SKUs!$C$2:$C$10001,"")</f>
        <v/>
      </c>
      <c r="G1063" s="16"/>
      <c r="H1063" s="16" t="str" cm="1">
        <f t="array" ref="H1063">IF(C1063&lt;&gt;"", _xlfn.IFS(I1063="Height SLI",_xlfn.XLOOKUP(C1063,'calc_s90&amp;138'!$C$15:$C$1000,'calc_s90&amp;138'!$BP$15:$BP$1000,"",0),  I1063="Width", _xlfn.XLOOKUP(C1063,'calc_s90&amp;138'!$C$15:$C$1000,'calc_s90&amp;138'!$BR$15:$BR$1000,"",0)),"")</f>
        <v/>
      </c>
      <c r="I1063" s="16" t="str">
        <f t="shared" si="24"/>
        <v/>
      </c>
    </row>
    <row r="1064" spans="1:9" ht="13.5" customHeight="1" x14ac:dyDescent="0.25">
      <c r="A1064" s="41" t="str">
        <f>_xlfn.XLOOKUP(G1064,dd_color!$A$2:$A$8,dd_color!$B$2:$B$8,"",0)</f>
        <v/>
      </c>
      <c r="B1064" s="41">
        <f>_xlfn.XLOOKUP(_xlfn.XLOOKUP(C1064,'Project Details'!$C$17:$C$10003,'Project Details'!$E$17:$E$10003, "",0),dd_design_raw!$A$2:$A$9997,dd_design_raw!$C$2:$C$9997,"",0)</f>
        <v>0</v>
      </c>
      <c r="C1064" s="16"/>
      <c r="D1064" s="16" t="str" cm="1">
        <f t="array" ref="D1064">IF(C1064&lt;&gt;"", _xlfn.IFS(I1064="Height SLI",_xlfn.XLOOKUP(C1064,'calc_s90&amp;138'!$C$15:$C$1000,'calc_s90&amp;138'!$BQ$15:$BQ$1000,"",0),    I1064="Width", _xlfn.XLOOKUP(C1064,'calc_s90&amp;138'!$C$15:$C$1000,'calc_s90&amp;138'!$BS$15:$BS$1000,"",0)),"")</f>
        <v/>
      </c>
      <c r="E1064" s="16" t="str" cm="1">
        <f t="array" ref="E1064">IF(C1064&lt;&gt;"", _xlfn.XLOOKUP(1,((SKUs!$A$2:$A$10001=cl_unmerged!B1064) * (ISNUMBER(SEARCH("Steel-Sash66",SKUs!$J$2:$J$10001)))), SKUs!$J$2:$J$10001,""),"")  &amp; _xlfn.IFS(I1064="Height", ", H",I1064="Height SLI", ", H SLI", I1064="Height FIX", ", H FIX",I1064="Width", ", W", I1064="", "")</f>
        <v/>
      </c>
      <c r="F1064" s="33" t="str" cm="1">
        <f t="array" ref="F1064">_xlfn.XLOOKUP(1,((SKUs!$A$2:$A$10001=cl_unmerged!B1064) * (ISNUMBER(SEARCH("Steel-Sash66",SKUs!$J$2:$J$10001)))), SKUs!$C$2:$C$10001,"")</f>
        <v/>
      </c>
      <c r="G1064" s="16"/>
      <c r="H1064" s="16" t="str" cm="1">
        <f t="array" ref="H1064">IF(C1064&lt;&gt;"", _xlfn.IFS(I1064="Height SLI",_xlfn.XLOOKUP(C1064,'calc_s90&amp;138'!$C$15:$C$1000,'calc_s90&amp;138'!$BP$15:$BP$1000,"",0),  I1064="Width", _xlfn.XLOOKUP(C1064,'calc_s90&amp;138'!$C$15:$C$1000,'calc_s90&amp;138'!$BR$15:$BR$1000,"",0)),"")</f>
        <v/>
      </c>
      <c r="I1064" s="16" t="str">
        <f t="shared" si="24"/>
        <v/>
      </c>
    </row>
    <row r="1065" spans="1:9" ht="13.5" customHeight="1" x14ac:dyDescent="0.25">
      <c r="A1065" s="41" t="str">
        <f>_xlfn.XLOOKUP(G1065,dd_color!$A$2:$A$8,dd_color!$B$2:$B$8,"",0)</f>
        <v/>
      </c>
      <c r="B1065" s="41">
        <f>_xlfn.XLOOKUP(_xlfn.XLOOKUP(C1065,'Project Details'!$C$17:$C$10003,'Project Details'!$E$17:$E$10003, "",0),dd_design_raw!$A$2:$A$9997,dd_design_raw!$C$2:$C$9997,"",0)</f>
        <v>0</v>
      </c>
      <c r="C1065" s="16"/>
      <c r="D1065" s="16" t="str" cm="1">
        <f t="array" ref="D1065">IF(C1065&lt;&gt;"", _xlfn.IFS(I1065="Height SLI",_xlfn.XLOOKUP(C1065,'calc_s90&amp;138'!$C$15:$C$1000,'calc_s90&amp;138'!$BQ$15:$BQ$1000,"",0),    I1065="Width", _xlfn.XLOOKUP(C1065,'calc_s90&amp;138'!$C$15:$C$1000,'calc_s90&amp;138'!$BS$15:$BS$1000,"",0)),"")</f>
        <v/>
      </c>
      <c r="E1065" s="16" t="str" cm="1">
        <f t="array" ref="E1065">IF(C1065&lt;&gt;"", _xlfn.XLOOKUP(1,((SKUs!$A$2:$A$10001=cl_unmerged!B1065) * (ISNUMBER(SEARCH("Steel-Sash66",SKUs!$J$2:$J$10001)))), SKUs!$J$2:$J$10001,""),"")  &amp; _xlfn.IFS(I1065="Height", ", H",I1065="Height SLI", ", H SLI", I1065="Height FIX", ", H FIX",I1065="Width", ", W", I1065="", "")</f>
        <v/>
      </c>
      <c r="F1065" s="33" t="str" cm="1">
        <f t="array" ref="F1065">_xlfn.XLOOKUP(1,((SKUs!$A$2:$A$10001=cl_unmerged!B1065) * (ISNUMBER(SEARCH("Steel-Sash66",SKUs!$J$2:$J$10001)))), SKUs!$C$2:$C$10001,"")</f>
        <v/>
      </c>
      <c r="G1065" s="16"/>
      <c r="H1065" s="16" t="str" cm="1">
        <f t="array" ref="H1065">IF(C1065&lt;&gt;"", _xlfn.IFS(I1065="Height SLI",_xlfn.XLOOKUP(C1065,'calc_s90&amp;138'!$C$15:$C$1000,'calc_s90&amp;138'!$BP$15:$BP$1000,"",0),  I1065="Width", _xlfn.XLOOKUP(C1065,'calc_s90&amp;138'!$C$15:$C$1000,'calc_s90&amp;138'!$BR$15:$BR$1000,"",0)),"")</f>
        <v/>
      </c>
      <c r="I1065" s="16" t="str">
        <f t="shared" si="24"/>
        <v/>
      </c>
    </row>
    <row r="1066" spans="1:9" ht="13.5" customHeight="1" x14ac:dyDescent="0.25">
      <c r="A1066" s="41" t="str">
        <f>_xlfn.XLOOKUP(G1066,dd_color!$A$2:$A$8,dd_color!$B$2:$B$8,"",0)</f>
        <v/>
      </c>
      <c r="B1066" s="41">
        <f>_xlfn.XLOOKUP(_xlfn.XLOOKUP(C1066,'Project Details'!$C$17:$C$10003,'Project Details'!$E$17:$E$10003, "",0),dd_design_raw!$A$2:$A$9997,dd_design_raw!$C$2:$C$9997,"",0)</f>
        <v>0</v>
      </c>
      <c r="C1066" s="16"/>
      <c r="D1066" s="16" t="str" cm="1">
        <f t="array" ref="D1066">IF(C1066&lt;&gt;"", _xlfn.IFS(I1066="Height SLI",_xlfn.XLOOKUP(C1066,'calc_s90&amp;138'!$C$15:$C$1000,'calc_s90&amp;138'!$BQ$15:$BQ$1000,"",0),    I1066="Width", _xlfn.XLOOKUP(C1066,'calc_s90&amp;138'!$C$15:$C$1000,'calc_s90&amp;138'!$BS$15:$BS$1000,"",0)),"")</f>
        <v/>
      </c>
      <c r="E1066" s="16" t="str" cm="1">
        <f t="array" ref="E1066">IF(C1066&lt;&gt;"", _xlfn.XLOOKUP(1,((SKUs!$A$2:$A$10001=cl_unmerged!B1066) * (ISNUMBER(SEARCH("Steel-Sash66",SKUs!$J$2:$J$10001)))), SKUs!$J$2:$J$10001,""),"")  &amp; _xlfn.IFS(I1066="Height", ", H",I1066="Height SLI", ", H SLI", I1066="Height FIX", ", H FIX",I1066="Width", ", W", I1066="", "")</f>
        <v/>
      </c>
      <c r="F1066" s="33" t="str" cm="1">
        <f t="array" ref="F1066">_xlfn.XLOOKUP(1,((SKUs!$A$2:$A$10001=cl_unmerged!B1066) * (ISNUMBER(SEARCH("Steel-Sash66",SKUs!$J$2:$J$10001)))), SKUs!$C$2:$C$10001,"")</f>
        <v/>
      </c>
      <c r="G1066" s="16"/>
      <c r="H1066" s="16" t="str" cm="1">
        <f t="array" ref="H1066">IF(C1066&lt;&gt;"", _xlfn.IFS(I1066="Height SLI",_xlfn.XLOOKUP(C1066,'calc_s90&amp;138'!$C$15:$C$1000,'calc_s90&amp;138'!$BP$15:$BP$1000,"",0),  I1066="Width", _xlfn.XLOOKUP(C1066,'calc_s90&amp;138'!$C$15:$C$1000,'calc_s90&amp;138'!$BR$15:$BR$1000,"",0)),"")</f>
        <v/>
      </c>
      <c r="I1066" s="16" t="str">
        <f t="shared" si="24"/>
        <v/>
      </c>
    </row>
    <row r="1067" spans="1:9" ht="13.5" customHeight="1" x14ac:dyDescent="0.25">
      <c r="A1067" s="41" t="str">
        <f>_xlfn.XLOOKUP(G1067,dd_color!$A$2:$A$8,dd_color!$B$2:$B$8,"",0)</f>
        <v/>
      </c>
      <c r="B1067" s="41">
        <f>_xlfn.XLOOKUP(_xlfn.XLOOKUP(C1067,'Project Details'!$C$17:$C$10003,'Project Details'!$E$17:$E$10003, "",0),dd_design_raw!$A$2:$A$9997,dd_design_raw!$C$2:$C$9997,"",0)</f>
        <v>0</v>
      </c>
      <c r="C1067" s="16"/>
      <c r="D1067" s="16" t="str" cm="1">
        <f t="array" ref="D1067">IF(C1067&lt;&gt;"", _xlfn.IFS(I1067="Height SLI",_xlfn.XLOOKUP(C1067,'calc_s90&amp;138'!$C$15:$C$1000,'calc_s90&amp;138'!$BQ$15:$BQ$1000,"",0),    I1067="Width", _xlfn.XLOOKUP(C1067,'calc_s90&amp;138'!$C$15:$C$1000,'calc_s90&amp;138'!$BS$15:$BS$1000,"",0)),"")</f>
        <v/>
      </c>
      <c r="E1067" s="16" t="str" cm="1">
        <f t="array" ref="E1067">IF(C1067&lt;&gt;"", _xlfn.XLOOKUP(1,((SKUs!$A$2:$A$10001=cl_unmerged!B1067) * (ISNUMBER(SEARCH("Steel-Sash66",SKUs!$J$2:$J$10001)))), SKUs!$J$2:$J$10001,""),"")  &amp; _xlfn.IFS(I1067="Height", ", H",I1067="Height SLI", ", H SLI", I1067="Height FIX", ", H FIX",I1067="Width", ", W", I1067="", "")</f>
        <v/>
      </c>
      <c r="F1067" s="33" t="str" cm="1">
        <f t="array" ref="F1067">_xlfn.XLOOKUP(1,((SKUs!$A$2:$A$10001=cl_unmerged!B1067) * (ISNUMBER(SEARCH("Steel-Sash66",SKUs!$J$2:$J$10001)))), SKUs!$C$2:$C$10001,"")</f>
        <v/>
      </c>
      <c r="G1067" s="16"/>
      <c r="H1067" s="16" t="str" cm="1">
        <f t="array" ref="H1067">IF(C1067&lt;&gt;"", _xlfn.IFS(I1067="Height SLI",_xlfn.XLOOKUP(C1067,'calc_s90&amp;138'!$C$15:$C$1000,'calc_s90&amp;138'!$BP$15:$BP$1000,"",0),  I1067="Width", _xlfn.XLOOKUP(C1067,'calc_s90&amp;138'!$C$15:$C$1000,'calc_s90&amp;138'!$BR$15:$BR$1000,"",0)),"")</f>
        <v/>
      </c>
      <c r="I1067" s="16" t="str">
        <f t="shared" si="24"/>
        <v/>
      </c>
    </row>
    <row r="1068" spans="1:9" ht="13.5" customHeight="1" x14ac:dyDescent="0.25">
      <c r="A1068" s="41" t="str">
        <f>_xlfn.XLOOKUP(G1068,dd_color!$A$2:$A$8,dd_color!$B$2:$B$8,"",0)</f>
        <v/>
      </c>
      <c r="B1068" s="41">
        <f>_xlfn.XLOOKUP(_xlfn.XLOOKUP(C1068,'Project Details'!$C$17:$C$10003,'Project Details'!$E$17:$E$10003, "",0),dd_design_raw!$A$2:$A$9997,dd_design_raw!$C$2:$C$9997,"",0)</f>
        <v>0</v>
      </c>
      <c r="C1068" s="16"/>
      <c r="D1068" s="16" t="str" cm="1">
        <f t="array" ref="D1068">IF(C1068&lt;&gt;"", _xlfn.IFS(I1068="Height SLI",_xlfn.XLOOKUP(C1068,'calc_s90&amp;138'!$C$15:$C$1000,'calc_s90&amp;138'!$BQ$15:$BQ$1000,"",0),    I1068="Width", _xlfn.XLOOKUP(C1068,'calc_s90&amp;138'!$C$15:$C$1000,'calc_s90&amp;138'!$BS$15:$BS$1000,"",0)),"")</f>
        <v/>
      </c>
      <c r="E1068" s="16" t="str" cm="1">
        <f t="array" ref="E1068">IF(C1068&lt;&gt;"", _xlfn.XLOOKUP(1,((SKUs!$A$2:$A$10001=cl_unmerged!B1068) * (ISNUMBER(SEARCH("Steel-Sash66",SKUs!$J$2:$J$10001)))), SKUs!$J$2:$J$10001,""),"")  &amp; _xlfn.IFS(I1068="Height", ", H",I1068="Height SLI", ", H SLI", I1068="Height FIX", ", H FIX",I1068="Width", ", W", I1068="", "")</f>
        <v/>
      </c>
      <c r="F1068" s="33" t="str" cm="1">
        <f t="array" ref="F1068">_xlfn.XLOOKUP(1,((SKUs!$A$2:$A$10001=cl_unmerged!B1068) * (ISNUMBER(SEARCH("Steel-Sash66",SKUs!$J$2:$J$10001)))), SKUs!$C$2:$C$10001,"")</f>
        <v/>
      </c>
      <c r="G1068" s="16"/>
      <c r="H1068" s="16" t="str" cm="1">
        <f t="array" ref="H1068">IF(C1068&lt;&gt;"", _xlfn.IFS(I1068="Height SLI",_xlfn.XLOOKUP(C1068,'calc_s90&amp;138'!$C$15:$C$1000,'calc_s90&amp;138'!$BP$15:$BP$1000,"",0),  I1068="Width", _xlfn.XLOOKUP(C1068,'calc_s90&amp;138'!$C$15:$C$1000,'calc_s90&amp;138'!$BR$15:$BR$1000,"",0)),"")</f>
        <v/>
      </c>
      <c r="I1068" s="16" t="str">
        <f t="shared" si="24"/>
        <v/>
      </c>
    </row>
    <row r="1069" spans="1:9" ht="13.5" customHeight="1" x14ac:dyDescent="0.25">
      <c r="A1069" s="41" t="str">
        <f>_xlfn.XLOOKUP(G1069,dd_color!$A$2:$A$8,dd_color!$B$2:$B$8,"",0)</f>
        <v/>
      </c>
      <c r="B1069" s="41" t="str">
        <f>_xlfn.XLOOKUP(_xlfn.XLOOKUP(C1069,'Project Details'!$C$17:$C$10003,'Project Details'!$E$17:$E$10003, "",0),dd_design_raw!$A$2:$A$9997,dd_design_raw!$C$2:$C$9997,"",0)</f>
        <v/>
      </c>
      <c r="C1069" s="16"/>
      <c r="D1069" s="16" t="str" cm="1">
        <f t="array" ref="D1069">IF(C1069&lt;&gt;"", _xlfn.IFS(I1069="Height SLI",_xlfn.XLOOKUP(C1069,'calc_s90&amp;138'!$C$15:$C$1000,'calc_s90&amp;138'!$BQ$15:$BQ$1000,"",0),    I1069="Width", _xlfn.XLOOKUP(C1069,'calc_s90&amp;138'!$C$15:$C$1000,'calc_s90&amp;138'!$BS$15:$BS$1000,"",0)),"")</f>
        <v/>
      </c>
      <c r="E1069" s="16" t="str" cm="1">
        <f t="array" ref="E1069">IF(C1069&lt;&gt;"", _xlfn.XLOOKUP(1,((SKUs!$A$2:$A$10001=cl_unmerged!B1069) * (ISNUMBER(SEARCH("Steel-Sash66",SKUs!$J$2:$J$10001)))), SKUs!$J$2:$J$10001,""),"")  &amp; _xlfn.IFS(I1069="Height", ", H",I1069="Height SLI", ", H SLI", I1069="Height FIX", ", H FIX",I1069="Width", ", W", I1069="", "")</f>
        <v/>
      </c>
      <c r="F1069" s="33" t="str" cm="1">
        <f t="array" ref="F1069">_xlfn.XLOOKUP(1,((SKUs!$A$2:$A$10001=cl_unmerged!B1069) * (ISNUMBER(SEARCH("Steel-Sash66",SKUs!$J$2:$J$10001)))), SKUs!$C$2:$C$10001,"")</f>
        <v/>
      </c>
      <c r="G1069" s="16"/>
      <c r="H1069" s="16" t="str" cm="1">
        <f t="array" ref="H1069">IF(C1069&lt;&gt;"", _xlfn.IFS(I1069="Height SLI",_xlfn.XLOOKUP(C1069,'calc_s90&amp;138'!$C$15:$C$1000,'calc_s90&amp;138'!$BP$15:$BP$1000,"",0),  I1069="Width", _xlfn.XLOOKUP(C1069,'calc_s90&amp;138'!$C$15:$C$1000,'calc_s90&amp;138'!$BR$15:$BR$1000,"",0)),"")</f>
        <v/>
      </c>
      <c r="I1069" s="16" t="str">
        <f t="shared" si="24"/>
        <v/>
      </c>
    </row>
    <row r="1070" spans="1:9" ht="13.5" customHeight="1" x14ac:dyDescent="0.25">
      <c r="A1070" s="41" t="str">
        <f>_xlfn.XLOOKUP(G1070,dd_color!$A$2:$A$8,dd_color!$B$2:$B$8,"",0)</f>
        <v/>
      </c>
      <c r="B1070" s="41">
        <f>_xlfn.XLOOKUP(_xlfn.XLOOKUP(C1070,'Project Details'!$C$17:$C$10003,'Project Details'!$E$17:$E$10003, "",0),dd_design_raw!$A$2:$A$9997,dd_design_raw!$C$2:$C$9997,"",0)</f>
        <v>0</v>
      </c>
      <c r="C1070" s="16"/>
      <c r="D1070" s="16" t="str" cm="1">
        <f t="array" ref="D1070">IF(C1070&lt;&gt;"", _xlfn.IFS(I1070="Height SLI",_xlfn.XLOOKUP(C1070,'calc_s90&amp;138'!$C$15:$C$1000,'calc_s90&amp;138'!$BQ$15:$BQ$1000,"",0),    I1070="Width", _xlfn.XLOOKUP(C1070,'calc_s90&amp;138'!$C$15:$C$1000,'calc_s90&amp;138'!$BS$15:$BS$1000,"",0)),"")</f>
        <v/>
      </c>
      <c r="E1070" s="16" t="str" cm="1">
        <f t="array" ref="E1070">IF(C1070&lt;&gt;"", _xlfn.XLOOKUP(1,((SKUs!$A$2:$A$10001=cl_unmerged!B1070) * (ISNUMBER(SEARCH("Steel-Sash66",SKUs!$J$2:$J$10001)))), SKUs!$J$2:$J$10001,""),"")  &amp; _xlfn.IFS(I1070="Height", ", H",I1070="Height SLI", ", H SLI", I1070="Height FIX", ", H FIX",I1070="Width", ", W", I1070="", "")</f>
        <v/>
      </c>
      <c r="F1070" s="33" t="str" cm="1">
        <f t="array" ref="F1070">_xlfn.XLOOKUP(1,((SKUs!$A$2:$A$10001=cl_unmerged!B1070) * (ISNUMBER(SEARCH("Steel-Sash66",SKUs!$J$2:$J$10001)))), SKUs!$C$2:$C$10001,"")</f>
        <v/>
      </c>
      <c r="G1070" s="16"/>
      <c r="H1070" s="16" t="str" cm="1">
        <f t="array" ref="H1070">IF(C1070&lt;&gt;"", _xlfn.IFS(I1070="Height SLI",_xlfn.XLOOKUP(C1070,'calc_s90&amp;138'!$C$15:$C$1000,'calc_s90&amp;138'!$BP$15:$BP$1000,"",0),  I1070="Width", _xlfn.XLOOKUP(C1070,'calc_s90&amp;138'!$C$15:$C$1000,'calc_s90&amp;138'!$BR$15:$BR$1000,"",0)),"")</f>
        <v/>
      </c>
      <c r="I1070" s="16" t="str">
        <f t="shared" si="24"/>
        <v/>
      </c>
    </row>
    <row r="1071" spans="1:9" ht="13.5" customHeight="1" x14ac:dyDescent="0.25">
      <c r="A1071" s="41" t="str">
        <f>_xlfn.XLOOKUP(G1071,dd_color!$A$2:$A$8,dd_color!$B$2:$B$8,"",0)</f>
        <v/>
      </c>
      <c r="B1071" s="41">
        <f>_xlfn.XLOOKUP(_xlfn.XLOOKUP(C1071,'Project Details'!$C$17:$C$10003,'Project Details'!$E$17:$E$10003, "",0),dd_design_raw!$A$2:$A$9997,dd_design_raw!$C$2:$C$9997,"",0)</f>
        <v>0</v>
      </c>
      <c r="C1071" s="16"/>
      <c r="D1071" s="16" t="str" cm="1">
        <f t="array" ref="D1071">IF(C1071&lt;&gt;"", _xlfn.IFS(I1071="Height SLI",_xlfn.XLOOKUP(C1071,'calc_s90&amp;138'!$C$15:$C$1000,'calc_s90&amp;138'!$BQ$15:$BQ$1000,"",0),    I1071="Width", _xlfn.XLOOKUP(C1071,'calc_s90&amp;138'!$C$15:$C$1000,'calc_s90&amp;138'!$BS$15:$BS$1000,"",0)),"")</f>
        <v/>
      </c>
      <c r="E1071" s="16" t="str" cm="1">
        <f t="array" ref="E1071">IF(C1071&lt;&gt;"", _xlfn.XLOOKUP(1,((SKUs!$A$2:$A$10001=cl_unmerged!B1071) * (ISNUMBER(SEARCH("Steel-Sash66",SKUs!$J$2:$J$10001)))), SKUs!$J$2:$J$10001,""),"")  &amp; _xlfn.IFS(I1071="Height", ", H",I1071="Height SLI", ", H SLI", I1071="Height FIX", ", H FIX",I1071="Width", ", W", I1071="", "")</f>
        <v/>
      </c>
      <c r="F1071" s="33" t="str" cm="1">
        <f t="array" ref="F1071">_xlfn.XLOOKUP(1,((SKUs!$A$2:$A$10001=cl_unmerged!B1071) * (ISNUMBER(SEARCH("Steel-Sash66",SKUs!$J$2:$J$10001)))), SKUs!$C$2:$C$10001,"")</f>
        <v/>
      </c>
      <c r="G1071" s="16"/>
      <c r="H1071" s="16" t="str" cm="1">
        <f t="array" ref="H1071">IF(C1071&lt;&gt;"", _xlfn.IFS(I1071="Height SLI",_xlfn.XLOOKUP(C1071,'calc_s90&amp;138'!$C$15:$C$1000,'calc_s90&amp;138'!$BP$15:$BP$1000,"",0),  I1071="Width", _xlfn.XLOOKUP(C1071,'calc_s90&amp;138'!$C$15:$C$1000,'calc_s90&amp;138'!$BR$15:$BR$1000,"",0)),"")</f>
        <v/>
      </c>
      <c r="I1071" s="16" t="str">
        <f t="shared" si="24"/>
        <v/>
      </c>
    </row>
    <row r="1072" spans="1:9" ht="13.5" customHeight="1" x14ac:dyDescent="0.25">
      <c r="A1072" s="41" t="str">
        <f>_xlfn.XLOOKUP(G1072,dd_color!$A$2:$A$8,dd_color!$B$2:$B$8,"",0)</f>
        <v/>
      </c>
      <c r="B1072" s="41">
        <f>_xlfn.XLOOKUP(_xlfn.XLOOKUP(C1072,'Project Details'!$C$17:$C$10003,'Project Details'!$E$17:$E$10003, "",0),dd_design_raw!$A$2:$A$9997,dd_design_raw!$C$2:$C$9997,"",0)</f>
        <v>0</v>
      </c>
      <c r="C1072" s="16"/>
      <c r="D1072" s="16" t="str" cm="1">
        <f t="array" ref="D1072">IF(C1072&lt;&gt;"", _xlfn.IFS(I1072="Height SLI",_xlfn.XLOOKUP(C1072,'calc_s90&amp;138'!$C$15:$C$1000,'calc_s90&amp;138'!$BQ$15:$BQ$1000,"",0),    I1072="Width", _xlfn.XLOOKUP(C1072,'calc_s90&amp;138'!$C$15:$C$1000,'calc_s90&amp;138'!$BS$15:$BS$1000,"",0)),"")</f>
        <v/>
      </c>
      <c r="E1072" s="16" t="str" cm="1">
        <f t="array" ref="E1072">IF(C1072&lt;&gt;"", _xlfn.XLOOKUP(1,((SKUs!$A$2:$A$10001=cl_unmerged!B1072) * (ISNUMBER(SEARCH("Steel-Sash66",SKUs!$J$2:$J$10001)))), SKUs!$J$2:$J$10001,""),"")  &amp; _xlfn.IFS(I1072="Height", ", H",I1072="Height SLI", ", H SLI", I1072="Height FIX", ", H FIX",I1072="Width", ", W", I1072="", "")</f>
        <v/>
      </c>
      <c r="F1072" s="33" t="str" cm="1">
        <f t="array" ref="F1072">_xlfn.XLOOKUP(1,((SKUs!$A$2:$A$10001=cl_unmerged!B1072) * (ISNUMBER(SEARCH("Steel-Sash66",SKUs!$J$2:$J$10001)))), SKUs!$C$2:$C$10001,"")</f>
        <v/>
      </c>
      <c r="G1072" s="16"/>
      <c r="H1072" s="16" t="str" cm="1">
        <f t="array" ref="H1072">IF(C1072&lt;&gt;"", _xlfn.IFS(I1072="Height SLI",_xlfn.XLOOKUP(C1072,'calc_s90&amp;138'!$C$15:$C$1000,'calc_s90&amp;138'!$BP$15:$BP$1000,"",0),  I1072="Width", _xlfn.XLOOKUP(C1072,'calc_s90&amp;138'!$C$15:$C$1000,'calc_s90&amp;138'!$BR$15:$BR$1000,"",0)),"")</f>
        <v/>
      </c>
      <c r="I1072" s="16" t="str">
        <f t="shared" si="24"/>
        <v/>
      </c>
    </row>
    <row r="1073" spans="1:9" ht="13.5" customHeight="1" x14ac:dyDescent="0.25">
      <c r="A1073" s="41" t="str">
        <f>_xlfn.XLOOKUP(G1073,dd_color!$A$2:$A$8,dd_color!$B$2:$B$8,"",0)</f>
        <v/>
      </c>
      <c r="B1073" s="41">
        <f>_xlfn.XLOOKUP(_xlfn.XLOOKUP(C1073,'Project Details'!$C$17:$C$10003,'Project Details'!$E$17:$E$10003, "",0),dd_design_raw!$A$2:$A$9997,dd_design_raw!$C$2:$C$9997,"",0)</f>
        <v>0</v>
      </c>
      <c r="C1073" s="16"/>
      <c r="D1073" s="16" t="str" cm="1">
        <f t="array" ref="D1073">IF(C1073&lt;&gt;"", _xlfn.IFS(I1073="Height SLI",_xlfn.XLOOKUP(C1073,'calc_s90&amp;138'!$C$15:$C$1000,'calc_s90&amp;138'!$BQ$15:$BQ$1000,"",0),    I1073="Width", _xlfn.XLOOKUP(C1073,'calc_s90&amp;138'!$C$15:$C$1000,'calc_s90&amp;138'!$BS$15:$BS$1000,"",0)),"")</f>
        <v/>
      </c>
      <c r="E1073" s="16" t="str" cm="1">
        <f t="array" ref="E1073">IF(C1073&lt;&gt;"", _xlfn.XLOOKUP(1,((SKUs!$A$2:$A$10001=cl_unmerged!B1073) * (ISNUMBER(SEARCH("Steel-Sash66",SKUs!$J$2:$J$10001)))), SKUs!$J$2:$J$10001,""),"")  &amp; _xlfn.IFS(I1073="Height", ", H",I1073="Height SLI", ", H SLI", I1073="Height FIX", ", H FIX",I1073="Width", ", W", I1073="", "")</f>
        <v/>
      </c>
      <c r="F1073" s="33" t="str" cm="1">
        <f t="array" ref="F1073">_xlfn.XLOOKUP(1,((SKUs!$A$2:$A$10001=cl_unmerged!B1073) * (ISNUMBER(SEARCH("Steel-Sash66",SKUs!$J$2:$J$10001)))), SKUs!$C$2:$C$10001,"")</f>
        <v/>
      </c>
      <c r="G1073" s="16"/>
      <c r="H1073" s="16" t="str" cm="1">
        <f t="array" ref="H1073">IF(C1073&lt;&gt;"", _xlfn.IFS(I1073="Height SLI",_xlfn.XLOOKUP(C1073,'calc_s90&amp;138'!$C$15:$C$1000,'calc_s90&amp;138'!$BP$15:$BP$1000,"",0),  I1073="Width", _xlfn.XLOOKUP(C1073,'calc_s90&amp;138'!$C$15:$C$1000,'calc_s90&amp;138'!$BR$15:$BR$1000,"",0)),"")</f>
        <v/>
      </c>
      <c r="I1073" s="16" t="str">
        <f t="shared" si="24"/>
        <v/>
      </c>
    </row>
    <row r="1074" spans="1:9" ht="13.5" customHeight="1" x14ac:dyDescent="0.25">
      <c r="A1074" s="41" t="str">
        <f>_xlfn.XLOOKUP(G1074,dd_color!$A$2:$A$8,dd_color!$B$2:$B$8,"",0)</f>
        <v/>
      </c>
      <c r="B1074" s="41">
        <f>_xlfn.XLOOKUP(_xlfn.XLOOKUP(C1074,'Project Details'!$C$17:$C$10003,'Project Details'!$E$17:$E$10003, "",0),dd_design_raw!$A$2:$A$9997,dd_design_raw!$C$2:$C$9997,"",0)</f>
        <v>0</v>
      </c>
      <c r="C1074" s="16"/>
      <c r="D1074" s="16" t="str" cm="1">
        <f t="array" ref="D1074">IF(C1074&lt;&gt;"", _xlfn.IFS(I1074="Height SLI",_xlfn.XLOOKUP(C1074,'calc_s90&amp;138'!$C$15:$C$1000,'calc_s90&amp;138'!$BQ$15:$BQ$1000,"",0),    I1074="Width", _xlfn.XLOOKUP(C1074,'calc_s90&amp;138'!$C$15:$C$1000,'calc_s90&amp;138'!$BS$15:$BS$1000,"",0)),"")</f>
        <v/>
      </c>
      <c r="E1074" s="16" t="str" cm="1">
        <f t="array" ref="E1074">IF(C1074&lt;&gt;"", _xlfn.XLOOKUP(1,((SKUs!$A$2:$A$10001=cl_unmerged!B1074) * (ISNUMBER(SEARCH("Steel-Sash66",SKUs!$J$2:$J$10001)))), SKUs!$J$2:$J$10001,""),"")  &amp; _xlfn.IFS(I1074="Height", ", H",I1074="Height SLI", ", H SLI", I1074="Height FIX", ", H FIX",I1074="Width", ", W", I1074="", "")</f>
        <v/>
      </c>
      <c r="F1074" s="33" t="str" cm="1">
        <f t="array" ref="F1074">_xlfn.XLOOKUP(1,((SKUs!$A$2:$A$10001=cl_unmerged!B1074) * (ISNUMBER(SEARCH("Steel-Sash66",SKUs!$J$2:$J$10001)))), SKUs!$C$2:$C$10001,"")</f>
        <v/>
      </c>
      <c r="G1074" s="16"/>
      <c r="H1074" s="16" t="str" cm="1">
        <f t="array" ref="H1074">IF(C1074&lt;&gt;"", _xlfn.IFS(I1074="Height SLI",_xlfn.XLOOKUP(C1074,'calc_s90&amp;138'!$C$15:$C$1000,'calc_s90&amp;138'!$BP$15:$BP$1000,"",0),  I1074="Width", _xlfn.XLOOKUP(C1074,'calc_s90&amp;138'!$C$15:$C$1000,'calc_s90&amp;138'!$BR$15:$BR$1000,"",0)),"")</f>
        <v/>
      </c>
      <c r="I1074" s="16" t="str">
        <f t="shared" si="24"/>
        <v/>
      </c>
    </row>
    <row r="1075" spans="1:9" ht="13.5" customHeight="1" x14ac:dyDescent="0.25">
      <c r="A1075" s="41" t="str">
        <f>_xlfn.XLOOKUP(G1075,dd_color!$A$2:$A$8,dd_color!$B$2:$B$8,"",0)</f>
        <v/>
      </c>
      <c r="B1075" s="41">
        <f>_xlfn.XLOOKUP(_xlfn.XLOOKUP(C1075,'Project Details'!$C$17:$C$10003,'Project Details'!$E$17:$E$10003, "",0),dd_design_raw!$A$2:$A$9997,dd_design_raw!$C$2:$C$9997,"",0)</f>
        <v>0</v>
      </c>
      <c r="C1075" s="16"/>
      <c r="D1075" s="16" t="str" cm="1">
        <f t="array" ref="D1075">IF(C1075&lt;&gt;"", _xlfn.IFS(I1075="Height SLI",_xlfn.XLOOKUP(C1075,'calc_s90&amp;138'!$C$15:$C$1000,'calc_s90&amp;138'!$BQ$15:$BQ$1000,"",0),    I1075="Width", _xlfn.XLOOKUP(C1075,'calc_s90&amp;138'!$C$15:$C$1000,'calc_s90&amp;138'!$BS$15:$BS$1000,"",0)),"")</f>
        <v/>
      </c>
      <c r="E1075" s="16" t="str" cm="1">
        <f t="array" ref="E1075">IF(C1075&lt;&gt;"", _xlfn.XLOOKUP(1,((SKUs!$A$2:$A$10001=cl_unmerged!B1075) * (ISNUMBER(SEARCH("Steel-Sash66",SKUs!$J$2:$J$10001)))), SKUs!$J$2:$J$10001,""),"")  &amp; _xlfn.IFS(I1075="Height", ", H",I1075="Height SLI", ", H SLI", I1075="Height FIX", ", H FIX",I1075="Width", ", W", I1075="", "")</f>
        <v/>
      </c>
      <c r="F1075" s="33" t="str" cm="1">
        <f t="array" ref="F1075">_xlfn.XLOOKUP(1,((SKUs!$A$2:$A$10001=cl_unmerged!B1075) * (ISNUMBER(SEARCH("Steel-Sash66",SKUs!$J$2:$J$10001)))), SKUs!$C$2:$C$10001,"")</f>
        <v/>
      </c>
      <c r="G1075" s="16"/>
      <c r="H1075" s="16" t="str" cm="1">
        <f t="array" ref="H1075">IF(C1075&lt;&gt;"", _xlfn.IFS(I1075="Height SLI",_xlfn.XLOOKUP(C1075,'calc_s90&amp;138'!$C$15:$C$1000,'calc_s90&amp;138'!$BP$15:$BP$1000,"",0),  I1075="Width", _xlfn.XLOOKUP(C1075,'calc_s90&amp;138'!$C$15:$C$1000,'calc_s90&amp;138'!$BR$15:$BR$1000,"",0)),"")</f>
        <v/>
      </c>
      <c r="I1075" s="16" t="str">
        <f t="shared" si="24"/>
        <v/>
      </c>
    </row>
    <row r="1076" spans="1:9" ht="13.5" customHeight="1" x14ac:dyDescent="0.25">
      <c r="A1076" s="41" t="str">
        <f>_xlfn.XLOOKUP(G1076,dd_color!$A$2:$A$8,dd_color!$B$2:$B$8,"",0)</f>
        <v/>
      </c>
      <c r="B1076" s="41">
        <f>_xlfn.XLOOKUP(_xlfn.XLOOKUP(C1076,'Project Details'!$C$17:$C$10003,'Project Details'!$E$17:$E$10003, "",0),dd_design_raw!$A$2:$A$9997,dd_design_raw!$C$2:$C$9997,"",0)</f>
        <v>0</v>
      </c>
      <c r="C1076" s="16"/>
      <c r="D1076" s="16" t="str" cm="1">
        <f t="array" ref="D1076">IF(C1076&lt;&gt;"", _xlfn.IFS(I1076="Height SLI",_xlfn.XLOOKUP(C1076,'calc_s90&amp;138'!$C$15:$C$1000,'calc_s90&amp;138'!$BQ$15:$BQ$1000,"",0),    I1076="Width", _xlfn.XLOOKUP(C1076,'calc_s90&amp;138'!$C$15:$C$1000,'calc_s90&amp;138'!$BS$15:$BS$1000,"",0)),"")</f>
        <v/>
      </c>
      <c r="E1076" s="16" t="str" cm="1">
        <f t="array" ref="E1076">IF(C1076&lt;&gt;"", _xlfn.XLOOKUP(1,((SKUs!$A$2:$A$10001=cl_unmerged!B1076) * (ISNUMBER(SEARCH("Steel-Sash66",SKUs!$J$2:$J$10001)))), SKUs!$J$2:$J$10001,""),"")  &amp; _xlfn.IFS(I1076="Height", ", H",I1076="Height SLI", ", H SLI", I1076="Height FIX", ", H FIX",I1076="Width", ", W", I1076="", "")</f>
        <v/>
      </c>
      <c r="F1076" s="33" t="str" cm="1">
        <f t="array" ref="F1076">_xlfn.XLOOKUP(1,((SKUs!$A$2:$A$10001=cl_unmerged!B1076) * (ISNUMBER(SEARCH("Steel-Sash66",SKUs!$J$2:$J$10001)))), SKUs!$C$2:$C$10001,"")</f>
        <v/>
      </c>
      <c r="G1076" s="16"/>
      <c r="H1076" s="16" t="str" cm="1">
        <f t="array" ref="H1076">IF(C1076&lt;&gt;"", _xlfn.IFS(I1076="Height SLI",_xlfn.XLOOKUP(C1076,'calc_s90&amp;138'!$C$15:$C$1000,'calc_s90&amp;138'!$BP$15:$BP$1000,"",0),  I1076="Width", _xlfn.XLOOKUP(C1076,'calc_s90&amp;138'!$C$15:$C$1000,'calc_s90&amp;138'!$BR$15:$BR$1000,"",0)),"")</f>
        <v/>
      </c>
      <c r="I1076" s="16" t="str">
        <f t="shared" si="24"/>
        <v/>
      </c>
    </row>
    <row r="1077" spans="1:9" ht="13.5" customHeight="1" x14ac:dyDescent="0.25">
      <c r="A1077" s="41" t="str">
        <f>_xlfn.XLOOKUP(G1077,dd_color!$A$2:$A$8,dd_color!$B$2:$B$8,"",0)</f>
        <v/>
      </c>
      <c r="B1077" s="41">
        <f>_xlfn.XLOOKUP(_xlfn.XLOOKUP(C1077,'Project Details'!$C$17:$C$10003,'Project Details'!$E$17:$E$10003, "",0),dd_design_raw!$A$2:$A$9997,dd_design_raw!$C$2:$C$9997,"",0)</f>
        <v>0</v>
      </c>
      <c r="C1077" s="16"/>
      <c r="D1077" s="16" t="str" cm="1">
        <f t="array" ref="D1077">IF(C1077&lt;&gt;"", _xlfn.IFS(I1077="Height SLI",_xlfn.XLOOKUP(C1077,'calc_s90&amp;138'!$C$15:$C$1000,'calc_s90&amp;138'!$BQ$15:$BQ$1000,"",0),    I1077="Width", _xlfn.XLOOKUP(C1077,'calc_s90&amp;138'!$C$15:$C$1000,'calc_s90&amp;138'!$BS$15:$BS$1000,"",0)),"")</f>
        <v/>
      </c>
      <c r="E1077" s="16" t="str" cm="1">
        <f t="array" ref="E1077">IF(C1077&lt;&gt;"", _xlfn.XLOOKUP(1,((SKUs!$A$2:$A$10001=cl_unmerged!B1077) * (ISNUMBER(SEARCH("Steel-Sash66",SKUs!$J$2:$J$10001)))), SKUs!$J$2:$J$10001,""),"")  &amp; _xlfn.IFS(I1077="Height", ", H",I1077="Height SLI", ", H SLI", I1077="Height FIX", ", H FIX",I1077="Width", ", W", I1077="", "")</f>
        <v/>
      </c>
      <c r="F1077" s="33" t="str" cm="1">
        <f t="array" ref="F1077">_xlfn.XLOOKUP(1,((SKUs!$A$2:$A$10001=cl_unmerged!B1077) * (ISNUMBER(SEARCH("Steel-Sash66",SKUs!$J$2:$J$10001)))), SKUs!$C$2:$C$10001,"")</f>
        <v/>
      </c>
      <c r="G1077" s="16"/>
      <c r="H1077" s="16" t="str" cm="1">
        <f t="array" ref="H1077">IF(C1077&lt;&gt;"", _xlfn.IFS(I1077="Height SLI",_xlfn.XLOOKUP(C1077,'calc_s90&amp;138'!$C$15:$C$1000,'calc_s90&amp;138'!$BP$15:$BP$1000,"",0),  I1077="Width", _xlfn.XLOOKUP(C1077,'calc_s90&amp;138'!$C$15:$C$1000,'calc_s90&amp;138'!$BR$15:$BR$1000,"",0)),"")</f>
        <v/>
      </c>
      <c r="I1077" s="16" t="str">
        <f t="shared" si="24"/>
        <v/>
      </c>
    </row>
    <row r="1078" spans="1:9" ht="13.5" customHeight="1" x14ac:dyDescent="0.25">
      <c r="A1078" s="41" t="str">
        <f>_xlfn.XLOOKUP(G1078,dd_color!$A$2:$A$8,dd_color!$B$2:$B$8,"",0)</f>
        <v/>
      </c>
      <c r="B1078" s="41">
        <f>_xlfn.XLOOKUP(_xlfn.XLOOKUP(C1078,'Project Details'!$C$17:$C$10003,'Project Details'!$E$17:$E$10003, "",0),dd_design_raw!$A$2:$A$9997,dd_design_raw!$C$2:$C$9997,"",0)</f>
        <v>0</v>
      </c>
      <c r="C1078" s="16"/>
      <c r="D1078" s="16" t="str" cm="1">
        <f t="array" ref="D1078">IF(C1078&lt;&gt;"", _xlfn.IFS(I1078="Height SLI",_xlfn.XLOOKUP(C1078,'calc_s90&amp;138'!$C$15:$C$1000,'calc_s90&amp;138'!$BQ$15:$BQ$1000,"",0),    I1078="Width", _xlfn.XLOOKUP(C1078,'calc_s90&amp;138'!$C$15:$C$1000,'calc_s90&amp;138'!$BS$15:$BS$1000,"",0)),"")</f>
        <v/>
      </c>
      <c r="E1078" s="16" t="str" cm="1">
        <f t="array" ref="E1078">IF(C1078&lt;&gt;"", _xlfn.XLOOKUP(1,((SKUs!$A$2:$A$10001=cl_unmerged!B1078) * (ISNUMBER(SEARCH("Steel-Sash66",SKUs!$J$2:$J$10001)))), SKUs!$J$2:$J$10001,""),"")  &amp; _xlfn.IFS(I1078="Height", ", H",I1078="Height SLI", ", H SLI", I1078="Height FIX", ", H FIX",I1078="Width", ", W", I1078="", "")</f>
        <v/>
      </c>
      <c r="F1078" s="33" t="str" cm="1">
        <f t="array" ref="F1078">_xlfn.XLOOKUP(1,((SKUs!$A$2:$A$10001=cl_unmerged!B1078) * (ISNUMBER(SEARCH("Steel-Sash66",SKUs!$J$2:$J$10001)))), SKUs!$C$2:$C$10001,"")</f>
        <v/>
      </c>
      <c r="G1078" s="16"/>
      <c r="H1078" s="16" t="str" cm="1">
        <f t="array" ref="H1078">IF(C1078&lt;&gt;"", _xlfn.IFS(I1078="Height SLI",_xlfn.XLOOKUP(C1078,'calc_s90&amp;138'!$C$15:$C$1000,'calc_s90&amp;138'!$BP$15:$BP$1000,"",0),  I1078="Width", _xlfn.XLOOKUP(C1078,'calc_s90&amp;138'!$C$15:$C$1000,'calc_s90&amp;138'!$BR$15:$BR$1000,"",0)),"")</f>
        <v/>
      </c>
      <c r="I1078" s="16" t="str">
        <f t="shared" si="24"/>
        <v/>
      </c>
    </row>
    <row r="1079" spans="1:9" ht="13.5" customHeight="1" x14ac:dyDescent="0.25">
      <c r="A1079" s="41" t="str">
        <f>_xlfn.XLOOKUP(G1079,dd_color!$A$2:$A$8,dd_color!$B$2:$B$8,"",0)</f>
        <v/>
      </c>
      <c r="B1079" s="41">
        <f>_xlfn.XLOOKUP(_xlfn.XLOOKUP(C1079,'Project Details'!$C$17:$C$10003,'Project Details'!$E$17:$E$10003, "",0),dd_design_raw!$A$2:$A$9997,dd_design_raw!$C$2:$C$9997,"",0)</f>
        <v>0</v>
      </c>
      <c r="C1079" s="16"/>
      <c r="D1079" s="16" t="str" cm="1">
        <f t="array" ref="D1079">IF(C1079&lt;&gt;"", _xlfn.IFS(I1079="Height SLI",_xlfn.XLOOKUP(C1079,'calc_s90&amp;138'!$C$15:$C$1000,'calc_s90&amp;138'!$BQ$15:$BQ$1000,"",0),    I1079="Width", _xlfn.XLOOKUP(C1079,'calc_s90&amp;138'!$C$15:$C$1000,'calc_s90&amp;138'!$BS$15:$BS$1000,"",0)),"")</f>
        <v/>
      </c>
      <c r="E1079" s="16" t="str" cm="1">
        <f t="array" ref="E1079">IF(C1079&lt;&gt;"", _xlfn.XLOOKUP(1,((SKUs!$A$2:$A$10001=cl_unmerged!B1079) * (ISNUMBER(SEARCH("Steel-Sash66",SKUs!$J$2:$J$10001)))), SKUs!$J$2:$J$10001,""),"")  &amp; _xlfn.IFS(I1079="Height", ", H",I1079="Height SLI", ", H SLI", I1079="Height FIX", ", H FIX",I1079="Width", ", W", I1079="", "")</f>
        <v/>
      </c>
      <c r="F1079" s="33" t="str" cm="1">
        <f t="array" ref="F1079">_xlfn.XLOOKUP(1,((SKUs!$A$2:$A$10001=cl_unmerged!B1079) * (ISNUMBER(SEARCH("Steel-Sash66",SKUs!$J$2:$J$10001)))), SKUs!$C$2:$C$10001,"")</f>
        <v/>
      </c>
      <c r="G1079" s="16"/>
      <c r="H1079" s="16" t="str" cm="1">
        <f t="array" ref="H1079">IF(C1079&lt;&gt;"", _xlfn.IFS(I1079="Height SLI",_xlfn.XLOOKUP(C1079,'calc_s90&amp;138'!$C$15:$C$1000,'calc_s90&amp;138'!$BP$15:$BP$1000,"",0),  I1079="Width", _xlfn.XLOOKUP(C1079,'calc_s90&amp;138'!$C$15:$C$1000,'calc_s90&amp;138'!$BR$15:$BR$1000,"",0)),"")</f>
        <v/>
      </c>
      <c r="I1079" s="16" t="str">
        <f t="shared" si="24"/>
        <v/>
      </c>
    </row>
    <row r="1080" spans="1:9" ht="13.5" customHeight="1" x14ac:dyDescent="0.25">
      <c r="A1080" s="41" t="str">
        <f>_xlfn.XLOOKUP(G1080,dd_color!$A$2:$A$8,dd_color!$B$2:$B$8,"",0)</f>
        <v/>
      </c>
      <c r="B1080" s="41">
        <f>_xlfn.XLOOKUP(_xlfn.XLOOKUP(C1080,'Project Details'!$C$17:$C$10003,'Project Details'!$E$17:$E$10003, "",0),dd_design_raw!$A$2:$A$9997,dd_design_raw!$C$2:$C$9997,"",0)</f>
        <v>0</v>
      </c>
      <c r="C1080" s="16"/>
      <c r="D1080" s="16" t="str" cm="1">
        <f t="array" ref="D1080">IF(C1080&lt;&gt;"", _xlfn.IFS(I1080="Height SLI",_xlfn.XLOOKUP(C1080,'calc_s90&amp;138'!$C$15:$C$1000,'calc_s90&amp;138'!$BQ$15:$BQ$1000,"",0),    I1080="Width", _xlfn.XLOOKUP(C1080,'calc_s90&amp;138'!$C$15:$C$1000,'calc_s90&amp;138'!$BS$15:$BS$1000,"",0)),"")</f>
        <v/>
      </c>
      <c r="E1080" s="16" t="str" cm="1">
        <f t="array" ref="E1080">IF(C1080&lt;&gt;"", _xlfn.XLOOKUP(1,((SKUs!$A$2:$A$10001=cl_unmerged!B1080) * (ISNUMBER(SEARCH("Steel-Sash66",SKUs!$J$2:$J$10001)))), SKUs!$J$2:$J$10001,""),"")  &amp; _xlfn.IFS(I1080="Height", ", H",I1080="Height SLI", ", H SLI", I1080="Height FIX", ", H FIX",I1080="Width", ", W", I1080="", "")</f>
        <v/>
      </c>
      <c r="F1080" s="33" t="str" cm="1">
        <f t="array" ref="F1080">_xlfn.XLOOKUP(1,((SKUs!$A$2:$A$10001=cl_unmerged!B1080) * (ISNUMBER(SEARCH("Steel-Sash66",SKUs!$J$2:$J$10001)))), SKUs!$C$2:$C$10001,"")</f>
        <v/>
      </c>
      <c r="G1080" s="16"/>
      <c r="H1080" s="16" t="str" cm="1">
        <f t="array" ref="H1080">IF(C1080&lt;&gt;"", _xlfn.IFS(I1080="Height SLI",_xlfn.XLOOKUP(C1080,'calc_s90&amp;138'!$C$15:$C$1000,'calc_s90&amp;138'!$BP$15:$BP$1000,"",0),  I1080="Width", _xlfn.XLOOKUP(C1080,'calc_s90&amp;138'!$C$15:$C$1000,'calc_s90&amp;138'!$BR$15:$BR$1000,"",0)),"")</f>
        <v/>
      </c>
      <c r="I1080" s="16" t="str">
        <f t="shared" si="24"/>
        <v/>
      </c>
    </row>
    <row r="1081" spans="1:9" ht="13.5" customHeight="1" x14ac:dyDescent="0.25">
      <c r="A1081" s="41" t="str">
        <f>_xlfn.XLOOKUP(G1081,dd_color!$A$2:$A$8,dd_color!$B$2:$B$8,"",0)</f>
        <v/>
      </c>
      <c r="B1081" s="41">
        <f>_xlfn.XLOOKUP(_xlfn.XLOOKUP(C1081,'Project Details'!$C$17:$C$10003,'Project Details'!$E$17:$E$10003, "",0),dd_design_raw!$A$2:$A$9997,dd_design_raw!$C$2:$C$9997,"",0)</f>
        <v>0</v>
      </c>
      <c r="C1081" s="16"/>
      <c r="D1081" s="16" t="str" cm="1">
        <f t="array" ref="D1081">IF(C1081&lt;&gt;"", _xlfn.IFS(I1081="Height SLI",_xlfn.XLOOKUP(C1081,'calc_s90&amp;138'!$C$15:$C$1000,'calc_s90&amp;138'!$BQ$15:$BQ$1000,"",0),    I1081="Width", _xlfn.XLOOKUP(C1081,'calc_s90&amp;138'!$C$15:$C$1000,'calc_s90&amp;138'!$BS$15:$BS$1000,"",0)),"")</f>
        <v/>
      </c>
      <c r="E1081" s="16" t="str" cm="1">
        <f t="array" ref="E1081">IF(C1081&lt;&gt;"", _xlfn.XLOOKUP(1,((SKUs!$A$2:$A$10001=cl_unmerged!B1081) * (ISNUMBER(SEARCH("Steel-Sash66",SKUs!$J$2:$J$10001)))), SKUs!$J$2:$J$10001,""),"")  &amp; _xlfn.IFS(I1081="Height", ", H",I1081="Height SLI", ", H SLI", I1081="Height FIX", ", H FIX",I1081="Width", ", W", I1081="", "")</f>
        <v/>
      </c>
      <c r="F1081" s="33" t="str" cm="1">
        <f t="array" ref="F1081">_xlfn.XLOOKUP(1,((SKUs!$A$2:$A$10001=cl_unmerged!B1081) * (ISNUMBER(SEARCH("Steel-Sash66",SKUs!$J$2:$J$10001)))), SKUs!$C$2:$C$10001,"")</f>
        <v/>
      </c>
      <c r="G1081" s="16"/>
      <c r="H1081" s="16" t="str" cm="1">
        <f t="array" ref="H1081">IF(C1081&lt;&gt;"", _xlfn.IFS(I1081="Height SLI",_xlfn.XLOOKUP(C1081,'calc_s90&amp;138'!$C$15:$C$1000,'calc_s90&amp;138'!$BP$15:$BP$1000,"",0),  I1081="Width", _xlfn.XLOOKUP(C1081,'calc_s90&amp;138'!$C$15:$C$1000,'calc_s90&amp;138'!$BR$15:$BR$1000,"",0)),"")</f>
        <v/>
      </c>
      <c r="I1081" s="16" t="str">
        <f t="shared" si="24"/>
        <v/>
      </c>
    </row>
    <row r="1082" spans="1:9" ht="13.5" customHeight="1" x14ac:dyDescent="0.25">
      <c r="A1082" s="41" t="str">
        <f>_xlfn.XLOOKUP(G1082,dd_color!$A$2:$A$8,dd_color!$B$2:$B$8,"",0)</f>
        <v/>
      </c>
      <c r="B1082" s="41">
        <f>_xlfn.XLOOKUP(_xlfn.XLOOKUP(C1082,'Project Details'!$C$17:$C$10003,'Project Details'!$E$17:$E$10003, "",0),dd_design_raw!$A$2:$A$9997,dd_design_raw!$C$2:$C$9997,"",0)</f>
        <v>0</v>
      </c>
      <c r="C1082" s="16"/>
      <c r="D1082" s="16" t="str" cm="1">
        <f t="array" ref="D1082">IF(C1082&lt;&gt;"", _xlfn.IFS(I1082="Height SLI",_xlfn.XLOOKUP(C1082,'calc_s90&amp;138'!$C$15:$C$1000,'calc_s90&amp;138'!$BQ$15:$BQ$1000,"",0),    I1082="Width", _xlfn.XLOOKUP(C1082,'calc_s90&amp;138'!$C$15:$C$1000,'calc_s90&amp;138'!$BS$15:$BS$1000,"",0)),"")</f>
        <v/>
      </c>
      <c r="E1082" s="16" t="str" cm="1">
        <f t="array" ref="E1082">IF(C1082&lt;&gt;"", _xlfn.XLOOKUP(1,((SKUs!$A$2:$A$10001=cl_unmerged!B1082) * (ISNUMBER(SEARCH("Steel-Sash66",SKUs!$J$2:$J$10001)))), SKUs!$J$2:$J$10001,""),"")  &amp; _xlfn.IFS(I1082="Height", ", H",I1082="Height SLI", ", H SLI", I1082="Height FIX", ", H FIX",I1082="Width", ", W", I1082="", "")</f>
        <v/>
      </c>
      <c r="F1082" s="33" t="str" cm="1">
        <f t="array" ref="F1082">_xlfn.XLOOKUP(1,((SKUs!$A$2:$A$10001=cl_unmerged!B1082) * (ISNUMBER(SEARCH("Steel-Sash66",SKUs!$J$2:$J$10001)))), SKUs!$C$2:$C$10001,"")</f>
        <v/>
      </c>
      <c r="G1082" s="16"/>
      <c r="H1082" s="16" t="str" cm="1">
        <f t="array" ref="H1082">IF(C1082&lt;&gt;"", _xlfn.IFS(I1082="Height SLI",_xlfn.XLOOKUP(C1082,'calc_s90&amp;138'!$C$15:$C$1000,'calc_s90&amp;138'!$BP$15:$BP$1000,"",0),  I1082="Width", _xlfn.XLOOKUP(C1082,'calc_s90&amp;138'!$C$15:$C$1000,'calc_s90&amp;138'!$BR$15:$BR$1000,"",0)),"")</f>
        <v/>
      </c>
      <c r="I1082" s="16" t="str">
        <f t="shared" si="24"/>
        <v/>
      </c>
    </row>
    <row r="1083" spans="1:9" ht="13.5" customHeight="1" x14ac:dyDescent="0.25">
      <c r="A1083" s="41" t="str">
        <f>_xlfn.XLOOKUP(G1083,dd_color!$A$2:$A$8,dd_color!$B$2:$B$8,"",0)</f>
        <v/>
      </c>
      <c r="B1083" s="41">
        <f>_xlfn.XLOOKUP(_xlfn.XLOOKUP(C1083,'Project Details'!$C$17:$C$10003,'Project Details'!$E$17:$E$10003, "",0),dd_design_raw!$A$2:$A$9997,dd_design_raw!$C$2:$C$9997,"",0)</f>
        <v>0</v>
      </c>
      <c r="C1083" s="16"/>
      <c r="D1083" s="16" t="str" cm="1">
        <f t="array" ref="D1083">IF(C1083&lt;&gt;"", _xlfn.IFS(I1083="Height SLI",_xlfn.XLOOKUP(C1083,'calc_s90&amp;138'!$C$15:$C$1000,'calc_s90&amp;138'!$BQ$15:$BQ$1000,"",0),    I1083="Width", _xlfn.XLOOKUP(C1083,'calc_s90&amp;138'!$C$15:$C$1000,'calc_s90&amp;138'!$BS$15:$BS$1000,"",0)),"")</f>
        <v/>
      </c>
      <c r="E1083" s="16" t="str" cm="1">
        <f t="array" ref="E1083">IF(C1083&lt;&gt;"", _xlfn.XLOOKUP(1,((SKUs!$A$2:$A$10001=cl_unmerged!B1083) * (ISNUMBER(SEARCH("Steel-Sash66",SKUs!$J$2:$J$10001)))), SKUs!$J$2:$J$10001,""),"")  &amp; _xlfn.IFS(I1083="Height", ", H",I1083="Height SLI", ", H SLI", I1083="Height FIX", ", H FIX",I1083="Width", ", W", I1083="", "")</f>
        <v/>
      </c>
      <c r="F1083" s="33" t="str" cm="1">
        <f t="array" ref="F1083">_xlfn.XLOOKUP(1,((SKUs!$A$2:$A$10001=cl_unmerged!B1083) * (ISNUMBER(SEARCH("Steel-Sash66",SKUs!$J$2:$J$10001)))), SKUs!$C$2:$C$10001,"")</f>
        <v/>
      </c>
      <c r="G1083" s="16"/>
      <c r="H1083" s="16" t="str" cm="1">
        <f t="array" ref="H1083">IF(C1083&lt;&gt;"", _xlfn.IFS(I1083="Height SLI",_xlfn.XLOOKUP(C1083,'calc_s90&amp;138'!$C$15:$C$1000,'calc_s90&amp;138'!$BP$15:$BP$1000,"",0),  I1083="Width", _xlfn.XLOOKUP(C1083,'calc_s90&amp;138'!$C$15:$C$1000,'calc_s90&amp;138'!$BR$15:$BR$1000,"",0)),"")</f>
        <v/>
      </c>
      <c r="I1083" s="16" t="str">
        <f t="shared" si="24"/>
        <v/>
      </c>
    </row>
    <row r="1084" spans="1:9" ht="13.5" customHeight="1" x14ac:dyDescent="0.25">
      <c r="A1084" s="41" t="str">
        <f>_xlfn.XLOOKUP(G1084,dd_color!$A$2:$A$8,dd_color!$B$2:$B$8,"",0)</f>
        <v/>
      </c>
      <c r="B1084" s="41">
        <f>_xlfn.XLOOKUP(_xlfn.XLOOKUP(C1084,'Project Details'!$C$17:$C$10003,'Project Details'!$E$17:$E$10003, "",0),dd_design_raw!$A$2:$A$9997,dd_design_raw!$C$2:$C$9997,"",0)</f>
        <v>0</v>
      </c>
      <c r="C1084" s="16"/>
      <c r="D1084" s="16" t="str" cm="1">
        <f t="array" ref="D1084">IF(C1084&lt;&gt;"", _xlfn.IFS(I1084="Height SLI",_xlfn.XLOOKUP(C1084,'calc_s90&amp;138'!$C$15:$C$1000,'calc_s90&amp;138'!$BQ$15:$BQ$1000,"",0),    I1084="Width", _xlfn.XLOOKUP(C1084,'calc_s90&amp;138'!$C$15:$C$1000,'calc_s90&amp;138'!$BS$15:$BS$1000,"",0)),"")</f>
        <v/>
      </c>
      <c r="E1084" s="16" t="str" cm="1">
        <f t="array" ref="E1084">IF(C1084&lt;&gt;"", _xlfn.XLOOKUP(1,((SKUs!$A$2:$A$10001=cl_unmerged!B1084) * (ISNUMBER(SEARCH("Steel-Sash66",SKUs!$J$2:$J$10001)))), SKUs!$J$2:$J$10001,""),"")  &amp; _xlfn.IFS(I1084="Height", ", H",I1084="Height SLI", ", H SLI", I1084="Height FIX", ", H FIX",I1084="Width", ", W", I1084="", "")</f>
        <v/>
      </c>
      <c r="F1084" s="33" t="str" cm="1">
        <f t="array" ref="F1084">_xlfn.XLOOKUP(1,((SKUs!$A$2:$A$10001=cl_unmerged!B1084) * (ISNUMBER(SEARCH("Steel-Sash66",SKUs!$J$2:$J$10001)))), SKUs!$C$2:$C$10001,"")</f>
        <v/>
      </c>
      <c r="G1084" s="16"/>
      <c r="H1084" s="16" t="str" cm="1">
        <f t="array" ref="H1084">IF(C1084&lt;&gt;"", _xlfn.IFS(I1084="Height SLI",_xlfn.XLOOKUP(C1084,'calc_s90&amp;138'!$C$15:$C$1000,'calc_s90&amp;138'!$BP$15:$BP$1000,"",0),  I1084="Width", _xlfn.XLOOKUP(C1084,'calc_s90&amp;138'!$C$15:$C$1000,'calc_s90&amp;138'!$BR$15:$BR$1000,"",0)),"")</f>
        <v/>
      </c>
      <c r="I1084" s="16" t="str">
        <f t="shared" si="24"/>
        <v/>
      </c>
    </row>
    <row r="1085" spans="1:9" ht="13.5" customHeight="1" x14ac:dyDescent="0.25">
      <c r="A1085" s="41" t="str">
        <f>_xlfn.XLOOKUP(G1085,dd_color!$A$2:$A$8,dd_color!$B$2:$B$8,"",0)</f>
        <v/>
      </c>
      <c r="B1085" s="41">
        <f>_xlfn.XLOOKUP(_xlfn.XLOOKUP(C1085,'Project Details'!$C$17:$C$10003,'Project Details'!$E$17:$E$10003, "",0),dd_design_raw!$A$2:$A$9997,dd_design_raw!$C$2:$C$9997,"",0)</f>
        <v>0</v>
      </c>
      <c r="C1085" s="16"/>
      <c r="D1085" s="16" t="str" cm="1">
        <f t="array" ref="D1085">IF(C1085&lt;&gt;"", _xlfn.IFS(I1085="Height SLI",_xlfn.XLOOKUP(C1085,'calc_s90&amp;138'!$C$15:$C$1000,'calc_s90&amp;138'!$BQ$15:$BQ$1000,"",0),    I1085="Width", _xlfn.XLOOKUP(C1085,'calc_s90&amp;138'!$C$15:$C$1000,'calc_s90&amp;138'!$BS$15:$BS$1000,"",0)),"")</f>
        <v/>
      </c>
      <c r="E1085" s="16" t="str" cm="1">
        <f t="array" ref="E1085">IF(C1085&lt;&gt;"", _xlfn.XLOOKUP(1,((SKUs!$A$2:$A$10001=cl_unmerged!B1085) * (ISNUMBER(SEARCH("Steel-Sash66",SKUs!$J$2:$J$10001)))), SKUs!$J$2:$J$10001,""),"")  &amp; _xlfn.IFS(I1085="Height", ", H",I1085="Height SLI", ", H SLI", I1085="Height FIX", ", H FIX",I1085="Width", ", W", I1085="", "")</f>
        <v/>
      </c>
      <c r="F1085" s="33" t="str" cm="1">
        <f t="array" ref="F1085">_xlfn.XLOOKUP(1,((SKUs!$A$2:$A$10001=cl_unmerged!B1085) * (ISNUMBER(SEARCH("Steel-Sash66",SKUs!$J$2:$J$10001)))), SKUs!$C$2:$C$10001,"")</f>
        <v/>
      </c>
      <c r="G1085" s="16"/>
      <c r="H1085" s="16" t="str" cm="1">
        <f t="array" ref="H1085">IF(C1085&lt;&gt;"", _xlfn.IFS(I1085="Height SLI",_xlfn.XLOOKUP(C1085,'calc_s90&amp;138'!$C$15:$C$1000,'calc_s90&amp;138'!$BP$15:$BP$1000,"",0),  I1085="Width", _xlfn.XLOOKUP(C1085,'calc_s90&amp;138'!$C$15:$C$1000,'calc_s90&amp;138'!$BR$15:$BR$1000,"",0)),"")</f>
        <v/>
      </c>
      <c r="I1085" s="16" t="str">
        <f t="shared" si="24"/>
        <v/>
      </c>
    </row>
    <row r="1086" spans="1:9" ht="13.5" customHeight="1" x14ac:dyDescent="0.25">
      <c r="A1086" s="41" t="str">
        <f>_xlfn.XLOOKUP(G1086,dd_color!$A$2:$A$8,dd_color!$B$2:$B$8,"",0)</f>
        <v/>
      </c>
      <c r="B1086" s="41">
        <f>_xlfn.XLOOKUP(_xlfn.XLOOKUP(C1086,'Project Details'!$C$17:$C$10003,'Project Details'!$E$17:$E$10003, "",0),dd_design_raw!$A$2:$A$9997,dd_design_raw!$C$2:$C$9997,"",0)</f>
        <v>0</v>
      </c>
      <c r="C1086" s="16"/>
      <c r="D1086" s="16" t="str" cm="1">
        <f t="array" ref="D1086">IF(C1086&lt;&gt;"", _xlfn.IFS(I1086="Height SLI",_xlfn.XLOOKUP(C1086,'calc_s90&amp;138'!$C$15:$C$1000,'calc_s90&amp;138'!$BQ$15:$BQ$1000,"",0),    I1086="Width", _xlfn.XLOOKUP(C1086,'calc_s90&amp;138'!$C$15:$C$1000,'calc_s90&amp;138'!$BS$15:$BS$1000,"",0)),"")</f>
        <v/>
      </c>
      <c r="E1086" s="16" t="str" cm="1">
        <f t="array" ref="E1086">IF(C1086&lt;&gt;"", _xlfn.XLOOKUP(1,((SKUs!$A$2:$A$10001=cl_unmerged!B1086) * (ISNUMBER(SEARCH("Steel-Sash66",SKUs!$J$2:$J$10001)))), SKUs!$J$2:$J$10001,""),"")  &amp; _xlfn.IFS(I1086="Height", ", H",I1086="Height SLI", ", H SLI", I1086="Height FIX", ", H FIX",I1086="Width", ", W", I1086="", "")</f>
        <v/>
      </c>
      <c r="F1086" s="33" t="str" cm="1">
        <f t="array" ref="F1086">_xlfn.XLOOKUP(1,((SKUs!$A$2:$A$10001=cl_unmerged!B1086) * (ISNUMBER(SEARCH("Steel-Sash66",SKUs!$J$2:$J$10001)))), SKUs!$C$2:$C$10001,"")</f>
        <v/>
      </c>
      <c r="G1086" s="16"/>
      <c r="H1086" s="16" t="str" cm="1">
        <f t="array" ref="H1086">IF(C1086&lt;&gt;"", _xlfn.IFS(I1086="Height SLI",_xlfn.XLOOKUP(C1086,'calc_s90&amp;138'!$C$15:$C$1000,'calc_s90&amp;138'!$BP$15:$BP$1000,"",0),  I1086="Width", _xlfn.XLOOKUP(C1086,'calc_s90&amp;138'!$C$15:$C$1000,'calc_s90&amp;138'!$BR$15:$BR$1000,"",0)),"")</f>
        <v/>
      </c>
      <c r="I1086" s="16" t="str">
        <f t="shared" si="24"/>
        <v/>
      </c>
    </row>
    <row r="1087" spans="1:9" ht="13.5" customHeight="1" x14ac:dyDescent="0.25">
      <c r="A1087" s="41" t="str">
        <f>_xlfn.XLOOKUP(G1087,dd_color!$A$2:$A$8,dd_color!$B$2:$B$8,"",0)</f>
        <v/>
      </c>
      <c r="B1087" s="41">
        <f>_xlfn.XLOOKUP(_xlfn.XLOOKUP(C1087,'Project Details'!$C$17:$C$10003,'Project Details'!$E$17:$E$10003, "",0),dd_design_raw!$A$2:$A$9997,dd_design_raw!$C$2:$C$9997,"",0)</f>
        <v>0</v>
      </c>
      <c r="C1087" s="16"/>
      <c r="D1087" s="16" t="str" cm="1">
        <f t="array" ref="D1087">IF(C1087&lt;&gt;"", _xlfn.IFS(I1087="Height SLI",_xlfn.XLOOKUP(C1087,'calc_s90&amp;138'!$C$15:$C$1000,'calc_s90&amp;138'!$BQ$15:$BQ$1000,"",0),    I1087="Width", _xlfn.XLOOKUP(C1087,'calc_s90&amp;138'!$C$15:$C$1000,'calc_s90&amp;138'!$BS$15:$BS$1000,"",0)),"")</f>
        <v/>
      </c>
      <c r="E1087" s="16" t="str" cm="1">
        <f t="array" ref="E1087">IF(C1087&lt;&gt;"", _xlfn.XLOOKUP(1,((SKUs!$A$2:$A$10001=cl_unmerged!B1087) * (ISNUMBER(SEARCH("Steel-Sash66",SKUs!$J$2:$J$10001)))), SKUs!$J$2:$J$10001,""),"")  &amp; _xlfn.IFS(I1087="Height", ", H",I1087="Height SLI", ", H SLI", I1087="Height FIX", ", H FIX",I1087="Width", ", W", I1087="", "")</f>
        <v/>
      </c>
      <c r="F1087" s="33" t="str" cm="1">
        <f t="array" ref="F1087">_xlfn.XLOOKUP(1,((SKUs!$A$2:$A$10001=cl_unmerged!B1087) * (ISNUMBER(SEARCH("Steel-Sash66",SKUs!$J$2:$J$10001)))), SKUs!$C$2:$C$10001,"")</f>
        <v/>
      </c>
      <c r="G1087" s="16"/>
      <c r="H1087" s="16" t="str" cm="1">
        <f t="array" ref="H1087">IF(C1087&lt;&gt;"", _xlfn.IFS(I1087="Height SLI",_xlfn.XLOOKUP(C1087,'calc_s90&amp;138'!$C$15:$C$1000,'calc_s90&amp;138'!$BP$15:$BP$1000,"",0),  I1087="Width", _xlfn.XLOOKUP(C1087,'calc_s90&amp;138'!$C$15:$C$1000,'calc_s90&amp;138'!$BR$15:$BR$1000,"",0)),"")</f>
        <v/>
      </c>
      <c r="I1087" s="16" t="str">
        <f t="shared" si="24"/>
        <v/>
      </c>
    </row>
    <row r="1088" spans="1:9" ht="13.5" customHeight="1" x14ac:dyDescent="0.25">
      <c r="A1088" s="41" t="str">
        <f>_xlfn.XLOOKUP(G1088,dd_color!$A$2:$A$8,dd_color!$B$2:$B$8,"",0)</f>
        <v/>
      </c>
      <c r="B1088" s="41">
        <f>_xlfn.XLOOKUP(_xlfn.XLOOKUP(C1088,'Project Details'!$C$17:$C$10003,'Project Details'!$E$17:$E$10003, "",0),dd_design_raw!$A$2:$A$9997,dd_design_raw!$C$2:$C$9997,"",0)</f>
        <v>0</v>
      </c>
      <c r="C1088" s="16"/>
      <c r="D1088" s="16" t="str" cm="1">
        <f t="array" ref="D1088">IF(C1088&lt;&gt;"", _xlfn.IFS(I1088="Height SLI",_xlfn.XLOOKUP(C1088,'calc_s90&amp;138'!$C$15:$C$1000,'calc_s90&amp;138'!$BQ$15:$BQ$1000,"",0),    I1088="Width", _xlfn.XLOOKUP(C1088,'calc_s90&amp;138'!$C$15:$C$1000,'calc_s90&amp;138'!$BS$15:$BS$1000,"",0)),"")</f>
        <v/>
      </c>
      <c r="E1088" s="16" t="str" cm="1">
        <f t="array" ref="E1088">IF(C1088&lt;&gt;"", _xlfn.XLOOKUP(1,((SKUs!$A$2:$A$10001=cl_unmerged!B1088) * (ISNUMBER(SEARCH("Steel-Sash66",SKUs!$J$2:$J$10001)))), SKUs!$J$2:$J$10001,""),"")  &amp; _xlfn.IFS(I1088="Height", ", H",I1088="Height SLI", ", H SLI", I1088="Height FIX", ", H FIX",I1088="Width", ", W", I1088="", "")</f>
        <v/>
      </c>
      <c r="F1088" s="33" t="str" cm="1">
        <f t="array" ref="F1088">_xlfn.XLOOKUP(1,((SKUs!$A$2:$A$10001=cl_unmerged!B1088) * (ISNUMBER(SEARCH("Steel-Sash66",SKUs!$J$2:$J$10001)))), SKUs!$C$2:$C$10001,"")</f>
        <v/>
      </c>
      <c r="G1088" s="16"/>
      <c r="H1088" s="16" t="str" cm="1">
        <f t="array" ref="H1088">IF(C1088&lt;&gt;"", _xlfn.IFS(I1088="Height SLI",_xlfn.XLOOKUP(C1088,'calc_s90&amp;138'!$C$15:$C$1000,'calc_s90&amp;138'!$BP$15:$BP$1000,"",0),  I1088="Width", _xlfn.XLOOKUP(C1088,'calc_s90&amp;138'!$C$15:$C$1000,'calc_s90&amp;138'!$BR$15:$BR$1000,"",0)),"")</f>
        <v/>
      </c>
      <c r="I1088" s="16" t="str">
        <f t="shared" si="24"/>
        <v/>
      </c>
    </row>
    <row r="1089" spans="1:9" ht="13.5" customHeight="1" x14ac:dyDescent="0.25">
      <c r="A1089" s="41" t="str">
        <f>_xlfn.XLOOKUP(G1089,dd_color!$A$2:$A$8,dd_color!$B$2:$B$8,"",0)</f>
        <v/>
      </c>
      <c r="B1089" s="41">
        <f>_xlfn.XLOOKUP(_xlfn.XLOOKUP(C1089,'Project Details'!$C$17:$C$10003,'Project Details'!$E$17:$E$10003, "",0),dd_design_raw!$A$2:$A$9997,dd_design_raw!$C$2:$C$9997,"",0)</f>
        <v>0</v>
      </c>
      <c r="C1089" s="16"/>
      <c r="D1089" s="16" t="str" cm="1">
        <f t="array" ref="D1089">IF(C1089&lt;&gt;"", _xlfn.IFS(I1089="Height SLI",_xlfn.XLOOKUP(C1089,'calc_s90&amp;138'!$C$15:$C$1000,'calc_s90&amp;138'!$BQ$15:$BQ$1000,"",0),    I1089="Width", _xlfn.XLOOKUP(C1089,'calc_s90&amp;138'!$C$15:$C$1000,'calc_s90&amp;138'!$BS$15:$BS$1000,"",0)),"")</f>
        <v/>
      </c>
      <c r="E1089" s="16" t="str" cm="1">
        <f t="array" ref="E1089">IF(C1089&lt;&gt;"", _xlfn.XLOOKUP(1,((SKUs!$A$2:$A$10001=cl_unmerged!B1089) * (ISNUMBER(SEARCH("Steel-Sash66",SKUs!$J$2:$J$10001)))), SKUs!$J$2:$J$10001,""),"")  &amp; _xlfn.IFS(I1089="Height", ", H",I1089="Height SLI", ", H SLI", I1089="Height FIX", ", H FIX",I1089="Width", ", W", I1089="", "")</f>
        <v/>
      </c>
      <c r="F1089" s="33" t="str" cm="1">
        <f t="array" ref="F1089">_xlfn.XLOOKUP(1,((SKUs!$A$2:$A$10001=cl_unmerged!B1089) * (ISNUMBER(SEARCH("Steel-Sash66",SKUs!$J$2:$J$10001)))), SKUs!$C$2:$C$10001,"")</f>
        <v/>
      </c>
      <c r="G1089" s="16"/>
      <c r="H1089" s="16" t="str" cm="1">
        <f t="array" ref="H1089">IF(C1089&lt;&gt;"", _xlfn.IFS(I1089="Height SLI",_xlfn.XLOOKUP(C1089,'calc_s90&amp;138'!$C$15:$C$1000,'calc_s90&amp;138'!$BP$15:$BP$1000,"",0),  I1089="Width", _xlfn.XLOOKUP(C1089,'calc_s90&amp;138'!$C$15:$C$1000,'calc_s90&amp;138'!$BR$15:$BR$1000,"",0)),"")</f>
        <v/>
      </c>
      <c r="I1089" s="16" t="str">
        <f t="shared" si="24"/>
        <v/>
      </c>
    </row>
    <row r="1090" spans="1:9" ht="13.5" customHeight="1" x14ac:dyDescent="0.25">
      <c r="A1090" s="41" t="str">
        <f>_xlfn.XLOOKUP(G1090,dd_color!$A$2:$A$8,dd_color!$B$2:$B$8,"",0)</f>
        <v/>
      </c>
      <c r="B1090" s="41">
        <f>_xlfn.XLOOKUP(_xlfn.XLOOKUP(C1090,'Project Details'!$C$17:$C$10003,'Project Details'!$E$17:$E$10003, "",0),dd_design_raw!$A$2:$A$9997,dd_design_raw!$C$2:$C$9997,"",0)</f>
        <v>0</v>
      </c>
      <c r="C1090" s="16"/>
      <c r="D1090" s="16" t="str" cm="1">
        <f t="array" ref="D1090">IF(C1090&lt;&gt;"", _xlfn.IFS(I1090="Height SLI",_xlfn.XLOOKUP(C1090,'calc_s90&amp;138'!$C$15:$C$1000,'calc_s90&amp;138'!$BQ$15:$BQ$1000,"",0),    I1090="Width", _xlfn.XLOOKUP(C1090,'calc_s90&amp;138'!$C$15:$C$1000,'calc_s90&amp;138'!$BS$15:$BS$1000,"",0)),"")</f>
        <v/>
      </c>
      <c r="E1090" s="16" t="str" cm="1">
        <f t="array" ref="E1090">IF(C1090&lt;&gt;"", _xlfn.XLOOKUP(1,((SKUs!$A$2:$A$10001=cl_unmerged!B1090) * (ISNUMBER(SEARCH("Steel-Sash66",SKUs!$J$2:$J$10001)))), SKUs!$J$2:$J$10001,""),"")  &amp; _xlfn.IFS(I1090="Height", ", H",I1090="Height SLI", ", H SLI", I1090="Height FIX", ", H FIX",I1090="Width", ", W", I1090="", "")</f>
        <v/>
      </c>
      <c r="F1090" s="33" t="str" cm="1">
        <f t="array" ref="F1090">_xlfn.XLOOKUP(1,((SKUs!$A$2:$A$10001=cl_unmerged!B1090) * (ISNUMBER(SEARCH("Steel-Sash66",SKUs!$J$2:$J$10001)))), SKUs!$C$2:$C$10001,"")</f>
        <v/>
      </c>
      <c r="G1090" s="16"/>
      <c r="H1090" s="16" t="str" cm="1">
        <f t="array" ref="H1090">IF(C1090&lt;&gt;"", _xlfn.IFS(I1090="Height SLI",_xlfn.XLOOKUP(C1090,'calc_s90&amp;138'!$C$15:$C$1000,'calc_s90&amp;138'!$BP$15:$BP$1000,"",0),  I1090="Width", _xlfn.XLOOKUP(C1090,'calc_s90&amp;138'!$C$15:$C$1000,'calc_s90&amp;138'!$BR$15:$BR$1000,"",0)),"")</f>
        <v/>
      </c>
      <c r="I1090" s="16" t="str">
        <f t="shared" si="24"/>
        <v/>
      </c>
    </row>
    <row r="1091" spans="1:9" ht="13.5" customHeight="1" x14ac:dyDescent="0.25">
      <c r="A1091" s="41" t="str">
        <f>_xlfn.XLOOKUP(G1091,dd_color!$A$2:$A$8,dd_color!$B$2:$B$8,"",0)</f>
        <v/>
      </c>
      <c r="B1091" s="41">
        <f>_xlfn.XLOOKUP(_xlfn.XLOOKUP(C1091,'Project Details'!$C$17:$C$10003,'Project Details'!$E$17:$E$10003, "",0),dd_design_raw!$A$2:$A$9997,dd_design_raw!$C$2:$C$9997,"",0)</f>
        <v>0</v>
      </c>
      <c r="C1091" s="16"/>
      <c r="D1091" s="16" t="str" cm="1">
        <f t="array" ref="D1091">IF(C1091&lt;&gt;"", _xlfn.IFS(I1091="Height SLI",_xlfn.XLOOKUP(C1091,'calc_s90&amp;138'!$C$15:$C$1000,'calc_s90&amp;138'!$BQ$15:$BQ$1000,"",0),    I1091="Width", _xlfn.XLOOKUP(C1091,'calc_s90&amp;138'!$C$15:$C$1000,'calc_s90&amp;138'!$BS$15:$BS$1000,"",0)),"")</f>
        <v/>
      </c>
      <c r="E1091" s="16" t="str" cm="1">
        <f t="array" ref="E1091">IF(C1091&lt;&gt;"", _xlfn.XLOOKUP(1,((SKUs!$A$2:$A$10001=cl_unmerged!B1091) * (ISNUMBER(SEARCH("Steel-Sash66",SKUs!$J$2:$J$10001)))), SKUs!$J$2:$J$10001,""),"")  &amp; _xlfn.IFS(I1091="Height", ", H",I1091="Height SLI", ", H SLI", I1091="Height FIX", ", H FIX",I1091="Width", ", W", I1091="", "")</f>
        <v/>
      </c>
      <c r="F1091" s="33" t="str" cm="1">
        <f t="array" ref="F1091">_xlfn.XLOOKUP(1,((SKUs!$A$2:$A$10001=cl_unmerged!B1091) * (ISNUMBER(SEARCH("Steel-Sash66",SKUs!$J$2:$J$10001)))), SKUs!$C$2:$C$10001,"")</f>
        <v/>
      </c>
      <c r="G1091" s="16"/>
      <c r="H1091" s="16" t="str" cm="1">
        <f t="array" ref="H1091">IF(C1091&lt;&gt;"", _xlfn.IFS(I1091="Height SLI",_xlfn.XLOOKUP(C1091,'calc_s90&amp;138'!$C$15:$C$1000,'calc_s90&amp;138'!$BP$15:$BP$1000,"",0),  I1091="Width", _xlfn.XLOOKUP(C1091,'calc_s90&amp;138'!$C$15:$C$1000,'calc_s90&amp;138'!$BR$15:$BR$1000,"",0)),"")</f>
        <v/>
      </c>
      <c r="I1091" s="16" t="str">
        <f t="shared" si="24"/>
        <v/>
      </c>
    </row>
    <row r="1092" spans="1:9" ht="13.5" customHeight="1" x14ac:dyDescent="0.25">
      <c r="A1092" s="41" t="str">
        <f>_xlfn.XLOOKUP(G1092,dd_color!$A$2:$A$8,dd_color!$B$2:$B$8,"",0)</f>
        <v/>
      </c>
      <c r="B1092" s="41">
        <f>_xlfn.XLOOKUP(_xlfn.XLOOKUP(C1092,'Project Details'!$C$17:$C$10003,'Project Details'!$E$17:$E$10003, "",0),dd_design_raw!$A$2:$A$9997,dd_design_raw!$C$2:$C$9997,"",0)</f>
        <v>0</v>
      </c>
      <c r="C1092" s="16"/>
      <c r="D1092" s="16" t="str" cm="1">
        <f t="array" ref="D1092">IF(C1092&lt;&gt;"", _xlfn.IFS(I1092="Height SLI",_xlfn.XLOOKUP(C1092,'calc_s90&amp;138'!$C$15:$C$1000,'calc_s90&amp;138'!$BQ$15:$BQ$1000,"",0),    I1092="Width", _xlfn.XLOOKUP(C1092,'calc_s90&amp;138'!$C$15:$C$1000,'calc_s90&amp;138'!$BS$15:$BS$1000,"",0)),"")</f>
        <v/>
      </c>
      <c r="E1092" s="16" t="str" cm="1">
        <f t="array" ref="E1092">IF(C1092&lt;&gt;"", _xlfn.XLOOKUP(1,((SKUs!$A$2:$A$10001=cl_unmerged!B1092) * (ISNUMBER(SEARCH("Steel-Sash66",SKUs!$J$2:$J$10001)))), SKUs!$J$2:$J$10001,""),"")  &amp; _xlfn.IFS(I1092="Height", ", H",I1092="Height SLI", ", H SLI", I1092="Height FIX", ", H FIX",I1092="Width", ", W", I1092="", "")</f>
        <v/>
      </c>
      <c r="F1092" s="33" t="str" cm="1">
        <f t="array" ref="F1092">_xlfn.XLOOKUP(1,((SKUs!$A$2:$A$10001=cl_unmerged!B1092) * (ISNUMBER(SEARCH("Steel-Sash66",SKUs!$J$2:$J$10001)))), SKUs!$C$2:$C$10001,"")</f>
        <v/>
      </c>
      <c r="G1092" s="16"/>
      <c r="H1092" s="16" t="str" cm="1">
        <f t="array" ref="H1092">IF(C1092&lt;&gt;"", _xlfn.IFS(I1092="Height SLI",_xlfn.XLOOKUP(C1092,'calc_s90&amp;138'!$C$15:$C$1000,'calc_s90&amp;138'!$BP$15:$BP$1000,"",0),  I1092="Width", _xlfn.XLOOKUP(C1092,'calc_s90&amp;138'!$C$15:$C$1000,'calc_s90&amp;138'!$BR$15:$BR$1000,"",0)),"")</f>
        <v/>
      </c>
      <c r="I1092" s="16" t="str">
        <f t="shared" si="24"/>
        <v/>
      </c>
    </row>
    <row r="1093" spans="1:9" ht="13.5" customHeight="1" x14ac:dyDescent="0.25">
      <c r="A1093" s="41" t="str">
        <f>_xlfn.XLOOKUP(G1093,dd_color!$A$2:$A$8,dd_color!$B$2:$B$8,"",0)</f>
        <v/>
      </c>
      <c r="B1093" s="41">
        <f>_xlfn.XLOOKUP(_xlfn.XLOOKUP(C1093,'Project Details'!$C$17:$C$10003,'Project Details'!$E$17:$E$10003, "",0),dd_design_raw!$A$2:$A$9997,dd_design_raw!$C$2:$C$9997,"",0)</f>
        <v>0</v>
      </c>
      <c r="C1093" s="16"/>
      <c r="D1093" s="16" t="str" cm="1">
        <f t="array" ref="D1093">IF(C1093&lt;&gt;"", _xlfn.IFS(I1093="Height SLI",_xlfn.XLOOKUP(C1093,'calc_s90&amp;138'!$C$15:$C$1000,'calc_s90&amp;138'!$BQ$15:$BQ$1000,"",0),    I1093="Width", _xlfn.XLOOKUP(C1093,'calc_s90&amp;138'!$C$15:$C$1000,'calc_s90&amp;138'!$BS$15:$BS$1000,"",0)),"")</f>
        <v/>
      </c>
      <c r="E1093" s="16" t="str" cm="1">
        <f t="array" ref="E1093">IF(C1093&lt;&gt;"", _xlfn.XLOOKUP(1,((SKUs!$A$2:$A$10001=cl_unmerged!B1093) * (ISNUMBER(SEARCH("Steel-Sash66",SKUs!$J$2:$J$10001)))), SKUs!$J$2:$J$10001,""),"")  &amp; _xlfn.IFS(I1093="Height", ", H",I1093="Height SLI", ", H SLI", I1093="Height FIX", ", H FIX",I1093="Width", ", W", I1093="", "")</f>
        <v/>
      </c>
      <c r="F1093" s="33" t="str" cm="1">
        <f t="array" ref="F1093">_xlfn.XLOOKUP(1,((SKUs!$A$2:$A$10001=cl_unmerged!B1093) * (ISNUMBER(SEARCH("Steel-Sash66",SKUs!$J$2:$J$10001)))), SKUs!$C$2:$C$10001,"")</f>
        <v/>
      </c>
      <c r="G1093" s="16"/>
      <c r="H1093" s="16" t="str" cm="1">
        <f t="array" ref="H1093">IF(C1093&lt;&gt;"", _xlfn.IFS(I1093="Height SLI",_xlfn.XLOOKUP(C1093,'calc_s90&amp;138'!$C$15:$C$1000,'calc_s90&amp;138'!$BP$15:$BP$1000,"",0),  I1093="Width", _xlfn.XLOOKUP(C1093,'calc_s90&amp;138'!$C$15:$C$1000,'calc_s90&amp;138'!$BR$15:$BR$1000,"",0)),"")</f>
        <v/>
      </c>
      <c r="I1093" s="16" t="str">
        <f t="shared" si="24"/>
        <v/>
      </c>
    </row>
    <row r="1094" spans="1:9" ht="13.5" customHeight="1" x14ac:dyDescent="0.25">
      <c r="A1094" s="41" t="str">
        <f>_xlfn.XLOOKUP(G1094,dd_color!$A$2:$A$8,dd_color!$B$2:$B$8,"",0)</f>
        <v/>
      </c>
      <c r="B1094" s="41">
        <f>_xlfn.XLOOKUP(_xlfn.XLOOKUP(C1094,'Project Details'!$C$17:$C$10003,'Project Details'!$E$17:$E$10003, "",0),dd_design_raw!$A$2:$A$9997,dd_design_raw!$C$2:$C$9997,"",0)</f>
        <v>0</v>
      </c>
      <c r="C1094" s="16"/>
      <c r="D1094" s="16" t="str" cm="1">
        <f t="array" ref="D1094">IF(C1094&lt;&gt;"", _xlfn.IFS(I1094="Height SLI",_xlfn.XLOOKUP(C1094,'calc_s90&amp;138'!$C$15:$C$1000,'calc_s90&amp;138'!$BQ$15:$BQ$1000,"",0),    I1094="Width", _xlfn.XLOOKUP(C1094,'calc_s90&amp;138'!$C$15:$C$1000,'calc_s90&amp;138'!$BS$15:$BS$1000,"",0)),"")</f>
        <v/>
      </c>
      <c r="E1094" s="16" t="str" cm="1">
        <f t="array" ref="E1094">IF(C1094&lt;&gt;"", _xlfn.XLOOKUP(1,((SKUs!$A$2:$A$10001=cl_unmerged!B1094) * (ISNUMBER(SEARCH("Steel-Sash66",SKUs!$J$2:$J$10001)))), SKUs!$J$2:$J$10001,""),"")  &amp; _xlfn.IFS(I1094="Height", ", H",I1094="Height SLI", ", H SLI", I1094="Height FIX", ", H FIX",I1094="Width", ", W", I1094="", "")</f>
        <v/>
      </c>
      <c r="F1094" s="33" t="str" cm="1">
        <f t="array" ref="F1094">_xlfn.XLOOKUP(1,((SKUs!$A$2:$A$10001=cl_unmerged!B1094) * (ISNUMBER(SEARCH("Steel-Sash66",SKUs!$J$2:$J$10001)))), SKUs!$C$2:$C$10001,"")</f>
        <v/>
      </c>
      <c r="G1094" s="16"/>
      <c r="H1094" s="16" t="str" cm="1">
        <f t="array" ref="H1094">IF(C1094&lt;&gt;"", _xlfn.IFS(I1094="Height SLI",_xlfn.XLOOKUP(C1094,'calc_s90&amp;138'!$C$15:$C$1000,'calc_s90&amp;138'!$BP$15:$BP$1000,"",0),  I1094="Width", _xlfn.XLOOKUP(C1094,'calc_s90&amp;138'!$C$15:$C$1000,'calc_s90&amp;138'!$BR$15:$BR$1000,"",0)),"")</f>
        <v/>
      </c>
      <c r="I1094" s="16" t="str">
        <f t="shared" si="24"/>
        <v/>
      </c>
    </row>
    <row r="1095" spans="1:9" ht="13.5" customHeight="1" x14ac:dyDescent="0.25">
      <c r="A1095" s="41" t="str">
        <f>_xlfn.XLOOKUP(G1095,dd_color!$A$2:$A$8,dd_color!$B$2:$B$8,"",0)</f>
        <v/>
      </c>
      <c r="B1095" s="41">
        <f>_xlfn.XLOOKUP(_xlfn.XLOOKUP(C1095,'Project Details'!$C$17:$C$10003,'Project Details'!$E$17:$E$10003, "",0),dd_design_raw!$A$2:$A$9997,dd_design_raw!$C$2:$C$9997,"",0)</f>
        <v>0</v>
      </c>
      <c r="C1095" s="16"/>
      <c r="D1095" s="16" t="str" cm="1">
        <f t="array" ref="D1095">IF(C1095&lt;&gt;"", _xlfn.IFS(I1095="Height SLI",_xlfn.XLOOKUP(C1095,'calc_s90&amp;138'!$C$15:$C$1000,'calc_s90&amp;138'!$BQ$15:$BQ$1000,"",0),    I1095="Width", _xlfn.XLOOKUP(C1095,'calc_s90&amp;138'!$C$15:$C$1000,'calc_s90&amp;138'!$BS$15:$BS$1000,"",0)),"")</f>
        <v/>
      </c>
      <c r="E1095" s="16" t="str" cm="1">
        <f t="array" ref="E1095">IF(C1095&lt;&gt;"", _xlfn.XLOOKUP(1,((SKUs!$A$2:$A$10001=cl_unmerged!B1095) * (ISNUMBER(SEARCH("Steel-Sash66",SKUs!$J$2:$J$10001)))), SKUs!$J$2:$J$10001,""),"")  &amp; _xlfn.IFS(I1095="Height", ", H",I1095="Height SLI", ", H SLI", I1095="Height FIX", ", H FIX",I1095="Width", ", W", I1095="", "")</f>
        <v/>
      </c>
      <c r="F1095" s="33" t="str" cm="1">
        <f t="array" ref="F1095">_xlfn.XLOOKUP(1,((SKUs!$A$2:$A$10001=cl_unmerged!B1095) * (ISNUMBER(SEARCH("Steel-Sash66",SKUs!$J$2:$J$10001)))), SKUs!$C$2:$C$10001,"")</f>
        <v/>
      </c>
      <c r="G1095" s="16"/>
      <c r="H1095" s="16" t="str" cm="1">
        <f t="array" ref="H1095">IF(C1095&lt;&gt;"", _xlfn.IFS(I1095="Height SLI",_xlfn.XLOOKUP(C1095,'calc_s90&amp;138'!$C$15:$C$1000,'calc_s90&amp;138'!$BP$15:$BP$1000,"",0),  I1095="Width", _xlfn.XLOOKUP(C1095,'calc_s90&amp;138'!$C$15:$C$1000,'calc_s90&amp;138'!$BR$15:$BR$1000,"",0)),"")</f>
        <v/>
      </c>
      <c r="I1095" s="16" t="str">
        <f t="shared" si="24"/>
        <v/>
      </c>
    </row>
    <row r="1096" spans="1:9" ht="13.5" customHeight="1" x14ac:dyDescent="0.25">
      <c r="A1096" s="41" t="str">
        <f>_xlfn.XLOOKUP(G1096,dd_color!$A$2:$A$8,dd_color!$B$2:$B$8,"",0)</f>
        <v/>
      </c>
      <c r="B1096" s="41">
        <f>_xlfn.XLOOKUP(_xlfn.XLOOKUP(C1096,'Project Details'!$C$17:$C$10003,'Project Details'!$E$17:$E$10003, "",0),dd_design_raw!$A$2:$A$9997,dd_design_raw!$C$2:$C$9997,"",0)</f>
        <v>0</v>
      </c>
      <c r="C1096" s="16"/>
      <c r="D1096" s="16" t="str" cm="1">
        <f t="array" ref="D1096">IF(C1096&lt;&gt;"", _xlfn.IFS(I1096="Height SLI",_xlfn.XLOOKUP(C1096,'calc_s90&amp;138'!$C$15:$C$1000,'calc_s90&amp;138'!$BQ$15:$BQ$1000,"",0),    I1096="Width", _xlfn.XLOOKUP(C1096,'calc_s90&amp;138'!$C$15:$C$1000,'calc_s90&amp;138'!$BS$15:$BS$1000,"",0)),"")</f>
        <v/>
      </c>
      <c r="E1096" s="16" t="str" cm="1">
        <f t="array" ref="E1096">IF(C1096&lt;&gt;"", _xlfn.XLOOKUP(1,((SKUs!$A$2:$A$10001=cl_unmerged!B1096) * (ISNUMBER(SEARCH("Steel-Sash66",SKUs!$J$2:$J$10001)))), SKUs!$J$2:$J$10001,""),"")  &amp; _xlfn.IFS(I1096="Height", ", H",I1096="Height SLI", ", H SLI", I1096="Height FIX", ", H FIX",I1096="Width", ", W", I1096="", "")</f>
        <v/>
      </c>
      <c r="F1096" s="33" t="str" cm="1">
        <f t="array" ref="F1096">_xlfn.XLOOKUP(1,((SKUs!$A$2:$A$10001=cl_unmerged!B1096) * (ISNUMBER(SEARCH("Steel-Sash66",SKUs!$J$2:$J$10001)))), SKUs!$C$2:$C$10001,"")</f>
        <v/>
      </c>
      <c r="G1096" s="16"/>
      <c r="H1096" s="16" t="str" cm="1">
        <f t="array" ref="H1096">IF(C1096&lt;&gt;"", _xlfn.IFS(I1096="Height SLI",_xlfn.XLOOKUP(C1096,'calc_s90&amp;138'!$C$15:$C$1000,'calc_s90&amp;138'!$BP$15:$BP$1000,"",0),  I1096="Width", _xlfn.XLOOKUP(C1096,'calc_s90&amp;138'!$C$15:$C$1000,'calc_s90&amp;138'!$BR$15:$BR$1000,"",0)),"")</f>
        <v/>
      </c>
      <c r="I1096" s="16" t="str">
        <f t="shared" si="24"/>
        <v/>
      </c>
    </row>
    <row r="1097" spans="1:9" ht="13.5" customHeight="1" x14ac:dyDescent="0.25">
      <c r="A1097" s="41" t="str">
        <f>_xlfn.XLOOKUP(G1097,dd_color!$A$2:$A$8,dd_color!$B$2:$B$8,"",0)</f>
        <v/>
      </c>
      <c r="B1097" s="41">
        <f>_xlfn.XLOOKUP(_xlfn.XLOOKUP(C1097,'Project Details'!$C$17:$C$10003,'Project Details'!$E$17:$E$10003, "",0),dd_design_raw!$A$2:$A$9997,dd_design_raw!$C$2:$C$9997,"",0)</f>
        <v>0</v>
      </c>
      <c r="C1097" s="16"/>
      <c r="D1097" s="16" t="str" cm="1">
        <f t="array" ref="D1097">IF(C1097&lt;&gt;"", _xlfn.IFS(I1097="Height SLI",_xlfn.XLOOKUP(C1097,'calc_s90&amp;138'!$C$15:$C$1000,'calc_s90&amp;138'!$BQ$15:$BQ$1000,"",0),    I1097="Width", _xlfn.XLOOKUP(C1097,'calc_s90&amp;138'!$C$15:$C$1000,'calc_s90&amp;138'!$BS$15:$BS$1000,"",0)),"")</f>
        <v/>
      </c>
      <c r="E1097" s="16" t="str" cm="1">
        <f t="array" ref="E1097">IF(C1097&lt;&gt;"", _xlfn.XLOOKUP(1,((SKUs!$A$2:$A$10001=cl_unmerged!B1097) * (ISNUMBER(SEARCH("Steel-Sash66",SKUs!$J$2:$J$10001)))), SKUs!$J$2:$J$10001,""),"")  &amp; _xlfn.IFS(I1097="Height", ", H",I1097="Height SLI", ", H SLI", I1097="Height FIX", ", H FIX",I1097="Width", ", W", I1097="", "")</f>
        <v/>
      </c>
      <c r="F1097" s="33" t="str" cm="1">
        <f t="array" ref="F1097">_xlfn.XLOOKUP(1,((SKUs!$A$2:$A$10001=cl_unmerged!B1097) * (ISNUMBER(SEARCH("Steel-Sash66",SKUs!$J$2:$J$10001)))), SKUs!$C$2:$C$10001,"")</f>
        <v/>
      </c>
      <c r="G1097" s="16"/>
      <c r="H1097" s="16" t="str" cm="1">
        <f t="array" ref="H1097">IF(C1097&lt;&gt;"", _xlfn.IFS(I1097="Height SLI",_xlfn.XLOOKUP(C1097,'calc_s90&amp;138'!$C$15:$C$1000,'calc_s90&amp;138'!$BP$15:$BP$1000,"",0),  I1097="Width", _xlfn.XLOOKUP(C1097,'calc_s90&amp;138'!$C$15:$C$1000,'calc_s90&amp;138'!$BR$15:$BR$1000,"",0)),"")</f>
        <v/>
      </c>
      <c r="I1097" s="16" t="str">
        <f t="shared" si="24"/>
        <v/>
      </c>
    </row>
    <row r="1098" spans="1:9" ht="13.5" customHeight="1" x14ac:dyDescent="0.25">
      <c r="A1098" s="41" t="str">
        <f>_xlfn.XLOOKUP(G1098,dd_color!$A$2:$A$8,dd_color!$B$2:$B$8,"",0)</f>
        <v/>
      </c>
      <c r="B1098" s="41">
        <f>_xlfn.XLOOKUP(_xlfn.XLOOKUP(C1098,'Project Details'!$C$17:$C$10003,'Project Details'!$E$17:$E$10003, "",0),dd_design_raw!$A$2:$A$9997,dd_design_raw!$C$2:$C$9997,"",0)</f>
        <v>0</v>
      </c>
      <c r="C1098" s="16"/>
      <c r="D1098" s="16" t="str" cm="1">
        <f t="array" ref="D1098">IF(C1098&lt;&gt;"", _xlfn.IFS(I1098="Height SLI",_xlfn.XLOOKUP(C1098,'calc_s90&amp;138'!$C$15:$C$1000,'calc_s90&amp;138'!$BQ$15:$BQ$1000,"",0),    I1098="Width", _xlfn.XLOOKUP(C1098,'calc_s90&amp;138'!$C$15:$C$1000,'calc_s90&amp;138'!$BS$15:$BS$1000,"",0)),"")</f>
        <v/>
      </c>
      <c r="E1098" s="16" t="str" cm="1">
        <f t="array" ref="E1098">IF(C1098&lt;&gt;"", _xlfn.XLOOKUP(1,((SKUs!$A$2:$A$10001=cl_unmerged!B1098) * (ISNUMBER(SEARCH("Steel-Sash66",SKUs!$J$2:$J$10001)))), SKUs!$J$2:$J$10001,""),"")  &amp; _xlfn.IFS(I1098="Height", ", H",I1098="Height SLI", ", H SLI", I1098="Height FIX", ", H FIX",I1098="Width", ", W", I1098="", "")</f>
        <v/>
      </c>
      <c r="F1098" s="33" t="str" cm="1">
        <f t="array" ref="F1098">_xlfn.XLOOKUP(1,((SKUs!$A$2:$A$10001=cl_unmerged!B1098) * (ISNUMBER(SEARCH("Steel-Sash66",SKUs!$J$2:$J$10001)))), SKUs!$C$2:$C$10001,"")</f>
        <v/>
      </c>
      <c r="G1098" s="16"/>
      <c r="H1098" s="16" t="str" cm="1">
        <f t="array" ref="H1098">IF(C1098&lt;&gt;"", _xlfn.IFS(I1098="Height SLI",_xlfn.XLOOKUP(C1098,'calc_s90&amp;138'!$C$15:$C$1000,'calc_s90&amp;138'!$BP$15:$BP$1000,"",0),  I1098="Width", _xlfn.XLOOKUP(C1098,'calc_s90&amp;138'!$C$15:$C$1000,'calc_s90&amp;138'!$BR$15:$BR$1000,"",0)),"")</f>
        <v/>
      </c>
      <c r="I1098" s="16" t="str">
        <f t="shared" si="24"/>
        <v/>
      </c>
    </row>
    <row r="1099" spans="1:9" ht="13.5" customHeight="1" x14ac:dyDescent="0.25">
      <c r="A1099" s="41" t="str">
        <f>_xlfn.XLOOKUP(G1099,dd_color!$A$2:$A$8,dd_color!$B$2:$B$8,"",0)</f>
        <v/>
      </c>
      <c r="B1099" s="41">
        <f>_xlfn.XLOOKUP(_xlfn.XLOOKUP(C1099,'Project Details'!$C$17:$C$10003,'Project Details'!$E$17:$E$10003, "",0),dd_design_raw!$A$2:$A$9997,dd_design_raw!$C$2:$C$9997,"",0)</f>
        <v>0</v>
      </c>
      <c r="C1099" s="16"/>
      <c r="D1099" s="16" t="str" cm="1">
        <f t="array" ref="D1099">IF(C1099&lt;&gt;"", _xlfn.IFS(I1099="Height SLI",_xlfn.XLOOKUP(C1099,'calc_s90&amp;138'!$C$15:$C$1000,'calc_s90&amp;138'!$BQ$15:$BQ$1000,"",0),    I1099="Width", _xlfn.XLOOKUP(C1099,'calc_s90&amp;138'!$C$15:$C$1000,'calc_s90&amp;138'!$BS$15:$BS$1000,"",0)),"")</f>
        <v/>
      </c>
      <c r="E1099" s="16" t="str" cm="1">
        <f t="array" ref="E1099">IF(C1099&lt;&gt;"", _xlfn.XLOOKUP(1,((SKUs!$A$2:$A$10001=cl_unmerged!B1099) * (ISNUMBER(SEARCH("Steel-Sash66",SKUs!$J$2:$J$10001)))), SKUs!$J$2:$J$10001,""),"")  &amp; _xlfn.IFS(I1099="Height", ", H",I1099="Height SLI", ", H SLI", I1099="Height FIX", ", H FIX",I1099="Width", ", W", I1099="", "")</f>
        <v/>
      </c>
      <c r="F1099" s="33" t="str" cm="1">
        <f t="array" ref="F1099">_xlfn.XLOOKUP(1,((SKUs!$A$2:$A$10001=cl_unmerged!B1099) * (ISNUMBER(SEARCH("Steel-Sash66",SKUs!$J$2:$J$10001)))), SKUs!$C$2:$C$10001,"")</f>
        <v/>
      </c>
      <c r="G1099" s="16"/>
      <c r="H1099" s="16" t="str" cm="1">
        <f t="array" ref="H1099">IF(C1099&lt;&gt;"", _xlfn.IFS(I1099="Height SLI",_xlfn.XLOOKUP(C1099,'calc_s90&amp;138'!$C$15:$C$1000,'calc_s90&amp;138'!$BP$15:$BP$1000,"",0),  I1099="Width", _xlfn.XLOOKUP(C1099,'calc_s90&amp;138'!$C$15:$C$1000,'calc_s90&amp;138'!$BR$15:$BR$1000,"",0)),"")</f>
        <v/>
      </c>
      <c r="I1099" s="16" t="str">
        <f t="shared" si="24"/>
        <v/>
      </c>
    </row>
    <row r="1100" spans="1:9" ht="13.5" customHeight="1" x14ac:dyDescent="0.25">
      <c r="A1100" s="41" t="str">
        <f>_xlfn.XLOOKUP(G1100,dd_color!$A$2:$A$8,dd_color!$B$2:$B$8,"",0)</f>
        <v/>
      </c>
      <c r="B1100" s="41">
        <f>_xlfn.XLOOKUP(_xlfn.XLOOKUP(C1100,'Project Details'!$C$17:$C$10003,'Project Details'!$E$17:$E$10003, "",0),dd_design_raw!$A$2:$A$9997,dd_design_raw!$C$2:$C$9997,"",0)</f>
        <v>0</v>
      </c>
      <c r="C1100" s="16"/>
      <c r="D1100" s="16" t="str" cm="1">
        <f t="array" ref="D1100">IF(C1100&lt;&gt;"", _xlfn.IFS(I1100="Height SLI",_xlfn.XLOOKUP(C1100,'calc_s90&amp;138'!$C$15:$C$1000,'calc_s90&amp;138'!$BQ$15:$BQ$1000,"",0),    I1100="Width", _xlfn.XLOOKUP(C1100,'calc_s90&amp;138'!$C$15:$C$1000,'calc_s90&amp;138'!$BS$15:$BS$1000,"",0)),"")</f>
        <v/>
      </c>
      <c r="E1100" s="16" t="str" cm="1">
        <f t="array" ref="E1100">IF(C1100&lt;&gt;"", _xlfn.XLOOKUP(1,((SKUs!$A$2:$A$10001=cl_unmerged!B1100) * (ISNUMBER(SEARCH("Steel-Sash66",SKUs!$J$2:$J$10001)))), SKUs!$J$2:$J$10001,""),"")  &amp; _xlfn.IFS(I1100="Height", ", H",I1100="Height SLI", ", H SLI", I1100="Height FIX", ", H FIX",I1100="Width", ", W", I1100="", "")</f>
        <v/>
      </c>
      <c r="F1100" s="33" t="str" cm="1">
        <f t="array" ref="F1100">_xlfn.XLOOKUP(1,((SKUs!$A$2:$A$10001=cl_unmerged!B1100) * (ISNUMBER(SEARCH("Steel-Sash66",SKUs!$J$2:$J$10001)))), SKUs!$C$2:$C$10001,"")</f>
        <v/>
      </c>
      <c r="G1100" s="16"/>
      <c r="H1100" s="16" t="str" cm="1">
        <f t="array" ref="H1100">IF(C1100&lt;&gt;"", _xlfn.IFS(I1100="Height SLI",_xlfn.XLOOKUP(C1100,'calc_s90&amp;138'!$C$15:$C$1000,'calc_s90&amp;138'!$BP$15:$BP$1000,"",0),  I1100="Width", _xlfn.XLOOKUP(C1100,'calc_s90&amp;138'!$C$15:$C$1000,'calc_s90&amp;138'!$BR$15:$BR$1000,"",0)),"")</f>
        <v/>
      </c>
      <c r="I1100" s="16" t="str">
        <f t="shared" si="24"/>
        <v/>
      </c>
    </row>
    <row r="1101" spans="1:9" ht="13.5" customHeight="1" x14ac:dyDescent="0.25">
      <c r="A1101" s="41" t="str">
        <f>_xlfn.XLOOKUP(G1101,dd_color!$A$2:$A$8,dd_color!$B$2:$B$8,"",0)</f>
        <v/>
      </c>
      <c r="B1101" s="41">
        <f>_xlfn.XLOOKUP(_xlfn.XLOOKUP(C1101,'Project Details'!$C$17:$C$10003,'Project Details'!$E$17:$E$10003, "",0),dd_design_raw!$A$2:$A$9997,dd_design_raw!$C$2:$C$9997,"",0)</f>
        <v>0</v>
      </c>
      <c r="C1101" s="16"/>
      <c r="D1101" s="16" t="str" cm="1">
        <f t="array" ref="D1101">IF(C1101&lt;&gt;"", _xlfn.IFS(I1101="Height SLI",_xlfn.XLOOKUP(C1101,'calc_s90&amp;138'!$C$15:$C$1000,'calc_s90&amp;138'!$BQ$15:$BQ$1000,"",0),    I1101="Width", _xlfn.XLOOKUP(C1101,'calc_s90&amp;138'!$C$15:$C$1000,'calc_s90&amp;138'!$BS$15:$BS$1000,"",0)),"")</f>
        <v/>
      </c>
      <c r="E1101" s="16" t="str" cm="1">
        <f t="array" ref="E1101">IF(C1101&lt;&gt;"", _xlfn.XLOOKUP(1,((SKUs!$A$2:$A$10001=cl_unmerged!B1101) * (ISNUMBER(SEARCH("Steel-Sash66",SKUs!$J$2:$J$10001)))), SKUs!$J$2:$J$10001,""),"")  &amp; _xlfn.IFS(I1101="Height", ", H",I1101="Height SLI", ", H SLI", I1101="Height FIX", ", H FIX",I1101="Width", ", W", I1101="", "")</f>
        <v/>
      </c>
      <c r="F1101" s="33" t="str" cm="1">
        <f t="array" ref="F1101">_xlfn.XLOOKUP(1,((SKUs!$A$2:$A$10001=cl_unmerged!B1101) * (ISNUMBER(SEARCH("Steel-Sash66",SKUs!$J$2:$J$10001)))), SKUs!$C$2:$C$10001,"")</f>
        <v/>
      </c>
      <c r="G1101" s="16"/>
      <c r="H1101" s="16" t="str" cm="1">
        <f t="array" ref="H1101">IF(C1101&lt;&gt;"", _xlfn.IFS(I1101="Height SLI",_xlfn.XLOOKUP(C1101,'calc_s90&amp;138'!$C$15:$C$1000,'calc_s90&amp;138'!$BP$15:$BP$1000,"",0),  I1101="Width", _xlfn.XLOOKUP(C1101,'calc_s90&amp;138'!$C$15:$C$1000,'calc_s90&amp;138'!$BR$15:$BR$1000,"",0)),"")</f>
        <v/>
      </c>
      <c r="I1101" s="16" t="str">
        <f t="shared" si="24"/>
        <v/>
      </c>
    </row>
    <row r="1102" spans="1:9" ht="13.5" customHeight="1" x14ac:dyDescent="0.25">
      <c r="A1102" s="41" t="str">
        <f>_xlfn.XLOOKUP(G1102,dd_color!$A$2:$A$8,dd_color!$B$2:$B$8,"",0)</f>
        <v/>
      </c>
      <c r="B1102" s="41">
        <f>_xlfn.XLOOKUP(_xlfn.XLOOKUP(C1102,'Project Details'!$C$17:$C$10003,'Project Details'!$E$17:$E$10003, "",0),dd_design_raw!$A$2:$A$9997,dd_design_raw!$C$2:$C$9997,"",0)</f>
        <v>0</v>
      </c>
      <c r="C1102" s="16"/>
      <c r="D1102" s="16" t="str" cm="1">
        <f t="array" ref="D1102">IF(C1102&lt;&gt;"", _xlfn.IFS(I1102="Height SLI",_xlfn.XLOOKUP(C1102,'calc_s90&amp;138'!$C$15:$C$1000,'calc_s90&amp;138'!$BQ$15:$BQ$1000,"",0),    I1102="Width", _xlfn.XLOOKUP(C1102,'calc_s90&amp;138'!$C$15:$C$1000,'calc_s90&amp;138'!$BS$15:$BS$1000,"",0)),"")</f>
        <v/>
      </c>
      <c r="E1102" s="16" t="str" cm="1">
        <f t="array" ref="E1102">IF(C1102&lt;&gt;"", _xlfn.XLOOKUP(1,((SKUs!$A$2:$A$10001=cl_unmerged!B1102) * (ISNUMBER(SEARCH("Steel-Sash66",SKUs!$J$2:$J$10001)))), SKUs!$J$2:$J$10001,""),"")  &amp; _xlfn.IFS(I1102="Height", ", H",I1102="Height SLI", ", H SLI", I1102="Height FIX", ", H FIX",I1102="Width", ", W", I1102="", "")</f>
        <v/>
      </c>
      <c r="F1102" s="33" t="str" cm="1">
        <f t="array" ref="F1102">_xlfn.XLOOKUP(1,((SKUs!$A$2:$A$10001=cl_unmerged!B1102) * (ISNUMBER(SEARCH("Steel-Sash66",SKUs!$J$2:$J$10001)))), SKUs!$C$2:$C$10001,"")</f>
        <v/>
      </c>
      <c r="G1102" s="16"/>
      <c r="H1102" s="16" t="str" cm="1">
        <f t="array" ref="H1102">IF(C1102&lt;&gt;"", _xlfn.IFS(I1102="Height SLI",_xlfn.XLOOKUP(C1102,'calc_s90&amp;138'!$C$15:$C$1000,'calc_s90&amp;138'!$BP$15:$BP$1000,"",0),  I1102="Width", _xlfn.XLOOKUP(C1102,'calc_s90&amp;138'!$C$15:$C$1000,'calc_s90&amp;138'!$BR$15:$BR$1000,"",0)),"")</f>
        <v/>
      </c>
      <c r="I1102" s="16" t="str">
        <f t="shared" si="24"/>
        <v/>
      </c>
    </row>
    <row r="1103" spans="1:9" ht="13.5" customHeight="1" x14ac:dyDescent="0.25">
      <c r="A1103" s="41" t="str">
        <f>_xlfn.XLOOKUP(G1103,dd_color!$A$2:$A$8,dd_color!$B$2:$B$8,"",0)</f>
        <v/>
      </c>
      <c r="B1103" s="41">
        <f>_xlfn.XLOOKUP(_xlfn.XLOOKUP(C1103,'Project Details'!$C$17:$C$10003,'Project Details'!$E$17:$E$10003, "",0),dd_design_raw!$A$2:$A$9997,dd_design_raw!$C$2:$C$9997,"",0)</f>
        <v>0</v>
      </c>
      <c r="C1103" s="16"/>
      <c r="D1103" s="16" t="str" cm="1">
        <f t="array" ref="D1103">IF(C1103&lt;&gt;"", _xlfn.IFS(I1103="Height SLI",_xlfn.XLOOKUP(C1103,'calc_s90&amp;138'!$C$15:$C$1000,'calc_s90&amp;138'!$BQ$15:$BQ$1000,"",0),    I1103="Width", _xlfn.XLOOKUP(C1103,'calc_s90&amp;138'!$C$15:$C$1000,'calc_s90&amp;138'!$BS$15:$BS$1000,"",0)),"")</f>
        <v/>
      </c>
      <c r="E1103" s="16" t="str" cm="1">
        <f t="array" ref="E1103">IF(C1103&lt;&gt;"", _xlfn.XLOOKUP(1,((SKUs!$A$2:$A$10001=cl_unmerged!B1103) * (ISNUMBER(SEARCH("Steel-Sash66",SKUs!$J$2:$J$10001)))), SKUs!$J$2:$J$10001,""),"")  &amp; _xlfn.IFS(I1103="Height", ", H",I1103="Height SLI", ", H SLI", I1103="Height FIX", ", H FIX",I1103="Width", ", W", I1103="", "")</f>
        <v/>
      </c>
      <c r="F1103" s="33" t="str" cm="1">
        <f t="array" ref="F1103">_xlfn.XLOOKUP(1,((SKUs!$A$2:$A$10001=cl_unmerged!B1103) * (ISNUMBER(SEARCH("Steel-Sash66",SKUs!$J$2:$J$10001)))), SKUs!$C$2:$C$10001,"")</f>
        <v/>
      </c>
      <c r="G1103" s="16"/>
      <c r="H1103" s="16" t="str" cm="1">
        <f t="array" ref="H1103">IF(C1103&lt;&gt;"", _xlfn.IFS(I1103="Height SLI",_xlfn.XLOOKUP(C1103,'calc_s90&amp;138'!$C$15:$C$1000,'calc_s90&amp;138'!$BP$15:$BP$1000,"",0),  I1103="Width", _xlfn.XLOOKUP(C1103,'calc_s90&amp;138'!$C$15:$C$1000,'calc_s90&amp;138'!$BR$15:$BR$1000,"",0)),"")</f>
        <v/>
      </c>
      <c r="I1103" s="16" t="str">
        <f t="shared" si="24"/>
        <v/>
      </c>
    </row>
    <row r="1104" spans="1:9" ht="13.5" customHeight="1" x14ac:dyDescent="0.25">
      <c r="A1104" s="41" t="str">
        <f>_xlfn.XLOOKUP(G1104,dd_color!$A$2:$A$8,dd_color!$B$2:$B$8,"",0)</f>
        <v/>
      </c>
      <c r="B1104" s="41">
        <f>_xlfn.XLOOKUP(_xlfn.XLOOKUP(C1104,'Project Details'!$C$17:$C$10003,'Project Details'!$E$17:$E$10003, "",0),dd_design_raw!$A$2:$A$9997,dd_design_raw!$C$2:$C$9997,"",0)</f>
        <v>0</v>
      </c>
      <c r="C1104" s="16"/>
      <c r="D1104" s="16" t="str" cm="1">
        <f t="array" ref="D1104">IF(C1104&lt;&gt;"", _xlfn.IFS(I1104="Height SLI",_xlfn.XLOOKUP(C1104,'calc_s90&amp;138'!$C$15:$C$1000,'calc_s90&amp;138'!$BQ$15:$BQ$1000,"",0),    I1104="Width", _xlfn.XLOOKUP(C1104,'calc_s90&amp;138'!$C$15:$C$1000,'calc_s90&amp;138'!$BS$15:$BS$1000,"",0)),"")</f>
        <v/>
      </c>
      <c r="E1104" s="16" t="str" cm="1">
        <f t="array" ref="E1104">IF(C1104&lt;&gt;"", _xlfn.XLOOKUP(1,((SKUs!$A$2:$A$10001=cl_unmerged!B1104) * (ISNUMBER(SEARCH("Steel-Sash66",SKUs!$J$2:$J$10001)))), SKUs!$J$2:$J$10001,""),"")  &amp; _xlfn.IFS(I1104="Height", ", H",I1104="Height SLI", ", H SLI", I1104="Height FIX", ", H FIX",I1104="Width", ", W", I1104="", "")</f>
        <v/>
      </c>
      <c r="F1104" s="33" t="str" cm="1">
        <f t="array" ref="F1104">_xlfn.XLOOKUP(1,((SKUs!$A$2:$A$10001=cl_unmerged!B1104) * (ISNUMBER(SEARCH("Steel-Sash66",SKUs!$J$2:$J$10001)))), SKUs!$C$2:$C$10001,"")</f>
        <v/>
      </c>
      <c r="G1104" s="16"/>
      <c r="H1104" s="16" t="str" cm="1">
        <f t="array" ref="H1104">IF(C1104&lt;&gt;"", _xlfn.IFS(I1104="Height SLI",_xlfn.XLOOKUP(C1104,'calc_s90&amp;138'!$C$15:$C$1000,'calc_s90&amp;138'!$BP$15:$BP$1000,"",0),  I1104="Width", _xlfn.XLOOKUP(C1104,'calc_s90&amp;138'!$C$15:$C$1000,'calc_s90&amp;138'!$BR$15:$BR$1000,"",0)),"")</f>
        <v/>
      </c>
      <c r="I1104" s="16" t="str">
        <f t="shared" si="24"/>
        <v/>
      </c>
    </row>
    <row r="1105" spans="1:12" ht="13.5" customHeight="1" x14ac:dyDescent="0.25">
      <c r="A1105" s="41" t="str">
        <f>_xlfn.XLOOKUP(G1105,dd_color!$A$2:$A$8,dd_color!$B$2:$B$8,"",0)</f>
        <v/>
      </c>
      <c r="B1105" s="41">
        <f>_xlfn.XLOOKUP(_xlfn.XLOOKUP(C1105,'Project Details'!$C$17:$C$10003,'Project Details'!$E$17:$E$10003, "",0),dd_design_raw!$A$2:$A$9997,dd_design_raw!$C$2:$C$9997,"",0)</f>
        <v>0</v>
      </c>
      <c r="C1105" s="16"/>
      <c r="D1105" s="16" t="str" cm="1">
        <f t="array" ref="D1105">IF(C1105&lt;&gt;"", _xlfn.IFS(I1105="Height SLI",_xlfn.XLOOKUP(C1105,'calc_s90&amp;138'!$C$15:$C$1000,'calc_s90&amp;138'!$BQ$15:$BQ$1000,"",0),    I1105="Width", _xlfn.XLOOKUP(C1105,'calc_s90&amp;138'!$C$15:$C$1000,'calc_s90&amp;138'!$BS$15:$BS$1000,"",0)),"")</f>
        <v/>
      </c>
      <c r="E1105" s="16" t="str" cm="1">
        <f t="array" ref="E1105">IF(C1105&lt;&gt;"", _xlfn.XLOOKUP(1,((SKUs!$A$2:$A$10001=cl_unmerged!B1105) * (ISNUMBER(SEARCH("Steel-Sash66",SKUs!$J$2:$J$10001)))), SKUs!$J$2:$J$10001,""),"")  &amp; _xlfn.IFS(I1105="Height", ", H",I1105="Height SLI", ", H SLI", I1105="Height FIX", ", H FIX",I1105="Width", ", W", I1105="", "")</f>
        <v/>
      </c>
      <c r="F1105" s="33" t="str" cm="1">
        <f t="array" ref="F1105">_xlfn.XLOOKUP(1,((SKUs!$A$2:$A$10001=cl_unmerged!B1105) * (ISNUMBER(SEARCH("Steel-Sash66",SKUs!$J$2:$J$10001)))), SKUs!$C$2:$C$10001,"")</f>
        <v/>
      </c>
      <c r="G1105" s="16"/>
      <c r="H1105" s="16" t="str" cm="1">
        <f t="array" ref="H1105">IF(C1105&lt;&gt;"", _xlfn.IFS(I1105="Height SLI",_xlfn.XLOOKUP(C1105,'calc_s90&amp;138'!$C$15:$C$1000,'calc_s90&amp;138'!$BP$15:$BP$1000,"",0),  I1105="Width", _xlfn.XLOOKUP(C1105,'calc_s90&amp;138'!$C$15:$C$1000,'calc_s90&amp;138'!$BR$15:$BR$1000,"",0)),"")</f>
        <v/>
      </c>
      <c r="I1105" s="16" t="str">
        <f t="shared" si="24"/>
        <v/>
      </c>
    </row>
    <row r="1106" spans="1:12" ht="13.5" customHeight="1" x14ac:dyDescent="0.25">
      <c r="A1106" s="41" t="str">
        <f>_xlfn.XLOOKUP(G1106,dd_color!$A$2:$A$8,dd_color!$B$2:$B$8,"",0)</f>
        <v/>
      </c>
      <c r="B1106" s="41">
        <f>_xlfn.XLOOKUP(_xlfn.XLOOKUP(C1106,'Project Details'!$C$17:$C$10003,'Project Details'!$E$17:$E$10003, "",0),dd_design_raw!$A$2:$A$9997,dd_design_raw!$C$2:$C$9997,"",0)</f>
        <v>0</v>
      </c>
      <c r="C1106" s="16"/>
      <c r="D1106" s="16" t="str" cm="1">
        <f t="array" ref="D1106">IF(C1106&lt;&gt;"", _xlfn.IFS(I1106="Height SLI",_xlfn.XLOOKUP(C1106,'calc_s90&amp;138'!$C$15:$C$1000,'calc_s90&amp;138'!$BQ$15:$BQ$1000,"",0),    I1106="Width", _xlfn.XLOOKUP(C1106,'calc_s90&amp;138'!$C$15:$C$1000,'calc_s90&amp;138'!$BS$15:$BS$1000,"",0)),"")</f>
        <v/>
      </c>
      <c r="E1106" s="16" t="str" cm="1">
        <f t="array" ref="E1106">IF(C1106&lt;&gt;"", _xlfn.XLOOKUP(1,((SKUs!$A$2:$A$10001=cl_unmerged!B1106) * (ISNUMBER(SEARCH("Steel-Sash66",SKUs!$J$2:$J$10001)))), SKUs!$J$2:$J$10001,""),"")  &amp; _xlfn.IFS(I1106="Height", ", H",I1106="Height SLI", ", H SLI", I1106="Height FIX", ", H FIX",I1106="Width", ", W", I1106="", "")</f>
        <v/>
      </c>
      <c r="F1106" s="33" t="str" cm="1">
        <f t="array" ref="F1106">_xlfn.XLOOKUP(1,((SKUs!$A$2:$A$10001=cl_unmerged!B1106) * (ISNUMBER(SEARCH("Steel-Sash66",SKUs!$J$2:$J$10001)))), SKUs!$C$2:$C$10001,"")</f>
        <v/>
      </c>
      <c r="G1106" s="16"/>
      <c r="H1106" s="16" t="str" cm="1">
        <f t="array" ref="H1106">IF(C1106&lt;&gt;"", _xlfn.IFS(I1106="Height SLI",_xlfn.XLOOKUP(C1106,'calc_s90&amp;138'!$C$15:$C$1000,'calc_s90&amp;138'!$BP$15:$BP$1000,"",0),  I1106="Width", _xlfn.XLOOKUP(C1106,'calc_s90&amp;138'!$C$15:$C$1000,'calc_s90&amp;138'!$BR$15:$BR$1000,"",0)),"")</f>
        <v/>
      </c>
      <c r="I1106" s="16" t="str">
        <f t="shared" si="24"/>
        <v/>
      </c>
    </row>
    <row r="1107" spans="1:12" ht="13.5" customHeight="1" x14ac:dyDescent="0.25">
      <c r="A1107" s="41" t="str">
        <f>_xlfn.XLOOKUP(G1107,dd_color!$A$2:$A$8,dd_color!$B$2:$B$8,"",0)</f>
        <v/>
      </c>
      <c r="B1107" s="41">
        <f>_xlfn.XLOOKUP(_xlfn.XLOOKUP(C1107,'Project Details'!$C$17:$C$10003,'Project Details'!$E$17:$E$10003, "",0),dd_design_raw!$A$2:$A$9997,dd_design_raw!$C$2:$C$9997,"",0)</f>
        <v>0</v>
      </c>
      <c r="C1107" s="16"/>
      <c r="D1107" s="16" t="str" cm="1">
        <f t="array" ref="D1107">IF(C1107&lt;&gt;"", _xlfn.IFS(I1107="Height SLI",_xlfn.XLOOKUP(C1107,'calc_s90&amp;138'!$C$15:$C$1000,'calc_s90&amp;138'!$BQ$15:$BQ$1000,"",0),    I1107="Width", _xlfn.XLOOKUP(C1107,'calc_s90&amp;138'!$C$15:$C$1000,'calc_s90&amp;138'!$BS$15:$BS$1000,"",0)),"")</f>
        <v/>
      </c>
      <c r="E1107" s="16" t="str" cm="1">
        <f t="array" ref="E1107">IF(C1107&lt;&gt;"", _xlfn.XLOOKUP(1,((SKUs!$A$2:$A$10001=cl_unmerged!B1107) * (ISNUMBER(SEARCH("Steel-Sash66",SKUs!$J$2:$J$10001)))), SKUs!$J$2:$J$10001,""),"")  &amp; _xlfn.IFS(I1107="Height", ", H",I1107="Height SLI", ", H SLI", I1107="Height FIX", ", H FIX",I1107="Width", ", W", I1107="", "")</f>
        <v/>
      </c>
      <c r="F1107" s="33" t="str" cm="1">
        <f t="array" ref="F1107">_xlfn.XLOOKUP(1,((SKUs!$A$2:$A$10001=cl_unmerged!B1107) * (ISNUMBER(SEARCH("Steel-Sash66",SKUs!$J$2:$J$10001)))), SKUs!$C$2:$C$10001,"")</f>
        <v/>
      </c>
      <c r="G1107" s="16"/>
      <c r="H1107" s="16" t="str" cm="1">
        <f t="array" ref="H1107">IF(C1107&lt;&gt;"", _xlfn.IFS(I1107="Height SLI",_xlfn.XLOOKUP(C1107,'calc_s90&amp;138'!$C$15:$C$1000,'calc_s90&amp;138'!$BP$15:$BP$1000,"",0),  I1107="Width", _xlfn.XLOOKUP(C1107,'calc_s90&amp;138'!$C$15:$C$1000,'calc_s90&amp;138'!$BR$15:$BR$1000,"",0)),"")</f>
        <v/>
      </c>
      <c r="I1107" s="16" t="str">
        <f t="shared" si="24"/>
        <v/>
      </c>
    </row>
    <row r="1108" spans="1:12" ht="13.5" customHeight="1" x14ac:dyDescent="0.25">
      <c r="A1108" s="41" t="str">
        <f>_xlfn.XLOOKUP(G1108,dd_color!$A$2:$A$8,dd_color!$B$2:$B$8,"",0)</f>
        <v/>
      </c>
      <c r="B1108" s="41">
        <f>_xlfn.XLOOKUP(_xlfn.XLOOKUP(C1108,'Project Details'!$C$17:$C$10003,'Project Details'!$E$17:$E$10003, "",0),dd_design_raw!$A$2:$A$9997,dd_design_raw!$C$2:$C$9997,"",0)</f>
        <v>0</v>
      </c>
      <c r="C1108" s="16"/>
      <c r="D1108" s="16" t="str" cm="1">
        <f t="array" ref="D1108">IF(C1108&lt;&gt;"", _xlfn.IFS(I1108="Height SLI",_xlfn.XLOOKUP(C1108,'calc_s90&amp;138'!$C$15:$C$1000,'calc_s90&amp;138'!$BQ$15:$BQ$1000,"",0),    I1108="Width", _xlfn.XLOOKUP(C1108,'calc_s90&amp;138'!$C$15:$C$1000,'calc_s90&amp;138'!$BS$15:$BS$1000,"",0)),"")</f>
        <v/>
      </c>
      <c r="E1108" s="16" t="str" cm="1">
        <f t="array" ref="E1108">IF(C1108&lt;&gt;"", _xlfn.XLOOKUP(1,((SKUs!$A$2:$A$10001=cl_unmerged!B1108) * (ISNUMBER(SEARCH("Steel-Sash66",SKUs!$J$2:$J$10001)))), SKUs!$J$2:$J$10001,""),"")  &amp; _xlfn.IFS(I1108="Height", ", H",I1108="Height SLI", ", H SLI", I1108="Height FIX", ", H FIX",I1108="Width", ", W", I1108="", "")</f>
        <v/>
      </c>
      <c r="F1108" s="33" t="str" cm="1">
        <f t="array" ref="F1108">_xlfn.XLOOKUP(1,((SKUs!$A$2:$A$10001=cl_unmerged!B1108) * (ISNUMBER(SEARCH("Steel-Sash66",SKUs!$J$2:$J$10001)))), SKUs!$C$2:$C$10001,"")</f>
        <v/>
      </c>
      <c r="G1108" s="16"/>
      <c r="H1108" s="16" t="str" cm="1">
        <f t="array" ref="H1108">IF(C1108&lt;&gt;"", _xlfn.IFS(I1108="Height SLI",_xlfn.XLOOKUP(C1108,'calc_s90&amp;138'!$C$15:$C$1000,'calc_s90&amp;138'!$BP$15:$BP$1000,"",0),  I1108="Width", _xlfn.XLOOKUP(C1108,'calc_s90&amp;138'!$C$15:$C$1000,'calc_s90&amp;138'!$BR$15:$BR$1000,"",0)),"")</f>
        <v/>
      </c>
      <c r="I1108" s="16" t="str">
        <f t="shared" si="24"/>
        <v/>
      </c>
    </row>
    <row r="1109" spans="1:12" ht="13.5" customHeight="1" x14ac:dyDescent="0.25">
      <c r="C1109" s="32" t="s">
        <v>190</v>
      </c>
      <c r="D1109" s="32"/>
      <c r="E1109" s="32"/>
      <c r="F1109" s="32"/>
      <c r="G1109" s="32"/>
      <c r="H1109" s="32"/>
      <c r="I1109" s="32"/>
    </row>
    <row r="1110" spans="1:12" ht="13.5" customHeight="1" x14ac:dyDescent="0.25">
      <c r="A1110" s="1" t="str">
        <f>_xlfn.XLOOKUP(G1110,dd_color!$A$2:$A$8,dd_color!$B$2:$B$8,"",0)</f>
        <v/>
      </c>
      <c r="B1110" s="1" t="str">
        <f>_xlfn.XLOOKUP(_xlfn.XLOOKUP(C1110,'Project Details'!$C$17:$C$10003,'Project Details'!$E$17:$E$10003, "",0),dd_design_raw!$A$2:$A$9997,dd_design_raw!$C$2:$C$9997,"",0)</f>
        <v/>
      </c>
      <c r="C1110" s="16" t="str" cm="1">
        <f t="array" ref="C1110">IFERROR(INDEX(_xlfn._xlws.FILTER(calc_s60!C15:C65, calc_s60!AV15:AV65&lt;&gt;""), INT((_xlfn.SEQUENCE(1 * COUNTA(_xlfn._xlws.FILTER(calc_s60!C15:C65, calc_s60!AV15:AV65&lt;&gt;""))) - 1) / 1) + 1), "")</f>
        <v/>
      </c>
      <c r="D1110" s="16" t="str" cm="1">
        <f t="array" ref="D1110">IFERROR(INDEX(_xlfn._xlws.FILTER(calc_s60!AW15:AW65, calc_s60!AV15:AV65&lt;&gt;""), INT((_xlfn.SEQUENCE(1 * COUNTA(_xlfn._xlws.FILTER(calc_s60!AW15:AW65, calc_s60!AV15:AV65&lt;&gt;""))) - 1) / 1) + 1), "")</f>
        <v/>
      </c>
      <c r="E1110" s="16" t="str" cm="1">
        <f t="array" ref="E1110">IF(C1110&lt;&gt;"", "Steel-"&amp; _xlfn.XLOOKUP(1,((SKUs!$A$2:$A$10001=cl_unmerged!B328) * (ISNUMBER(SEARCH("Mullion",SKUs!$J$2:$J$10001)))), SKUs!$J$2:$J$10001,""),"")</f>
        <v/>
      </c>
      <c r="F1110" s="33" t="str" cm="1">
        <f t="array" ref="F1110">IF(_xlfn.XLOOKUP(1,((SKUs!$A$2:$A$10001=cl_unmerged!B1110) * (ISNUMBER(SEARCH("Steel-Mullion",SKUs!$J$2:$J$10001)))), SKUs!$C$2:$C$10001,"")&lt;&gt;"", _xlfn.XLOOKUP(1,((SKUs!$A$2:$A$10001=cl_unmerged!B1110) * (ISNUMBER(SEARCH("Steel-Mullion",SKUs!$J$2:$J$10001)))), SKUs!$C$2:$C$10001,""), _xlfn.XLOOKUP(1,((SKUs!$A$2:$A$10001=cl_unmerged!B1110) * (ISNUMBER(SEARCH("Steel-ZMullion",SKUs!$J$2:$J$10001)))), SKUs!$C$2:$C$10001,""))</f>
        <v/>
      </c>
      <c r="G1110" s="16"/>
      <c r="H1110" s="16" t="str" cm="1">
        <f t="array" ref="H1110">IFERROR(INDEX(_xlfn._xlws.FILTER(calc_s60!AV15:AV65, calc_s60!AV15:AV65&lt;&gt;""), INT((_xlfn.SEQUENCE(1 * COUNTA(_xlfn._xlws.FILTER(calc_s60!AV15:AV65, calc_s60!AV15:AV65&lt;&gt;""))) - 1) / 1) + 1), "")</f>
        <v/>
      </c>
      <c r="I1110" s="16"/>
      <c r="K1110" s="1" t="s">
        <v>18</v>
      </c>
    </row>
    <row r="1111" spans="1:12" ht="13.5" customHeight="1" x14ac:dyDescent="0.25">
      <c r="A1111" s="41" t="str">
        <f>_xlfn.XLOOKUP(G1111,dd_color!$A$2:$A$8,dd_color!$B$2:$B$8,"",0)</f>
        <v/>
      </c>
      <c r="B1111" s="41">
        <f>_xlfn.XLOOKUP(_xlfn.XLOOKUP(C1111,'Project Details'!$C$17:$C$10003,'Project Details'!$E$17:$E$10003, "",0),dd_design_raw!$A$2:$A$9997,dd_design_raw!$C$2:$C$9997,"",0)</f>
        <v>0</v>
      </c>
      <c r="C1111" s="16"/>
      <c r="D1111" s="16"/>
      <c r="E1111" s="16" t="str" cm="1">
        <f t="array" ref="E1111">IF(C1111&lt;&gt;"", "Steel-"&amp; _xlfn.XLOOKUP(1,((SKUs!$A$2:$A$10001=cl_unmerged!B329) * (ISNUMBER(SEARCH("Mullion",SKUs!$J$2:$J$10001)))), SKUs!$J$2:$J$10001,""),"")</f>
        <v/>
      </c>
      <c r="F1111" s="33" t="str" cm="1">
        <f t="array" ref="F1111">IF(_xlfn.XLOOKUP(1,((SKUs!$A$2:$A$10001=cl_unmerged!B1111) * (ISNUMBER(SEARCH("Steel-Mullion",SKUs!$J$2:$J$10001)))), SKUs!$C$2:$C$10001,"")&lt;&gt;"", _xlfn.XLOOKUP(1,((SKUs!$A$2:$A$10001=cl_unmerged!B1111) * (ISNUMBER(SEARCH("Steel-Mullion",SKUs!$J$2:$J$10001)))), SKUs!$C$2:$C$10001,""), _xlfn.XLOOKUP(1,((SKUs!$A$2:$A$10001=cl_unmerged!B1111) * (ISNUMBER(SEARCH("Steel-ZMullion",SKUs!$J$2:$J$10001)))), SKUs!$C$2:$C$10001,""))</f>
        <v/>
      </c>
      <c r="G1111" s="16"/>
      <c r="H1111" s="16"/>
      <c r="I1111" s="16"/>
    </row>
    <row r="1112" spans="1:12" ht="13.5" customHeight="1" x14ac:dyDescent="0.25">
      <c r="A1112" s="41" t="str">
        <f>_xlfn.XLOOKUP(G1112,dd_color!$A$2:$A$8,dd_color!$B$2:$B$8,"",0)</f>
        <v/>
      </c>
      <c r="B1112" s="41">
        <f>_xlfn.XLOOKUP(_xlfn.XLOOKUP(C1112,'Project Details'!$C$17:$C$10003,'Project Details'!$E$17:$E$10003, "",0),dd_design_raw!$A$2:$A$9997,dd_design_raw!$C$2:$C$9997,"",0)</f>
        <v>0</v>
      </c>
      <c r="C1112" s="16"/>
      <c r="D1112" s="16"/>
      <c r="E1112" s="16" t="str" cm="1">
        <f t="array" ref="E1112">IF(C1112&lt;&gt;"", "Steel-"&amp; _xlfn.XLOOKUP(1,((SKUs!$A$2:$A$10001=cl_unmerged!B330) * (ISNUMBER(SEARCH("Mullion",SKUs!$J$2:$J$10001)))), SKUs!$J$2:$J$10001,""),"")</f>
        <v/>
      </c>
      <c r="F1112" s="33" t="str" cm="1">
        <f t="array" ref="F1112">IF(_xlfn.XLOOKUP(1,((SKUs!$A$2:$A$10001=cl_unmerged!B1112) * (ISNUMBER(SEARCH("Steel-Mullion",SKUs!$J$2:$J$10001)))), SKUs!$C$2:$C$10001,"")&lt;&gt;"", _xlfn.XLOOKUP(1,((SKUs!$A$2:$A$10001=cl_unmerged!B1112) * (ISNUMBER(SEARCH("Steel-Mullion",SKUs!$J$2:$J$10001)))), SKUs!$C$2:$C$10001,""), _xlfn.XLOOKUP(1,((SKUs!$A$2:$A$10001=cl_unmerged!B1112) * (ISNUMBER(SEARCH("Steel-ZMullion",SKUs!$J$2:$J$10001)))), SKUs!$C$2:$C$10001,""))</f>
        <v/>
      </c>
      <c r="G1112" s="16"/>
      <c r="H1112" s="16"/>
      <c r="I1112" s="16"/>
    </row>
    <row r="1113" spans="1:12" ht="13.5" customHeight="1" x14ac:dyDescent="0.25">
      <c r="A1113" s="41" t="str">
        <f>_xlfn.XLOOKUP(G1113,dd_color!$A$2:$A$8,dd_color!$B$2:$B$8,"",0)</f>
        <v/>
      </c>
      <c r="B1113" s="41">
        <f>_xlfn.XLOOKUP(_xlfn.XLOOKUP(C1113,'Project Details'!$C$17:$C$10003,'Project Details'!$E$17:$E$10003, "",0),dd_design_raw!$A$2:$A$9997,dd_design_raw!$C$2:$C$9997,"",0)</f>
        <v>0</v>
      </c>
      <c r="C1113" s="16"/>
      <c r="D1113" s="16"/>
      <c r="E1113" s="16" t="str" cm="1">
        <f t="array" ref="E1113">IF(C1113&lt;&gt;"", "Steel-"&amp; _xlfn.XLOOKUP(1,((SKUs!$A$2:$A$10001=cl_unmerged!B331) * (ISNUMBER(SEARCH("Mullion",SKUs!$J$2:$J$10001)))), SKUs!$J$2:$J$10001,""),"")</f>
        <v/>
      </c>
      <c r="F1113" s="33" t="str" cm="1">
        <f t="array" ref="F1113">IF(_xlfn.XLOOKUP(1,((SKUs!$A$2:$A$10001=cl_unmerged!B1113) * (ISNUMBER(SEARCH("Steel-Mullion",SKUs!$J$2:$J$10001)))), SKUs!$C$2:$C$10001,"")&lt;&gt;"", _xlfn.XLOOKUP(1,((SKUs!$A$2:$A$10001=cl_unmerged!B1113) * (ISNUMBER(SEARCH("Steel-Mullion",SKUs!$J$2:$J$10001)))), SKUs!$C$2:$C$10001,""), _xlfn.XLOOKUP(1,((SKUs!$A$2:$A$10001=cl_unmerged!B1113) * (ISNUMBER(SEARCH("Steel-ZMullion",SKUs!$J$2:$J$10001)))), SKUs!$C$2:$C$10001,""))</f>
        <v/>
      </c>
      <c r="G1113" s="16"/>
      <c r="H1113" s="16"/>
      <c r="I1113" s="16"/>
      <c r="L1113" s="1" t="s">
        <v>823</v>
      </c>
    </row>
    <row r="1114" spans="1:12" ht="13.5" customHeight="1" x14ac:dyDescent="0.25">
      <c r="A1114" s="41" t="str">
        <f>_xlfn.XLOOKUP(G1114,dd_color!$A$2:$A$8,dd_color!$B$2:$B$8,"",0)</f>
        <v/>
      </c>
      <c r="B1114" s="41">
        <f>_xlfn.XLOOKUP(_xlfn.XLOOKUP(C1114,'Project Details'!$C$17:$C$10003,'Project Details'!$E$17:$E$10003, "",0),dd_design_raw!$A$2:$A$9997,dd_design_raw!$C$2:$C$9997,"",0)</f>
        <v>0</v>
      </c>
      <c r="C1114" s="16"/>
      <c r="D1114" s="16"/>
      <c r="E1114" s="16" t="str" cm="1">
        <f t="array" ref="E1114">IF(C1114&lt;&gt;"", "Steel-"&amp; _xlfn.XLOOKUP(1,((SKUs!$A$2:$A$10001=cl_unmerged!B332) * (ISNUMBER(SEARCH("Mullion",SKUs!$J$2:$J$10001)))), SKUs!$J$2:$J$10001,""),"")</f>
        <v/>
      </c>
      <c r="F1114" s="33" t="str" cm="1">
        <f t="array" ref="F1114">IF(_xlfn.XLOOKUP(1,((SKUs!$A$2:$A$10001=cl_unmerged!B1114) * (ISNUMBER(SEARCH("Steel-Mullion",SKUs!$J$2:$J$10001)))), SKUs!$C$2:$C$10001,"")&lt;&gt;"", _xlfn.XLOOKUP(1,((SKUs!$A$2:$A$10001=cl_unmerged!B1114) * (ISNUMBER(SEARCH("Steel-Mullion",SKUs!$J$2:$J$10001)))), SKUs!$C$2:$C$10001,""), _xlfn.XLOOKUP(1,((SKUs!$A$2:$A$10001=cl_unmerged!B1114) * (ISNUMBER(SEARCH("Steel-ZMullion",SKUs!$J$2:$J$10001)))), SKUs!$C$2:$C$10001,""))</f>
        <v/>
      </c>
      <c r="G1114" s="16"/>
      <c r="H1114" s="16"/>
      <c r="I1114" s="16"/>
    </row>
    <row r="1115" spans="1:12" ht="13.5" customHeight="1" x14ac:dyDescent="0.25">
      <c r="A1115" s="41" t="str">
        <f>_xlfn.XLOOKUP(G1115,dd_color!$A$2:$A$8,dd_color!$B$2:$B$8,"",0)</f>
        <v/>
      </c>
      <c r="B1115" s="41">
        <f>_xlfn.XLOOKUP(_xlfn.XLOOKUP(C1115,'Project Details'!$C$17:$C$10003,'Project Details'!$E$17:$E$10003, "",0),dd_design_raw!$A$2:$A$9997,dd_design_raw!$C$2:$C$9997,"",0)</f>
        <v>0</v>
      </c>
      <c r="C1115" s="16"/>
      <c r="D1115" s="16"/>
      <c r="E1115" s="16" t="str" cm="1">
        <f t="array" ref="E1115">IF(C1115&lt;&gt;"", "Steel-"&amp; _xlfn.XLOOKUP(1,((SKUs!$A$2:$A$10001=cl_unmerged!B333) * (ISNUMBER(SEARCH("Mullion",SKUs!$J$2:$J$10001)))), SKUs!$J$2:$J$10001,""),"")</f>
        <v/>
      </c>
      <c r="F1115" s="33" t="str" cm="1">
        <f t="array" ref="F1115">IF(_xlfn.XLOOKUP(1,((SKUs!$A$2:$A$10001=cl_unmerged!B1115) * (ISNUMBER(SEARCH("Steel-Mullion",SKUs!$J$2:$J$10001)))), SKUs!$C$2:$C$10001,"")&lt;&gt;"", _xlfn.XLOOKUP(1,((SKUs!$A$2:$A$10001=cl_unmerged!B1115) * (ISNUMBER(SEARCH("Steel-Mullion",SKUs!$J$2:$J$10001)))), SKUs!$C$2:$C$10001,""), _xlfn.XLOOKUP(1,((SKUs!$A$2:$A$10001=cl_unmerged!B1115) * (ISNUMBER(SEARCH("Steel-ZMullion",SKUs!$J$2:$J$10001)))), SKUs!$C$2:$C$10001,""))</f>
        <v/>
      </c>
      <c r="G1115" s="16"/>
      <c r="H1115" s="16"/>
      <c r="I1115" s="16"/>
    </row>
    <row r="1116" spans="1:12" ht="13.5" customHeight="1" x14ac:dyDescent="0.25">
      <c r="A1116" s="41" t="str">
        <f>_xlfn.XLOOKUP(G1116,dd_color!$A$2:$A$8,dd_color!$B$2:$B$8,"",0)</f>
        <v/>
      </c>
      <c r="B1116" s="41">
        <f>_xlfn.XLOOKUP(_xlfn.XLOOKUP(C1116,'Project Details'!$C$17:$C$10003,'Project Details'!$E$17:$E$10003, "",0),dd_design_raw!$A$2:$A$9997,dd_design_raw!$C$2:$C$9997,"",0)</f>
        <v>0</v>
      </c>
      <c r="C1116" s="16"/>
      <c r="D1116" s="16"/>
      <c r="E1116" s="16" t="str" cm="1">
        <f t="array" ref="E1116">IF(C1116&lt;&gt;"", "Steel-"&amp; _xlfn.XLOOKUP(1,((SKUs!$A$2:$A$10001=cl_unmerged!B334) * (ISNUMBER(SEARCH("Mullion",SKUs!$J$2:$J$10001)))), SKUs!$J$2:$J$10001,""),"")</f>
        <v/>
      </c>
      <c r="F1116" s="33" t="str" cm="1">
        <f t="array" ref="F1116">IF(_xlfn.XLOOKUP(1,((SKUs!$A$2:$A$10001=cl_unmerged!B1116) * (ISNUMBER(SEARCH("Steel-Mullion",SKUs!$J$2:$J$10001)))), SKUs!$C$2:$C$10001,"")&lt;&gt;"", _xlfn.XLOOKUP(1,((SKUs!$A$2:$A$10001=cl_unmerged!B1116) * (ISNUMBER(SEARCH("Steel-Mullion",SKUs!$J$2:$J$10001)))), SKUs!$C$2:$C$10001,""), _xlfn.XLOOKUP(1,((SKUs!$A$2:$A$10001=cl_unmerged!B1116) * (ISNUMBER(SEARCH("Steel-ZMullion",SKUs!$J$2:$J$10001)))), SKUs!$C$2:$C$10001,""))</f>
        <v/>
      </c>
      <c r="G1116" s="16"/>
      <c r="H1116" s="16"/>
      <c r="I1116" s="16"/>
    </row>
    <row r="1117" spans="1:12" ht="13.5" customHeight="1" x14ac:dyDescent="0.25">
      <c r="A1117" s="41" t="str">
        <f>_xlfn.XLOOKUP(G1117,dd_color!$A$2:$A$8,dd_color!$B$2:$B$8,"",0)</f>
        <v/>
      </c>
      <c r="B1117" s="41">
        <f>_xlfn.XLOOKUP(_xlfn.XLOOKUP(C1117,'Project Details'!$C$17:$C$10003,'Project Details'!$E$17:$E$10003, "",0),dd_design_raw!$A$2:$A$9997,dd_design_raw!$C$2:$C$9997,"",0)</f>
        <v>0</v>
      </c>
      <c r="C1117" s="16"/>
      <c r="D1117" s="16"/>
      <c r="E1117" s="16" t="str" cm="1">
        <f t="array" ref="E1117">IF(C1117&lt;&gt;"", "Steel-"&amp; _xlfn.XLOOKUP(1,((SKUs!$A$2:$A$10001=cl_unmerged!B335) * (ISNUMBER(SEARCH("Mullion",SKUs!$J$2:$J$10001)))), SKUs!$J$2:$J$10001,""),"")</f>
        <v/>
      </c>
      <c r="F1117" s="33" t="str" cm="1">
        <f t="array" ref="F1117">IF(_xlfn.XLOOKUP(1,((SKUs!$A$2:$A$10001=cl_unmerged!B1117) * (ISNUMBER(SEARCH("Steel-Mullion",SKUs!$J$2:$J$10001)))), SKUs!$C$2:$C$10001,"")&lt;&gt;"", _xlfn.XLOOKUP(1,((SKUs!$A$2:$A$10001=cl_unmerged!B1117) * (ISNUMBER(SEARCH("Steel-Mullion",SKUs!$J$2:$J$10001)))), SKUs!$C$2:$C$10001,""), _xlfn.XLOOKUP(1,((SKUs!$A$2:$A$10001=cl_unmerged!B1117) * (ISNUMBER(SEARCH("Steel-ZMullion",SKUs!$J$2:$J$10001)))), SKUs!$C$2:$C$10001,""))</f>
        <v/>
      </c>
      <c r="G1117" s="16"/>
      <c r="H1117" s="16"/>
      <c r="I1117" s="16"/>
    </row>
    <row r="1118" spans="1:12" ht="13.5" customHeight="1" x14ac:dyDescent="0.25">
      <c r="A1118" s="41" t="str">
        <f>_xlfn.XLOOKUP(G1118,dd_color!$A$2:$A$8,dd_color!$B$2:$B$8,"",0)</f>
        <v/>
      </c>
      <c r="B1118" s="41">
        <f>_xlfn.XLOOKUP(_xlfn.XLOOKUP(C1118,'Project Details'!$C$17:$C$10003,'Project Details'!$E$17:$E$10003, "",0),dd_design_raw!$A$2:$A$9997,dd_design_raw!$C$2:$C$9997,"",0)</f>
        <v>0</v>
      </c>
      <c r="C1118" s="16"/>
      <c r="D1118" s="16"/>
      <c r="E1118" s="16" t="str" cm="1">
        <f t="array" ref="E1118">IF(C1118&lt;&gt;"", "Steel-"&amp; _xlfn.XLOOKUP(1,((SKUs!$A$2:$A$10001=cl_unmerged!B336) * (ISNUMBER(SEARCH("Mullion",SKUs!$J$2:$J$10001)))), SKUs!$J$2:$J$10001,""),"")</f>
        <v/>
      </c>
      <c r="F1118" s="33" t="str" cm="1">
        <f t="array" ref="F1118">IF(_xlfn.XLOOKUP(1,((SKUs!$A$2:$A$10001=cl_unmerged!B1118) * (ISNUMBER(SEARCH("Steel-Mullion",SKUs!$J$2:$J$10001)))), SKUs!$C$2:$C$10001,"")&lt;&gt;"", _xlfn.XLOOKUP(1,((SKUs!$A$2:$A$10001=cl_unmerged!B1118) * (ISNUMBER(SEARCH("Steel-Mullion",SKUs!$J$2:$J$10001)))), SKUs!$C$2:$C$10001,""), _xlfn.XLOOKUP(1,((SKUs!$A$2:$A$10001=cl_unmerged!B1118) * (ISNUMBER(SEARCH("Steel-ZMullion",SKUs!$J$2:$J$10001)))), SKUs!$C$2:$C$10001,""))</f>
        <v/>
      </c>
      <c r="G1118" s="16"/>
      <c r="H1118" s="16"/>
      <c r="I1118" s="16"/>
    </row>
    <row r="1119" spans="1:12" ht="13.5" customHeight="1" x14ac:dyDescent="0.25">
      <c r="A1119" s="41" t="str">
        <f>_xlfn.XLOOKUP(G1119,dd_color!$A$2:$A$8,dd_color!$B$2:$B$8,"",0)</f>
        <v/>
      </c>
      <c r="B1119" s="41">
        <f>_xlfn.XLOOKUP(_xlfn.XLOOKUP(C1119,'Project Details'!$C$17:$C$10003,'Project Details'!$E$17:$E$10003, "",0),dd_design_raw!$A$2:$A$9997,dd_design_raw!$C$2:$C$9997,"",0)</f>
        <v>0</v>
      </c>
      <c r="C1119" s="16"/>
      <c r="D1119" s="16"/>
      <c r="E1119" s="16" t="str" cm="1">
        <f t="array" ref="E1119">IF(C1119&lt;&gt;"", "Steel-"&amp; _xlfn.XLOOKUP(1,((SKUs!$A$2:$A$10001=cl_unmerged!B337) * (ISNUMBER(SEARCH("Mullion",SKUs!$J$2:$J$10001)))), SKUs!$J$2:$J$10001,""),"")</f>
        <v/>
      </c>
      <c r="F1119" s="33" t="str" cm="1">
        <f t="array" ref="F1119">IF(_xlfn.XLOOKUP(1,((SKUs!$A$2:$A$10001=cl_unmerged!B1119) * (ISNUMBER(SEARCH("Steel-Mullion",SKUs!$J$2:$J$10001)))), SKUs!$C$2:$C$10001,"")&lt;&gt;"", _xlfn.XLOOKUP(1,((SKUs!$A$2:$A$10001=cl_unmerged!B1119) * (ISNUMBER(SEARCH("Steel-Mullion",SKUs!$J$2:$J$10001)))), SKUs!$C$2:$C$10001,""), _xlfn.XLOOKUP(1,((SKUs!$A$2:$A$10001=cl_unmerged!B1119) * (ISNUMBER(SEARCH("Steel-ZMullion",SKUs!$J$2:$J$10001)))), SKUs!$C$2:$C$10001,""))</f>
        <v/>
      </c>
      <c r="G1119" s="16"/>
      <c r="H1119" s="16"/>
      <c r="I1119" s="16"/>
    </row>
    <row r="1120" spans="1:12" ht="13.5" customHeight="1" x14ac:dyDescent="0.25">
      <c r="A1120" s="41" t="str">
        <f>_xlfn.XLOOKUP(G1120,dd_color!$A$2:$A$8,dd_color!$B$2:$B$8,"",0)</f>
        <v/>
      </c>
      <c r="B1120" s="41">
        <f>_xlfn.XLOOKUP(_xlfn.XLOOKUP(C1120,'Project Details'!$C$17:$C$10003,'Project Details'!$E$17:$E$10003, "",0),dd_design_raw!$A$2:$A$9997,dd_design_raw!$C$2:$C$9997,"",0)</f>
        <v>0</v>
      </c>
      <c r="C1120" s="16"/>
      <c r="D1120" s="16"/>
      <c r="E1120" s="16" t="str" cm="1">
        <f t="array" ref="E1120">IF(C1120&lt;&gt;"", "Steel-"&amp; _xlfn.XLOOKUP(1,((SKUs!$A$2:$A$10001=cl_unmerged!B338) * (ISNUMBER(SEARCH("Mullion",SKUs!$J$2:$J$10001)))), SKUs!$J$2:$J$10001,""),"")</f>
        <v/>
      </c>
      <c r="F1120" s="33" t="str" cm="1">
        <f t="array" ref="F1120">IF(_xlfn.XLOOKUP(1,((SKUs!$A$2:$A$10001=cl_unmerged!B1120) * (ISNUMBER(SEARCH("Steel-Mullion",SKUs!$J$2:$J$10001)))), SKUs!$C$2:$C$10001,"")&lt;&gt;"", _xlfn.XLOOKUP(1,((SKUs!$A$2:$A$10001=cl_unmerged!B1120) * (ISNUMBER(SEARCH("Steel-Mullion",SKUs!$J$2:$J$10001)))), SKUs!$C$2:$C$10001,""), _xlfn.XLOOKUP(1,((SKUs!$A$2:$A$10001=cl_unmerged!B1120) * (ISNUMBER(SEARCH("Steel-ZMullion",SKUs!$J$2:$J$10001)))), SKUs!$C$2:$C$10001,""))</f>
        <v/>
      </c>
      <c r="G1120" s="16"/>
      <c r="H1120" s="16"/>
      <c r="I1120" s="16"/>
    </row>
    <row r="1121" spans="1:9" ht="13.5" customHeight="1" x14ac:dyDescent="0.25">
      <c r="A1121" s="41" t="str">
        <f>_xlfn.XLOOKUP(G1121,dd_color!$A$2:$A$8,dd_color!$B$2:$B$8,"",0)</f>
        <v/>
      </c>
      <c r="B1121" s="41">
        <f>_xlfn.XLOOKUP(_xlfn.XLOOKUP(C1121,'Project Details'!$C$17:$C$10003,'Project Details'!$E$17:$E$10003, "",0),dd_design_raw!$A$2:$A$9997,dd_design_raw!$C$2:$C$9997,"",0)</f>
        <v>0</v>
      </c>
      <c r="C1121" s="16"/>
      <c r="D1121" s="16"/>
      <c r="E1121" s="16" t="str" cm="1">
        <f t="array" ref="E1121">IF(C1121&lt;&gt;"", "Steel-"&amp; _xlfn.XLOOKUP(1,((SKUs!$A$2:$A$10001=cl_unmerged!B339) * (ISNUMBER(SEARCH("Mullion",SKUs!$J$2:$J$10001)))), SKUs!$J$2:$J$10001,""),"")</f>
        <v/>
      </c>
      <c r="F1121" s="33" t="str" cm="1">
        <f t="array" ref="F1121">IF(_xlfn.XLOOKUP(1,((SKUs!$A$2:$A$10001=cl_unmerged!B1121) * (ISNUMBER(SEARCH("Steel-Mullion",SKUs!$J$2:$J$10001)))), SKUs!$C$2:$C$10001,"")&lt;&gt;"", _xlfn.XLOOKUP(1,((SKUs!$A$2:$A$10001=cl_unmerged!B1121) * (ISNUMBER(SEARCH("Steel-Mullion",SKUs!$J$2:$J$10001)))), SKUs!$C$2:$C$10001,""), _xlfn.XLOOKUP(1,((SKUs!$A$2:$A$10001=cl_unmerged!B1121) * (ISNUMBER(SEARCH("Steel-ZMullion",SKUs!$J$2:$J$10001)))), SKUs!$C$2:$C$10001,""))</f>
        <v/>
      </c>
      <c r="G1121" s="16"/>
      <c r="H1121" s="16"/>
      <c r="I1121" s="16"/>
    </row>
    <row r="1122" spans="1:9" ht="13.5" customHeight="1" x14ac:dyDescent="0.25">
      <c r="A1122" s="41" t="str">
        <f>_xlfn.XLOOKUP(G1122,dd_color!$A$2:$A$8,dd_color!$B$2:$B$8,"",0)</f>
        <v/>
      </c>
      <c r="B1122" s="41">
        <f>_xlfn.XLOOKUP(_xlfn.XLOOKUP(C1122,'Project Details'!$C$17:$C$10003,'Project Details'!$E$17:$E$10003, "",0),dd_design_raw!$A$2:$A$9997,dd_design_raw!$C$2:$C$9997,"",0)</f>
        <v>0</v>
      </c>
      <c r="C1122" s="16"/>
      <c r="D1122" s="16"/>
      <c r="E1122" s="16" t="str" cm="1">
        <f t="array" ref="E1122">IF(C1122&lt;&gt;"", "Steel-"&amp; _xlfn.XLOOKUP(1,((SKUs!$A$2:$A$10001=cl_unmerged!B340) * (ISNUMBER(SEARCH("Mullion",SKUs!$J$2:$J$10001)))), SKUs!$J$2:$J$10001,""),"")</f>
        <v/>
      </c>
      <c r="F1122" s="33" t="str" cm="1">
        <f t="array" ref="F1122">IF(_xlfn.XLOOKUP(1,((SKUs!$A$2:$A$10001=cl_unmerged!B1122) * (ISNUMBER(SEARCH("Steel-Mullion",SKUs!$J$2:$J$10001)))), SKUs!$C$2:$C$10001,"")&lt;&gt;"", _xlfn.XLOOKUP(1,((SKUs!$A$2:$A$10001=cl_unmerged!B1122) * (ISNUMBER(SEARCH("Steel-Mullion",SKUs!$J$2:$J$10001)))), SKUs!$C$2:$C$10001,""), _xlfn.XLOOKUP(1,((SKUs!$A$2:$A$10001=cl_unmerged!B1122) * (ISNUMBER(SEARCH("Steel-ZMullion",SKUs!$J$2:$J$10001)))), SKUs!$C$2:$C$10001,""))</f>
        <v/>
      </c>
      <c r="G1122" s="16"/>
      <c r="H1122" s="16"/>
      <c r="I1122" s="16"/>
    </row>
    <row r="1123" spans="1:9" ht="13.5" customHeight="1" x14ac:dyDescent="0.25">
      <c r="A1123" s="41" t="str">
        <f>_xlfn.XLOOKUP(G1123,dd_color!$A$2:$A$8,dd_color!$B$2:$B$8,"",0)</f>
        <v/>
      </c>
      <c r="B1123" s="41">
        <f>_xlfn.XLOOKUP(_xlfn.XLOOKUP(C1123,'Project Details'!$C$17:$C$10003,'Project Details'!$E$17:$E$10003, "",0),dd_design_raw!$A$2:$A$9997,dd_design_raw!$C$2:$C$9997,"",0)</f>
        <v>0</v>
      </c>
      <c r="C1123" s="16"/>
      <c r="D1123" s="16"/>
      <c r="E1123" s="16" t="str" cm="1">
        <f t="array" ref="E1123">IF(C1123&lt;&gt;"", "Steel-"&amp; _xlfn.XLOOKUP(1,((SKUs!$A$2:$A$10001=cl_unmerged!B341) * (ISNUMBER(SEARCH("Mullion",SKUs!$J$2:$J$10001)))), SKUs!$J$2:$J$10001,""),"")</f>
        <v/>
      </c>
      <c r="F1123" s="33" t="str" cm="1">
        <f t="array" ref="F1123">IF(_xlfn.XLOOKUP(1,((SKUs!$A$2:$A$10001=cl_unmerged!B1123) * (ISNUMBER(SEARCH("Steel-Mullion",SKUs!$J$2:$J$10001)))), SKUs!$C$2:$C$10001,"")&lt;&gt;"", _xlfn.XLOOKUP(1,((SKUs!$A$2:$A$10001=cl_unmerged!B1123) * (ISNUMBER(SEARCH("Steel-Mullion",SKUs!$J$2:$J$10001)))), SKUs!$C$2:$C$10001,""), _xlfn.XLOOKUP(1,((SKUs!$A$2:$A$10001=cl_unmerged!B1123) * (ISNUMBER(SEARCH("Steel-ZMullion",SKUs!$J$2:$J$10001)))), SKUs!$C$2:$C$10001,""))</f>
        <v/>
      </c>
      <c r="G1123" s="16"/>
      <c r="H1123" s="16"/>
      <c r="I1123" s="16"/>
    </row>
    <row r="1124" spans="1:9" ht="13.5" customHeight="1" x14ac:dyDescent="0.25">
      <c r="A1124" s="41" t="str">
        <f>_xlfn.XLOOKUP(G1124,dd_color!$A$2:$A$8,dd_color!$B$2:$B$8,"",0)</f>
        <v/>
      </c>
      <c r="B1124" s="41">
        <f>_xlfn.XLOOKUP(_xlfn.XLOOKUP(C1124,'Project Details'!$C$17:$C$10003,'Project Details'!$E$17:$E$10003, "",0),dd_design_raw!$A$2:$A$9997,dd_design_raw!$C$2:$C$9997,"",0)</f>
        <v>0</v>
      </c>
      <c r="C1124" s="16"/>
      <c r="D1124" s="16"/>
      <c r="E1124" s="16" t="str" cm="1">
        <f t="array" ref="E1124">IF(C1124&lt;&gt;"", "Steel-"&amp; _xlfn.XLOOKUP(1,((SKUs!$A$2:$A$10001=cl_unmerged!B342) * (ISNUMBER(SEARCH("Mullion",SKUs!$J$2:$J$10001)))), SKUs!$J$2:$J$10001,""),"")</f>
        <v/>
      </c>
      <c r="F1124" s="33" t="str" cm="1">
        <f t="array" ref="F1124">IF(_xlfn.XLOOKUP(1,((SKUs!$A$2:$A$10001=cl_unmerged!B1124) * (ISNUMBER(SEARCH("Steel-Mullion",SKUs!$J$2:$J$10001)))), SKUs!$C$2:$C$10001,"")&lt;&gt;"", _xlfn.XLOOKUP(1,((SKUs!$A$2:$A$10001=cl_unmerged!B1124) * (ISNUMBER(SEARCH("Steel-Mullion",SKUs!$J$2:$J$10001)))), SKUs!$C$2:$C$10001,""), _xlfn.XLOOKUP(1,((SKUs!$A$2:$A$10001=cl_unmerged!B1124) * (ISNUMBER(SEARCH("Steel-ZMullion",SKUs!$J$2:$J$10001)))), SKUs!$C$2:$C$10001,""))</f>
        <v/>
      </c>
      <c r="G1124" s="16"/>
      <c r="H1124" s="16"/>
      <c r="I1124" s="16"/>
    </row>
    <row r="1125" spans="1:9" ht="13.5" customHeight="1" x14ac:dyDescent="0.25">
      <c r="A1125" s="41" t="str">
        <f>_xlfn.XLOOKUP(G1125,dd_color!$A$2:$A$8,dd_color!$B$2:$B$8,"",0)</f>
        <v/>
      </c>
      <c r="B1125" s="41">
        <f>_xlfn.XLOOKUP(_xlfn.XLOOKUP(C1125,'Project Details'!$C$17:$C$10003,'Project Details'!$E$17:$E$10003, "",0),dd_design_raw!$A$2:$A$9997,dd_design_raw!$C$2:$C$9997,"",0)</f>
        <v>0</v>
      </c>
      <c r="C1125" s="16"/>
      <c r="D1125" s="16"/>
      <c r="E1125" s="16" t="str" cm="1">
        <f t="array" ref="E1125">IF(C1125&lt;&gt;"", "Steel-"&amp; _xlfn.XLOOKUP(1,((SKUs!$A$2:$A$10001=cl_unmerged!B343) * (ISNUMBER(SEARCH("Mullion",SKUs!$J$2:$J$10001)))), SKUs!$J$2:$J$10001,""),"")</f>
        <v/>
      </c>
      <c r="F1125" s="33" t="str" cm="1">
        <f t="array" ref="F1125">IF(_xlfn.XLOOKUP(1,((SKUs!$A$2:$A$10001=cl_unmerged!B1125) * (ISNUMBER(SEARCH("Steel-Mullion",SKUs!$J$2:$J$10001)))), SKUs!$C$2:$C$10001,"")&lt;&gt;"", _xlfn.XLOOKUP(1,((SKUs!$A$2:$A$10001=cl_unmerged!B1125) * (ISNUMBER(SEARCH("Steel-Mullion",SKUs!$J$2:$J$10001)))), SKUs!$C$2:$C$10001,""), _xlfn.XLOOKUP(1,((SKUs!$A$2:$A$10001=cl_unmerged!B1125) * (ISNUMBER(SEARCH("Steel-ZMullion",SKUs!$J$2:$J$10001)))), SKUs!$C$2:$C$10001,""))</f>
        <v/>
      </c>
      <c r="G1125" s="16"/>
      <c r="H1125" s="16"/>
      <c r="I1125" s="16"/>
    </row>
    <row r="1126" spans="1:9" ht="13.5" customHeight="1" x14ac:dyDescent="0.25">
      <c r="A1126" s="41" t="str">
        <f>_xlfn.XLOOKUP(G1126,dd_color!$A$2:$A$8,dd_color!$B$2:$B$8,"",0)</f>
        <v/>
      </c>
      <c r="B1126" s="41">
        <f>_xlfn.XLOOKUP(_xlfn.XLOOKUP(C1126,'Project Details'!$C$17:$C$10003,'Project Details'!$E$17:$E$10003, "",0),dd_design_raw!$A$2:$A$9997,dd_design_raw!$C$2:$C$9997,"",0)</f>
        <v>0</v>
      </c>
      <c r="C1126" s="16"/>
      <c r="D1126" s="16"/>
      <c r="E1126" s="16" t="str" cm="1">
        <f t="array" ref="E1126">IF(C1126&lt;&gt;"", "Steel-"&amp; _xlfn.XLOOKUP(1,((SKUs!$A$2:$A$10001=cl_unmerged!B344) * (ISNUMBER(SEARCH("Mullion",SKUs!$J$2:$J$10001)))), SKUs!$J$2:$J$10001,""),"")</f>
        <v/>
      </c>
      <c r="F1126" s="33" t="str" cm="1">
        <f t="array" ref="F1126">IF(_xlfn.XLOOKUP(1,((SKUs!$A$2:$A$10001=cl_unmerged!B1126) * (ISNUMBER(SEARCH("Steel-Mullion",SKUs!$J$2:$J$10001)))), SKUs!$C$2:$C$10001,"")&lt;&gt;"", _xlfn.XLOOKUP(1,((SKUs!$A$2:$A$10001=cl_unmerged!B1126) * (ISNUMBER(SEARCH("Steel-Mullion",SKUs!$J$2:$J$10001)))), SKUs!$C$2:$C$10001,""), _xlfn.XLOOKUP(1,((SKUs!$A$2:$A$10001=cl_unmerged!B1126) * (ISNUMBER(SEARCH("Steel-ZMullion",SKUs!$J$2:$J$10001)))), SKUs!$C$2:$C$10001,""))</f>
        <v/>
      </c>
      <c r="G1126" s="16"/>
      <c r="H1126" s="16"/>
      <c r="I1126" s="16"/>
    </row>
    <row r="1127" spans="1:9" ht="13.5" customHeight="1" x14ac:dyDescent="0.25">
      <c r="A1127" s="41" t="str">
        <f>_xlfn.XLOOKUP(G1127,dd_color!$A$2:$A$8,dd_color!$B$2:$B$8,"",0)</f>
        <v/>
      </c>
      <c r="B1127" s="41">
        <f>_xlfn.XLOOKUP(_xlfn.XLOOKUP(C1127,'Project Details'!$C$17:$C$10003,'Project Details'!$E$17:$E$10003, "",0),dd_design_raw!$A$2:$A$9997,dd_design_raw!$C$2:$C$9997,"",0)</f>
        <v>0</v>
      </c>
      <c r="C1127" s="16"/>
      <c r="D1127" s="16"/>
      <c r="E1127" s="16" t="str" cm="1">
        <f t="array" ref="E1127">IF(C1127&lt;&gt;"", "Steel-"&amp; _xlfn.XLOOKUP(1,((SKUs!$A$2:$A$10001=cl_unmerged!B345) * (ISNUMBER(SEARCH("Mullion",SKUs!$J$2:$J$10001)))), SKUs!$J$2:$J$10001,""),"")</f>
        <v/>
      </c>
      <c r="F1127" s="33" t="str" cm="1">
        <f t="array" ref="F1127">IF(_xlfn.XLOOKUP(1,((SKUs!$A$2:$A$10001=cl_unmerged!B1127) * (ISNUMBER(SEARCH("Steel-Mullion",SKUs!$J$2:$J$10001)))), SKUs!$C$2:$C$10001,"")&lt;&gt;"", _xlfn.XLOOKUP(1,((SKUs!$A$2:$A$10001=cl_unmerged!B1127) * (ISNUMBER(SEARCH("Steel-Mullion",SKUs!$J$2:$J$10001)))), SKUs!$C$2:$C$10001,""), _xlfn.XLOOKUP(1,((SKUs!$A$2:$A$10001=cl_unmerged!B1127) * (ISNUMBER(SEARCH("Steel-ZMullion",SKUs!$J$2:$J$10001)))), SKUs!$C$2:$C$10001,""))</f>
        <v/>
      </c>
      <c r="G1127" s="16"/>
      <c r="H1127" s="16"/>
      <c r="I1127" s="16"/>
    </row>
    <row r="1128" spans="1:9" ht="13.5" customHeight="1" x14ac:dyDescent="0.25">
      <c r="A1128" s="41" t="str">
        <f>_xlfn.XLOOKUP(G1128,dd_color!$A$2:$A$8,dd_color!$B$2:$B$8,"",0)</f>
        <v/>
      </c>
      <c r="B1128" s="41">
        <f>_xlfn.XLOOKUP(_xlfn.XLOOKUP(C1128,'Project Details'!$C$17:$C$10003,'Project Details'!$E$17:$E$10003, "",0),dd_design_raw!$A$2:$A$9997,dd_design_raw!$C$2:$C$9997,"",0)</f>
        <v>0</v>
      </c>
      <c r="C1128" s="16"/>
      <c r="D1128" s="16"/>
      <c r="E1128" s="16" t="str" cm="1">
        <f t="array" ref="E1128">IF(C1128&lt;&gt;"", "Steel-"&amp; _xlfn.XLOOKUP(1,((SKUs!$A$2:$A$10001=cl_unmerged!B346) * (ISNUMBER(SEARCH("Mullion",SKUs!$J$2:$J$10001)))), SKUs!$J$2:$J$10001,""),"")</f>
        <v/>
      </c>
      <c r="F1128" s="33" t="str" cm="1">
        <f t="array" ref="F1128">IF(_xlfn.XLOOKUP(1,((SKUs!$A$2:$A$10001=cl_unmerged!B1128) * (ISNUMBER(SEARCH("Steel-Mullion",SKUs!$J$2:$J$10001)))), SKUs!$C$2:$C$10001,"")&lt;&gt;"", _xlfn.XLOOKUP(1,((SKUs!$A$2:$A$10001=cl_unmerged!B1128) * (ISNUMBER(SEARCH("Steel-Mullion",SKUs!$J$2:$J$10001)))), SKUs!$C$2:$C$10001,""), _xlfn.XLOOKUP(1,((SKUs!$A$2:$A$10001=cl_unmerged!B1128) * (ISNUMBER(SEARCH("Steel-ZMullion",SKUs!$J$2:$J$10001)))), SKUs!$C$2:$C$10001,""))</f>
        <v/>
      </c>
      <c r="G1128" s="16"/>
      <c r="H1128" s="16"/>
      <c r="I1128" s="16"/>
    </row>
    <row r="1129" spans="1:9" ht="13.5" customHeight="1" x14ac:dyDescent="0.25">
      <c r="A1129" s="41" t="str">
        <f>_xlfn.XLOOKUP(G1129,dd_color!$A$2:$A$8,dd_color!$B$2:$B$8,"",0)</f>
        <v/>
      </c>
      <c r="B1129" s="41">
        <f>_xlfn.XLOOKUP(_xlfn.XLOOKUP(C1129,'Project Details'!$C$17:$C$10003,'Project Details'!$E$17:$E$10003, "",0),dd_design_raw!$A$2:$A$9997,dd_design_raw!$C$2:$C$9997,"",0)</f>
        <v>0</v>
      </c>
      <c r="C1129" s="16"/>
      <c r="D1129" s="16"/>
      <c r="E1129" s="16" t="str" cm="1">
        <f t="array" ref="E1129">IF(C1129&lt;&gt;"", "Steel-"&amp; _xlfn.XLOOKUP(1,((SKUs!$A$2:$A$10001=cl_unmerged!B347) * (ISNUMBER(SEARCH("Mullion",SKUs!$J$2:$J$10001)))), SKUs!$J$2:$J$10001,""),"")</f>
        <v/>
      </c>
      <c r="F1129" s="33" t="str" cm="1">
        <f t="array" ref="F1129">IF(_xlfn.XLOOKUP(1,((SKUs!$A$2:$A$10001=cl_unmerged!B1129) * (ISNUMBER(SEARCH("Steel-Mullion",SKUs!$J$2:$J$10001)))), SKUs!$C$2:$C$10001,"")&lt;&gt;"", _xlfn.XLOOKUP(1,((SKUs!$A$2:$A$10001=cl_unmerged!B1129) * (ISNUMBER(SEARCH("Steel-Mullion",SKUs!$J$2:$J$10001)))), SKUs!$C$2:$C$10001,""), _xlfn.XLOOKUP(1,((SKUs!$A$2:$A$10001=cl_unmerged!B1129) * (ISNUMBER(SEARCH("Steel-ZMullion",SKUs!$J$2:$J$10001)))), SKUs!$C$2:$C$10001,""))</f>
        <v/>
      </c>
      <c r="G1129" s="16"/>
      <c r="H1129" s="16"/>
      <c r="I1129" s="16"/>
    </row>
    <row r="1130" spans="1:9" ht="13.5" customHeight="1" x14ac:dyDescent="0.25">
      <c r="A1130" s="41" t="str">
        <f>_xlfn.XLOOKUP(G1130,dd_color!$A$2:$A$8,dd_color!$B$2:$B$8,"",0)</f>
        <v/>
      </c>
      <c r="B1130" s="41">
        <f>_xlfn.XLOOKUP(_xlfn.XLOOKUP(C1130,'Project Details'!$C$17:$C$10003,'Project Details'!$E$17:$E$10003, "",0),dd_design_raw!$A$2:$A$9997,dd_design_raw!$C$2:$C$9997,"",0)</f>
        <v>0</v>
      </c>
      <c r="C1130" s="16"/>
      <c r="D1130" s="16"/>
      <c r="E1130" s="16" t="str" cm="1">
        <f t="array" ref="E1130">IF(C1130&lt;&gt;"", "Steel-"&amp; _xlfn.XLOOKUP(1,((SKUs!$A$2:$A$10001=cl_unmerged!B348) * (ISNUMBER(SEARCH("Mullion",SKUs!$J$2:$J$10001)))), SKUs!$J$2:$J$10001,""),"")</f>
        <v/>
      </c>
      <c r="F1130" s="33" t="str" cm="1">
        <f t="array" ref="F1130">IF(_xlfn.XLOOKUP(1,((SKUs!$A$2:$A$10001=cl_unmerged!B1130) * (ISNUMBER(SEARCH("Steel-Mullion",SKUs!$J$2:$J$10001)))), SKUs!$C$2:$C$10001,"")&lt;&gt;"", _xlfn.XLOOKUP(1,((SKUs!$A$2:$A$10001=cl_unmerged!B1130) * (ISNUMBER(SEARCH("Steel-Mullion",SKUs!$J$2:$J$10001)))), SKUs!$C$2:$C$10001,""), _xlfn.XLOOKUP(1,((SKUs!$A$2:$A$10001=cl_unmerged!B1130) * (ISNUMBER(SEARCH("Steel-ZMullion",SKUs!$J$2:$J$10001)))), SKUs!$C$2:$C$10001,""))</f>
        <v/>
      </c>
      <c r="G1130" s="16"/>
      <c r="H1130" s="16"/>
      <c r="I1130" s="16"/>
    </row>
    <row r="1131" spans="1:9" ht="13.5" customHeight="1" x14ac:dyDescent="0.25">
      <c r="A1131" s="41" t="str">
        <f>_xlfn.XLOOKUP(G1131,dd_color!$A$2:$A$8,dd_color!$B$2:$B$8,"",0)</f>
        <v/>
      </c>
      <c r="B1131" s="41">
        <f>_xlfn.XLOOKUP(_xlfn.XLOOKUP(C1131,'Project Details'!$C$17:$C$10003,'Project Details'!$E$17:$E$10003, "",0),dd_design_raw!$A$2:$A$9997,dd_design_raw!$C$2:$C$9997,"",0)</f>
        <v>0</v>
      </c>
      <c r="C1131" s="16"/>
      <c r="D1131" s="16"/>
      <c r="E1131" s="16" t="str" cm="1">
        <f t="array" ref="E1131">IF(C1131&lt;&gt;"", "Steel-"&amp; _xlfn.XLOOKUP(1,((SKUs!$A$2:$A$10001=cl_unmerged!B349) * (ISNUMBER(SEARCH("Mullion",SKUs!$J$2:$J$10001)))), SKUs!$J$2:$J$10001,""),"")</f>
        <v/>
      </c>
      <c r="F1131" s="33" t="str" cm="1">
        <f t="array" ref="F1131">IF(_xlfn.XLOOKUP(1,((SKUs!$A$2:$A$10001=cl_unmerged!B1131) * (ISNUMBER(SEARCH("Steel-Mullion",SKUs!$J$2:$J$10001)))), SKUs!$C$2:$C$10001,"")&lt;&gt;"", _xlfn.XLOOKUP(1,((SKUs!$A$2:$A$10001=cl_unmerged!B1131) * (ISNUMBER(SEARCH("Steel-Mullion",SKUs!$J$2:$J$10001)))), SKUs!$C$2:$C$10001,""), _xlfn.XLOOKUP(1,((SKUs!$A$2:$A$10001=cl_unmerged!B1131) * (ISNUMBER(SEARCH("Steel-ZMullion",SKUs!$J$2:$J$10001)))), SKUs!$C$2:$C$10001,""))</f>
        <v/>
      </c>
      <c r="G1131" s="16"/>
      <c r="H1131" s="16"/>
      <c r="I1131" s="16"/>
    </row>
    <row r="1132" spans="1:9" ht="13.5" customHeight="1" x14ac:dyDescent="0.25">
      <c r="A1132" s="41" t="str">
        <f>_xlfn.XLOOKUP(G1132,dd_color!$A$2:$A$8,dd_color!$B$2:$B$8,"",0)</f>
        <v/>
      </c>
      <c r="B1132" s="41">
        <f>_xlfn.XLOOKUP(_xlfn.XLOOKUP(C1132,'Project Details'!$C$17:$C$10003,'Project Details'!$E$17:$E$10003, "",0),dd_design_raw!$A$2:$A$9997,dd_design_raw!$C$2:$C$9997,"",0)</f>
        <v>0</v>
      </c>
      <c r="C1132" s="16"/>
      <c r="D1132" s="16"/>
      <c r="E1132" s="16" t="str" cm="1">
        <f t="array" ref="E1132">IF(C1132&lt;&gt;"", "Steel-"&amp; _xlfn.XLOOKUP(1,((SKUs!$A$2:$A$10001=cl_unmerged!B350) * (ISNUMBER(SEARCH("Mullion",SKUs!$J$2:$J$10001)))), SKUs!$J$2:$J$10001,""),"")</f>
        <v/>
      </c>
      <c r="F1132" s="33" t="str" cm="1">
        <f t="array" ref="F1132">IF(_xlfn.XLOOKUP(1,((SKUs!$A$2:$A$10001=cl_unmerged!B1132) * (ISNUMBER(SEARCH("Steel-Mullion",SKUs!$J$2:$J$10001)))), SKUs!$C$2:$C$10001,"")&lt;&gt;"", _xlfn.XLOOKUP(1,((SKUs!$A$2:$A$10001=cl_unmerged!B1132) * (ISNUMBER(SEARCH("Steel-Mullion",SKUs!$J$2:$J$10001)))), SKUs!$C$2:$C$10001,""), _xlfn.XLOOKUP(1,((SKUs!$A$2:$A$10001=cl_unmerged!B1132) * (ISNUMBER(SEARCH("Steel-ZMullion",SKUs!$J$2:$J$10001)))), SKUs!$C$2:$C$10001,""))</f>
        <v/>
      </c>
      <c r="G1132" s="16"/>
      <c r="H1132" s="16"/>
      <c r="I1132" s="16"/>
    </row>
    <row r="1133" spans="1:9" ht="13.5" customHeight="1" x14ac:dyDescent="0.25">
      <c r="A1133" s="41" t="str">
        <f>_xlfn.XLOOKUP(G1133,dd_color!$A$2:$A$8,dd_color!$B$2:$B$8,"",0)</f>
        <v/>
      </c>
      <c r="B1133" s="41">
        <f>_xlfn.XLOOKUP(_xlfn.XLOOKUP(C1133,'Project Details'!$C$17:$C$10003,'Project Details'!$E$17:$E$10003, "",0),dd_design_raw!$A$2:$A$9997,dd_design_raw!$C$2:$C$9997,"",0)</f>
        <v>0</v>
      </c>
      <c r="C1133" s="16"/>
      <c r="D1133" s="16"/>
      <c r="E1133" s="16" t="str" cm="1">
        <f t="array" ref="E1133">IF(C1133&lt;&gt;"", "Steel-"&amp; _xlfn.XLOOKUP(1,((SKUs!$A$2:$A$10001=cl_unmerged!B351) * (ISNUMBER(SEARCH("Mullion",SKUs!$J$2:$J$10001)))), SKUs!$J$2:$J$10001,""),"")</f>
        <v/>
      </c>
      <c r="F1133" s="33" t="str" cm="1">
        <f t="array" ref="F1133">IF(_xlfn.XLOOKUP(1,((SKUs!$A$2:$A$10001=cl_unmerged!B1133) * (ISNUMBER(SEARCH("Steel-Mullion",SKUs!$J$2:$J$10001)))), SKUs!$C$2:$C$10001,"")&lt;&gt;"", _xlfn.XLOOKUP(1,((SKUs!$A$2:$A$10001=cl_unmerged!B1133) * (ISNUMBER(SEARCH("Steel-Mullion",SKUs!$J$2:$J$10001)))), SKUs!$C$2:$C$10001,""), _xlfn.XLOOKUP(1,((SKUs!$A$2:$A$10001=cl_unmerged!B1133) * (ISNUMBER(SEARCH("Steel-ZMullion",SKUs!$J$2:$J$10001)))), SKUs!$C$2:$C$10001,""))</f>
        <v/>
      </c>
      <c r="G1133" s="16"/>
      <c r="H1133" s="16"/>
      <c r="I1133" s="16"/>
    </row>
    <row r="1134" spans="1:9" ht="13.5" customHeight="1" x14ac:dyDescent="0.25">
      <c r="A1134" s="41" t="str">
        <f>_xlfn.XLOOKUP(G1134,dd_color!$A$2:$A$8,dd_color!$B$2:$B$8,"",0)</f>
        <v/>
      </c>
      <c r="B1134" s="41">
        <f>_xlfn.XLOOKUP(_xlfn.XLOOKUP(C1134,'Project Details'!$C$17:$C$10003,'Project Details'!$E$17:$E$10003, "",0),dd_design_raw!$A$2:$A$9997,dd_design_raw!$C$2:$C$9997,"",0)</f>
        <v>0</v>
      </c>
      <c r="C1134" s="16"/>
      <c r="D1134" s="16"/>
      <c r="E1134" s="16" t="str" cm="1">
        <f t="array" ref="E1134">IF(C1134&lt;&gt;"", "Steel-"&amp; _xlfn.XLOOKUP(1,((SKUs!$A$2:$A$10001=cl_unmerged!B352) * (ISNUMBER(SEARCH("Mullion",SKUs!$J$2:$J$10001)))), SKUs!$J$2:$J$10001,""),"")</f>
        <v/>
      </c>
      <c r="F1134" s="33" t="str" cm="1">
        <f t="array" ref="F1134">IF(_xlfn.XLOOKUP(1,((SKUs!$A$2:$A$10001=cl_unmerged!B1134) * (ISNUMBER(SEARCH("Steel-Mullion",SKUs!$J$2:$J$10001)))), SKUs!$C$2:$C$10001,"")&lt;&gt;"", _xlfn.XLOOKUP(1,((SKUs!$A$2:$A$10001=cl_unmerged!B1134) * (ISNUMBER(SEARCH("Steel-Mullion",SKUs!$J$2:$J$10001)))), SKUs!$C$2:$C$10001,""), _xlfn.XLOOKUP(1,((SKUs!$A$2:$A$10001=cl_unmerged!B1134) * (ISNUMBER(SEARCH("Steel-ZMullion",SKUs!$J$2:$J$10001)))), SKUs!$C$2:$C$10001,""))</f>
        <v/>
      </c>
      <c r="G1134" s="16"/>
      <c r="H1134" s="16"/>
      <c r="I1134" s="16"/>
    </row>
    <row r="1135" spans="1:9" ht="13.5" customHeight="1" x14ac:dyDescent="0.25">
      <c r="A1135" s="41" t="str">
        <f>_xlfn.XLOOKUP(G1135,dd_color!$A$2:$A$8,dd_color!$B$2:$B$8,"",0)</f>
        <v/>
      </c>
      <c r="B1135" s="41">
        <f>_xlfn.XLOOKUP(_xlfn.XLOOKUP(C1135,'Project Details'!$C$17:$C$10003,'Project Details'!$E$17:$E$10003, "",0),dd_design_raw!$A$2:$A$9997,dd_design_raw!$C$2:$C$9997,"",0)</f>
        <v>0</v>
      </c>
      <c r="C1135" s="16"/>
      <c r="D1135" s="16"/>
      <c r="E1135" s="16" t="str" cm="1">
        <f t="array" ref="E1135">IF(C1135&lt;&gt;"", "Steel-"&amp; _xlfn.XLOOKUP(1,((SKUs!$A$2:$A$10001=cl_unmerged!B353) * (ISNUMBER(SEARCH("Mullion",SKUs!$J$2:$J$10001)))), SKUs!$J$2:$J$10001,""),"")</f>
        <v/>
      </c>
      <c r="F1135" s="33" t="str" cm="1">
        <f t="array" ref="F1135">IF(_xlfn.XLOOKUP(1,((SKUs!$A$2:$A$10001=cl_unmerged!B1135) * (ISNUMBER(SEARCH("Steel-Mullion",SKUs!$J$2:$J$10001)))), SKUs!$C$2:$C$10001,"")&lt;&gt;"", _xlfn.XLOOKUP(1,((SKUs!$A$2:$A$10001=cl_unmerged!B1135) * (ISNUMBER(SEARCH("Steel-Mullion",SKUs!$J$2:$J$10001)))), SKUs!$C$2:$C$10001,""), _xlfn.XLOOKUP(1,((SKUs!$A$2:$A$10001=cl_unmerged!B1135) * (ISNUMBER(SEARCH("Steel-ZMullion",SKUs!$J$2:$J$10001)))), SKUs!$C$2:$C$10001,""))</f>
        <v/>
      </c>
      <c r="G1135" s="16"/>
      <c r="H1135" s="16"/>
      <c r="I1135" s="16"/>
    </row>
    <row r="1136" spans="1:9" ht="13.5" customHeight="1" x14ac:dyDescent="0.25">
      <c r="A1136" s="41" t="str">
        <f>_xlfn.XLOOKUP(G1136,dd_color!$A$2:$A$8,dd_color!$B$2:$B$8,"",0)</f>
        <v/>
      </c>
      <c r="B1136" s="41">
        <f>_xlfn.XLOOKUP(_xlfn.XLOOKUP(C1136,'Project Details'!$C$17:$C$10003,'Project Details'!$E$17:$E$10003, "",0),dd_design_raw!$A$2:$A$9997,dd_design_raw!$C$2:$C$9997,"",0)</f>
        <v>0</v>
      </c>
      <c r="C1136" s="16"/>
      <c r="D1136" s="16"/>
      <c r="E1136" s="16" t="str" cm="1">
        <f t="array" ref="E1136">IF(C1136&lt;&gt;"", "Steel-"&amp; _xlfn.XLOOKUP(1,((SKUs!$A$2:$A$10001=cl_unmerged!B354) * (ISNUMBER(SEARCH("Mullion",SKUs!$J$2:$J$10001)))), SKUs!$J$2:$J$10001,""),"")</f>
        <v/>
      </c>
      <c r="F1136" s="33" t="str" cm="1">
        <f t="array" ref="F1136">IF(_xlfn.XLOOKUP(1,((SKUs!$A$2:$A$10001=cl_unmerged!B1136) * (ISNUMBER(SEARCH("Steel-Mullion",SKUs!$J$2:$J$10001)))), SKUs!$C$2:$C$10001,"")&lt;&gt;"", _xlfn.XLOOKUP(1,((SKUs!$A$2:$A$10001=cl_unmerged!B1136) * (ISNUMBER(SEARCH("Steel-Mullion",SKUs!$J$2:$J$10001)))), SKUs!$C$2:$C$10001,""), _xlfn.XLOOKUP(1,((SKUs!$A$2:$A$10001=cl_unmerged!B1136) * (ISNUMBER(SEARCH("Steel-ZMullion",SKUs!$J$2:$J$10001)))), SKUs!$C$2:$C$10001,""))</f>
        <v/>
      </c>
      <c r="G1136" s="16"/>
      <c r="H1136" s="16"/>
      <c r="I1136" s="16"/>
    </row>
    <row r="1137" spans="1:9" ht="13.5" customHeight="1" x14ac:dyDescent="0.25">
      <c r="A1137" s="41" t="str">
        <f>_xlfn.XLOOKUP(G1137,dd_color!$A$2:$A$8,dd_color!$B$2:$B$8,"",0)</f>
        <v/>
      </c>
      <c r="B1137" s="41">
        <f>_xlfn.XLOOKUP(_xlfn.XLOOKUP(C1137,'Project Details'!$C$17:$C$10003,'Project Details'!$E$17:$E$10003, "",0),dd_design_raw!$A$2:$A$9997,dd_design_raw!$C$2:$C$9997,"",0)</f>
        <v>0</v>
      </c>
      <c r="C1137" s="16"/>
      <c r="D1137" s="16"/>
      <c r="E1137" s="16" t="str" cm="1">
        <f t="array" ref="E1137">IF(C1137&lt;&gt;"", "Steel-"&amp; _xlfn.XLOOKUP(1,((SKUs!$A$2:$A$10001=cl_unmerged!B355) * (ISNUMBER(SEARCH("Mullion",SKUs!$J$2:$J$10001)))), SKUs!$J$2:$J$10001,""),"")</f>
        <v/>
      </c>
      <c r="F1137" s="33" t="str" cm="1">
        <f t="array" ref="F1137">IF(_xlfn.XLOOKUP(1,((SKUs!$A$2:$A$10001=cl_unmerged!B1137) * (ISNUMBER(SEARCH("Steel-Mullion",SKUs!$J$2:$J$10001)))), SKUs!$C$2:$C$10001,"")&lt;&gt;"", _xlfn.XLOOKUP(1,((SKUs!$A$2:$A$10001=cl_unmerged!B1137) * (ISNUMBER(SEARCH("Steel-Mullion",SKUs!$J$2:$J$10001)))), SKUs!$C$2:$C$10001,""), _xlfn.XLOOKUP(1,((SKUs!$A$2:$A$10001=cl_unmerged!B1137) * (ISNUMBER(SEARCH("Steel-ZMullion",SKUs!$J$2:$J$10001)))), SKUs!$C$2:$C$10001,""))</f>
        <v/>
      </c>
      <c r="G1137" s="16"/>
      <c r="H1137" s="16"/>
      <c r="I1137" s="16"/>
    </row>
    <row r="1138" spans="1:9" ht="13.5" customHeight="1" x14ac:dyDescent="0.25">
      <c r="A1138" s="41" t="str">
        <f>_xlfn.XLOOKUP(G1138,dd_color!$A$2:$A$8,dd_color!$B$2:$B$8,"",0)</f>
        <v/>
      </c>
      <c r="B1138" s="41">
        <f>_xlfn.XLOOKUP(_xlfn.XLOOKUP(C1138,'Project Details'!$C$17:$C$10003,'Project Details'!$E$17:$E$10003, "",0),dd_design_raw!$A$2:$A$9997,dd_design_raw!$C$2:$C$9997,"",0)</f>
        <v>0</v>
      </c>
      <c r="C1138" s="16"/>
      <c r="D1138" s="16"/>
      <c r="E1138" s="16" t="str" cm="1">
        <f t="array" ref="E1138">IF(C1138&lt;&gt;"", "Steel-"&amp; _xlfn.XLOOKUP(1,((SKUs!$A$2:$A$10001=cl_unmerged!B356) * (ISNUMBER(SEARCH("Mullion",SKUs!$J$2:$J$10001)))), SKUs!$J$2:$J$10001,""),"")</f>
        <v/>
      </c>
      <c r="F1138" s="33" t="str" cm="1">
        <f t="array" ref="F1138">IF(_xlfn.XLOOKUP(1,((SKUs!$A$2:$A$10001=cl_unmerged!B1138) * (ISNUMBER(SEARCH("Steel-Mullion",SKUs!$J$2:$J$10001)))), SKUs!$C$2:$C$10001,"")&lt;&gt;"", _xlfn.XLOOKUP(1,((SKUs!$A$2:$A$10001=cl_unmerged!B1138) * (ISNUMBER(SEARCH("Steel-Mullion",SKUs!$J$2:$J$10001)))), SKUs!$C$2:$C$10001,""), _xlfn.XLOOKUP(1,((SKUs!$A$2:$A$10001=cl_unmerged!B1138) * (ISNUMBER(SEARCH("Steel-ZMullion",SKUs!$J$2:$J$10001)))), SKUs!$C$2:$C$10001,""))</f>
        <v/>
      </c>
      <c r="G1138" s="16"/>
      <c r="H1138" s="16"/>
      <c r="I1138" s="16"/>
    </row>
    <row r="1139" spans="1:9" ht="13.5" customHeight="1" x14ac:dyDescent="0.25">
      <c r="A1139" s="41" t="str">
        <f>_xlfn.XLOOKUP(G1139,dd_color!$A$2:$A$8,dd_color!$B$2:$B$8,"",0)</f>
        <v/>
      </c>
      <c r="B1139" s="41">
        <f>_xlfn.XLOOKUP(_xlfn.XLOOKUP(C1139,'Project Details'!$C$17:$C$10003,'Project Details'!$E$17:$E$10003, "",0),dd_design_raw!$A$2:$A$9997,dd_design_raw!$C$2:$C$9997,"",0)</f>
        <v>0</v>
      </c>
      <c r="C1139" s="16"/>
      <c r="D1139" s="16"/>
      <c r="E1139" s="16" t="str" cm="1">
        <f t="array" ref="E1139">IF(C1139&lt;&gt;"", "Steel-"&amp; _xlfn.XLOOKUP(1,((SKUs!$A$2:$A$10001=cl_unmerged!B357) * (ISNUMBER(SEARCH("Mullion",SKUs!$J$2:$J$10001)))), SKUs!$J$2:$J$10001,""),"")</f>
        <v/>
      </c>
      <c r="F1139" s="33" t="str" cm="1">
        <f t="array" ref="F1139">IF(_xlfn.XLOOKUP(1,((SKUs!$A$2:$A$10001=cl_unmerged!B1139) * (ISNUMBER(SEARCH("Steel-Mullion",SKUs!$J$2:$J$10001)))), SKUs!$C$2:$C$10001,"")&lt;&gt;"", _xlfn.XLOOKUP(1,((SKUs!$A$2:$A$10001=cl_unmerged!B1139) * (ISNUMBER(SEARCH("Steel-Mullion",SKUs!$J$2:$J$10001)))), SKUs!$C$2:$C$10001,""), _xlfn.XLOOKUP(1,((SKUs!$A$2:$A$10001=cl_unmerged!B1139) * (ISNUMBER(SEARCH("Steel-ZMullion",SKUs!$J$2:$J$10001)))), SKUs!$C$2:$C$10001,""))</f>
        <v/>
      </c>
      <c r="G1139" s="16"/>
      <c r="H1139" s="16"/>
      <c r="I1139" s="16"/>
    </row>
    <row r="1140" spans="1:9" ht="13.5" customHeight="1" x14ac:dyDescent="0.25">
      <c r="A1140" s="41" t="str">
        <f>_xlfn.XLOOKUP(G1140,dd_color!$A$2:$A$8,dd_color!$B$2:$B$8,"",0)</f>
        <v/>
      </c>
      <c r="B1140" s="41">
        <f>_xlfn.XLOOKUP(_xlfn.XLOOKUP(C1140,'Project Details'!$C$17:$C$10003,'Project Details'!$E$17:$E$10003, "",0),dd_design_raw!$A$2:$A$9997,dd_design_raw!$C$2:$C$9997,"",0)</f>
        <v>0</v>
      </c>
      <c r="C1140" s="16"/>
      <c r="D1140" s="16"/>
      <c r="E1140" s="16" t="str" cm="1">
        <f t="array" ref="E1140">IF(C1140&lt;&gt;"", "Steel-"&amp; _xlfn.XLOOKUP(1,((SKUs!$A$2:$A$10001=cl_unmerged!B358) * (ISNUMBER(SEARCH("Mullion",SKUs!$J$2:$J$10001)))), SKUs!$J$2:$J$10001,""),"")</f>
        <v/>
      </c>
      <c r="F1140" s="33" t="str" cm="1">
        <f t="array" ref="F1140">IF(_xlfn.XLOOKUP(1,((SKUs!$A$2:$A$10001=cl_unmerged!B1140) * (ISNUMBER(SEARCH("Steel-Mullion",SKUs!$J$2:$J$10001)))), SKUs!$C$2:$C$10001,"")&lt;&gt;"", _xlfn.XLOOKUP(1,((SKUs!$A$2:$A$10001=cl_unmerged!B1140) * (ISNUMBER(SEARCH("Steel-Mullion",SKUs!$J$2:$J$10001)))), SKUs!$C$2:$C$10001,""), _xlfn.XLOOKUP(1,((SKUs!$A$2:$A$10001=cl_unmerged!B1140) * (ISNUMBER(SEARCH("Steel-ZMullion",SKUs!$J$2:$J$10001)))), SKUs!$C$2:$C$10001,""))</f>
        <v/>
      </c>
      <c r="G1140" s="16"/>
      <c r="H1140" s="16"/>
      <c r="I1140" s="16"/>
    </row>
    <row r="1141" spans="1:9" ht="13.5" customHeight="1" x14ac:dyDescent="0.25">
      <c r="A1141" s="41" t="str">
        <f>_xlfn.XLOOKUP(G1141,dd_color!$A$2:$A$8,dd_color!$B$2:$B$8,"",0)</f>
        <v/>
      </c>
      <c r="B1141" s="41">
        <f>_xlfn.XLOOKUP(_xlfn.XLOOKUP(C1141,'Project Details'!$C$17:$C$10003,'Project Details'!$E$17:$E$10003, "",0),dd_design_raw!$A$2:$A$9997,dd_design_raw!$C$2:$C$9997,"",0)</f>
        <v>0</v>
      </c>
      <c r="C1141" s="16"/>
      <c r="D1141" s="16"/>
      <c r="E1141" s="16" t="str" cm="1">
        <f t="array" ref="E1141">IF(C1141&lt;&gt;"", "Steel-"&amp; _xlfn.XLOOKUP(1,((SKUs!$A$2:$A$10001=cl_unmerged!B359) * (ISNUMBER(SEARCH("Mullion",SKUs!$J$2:$J$10001)))), SKUs!$J$2:$J$10001,""),"")</f>
        <v/>
      </c>
      <c r="F1141" s="33" t="str" cm="1">
        <f t="array" ref="F1141">IF(_xlfn.XLOOKUP(1,((SKUs!$A$2:$A$10001=cl_unmerged!B1141) * (ISNUMBER(SEARCH("Steel-Mullion",SKUs!$J$2:$J$10001)))), SKUs!$C$2:$C$10001,"")&lt;&gt;"", _xlfn.XLOOKUP(1,((SKUs!$A$2:$A$10001=cl_unmerged!B1141) * (ISNUMBER(SEARCH("Steel-Mullion",SKUs!$J$2:$J$10001)))), SKUs!$C$2:$C$10001,""), _xlfn.XLOOKUP(1,((SKUs!$A$2:$A$10001=cl_unmerged!B1141) * (ISNUMBER(SEARCH("Steel-ZMullion",SKUs!$J$2:$J$10001)))), SKUs!$C$2:$C$10001,""))</f>
        <v/>
      </c>
      <c r="G1141" s="16"/>
      <c r="H1141" s="16"/>
      <c r="I1141" s="16"/>
    </row>
    <row r="1142" spans="1:9" ht="13.5" customHeight="1" x14ac:dyDescent="0.25">
      <c r="A1142" s="41" t="str">
        <f>_xlfn.XLOOKUP(G1142,dd_color!$A$2:$A$8,dd_color!$B$2:$B$8,"",0)</f>
        <v/>
      </c>
      <c r="B1142" s="41">
        <f>_xlfn.XLOOKUP(_xlfn.XLOOKUP(C1142,'Project Details'!$C$17:$C$10003,'Project Details'!$E$17:$E$10003, "",0),dd_design_raw!$A$2:$A$9997,dd_design_raw!$C$2:$C$9997,"",0)</f>
        <v>0</v>
      </c>
      <c r="C1142" s="16"/>
      <c r="D1142" s="16"/>
      <c r="E1142" s="16" t="str" cm="1">
        <f t="array" ref="E1142">IF(C1142&lt;&gt;"", "Steel-"&amp; _xlfn.XLOOKUP(1,((SKUs!$A$2:$A$10001=cl_unmerged!B360) * (ISNUMBER(SEARCH("Mullion",SKUs!$J$2:$J$10001)))), SKUs!$J$2:$J$10001,""),"")</f>
        <v/>
      </c>
      <c r="F1142" s="33" t="str" cm="1">
        <f t="array" ref="F1142">IF(_xlfn.XLOOKUP(1,((SKUs!$A$2:$A$10001=cl_unmerged!B1142) * (ISNUMBER(SEARCH("Steel-Mullion",SKUs!$J$2:$J$10001)))), SKUs!$C$2:$C$10001,"")&lt;&gt;"", _xlfn.XLOOKUP(1,((SKUs!$A$2:$A$10001=cl_unmerged!B1142) * (ISNUMBER(SEARCH("Steel-Mullion",SKUs!$J$2:$J$10001)))), SKUs!$C$2:$C$10001,""), _xlfn.XLOOKUP(1,((SKUs!$A$2:$A$10001=cl_unmerged!B1142) * (ISNUMBER(SEARCH("Steel-ZMullion",SKUs!$J$2:$J$10001)))), SKUs!$C$2:$C$10001,""))</f>
        <v/>
      </c>
      <c r="G1142" s="16"/>
      <c r="H1142" s="16"/>
      <c r="I1142" s="16"/>
    </row>
    <row r="1143" spans="1:9" ht="13.5" customHeight="1" x14ac:dyDescent="0.25">
      <c r="A1143" s="41" t="str">
        <f>_xlfn.XLOOKUP(G1143,dd_color!$A$2:$A$8,dd_color!$B$2:$B$8,"",0)</f>
        <v/>
      </c>
      <c r="B1143" s="41">
        <f>_xlfn.XLOOKUP(_xlfn.XLOOKUP(C1143,'Project Details'!$C$17:$C$10003,'Project Details'!$E$17:$E$10003, "",0),dd_design_raw!$A$2:$A$9997,dd_design_raw!$C$2:$C$9997,"",0)</f>
        <v>0</v>
      </c>
      <c r="C1143" s="16"/>
      <c r="D1143" s="16"/>
      <c r="E1143" s="16" t="str" cm="1">
        <f t="array" ref="E1143">IF(C1143&lt;&gt;"", "Steel-"&amp; _xlfn.XLOOKUP(1,((SKUs!$A$2:$A$10001=cl_unmerged!B361) * (ISNUMBER(SEARCH("Mullion",SKUs!$J$2:$J$10001)))), SKUs!$J$2:$J$10001,""),"")</f>
        <v/>
      </c>
      <c r="F1143" s="33" t="str" cm="1">
        <f t="array" ref="F1143">IF(_xlfn.XLOOKUP(1,((SKUs!$A$2:$A$10001=cl_unmerged!B1143) * (ISNUMBER(SEARCH("Steel-Mullion",SKUs!$J$2:$J$10001)))), SKUs!$C$2:$C$10001,"")&lt;&gt;"", _xlfn.XLOOKUP(1,((SKUs!$A$2:$A$10001=cl_unmerged!B1143) * (ISNUMBER(SEARCH("Steel-Mullion",SKUs!$J$2:$J$10001)))), SKUs!$C$2:$C$10001,""), _xlfn.XLOOKUP(1,((SKUs!$A$2:$A$10001=cl_unmerged!B1143) * (ISNUMBER(SEARCH("Steel-ZMullion",SKUs!$J$2:$J$10001)))), SKUs!$C$2:$C$10001,""))</f>
        <v/>
      </c>
      <c r="G1143" s="16"/>
      <c r="H1143" s="16"/>
      <c r="I1143" s="16"/>
    </row>
    <row r="1144" spans="1:9" ht="13.5" customHeight="1" x14ac:dyDescent="0.25">
      <c r="A1144" s="41" t="str">
        <f>_xlfn.XLOOKUP(G1144,dd_color!$A$2:$A$8,dd_color!$B$2:$B$8,"",0)</f>
        <v/>
      </c>
      <c r="B1144" s="41">
        <f>_xlfn.XLOOKUP(_xlfn.XLOOKUP(C1144,'Project Details'!$C$17:$C$10003,'Project Details'!$E$17:$E$10003, "",0),dd_design_raw!$A$2:$A$9997,dd_design_raw!$C$2:$C$9997,"",0)</f>
        <v>0</v>
      </c>
      <c r="C1144" s="16"/>
      <c r="D1144" s="16"/>
      <c r="E1144" s="16" t="str" cm="1">
        <f t="array" ref="E1144">IF(C1144&lt;&gt;"", "Steel-"&amp; _xlfn.XLOOKUP(1,((SKUs!$A$2:$A$10001=cl_unmerged!B362) * (ISNUMBER(SEARCH("Mullion",SKUs!$J$2:$J$10001)))), SKUs!$J$2:$J$10001,""),"")</f>
        <v/>
      </c>
      <c r="F1144" s="33" t="str" cm="1">
        <f t="array" ref="F1144">IF(_xlfn.XLOOKUP(1,((SKUs!$A$2:$A$10001=cl_unmerged!B1144) * (ISNUMBER(SEARCH("Steel-Mullion",SKUs!$J$2:$J$10001)))), SKUs!$C$2:$C$10001,"")&lt;&gt;"", _xlfn.XLOOKUP(1,((SKUs!$A$2:$A$10001=cl_unmerged!B1144) * (ISNUMBER(SEARCH("Steel-Mullion",SKUs!$J$2:$J$10001)))), SKUs!$C$2:$C$10001,""), _xlfn.XLOOKUP(1,((SKUs!$A$2:$A$10001=cl_unmerged!B1144) * (ISNUMBER(SEARCH("Steel-ZMullion",SKUs!$J$2:$J$10001)))), SKUs!$C$2:$C$10001,""))</f>
        <v/>
      </c>
      <c r="G1144" s="16"/>
      <c r="H1144" s="16"/>
      <c r="I1144" s="16"/>
    </row>
    <row r="1145" spans="1:9" ht="13.5" customHeight="1" x14ac:dyDescent="0.25">
      <c r="A1145" s="41" t="str">
        <f>_xlfn.XLOOKUP(G1145,dd_color!$A$2:$A$8,dd_color!$B$2:$B$8,"",0)</f>
        <v/>
      </c>
      <c r="B1145" s="41">
        <f>_xlfn.XLOOKUP(_xlfn.XLOOKUP(C1145,'Project Details'!$C$17:$C$10003,'Project Details'!$E$17:$E$10003, "",0),dd_design_raw!$A$2:$A$9997,dd_design_raw!$C$2:$C$9997,"",0)</f>
        <v>0</v>
      </c>
      <c r="C1145" s="16"/>
      <c r="D1145" s="16"/>
      <c r="E1145" s="16" t="str" cm="1">
        <f t="array" ref="E1145">IF(C1145&lt;&gt;"", "Steel-"&amp; _xlfn.XLOOKUP(1,((SKUs!$A$2:$A$10001=cl_unmerged!B363) * (ISNUMBER(SEARCH("Mullion",SKUs!$J$2:$J$10001)))), SKUs!$J$2:$J$10001,""),"")</f>
        <v/>
      </c>
      <c r="F1145" s="33" t="str" cm="1">
        <f t="array" ref="F1145">IF(_xlfn.XLOOKUP(1,((SKUs!$A$2:$A$10001=cl_unmerged!B1145) * (ISNUMBER(SEARCH("Steel-Mullion",SKUs!$J$2:$J$10001)))), SKUs!$C$2:$C$10001,"")&lt;&gt;"", _xlfn.XLOOKUP(1,((SKUs!$A$2:$A$10001=cl_unmerged!B1145) * (ISNUMBER(SEARCH("Steel-Mullion",SKUs!$J$2:$J$10001)))), SKUs!$C$2:$C$10001,""), _xlfn.XLOOKUP(1,((SKUs!$A$2:$A$10001=cl_unmerged!B1145) * (ISNUMBER(SEARCH("Steel-ZMullion",SKUs!$J$2:$J$10001)))), SKUs!$C$2:$C$10001,""))</f>
        <v/>
      </c>
      <c r="G1145" s="16"/>
      <c r="H1145" s="16"/>
      <c r="I1145" s="16"/>
    </row>
    <row r="1146" spans="1:9" ht="13.5" customHeight="1" x14ac:dyDescent="0.25">
      <c r="A1146" s="41" t="str">
        <f>_xlfn.XLOOKUP(G1146,dd_color!$A$2:$A$8,dd_color!$B$2:$B$8,"",0)</f>
        <v/>
      </c>
      <c r="B1146" s="41">
        <f>_xlfn.XLOOKUP(_xlfn.XLOOKUP(C1146,'Project Details'!$C$17:$C$10003,'Project Details'!$E$17:$E$10003, "",0),dd_design_raw!$A$2:$A$9997,dd_design_raw!$C$2:$C$9997,"",0)</f>
        <v>0</v>
      </c>
      <c r="C1146" s="16"/>
      <c r="D1146" s="16"/>
      <c r="E1146" s="16" t="str" cm="1">
        <f t="array" ref="E1146">IF(C1146&lt;&gt;"", "Steel-"&amp; _xlfn.XLOOKUP(1,((SKUs!$A$2:$A$10001=cl_unmerged!B364) * (ISNUMBER(SEARCH("Mullion",SKUs!$J$2:$J$10001)))), SKUs!$J$2:$J$10001,""),"")</f>
        <v/>
      </c>
      <c r="F1146" s="33" t="str" cm="1">
        <f t="array" ref="F1146">IF(_xlfn.XLOOKUP(1,((SKUs!$A$2:$A$10001=cl_unmerged!B1146) * (ISNUMBER(SEARCH("Steel-Mullion",SKUs!$J$2:$J$10001)))), SKUs!$C$2:$C$10001,"")&lt;&gt;"", _xlfn.XLOOKUP(1,((SKUs!$A$2:$A$10001=cl_unmerged!B1146) * (ISNUMBER(SEARCH("Steel-Mullion",SKUs!$J$2:$J$10001)))), SKUs!$C$2:$C$10001,""), _xlfn.XLOOKUP(1,((SKUs!$A$2:$A$10001=cl_unmerged!B1146) * (ISNUMBER(SEARCH("Steel-ZMullion",SKUs!$J$2:$J$10001)))), SKUs!$C$2:$C$10001,""))</f>
        <v/>
      </c>
      <c r="G1146" s="16"/>
      <c r="H1146" s="16"/>
      <c r="I1146" s="16"/>
    </row>
    <row r="1147" spans="1:9" ht="13.5" customHeight="1" x14ac:dyDescent="0.25">
      <c r="A1147" s="41" t="str">
        <f>_xlfn.XLOOKUP(G1147,dd_color!$A$2:$A$8,dd_color!$B$2:$B$8,"",0)</f>
        <v/>
      </c>
      <c r="B1147" s="41">
        <f>_xlfn.XLOOKUP(_xlfn.XLOOKUP(C1147,'Project Details'!$C$17:$C$10003,'Project Details'!$E$17:$E$10003, "",0),dd_design_raw!$A$2:$A$9997,dd_design_raw!$C$2:$C$9997,"",0)</f>
        <v>0</v>
      </c>
      <c r="C1147" s="16"/>
      <c r="D1147" s="16"/>
      <c r="E1147" s="16" t="str" cm="1">
        <f t="array" ref="E1147">IF(C1147&lt;&gt;"", "Steel-"&amp; _xlfn.XLOOKUP(1,((SKUs!$A$2:$A$10001=cl_unmerged!B365) * (ISNUMBER(SEARCH("Mullion",SKUs!$J$2:$J$10001)))), SKUs!$J$2:$J$10001,""),"")</f>
        <v/>
      </c>
      <c r="F1147" s="33" t="str" cm="1">
        <f t="array" ref="F1147">IF(_xlfn.XLOOKUP(1,((SKUs!$A$2:$A$10001=cl_unmerged!B1147) * (ISNUMBER(SEARCH("Steel-Mullion",SKUs!$J$2:$J$10001)))), SKUs!$C$2:$C$10001,"")&lt;&gt;"", _xlfn.XLOOKUP(1,((SKUs!$A$2:$A$10001=cl_unmerged!B1147) * (ISNUMBER(SEARCH("Steel-Mullion",SKUs!$J$2:$J$10001)))), SKUs!$C$2:$C$10001,""), _xlfn.XLOOKUP(1,((SKUs!$A$2:$A$10001=cl_unmerged!B1147) * (ISNUMBER(SEARCH("Steel-ZMullion",SKUs!$J$2:$J$10001)))), SKUs!$C$2:$C$10001,""))</f>
        <v/>
      </c>
      <c r="G1147" s="16"/>
      <c r="H1147" s="16"/>
      <c r="I1147" s="16"/>
    </row>
    <row r="1148" spans="1:9" ht="13.5" customHeight="1" x14ac:dyDescent="0.25">
      <c r="A1148" s="41" t="str">
        <f>_xlfn.XLOOKUP(G1148,dd_color!$A$2:$A$8,dd_color!$B$2:$B$8,"",0)</f>
        <v/>
      </c>
      <c r="B1148" s="41">
        <f>_xlfn.XLOOKUP(_xlfn.XLOOKUP(C1148,'Project Details'!$C$17:$C$10003,'Project Details'!$E$17:$E$10003, "",0),dd_design_raw!$A$2:$A$9997,dd_design_raw!$C$2:$C$9997,"",0)</f>
        <v>0</v>
      </c>
      <c r="C1148" s="16"/>
      <c r="D1148" s="16"/>
      <c r="E1148" s="16" t="str" cm="1">
        <f t="array" ref="E1148">IF(C1148&lt;&gt;"", "Steel-"&amp; _xlfn.XLOOKUP(1,((SKUs!$A$2:$A$10001=cl_unmerged!B366) * (ISNUMBER(SEARCH("Mullion",SKUs!$J$2:$J$10001)))), SKUs!$J$2:$J$10001,""),"")</f>
        <v/>
      </c>
      <c r="F1148" s="33" t="str" cm="1">
        <f t="array" ref="F1148">IF(_xlfn.XLOOKUP(1,((SKUs!$A$2:$A$10001=cl_unmerged!B1148) * (ISNUMBER(SEARCH("Steel-Mullion",SKUs!$J$2:$J$10001)))), SKUs!$C$2:$C$10001,"")&lt;&gt;"", _xlfn.XLOOKUP(1,((SKUs!$A$2:$A$10001=cl_unmerged!B1148) * (ISNUMBER(SEARCH("Steel-Mullion",SKUs!$J$2:$J$10001)))), SKUs!$C$2:$C$10001,""), _xlfn.XLOOKUP(1,((SKUs!$A$2:$A$10001=cl_unmerged!B1148) * (ISNUMBER(SEARCH("Steel-ZMullion",SKUs!$J$2:$J$10001)))), SKUs!$C$2:$C$10001,""))</f>
        <v/>
      </c>
      <c r="G1148" s="16"/>
      <c r="H1148" s="16"/>
      <c r="I1148" s="16"/>
    </row>
    <row r="1149" spans="1:9" ht="13.5" customHeight="1" x14ac:dyDescent="0.25">
      <c r="A1149" s="41" t="str">
        <f>_xlfn.XLOOKUP(G1149,dd_color!$A$2:$A$8,dd_color!$B$2:$B$8,"",0)</f>
        <v/>
      </c>
      <c r="B1149" s="41">
        <f>_xlfn.XLOOKUP(_xlfn.XLOOKUP(C1149,'Project Details'!$C$17:$C$10003,'Project Details'!$E$17:$E$10003, "",0),dd_design_raw!$A$2:$A$9997,dd_design_raw!$C$2:$C$9997,"",0)</f>
        <v>0</v>
      </c>
      <c r="C1149" s="16"/>
      <c r="D1149" s="16"/>
      <c r="E1149" s="16" t="str" cm="1">
        <f t="array" ref="E1149">IF(C1149&lt;&gt;"", "Steel-"&amp; _xlfn.XLOOKUP(1,((SKUs!$A$2:$A$10001=cl_unmerged!B367) * (ISNUMBER(SEARCH("Mullion",SKUs!$J$2:$J$10001)))), SKUs!$J$2:$J$10001,""),"")</f>
        <v/>
      </c>
      <c r="F1149" s="33" t="str" cm="1">
        <f t="array" ref="F1149">IF(_xlfn.XLOOKUP(1,((SKUs!$A$2:$A$10001=cl_unmerged!B1149) * (ISNUMBER(SEARCH("Steel-Mullion",SKUs!$J$2:$J$10001)))), SKUs!$C$2:$C$10001,"")&lt;&gt;"", _xlfn.XLOOKUP(1,((SKUs!$A$2:$A$10001=cl_unmerged!B1149) * (ISNUMBER(SEARCH("Steel-Mullion",SKUs!$J$2:$J$10001)))), SKUs!$C$2:$C$10001,""), _xlfn.XLOOKUP(1,((SKUs!$A$2:$A$10001=cl_unmerged!B1149) * (ISNUMBER(SEARCH("Steel-ZMullion",SKUs!$J$2:$J$10001)))), SKUs!$C$2:$C$10001,""))</f>
        <v/>
      </c>
      <c r="G1149" s="16"/>
      <c r="H1149" s="16"/>
      <c r="I1149" s="16"/>
    </row>
    <row r="1150" spans="1:9" ht="13.5" customHeight="1" x14ac:dyDescent="0.25">
      <c r="A1150" s="41" t="str">
        <f>_xlfn.XLOOKUP(G1150,dd_color!$A$2:$A$8,dd_color!$B$2:$B$8,"",0)</f>
        <v/>
      </c>
      <c r="B1150" s="41">
        <f>_xlfn.XLOOKUP(_xlfn.XLOOKUP(C1150,'Project Details'!$C$17:$C$10003,'Project Details'!$E$17:$E$10003, "",0),dd_design_raw!$A$2:$A$9997,dd_design_raw!$C$2:$C$9997,"",0)</f>
        <v>0</v>
      </c>
      <c r="C1150" s="16"/>
      <c r="D1150" s="16"/>
      <c r="E1150" s="16" t="str" cm="1">
        <f t="array" ref="E1150">IF(C1150&lt;&gt;"", "Steel-"&amp; _xlfn.XLOOKUP(1,((SKUs!$A$2:$A$10001=cl_unmerged!B368) * (ISNUMBER(SEARCH("Mullion",SKUs!$J$2:$J$10001)))), SKUs!$J$2:$J$10001,""),"")</f>
        <v/>
      </c>
      <c r="F1150" s="33" t="str" cm="1">
        <f t="array" ref="F1150">IF(_xlfn.XLOOKUP(1,((SKUs!$A$2:$A$10001=cl_unmerged!B1150) * (ISNUMBER(SEARCH("Steel-Mullion",SKUs!$J$2:$J$10001)))), SKUs!$C$2:$C$10001,"")&lt;&gt;"", _xlfn.XLOOKUP(1,((SKUs!$A$2:$A$10001=cl_unmerged!B1150) * (ISNUMBER(SEARCH("Steel-Mullion",SKUs!$J$2:$J$10001)))), SKUs!$C$2:$C$10001,""), _xlfn.XLOOKUP(1,((SKUs!$A$2:$A$10001=cl_unmerged!B1150) * (ISNUMBER(SEARCH("Steel-ZMullion",SKUs!$J$2:$J$10001)))), SKUs!$C$2:$C$10001,""))</f>
        <v/>
      </c>
      <c r="G1150" s="16"/>
      <c r="H1150" s="16"/>
      <c r="I1150" s="16"/>
    </row>
    <row r="1151" spans="1:9" ht="13.5" customHeight="1" x14ac:dyDescent="0.25">
      <c r="A1151" s="41" t="str">
        <f>_xlfn.XLOOKUP(G1151,dd_color!$A$2:$A$8,dd_color!$B$2:$B$8,"",0)</f>
        <v/>
      </c>
      <c r="B1151" s="41">
        <f>_xlfn.XLOOKUP(_xlfn.XLOOKUP(C1151,'Project Details'!$C$17:$C$10003,'Project Details'!$E$17:$E$10003, "",0),dd_design_raw!$A$2:$A$9997,dd_design_raw!$C$2:$C$9997,"",0)</f>
        <v>0</v>
      </c>
      <c r="C1151" s="16"/>
      <c r="D1151" s="16"/>
      <c r="E1151" s="16" t="str" cm="1">
        <f t="array" ref="E1151">IF(C1151&lt;&gt;"", "Steel-"&amp; _xlfn.XLOOKUP(1,((SKUs!$A$2:$A$10001=cl_unmerged!B369) * (ISNUMBER(SEARCH("Mullion",SKUs!$J$2:$J$10001)))), SKUs!$J$2:$J$10001,""),"")</f>
        <v/>
      </c>
      <c r="F1151" s="33" t="str" cm="1">
        <f t="array" ref="F1151">IF(_xlfn.XLOOKUP(1,((SKUs!$A$2:$A$10001=cl_unmerged!B1151) * (ISNUMBER(SEARCH("Steel-Mullion",SKUs!$J$2:$J$10001)))), SKUs!$C$2:$C$10001,"")&lt;&gt;"", _xlfn.XLOOKUP(1,((SKUs!$A$2:$A$10001=cl_unmerged!B1151) * (ISNUMBER(SEARCH("Steel-Mullion",SKUs!$J$2:$J$10001)))), SKUs!$C$2:$C$10001,""), _xlfn.XLOOKUP(1,((SKUs!$A$2:$A$10001=cl_unmerged!B1151) * (ISNUMBER(SEARCH("Steel-ZMullion",SKUs!$J$2:$J$10001)))), SKUs!$C$2:$C$10001,""))</f>
        <v/>
      </c>
      <c r="G1151" s="16"/>
      <c r="H1151" s="16"/>
      <c r="I1151" s="16"/>
    </row>
    <row r="1152" spans="1:9" ht="13.5" customHeight="1" x14ac:dyDescent="0.25">
      <c r="A1152" s="41" t="str">
        <f>_xlfn.XLOOKUP(G1152,dd_color!$A$2:$A$8,dd_color!$B$2:$B$8,"",0)</f>
        <v/>
      </c>
      <c r="B1152" s="41">
        <f>_xlfn.XLOOKUP(_xlfn.XLOOKUP(C1152,'Project Details'!$C$17:$C$10003,'Project Details'!$E$17:$E$10003, "",0),dd_design_raw!$A$2:$A$9997,dd_design_raw!$C$2:$C$9997,"",0)</f>
        <v>0</v>
      </c>
      <c r="C1152" s="16"/>
      <c r="D1152" s="16"/>
      <c r="E1152" s="16" t="str" cm="1">
        <f t="array" ref="E1152">IF(C1152&lt;&gt;"", "Steel-"&amp; _xlfn.XLOOKUP(1,((SKUs!$A$2:$A$10001=cl_unmerged!B370) * (ISNUMBER(SEARCH("Mullion",SKUs!$J$2:$J$10001)))), SKUs!$J$2:$J$10001,""),"")</f>
        <v/>
      </c>
      <c r="F1152" s="33" t="str" cm="1">
        <f t="array" ref="F1152">IF(_xlfn.XLOOKUP(1,((SKUs!$A$2:$A$10001=cl_unmerged!B1152) * (ISNUMBER(SEARCH("Steel-Mullion",SKUs!$J$2:$J$10001)))), SKUs!$C$2:$C$10001,"")&lt;&gt;"", _xlfn.XLOOKUP(1,((SKUs!$A$2:$A$10001=cl_unmerged!B1152) * (ISNUMBER(SEARCH("Steel-Mullion",SKUs!$J$2:$J$10001)))), SKUs!$C$2:$C$10001,""), _xlfn.XLOOKUP(1,((SKUs!$A$2:$A$10001=cl_unmerged!B1152) * (ISNUMBER(SEARCH("Steel-ZMullion",SKUs!$J$2:$J$10001)))), SKUs!$C$2:$C$10001,""))</f>
        <v/>
      </c>
      <c r="G1152" s="16"/>
      <c r="H1152" s="16"/>
      <c r="I1152" s="16"/>
    </row>
    <row r="1153" spans="1:9" ht="13.5" customHeight="1" x14ac:dyDescent="0.25">
      <c r="A1153" s="41" t="str">
        <f>_xlfn.XLOOKUP(G1153,dd_color!$A$2:$A$8,dd_color!$B$2:$B$8,"",0)</f>
        <v/>
      </c>
      <c r="B1153" s="41">
        <f>_xlfn.XLOOKUP(_xlfn.XLOOKUP(C1153,'Project Details'!$C$17:$C$10003,'Project Details'!$E$17:$E$10003, "",0),dd_design_raw!$A$2:$A$9997,dd_design_raw!$C$2:$C$9997,"",0)</f>
        <v>0</v>
      </c>
      <c r="C1153" s="16"/>
      <c r="D1153" s="16"/>
      <c r="E1153" s="16" t="str" cm="1">
        <f t="array" ref="E1153">IF(C1153&lt;&gt;"", "Steel-"&amp; _xlfn.XLOOKUP(1,((SKUs!$A$2:$A$10001=cl_unmerged!B371) * (ISNUMBER(SEARCH("Mullion",SKUs!$J$2:$J$10001)))), SKUs!$J$2:$J$10001,""),"")</f>
        <v/>
      </c>
      <c r="F1153" s="33" t="str" cm="1">
        <f t="array" ref="F1153">IF(_xlfn.XLOOKUP(1,((SKUs!$A$2:$A$10001=cl_unmerged!B1153) * (ISNUMBER(SEARCH("Steel-Mullion",SKUs!$J$2:$J$10001)))), SKUs!$C$2:$C$10001,"")&lt;&gt;"", _xlfn.XLOOKUP(1,((SKUs!$A$2:$A$10001=cl_unmerged!B1153) * (ISNUMBER(SEARCH("Steel-Mullion",SKUs!$J$2:$J$10001)))), SKUs!$C$2:$C$10001,""), _xlfn.XLOOKUP(1,((SKUs!$A$2:$A$10001=cl_unmerged!B1153) * (ISNUMBER(SEARCH("Steel-ZMullion",SKUs!$J$2:$J$10001)))), SKUs!$C$2:$C$10001,""))</f>
        <v/>
      </c>
      <c r="G1153" s="16"/>
      <c r="H1153" s="16"/>
      <c r="I1153" s="16"/>
    </row>
    <row r="1154" spans="1:9" ht="13.5" customHeight="1" x14ac:dyDescent="0.25">
      <c r="A1154" s="41" t="str">
        <f>_xlfn.XLOOKUP(G1154,dd_color!$A$2:$A$8,dd_color!$B$2:$B$8,"",0)</f>
        <v/>
      </c>
      <c r="B1154" s="41">
        <f>_xlfn.XLOOKUP(_xlfn.XLOOKUP(C1154,'Project Details'!$C$17:$C$10003,'Project Details'!$E$17:$E$10003, "",0),dd_design_raw!$A$2:$A$9997,dd_design_raw!$C$2:$C$9997,"",0)</f>
        <v>0</v>
      </c>
      <c r="C1154" s="16"/>
      <c r="D1154" s="16"/>
      <c r="E1154" s="16" t="str" cm="1">
        <f t="array" ref="E1154">IF(C1154&lt;&gt;"", "Steel-"&amp; _xlfn.XLOOKUP(1,((SKUs!$A$2:$A$10001=cl_unmerged!B372) * (ISNUMBER(SEARCH("Mullion",SKUs!$J$2:$J$10001)))), SKUs!$J$2:$J$10001,""),"")</f>
        <v/>
      </c>
      <c r="F1154" s="33" t="str" cm="1">
        <f t="array" ref="F1154">IF(_xlfn.XLOOKUP(1,((SKUs!$A$2:$A$10001=cl_unmerged!B1154) * (ISNUMBER(SEARCH("Steel-Mullion",SKUs!$J$2:$J$10001)))), SKUs!$C$2:$C$10001,"")&lt;&gt;"", _xlfn.XLOOKUP(1,((SKUs!$A$2:$A$10001=cl_unmerged!B1154) * (ISNUMBER(SEARCH("Steel-Mullion",SKUs!$J$2:$J$10001)))), SKUs!$C$2:$C$10001,""), _xlfn.XLOOKUP(1,((SKUs!$A$2:$A$10001=cl_unmerged!B1154) * (ISNUMBER(SEARCH("Steel-ZMullion",SKUs!$J$2:$J$10001)))), SKUs!$C$2:$C$10001,""))</f>
        <v/>
      </c>
      <c r="G1154" s="16"/>
      <c r="H1154" s="16"/>
      <c r="I1154" s="16"/>
    </row>
    <row r="1155" spans="1:9" ht="13.5" customHeight="1" x14ac:dyDescent="0.25">
      <c r="A1155" s="41" t="str">
        <f>_xlfn.XLOOKUP(G1155,dd_color!$A$2:$A$8,dd_color!$B$2:$B$8,"",0)</f>
        <v/>
      </c>
      <c r="B1155" s="41">
        <f>_xlfn.XLOOKUP(_xlfn.XLOOKUP(C1155,'Project Details'!$C$17:$C$10003,'Project Details'!$E$17:$E$10003, "",0),dd_design_raw!$A$2:$A$9997,dd_design_raw!$C$2:$C$9997,"",0)</f>
        <v>0</v>
      </c>
      <c r="C1155" s="16"/>
      <c r="D1155" s="16"/>
      <c r="E1155" s="16" t="str" cm="1">
        <f t="array" ref="E1155">IF(C1155&lt;&gt;"", "Steel-"&amp; _xlfn.XLOOKUP(1,((SKUs!$A$2:$A$10001=cl_unmerged!B373) * (ISNUMBER(SEARCH("Mullion",SKUs!$J$2:$J$10001)))), SKUs!$J$2:$J$10001,""),"")</f>
        <v/>
      </c>
      <c r="F1155" s="33" t="str" cm="1">
        <f t="array" ref="F1155">IF(_xlfn.XLOOKUP(1,((SKUs!$A$2:$A$10001=cl_unmerged!B1155) * (ISNUMBER(SEARCH("Steel-Mullion",SKUs!$J$2:$J$10001)))), SKUs!$C$2:$C$10001,"")&lt;&gt;"", _xlfn.XLOOKUP(1,((SKUs!$A$2:$A$10001=cl_unmerged!B1155) * (ISNUMBER(SEARCH("Steel-Mullion",SKUs!$J$2:$J$10001)))), SKUs!$C$2:$C$10001,""), _xlfn.XLOOKUP(1,((SKUs!$A$2:$A$10001=cl_unmerged!B1155) * (ISNUMBER(SEARCH("Steel-ZMullion",SKUs!$J$2:$J$10001)))), SKUs!$C$2:$C$10001,""))</f>
        <v/>
      </c>
      <c r="G1155" s="16"/>
      <c r="H1155" s="16"/>
      <c r="I1155" s="16"/>
    </row>
    <row r="1156" spans="1:9" ht="13.5" customHeight="1" x14ac:dyDescent="0.25">
      <c r="A1156" s="41" t="str">
        <f>_xlfn.XLOOKUP(G1156,dd_color!$A$2:$A$8,dd_color!$B$2:$B$8,"",0)</f>
        <v/>
      </c>
      <c r="B1156" s="41">
        <f>_xlfn.XLOOKUP(_xlfn.XLOOKUP(C1156,'Project Details'!$C$17:$C$10003,'Project Details'!$E$17:$E$10003, "",0),dd_design_raw!$A$2:$A$9997,dd_design_raw!$C$2:$C$9997,"",0)</f>
        <v>0</v>
      </c>
      <c r="C1156" s="16"/>
      <c r="D1156" s="16"/>
      <c r="E1156" s="16" t="str" cm="1">
        <f t="array" ref="E1156">IF(C1156&lt;&gt;"", "Steel-"&amp; _xlfn.XLOOKUP(1,((SKUs!$A$2:$A$10001=cl_unmerged!B374) * (ISNUMBER(SEARCH("Mullion",SKUs!$J$2:$J$10001)))), SKUs!$J$2:$J$10001,""),"")</f>
        <v/>
      </c>
      <c r="F1156" s="33" t="str" cm="1">
        <f t="array" ref="F1156">IF(_xlfn.XLOOKUP(1,((SKUs!$A$2:$A$10001=cl_unmerged!B1156) * (ISNUMBER(SEARCH("Steel-Mullion",SKUs!$J$2:$J$10001)))), SKUs!$C$2:$C$10001,"")&lt;&gt;"", _xlfn.XLOOKUP(1,((SKUs!$A$2:$A$10001=cl_unmerged!B1156) * (ISNUMBER(SEARCH("Steel-Mullion",SKUs!$J$2:$J$10001)))), SKUs!$C$2:$C$10001,""), _xlfn.XLOOKUP(1,((SKUs!$A$2:$A$10001=cl_unmerged!B1156) * (ISNUMBER(SEARCH("Steel-ZMullion",SKUs!$J$2:$J$10001)))), SKUs!$C$2:$C$10001,""))</f>
        <v/>
      </c>
      <c r="G1156" s="16"/>
      <c r="H1156" s="16"/>
      <c r="I1156" s="16"/>
    </row>
    <row r="1157" spans="1:9" ht="13.5" customHeight="1" x14ac:dyDescent="0.25">
      <c r="A1157" s="41" t="str">
        <f>_xlfn.XLOOKUP(G1157,dd_color!$A$2:$A$8,dd_color!$B$2:$B$8,"",0)</f>
        <v/>
      </c>
      <c r="B1157" s="41">
        <f>_xlfn.XLOOKUP(_xlfn.XLOOKUP(C1157,'Project Details'!$C$17:$C$10003,'Project Details'!$E$17:$E$10003, "",0),dd_design_raw!$A$2:$A$9997,dd_design_raw!$C$2:$C$9997,"",0)</f>
        <v>0</v>
      </c>
      <c r="C1157" s="16"/>
      <c r="D1157" s="16"/>
      <c r="E1157" s="16" t="str" cm="1">
        <f t="array" ref="E1157">IF(C1157&lt;&gt;"", "Steel-"&amp; _xlfn.XLOOKUP(1,((SKUs!$A$2:$A$10001=cl_unmerged!B375) * (ISNUMBER(SEARCH("Mullion",SKUs!$J$2:$J$10001)))), SKUs!$J$2:$J$10001,""),"")</f>
        <v/>
      </c>
      <c r="F1157" s="33" t="str" cm="1">
        <f t="array" ref="F1157">IF(_xlfn.XLOOKUP(1,((SKUs!$A$2:$A$10001=cl_unmerged!B1157) * (ISNUMBER(SEARCH("Steel-Mullion",SKUs!$J$2:$J$10001)))), SKUs!$C$2:$C$10001,"")&lt;&gt;"", _xlfn.XLOOKUP(1,((SKUs!$A$2:$A$10001=cl_unmerged!B1157) * (ISNUMBER(SEARCH("Steel-Mullion",SKUs!$J$2:$J$10001)))), SKUs!$C$2:$C$10001,""), _xlfn.XLOOKUP(1,((SKUs!$A$2:$A$10001=cl_unmerged!B1157) * (ISNUMBER(SEARCH("Steel-ZMullion",SKUs!$J$2:$J$10001)))), SKUs!$C$2:$C$10001,""))</f>
        <v/>
      </c>
      <c r="G1157" s="16"/>
      <c r="H1157" s="16"/>
      <c r="I1157" s="16"/>
    </row>
    <row r="1158" spans="1:9" ht="13.5" customHeight="1" x14ac:dyDescent="0.25">
      <c r="A1158" s="41" t="str">
        <f>_xlfn.XLOOKUP(G1158,dd_color!$A$2:$A$8,dd_color!$B$2:$B$8,"",0)</f>
        <v/>
      </c>
      <c r="B1158" s="41">
        <f>_xlfn.XLOOKUP(_xlfn.XLOOKUP(C1158,'Project Details'!$C$17:$C$10003,'Project Details'!$E$17:$E$10003, "",0),dd_design_raw!$A$2:$A$9997,dd_design_raw!$C$2:$C$9997,"",0)</f>
        <v>0</v>
      </c>
      <c r="C1158" s="16"/>
      <c r="D1158" s="16"/>
      <c r="E1158" s="16" t="str" cm="1">
        <f t="array" ref="E1158">IF(C1158&lt;&gt;"", "Steel-"&amp; _xlfn.XLOOKUP(1,((SKUs!$A$2:$A$10001=cl_unmerged!B376) * (ISNUMBER(SEARCH("Mullion",SKUs!$J$2:$J$10001)))), SKUs!$J$2:$J$10001,""),"")</f>
        <v/>
      </c>
      <c r="F1158" s="33" t="str" cm="1">
        <f t="array" ref="F1158">IF(_xlfn.XLOOKUP(1,((SKUs!$A$2:$A$10001=cl_unmerged!B1158) * (ISNUMBER(SEARCH("Steel-Mullion",SKUs!$J$2:$J$10001)))), SKUs!$C$2:$C$10001,"")&lt;&gt;"", _xlfn.XLOOKUP(1,((SKUs!$A$2:$A$10001=cl_unmerged!B1158) * (ISNUMBER(SEARCH("Steel-Mullion",SKUs!$J$2:$J$10001)))), SKUs!$C$2:$C$10001,""), _xlfn.XLOOKUP(1,((SKUs!$A$2:$A$10001=cl_unmerged!B1158) * (ISNUMBER(SEARCH("Steel-ZMullion",SKUs!$J$2:$J$10001)))), SKUs!$C$2:$C$10001,""))</f>
        <v/>
      </c>
      <c r="G1158" s="16"/>
      <c r="H1158" s="16"/>
      <c r="I1158" s="16"/>
    </row>
    <row r="1159" spans="1:9" ht="13.5" customHeight="1" x14ac:dyDescent="0.25">
      <c r="A1159" s="41" t="str">
        <f>_xlfn.XLOOKUP(G1159,dd_color!$A$2:$A$8,dd_color!$B$2:$B$8,"",0)</f>
        <v/>
      </c>
      <c r="B1159" s="41">
        <f>_xlfn.XLOOKUP(_xlfn.XLOOKUP(C1159,'Project Details'!$C$17:$C$10003,'Project Details'!$E$17:$E$10003, "",0),dd_design_raw!$A$2:$A$9997,dd_design_raw!$C$2:$C$9997,"",0)</f>
        <v>0</v>
      </c>
      <c r="C1159" s="16"/>
      <c r="D1159" s="16"/>
      <c r="E1159" s="16" t="str" cm="1">
        <f t="array" ref="E1159">IF(C1159&lt;&gt;"", "Steel-"&amp; _xlfn.XLOOKUP(1,((SKUs!$A$2:$A$10001=cl_unmerged!B377) * (ISNUMBER(SEARCH("Mullion",SKUs!$J$2:$J$10001)))), SKUs!$J$2:$J$10001,""),"")</f>
        <v/>
      </c>
      <c r="F1159" s="33" t="str" cm="1">
        <f t="array" ref="F1159">IF(_xlfn.XLOOKUP(1,((SKUs!$A$2:$A$10001=cl_unmerged!B1159) * (ISNUMBER(SEARCH("Steel-Mullion",SKUs!$J$2:$J$10001)))), SKUs!$C$2:$C$10001,"")&lt;&gt;"", _xlfn.XLOOKUP(1,((SKUs!$A$2:$A$10001=cl_unmerged!B1159) * (ISNUMBER(SEARCH("Steel-Mullion",SKUs!$J$2:$J$10001)))), SKUs!$C$2:$C$10001,""), _xlfn.XLOOKUP(1,((SKUs!$A$2:$A$10001=cl_unmerged!B1159) * (ISNUMBER(SEARCH("Steel-ZMullion",SKUs!$J$2:$J$10001)))), SKUs!$C$2:$C$10001,""))</f>
        <v/>
      </c>
      <c r="G1159" s="16"/>
      <c r="H1159" s="16"/>
      <c r="I1159" s="16"/>
    </row>
    <row r="1160" spans="1:9" ht="13.5" customHeight="1" x14ac:dyDescent="0.25">
      <c r="A1160" s="41" t="str">
        <f>_xlfn.XLOOKUP(G1160,dd_color!$A$2:$A$8,dd_color!$B$2:$B$8,"",0)</f>
        <v/>
      </c>
      <c r="B1160" s="41">
        <f>_xlfn.XLOOKUP(_xlfn.XLOOKUP(C1160,'Project Details'!$C$17:$C$10003,'Project Details'!$E$17:$E$10003, "",0),dd_design_raw!$A$2:$A$9997,dd_design_raw!$C$2:$C$9997,"",0)</f>
        <v>0</v>
      </c>
      <c r="C1160" s="16"/>
      <c r="D1160" s="16"/>
      <c r="E1160" s="16" t="str" cm="1">
        <f t="array" ref="E1160">IF(C1160&lt;&gt;"", "Steel-"&amp; _xlfn.XLOOKUP(1,((SKUs!$A$2:$A$10001=cl_unmerged!B378) * (ISNUMBER(SEARCH("Mullion",SKUs!$J$2:$J$10001)))), SKUs!$J$2:$J$10001,""),"")</f>
        <v/>
      </c>
      <c r="F1160" s="33" t="str" cm="1">
        <f t="array" ref="F1160">IF(_xlfn.XLOOKUP(1,((SKUs!$A$2:$A$10001=cl_unmerged!B1160) * (ISNUMBER(SEARCH("Steel-Mullion",SKUs!$J$2:$J$10001)))), SKUs!$C$2:$C$10001,"")&lt;&gt;"", _xlfn.XLOOKUP(1,((SKUs!$A$2:$A$10001=cl_unmerged!B1160) * (ISNUMBER(SEARCH("Steel-Mullion",SKUs!$J$2:$J$10001)))), SKUs!$C$2:$C$10001,""), _xlfn.XLOOKUP(1,((SKUs!$A$2:$A$10001=cl_unmerged!B1160) * (ISNUMBER(SEARCH("Steel-ZMullion",SKUs!$J$2:$J$10001)))), SKUs!$C$2:$C$10001,""))</f>
        <v/>
      </c>
      <c r="G1160" s="16"/>
      <c r="H1160" s="16"/>
      <c r="I1160" s="16"/>
    </row>
    <row r="1161" spans="1:9" ht="13.5" customHeight="1" x14ac:dyDescent="0.25">
      <c r="C1161" s="32" t="s">
        <v>725</v>
      </c>
      <c r="D1161" s="32"/>
      <c r="E1161" s="32"/>
      <c r="F1161" s="32"/>
      <c r="G1161" s="32"/>
      <c r="H1161" s="32"/>
      <c r="I1161" s="32"/>
    </row>
    <row r="1162" spans="1:9" ht="13.5" customHeight="1" x14ac:dyDescent="0.25">
      <c r="A1162" s="41" t="str">
        <f>_xlfn.XLOOKUP(G1162,dd_color!$A$2:$A$8,dd_color!$B$2:$B$8,"",0)</f>
        <v/>
      </c>
      <c r="B1162" s="41" t="str">
        <f>_xlfn.XLOOKUP(_xlfn.XLOOKUP(C1162,'Project Details'!$C$17:$C$10003,'Project Details'!$E$17:$E$10003, "",0),dd_design_raw!$A$2:$A$9997,dd_design_raw!$C$2:$C$9997,"",0)</f>
        <v/>
      </c>
      <c r="C1162" s="16" t="str" cm="1">
        <f t="array" ref="C1162">IFERROR(INDEX(_xlfn._xlws.FILTER('calc_s90&amp;138'!C15:C65, 'calc_s90&amp;138'!BZ15:BZ65&lt;&gt;""), INT((_xlfn.SEQUENCE(1 * COUNTA(_xlfn._xlws.FILTER('calc_s90&amp;138'!C15:C65, 'calc_s90&amp;138'!BZ15:BZ65&lt;&gt;""))) - 1) / 1) + 1), "")</f>
        <v/>
      </c>
      <c r="D1162" s="16" t="str" cm="1">
        <f t="array" ref="D1162">IFERROR(INDEX(_xlfn._xlws.FILTER('calc_s90&amp;138'!AM15:AM65, 'calc_s90&amp;138'!BZ15:BZ65&lt;&gt;""), INT((_xlfn.SEQUENCE(1 * COUNTA(_xlfn._xlws.FILTER('calc_s90&amp;138'!AM15:AM65, 'calc_s90&amp;138'!BZ15:BZ65&lt;&gt;""))) - 1) / 1) + 1), "")</f>
        <v/>
      </c>
      <c r="E1162" s="16" t="str" cm="1">
        <f t="array" ref="E1162">IF(C1162&lt;&gt;"", _xlfn.XLOOKUP(1,((SKUs!$A$2:$A$10001=cl_unmerged!B1162) * (ISNUMBER(SEARCH("Steel-Mullion66",SKUs!$J$2:$J$10001)))), SKUs!$J$2:$J$10001,""),"")</f>
        <v/>
      </c>
      <c r="F1162" s="33" t="str" cm="1">
        <f t="array" ref="F1162">_xlfn.XLOOKUP(1,((SKUs!$A$2:$A$10001=cl_unmerged!B1162) * (ISNUMBER(SEARCH("Steel-Mullion66",SKUs!$J$2:$J$10001)))), SKUs!$C$2:$C$10001,"")</f>
        <v/>
      </c>
      <c r="G1162" s="16"/>
      <c r="H1162" s="16" t="str" cm="1">
        <f t="array" ref="H1162">IFERROR(INDEX(_xlfn._xlws.FILTER('calc_s90&amp;138'!BZ15:BZ65, 'calc_s90&amp;138'!BZ15:BZ65&lt;&gt;""), INT((_xlfn.SEQUENCE(1 * COUNTA(_xlfn._xlws.FILTER('calc_s90&amp;138'!BZ15:BZ65, 'calc_s90&amp;138'!BZ15:BZ65&lt;&gt;""))) - 1) / 1) + 1), "")</f>
        <v/>
      </c>
      <c r="I1162" s="16"/>
    </row>
    <row r="1163" spans="1:9" ht="13.5" customHeight="1" x14ac:dyDescent="0.25">
      <c r="A1163" s="41" t="str">
        <f>_xlfn.XLOOKUP(G1163,dd_color!$A$2:$A$8,dd_color!$B$2:$B$8,"",0)</f>
        <v/>
      </c>
      <c r="B1163" s="41">
        <f>_xlfn.XLOOKUP(_xlfn.XLOOKUP(C1163,'Project Details'!$C$17:$C$10003,'Project Details'!$E$17:$E$10003, "",0),dd_design_raw!$A$2:$A$9997,dd_design_raw!$C$2:$C$9997,"",0)</f>
        <v>0</v>
      </c>
      <c r="C1163" s="16"/>
      <c r="D1163" s="16"/>
      <c r="E1163" s="16" t="str" cm="1">
        <f t="array" ref="E1163">IF(C1163&lt;&gt;"", _xlfn.XLOOKUP(1,((SKUs!$A$2:$A$10001=cl_unmerged!B1163) * (ISNUMBER(SEARCH("Steel-Mullion66",SKUs!$J$2:$J$10001)))), SKUs!$J$2:$J$10001,""),"")</f>
        <v/>
      </c>
      <c r="F1163" s="33" t="str" cm="1">
        <f t="array" ref="F1163">_xlfn.XLOOKUP(1,((SKUs!$A$2:$A$10001=cl_unmerged!B1163) * (ISNUMBER(SEARCH("Steel-Mullion66",SKUs!$J$2:$J$10001)))), SKUs!$C$2:$C$10001,"")</f>
        <v/>
      </c>
      <c r="G1163" s="16"/>
      <c r="H1163" s="16"/>
      <c r="I1163" s="16"/>
    </row>
    <row r="1164" spans="1:9" ht="13.5" customHeight="1" x14ac:dyDescent="0.25">
      <c r="A1164" s="41" t="str">
        <f>_xlfn.XLOOKUP(G1164,dd_color!$A$2:$A$8,dd_color!$B$2:$B$8,"",0)</f>
        <v/>
      </c>
      <c r="B1164" s="41">
        <f>_xlfn.XLOOKUP(_xlfn.XLOOKUP(C1164,'Project Details'!$C$17:$C$10003,'Project Details'!$E$17:$E$10003, "",0),dd_design_raw!$A$2:$A$9997,dd_design_raw!$C$2:$C$9997,"",0)</f>
        <v>0</v>
      </c>
      <c r="C1164" s="16"/>
      <c r="D1164" s="16"/>
      <c r="E1164" s="16" t="str" cm="1">
        <f t="array" ref="E1164">IF(C1164&lt;&gt;"", _xlfn.XLOOKUP(1,((SKUs!$A$2:$A$10001=cl_unmerged!B1164) * (ISNUMBER(SEARCH("Steel-Mullion66",SKUs!$J$2:$J$10001)))), SKUs!$J$2:$J$10001,""),"")</f>
        <v/>
      </c>
      <c r="F1164" s="33" t="str" cm="1">
        <f t="array" ref="F1164">_xlfn.XLOOKUP(1,((SKUs!$A$2:$A$10001=cl_unmerged!B1164) * (ISNUMBER(SEARCH("Steel-Mullion66",SKUs!$J$2:$J$10001)))), SKUs!$C$2:$C$10001,"")</f>
        <v/>
      </c>
      <c r="G1164" s="16"/>
      <c r="H1164" s="16"/>
      <c r="I1164" s="16"/>
    </row>
    <row r="1165" spans="1:9" ht="13.5" customHeight="1" x14ac:dyDescent="0.25">
      <c r="A1165" s="41" t="str">
        <f>_xlfn.XLOOKUP(G1165,dd_color!$A$2:$A$8,dd_color!$B$2:$B$8,"",0)</f>
        <v/>
      </c>
      <c r="B1165" s="41">
        <f>_xlfn.XLOOKUP(_xlfn.XLOOKUP(C1165,'Project Details'!$C$17:$C$10003,'Project Details'!$E$17:$E$10003, "",0),dd_design_raw!$A$2:$A$9997,dd_design_raw!$C$2:$C$9997,"",0)</f>
        <v>0</v>
      </c>
      <c r="C1165" s="16"/>
      <c r="D1165" s="16"/>
      <c r="E1165" s="16" t="str" cm="1">
        <f t="array" ref="E1165">IF(C1165&lt;&gt;"", _xlfn.XLOOKUP(1,((SKUs!$A$2:$A$10001=cl_unmerged!B1165) * (ISNUMBER(SEARCH("Steel-Mullion66",SKUs!$J$2:$J$10001)))), SKUs!$J$2:$J$10001,""),"")</f>
        <v/>
      </c>
      <c r="F1165" s="33" t="str" cm="1">
        <f t="array" ref="F1165">_xlfn.XLOOKUP(1,((SKUs!$A$2:$A$10001=cl_unmerged!B1165) * (ISNUMBER(SEARCH("Steel-Mullion66",SKUs!$J$2:$J$10001)))), SKUs!$C$2:$C$10001,"")</f>
        <v/>
      </c>
      <c r="G1165" s="16"/>
      <c r="H1165" s="16"/>
      <c r="I1165" s="16"/>
    </row>
    <row r="1166" spans="1:9" ht="13.5" customHeight="1" x14ac:dyDescent="0.25">
      <c r="A1166" s="41" t="str">
        <f>_xlfn.XLOOKUP(G1166,dd_color!$A$2:$A$8,dd_color!$B$2:$B$8,"",0)</f>
        <v/>
      </c>
      <c r="B1166" s="41">
        <f>_xlfn.XLOOKUP(_xlfn.XLOOKUP(C1166,'Project Details'!$C$17:$C$10003,'Project Details'!$E$17:$E$10003, "",0),dd_design_raw!$A$2:$A$9997,dd_design_raw!$C$2:$C$9997,"",0)</f>
        <v>0</v>
      </c>
      <c r="C1166" s="16"/>
      <c r="D1166" s="16"/>
      <c r="E1166" s="16" t="str" cm="1">
        <f t="array" ref="E1166">IF(C1166&lt;&gt;"", _xlfn.XLOOKUP(1,((SKUs!$A$2:$A$10001=cl_unmerged!B1166) * (ISNUMBER(SEARCH("Steel-Mullion66",SKUs!$J$2:$J$10001)))), SKUs!$J$2:$J$10001,""),"")</f>
        <v/>
      </c>
      <c r="F1166" s="33" t="str" cm="1">
        <f t="array" ref="F1166">_xlfn.XLOOKUP(1,((SKUs!$A$2:$A$10001=cl_unmerged!B1166) * (ISNUMBER(SEARCH("Steel-Mullion66",SKUs!$J$2:$J$10001)))), SKUs!$C$2:$C$10001,"")</f>
        <v/>
      </c>
      <c r="G1166" s="16"/>
      <c r="H1166" s="16"/>
      <c r="I1166" s="16"/>
    </row>
    <row r="1167" spans="1:9" ht="13.5" customHeight="1" x14ac:dyDescent="0.25">
      <c r="A1167" s="41" t="str">
        <f>_xlfn.XLOOKUP(G1167,dd_color!$A$2:$A$8,dd_color!$B$2:$B$8,"",0)</f>
        <v/>
      </c>
      <c r="B1167" s="41">
        <f>_xlfn.XLOOKUP(_xlfn.XLOOKUP(C1167,'Project Details'!$C$17:$C$10003,'Project Details'!$E$17:$E$10003, "",0),dd_design_raw!$A$2:$A$9997,dd_design_raw!$C$2:$C$9997,"",0)</f>
        <v>0</v>
      </c>
      <c r="C1167" s="16"/>
      <c r="D1167" s="16"/>
      <c r="E1167" s="16" t="str" cm="1">
        <f t="array" ref="E1167">IF(C1167&lt;&gt;"", _xlfn.XLOOKUP(1,((SKUs!$A$2:$A$10001=cl_unmerged!B1167) * (ISNUMBER(SEARCH("Steel-Mullion66",SKUs!$J$2:$J$10001)))), SKUs!$J$2:$J$10001,""),"")</f>
        <v/>
      </c>
      <c r="F1167" s="33" t="str" cm="1">
        <f t="array" ref="F1167">_xlfn.XLOOKUP(1,((SKUs!$A$2:$A$10001=cl_unmerged!B1167) * (ISNUMBER(SEARCH("Steel-Mullion66",SKUs!$J$2:$J$10001)))), SKUs!$C$2:$C$10001,"")</f>
        <v/>
      </c>
      <c r="G1167" s="16"/>
      <c r="H1167" s="16"/>
      <c r="I1167" s="16"/>
    </row>
    <row r="1168" spans="1:9" ht="13.5" customHeight="1" x14ac:dyDescent="0.25">
      <c r="A1168" s="41" t="str">
        <f>_xlfn.XLOOKUP(G1168,dd_color!$A$2:$A$8,dd_color!$B$2:$B$8,"",0)</f>
        <v/>
      </c>
      <c r="B1168" s="41">
        <f>_xlfn.XLOOKUP(_xlfn.XLOOKUP(C1168,'Project Details'!$C$17:$C$10003,'Project Details'!$E$17:$E$10003, "",0),dd_design_raw!$A$2:$A$9997,dd_design_raw!$C$2:$C$9997,"",0)</f>
        <v>0</v>
      </c>
      <c r="C1168" s="16"/>
      <c r="D1168" s="16"/>
      <c r="E1168" s="16" t="str" cm="1">
        <f t="array" ref="E1168">IF(C1168&lt;&gt;"", _xlfn.XLOOKUP(1,((SKUs!$A$2:$A$10001=cl_unmerged!B1168) * (ISNUMBER(SEARCH("Steel-Mullion66",SKUs!$J$2:$J$10001)))), SKUs!$J$2:$J$10001,""),"")</f>
        <v/>
      </c>
      <c r="F1168" s="33" t="str" cm="1">
        <f t="array" ref="F1168">_xlfn.XLOOKUP(1,((SKUs!$A$2:$A$10001=cl_unmerged!B1168) * (ISNUMBER(SEARCH("Steel-Mullion66",SKUs!$J$2:$J$10001)))), SKUs!$C$2:$C$10001,"")</f>
        <v/>
      </c>
      <c r="G1168" s="16"/>
      <c r="H1168" s="16"/>
      <c r="I1168" s="16"/>
    </row>
    <row r="1169" spans="1:9" ht="13.5" customHeight="1" x14ac:dyDescent="0.25">
      <c r="A1169" s="41" t="str">
        <f>_xlfn.XLOOKUP(G1169,dd_color!$A$2:$A$8,dd_color!$B$2:$B$8,"",0)</f>
        <v/>
      </c>
      <c r="B1169" s="41">
        <f>_xlfn.XLOOKUP(_xlfn.XLOOKUP(C1169,'Project Details'!$C$17:$C$10003,'Project Details'!$E$17:$E$10003, "",0),dd_design_raw!$A$2:$A$9997,dd_design_raw!$C$2:$C$9997,"",0)</f>
        <v>0</v>
      </c>
      <c r="C1169" s="16"/>
      <c r="D1169" s="16"/>
      <c r="E1169" s="16" t="str" cm="1">
        <f t="array" ref="E1169">IF(C1169&lt;&gt;"", _xlfn.XLOOKUP(1,((SKUs!$A$2:$A$10001=cl_unmerged!B1169) * (ISNUMBER(SEARCH("Steel-Mullion66",SKUs!$J$2:$J$10001)))), SKUs!$J$2:$J$10001,""),"")</f>
        <v/>
      </c>
      <c r="F1169" s="33" t="str" cm="1">
        <f t="array" ref="F1169">_xlfn.XLOOKUP(1,((SKUs!$A$2:$A$10001=cl_unmerged!B1169) * (ISNUMBER(SEARCH("Steel-Mullion66",SKUs!$J$2:$J$10001)))), SKUs!$C$2:$C$10001,"")</f>
        <v/>
      </c>
      <c r="G1169" s="16"/>
      <c r="H1169" s="16"/>
      <c r="I1169" s="16"/>
    </row>
    <row r="1170" spans="1:9" ht="13.5" customHeight="1" x14ac:dyDescent="0.25">
      <c r="A1170" s="41" t="str">
        <f>_xlfn.XLOOKUP(G1170,dd_color!$A$2:$A$8,dd_color!$B$2:$B$8,"",0)</f>
        <v/>
      </c>
      <c r="B1170" s="41">
        <f>_xlfn.XLOOKUP(_xlfn.XLOOKUP(C1170,'Project Details'!$C$17:$C$10003,'Project Details'!$E$17:$E$10003, "",0),dd_design_raw!$A$2:$A$9997,dd_design_raw!$C$2:$C$9997,"",0)</f>
        <v>0</v>
      </c>
      <c r="C1170" s="16"/>
      <c r="D1170" s="16"/>
      <c r="E1170" s="16" t="str" cm="1">
        <f t="array" ref="E1170">IF(C1170&lt;&gt;"", _xlfn.XLOOKUP(1,((SKUs!$A$2:$A$10001=cl_unmerged!B1170) * (ISNUMBER(SEARCH("Steel-Mullion66",SKUs!$J$2:$J$10001)))), SKUs!$J$2:$J$10001,""),"")</f>
        <v/>
      </c>
      <c r="F1170" s="33" t="str" cm="1">
        <f t="array" ref="F1170">_xlfn.XLOOKUP(1,((SKUs!$A$2:$A$10001=cl_unmerged!B1170) * (ISNUMBER(SEARCH("Steel-Mullion66",SKUs!$J$2:$J$10001)))), SKUs!$C$2:$C$10001,"")</f>
        <v/>
      </c>
      <c r="G1170" s="16"/>
      <c r="H1170" s="16"/>
      <c r="I1170" s="16"/>
    </row>
    <row r="1171" spans="1:9" ht="13.5" customHeight="1" x14ac:dyDescent="0.25">
      <c r="A1171" s="41" t="str">
        <f>_xlfn.XLOOKUP(G1171,dd_color!$A$2:$A$8,dd_color!$B$2:$B$8,"",0)</f>
        <v/>
      </c>
      <c r="B1171" s="41">
        <f>_xlfn.XLOOKUP(_xlfn.XLOOKUP(C1171,'Project Details'!$C$17:$C$10003,'Project Details'!$E$17:$E$10003, "",0),dd_design_raw!$A$2:$A$9997,dd_design_raw!$C$2:$C$9997,"",0)</f>
        <v>0</v>
      </c>
      <c r="C1171" s="16"/>
      <c r="D1171" s="16"/>
      <c r="E1171" s="16" t="str" cm="1">
        <f t="array" ref="E1171">IF(C1171&lt;&gt;"", _xlfn.XLOOKUP(1,((SKUs!$A$2:$A$10001=cl_unmerged!B1171) * (ISNUMBER(SEARCH("Steel-Mullion66",SKUs!$J$2:$J$10001)))), SKUs!$J$2:$J$10001,""),"")</f>
        <v/>
      </c>
      <c r="F1171" s="33" t="str" cm="1">
        <f t="array" ref="F1171">_xlfn.XLOOKUP(1,((SKUs!$A$2:$A$10001=cl_unmerged!B1171) * (ISNUMBER(SEARCH("Steel-Mullion66",SKUs!$J$2:$J$10001)))), SKUs!$C$2:$C$10001,"")</f>
        <v/>
      </c>
      <c r="G1171" s="16"/>
      <c r="H1171" s="16"/>
      <c r="I1171" s="16"/>
    </row>
    <row r="1172" spans="1:9" ht="13.5" customHeight="1" x14ac:dyDescent="0.25">
      <c r="A1172" s="41" t="str">
        <f>_xlfn.XLOOKUP(G1172,dd_color!$A$2:$A$8,dd_color!$B$2:$B$8,"",0)</f>
        <v/>
      </c>
      <c r="B1172" s="41">
        <f>_xlfn.XLOOKUP(_xlfn.XLOOKUP(C1172,'Project Details'!$C$17:$C$10003,'Project Details'!$E$17:$E$10003, "",0),dd_design_raw!$A$2:$A$9997,dd_design_raw!$C$2:$C$9997,"",0)</f>
        <v>0</v>
      </c>
      <c r="C1172" s="16"/>
      <c r="D1172" s="16"/>
      <c r="E1172" s="16" t="str" cm="1">
        <f t="array" ref="E1172">IF(C1172&lt;&gt;"", _xlfn.XLOOKUP(1,((SKUs!$A$2:$A$10001=cl_unmerged!B1172) * (ISNUMBER(SEARCH("Steel-Mullion66",SKUs!$J$2:$J$10001)))), SKUs!$J$2:$J$10001,""),"")</f>
        <v/>
      </c>
      <c r="F1172" s="33" t="str" cm="1">
        <f t="array" ref="F1172">_xlfn.XLOOKUP(1,((SKUs!$A$2:$A$10001=cl_unmerged!B1172) * (ISNUMBER(SEARCH("Steel-Mullion66",SKUs!$J$2:$J$10001)))), SKUs!$C$2:$C$10001,"")</f>
        <v/>
      </c>
      <c r="G1172" s="16"/>
      <c r="H1172" s="16"/>
      <c r="I1172" s="16"/>
    </row>
    <row r="1173" spans="1:9" ht="13.5" customHeight="1" x14ac:dyDescent="0.25">
      <c r="A1173" s="41" t="str">
        <f>_xlfn.XLOOKUP(G1173,dd_color!$A$2:$A$8,dd_color!$B$2:$B$8,"",0)</f>
        <v/>
      </c>
      <c r="B1173" s="41">
        <f>_xlfn.XLOOKUP(_xlfn.XLOOKUP(C1173,'Project Details'!$C$17:$C$10003,'Project Details'!$E$17:$E$10003, "",0),dd_design_raw!$A$2:$A$9997,dd_design_raw!$C$2:$C$9997,"",0)</f>
        <v>0</v>
      </c>
      <c r="C1173" s="16"/>
      <c r="D1173" s="16"/>
      <c r="E1173" s="16" t="str" cm="1">
        <f t="array" ref="E1173">IF(C1173&lt;&gt;"", _xlfn.XLOOKUP(1,((SKUs!$A$2:$A$10001=cl_unmerged!B1173) * (ISNUMBER(SEARCH("Steel-Mullion66",SKUs!$J$2:$J$10001)))), SKUs!$J$2:$J$10001,""),"")</f>
        <v/>
      </c>
      <c r="F1173" s="33" t="str" cm="1">
        <f t="array" ref="F1173">_xlfn.XLOOKUP(1,((SKUs!$A$2:$A$10001=cl_unmerged!B1173) * (ISNUMBER(SEARCH("Steel-Mullion66",SKUs!$J$2:$J$10001)))), SKUs!$C$2:$C$10001,"")</f>
        <v/>
      </c>
      <c r="G1173" s="16"/>
      <c r="H1173" s="16"/>
      <c r="I1173" s="16"/>
    </row>
    <row r="1174" spans="1:9" ht="13.5" customHeight="1" x14ac:dyDescent="0.25">
      <c r="A1174" s="41" t="str">
        <f>_xlfn.XLOOKUP(G1174,dd_color!$A$2:$A$8,dd_color!$B$2:$B$8,"",0)</f>
        <v/>
      </c>
      <c r="B1174" s="41">
        <f>_xlfn.XLOOKUP(_xlfn.XLOOKUP(C1174,'Project Details'!$C$17:$C$10003,'Project Details'!$E$17:$E$10003, "",0),dd_design_raw!$A$2:$A$9997,dd_design_raw!$C$2:$C$9997,"",0)</f>
        <v>0</v>
      </c>
      <c r="C1174" s="16"/>
      <c r="D1174" s="16"/>
      <c r="E1174" s="16" t="str" cm="1">
        <f t="array" ref="E1174">IF(C1174&lt;&gt;"", _xlfn.XLOOKUP(1,((SKUs!$A$2:$A$10001=cl_unmerged!B1174) * (ISNUMBER(SEARCH("Steel-Mullion66",SKUs!$J$2:$J$10001)))), SKUs!$J$2:$J$10001,""),"")</f>
        <v/>
      </c>
      <c r="F1174" s="33" t="str" cm="1">
        <f t="array" ref="F1174">_xlfn.XLOOKUP(1,((SKUs!$A$2:$A$10001=cl_unmerged!B1174) * (ISNUMBER(SEARCH("Steel-Mullion66",SKUs!$J$2:$J$10001)))), SKUs!$C$2:$C$10001,"")</f>
        <v/>
      </c>
      <c r="G1174" s="16"/>
      <c r="H1174" s="16"/>
      <c r="I1174" s="16"/>
    </row>
    <row r="1175" spans="1:9" ht="13.5" customHeight="1" x14ac:dyDescent="0.25">
      <c r="A1175" s="41" t="str">
        <f>_xlfn.XLOOKUP(G1175,dd_color!$A$2:$A$8,dd_color!$B$2:$B$8,"",0)</f>
        <v/>
      </c>
      <c r="B1175" s="41">
        <f>_xlfn.XLOOKUP(_xlfn.XLOOKUP(C1175,'Project Details'!$C$17:$C$10003,'Project Details'!$E$17:$E$10003, "",0),dd_design_raw!$A$2:$A$9997,dd_design_raw!$C$2:$C$9997,"",0)</f>
        <v>0</v>
      </c>
      <c r="C1175" s="16"/>
      <c r="D1175" s="16"/>
      <c r="E1175" s="16" t="str" cm="1">
        <f t="array" ref="E1175">IF(C1175&lt;&gt;"", _xlfn.XLOOKUP(1,((SKUs!$A$2:$A$10001=cl_unmerged!B1175) * (ISNUMBER(SEARCH("Steel-Mullion66",SKUs!$J$2:$J$10001)))), SKUs!$J$2:$J$10001,""),"")</f>
        <v/>
      </c>
      <c r="F1175" s="33" t="str" cm="1">
        <f t="array" ref="F1175">_xlfn.XLOOKUP(1,((SKUs!$A$2:$A$10001=cl_unmerged!B1175) * (ISNUMBER(SEARCH("Steel-Mullion66",SKUs!$J$2:$J$10001)))), SKUs!$C$2:$C$10001,"")</f>
        <v/>
      </c>
      <c r="G1175" s="16"/>
      <c r="H1175" s="16"/>
      <c r="I1175" s="16"/>
    </row>
    <row r="1176" spans="1:9" ht="13.5" customHeight="1" x14ac:dyDescent="0.25">
      <c r="A1176" s="41" t="str">
        <f>_xlfn.XLOOKUP(G1176,dd_color!$A$2:$A$8,dd_color!$B$2:$B$8,"",0)</f>
        <v/>
      </c>
      <c r="B1176" s="41">
        <f>_xlfn.XLOOKUP(_xlfn.XLOOKUP(C1176,'Project Details'!$C$17:$C$10003,'Project Details'!$E$17:$E$10003, "",0),dd_design_raw!$A$2:$A$9997,dd_design_raw!$C$2:$C$9997,"",0)</f>
        <v>0</v>
      </c>
      <c r="C1176" s="16"/>
      <c r="D1176" s="16"/>
      <c r="E1176" s="16" t="str" cm="1">
        <f t="array" ref="E1176">IF(C1176&lt;&gt;"", _xlfn.XLOOKUP(1,((SKUs!$A$2:$A$10001=cl_unmerged!B1176) * (ISNUMBER(SEARCH("Steel-Mullion66",SKUs!$J$2:$J$10001)))), SKUs!$J$2:$J$10001,""),"")</f>
        <v/>
      </c>
      <c r="F1176" s="33" t="str" cm="1">
        <f t="array" ref="F1176">_xlfn.XLOOKUP(1,((SKUs!$A$2:$A$10001=cl_unmerged!B1176) * (ISNUMBER(SEARCH("Steel-Mullion66",SKUs!$J$2:$J$10001)))), SKUs!$C$2:$C$10001,"")</f>
        <v/>
      </c>
      <c r="G1176" s="16"/>
      <c r="H1176" s="16"/>
      <c r="I1176" s="16"/>
    </row>
    <row r="1177" spans="1:9" ht="13.5" customHeight="1" x14ac:dyDescent="0.25">
      <c r="A1177" s="41" t="str">
        <f>_xlfn.XLOOKUP(G1177,dd_color!$A$2:$A$8,dd_color!$B$2:$B$8,"",0)</f>
        <v/>
      </c>
      <c r="B1177" s="41">
        <f>_xlfn.XLOOKUP(_xlfn.XLOOKUP(C1177,'Project Details'!$C$17:$C$10003,'Project Details'!$E$17:$E$10003, "",0),dd_design_raw!$A$2:$A$9997,dd_design_raw!$C$2:$C$9997,"",0)</f>
        <v>0</v>
      </c>
      <c r="C1177" s="16"/>
      <c r="D1177" s="16"/>
      <c r="E1177" s="16" t="str" cm="1">
        <f t="array" ref="E1177">IF(C1177&lt;&gt;"", _xlfn.XLOOKUP(1,((SKUs!$A$2:$A$10001=cl_unmerged!B1177) * (ISNUMBER(SEARCH("Steel-Mullion66",SKUs!$J$2:$J$10001)))), SKUs!$J$2:$J$10001,""),"")</f>
        <v/>
      </c>
      <c r="F1177" s="33" t="str" cm="1">
        <f t="array" ref="F1177">_xlfn.XLOOKUP(1,((SKUs!$A$2:$A$10001=cl_unmerged!B1177) * (ISNUMBER(SEARCH("Steel-Mullion66",SKUs!$J$2:$J$10001)))), SKUs!$C$2:$C$10001,"")</f>
        <v/>
      </c>
      <c r="G1177" s="16"/>
      <c r="H1177" s="16"/>
      <c r="I1177" s="16"/>
    </row>
    <row r="1178" spans="1:9" ht="13.5" customHeight="1" x14ac:dyDescent="0.25">
      <c r="A1178" s="41" t="str">
        <f>_xlfn.XLOOKUP(G1178,dd_color!$A$2:$A$8,dd_color!$B$2:$B$8,"",0)</f>
        <v/>
      </c>
      <c r="B1178" s="41">
        <f>_xlfn.XLOOKUP(_xlfn.XLOOKUP(C1178,'Project Details'!$C$17:$C$10003,'Project Details'!$E$17:$E$10003, "",0),dd_design_raw!$A$2:$A$9997,dd_design_raw!$C$2:$C$9997,"",0)</f>
        <v>0</v>
      </c>
      <c r="C1178" s="16"/>
      <c r="D1178" s="16"/>
      <c r="E1178" s="16" t="str" cm="1">
        <f t="array" ref="E1178">IF(C1178&lt;&gt;"", _xlfn.XLOOKUP(1,((SKUs!$A$2:$A$10001=cl_unmerged!B1178) * (ISNUMBER(SEARCH("Steel-Mullion66",SKUs!$J$2:$J$10001)))), SKUs!$J$2:$J$10001,""),"")</f>
        <v/>
      </c>
      <c r="F1178" s="33" t="str" cm="1">
        <f t="array" ref="F1178">_xlfn.XLOOKUP(1,((SKUs!$A$2:$A$10001=cl_unmerged!B1178) * (ISNUMBER(SEARCH("Steel-Mullion66",SKUs!$J$2:$J$10001)))), SKUs!$C$2:$C$10001,"")</f>
        <v/>
      </c>
      <c r="G1178" s="16"/>
      <c r="H1178" s="16"/>
      <c r="I1178" s="16"/>
    </row>
    <row r="1179" spans="1:9" ht="13.5" customHeight="1" x14ac:dyDescent="0.25">
      <c r="A1179" s="41" t="str">
        <f>_xlfn.XLOOKUP(G1179,dd_color!$A$2:$A$8,dd_color!$B$2:$B$8,"",0)</f>
        <v/>
      </c>
      <c r="B1179" s="41">
        <f>_xlfn.XLOOKUP(_xlfn.XLOOKUP(C1179,'Project Details'!$C$17:$C$10003,'Project Details'!$E$17:$E$10003, "",0),dd_design_raw!$A$2:$A$9997,dd_design_raw!$C$2:$C$9997,"",0)</f>
        <v>0</v>
      </c>
      <c r="C1179" s="16"/>
      <c r="D1179" s="16"/>
      <c r="E1179" s="16" t="str" cm="1">
        <f t="array" ref="E1179">IF(C1179&lt;&gt;"", _xlfn.XLOOKUP(1,((SKUs!$A$2:$A$10001=cl_unmerged!B1179) * (ISNUMBER(SEARCH("Steel-Mullion66",SKUs!$J$2:$J$10001)))), SKUs!$J$2:$J$10001,""),"")</f>
        <v/>
      </c>
      <c r="F1179" s="33" t="str" cm="1">
        <f t="array" ref="F1179">_xlfn.XLOOKUP(1,((SKUs!$A$2:$A$10001=cl_unmerged!B1179) * (ISNUMBER(SEARCH("Steel-Mullion66",SKUs!$J$2:$J$10001)))), SKUs!$C$2:$C$10001,"")</f>
        <v/>
      </c>
      <c r="G1179" s="16"/>
      <c r="H1179" s="16"/>
      <c r="I1179" s="16"/>
    </row>
    <row r="1180" spans="1:9" ht="13.5" customHeight="1" x14ac:dyDescent="0.25">
      <c r="A1180" s="41" t="str">
        <f>_xlfn.XLOOKUP(G1180,dd_color!$A$2:$A$8,dd_color!$B$2:$B$8,"",0)</f>
        <v/>
      </c>
      <c r="B1180" s="41">
        <f>_xlfn.XLOOKUP(_xlfn.XLOOKUP(C1180,'Project Details'!$C$17:$C$10003,'Project Details'!$E$17:$E$10003, "",0),dd_design_raw!$A$2:$A$9997,dd_design_raw!$C$2:$C$9997,"",0)</f>
        <v>0</v>
      </c>
      <c r="C1180" s="16"/>
      <c r="D1180" s="16"/>
      <c r="E1180" s="16" t="str" cm="1">
        <f t="array" ref="E1180">IF(C1180&lt;&gt;"", _xlfn.XLOOKUP(1,((SKUs!$A$2:$A$10001=cl_unmerged!B1180) * (ISNUMBER(SEARCH("Steel-Mullion66",SKUs!$J$2:$J$10001)))), SKUs!$J$2:$J$10001,""),"")</f>
        <v/>
      </c>
      <c r="F1180" s="33" t="str" cm="1">
        <f t="array" ref="F1180">_xlfn.XLOOKUP(1,((SKUs!$A$2:$A$10001=cl_unmerged!B1180) * (ISNUMBER(SEARCH("Steel-Mullion66",SKUs!$J$2:$J$10001)))), SKUs!$C$2:$C$10001,"")</f>
        <v/>
      </c>
      <c r="G1180" s="16"/>
      <c r="H1180" s="16"/>
      <c r="I1180" s="16"/>
    </row>
    <row r="1181" spans="1:9" ht="13.5" customHeight="1" x14ac:dyDescent="0.25">
      <c r="A1181" s="41" t="str">
        <f>_xlfn.XLOOKUP(G1181,dd_color!$A$2:$A$8,dd_color!$B$2:$B$8,"",0)</f>
        <v/>
      </c>
      <c r="B1181" s="41">
        <f>_xlfn.XLOOKUP(_xlfn.XLOOKUP(C1181,'Project Details'!$C$17:$C$10003,'Project Details'!$E$17:$E$10003, "",0),dd_design_raw!$A$2:$A$9997,dd_design_raw!$C$2:$C$9997,"",0)</f>
        <v>0</v>
      </c>
      <c r="C1181" s="16"/>
      <c r="D1181" s="16"/>
      <c r="E1181" s="16" t="str" cm="1">
        <f t="array" ref="E1181">IF(C1181&lt;&gt;"", _xlfn.XLOOKUP(1,((SKUs!$A$2:$A$10001=cl_unmerged!B1181) * (ISNUMBER(SEARCH("Steel-Mullion66",SKUs!$J$2:$J$10001)))), SKUs!$J$2:$J$10001,""),"")</f>
        <v/>
      </c>
      <c r="F1181" s="33" t="str" cm="1">
        <f t="array" ref="F1181">_xlfn.XLOOKUP(1,((SKUs!$A$2:$A$10001=cl_unmerged!B1181) * (ISNUMBER(SEARCH("Steel-Mullion66",SKUs!$J$2:$J$10001)))), SKUs!$C$2:$C$10001,"")</f>
        <v/>
      </c>
      <c r="G1181" s="16"/>
      <c r="H1181" s="16"/>
      <c r="I1181" s="16"/>
    </row>
    <row r="1182" spans="1:9" ht="13.5" customHeight="1" x14ac:dyDescent="0.25">
      <c r="A1182" s="41" t="str">
        <f>_xlfn.XLOOKUP(G1182,dd_color!$A$2:$A$8,dd_color!$B$2:$B$8,"",0)</f>
        <v/>
      </c>
      <c r="B1182" s="41">
        <f>_xlfn.XLOOKUP(_xlfn.XLOOKUP(C1182,'Project Details'!$C$17:$C$10003,'Project Details'!$E$17:$E$10003, "",0),dd_design_raw!$A$2:$A$9997,dd_design_raw!$C$2:$C$9997,"",0)</f>
        <v>0</v>
      </c>
      <c r="C1182" s="16"/>
      <c r="D1182" s="16"/>
      <c r="E1182" s="16" t="str" cm="1">
        <f t="array" ref="E1182">IF(C1182&lt;&gt;"", _xlfn.XLOOKUP(1,((SKUs!$A$2:$A$10001=cl_unmerged!B1182) * (ISNUMBER(SEARCH("Steel-Mullion66",SKUs!$J$2:$J$10001)))), SKUs!$J$2:$J$10001,""),"")</f>
        <v/>
      </c>
      <c r="F1182" s="33" t="str" cm="1">
        <f t="array" ref="F1182">_xlfn.XLOOKUP(1,((SKUs!$A$2:$A$10001=cl_unmerged!B1182) * (ISNUMBER(SEARCH("Steel-Mullion66",SKUs!$J$2:$J$10001)))), SKUs!$C$2:$C$10001,"")</f>
        <v/>
      </c>
      <c r="G1182" s="16"/>
      <c r="H1182" s="16"/>
      <c r="I1182" s="16"/>
    </row>
    <row r="1183" spans="1:9" ht="13.5" customHeight="1" x14ac:dyDescent="0.25">
      <c r="A1183" s="41" t="str">
        <f>_xlfn.XLOOKUP(G1183,dd_color!$A$2:$A$8,dd_color!$B$2:$B$8,"",0)</f>
        <v/>
      </c>
      <c r="B1183" s="41">
        <f>_xlfn.XLOOKUP(_xlfn.XLOOKUP(C1183,'Project Details'!$C$17:$C$10003,'Project Details'!$E$17:$E$10003, "",0),dd_design_raw!$A$2:$A$9997,dd_design_raw!$C$2:$C$9997,"",0)</f>
        <v>0</v>
      </c>
      <c r="C1183" s="16"/>
      <c r="D1183" s="16"/>
      <c r="E1183" s="16" t="str" cm="1">
        <f t="array" ref="E1183">IF(C1183&lt;&gt;"", _xlfn.XLOOKUP(1,((SKUs!$A$2:$A$10001=cl_unmerged!B1183) * (ISNUMBER(SEARCH("Steel-Mullion66",SKUs!$J$2:$J$10001)))), SKUs!$J$2:$J$10001,""),"")</f>
        <v/>
      </c>
      <c r="F1183" s="33" t="str" cm="1">
        <f t="array" ref="F1183">_xlfn.XLOOKUP(1,((SKUs!$A$2:$A$10001=cl_unmerged!B1183) * (ISNUMBER(SEARCH("Steel-Mullion66",SKUs!$J$2:$J$10001)))), SKUs!$C$2:$C$10001,"")</f>
        <v/>
      </c>
      <c r="G1183" s="16"/>
      <c r="H1183" s="16"/>
      <c r="I1183" s="16"/>
    </row>
    <row r="1184" spans="1:9" ht="13.5" customHeight="1" x14ac:dyDescent="0.25">
      <c r="A1184" s="41" t="str">
        <f>_xlfn.XLOOKUP(G1184,dd_color!$A$2:$A$8,dd_color!$B$2:$B$8,"",0)</f>
        <v/>
      </c>
      <c r="B1184" s="41">
        <f>_xlfn.XLOOKUP(_xlfn.XLOOKUP(C1184,'Project Details'!$C$17:$C$10003,'Project Details'!$E$17:$E$10003, "",0),dd_design_raw!$A$2:$A$9997,dd_design_raw!$C$2:$C$9997,"",0)</f>
        <v>0</v>
      </c>
      <c r="C1184" s="16"/>
      <c r="D1184" s="16"/>
      <c r="E1184" s="16" t="str" cm="1">
        <f t="array" ref="E1184">IF(C1184&lt;&gt;"", _xlfn.XLOOKUP(1,((SKUs!$A$2:$A$10001=cl_unmerged!B1184) * (ISNUMBER(SEARCH("Steel-Mullion66",SKUs!$J$2:$J$10001)))), SKUs!$J$2:$J$10001,""),"")</f>
        <v/>
      </c>
      <c r="F1184" s="33" t="str" cm="1">
        <f t="array" ref="F1184">_xlfn.XLOOKUP(1,((SKUs!$A$2:$A$10001=cl_unmerged!B1184) * (ISNUMBER(SEARCH("Steel-Mullion66",SKUs!$J$2:$J$10001)))), SKUs!$C$2:$C$10001,"")</f>
        <v/>
      </c>
      <c r="G1184" s="16"/>
      <c r="H1184" s="16"/>
      <c r="I1184" s="16"/>
    </row>
    <row r="1185" spans="1:9" ht="13.5" customHeight="1" x14ac:dyDescent="0.25">
      <c r="A1185" s="41" t="str">
        <f>_xlfn.XLOOKUP(G1185,dd_color!$A$2:$A$8,dd_color!$B$2:$B$8,"",0)</f>
        <v/>
      </c>
      <c r="B1185" s="41">
        <f>_xlfn.XLOOKUP(_xlfn.XLOOKUP(C1185,'Project Details'!$C$17:$C$10003,'Project Details'!$E$17:$E$10003, "",0),dd_design_raw!$A$2:$A$9997,dd_design_raw!$C$2:$C$9997,"",0)</f>
        <v>0</v>
      </c>
      <c r="C1185" s="16"/>
      <c r="D1185" s="16"/>
      <c r="E1185" s="16" t="str" cm="1">
        <f t="array" ref="E1185">IF(C1185&lt;&gt;"", _xlfn.XLOOKUP(1,((SKUs!$A$2:$A$10001=cl_unmerged!B1185) * (ISNUMBER(SEARCH("Steel-Mullion66",SKUs!$J$2:$J$10001)))), SKUs!$J$2:$J$10001,""),"")</f>
        <v/>
      </c>
      <c r="F1185" s="33" t="str" cm="1">
        <f t="array" ref="F1185">_xlfn.XLOOKUP(1,((SKUs!$A$2:$A$10001=cl_unmerged!B1185) * (ISNUMBER(SEARCH("Steel-Mullion66",SKUs!$J$2:$J$10001)))), SKUs!$C$2:$C$10001,"")</f>
        <v/>
      </c>
      <c r="G1185" s="16"/>
      <c r="H1185" s="16"/>
      <c r="I1185" s="16"/>
    </row>
    <row r="1186" spans="1:9" ht="13.5" customHeight="1" x14ac:dyDescent="0.25">
      <c r="A1186" s="41" t="str">
        <f>_xlfn.XLOOKUP(G1186,dd_color!$A$2:$A$8,dd_color!$B$2:$B$8,"",0)</f>
        <v/>
      </c>
      <c r="B1186" s="41">
        <f>_xlfn.XLOOKUP(_xlfn.XLOOKUP(C1186,'Project Details'!$C$17:$C$10003,'Project Details'!$E$17:$E$10003, "",0),dd_design_raw!$A$2:$A$9997,dd_design_raw!$C$2:$C$9997,"",0)</f>
        <v>0</v>
      </c>
      <c r="C1186" s="16"/>
      <c r="D1186" s="16"/>
      <c r="E1186" s="16" t="str" cm="1">
        <f t="array" ref="E1186">IF(C1186&lt;&gt;"", _xlfn.XLOOKUP(1,((SKUs!$A$2:$A$10001=cl_unmerged!B1186) * (ISNUMBER(SEARCH("Steel-Mullion66",SKUs!$J$2:$J$10001)))), SKUs!$J$2:$J$10001,""),"")</f>
        <v/>
      </c>
      <c r="F1186" s="33" t="str" cm="1">
        <f t="array" ref="F1186">_xlfn.XLOOKUP(1,((SKUs!$A$2:$A$10001=cl_unmerged!B1186) * (ISNUMBER(SEARCH("Steel-Mullion66",SKUs!$J$2:$J$10001)))), SKUs!$C$2:$C$10001,"")</f>
        <v/>
      </c>
      <c r="G1186" s="16"/>
      <c r="H1186" s="16"/>
      <c r="I1186" s="16"/>
    </row>
    <row r="1187" spans="1:9" ht="13.5" customHeight="1" x14ac:dyDescent="0.25">
      <c r="A1187" s="41" t="str">
        <f>_xlfn.XLOOKUP(G1187,dd_color!$A$2:$A$8,dd_color!$B$2:$B$8,"",0)</f>
        <v/>
      </c>
      <c r="B1187" s="41">
        <f>_xlfn.XLOOKUP(_xlfn.XLOOKUP(C1187,'Project Details'!$C$17:$C$10003,'Project Details'!$E$17:$E$10003, "",0),dd_design_raw!$A$2:$A$9997,dd_design_raw!$C$2:$C$9997,"",0)</f>
        <v>0</v>
      </c>
      <c r="C1187" s="16"/>
      <c r="D1187" s="16"/>
      <c r="E1187" s="16" t="str" cm="1">
        <f t="array" ref="E1187">IF(C1187&lt;&gt;"", _xlfn.XLOOKUP(1,((SKUs!$A$2:$A$10001=cl_unmerged!B1187) * (ISNUMBER(SEARCH("Steel-Mullion66",SKUs!$J$2:$J$10001)))), SKUs!$J$2:$J$10001,""),"")</f>
        <v/>
      </c>
      <c r="F1187" s="33" t="str" cm="1">
        <f t="array" ref="F1187">_xlfn.XLOOKUP(1,((SKUs!$A$2:$A$10001=cl_unmerged!B1187) * (ISNUMBER(SEARCH("Steel-Mullion66",SKUs!$J$2:$J$10001)))), SKUs!$C$2:$C$10001,"")</f>
        <v/>
      </c>
      <c r="G1187" s="16"/>
      <c r="H1187" s="16"/>
      <c r="I1187" s="16"/>
    </row>
    <row r="1188" spans="1:9" ht="13.5" customHeight="1" x14ac:dyDescent="0.25">
      <c r="A1188" s="41" t="str">
        <f>_xlfn.XLOOKUP(G1188,dd_color!$A$2:$A$8,dd_color!$B$2:$B$8,"",0)</f>
        <v/>
      </c>
      <c r="B1188" s="41">
        <f>_xlfn.XLOOKUP(_xlfn.XLOOKUP(C1188,'Project Details'!$C$17:$C$10003,'Project Details'!$E$17:$E$10003, "",0),dd_design_raw!$A$2:$A$9997,dd_design_raw!$C$2:$C$9997,"",0)</f>
        <v>0</v>
      </c>
      <c r="C1188" s="16"/>
      <c r="D1188" s="16"/>
      <c r="E1188" s="16" t="str" cm="1">
        <f t="array" ref="E1188">IF(C1188&lt;&gt;"", _xlfn.XLOOKUP(1,((SKUs!$A$2:$A$10001=cl_unmerged!B1188) * (ISNUMBER(SEARCH("Steel-Mullion66",SKUs!$J$2:$J$10001)))), SKUs!$J$2:$J$10001,""),"")</f>
        <v/>
      </c>
      <c r="F1188" s="33" t="str" cm="1">
        <f t="array" ref="F1188">_xlfn.XLOOKUP(1,((SKUs!$A$2:$A$10001=cl_unmerged!B1188) * (ISNUMBER(SEARCH("Steel-Mullion66",SKUs!$J$2:$J$10001)))), SKUs!$C$2:$C$10001,"")</f>
        <v/>
      </c>
      <c r="G1188" s="16"/>
      <c r="H1188" s="16"/>
      <c r="I1188" s="16"/>
    </row>
    <row r="1189" spans="1:9" ht="13.5" customHeight="1" x14ac:dyDescent="0.25">
      <c r="A1189" s="41" t="str">
        <f>_xlfn.XLOOKUP(G1189,dd_color!$A$2:$A$8,dd_color!$B$2:$B$8,"",0)</f>
        <v/>
      </c>
      <c r="B1189" s="41">
        <f>_xlfn.XLOOKUP(_xlfn.XLOOKUP(C1189,'Project Details'!$C$17:$C$10003,'Project Details'!$E$17:$E$10003, "",0),dd_design_raw!$A$2:$A$9997,dd_design_raw!$C$2:$C$9997,"",0)</f>
        <v>0</v>
      </c>
      <c r="C1189" s="16"/>
      <c r="D1189" s="16"/>
      <c r="E1189" s="16" t="str" cm="1">
        <f t="array" ref="E1189">IF(C1189&lt;&gt;"", _xlfn.XLOOKUP(1,((SKUs!$A$2:$A$10001=cl_unmerged!B1189) * (ISNUMBER(SEARCH("Steel-Mullion66",SKUs!$J$2:$J$10001)))), SKUs!$J$2:$J$10001,""),"")</f>
        <v/>
      </c>
      <c r="F1189" s="33" t="str" cm="1">
        <f t="array" ref="F1189">_xlfn.XLOOKUP(1,((SKUs!$A$2:$A$10001=cl_unmerged!B1189) * (ISNUMBER(SEARCH("Steel-Mullion66",SKUs!$J$2:$J$10001)))), SKUs!$C$2:$C$10001,"")</f>
        <v/>
      </c>
      <c r="G1189" s="16"/>
      <c r="H1189" s="16"/>
      <c r="I1189" s="16"/>
    </row>
    <row r="1190" spans="1:9" ht="13.5" customHeight="1" x14ac:dyDescent="0.25">
      <c r="A1190" s="41" t="str">
        <f>_xlfn.XLOOKUP(G1190,dd_color!$A$2:$A$8,dd_color!$B$2:$B$8,"",0)</f>
        <v/>
      </c>
      <c r="B1190" s="41">
        <f>_xlfn.XLOOKUP(_xlfn.XLOOKUP(C1190,'Project Details'!$C$17:$C$10003,'Project Details'!$E$17:$E$10003, "",0),dd_design_raw!$A$2:$A$9997,dd_design_raw!$C$2:$C$9997,"",0)</f>
        <v>0</v>
      </c>
      <c r="C1190" s="16"/>
      <c r="D1190" s="16"/>
      <c r="E1190" s="16" t="str" cm="1">
        <f t="array" ref="E1190">IF(C1190&lt;&gt;"", _xlfn.XLOOKUP(1,((SKUs!$A$2:$A$10001=cl_unmerged!B1190) * (ISNUMBER(SEARCH("Steel-Mullion66",SKUs!$J$2:$J$10001)))), SKUs!$J$2:$J$10001,""),"")</f>
        <v/>
      </c>
      <c r="F1190" s="33" t="str" cm="1">
        <f t="array" ref="F1190">_xlfn.XLOOKUP(1,((SKUs!$A$2:$A$10001=cl_unmerged!B1190) * (ISNUMBER(SEARCH("Steel-Mullion66",SKUs!$J$2:$J$10001)))), SKUs!$C$2:$C$10001,"")</f>
        <v/>
      </c>
      <c r="G1190" s="16"/>
      <c r="H1190" s="16"/>
      <c r="I1190" s="16"/>
    </row>
    <row r="1191" spans="1:9" ht="13.5" customHeight="1" x14ac:dyDescent="0.25">
      <c r="A1191" s="41" t="str">
        <f>_xlfn.XLOOKUP(G1191,dd_color!$A$2:$A$8,dd_color!$B$2:$B$8,"",0)</f>
        <v/>
      </c>
      <c r="B1191" s="41">
        <f>_xlfn.XLOOKUP(_xlfn.XLOOKUP(C1191,'Project Details'!$C$17:$C$10003,'Project Details'!$E$17:$E$10003, "",0),dd_design_raw!$A$2:$A$9997,dd_design_raw!$C$2:$C$9997,"",0)</f>
        <v>0</v>
      </c>
      <c r="C1191" s="16"/>
      <c r="D1191" s="16"/>
      <c r="E1191" s="16" t="str" cm="1">
        <f t="array" ref="E1191">IF(C1191&lt;&gt;"", _xlfn.XLOOKUP(1,((SKUs!$A$2:$A$10001=cl_unmerged!B1191) * (ISNUMBER(SEARCH("Steel-Mullion66",SKUs!$J$2:$J$10001)))), SKUs!$J$2:$J$10001,""),"")</f>
        <v/>
      </c>
      <c r="F1191" s="33" t="str" cm="1">
        <f t="array" ref="F1191">_xlfn.XLOOKUP(1,((SKUs!$A$2:$A$10001=cl_unmerged!B1191) * (ISNUMBER(SEARCH("Steel-Mullion66",SKUs!$J$2:$J$10001)))), SKUs!$C$2:$C$10001,"")</f>
        <v/>
      </c>
      <c r="G1191" s="16"/>
      <c r="H1191" s="16"/>
      <c r="I1191" s="16"/>
    </row>
    <row r="1192" spans="1:9" ht="13.5" customHeight="1" x14ac:dyDescent="0.25">
      <c r="A1192" s="41" t="str">
        <f>_xlfn.XLOOKUP(G1192,dd_color!$A$2:$A$8,dd_color!$B$2:$B$8,"",0)</f>
        <v/>
      </c>
      <c r="B1192" s="41">
        <f>_xlfn.XLOOKUP(_xlfn.XLOOKUP(C1192,'Project Details'!$C$17:$C$10003,'Project Details'!$E$17:$E$10003, "",0),dd_design_raw!$A$2:$A$9997,dd_design_raw!$C$2:$C$9997,"",0)</f>
        <v>0</v>
      </c>
      <c r="C1192" s="16"/>
      <c r="D1192" s="16"/>
      <c r="E1192" s="16" t="str" cm="1">
        <f t="array" ref="E1192">IF(C1192&lt;&gt;"", _xlfn.XLOOKUP(1,((SKUs!$A$2:$A$10001=cl_unmerged!B1192) * (ISNUMBER(SEARCH("Steel-Mullion66",SKUs!$J$2:$J$10001)))), SKUs!$J$2:$J$10001,""),"")</f>
        <v/>
      </c>
      <c r="F1192" s="33" t="str" cm="1">
        <f t="array" ref="F1192">_xlfn.XLOOKUP(1,((SKUs!$A$2:$A$10001=cl_unmerged!B1192) * (ISNUMBER(SEARCH("Steel-Mullion66",SKUs!$J$2:$J$10001)))), SKUs!$C$2:$C$10001,"")</f>
        <v/>
      </c>
      <c r="G1192" s="16"/>
      <c r="H1192" s="16"/>
      <c r="I1192" s="16"/>
    </row>
    <row r="1193" spans="1:9" ht="13.5" customHeight="1" x14ac:dyDescent="0.25">
      <c r="A1193" s="41" t="str">
        <f>_xlfn.XLOOKUP(G1193,dd_color!$A$2:$A$8,dd_color!$B$2:$B$8,"",0)</f>
        <v/>
      </c>
      <c r="B1193" s="41">
        <f>_xlfn.XLOOKUP(_xlfn.XLOOKUP(C1193,'Project Details'!$C$17:$C$10003,'Project Details'!$E$17:$E$10003, "",0),dd_design_raw!$A$2:$A$9997,dd_design_raw!$C$2:$C$9997,"",0)</f>
        <v>0</v>
      </c>
      <c r="C1193" s="16"/>
      <c r="D1193" s="16"/>
      <c r="E1193" s="16" t="str" cm="1">
        <f t="array" ref="E1193">IF(C1193&lt;&gt;"", _xlfn.XLOOKUP(1,((SKUs!$A$2:$A$10001=cl_unmerged!B1193) * (ISNUMBER(SEARCH("Steel-Mullion66",SKUs!$J$2:$J$10001)))), SKUs!$J$2:$J$10001,""),"")</f>
        <v/>
      </c>
      <c r="F1193" s="33" t="str" cm="1">
        <f t="array" ref="F1193">_xlfn.XLOOKUP(1,((SKUs!$A$2:$A$10001=cl_unmerged!B1193) * (ISNUMBER(SEARCH("Steel-Mullion66",SKUs!$J$2:$J$10001)))), SKUs!$C$2:$C$10001,"")</f>
        <v/>
      </c>
      <c r="G1193" s="16"/>
      <c r="H1193" s="16"/>
      <c r="I1193" s="16"/>
    </row>
    <row r="1194" spans="1:9" ht="13.5" customHeight="1" x14ac:dyDescent="0.25">
      <c r="A1194" s="41" t="str">
        <f>_xlfn.XLOOKUP(G1194,dd_color!$A$2:$A$8,dd_color!$B$2:$B$8,"",0)</f>
        <v/>
      </c>
      <c r="B1194" s="41">
        <f>_xlfn.XLOOKUP(_xlfn.XLOOKUP(C1194,'Project Details'!$C$17:$C$10003,'Project Details'!$E$17:$E$10003, "",0),dd_design_raw!$A$2:$A$9997,dd_design_raw!$C$2:$C$9997,"",0)</f>
        <v>0</v>
      </c>
      <c r="C1194" s="16"/>
      <c r="D1194" s="16"/>
      <c r="E1194" s="16" t="str" cm="1">
        <f t="array" ref="E1194">IF(C1194&lt;&gt;"", _xlfn.XLOOKUP(1,((SKUs!$A$2:$A$10001=cl_unmerged!B1194) * (ISNUMBER(SEARCH("Steel-Mullion66",SKUs!$J$2:$J$10001)))), SKUs!$J$2:$J$10001,""),"")</f>
        <v/>
      </c>
      <c r="F1194" s="33" t="str" cm="1">
        <f t="array" ref="F1194">_xlfn.XLOOKUP(1,((SKUs!$A$2:$A$10001=cl_unmerged!B1194) * (ISNUMBER(SEARCH("Steel-Mullion66",SKUs!$J$2:$J$10001)))), SKUs!$C$2:$C$10001,"")</f>
        <v/>
      </c>
      <c r="G1194" s="16"/>
      <c r="H1194" s="16"/>
      <c r="I1194" s="16"/>
    </row>
    <row r="1195" spans="1:9" ht="13.5" customHeight="1" x14ac:dyDescent="0.25">
      <c r="A1195" s="41" t="str">
        <f>_xlfn.XLOOKUP(G1195,dd_color!$A$2:$A$8,dd_color!$B$2:$B$8,"",0)</f>
        <v/>
      </c>
      <c r="B1195" s="41">
        <f>_xlfn.XLOOKUP(_xlfn.XLOOKUP(C1195,'Project Details'!$C$17:$C$10003,'Project Details'!$E$17:$E$10003, "",0),dd_design_raw!$A$2:$A$9997,dd_design_raw!$C$2:$C$9997,"",0)</f>
        <v>0</v>
      </c>
      <c r="C1195" s="16"/>
      <c r="D1195" s="16"/>
      <c r="E1195" s="16" t="str" cm="1">
        <f t="array" ref="E1195">IF(C1195&lt;&gt;"", _xlfn.XLOOKUP(1,((SKUs!$A$2:$A$10001=cl_unmerged!B1195) * (ISNUMBER(SEARCH("Steel-Mullion66",SKUs!$J$2:$J$10001)))), SKUs!$J$2:$J$10001,""),"")</f>
        <v/>
      </c>
      <c r="F1195" s="33" t="str" cm="1">
        <f t="array" ref="F1195">_xlfn.XLOOKUP(1,((SKUs!$A$2:$A$10001=cl_unmerged!B1195) * (ISNUMBER(SEARCH("Steel-Mullion66",SKUs!$J$2:$J$10001)))), SKUs!$C$2:$C$10001,"")</f>
        <v/>
      </c>
      <c r="G1195" s="16"/>
      <c r="H1195" s="16"/>
      <c r="I1195" s="16"/>
    </row>
    <row r="1196" spans="1:9" ht="13.5" customHeight="1" x14ac:dyDescent="0.25">
      <c r="A1196" s="41" t="str">
        <f>_xlfn.XLOOKUP(G1196,dd_color!$A$2:$A$8,dd_color!$B$2:$B$8,"",0)</f>
        <v/>
      </c>
      <c r="B1196" s="41">
        <f>_xlfn.XLOOKUP(_xlfn.XLOOKUP(C1196,'Project Details'!$C$17:$C$10003,'Project Details'!$E$17:$E$10003, "",0),dd_design_raw!$A$2:$A$9997,dd_design_raw!$C$2:$C$9997,"",0)</f>
        <v>0</v>
      </c>
      <c r="C1196" s="16"/>
      <c r="D1196" s="16"/>
      <c r="E1196" s="16" t="str" cm="1">
        <f t="array" ref="E1196">IF(C1196&lt;&gt;"", _xlfn.XLOOKUP(1,((SKUs!$A$2:$A$10001=cl_unmerged!B1196) * (ISNUMBER(SEARCH("Steel-Mullion66",SKUs!$J$2:$J$10001)))), SKUs!$J$2:$J$10001,""),"")</f>
        <v/>
      </c>
      <c r="F1196" s="33" t="str" cm="1">
        <f t="array" ref="F1196">_xlfn.XLOOKUP(1,((SKUs!$A$2:$A$10001=cl_unmerged!B1196) * (ISNUMBER(SEARCH("Steel-Mullion66",SKUs!$J$2:$J$10001)))), SKUs!$C$2:$C$10001,"")</f>
        <v/>
      </c>
      <c r="G1196" s="16"/>
      <c r="H1196" s="16"/>
      <c r="I1196" s="16"/>
    </row>
    <row r="1197" spans="1:9" ht="13.5" customHeight="1" x14ac:dyDescent="0.25">
      <c r="A1197" s="41" t="str">
        <f>_xlfn.XLOOKUP(G1197,dd_color!$A$2:$A$8,dd_color!$B$2:$B$8,"",0)</f>
        <v/>
      </c>
      <c r="B1197" s="41">
        <f>_xlfn.XLOOKUP(_xlfn.XLOOKUP(C1197,'Project Details'!$C$17:$C$10003,'Project Details'!$E$17:$E$10003, "",0),dd_design_raw!$A$2:$A$9997,dd_design_raw!$C$2:$C$9997,"",0)</f>
        <v>0</v>
      </c>
      <c r="C1197" s="16"/>
      <c r="D1197" s="16"/>
      <c r="E1197" s="16" t="str" cm="1">
        <f t="array" ref="E1197">IF(C1197&lt;&gt;"", _xlfn.XLOOKUP(1,((SKUs!$A$2:$A$10001=cl_unmerged!B1197) * (ISNUMBER(SEARCH("Steel-Mullion66",SKUs!$J$2:$J$10001)))), SKUs!$J$2:$J$10001,""),"")</f>
        <v/>
      </c>
      <c r="F1197" s="33" t="str" cm="1">
        <f t="array" ref="F1197">_xlfn.XLOOKUP(1,((SKUs!$A$2:$A$10001=cl_unmerged!B1197) * (ISNUMBER(SEARCH("Steel-Mullion66",SKUs!$J$2:$J$10001)))), SKUs!$C$2:$C$10001,"")</f>
        <v/>
      </c>
      <c r="G1197" s="16"/>
      <c r="H1197" s="16"/>
      <c r="I1197" s="16"/>
    </row>
    <row r="1198" spans="1:9" ht="13.5" customHeight="1" x14ac:dyDescent="0.25">
      <c r="A1198" s="41" t="str">
        <f>_xlfn.XLOOKUP(G1198,dd_color!$A$2:$A$8,dd_color!$B$2:$B$8,"",0)</f>
        <v/>
      </c>
      <c r="B1198" s="41">
        <f>_xlfn.XLOOKUP(_xlfn.XLOOKUP(C1198,'Project Details'!$C$17:$C$10003,'Project Details'!$E$17:$E$10003, "",0),dd_design_raw!$A$2:$A$9997,dd_design_raw!$C$2:$C$9997,"",0)</f>
        <v>0</v>
      </c>
      <c r="C1198" s="16"/>
      <c r="D1198" s="16"/>
      <c r="E1198" s="16" t="str" cm="1">
        <f t="array" ref="E1198">IF(C1198&lt;&gt;"", _xlfn.XLOOKUP(1,((SKUs!$A$2:$A$10001=cl_unmerged!B1198) * (ISNUMBER(SEARCH("Steel-Mullion66",SKUs!$J$2:$J$10001)))), SKUs!$J$2:$J$10001,""),"")</f>
        <v/>
      </c>
      <c r="F1198" s="33" t="str" cm="1">
        <f t="array" ref="F1198">_xlfn.XLOOKUP(1,((SKUs!$A$2:$A$10001=cl_unmerged!B1198) * (ISNUMBER(SEARCH("Steel-Mullion66",SKUs!$J$2:$J$10001)))), SKUs!$C$2:$C$10001,"")</f>
        <v/>
      </c>
      <c r="G1198" s="16"/>
      <c r="H1198" s="16"/>
      <c r="I1198" s="16"/>
    </row>
    <row r="1199" spans="1:9" ht="13.5" customHeight="1" x14ac:dyDescent="0.25">
      <c r="A1199" s="41" t="str">
        <f>_xlfn.XLOOKUP(G1199,dd_color!$A$2:$A$8,dd_color!$B$2:$B$8,"",0)</f>
        <v/>
      </c>
      <c r="B1199" s="41">
        <f>_xlfn.XLOOKUP(_xlfn.XLOOKUP(C1199,'Project Details'!$C$17:$C$10003,'Project Details'!$E$17:$E$10003, "",0),dd_design_raw!$A$2:$A$9997,dd_design_raw!$C$2:$C$9997,"",0)</f>
        <v>0</v>
      </c>
      <c r="C1199" s="16"/>
      <c r="D1199" s="16"/>
      <c r="E1199" s="16" t="str" cm="1">
        <f t="array" ref="E1199">IF(C1199&lt;&gt;"", _xlfn.XLOOKUP(1,((SKUs!$A$2:$A$10001=cl_unmerged!B1199) * (ISNUMBER(SEARCH("Steel-Mullion66",SKUs!$J$2:$J$10001)))), SKUs!$J$2:$J$10001,""),"")</f>
        <v/>
      </c>
      <c r="F1199" s="33" t="str" cm="1">
        <f t="array" ref="F1199">_xlfn.XLOOKUP(1,((SKUs!$A$2:$A$10001=cl_unmerged!B1199) * (ISNUMBER(SEARCH("Steel-Mullion66",SKUs!$J$2:$J$10001)))), SKUs!$C$2:$C$10001,"")</f>
        <v/>
      </c>
      <c r="G1199" s="16"/>
      <c r="H1199" s="16"/>
      <c r="I1199" s="16"/>
    </row>
    <row r="1200" spans="1:9" ht="13.5" customHeight="1" x14ac:dyDescent="0.25">
      <c r="A1200" s="41" t="str">
        <f>_xlfn.XLOOKUP(G1200,dd_color!$A$2:$A$8,dd_color!$B$2:$B$8,"",0)</f>
        <v/>
      </c>
      <c r="B1200" s="41">
        <f>_xlfn.XLOOKUP(_xlfn.XLOOKUP(C1200,'Project Details'!$C$17:$C$10003,'Project Details'!$E$17:$E$10003, "",0),dd_design_raw!$A$2:$A$9997,dd_design_raw!$C$2:$C$9997,"",0)</f>
        <v>0</v>
      </c>
      <c r="C1200" s="16"/>
      <c r="D1200" s="16"/>
      <c r="E1200" s="16" t="str" cm="1">
        <f t="array" ref="E1200">IF(C1200&lt;&gt;"", _xlfn.XLOOKUP(1,((SKUs!$A$2:$A$10001=cl_unmerged!B1200) * (ISNUMBER(SEARCH("Steel-Mullion66",SKUs!$J$2:$J$10001)))), SKUs!$J$2:$J$10001,""),"")</f>
        <v/>
      </c>
      <c r="F1200" s="33" t="str" cm="1">
        <f t="array" ref="F1200">_xlfn.XLOOKUP(1,((SKUs!$A$2:$A$10001=cl_unmerged!B1200) * (ISNUMBER(SEARCH("Steel-Mullion66",SKUs!$J$2:$J$10001)))), SKUs!$C$2:$C$10001,"")</f>
        <v/>
      </c>
      <c r="G1200" s="16"/>
      <c r="H1200" s="16"/>
      <c r="I1200" s="16"/>
    </row>
    <row r="1201" spans="1:9" ht="13.5" customHeight="1" x14ac:dyDescent="0.25">
      <c r="A1201" s="41" t="str">
        <f>_xlfn.XLOOKUP(G1201,dd_color!$A$2:$A$8,dd_color!$B$2:$B$8,"",0)</f>
        <v/>
      </c>
      <c r="B1201" s="41">
        <f>_xlfn.XLOOKUP(_xlfn.XLOOKUP(C1201,'Project Details'!$C$17:$C$10003,'Project Details'!$E$17:$E$10003, "",0),dd_design_raw!$A$2:$A$9997,dd_design_raw!$C$2:$C$9997,"",0)</f>
        <v>0</v>
      </c>
      <c r="C1201" s="16"/>
      <c r="D1201" s="16"/>
      <c r="E1201" s="16" t="str" cm="1">
        <f t="array" ref="E1201">IF(C1201&lt;&gt;"", _xlfn.XLOOKUP(1,((SKUs!$A$2:$A$10001=cl_unmerged!B1201) * (ISNUMBER(SEARCH("Steel-Mullion66",SKUs!$J$2:$J$10001)))), SKUs!$J$2:$J$10001,""),"")</f>
        <v/>
      </c>
      <c r="F1201" s="33" t="str" cm="1">
        <f t="array" ref="F1201">_xlfn.XLOOKUP(1,((SKUs!$A$2:$A$10001=cl_unmerged!B1201) * (ISNUMBER(SEARCH("Steel-Mullion66",SKUs!$J$2:$J$10001)))), SKUs!$C$2:$C$10001,"")</f>
        <v/>
      </c>
      <c r="G1201" s="16"/>
      <c r="H1201" s="16"/>
      <c r="I1201" s="16"/>
    </row>
    <row r="1202" spans="1:9" ht="13.5" customHeight="1" x14ac:dyDescent="0.25">
      <c r="A1202" s="41" t="str">
        <f>_xlfn.XLOOKUP(G1202,dd_color!$A$2:$A$8,dd_color!$B$2:$B$8,"",0)</f>
        <v/>
      </c>
      <c r="B1202" s="41">
        <f>_xlfn.XLOOKUP(_xlfn.XLOOKUP(C1202,'Project Details'!$C$17:$C$10003,'Project Details'!$E$17:$E$10003, "",0),dd_design_raw!$A$2:$A$9997,dd_design_raw!$C$2:$C$9997,"",0)</f>
        <v>0</v>
      </c>
      <c r="C1202" s="16"/>
      <c r="D1202" s="16"/>
      <c r="E1202" s="16" t="str" cm="1">
        <f t="array" ref="E1202">IF(C1202&lt;&gt;"", _xlfn.XLOOKUP(1,((SKUs!$A$2:$A$10001=cl_unmerged!B1202) * (ISNUMBER(SEARCH("Steel-Mullion66",SKUs!$J$2:$J$10001)))), SKUs!$J$2:$J$10001,""),"")</f>
        <v/>
      </c>
      <c r="F1202" s="33" t="str" cm="1">
        <f t="array" ref="F1202">_xlfn.XLOOKUP(1,((SKUs!$A$2:$A$10001=cl_unmerged!B1202) * (ISNUMBER(SEARCH("Steel-Mullion66",SKUs!$J$2:$J$10001)))), SKUs!$C$2:$C$10001,"")</f>
        <v/>
      </c>
      <c r="G1202" s="16"/>
      <c r="H1202" s="16"/>
      <c r="I1202" s="16"/>
    </row>
    <row r="1203" spans="1:9" ht="13.5" customHeight="1" x14ac:dyDescent="0.25">
      <c r="A1203" s="41" t="str">
        <f>_xlfn.XLOOKUP(G1203,dd_color!$A$2:$A$8,dd_color!$B$2:$B$8,"",0)</f>
        <v/>
      </c>
      <c r="B1203" s="41">
        <f>_xlfn.XLOOKUP(_xlfn.XLOOKUP(C1203,'Project Details'!$C$17:$C$10003,'Project Details'!$E$17:$E$10003, "",0),dd_design_raw!$A$2:$A$9997,dd_design_raw!$C$2:$C$9997,"",0)</f>
        <v>0</v>
      </c>
      <c r="C1203" s="16"/>
      <c r="D1203" s="16"/>
      <c r="E1203" s="16" t="str" cm="1">
        <f t="array" ref="E1203">IF(C1203&lt;&gt;"", _xlfn.XLOOKUP(1,((SKUs!$A$2:$A$10001=cl_unmerged!B1203) * (ISNUMBER(SEARCH("Steel-Mullion66",SKUs!$J$2:$J$10001)))), SKUs!$J$2:$J$10001,""),"")</f>
        <v/>
      </c>
      <c r="F1203" s="33" t="str" cm="1">
        <f t="array" ref="F1203">_xlfn.XLOOKUP(1,((SKUs!$A$2:$A$10001=cl_unmerged!B1203) * (ISNUMBER(SEARCH("Steel-Mullion66",SKUs!$J$2:$J$10001)))), SKUs!$C$2:$C$10001,"")</f>
        <v/>
      </c>
      <c r="G1203" s="16"/>
      <c r="H1203" s="16"/>
      <c r="I1203" s="16"/>
    </row>
    <row r="1204" spans="1:9" ht="13.5" customHeight="1" x14ac:dyDescent="0.25">
      <c r="A1204" s="41" t="str">
        <f>_xlfn.XLOOKUP(G1204,dd_color!$A$2:$A$8,dd_color!$B$2:$B$8,"",0)</f>
        <v/>
      </c>
      <c r="B1204" s="41">
        <f>_xlfn.XLOOKUP(_xlfn.XLOOKUP(C1204,'Project Details'!$C$17:$C$10003,'Project Details'!$E$17:$E$10003, "",0),dd_design_raw!$A$2:$A$9997,dd_design_raw!$C$2:$C$9997,"",0)</f>
        <v>0</v>
      </c>
      <c r="C1204" s="16"/>
      <c r="D1204" s="16"/>
      <c r="E1204" s="16" t="str" cm="1">
        <f t="array" ref="E1204">IF(C1204&lt;&gt;"", _xlfn.XLOOKUP(1,((SKUs!$A$2:$A$10001=cl_unmerged!B1204) * (ISNUMBER(SEARCH("Steel-Mullion66",SKUs!$J$2:$J$10001)))), SKUs!$J$2:$J$10001,""),"")</f>
        <v/>
      </c>
      <c r="F1204" s="33" t="str" cm="1">
        <f t="array" ref="F1204">_xlfn.XLOOKUP(1,((SKUs!$A$2:$A$10001=cl_unmerged!B1204) * (ISNUMBER(SEARCH("Steel-Mullion66",SKUs!$J$2:$J$10001)))), SKUs!$C$2:$C$10001,"")</f>
        <v/>
      </c>
      <c r="G1204" s="16"/>
      <c r="H1204" s="16"/>
      <c r="I1204" s="16"/>
    </row>
    <row r="1205" spans="1:9" ht="13.5" customHeight="1" x14ac:dyDescent="0.25">
      <c r="A1205" s="41" t="str">
        <f>_xlfn.XLOOKUP(G1205,dd_color!$A$2:$A$8,dd_color!$B$2:$B$8,"",0)</f>
        <v/>
      </c>
      <c r="B1205" s="41">
        <f>_xlfn.XLOOKUP(_xlfn.XLOOKUP(C1205,'Project Details'!$C$17:$C$10003,'Project Details'!$E$17:$E$10003, "",0),dd_design_raw!$A$2:$A$9997,dd_design_raw!$C$2:$C$9997,"",0)</f>
        <v>0</v>
      </c>
      <c r="C1205" s="16"/>
      <c r="D1205" s="16"/>
      <c r="E1205" s="16" t="str" cm="1">
        <f t="array" ref="E1205">IF(C1205&lt;&gt;"", _xlfn.XLOOKUP(1,((SKUs!$A$2:$A$10001=cl_unmerged!B1205) * (ISNUMBER(SEARCH("Steel-Mullion66",SKUs!$J$2:$J$10001)))), SKUs!$J$2:$J$10001,""),"")</f>
        <v/>
      </c>
      <c r="F1205" s="33" t="str" cm="1">
        <f t="array" ref="F1205">_xlfn.XLOOKUP(1,((SKUs!$A$2:$A$10001=cl_unmerged!B1205) * (ISNUMBER(SEARCH("Steel-Mullion66",SKUs!$J$2:$J$10001)))), SKUs!$C$2:$C$10001,"")</f>
        <v/>
      </c>
      <c r="G1205" s="16"/>
      <c r="H1205" s="16"/>
      <c r="I1205" s="16"/>
    </row>
    <row r="1206" spans="1:9" ht="13.5" customHeight="1" x14ac:dyDescent="0.25">
      <c r="A1206" s="41" t="str">
        <f>_xlfn.XLOOKUP(G1206,dd_color!$A$2:$A$8,dd_color!$B$2:$B$8,"",0)</f>
        <v/>
      </c>
      <c r="B1206" s="41">
        <f>_xlfn.XLOOKUP(_xlfn.XLOOKUP(C1206,'Project Details'!$C$17:$C$10003,'Project Details'!$E$17:$E$10003, "",0),dd_design_raw!$A$2:$A$9997,dd_design_raw!$C$2:$C$9997,"",0)</f>
        <v>0</v>
      </c>
      <c r="C1206" s="16"/>
      <c r="D1206" s="16"/>
      <c r="E1206" s="16" t="str" cm="1">
        <f t="array" ref="E1206">IF(C1206&lt;&gt;"", _xlfn.XLOOKUP(1,((SKUs!$A$2:$A$10001=cl_unmerged!B1206) * (ISNUMBER(SEARCH("Steel-Mullion66",SKUs!$J$2:$J$10001)))), SKUs!$J$2:$J$10001,""),"")</f>
        <v/>
      </c>
      <c r="F1206" s="33" t="str" cm="1">
        <f t="array" ref="F1206">_xlfn.XLOOKUP(1,((SKUs!$A$2:$A$10001=cl_unmerged!B1206) * (ISNUMBER(SEARCH("Steel-Mullion66",SKUs!$J$2:$J$10001)))), SKUs!$C$2:$C$10001,"")</f>
        <v/>
      </c>
      <c r="G1206" s="16"/>
      <c r="H1206" s="16"/>
      <c r="I1206" s="16"/>
    </row>
    <row r="1207" spans="1:9" ht="13.5" customHeight="1" x14ac:dyDescent="0.25">
      <c r="A1207" s="41" t="str">
        <f>_xlfn.XLOOKUP(G1207,dd_color!$A$2:$A$8,dd_color!$B$2:$B$8,"",0)</f>
        <v/>
      </c>
      <c r="B1207" s="41">
        <f>_xlfn.XLOOKUP(_xlfn.XLOOKUP(C1207,'Project Details'!$C$17:$C$10003,'Project Details'!$E$17:$E$10003, "",0),dd_design_raw!$A$2:$A$9997,dd_design_raw!$C$2:$C$9997,"",0)</f>
        <v>0</v>
      </c>
      <c r="C1207" s="16"/>
      <c r="D1207" s="16"/>
      <c r="E1207" s="16" t="str" cm="1">
        <f t="array" ref="E1207">IF(C1207&lt;&gt;"", _xlfn.XLOOKUP(1,((SKUs!$A$2:$A$10001=cl_unmerged!B1207) * (ISNUMBER(SEARCH("Steel-Mullion66",SKUs!$J$2:$J$10001)))), SKUs!$J$2:$J$10001,""),"")</f>
        <v/>
      </c>
      <c r="F1207" s="33" t="str" cm="1">
        <f t="array" ref="F1207">_xlfn.XLOOKUP(1,((SKUs!$A$2:$A$10001=cl_unmerged!B1207) * (ISNUMBER(SEARCH("Steel-Mullion66",SKUs!$J$2:$J$10001)))), SKUs!$C$2:$C$10001,"")</f>
        <v/>
      </c>
      <c r="G1207" s="16"/>
      <c r="H1207" s="16"/>
      <c r="I1207" s="16"/>
    </row>
    <row r="1208" spans="1:9" ht="13.5" customHeight="1" x14ac:dyDescent="0.25">
      <c r="A1208" s="41" t="str">
        <f>_xlfn.XLOOKUP(G1208,dd_color!$A$2:$A$8,dd_color!$B$2:$B$8,"",0)</f>
        <v/>
      </c>
      <c r="B1208" s="41">
        <f>_xlfn.XLOOKUP(_xlfn.XLOOKUP(C1208,'Project Details'!$C$17:$C$10003,'Project Details'!$E$17:$E$10003, "",0),dd_design_raw!$A$2:$A$9997,dd_design_raw!$C$2:$C$9997,"",0)</f>
        <v>0</v>
      </c>
      <c r="C1208" s="16"/>
      <c r="D1208" s="16"/>
      <c r="E1208" s="16" t="str" cm="1">
        <f t="array" ref="E1208">IF(C1208&lt;&gt;"", _xlfn.XLOOKUP(1,((SKUs!$A$2:$A$10001=cl_unmerged!B1208) * (ISNUMBER(SEARCH("Steel-Mullion66",SKUs!$J$2:$J$10001)))), SKUs!$J$2:$J$10001,""),"")</f>
        <v/>
      </c>
      <c r="F1208" s="33" t="str" cm="1">
        <f t="array" ref="F1208">_xlfn.XLOOKUP(1,((SKUs!$A$2:$A$10001=cl_unmerged!B1208) * (ISNUMBER(SEARCH("Steel-Mullion66",SKUs!$J$2:$J$10001)))), SKUs!$C$2:$C$10001,"")</f>
        <v/>
      </c>
      <c r="G1208" s="16"/>
      <c r="H1208" s="16"/>
      <c r="I1208" s="16"/>
    </row>
    <row r="1209" spans="1:9" ht="13.5" customHeight="1" x14ac:dyDescent="0.25">
      <c r="A1209" s="41" t="str">
        <f>_xlfn.XLOOKUP(G1209,dd_color!$A$2:$A$8,dd_color!$B$2:$B$8,"",0)</f>
        <v/>
      </c>
      <c r="B1209" s="41">
        <f>_xlfn.XLOOKUP(_xlfn.XLOOKUP(C1209,'Project Details'!$C$17:$C$10003,'Project Details'!$E$17:$E$10003, "",0),dd_design_raw!$A$2:$A$9997,dd_design_raw!$C$2:$C$9997,"",0)</f>
        <v>0</v>
      </c>
      <c r="C1209" s="16"/>
      <c r="D1209" s="16"/>
      <c r="E1209" s="16" t="str" cm="1">
        <f t="array" ref="E1209">IF(C1209&lt;&gt;"", _xlfn.XLOOKUP(1,((SKUs!$A$2:$A$10001=cl_unmerged!B1209) * (ISNUMBER(SEARCH("Steel-Mullion66",SKUs!$J$2:$J$10001)))), SKUs!$J$2:$J$10001,""),"")</f>
        <v/>
      </c>
      <c r="F1209" s="33" t="str" cm="1">
        <f t="array" ref="F1209">_xlfn.XLOOKUP(1,((SKUs!$A$2:$A$10001=cl_unmerged!B1209) * (ISNUMBER(SEARCH("Steel-Mullion66",SKUs!$J$2:$J$10001)))), SKUs!$C$2:$C$10001,"")</f>
        <v/>
      </c>
      <c r="G1209" s="16"/>
      <c r="H1209" s="16"/>
      <c r="I1209" s="16"/>
    </row>
    <row r="1210" spans="1:9" ht="13.5" customHeight="1" x14ac:dyDescent="0.25">
      <c r="A1210" s="41" t="str">
        <f>_xlfn.XLOOKUP(G1210,dd_color!$A$2:$A$8,dd_color!$B$2:$B$8,"",0)</f>
        <v/>
      </c>
      <c r="B1210" s="41">
        <f>_xlfn.XLOOKUP(_xlfn.XLOOKUP(C1210,'Project Details'!$C$17:$C$10003,'Project Details'!$E$17:$E$10003, "",0),dd_design_raw!$A$2:$A$9997,dd_design_raw!$C$2:$C$9997,"",0)</f>
        <v>0</v>
      </c>
      <c r="C1210" s="16"/>
      <c r="D1210" s="16"/>
      <c r="E1210" s="16" t="str" cm="1">
        <f t="array" ref="E1210">IF(C1210&lt;&gt;"", _xlfn.XLOOKUP(1,((SKUs!$A$2:$A$10001=cl_unmerged!B1210) * (ISNUMBER(SEARCH("Steel-Mullion66",SKUs!$J$2:$J$10001)))), SKUs!$J$2:$J$10001,""),"")</f>
        <v/>
      </c>
      <c r="F1210" s="33" t="str" cm="1">
        <f t="array" ref="F1210">_xlfn.XLOOKUP(1,((SKUs!$A$2:$A$10001=cl_unmerged!B1210) * (ISNUMBER(SEARCH("Steel-Mullion66",SKUs!$J$2:$J$10001)))), SKUs!$C$2:$C$10001,"")</f>
        <v/>
      </c>
      <c r="G1210" s="16"/>
      <c r="H1210" s="16"/>
      <c r="I1210" s="16"/>
    </row>
    <row r="1211" spans="1:9" ht="13.5" customHeight="1" x14ac:dyDescent="0.25">
      <c r="A1211" s="41" t="str">
        <f>_xlfn.XLOOKUP(G1211,dd_color!$A$2:$A$8,dd_color!$B$2:$B$8,"",0)</f>
        <v/>
      </c>
      <c r="B1211" s="41">
        <f>_xlfn.XLOOKUP(_xlfn.XLOOKUP(C1211,'Project Details'!$C$17:$C$10003,'Project Details'!$E$17:$E$10003, "",0),dd_design_raw!$A$2:$A$9997,dd_design_raw!$C$2:$C$9997,"",0)</f>
        <v>0</v>
      </c>
      <c r="C1211" s="16"/>
      <c r="D1211" s="16"/>
      <c r="E1211" s="16" t="str" cm="1">
        <f t="array" ref="E1211">IF(C1211&lt;&gt;"", _xlfn.XLOOKUP(1,((SKUs!$A$2:$A$10001=cl_unmerged!B1211) * (ISNUMBER(SEARCH("Steel-Mullion66",SKUs!$J$2:$J$10001)))), SKUs!$J$2:$J$10001,""),"")</f>
        <v/>
      </c>
      <c r="F1211" s="33" t="str" cm="1">
        <f t="array" ref="F1211">_xlfn.XLOOKUP(1,((SKUs!$A$2:$A$10001=cl_unmerged!B1211) * (ISNUMBER(SEARCH("Steel-Mullion66",SKUs!$J$2:$J$10001)))), SKUs!$C$2:$C$10001,"")</f>
        <v/>
      </c>
      <c r="G1211" s="16"/>
      <c r="H1211" s="16"/>
      <c r="I1211" s="16"/>
    </row>
    <row r="1212" spans="1:9" ht="13.5" customHeight="1" x14ac:dyDescent="0.25">
      <c r="A1212" s="41" t="str">
        <f>_xlfn.XLOOKUP(G1212,dd_color!$A$2:$A$8,dd_color!$B$2:$B$8,"",0)</f>
        <v/>
      </c>
      <c r="B1212" s="41">
        <f>_xlfn.XLOOKUP(_xlfn.XLOOKUP(C1212,'Project Details'!$C$17:$C$10003,'Project Details'!$E$17:$E$10003, "",0),dd_design_raw!$A$2:$A$9997,dd_design_raw!$C$2:$C$9997,"",0)</f>
        <v>0</v>
      </c>
      <c r="C1212" s="16"/>
      <c r="D1212" s="16"/>
      <c r="E1212" s="16" t="str" cm="1">
        <f t="array" ref="E1212">IF(C1212&lt;&gt;"", _xlfn.XLOOKUP(1,((SKUs!$A$2:$A$10001=cl_unmerged!B1212) * (ISNUMBER(SEARCH("Steel-Mullion66",SKUs!$J$2:$J$10001)))), SKUs!$J$2:$J$10001,""),"")</f>
        <v/>
      </c>
      <c r="F1212" s="33" t="str" cm="1">
        <f t="array" ref="F1212">_xlfn.XLOOKUP(1,((SKUs!$A$2:$A$10001=cl_unmerged!B1212) * (ISNUMBER(SEARCH("Steel-Mullion66",SKUs!$J$2:$J$10001)))), SKUs!$C$2:$C$10001,"")</f>
        <v/>
      </c>
      <c r="G1212" s="16"/>
      <c r="H1212" s="16"/>
      <c r="I1212" s="16"/>
    </row>
    <row r="1213" spans="1:9" ht="13.5" customHeight="1" x14ac:dyDescent="0.25">
      <c r="C1213" s="32" t="s">
        <v>724</v>
      </c>
      <c r="D1213" s="32"/>
      <c r="E1213" s="32"/>
      <c r="F1213" s="32"/>
      <c r="G1213" s="32"/>
      <c r="H1213" s="32"/>
      <c r="I1213" s="32"/>
    </row>
    <row r="1214" spans="1:9" ht="13.5" customHeight="1" x14ac:dyDescent="0.25">
      <c r="A1214" s="41" t="str">
        <f>_xlfn.XLOOKUP(G1214,dd_color!$A$2:$A$8,dd_color!$B$2:$B$8,"",0)</f>
        <v/>
      </c>
      <c r="B1214" s="41" t="str">
        <f>_xlfn.XLOOKUP(_xlfn.XLOOKUP(C1214,'Project Details'!$C$17:$C$10003,'Project Details'!$E$17:$E$10003, "",0),dd_design_raw!$A$2:$A$9997,dd_design_raw!$C$2:$C$9997,"",0)</f>
        <v/>
      </c>
      <c r="C1214" s="16" t="str" cm="1">
        <f t="array" ref="C1214:C1215">IFERROR(INDEX(_xlfn._xlws.FILTER('calc_s90&amp;138'!C15:C65, 'calc_s90&amp;138'!BU15:BU65&lt;&gt;""), INT((_xlfn.SEQUENCE(2 * COUNTA(_xlfn._xlws.FILTER('calc_s90&amp;138'!C15:C65, 'calc_s90&amp;138'!BU15:BU65&lt;&gt;""))) - 1) / 2) + 1), "")</f>
        <v/>
      </c>
      <c r="D1214" s="16" t="str" cm="1">
        <f t="array" ref="D1214">IF(C1214&lt;&gt;"", _xlfn.IFS(I1214="Height SLI",_xlfn.XLOOKUP(C1214,'calc_s90&amp;138'!$C$15:$C$1000,'calc_s90&amp;138'!$BV$15:$BV$1000,"",0),    I1214="Width", _xlfn.XLOOKUP(C1214,'calc_s90&amp;138'!$C$15:$C$1000,'calc_s90&amp;138'!$BX$15:$BX$1000,"",0)),"")</f>
        <v/>
      </c>
      <c r="E1214" s="16" t="str" cm="1">
        <f t="array" ref="E1214">IF(C1214&lt;&gt;"", _xlfn.XLOOKUP(1,((SKUs!$A$2:$A$10001=cl_unmerged!B1214) * (ISNUMBER(SEARCH("Steel-Screen Frame",SKUs!$J$2:$J$10001)))), SKUs!$J$2:$J$10001,""),"")  &amp; _xlfn.IFS(I1214="Height", ", H",I1214="Height SLI", ", H SLI", I1214="Height FIX", ", H FIX",I1214="Width", ", W", I1214="", "")</f>
        <v/>
      </c>
      <c r="F1214" s="33" t="str" cm="1">
        <f t="array" ref="F1214">_xlfn.XLOOKUP(1,((SKUs!$A$2:$A$10001=cl_unmerged!B1214) * (ISNUMBER(SEARCH("Steel-Screen Frame",SKUs!$J$2:$J$10001)))), SKUs!$C$2:$C$10001,"")</f>
        <v/>
      </c>
      <c r="G1214" s="16"/>
      <c r="H1214" s="16" t="str" cm="1">
        <f t="array" ref="H1214">IF(C1214&lt;&gt;"", _xlfn.IFS(I1214="Height SLI",_xlfn.XLOOKUP(C1214,'calc_s90&amp;138'!$C$15:$C$1000,'calc_s90&amp;138'!$BU$15:$BU$1000,"",0),  I1214="Width", _xlfn.XLOOKUP(C1214,'calc_s90&amp;138'!$C$15:$C$1000,'calc_s90&amp;138'!$BW$15:$BW$1000,"",0)),"")</f>
        <v/>
      </c>
      <c r="I1214" s="16" t="str">
        <f>IF(C1214&lt;&gt;"", IF(C1214=C1213, "Width", "Height SLI"),"")</f>
        <v/>
      </c>
    </row>
    <row r="1215" spans="1:9" ht="13.5" customHeight="1" x14ac:dyDescent="0.25">
      <c r="A1215" s="41" t="str">
        <f>_xlfn.XLOOKUP(G1215,dd_color!$A$2:$A$8,dd_color!$B$2:$B$8,"",0)</f>
        <v/>
      </c>
      <c r="B1215" s="41" t="str">
        <f>_xlfn.XLOOKUP(_xlfn.XLOOKUP(C1215,'Project Details'!$C$17:$C$10003,'Project Details'!$E$17:$E$10003, "",0),dd_design_raw!$A$2:$A$9997,dd_design_raw!$C$2:$C$9997,"",0)</f>
        <v/>
      </c>
      <c r="C1215" s="16" t="str">
        <v/>
      </c>
      <c r="D1215" s="16" t="str" cm="1">
        <f t="array" ref="D1215">IF(C1215&lt;&gt;"", _xlfn.IFS(I1215="Height SLI",_xlfn.XLOOKUP(C1215,'calc_s90&amp;138'!$C$15:$C$1000,'calc_s90&amp;138'!$BV$15:$BV$1000,"",0),    I1215="Width", _xlfn.XLOOKUP(C1215,'calc_s90&amp;138'!$C$15:$C$1000,'calc_s90&amp;138'!$BX$15:$BX$1000,"",0)),"")</f>
        <v/>
      </c>
      <c r="E1215" s="16" t="str" cm="1">
        <f t="array" ref="E1215">IF(C1215&lt;&gt;"", _xlfn.XLOOKUP(1,((SKUs!$A$2:$A$10001=cl_unmerged!B1215) * (ISNUMBER(SEARCH("Steel-Screen Frame",SKUs!$J$2:$J$10001)))), SKUs!$J$2:$J$10001,""),"")  &amp; _xlfn.IFS(I1215="Height", ", H",I1215="Height SLI", ", H SLI", I1215="Height FIX", ", H FIX",I1215="Width", ", W", I1215="", "")</f>
        <v/>
      </c>
      <c r="F1215" s="33" t="str" cm="1">
        <f t="array" ref="F1215">_xlfn.XLOOKUP(1,((SKUs!$A$2:$A$10001=cl_unmerged!B1215) * (ISNUMBER(SEARCH("Steel-Screen Frame",SKUs!$J$2:$J$10001)))), SKUs!$C$2:$C$10001,"")</f>
        <v/>
      </c>
      <c r="G1215" s="16"/>
      <c r="H1215" s="16" t="str" cm="1">
        <f t="array" ref="H1215">IF(C1215&lt;&gt;"", _xlfn.IFS(I1215="Height SLI",_xlfn.XLOOKUP(C1215,'calc_s90&amp;138'!$C$15:$C$1000,'calc_s90&amp;138'!$BU$15:$BU$1000,"",0),  I1215="Width", _xlfn.XLOOKUP(C1215,'calc_s90&amp;138'!$C$15:$C$1000,'calc_s90&amp;138'!$BW$15:$BW$1000,"",0)),"")</f>
        <v/>
      </c>
      <c r="I1215" s="16" t="str">
        <f t="shared" ref="I1215:I1264" si="25">IF(C1215&lt;&gt;"", IF(C1215=C1214, "Width", "Height SLI"),"")</f>
        <v/>
      </c>
    </row>
    <row r="1216" spans="1:9" ht="13.5" customHeight="1" x14ac:dyDescent="0.25">
      <c r="A1216" s="41" t="str">
        <f>_xlfn.XLOOKUP(G1216,dd_color!$A$2:$A$8,dd_color!$B$2:$B$8,"",0)</f>
        <v/>
      </c>
      <c r="B1216" s="41">
        <f>_xlfn.XLOOKUP(_xlfn.XLOOKUP(C1216,'Project Details'!$C$17:$C$10003,'Project Details'!$E$17:$E$10003, "",0),dd_design_raw!$A$2:$A$9997,dd_design_raw!$C$2:$C$9997,"",0)</f>
        <v>0</v>
      </c>
      <c r="C1216" s="16"/>
      <c r="D1216" s="16" t="str" cm="1">
        <f t="array" ref="D1216">IF(C1216&lt;&gt;"", _xlfn.IFS(I1216="Height SLI",_xlfn.XLOOKUP(C1216,'calc_s90&amp;138'!$C$15:$C$1000,'calc_s90&amp;138'!$BV$15:$BV$1000,"",0),    I1216="Width", _xlfn.XLOOKUP(C1216,'calc_s90&amp;138'!$C$15:$C$1000,'calc_s90&amp;138'!$BX$15:$BX$1000,"",0)),"")</f>
        <v/>
      </c>
      <c r="E1216" s="16" t="str" cm="1">
        <f t="array" ref="E1216">IF(C1216&lt;&gt;"", _xlfn.XLOOKUP(1,((SKUs!$A$2:$A$10001=cl_unmerged!B1216) * (ISNUMBER(SEARCH("Steel-Screen Frame",SKUs!$J$2:$J$10001)))), SKUs!$J$2:$J$10001,""),"")  &amp; _xlfn.IFS(I1216="Height", ", H",I1216="Height SLI", ", H SLI", I1216="Height FIX", ", H FIX",I1216="Width", ", W", I1216="", "")</f>
        <v/>
      </c>
      <c r="F1216" s="33" t="str" cm="1">
        <f t="array" ref="F1216">_xlfn.XLOOKUP(1,((SKUs!$A$2:$A$10001=cl_unmerged!B1216) * (ISNUMBER(SEARCH("Steel-Screen Frame",SKUs!$J$2:$J$10001)))), SKUs!$C$2:$C$10001,"")</f>
        <v/>
      </c>
      <c r="G1216" s="16"/>
      <c r="H1216" s="16" t="str" cm="1">
        <f t="array" ref="H1216">IF(C1216&lt;&gt;"", _xlfn.IFS(I1216="Height SLI",_xlfn.XLOOKUP(C1216,'calc_s90&amp;138'!$C$15:$C$1000,'calc_s90&amp;138'!$BU$15:$BU$1000,"",0),  I1216="Width", _xlfn.XLOOKUP(C1216,'calc_s90&amp;138'!$C$15:$C$1000,'calc_s90&amp;138'!$BW$15:$BW$1000,"",0)),"")</f>
        <v/>
      </c>
      <c r="I1216" s="16" t="str">
        <f t="shared" si="25"/>
        <v/>
      </c>
    </row>
    <row r="1217" spans="1:9" ht="13.5" customHeight="1" x14ac:dyDescent="0.25">
      <c r="A1217" s="41" t="str">
        <f>_xlfn.XLOOKUP(G1217,dd_color!$A$2:$A$8,dd_color!$B$2:$B$8,"",0)</f>
        <v/>
      </c>
      <c r="B1217" s="41">
        <f>_xlfn.XLOOKUP(_xlfn.XLOOKUP(C1217,'Project Details'!$C$17:$C$10003,'Project Details'!$E$17:$E$10003, "",0),dd_design_raw!$A$2:$A$9997,dd_design_raw!$C$2:$C$9997,"",0)</f>
        <v>0</v>
      </c>
      <c r="C1217" s="16"/>
      <c r="D1217" s="16" t="str" cm="1">
        <f t="array" ref="D1217">IF(C1217&lt;&gt;"", _xlfn.IFS(I1217="Height SLI",_xlfn.XLOOKUP(C1217,'calc_s90&amp;138'!$C$15:$C$1000,'calc_s90&amp;138'!$BV$15:$BV$1000,"",0),    I1217="Width", _xlfn.XLOOKUP(C1217,'calc_s90&amp;138'!$C$15:$C$1000,'calc_s90&amp;138'!$BX$15:$BX$1000,"",0)),"")</f>
        <v/>
      </c>
      <c r="E1217" s="16" t="str" cm="1">
        <f t="array" ref="E1217">IF(C1217&lt;&gt;"", _xlfn.XLOOKUP(1,((SKUs!$A$2:$A$10001=cl_unmerged!B1217) * (ISNUMBER(SEARCH("Steel-Screen Frame",SKUs!$J$2:$J$10001)))), SKUs!$J$2:$J$10001,""),"")  &amp; _xlfn.IFS(I1217="Height", ", H",I1217="Height SLI", ", H SLI", I1217="Height FIX", ", H FIX",I1217="Width", ", W", I1217="", "")</f>
        <v/>
      </c>
      <c r="F1217" s="33" t="str" cm="1">
        <f t="array" ref="F1217">_xlfn.XLOOKUP(1,((SKUs!$A$2:$A$10001=cl_unmerged!B1217) * (ISNUMBER(SEARCH("Steel-Screen Frame",SKUs!$J$2:$J$10001)))), SKUs!$C$2:$C$10001,"")</f>
        <v/>
      </c>
      <c r="G1217" s="16"/>
      <c r="H1217" s="16" t="str" cm="1">
        <f t="array" ref="H1217">IF(C1217&lt;&gt;"", _xlfn.IFS(I1217="Height SLI",_xlfn.XLOOKUP(C1217,'calc_s90&amp;138'!$C$15:$C$1000,'calc_s90&amp;138'!$BU$15:$BU$1000,"",0),  I1217="Width", _xlfn.XLOOKUP(C1217,'calc_s90&amp;138'!$C$15:$C$1000,'calc_s90&amp;138'!$BW$15:$BW$1000,"",0)),"")</f>
        <v/>
      </c>
      <c r="I1217" s="16" t="str">
        <f t="shared" si="25"/>
        <v/>
      </c>
    </row>
    <row r="1218" spans="1:9" ht="13.5" customHeight="1" x14ac:dyDescent="0.25">
      <c r="A1218" s="41" t="str">
        <f>_xlfn.XLOOKUP(G1218,dd_color!$A$2:$A$8,dd_color!$B$2:$B$8,"",0)</f>
        <v/>
      </c>
      <c r="B1218" s="41">
        <f>_xlfn.XLOOKUP(_xlfn.XLOOKUP(C1218,'Project Details'!$C$17:$C$10003,'Project Details'!$E$17:$E$10003, "",0),dd_design_raw!$A$2:$A$9997,dd_design_raw!$C$2:$C$9997,"",0)</f>
        <v>0</v>
      </c>
      <c r="C1218" s="16"/>
      <c r="D1218" s="16" t="str" cm="1">
        <f t="array" ref="D1218">IF(C1218&lt;&gt;"", _xlfn.IFS(I1218="Height SLI",_xlfn.XLOOKUP(C1218,'calc_s90&amp;138'!$C$15:$C$1000,'calc_s90&amp;138'!$BV$15:$BV$1000,"",0),    I1218="Width", _xlfn.XLOOKUP(C1218,'calc_s90&amp;138'!$C$15:$C$1000,'calc_s90&amp;138'!$BX$15:$BX$1000,"",0)),"")</f>
        <v/>
      </c>
      <c r="E1218" s="16" t="str" cm="1">
        <f t="array" ref="E1218">IF(C1218&lt;&gt;"", _xlfn.XLOOKUP(1,((SKUs!$A$2:$A$10001=cl_unmerged!B1218) * (ISNUMBER(SEARCH("Steel-Screen Frame",SKUs!$J$2:$J$10001)))), SKUs!$J$2:$J$10001,""),"")  &amp; _xlfn.IFS(I1218="Height", ", H",I1218="Height SLI", ", H SLI", I1218="Height FIX", ", H FIX",I1218="Width", ", W", I1218="", "")</f>
        <v/>
      </c>
      <c r="F1218" s="33" t="str" cm="1">
        <f t="array" ref="F1218">_xlfn.XLOOKUP(1,((SKUs!$A$2:$A$10001=cl_unmerged!B1218) * (ISNUMBER(SEARCH("Steel-Screen Frame",SKUs!$J$2:$J$10001)))), SKUs!$C$2:$C$10001,"")</f>
        <v/>
      </c>
      <c r="G1218" s="16"/>
      <c r="H1218" s="16" t="str" cm="1">
        <f t="array" ref="H1218">IF(C1218&lt;&gt;"", _xlfn.IFS(I1218="Height SLI",_xlfn.XLOOKUP(C1218,'calc_s90&amp;138'!$C$15:$C$1000,'calc_s90&amp;138'!$BU$15:$BU$1000,"",0),  I1218="Width", _xlfn.XLOOKUP(C1218,'calc_s90&amp;138'!$C$15:$C$1000,'calc_s90&amp;138'!$BW$15:$BW$1000,"",0)),"")</f>
        <v/>
      </c>
      <c r="I1218" s="16" t="str">
        <f t="shared" si="25"/>
        <v/>
      </c>
    </row>
    <row r="1219" spans="1:9" ht="13.5" customHeight="1" x14ac:dyDescent="0.25">
      <c r="A1219" s="41" t="str">
        <f>_xlfn.XLOOKUP(G1219,dd_color!$A$2:$A$8,dd_color!$B$2:$B$8,"",0)</f>
        <v/>
      </c>
      <c r="B1219" s="41">
        <f>_xlfn.XLOOKUP(_xlfn.XLOOKUP(C1219,'Project Details'!$C$17:$C$10003,'Project Details'!$E$17:$E$10003, "",0),dd_design_raw!$A$2:$A$9997,dd_design_raw!$C$2:$C$9997,"",0)</f>
        <v>0</v>
      </c>
      <c r="C1219" s="16"/>
      <c r="D1219" s="16" t="str" cm="1">
        <f t="array" ref="D1219">IF(C1219&lt;&gt;"", _xlfn.IFS(I1219="Height SLI",_xlfn.XLOOKUP(C1219,'calc_s90&amp;138'!$C$15:$C$1000,'calc_s90&amp;138'!$BV$15:$BV$1000,"",0),    I1219="Width", _xlfn.XLOOKUP(C1219,'calc_s90&amp;138'!$C$15:$C$1000,'calc_s90&amp;138'!$BX$15:$BX$1000,"",0)),"")</f>
        <v/>
      </c>
      <c r="E1219" s="16" t="str" cm="1">
        <f t="array" ref="E1219">IF(C1219&lt;&gt;"", _xlfn.XLOOKUP(1,((SKUs!$A$2:$A$10001=cl_unmerged!B1219) * (ISNUMBER(SEARCH("Steel-Screen Frame",SKUs!$J$2:$J$10001)))), SKUs!$J$2:$J$10001,""),"")  &amp; _xlfn.IFS(I1219="Height", ", H",I1219="Height SLI", ", H SLI", I1219="Height FIX", ", H FIX",I1219="Width", ", W", I1219="", "")</f>
        <v/>
      </c>
      <c r="F1219" s="33" t="str" cm="1">
        <f t="array" ref="F1219">_xlfn.XLOOKUP(1,((SKUs!$A$2:$A$10001=cl_unmerged!B1219) * (ISNUMBER(SEARCH("Steel-Screen Frame",SKUs!$J$2:$J$10001)))), SKUs!$C$2:$C$10001,"")</f>
        <v/>
      </c>
      <c r="G1219" s="16"/>
      <c r="H1219" s="16" t="str" cm="1">
        <f t="array" ref="H1219">IF(C1219&lt;&gt;"", _xlfn.IFS(I1219="Height SLI",_xlfn.XLOOKUP(C1219,'calc_s90&amp;138'!$C$15:$C$1000,'calc_s90&amp;138'!$BU$15:$BU$1000,"",0),  I1219="Width", _xlfn.XLOOKUP(C1219,'calc_s90&amp;138'!$C$15:$C$1000,'calc_s90&amp;138'!$BW$15:$BW$1000,"",0)),"")</f>
        <v/>
      </c>
      <c r="I1219" s="16" t="str">
        <f t="shared" si="25"/>
        <v/>
      </c>
    </row>
    <row r="1220" spans="1:9" ht="13.5" customHeight="1" x14ac:dyDescent="0.25">
      <c r="A1220" s="41" t="str">
        <f>_xlfn.XLOOKUP(G1220,dd_color!$A$2:$A$8,dd_color!$B$2:$B$8,"",0)</f>
        <v/>
      </c>
      <c r="B1220" s="41">
        <f>_xlfn.XLOOKUP(_xlfn.XLOOKUP(C1220,'Project Details'!$C$17:$C$10003,'Project Details'!$E$17:$E$10003, "",0),dd_design_raw!$A$2:$A$9997,dd_design_raw!$C$2:$C$9997,"",0)</f>
        <v>0</v>
      </c>
      <c r="C1220" s="16"/>
      <c r="D1220" s="16" t="str" cm="1">
        <f t="array" ref="D1220">IF(C1220&lt;&gt;"", _xlfn.IFS(I1220="Height SLI",_xlfn.XLOOKUP(C1220,'calc_s90&amp;138'!$C$15:$C$1000,'calc_s90&amp;138'!$BV$15:$BV$1000,"",0),    I1220="Width", _xlfn.XLOOKUP(C1220,'calc_s90&amp;138'!$C$15:$C$1000,'calc_s90&amp;138'!$BX$15:$BX$1000,"",0)),"")</f>
        <v/>
      </c>
      <c r="E1220" s="16" t="str" cm="1">
        <f t="array" ref="E1220">IF(C1220&lt;&gt;"", _xlfn.XLOOKUP(1,((SKUs!$A$2:$A$10001=cl_unmerged!B1220) * (ISNUMBER(SEARCH("Steel-Screen Frame",SKUs!$J$2:$J$10001)))), SKUs!$J$2:$J$10001,""),"")  &amp; _xlfn.IFS(I1220="Height", ", H",I1220="Height SLI", ", H SLI", I1220="Height FIX", ", H FIX",I1220="Width", ", W", I1220="", "")</f>
        <v/>
      </c>
      <c r="F1220" s="33" t="str" cm="1">
        <f t="array" ref="F1220">_xlfn.XLOOKUP(1,((SKUs!$A$2:$A$10001=cl_unmerged!B1220) * (ISNUMBER(SEARCH("Steel-Screen Frame",SKUs!$J$2:$J$10001)))), SKUs!$C$2:$C$10001,"")</f>
        <v/>
      </c>
      <c r="G1220" s="16"/>
      <c r="H1220" s="16" t="str" cm="1">
        <f t="array" ref="H1220">IF(C1220&lt;&gt;"", _xlfn.IFS(I1220="Height SLI",_xlfn.XLOOKUP(C1220,'calc_s90&amp;138'!$C$15:$C$1000,'calc_s90&amp;138'!$BU$15:$BU$1000,"",0),  I1220="Width", _xlfn.XLOOKUP(C1220,'calc_s90&amp;138'!$C$15:$C$1000,'calc_s90&amp;138'!$BW$15:$BW$1000,"",0)),"")</f>
        <v/>
      </c>
      <c r="I1220" s="16" t="str">
        <f t="shared" si="25"/>
        <v/>
      </c>
    </row>
    <row r="1221" spans="1:9" ht="13.5" customHeight="1" x14ac:dyDescent="0.25">
      <c r="A1221" s="41" t="str">
        <f>_xlfn.XLOOKUP(G1221,dd_color!$A$2:$A$8,dd_color!$B$2:$B$8,"",0)</f>
        <v/>
      </c>
      <c r="B1221" s="41">
        <f>_xlfn.XLOOKUP(_xlfn.XLOOKUP(C1221,'Project Details'!$C$17:$C$10003,'Project Details'!$E$17:$E$10003, "",0),dd_design_raw!$A$2:$A$9997,dd_design_raw!$C$2:$C$9997,"",0)</f>
        <v>0</v>
      </c>
      <c r="C1221" s="16"/>
      <c r="D1221" s="16" t="str" cm="1">
        <f t="array" ref="D1221">IF(C1221&lt;&gt;"", _xlfn.IFS(I1221="Height SLI",_xlfn.XLOOKUP(C1221,'calc_s90&amp;138'!$C$15:$C$1000,'calc_s90&amp;138'!$BV$15:$BV$1000,"",0),    I1221="Width", _xlfn.XLOOKUP(C1221,'calc_s90&amp;138'!$C$15:$C$1000,'calc_s90&amp;138'!$BX$15:$BX$1000,"",0)),"")</f>
        <v/>
      </c>
      <c r="E1221" s="16" t="str" cm="1">
        <f t="array" ref="E1221">IF(C1221&lt;&gt;"", _xlfn.XLOOKUP(1,((SKUs!$A$2:$A$10001=cl_unmerged!B1221) * (ISNUMBER(SEARCH("Steel-Screen Frame",SKUs!$J$2:$J$10001)))), SKUs!$J$2:$J$10001,""),"")  &amp; _xlfn.IFS(I1221="Height", ", H",I1221="Height SLI", ", H SLI", I1221="Height FIX", ", H FIX",I1221="Width", ", W", I1221="", "")</f>
        <v/>
      </c>
      <c r="F1221" s="33" t="str" cm="1">
        <f t="array" ref="F1221">_xlfn.XLOOKUP(1,((SKUs!$A$2:$A$10001=cl_unmerged!B1221) * (ISNUMBER(SEARCH("Steel-Screen Frame",SKUs!$J$2:$J$10001)))), SKUs!$C$2:$C$10001,"")</f>
        <v/>
      </c>
      <c r="G1221" s="16"/>
      <c r="H1221" s="16" t="str" cm="1">
        <f t="array" ref="H1221">IF(C1221&lt;&gt;"", _xlfn.IFS(I1221="Height SLI",_xlfn.XLOOKUP(C1221,'calc_s90&amp;138'!$C$15:$C$1000,'calc_s90&amp;138'!$BU$15:$BU$1000,"",0),  I1221="Width", _xlfn.XLOOKUP(C1221,'calc_s90&amp;138'!$C$15:$C$1000,'calc_s90&amp;138'!$BW$15:$BW$1000,"",0)),"")</f>
        <v/>
      </c>
      <c r="I1221" s="16" t="str">
        <f t="shared" si="25"/>
        <v/>
      </c>
    </row>
    <row r="1222" spans="1:9" ht="13.5" customHeight="1" x14ac:dyDescent="0.25">
      <c r="A1222" s="41" t="str">
        <f>_xlfn.XLOOKUP(G1222,dd_color!$A$2:$A$8,dd_color!$B$2:$B$8,"",0)</f>
        <v/>
      </c>
      <c r="B1222" s="41">
        <f>_xlfn.XLOOKUP(_xlfn.XLOOKUP(C1222,'Project Details'!$C$17:$C$10003,'Project Details'!$E$17:$E$10003, "",0),dd_design_raw!$A$2:$A$9997,dd_design_raw!$C$2:$C$9997,"",0)</f>
        <v>0</v>
      </c>
      <c r="C1222" s="16"/>
      <c r="D1222" s="16" t="str" cm="1">
        <f t="array" ref="D1222">IF(C1222&lt;&gt;"", _xlfn.IFS(I1222="Height SLI",_xlfn.XLOOKUP(C1222,'calc_s90&amp;138'!$C$15:$C$1000,'calc_s90&amp;138'!$BV$15:$BV$1000,"",0),    I1222="Width", _xlfn.XLOOKUP(C1222,'calc_s90&amp;138'!$C$15:$C$1000,'calc_s90&amp;138'!$BX$15:$BX$1000,"",0)),"")</f>
        <v/>
      </c>
      <c r="E1222" s="16" t="str" cm="1">
        <f t="array" ref="E1222">IF(C1222&lt;&gt;"", _xlfn.XLOOKUP(1,((SKUs!$A$2:$A$10001=cl_unmerged!B1222) * (ISNUMBER(SEARCH("Steel-Screen Frame",SKUs!$J$2:$J$10001)))), SKUs!$J$2:$J$10001,""),"")  &amp; _xlfn.IFS(I1222="Height", ", H",I1222="Height SLI", ", H SLI", I1222="Height FIX", ", H FIX",I1222="Width", ", W", I1222="", "")</f>
        <v/>
      </c>
      <c r="F1222" s="33" t="str" cm="1">
        <f t="array" ref="F1222">_xlfn.XLOOKUP(1,((SKUs!$A$2:$A$10001=cl_unmerged!B1222) * (ISNUMBER(SEARCH("Steel-Screen Frame",SKUs!$J$2:$J$10001)))), SKUs!$C$2:$C$10001,"")</f>
        <v/>
      </c>
      <c r="G1222" s="16"/>
      <c r="H1222" s="16" t="str" cm="1">
        <f t="array" ref="H1222">IF(C1222&lt;&gt;"", _xlfn.IFS(I1222="Height SLI",_xlfn.XLOOKUP(C1222,'calc_s90&amp;138'!$C$15:$C$1000,'calc_s90&amp;138'!$BU$15:$BU$1000,"",0),  I1222="Width", _xlfn.XLOOKUP(C1222,'calc_s90&amp;138'!$C$15:$C$1000,'calc_s90&amp;138'!$BW$15:$BW$1000,"",0)),"")</f>
        <v/>
      </c>
      <c r="I1222" s="16" t="str">
        <f t="shared" si="25"/>
        <v/>
      </c>
    </row>
    <row r="1223" spans="1:9" ht="13.5" customHeight="1" x14ac:dyDescent="0.25">
      <c r="A1223" s="41" t="str">
        <f>_xlfn.XLOOKUP(G1223,dd_color!$A$2:$A$8,dd_color!$B$2:$B$8,"",0)</f>
        <v/>
      </c>
      <c r="B1223" s="41">
        <f>_xlfn.XLOOKUP(_xlfn.XLOOKUP(C1223,'Project Details'!$C$17:$C$10003,'Project Details'!$E$17:$E$10003, "",0),dd_design_raw!$A$2:$A$9997,dd_design_raw!$C$2:$C$9997,"",0)</f>
        <v>0</v>
      </c>
      <c r="C1223" s="16"/>
      <c r="D1223" s="16" t="str" cm="1">
        <f t="array" ref="D1223">IF(C1223&lt;&gt;"", _xlfn.IFS(I1223="Height SLI",_xlfn.XLOOKUP(C1223,'calc_s90&amp;138'!$C$15:$C$1000,'calc_s90&amp;138'!$BV$15:$BV$1000,"",0),    I1223="Width", _xlfn.XLOOKUP(C1223,'calc_s90&amp;138'!$C$15:$C$1000,'calc_s90&amp;138'!$BX$15:$BX$1000,"",0)),"")</f>
        <v/>
      </c>
      <c r="E1223" s="16" t="str" cm="1">
        <f t="array" ref="E1223">IF(C1223&lt;&gt;"", _xlfn.XLOOKUP(1,((SKUs!$A$2:$A$10001=cl_unmerged!B1223) * (ISNUMBER(SEARCH("Steel-Screen Frame",SKUs!$J$2:$J$10001)))), SKUs!$J$2:$J$10001,""),"")  &amp; _xlfn.IFS(I1223="Height", ", H",I1223="Height SLI", ", H SLI", I1223="Height FIX", ", H FIX",I1223="Width", ", W", I1223="", "")</f>
        <v/>
      </c>
      <c r="F1223" s="33" t="str" cm="1">
        <f t="array" ref="F1223">_xlfn.XLOOKUP(1,((SKUs!$A$2:$A$10001=cl_unmerged!B1223) * (ISNUMBER(SEARCH("Steel-Screen Frame",SKUs!$J$2:$J$10001)))), SKUs!$C$2:$C$10001,"")</f>
        <v/>
      </c>
      <c r="G1223" s="16"/>
      <c r="H1223" s="16" t="str" cm="1">
        <f t="array" ref="H1223">IF(C1223&lt;&gt;"", _xlfn.IFS(I1223="Height SLI",_xlfn.XLOOKUP(C1223,'calc_s90&amp;138'!$C$15:$C$1000,'calc_s90&amp;138'!$BU$15:$BU$1000,"",0),  I1223="Width", _xlfn.XLOOKUP(C1223,'calc_s90&amp;138'!$C$15:$C$1000,'calc_s90&amp;138'!$BW$15:$BW$1000,"",0)),"")</f>
        <v/>
      </c>
      <c r="I1223" s="16" t="str">
        <f t="shared" si="25"/>
        <v/>
      </c>
    </row>
    <row r="1224" spans="1:9" ht="13.5" customHeight="1" x14ac:dyDescent="0.25">
      <c r="A1224" s="41" t="str">
        <f>_xlfn.XLOOKUP(G1224,dd_color!$A$2:$A$8,dd_color!$B$2:$B$8,"",0)</f>
        <v/>
      </c>
      <c r="B1224" s="41">
        <f>_xlfn.XLOOKUP(_xlfn.XLOOKUP(C1224,'Project Details'!$C$17:$C$10003,'Project Details'!$E$17:$E$10003, "",0),dd_design_raw!$A$2:$A$9997,dd_design_raw!$C$2:$C$9997,"",0)</f>
        <v>0</v>
      </c>
      <c r="C1224" s="16"/>
      <c r="D1224" s="16" t="str" cm="1">
        <f t="array" ref="D1224">IF(C1224&lt;&gt;"", _xlfn.IFS(I1224="Height SLI",_xlfn.XLOOKUP(C1224,'calc_s90&amp;138'!$C$15:$C$1000,'calc_s90&amp;138'!$BV$15:$BV$1000,"",0),    I1224="Width", _xlfn.XLOOKUP(C1224,'calc_s90&amp;138'!$C$15:$C$1000,'calc_s90&amp;138'!$BX$15:$BX$1000,"",0)),"")</f>
        <v/>
      </c>
      <c r="E1224" s="16" t="str" cm="1">
        <f t="array" ref="E1224">IF(C1224&lt;&gt;"", _xlfn.XLOOKUP(1,((SKUs!$A$2:$A$10001=cl_unmerged!B1224) * (ISNUMBER(SEARCH("Steel-Screen Frame",SKUs!$J$2:$J$10001)))), SKUs!$J$2:$J$10001,""),"")  &amp; _xlfn.IFS(I1224="Height", ", H",I1224="Height SLI", ", H SLI", I1224="Height FIX", ", H FIX",I1224="Width", ", W", I1224="", "")</f>
        <v/>
      </c>
      <c r="F1224" s="33" t="str" cm="1">
        <f t="array" ref="F1224">_xlfn.XLOOKUP(1,((SKUs!$A$2:$A$10001=cl_unmerged!B1224) * (ISNUMBER(SEARCH("Steel-Screen Frame",SKUs!$J$2:$J$10001)))), SKUs!$C$2:$C$10001,"")</f>
        <v/>
      </c>
      <c r="G1224" s="16"/>
      <c r="H1224" s="16" t="str" cm="1">
        <f t="array" ref="H1224">IF(C1224&lt;&gt;"", _xlfn.IFS(I1224="Height SLI",_xlfn.XLOOKUP(C1224,'calc_s90&amp;138'!$C$15:$C$1000,'calc_s90&amp;138'!$BU$15:$BU$1000,"",0),  I1224="Width", _xlfn.XLOOKUP(C1224,'calc_s90&amp;138'!$C$15:$C$1000,'calc_s90&amp;138'!$BW$15:$BW$1000,"",0)),"")</f>
        <v/>
      </c>
      <c r="I1224" s="16" t="str">
        <f t="shared" si="25"/>
        <v/>
      </c>
    </row>
    <row r="1225" spans="1:9" ht="13.5" customHeight="1" x14ac:dyDescent="0.25">
      <c r="A1225" s="41" t="str">
        <f>_xlfn.XLOOKUP(G1225,dd_color!$A$2:$A$8,dd_color!$B$2:$B$8,"",0)</f>
        <v/>
      </c>
      <c r="B1225" s="41">
        <f>_xlfn.XLOOKUP(_xlfn.XLOOKUP(C1225,'Project Details'!$C$17:$C$10003,'Project Details'!$E$17:$E$10003, "",0),dd_design_raw!$A$2:$A$9997,dd_design_raw!$C$2:$C$9997,"",0)</f>
        <v>0</v>
      </c>
      <c r="C1225" s="16"/>
      <c r="D1225" s="16" t="str" cm="1">
        <f t="array" ref="D1225">IF(C1225&lt;&gt;"", _xlfn.IFS(I1225="Height SLI",_xlfn.XLOOKUP(C1225,'calc_s90&amp;138'!$C$15:$C$1000,'calc_s90&amp;138'!$BV$15:$BV$1000,"",0),    I1225="Width", _xlfn.XLOOKUP(C1225,'calc_s90&amp;138'!$C$15:$C$1000,'calc_s90&amp;138'!$BX$15:$BX$1000,"",0)),"")</f>
        <v/>
      </c>
      <c r="E1225" s="16" t="str" cm="1">
        <f t="array" ref="E1225">IF(C1225&lt;&gt;"", _xlfn.XLOOKUP(1,((SKUs!$A$2:$A$10001=cl_unmerged!B1225) * (ISNUMBER(SEARCH("Steel-Screen Frame",SKUs!$J$2:$J$10001)))), SKUs!$J$2:$J$10001,""),"")  &amp; _xlfn.IFS(I1225="Height", ", H",I1225="Height SLI", ", H SLI", I1225="Height FIX", ", H FIX",I1225="Width", ", W", I1225="", "")</f>
        <v/>
      </c>
      <c r="F1225" s="33" t="str" cm="1">
        <f t="array" ref="F1225">_xlfn.XLOOKUP(1,((SKUs!$A$2:$A$10001=cl_unmerged!B1225) * (ISNUMBER(SEARCH("Steel-Screen Frame",SKUs!$J$2:$J$10001)))), SKUs!$C$2:$C$10001,"")</f>
        <v/>
      </c>
      <c r="G1225" s="16"/>
      <c r="H1225" s="16" t="str" cm="1">
        <f t="array" ref="H1225">IF(C1225&lt;&gt;"", _xlfn.IFS(I1225="Height SLI",_xlfn.XLOOKUP(C1225,'calc_s90&amp;138'!$C$15:$C$1000,'calc_s90&amp;138'!$BU$15:$BU$1000,"",0),  I1225="Width", _xlfn.XLOOKUP(C1225,'calc_s90&amp;138'!$C$15:$C$1000,'calc_s90&amp;138'!$BW$15:$BW$1000,"",0)),"")</f>
        <v/>
      </c>
      <c r="I1225" s="16" t="str">
        <f t="shared" si="25"/>
        <v/>
      </c>
    </row>
    <row r="1226" spans="1:9" ht="13.5" customHeight="1" x14ac:dyDescent="0.25">
      <c r="A1226" s="41" t="str">
        <f>_xlfn.XLOOKUP(G1226,dd_color!$A$2:$A$8,dd_color!$B$2:$B$8,"",0)</f>
        <v/>
      </c>
      <c r="B1226" s="41">
        <f>_xlfn.XLOOKUP(_xlfn.XLOOKUP(C1226,'Project Details'!$C$17:$C$10003,'Project Details'!$E$17:$E$10003, "",0),dd_design_raw!$A$2:$A$9997,dd_design_raw!$C$2:$C$9997,"",0)</f>
        <v>0</v>
      </c>
      <c r="C1226" s="16"/>
      <c r="D1226" s="16" t="str" cm="1">
        <f t="array" ref="D1226">IF(C1226&lt;&gt;"", _xlfn.IFS(I1226="Height SLI",_xlfn.XLOOKUP(C1226,'calc_s90&amp;138'!$C$15:$C$1000,'calc_s90&amp;138'!$BV$15:$BV$1000,"",0),    I1226="Width", _xlfn.XLOOKUP(C1226,'calc_s90&amp;138'!$C$15:$C$1000,'calc_s90&amp;138'!$BX$15:$BX$1000,"",0)),"")</f>
        <v/>
      </c>
      <c r="E1226" s="16" t="str" cm="1">
        <f t="array" ref="E1226">IF(C1226&lt;&gt;"", _xlfn.XLOOKUP(1,((SKUs!$A$2:$A$10001=cl_unmerged!B1226) * (ISNUMBER(SEARCH("Steel-Screen Frame",SKUs!$J$2:$J$10001)))), SKUs!$J$2:$J$10001,""),"")  &amp; _xlfn.IFS(I1226="Height", ", H",I1226="Height SLI", ", H SLI", I1226="Height FIX", ", H FIX",I1226="Width", ", W", I1226="", "")</f>
        <v/>
      </c>
      <c r="F1226" s="33" t="str" cm="1">
        <f t="array" ref="F1226">_xlfn.XLOOKUP(1,((SKUs!$A$2:$A$10001=cl_unmerged!B1226) * (ISNUMBER(SEARCH("Steel-Screen Frame",SKUs!$J$2:$J$10001)))), SKUs!$C$2:$C$10001,"")</f>
        <v/>
      </c>
      <c r="G1226" s="16"/>
      <c r="H1226" s="16" t="str" cm="1">
        <f t="array" ref="H1226">IF(C1226&lt;&gt;"", _xlfn.IFS(I1226="Height SLI",_xlfn.XLOOKUP(C1226,'calc_s90&amp;138'!$C$15:$C$1000,'calc_s90&amp;138'!$BU$15:$BU$1000,"",0),  I1226="Width", _xlfn.XLOOKUP(C1226,'calc_s90&amp;138'!$C$15:$C$1000,'calc_s90&amp;138'!$BW$15:$BW$1000,"",0)),"")</f>
        <v/>
      </c>
      <c r="I1226" s="16" t="str">
        <f t="shared" si="25"/>
        <v/>
      </c>
    </row>
    <row r="1227" spans="1:9" ht="13.5" customHeight="1" x14ac:dyDescent="0.25">
      <c r="A1227" s="41" t="str">
        <f>_xlfn.XLOOKUP(G1227,dd_color!$A$2:$A$8,dd_color!$B$2:$B$8,"",0)</f>
        <v/>
      </c>
      <c r="B1227" s="41">
        <f>_xlfn.XLOOKUP(_xlfn.XLOOKUP(C1227,'Project Details'!$C$17:$C$10003,'Project Details'!$E$17:$E$10003, "",0),dd_design_raw!$A$2:$A$9997,dd_design_raw!$C$2:$C$9997,"",0)</f>
        <v>0</v>
      </c>
      <c r="C1227" s="16"/>
      <c r="D1227" s="16" t="str" cm="1">
        <f t="array" ref="D1227">IF(C1227&lt;&gt;"", _xlfn.IFS(I1227="Height SLI",_xlfn.XLOOKUP(C1227,'calc_s90&amp;138'!$C$15:$C$1000,'calc_s90&amp;138'!$BV$15:$BV$1000,"",0),    I1227="Width", _xlfn.XLOOKUP(C1227,'calc_s90&amp;138'!$C$15:$C$1000,'calc_s90&amp;138'!$BX$15:$BX$1000,"",0)),"")</f>
        <v/>
      </c>
      <c r="E1227" s="16" t="str" cm="1">
        <f t="array" ref="E1227">IF(C1227&lt;&gt;"", _xlfn.XLOOKUP(1,((SKUs!$A$2:$A$10001=cl_unmerged!B1227) * (ISNUMBER(SEARCH("Steel-Screen Frame",SKUs!$J$2:$J$10001)))), SKUs!$J$2:$J$10001,""),"")  &amp; _xlfn.IFS(I1227="Height", ", H",I1227="Height SLI", ", H SLI", I1227="Height FIX", ", H FIX",I1227="Width", ", W", I1227="", "")</f>
        <v/>
      </c>
      <c r="F1227" s="33" t="str" cm="1">
        <f t="array" ref="F1227">_xlfn.XLOOKUP(1,((SKUs!$A$2:$A$10001=cl_unmerged!B1227) * (ISNUMBER(SEARCH("Steel-Screen Frame",SKUs!$J$2:$J$10001)))), SKUs!$C$2:$C$10001,"")</f>
        <v/>
      </c>
      <c r="G1227" s="16"/>
      <c r="H1227" s="16" t="str" cm="1">
        <f t="array" ref="H1227">IF(C1227&lt;&gt;"", _xlfn.IFS(I1227="Height SLI",_xlfn.XLOOKUP(C1227,'calc_s90&amp;138'!$C$15:$C$1000,'calc_s90&amp;138'!$BU$15:$BU$1000,"",0),  I1227="Width", _xlfn.XLOOKUP(C1227,'calc_s90&amp;138'!$C$15:$C$1000,'calc_s90&amp;138'!$BW$15:$BW$1000,"",0)),"")</f>
        <v/>
      </c>
      <c r="I1227" s="16" t="str">
        <f t="shared" si="25"/>
        <v/>
      </c>
    </row>
    <row r="1228" spans="1:9" ht="13.5" customHeight="1" x14ac:dyDescent="0.25">
      <c r="A1228" s="41" t="str">
        <f>_xlfn.XLOOKUP(G1228,dd_color!$A$2:$A$8,dd_color!$B$2:$B$8,"",0)</f>
        <v/>
      </c>
      <c r="B1228" s="41">
        <f>_xlfn.XLOOKUP(_xlfn.XLOOKUP(C1228,'Project Details'!$C$17:$C$10003,'Project Details'!$E$17:$E$10003, "",0),dd_design_raw!$A$2:$A$9997,dd_design_raw!$C$2:$C$9997,"",0)</f>
        <v>0</v>
      </c>
      <c r="C1228" s="16"/>
      <c r="D1228" s="16" t="str" cm="1">
        <f t="array" ref="D1228">IF(C1228&lt;&gt;"", _xlfn.IFS(I1228="Height SLI",_xlfn.XLOOKUP(C1228,'calc_s90&amp;138'!$C$15:$C$1000,'calc_s90&amp;138'!$BV$15:$BV$1000,"",0),    I1228="Width", _xlfn.XLOOKUP(C1228,'calc_s90&amp;138'!$C$15:$C$1000,'calc_s90&amp;138'!$BX$15:$BX$1000,"",0)),"")</f>
        <v/>
      </c>
      <c r="E1228" s="16" t="str" cm="1">
        <f t="array" ref="E1228">IF(C1228&lt;&gt;"", _xlfn.XLOOKUP(1,((SKUs!$A$2:$A$10001=cl_unmerged!B1228) * (ISNUMBER(SEARCH("Steel-Screen Frame",SKUs!$J$2:$J$10001)))), SKUs!$J$2:$J$10001,""),"")  &amp; _xlfn.IFS(I1228="Height", ", H",I1228="Height SLI", ", H SLI", I1228="Height FIX", ", H FIX",I1228="Width", ", W", I1228="", "")</f>
        <v/>
      </c>
      <c r="F1228" s="33" t="str" cm="1">
        <f t="array" ref="F1228">_xlfn.XLOOKUP(1,((SKUs!$A$2:$A$10001=cl_unmerged!B1228) * (ISNUMBER(SEARCH("Steel-Screen Frame",SKUs!$J$2:$J$10001)))), SKUs!$C$2:$C$10001,"")</f>
        <v/>
      </c>
      <c r="G1228" s="16"/>
      <c r="H1228" s="16" t="str" cm="1">
        <f t="array" ref="H1228">IF(C1228&lt;&gt;"", _xlfn.IFS(I1228="Height SLI",_xlfn.XLOOKUP(C1228,'calc_s90&amp;138'!$C$15:$C$1000,'calc_s90&amp;138'!$BU$15:$BU$1000,"",0),  I1228="Width", _xlfn.XLOOKUP(C1228,'calc_s90&amp;138'!$C$15:$C$1000,'calc_s90&amp;138'!$BW$15:$BW$1000,"",0)),"")</f>
        <v/>
      </c>
      <c r="I1228" s="16" t="str">
        <f t="shared" si="25"/>
        <v/>
      </c>
    </row>
    <row r="1229" spans="1:9" ht="13.5" customHeight="1" x14ac:dyDescent="0.25">
      <c r="A1229" s="41" t="str">
        <f>_xlfn.XLOOKUP(G1229,dd_color!$A$2:$A$8,dd_color!$B$2:$B$8,"",0)</f>
        <v/>
      </c>
      <c r="B1229" s="41">
        <f>_xlfn.XLOOKUP(_xlfn.XLOOKUP(C1229,'Project Details'!$C$17:$C$10003,'Project Details'!$E$17:$E$10003, "",0),dd_design_raw!$A$2:$A$9997,dd_design_raw!$C$2:$C$9997,"",0)</f>
        <v>0</v>
      </c>
      <c r="C1229" s="16"/>
      <c r="D1229" s="16" t="str" cm="1">
        <f t="array" ref="D1229">IF(C1229&lt;&gt;"", _xlfn.IFS(I1229="Height SLI",_xlfn.XLOOKUP(C1229,'calc_s90&amp;138'!$C$15:$C$1000,'calc_s90&amp;138'!$BV$15:$BV$1000,"",0),    I1229="Width", _xlfn.XLOOKUP(C1229,'calc_s90&amp;138'!$C$15:$C$1000,'calc_s90&amp;138'!$BX$15:$BX$1000,"",0)),"")</f>
        <v/>
      </c>
      <c r="E1229" s="16" t="str" cm="1">
        <f t="array" ref="E1229">IF(C1229&lt;&gt;"", _xlfn.XLOOKUP(1,((SKUs!$A$2:$A$10001=cl_unmerged!B1229) * (ISNUMBER(SEARCH("Steel-Screen Frame",SKUs!$J$2:$J$10001)))), SKUs!$J$2:$J$10001,""),"")  &amp; _xlfn.IFS(I1229="Height", ", H",I1229="Height SLI", ", H SLI", I1229="Height FIX", ", H FIX",I1229="Width", ", W", I1229="", "")</f>
        <v/>
      </c>
      <c r="F1229" s="33" t="str" cm="1">
        <f t="array" ref="F1229">_xlfn.XLOOKUP(1,((SKUs!$A$2:$A$10001=cl_unmerged!B1229) * (ISNUMBER(SEARCH("Steel-Screen Frame",SKUs!$J$2:$J$10001)))), SKUs!$C$2:$C$10001,"")</f>
        <v/>
      </c>
      <c r="G1229" s="16"/>
      <c r="H1229" s="16" t="str" cm="1">
        <f t="array" ref="H1229">IF(C1229&lt;&gt;"", _xlfn.IFS(I1229="Height SLI",_xlfn.XLOOKUP(C1229,'calc_s90&amp;138'!$C$15:$C$1000,'calc_s90&amp;138'!$BU$15:$BU$1000,"",0),  I1229="Width", _xlfn.XLOOKUP(C1229,'calc_s90&amp;138'!$C$15:$C$1000,'calc_s90&amp;138'!$BW$15:$BW$1000,"",0)),"")</f>
        <v/>
      </c>
      <c r="I1229" s="16" t="str">
        <f t="shared" si="25"/>
        <v/>
      </c>
    </row>
    <row r="1230" spans="1:9" ht="13.5" customHeight="1" x14ac:dyDescent="0.25">
      <c r="A1230" s="41" t="str">
        <f>_xlfn.XLOOKUP(G1230,dd_color!$A$2:$A$8,dd_color!$B$2:$B$8,"",0)</f>
        <v/>
      </c>
      <c r="B1230" s="41">
        <f>_xlfn.XLOOKUP(_xlfn.XLOOKUP(C1230,'Project Details'!$C$17:$C$10003,'Project Details'!$E$17:$E$10003, "",0),dd_design_raw!$A$2:$A$9997,dd_design_raw!$C$2:$C$9997,"",0)</f>
        <v>0</v>
      </c>
      <c r="C1230" s="16"/>
      <c r="D1230" s="16" t="str" cm="1">
        <f t="array" ref="D1230">IF(C1230&lt;&gt;"", _xlfn.IFS(I1230="Height SLI",_xlfn.XLOOKUP(C1230,'calc_s90&amp;138'!$C$15:$C$1000,'calc_s90&amp;138'!$BV$15:$BV$1000,"",0),    I1230="Width", _xlfn.XLOOKUP(C1230,'calc_s90&amp;138'!$C$15:$C$1000,'calc_s90&amp;138'!$BX$15:$BX$1000,"",0)),"")</f>
        <v/>
      </c>
      <c r="E1230" s="16" t="str" cm="1">
        <f t="array" ref="E1230">IF(C1230&lt;&gt;"", _xlfn.XLOOKUP(1,((SKUs!$A$2:$A$10001=cl_unmerged!B1230) * (ISNUMBER(SEARCH("Steel-Screen Frame",SKUs!$J$2:$J$10001)))), SKUs!$J$2:$J$10001,""),"")  &amp; _xlfn.IFS(I1230="Height", ", H",I1230="Height SLI", ", H SLI", I1230="Height FIX", ", H FIX",I1230="Width", ", W", I1230="", "")</f>
        <v/>
      </c>
      <c r="F1230" s="33" t="str" cm="1">
        <f t="array" ref="F1230">_xlfn.XLOOKUP(1,((SKUs!$A$2:$A$10001=cl_unmerged!B1230) * (ISNUMBER(SEARCH("Steel-Screen Frame",SKUs!$J$2:$J$10001)))), SKUs!$C$2:$C$10001,"")</f>
        <v/>
      </c>
      <c r="G1230" s="16"/>
      <c r="H1230" s="16" t="str" cm="1">
        <f t="array" ref="H1230">IF(C1230&lt;&gt;"", _xlfn.IFS(I1230="Height SLI",_xlfn.XLOOKUP(C1230,'calc_s90&amp;138'!$C$15:$C$1000,'calc_s90&amp;138'!$BU$15:$BU$1000,"",0),  I1230="Width", _xlfn.XLOOKUP(C1230,'calc_s90&amp;138'!$C$15:$C$1000,'calc_s90&amp;138'!$BW$15:$BW$1000,"",0)),"")</f>
        <v/>
      </c>
      <c r="I1230" s="16" t="str">
        <f t="shared" si="25"/>
        <v/>
      </c>
    </row>
    <row r="1231" spans="1:9" ht="13.5" customHeight="1" x14ac:dyDescent="0.25">
      <c r="A1231" s="41" t="str">
        <f>_xlfn.XLOOKUP(G1231,dd_color!$A$2:$A$8,dd_color!$B$2:$B$8,"",0)</f>
        <v/>
      </c>
      <c r="B1231" s="41">
        <f>_xlfn.XLOOKUP(_xlfn.XLOOKUP(C1231,'Project Details'!$C$17:$C$10003,'Project Details'!$E$17:$E$10003, "",0),dd_design_raw!$A$2:$A$9997,dd_design_raw!$C$2:$C$9997,"",0)</f>
        <v>0</v>
      </c>
      <c r="C1231" s="16"/>
      <c r="D1231" s="16" t="str" cm="1">
        <f t="array" ref="D1231">IF(C1231&lt;&gt;"", _xlfn.IFS(I1231="Height SLI",_xlfn.XLOOKUP(C1231,'calc_s90&amp;138'!$C$15:$C$1000,'calc_s90&amp;138'!$BV$15:$BV$1000,"",0),    I1231="Width", _xlfn.XLOOKUP(C1231,'calc_s90&amp;138'!$C$15:$C$1000,'calc_s90&amp;138'!$BX$15:$BX$1000,"",0)),"")</f>
        <v/>
      </c>
      <c r="E1231" s="16" t="str" cm="1">
        <f t="array" ref="E1231">IF(C1231&lt;&gt;"", _xlfn.XLOOKUP(1,((SKUs!$A$2:$A$10001=cl_unmerged!B1231) * (ISNUMBER(SEARCH("Steel-Screen Frame",SKUs!$J$2:$J$10001)))), SKUs!$J$2:$J$10001,""),"")  &amp; _xlfn.IFS(I1231="Height", ", H",I1231="Height SLI", ", H SLI", I1231="Height FIX", ", H FIX",I1231="Width", ", W", I1231="", "")</f>
        <v/>
      </c>
      <c r="F1231" s="33" t="str" cm="1">
        <f t="array" ref="F1231">_xlfn.XLOOKUP(1,((SKUs!$A$2:$A$10001=cl_unmerged!B1231) * (ISNUMBER(SEARCH("Steel-Screen Frame",SKUs!$J$2:$J$10001)))), SKUs!$C$2:$C$10001,"")</f>
        <v/>
      </c>
      <c r="G1231" s="16"/>
      <c r="H1231" s="16" t="str" cm="1">
        <f t="array" ref="H1231">IF(C1231&lt;&gt;"", _xlfn.IFS(I1231="Height SLI",_xlfn.XLOOKUP(C1231,'calc_s90&amp;138'!$C$15:$C$1000,'calc_s90&amp;138'!$BU$15:$BU$1000,"",0),  I1231="Width", _xlfn.XLOOKUP(C1231,'calc_s90&amp;138'!$C$15:$C$1000,'calc_s90&amp;138'!$BW$15:$BW$1000,"",0)),"")</f>
        <v/>
      </c>
      <c r="I1231" s="16" t="str">
        <f t="shared" si="25"/>
        <v/>
      </c>
    </row>
    <row r="1232" spans="1:9" ht="13.5" customHeight="1" x14ac:dyDescent="0.25">
      <c r="A1232" s="41" t="str">
        <f>_xlfn.XLOOKUP(G1232,dd_color!$A$2:$A$8,dd_color!$B$2:$B$8,"",0)</f>
        <v/>
      </c>
      <c r="B1232" s="41">
        <f>_xlfn.XLOOKUP(_xlfn.XLOOKUP(C1232,'Project Details'!$C$17:$C$10003,'Project Details'!$E$17:$E$10003, "",0),dd_design_raw!$A$2:$A$9997,dd_design_raw!$C$2:$C$9997,"",0)</f>
        <v>0</v>
      </c>
      <c r="C1232" s="16"/>
      <c r="D1232" s="16" t="str" cm="1">
        <f t="array" ref="D1232">IF(C1232&lt;&gt;"", _xlfn.IFS(I1232="Height SLI",_xlfn.XLOOKUP(C1232,'calc_s90&amp;138'!$C$15:$C$1000,'calc_s90&amp;138'!$BV$15:$BV$1000,"",0),    I1232="Width", _xlfn.XLOOKUP(C1232,'calc_s90&amp;138'!$C$15:$C$1000,'calc_s90&amp;138'!$BX$15:$BX$1000,"",0)),"")</f>
        <v/>
      </c>
      <c r="E1232" s="16" t="str" cm="1">
        <f t="array" ref="E1232">IF(C1232&lt;&gt;"", _xlfn.XLOOKUP(1,((SKUs!$A$2:$A$10001=cl_unmerged!B1232) * (ISNUMBER(SEARCH("Steel-Screen Frame",SKUs!$J$2:$J$10001)))), SKUs!$J$2:$J$10001,""),"")  &amp; _xlfn.IFS(I1232="Height", ", H",I1232="Height SLI", ", H SLI", I1232="Height FIX", ", H FIX",I1232="Width", ", W", I1232="", "")</f>
        <v/>
      </c>
      <c r="F1232" s="33" t="str" cm="1">
        <f t="array" ref="F1232">_xlfn.XLOOKUP(1,((SKUs!$A$2:$A$10001=cl_unmerged!B1232) * (ISNUMBER(SEARCH("Steel-Screen Frame",SKUs!$J$2:$J$10001)))), SKUs!$C$2:$C$10001,"")</f>
        <v/>
      </c>
      <c r="G1232" s="16"/>
      <c r="H1232" s="16" t="str" cm="1">
        <f t="array" ref="H1232">IF(C1232&lt;&gt;"", _xlfn.IFS(I1232="Height SLI",_xlfn.XLOOKUP(C1232,'calc_s90&amp;138'!$C$15:$C$1000,'calc_s90&amp;138'!$BU$15:$BU$1000,"",0),  I1232="Width", _xlfn.XLOOKUP(C1232,'calc_s90&amp;138'!$C$15:$C$1000,'calc_s90&amp;138'!$BW$15:$BW$1000,"",0)),"")</f>
        <v/>
      </c>
      <c r="I1232" s="16" t="str">
        <f t="shared" si="25"/>
        <v/>
      </c>
    </row>
    <row r="1233" spans="1:9" ht="13.5" customHeight="1" x14ac:dyDescent="0.25">
      <c r="A1233" s="41" t="str">
        <f>_xlfn.XLOOKUP(G1233,dd_color!$A$2:$A$8,dd_color!$B$2:$B$8,"",0)</f>
        <v/>
      </c>
      <c r="B1233" s="41">
        <f>_xlfn.XLOOKUP(_xlfn.XLOOKUP(C1233,'Project Details'!$C$17:$C$10003,'Project Details'!$E$17:$E$10003, "",0),dd_design_raw!$A$2:$A$9997,dd_design_raw!$C$2:$C$9997,"",0)</f>
        <v>0</v>
      </c>
      <c r="C1233" s="16"/>
      <c r="D1233" s="16" t="str" cm="1">
        <f t="array" ref="D1233">IF(C1233&lt;&gt;"", _xlfn.IFS(I1233="Height SLI",_xlfn.XLOOKUP(C1233,'calc_s90&amp;138'!$C$15:$C$1000,'calc_s90&amp;138'!$BV$15:$BV$1000,"",0),    I1233="Width", _xlfn.XLOOKUP(C1233,'calc_s90&amp;138'!$C$15:$C$1000,'calc_s90&amp;138'!$BX$15:$BX$1000,"",0)),"")</f>
        <v/>
      </c>
      <c r="E1233" s="16" t="str" cm="1">
        <f t="array" ref="E1233">IF(C1233&lt;&gt;"", _xlfn.XLOOKUP(1,((SKUs!$A$2:$A$10001=cl_unmerged!B1233) * (ISNUMBER(SEARCH("Steel-Screen Frame",SKUs!$J$2:$J$10001)))), SKUs!$J$2:$J$10001,""),"")  &amp; _xlfn.IFS(I1233="Height", ", H",I1233="Height SLI", ", H SLI", I1233="Height FIX", ", H FIX",I1233="Width", ", W", I1233="", "")</f>
        <v/>
      </c>
      <c r="F1233" s="33" t="str" cm="1">
        <f t="array" ref="F1233">_xlfn.XLOOKUP(1,((SKUs!$A$2:$A$10001=cl_unmerged!B1233) * (ISNUMBER(SEARCH("Steel-Screen Frame",SKUs!$J$2:$J$10001)))), SKUs!$C$2:$C$10001,"")</f>
        <v/>
      </c>
      <c r="G1233" s="16"/>
      <c r="H1233" s="16" t="str" cm="1">
        <f t="array" ref="H1233">IF(C1233&lt;&gt;"", _xlfn.IFS(I1233="Height SLI",_xlfn.XLOOKUP(C1233,'calc_s90&amp;138'!$C$15:$C$1000,'calc_s90&amp;138'!$BU$15:$BU$1000,"",0),  I1233="Width", _xlfn.XLOOKUP(C1233,'calc_s90&amp;138'!$C$15:$C$1000,'calc_s90&amp;138'!$BW$15:$BW$1000,"",0)),"")</f>
        <v/>
      </c>
      <c r="I1233" s="16" t="str">
        <f t="shared" si="25"/>
        <v/>
      </c>
    </row>
    <row r="1234" spans="1:9" ht="13.5" customHeight="1" x14ac:dyDescent="0.25">
      <c r="A1234" s="41" t="str">
        <f>_xlfn.XLOOKUP(G1234,dd_color!$A$2:$A$8,dd_color!$B$2:$B$8,"",0)</f>
        <v/>
      </c>
      <c r="B1234" s="41">
        <f>_xlfn.XLOOKUP(_xlfn.XLOOKUP(C1234,'Project Details'!$C$17:$C$10003,'Project Details'!$E$17:$E$10003, "",0),dd_design_raw!$A$2:$A$9997,dd_design_raw!$C$2:$C$9997,"",0)</f>
        <v>0</v>
      </c>
      <c r="C1234" s="16"/>
      <c r="D1234" s="16" t="str" cm="1">
        <f t="array" ref="D1234">IF(C1234&lt;&gt;"", _xlfn.IFS(I1234="Height SLI",_xlfn.XLOOKUP(C1234,'calc_s90&amp;138'!$C$15:$C$1000,'calc_s90&amp;138'!$BV$15:$BV$1000,"",0),    I1234="Width", _xlfn.XLOOKUP(C1234,'calc_s90&amp;138'!$C$15:$C$1000,'calc_s90&amp;138'!$BX$15:$BX$1000,"",0)),"")</f>
        <v/>
      </c>
      <c r="E1234" s="16" t="str" cm="1">
        <f t="array" ref="E1234">IF(C1234&lt;&gt;"", _xlfn.XLOOKUP(1,((SKUs!$A$2:$A$10001=cl_unmerged!B1234) * (ISNUMBER(SEARCH("Steel-Screen Frame",SKUs!$J$2:$J$10001)))), SKUs!$J$2:$J$10001,""),"")  &amp; _xlfn.IFS(I1234="Height", ", H",I1234="Height SLI", ", H SLI", I1234="Height FIX", ", H FIX",I1234="Width", ", W", I1234="", "")</f>
        <v/>
      </c>
      <c r="F1234" s="33" t="str" cm="1">
        <f t="array" ref="F1234">_xlfn.XLOOKUP(1,((SKUs!$A$2:$A$10001=cl_unmerged!B1234) * (ISNUMBER(SEARCH("Steel-Screen Frame",SKUs!$J$2:$J$10001)))), SKUs!$C$2:$C$10001,"")</f>
        <v/>
      </c>
      <c r="G1234" s="16"/>
      <c r="H1234" s="16" t="str" cm="1">
        <f t="array" ref="H1234">IF(C1234&lt;&gt;"", _xlfn.IFS(I1234="Height SLI",_xlfn.XLOOKUP(C1234,'calc_s90&amp;138'!$C$15:$C$1000,'calc_s90&amp;138'!$BU$15:$BU$1000,"",0),  I1234="Width", _xlfn.XLOOKUP(C1234,'calc_s90&amp;138'!$C$15:$C$1000,'calc_s90&amp;138'!$BW$15:$BW$1000,"",0)),"")</f>
        <v/>
      </c>
      <c r="I1234" s="16" t="str">
        <f t="shared" si="25"/>
        <v/>
      </c>
    </row>
    <row r="1235" spans="1:9" ht="13.5" customHeight="1" x14ac:dyDescent="0.25">
      <c r="A1235" s="41" t="str">
        <f>_xlfn.XLOOKUP(G1235,dd_color!$A$2:$A$8,dd_color!$B$2:$B$8,"",0)</f>
        <v/>
      </c>
      <c r="B1235" s="41">
        <f>_xlfn.XLOOKUP(_xlfn.XLOOKUP(C1235,'Project Details'!$C$17:$C$10003,'Project Details'!$E$17:$E$10003, "",0),dd_design_raw!$A$2:$A$9997,dd_design_raw!$C$2:$C$9997,"",0)</f>
        <v>0</v>
      </c>
      <c r="C1235" s="16"/>
      <c r="D1235" s="16" t="str" cm="1">
        <f t="array" ref="D1235">IF(C1235&lt;&gt;"", _xlfn.IFS(I1235="Height SLI",_xlfn.XLOOKUP(C1235,'calc_s90&amp;138'!$C$15:$C$1000,'calc_s90&amp;138'!$BV$15:$BV$1000,"",0),    I1235="Width", _xlfn.XLOOKUP(C1235,'calc_s90&amp;138'!$C$15:$C$1000,'calc_s90&amp;138'!$BX$15:$BX$1000,"",0)),"")</f>
        <v/>
      </c>
      <c r="E1235" s="16" t="str" cm="1">
        <f t="array" ref="E1235">IF(C1235&lt;&gt;"", _xlfn.XLOOKUP(1,((SKUs!$A$2:$A$10001=cl_unmerged!B1235) * (ISNUMBER(SEARCH("Steel-Screen Frame",SKUs!$J$2:$J$10001)))), SKUs!$J$2:$J$10001,""),"")  &amp; _xlfn.IFS(I1235="Height", ", H",I1235="Height SLI", ", H SLI", I1235="Height FIX", ", H FIX",I1235="Width", ", W", I1235="", "")</f>
        <v/>
      </c>
      <c r="F1235" s="33" t="str" cm="1">
        <f t="array" ref="F1235">_xlfn.XLOOKUP(1,((SKUs!$A$2:$A$10001=cl_unmerged!B1235) * (ISNUMBER(SEARCH("Steel-Screen Frame",SKUs!$J$2:$J$10001)))), SKUs!$C$2:$C$10001,"")</f>
        <v/>
      </c>
      <c r="G1235" s="16"/>
      <c r="H1235" s="16" t="str" cm="1">
        <f t="array" ref="H1235">IF(C1235&lt;&gt;"", _xlfn.IFS(I1235="Height SLI",_xlfn.XLOOKUP(C1235,'calc_s90&amp;138'!$C$15:$C$1000,'calc_s90&amp;138'!$BU$15:$BU$1000,"",0),  I1235="Width", _xlfn.XLOOKUP(C1235,'calc_s90&amp;138'!$C$15:$C$1000,'calc_s90&amp;138'!$BW$15:$BW$1000,"",0)),"")</f>
        <v/>
      </c>
      <c r="I1235" s="16" t="str">
        <f t="shared" si="25"/>
        <v/>
      </c>
    </row>
    <row r="1236" spans="1:9" ht="13.5" customHeight="1" x14ac:dyDescent="0.25">
      <c r="A1236" s="41" t="str">
        <f>_xlfn.XLOOKUP(G1236,dd_color!$A$2:$A$8,dd_color!$B$2:$B$8,"",0)</f>
        <v/>
      </c>
      <c r="B1236" s="41">
        <f>_xlfn.XLOOKUP(_xlfn.XLOOKUP(C1236,'Project Details'!$C$17:$C$10003,'Project Details'!$E$17:$E$10003, "",0),dd_design_raw!$A$2:$A$9997,dd_design_raw!$C$2:$C$9997,"",0)</f>
        <v>0</v>
      </c>
      <c r="C1236" s="16"/>
      <c r="D1236" s="16" t="str" cm="1">
        <f t="array" ref="D1236">IF(C1236&lt;&gt;"", _xlfn.IFS(I1236="Height SLI",_xlfn.XLOOKUP(C1236,'calc_s90&amp;138'!$C$15:$C$1000,'calc_s90&amp;138'!$BV$15:$BV$1000,"",0),    I1236="Width", _xlfn.XLOOKUP(C1236,'calc_s90&amp;138'!$C$15:$C$1000,'calc_s90&amp;138'!$BX$15:$BX$1000,"",0)),"")</f>
        <v/>
      </c>
      <c r="E1236" s="16" t="str" cm="1">
        <f t="array" ref="E1236">IF(C1236&lt;&gt;"", _xlfn.XLOOKUP(1,((SKUs!$A$2:$A$10001=cl_unmerged!B1236) * (ISNUMBER(SEARCH("Steel-Screen Frame",SKUs!$J$2:$J$10001)))), SKUs!$J$2:$J$10001,""),"")  &amp; _xlfn.IFS(I1236="Height", ", H",I1236="Height SLI", ", H SLI", I1236="Height FIX", ", H FIX",I1236="Width", ", W", I1236="", "")</f>
        <v/>
      </c>
      <c r="F1236" s="33" t="str" cm="1">
        <f t="array" ref="F1236">_xlfn.XLOOKUP(1,((SKUs!$A$2:$A$10001=cl_unmerged!B1236) * (ISNUMBER(SEARCH("Steel-Screen Frame",SKUs!$J$2:$J$10001)))), SKUs!$C$2:$C$10001,"")</f>
        <v/>
      </c>
      <c r="G1236" s="16"/>
      <c r="H1236" s="16" t="str" cm="1">
        <f t="array" ref="H1236">IF(C1236&lt;&gt;"", _xlfn.IFS(I1236="Height SLI",_xlfn.XLOOKUP(C1236,'calc_s90&amp;138'!$C$15:$C$1000,'calc_s90&amp;138'!$BU$15:$BU$1000,"",0),  I1236="Width", _xlfn.XLOOKUP(C1236,'calc_s90&amp;138'!$C$15:$C$1000,'calc_s90&amp;138'!$BW$15:$BW$1000,"",0)),"")</f>
        <v/>
      </c>
      <c r="I1236" s="16" t="str">
        <f t="shared" si="25"/>
        <v/>
      </c>
    </row>
    <row r="1237" spans="1:9" ht="13.5" customHeight="1" x14ac:dyDescent="0.25">
      <c r="A1237" s="41" t="str">
        <f>_xlfn.XLOOKUP(G1237,dd_color!$A$2:$A$8,dd_color!$B$2:$B$8,"",0)</f>
        <v/>
      </c>
      <c r="B1237" s="41">
        <f>_xlfn.XLOOKUP(_xlfn.XLOOKUP(C1237,'Project Details'!$C$17:$C$10003,'Project Details'!$E$17:$E$10003, "",0),dd_design_raw!$A$2:$A$9997,dd_design_raw!$C$2:$C$9997,"",0)</f>
        <v>0</v>
      </c>
      <c r="C1237" s="16"/>
      <c r="D1237" s="16" t="str" cm="1">
        <f t="array" ref="D1237">IF(C1237&lt;&gt;"", _xlfn.IFS(I1237="Height SLI",_xlfn.XLOOKUP(C1237,'calc_s90&amp;138'!$C$15:$C$1000,'calc_s90&amp;138'!$BV$15:$BV$1000,"",0),    I1237="Width", _xlfn.XLOOKUP(C1237,'calc_s90&amp;138'!$C$15:$C$1000,'calc_s90&amp;138'!$BX$15:$BX$1000,"",0)),"")</f>
        <v/>
      </c>
      <c r="E1237" s="16" t="str" cm="1">
        <f t="array" ref="E1237">IF(C1237&lt;&gt;"", _xlfn.XLOOKUP(1,((SKUs!$A$2:$A$10001=cl_unmerged!B1237) * (ISNUMBER(SEARCH("Steel-Screen Frame",SKUs!$J$2:$J$10001)))), SKUs!$J$2:$J$10001,""),"")  &amp; _xlfn.IFS(I1237="Height", ", H",I1237="Height SLI", ", H SLI", I1237="Height FIX", ", H FIX",I1237="Width", ", W", I1237="", "")</f>
        <v/>
      </c>
      <c r="F1237" s="33" t="str" cm="1">
        <f t="array" ref="F1237">_xlfn.XLOOKUP(1,((SKUs!$A$2:$A$10001=cl_unmerged!B1237) * (ISNUMBER(SEARCH("Steel-Screen Frame",SKUs!$J$2:$J$10001)))), SKUs!$C$2:$C$10001,"")</f>
        <v/>
      </c>
      <c r="G1237" s="16"/>
      <c r="H1237" s="16" t="str" cm="1">
        <f t="array" ref="H1237">IF(C1237&lt;&gt;"", _xlfn.IFS(I1237="Height SLI",_xlfn.XLOOKUP(C1237,'calc_s90&amp;138'!$C$15:$C$1000,'calc_s90&amp;138'!$BU$15:$BU$1000,"",0),  I1237="Width", _xlfn.XLOOKUP(C1237,'calc_s90&amp;138'!$C$15:$C$1000,'calc_s90&amp;138'!$BW$15:$BW$1000,"",0)),"")</f>
        <v/>
      </c>
      <c r="I1237" s="16" t="str">
        <f t="shared" si="25"/>
        <v/>
      </c>
    </row>
    <row r="1238" spans="1:9" ht="13.5" customHeight="1" x14ac:dyDescent="0.25">
      <c r="A1238" s="41" t="str">
        <f>_xlfn.XLOOKUP(G1238,dd_color!$A$2:$A$8,dd_color!$B$2:$B$8,"",0)</f>
        <v/>
      </c>
      <c r="B1238" s="41">
        <f>_xlfn.XLOOKUP(_xlfn.XLOOKUP(C1238,'Project Details'!$C$17:$C$10003,'Project Details'!$E$17:$E$10003, "",0),dd_design_raw!$A$2:$A$9997,dd_design_raw!$C$2:$C$9997,"",0)</f>
        <v>0</v>
      </c>
      <c r="C1238" s="16"/>
      <c r="D1238" s="16" t="str" cm="1">
        <f t="array" ref="D1238">IF(C1238&lt;&gt;"", _xlfn.IFS(I1238="Height SLI",_xlfn.XLOOKUP(C1238,'calc_s90&amp;138'!$C$15:$C$1000,'calc_s90&amp;138'!$BV$15:$BV$1000,"",0),    I1238="Width", _xlfn.XLOOKUP(C1238,'calc_s90&amp;138'!$C$15:$C$1000,'calc_s90&amp;138'!$BX$15:$BX$1000,"",0)),"")</f>
        <v/>
      </c>
      <c r="E1238" s="16" t="str" cm="1">
        <f t="array" ref="E1238">IF(C1238&lt;&gt;"", _xlfn.XLOOKUP(1,((SKUs!$A$2:$A$10001=cl_unmerged!B1238) * (ISNUMBER(SEARCH("Steel-Screen Frame",SKUs!$J$2:$J$10001)))), SKUs!$J$2:$J$10001,""),"")  &amp; _xlfn.IFS(I1238="Height", ", H",I1238="Height SLI", ", H SLI", I1238="Height FIX", ", H FIX",I1238="Width", ", W", I1238="", "")</f>
        <v/>
      </c>
      <c r="F1238" s="33" t="str" cm="1">
        <f t="array" ref="F1238">_xlfn.XLOOKUP(1,((SKUs!$A$2:$A$10001=cl_unmerged!B1238) * (ISNUMBER(SEARCH("Steel-Screen Frame",SKUs!$J$2:$J$10001)))), SKUs!$C$2:$C$10001,"")</f>
        <v/>
      </c>
      <c r="G1238" s="16"/>
      <c r="H1238" s="16" t="str" cm="1">
        <f t="array" ref="H1238">IF(C1238&lt;&gt;"", _xlfn.IFS(I1238="Height SLI",_xlfn.XLOOKUP(C1238,'calc_s90&amp;138'!$C$15:$C$1000,'calc_s90&amp;138'!$BU$15:$BU$1000,"",0),  I1238="Width", _xlfn.XLOOKUP(C1238,'calc_s90&amp;138'!$C$15:$C$1000,'calc_s90&amp;138'!$BW$15:$BW$1000,"",0)),"")</f>
        <v/>
      </c>
      <c r="I1238" s="16" t="str">
        <f t="shared" si="25"/>
        <v/>
      </c>
    </row>
    <row r="1239" spans="1:9" ht="13.5" customHeight="1" x14ac:dyDescent="0.25">
      <c r="A1239" s="41" t="str">
        <f>_xlfn.XLOOKUP(G1239,dd_color!$A$2:$A$8,dd_color!$B$2:$B$8,"",0)</f>
        <v/>
      </c>
      <c r="B1239" s="41">
        <f>_xlfn.XLOOKUP(_xlfn.XLOOKUP(C1239,'Project Details'!$C$17:$C$10003,'Project Details'!$E$17:$E$10003, "",0),dd_design_raw!$A$2:$A$9997,dd_design_raw!$C$2:$C$9997,"",0)</f>
        <v>0</v>
      </c>
      <c r="C1239" s="16"/>
      <c r="D1239" s="16" t="str" cm="1">
        <f t="array" ref="D1239">IF(C1239&lt;&gt;"", _xlfn.IFS(I1239="Height SLI",_xlfn.XLOOKUP(C1239,'calc_s90&amp;138'!$C$15:$C$1000,'calc_s90&amp;138'!$BV$15:$BV$1000,"",0),    I1239="Width", _xlfn.XLOOKUP(C1239,'calc_s90&amp;138'!$C$15:$C$1000,'calc_s90&amp;138'!$BX$15:$BX$1000,"",0)),"")</f>
        <v/>
      </c>
      <c r="E1239" s="16" t="str" cm="1">
        <f t="array" ref="E1239">IF(C1239&lt;&gt;"", _xlfn.XLOOKUP(1,((SKUs!$A$2:$A$10001=cl_unmerged!B1239) * (ISNUMBER(SEARCH("Steel-Screen Frame",SKUs!$J$2:$J$10001)))), SKUs!$J$2:$J$10001,""),"")  &amp; _xlfn.IFS(I1239="Height", ", H",I1239="Height SLI", ", H SLI", I1239="Height FIX", ", H FIX",I1239="Width", ", W", I1239="", "")</f>
        <v/>
      </c>
      <c r="F1239" s="33" t="str" cm="1">
        <f t="array" ref="F1239">_xlfn.XLOOKUP(1,((SKUs!$A$2:$A$10001=cl_unmerged!B1239) * (ISNUMBER(SEARCH("Steel-Screen Frame",SKUs!$J$2:$J$10001)))), SKUs!$C$2:$C$10001,"")</f>
        <v/>
      </c>
      <c r="G1239" s="16"/>
      <c r="H1239" s="16" t="str" cm="1">
        <f t="array" ref="H1239">IF(C1239&lt;&gt;"", _xlfn.IFS(I1239="Height SLI",_xlfn.XLOOKUP(C1239,'calc_s90&amp;138'!$C$15:$C$1000,'calc_s90&amp;138'!$BU$15:$BU$1000,"",0),  I1239="Width", _xlfn.XLOOKUP(C1239,'calc_s90&amp;138'!$C$15:$C$1000,'calc_s90&amp;138'!$BW$15:$BW$1000,"",0)),"")</f>
        <v/>
      </c>
      <c r="I1239" s="16" t="str">
        <f t="shared" si="25"/>
        <v/>
      </c>
    </row>
    <row r="1240" spans="1:9" ht="13.5" customHeight="1" x14ac:dyDescent="0.25">
      <c r="A1240" s="41" t="str">
        <f>_xlfn.XLOOKUP(G1240,dd_color!$A$2:$A$8,dd_color!$B$2:$B$8,"",0)</f>
        <v/>
      </c>
      <c r="B1240" s="41">
        <f>_xlfn.XLOOKUP(_xlfn.XLOOKUP(C1240,'Project Details'!$C$17:$C$10003,'Project Details'!$E$17:$E$10003, "",0),dd_design_raw!$A$2:$A$9997,dd_design_raw!$C$2:$C$9997,"",0)</f>
        <v>0</v>
      </c>
      <c r="C1240" s="16"/>
      <c r="D1240" s="16" t="str" cm="1">
        <f t="array" ref="D1240">IF(C1240&lt;&gt;"", _xlfn.IFS(I1240="Height SLI",_xlfn.XLOOKUP(C1240,'calc_s90&amp;138'!$C$15:$C$1000,'calc_s90&amp;138'!$BV$15:$BV$1000,"",0),    I1240="Width", _xlfn.XLOOKUP(C1240,'calc_s90&amp;138'!$C$15:$C$1000,'calc_s90&amp;138'!$BX$15:$BX$1000,"",0)),"")</f>
        <v/>
      </c>
      <c r="E1240" s="16" t="str" cm="1">
        <f t="array" ref="E1240">IF(C1240&lt;&gt;"", _xlfn.XLOOKUP(1,((SKUs!$A$2:$A$10001=cl_unmerged!B1240) * (ISNUMBER(SEARCH("Steel-Screen Frame",SKUs!$J$2:$J$10001)))), SKUs!$J$2:$J$10001,""),"")  &amp; _xlfn.IFS(I1240="Height", ", H",I1240="Height SLI", ", H SLI", I1240="Height FIX", ", H FIX",I1240="Width", ", W", I1240="", "")</f>
        <v/>
      </c>
      <c r="F1240" s="33" t="str" cm="1">
        <f t="array" ref="F1240">_xlfn.XLOOKUP(1,((SKUs!$A$2:$A$10001=cl_unmerged!B1240) * (ISNUMBER(SEARCH("Steel-Screen Frame",SKUs!$J$2:$J$10001)))), SKUs!$C$2:$C$10001,"")</f>
        <v/>
      </c>
      <c r="G1240" s="16"/>
      <c r="H1240" s="16" t="str" cm="1">
        <f t="array" ref="H1240">IF(C1240&lt;&gt;"", _xlfn.IFS(I1240="Height SLI",_xlfn.XLOOKUP(C1240,'calc_s90&amp;138'!$C$15:$C$1000,'calc_s90&amp;138'!$BU$15:$BU$1000,"",0),  I1240="Width", _xlfn.XLOOKUP(C1240,'calc_s90&amp;138'!$C$15:$C$1000,'calc_s90&amp;138'!$BW$15:$BW$1000,"",0)),"")</f>
        <v/>
      </c>
      <c r="I1240" s="16" t="str">
        <f t="shared" si="25"/>
        <v/>
      </c>
    </row>
    <row r="1241" spans="1:9" ht="13.5" customHeight="1" x14ac:dyDescent="0.25">
      <c r="A1241" s="41" t="str">
        <f>_xlfn.XLOOKUP(G1241,dd_color!$A$2:$A$8,dd_color!$B$2:$B$8,"",0)</f>
        <v/>
      </c>
      <c r="B1241" s="41">
        <f>_xlfn.XLOOKUP(_xlfn.XLOOKUP(C1241,'Project Details'!$C$17:$C$10003,'Project Details'!$E$17:$E$10003, "",0),dd_design_raw!$A$2:$A$9997,dd_design_raw!$C$2:$C$9997,"",0)</f>
        <v>0</v>
      </c>
      <c r="C1241" s="16"/>
      <c r="D1241" s="16" t="str" cm="1">
        <f t="array" ref="D1241">IF(C1241&lt;&gt;"", _xlfn.IFS(I1241="Height SLI",_xlfn.XLOOKUP(C1241,'calc_s90&amp;138'!$C$15:$C$1000,'calc_s90&amp;138'!$BV$15:$BV$1000,"",0),    I1241="Width", _xlfn.XLOOKUP(C1241,'calc_s90&amp;138'!$C$15:$C$1000,'calc_s90&amp;138'!$BX$15:$BX$1000,"",0)),"")</f>
        <v/>
      </c>
      <c r="E1241" s="16" t="str" cm="1">
        <f t="array" ref="E1241">IF(C1241&lt;&gt;"", _xlfn.XLOOKUP(1,((SKUs!$A$2:$A$10001=cl_unmerged!B1241) * (ISNUMBER(SEARCH("Steel-Screen Frame",SKUs!$J$2:$J$10001)))), SKUs!$J$2:$J$10001,""),"")  &amp; _xlfn.IFS(I1241="Height", ", H",I1241="Height SLI", ", H SLI", I1241="Height FIX", ", H FIX",I1241="Width", ", W", I1241="", "")</f>
        <v/>
      </c>
      <c r="F1241" s="33" t="str" cm="1">
        <f t="array" ref="F1241">_xlfn.XLOOKUP(1,((SKUs!$A$2:$A$10001=cl_unmerged!B1241) * (ISNUMBER(SEARCH("Steel-Screen Frame",SKUs!$J$2:$J$10001)))), SKUs!$C$2:$C$10001,"")</f>
        <v/>
      </c>
      <c r="G1241" s="16"/>
      <c r="H1241" s="16" t="str" cm="1">
        <f t="array" ref="H1241">IF(C1241&lt;&gt;"", _xlfn.IFS(I1241="Height SLI",_xlfn.XLOOKUP(C1241,'calc_s90&amp;138'!$C$15:$C$1000,'calc_s90&amp;138'!$BU$15:$BU$1000,"",0),  I1241="Width", _xlfn.XLOOKUP(C1241,'calc_s90&amp;138'!$C$15:$C$1000,'calc_s90&amp;138'!$BW$15:$BW$1000,"",0)),"")</f>
        <v/>
      </c>
      <c r="I1241" s="16" t="str">
        <f t="shared" si="25"/>
        <v/>
      </c>
    </row>
    <row r="1242" spans="1:9" ht="13.5" customHeight="1" x14ac:dyDescent="0.25">
      <c r="A1242" s="41" t="str">
        <f>_xlfn.XLOOKUP(G1242,dd_color!$A$2:$A$8,dd_color!$B$2:$B$8,"",0)</f>
        <v/>
      </c>
      <c r="B1242" s="41">
        <f>_xlfn.XLOOKUP(_xlfn.XLOOKUP(C1242,'Project Details'!$C$17:$C$10003,'Project Details'!$E$17:$E$10003, "",0),dd_design_raw!$A$2:$A$9997,dd_design_raw!$C$2:$C$9997,"",0)</f>
        <v>0</v>
      </c>
      <c r="C1242" s="16"/>
      <c r="D1242" s="16" t="str" cm="1">
        <f t="array" ref="D1242">IF(C1242&lt;&gt;"", _xlfn.IFS(I1242="Height SLI",_xlfn.XLOOKUP(C1242,'calc_s90&amp;138'!$C$15:$C$1000,'calc_s90&amp;138'!$BV$15:$BV$1000,"",0),    I1242="Width", _xlfn.XLOOKUP(C1242,'calc_s90&amp;138'!$C$15:$C$1000,'calc_s90&amp;138'!$BX$15:$BX$1000,"",0)),"")</f>
        <v/>
      </c>
      <c r="E1242" s="16" t="str" cm="1">
        <f t="array" ref="E1242">IF(C1242&lt;&gt;"", _xlfn.XLOOKUP(1,((SKUs!$A$2:$A$10001=cl_unmerged!B1242) * (ISNUMBER(SEARCH("Steel-Screen Frame",SKUs!$J$2:$J$10001)))), SKUs!$J$2:$J$10001,""),"")  &amp; _xlfn.IFS(I1242="Height", ", H",I1242="Height SLI", ", H SLI", I1242="Height FIX", ", H FIX",I1242="Width", ", W", I1242="", "")</f>
        <v/>
      </c>
      <c r="F1242" s="33" t="str" cm="1">
        <f t="array" ref="F1242">_xlfn.XLOOKUP(1,((SKUs!$A$2:$A$10001=cl_unmerged!B1242) * (ISNUMBER(SEARCH("Steel-Screen Frame",SKUs!$J$2:$J$10001)))), SKUs!$C$2:$C$10001,"")</f>
        <v/>
      </c>
      <c r="G1242" s="16"/>
      <c r="H1242" s="16" t="str" cm="1">
        <f t="array" ref="H1242">IF(C1242&lt;&gt;"", _xlfn.IFS(I1242="Height SLI",_xlfn.XLOOKUP(C1242,'calc_s90&amp;138'!$C$15:$C$1000,'calc_s90&amp;138'!$BU$15:$BU$1000,"",0),  I1242="Width", _xlfn.XLOOKUP(C1242,'calc_s90&amp;138'!$C$15:$C$1000,'calc_s90&amp;138'!$BW$15:$BW$1000,"",0)),"")</f>
        <v/>
      </c>
      <c r="I1242" s="16" t="str">
        <f t="shared" si="25"/>
        <v/>
      </c>
    </row>
    <row r="1243" spans="1:9" ht="13.5" customHeight="1" x14ac:dyDescent="0.25">
      <c r="A1243" s="41" t="str">
        <f>_xlfn.XLOOKUP(G1243,dd_color!$A$2:$A$8,dd_color!$B$2:$B$8,"",0)</f>
        <v/>
      </c>
      <c r="B1243" s="41">
        <f>_xlfn.XLOOKUP(_xlfn.XLOOKUP(C1243,'Project Details'!$C$17:$C$10003,'Project Details'!$E$17:$E$10003, "",0),dd_design_raw!$A$2:$A$9997,dd_design_raw!$C$2:$C$9997,"",0)</f>
        <v>0</v>
      </c>
      <c r="C1243" s="16"/>
      <c r="D1243" s="16" t="str" cm="1">
        <f t="array" ref="D1243">IF(C1243&lt;&gt;"", _xlfn.IFS(I1243="Height SLI",_xlfn.XLOOKUP(C1243,'calc_s90&amp;138'!$C$15:$C$1000,'calc_s90&amp;138'!$BV$15:$BV$1000,"",0),    I1243="Width", _xlfn.XLOOKUP(C1243,'calc_s90&amp;138'!$C$15:$C$1000,'calc_s90&amp;138'!$BX$15:$BX$1000,"",0)),"")</f>
        <v/>
      </c>
      <c r="E1243" s="16" t="str" cm="1">
        <f t="array" ref="E1243">IF(C1243&lt;&gt;"", _xlfn.XLOOKUP(1,((SKUs!$A$2:$A$10001=cl_unmerged!B1243) * (ISNUMBER(SEARCH("Steel-Screen Frame",SKUs!$J$2:$J$10001)))), SKUs!$J$2:$J$10001,""),"")  &amp; _xlfn.IFS(I1243="Height", ", H",I1243="Height SLI", ", H SLI", I1243="Height FIX", ", H FIX",I1243="Width", ", W", I1243="", "")</f>
        <v/>
      </c>
      <c r="F1243" s="33" t="str" cm="1">
        <f t="array" ref="F1243">_xlfn.XLOOKUP(1,((SKUs!$A$2:$A$10001=cl_unmerged!B1243) * (ISNUMBER(SEARCH("Steel-Screen Frame",SKUs!$J$2:$J$10001)))), SKUs!$C$2:$C$10001,"")</f>
        <v/>
      </c>
      <c r="G1243" s="16"/>
      <c r="H1243" s="16" t="str" cm="1">
        <f t="array" ref="H1243">IF(C1243&lt;&gt;"", _xlfn.IFS(I1243="Height SLI",_xlfn.XLOOKUP(C1243,'calc_s90&amp;138'!$C$15:$C$1000,'calc_s90&amp;138'!$BU$15:$BU$1000,"",0),  I1243="Width", _xlfn.XLOOKUP(C1243,'calc_s90&amp;138'!$C$15:$C$1000,'calc_s90&amp;138'!$BW$15:$BW$1000,"",0)),"")</f>
        <v/>
      </c>
      <c r="I1243" s="16" t="str">
        <f t="shared" si="25"/>
        <v/>
      </c>
    </row>
    <row r="1244" spans="1:9" ht="13.5" customHeight="1" x14ac:dyDescent="0.25">
      <c r="A1244" s="41" t="str">
        <f>_xlfn.XLOOKUP(G1244,dd_color!$A$2:$A$8,dd_color!$B$2:$B$8,"",0)</f>
        <v/>
      </c>
      <c r="B1244" s="41">
        <f>_xlfn.XLOOKUP(_xlfn.XLOOKUP(C1244,'Project Details'!$C$17:$C$10003,'Project Details'!$E$17:$E$10003, "",0),dd_design_raw!$A$2:$A$9997,dd_design_raw!$C$2:$C$9997,"",0)</f>
        <v>0</v>
      </c>
      <c r="C1244" s="16"/>
      <c r="D1244" s="16" t="str" cm="1">
        <f t="array" ref="D1244">IF(C1244&lt;&gt;"", _xlfn.IFS(I1244="Height SLI",_xlfn.XLOOKUP(C1244,'calc_s90&amp;138'!$C$15:$C$1000,'calc_s90&amp;138'!$BV$15:$BV$1000,"",0),    I1244="Width", _xlfn.XLOOKUP(C1244,'calc_s90&amp;138'!$C$15:$C$1000,'calc_s90&amp;138'!$BX$15:$BX$1000,"",0)),"")</f>
        <v/>
      </c>
      <c r="E1244" s="16" t="str" cm="1">
        <f t="array" ref="E1244">IF(C1244&lt;&gt;"", _xlfn.XLOOKUP(1,((SKUs!$A$2:$A$10001=cl_unmerged!B1244) * (ISNUMBER(SEARCH("Steel-Screen Frame",SKUs!$J$2:$J$10001)))), SKUs!$J$2:$J$10001,""),"")  &amp; _xlfn.IFS(I1244="Height", ", H",I1244="Height SLI", ", H SLI", I1244="Height FIX", ", H FIX",I1244="Width", ", W", I1244="", "")</f>
        <v/>
      </c>
      <c r="F1244" s="33" t="str" cm="1">
        <f t="array" ref="F1244">_xlfn.XLOOKUP(1,((SKUs!$A$2:$A$10001=cl_unmerged!B1244) * (ISNUMBER(SEARCH("Steel-Screen Frame",SKUs!$J$2:$J$10001)))), SKUs!$C$2:$C$10001,"")</f>
        <v/>
      </c>
      <c r="G1244" s="16"/>
      <c r="H1244" s="16" t="str" cm="1">
        <f t="array" ref="H1244">IF(C1244&lt;&gt;"", _xlfn.IFS(I1244="Height SLI",_xlfn.XLOOKUP(C1244,'calc_s90&amp;138'!$C$15:$C$1000,'calc_s90&amp;138'!$BU$15:$BU$1000,"",0),  I1244="Width", _xlfn.XLOOKUP(C1244,'calc_s90&amp;138'!$C$15:$C$1000,'calc_s90&amp;138'!$BW$15:$BW$1000,"",0)),"")</f>
        <v/>
      </c>
      <c r="I1244" s="16" t="str">
        <f t="shared" si="25"/>
        <v/>
      </c>
    </row>
    <row r="1245" spans="1:9" ht="13.5" customHeight="1" x14ac:dyDescent="0.25">
      <c r="A1245" s="41" t="str">
        <f>_xlfn.XLOOKUP(G1245,dd_color!$A$2:$A$8,dd_color!$B$2:$B$8,"",0)</f>
        <v/>
      </c>
      <c r="B1245" s="41">
        <f>_xlfn.XLOOKUP(_xlfn.XLOOKUP(C1245,'Project Details'!$C$17:$C$10003,'Project Details'!$E$17:$E$10003, "",0),dd_design_raw!$A$2:$A$9997,dd_design_raw!$C$2:$C$9997,"",0)</f>
        <v>0</v>
      </c>
      <c r="C1245" s="16"/>
      <c r="D1245" s="16" t="str" cm="1">
        <f t="array" ref="D1245">IF(C1245&lt;&gt;"", _xlfn.IFS(I1245="Height SLI",_xlfn.XLOOKUP(C1245,'calc_s90&amp;138'!$C$15:$C$1000,'calc_s90&amp;138'!$BV$15:$BV$1000,"",0),    I1245="Width", _xlfn.XLOOKUP(C1245,'calc_s90&amp;138'!$C$15:$C$1000,'calc_s90&amp;138'!$BX$15:$BX$1000,"",0)),"")</f>
        <v/>
      </c>
      <c r="E1245" s="16" t="str" cm="1">
        <f t="array" ref="E1245">IF(C1245&lt;&gt;"", _xlfn.XLOOKUP(1,((SKUs!$A$2:$A$10001=cl_unmerged!B1245) * (ISNUMBER(SEARCH("Steel-Screen Frame",SKUs!$J$2:$J$10001)))), SKUs!$J$2:$J$10001,""),"")  &amp; _xlfn.IFS(I1245="Height", ", H",I1245="Height SLI", ", H SLI", I1245="Height FIX", ", H FIX",I1245="Width", ", W", I1245="", "")</f>
        <v/>
      </c>
      <c r="F1245" s="33" t="str" cm="1">
        <f t="array" ref="F1245">_xlfn.XLOOKUP(1,((SKUs!$A$2:$A$10001=cl_unmerged!B1245) * (ISNUMBER(SEARCH("Steel-Screen Frame",SKUs!$J$2:$J$10001)))), SKUs!$C$2:$C$10001,"")</f>
        <v/>
      </c>
      <c r="G1245" s="16"/>
      <c r="H1245" s="16" t="str" cm="1">
        <f t="array" ref="H1245">IF(C1245&lt;&gt;"", _xlfn.IFS(I1245="Height SLI",_xlfn.XLOOKUP(C1245,'calc_s90&amp;138'!$C$15:$C$1000,'calc_s90&amp;138'!$BU$15:$BU$1000,"",0),  I1245="Width", _xlfn.XLOOKUP(C1245,'calc_s90&amp;138'!$C$15:$C$1000,'calc_s90&amp;138'!$BW$15:$BW$1000,"",0)),"")</f>
        <v/>
      </c>
      <c r="I1245" s="16" t="str">
        <f t="shared" si="25"/>
        <v/>
      </c>
    </row>
    <row r="1246" spans="1:9" ht="13.5" customHeight="1" x14ac:dyDescent="0.25">
      <c r="A1246" s="41" t="str">
        <f>_xlfn.XLOOKUP(G1246,dd_color!$A$2:$A$8,dd_color!$B$2:$B$8,"",0)</f>
        <v/>
      </c>
      <c r="B1246" s="41">
        <f>_xlfn.XLOOKUP(_xlfn.XLOOKUP(C1246,'Project Details'!$C$17:$C$10003,'Project Details'!$E$17:$E$10003, "",0),dd_design_raw!$A$2:$A$9997,dd_design_raw!$C$2:$C$9997,"",0)</f>
        <v>0</v>
      </c>
      <c r="C1246" s="16"/>
      <c r="D1246" s="16" t="str" cm="1">
        <f t="array" ref="D1246">IF(C1246&lt;&gt;"", _xlfn.IFS(I1246="Height SLI",_xlfn.XLOOKUP(C1246,'calc_s90&amp;138'!$C$15:$C$1000,'calc_s90&amp;138'!$BV$15:$BV$1000,"",0),    I1246="Width", _xlfn.XLOOKUP(C1246,'calc_s90&amp;138'!$C$15:$C$1000,'calc_s90&amp;138'!$BX$15:$BX$1000,"",0)),"")</f>
        <v/>
      </c>
      <c r="E1246" s="16" t="str" cm="1">
        <f t="array" ref="E1246">IF(C1246&lt;&gt;"", _xlfn.XLOOKUP(1,((SKUs!$A$2:$A$10001=cl_unmerged!B1246) * (ISNUMBER(SEARCH("Steel-Screen Frame",SKUs!$J$2:$J$10001)))), SKUs!$J$2:$J$10001,""),"")  &amp; _xlfn.IFS(I1246="Height", ", H",I1246="Height SLI", ", H SLI", I1246="Height FIX", ", H FIX",I1246="Width", ", W", I1246="", "")</f>
        <v/>
      </c>
      <c r="F1246" s="33" t="str" cm="1">
        <f t="array" ref="F1246">_xlfn.XLOOKUP(1,((SKUs!$A$2:$A$10001=cl_unmerged!B1246) * (ISNUMBER(SEARCH("Steel-Screen Frame",SKUs!$J$2:$J$10001)))), SKUs!$C$2:$C$10001,"")</f>
        <v/>
      </c>
      <c r="G1246" s="16"/>
      <c r="H1246" s="16" t="str" cm="1">
        <f t="array" ref="H1246">IF(C1246&lt;&gt;"", _xlfn.IFS(I1246="Height SLI",_xlfn.XLOOKUP(C1246,'calc_s90&amp;138'!$C$15:$C$1000,'calc_s90&amp;138'!$BU$15:$BU$1000,"",0),  I1246="Width", _xlfn.XLOOKUP(C1246,'calc_s90&amp;138'!$C$15:$C$1000,'calc_s90&amp;138'!$BW$15:$BW$1000,"",0)),"")</f>
        <v/>
      </c>
      <c r="I1246" s="16" t="str">
        <f t="shared" si="25"/>
        <v/>
      </c>
    </row>
    <row r="1247" spans="1:9" ht="13.5" customHeight="1" x14ac:dyDescent="0.25">
      <c r="A1247" s="41" t="str">
        <f>_xlfn.XLOOKUP(G1247,dd_color!$A$2:$A$8,dd_color!$B$2:$B$8,"",0)</f>
        <v/>
      </c>
      <c r="B1247" s="41">
        <f>_xlfn.XLOOKUP(_xlfn.XLOOKUP(C1247,'Project Details'!$C$17:$C$10003,'Project Details'!$E$17:$E$10003, "",0),dd_design_raw!$A$2:$A$9997,dd_design_raw!$C$2:$C$9997,"",0)</f>
        <v>0</v>
      </c>
      <c r="C1247" s="16"/>
      <c r="D1247" s="16" t="str" cm="1">
        <f t="array" ref="D1247">IF(C1247&lt;&gt;"", _xlfn.IFS(I1247="Height SLI",_xlfn.XLOOKUP(C1247,'calc_s90&amp;138'!$C$15:$C$1000,'calc_s90&amp;138'!$BV$15:$BV$1000,"",0),    I1247="Width", _xlfn.XLOOKUP(C1247,'calc_s90&amp;138'!$C$15:$C$1000,'calc_s90&amp;138'!$BX$15:$BX$1000,"",0)),"")</f>
        <v/>
      </c>
      <c r="E1247" s="16" t="str" cm="1">
        <f t="array" ref="E1247">IF(C1247&lt;&gt;"", _xlfn.XLOOKUP(1,((SKUs!$A$2:$A$10001=cl_unmerged!B1247) * (ISNUMBER(SEARCH("Steel-Screen Frame",SKUs!$J$2:$J$10001)))), SKUs!$J$2:$J$10001,""),"")  &amp; _xlfn.IFS(I1247="Height", ", H",I1247="Height SLI", ", H SLI", I1247="Height FIX", ", H FIX",I1247="Width", ", W", I1247="", "")</f>
        <v/>
      </c>
      <c r="F1247" s="33" t="str" cm="1">
        <f t="array" ref="F1247">_xlfn.XLOOKUP(1,((SKUs!$A$2:$A$10001=cl_unmerged!B1247) * (ISNUMBER(SEARCH("Steel-Screen Frame",SKUs!$J$2:$J$10001)))), SKUs!$C$2:$C$10001,"")</f>
        <v/>
      </c>
      <c r="G1247" s="16"/>
      <c r="H1247" s="16" t="str" cm="1">
        <f t="array" ref="H1247">IF(C1247&lt;&gt;"", _xlfn.IFS(I1247="Height SLI",_xlfn.XLOOKUP(C1247,'calc_s90&amp;138'!$C$15:$C$1000,'calc_s90&amp;138'!$BU$15:$BU$1000,"",0),  I1247="Width", _xlfn.XLOOKUP(C1247,'calc_s90&amp;138'!$C$15:$C$1000,'calc_s90&amp;138'!$BW$15:$BW$1000,"",0)),"")</f>
        <v/>
      </c>
      <c r="I1247" s="16" t="str">
        <f t="shared" si="25"/>
        <v/>
      </c>
    </row>
    <row r="1248" spans="1:9" ht="13.5" customHeight="1" x14ac:dyDescent="0.25">
      <c r="A1248" s="41" t="str">
        <f>_xlfn.XLOOKUP(G1248,dd_color!$A$2:$A$8,dd_color!$B$2:$B$8,"",0)</f>
        <v/>
      </c>
      <c r="B1248" s="41">
        <f>_xlfn.XLOOKUP(_xlfn.XLOOKUP(C1248,'Project Details'!$C$17:$C$10003,'Project Details'!$E$17:$E$10003, "",0),dd_design_raw!$A$2:$A$9997,dd_design_raw!$C$2:$C$9997,"",0)</f>
        <v>0</v>
      </c>
      <c r="C1248" s="16"/>
      <c r="D1248" s="16" t="str" cm="1">
        <f t="array" ref="D1248">IF(C1248&lt;&gt;"", _xlfn.IFS(I1248="Height SLI",_xlfn.XLOOKUP(C1248,'calc_s90&amp;138'!$C$15:$C$1000,'calc_s90&amp;138'!$BV$15:$BV$1000,"",0),    I1248="Width", _xlfn.XLOOKUP(C1248,'calc_s90&amp;138'!$C$15:$C$1000,'calc_s90&amp;138'!$BX$15:$BX$1000,"",0)),"")</f>
        <v/>
      </c>
      <c r="E1248" s="16" t="str" cm="1">
        <f t="array" ref="E1248">IF(C1248&lt;&gt;"", _xlfn.XLOOKUP(1,((SKUs!$A$2:$A$10001=cl_unmerged!B1248) * (ISNUMBER(SEARCH("Steel-Screen Frame",SKUs!$J$2:$J$10001)))), SKUs!$J$2:$J$10001,""),"")  &amp; _xlfn.IFS(I1248="Height", ", H",I1248="Height SLI", ", H SLI", I1248="Height FIX", ", H FIX",I1248="Width", ", W", I1248="", "")</f>
        <v/>
      </c>
      <c r="F1248" s="33" t="str" cm="1">
        <f t="array" ref="F1248">_xlfn.XLOOKUP(1,((SKUs!$A$2:$A$10001=cl_unmerged!B1248) * (ISNUMBER(SEARCH("Steel-Screen Frame",SKUs!$J$2:$J$10001)))), SKUs!$C$2:$C$10001,"")</f>
        <v/>
      </c>
      <c r="G1248" s="16"/>
      <c r="H1248" s="16" t="str" cm="1">
        <f t="array" ref="H1248">IF(C1248&lt;&gt;"", _xlfn.IFS(I1248="Height SLI",_xlfn.XLOOKUP(C1248,'calc_s90&amp;138'!$C$15:$C$1000,'calc_s90&amp;138'!$BU$15:$BU$1000,"",0),  I1248="Width", _xlfn.XLOOKUP(C1248,'calc_s90&amp;138'!$C$15:$C$1000,'calc_s90&amp;138'!$BW$15:$BW$1000,"",0)),"")</f>
        <v/>
      </c>
      <c r="I1248" s="16" t="str">
        <f t="shared" si="25"/>
        <v/>
      </c>
    </row>
    <row r="1249" spans="1:9" ht="13.5" customHeight="1" x14ac:dyDescent="0.25">
      <c r="A1249" s="41" t="str">
        <f>_xlfn.XLOOKUP(G1249,dd_color!$A$2:$A$8,dd_color!$B$2:$B$8,"",0)</f>
        <v/>
      </c>
      <c r="B1249" s="41">
        <f>_xlfn.XLOOKUP(_xlfn.XLOOKUP(C1249,'Project Details'!$C$17:$C$10003,'Project Details'!$E$17:$E$10003, "",0),dd_design_raw!$A$2:$A$9997,dd_design_raw!$C$2:$C$9997,"",0)</f>
        <v>0</v>
      </c>
      <c r="C1249" s="16"/>
      <c r="D1249" s="16" t="str" cm="1">
        <f t="array" ref="D1249">IF(C1249&lt;&gt;"", _xlfn.IFS(I1249="Height SLI",_xlfn.XLOOKUP(C1249,'calc_s90&amp;138'!$C$15:$C$1000,'calc_s90&amp;138'!$BV$15:$BV$1000,"",0),    I1249="Width", _xlfn.XLOOKUP(C1249,'calc_s90&amp;138'!$C$15:$C$1000,'calc_s90&amp;138'!$BX$15:$BX$1000,"",0)),"")</f>
        <v/>
      </c>
      <c r="E1249" s="16" t="str" cm="1">
        <f t="array" ref="E1249">IF(C1249&lt;&gt;"", _xlfn.XLOOKUP(1,((SKUs!$A$2:$A$10001=cl_unmerged!B1249) * (ISNUMBER(SEARCH("Steel-Screen Frame",SKUs!$J$2:$J$10001)))), SKUs!$J$2:$J$10001,""),"")  &amp; _xlfn.IFS(I1249="Height", ", H",I1249="Height SLI", ", H SLI", I1249="Height FIX", ", H FIX",I1249="Width", ", W", I1249="", "")</f>
        <v/>
      </c>
      <c r="F1249" s="33" t="str" cm="1">
        <f t="array" ref="F1249">_xlfn.XLOOKUP(1,((SKUs!$A$2:$A$10001=cl_unmerged!B1249) * (ISNUMBER(SEARCH("Steel-Screen Frame",SKUs!$J$2:$J$10001)))), SKUs!$C$2:$C$10001,"")</f>
        <v/>
      </c>
      <c r="G1249" s="16"/>
      <c r="H1249" s="16" t="str" cm="1">
        <f t="array" ref="H1249">IF(C1249&lt;&gt;"", _xlfn.IFS(I1249="Height SLI",_xlfn.XLOOKUP(C1249,'calc_s90&amp;138'!$C$15:$C$1000,'calc_s90&amp;138'!$BU$15:$BU$1000,"",0),  I1249="Width", _xlfn.XLOOKUP(C1249,'calc_s90&amp;138'!$C$15:$C$1000,'calc_s90&amp;138'!$BW$15:$BW$1000,"",0)),"")</f>
        <v/>
      </c>
      <c r="I1249" s="16" t="str">
        <f t="shared" si="25"/>
        <v/>
      </c>
    </row>
    <row r="1250" spans="1:9" ht="13.5" customHeight="1" x14ac:dyDescent="0.25">
      <c r="A1250" s="41" t="str">
        <f>_xlfn.XLOOKUP(G1250,dd_color!$A$2:$A$8,dd_color!$B$2:$B$8,"",0)</f>
        <v/>
      </c>
      <c r="B1250" s="41">
        <f>_xlfn.XLOOKUP(_xlfn.XLOOKUP(C1250,'Project Details'!$C$17:$C$10003,'Project Details'!$E$17:$E$10003, "",0),dd_design_raw!$A$2:$A$9997,dd_design_raw!$C$2:$C$9997,"",0)</f>
        <v>0</v>
      </c>
      <c r="C1250" s="16"/>
      <c r="D1250" s="16" t="str" cm="1">
        <f t="array" ref="D1250">IF(C1250&lt;&gt;"", _xlfn.IFS(I1250="Height SLI",_xlfn.XLOOKUP(C1250,'calc_s90&amp;138'!$C$15:$C$1000,'calc_s90&amp;138'!$BV$15:$BV$1000,"",0),    I1250="Width", _xlfn.XLOOKUP(C1250,'calc_s90&amp;138'!$C$15:$C$1000,'calc_s90&amp;138'!$BX$15:$BX$1000,"",0)),"")</f>
        <v/>
      </c>
      <c r="E1250" s="16" t="str" cm="1">
        <f t="array" ref="E1250">IF(C1250&lt;&gt;"", _xlfn.XLOOKUP(1,((SKUs!$A$2:$A$10001=cl_unmerged!B1250) * (ISNUMBER(SEARCH("Steel-Screen Frame",SKUs!$J$2:$J$10001)))), SKUs!$J$2:$J$10001,""),"")  &amp; _xlfn.IFS(I1250="Height", ", H",I1250="Height SLI", ", H SLI", I1250="Height FIX", ", H FIX",I1250="Width", ", W", I1250="", "")</f>
        <v/>
      </c>
      <c r="F1250" s="33" t="str" cm="1">
        <f t="array" ref="F1250">_xlfn.XLOOKUP(1,((SKUs!$A$2:$A$10001=cl_unmerged!B1250) * (ISNUMBER(SEARCH("Steel-Screen Frame",SKUs!$J$2:$J$10001)))), SKUs!$C$2:$C$10001,"")</f>
        <v/>
      </c>
      <c r="G1250" s="16"/>
      <c r="H1250" s="16" t="str" cm="1">
        <f t="array" ref="H1250">IF(C1250&lt;&gt;"", _xlfn.IFS(I1250="Height SLI",_xlfn.XLOOKUP(C1250,'calc_s90&amp;138'!$C$15:$C$1000,'calc_s90&amp;138'!$BU$15:$BU$1000,"",0),  I1250="Width", _xlfn.XLOOKUP(C1250,'calc_s90&amp;138'!$C$15:$C$1000,'calc_s90&amp;138'!$BW$15:$BW$1000,"",0)),"")</f>
        <v/>
      </c>
      <c r="I1250" s="16" t="str">
        <f t="shared" si="25"/>
        <v/>
      </c>
    </row>
    <row r="1251" spans="1:9" ht="13.5" customHeight="1" x14ac:dyDescent="0.25">
      <c r="A1251" s="41" t="str">
        <f>_xlfn.XLOOKUP(G1251,dd_color!$A$2:$A$8,dd_color!$B$2:$B$8,"",0)</f>
        <v/>
      </c>
      <c r="B1251" s="41">
        <f>_xlfn.XLOOKUP(_xlfn.XLOOKUP(C1251,'Project Details'!$C$17:$C$10003,'Project Details'!$E$17:$E$10003, "",0),dd_design_raw!$A$2:$A$9997,dd_design_raw!$C$2:$C$9997,"",0)</f>
        <v>0</v>
      </c>
      <c r="C1251" s="16"/>
      <c r="D1251" s="16" t="str" cm="1">
        <f t="array" ref="D1251">IF(C1251&lt;&gt;"", _xlfn.IFS(I1251="Height SLI",_xlfn.XLOOKUP(C1251,'calc_s90&amp;138'!$C$15:$C$1000,'calc_s90&amp;138'!$BV$15:$BV$1000,"",0),    I1251="Width", _xlfn.XLOOKUP(C1251,'calc_s90&amp;138'!$C$15:$C$1000,'calc_s90&amp;138'!$BX$15:$BX$1000,"",0)),"")</f>
        <v/>
      </c>
      <c r="E1251" s="16" t="str" cm="1">
        <f t="array" ref="E1251">IF(C1251&lt;&gt;"", _xlfn.XLOOKUP(1,((SKUs!$A$2:$A$10001=cl_unmerged!B1251) * (ISNUMBER(SEARCH("Steel-Screen Frame",SKUs!$J$2:$J$10001)))), SKUs!$J$2:$J$10001,""),"")  &amp; _xlfn.IFS(I1251="Height", ", H",I1251="Height SLI", ", H SLI", I1251="Height FIX", ", H FIX",I1251="Width", ", W", I1251="", "")</f>
        <v/>
      </c>
      <c r="F1251" s="33" t="str" cm="1">
        <f t="array" ref="F1251">_xlfn.XLOOKUP(1,((SKUs!$A$2:$A$10001=cl_unmerged!B1251) * (ISNUMBER(SEARCH("Steel-Screen Frame",SKUs!$J$2:$J$10001)))), SKUs!$C$2:$C$10001,"")</f>
        <v/>
      </c>
      <c r="G1251" s="16"/>
      <c r="H1251" s="16" t="str" cm="1">
        <f t="array" ref="H1251">IF(C1251&lt;&gt;"", _xlfn.IFS(I1251="Height SLI",_xlfn.XLOOKUP(C1251,'calc_s90&amp;138'!$C$15:$C$1000,'calc_s90&amp;138'!$BU$15:$BU$1000,"",0),  I1251="Width", _xlfn.XLOOKUP(C1251,'calc_s90&amp;138'!$C$15:$C$1000,'calc_s90&amp;138'!$BW$15:$BW$1000,"",0)),"")</f>
        <v/>
      </c>
      <c r="I1251" s="16" t="str">
        <f t="shared" si="25"/>
        <v/>
      </c>
    </row>
    <row r="1252" spans="1:9" ht="13.5" customHeight="1" x14ac:dyDescent="0.25">
      <c r="A1252" s="41" t="str">
        <f>_xlfn.XLOOKUP(G1252,dd_color!$A$2:$A$8,dd_color!$B$2:$B$8,"",0)</f>
        <v/>
      </c>
      <c r="B1252" s="41">
        <f>_xlfn.XLOOKUP(_xlfn.XLOOKUP(C1252,'Project Details'!$C$17:$C$10003,'Project Details'!$E$17:$E$10003, "",0),dd_design_raw!$A$2:$A$9997,dd_design_raw!$C$2:$C$9997,"",0)</f>
        <v>0</v>
      </c>
      <c r="C1252" s="16"/>
      <c r="D1252" s="16" t="str" cm="1">
        <f t="array" ref="D1252">IF(C1252&lt;&gt;"", _xlfn.IFS(I1252="Height SLI",_xlfn.XLOOKUP(C1252,'calc_s90&amp;138'!$C$15:$C$1000,'calc_s90&amp;138'!$BV$15:$BV$1000,"",0),    I1252="Width", _xlfn.XLOOKUP(C1252,'calc_s90&amp;138'!$C$15:$C$1000,'calc_s90&amp;138'!$BX$15:$BX$1000,"",0)),"")</f>
        <v/>
      </c>
      <c r="E1252" s="16" t="str" cm="1">
        <f t="array" ref="E1252">IF(C1252&lt;&gt;"", _xlfn.XLOOKUP(1,((SKUs!$A$2:$A$10001=cl_unmerged!B1252) * (ISNUMBER(SEARCH("Steel-Screen Frame",SKUs!$J$2:$J$10001)))), SKUs!$J$2:$J$10001,""),"")  &amp; _xlfn.IFS(I1252="Height", ", H",I1252="Height SLI", ", H SLI", I1252="Height FIX", ", H FIX",I1252="Width", ", W", I1252="", "")</f>
        <v/>
      </c>
      <c r="F1252" s="33" t="str" cm="1">
        <f t="array" ref="F1252">_xlfn.XLOOKUP(1,((SKUs!$A$2:$A$10001=cl_unmerged!B1252) * (ISNUMBER(SEARCH("Steel-Screen Frame",SKUs!$J$2:$J$10001)))), SKUs!$C$2:$C$10001,"")</f>
        <v/>
      </c>
      <c r="G1252" s="16"/>
      <c r="H1252" s="16" t="str" cm="1">
        <f t="array" ref="H1252">IF(C1252&lt;&gt;"", _xlfn.IFS(I1252="Height SLI",_xlfn.XLOOKUP(C1252,'calc_s90&amp;138'!$C$15:$C$1000,'calc_s90&amp;138'!$BU$15:$BU$1000,"",0),  I1252="Width", _xlfn.XLOOKUP(C1252,'calc_s90&amp;138'!$C$15:$C$1000,'calc_s90&amp;138'!$BW$15:$BW$1000,"",0)),"")</f>
        <v/>
      </c>
      <c r="I1252" s="16" t="str">
        <f t="shared" si="25"/>
        <v/>
      </c>
    </row>
    <row r="1253" spans="1:9" ht="13.5" customHeight="1" x14ac:dyDescent="0.25">
      <c r="A1253" s="41" t="str">
        <f>_xlfn.XLOOKUP(G1253,dd_color!$A$2:$A$8,dd_color!$B$2:$B$8,"",0)</f>
        <v/>
      </c>
      <c r="B1253" s="41">
        <f>_xlfn.XLOOKUP(_xlfn.XLOOKUP(C1253,'Project Details'!$C$17:$C$10003,'Project Details'!$E$17:$E$10003, "",0),dd_design_raw!$A$2:$A$9997,dd_design_raw!$C$2:$C$9997,"",0)</f>
        <v>0</v>
      </c>
      <c r="C1253" s="16"/>
      <c r="D1253" s="16" t="str" cm="1">
        <f t="array" ref="D1253">IF(C1253&lt;&gt;"", _xlfn.IFS(I1253="Height SLI",_xlfn.XLOOKUP(C1253,'calc_s90&amp;138'!$C$15:$C$1000,'calc_s90&amp;138'!$BV$15:$BV$1000,"",0),    I1253="Width", _xlfn.XLOOKUP(C1253,'calc_s90&amp;138'!$C$15:$C$1000,'calc_s90&amp;138'!$BX$15:$BX$1000,"",0)),"")</f>
        <v/>
      </c>
      <c r="E1253" s="16" t="str" cm="1">
        <f t="array" ref="E1253">IF(C1253&lt;&gt;"", _xlfn.XLOOKUP(1,((SKUs!$A$2:$A$10001=cl_unmerged!B1253) * (ISNUMBER(SEARCH("Steel-Screen Frame",SKUs!$J$2:$J$10001)))), SKUs!$J$2:$J$10001,""),"")  &amp; _xlfn.IFS(I1253="Height", ", H",I1253="Height SLI", ", H SLI", I1253="Height FIX", ", H FIX",I1253="Width", ", W", I1253="", "")</f>
        <v/>
      </c>
      <c r="F1253" s="33" t="str" cm="1">
        <f t="array" ref="F1253">_xlfn.XLOOKUP(1,((SKUs!$A$2:$A$10001=cl_unmerged!B1253) * (ISNUMBER(SEARCH("Steel-Screen Frame",SKUs!$J$2:$J$10001)))), SKUs!$C$2:$C$10001,"")</f>
        <v/>
      </c>
      <c r="G1253" s="16"/>
      <c r="H1253" s="16" t="str" cm="1">
        <f t="array" ref="H1253">IF(C1253&lt;&gt;"", _xlfn.IFS(I1253="Height SLI",_xlfn.XLOOKUP(C1253,'calc_s90&amp;138'!$C$15:$C$1000,'calc_s90&amp;138'!$BU$15:$BU$1000,"",0),  I1253="Width", _xlfn.XLOOKUP(C1253,'calc_s90&amp;138'!$C$15:$C$1000,'calc_s90&amp;138'!$BW$15:$BW$1000,"",0)),"")</f>
        <v/>
      </c>
      <c r="I1253" s="16" t="str">
        <f t="shared" si="25"/>
        <v/>
      </c>
    </row>
    <row r="1254" spans="1:9" ht="13.5" customHeight="1" x14ac:dyDescent="0.25">
      <c r="A1254" s="41" t="str">
        <f>_xlfn.XLOOKUP(G1254,dd_color!$A$2:$A$8,dd_color!$B$2:$B$8,"",0)</f>
        <v/>
      </c>
      <c r="B1254" s="41">
        <f>_xlfn.XLOOKUP(_xlfn.XLOOKUP(C1254,'Project Details'!$C$17:$C$10003,'Project Details'!$E$17:$E$10003, "",0),dd_design_raw!$A$2:$A$9997,dd_design_raw!$C$2:$C$9997,"",0)</f>
        <v>0</v>
      </c>
      <c r="C1254" s="16"/>
      <c r="D1254" s="16" t="str" cm="1">
        <f t="array" ref="D1254">IF(C1254&lt;&gt;"", _xlfn.IFS(I1254="Height SLI",_xlfn.XLOOKUP(C1254,'calc_s90&amp;138'!$C$15:$C$1000,'calc_s90&amp;138'!$BV$15:$BV$1000,"",0),    I1254="Width", _xlfn.XLOOKUP(C1254,'calc_s90&amp;138'!$C$15:$C$1000,'calc_s90&amp;138'!$BX$15:$BX$1000,"",0)),"")</f>
        <v/>
      </c>
      <c r="E1254" s="16" t="str" cm="1">
        <f t="array" ref="E1254">IF(C1254&lt;&gt;"", _xlfn.XLOOKUP(1,((SKUs!$A$2:$A$10001=cl_unmerged!B1254) * (ISNUMBER(SEARCH("Steel-Screen Frame",SKUs!$J$2:$J$10001)))), SKUs!$J$2:$J$10001,""),"")  &amp; _xlfn.IFS(I1254="Height", ", H",I1254="Height SLI", ", H SLI", I1254="Height FIX", ", H FIX",I1254="Width", ", W", I1254="", "")</f>
        <v/>
      </c>
      <c r="F1254" s="33" t="str" cm="1">
        <f t="array" ref="F1254">_xlfn.XLOOKUP(1,((SKUs!$A$2:$A$10001=cl_unmerged!B1254) * (ISNUMBER(SEARCH("Steel-Screen Frame",SKUs!$J$2:$J$10001)))), SKUs!$C$2:$C$10001,"")</f>
        <v/>
      </c>
      <c r="G1254" s="16"/>
      <c r="H1254" s="16" t="str" cm="1">
        <f t="array" ref="H1254">IF(C1254&lt;&gt;"", _xlfn.IFS(I1254="Height SLI",_xlfn.XLOOKUP(C1254,'calc_s90&amp;138'!$C$15:$C$1000,'calc_s90&amp;138'!$BU$15:$BU$1000,"",0),  I1254="Width", _xlfn.XLOOKUP(C1254,'calc_s90&amp;138'!$C$15:$C$1000,'calc_s90&amp;138'!$BW$15:$BW$1000,"",0)),"")</f>
        <v/>
      </c>
      <c r="I1254" s="16" t="str">
        <f t="shared" si="25"/>
        <v/>
      </c>
    </row>
    <row r="1255" spans="1:9" ht="13.5" customHeight="1" x14ac:dyDescent="0.25">
      <c r="A1255" s="41" t="str">
        <f>_xlfn.XLOOKUP(G1255,dd_color!$A$2:$A$8,dd_color!$B$2:$B$8,"",0)</f>
        <v/>
      </c>
      <c r="B1255" s="41">
        <f>_xlfn.XLOOKUP(_xlfn.XLOOKUP(C1255,'Project Details'!$C$17:$C$10003,'Project Details'!$E$17:$E$10003, "",0),dd_design_raw!$A$2:$A$9997,dd_design_raw!$C$2:$C$9997,"",0)</f>
        <v>0</v>
      </c>
      <c r="C1255" s="16"/>
      <c r="D1255" s="16" t="str" cm="1">
        <f t="array" ref="D1255">IF(C1255&lt;&gt;"", _xlfn.IFS(I1255="Height SLI",_xlfn.XLOOKUP(C1255,'calc_s90&amp;138'!$C$15:$C$1000,'calc_s90&amp;138'!$BV$15:$BV$1000,"",0),    I1255="Width", _xlfn.XLOOKUP(C1255,'calc_s90&amp;138'!$C$15:$C$1000,'calc_s90&amp;138'!$BX$15:$BX$1000,"",0)),"")</f>
        <v/>
      </c>
      <c r="E1255" s="16" t="str" cm="1">
        <f t="array" ref="E1255">IF(C1255&lt;&gt;"", _xlfn.XLOOKUP(1,((SKUs!$A$2:$A$10001=cl_unmerged!B1255) * (ISNUMBER(SEARCH("Steel-Screen Frame",SKUs!$J$2:$J$10001)))), SKUs!$J$2:$J$10001,""),"")  &amp; _xlfn.IFS(I1255="Height", ", H",I1255="Height SLI", ", H SLI", I1255="Height FIX", ", H FIX",I1255="Width", ", W", I1255="", "")</f>
        <v/>
      </c>
      <c r="F1255" s="33" t="str" cm="1">
        <f t="array" ref="F1255">_xlfn.XLOOKUP(1,((SKUs!$A$2:$A$10001=cl_unmerged!B1255) * (ISNUMBER(SEARCH("Steel-Screen Frame",SKUs!$J$2:$J$10001)))), SKUs!$C$2:$C$10001,"")</f>
        <v/>
      </c>
      <c r="G1255" s="16"/>
      <c r="H1255" s="16" t="str" cm="1">
        <f t="array" ref="H1255">IF(C1255&lt;&gt;"", _xlfn.IFS(I1255="Height SLI",_xlfn.XLOOKUP(C1255,'calc_s90&amp;138'!$C$15:$C$1000,'calc_s90&amp;138'!$BU$15:$BU$1000,"",0),  I1255="Width", _xlfn.XLOOKUP(C1255,'calc_s90&amp;138'!$C$15:$C$1000,'calc_s90&amp;138'!$BW$15:$BW$1000,"",0)),"")</f>
        <v/>
      </c>
      <c r="I1255" s="16" t="str">
        <f t="shared" si="25"/>
        <v/>
      </c>
    </row>
    <row r="1256" spans="1:9" ht="13.5" customHeight="1" x14ac:dyDescent="0.25">
      <c r="A1256" s="41" t="str">
        <f>_xlfn.XLOOKUP(G1256,dd_color!$A$2:$A$8,dd_color!$B$2:$B$8,"",0)</f>
        <v/>
      </c>
      <c r="B1256" s="41">
        <f>_xlfn.XLOOKUP(_xlfn.XLOOKUP(C1256,'Project Details'!$C$17:$C$10003,'Project Details'!$E$17:$E$10003, "",0),dd_design_raw!$A$2:$A$9997,dd_design_raw!$C$2:$C$9997,"",0)</f>
        <v>0</v>
      </c>
      <c r="C1256" s="16"/>
      <c r="D1256" s="16" t="str" cm="1">
        <f t="array" ref="D1256">IF(C1256&lt;&gt;"", _xlfn.IFS(I1256="Height SLI",_xlfn.XLOOKUP(C1256,'calc_s90&amp;138'!$C$15:$C$1000,'calc_s90&amp;138'!$BV$15:$BV$1000,"",0),    I1256="Width", _xlfn.XLOOKUP(C1256,'calc_s90&amp;138'!$C$15:$C$1000,'calc_s90&amp;138'!$BX$15:$BX$1000,"",0)),"")</f>
        <v/>
      </c>
      <c r="E1256" s="16" t="str" cm="1">
        <f t="array" ref="E1256">IF(C1256&lt;&gt;"", _xlfn.XLOOKUP(1,((SKUs!$A$2:$A$10001=cl_unmerged!B1256) * (ISNUMBER(SEARCH("Steel-Screen Frame",SKUs!$J$2:$J$10001)))), SKUs!$J$2:$J$10001,""),"")  &amp; _xlfn.IFS(I1256="Height", ", H",I1256="Height SLI", ", H SLI", I1256="Height FIX", ", H FIX",I1256="Width", ", W", I1256="", "")</f>
        <v/>
      </c>
      <c r="F1256" s="33" t="str" cm="1">
        <f t="array" ref="F1256">_xlfn.XLOOKUP(1,((SKUs!$A$2:$A$10001=cl_unmerged!B1256) * (ISNUMBER(SEARCH("Steel-Screen Frame",SKUs!$J$2:$J$10001)))), SKUs!$C$2:$C$10001,"")</f>
        <v/>
      </c>
      <c r="G1256" s="16"/>
      <c r="H1256" s="16" t="str" cm="1">
        <f t="array" ref="H1256">IF(C1256&lt;&gt;"", _xlfn.IFS(I1256="Height SLI",_xlfn.XLOOKUP(C1256,'calc_s90&amp;138'!$C$15:$C$1000,'calc_s90&amp;138'!$BU$15:$BU$1000,"",0),  I1256="Width", _xlfn.XLOOKUP(C1256,'calc_s90&amp;138'!$C$15:$C$1000,'calc_s90&amp;138'!$BW$15:$BW$1000,"",0)),"")</f>
        <v/>
      </c>
      <c r="I1256" s="16" t="str">
        <f t="shared" si="25"/>
        <v/>
      </c>
    </row>
    <row r="1257" spans="1:9" ht="13.5" customHeight="1" x14ac:dyDescent="0.25">
      <c r="A1257" s="41" t="str">
        <f>_xlfn.XLOOKUP(G1257,dd_color!$A$2:$A$8,dd_color!$B$2:$B$8,"",0)</f>
        <v/>
      </c>
      <c r="B1257" s="41">
        <f>_xlfn.XLOOKUP(_xlfn.XLOOKUP(C1257,'Project Details'!$C$17:$C$10003,'Project Details'!$E$17:$E$10003, "",0),dd_design_raw!$A$2:$A$9997,dd_design_raw!$C$2:$C$9997,"",0)</f>
        <v>0</v>
      </c>
      <c r="C1257" s="16"/>
      <c r="D1257" s="16" t="str" cm="1">
        <f t="array" ref="D1257">IF(C1257&lt;&gt;"", _xlfn.IFS(I1257="Height SLI",_xlfn.XLOOKUP(C1257,'calc_s90&amp;138'!$C$15:$C$1000,'calc_s90&amp;138'!$BV$15:$BV$1000,"",0),    I1257="Width", _xlfn.XLOOKUP(C1257,'calc_s90&amp;138'!$C$15:$C$1000,'calc_s90&amp;138'!$BX$15:$BX$1000,"",0)),"")</f>
        <v/>
      </c>
      <c r="E1257" s="16" t="str" cm="1">
        <f t="array" ref="E1257">IF(C1257&lt;&gt;"", _xlfn.XLOOKUP(1,((SKUs!$A$2:$A$10001=cl_unmerged!B1257) * (ISNUMBER(SEARCH("Steel-Screen Frame",SKUs!$J$2:$J$10001)))), SKUs!$J$2:$J$10001,""),"")  &amp; _xlfn.IFS(I1257="Height", ", H",I1257="Height SLI", ", H SLI", I1257="Height FIX", ", H FIX",I1257="Width", ", W", I1257="", "")</f>
        <v/>
      </c>
      <c r="F1257" s="33" t="str" cm="1">
        <f t="array" ref="F1257">_xlfn.XLOOKUP(1,((SKUs!$A$2:$A$10001=cl_unmerged!B1257) * (ISNUMBER(SEARCH("Steel-Screen Frame",SKUs!$J$2:$J$10001)))), SKUs!$C$2:$C$10001,"")</f>
        <v/>
      </c>
      <c r="G1257" s="16"/>
      <c r="H1257" s="16" t="str" cm="1">
        <f t="array" ref="H1257">IF(C1257&lt;&gt;"", _xlfn.IFS(I1257="Height SLI",_xlfn.XLOOKUP(C1257,'calc_s90&amp;138'!$C$15:$C$1000,'calc_s90&amp;138'!$BU$15:$BU$1000,"",0),  I1257="Width", _xlfn.XLOOKUP(C1257,'calc_s90&amp;138'!$C$15:$C$1000,'calc_s90&amp;138'!$BW$15:$BW$1000,"",0)),"")</f>
        <v/>
      </c>
      <c r="I1257" s="16" t="str">
        <f t="shared" si="25"/>
        <v/>
      </c>
    </row>
    <row r="1258" spans="1:9" ht="13.5" customHeight="1" x14ac:dyDescent="0.25">
      <c r="A1258" s="41" t="str">
        <f>_xlfn.XLOOKUP(G1258,dd_color!$A$2:$A$8,dd_color!$B$2:$B$8,"",0)</f>
        <v/>
      </c>
      <c r="B1258" s="41">
        <f>_xlfn.XLOOKUP(_xlfn.XLOOKUP(C1258,'Project Details'!$C$17:$C$10003,'Project Details'!$E$17:$E$10003, "",0),dd_design_raw!$A$2:$A$9997,dd_design_raw!$C$2:$C$9997,"",0)</f>
        <v>0</v>
      </c>
      <c r="C1258" s="16"/>
      <c r="D1258" s="16" t="str" cm="1">
        <f t="array" ref="D1258">IF(C1258&lt;&gt;"", _xlfn.IFS(I1258="Height SLI",_xlfn.XLOOKUP(C1258,'calc_s90&amp;138'!$C$15:$C$1000,'calc_s90&amp;138'!$BV$15:$BV$1000,"",0),    I1258="Width", _xlfn.XLOOKUP(C1258,'calc_s90&amp;138'!$C$15:$C$1000,'calc_s90&amp;138'!$BX$15:$BX$1000,"",0)),"")</f>
        <v/>
      </c>
      <c r="E1258" s="16" t="str" cm="1">
        <f t="array" ref="E1258">IF(C1258&lt;&gt;"", _xlfn.XLOOKUP(1,((SKUs!$A$2:$A$10001=cl_unmerged!B1258) * (ISNUMBER(SEARCH("Steel-Screen Frame",SKUs!$J$2:$J$10001)))), SKUs!$J$2:$J$10001,""),"")  &amp; _xlfn.IFS(I1258="Height", ", H",I1258="Height SLI", ", H SLI", I1258="Height FIX", ", H FIX",I1258="Width", ", W", I1258="", "")</f>
        <v/>
      </c>
      <c r="F1258" s="33" t="str" cm="1">
        <f t="array" ref="F1258">_xlfn.XLOOKUP(1,((SKUs!$A$2:$A$10001=cl_unmerged!B1258) * (ISNUMBER(SEARCH("Steel-Screen Frame",SKUs!$J$2:$J$10001)))), SKUs!$C$2:$C$10001,"")</f>
        <v/>
      </c>
      <c r="G1258" s="16"/>
      <c r="H1258" s="16" t="str" cm="1">
        <f t="array" ref="H1258">IF(C1258&lt;&gt;"", _xlfn.IFS(I1258="Height SLI",_xlfn.XLOOKUP(C1258,'calc_s90&amp;138'!$C$15:$C$1000,'calc_s90&amp;138'!$BU$15:$BU$1000,"",0),  I1258="Width", _xlfn.XLOOKUP(C1258,'calc_s90&amp;138'!$C$15:$C$1000,'calc_s90&amp;138'!$BW$15:$BW$1000,"",0)),"")</f>
        <v/>
      </c>
      <c r="I1258" s="16" t="str">
        <f t="shared" si="25"/>
        <v/>
      </c>
    </row>
    <row r="1259" spans="1:9" ht="13.5" customHeight="1" x14ac:dyDescent="0.25">
      <c r="A1259" s="41" t="str">
        <f>_xlfn.XLOOKUP(G1259,dd_color!$A$2:$A$8,dd_color!$B$2:$B$8,"",0)</f>
        <v/>
      </c>
      <c r="B1259" s="41">
        <f>_xlfn.XLOOKUP(_xlfn.XLOOKUP(C1259,'Project Details'!$C$17:$C$10003,'Project Details'!$E$17:$E$10003, "",0),dd_design_raw!$A$2:$A$9997,dd_design_raw!$C$2:$C$9997,"",0)</f>
        <v>0</v>
      </c>
      <c r="C1259" s="16"/>
      <c r="D1259" s="16" t="str" cm="1">
        <f t="array" ref="D1259">IF(C1259&lt;&gt;"", _xlfn.IFS(I1259="Height SLI",_xlfn.XLOOKUP(C1259,'calc_s90&amp;138'!$C$15:$C$1000,'calc_s90&amp;138'!$BV$15:$BV$1000,"",0),    I1259="Width", _xlfn.XLOOKUP(C1259,'calc_s90&amp;138'!$C$15:$C$1000,'calc_s90&amp;138'!$BX$15:$BX$1000,"",0)),"")</f>
        <v/>
      </c>
      <c r="E1259" s="16" t="str" cm="1">
        <f t="array" ref="E1259">IF(C1259&lt;&gt;"", _xlfn.XLOOKUP(1,((SKUs!$A$2:$A$10001=cl_unmerged!B1259) * (ISNUMBER(SEARCH("Steel-Screen Frame",SKUs!$J$2:$J$10001)))), SKUs!$J$2:$J$10001,""),"")  &amp; _xlfn.IFS(I1259="Height", ", H",I1259="Height SLI", ", H SLI", I1259="Height FIX", ", H FIX",I1259="Width", ", W", I1259="", "")</f>
        <v/>
      </c>
      <c r="F1259" s="33" t="str" cm="1">
        <f t="array" ref="F1259">_xlfn.XLOOKUP(1,((SKUs!$A$2:$A$10001=cl_unmerged!B1259) * (ISNUMBER(SEARCH("Steel-Screen Frame",SKUs!$J$2:$J$10001)))), SKUs!$C$2:$C$10001,"")</f>
        <v/>
      </c>
      <c r="G1259" s="16"/>
      <c r="H1259" s="16" t="str" cm="1">
        <f t="array" ref="H1259">IF(C1259&lt;&gt;"", _xlfn.IFS(I1259="Height SLI",_xlfn.XLOOKUP(C1259,'calc_s90&amp;138'!$C$15:$C$1000,'calc_s90&amp;138'!$BU$15:$BU$1000,"",0),  I1259="Width", _xlfn.XLOOKUP(C1259,'calc_s90&amp;138'!$C$15:$C$1000,'calc_s90&amp;138'!$BW$15:$BW$1000,"",0)),"")</f>
        <v/>
      </c>
      <c r="I1259" s="16" t="str">
        <f t="shared" si="25"/>
        <v/>
      </c>
    </row>
    <row r="1260" spans="1:9" ht="13.5" customHeight="1" x14ac:dyDescent="0.25">
      <c r="A1260" s="41" t="str">
        <f>_xlfn.XLOOKUP(G1260,dd_color!$A$2:$A$8,dd_color!$B$2:$B$8,"",0)</f>
        <v/>
      </c>
      <c r="B1260" s="41">
        <f>_xlfn.XLOOKUP(_xlfn.XLOOKUP(C1260,'Project Details'!$C$17:$C$10003,'Project Details'!$E$17:$E$10003, "",0),dd_design_raw!$A$2:$A$9997,dd_design_raw!$C$2:$C$9997,"",0)</f>
        <v>0</v>
      </c>
      <c r="C1260" s="16"/>
      <c r="D1260" s="16" t="str" cm="1">
        <f t="array" ref="D1260">IF(C1260&lt;&gt;"", _xlfn.IFS(I1260="Height SLI",_xlfn.XLOOKUP(C1260,'calc_s90&amp;138'!$C$15:$C$1000,'calc_s90&amp;138'!$BV$15:$BV$1000,"",0),    I1260="Width", _xlfn.XLOOKUP(C1260,'calc_s90&amp;138'!$C$15:$C$1000,'calc_s90&amp;138'!$BX$15:$BX$1000,"",0)),"")</f>
        <v/>
      </c>
      <c r="E1260" s="16" t="str" cm="1">
        <f t="array" ref="E1260">IF(C1260&lt;&gt;"", _xlfn.XLOOKUP(1,((SKUs!$A$2:$A$10001=cl_unmerged!B1260) * (ISNUMBER(SEARCH("Steel-Screen Frame",SKUs!$J$2:$J$10001)))), SKUs!$J$2:$J$10001,""),"")  &amp; _xlfn.IFS(I1260="Height", ", H",I1260="Height SLI", ", H SLI", I1260="Height FIX", ", H FIX",I1260="Width", ", W", I1260="", "")</f>
        <v/>
      </c>
      <c r="F1260" s="33" t="str" cm="1">
        <f t="array" ref="F1260">_xlfn.XLOOKUP(1,((SKUs!$A$2:$A$10001=cl_unmerged!B1260) * (ISNUMBER(SEARCH("Steel-Screen Frame",SKUs!$J$2:$J$10001)))), SKUs!$C$2:$C$10001,"")</f>
        <v/>
      </c>
      <c r="G1260" s="16"/>
      <c r="H1260" s="16" t="str" cm="1">
        <f t="array" ref="H1260">IF(C1260&lt;&gt;"", _xlfn.IFS(I1260="Height SLI",_xlfn.XLOOKUP(C1260,'calc_s90&amp;138'!$C$15:$C$1000,'calc_s90&amp;138'!$BU$15:$BU$1000,"",0),  I1260="Width", _xlfn.XLOOKUP(C1260,'calc_s90&amp;138'!$C$15:$C$1000,'calc_s90&amp;138'!$BW$15:$BW$1000,"",0)),"")</f>
        <v/>
      </c>
      <c r="I1260" s="16" t="str">
        <f t="shared" si="25"/>
        <v/>
      </c>
    </row>
    <row r="1261" spans="1:9" ht="13.5" customHeight="1" x14ac:dyDescent="0.25">
      <c r="A1261" s="41" t="str">
        <f>_xlfn.XLOOKUP(G1261,dd_color!$A$2:$A$8,dd_color!$B$2:$B$8,"",0)</f>
        <v/>
      </c>
      <c r="B1261" s="41">
        <f>_xlfn.XLOOKUP(_xlfn.XLOOKUP(C1261,'Project Details'!$C$17:$C$10003,'Project Details'!$E$17:$E$10003, "",0),dd_design_raw!$A$2:$A$9997,dd_design_raw!$C$2:$C$9997,"",0)</f>
        <v>0</v>
      </c>
      <c r="C1261" s="16"/>
      <c r="D1261" s="16" t="str" cm="1">
        <f t="array" ref="D1261">IF(C1261&lt;&gt;"", _xlfn.IFS(I1261="Height SLI",_xlfn.XLOOKUP(C1261,'calc_s90&amp;138'!$C$15:$C$1000,'calc_s90&amp;138'!$BV$15:$BV$1000,"",0),    I1261="Width", _xlfn.XLOOKUP(C1261,'calc_s90&amp;138'!$C$15:$C$1000,'calc_s90&amp;138'!$BX$15:$BX$1000,"",0)),"")</f>
        <v/>
      </c>
      <c r="E1261" s="16" t="str" cm="1">
        <f t="array" ref="E1261">IF(C1261&lt;&gt;"", _xlfn.XLOOKUP(1,((SKUs!$A$2:$A$10001=cl_unmerged!B1261) * (ISNUMBER(SEARCH("Steel-Screen Frame",SKUs!$J$2:$J$10001)))), SKUs!$J$2:$J$10001,""),"")  &amp; _xlfn.IFS(I1261="Height", ", H",I1261="Height SLI", ", H SLI", I1261="Height FIX", ", H FIX",I1261="Width", ", W", I1261="", "")</f>
        <v/>
      </c>
      <c r="F1261" s="33" t="str" cm="1">
        <f t="array" ref="F1261">_xlfn.XLOOKUP(1,((SKUs!$A$2:$A$10001=cl_unmerged!B1261) * (ISNUMBER(SEARCH("Steel-Screen Frame",SKUs!$J$2:$J$10001)))), SKUs!$C$2:$C$10001,"")</f>
        <v/>
      </c>
      <c r="G1261" s="16"/>
      <c r="H1261" s="16" t="str" cm="1">
        <f t="array" ref="H1261">IF(C1261&lt;&gt;"", _xlfn.IFS(I1261="Height SLI",_xlfn.XLOOKUP(C1261,'calc_s90&amp;138'!$C$15:$C$1000,'calc_s90&amp;138'!$BU$15:$BU$1000,"",0),  I1261="Width", _xlfn.XLOOKUP(C1261,'calc_s90&amp;138'!$C$15:$C$1000,'calc_s90&amp;138'!$BW$15:$BW$1000,"",0)),"")</f>
        <v/>
      </c>
      <c r="I1261" s="16" t="str">
        <f t="shared" si="25"/>
        <v/>
      </c>
    </row>
    <row r="1262" spans="1:9" ht="13.5" customHeight="1" x14ac:dyDescent="0.25">
      <c r="A1262" s="41" t="str">
        <f>_xlfn.XLOOKUP(G1262,dd_color!$A$2:$A$8,dd_color!$B$2:$B$8,"",0)</f>
        <v/>
      </c>
      <c r="B1262" s="41">
        <f>_xlfn.XLOOKUP(_xlfn.XLOOKUP(C1262,'Project Details'!$C$17:$C$10003,'Project Details'!$E$17:$E$10003, "",0),dd_design_raw!$A$2:$A$9997,dd_design_raw!$C$2:$C$9997,"",0)</f>
        <v>0</v>
      </c>
      <c r="C1262" s="16"/>
      <c r="D1262" s="16" t="str" cm="1">
        <f t="array" ref="D1262">IF(C1262&lt;&gt;"", _xlfn.IFS(I1262="Height SLI",_xlfn.XLOOKUP(C1262,'calc_s90&amp;138'!$C$15:$C$1000,'calc_s90&amp;138'!$BV$15:$BV$1000,"",0),    I1262="Width", _xlfn.XLOOKUP(C1262,'calc_s90&amp;138'!$C$15:$C$1000,'calc_s90&amp;138'!$BX$15:$BX$1000,"",0)),"")</f>
        <v/>
      </c>
      <c r="E1262" s="16" t="str" cm="1">
        <f t="array" ref="E1262">IF(C1262&lt;&gt;"", _xlfn.XLOOKUP(1,((SKUs!$A$2:$A$10001=cl_unmerged!B1262) * (ISNUMBER(SEARCH("Steel-Screen Frame",SKUs!$J$2:$J$10001)))), SKUs!$J$2:$J$10001,""),"")  &amp; _xlfn.IFS(I1262="Height", ", H",I1262="Height SLI", ", H SLI", I1262="Height FIX", ", H FIX",I1262="Width", ", W", I1262="", "")</f>
        <v/>
      </c>
      <c r="F1262" s="33" t="str" cm="1">
        <f t="array" ref="F1262">_xlfn.XLOOKUP(1,((SKUs!$A$2:$A$10001=cl_unmerged!B1262) * (ISNUMBER(SEARCH("Steel-Screen Frame",SKUs!$J$2:$J$10001)))), SKUs!$C$2:$C$10001,"")</f>
        <v/>
      </c>
      <c r="G1262" s="16"/>
      <c r="H1262" s="16" t="str" cm="1">
        <f t="array" ref="H1262">IF(C1262&lt;&gt;"", _xlfn.IFS(I1262="Height SLI",_xlfn.XLOOKUP(C1262,'calc_s90&amp;138'!$C$15:$C$1000,'calc_s90&amp;138'!$BU$15:$BU$1000,"",0),  I1262="Width", _xlfn.XLOOKUP(C1262,'calc_s90&amp;138'!$C$15:$C$1000,'calc_s90&amp;138'!$BW$15:$BW$1000,"",0)),"")</f>
        <v/>
      </c>
      <c r="I1262" s="16" t="str">
        <f t="shared" si="25"/>
        <v/>
      </c>
    </row>
    <row r="1263" spans="1:9" ht="13.5" customHeight="1" x14ac:dyDescent="0.25">
      <c r="A1263" s="41" t="str">
        <f>_xlfn.XLOOKUP(G1263,dd_color!$A$2:$A$8,dd_color!$B$2:$B$8,"",0)</f>
        <v/>
      </c>
      <c r="B1263" s="41">
        <f>_xlfn.XLOOKUP(_xlfn.XLOOKUP(C1263,'Project Details'!$C$17:$C$10003,'Project Details'!$E$17:$E$10003, "",0),dd_design_raw!$A$2:$A$9997,dd_design_raw!$C$2:$C$9997,"",0)</f>
        <v>0</v>
      </c>
      <c r="C1263" s="16"/>
      <c r="D1263" s="16" t="str" cm="1">
        <f t="array" ref="D1263">IF(C1263&lt;&gt;"", _xlfn.IFS(I1263="Height SLI",_xlfn.XLOOKUP(C1263,'calc_s90&amp;138'!$C$15:$C$1000,'calc_s90&amp;138'!$BV$15:$BV$1000,"",0),    I1263="Width", _xlfn.XLOOKUP(C1263,'calc_s90&amp;138'!$C$15:$C$1000,'calc_s90&amp;138'!$BX$15:$BX$1000,"",0)),"")</f>
        <v/>
      </c>
      <c r="E1263" s="16" t="str" cm="1">
        <f t="array" ref="E1263">IF(C1263&lt;&gt;"", _xlfn.XLOOKUP(1,((SKUs!$A$2:$A$10001=cl_unmerged!B1263) * (ISNUMBER(SEARCH("Steel-Screen Frame",SKUs!$J$2:$J$10001)))), SKUs!$J$2:$J$10001,""),"")  &amp; _xlfn.IFS(I1263="Height", ", H",I1263="Height SLI", ", H SLI", I1263="Height FIX", ", H FIX",I1263="Width", ", W", I1263="", "")</f>
        <v/>
      </c>
      <c r="F1263" s="33" t="str" cm="1">
        <f t="array" ref="F1263">_xlfn.XLOOKUP(1,((SKUs!$A$2:$A$10001=cl_unmerged!B1263) * (ISNUMBER(SEARCH("Steel-Screen Frame",SKUs!$J$2:$J$10001)))), SKUs!$C$2:$C$10001,"")</f>
        <v/>
      </c>
      <c r="G1263" s="16"/>
      <c r="H1263" s="16" t="str" cm="1">
        <f t="array" ref="H1263">IF(C1263&lt;&gt;"", _xlfn.IFS(I1263="Height SLI",_xlfn.XLOOKUP(C1263,'calc_s90&amp;138'!$C$15:$C$1000,'calc_s90&amp;138'!$BU$15:$BU$1000,"",0),  I1263="Width", _xlfn.XLOOKUP(C1263,'calc_s90&amp;138'!$C$15:$C$1000,'calc_s90&amp;138'!$BW$15:$BW$1000,"",0)),"")</f>
        <v/>
      </c>
      <c r="I1263" s="16" t="str">
        <f t="shared" si="25"/>
        <v/>
      </c>
    </row>
    <row r="1264" spans="1:9" ht="13.5" customHeight="1" x14ac:dyDescent="0.25">
      <c r="A1264" s="41" t="str">
        <f>_xlfn.XLOOKUP(G1264,dd_color!$A$2:$A$8,dd_color!$B$2:$B$8,"",0)</f>
        <v/>
      </c>
      <c r="B1264" s="41">
        <f>_xlfn.XLOOKUP(_xlfn.XLOOKUP(C1264,'Project Details'!$C$17:$C$10003,'Project Details'!$E$17:$E$10003, "",0),dd_design_raw!$A$2:$A$9997,dd_design_raw!$C$2:$C$9997,"",0)</f>
        <v>0</v>
      </c>
      <c r="C1264" s="16"/>
      <c r="D1264" s="16" t="str" cm="1">
        <f t="array" ref="D1264">IF(C1264&lt;&gt;"", _xlfn.IFS(I1264="Height SLI",_xlfn.XLOOKUP(C1264,'calc_s90&amp;138'!$C$15:$C$1000,'calc_s90&amp;138'!$BV$15:$BV$1000,"",0),    I1264="Width", _xlfn.XLOOKUP(C1264,'calc_s90&amp;138'!$C$15:$C$1000,'calc_s90&amp;138'!$BX$15:$BX$1000,"",0)),"")</f>
        <v/>
      </c>
      <c r="E1264" s="16" t="str" cm="1">
        <f t="array" ref="E1264">IF(C1264&lt;&gt;"", _xlfn.XLOOKUP(1,((SKUs!$A$2:$A$10001=cl_unmerged!B1264) * (ISNUMBER(SEARCH("Steel-Screen Frame",SKUs!$J$2:$J$10001)))), SKUs!$J$2:$J$10001,""),"")  &amp; _xlfn.IFS(I1264="Height", ", H",I1264="Height SLI", ", H SLI", I1264="Height FIX", ", H FIX",I1264="Width", ", W", I1264="", "")</f>
        <v/>
      </c>
      <c r="F1264" s="33" t="str" cm="1">
        <f t="array" ref="F1264">_xlfn.XLOOKUP(1,((SKUs!$A$2:$A$10001=cl_unmerged!B1264) * (ISNUMBER(SEARCH("Steel-Screen Frame",SKUs!$J$2:$J$10001)))), SKUs!$C$2:$C$10001,"")</f>
        <v/>
      </c>
      <c r="G1264" s="16"/>
      <c r="H1264" s="16" t="str" cm="1">
        <f t="array" ref="H1264">IF(C1264&lt;&gt;"", _xlfn.IFS(I1264="Height SLI",_xlfn.XLOOKUP(C1264,'calc_s90&amp;138'!$C$15:$C$1000,'calc_s90&amp;138'!$BU$15:$BU$1000,"",0),  I1264="Width", _xlfn.XLOOKUP(C1264,'calc_s90&amp;138'!$C$15:$C$1000,'calc_s90&amp;138'!$BW$15:$BW$1000,"",0)),"")</f>
        <v/>
      </c>
      <c r="I1264" s="16" t="str">
        <f t="shared" si="25"/>
        <v/>
      </c>
    </row>
    <row r="1267" spans="1:9" ht="13.5" customHeight="1" x14ac:dyDescent="0.25">
      <c r="C1267" s="1" t="s">
        <v>1092</v>
      </c>
    </row>
    <row r="1268" spans="1:9" ht="13.5" customHeight="1" x14ac:dyDescent="0.25">
      <c r="C1268" s="1" t="s">
        <v>884</v>
      </c>
    </row>
    <row r="1269" spans="1:9" x14ac:dyDescent="0.25">
      <c r="C1269" s="28" t="s">
        <v>887</v>
      </c>
      <c r="D1269" s="29"/>
      <c r="E1269" s="29"/>
      <c r="F1269" s="29"/>
      <c r="G1269" s="29"/>
      <c r="H1269" s="29"/>
      <c r="I1269" s="30"/>
    </row>
    <row r="1270" spans="1:9" x14ac:dyDescent="0.25">
      <c r="A1270" s="41" t="str">
        <f>_xlfn.XLOOKUP(G1270,dd_color!$A$2:$A$8,dd_color!$B$2:$B$8,"",0)</f>
        <v/>
      </c>
      <c r="B1270" s="41" t="str">
        <f>_xlfn.XLOOKUP(_xlfn.XLOOKUP(C1270,'Project Details'!$C$17:$C$10003,'Project Details'!$E$17:$E$10003, "",0),dd_design_raw!$A$2:$A$9997,dd_design_raw!$C$2:$C$9997,"",0)</f>
        <v/>
      </c>
      <c r="C1270" s="16" t="str" cm="1">
        <f t="array" ref="C1270">IFERROR(_xlfn._xlws.FILTER(calc_rusacc!C15:C65,(calc_rusacc!E15:E65&lt;&gt;"Accordion Screen") * (calc_rusacc!D15:D65&lt;&gt;"")),"")</f>
        <v/>
      </c>
      <c r="D1270" s="16" t="str" cm="1">
        <f t="array" ref="D1270">IFERROR(_xlfn._xlws.FILTER(calc_rusacc!P15:P65,(calc_rusacc!E15:E65&lt;&gt;"Accordion Screen") * (calc_rusacc!D15:D65&lt;&gt;"")),"")</f>
        <v/>
      </c>
      <c r="E1270" s="16" t="str" cm="1">
        <f t="array" ref="E1270">IF(C1270&lt;&gt;"", _xlfn.XLOOKUP(1,((SKUs!$A$2:$A$10001=cl_unmerged!B1270) * (LEFT(SKUs!$J$2:$J$10001, LEN("Cassette"))="Cassette")), SKUs!$J$2:$J$10001,""),"")</f>
        <v/>
      </c>
      <c r="F1270" s="33" t="str" cm="1">
        <f t="array" ref="F1270">_xlfn.XLOOKUP(1,((SKUs!$A$2:$A$10001=cl_unmerged!B1270) * (LEFT(SKUs!$J$2:$J$10001, LEN("Cassette"))="Cassette") * (ISNUMBER(SEARCH(A1270,SKUs!$C$2:$C$10001)))), SKUs!$C$2:$C$10001,"")</f>
        <v/>
      </c>
      <c r="G1270" s="16" t="str" cm="1">
        <f t="array" ref="G1270">IFERROR(_xlfn._xlws.FILTER(calc_rusacc!G15:G65,(calc_rusacc!E15:E65&lt;&gt;"Accordion Screen") * (calc_rusacc!D15:D65&lt;&gt;"")),"")</f>
        <v/>
      </c>
      <c r="H1270" s="16" t="str" cm="1">
        <f t="array" ref="H1270">IFERROR(_xlfn._xlws.FILTER(calc_rusacc!O15:O65,(calc_rusacc!E15:E65&lt;&gt;"Accordion Screen") * (calc_rusacc!D15:D65&lt;&gt;"")),"")</f>
        <v/>
      </c>
      <c r="I1270" s="16"/>
    </row>
    <row r="1271" spans="1:9" x14ac:dyDescent="0.25">
      <c r="A1271" s="41" t="str">
        <f>_xlfn.XLOOKUP(G1271,dd_color!$A$2:$A$8,dd_color!$B$2:$B$8,"",0)</f>
        <v/>
      </c>
      <c r="B1271" s="41">
        <f>_xlfn.XLOOKUP(_xlfn.XLOOKUP(C1271,'Project Details'!$C$17:$C$10003,'Project Details'!$E$17:$E$10003, "",0),dd_design_raw!$A$2:$A$9997,dd_design_raw!$C$2:$C$9997,"",0)</f>
        <v>0</v>
      </c>
      <c r="C1271" s="16"/>
      <c r="D1271" s="16"/>
      <c r="E1271" s="16" t="str" cm="1">
        <f t="array" ref="E1271">IF(C1271&lt;&gt;"", _xlfn.XLOOKUP(1,((SKUs!$A$2:$A$10001=cl_unmerged!B1271) * (LEFT(SKUs!$J$2:$J$10001, LEN("Cassette"))="Cassette")), SKUs!$J$2:$J$10001,""),"")</f>
        <v/>
      </c>
      <c r="F1271" s="33" t="str" cm="1">
        <f t="array" ref="F1271">_xlfn.XLOOKUP(1,((SKUs!$A$2:$A$10001=cl_unmerged!B1271) * (LEFT(SKUs!$J$2:$J$10001, LEN("Cassette"))="Cassette") * (ISNUMBER(SEARCH(A1271,SKUs!$C$2:$C$10001)))), SKUs!$C$2:$C$10001,"")</f>
        <v/>
      </c>
      <c r="G1271" s="16"/>
      <c r="H1271" s="16"/>
      <c r="I1271" s="16"/>
    </row>
    <row r="1272" spans="1:9" x14ac:dyDescent="0.25">
      <c r="A1272" s="41" t="str">
        <f>_xlfn.XLOOKUP(G1272,dd_color!$A$2:$A$8,dd_color!$B$2:$B$8,"",0)</f>
        <v/>
      </c>
      <c r="B1272" s="41">
        <f>_xlfn.XLOOKUP(_xlfn.XLOOKUP(C1272,'Project Details'!$C$17:$C$10003,'Project Details'!$E$17:$E$10003, "",0),dd_design_raw!$A$2:$A$9997,dd_design_raw!$C$2:$C$9997,"",0)</f>
        <v>0</v>
      </c>
      <c r="C1272" s="16"/>
      <c r="D1272" s="16"/>
      <c r="E1272" s="16" t="str" cm="1">
        <f t="array" ref="E1272">IF(C1272&lt;&gt;"", _xlfn.XLOOKUP(1,((SKUs!$A$2:$A$10001=cl_unmerged!B1272) * (LEFT(SKUs!$J$2:$J$10001, LEN("Cassette"))="Cassette")), SKUs!$J$2:$J$10001,""),"")</f>
        <v/>
      </c>
      <c r="F1272" s="33" t="str" cm="1">
        <f t="array" ref="F1272">_xlfn.XLOOKUP(1,((SKUs!$A$2:$A$10001=cl_unmerged!B1272) * (LEFT(SKUs!$J$2:$J$10001, LEN("Cassette"))="Cassette") * (ISNUMBER(SEARCH(A1272,SKUs!$C$2:$C$10001)))), SKUs!$C$2:$C$10001,"")</f>
        <v/>
      </c>
      <c r="G1272" s="16"/>
      <c r="H1272" s="16"/>
      <c r="I1272" s="16"/>
    </row>
    <row r="1273" spans="1:9" x14ac:dyDescent="0.25">
      <c r="A1273" s="41" t="str">
        <f>_xlfn.XLOOKUP(G1273,dd_color!$A$2:$A$8,dd_color!$B$2:$B$8,"",0)</f>
        <v/>
      </c>
      <c r="B1273" s="41">
        <f>_xlfn.XLOOKUP(_xlfn.XLOOKUP(C1273,'Project Details'!$C$17:$C$10003,'Project Details'!$E$17:$E$10003, "",0),dd_design_raw!$A$2:$A$9997,dd_design_raw!$C$2:$C$9997,"",0)</f>
        <v>0</v>
      </c>
      <c r="C1273" s="16"/>
      <c r="D1273" s="16"/>
      <c r="E1273" s="16" t="str" cm="1">
        <f t="array" ref="E1273">IF(C1273&lt;&gt;"", _xlfn.XLOOKUP(1,((SKUs!$A$2:$A$10001=cl_unmerged!B1273) * (LEFT(SKUs!$J$2:$J$10001, LEN("Cassette"))="Cassette")), SKUs!$J$2:$J$10001,""),"")</f>
        <v/>
      </c>
      <c r="F1273" s="33" t="str" cm="1">
        <f t="array" ref="F1273">_xlfn.XLOOKUP(1,((SKUs!$A$2:$A$10001=cl_unmerged!B1273) * (LEFT(SKUs!$J$2:$J$10001, LEN("Cassette"))="Cassette") * (ISNUMBER(SEARCH(A1273,SKUs!$C$2:$C$10001)))), SKUs!$C$2:$C$10001,"")</f>
        <v/>
      </c>
      <c r="G1273" s="16"/>
      <c r="H1273" s="16"/>
      <c r="I1273" s="16"/>
    </row>
    <row r="1274" spans="1:9" x14ac:dyDescent="0.25">
      <c r="A1274" s="41" t="str">
        <f>_xlfn.XLOOKUP(G1274,dd_color!$A$2:$A$8,dd_color!$B$2:$B$8,"",0)</f>
        <v/>
      </c>
      <c r="B1274" s="41">
        <f>_xlfn.XLOOKUP(_xlfn.XLOOKUP(C1274,'Project Details'!$C$17:$C$10003,'Project Details'!$E$17:$E$10003, "",0),dd_design_raw!$A$2:$A$9997,dd_design_raw!$C$2:$C$9997,"",0)</f>
        <v>0</v>
      </c>
      <c r="C1274" s="16"/>
      <c r="D1274" s="16"/>
      <c r="E1274" s="16" t="str" cm="1">
        <f t="array" ref="E1274">IF(C1274&lt;&gt;"", _xlfn.XLOOKUP(1,((SKUs!$A$2:$A$10001=cl_unmerged!B1274) * (LEFT(SKUs!$J$2:$J$10001, LEN("Cassette"))="Cassette")), SKUs!$J$2:$J$10001,""),"")</f>
        <v/>
      </c>
      <c r="F1274" s="33" t="str" cm="1">
        <f t="array" ref="F1274">_xlfn.XLOOKUP(1,((SKUs!$A$2:$A$10001=cl_unmerged!B1274) * (LEFT(SKUs!$J$2:$J$10001, LEN("Cassette"))="Cassette") * (ISNUMBER(SEARCH(A1274,SKUs!$C$2:$C$10001)))), SKUs!$C$2:$C$10001,"")</f>
        <v/>
      </c>
      <c r="G1274" s="16"/>
      <c r="H1274" s="16"/>
      <c r="I1274" s="16"/>
    </row>
    <row r="1275" spans="1:9" x14ac:dyDescent="0.25">
      <c r="A1275" s="41" t="str">
        <f>_xlfn.XLOOKUP(G1275,dd_color!$A$2:$A$8,dd_color!$B$2:$B$8,"",0)</f>
        <v/>
      </c>
      <c r="B1275" s="41">
        <f>_xlfn.XLOOKUP(_xlfn.XLOOKUP(C1275,'Project Details'!$C$17:$C$10003,'Project Details'!$E$17:$E$10003, "",0),dd_design_raw!$A$2:$A$9997,dd_design_raw!$C$2:$C$9997,"",0)</f>
        <v>0</v>
      </c>
      <c r="C1275" s="16"/>
      <c r="D1275" s="16"/>
      <c r="E1275" s="16" t="str" cm="1">
        <f t="array" ref="E1275">IF(C1275&lt;&gt;"", _xlfn.XLOOKUP(1,((SKUs!$A$2:$A$10001=cl_unmerged!B1275) * (LEFT(SKUs!$J$2:$J$10001, LEN("Cassette"))="Cassette")), SKUs!$J$2:$J$10001,""),"")</f>
        <v/>
      </c>
      <c r="F1275" s="33" t="str" cm="1">
        <f t="array" ref="F1275">_xlfn.XLOOKUP(1,((SKUs!$A$2:$A$10001=cl_unmerged!B1275) * (LEFT(SKUs!$J$2:$J$10001, LEN("Cassette"))="Cassette") * (ISNUMBER(SEARCH(A1275,SKUs!$C$2:$C$10001)))), SKUs!$C$2:$C$10001,"")</f>
        <v/>
      </c>
      <c r="G1275" s="16"/>
      <c r="H1275" s="16"/>
      <c r="I1275" s="16"/>
    </row>
    <row r="1276" spans="1:9" x14ac:dyDescent="0.25">
      <c r="A1276" s="41" t="str">
        <f>_xlfn.XLOOKUP(G1276,dd_color!$A$2:$A$8,dd_color!$B$2:$B$8,"",0)</f>
        <v/>
      </c>
      <c r="B1276" s="41">
        <f>_xlfn.XLOOKUP(_xlfn.XLOOKUP(C1276,'Project Details'!$C$17:$C$10003,'Project Details'!$E$17:$E$10003, "",0),dd_design_raw!$A$2:$A$9997,dd_design_raw!$C$2:$C$9997,"",0)</f>
        <v>0</v>
      </c>
      <c r="C1276" s="16"/>
      <c r="D1276" s="16"/>
      <c r="E1276" s="16" t="str" cm="1">
        <f t="array" ref="E1276">IF(C1276&lt;&gt;"", _xlfn.XLOOKUP(1,((SKUs!$A$2:$A$10001=cl_unmerged!B1276) * (LEFT(SKUs!$J$2:$J$10001, LEN("Cassette"))="Cassette")), SKUs!$J$2:$J$10001,""),"")</f>
        <v/>
      </c>
      <c r="F1276" s="33" t="str" cm="1">
        <f t="array" ref="F1276">_xlfn.XLOOKUP(1,((SKUs!$A$2:$A$10001=cl_unmerged!B1276) * (LEFT(SKUs!$J$2:$J$10001, LEN("Cassette"))="Cassette") * (ISNUMBER(SEARCH(A1276,SKUs!$C$2:$C$10001)))), SKUs!$C$2:$C$10001,"")</f>
        <v/>
      </c>
      <c r="G1276" s="16"/>
      <c r="H1276" s="16"/>
      <c r="I1276" s="16"/>
    </row>
    <row r="1277" spans="1:9" x14ac:dyDescent="0.25">
      <c r="A1277" s="41" t="str">
        <f>_xlfn.XLOOKUP(G1277,dd_color!$A$2:$A$8,dd_color!$B$2:$B$8,"",0)</f>
        <v/>
      </c>
      <c r="B1277" s="41">
        <f>_xlfn.XLOOKUP(_xlfn.XLOOKUP(C1277,'Project Details'!$C$17:$C$10003,'Project Details'!$E$17:$E$10003, "",0),dd_design_raw!$A$2:$A$9997,dd_design_raw!$C$2:$C$9997,"",0)</f>
        <v>0</v>
      </c>
      <c r="C1277" s="16"/>
      <c r="D1277" s="16"/>
      <c r="E1277" s="16" t="str" cm="1">
        <f t="array" ref="E1277">IF(C1277&lt;&gt;"", _xlfn.XLOOKUP(1,((SKUs!$A$2:$A$10001=cl_unmerged!B1277) * (LEFT(SKUs!$J$2:$J$10001, LEN("Cassette"))="Cassette")), SKUs!$J$2:$J$10001,""),"")</f>
        <v/>
      </c>
      <c r="F1277" s="33" t="str" cm="1">
        <f t="array" ref="F1277">_xlfn.XLOOKUP(1,((SKUs!$A$2:$A$10001=cl_unmerged!B1277) * (LEFT(SKUs!$J$2:$J$10001, LEN("Cassette"))="Cassette") * (ISNUMBER(SEARCH(A1277,SKUs!$C$2:$C$10001)))), SKUs!$C$2:$C$10001,"")</f>
        <v/>
      </c>
      <c r="G1277" s="16"/>
      <c r="H1277" s="16"/>
      <c r="I1277" s="16"/>
    </row>
    <row r="1278" spans="1:9" x14ac:dyDescent="0.25">
      <c r="A1278" s="41" t="str">
        <f>_xlfn.XLOOKUP(G1278,dd_color!$A$2:$A$8,dd_color!$B$2:$B$8,"",0)</f>
        <v/>
      </c>
      <c r="B1278" s="41">
        <f>_xlfn.XLOOKUP(_xlfn.XLOOKUP(C1278,'Project Details'!$C$17:$C$10003,'Project Details'!$E$17:$E$10003, "",0),dd_design_raw!$A$2:$A$9997,dd_design_raw!$C$2:$C$9997,"",0)</f>
        <v>0</v>
      </c>
      <c r="C1278" s="16"/>
      <c r="D1278" s="16"/>
      <c r="E1278" s="16" t="str" cm="1">
        <f t="array" ref="E1278">IF(C1278&lt;&gt;"", _xlfn.XLOOKUP(1,((SKUs!$A$2:$A$10001=cl_unmerged!B1278) * (LEFT(SKUs!$J$2:$J$10001, LEN("Cassette"))="Cassette")), SKUs!$J$2:$J$10001,""),"")</f>
        <v/>
      </c>
      <c r="F1278" s="33" t="str" cm="1">
        <f t="array" ref="F1278">_xlfn.XLOOKUP(1,((SKUs!$A$2:$A$10001=cl_unmerged!B1278) * (LEFT(SKUs!$J$2:$J$10001, LEN("Cassette"))="Cassette") * (ISNUMBER(SEARCH(A1278,SKUs!$C$2:$C$10001)))), SKUs!$C$2:$C$10001,"")</f>
        <v/>
      </c>
      <c r="G1278" s="16"/>
      <c r="H1278" s="16"/>
      <c r="I1278" s="16"/>
    </row>
    <row r="1279" spans="1:9" x14ac:dyDescent="0.25">
      <c r="A1279" s="41" t="str">
        <f>_xlfn.XLOOKUP(G1279,dd_color!$A$2:$A$8,dd_color!$B$2:$B$8,"",0)</f>
        <v/>
      </c>
      <c r="B1279" s="41">
        <f>_xlfn.XLOOKUP(_xlfn.XLOOKUP(C1279,'Project Details'!$C$17:$C$10003,'Project Details'!$E$17:$E$10003, "",0),dd_design_raw!$A$2:$A$9997,dd_design_raw!$C$2:$C$9997,"",0)</f>
        <v>0</v>
      </c>
      <c r="C1279" s="16"/>
      <c r="D1279" s="16"/>
      <c r="E1279" s="16" t="str" cm="1">
        <f t="array" ref="E1279">IF(C1279&lt;&gt;"", _xlfn.XLOOKUP(1,((SKUs!$A$2:$A$10001=cl_unmerged!B1279) * (LEFT(SKUs!$J$2:$J$10001, LEN("Cassette"))="Cassette")), SKUs!$J$2:$J$10001,""),"")</f>
        <v/>
      </c>
      <c r="F1279" s="33" t="str" cm="1">
        <f t="array" ref="F1279">_xlfn.XLOOKUP(1,((SKUs!$A$2:$A$10001=cl_unmerged!B1279) * (LEFT(SKUs!$J$2:$J$10001, LEN("Cassette"))="Cassette") * (ISNUMBER(SEARCH(A1279,SKUs!$C$2:$C$10001)))), SKUs!$C$2:$C$10001,"")</f>
        <v/>
      </c>
      <c r="G1279" s="16"/>
      <c r="H1279" s="16"/>
      <c r="I1279" s="16"/>
    </row>
    <row r="1280" spans="1:9" x14ac:dyDescent="0.25">
      <c r="A1280" s="41" t="str">
        <f>_xlfn.XLOOKUP(G1280,dd_color!$A$2:$A$8,dd_color!$B$2:$B$8,"",0)</f>
        <v/>
      </c>
      <c r="B1280" s="41">
        <f>_xlfn.XLOOKUP(_xlfn.XLOOKUP(C1280,'Project Details'!$C$17:$C$10003,'Project Details'!$E$17:$E$10003, "",0),dd_design_raw!$A$2:$A$9997,dd_design_raw!$C$2:$C$9997,"",0)</f>
        <v>0</v>
      </c>
      <c r="C1280" s="16"/>
      <c r="D1280" s="16"/>
      <c r="E1280" s="16" t="str" cm="1">
        <f t="array" ref="E1280">IF(C1280&lt;&gt;"", _xlfn.XLOOKUP(1,((SKUs!$A$2:$A$10001=cl_unmerged!B1280) * (LEFT(SKUs!$J$2:$J$10001, LEN("Cassette"))="Cassette")), SKUs!$J$2:$J$10001,""),"")</f>
        <v/>
      </c>
      <c r="F1280" s="33" t="str" cm="1">
        <f t="array" ref="F1280">_xlfn.XLOOKUP(1,((SKUs!$A$2:$A$10001=cl_unmerged!B1280) * (LEFT(SKUs!$J$2:$J$10001, LEN("Cassette"))="Cassette") * (ISNUMBER(SEARCH(A1280,SKUs!$C$2:$C$10001)))), SKUs!$C$2:$C$10001,"")</f>
        <v/>
      </c>
      <c r="G1280" s="16"/>
      <c r="H1280" s="16"/>
      <c r="I1280" s="16"/>
    </row>
    <row r="1281" spans="1:9" x14ac:dyDescent="0.25">
      <c r="A1281" s="41" t="str">
        <f>_xlfn.XLOOKUP(G1281,dd_color!$A$2:$A$8,dd_color!$B$2:$B$8,"",0)</f>
        <v/>
      </c>
      <c r="B1281" s="41">
        <f>_xlfn.XLOOKUP(_xlfn.XLOOKUP(C1281,'Project Details'!$C$17:$C$10003,'Project Details'!$E$17:$E$10003, "",0),dd_design_raw!$A$2:$A$9997,dd_design_raw!$C$2:$C$9997,"",0)</f>
        <v>0</v>
      </c>
      <c r="C1281" s="16"/>
      <c r="D1281" s="16"/>
      <c r="E1281" s="16" t="str" cm="1">
        <f t="array" ref="E1281">IF(C1281&lt;&gt;"", _xlfn.XLOOKUP(1,((SKUs!$A$2:$A$10001=cl_unmerged!B1281) * (LEFT(SKUs!$J$2:$J$10001, LEN("Cassette"))="Cassette")), SKUs!$J$2:$J$10001,""),"")</f>
        <v/>
      </c>
      <c r="F1281" s="33" t="str" cm="1">
        <f t="array" ref="F1281">_xlfn.XLOOKUP(1,((SKUs!$A$2:$A$10001=cl_unmerged!B1281) * (LEFT(SKUs!$J$2:$J$10001, LEN("Cassette"))="Cassette") * (ISNUMBER(SEARCH(A1281,SKUs!$C$2:$C$10001)))), SKUs!$C$2:$C$10001,"")</f>
        <v/>
      </c>
      <c r="G1281" s="16"/>
      <c r="H1281" s="16"/>
      <c r="I1281" s="16"/>
    </row>
    <row r="1282" spans="1:9" x14ac:dyDescent="0.25">
      <c r="A1282" s="41" t="str">
        <f>_xlfn.XLOOKUP(G1282,dd_color!$A$2:$A$8,dd_color!$B$2:$B$8,"",0)</f>
        <v/>
      </c>
      <c r="B1282" s="41">
        <f>_xlfn.XLOOKUP(_xlfn.XLOOKUP(C1282,'Project Details'!$C$17:$C$10003,'Project Details'!$E$17:$E$10003, "",0),dd_design_raw!$A$2:$A$9997,dd_design_raw!$C$2:$C$9997,"",0)</f>
        <v>0</v>
      </c>
      <c r="C1282" s="16"/>
      <c r="D1282" s="16"/>
      <c r="E1282" s="16" t="str" cm="1">
        <f t="array" ref="E1282">IF(C1282&lt;&gt;"", _xlfn.XLOOKUP(1,((SKUs!$A$2:$A$10001=cl_unmerged!B1282) * (LEFT(SKUs!$J$2:$J$10001, LEN("Cassette"))="Cassette")), SKUs!$J$2:$J$10001,""),"")</f>
        <v/>
      </c>
      <c r="F1282" s="33" t="str" cm="1">
        <f t="array" ref="F1282">_xlfn.XLOOKUP(1,((SKUs!$A$2:$A$10001=cl_unmerged!B1282) * (LEFT(SKUs!$J$2:$J$10001, LEN("Cassette"))="Cassette") * (ISNUMBER(SEARCH(A1282,SKUs!$C$2:$C$10001)))), SKUs!$C$2:$C$10001,"")</f>
        <v/>
      </c>
      <c r="G1282" s="16"/>
      <c r="H1282" s="16"/>
      <c r="I1282" s="16"/>
    </row>
    <row r="1283" spans="1:9" x14ac:dyDescent="0.25">
      <c r="A1283" s="41" t="str">
        <f>_xlfn.XLOOKUP(G1283,dd_color!$A$2:$A$8,dd_color!$B$2:$B$8,"",0)</f>
        <v/>
      </c>
      <c r="B1283" s="41">
        <f>_xlfn.XLOOKUP(_xlfn.XLOOKUP(C1283,'Project Details'!$C$17:$C$10003,'Project Details'!$E$17:$E$10003, "",0),dd_design_raw!$A$2:$A$9997,dd_design_raw!$C$2:$C$9997,"",0)</f>
        <v>0</v>
      </c>
      <c r="C1283" s="16"/>
      <c r="D1283" s="16"/>
      <c r="E1283" s="16" t="str" cm="1">
        <f t="array" ref="E1283">IF(C1283&lt;&gt;"", _xlfn.XLOOKUP(1,((SKUs!$A$2:$A$10001=cl_unmerged!B1283) * (LEFT(SKUs!$J$2:$J$10001, LEN("Cassette"))="Cassette")), SKUs!$J$2:$J$10001,""),"")</f>
        <v/>
      </c>
      <c r="F1283" s="33" t="str" cm="1">
        <f t="array" ref="F1283">_xlfn.XLOOKUP(1,((SKUs!$A$2:$A$10001=cl_unmerged!B1283) * (LEFT(SKUs!$J$2:$J$10001, LEN("Cassette"))="Cassette") * (ISNUMBER(SEARCH(A1283,SKUs!$C$2:$C$10001)))), SKUs!$C$2:$C$10001,"")</f>
        <v/>
      </c>
      <c r="G1283" s="16"/>
      <c r="H1283" s="16"/>
      <c r="I1283" s="16"/>
    </row>
    <row r="1284" spans="1:9" x14ac:dyDescent="0.25">
      <c r="A1284" s="41" t="str">
        <f>_xlfn.XLOOKUP(G1284,dd_color!$A$2:$A$8,dd_color!$B$2:$B$8,"",0)</f>
        <v/>
      </c>
      <c r="B1284" s="41">
        <f>_xlfn.XLOOKUP(_xlfn.XLOOKUP(C1284,'Project Details'!$C$17:$C$10003,'Project Details'!$E$17:$E$10003, "",0),dd_design_raw!$A$2:$A$9997,dd_design_raw!$C$2:$C$9997,"",0)</f>
        <v>0</v>
      </c>
      <c r="C1284" s="16"/>
      <c r="D1284" s="16"/>
      <c r="E1284" s="16" t="str" cm="1">
        <f t="array" ref="E1284">IF(C1284&lt;&gt;"", _xlfn.XLOOKUP(1,((SKUs!$A$2:$A$10001=cl_unmerged!B1284) * (LEFT(SKUs!$J$2:$J$10001, LEN("Cassette"))="Cassette")), SKUs!$J$2:$J$10001,""),"")</f>
        <v/>
      </c>
      <c r="F1284" s="33" t="str" cm="1">
        <f t="array" ref="F1284">_xlfn.XLOOKUP(1,((SKUs!$A$2:$A$10001=cl_unmerged!B1284) * (LEFT(SKUs!$J$2:$J$10001, LEN("Cassette"))="Cassette") * (ISNUMBER(SEARCH(A1284,SKUs!$C$2:$C$10001)))), SKUs!$C$2:$C$10001,"")</f>
        <v/>
      </c>
      <c r="G1284" s="16"/>
      <c r="H1284" s="16"/>
      <c r="I1284" s="16"/>
    </row>
    <row r="1285" spans="1:9" x14ac:dyDescent="0.25">
      <c r="A1285" s="41" t="str">
        <f>_xlfn.XLOOKUP(G1285,dd_color!$A$2:$A$8,dd_color!$B$2:$B$8,"",0)</f>
        <v/>
      </c>
      <c r="B1285" s="41">
        <f>_xlfn.XLOOKUP(_xlfn.XLOOKUP(C1285,'Project Details'!$C$17:$C$10003,'Project Details'!$E$17:$E$10003, "",0),dd_design_raw!$A$2:$A$9997,dd_design_raw!$C$2:$C$9997,"",0)</f>
        <v>0</v>
      </c>
      <c r="C1285" s="16"/>
      <c r="D1285" s="16"/>
      <c r="E1285" s="16" t="str" cm="1">
        <f t="array" ref="E1285">IF(C1285&lt;&gt;"", _xlfn.XLOOKUP(1,((SKUs!$A$2:$A$10001=cl_unmerged!B1285) * (LEFT(SKUs!$J$2:$J$10001, LEN("Cassette"))="Cassette")), SKUs!$J$2:$J$10001,""),"")</f>
        <v/>
      </c>
      <c r="F1285" s="33" t="str" cm="1">
        <f t="array" ref="F1285">_xlfn.XLOOKUP(1,((SKUs!$A$2:$A$10001=cl_unmerged!B1285) * (LEFT(SKUs!$J$2:$J$10001, LEN("Cassette"))="Cassette") * (ISNUMBER(SEARCH(A1285,SKUs!$C$2:$C$10001)))), SKUs!$C$2:$C$10001,"")</f>
        <v/>
      </c>
      <c r="G1285" s="16"/>
      <c r="H1285" s="16"/>
      <c r="I1285" s="16"/>
    </row>
    <row r="1286" spans="1:9" x14ac:dyDescent="0.25">
      <c r="A1286" s="41" t="str">
        <f>_xlfn.XLOOKUP(G1286,dd_color!$A$2:$A$8,dd_color!$B$2:$B$8,"",0)</f>
        <v/>
      </c>
      <c r="B1286" s="41">
        <f>_xlfn.XLOOKUP(_xlfn.XLOOKUP(C1286,'Project Details'!$C$17:$C$10003,'Project Details'!$E$17:$E$10003, "",0),dd_design_raw!$A$2:$A$9997,dd_design_raw!$C$2:$C$9997,"",0)</f>
        <v>0</v>
      </c>
      <c r="C1286" s="16"/>
      <c r="D1286" s="16"/>
      <c r="E1286" s="16" t="str" cm="1">
        <f t="array" ref="E1286">IF(C1286&lt;&gt;"", _xlfn.XLOOKUP(1,((SKUs!$A$2:$A$10001=cl_unmerged!B1286) * (LEFT(SKUs!$J$2:$J$10001, LEN("Cassette"))="Cassette")), SKUs!$J$2:$J$10001,""),"")</f>
        <v/>
      </c>
      <c r="F1286" s="33" t="str" cm="1">
        <f t="array" ref="F1286">_xlfn.XLOOKUP(1,((SKUs!$A$2:$A$10001=cl_unmerged!B1286) * (LEFT(SKUs!$J$2:$J$10001, LEN("Cassette"))="Cassette") * (ISNUMBER(SEARCH(A1286,SKUs!$C$2:$C$10001)))), SKUs!$C$2:$C$10001,"")</f>
        <v/>
      </c>
      <c r="G1286" s="16"/>
      <c r="H1286" s="16"/>
      <c r="I1286" s="16"/>
    </row>
    <row r="1287" spans="1:9" x14ac:dyDescent="0.25">
      <c r="A1287" s="41" t="str">
        <f>_xlfn.XLOOKUP(G1287,dd_color!$A$2:$A$8,dd_color!$B$2:$B$8,"",0)</f>
        <v/>
      </c>
      <c r="B1287" s="41">
        <f>_xlfn.XLOOKUP(_xlfn.XLOOKUP(C1287,'Project Details'!$C$17:$C$10003,'Project Details'!$E$17:$E$10003, "",0),dd_design_raw!$A$2:$A$9997,dd_design_raw!$C$2:$C$9997,"",0)</f>
        <v>0</v>
      </c>
      <c r="C1287" s="16"/>
      <c r="D1287" s="16"/>
      <c r="E1287" s="16" t="str" cm="1">
        <f t="array" ref="E1287">IF(C1287&lt;&gt;"", _xlfn.XLOOKUP(1,((SKUs!$A$2:$A$10001=cl_unmerged!B1287) * (LEFT(SKUs!$J$2:$J$10001, LEN("Cassette"))="Cassette")), SKUs!$J$2:$J$10001,""),"")</f>
        <v/>
      </c>
      <c r="F1287" s="33" t="str" cm="1">
        <f t="array" ref="F1287">_xlfn.XLOOKUP(1,((SKUs!$A$2:$A$10001=cl_unmerged!B1287) * (LEFT(SKUs!$J$2:$J$10001, LEN("Cassette"))="Cassette") * (ISNUMBER(SEARCH(A1287,SKUs!$C$2:$C$10001)))), SKUs!$C$2:$C$10001,"")</f>
        <v/>
      </c>
      <c r="G1287" s="16"/>
      <c r="H1287" s="16"/>
      <c r="I1287" s="16"/>
    </row>
    <row r="1288" spans="1:9" x14ac:dyDescent="0.25">
      <c r="A1288" s="41" t="str">
        <f>_xlfn.XLOOKUP(G1288,dd_color!$A$2:$A$8,dd_color!$B$2:$B$8,"",0)</f>
        <v/>
      </c>
      <c r="B1288" s="41">
        <f>_xlfn.XLOOKUP(_xlfn.XLOOKUP(C1288,'Project Details'!$C$17:$C$10003,'Project Details'!$E$17:$E$10003, "",0),dd_design_raw!$A$2:$A$9997,dd_design_raw!$C$2:$C$9997,"",0)</f>
        <v>0</v>
      </c>
      <c r="C1288" s="16"/>
      <c r="D1288" s="16"/>
      <c r="E1288" s="16" t="str" cm="1">
        <f t="array" ref="E1288">IF(C1288&lt;&gt;"", _xlfn.XLOOKUP(1,((SKUs!$A$2:$A$10001=cl_unmerged!B1288) * (LEFT(SKUs!$J$2:$J$10001, LEN("Cassette"))="Cassette")), SKUs!$J$2:$J$10001,""),"")</f>
        <v/>
      </c>
      <c r="F1288" s="33" t="str" cm="1">
        <f t="array" ref="F1288">_xlfn.XLOOKUP(1,((SKUs!$A$2:$A$10001=cl_unmerged!B1288) * (LEFT(SKUs!$J$2:$J$10001, LEN("Cassette"))="Cassette") * (ISNUMBER(SEARCH(A1288,SKUs!$C$2:$C$10001)))), SKUs!$C$2:$C$10001,"")</f>
        <v/>
      </c>
      <c r="G1288" s="16"/>
      <c r="H1288" s="16"/>
      <c r="I1288" s="16"/>
    </row>
    <row r="1289" spans="1:9" ht="13.5" customHeight="1" x14ac:dyDescent="0.25">
      <c r="A1289" s="41" t="str">
        <f>_xlfn.XLOOKUP(G1289,dd_color!$A$2:$A$8,dd_color!$B$2:$B$8,"",0)</f>
        <v/>
      </c>
      <c r="B1289" s="41">
        <f>_xlfn.XLOOKUP(_xlfn.XLOOKUP(C1289,'Project Details'!$C$17:$C$10003,'Project Details'!$E$17:$E$10003, "",0),dd_design_raw!$A$2:$A$9997,dd_design_raw!$C$2:$C$9997,"",0)</f>
        <v>0</v>
      </c>
      <c r="C1289" s="16"/>
      <c r="D1289" s="16"/>
      <c r="E1289" s="16" t="str" cm="1">
        <f t="array" ref="E1289">IF(C1289&lt;&gt;"", _xlfn.XLOOKUP(1,((SKUs!$A$2:$A$10001=cl_unmerged!B1289) * (LEFT(SKUs!$J$2:$J$10001, LEN("Cassette"))="Cassette")), SKUs!$J$2:$J$10001,""),"")</f>
        <v/>
      </c>
      <c r="F1289" s="33" t="str" cm="1">
        <f t="array" ref="F1289">_xlfn.XLOOKUP(1,((SKUs!$A$2:$A$10001=cl_unmerged!B1289) * (LEFT(SKUs!$J$2:$J$10001, LEN("Cassette"))="Cassette") * (ISNUMBER(SEARCH(A1289,SKUs!$C$2:$C$10001)))), SKUs!$C$2:$C$10001,"")</f>
        <v/>
      </c>
      <c r="G1289" s="16"/>
      <c r="H1289" s="16"/>
      <c r="I1289" s="16"/>
    </row>
    <row r="1290" spans="1:9" ht="13.5" customHeight="1" x14ac:dyDescent="0.25">
      <c r="A1290" s="41" t="str">
        <f>_xlfn.XLOOKUP(G1290,dd_color!$A$2:$A$8,dd_color!$B$2:$B$8,"",0)</f>
        <v/>
      </c>
      <c r="B1290" s="41">
        <f>_xlfn.XLOOKUP(_xlfn.XLOOKUP(C1290,'Project Details'!$C$17:$C$10003,'Project Details'!$E$17:$E$10003, "",0),dd_design_raw!$A$2:$A$9997,dd_design_raw!$C$2:$C$9997,"",0)</f>
        <v>0</v>
      </c>
      <c r="C1290" s="16"/>
      <c r="D1290" s="16"/>
      <c r="E1290" s="16" t="str" cm="1">
        <f t="array" ref="E1290">IF(C1290&lt;&gt;"", _xlfn.XLOOKUP(1,((SKUs!$A$2:$A$10001=cl_unmerged!B1290) * (LEFT(SKUs!$J$2:$J$10001, LEN("Cassette"))="Cassette")), SKUs!$J$2:$J$10001,""),"")</f>
        <v/>
      </c>
      <c r="F1290" s="33" t="str" cm="1">
        <f t="array" ref="F1290">_xlfn.XLOOKUP(1,((SKUs!$A$2:$A$10001=cl_unmerged!B1290) * (LEFT(SKUs!$J$2:$J$10001, LEN("Cassette"))="Cassette") * (ISNUMBER(SEARCH(A1290,SKUs!$C$2:$C$10001)))), SKUs!$C$2:$C$10001,"")</f>
        <v/>
      </c>
      <c r="G1290" s="16"/>
      <c r="H1290" s="16"/>
      <c r="I1290" s="16"/>
    </row>
    <row r="1291" spans="1:9" ht="13.5" customHeight="1" x14ac:dyDescent="0.25">
      <c r="A1291" s="41" t="str">
        <f>_xlfn.XLOOKUP(G1291,dd_color!$A$2:$A$8,dd_color!$B$2:$B$8,"",0)</f>
        <v/>
      </c>
      <c r="B1291" s="41">
        <f>_xlfn.XLOOKUP(_xlfn.XLOOKUP(C1291,'Project Details'!$C$17:$C$10003,'Project Details'!$E$17:$E$10003, "",0),dd_design_raw!$A$2:$A$9997,dd_design_raw!$C$2:$C$9997,"",0)</f>
        <v>0</v>
      </c>
      <c r="C1291" s="16"/>
      <c r="D1291" s="16"/>
      <c r="E1291" s="16" t="str" cm="1">
        <f t="array" ref="E1291">IF(C1291&lt;&gt;"", _xlfn.XLOOKUP(1,((SKUs!$A$2:$A$10001=cl_unmerged!B1291) * (LEFT(SKUs!$J$2:$J$10001, LEN("Cassette"))="Cassette")), SKUs!$J$2:$J$10001,""),"")</f>
        <v/>
      </c>
      <c r="F1291" s="33" t="str" cm="1">
        <f t="array" ref="F1291">_xlfn.XLOOKUP(1,((SKUs!$A$2:$A$10001=cl_unmerged!B1291) * (LEFT(SKUs!$J$2:$J$10001, LEN("Cassette"))="Cassette") * (ISNUMBER(SEARCH(A1291,SKUs!$C$2:$C$10001)))), SKUs!$C$2:$C$10001,"")</f>
        <v/>
      </c>
      <c r="G1291" s="16"/>
      <c r="H1291" s="16"/>
      <c r="I1291" s="16"/>
    </row>
    <row r="1292" spans="1:9" ht="13.5" customHeight="1" x14ac:dyDescent="0.25">
      <c r="A1292" s="41" t="str">
        <f>_xlfn.XLOOKUP(G1292,dd_color!$A$2:$A$8,dd_color!$B$2:$B$8,"",0)</f>
        <v/>
      </c>
      <c r="B1292" s="41">
        <f>_xlfn.XLOOKUP(_xlfn.XLOOKUP(C1292,'Project Details'!$C$17:$C$10003,'Project Details'!$E$17:$E$10003, "",0),dd_design_raw!$A$2:$A$9997,dd_design_raw!$C$2:$C$9997,"",0)</f>
        <v>0</v>
      </c>
      <c r="C1292" s="16"/>
      <c r="D1292" s="16"/>
      <c r="E1292" s="16" t="str" cm="1">
        <f t="array" ref="E1292">IF(C1292&lt;&gt;"", _xlfn.XLOOKUP(1,((SKUs!$A$2:$A$10001=cl_unmerged!B1292) * (LEFT(SKUs!$J$2:$J$10001, LEN("Cassette"))="Cassette")), SKUs!$J$2:$J$10001,""),"")</f>
        <v/>
      </c>
      <c r="F1292" s="33" t="str" cm="1">
        <f t="array" ref="F1292">_xlfn.XLOOKUP(1,((SKUs!$A$2:$A$10001=cl_unmerged!B1292) * (LEFT(SKUs!$J$2:$J$10001, LEN("Cassette"))="Cassette") * (ISNUMBER(SEARCH(A1292,SKUs!$C$2:$C$10001)))), SKUs!$C$2:$C$10001,"")</f>
        <v/>
      </c>
      <c r="G1292" s="16"/>
      <c r="H1292" s="16"/>
      <c r="I1292" s="16"/>
    </row>
    <row r="1293" spans="1:9" ht="13.5" customHeight="1" x14ac:dyDescent="0.25">
      <c r="A1293" s="41" t="str">
        <f>_xlfn.XLOOKUP(G1293,dd_color!$A$2:$A$8,dd_color!$B$2:$B$8,"",0)</f>
        <v/>
      </c>
      <c r="B1293" s="41">
        <f>_xlfn.XLOOKUP(_xlfn.XLOOKUP(C1293,'Project Details'!$C$17:$C$10003,'Project Details'!$E$17:$E$10003, "",0),dd_design_raw!$A$2:$A$9997,dd_design_raw!$C$2:$C$9997,"",0)</f>
        <v>0</v>
      </c>
      <c r="C1293" s="16"/>
      <c r="D1293" s="16"/>
      <c r="E1293" s="16" t="str" cm="1">
        <f t="array" ref="E1293">IF(C1293&lt;&gt;"", _xlfn.XLOOKUP(1,((SKUs!$A$2:$A$10001=cl_unmerged!B1293) * (LEFT(SKUs!$J$2:$J$10001, LEN("Cassette"))="Cassette")), SKUs!$J$2:$J$10001,""),"")</f>
        <v/>
      </c>
      <c r="F1293" s="33" t="str" cm="1">
        <f t="array" ref="F1293">_xlfn.XLOOKUP(1,((SKUs!$A$2:$A$10001=cl_unmerged!B1293) * (LEFT(SKUs!$J$2:$J$10001, LEN("Cassette"))="Cassette") * (ISNUMBER(SEARCH(A1293,SKUs!$C$2:$C$10001)))), SKUs!$C$2:$C$10001,"")</f>
        <v/>
      </c>
      <c r="G1293" s="16"/>
      <c r="H1293" s="16"/>
      <c r="I1293" s="16"/>
    </row>
    <row r="1294" spans="1:9" ht="13.5" customHeight="1" x14ac:dyDescent="0.25">
      <c r="A1294" s="41" t="str">
        <f>_xlfn.XLOOKUP(G1294,dd_color!$A$2:$A$8,dd_color!$B$2:$B$8,"",0)</f>
        <v/>
      </c>
      <c r="B1294" s="41">
        <f>_xlfn.XLOOKUP(_xlfn.XLOOKUP(C1294,'Project Details'!$C$17:$C$10003,'Project Details'!$E$17:$E$10003, "",0),dd_design_raw!$A$2:$A$9997,dd_design_raw!$C$2:$C$9997,"",0)</f>
        <v>0</v>
      </c>
      <c r="C1294" s="16"/>
      <c r="D1294" s="16"/>
      <c r="E1294" s="16" t="str" cm="1">
        <f t="array" ref="E1294">IF(C1294&lt;&gt;"", _xlfn.XLOOKUP(1,((SKUs!$A$2:$A$10001=cl_unmerged!B1294) * (LEFT(SKUs!$J$2:$J$10001, LEN("Cassette"))="Cassette")), SKUs!$J$2:$J$10001,""),"")</f>
        <v/>
      </c>
      <c r="F1294" s="33" t="str" cm="1">
        <f t="array" ref="F1294">_xlfn.XLOOKUP(1,((SKUs!$A$2:$A$10001=cl_unmerged!B1294) * (LEFT(SKUs!$J$2:$J$10001, LEN("Cassette"))="Cassette") * (ISNUMBER(SEARCH(A1294,SKUs!$C$2:$C$10001)))), SKUs!$C$2:$C$10001,"")</f>
        <v/>
      </c>
      <c r="G1294" s="16"/>
      <c r="H1294" s="16"/>
      <c r="I1294" s="16"/>
    </row>
    <row r="1295" spans="1:9" ht="13.5" customHeight="1" x14ac:dyDescent="0.25">
      <c r="A1295" s="41" t="str">
        <f>_xlfn.XLOOKUP(G1295,dd_color!$A$2:$A$8,dd_color!$B$2:$B$8,"",0)</f>
        <v/>
      </c>
      <c r="B1295" s="41">
        <f>_xlfn.XLOOKUP(_xlfn.XLOOKUP(C1295,'Project Details'!$C$17:$C$10003,'Project Details'!$E$17:$E$10003, "",0),dd_design_raw!$A$2:$A$9997,dd_design_raw!$C$2:$C$9997,"",0)</f>
        <v>0</v>
      </c>
      <c r="C1295" s="16"/>
      <c r="D1295" s="16"/>
      <c r="E1295" s="16" t="str" cm="1">
        <f t="array" ref="E1295">IF(C1295&lt;&gt;"", _xlfn.XLOOKUP(1,((SKUs!$A$2:$A$10001=cl_unmerged!B1295) * (LEFT(SKUs!$J$2:$J$10001, LEN("Cassette"))="Cassette")), SKUs!$J$2:$J$10001,""),"")</f>
        <v/>
      </c>
      <c r="F1295" s="33" t="str" cm="1">
        <f t="array" ref="F1295">_xlfn.XLOOKUP(1,((SKUs!$A$2:$A$10001=cl_unmerged!B1295) * (LEFT(SKUs!$J$2:$J$10001, LEN("Cassette"))="Cassette") * (ISNUMBER(SEARCH(A1295,SKUs!$C$2:$C$10001)))), SKUs!$C$2:$C$10001,"")</f>
        <v/>
      </c>
      <c r="G1295" s="16"/>
      <c r="H1295" s="16"/>
      <c r="I1295" s="16"/>
    </row>
    <row r="1296" spans="1:9" ht="13.5" customHeight="1" x14ac:dyDescent="0.25">
      <c r="A1296" s="41" t="str">
        <f>_xlfn.XLOOKUP(G1296,dd_color!$A$2:$A$8,dd_color!$B$2:$B$8,"",0)</f>
        <v/>
      </c>
      <c r="B1296" s="41">
        <f>_xlfn.XLOOKUP(_xlfn.XLOOKUP(C1296,'Project Details'!$C$17:$C$10003,'Project Details'!$E$17:$E$10003, "",0),dd_design_raw!$A$2:$A$9997,dd_design_raw!$C$2:$C$9997,"",0)</f>
        <v>0</v>
      </c>
      <c r="C1296" s="16"/>
      <c r="D1296" s="16"/>
      <c r="E1296" s="16" t="str" cm="1">
        <f t="array" ref="E1296">IF(C1296&lt;&gt;"", _xlfn.XLOOKUP(1,((SKUs!$A$2:$A$10001=cl_unmerged!B1296) * (LEFT(SKUs!$J$2:$J$10001, LEN("Cassette"))="Cassette")), SKUs!$J$2:$J$10001,""),"")</f>
        <v/>
      </c>
      <c r="F1296" s="33" t="str" cm="1">
        <f t="array" ref="F1296">_xlfn.XLOOKUP(1,((SKUs!$A$2:$A$10001=cl_unmerged!B1296) * (LEFT(SKUs!$J$2:$J$10001, LEN("Cassette"))="Cassette") * (ISNUMBER(SEARCH(A1296,SKUs!$C$2:$C$10001)))), SKUs!$C$2:$C$10001,"")</f>
        <v/>
      </c>
      <c r="G1296" s="16"/>
      <c r="H1296" s="16"/>
      <c r="I1296" s="16"/>
    </row>
    <row r="1297" spans="1:9" ht="13.5" customHeight="1" x14ac:dyDescent="0.25">
      <c r="A1297" s="41" t="str">
        <f>_xlfn.XLOOKUP(G1297,dd_color!$A$2:$A$8,dd_color!$B$2:$B$8,"",0)</f>
        <v/>
      </c>
      <c r="B1297" s="41">
        <f>_xlfn.XLOOKUP(_xlfn.XLOOKUP(C1297,'Project Details'!$C$17:$C$10003,'Project Details'!$E$17:$E$10003, "",0),dd_design_raw!$A$2:$A$9997,dd_design_raw!$C$2:$C$9997,"",0)</f>
        <v>0</v>
      </c>
      <c r="C1297" s="16"/>
      <c r="D1297" s="16"/>
      <c r="E1297" s="16" t="str" cm="1">
        <f t="array" ref="E1297">IF(C1297&lt;&gt;"", _xlfn.XLOOKUP(1,((SKUs!$A$2:$A$10001=cl_unmerged!B1297) * (LEFT(SKUs!$J$2:$J$10001, LEN("Cassette"))="Cassette")), SKUs!$J$2:$J$10001,""),"")</f>
        <v/>
      </c>
      <c r="F1297" s="33" t="str" cm="1">
        <f t="array" ref="F1297">_xlfn.XLOOKUP(1,((SKUs!$A$2:$A$10001=cl_unmerged!B1297) * (LEFT(SKUs!$J$2:$J$10001, LEN("Cassette"))="Cassette") * (ISNUMBER(SEARCH(A1297,SKUs!$C$2:$C$10001)))), SKUs!$C$2:$C$10001,"")</f>
        <v/>
      </c>
      <c r="G1297" s="16"/>
      <c r="H1297" s="16"/>
      <c r="I1297" s="16"/>
    </row>
    <row r="1298" spans="1:9" ht="13.5" customHeight="1" x14ac:dyDescent="0.25">
      <c r="A1298" s="41" t="str">
        <f>_xlfn.XLOOKUP(G1298,dd_color!$A$2:$A$8,dd_color!$B$2:$B$8,"",0)</f>
        <v/>
      </c>
      <c r="B1298" s="41">
        <f>_xlfn.XLOOKUP(_xlfn.XLOOKUP(C1298,'Project Details'!$C$17:$C$10003,'Project Details'!$E$17:$E$10003, "",0),dd_design_raw!$A$2:$A$9997,dd_design_raw!$C$2:$C$9997,"",0)</f>
        <v>0</v>
      </c>
      <c r="C1298" s="16"/>
      <c r="D1298" s="16"/>
      <c r="E1298" s="16" t="str" cm="1">
        <f t="array" ref="E1298">IF(C1298&lt;&gt;"", _xlfn.XLOOKUP(1,((SKUs!$A$2:$A$10001=cl_unmerged!B1298) * (LEFT(SKUs!$J$2:$J$10001, LEN("Cassette"))="Cassette")), SKUs!$J$2:$J$10001,""),"")</f>
        <v/>
      </c>
      <c r="F1298" s="33" t="str" cm="1">
        <f t="array" ref="F1298">_xlfn.XLOOKUP(1,((SKUs!$A$2:$A$10001=cl_unmerged!B1298) * (LEFT(SKUs!$J$2:$J$10001, LEN("Cassette"))="Cassette") * (ISNUMBER(SEARCH(A1298,SKUs!$C$2:$C$10001)))), SKUs!$C$2:$C$10001,"")</f>
        <v/>
      </c>
      <c r="G1298" s="16"/>
      <c r="H1298" s="16"/>
      <c r="I1298" s="16"/>
    </row>
    <row r="1299" spans="1:9" ht="13.5" customHeight="1" x14ac:dyDescent="0.25">
      <c r="A1299" s="41" t="str">
        <f>_xlfn.XLOOKUP(G1299,dd_color!$A$2:$A$8,dd_color!$B$2:$B$8,"",0)</f>
        <v/>
      </c>
      <c r="B1299" s="41">
        <f>_xlfn.XLOOKUP(_xlfn.XLOOKUP(C1299,'Project Details'!$C$17:$C$10003,'Project Details'!$E$17:$E$10003, "",0),dd_design_raw!$A$2:$A$9997,dd_design_raw!$C$2:$C$9997,"",0)</f>
        <v>0</v>
      </c>
      <c r="C1299" s="16"/>
      <c r="D1299" s="16"/>
      <c r="E1299" s="16" t="str" cm="1">
        <f t="array" ref="E1299">IF(C1299&lt;&gt;"", _xlfn.XLOOKUP(1,((SKUs!$A$2:$A$10001=cl_unmerged!B1299) * (LEFT(SKUs!$J$2:$J$10001, LEN("Cassette"))="Cassette")), SKUs!$J$2:$J$10001,""),"")</f>
        <v/>
      </c>
      <c r="F1299" s="33" t="str" cm="1">
        <f t="array" ref="F1299">_xlfn.XLOOKUP(1,((SKUs!$A$2:$A$10001=cl_unmerged!B1299) * (LEFT(SKUs!$J$2:$J$10001, LEN("Cassette"))="Cassette") * (ISNUMBER(SEARCH(A1299,SKUs!$C$2:$C$10001)))), SKUs!$C$2:$C$10001,"")</f>
        <v/>
      </c>
      <c r="G1299" s="16"/>
      <c r="H1299" s="16"/>
      <c r="I1299" s="16"/>
    </row>
    <row r="1300" spans="1:9" ht="13.5" customHeight="1" x14ac:dyDescent="0.25">
      <c r="A1300" s="41" t="str">
        <f>_xlfn.XLOOKUP(G1300,dd_color!$A$2:$A$8,dd_color!$B$2:$B$8,"",0)</f>
        <v/>
      </c>
      <c r="B1300" s="41">
        <f>_xlfn.XLOOKUP(_xlfn.XLOOKUP(C1300,'Project Details'!$C$17:$C$10003,'Project Details'!$E$17:$E$10003, "",0),dd_design_raw!$A$2:$A$9997,dd_design_raw!$C$2:$C$9997,"",0)</f>
        <v>0</v>
      </c>
      <c r="C1300" s="16"/>
      <c r="D1300" s="16"/>
      <c r="E1300" s="16" t="str" cm="1">
        <f t="array" ref="E1300">IF(C1300&lt;&gt;"", _xlfn.XLOOKUP(1,((SKUs!$A$2:$A$10001=cl_unmerged!B1300) * (LEFT(SKUs!$J$2:$J$10001, LEN("Cassette"))="Cassette")), SKUs!$J$2:$J$10001,""),"")</f>
        <v/>
      </c>
      <c r="F1300" s="33" t="str" cm="1">
        <f t="array" ref="F1300">_xlfn.XLOOKUP(1,((SKUs!$A$2:$A$10001=cl_unmerged!B1300) * (LEFT(SKUs!$J$2:$J$10001, LEN("Cassette"))="Cassette") * (ISNUMBER(SEARCH(A1300,SKUs!$C$2:$C$10001)))), SKUs!$C$2:$C$10001,"")</f>
        <v/>
      </c>
      <c r="G1300" s="16"/>
      <c r="H1300" s="16"/>
      <c r="I1300" s="16"/>
    </row>
    <row r="1301" spans="1:9" ht="13.5" customHeight="1" x14ac:dyDescent="0.25">
      <c r="A1301" s="41" t="str">
        <f>_xlfn.XLOOKUP(G1301,dd_color!$A$2:$A$8,dd_color!$B$2:$B$8,"",0)</f>
        <v/>
      </c>
      <c r="B1301" s="41">
        <f>_xlfn.XLOOKUP(_xlfn.XLOOKUP(C1301,'Project Details'!$C$17:$C$10003,'Project Details'!$E$17:$E$10003, "",0),dd_design_raw!$A$2:$A$9997,dd_design_raw!$C$2:$C$9997,"",0)</f>
        <v>0</v>
      </c>
      <c r="C1301" s="16"/>
      <c r="D1301" s="16"/>
      <c r="E1301" s="16" t="str" cm="1">
        <f t="array" ref="E1301">IF(C1301&lt;&gt;"", _xlfn.XLOOKUP(1,((SKUs!$A$2:$A$10001=cl_unmerged!B1301) * (LEFT(SKUs!$J$2:$J$10001, LEN("Cassette"))="Cassette")), SKUs!$J$2:$J$10001,""),"")</f>
        <v/>
      </c>
      <c r="F1301" s="33" t="str" cm="1">
        <f t="array" ref="F1301">_xlfn.XLOOKUP(1,((SKUs!$A$2:$A$10001=cl_unmerged!B1301) * (LEFT(SKUs!$J$2:$J$10001, LEN("Cassette"))="Cassette") * (ISNUMBER(SEARCH(A1301,SKUs!$C$2:$C$10001)))), SKUs!$C$2:$C$10001,"")</f>
        <v/>
      </c>
      <c r="G1301" s="16"/>
      <c r="H1301" s="16"/>
      <c r="I1301" s="16"/>
    </row>
    <row r="1302" spans="1:9" ht="13.5" customHeight="1" x14ac:dyDescent="0.25">
      <c r="A1302" s="41" t="str">
        <f>_xlfn.XLOOKUP(G1302,dd_color!$A$2:$A$8,dd_color!$B$2:$B$8,"",0)</f>
        <v/>
      </c>
      <c r="B1302" s="41">
        <f>_xlfn.XLOOKUP(_xlfn.XLOOKUP(C1302,'Project Details'!$C$17:$C$10003,'Project Details'!$E$17:$E$10003, "",0),dd_design_raw!$A$2:$A$9997,dd_design_raw!$C$2:$C$9997,"",0)</f>
        <v>0</v>
      </c>
      <c r="C1302" s="16"/>
      <c r="D1302" s="16"/>
      <c r="E1302" s="16" t="str" cm="1">
        <f t="array" ref="E1302">IF(C1302&lt;&gt;"", _xlfn.XLOOKUP(1,((SKUs!$A$2:$A$10001=cl_unmerged!B1302) * (LEFT(SKUs!$J$2:$J$10001, LEN("Cassette"))="Cassette")), SKUs!$J$2:$J$10001,""),"")</f>
        <v/>
      </c>
      <c r="F1302" s="33" t="str" cm="1">
        <f t="array" ref="F1302">_xlfn.XLOOKUP(1,((SKUs!$A$2:$A$10001=cl_unmerged!B1302) * (LEFT(SKUs!$J$2:$J$10001, LEN("Cassette"))="Cassette") * (ISNUMBER(SEARCH(A1302,SKUs!$C$2:$C$10001)))), SKUs!$C$2:$C$10001,"")</f>
        <v/>
      </c>
      <c r="G1302" s="16"/>
      <c r="H1302" s="16"/>
      <c r="I1302" s="16"/>
    </row>
    <row r="1303" spans="1:9" ht="13.5" customHeight="1" x14ac:dyDescent="0.25">
      <c r="A1303" s="41" t="str">
        <f>_xlfn.XLOOKUP(G1303,dd_color!$A$2:$A$8,dd_color!$B$2:$B$8,"",0)</f>
        <v/>
      </c>
      <c r="B1303" s="41">
        <f>_xlfn.XLOOKUP(_xlfn.XLOOKUP(C1303,'Project Details'!$C$17:$C$10003,'Project Details'!$E$17:$E$10003, "",0),dd_design_raw!$A$2:$A$9997,dd_design_raw!$C$2:$C$9997,"",0)</f>
        <v>0</v>
      </c>
      <c r="C1303" s="16"/>
      <c r="D1303" s="16"/>
      <c r="E1303" s="16" t="str" cm="1">
        <f t="array" ref="E1303">IF(C1303&lt;&gt;"", _xlfn.XLOOKUP(1,((SKUs!$A$2:$A$10001=cl_unmerged!B1303) * (LEFT(SKUs!$J$2:$J$10001, LEN("Cassette"))="Cassette")), SKUs!$J$2:$J$10001,""),"")</f>
        <v/>
      </c>
      <c r="F1303" s="33" t="str" cm="1">
        <f t="array" ref="F1303">_xlfn.XLOOKUP(1,((SKUs!$A$2:$A$10001=cl_unmerged!B1303) * (LEFT(SKUs!$J$2:$J$10001, LEN("Cassette"))="Cassette") * (ISNUMBER(SEARCH(A1303,SKUs!$C$2:$C$10001)))), SKUs!$C$2:$C$10001,"")</f>
        <v/>
      </c>
      <c r="G1303" s="16"/>
      <c r="H1303" s="16"/>
      <c r="I1303" s="16"/>
    </row>
    <row r="1304" spans="1:9" ht="13.5" customHeight="1" x14ac:dyDescent="0.25">
      <c r="A1304" s="41" t="str">
        <f>_xlfn.XLOOKUP(G1304,dd_color!$A$2:$A$8,dd_color!$B$2:$B$8,"",0)</f>
        <v/>
      </c>
      <c r="B1304" s="41">
        <f>_xlfn.XLOOKUP(_xlfn.XLOOKUP(C1304,'Project Details'!$C$17:$C$10003,'Project Details'!$E$17:$E$10003, "",0),dd_design_raw!$A$2:$A$9997,dd_design_raw!$C$2:$C$9997,"",0)</f>
        <v>0</v>
      </c>
      <c r="C1304" s="16"/>
      <c r="D1304" s="16"/>
      <c r="E1304" s="16" t="str" cm="1">
        <f t="array" ref="E1304">IF(C1304&lt;&gt;"", _xlfn.XLOOKUP(1,((SKUs!$A$2:$A$10001=cl_unmerged!B1304) * (LEFT(SKUs!$J$2:$J$10001, LEN("Cassette"))="Cassette")), SKUs!$J$2:$J$10001,""),"")</f>
        <v/>
      </c>
      <c r="F1304" s="33" t="str" cm="1">
        <f t="array" ref="F1304">_xlfn.XLOOKUP(1,((SKUs!$A$2:$A$10001=cl_unmerged!B1304) * (LEFT(SKUs!$J$2:$J$10001, LEN("Cassette"))="Cassette") * (ISNUMBER(SEARCH(A1304,SKUs!$C$2:$C$10001)))), SKUs!$C$2:$C$10001,"")</f>
        <v/>
      </c>
      <c r="G1304" s="16"/>
      <c r="H1304" s="16"/>
      <c r="I1304" s="16"/>
    </row>
    <row r="1305" spans="1:9" ht="13.5" customHeight="1" x14ac:dyDescent="0.25">
      <c r="A1305" s="41" t="str">
        <f>_xlfn.XLOOKUP(G1305,dd_color!$A$2:$A$8,dd_color!$B$2:$B$8,"",0)</f>
        <v/>
      </c>
      <c r="B1305" s="41">
        <f>_xlfn.XLOOKUP(_xlfn.XLOOKUP(C1305,'Project Details'!$C$17:$C$10003,'Project Details'!$E$17:$E$10003, "",0),dd_design_raw!$A$2:$A$9997,dd_design_raw!$C$2:$C$9997,"",0)</f>
        <v>0</v>
      </c>
      <c r="C1305" s="16"/>
      <c r="D1305" s="16"/>
      <c r="E1305" s="16" t="str" cm="1">
        <f t="array" ref="E1305">IF(C1305&lt;&gt;"", _xlfn.XLOOKUP(1,((SKUs!$A$2:$A$10001=cl_unmerged!B1305) * (LEFT(SKUs!$J$2:$J$10001, LEN("Cassette"))="Cassette")), SKUs!$J$2:$J$10001,""),"")</f>
        <v/>
      </c>
      <c r="F1305" s="33" t="str" cm="1">
        <f t="array" ref="F1305">_xlfn.XLOOKUP(1,((SKUs!$A$2:$A$10001=cl_unmerged!B1305) * (LEFT(SKUs!$J$2:$J$10001, LEN("Cassette"))="Cassette") * (ISNUMBER(SEARCH(A1305,SKUs!$C$2:$C$10001)))), SKUs!$C$2:$C$10001,"")</f>
        <v/>
      </c>
      <c r="G1305" s="16"/>
      <c r="H1305" s="16"/>
      <c r="I1305" s="16"/>
    </row>
    <row r="1306" spans="1:9" ht="13.5" customHeight="1" x14ac:dyDescent="0.25">
      <c r="A1306" s="41" t="str">
        <f>_xlfn.XLOOKUP(G1306,dd_color!$A$2:$A$8,dd_color!$B$2:$B$8,"",0)</f>
        <v/>
      </c>
      <c r="B1306" s="41">
        <f>_xlfn.XLOOKUP(_xlfn.XLOOKUP(C1306,'Project Details'!$C$17:$C$10003,'Project Details'!$E$17:$E$10003, "",0),dd_design_raw!$A$2:$A$9997,dd_design_raw!$C$2:$C$9997,"",0)</f>
        <v>0</v>
      </c>
      <c r="C1306" s="16"/>
      <c r="D1306" s="16"/>
      <c r="E1306" s="16" t="str" cm="1">
        <f t="array" ref="E1306">IF(C1306&lt;&gt;"", _xlfn.XLOOKUP(1,((SKUs!$A$2:$A$10001=cl_unmerged!B1306) * (LEFT(SKUs!$J$2:$J$10001, LEN("Cassette"))="Cassette")), SKUs!$J$2:$J$10001,""),"")</f>
        <v/>
      </c>
      <c r="F1306" s="33" t="str" cm="1">
        <f t="array" ref="F1306">_xlfn.XLOOKUP(1,((SKUs!$A$2:$A$10001=cl_unmerged!B1306) * (LEFT(SKUs!$J$2:$J$10001, LEN("Cassette"))="Cassette") * (ISNUMBER(SEARCH(A1306,SKUs!$C$2:$C$10001)))), SKUs!$C$2:$C$10001,"")</f>
        <v/>
      </c>
      <c r="G1306" s="16"/>
      <c r="H1306" s="16"/>
      <c r="I1306" s="16"/>
    </row>
    <row r="1307" spans="1:9" ht="13.5" customHeight="1" x14ac:dyDescent="0.25">
      <c r="A1307" s="41" t="str">
        <f>_xlfn.XLOOKUP(G1307,dd_color!$A$2:$A$8,dd_color!$B$2:$B$8,"",0)</f>
        <v/>
      </c>
      <c r="B1307" s="41">
        <f>_xlfn.XLOOKUP(_xlfn.XLOOKUP(C1307,'Project Details'!$C$17:$C$10003,'Project Details'!$E$17:$E$10003, "",0),dd_design_raw!$A$2:$A$9997,dd_design_raw!$C$2:$C$9997,"",0)</f>
        <v>0</v>
      </c>
      <c r="C1307" s="16"/>
      <c r="D1307" s="16"/>
      <c r="E1307" s="16" t="str" cm="1">
        <f t="array" ref="E1307">IF(C1307&lt;&gt;"", _xlfn.XLOOKUP(1,((SKUs!$A$2:$A$10001=cl_unmerged!B1307) * (LEFT(SKUs!$J$2:$J$10001, LEN("Cassette"))="Cassette")), SKUs!$J$2:$J$10001,""),"")</f>
        <v/>
      </c>
      <c r="F1307" s="33" t="str" cm="1">
        <f t="array" ref="F1307">_xlfn.XLOOKUP(1,((SKUs!$A$2:$A$10001=cl_unmerged!B1307) * (LEFT(SKUs!$J$2:$J$10001, LEN("Cassette"))="Cassette") * (ISNUMBER(SEARCH(A1307,SKUs!$C$2:$C$10001)))), SKUs!$C$2:$C$10001,"")</f>
        <v/>
      </c>
      <c r="G1307" s="16"/>
      <c r="H1307" s="16"/>
      <c r="I1307" s="16"/>
    </row>
    <row r="1308" spans="1:9" ht="13.5" customHeight="1" x14ac:dyDescent="0.25">
      <c r="A1308" s="41" t="str">
        <f>_xlfn.XLOOKUP(G1308,dd_color!$A$2:$A$8,dd_color!$B$2:$B$8,"",0)</f>
        <v/>
      </c>
      <c r="B1308" s="41">
        <f>_xlfn.XLOOKUP(_xlfn.XLOOKUP(C1308,'Project Details'!$C$17:$C$10003,'Project Details'!$E$17:$E$10003, "",0),dd_design_raw!$A$2:$A$9997,dd_design_raw!$C$2:$C$9997,"",0)</f>
        <v>0</v>
      </c>
      <c r="C1308" s="16"/>
      <c r="D1308" s="16"/>
      <c r="E1308" s="16" t="str" cm="1">
        <f t="array" ref="E1308">IF(C1308&lt;&gt;"", _xlfn.XLOOKUP(1,((SKUs!$A$2:$A$10001=cl_unmerged!B1308) * (LEFT(SKUs!$J$2:$J$10001, LEN("Cassette"))="Cassette")), SKUs!$J$2:$J$10001,""),"")</f>
        <v/>
      </c>
      <c r="F1308" s="33" t="str" cm="1">
        <f t="array" ref="F1308">_xlfn.XLOOKUP(1,((SKUs!$A$2:$A$10001=cl_unmerged!B1308) * (LEFT(SKUs!$J$2:$J$10001, LEN("Cassette"))="Cassette") * (ISNUMBER(SEARCH(A1308,SKUs!$C$2:$C$10001)))), SKUs!$C$2:$C$10001,"")</f>
        <v/>
      </c>
      <c r="G1308" s="16"/>
      <c r="H1308" s="16"/>
      <c r="I1308" s="16"/>
    </row>
    <row r="1309" spans="1:9" ht="13.5" customHeight="1" x14ac:dyDescent="0.25">
      <c r="A1309" s="41" t="str">
        <f>_xlfn.XLOOKUP(G1309,dd_color!$A$2:$A$8,dd_color!$B$2:$B$8,"",0)</f>
        <v/>
      </c>
      <c r="B1309" s="41">
        <f>_xlfn.XLOOKUP(_xlfn.XLOOKUP(C1309,'Project Details'!$C$17:$C$10003,'Project Details'!$E$17:$E$10003, "",0),dd_design_raw!$A$2:$A$9997,dd_design_raw!$C$2:$C$9997,"",0)</f>
        <v>0</v>
      </c>
      <c r="C1309" s="16"/>
      <c r="D1309" s="16"/>
      <c r="E1309" s="16" t="str" cm="1">
        <f t="array" ref="E1309">IF(C1309&lt;&gt;"", _xlfn.XLOOKUP(1,((SKUs!$A$2:$A$10001=cl_unmerged!B1309) * (LEFT(SKUs!$J$2:$J$10001, LEN("Cassette"))="Cassette")), SKUs!$J$2:$J$10001,""),"")</f>
        <v/>
      </c>
      <c r="F1309" s="33" t="str" cm="1">
        <f t="array" ref="F1309">_xlfn.XLOOKUP(1,((SKUs!$A$2:$A$10001=cl_unmerged!B1309) * (LEFT(SKUs!$J$2:$J$10001, LEN("Cassette"))="Cassette") * (ISNUMBER(SEARCH(A1309,SKUs!$C$2:$C$10001)))), SKUs!$C$2:$C$10001,"")</f>
        <v/>
      </c>
      <c r="G1309" s="16"/>
      <c r="H1309" s="16"/>
      <c r="I1309" s="16"/>
    </row>
    <row r="1310" spans="1:9" ht="13.5" customHeight="1" x14ac:dyDescent="0.25">
      <c r="A1310" s="41" t="str">
        <f>_xlfn.XLOOKUP(G1310,dd_color!$A$2:$A$8,dd_color!$B$2:$B$8,"",0)</f>
        <v/>
      </c>
      <c r="B1310" s="41">
        <f>_xlfn.XLOOKUP(_xlfn.XLOOKUP(C1310,'Project Details'!$C$17:$C$10003,'Project Details'!$E$17:$E$10003, "",0),dd_design_raw!$A$2:$A$9997,dd_design_raw!$C$2:$C$9997,"",0)</f>
        <v>0</v>
      </c>
      <c r="C1310" s="16"/>
      <c r="D1310" s="16"/>
      <c r="E1310" s="16" t="str" cm="1">
        <f t="array" ref="E1310">IF(C1310&lt;&gt;"", _xlfn.XLOOKUP(1,((SKUs!$A$2:$A$10001=cl_unmerged!B1310) * (LEFT(SKUs!$J$2:$J$10001, LEN("Cassette"))="Cassette")), SKUs!$J$2:$J$10001,""),"")</f>
        <v/>
      </c>
      <c r="F1310" s="33" t="str" cm="1">
        <f t="array" ref="F1310">_xlfn.XLOOKUP(1,((SKUs!$A$2:$A$10001=cl_unmerged!B1310) * (LEFT(SKUs!$J$2:$J$10001, LEN("Cassette"))="Cassette") * (ISNUMBER(SEARCH(A1310,SKUs!$C$2:$C$10001)))), SKUs!$C$2:$C$10001,"")</f>
        <v/>
      </c>
      <c r="G1310" s="16"/>
      <c r="H1310" s="16"/>
      <c r="I1310" s="16"/>
    </row>
    <row r="1311" spans="1:9" ht="13.5" customHeight="1" x14ac:dyDescent="0.25">
      <c r="A1311" s="41" t="str">
        <f>_xlfn.XLOOKUP(G1311,dd_color!$A$2:$A$8,dd_color!$B$2:$B$8,"",0)</f>
        <v/>
      </c>
      <c r="B1311" s="41">
        <f>_xlfn.XLOOKUP(_xlfn.XLOOKUP(C1311,'Project Details'!$C$17:$C$10003,'Project Details'!$E$17:$E$10003, "",0),dd_design_raw!$A$2:$A$9997,dd_design_raw!$C$2:$C$9997,"",0)</f>
        <v>0</v>
      </c>
      <c r="C1311" s="16"/>
      <c r="D1311" s="16"/>
      <c r="E1311" s="16" t="str" cm="1">
        <f t="array" ref="E1311">IF(C1311&lt;&gt;"", _xlfn.XLOOKUP(1,((SKUs!$A$2:$A$10001=cl_unmerged!B1311) * (LEFT(SKUs!$J$2:$J$10001, LEN("Cassette"))="Cassette")), SKUs!$J$2:$J$10001,""),"")</f>
        <v/>
      </c>
      <c r="F1311" s="33" t="str" cm="1">
        <f t="array" ref="F1311">_xlfn.XLOOKUP(1,((SKUs!$A$2:$A$10001=cl_unmerged!B1311) * (LEFT(SKUs!$J$2:$J$10001, LEN("Cassette"))="Cassette") * (ISNUMBER(SEARCH(A1311,SKUs!$C$2:$C$10001)))), SKUs!$C$2:$C$10001,"")</f>
        <v/>
      </c>
      <c r="G1311" s="16"/>
      <c r="H1311" s="16"/>
      <c r="I1311" s="16"/>
    </row>
    <row r="1312" spans="1:9" ht="13.5" customHeight="1" x14ac:dyDescent="0.25">
      <c r="A1312" s="41" t="str">
        <f>_xlfn.XLOOKUP(G1312,dd_color!$A$2:$A$8,dd_color!$B$2:$B$8,"",0)</f>
        <v/>
      </c>
      <c r="B1312" s="41">
        <f>_xlfn.XLOOKUP(_xlfn.XLOOKUP(C1312,'Project Details'!$C$17:$C$10003,'Project Details'!$E$17:$E$10003, "",0),dd_design_raw!$A$2:$A$9997,dd_design_raw!$C$2:$C$9997,"",0)</f>
        <v>0</v>
      </c>
      <c r="C1312" s="16"/>
      <c r="D1312" s="16"/>
      <c r="E1312" s="16" t="str" cm="1">
        <f t="array" ref="E1312">IF(C1312&lt;&gt;"", _xlfn.XLOOKUP(1,((SKUs!$A$2:$A$10001=cl_unmerged!B1312) * (LEFT(SKUs!$J$2:$J$10001, LEN("Cassette"))="Cassette")), SKUs!$J$2:$J$10001,""),"")</f>
        <v/>
      </c>
      <c r="F1312" s="33" t="str" cm="1">
        <f t="array" ref="F1312">_xlfn.XLOOKUP(1,((SKUs!$A$2:$A$10001=cl_unmerged!B1312) * (LEFT(SKUs!$J$2:$J$10001, LEN("Cassette"))="Cassette") * (ISNUMBER(SEARCH(A1312,SKUs!$C$2:$C$10001)))), SKUs!$C$2:$C$10001,"")</f>
        <v/>
      </c>
      <c r="G1312" s="16"/>
      <c r="H1312" s="16"/>
      <c r="I1312" s="16"/>
    </row>
    <row r="1313" spans="1:9" ht="13.5" customHeight="1" x14ac:dyDescent="0.25">
      <c r="A1313" s="41" t="str">
        <f>_xlfn.XLOOKUP(G1313,dd_color!$A$2:$A$8,dd_color!$B$2:$B$8,"",0)</f>
        <v/>
      </c>
      <c r="B1313" s="41">
        <f>_xlfn.XLOOKUP(_xlfn.XLOOKUP(C1313,'Project Details'!$C$17:$C$10003,'Project Details'!$E$17:$E$10003, "",0),dd_design_raw!$A$2:$A$9997,dd_design_raw!$C$2:$C$9997,"",0)</f>
        <v>0</v>
      </c>
      <c r="C1313" s="16"/>
      <c r="D1313" s="16"/>
      <c r="E1313" s="16" t="str" cm="1">
        <f t="array" ref="E1313">IF(C1313&lt;&gt;"", _xlfn.XLOOKUP(1,((SKUs!$A$2:$A$10001=cl_unmerged!B1313) * (LEFT(SKUs!$J$2:$J$10001, LEN("Cassette"))="Cassette")), SKUs!$J$2:$J$10001,""),"")</f>
        <v/>
      </c>
      <c r="F1313" s="33" t="str" cm="1">
        <f t="array" ref="F1313">_xlfn.XLOOKUP(1,((SKUs!$A$2:$A$10001=cl_unmerged!B1313) * (LEFT(SKUs!$J$2:$J$10001, LEN("Cassette"))="Cassette") * (ISNUMBER(SEARCH(A1313,SKUs!$C$2:$C$10001)))), SKUs!$C$2:$C$10001,"")</f>
        <v/>
      </c>
      <c r="G1313" s="16"/>
      <c r="H1313" s="16"/>
      <c r="I1313" s="16"/>
    </row>
    <row r="1314" spans="1:9" ht="13.5" customHeight="1" x14ac:dyDescent="0.25">
      <c r="A1314" s="41" t="str">
        <f>_xlfn.XLOOKUP(G1314,dd_color!$A$2:$A$8,dd_color!$B$2:$B$8,"",0)</f>
        <v/>
      </c>
      <c r="B1314" s="41">
        <f>_xlfn.XLOOKUP(_xlfn.XLOOKUP(C1314,'Project Details'!$C$17:$C$10003,'Project Details'!$E$17:$E$10003, "",0),dd_design_raw!$A$2:$A$9997,dd_design_raw!$C$2:$C$9997,"",0)</f>
        <v>0</v>
      </c>
      <c r="C1314" s="16"/>
      <c r="D1314" s="16"/>
      <c r="E1314" s="16" t="str" cm="1">
        <f t="array" ref="E1314">IF(C1314&lt;&gt;"", _xlfn.XLOOKUP(1,((SKUs!$A$2:$A$10001=cl_unmerged!B1314) * (LEFT(SKUs!$J$2:$J$10001, LEN("Cassette"))="Cassette")), SKUs!$J$2:$J$10001,""),"")</f>
        <v/>
      </c>
      <c r="F1314" s="33" t="str" cm="1">
        <f t="array" ref="F1314">_xlfn.XLOOKUP(1,((SKUs!$A$2:$A$10001=cl_unmerged!B1314) * (LEFT(SKUs!$J$2:$J$10001, LEN("Cassette"))="Cassette") * (ISNUMBER(SEARCH(A1314,SKUs!$C$2:$C$10001)))), SKUs!$C$2:$C$10001,"")</f>
        <v/>
      </c>
      <c r="G1314" s="16"/>
      <c r="H1314" s="16"/>
      <c r="I1314" s="16"/>
    </row>
    <row r="1315" spans="1:9" ht="13.5" customHeight="1" x14ac:dyDescent="0.25">
      <c r="A1315" s="41" t="str">
        <f>_xlfn.XLOOKUP(G1315,dd_color!$A$2:$A$8,dd_color!$B$2:$B$8,"",0)</f>
        <v/>
      </c>
      <c r="B1315" s="41">
        <f>_xlfn.XLOOKUP(_xlfn.XLOOKUP(C1315,'Project Details'!$C$17:$C$10003,'Project Details'!$E$17:$E$10003, "",0),dd_design_raw!$A$2:$A$9997,dd_design_raw!$C$2:$C$9997,"",0)</f>
        <v>0</v>
      </c>
      <c r="C1315" s="16"/>
      <c r="D1315" s="16"/>
      <c r="E1315" s="16" t="str" cm="1">
        <f t="array" ref="E1315">IF(C1315&lt;&gt;"", _xlfn.XLOOKUP(1,((SKUs!$A$2:$A$10001=cl_unmerged!B1315) * (LEFT(SKUs!$J$2:$J$10001, LEN("Cassette"))="Cassette")), SKUs!$J$2:$J$10001,""),"")</f>
        <v/>
      </c>
      <c r="F1315" s="33" t="str" cm="1">
        <f t="array" ref="F1315">_xlfn.XLOOKUP(1,((SKUs!$A$2:$A$10001=cl_unmerged!B1315) * (LEFT(SKUs!$J$2:$J$10001, LEN("Cassette"))="Cassette") * (ISNUMBER(SEARCH(A1315,SKUs!$C$2:$C$10001)))), SKUs!$C$2:$C$10001,"")</f>
        <v/>
      </c>
      <c r="G1315" s="16"/>
      <c r="H1315" s="16"/>
      <c r="I1315" s="16"/>
    </row>
    <row r="1316" spans="1:9" ht="13.5" customHeight="1" x14ac:dyDescent="0.25">
      <c r="A1316" s="41" t="str">
        <f>_xlfn.XLOOKUP(G1316,dd_color!$A$2:$A$8,dd_color!$B$2:$B$8,"",0)</f>
        <v/>
      </c>
      <c r="B1316" s="41">
        <f>_xlfn.XLOOKUP(_xlfn.XLOOKUP(C1316,'Project Details'!$C$17:$C$10003,'Project Details'!$E$17:$E$10003, "",0),dd_design_raw!$A$2:$A$9997,dd_design_raw!$C$2:$C$9997,"",0)</f>
        <v>0</v>
      </c>
      <c r="C1316" s="16"/>
      <c r="D1316" s="16"/>
      <c r="E1316" s="16" t="str" cm="1">
        <f t="array" ref="E1316">IF(C1316&lt;&gt;"", _xlfn.XLOOKUP(1,((SKUs!$A$2:$A$10001=cl_unmerged!B1316) * (LEFT(SKUs!$J$2:$J$10001, LEN("Cassette"))="Cassette")), SKUs!$J$2:$J$10001,""),"")</f>
        <v/>
      </c>
      <c r="F1316" s="33" t="str" cm="1">
        <f t="array" ref="F1316">_xlfn.XLOOKUP(1,((SKUs!$A$2:$A$10001=cl_unmerged!B1316) * (LEFT(SKUs!$J$2:$J$10001, LEN("Cassette"))="Cassette") * (ISNUMBER(SEARCH(A1316,SKUs!$C$2:$C$10001)))), SKUs!$C$2:$C$10001,"")</f>
        <v/>
      </c>
      <c r="G1316" s="16"/>
      <c r="H1316" s="16"/>
      <c r="I1316" s="16"/>
    </row>
    <row r="1317" spans="1:9" ht="13.5" customHeight="1" x14ac:dyDescent="0.25">
      <c r="A1317" s="41" t="str">
        <f>_xlfn.XLOOKUP(G1317,dd_color!$A$2:$A$8,dd_color!$B$2:$B$8,"",0)</f>
        <v/>
      </c>
      <c r="B1317" s="41">
        <f>_xlfn.XLOOKUP(_xlfn.XLOOKUP(C1317,'Project Details'!$C$17:$C$10003,'Project Details'!$E$17:$E$10003, "",0),dd_design_raw!$A$2:$A$9997,dd_design_raw!$C$2:$C$9997,"",0)</f>
        <v>0</v>
      </c>
      <c r="C1317" s="16"/>
      <c r="D1317" s="16"/>
      <c r="E1317" s="16" t="str" cm="1">
        <f t="array" ref="E1317">IF(C1317&lt;&gt;"", _xlfn.XLOOKUP(1,((SKUs!$A$2:$A$10001=cl_unmerged!B1317) * (LEFT(SKUs!$J$2:$J$10001, LEN("Cassette"))="Cassette")), SKUs!$J$2:$J$10001,""),"")</f>
        <v/>
      </c>
      <c r="F1317" s="33" t="str" cm="1">
        <f t="array" ref="F1317">_xlfn.XLOOKUP(1,((SKUs!$A$2:$A$10001=cl_unmerged!B1317) * (LEFT(SKUs!$J$2:$J$10001, LEN("Cassette"))="Cassette") * (ISNUMBER(SEARCH(A1317,SKUs!$C$2:$C$10001)))), SKUs!$C$2:$C$10001,"")</f>
        <v/>
      </c>
      <c r="G1317" s="16"/>
      <c r="H1317" s="16"/>
      <c r="I1317" s="16"/>
    </row>
    <row r="1318" spans="1:9" ht="13.5" customHeight="1" x14ac:dyDescent="0.25">
      <c r="A1318" s="41" t="str">
        <f>_xlfn.XLOOKUP(G1318,dd_color!$A$2:$A$8,dd_color!$B$2:$B$8,"",0)</f>
        <v/>
      </c>
      <c r="B1318" s="41">
        <f>_xlfn.XLOOKUP(_xlfn.XLOOKUP(C1318,'Project Details'!$C$17:$C$10003,'Project Details'!$E$17:$E$10003, "",0),dd_design_raw!$A$2:$A$9997,dd_design_raw!$C$2:$C$9997,"",0)</f>
        <v>0</v>
      </c>
      <c r="C1318" s="16"/>
      <c r="D1318" s="16"/>
      <c r="E1318" s="16" t="str" cm="1">
        <f t="array" ref="E1318">IF(C1318&lt;&gt;"", _xlfn.XLOOKUP(1,((SKUs!$A$2:$A$10001=cl_unmerged!B1318) * (LEFT(SKUs!$J$2:$J$10001, LEN("Cassette"))="Cassette")), SKUs!$J$2:$J$10001,""),"")</f>
        <v/>
      </c>
      <c r="F1318" s="33" t="str" cm="1">
        <f t="array" ref="F1318">_xlfn.XLOOKUP(1,((SKUs!$A$2:$A$10001=cl_unmerged!B1318) * (LEFT(SKUs!$J$2:$J$10001, LEN("Cassette"))="Cassette") * (ISNUMBER(SEARCH(A1318,SKUs!$C$2:$C$10001)))), SKUs!$C$2:$C$10001,"")</f>
        <v/>
      </c>
      <c r="G1318" s="16"/>
      <c r="H1318" s="16"/>
      <c r="I1318" s="16"/>
    </row>
    <row r="1319" spans="1:9" ht="13.5" customHeight="1" x14ac:dyDescent="0.25">
      <c r="A1319" s="41" t="str">
        <f>_xlfn.XLOOKUP(G1319,dd_color!$A$2:$A$8,dd_color!$B$2:$B$8,"",0)</f>
        <v/>
      </c>
      <c r="B1319" s="41">
        <f>_xlfn.XLOOKUP(_xlfn.XLOOKUP(C1319,'Project Details'!$C$17:$C$10003,'Project Details'!$E$17:$E$10003, "",0),dd_design_raw!$A$2:$A$9997,dd_design_raw!$C$2:$C$9997,"",0)</f>
        <v>0</v>
      </c>
      <c r="C1319" s="16"/>
      <c r="D1319" s="16"/>
      <c r="E1319" s="16" t="str" cm="1">
        <f t="array" ref="E1319">IF(C1319&lt;&gt;"", _xlfn.XLOOKUP(1,((SKUs!$A$2:$A$10001=cl_unmerged!B1319) * (LEFT(SKUs!$J$2:$J$10001, LEN("Cassette"))="Cassette")), SKUs!$J$2:$J$10001,""),"")</f>
        <v/>
      </c>
      <c r="F1319" s="33" t="str" cm="1">
        <f t="array" ref="F1319">_xlfn.XLOOKUP(1,((SKUs!$A$2:$A$10001=cl_unmerged!B1319) * (LEFT(SKUs!$J$2:$J$10001, LEN("Cassette"))="Cassette") * (ISNUMBER(SEARCH(A1319,SKUs!$C$2:$C$10001)))), SKUs!$C$2:$C$10001,"")</f>
        <v/>
      </c>
      <c r="G1319" s="16"/>
      <c r="H1319" s="16"/>
      <c r="I1319" s="16"/>
    </row>
    <row r="1320" spans="1:9" ht="13.5" customHeight="1" x14ac:dyDescent="0.25">
      <c r="A1320" s="41" t="str">
        <f>_xlfn.XLOOKUP(G1320,dd_color!$A$2:$A$8,dd_color!$B$2:$B$8,"",0)</f>
        <v/>
      </c>
      <c r="B1320" s="41">
        <f>_xlfn.XLOOKUP(_xlfn.XLOOKUP(C1320,'Project Details'!$C$17:$C$10003,'Project Details'!$E$17:$E$10003, "",0),dd_design_raw!$A$2:$A$9997,dd_design_raw!$C$2:$C$9997,"",0)</f>
        <v>0</v>
      </c>
      <c r="C1320" s="16"/>
      <c r="D1320" s="16"/>
      <c r="E1320" s="16" t="str" cm="1">
        <f t="array" ref="E1320">IF(C1320&lt;&gt;"", _xlfn.XLOOKUP(1,((SKUs!$A$2:$A$10001=cl_unmerged!B1320) * (LEFT(SKUs!$J$2:$J$10001, LEN("Cassette"))="Cassette")), SKUs!$J$2:$J$10001,""),"")</f>
        <v/>
      </c>
      <c r="F1320" s="33" t="str" cm="1">
        <f t="array" ref="F1320">_xlfn.XLOOKUP(1,((SKUs!$A$2:$A$10001=cl_unmerged!B1320) * (LEFT(SKUs!$J$2:$J$10001, LEN("Cassette"))="Cassette") * (ISNUMBER(SEARCH(A1320,SKUs!$C$2:$C$10001)))), SKUs!$C$2:$C$10001,"")</f>
        <v/>
      </c>
      <c r="G1320" s="16"/>
      <c r="H1320" s="16"/>
      <c r="I1320" s="16"/>
    </row>
    <row r="1321" spans="1:9" x14ac:dyDescent="0.25">
      <c r="C1321" s="28" t="s">
        <v>888</v>
      </c>
      <c r="D1321" s="29"/>
      <c r="E1321" s="29"/>
      <c r="F1321" s="29"/>
      <c r="G1321" s="29"/>
      <c r="H1321" s="29"/>
      <c r="I1321" s="30"/>
    </row>
    <row r="1322" spans="1:9" x14ac:dyDescent="0.25">
      <c r="A1322" s="41" t="str">
        <f>_xlfn.XLOOKUP(G1322,dd_color!$A$2:$A$8,dd_color!$B$2:$B$8,"",0)</f>
        <v/>
      </c>
      <c r="B1322" s="41" t="str">
        <f>_xlfn.XLOOKUP(_xlfn.XLOOKUP(C1322,'Project Details'!$C$17:$C$10003,'Project Details'!$E$17:$E$10003, "",0),dd_design_raw!$A$2:$A$9997,dd_design_raw!$C$2:$C$9997,"",0)</f>
        <v/>
      </c>
      <c r="C1322" s="16" t="str" cm="1">
        <f t="array" ref="C1322">IFERROR(_xlfn._xlws.FILTER(calc_rusacc!C15:C65,(calc_rusacc!E15:E65&lt;&gt;"Accordion Screen") * (calc_rusacc!D15:D65&lt;&gt;"")),"")</f>
        <v/>
      </c>
      <c r="D1322" s="16" t="str" cm="1">
        <f t="array" ref="D1322">IFERROR(_xlfn._xlws.FILTER(calc_rusacc!S15:S65,(calc_rusacc!E15:E65&lt;&gt;"Accordion Screen") * (calc_rusacc!D15:D65&lt;&gt;"")),"")</f>
        <v/>
      </c>
      <c r="E1322" s="16" t="str" cm="1">
        <f t="array" ref="E1322">IF(C1322&lt;&gt;"", _xlfn.XLOOKUP(1,((SKUs!$A$2:$A$10001=cl_unmerged!B1322) * (LEFT(SKUs!$J$2:$J$10001, LEN("Sliding Bar"))="Sliding Bar")), SKUs!$J$2:$J$10001,""),"")</f>
        <v/>
      </c>
      <c r="F1322" s="33" t="str" cm="1">
        <f t="array" ref="F1322">_xlfn.XLOOKUP(1,((SKUs!$A$2:$A$10001=cl_unmerged!B1322) * (LEFT(SKUs!$J$2:$J$10001, LEN("Sliding Bar"))="Sliding Bar") * (ISNUMBER(SEARCH(A1322,SKUs!$C$2:$C$10001)))), SKUs!$C$2:$C$10001,"")</f>
        <v/>
      </c>
      <c r="G1322" s="16" t="str" cm="1">
        <f t="array" ref="G1322">IFERROR(_xlfn._xlws.FILTER(calc_rusacc!G15:G65,(calc_rusacc!E15:E65&lt;&gt;"Accordion Screen") * (calc_rusacc!D15:D65&lt;&gt;"")),"")</f>
        <v/>
      </c>
      <c r="H1322" s="16" t="str" cm="1">
        <f t="array" ref="H1322">IFERROR(_xlfn._xlws.FILTER(calc_rusacc!R15:R65,(calc_rusacc!E15:E65&lt;&gt;"Accordion Screen") * (calc_rusacc!D15:D65&lt;&gt;"")),"")</f>
        <v/>
      </c>
      <c r="I1322" s="16"/>
    </row>
    <row r="1323" spans="1:9" x14ac:dyDescent="0.25">
      <c r="A1323" s="41" t="str">
        <f>_xlfn.XLOOKUP(G1323,dd_color!$A$2:$A$8,dd_color!$B$2:$B$8,"",0)</f>
        <v/>
      </c>
      <c r="B1323" s="41">
        <f>_xlfn.XLOOKUP(_xlfn.XLOOKUP(C1323,'Project Details'!$C$17:$C$10003,'Project Details'!$E$17:$E$10003, "",0),dd_design_raw!$A$2:$A$9997,dd_design_raw!$C$2:$C$9997,"",0)</f>
        <v>0</v>
      </c>
      <c r="C1323" s="16"/>
      <c r="D1323" s="16"/>
      <c r="E1323" s="16" t="str" cm="1">
        <f t="array" ref="E1323">IF(C1323&lt;&gt;"", _xlfn.XLOOKUP(1,((SKUs!$A$2:$A$10001=cl_unmerged!B1323) * (LEFT(SKUs!$J$2:$J$10001, LEN("Sliding Bar"))="Sliding Bar")), SKUs!$J$2:$J$10001,""),"")</f>
        <v/>
      </c>
      <c r="F1323" s="33" t="str" cm="1">
        <f t="array" ref="F1323">_xlfn.XLOOKUP(1,((SKUs!$A$2:$A$10001=cl_unmerged!B1323) * (LEFT(SKUs!$J$2:$J$10001, LEN("Sliding Bar"))="Sliding Bar") * (ISNUMBER(SEARCH(A1323,SKUs!$C$2:$C$10001)))), SKUs!$C$2:$C$10001,"")</f>
        <v/>
      </c>
      <c r="G1323" s="16"/>
      <c r="H1323" s="16"/>
      <c r="I1323" s="16"/>
    </row>
    <row r="1324" spans="1:9" x14ac:dyDescent="0.25">
      <c r="A1324" s="41" t="str">
        <f>_xlfn.XLOOKUP(G1324,dd_color!$A$2:$A$8,dd_color!$B$2:$B$8,"",0)</f>
        <v/>
      </c>
      <c r="B1324" s="41">
        <f>_xlfn.XLOOKUP(_xlfn.XLOOKUP(C1324,'Project Details'!$C$17:$C$10003,'Project Details'!$E$17:$E$10003, "",0),dd_design_raw!$A$2:$A$9997,dd_design_raw!$C$2:$C$9997,"",0)</f>
        <v>0</v>
      </c>
      <c r="C1324" s="16"/>
      <c r="D1324" s="16"/>
      <c r="E1324" s="16" t="str" cm="1">
        <f t="array" ref="E1324">IF(C1324&lt;&gt;"", _xlfn.XLOOKUP(1,((SKUs!$A$2:$A$10001=cl_unmerged!B1324) * (LEFT(SKUs!$J$2:$J$10001, LEN("Sliding Bar"))="Sliding Bar")), SKUs!$J$2:$J$10001,""),"")</f>
        <v/>
      </c>
      <c r="F1324" s="33" t="str" cm="1">
        <f t="array" ref="F1324">_xlfn.XLOOKUP(1,((SKUs!$A$2:$A$10001=cl_unmerged!B1324) * (LEFT(SKUs!$J$2:$J$10001, LEN("Sliding Bar"))="Sliding Bar") * (ISNUMBER(SEARCH(A1324,SKUs!$C$2:$C$10001)))), SKUs!$C$2:$C$10001,"")</f>
        <v/>
      </c>
      <c r="G1324" s="16"/>
      <c r="H1324" s="16"/>
      <c r="I1324" s="16"/>
    </row>
    <row r="1325" spans="1:9" x14ac:dyDescent="0.25">
      <c r="A1325" s="41" t="str">
        <f>_xlfn.XLOOKUP(G1325,dd_color!$A$2:$A$8,dd_color!$B$2:$B$8,"",0)</f>
        <v/>
      </c>
      <c r="B1325" s="41">
        <f>_xlfn.XLOOKUP(_xlfn.XLOOKUP(C1325,'Project Details'!$C$17:$C$10003,'Project Details'!$E$17:$E$10003, "",0),dd_design_raw!$A$2:$A$9997,dd_design_raw!$C$2:$C$9997,"",0)</f>
        <v>0</v>
      </c>
      <c r="C1325" s="16"/>
      <c r="D1325" s="16"/>
      <c r="E1325" s="16" t="str" cm="1">
        <f t="array" ref="E1325">IF(C1325&lt;&gt;"", _xlfn.XLOOKUP(1,((SKUs!$A$2:$A$10001=cl_unmerged!B1325) * (LEFT(SKUs!$J$2:$J$10001, LEN("Sliding Bar"))="Sliding Bar")), SKUs!$J$2:$J$10001,""),"")</f>
        <v/>
      </c>
      <c r="F1325" s="33" t="str" cm="1">
        <f t="array" ref="F1325">_xlfn.XLOOKUP(1,((SKUs!$A$2:$A$10001=cl_unmerged!B1325) * (LEFT(SKUs!$J$2:$J$10001, LEN("Sliding Bar"))="Sliding Bar") * (ISNUMBER(SEARCH(A1325,SKUs!$C$2:$C$10001)))), SKUs!$C$2:$C$10001,"")</f>
        <v/>
      </c>
      <c r="G1325" s="16"/>
      <c r="H1325" s="16"/>
      <c r="I1325" s="16"/>
    </row>
    <row r="1326" spans="1:9" x14ac:dyDescent="0.25">
      <c r="A1326" s="41" t="str">
        <f>_xlfn.XLOOKUP(G1326,dd_color!$A$2:$A$8,dd_color!$B$2:$B$8,"",0)</f>
        <v/>
      </c>
      <c r="B1326" s="41">
        <f>_xlfn.XLOOKUP(_xlfn.XLOOKUP(C1326,'Project Details'!$C$17:$C$10003,'Project Details'!$E$17:$E$10003, "",0),dd_design_raw!$A$2:$A$9997,dd_design_raw!$C$2:$C$9997,"",0)</f>
        <v>0</v>
      </c>
      <c r="C1326" s="16"/>
      <c r="D1326" s="16"/>
      <c r="E1326" s="16" t="str" cm="1">
        <f t="array" ref="E1326">IF(C1326&lt;&gt;"", _xlfn.XLOOKUP(1,((SKUs!$A$2:$A$10001=cl_unmerged!B1326) * (LEFT(SKUs!$J$2:$J$10001, LEN("Sliding Bar"))="Sliding Bar")), SKUs!$J$2:$J$10001,""),"")</f>
        <v/>
      </c>
      <c r="F1326" s="33" t="str" cm="1">
        <f t="array" ref="F1326">_xlfn.XLOOKUP(1,((SKUs!$A$2:$A$10001=cl_unmerged!B1326) * (LEFT(SKUs!$J$2:$J$10001, LEN("Sliding Bar"))="Sliding Bar") * (ISNUMBER(SEARCH(A1326,SKUs!$C$2:$C$10001)))), SKUs!$C$2:$C$10001,"")</f>
        <v/>
      </c>
      <c r="G1326" s="16"/>
      <c r="H1326" s="16"/>
      <c r="I1326" s="16"/>
    </row>
    <row r="1327" spans="1:9" x14ac:dyDescent="0.25">
      <c r="A1327" s="41" t="str">
        <f>_xlfn.XLOOKUP(G1327,dd_color!$A$2:$A$8,dd_color!$B$2:$B$8,"",0)</f>
        <v/>
      </c>
      <c r="B1327" s="41">
        <f>_xlfn.XLOOKUP(_xlfn.XLOOKUP(C1327,'Project Details'!$C$17:$C$10003,'Project Details'!$E$17:$E$10003, "",0),dd_design_raw!$A$2:$A$9997,dd_design_raw!$C$2:$C$9997,"",0)</f>
        <v>0</v>
      </c>
      <c r="C1327" s="16"/>
      <c r="D1327" s="16"/>
      <c r="E1327" s="16" t="str" cm="1">
        <f t="array" ref="E1327">IF(C1327&lt;&gt;"", _xlfn.XLOOKUP(1,((SKUs!$A$2:$A$10001=cl_unmerged!B1327) * (LEFT(SKUs!$J$2:$J$10001, LEN("Sliding Bar"))="Sliding Bar")), SKUs!$J$2:$J$10001,""),"")</f>
        <v/>
      </c>
      <c r="F1327" s="33" t="str" cm="1">
        <f t="array" ref="F1327">_xlfn.XLOOKUP(1,((SKUs!$A$2:$A$10001=cl_unmerged!B1327) * (LEFT(SKUs!$J$2:$J$10001, LEN("Sliding Bar"))="Sliding Bar") * (ISNUMBER(SEARCH(A1327,SKUs!$C$2:$C$10001)))), SKUs!$C$2:$C$10001,"")</f>
        <v/>
      </c>
      <c r="G1327" s="16"/>
      <c r="H1327" s="16"/>
      <c r="I1327" s="16"/>
    </row>
    <row r="1328" spans="1:9" x14ac:dyDescent="0.25">
      <c r="A1328" s="41" t="str">
        <f>_xlfn.XLOOKUP(G1328,dd_color!$A$2:$A$8,dd_color!$B$2:$B$8,"",0)</f>
        <v/>
      </c>
      <c r="B1328" s="41">
        <f>_xlfn.XLOOKUP(_xlfn.XLOOKUP(C1328,'Project Details'!$C$17:$C$10003,'Project Details'!$E$17:$E$10003, "",0),dd_design_raw!$A$2:$A$9997,dd_design_raw!$C$2:$C$9997,"",0)</f>
        <v>0</v>
      </c>
      <c r="C1328" s="16"/>
      <c r="D1328" s="16"/>
      <c r="E1328" s="16" t="str" cm="1">
        <f t="array" ref="E1328">IF(C1328&lt;&gt;"", _xlfn.XLOOKUP(1,((SKUs!$A$2:$A$10001=cl_unmerged!B1328) * (LEFT(SKUs!$J$2:$J$10001, LEN("Sliding Bar"))="Sliding Bar")), SKUs!$J$2:$J$10001,""),"")</f>
        <v/>
      </c>
      <c r="F1328" s="33" t="str" cm="1">
        <f t="array" ref="F1328">_xlfn.XLOOKUP(1,((SKUs!$A$2:$A$10001=cl_unmerged!B1328) * (LEFT(SKUs!$J$2:$J$10001, LEN("Sliding Bar"))="Sliding Bar") * (ISNUMBER(SEARCH(A1328,SKUs!$C$2:$C$10001)))), SKUs!$C$2:$C$10001,"")</f>
        <v/>
      </c>
      <c r="G1328" s="16"/>
      <c r="H1328" s="16"/>
      <c r="I1328" s="16"/>
    </row>
    <row r="1329" spans="1:9" x14ac:dyDescent="0.25">
      <c r="A1329" s="41" t="str">
        <f>_xlfn.XLOOKUP(G1329,dd_color!$A$2:$A$8,dd_color!$B$2:$B$8,"",0)</f>
        <v/>
      </c>
      <c r="B1329" s="41">
        <f>_xlfn.XLOOKUP(_xlfn.XLOOKUP(C1329,'Project Details'!$C$17:$C$10003,'Project Details'!$E$17:$E$10003, "",0),dd_design_raw!$A$2:$A$9997,dd_design_raw!$C$2:$C$9997,"",0)</f>
        <v>0</v>
      </c>
      <c r="C1329" s="16"/>
      <c r="D1329" s="16"/>
      <c r="E1329" s="16" t="str" cm="1">
        <f t="array" ref="E1329">IF(C1329&lt;&gt;"", _xlfn.XLOOKUP(1,((SKUs!$A$2:$A$10001=cl_unmerged!B1329) * (LEFT(SKUs!$J$2:$J$10001, LEN("Sliding Bar"))="Sliding Bar")), SKUs!$J$2:$J$10001,""),"")</f>
        <v/>
      </c>
      <c r="F1329" s="33" t="str" cm="1">
        <f t="array" ref="F1329">_xlfn.XLOOKUP(1,((SKUs!$A$2:$A$10001=cl_unmerged!B1329) * (LEFT(SKUs!$J$2:$J$10001, LEN("Sliding Bar"))="Sliding Bar") * (ISNUMBER(SEARCH(A1329,SKUs!$C$2:$C$10001)))), SKUs!$C$2:$C$10001,"")</f>
        <v/>
      </c>
      <c r="G1329" s="16"/>
      <c r="H1329" s="16"/>
      <c r="I1329" s="16"/>
    </row>
    <row r="1330" spans="1:9" x14ac:dyDescent="0.25">
      <c r="A1330" s="41" t="str">
        <f>_xlfn.XLOOKUP(G1330,dd_color!$A$2:$A$8,dd_color!$B$2:$B$8,"",0)</f>
        <v/>
      </c>
      <c r="B1330" s="41">
        <f>_xlfn.XLOOKUP(_xlfn.XLOOKUP(C1330,'Project Details'!$C$17:$C$10003,'Project Details'!$E$17:$E$10003, "",0),dd_design_raw!$A$2:$A$9997,dd_design_raw!$C$2:$C$9997,"",0)</f>
        <v>0</v>
      </c>
      <c r="C1330" s="16"/>
      <c r="D1330" s="16"/>
      <c r="E1330" s="16" t="str" cm="1">
        <f t="array" ref="E1330">IF(C1330&lt;&gt;"", _xlfn.XLOOKUP(1,((SKUs!$A$2:$A$10001=cl_unmerged!B1330) * (LEFT(SKUs!$J$2:$J$10001, LEN("Sliding Bar"))="Sliding Bar")), SKUs!$J$2:$J$10001,""),"")</f>
        <v/>
      </c>
      <c r="F1330" s="33" t="str" cm="1">
        <f t="array" ref="F1330">_xlfn.XLOOKUP(1,((SKUs!$A$2:$A$10001=cl_unmerged!B1330) * (LEFT(SKUs!$J$2:$J$10001, LEN("Sliding Bar"))="Sliding Bar") * (ISNUMBER(SEARCH(A1330,SKUs!$C$2:$C$10001)))), SKUs!$C$2:$C$10001,"")</f>
        <v/>
      </c>
      <c r="G1330" s="16"/>
      <c r="H1330" s="16"/>
      <c r="I1330" s="16"/>
    </row>
    <row r="1331" spans="1:9" x14ac:dyDescent="0.25">
      <c r="A1331" s="41" t="str">
        <f>_xlfn.XLOOKUP(G1331,dd_color!$A$2:$A$8,dd_color!$B$2:$B$8,"",0)</f>
        <v/>
      </c>
      <c r="B1331" s="41">
        <f>_xlfn.XLOOKUP(_xlfn.XLOOKUP(C1331,'Project Details'!$C$17:$C$10003,'Project Details'!$E$17:$E$10003, "",0),dd_design_raw!$A$2:$A$9997,dd_design_raw!$C$2:$C$9997,"",0)</f>
        <v>0</v>
      </c>
      <c r="C1331" s="16"/>
      <c r="D1331" s="16"/>
      <c r="E1331" s="16" t="str" cm="1">
        <f t="array" ref="E1331">IF(C1331&lt;&gt;"", _xlfn.XLOOKUP(1,((SKUs!$A$2:$A$10001=cl_unmerged!B1331) * (LEFT(SKUs!$J$2:$J$10001, LEN("Sliding Bar"))="Sliding Bar")), SKUs!$J$2:$J$10001,""),"")</f>
        <v/>
      </c>
      <c r="F1331" s="33" t="str" cm="1">
        <f t="array" ref="F1331">_xlfn.XLOOKUP(1,((SKUs!$A$2:$A$10001=cl_unmerged!B1331) * (LEFT(SKUs!$J$2:$J$10001, LEN("Sliding Bar"))="Sliding Bar") * (ISNUMBER(SEARCH(A1331,SKUs!$C$2:$C$10001)))), SKUs!$C$2:$C$10001,"")</f>
        <v/>
      </c>
      <c r="G1331" s="16"/>
      <c r="H1331" s="16"/>
      <c r="I1331" s="16"/>
    </row>
    <row r="1332" spans="1:9" x14ac:dyDescent="0.25">
      <c r="A1332" s="41" t="str">
        <f>_xlfn.XLOOKUP(G1332,dd_color!$A$2:$A$8,dd_color!$B$2:$B$8,"",0)</f>
        <v/>
      </c>
      <c r="B1332" s="41">
        <f>_xlfn.XLOOKUP(_xlfn.XLOOKUP(C1332,'Project Details'!$C$17:$C$10003,'Project Details'!$E$17:$E$10003, "",0),dd_design_raw!$A$2:$A$9997,dd_design_raw!$C$2:$C$9997,"",0)</f>
        <v>0</v>
      </c>
      <c r="C1332" s="16"/>
      <c r="D1332" s="16"/>
      <c r="E1332" s="16" t="str" cm="1">
        <f t="array" ref="E1332">IF(C1332&lt;&gt;"", _xlfn.XLOOKUP(1,((SKUs!$A$2:$A$10001=cl_unmerged!B1332) * (LEFT(SKUs!$J$2:$J$10001, LEN("Sliding Bar"))="Sliding Bar")), SKUs!$J$2:$J$10001,""),"")</f>
        <v/>
      </c>
      <c r="F1332" s="33" t="str" cm="1">
        <f t="array" ref="F1332">_xlfn.XLOOKUP(1,((SKUs!$A$2:$A$10001=cl_unmerged!B1332) * (LEFT(SKUs!$J$2:$J$10001, LEN("Sliding Bar"))="Sliding Bar") * (ISNUMBER(SEARCH(A1332,SKUs!$C$2:$C$10001)))), SKUs!$C$2:$C$10001,"")</f>
        <v/>
      </c>
      <c r="G1332" s="16"/>
      <c r="H1332" s="16"/>
      <c r="I1332" s="16"/>
    </row>
    <row r="1333" spans="1:9" x14ac:dyDescent="0.25">
      <c r="A1333" s="41" t="str">
        <f>_xlfn.XLOOKUP(G1333,dd_color!$A$2:$A$8,dd_color!$B$2:$B$8,"",0)</f>
        <v/>
      </c>
      <c r="B1333" s="41">
        <f>_xlfn.XLOOKUP(_xlfn.XLOOKUP(C1333,'Project Details'!$C$17:$C$10003,'Project Details'!$E$17:$E$10003, "",0),dd_design_raw!$A$2:$A$9997,dd_design_raw!$C$2:$C$9997,"",0)</f>
        <v>0</v>
      </c>
      <c r="C1333" s="16"/>
      <c r="D1333" s="16"/>
      <c r="E1333" s="16" t="str" cm="1">
        <f t="array" ref="E1333">IF(C1333&lt;&gt;"", _xlfn.XLOOKUP(1,((SKUs!$A$2:$A$10001=cl_unmerged!B1333) * (LEFT(SKUs!$J$2:$J$10001, LEN("Sliding Bar"))="Sliding Bar")), SKUs!$J$2:$J$10001,""),"")</f>
        <v/>
      </c>
      <c r="F1333" s="33" t="str" cm="1">
        <f t="array" ref="F1333">_xlfn.XLOOKUP(1,((SKUs!$A$2:$A$10001=cl_unmerged!B1333) * (LEFT(SKUs!$J$2:$J$10001, LEN("Sliding Bar"))="Sliding Bar") * (ISNUMBER(SEARCH(A1333,SKUs!$C$2:$C$10001)))), SKUs!$C$2:$C$10001,"")</f>
        <v/>
      </c>
      <c r="G1333" s="16"/>
      <c r="H1333" s="16"/>
      <c r="I1333" s="16"/>
    </row>
    <row r="1334" spans="1:9" x14ac:dyDescent="0.25">
      <c r="A1334" s="41" t="str">
        <f>_xlfn.XLOOKUP(G1334,dd_color!$A$2:$A$8,dd_color!$B$2:$B$8,"",0)</f>
        <v/>
      </c>
      <c r="B1334" s="41">
        <f>_xlfn.XLOOKUP(_xlfn.XLOOKUP(C1334,'Project Details'!$C$17:$C$10003,'Project Details'!$E$17:$E$10003, "",0),dd_design_raw!$A$2:$A$9997,dd_design_raw!$C$2:$C$9997,"",0)</f>
        <v>0</v>
      </c>
      <c r="C1334" s="16"/>
      <c r="D1334" s="16"/>
      <c r="E1334" s="16" t="str" cm="1">
        <f t="array" ref="E1334">IF(C1334&lt;&gt;"", _xlfn.XLOOKUP(1,((SKUs!$A$2:$A$10001=cl_unmerged!B1334) * (LEFT(SKUs!$J$2:$J$10001, LEN("Sliding Bar"))="Sliding Bar")), SKUs!$J$2:$J$10001,""),"")</f>
        <v/>
      </c>
      <c r="F1334" s="33" t="str" cm="1">
        <f t="array" ref="F1334">_xlfn.XLOOKUP(1,((SKUs!$A$2:$A$10001=cl_unmerged!B1334) * (LEFT(SKUs!$J$2:$J$10001, LEN("Sliding Bar"))="Sliding Bar") * (ISNUMBER(SEARCH(A1334,SKUs!$C$2:$C$10001)))), SKUs!$C$2:$C$10001,"")</f>
        <v/>
      </c>
      <c r="G1334" s="16"/>
      <c r="H1334" s="16"/>
      <c r="I1334" s="16"/>
    </row>
    <row r="1335" spans="1:9" x14ac:dyDescent="0.25">
      <c r="A1335" s="41" t="str">
        <f>_xlfn.XLOOKUP(G1335,dd_color!$A$2:$A$8,dd_color!$B$2:$B$8,"",0)</f>
        <v/>
      </c>
      <c r="B1335" s="41">
        <f>_xlfn.XLOOKUP(_xlfn.XLOOKUP(C1335,'Project Details'!$C$17:$C$10003,'Project Details'!$E$17:$E$10003, "",0),dd_design_raw!$A$2:$A$9997,dd_design_raw!$C$2:$C$9997,"",0)</f>
        <v>0</v>
      </c>
      <c r="C1335" s="16"/>
      <c r="D1335" s="16"/>
      <c r="E1335" s="16" t="str" cm="1">
        <f t="array" ref="E1335">IF(C1335&lt;&gt;"", _xlfn.XLOOKUP(1,((SKUs!$A$2:$A$10001=cl_unmerged!B1335) * (LEFT(SKUs!$J$2:$J$10001, LEN("Sliding Bar"))="Sliding Bar")), SKUs!$J$2:$J$10001,""),"")</f>
        <v/>
      </c>
      <c r="F1335" s="33" t="str" cm="1">
        <f t="array" ref="F1335">_xlfn.XLOOKUP(1,((SKUs!$A$2:$A$10001=cl_unmerged!B1335) * (LEFT(SKUs!$J$2:$J$10001, LEN("Sliding Bar"))="Sliding Bar") * (ISNUMBER(SEARCH(A1335,SKUs!$C$2:$C$10001)))), SKUs!$C$2:$C$10001,"")</f>
        <v/>
      </c>
      <c r="G1335" s="16"/>
      <c r="H1335" s="16"/>
      <c r="I1335" s="16"/>
    </row>
    <row r="1336" spans="1:9" x14ac:dyDescent="0.25">
      <c r="A1336" s="41" t="str">
        <f>_xlfn.XLOOKUP(G1336,dd_color!$A$2:$A$8,dd_color!$B$2:$B$8,"",0)</f>
        <v/>
      </c>
      <c r="B1336" s="41">
        <f>_xlfn.XLOOKUP(_xlfn.XLOOKUP(C1336,'Project Details'!$C$17:$C$10003,'Project Details'!$E$17:$E$10003, "",0),dd_design_raw!$A$2:$A$9997,dd_design_raw!$C$2:$C$9997,"",0)</f>
        <v>0</v>
      </c>
      <c r="C1336" s="16"/>
      <c r="D1336" s="16"/>
      <c r="E1336" s="16" t="str" cm="1">
        <f t="array" ref="E1336">IF(C1336&lt;&gt;"", _xlfn.XLOOKUP(1,((SKUs!$A$2:$A$10001=cl_unmerged!B1336) * (LEFT(SKUs!$J$2:$J$10001, LEN("Sliding Bar"))="Sliding Bar")), SKUs!$J$2:$J$10001,""),"")</f>
        <v/>
      </c>
      <c r="F1336" s="33" t="str" cm="1">
        <f t="array" ref="F1336">_xlfn.XLOOKUP(1,((SKUs!$A$2:$A$10001=cl_unmerged!B1336) * (LEFT(SKUs!$J$2:$J$10001, LEN("Sliding Bar"))="Sliding Bar") * (ISNUMBER(SEARCH(A1336,SKUs!$C$2:$C$10001)))), SKUs!$C$2:$C$10001,"")</f>
        <v/>
      </c>
      <c r="G1336" s="16"/>
      <c r="H1336" s="16"/>
      <c r="I1336" s="16"/>
    </row>
    <row r="1337" spans="1:9" x14ac:dyDescent="0.25">
      <c r="A1337" s="41" t="str">
        <f>_xlfn.XLOOKUP(G1337,dd_color!$A$2:$A$8,dd_color!$B$2:$B$8,"",0)</f>
        <v/>
      </c>
      <c r="B1337" s="41">
        <f>_xlfn.XLOOKUP(_xlfn.XLOOKUP(C1337,'Project Details'!$C$17:$C$10003,'Project Details'!$E$17:$E$10003, "",0),dd_design_raw!$A$2:$A$9997,dd_design_raw!$C$2:$C$9997,"",0)</f>
        <v>0</v>
      </c>
      <c r="C1337" s="16"/>
      <c r="D1337" s="16"/>
      <c r="E1337" s="16" t="str" cm="1">
        <f t="array" ref="E1337">IF(C1337&lt;&gt;"", _xlfn.XLOOKUP(1,((SKUs!$A$2:$A$10001=cl_unmerged!B1337) * (LEFT(SKUs!$J$2:$J$10001, LEN("Sliding Bar"))="Sliding Bar")), SKUs!$J$2:$J$10001,""),"")</f>
        <v/>
      </c>
      <c r="F1337" s="33" t="str" cm="1">
        <f t="array" ref="F1337">_xlfn.XLOOKUP(1,((SKUs!$A$2:$A$10001=cl_unmerged!B1337) * (LEFT(SKUs!$J$2:$J$10001, LEN("Sliding Bar"))="Sliding Bar") * (ISNUMBER(SEARCH(A1337,SKUs!$C$2:$C$10001)))), SKUs!$C$2:$C$10001,"")</f>
        <v/>
      </c>
      <c r="G1337" s="16"/>
      <c r="H1337" s="16"/>
      <c r="I1337" s="16"/>
    </row>
    <row r="1338" spans="1:9" x14ac:dyDescent="0.25">
      <c r="A1338" s="41" t="str">
        <f>_xlfn.XLOOKUP(G1338,dd_color!$A$2:$A$8,dd_color!$B$2:$B$8,"",0)</f>
        <v/>
      </c>
      <c r="B1338" s="41">
        <f>_xlfn.XLOOKUP(_xlfn.XLOOKUP(C1338,'Project Details'!$C$17:$C$10003,'Project Details'!$E$17:$E$10003, "",0),dd_design_raw!$A$2:$A$9997,dd_design_raw!$C$2:$C$9997,"",0)</f>
        <v>0</v>
      </c>
      <c r="C1338" s="16"/>
      <c r="D1338" s="16"/>
      <c r="E1338" s="16" t="str" cm="1">
        <f t="array" ref="E1338">IF(C1338&lt;&gt;"", _xlfn.XLOOKUP(1,((SKUs!$A$2:$A$10001=cl_unmerged!B1338) * (LEFT(SKUs!$J$2:$J$10001, LEN("Sliding Bar"))="Sliding Bar")), SKUs!$J$2:$J$10001,""),"")</f>
        <v/>
      </c>
      <c r="F1338" s="33" t="str" cm="1">
        <f t="array" ref="F1338">_xlfn.XLOOKUP(1,((SKUs!$A$2:$A$10001=cl_unmerged!B1338) * (LEFT(SKUs!$J$2:$J$10001, LEN("Sliding Bar"))="Sliding Bar") * (ISNUMBER(SEARCH(A1338,SKUs!$C$2:$C$10001)))), SKUs!$C$2:$C$10001,"")</f>
        <v/>
      </c>
      <c r="G1338" s="16"/>
      <c r="H1338" s="16"/>
      <c r="I1338" s="16"/>
    </row>
    <row r="1339" spans="1:9" x14ac:dyDescent="0.25">
      <c r="A1339" s="41" t="str">
        <f>_xlfn.XLOOKUP(G1339,dd_color!$A$2:$A$8,dd_color!$B$2:$B$8,"",0)</f>
        <v/>
      </c>
      <c r="B1339" s="41">
        <f>_xlfn.XLOOKUP(_xlfn.XLOOKUP(C1339,'Project Details'!$C$17:$C$10003,'Project Details'!$E$17:$E$10003, "",0),dd_design_raw!$A$2:$A$9997,dd_design_raw!$C$2:$C$9997,"",0)</f>
        <v>0</v>
      </c>
      <c r="C1339" s="16"/>
      <c r="D1339" s="16"/>
      <c r="E1339" s="16" t="str" cm="1">
        <f t="array" ref="E1339">IF(C1339&lt;&gt;"", _xlfn.XLOOKUP(1,((SKUs!$A$2:$A$10001=cl_unmerged!B1339) * (LEFT(SKUs!$J$2:$J$10001, LEN("Sliding Bar"))="Sliding Bar")), SKUs!$J$2:$J$10001,""),"")</f>
        <v/>
      </c>
      <c r="F1339" s="33" t="str" cm="1">
        <f t="array" ref="F1339">_xlfn.XLOOKUP(1,((SKUs!$A$2:$A$10001=cl_unmerged!B1339) * (LEFT(SKUs!$J$2:$J$10001, LEN("Sliding Bar"))="Sliding Bar") * (ISNUMBER(SEARCH(A1339,SKUs!$C$2:$C$10001)))), SKUs!$C$2:$C$10001,"")</f>
        <v/>
      </c>
      <c r="G1339" s="16"/>
      <c r="H1339" s="16"/>
      <c r="I1339" s="16"/>
    </row>
    <row r="1340" spans="1:9" x14ac:dyDescent="0.25">
      <c r="A1340" s="41" t="str">
        <f>_xlfn.XLOOKUP(G1340,dd_color!$A$2:$A$8,dd_color!$B$2:$B$8,"",0)</f>
        <v/>
      </c>
      <c r="B1340" s="41">
        <f>_xlfn.XLOOKUP(_xlfn.XLOOKUP(C1340,'Project Details'!$C$17:$C$10003,'Project Details'!$E$17:$E$10003, "",0),dd_design_raw!$A$2:$A$9997,dd_design_raw!$C$2:$C$9997,"",0)</f>
        <v>0</v>
      </c>
      <c r="C1340" s="16"/>
      <c r="D1340" s="16"/>
      <c r="E1340" s="16" t="str" cm="1">
        <f t="array" ref="E1340">IF(C1340&lt;&gt;"", _xlfn.XLOOKUP(1,((SKUs!$A$2:$A$10001=cl_unmerged!B1340) * (LEFT(SKUs!$J$2:$J$10001, LEN("Sliding Bar"))="Sliding Bar")), SKUs!$J$2:$J$10001,""),"")</f>
        <v/>
      </c>
      <c r="F1340" s="33" t="str" cm="1">
        <f t="array" ref="F1340">_xlfn.XLOOKUP(1,((SKUs!$A$2:$A$10001=cl_unmerged!B1340) * (LEFT(SKUs!$J$2:$J$10001, LEN("Sliding Bar"))="Sliding Bar") * (ISNUMBER(SEARCH(A1340,SKUs!$C$2:$C$10001)))), SKUs!$C$2:$C$10001,"")</f>
        <v/>
      </c>
      <c r="G1340" s="16"/>
      <c r="H1340" s="16"/>
      <c r="I1340" s="16"/>
    </row>
    <row r="1341" spans="1:9" ht="13.5" customHeight="1" x14ac:dyDescent="0.25">
      <c r="A1341" s="41" t="str">
        <f>_xlfn.XLOOKUP(G1341,dd_color!$A$2:$A$8,dd_color!$B$2:$B$8,"",0)</f>
        <v/>
      </c>
      <c r="B1341" s="41">
        <f>_xlfn.XLOOKUP(_xlfn.XLOOKUP(C1341,'Project Details'!$C$17:$C$10003,'Project Details'!$E$17:$E$10003, "",0),dd_design_raw!$A$2:$A$9997,dd_design_raw!$C$2:$C$9997,"",0)</f>
        <v>0</v>
      </c>
      <c r="C1341" s="16"/>
      <c r="D1341" s="16"/>
      <c r="E1341" s="16" t="str" cm="1">
        <f t="array" ref="E1341">IF(C1341&lt;&gt;"", _xlfn.XLOOKUP(1,((SKUs!$A$2:$A$10001=cl_unmerged!B1341) * (LEFT(SKUs!$J$2:$J$10001, LEN("Sliding Bar"))="Sliding Bar")), SKUs!$J$2:$J$10001,""),"")</f>
        <v/>
      </c>
      <c r="F1341" s="33" t="str" cm="1">
        <f t="array" ref="F1341">_xlfn.XLOOKUP(1,((SKUs!$A$2:$A$10001=cl_unmerged!B1341) * (LEFT(SKUs!$J$2:$J$10001, LEN("Sliding Bar"))="Sliding Bar") * (ISNUMBER(SEARCH(A1341,SKUs!$C$2:$C$10001)))), SKUs!$C$2:$C$10001,"")</f>
        <v/>
      </c>
      <c r="G1341" s="16"/>
      <c r="H1341" s="16"/>
      <c r="I1341" s="16"/>
    </row>
    <row r="1342" spans="1:9" ht="13.5" customHeight="1" x14ac:dyDescent="0.25">
      <c r="A1342" s="41" t="str">
        <f>_xlfn.XLOOKUP(G1342,dd_color!$A$2:$A$8,dd_color!$B$2:$B$8,"",0)</f>
        <v/>
      </c>
      <c r="B1342" s="41">
        <f>_xlfn.XLOOKUP(_xlfn.XLOOKUP(C1342,'Project Details'!$C$17:$C$10003,'Project Details'!$E$17:$E$10003, "",0),dd_design_raw!$A$2:$A$9997,dd_design_raw!$C$2:$C$9997,"",0)</f>
        <v>0</v>
      </c>
      <c r="C1342" s="16"/>
      <c r="D1342" s="16"/>
      <c r="E1342" s="16" t="str" cm="1">
        <f t="array" ref="E1342">IF(C1342&lt;&gt;"", _xlfn.XLOOKUP(1,((SKUs!$A$2:$A$10001=cl_unmerged!B1342) * (LEFT(SKUs!$J$2:$J$10001, LEN("Sliding Bar"))="Sliding Bar")), SKUs!$J$2:$J$10001,""),"")</f>
        <v/>
      </c>
      <c r="F1342" s="33" t="str" cm="1">
        <f t="array" ref="F1342">_xlfn.XLOOKUP(1,((SKUs!$A$2:$A$10001=cl_unmerged!B1342) * (LEFT(SKUs!$J$2:$J$10001, LEN("Sliding Bar"))="Sliding Bar") * (ISNUMBER(SEARCH(A1342,SKUs!$C$2:$C$10001)))), SKUs!$C$2:$C$10001,"")</f>
        <v/>
      </c>
      <c r="G1342" s="16"/>
      <c r="H1342" s="16"/>
      <c r="I1342" s="16"/>
    </row>
    <row r="1343" spans="1:9" ht="13.5" customHeight="1" x14ac:dyDescent="0.25">
      <c r="A1343" s="41" t="str">
        <f>_xlfn.XLOOKUP(G1343,dd_color!$A$2:$A$8,dd_color!$B$2:$B$8,"",0)</f>
        <v/>
      </c>
      <c r="B1343" s="41">
        <f>_xlfn.XLOOKUP(_xlfn.XLOOKUP(C1343,'Project Details'!$C$17:$C$10003,'Project Details'!$E$17:$E$10003, "",0),dd_design_raw!$A$2:$A$9997,dd_design_raw!$C$2:$C$9997,"",0)</f>
        <v>0</v>
      </c>
      <c r="C1343" s="16"/>
      <c r="D1343" s="16"/>
      <c r="E1343" s="16" t="str" cm="1">
        <f t="array" ref="E1343">IF(C1343&lt;&gt;"", _xlfn.XLOOKUP(1,((SKUs!$A$2:$A$10001=cl_unmerged!B1343) * (LEFT(SKUs!$J$2:$J$10001, LEN("Sliding Bar"))="Sliding Bar")), SKUs!$J$2:$J$10001,""),"")</f>
        <v/>
      </c>
      <c r="F1343" s="33" t="str" cm="1">
        <f t="array" ref="F1343">_xlfn.XLOOKUP(1,((SKUs!$A$2:$A$10001=cl_unmerged!B1343) * (LEFT(SKUs!$J$2:$J$10001, LEN("Sliding Bar"))="Sliding Bar") * (ISNUMBER(SEARCH(A1343,SKUs!$C$2:$C$10001)))), SKUs!$C$2:$C$10001,"")</f>
        <v/>
      </c>
      <c r="G1343" s="16"/>
      <c r="H1343" s="16"/>
      <c r="I1343" s="16"/>
    </row>
    <row r="1344" spans="1:9" ht="13.5" customHeight="1" x14ac:dyDescent="0.25">
      <c r="A1344" s="41" t="str">
        <f>_xlfn.XLOOKUP(G1344,dd_color!$A$2:$A$8,dd_color!$B$2:$B$8,"",0)</f>
        <v/>
      </c>
      <c r="B1344" s="41">
        <f>_xlfn.XLOOKUP(_xlfn.XLOOKUP(C1344,'Project Details'!$C$17:$C$10003,'Project Details'!$E$17:$E$10003, "",0),dd_design_raw!$A$2:$A$9997,dd_design_raw!$C$2:$C$9997,"",0)</f>
        <v>0</v>
      </c>
      <c r="C1344" s="16"/>
      <c r="D1344" s="16"/>
      <c r="E1344" s="16" t="str" cm="1">
        <f t="array" ref="E1344">IF(C1344&lt;&gt;"", _xlfn.XLOOKUP(1,((SKUs!$A$2:$A$10001=cl_unmerged!B1344) * (LEFT(SKUs!$J$2:$J$10001, LEN("Sliding Bar"))="Sliding Bar")), SKUs!$J$2:$J$10001,""),"")</f>
        <v/>
      </c>
      <c r="F1344" s="33" t="str" cm="1">
        <f t="array" ref="F1344">_xlfn.XLOOKUP(1,((SKUs!$A$2:$A$10001=cl_unmerged!B1344) * (LEFT(SKUs!$J$2:$J$10001, LEN("Sliding Bar"))="Sliding Bar") * (ISNUMBER(SEARCH(A1344,SKUs!$C$2:$C$10001)))), SKUs!$C$2:$C$10001,"")</f>
        <v/>
      </c>
      <c r="G1344" s="16"/>
      <c r="H1344" s="16"/>
      <c r="I1344" s="16"/>
    </row>
    <row r="1345" spans="1:9" ht="13.5" customHeight="1" x14ac:dyDescent="0.25">
      <c r="A1345" s="41" t="str">
        <f>_xlfn.XLOOKUP(G1345,dd_color!$A$2:$A$8,dd_color!$B$2:$B$8,"",0)</f>
        <v/>
      </c>
      <c r="B1345" s="41">
        <f>_xlfn.XLOOKUP(_xlfn.XLOOKUP(C1345,'Project Details'!$C$17:$C$10003,'Project Details'!$E$17:$E$10003, "",0),dd_design_raw!$A$2:$A$9997,dd_design_raw!$C$2:$C$9997,"",0)</f>
        <v>0</v>
      </c>
      <c r="C1345" s="16"/>
      <c r="D1345" s="16"/>
      <c r="E1345" s="16" t="str" cm="1">
        <f t="array" ref="E1345">IF(C1345&lt;&gt;"", _xlfn.XLOOKUP(1,((SKUs!$A$2:$A$10001=cl_unmerged!B1345) * (LEFT(SKUs!$J$2:$J$10001, LEN("Sliding Bar"))="Sliding Bar")), SKUs!$J$2:$J$10001,""),"")</f>
        <v/>
      </c>
      <c r="F1345" s="33" t="str" cm="1">
        <f t="array" ref="F1345">_xlfn.XLOOKUP(1,((SKUs!$A$2:$A$10001=cl_unmerged!B1345) * (LEFT(SKUs!$J$2:$J$10001, LEN("Sliding Bar"))="Sliding Bar") * (ISNUMBER(SEARCH(A1345,SKUs!$C$2:$C$10001)))), SKUs!$C$2:$C$10001,"")</f>
        <v/>
      </c>
      <c r="G1345" s="16"/>
      <c r="H1345" s="16"/>
      <c r="I1345" s="16"/>
    </row>
    <row r="1346" spans="1:9" ht="13.5" customHeight="1" x14ac:dyDescent="0.25">
      <c r="A1346" s="41" t="str">
        <f>_xlfn.XLOOKUP(G1346,dd_color!$A$2:$A$8,dd_color!$B$2:$B$8,"",0)</f>
        <v/>
      </c>
      <c r="B1346" s="41">
        <f>_xlfn.XLOOKUP(_xlfn.XLOOKUP(C1346,'Project Details'!$C$17:$C$10003,'Project Details'!$E$17:$E$10003, "",0),dd_design_raw!$A$2:$A$9997,dd_design_raw!$C$2:$C$9997,"",0)</f>
        <v>0</v>
      </c>
      <c r="C1346" s="16"/>
      <c r="D1346" s="16"/>
      <c r="E1346" s="16" t="str" cm="1">
        <f t="array" ref="E1346">IF(C1346&lt;&gt;"", _xlfn.XLOOKUP(1,((SKUs!$A$2:$A$10001=cl_unmerged!B1346) * (LEFT(SKUs!$J$2:$J$10001, LEN("Sliding Bar"))="Sliding Bar")), SKUs!$J$2:$J$10001,""),"")</f>
        <v/>
      </c>
      <c r="F1346" s="33" t="str" cm="1">
        <f t="array" ref="F1346">_xlfn.XLOOKUP(1,((SKUs!$A$2:$A$10001=cl_unmerged!B1346) * (LEFT(SKUs!$J$2:$J$10001, LEN("Sliding Bar"))="Sliding Bar") * (ISNUMBER(SEARCH(A1346,SKUs!$C$2:$C$10001)))), SKUs!$C$2:$C$10001,"")</f>
        <v/>
      </c>
      <c r="G1346" s="16"/>
      <c r="H1346" s="16"/>
      <c r="I1346" s="16"/>
    </row>
    <row r="1347" spans="1:9" ht="13.5" customHeight="1" x14ac:dyDescent="0.25">
      <c r="A1347" s="41" t="str">
        <f>_xlfn.XLOOKUP(G1347,dd_color!$A$2:$A$8,dd_color!$B$2:$B$8,"",0)</f>
        <v/>
      </c>
      <c r="B1347" s="41">
        <f>_xlfn.XLOOKUP(_xlfn.XLOOKUP(C1347,'Project Details'!$C$17:$C$10003,'Project Details'!$E$17:$E$10003, "",0),dd_design_raw!$A$2:$A$9997,dd_design_raw!$C$2:$C$9997,"",0)</f>
        <v>0</v>
      </c>
      <c r="C1347" s="16"/>
      <c r="D1347" s="16"/>
      <c r="E1347" s="16" t="str" cm="1">
        <f t="array" ref="E1347">IF(C1347&lt;&gt;"", _xlfn.XLOOKUP(1,((SKUs!$A$2:$A$10001=cl_unmerged!B1347) * (LEFT(SKUs!$J$2:$J$10001, LEN("Sliding Bar"))="Sliding Bar")), SKUs!$J$2:$J$10001,""),"")</f>
        <v/>
      </c>
      <c r="F1347" s="33" t="str" cm="1">
        <f t="array" ref="F1347">_xlfn.XLOOKUP(1,((SKUs!$A$2:$A$10001=cl_unmerged!B1347) * (LEFT(SKUs!$J$2:$J$10001, LEN("Sliding Bar"))="Sliding Bar") * (ISNUMBER(SEARCH(A1347,SKUs!$C$2:$C$10001)))), SKUs!$C$2:$C$10001,"")</f>
        <v/>
      </c>
      <c r="G1347" s="16"/>
      <c r="H1347" s="16"/>
      <c r="I1347" s="16"/>
    </row>
    <row r="1348" spans="1:9" ht="13.5" customHeight="1" x14ac:dyDescent="0.25">
      <c r="A1348" s="41" t="str">
        <f>_xlfn.XLOOKUP(G1348,dd_color!$A$2:$A$8,dd_color!$B$2:$B$8,"",0)</f>
        <v/>
      </c>
      <c r="B1348" s="41">
        <f>_xlfn.XLOOKUP(_xlfn.XLOOKUP(C1348,'Project Details'!$C$17:$C$10003,'Project Details'!$E$17:$E$10003, "",0),dd_design_raw!$A$2:$A$9997,dd_design_raw!$C$2:$C$9997,"",0)</f>
        <v>0</v>
      </c>
      <c r="C1348" s="16"/>
      <c r="D1348" s="16"/>
      <c r="E1348" s="16" t="str" cm="1">
        <f t="array" ref="E1348">IF(C1348&lt;&gt;"", _xlfn.XLOOKUP(1,((SKUs!$A$2:$A$10001=cl_unmerged!B1348) * (LEFT(SKUs!$J$2:$J$10001, LEN("Sliding Bar"))="Sliding Bar")), SKUs!$J$2:$J$10001,""),"")</f>
        <v/>
      </c>
      <c r="F1348" s="33" t="str" cm="1">
        <f t="array" ref="F1348">_xlfn.XLOOKUP(1,((SKUs!$A$2:$A$10001=cl_unmerged!B1348) * (LEFT(SKUs!$J$2:$J$10001, LEN("Sliding Bar"))="Sliding Bar") * (ISNUMBER(SEARCH(A1348,SKUs!$C$2:$C$10001)))), SKUs!$C$2:$C$10001,"")</f>
        <v/>
      </c>
      <c r="G1348" s="16"/>
      <c r="H1348" s="16"/>
      <c r="I1348" s="16"/>
    </row>
    <row r="1349" spans="1:9" ht="13.5" customHeight="1" x14ac:dyDescent="0.25">
      <c r="A1349" s="41" t="str">
        <f>_xlfn.XLOOKUP(G1349,dd_color!$A$2:$A$8,dd_color!$B$2:$B$8,"",0)</f>
        <v/>
      </c>
      <c r="B1349" s="41">
        <f>_xlfn.XLOOKUP(_xlfn.XLOOKUP(C1349,'Project Details'!$C$17:$C$10003,'Project Details'!$E$17:$E$10003, "",0),dd_design_raw!$A$2:$A$9997,dd_design_raw!$C$2:$C$9997,"",0)</f>
        <v>0</v>
      </c>
      <c r="C1349" s="16"/>
      <c r="D1349" s="16"/>
      <c r="E1349" s="16" t="str" cm="1">
        <f t="array" ref="E1349">IF(C1349&lt;&gt;"", _xlfn.XLOOKUP(1,((SKUs!$A$2:$A$10001=cl_unmerged!B1349) * (LEFT(SKUs!$J$2:$J$10001, LEN("Sliding Bar"))="Sliding Bar")), SKUs!$J$2:$J$10001,""),"")</f>
        <v/>
      </c>
      <c r="F1349" s="33" t="str" cm="1">
        <f t="array" ref="F1349">_xlfn.XLOOKUP(1,((SKUs!$A$2:$A$10001=cl_unmerged!B1349) * (LEFT(SKUs!$J$2:$J$10001, LEN("Sliding Bar"))="Sliding Bar") * (ISNUMBER(SEARCH(A1349,SKUs!$C$2:$C$10001)))), SKUs!$C$2:$C$10001,"")</f>
        <v/>
      </c>
      <c r="G1349" s="16"/>
      <c r="H1349" s="16"/>
      <c r="I1349" s="16"/>
    </row>
    <row r="1350" spans="1:9" ht="13.5" customHeight="1" x14ac:dyDescent="0.25">
      <c r="A1350" s="41" t="str">
        <f>_xlfn.XLOOKUP(G1350,dd_color!$A$2:$A$8,dd_color!$B$2:$B$8,"",0)</f>
        <v/>
      </c>
      <c r="B1350" s="41">
        <f>_xlfn.XLOOKUP(_xlfn.XLOOKUP(C1350,'Project Details'!$C$17:$C$10003,'Project Details'!$E$17:$E$10003, "",0),dd_design_raw!$A$2:$A$9997,dd_design_raw!$C$2:$C$9997,"",0)</f>
        <v>0</v>
      </c>
      <c r="C1350" s="16"/>
      <c r="D1350" s="16"/>
      <c r="E1350" s="16" t="str" cm="1">
        <f t="array" ref="E1350">IF(C1350&lt;&gt;"", _xlfn.XLOOKUP(1,((SKUs!$A$2:$A$10001=cl_unmerged!B1350) * (LEFT(SKUs!$J$2:$J$10001, LEN("Sliding Bar"))="Sliding Bar")), SKUs!$J$2:$J$10001,""),"")</f>
        <v/>
      </c>
      <c r="F1350" s="33" t="str" cm="1">
        <f t="array" ref="F1350">_xlfn.XLOOKUP(1,((SKUs!$A$2:$A$10001=cl_unmerged!B1350) * (LEFT(SKUs!$J$2:$J$10001, LEN("Sliding Bar"))="Sliding Bar") * (ISNUMBER(SEARCH(A1350,SKUs!$C$2:$C$10001)))), SKUs!$C$2:$C$10001,"")</f>
        <v/>
      </c>
      <c r="G1350" s="16"/>
      <c r="H1350" s="16"/>
      <c r="I1350" s="16"/>
    </row>
    <row r="1351" spans="1:9" ht="13.5" customHeight="1" x14ac:dyDescent="0.25">
      <c r="A1351" s="41" t="str">
        <f>_xlfn.XLOOKUP(G1351,dd_color!$A$2:$A$8,dd_color!$B$2:$B$8,"",0)</f>
        <v/>
      </c>
      <c r="B1351" s="41">
        <f>_xlfn.XLOOKUP(_xlfn.XLOOKUP(C1351,'Project Details'!$C$17:$C$10003,'Project Details'!$E$17:$E$10003, "",0),dd_design_raw!$A$2:$A$9997,dd_design_raw!$C$2:$C$9997,"",0)</f>
        <v>0</v>
      </c>
      <c r="C1351" s="16"/>
      <c r="D1351" s="16"/>
      <c r="E1351" s="16" t="str" cm="1">
        <f t="array" ref="E1351">IF(C1351&lt;&gt;"", _xlfn.XLOOKUP(1,((SKUs!$A$2:$A$10001=cl_unmerged!B1351) * (LEFT(SKUs!$J$2:$J$10001, LEN("Sliding Bar"))="Sliding Bar")), SKUs!$J$2:$J$10001,""),"")</f>
        <v/>
      </c>
      <c r="F1351" s="33" t="str" cm="1">
        <f t="array" ref="F1351">_xlfn.XLOOKUP(1,((SKUs!$A$2:$A$10001=cl_unmerged!B1351) * (LEFT(SKUs!$J$2:$J$10001, LEN("Sliding Bar"))="Sliding Bar") * (ISNUMBER(SEARCH(A1351,SKUs!$C$2:$C$10001)))), SKUs!$C$2:$C$10001,"")</f>
        <v/>
      </c>
      <c r="G1351" s="16"/>
      <c r="H1351" s="16"/>
      <c r="I1351" s="16"/>
    </row>
    <row r="1352" spans="1:9" ht="13.5" customHeight="1" x14ac:dyDescent="0.25">
      <c r="A1352" s="41" t="str">
        <f>_xlfn.XLOOKUP(G1352,dd_color!$A$2:$A$8,dd_color!$B$2:$B$8,"",0)</f>
        <v/>
      </c>
      <c r="B1352" s="41">
        <f>_xlfn.XLOOKUP(_xlfn.XLOOKUP(C1352,'Project Details'!$C$17:$C$10003,'Project Details'!$E$17:$E$10003, "",0),dd_design_raw!$A$2:$A$9997,dd_design_raw!$C$2:$C$9997,"",0)</f>
        <v>0</v>
      </c>
      <c r="C1352" s="16"/>
      <c r="D1352" s="16"/>
      <c r="E1352" s="16" t="str" cm="1">
        <f t="array" ref="E1352">IF(C1352&lt;&gt;"", _xlfn.XLOOKUP(1,((SKUs!$A$2:$A$10001=cl_unmerged!B1352) * (LEFT(SKUs!$J$2:$J$10001, LEN("Sliding Bar"))="Sliding Bar")), SKUs!$J$2:$J$10001,""),"")</f>
        <v/>
      </c>
      <c r="F1352" s="33" t="str" cm="1">
        <f t="array" ref="F1352">_xlfn.XLOOKUP(1,((SKUs!$A$2:$A$10001=cl_unmerged!B1352) * (LEFT(SKUs!$J$2:$J$10001, LEN("Sliding Bar"))="Sliding Bar") * (ISNUMBER(SEARCH(A1352,SKUs!$C$2:$C$10001)))), SKUs!$C$2:$C$10001,"")</f>
        <v/>
      </c>
      <c r="G1352" s="16"/>
      <c r="H1352" s="16"/>
      <c r="I1352" s="16"/>
    </row>
    <row r="1353" spans="1:9" ht="13.5" customHeight="1" x14ac:dyDescent="0.25">
      <c r="A1353" s="41" t="str">
        <f>_xlfn.XLOOKUP(G1353,dd_color!$A$2:$A$8,dd_color!$B$2:$B$8,"",0)</f>
        <v/>
      </c>
      <c r="B1353" s="41">
        <f>_xlfn.XLOOKUP(_xlfn.XLOOKUP(C1353,'Project Details'!$C$17:$C$10003,'Project Details'!$E$17:$E$10003, "",0),dd_design_raw!$A$2:$A$9997,dd_design_raw!$C$2:$C$9997,"",0)</f>
        <v>0</v>
      </c>
      <c r="C1353" s="16"/>
      <c r="D1353" s="16"/>
      <c r="E1353" s="16" t="str" cm="1">
        <f t="array" ref="E1353">IF(C1353&lt;&gt;"", _xlfn.XLOOKUP(1,((SKUs!$A$2:$A$10001=cl_unmerged!B1353) * (LEFT(SKUs!$J$2:$J$10001, LEN("Sliding Bar"))="Sliding Bar")), SKUs!$J$2:$J$10001,""),"")</f>
        <v/>
      </c>
      <c r="F1353" s="33" t="str" cm="1">
        <f t="array" ref="F1353">_xlfn.XLOOKUP(1,((SKUs!$A$2:$A$10001=cl_unmerged!B1353) * (LEFT(SKUs!$J$2:$J$10001, LEN("Sliding Bar"))="Sliding Bar") * (ISNUMBER(SEARCH(A1353,SKUs!$C$2:$C$10001)))), SKUs!$C$2:$C$10001,"")</f>
        <v/>
      </c>
      <c r="G1353" s="16"/>
      <c r="H1353" s="16"/>
      <c r="I1353" s="16"/>
    </row>
    <row r="1354" spans="1:9" ht="13.5" customHeight="1" x14ac:dyDescent="0.25">
      <c r="A1354" s="41" t="str">
        <f>_xlfn.XLOOKUP(G1354,dd_color!$A$2:$A$8,dd_color!$B$2:$B$8,"",0)</f>
        <v/>
      </c>
      <c r="B1354" s="41">
        <f>_xlfn.XLOOKUP(_xlfn.XLOOKUP(C1354,'Project Details'!$C$17:$C$10003,'Project Details'!$E$17:$E$10003, "",0),dd_design_raw!$A$2:$A$9997,dd_design_raw!$C$2:$C$9997,"",0)</f>
        <v>0</v>
      </c>
      <c r="C1354" s="16"/>
      <c r="D1354" s="16"/>
      <c r="E1354" s="16" t="str" cm="1">
        <f t="array" ref="E1354">IF(C1354&lt;&gt;"", _xlfn.XLOOKUP(1,((SKUs!$A$2:$A$10001=cl_unmerged!B1354) * (LEFT(SKUs!$J$2:$J$10001, LEN("Sliding Bar"))="Sliding Bar")), SKUs!$J$2:$J$10001,""),"")</f>
        <v/>
      </c>
      <c r="F1354" s="33" t="str" cm="1">
        <f t="array" ref="F1354">_xlfn.XLOOKUP(1,((SKUs!$A$2:$A$10001=cl_unmerged!B1354) * (LEFT(SKUs!$J$2:$J$10001, LEN("Sliding Bar"))="Sliding Bar") * (ISNUMBER(SEARCH(A1354,SKUs!$C$2:$C$10001)))), SKUs!$C$2:$C$10001,"")</f>
        <v/>
      </c>
      <c r="G1354" s="16"/>
      <c r="H1354" s="16"/>
      <c r="I1354" s="16"/>
    </row>
    <row r="1355" spans="1:9" ht="13.5" customHeight="1" x14ac:dyDescent="0.25">
      <c r="A1355" s="41" t="str">
        <f>_xlfn.XLOOKUP(G1355,dd_color!$A$2:$A$8,dd_color!$B$2:$B$8,"",0)</f>
        <v/>
      </c>
      <c r="B1355" s="41">
        <f>_xlfn.XLOOKUP(_xlfn.XLOOKUP(C1355,'Project Details'!$C$17:$C$10003,'Project Details'!$E$17:$E$10003, "",0),dd_design_raw!$A$2:$A$9997,dd_design_raw!$C$2:$C$9997,"",0)</f>
        <v>0</v>
      </c>
      <c r="C1355" s="16"/>
      <c r="D1355" s="16"/>
      <c r="E1355" s="16" t="str" cm="1">
        <f t="array" ref="E1355">IF(C1355&lt;&gt;"", _xlfn.XLOOKUP(1,((SKUs!$A$2:$A$10001=cl_unmerged!B1355) * (LEFT(SKUs!$J$2:$J$10001, LEN("Sliding Bar"))="Sliding Bar")), SKUs!$J$2:$J$10001,""),"")</f>
        <v/>
      </c>
      <c r="F1355" s="33" t="str" cm="1">
        <f t="array" ref="F1355">_xlfn.XLOOKUP(1,((SKUs!$A$2:$A$10001=cl_unmerged!B1355) * (LEFT(SKUs!$J$2:$J$10001, LEN("Sliding Bar"))="Sliding Bar") * (ISNUMBER(SEARCH(A1355,SKUs!$C$2:$C$10001)))), SKUs!$C$2:$C$10001,"")</f>
        <v/>
      </c>
      <c r="G1355" s="16"/>
      <c r="H1355" s="16"/>
      <c r="I1355" s="16"/>
    </row>
    <row r="1356" spans="1:9" ht="13.5" customHeight="1" x14ac:dyDescent="0.25">
      <c r="A1356" s="41" t="str">
        <f>_xlfn.XLOOKUP(G1356,dd_color!$A$2:$A$8,dd_color!$B$2:$B$8,"",0)</f>
        <v/>
      </c>
      <c r="B1356" s="41">
        <f>_xlfn.XLOOKUP(_xlfn.XLOOKUP(C1356,'Project Details'!$C$17:$C$10003,'Project Details'!$E$17:$E$10003, "",0),dd_design_raw!$A$2:$A$9997,dd_design_raw!$C$2:$C$9997,"",0)</f>
        <v>0</v>
      </c>
      <c r="C1356" s="16"/>
      <c r="D1356" s="16"/>
      <c r="E1356" s="16" t="str" cm="1">
        <f t="array" ref="E1356">IF(C1356&lt;&gt;"", _xlfn.XLOOKUP(1,((SKUs!$A$2:$A$10001=cl_unmerged!B1356) * (LEFT(SKUs!$J$2:$J$10001, LEN("Sliding Bar"))="Sliding Bar")), SKUs!$J$2:$J$10001,""),"")</f>
        <v/>
      </c>
      <c r="F1356" s="33" t="str" cm="1">
        <f t="array" ref="F1356">_xlfn.XLOOKUP(1,((SKUs!$A$2:$A$10001=cl_unmerged!B1356) * (LEFT(SKUs!$J$2:$J$10001, LEN("Sliding Bar"))="Sliding Bar") * (ISNUMBER(SEARCH(A1356,SKUs!$C$2:$C$10001)))), SKUs!$C$2:$C$10001,"")</f>
        <v/>
      </c>
      <c r="G1356" s="16"/>
      <c r="H1356" s="16"/>
      <c r="I1356" s="16"/>
    </row>
    <row r="1357" spans="1:9" ht="13.5" customHeight="1" x14ac:dyDescent="0.25">
      <c r="A1357" s="41" t="str">
        <f>_xlfn.XLOOKUP(G1357,dd_color!$A$2:$A$8,dd_color!$B$2:$B$8,"",0)</f>
        <v/>
      </c>
      <c r="B1357" s="41">
        <f>_xlfn.XLOOKUP(_xlfn.XLOOKUP(C1357,'Project Details'!$C$17:$C$10003,'Project Details'!$E$17:$E$10003, "",0),dd_design_raw!$A$2:$A$9997,dd_design_raw!$C$2:$C$9997,"",0)</f>
        <v>0</v>
      </c>
      <c r="C1357" s="16"/>
      <c r="D1357" s="16"/>
      <c r="E1357" s="16" t="str" cm="1">
        <f t="array" ref="E1357">IF(C1357&lt;&gt;"", _xlfn.XLOOKUP(1,((SKUs!$A$2:$A$10001=cl_unmerged!B1357) * (LEFT(SKUs!$J$2:$J$10001, LEN("Sliding Bar"))="Sliding Bar")), SKUs!$J$2:$J$10001,""),"")</f>
        <v/>
      </c>
      <c r="F1357" s="33" t="str" cm="1">
        <f t="array" ref="F1357">_xlfn.XLOOKUP(1,((SKUs!$A$2:$A$10001=cl_unmerged!B1357) * (LEFT(SKUs!$J$2:$J$10001, LEN("Sliding Bar"))="Sliding Bar") * (ISNUMBER(SEARCH(A1357,SKUs!$C$2:$C$10001)))), SKUs!$C$2:$C$10001,"")</f>
        <v/>
      </c>
      <c r="G1357" s="16"/>
      <c r="H1357" s="16"/>
      <c r="I1357" s="16"/>
    </row>
    <row r="1358" spans="1:9" ht="13.5" customHeight="1" x14ac:dyDescent="0.25">
      <c r="A1358" s="41" t="str">
        <f>_xlfn.XLOOKUP(G1358,dd_color!$A$2:$A$8,dd_color!$B$2:$B$8,"",0)</f>
        <v/>
      </c>
      <c r="B1358" s="41">
        <f>_xlfn.XLOOKUP(_xlfn.XLOOKUP(C1358,'Project Details'!$C$17:$C$10003,'Project Details'!$E$17:$E$10003, "",0),dd_design_raw!$A$2:$A$9997,dd_design_raw!$C$2:$C$9997,"",0)</f>
        <v>0</v>
      </c>
      <c r="C1358" s="16"/>
      <c r="D1358" s="16"/>
      <c r="E1358" s="16" t="str" cm="1">
        <f t="array" ref="E1358">IF(C1358&lt;&gt;"", _xlfn.XLOOKUP(1,((SKUs!$A$2:$A$10001=cl_unmerged!B1358) * (LEFT(SKUs!$J$2:$J$10001, LEN("Sliding Bar"))="Sliding Bar")), SKUs!$J$2:$J$10001,""),"")</f>
        <v/>
      </c>
      <c r="F1358" s="33" t="str" cm="1">
        <f t="array" ref="F1358">_xlfn.XLOOKUP(1,((SKUs!$A$2:$A$10001=cl_unmerged!B1358) * (LEFT(SKUs!$J$2:$J$10001, LEN("Sliding Bar"))="Sliding Bar") * (ISNUMBER(SEARCH(A1358,SKUs!$C$2:$C$10001)))), SKUs!$C$2:$C$10001,"")</f>
        <v/>
      </c>
      <c r="G1358" s="16"/>
      <c r="H1358" s="16"/>
      <c r="I1358" s="16"/>
    </row>
    <row r="1359" spans="1:9" ht="13.5" customHeight="1" x14ac:dyDescent="0.25">
      <c r="A1359" s="41" t="str">
        <f>_xlfn.XLOOKUP(G1359,dd_color!$A$2:$A$8,dd_color!$B$2:$B$8,"",0)</f>
        <v/>
      </c>
      <c r="B1359" s="41">
        <f>_xlfn.XLOOKUP(_xlfn.XLOOKUP(C1359,'Project Details'!$C$17:$C$10003,'Project Details'!$E$17:$E$10003, "",0),dd_design_raw!$A$2:$A$9997,dd_design_raw!$C$2:$C$9997,"",0)</f>
        <v>0</v>
      </c>
      <c r="C1359" s="16"/>
      <c r="D1359" s="16"/>
      <c r="E1359" s="16" t="str" cm="1">
        <f t="array" ref="E1359">IF(C1359&lt;&gt;"", _xlfn.XLOOKUP(1,((SKUs!$A$2:$A$10001=cl_unmerged!B1359) * (LEFT(SKUs!$J$2:$J$10001, LEN("Sliding Bar"))="Sliding Bar")), SKUs!$J$2:$J$10001,""),"")</f>
        <v/>
      </c>
      <c r="F1359" s="33" t="str" cm="1">
        <f t="array" ref="F1359">_xlfn.XLOOKUP(1,((SKUs!$A$2:$A$10001=cl_unmerged!B1359) * (LEFT(SKUs!$J$2:$J$10001, LEN("Sliding Bar"))="Sliding Bar") * (ISNUMBER(SEARCH(A1359,SKUs!$C$2:$C$10001)))), SKUs!$C$2:$C$10001,"")</f>
        <v/>
      </c>
      <c r="G1359" s="16"/>
      <c r="H1359" s="16"/>
      <c r="I1359" s="16"/>
    </row>
    <row r="1360" spans="1:9" ht="13.5" customHeight="1" x14ac:dyDescent="0.25">
      <c r="A1360" s="41" t="str">
        <f>_xlfn.XLOOKUP(G1360,dd_color!$A$2:$A$8,dd_color!$B$2:$B$8,"",0)</f>
        <v/>
      </c>
      <c r="B1360" s="41">
        <f>_xlfn.XLOOKUP(_xlfn.XLOOKUP(C1360,'Project Details'!$C$17:$C$10003,'Project Details'!$E$17:$E$10003, "",0),dd_design_raw!$A$2:$A$9997,dd_design_raw!$C$2:$C$9997,"",0)</f>
        <v>0</v>
      </c>
      <c r="C1360" s="16"/>
      <c r="D1360" s="16"/>
      <c r="E1360" s="16" t="str" cm="1">
        <f t="array" ref="E1360">IF(C1360&lt;&gt;"", _xlfn.XLOOKUP(1,((SKUs!$A$2:$A$10001=cl_unmerged!B1360) * (LEFT(SKUs!$J$2:$J$10001, LEN("Sliding Bar"))="Sliding Bar")), SKUs!$J$2:$J$10001,""),"")</f>
        <v/>
      </c>
      <c r="F1360" s="33" t="str" cm="1">
        <f t="array" ref="F1360">_xlfn.XLOOKUP(1,((SKUs!$A$2:$A$10001=cl_unmerged!B1360) * (LEFT(SKUs!$J$2:$J$10001, LEN("Sliding Bar"))="Sliding Bar") * (ISNUMBER(SEARCH(A1360,SKUs!$C$2:$C$10001)))), SKUs!$C$2:$C$10001,"")</f>
        <v/>
      </c>
      <c r="G1360" s="16"/>
      <c r="H1360" s="16"/>
      <c r="I1360" s="16"/>
    </row>
    <row r="1361" spans="1:9" ht="13.5" customHeight="1" x14ac:dyDescent="0.25">
      <c r="A1361" s="41" t="str">
        <f>_xlfn.XLOOKUP(G1361,dd_color!$A$2:$A$8,dd_color!$B$2:$B$8,"",0)</f>
        <v/>
      </c>
      <c r="B1361" s="41">
        <f>_xlfn.XLOOKUP(_xlfn.XLOOKUP(C1361,'Project Details'!$C$17:$C$10003,'Project Details'!$E$17:$E$10003, "",0),dd_design_raw!$A$2:$A$9997,dd_design_raw!$C$2:$C$9997,"",0)</f>
        <v>0</v>
      </c>
      <c r="C1361" s="16"/>
      <c r="D1361" s="16"/>
      <c r="E1361" s="16" t="str" cm="1">
        <f t="array" ref="E1361">IF(C1361&lt;&gt;"", _xlfn.XLOOKUP(1,((SKUs!$A$2:$A$10001=cl_unmerged!B1361) * (LEFT(SKUs!$J$2:$J$10001, LEN("Sliding Bar"))="Sliding Bar")), SKUs!$J$2:$J$10001,""),"")</f>
        <v/>
      </c>
      <c r="F1361" s="33" t="str" cm="1">
        <f t="array" ref="F1361">_xlfn.XLOOKUP(1,((SKUs!$A$2:$A$10001=cl_unmerged!B1361) * (LEFT(SKUs!$J$2:$J$10001, LEN("Sliding Bar"))="Sliding Bar") * (ISNUMBER(SEARCH(A1361,SKUs!$C$2:$C$10001)))), SKUs!$C$2:$C$10001,"")</f>
        <v/>
      </c>
      <c r="G1361" s="16"/>
      <c r="H1361" s="16"/>
      <c r="I1361" s="16"/>
    </row>
    <row r="1362" spans="1:9" ht="13.5" customHeight="1" x14ac:dyDescent="0.25">
      <c r="A1362" s="41" t="str">
        <f>_xlfn.XLOOKUP(G1362,dd_color!$A$2:$A$8,dd_color!$B$2:$B$8,"",0)</f>
        <v/>
      </c>
      <c r="B1362" s="41">
        <f>_xlfn.XLOOKUP(_xlfn.XLOOKUP(C1362,'Project Details'!$C$17:$C$10003,'Project Details'!$E$17:$E$10003, "",0),dd_design_raw!$A$2:$A$9997,dd_design_raw!$C$2:$C$9997,"",0)</f>
        <v>0</v>
      </c>
      <c r="C1362" s="16"/>
      <c r="D1362" s="16"/>
      <c r="E1362" s="16" t="str" cm="1">
        <f t="array" ref="E1362">IF(C1362&lt;&gt;"", _xlfn.XLOOKUP(1,((SKUs!$A$2:$A$10001=cl_unmerged!B1362) * (LEFT(SKUs!$J$2:$J$10001, LEN("Sliding Bar"))="Sliding Bar")), SKUs!$J$2:$J$10001,""),"")</f>
        <v/>
      </c>
      <c r="F1362" s="33" t="str" cm="1">
        <f t="array" ref="F1362">_xlfn.XLOOKUP(1,((SKUs!$A$2:$A$10001=cl_unmerged!B1362) * (LEFT(SKUs!$J$2:$J$10001, LEN("Sliding Bar"))="Sliding Bar") * (ISNUMBER(SEARCH(A1362,SKUs!$C$2:$C$10001)))), SKUs!$C$2:$C$10001,"")</f>
        <v/>
      </c>
      <c r="G1362" s="16"/>
      <c r="H1362" s="16"/>
      <c r="I1362" s="16"/>
    </row>
    <row r="1363" spans="1:9" ht="13.5" customHeight="1" x14ac:dyDescent="0.25">
      <c r="A1363" s="41" t="str">
        <f>_xlfn.XLOOKUP(G1363,dd_color!$A$2:$A$8,dd_color!$B$2:$B$8,"",0)</f>
        <v/>
      </c>
      <c r="B1363" s="41">
        <f>_xlfn.XLOOKUP(_xlfn.XLOOKUP(C1363,'Project Details'!$C$17:$C$10003,'Project Details'!$E$17:$E$10003, "",0),dd_design_raw!$A$2:$A$9997,dd_design_raw!$C$2:$C$9997,"",0)</f>
        <v>0</v>
      </c>
      <c r="C1363" s="16"/>
      <c r="D1363" s="16"/>
      <c r="E1363" s="16" t="str" cm="1">
        <f t="array" ref="E1363">IF(C1363&lt;&gt;"", _xlfn.XLOOKUP(1,((SKUs!$A$2:$A$10001=cl_unmerged!B1363) * (LEFT(SKUs!$J$2:$J$10001, LEN("Sliding Bar"))="Sliding Bar")), SKUs!$J$2:$J$10001,""),"")</f>
        <v/>
      </c>
      <c r="F1363" s="33" t="str" cm="1">
        <f t="array" ref="F1363">_xlfn.XLOOKUP(1,((SKUs!$A$2:$A$10001=cl_unmerged!B1363) * (LEFT(SKUs!$J$2:$J$10001, LEN("Sliding Bar"))="Sliding Bar") * (ISNUMBER(SEARCH(A1363,SKUs!$C$2:$C$10001)))), SKUs!$C$2:$C$10001,"")</f>
        <v/>
      </c>
      <c r="G1363" s="16"/>
      <c r="H1363" s="16"/>
      <c r="I1363" s="16"/>
    </row>
    <row r="1364" spans="1:9" ht="13.5" customHeight="1" x14ac:dyDescent="0.25">
      <c r="A1364" s="41" t="str">
        <f>_xlfn.XLOOKUP(G1364,dd_color!$A$2:$A$8,dd_color!$B$2:$B$8,"",0)</f>
        <v/>
      </c>
      <c r="B1364" s="41">
        <f>_xlfn.XLOOKUP(_xlfn.XLOOKUP(C1364,'Project Details'!$C$17:$C$10003,'Project Details'!$E$17:$E$10003, "",0),dd_design_raw!$A$2:$A$9997,dd_design_raw!$C$2:$C$9997,"",0)</f>
        <v>0</v>
      </c>
      <c r="C1364" s="16"/>
      <c r="D1364" s="16"/>
      <c r="E1364" s="16" t="str" cm="1">
        <f t="array" ref="E1364">IF(C1364&lt;&gt;"", _xlfn.XLOOKUP(1,((SKUs!$A$2:$A$10001=cl_unmerged!B1364) * (LEFT(SKUs!$J$2:$J$10001, LEN("Sliding Bar"))="Sliding Bar")), SKUs!$J$2:$J$10001,""),"")</f>
        <v/>
      </c>
      <c r="F1364" s="33" t="str" cm="1">
        <f t="array" ref="F1364">_xlfn.XLOOKUP(1,((SKUs!$A$2:$A$10001=cl_unmerged!B1364) * (LEFT(SKUs!$J$2:$J$10001, LEN("Sliding Bar"))="Sliding Bar") * (ISNUMBER(SEARCH(A1364,SKUs!$C$2:$C$10001)))), SKUs!$C$2:$C$10001,"")</f>
        <v/>
      </c>
      <c r="G1364" s="16"/>
      <c r="H1364" s="16"/>
      <c r="I1364" s="16"/>
    </row>
    <row r="1365" spans="1:9" ht="13.5" customHeight="1" x14ac:dyDescent="0.25">
      <c r="A1365" s="41" t="str">
        <f>_xlfn.XLOOKUP(G1365,dd_color!$A$2:$A$8,dd_color!$B$2:$B$8,"",0)</f>
        <v/>
      </c>
      <c r="B1365" s="41">
        <f>_xlfn.XLOOKUP(_xlfn.XLOOKUP(C1365,'Project Details'!$C$17:$C$10003,'Project Details'!$E$17:$E$10003, "",0),dd_design_raw!$A$2:$A$9997,dd_design_raw!$C$2:$C$9997,"",0)</f>
        <v>0</v>
      </c>
      <c r="C1365" s="16"/>
      <c r="D1365" s="16"/>
      <c r="E1365" s="16" t="str" cm="1">
        <f t="array" ref="E1365">IF(C1365&lt;&gt;"", _xlfn.XLOOKUP(1,((SKUs!$A$2:$A$10001=cl_unmerged!B1365) * (LEFT(SKUs!$J$2:$J$10001, LEN("Sliding Bar"))="Sliding Bar")), SKUs!$J$2:$J$10001,""),"")</f>
        <v/>
      </c>
      <c r="F1365" s="33" t="str" cm="1">
        <f t="array" ref="F1365">_xlfn.XLOOKUP(1,((SKUs!$A$2:$A$10001=cl_unmerged!B1365) * (LEFT(SKUs!$J$2:$J$10001, LEN("Sliding Bar"))="Sliding Bar") * (ISNUMBER(SEARCH(A1365,SKUs!$C$2:$C$10001)))), SKUs!$C$2:$C$10001,"")</f>
        <v/>
      </c>
      <c r="G1365" s="16"/>
      <c r="H1365" s="16"/>
      <c r="I1365" s="16"/>
    </row>
    <row r="1366" spans="1:9" ht="13.5" customHeight="1" x14ac:dyDescent="0.25">
      <c r="A1366" s="41" t="str">
        <f>_xlfn.XLOOKUP(G1366,dd_color!$A$2:$A$8,dd_color!$B$2:$B$8,"",0)</f>
        <v/>
      </c>
      <c r="B1366" s="41">
        <f>_xlfn.XLOOKUP(_xlfn.XLOOKUP(C1366,'Project Details'!$C$17:$C$10003,'Project Details'!$E$17:$E$10003, "",0),dd_design_raw!$A$2:$A$9997,dd_design_raw!$C$2:$C$9997,"",0)</f>
        <v>0</v>
      </c>
      <c r="C1366" s="16"/>
      <c r="D1366" s="16"/>
      <c r="E1366" s="16" t="str" cm="1">
        <f t="array" ref="E1366">IF(C1366&lt;&gt;"", _xlfn.XLOOKUP(1,((SKUs!$A$2:$A$10001=cl_unmerged!B1366) * (LEFT(SKUs!$J$2:$J$10001, LEN("Sliding Bar"))="Sliding Bar")), SKUs!$J$2:$J$10001,""),"")</f>
        <v/>
      </c>
      <c r="F1366" s="33" t="str" cm="1">
        <f t="array" ref="F1366">_xlfn.XLOOKUP(1,((SKUs!$A$2:$A$10001=cl_unmerged!B1366) * (LEFT(SKUs!$J$2:$J$10001, LEN("Sliding Bar"))="Sliding Bar") * (ISNUMBER(SEARCH(A1366,SKUs!$C$2:$C$10001)))), SKUs!$C$2:$C$10001,"")</f>
        <v/>
      </c>
      <c r="G1366" s="16"/>
      <c r="H1366" s="16"/>
      <c r="I1366" s="16"/>
    </row>
    <row r="1367" spans="1:9" ht="13.5" customHeight="1" x14ac:dyDescent="0.25">
      <c r="A1367" s="41" t="str">
        <f>_xlfn.XLOOKUP(G1367,dd_color!$A$2:$A$8,dd_color!$B$2:$B$8,"",0)</f>
        <v/>
      </c>
      <c r="B1367" s="41">
        <f>_xlfn.XLOOKUP(_xlfn.XLOOKUP(C1367,'Project Details'!$C$17:$C$10003,'Project Details'!$E$17:$E$10003, "",0),dd_design_raw!$A$2:$A$9997,dd_design_raw!$C$2:$C$9997,"",0)</f>
        <v>0</v>
      </c>
      <c r="C1367" s="16"/>
      <c r="D1367" s="16"/>
      <c r="E1367" s="16" t="str" cm="1">
        <f t="array" ref="E1367">IF(C1367&lt;&gt;"", _xlfn.XLOOKUP(1,((SKUs!$A$2:$A$10001=cl_unmerged!B1367) * (LEFT(SKUs!$J$2:$J$10001, LEN("Sliding Bar"))="Sliding Bar")), SKUs!$J$2:$J$10001,""),"")</f>
        <v/>
      </c>
      <c r="F1367" s="33" t="str" cm="1">
        <f t="array" ref="F1367">_xlfn.XLOOKUP(1,((SKUs!$A$2:$A$10001=cl_unmerged!B1367) * (LEFT(SKUs!$J$2:$J$10001, LEN("Sliding Bar"))="Sliding Bar") * (ISNUMBER(SEARCH(A1367,SKUs!$C$2:$C$10001)))), SKUs!$C$2:$C$10001,"")</f>
        <v/>
      </c>
      <c r="G1367" s="16"/>
      <c r="H1367" s="16"/>
      <c r="I1367" s="16"/>
    </row>
    <row r="1368" spans="1:9" ht="13.5" customHeight="1" x14ac:dyDescent="0.25">
      <c r="A1368" s="41" t="str">
        <f>_xlfn.XLOOKUP(G1368,dd_color!$A$2:$A$8,dd_color!$B$2:$B$8,"",0)</f>
        <v/>
      </c>
      <c r="B1368" s="41">
        <f>_xlfn.XLOOKUP(_xlfn.XLOOKUP(C1368,'Project Details'!$C$17:$C$10003,'Project Details'!$E$17:$E$10003, "",0),dd_design_raw!$A$2:$A$9997,dd_design_raw!$C$2:$C$9997,"",0)</f>
        <v>0</v>
      </c>
      <c r="C1368" s="16"/>
      <c r="D1368" s="16"/>
      <c r="E1368" s="16" t="str" cm="1">
        <f t="array" ref="E1368">IF(C1368&lt;&gt;"", _xlfn.XLOOKUP(1,((SKUs!$A$2:$A$10001=cl_unmerged!B1368) * (LEFT(SKUs!$J$2:$J$10001, LEN("Sliding Bar"))="Sliding Bar")), SKUs!$J$2:$J$10001,""),"")</f>
        <v/>
      </c>
      <c r="F1368" s="33" t="str" cm="1">
        <f t="array" ref="F1368">_xlfn.XLOOKUP(1,((SKUs!$A$2:$A$10001=cl_unmerged!B1368) * (LEFT(SKUs!$J$2:$J$10001, LEN("Sliding Bar"))="Sliding Bar") * (ISNUMBER(SEARCH(A1368,SKUs!$C$2:$C$10001)))), SKUs!$C$2:$C$10001,"")</f>
        <v/>
      </c>
      <c r="G1368" s="16"/>
      <c r="H1368" s="16"/>
      <c r="I1368" s="16"/>
    </row>
    <row r="1369" spans="1:9" ht="13.5" customHeight="1" x14ac:dyDescent="0.25">
      <c r="A1369" s="41" t="str">
        <f>_xlfn.XLOOKUP(G1369,dd_color!$A$2:$A$8,dd_color!$B$2:$B$8,"",0)</f>
        <v/>
      </c>
      <c r="B1369" s="41">
        <f>_xlfn.XLOOKUP(_xlfn.XLOOKUP(C1369,'Project Details'!$C$17:$C$10003,'Project Details'!$E$17:$E$10003, "",0),dd_design_raw!$A$2:$A$9997,dd_design_raw!$C$2:$C$9997,"",0)</f>
        <v>0</v>
      </c>
      <c r="C1369" s="16"/>
      <c r="D1369" s="16"/>
      <c r="E1369" s="16" t="str" cm="1">
        <f t="array" ref="E1369">IF(C1369&lt;&gt;"", _xlfn.XLOOKUP(1,((SKUs!$A$2:$A$10001=cl_unmerged!B1369) * (LEFT(SKUs!$J$2:$J$10001, LEN("Sliding Bar"))="Sliding Bar")), SKUs!$J$2:$J$10001,""),"")</f>
        <v/>
      </c>
      <c r="F1369" s="33" t="str" cm="1">
        <f t="array" ref="F1369">_xlfn.XLOOKUP(1,((SKUs!$A$2:$A$10001=cl_unmerged!B1369) * (LEFT(SKUs!$J$2:$J$10001, LEN("Sliding Bar"))="Sliding Bar") * (ISNUMBER(SEARCH(A1369,SKUs!$C$2:$C$10001)))), SKUs!$C$2:$C$10001,"")</f>
        <v/>
      </c>
      <c r="G1369" s="16"/>
      <c r="H1369" s="16"/>
      <c r="I1369" s="16"/>
    </row>
    <row r="1370" spans="1:9" ht="13.5" customHeight="1" x14ac:dyDescent="0.25">
      <c r="A1370" s="41" t="str">
        <f>_xlfn.XLOOKUP(G1370,dd_color!$A$2:$A$8,dd_color!$B$2:$B$8,"",0)</f>
        <v/>
      </c>
      <c r="B1370" s="41">
        <f>_xlfn.XLOOKUP(_xlfn.XLOOKUP(C1370,'Project Details'!$C$17:$C$10003,'Project Details'!$E$17:$E$10003, "",0),dd_design_raw!$A$2:$A$9997,dd_design_raw!$C$2:$C$9997,"",0)</f>
        <v>0</v>
      </c>
      <c r="C1370" s="16"/>
      <c r="D1370" s="16"/>
      <c r="E1370" s="16" t="str" cm="1">
        <f t="array" ref="E1370">IF(C1370&lt;&gt;"", _xlfn.XLOOKUP(1,((SKUs!$A$2:$A$10001=cl_unmerged!B1370) * (LEFT(SKUs!$J$2:$J$10001, LEN("Sliding Bar"))="Sliding Bar")), SKUs!$J$2:$J$10001,""),"")</f>
        <v/>
      </c>
      <c r="F1370" s="33" t="str" cm="1">
        <f t="array" ref="F1370">_xlfn.XLOOKUP(1,((SKUs!$A$2:$A$10001=cl_unmerged!B1370) * (LEFT(SKUs!$J$2:$J$10001, LEN("Sliding Bar"))="Sliding Bar") * (ISNUMBER(SEARCH(A1370,SKUs!$C$2:$C$10001)))), SKUs!$C$2:$C$10001,"")</f>
        <v/>
      </c>
      <c r="G1370" s="16"/>
      <c r="H1370" s="16"/>
      <c r="I1370" s="16"/>
    </row>
    <row r="1371" spans="1:9" ht="13.5" customHeight="1" x14ac:dyDescent="0.25">
      <c r="A1371" s="41" t="str">
        <f>_xlfn.XLOOKUP(G1371,dd_color!$A$2:$A$8,dd_color!$B$2:$B$8,"",0)</f>
        <v/>
      </c>
      <c r="B1371" s="41">
        <f>_xlfn.XLOOKUP(_xlfn.XLOOKUP(C1371,'Project Details'!$C$17:$C$10003,'Project Details'!$E$17:$E$10003, "",0),dd_design_raw!$A$2:$A$9997,dd_design_raw!$C$2:$C$9997,"",0)</f>
        <v>0</v>
      </c>
      <c r="C1371" s="16"/>
      <c r="D1371" s="16"/>
      <c r="E1371" s="16" t="str" cm="1">
        <f t="array" ref="E1371">IF(C1371&lt;&gt;"", _xlfn.XLOOKUP(1,((SKUs!$A$2:$A$10001=cl_unmerged!B1371) * (LEFT(SKUs!$J$2:$J$10001, LEN("Sliding Bar"))="Sliding Bar")), SKUs!$J$2:$J$10001,""),"")</f>
        <v/>
      </c>
      <c r="F1371" s="33" t="str" cm="1">
        <f t="array" ref="F1371">_xlfn.XLOOKUP(1,((SKUs!$A$2:$A$10001=cl_unmerged!B1371) * (LEFT(SKUs!$J$2:$J$10001, LEN("Sliding Bar"))="Sliding Bar") * (ISNUMBER(SEARCH(A1371,SKUs!$C$2:$C$10001)))), SKUs!$C$2:$C$10001,"")</f>
        <v/>
      </c>
      <c r="G1371" s="16"/>
      <c r="H1371" s="16"/>
      <c r="I1371" s="16"/>
    </row>
    <row r="1372" spans="1:9" ht="13.5" customHeight="1" x14ac:dyDescent="0.25">
      <c r="A1372" s="41" t="str">
        <f>_xlfn.XLOOKUP(G1372,dd_color!$A$2:$A$8,dd_color!$B$2:$B$8,"",0)</f>
        <v/>
      </c>
      <c r="B1372" s="41">
        <f>_xlfn.XLOOKUP(_xlfn.XLOOKUP(C1372,'Project Details'!$C$17:$C$10003,'Project Details'!$E$17:$E$10003, "",0),dd_design_raw!$A$2:$A$9997,dd_design_raw!$C$2:$C$9997,"",0)</f>
        <v>0</v>
      </c>
      <c r="C1372" s="16"/>
      <c r="D1372" s="16"/>
      <c r="E1372" s="16" t="str" cm="1">
        <f t="array" ref="E1372">IF(C1372&lt;&gt;"", _xlfn.XLOOKUP(1,((SKUs!$A$2:$A$10001=cl_unmerged!B1372) * (LEFT(SKUs!$J$2:$J$10001, LEN("Sliding Bar"))="Sliding Bar")), SKUs!$J$2:$J$10001,""),"")</f>
        <v/>
      </c>
      <c r="F1372" s="33" t="str" cm="1">
        <f t="array" ref="F1372">_xlfn.XLOOKUP(1,((SKUs!$A$2:$A$10001=cl_unmerged!B1372) * (LEFT(SKUs!$J$2:$J$10001, LEN("Sliding Bar"))="Sliding Bar") * (ISNUMBER(SEARCH(A1372,SKUs!$C$2:$C$10001)))), SKUs!$C$2:$C$10001,"")</f>
        <v/>
      </c>
      <c r="G1372" s="16"/>
      <c r="H1372" s="16"/>
      <c r="I1372" s="16"/>
    </row>
    <row r="1373" spans="1:9" ht="13.5" customHeight="1" x14ac:dyDescent="0.25">
      <c r="A1373" s="41" t="str">
        <f>_xlfn.XLOOKUP(G1373,dd_color!$A$2:$A$8,dd_color!$B$2:$B$8,"",0)</f>
        <v/>
      </c>
      <c r="B1373" s="41">
        <f>_xlfn.XLOOKUP(_xlfn.XLOOKUP(C1373,'Project Details'!$C$17:$C$10003,'Project Details'!$E$17:$E$10003, "",0),dd_design_raw!$A$2:$A$9997,dd_design_raw!$C$2:$C$9997,"",0)</f>
        <v>0</v>
      </c>
      <c r="C1373" s="16"/>
      <c r="D1373" s="16"/>
      <c r="E1373" s="16" t="str" cm="1">
        <f t="array" ref="E1373">IF(C1373&lt;&gt;"", _xlfn.XLOOKUP(1,((SKUs!$A$2:$A$10001=cl_unmerged!B1373) * (LEFT(SKUs!$J$2:$J$10001, LEN("Sliding Bar"))="Sliding Bar")), SKUs!$J$2:$J$10001,""),"")</f>
        <v/>
      </c>
      <c r="F1373" s="33" t="str" cm="1">
        <f t="array" ref="F1373">_xlfn.XLOOKUP(1,((SKUs!$A$2:$A$10001=cl_unmerged!B1373) * (LEFT(SKUs!$J$2:$J$10001, LEN("Sliding Bar"))="Sliding Bar") * (ISNUMBER(SEARCH(A1373,SKUs!$C$2:$C$10001)))), SKUs!$C$2:$C$10001,"")</f>
        <v/>
      </c>
      <c r="G1373" s="16"/>
      <c r="H1373" s="16"/>
      <c r="I1373" s="16"/>
    </row>
    <row r="1374" spans="1:9" ht="13.5" customHeight="1" x14ac:dyDescent="0.25">
      <c r="A1374" s="41" t="str">
        <f>_xlfn.XLOOKUP(G1374,dd_color!$A$2:$A$8,dd_color!$B$2:$B$8,"",0)</f>
        <v/>
      </c>
      <c r="B1374" s="41">
        <f>_xlfn.XLOOKUP(_xlfn.XLOOKUP(C1374,'Project Details'!$C$17:$C$10003,'Project Details'!$E$17:$E$10003, "",0),dd_design_raw!$A$2:$A$9997,dd_design_raw!$C$2:$C$9997,"",0)</f>
        <v>0</v>
      </c>
      <c r="C1374" s="16"/>
      <c r="D1374" s="16"/>
      <c r="E1374" s="16" t="str" cm="1">
        <f t="array" ref="E1374">IF(C1374&lt;&gt;"", _xlfn.XLOOKUP(1,((SKUs!$A$2:$A$10001=cl_unmerged!B1374) * (LEFT(SKUs!$J$2:$J$10001, LEN("Sliding Bar"))="Sliding Bar")), SKUs!$J$2:$J$10001,""),"")</f>
        <v/>
      </c>
      <c r="F1374" s="33" t="str" cm="1">
        <f t="array" ref="F1374">_xlfn.XLOOKUP(1,((SKUs!$A$2:$A$10001=cl_unmerged!B1374) * (LEFT(SKUs!$J$2:$J$10001, LEN("Sliding Bar"))="Sliding Bar") * (ISNUMBER(SEARCH(A1374,SKUs!$C$2:$C$10001)))), SKUs!$C$2:$C$10001,"")</f>
        <v/>
      </c>
      <c r="G1374" s="16"/>
      <c r="H1374" s="16"/>
      <c r="I1374" s="16"/>
    </row>
    <row r="1375" spans="1:9" ht="13.5" customHeight="1" x14ac:dyDescent="0.25">
      <c r="A1375" s="41" t="str">
        <f>_xlfn.XLOOKUP(G1375,dd_color!$A$2:$A$8,dd_color!$B$2:$B$8,"",0)</f>
        <v/>
      </c>
      <c r="B1375" s="41">
        <f>_xlfn.XLOOKUP(_xlfn.XLOOKUP(C1375,'Project Details'!$C$17:$C$10003,'Project Details'!$E$17:$E$10003, "",0),dd_design_raw!$A$2:$A$9997,dd_design_raw!$C$2:$C$9997,"",0)</f>
        <v>0</v>
      </c>
      <c r="C1375" s="16"/>
      <c r="D1375" s="16"/>
      <c r="E1375" s="16" t="str" cm="1">
        <f t="array" ref="E1375">IF(C1375&lt;&gt;"", _xlfn.XLOOKUP(1,((SKUs!$A$2:$A$10001=cl_unmerged!B1375) * (LEFT(SKUs!$J$2:$J$10001, LEN("Sliding Bar"))="Sliding Bar")), SKUs!$J$2:$J$10001,""),"")</f>
        <v/>
      </c>
      <c r="F1375" s="33" t="str" cm="1">
        <f t="array" ref="F1375">_xlfn.XLOOKUP(1,((SKUs!$A$2:$A$10001=cl_unmerged!B1375) * (LEFT(SKUs!$J$2:$J$10001, LEN("Sliding Bar"))="Sliding Bar") * (ISNUMBER(SEARCH(A1375,SKUs!$C$2:$C$10001)))), SKUs!$C$2:$C$10001,"")</f>
        <v/>
      </c>
      <c r="G1375" s="16"/>
      <c r="H1375" s="16"/>
      <c r="I1375" s="16"/>
    </row>
    <row r="1376" spans="1:9" ht="13.5" customHeight="1" x14ac:dyDescent="0.25">
      <c r="A1376" s="41" t="str">
        <f>_xlfn.XLOOKUP(G1376,dd_color!$A$2:$A$8,dd_color!$B$2:$B$8,"",0)</f>
        <v/>
      </c>
      <c r="B1376" s="41">
        <f>_xlfn.XLOOKUP(_xlfn.XLOOKUP(C1376,'Project Details'!$C$17:$C$10003,'Project Details'!$E$17:$E$10003, "",0),dd_design_raw!$A$2:$A$9997,dd_design_raw!$C$2:$C$9997,"",0)</f>
        <v>0</v>
      </c>
      <c r="C1376" s="16"/>
      <c r="D1376" s="16"/>
      <c r="E1376" s="16" t="str" cm="1">
        <f t="array" ref="E1376">IF(C1376&lt;&gt;"", _xlfn.XLOOKUP(1,((SKUs!$A$2:$A$10001=cl_unmerged!B1376) * (LEFT(SKUs!$J$2:$J$10001, LEN("Sliding Bar"))="Sliding Bar")), SKUs!$J$2:$J$10001,""),"")</f>
        <v/>
      </c>
      <c r="F1376" s="33" t="str" cm="1">
        <f t="array" ref="F1376">_xlfn.XLOOKUP(1,((SKUs!$A$2:$A$10001=cl_unmerged!B1376) * (LEFT(SKUs!$J$2:$J$10001, LEN("Sliding Bar"))="Sliding Bar") * (ISNUMBER(SEARCH(A1376,SKUs!$C$2:$C$10001)))), SKUs!$C$2:$C$10001,"")</f>
        <v/>
      </c>
      <c r="G1376" s="16"/>
      <c r="H1376" s="16"/>
      <c r="I1376" s="16"/>
    </row>
    <row r="1377" spans="1:9" ht="13.5" customHeight="1" x14ac:dyDescent="0.25">
      <c r="A1377" s="41" t="str">
        <f>_xlfn.XLOOKUP(G1377,dd_color!$A$2:$A$8,dd_color!$B$2:$B$8,"",0)</f>
        <v/>
      </c>
      <c r="B1377" s="41">
        <f>_xlfn.XLOOKUP(_xlfn.XLOOKUP(C1377,'Project Details'!$C$17:$C$10003,'Project Details'!$E$17:$E$10003, "",0),dd_design_raw!$A$2:$A$9997,dd_design_raw!$C$2:$C$9997,"",0)</f>
        <v>0</v>
      </c>
      <c r="C1377" s="16"/>
      <c r="D1377" s="16"/>
      <c r="E1377" s="16" t="str" cm="1">
        <f t="array" ref="E1377">IF(C1377&lt;&gt;"", _xlfn.XLOOKUP(1,((SKUs!$A$2:$A$10001=cl_unmerged!B1377) * (LEFT(SKUs!$J$2:$J$10001, LEN("Sliding Bar"))="Sliding Bar")), SKUs!$J$2:$J$10001,""),"")</f>
        <v/>
      </c>
      <c r="F1377" s="33" t="str" cm="1">
        <f t="array" ref="F1377">_xlfn.XLOOKUP(1,((SKUs!$A$2:$A$10001=cl_unmerged!B1377) * (LEFT(SKUs!$J$2:$J$10001, LEN("Sliding Bar"))="Sliding Bar") * (ISNUMBER(SEARCH(A1377,SKUs!$C$2:$C$10001)))), SKUs!$C$2:$C$10001,"")</f>
        <v/>
      </c>
      <c r="G1377" s="16"/>
      <c r="H1377" s="16"/>
      <c r="I1377" s="16"/>
    </row>
    <row r="1378" spans="1:9" ht="13.5" customHeight="1" x14ac:dyDescent="0.25">
      <c r="A1378" s="41" t="str">
        <f>_xlfn.XLOOKUP(G1378,dd_color!$A$2:$A$8,dd_color!$B$2:$B$8,"",0)</f>
        <v/>
      </c>
      <c r="B1378" s="41">
        <f>_xlfn.XLOOKUP(_xlfn.XLOOKUP(C1378,'Project Details'!$C$17:$C$10003,'Project Details'!$E$17:$E$10003, "",0),dd_design_raw!$A$2:$A$9997,dd_design_raw!$C$2:$C$9997,"",0)</f>
        <v>0</v>
      </c>
      <c r="C1378" s="16"/>
      <c r="D1378" s="16"/>
      <c r="E1378" s="16" t="str" cm="1">
        <f t="array" ref="E1378">IF(C1378&lt;&gt;"", _xlfn.XLOOKUP(1,((SKUs!$A$2:$A$10001=cl_unmerged!B1378) * (LEFT(SKUs!$J$2:$J$10001, LEN("Sliding Bar"))="Sliding Bar")), SKUs!$J$2:$J$10001,""),"")</f>
        <v/>
      </c>
      <c r="F1378" s="33" t="str" cm="1">
        <f t="array" ref="F1378">_xlfn.XLOOKUP(1,((SKUs!$A$2:$A$10001=cl_unmerged!B1378) * (LEFT(SKUs!$J$2:$J$10001, LEN("Sliding Bar"))="Sliding Bar") * (ISNUMBER(SEARCH(A1378,SKUs!$C$2:$C$10001)))), SKUs!$C$2:$C$10001,"")</f>
        <v/>
      </c>
      <c r="G1378" s="16"/>
      <c r="H1378" s="16"/>
      <c r="I1378" s="16"/>
    </row>
    <row r="1379" spans="1:9" ht="13.5" customHeight="1" x14ac:dyDescent="0.25">
      <c r="A1379" s="41" t="str">
        <f>_xlfn.XLOOKUP(G1379,dd_color!$A$2:$A$8,dd_color!$B$2:$B$8,"",0)</f>
        <v/>
      </c>
      <c r="B1379" s="41">
        <f>_xlfn.XLOOKUP(_xlfn.XLOOKUP(C1379,'Project Details'!$C$17:$C$10003,'Project Details'!$E$17:$E$10003, "",0),dd_design_raw!$A$2:$A$9997,dd_design_raw!$C$2:$C$9997,"",0)</f>
        <v>0</v>
      </c>
      <c r="C1379" s="16"/>
      <c r="D1379" s="16"/>
      <c r="E1379" s="16" t="str" cm="1">
        <f t="array" ref="E1379">IF(C1379&lt;&gt;"", _xlfn.XLOOKUP(1,((SKUs!$A$2:$A$10001=cl_unmerged!B1379) * (LEFT(SKUs!$J$2:$J$10001, LEN("Sliding Bar"))="Sliding Bar")), SKUs!$J$2:$J$10001,""),"")</f>
        <v/>
      </c>
      <c r="F1379" s="33" t="str" cm="1">
        <f t="array" ref="F1379">_xlfn.XLOOKUP(1,((SKUs!$A$2:$A$10001=cl_unmerged!B1379) * (LEFT(SKUs!$J$2:$J$10001, LEN("Sliding Bar"))="Sliding Bar") * (ISNUMBER(SEARCH(A1379,SKUs!$C$2:$C$10001)))), SKUs!$C$2:$C$10001,"")</f>
        <v/>
      </c>
      <c r="G1379" s="16"/>
      <c r="H1379" s="16"/>
      <c r="I1379" s="16"/>
    </row>
    <row r="1380" spans="1:9" ht="13.5" customHeight="1" x14ac:dyDescent="0.25">
      <c r="A1380" s="41" t="str">
        <f>_xlfn.XLOOKUP(G1380,dd_color!$A$2:$A$8,dd_color!$B$2:$B$8,"",0)</f>
        <v/>
      </c>
      <c r="B1380" s="41">
        <f>_xlfn.XLOOKUP(_xlfn.XLOOKUP(C1380,'Project Details'!$C$17:$C$10003,'Project Details'!$E$17:$E$10003, "",0),dd_design_raw!$A$2:$A$9997,dd_design_raw!$C$2:$C$9997,"",0)</f>
        <v>0</v>
      </c>
      <c r="C1380" s="16"/>
      <c r="D1380" s="16"/>
      <c r="E1380" s="16" t="str" cm="1">
        <f t="array" ref="E1380">IF(C1380&lt;&gt;"", _xlfn.XLOOKUP(1,((SKUs!$A$2:$A$10001=cl_unmerged!B1380) * (LEFT(SKUs!$J$2:$J$10001, LEN("Sliding Bar"))="Sliding Bar")), SKUs!$J$2:$J$10001,""),"")</f>
        <v/>
      </c>
      <c r="F1380" s="33" t="str" cm="1">
        <f t="array" ref="F1380">_xlfn.XLOOKUP(1,((SKUs!$A$2:$A$10001=cl_unmerged!B1380) * (LEFT(SKUs!$J$2:$J$10001, LEN("Sliding Bar"))="Sliding Bar") * (ISNUMBER(SEARCH(A1380,SKUs!$C$2:$C$10001)))), SKUs!$C$2:$C$10001,"")</f>
        <v/>
      </c>
      <c r="G1380" s="16"/>
      <c r="H1380" s="16"/>
      <c r="I1380" s="16"/>
    </row>
    <row r="1381" spans="1:9" ht="13.5" customHeight="1" x14ac:dyDescent="0.25">
      <c r="A1381" s="41" t="str">
        <f>_xlfn.XLOOKUP(G1381,dd_color!$A$2:$A$8,dd_color!$B$2:$B$8,"",0)</f>
        <v/>
      </c>
      <c r="B1381" s="41">
        <f>_xlfn.XLOOKUP(_xlfn.XLOOKUP(C1381,'Project Details'!$C$17:$C$10003,'Project Details'!$E$17:$E$10003, "",0),dd_design_raw!$A$2:$A$9997,dd_design_raw!$C$2:$C$9997,"",0)</f>
        <v>0</v>
      </c>
      <c r="C1381" s="16"/>
      <c r="D1381" s="16"/>
      <c r="E1381" s="16" t="str" cm="1">
        <f t="array" ref="E1381">IF(C1381&lt;&gt;"", _xlfn.XLOOKUP(1,((SKUs!$A$2:$A$10001=cl_unmerged!B1381) * (LEFT(SKUs!$J$2:$J$10001, LEN("Sliding Bar"))="Sliding Bar")), SKUs!$J$2:$J$10001,""),"")</f>
        <v/>
      </c>
      <c r="F1381" s="33" t="str" cm="1">
        <f t="array" ref="F1381">_xlfn.XLOOKUP(1,((SKUs!$A$2:$A$10001=cl_unmerged!B1381) * (LEFT(SKUs!$J$2:$J$10001, LEN("Sliding Bar"))="Sliding Bar") * (ISNUMBER(SEARCH(A1381,SKUs!$C$2:$C$10001)))), SKUs!$C$2:$C$10001,"")</f>
        <v/>
      </c>
      <c r="G1381" s="16"/>
      <c r="H1381" s="16"/>
      <c r="I1381" s="16"/>
    </row>
    <row r="1382" spans="1:9" x14ac:dyDescent="0.25">
      <c r="C1382" s="28" t="s">
        <v>889</v>
      </c>
      <c r="D1382" s="29"/>
      <c r="E1382" s="29"/>
      <c r="F1382" s="29"/>
      <c r="G1382" s="29"/>
      <c r="H1382" s="29"/>
      <c r="I1382" s="30"/>
    </row>
    <row r="1383" spans="1:9" x14ac:dyDescent="0.25">
      <c r="A1383" s="41" t="str">
        <f>_xlfn.XLOOKUP(G1383,dd_color!$A$2:$A$8,dd_color!$B$2:$B$8,"",0)</f>
        <v/>
      </c>
      <c r="B1383" s="41" t="str">
        <f>_xlfn.XLOOKUP(_xlfn.XLOOKUP(C1383,'Project Details'!$C$17:$C$10003,'Project Details'!$E$17:$E$10003, "",0),dd_design_raw!$A$2:$A$9997,dd_design_raw!$C$2:$C$9997,"",0)</f>
        <v/>
      </c>
      <c r="C1383" s="16" t="str" cm="1">
        <f t="array" ref="C1383">IFERROR(_xlfn._xlws.FILTER(calc_rusacc!C15:C65,(calc_rusacc!E15:E65&lt;&gt;"Accordion Screen") * (calc_rusacc!D15:D65&lt;&gt;"")),"")</f>
        <v/>
      </c>
      <c r="D1383" s="16" t="str" cm="1">
        <f t="array" ref="D1383">IFERROR(_xlfn._xlws.FILTER(calc_rusacc!V15:V65,(calc_rusacc!E15:E65&lt;&gt;"Accordion Screen") * (calc_rusacc!D15:D65&lt;&gt;"")),"")</f>
        <v/>
      </c>
      <c r="E1383" s="16" t="str" cm="1">
        <f t="array" ref="E1383">IF(C1383&lt;&gt;"", _xlfn.XLOOKUP(1,((SKUs!$A$2:$A$10001=cl_unmerged!B1322) * (LEFT(SKUs!$J$2:$J$10001, LEN("Side Guide"))="Side Guide")), SKUs!$J$2:$J$10001,""),"")</f>
        <v/>
      </c>
      <c r="F1383" s="33" t="str" cm="1">
        <f t="array" ref="F1383">_xlfn.XLOOKUP(1,((SKUs!$A$2:$A$10001=cl_unmerged!B1383) * (LEFT(SKUs!$J$2:$J$10001, LEN("Side Guide"))="Side Guide") * (ISNUMBER(SEARCH(A1383,SKUs!$C$2:$C$10001)))), SKUs!$C$2:$C$10001,"")</f>
        <v/>
      </c>
      <c r="G1383" s="16" t="str" cm="1">
        <f t="array" ref="G1383">IFERROR(_xlfn._xlws.FILTER(calc_rusacc!G15:G65,(calc_rusacc!E15:E65&lt;&gt;"Accordion Screen") * (calc_rusacc!D15:D65&lt;&gt;"")),"")</f>
        <v/>
      </c>
      <c r="H1383" s="16" t="str" cm="1">
        <f t="array" ref="H1383">IFERROR(_xlfn._xlws.FILTER(calc_rusacc!U15:U65,(calc_rusacc!E15:E65&lt;&gt;"Accordion Screen") * (calc_rusacc!D15:D65&lt;&gt;"")),"")</f>
        <v/>
      </c>
      <c r="I1383" s="16"/>
    </row>
    <row r="1384" spans="1:9" x14ac:dyDescent="0.25">
      <c r="A1384" s="41" t="str">
        <f>_xlfn.XLOOKUP(G1384,dd_color!$A$2:$A$8,dd_color!$B$2:$B$8,"",0)</f>
        <v/>
      </c>
      <c r="B1384" s="41">
        <f>_xlfn.XLOOKUP(_xlfn.XLOOKUP(C1384,'Project Details'!$C$17:$C$10003,'Project Details'!$E$17:$E$10003, "",0),dd_design_raw!$A$2:$A$9997,dd_design_raw!$C$2:$C$9997,"",0)</f>
        <v>0</v>
      </c>
      <c r="C1384" s="16"/>
      <c r="D1384" s="16"/>
      <c r="E1384" s="16" t="str" cm="1">
        <f t="array" ref="E1384">IF(C1384&lt;&gt;"", _xlfn.XLOOKUP(1,((SKUs!$A$2:$A$10001=cl_unmerged!B1323) * (LEFT(SKUs!$J$2:$J$10001, LEN("Side Guide"))="Side Guide")), SKUs!$J$2:$J$10001,""),"")</f>
        <v/>
      </c>
      <c r="F1384" s="33" t="str" cm="1">
        <f t="array" ref="F1384">_xlfn.XLOOKUP(1,((SKUs!$A$2:$A$10001=cl_unmerged!B1384) * (LEFT(SKUs!$J$2:$J$10001, LEN("Side Guide"))="Side Guide") * (ISNUMBER(SEARCH(A1384,SKUs!$C$2:$C$10001)))), SKUs!$C$2:$C$10001,"")</f>
        <v/>
      </c>
      <c r="G1384" s="16"/>
      <c r="H1384" s="16"/>
      <c r="I1384" s="16"/>
    </row>
    <row r="1385" spans="1:9" x14ac:dyDescent="0.25">
      <c r="A1385" s="41" t="str">
        <f>_xlfn.XLOOKUP(G1385,dd_color!$A$2:$A$8,dd_color!$B$2:$B$8,"",0)</f>
        <v/>
      </c>
      <c r="B1385" s="41">
        <f>_xlfn.XLOOKUP(_xlfn.XLOOKUP(C1385,'Project Details'!$C$17:$C$10003,'Project Details'!$E$17:$E$10003, "",0),dd_design_raw!$A$2:$A$9997,dd_design_raw!$C$2:$C$9997,"",0)</f>
        <v>0</v>
      </c>
      <c r="C1385" s="16"/>
      <c r="D1385" s="16"/>
      <c r="E1385" s="16" t="str" cm="1">
        <f t="array" ref="E1385">IF(C1385&lt;&gt;"", _xlfn.XLOOKUP(1,((SKUs!$A$2:$A$10001=cl_unmerged!B1324) * (LEFT(SKUs!$J$2:$J$10001, LEN("Side Guide"))="Side Guide")), SKUs!$J$2:$J$10001,""),"")</f>
        <v/>
      </c>
      <c r="F1385" s="33" t="str" cm="1">
        <f t="array" ref="F1385">_xlfn.XLOOKUP(1,((SKUs!$A$2:$A$10001=cl_unmerged!B1385) * (LEFT(SKUs!$J$2:$J$10001, LEN("Side Guide"))="Side Guide") * (ISNUMBER(SEARCH(A1385,SKUs!$C$2:$C$10001)))), SKUs!$C$2:$C$10001,"")</f>
        <v/>
      </c>
      <c r="G1385" s="16"/>
      <c r="H1385" s="16"/>
      <c r="I1385" s="16"/>
    </row>
    <row r="1386" spans="1:9" x14ac:dyDescent="0.25">
      <c r="A1386" s="41" t="str">
        <f>_xlfn.XLOOKUP(G1386,dd_color!$A$2:$A$8,dd_color!$B$2:$B$8,"",0)</f>
        <v/>
      </c>
      <c r="B1386" s="41">
        <f>_xlfn.XLOOKUP(_xlfn.XLOOKUP(C1386,'Project Details'!$C$17:$C$10003,'Project Details'!$E$17:$E$10003, "",0),dd_design_raw!$A$2:$A$9997,dd_design_raw!$C$2:$C$9997,"",0)</f>
        <v>0</v>
      </c>
      <c r="C1386" s="16"/>
      <c r="D1386" s="16"/>
      <c r="E1386" s="16" t="str" cm="1">
        <f t="array" ref="E1386">IF(C1386&lt;&gt;"", _xlfn.XLOOKUP(1,((SKUs!$A$2:$A$10001=cl_unmerged!B1325) * (LEFT(SKUs!$J$2:$J$10001, LEN("Side Guide"))="Side Guide")), SKUs!$J$2:$J$10001,""),"")</f>
        <v/>
      </c>
      <c r="F1386" s="33" t="str" cm="1">
        <f t="array" ref="F1386">_xlfn.XLOOKUP(1,((SKUs!$A$2:$A$10001=cl_unmerged!B1386) * (LEFT(SKUs!$J$2:$J$10001, LEN("Side Guide"))="Side Guide") * (ISNUMBER(SEARCH(A1386,SKUs!$C$2:$C$10001)))), SKUs!$C$2:$C$10001,"")</f>
        <v/>
      </c>
      <c r="G1386" s="16"/>
      <c r="H1386" s="16"/>
      <c r="I1386" s="16"/>
    </row>
    <row r="1387" spans="1:9" x14ac:dyDescent="0.25">
      <c r="A1387" s="41" t="str">
        <f>_xlfn.XLOOKUP(G1387,dd_color!$A$2:$A$8,dd_color!$B$2:$B$8,"",0)</f>
        <v/>
      </c>
      <c r="B1387" s="41">
        <f>_xlfn.XLOOKUP(_xlfn.XLOOKUP(C1387,'Project Details'!$C$17:$C$10003,'Project Details'!$E$17:$E$10003, "",0),dd_design_raw!$A$2:$A$9997,dd_design_raw!$C$2:$C$9997,"",0)</f>
        <v>0</v>
      </c>
      <c r="C1387" s="16"/>
      <c r="D1387" s="16"/>
      <c r="E1387" s="16" t="str" cm="1">
        <f t="array" ref="E1387">IF(C1387&lt;&gt;"", _xlfn.XLOOKUP(1,((SKUs!$A$2:$A$10001=cl_unmerged!B1326) * (LEFT(SKUs!$J$2:$J$10001, LEN("Side Guide"))="Side Guide")), SKUs!$J$2:$J$10001,""),"")</f>
        <v/>
      </c>
      <c r="F1387" s="33" t="str" cm="1">
        <f t="array" ref="F1387">_xlfn.XLOOKUP(1,((SKUs!$A$2:$A$10001=cl_unmerged!B1387) * (LEFT(SKUs!$J$2:$J$10001, LEN("Side Guide"))="Side Guide") * (ISNUMBER(SEARCH(A1387,SKUs!$C$2:$C$10001)))), SKUs!$C$2:$C$10001,"")</f>
        <v/>
      </c>
      <c r="G1387" s="16"/>
      <c r="H1387" s="16"/>
      <c r="I1387" s="16"/>
    </row>
    <row r="1388" spans="1:9" x14ac:dyDescent="0.25">
      <c r="A1388" s="41" t="str">
        <f>_xlfn.XLOOKUP(G1388,dd_color!$A$2:$A$8,dd_color!$B$2:$B$8,"",0)</f>
        <v/>
      </c>
      <c r="B1388" s="41">
        <f>_xlfn.XLOOKUP(_xlfn.XLOOKUP(C1388,'Project Details'!$C$17:$C$10003,'Project Details'!$E$17:$E$10003, "",0),dd_design_raw!$A$2:$A$9997,dd_design_raw!$C$2:$C$9997,"",0)</f>
        <v>0</v>
      </c>
      <c r="C1388" s="16"/>
      <c r="D1388" s="16"/>
      <c r="E1388" s="16" t="str" cm="1">
        <f t="array" ref="E1388">IF(C1388&lt;&gt;"", _xlfn.XLOOKUP(1,((SKUs!$A$2:$A$10001=cl_unmerged!B1327) * (LEFT(SKUs!$J$2:$J$10001, LEN("Side Guide"))="Side Guide")), SKUs!$J$2:$J$10001,""),"")</f>
        <v/>
      </c>
      <c r="F1388" s="33" t="str" cm="1">
        <f t="array" ref="F1388">_xlfn.XLOOKUP(1,((SKUs!$A$2:$A$10001=cl_unmerged!B1388) * (LEFT(SKUs!$J$2:$J$10001, LEN("Side Guide"))="Side Guide") * (ISNUMBER(SEARCH(A1388,SKUs!$C$2:$C$10001)))), SKUs!$C$2:$C$10001,"")</f>
        <v/>
      </c>
      <c r="G1388" s="16"/>
      <c r="H1388" s="16"/>
      <c r="I1388" s="16"/>
    </row>
    <row r="1389" spans="1:9" x14ac:dyDescent="0.25">
      <c r="A1389" s="41" t="str">
        <f>_xlfn.XLOOKUP(G1389,dd_color!$A$2:$A$8,dd_color!$B$2:$B$8,"",0)</f>
        <v/>
      </c>
      <c r="B1389" s="41">
        <f>_xlfn.XLOOKUP(_xlfn.XLOOKUP(C1389,'Project Details'!$C$17:$C$10003,'Project Details'!$E$17:$E$10003, "",0),dd_design_raw!$A$2:$A$9997,dd_design_raw!$C$2:$C$9997,"",0)</f>
        <v>0</v>
      </c>
      <c r="C1389" s="16"/>
      <c r="D1389" s="16"/>
      <c r="E1389" s="16" t="str" cm="1">
        <f t="array" ref="E1389">IF(C1389&lt;&gt;"", _xlfn.XLOOKUP(1,((SKUs!$A$2:$A$10001=cl_unmerged!B1328) * (LEFT(SKUs!$J$2:$J$10001, LEN("Side Guide"))="Side Guide")), SKUs!$J$2:$J$10001,""),"")</f>
        <v/>
      </c>
      <c r="F1389" s="33" t="str" cm="1">
        <f t="array" ref="F1389">_xlfn.XLOOKUP(1,((SKUs!$A$2:$A$10001=cl_unmerged!B1389) * (LEFT(SKUs!$J$2:$J$10001, LEN("Side Guide"))="Side Guide") * (ISNUMBER(SEARCH(A1389,SKUs!$C$2:$C$10001)))), SKUs!$C$2:$C$10001,"")</f>
        <v/>
      </c>
      <c r="G1389" s="16"/>
      <c r="H1389" s="16"/>
      <c r="I1389" s="16"/>
    </row>
    <row r="1390" spans="1:9" x14ac:dyDescent="0.25">
      <c r="A1390" s="41" t="str">
        <f>_xlfn.XLOOKUP(G1390,dd_color!$A$2:$A$8,dd_color!$B$2:$B$8,"",0)</f>
        <v/>
      </c>
      <c r="B1390" s="41">
        <f>_xlfn.XLOOKUP(_xlfn.XLOOKUP(C1390,'Project Details'!$C$17:$C$10003,'Project Details'!$E$17:$E$10003, "",0),dd_design_raw!$A$2:$A$9997,dd_design_raw!$C$2:$C$9997,"",0)</f>
        <v>0</v>
      </c>
      <c r="C1390" s="16"/>
      <c r="D1390" s="16"/>
      <c r="E1390" s="16" t="str" cm="1">
        <f t="array" ref="E1390">IF(C1390&lt;&gt;"", _xlfn.XLOOKUP(1,((SKUs!$A$2:$A$10001=cl_unmerged!B1329) * (LEFT(SKUs!$J$2:$J$10001, LEN("Side Guide"))="Side Guide")), SKUs!$J$2:$J$10001,""),"")</f>
        <v/>
      </c>
      <c r="F1390" s="33" t="str" cm="1">
        <f t="array" ref="F1390">_xlfn.XLOOKUP(1,((SKUs!$A$2:$A$10001=cl_unmerged!B1390) * (LEFT(SKUs!$J$2:$J$10001, LEN("Side Guide"))="Side Guide") * (ISNUMBER(SEARCH(A1390,SKUs!$C$2:$C$10001)))), SKUs!$C$2:$C$10001,"")</f>
        <v/>
      </c>
      <c r="G1390" s="16"/>
      <c r="H1390" s="16"/>
      <c r="I1390" s="16"/>
    </row>
    <row r="1391" spans="1:9" x14ac:dyDescent="0.25">
      <c r="A1391" s="41" t="str">
        <f>_xlfn.XLOOKUP(G1391,dd_color!$A$2:$A$8,dd_color!$B$2:$B$8,"",0)</f>
        <v/>
      </c>
      <c r="B1391" s="41">
        <f>_xlfn.XLOOKUP(_xlfn.XLOOKUP(C1391,'Project Details'!$C$17:$C$10003,'Project Details'!$E$17:$E$10003, "",0),dd_design_raw!$A$2:$A$9997,dd_design_raw!$C$2:$C$9997,"",0)</f>
        <v>0</v>
      </c>
      <c r="C1391" s="16"/>
      <c r="D1391" s="16"/>
      <c r="E1391" s="16" t="str" cm="1">
        <f t="array" ref="E1391">IF(C1391&lt;&gt;"", _xlfn.XLOOKUP(1,((SKUs!$A$2:$A$10001=cl_unmerged!B1330) * (LEFT(SKUs!$J$2:$J$10001, LEN("Side Guide"))="Side Guide")), SKUs!$J$2:$J$10001,""),"")</f>
        <v/>
      </c>
      <c r="F1391" s="33" t="str" cm="1">
        <f t="array" ref="F1391">_xlfn.XLOOKUP(1,((SKUs!$A$2:$A$10001=cl_unmerged!B1391) * (LEFT(SKUs!$J$2:$J$10001, LEN("Side Guide"))="Side Guide") * (ISNUMBER(SEARCH(A1391,SKUs!$C$2:$C$10001)))), SKUs!$C$2:$C$10001,"")</f>
        <v/>
      </c>
      <c r="G1391" s="16"/>
      <c r="H1391" s="16"/>
      <c r="I1391" s="16"/>
    </row>
    <row r="1392" spans="1:9" x14ac:dyDescent="0.25">
      <c r="A1392" s="41" t="str">
        <f>_xlfn.XLOOKUP(G1392,dd_color!$A$2:$A$8,dd_color!$B$2:$B$8,"",0)</f>
        <v/>
      </c>
      <c r="B1392" s="41">
        <f>_xlfn.XLOOKUP(_xlfn.XLOOKUP(C1392,'Project Details'!$C$17:$C$10003,'Project Details'!$E$17:$E$10003, "",0),dd_design_raw!$A$2:$A$9997,dd_design_raw!$C$2:$C$9997,"",0)</f>
        <v>0</v>
      </c>
      <c r="C1392" s="16"/>
      <c r="D1392" s="16"/>
      <c r="E1392" s="16" t="str" cm="1">
        <f t="array" ref="E1392">IF(C1392&lt;&gt;"", _xlfn.XLOOKUP(1,((SKUs!$A$2:$A$10001=cl_unmerged!B1331) * (LEFT(SKUs!$J$2:$J$10001, LEN("Side Guide"))="Side Guide")), SKUs!$J$2:$J$10001,""),"")</f>
        <v/>
      </c>
      <c r="F1392" s="33" t="str" cm="1">
        <f t="array" ref="F1392">_xlfn.XLOOKUP(1,((SKUs!$A$2:$A$10001=cl_unmerged!B1392) * (LEFT(SKUs!$J$2:$J$10001, LEN("Side Guide"))="Side Guide") * (ISNUMBER(SEARCH(A1392,SKUs!$C$2:$C$10001)))), SKUs!$C$2:$C$10001,"")</f>
        <v/>
      </c>
      <c r="G1392" s="16"/>
      <c r="H1392" s="16"/>
      <c r="I1392" s="16"/>
    </row>
    <row r="1393" spans="1:9" x14ac:dyDescent="0.25">
      <c r="A1393" s="41" t="str">
        <f>_xlfn.XLOOKUP(G1393,dd_color!$A$2:$A$8,dd_color!$B$2:$B$8,"",0)</f>
        <v/>
      </c>
      <c r="B1393" s="41">
        <f>_xlfn.XLOOKUP(_xlfn.XLOOKUP(C1393,'Project Details'!$C$17:$C$10003,'Project Details'!$E$17:$E$10003, "",0),dd_design_raw!$A$2:$A$9997,dd_design_raw!$C$2:$C$9997,"",0)</f>
        <v>0</v>
      </c>
      <c r="C1393" s="16"/>
      <c r="D1393" s="16"/>
      <c r="E1393" s="16" t="str" cm="1">
        <f t="array" ref="E1393">IF(C1393&lt;&gt;"", _xlfn.XLOOKUP(1,((SKUs!$A$2:$A$10001=cl_unmerged!B1332) * (LEFT(SKUs!$J$2:$J$10001, LEN("Side Guide"))="Side Guide")), SKUs!$J$2:$J$10001,""),"")</f>
        <v/>
      </c>
      <c r="F1393" s="33" t="str" cm="1">
        <f t="array" ref="F1393">_xlfn.XLOOKUP(1,((SKUs!$A$2:$A$10001=cl_unmerged!B1393) * (LEFT(SKUs!$J$2:$J$10001, LEN("Side Guide"))="Side Guide") * (ISNUMBER(SEARCH(A1393,SKUs!$C$2:$C$10001)))), SKUs!$C$2:$C$10001,"")</f>
        <v/>
      </c>
      <c r="G1393" s="16"/>
      <c r="H1393" s="16"/>
      <c r="I1393" s="16"/>
    </row>
    <row r="1394" spans="1:9" x14ac:dyDescent="0.25">
      <c r="A1394" s="41" t="str">
        <f>_xlfn.XLOOKUP(G1394,dd_color!$A$2:$A$8,dd_color!$B$2:$B$8,"",0)</f>
        <v/>
      </c>
      <c r="B1394" s="41">
        <f>_xlfn.XLOOKUP(_xlfn.XLOOKUP(C1394,'Project Details'!$C$17:$C$10003,'Project Details'!$E$17:$E$10003, "",0),dd_design_raw!$A$2:$A$9997,dd_design_raw!$C$2:$C$9997,"",0)</f>
        <v>0</v>
      </c>
      <c r="C1394" s="16"/>
      <c r="D1394" s="16"/>
      <c r="E1394" s="16" t="str" cm="1">
        <f t="array" ref="E1394">IF(C1394&lt;&gt;"", _xlfn.XLOOKUP(1,((SKUs!$A$2:$A$10001=cl_unmerged!B1333) * (LEFT(SKUs!$J$2:$J$10001, LEN("Side Guide"))="Side Guide")), SKUs!$J$2:$J$10001,""),"")</f>
        <v/>
      </c>
      <c r="F1394" s="33" t="str" cm="1">
        <f t="array" ref="F1394">_xlfn.XLOOKUP(1,((SKUs!$A$2:$A$10001=cl_unmerged!B1394) * (LEFT(SKUs!$J$2:$J$10001, LEN("Side Guide"))="Side Guide") * (ISNUMBER(SEARCH(A1394,SKUs!$C$2:$C$10001)))), SKUs!$C$2:$C$10001,"")</f>
        <v/>
      </c>
      <c r="G1394" s="16"/>
      <c r="H1394" s="16"/>
      <c r="I1394" s="16"/>
    </row>
    <row r="1395" spans="1:9" x14ac:dyDescent="0.25">
      <c r="A1395" s="41" t="str">
        <f>_xlfn.XLOOKUP(G1395,dd_color!$A$2:$A$8,dd_color!$B$2:$B$8,"",0)</f>
        <v/>
      </c>
      <c r="B1395" s="41">
        <f>_xlfn.XLOOKUP(_xlfn.XLOOKUP(C1395,'Project Details'!$C$17:$C$10003,'Project Details'!$E$17:$E$10003, "",0),dd_design_raw!$A$2:$A$9997,dd_design_raw!$C$2:$C$9997,"",0)</f>
        <v>0</v>
      </c>
      <c r="C1395" s="16"/>
      <c r="D1395" s="16"/>
      <c r="E1395" s="16" t="str" cm="1">
        <f t="array" ref="E1395">IF(C1395&lt;&gt;"", _xlfn.XLOOKUP(1,((SKUs!$A$2:$A$10001=cl_unmerged!B1334) * (LEFT(SKUs!$J$2:$J$10001, LEN("Side Guide"))="Side Guide")), SKUs!$J$2:$J$10001,""),"")</f>
        <v/>
      </c>
      <c r="F1395" s="33" t="str" cm="1">
        <f t="array" ref="F1395">_xlfn.XLOOKUP(1,((SKUs!$A$2:$A$10001=cl_unmerged!B1395) * (LEFT(SKUs!$J$2:$J$10001, LEN("Side Guide"))="Side Guide") * (ISNUMBER(SEARCH(A1395,SKUs!$C$2:$C$10001)))), SKUs!$C$2:$C$10001,"")</f>
        <v/>
      </c>
      <c r="G1395" s="16"/>
      <c r="H1395" s="16"/>
      <c r="I1395" s="16"/>
    </row>
    <row r="1396" spans="1:9" x14ac:dyDescent="0.25">
      <c r="A1396" s="41" t="str">
        <f>_xlfn.XLOOKUP(G1396,dd_color!$A$2:$A$8,dd_color!$B$2:$B$8,"",0)</f>
        <v/>
      </c>
      <c r="B1396" s="41">
        <f>_xlfn.XLOOKUP(_xlfn.XLOOKUP(C1396,'Project Details'!$C$17:$C$10003,'Project Details'!$E$17:$E$10003, "",0),dd_design_raw!$A$2:$A$9997,dd_design_raw!$C$2:$C$9997,"",0)</f>
        <v>0</v>
      </c>
      <c r="C1396" s="16"/>
      <c r="D1396" s="16"/>
      <c r="E1396" s="16" t="str" cm="1">
        <f t="array" ref="E1396">IF(C1396&lt;&gt;"", _xlfn.XLOOKUP(1,((SKUs!$A$2:$A$10001=cl_unmerged!B1335) * (LEFT(SKUs!$J$2:$J$10001, LEN("Side Guide"))="Side Guide")), SKUs!$J$2:$J$10001,""),"")</f>
        <v/>
      </c>
      <c r="F1396" s="33" t="str" cm="1">
        <f t="array" ref="F1396">_xlfn.XLOOKUP(1,((SKUs!$A$2:$A$10001=cl_unmerged!B1396) * (LEFT(SKUs!$J$2:$J$10001, LEN("Side Guide"))="Side Guide") * (ISNUMBER(SEARCH(A1396,SKUs!$C$2:$C$10001)))), SKUs!$C$2:$C$10001,"")</f>
        <v/>
      </c>
      <c r="G1396" s="16"/>
      <c r="H1396" s="16"/>
      <c r="I1396" s="16"/>
    </row>
    <row r="1397" spans="1:9" x14ac:dyDescent="0.25">
      <c r="A1397" s="41" t="str">
        <f>_xlfn.XLOOKUP(G1397,dd_color!$A$2:$A$8,dd_color!$B$2:$B$8,"",0)</f>
        <v/>
      </c>
      <c r="B1397" s="41">
        <f>_xlfn.XLOOKUP(_xlfn.XLOOKUP(C1397,'Project Details'!$C$17:$C$10003,'Project Details'!$E$17:$E$10003, "",0),dd_design_raw!$A$2:$A$9997,dd_design_raw!$C$2:$C$9997,"",0)</f>
        <v>0</v>
      </c>
      <c r="C1397" s="16"/>
      <c r="D1397" s="16"/>
      <c r="E1397" s="16" t="str" cm="1">
        <f t="array" ref="E1397">IF(C1397&lt;&gt;"", _xlfn.XLOOKUP(1,((SKUs!$A$2:$A$10001=cl_unmerged!B1336) * (LEFT(SKUs!$J$2:$J$10001, LEN("Side Guide"))="Side Guide")), SKUs!$J$2:$J$10001,""),"")</f>
        <v/>
      </c>
      <c r="F1397" s="33" t="str" cm="1">
        <f t="array" ref="F1397">_xlfn.XLOOKUP(1,((SKUs!$A$2:$A$10001=cl_unmerged!B1397) * (LEFT(SKUs!$J$2:$J$10001, LEN("Side Guide"))="Side Guide") * (ISNUMBER(SEARCH(A1397,SKUs!$C$2:$C$10001)))), SKUs!$C$2:$C$10001,"")</f>
        <v/>
      </c>
      <c r="G1397" s="16"/>
      <c r="H1397" s="16"/>
      <c r="I1397" s="16"/>
    </row>
    <row r="1398" spans="1:9" x14ac:dyDescent="0.25">
      <c r="A1398" s="41" t="str">
        <f>_xlfn.XLOOKUP(G1398,dd_color!$A$2:$A$8,dd_color!$B$2:$B$8,"",0)</f>
        <v/>
      </c>
      <c r="B1398" s="41">
        <f>_xlfn.XLOOKUP(_xlfn.XLOOKUP(C1398,'Project Details'!$C$17:$C$10003,'Project Details'!$E$17:$E$10003, "",0),dd_design_raw!$A$2:$A$9997,dd_design_raw!$C$2:$C$9997,"",0)</f>
        <v>0</v>
      </c>
      <c r="C1398" s="16"/>
      <c r="D1398" s="16"/>
      <c r="E1398" s="16" t="str" cm="1">
        <f t="array" ref="E1398">IF(C1398&lt;&gt;"", _xlfn.XLOOKUP(1,((SKUs!$A$2:$A$10001=cl_unmerged!B1337) * (LEFT(SKUs!$J$2:$J$10001, LEN("Side Guide"))="Side Guide")), SKUs!$J$2:$J$10001,""),"")</f>
        <v/>
      </c>
      <c r="F1398" s="33" t="str" cm="1">
        <f t="array" ref="F1398">_xlfn.XLOOKUP(1,((SKUs!$A$2:$A$10001=cl_unmerged!B1398) * (LEFT(SKUs!$J$2:$J$10001, LEN("Side Guide"))="Side Guide") * (ISNUMBER(SEARCH(A1398,SKUs!$C$2:$C$10001)))), SKUs!$C$2:$C$10001,"")</f>
        <v/>
      </c>
      <c r="G1398" s="16"/>
      <c r="H1398" s="16"/>
      <c r="I1398" s="16"/>
    </row>
    <row r="1399" spans="1:9" x14ac:dyDescent="0.25">
      <c r="A1399" s="41" t="str">
        <f>_xlfn.XLOOKUP(G1399,dd_color!$A$2:$A$8,dd_color!$B$2:$B$8,"",0)</f>
        <v/>
      </c>
      <c r="B1399" s="41">
        <f>_xlfn.XLOOKUP(_xlfn.XLOOKUP(C1399,'Project Details'!$C$17:$C$10003,'Project Details'!$E$17:$E$10003, "",0),dd_design_raw!$A$2:$A$9997,dd_design_raw!$C$2:$C$9997,"",0)</f>
        <v>0</v>
      </c>
      <c r="C1399" s="16"/>
      <c r="D1399" s="16"/>
      <c r="E1399" s="16" t="str" cm="1">
        <f t="array" ref="E1399">IF(C1399&lt;&gt;"", _xlfn.XLOOKUP(1,((SKUs!$A$2:$A$10001=cl_unmerged!B1338) * (LEFT(SKUs!$J$2:$J$10001, LEN("Side Guide"))="Side Guide")), SKUs!$J$2:$J$10001,""),"")</f>
        <v/>
      </c>
      <c r="F1399" s="33" t="str" cm="1">
        <f t="array" ref="F1399">_xlfn.XLOOKUP(1,((SKUs!$A$2:$A$10001=cl_unmerged!B1399) * (LEFT(SKUs!$J$2:$J$10001, LEN("Side Guide"))="Side Guide") * (ISNUMBER(SEARCH(A1399,SKUs!$C$2:$C$10001)))), SKUs!$C$2:$C$10001,"")</f>
        <v/>
      </c>
      <c r="G1399" s="16"/>
      <c r="H1399" s="16"/>
      <c r="I1399" s="16"/>
    </row>
    <row r="1400" spans="1:9" x14ac:dyDescent="0.25">
      <c r="A1400" s="41" t="str">
        <f>_xlfn.XLOOKUP(G1400,dd_color!$A$2:$A$8,dd_color!$B$2:$B$8,"",0)</f>
        <v/>
      </c>
      <c r="B1400" s="41">
        <f>_xlfn.XLOOKUP(_xlfn.XLOOKUP(C1400,'Project Details'!$C$17:$C$10003,'Project Details'!$E$17:$E$10003, "",0),dd_design_raw!$A$2:$A$9997,dd_design_raw!$C$2:$C$9997,"",0)</f>
        <v>0</v>
      </c>
      <c r="C1400" s="16"/>
      <c r="D1400" s="16"/>
      <c r="E1400" s="16" t="str" cm="1">
        <f t="array" ref="E1400">IF(C1400&lt;&gt;"", _xlfn.XLOOKUP(1,((SKUs!$A$2:$A$10001=cl_unmerged!B1339) * (LEFT(SKUs!$J$2:$J$10001, LEN("Side Guide"))="Side Guide")), SKUs!$J$2:$J$10001,""),"")</f>
        <v/>
      </c>
      <c r="F1400" s="33" t="str" cm="1">
        <f t="array" ref="F1400">_xlfn.XLOOKUP(1,((SKUs!$A$2:$A$10001=cl_unmerged!B1400) * (LEFT(SKUs!$J$2:$J$10001, LEN("Side Guide"))="Side Guide") * (ISNUMBER(SEARCH(A1400,SKUs!$C$2:$C$10001)))), SKUs!$C$2:$C$10001,"")</f>
        <v/>
      </c>
      <c r="G1400" s="16"/>
      <c r="H1400" s="16"/>
      <c r="I1400" s="16"/>
    </row>
    <row r="1401" spans="1:9" x14ac:dyDescent="0.25">
      <c r="A1401" s="41" t="str">
        <f>_xlfn.XLOOKUP(G1401,dd_color!$A$2:$A$8,dd_color!$B$2:$B$8,"",0)</f>
        <v/>
      </c>
      <c r="B1401" s="41">
        <f>_xlfn.XLOOKUP(_xlfn.XLOOKUP(C1401,'Project Details'!$C$17:$C$10003,'Project Details'!$E$17:$E$10003, "",0),dd_design_raw!$A$2:$A$9997,dd_design_raw!$C$2:$C$9997,"",0)</f>
        <v>0</v>
      </c>
      <c r="C1401" s="16"/>
      <c r="D1401" s="16"/>
      <c r="E1401" s="16" t="str" cm="1">
        <f t="array" ref="E1401">IF(C1401&lt;&gt;"", _xlfn.XLOOKUP(1,((SKUs!$A$2:$A$10001=cl_unmerged!B1340) * (LEFT(SKUs!$J$2:$J$10001, LEN("Side Guide"))="Side Guide")), SKUs!$J$2:$J$10001,""),"")</f>
        <v/>
      </c>
      <c r="F1401" s="33" t="str" cm="1">
        <f t="array" ref="F1401">_xlfn.XLOOKUP(1,((SKUs!$A$2:$A$10001=cl_unmerged!B1401) * (LEFT(SKUs!$J$2:$J$10001, LEN("Side Guide"))="Side Guide") * (ISNUMBER(SEARCH(A1401,SKUs!$C$2:$C$10001)))), SKUs!$C$2:$C$10001,"")</f>
        <v/>
      </c>
      <c r="G1401" s="16"/>
      <c r="H1401" s="16"/>
      <c r="I1401" s="16"/>
    </row>
    <row r="1402" spans="1:9" ht="13.5" customHeight="1" x14ac:dyDescent="0.25">
      <c r="A1402" s="41" t="str">
        <f>_xlfn.XLOOKUP(G1402,dd_color!$A$2:$A$8,dd_color!$B$2:$B$8,"",0)</f>
        <v/>
      </c>
      <c r="B1402" s="41">
        <f>_xlfn.XLOOKUP(_xlfn.XLOOKUP(C1402,'Project Details'!$C$17:$C$10003,'Project Details'!$E$17:$E$10003, "",0),dd_design_raw!$A$2:$A$9997,dd_design_raw!$C$2:$C$9997,"",0)</f>
        <v>0</v>
      </c>
      <c r="C1402" s="16"/>
      <c r="D1402" s="16"/>
      <c r="E1402" s="16" t="str" cm="1">
        <f t="array" ref="E1402">IF(C1402&lt;&gt;"", _xlfn.XLOOKUP(1,((SKUs!$A$2:$A$10001=cl_unmerged!B1341) * (LEFT(SKUs!$J$2:$J$10001, LEN("Side Guide"))="Side Guide")), SKUs!$J$2:$J$10001,""),"")</f>
        <v/>
      </c>
      <c r="F1402" s="33" t="str" cm="1">
        <f t="array" ref="F1402">_xlfn.XLOOKUP(1,((SKUs!$A$2:$A$10001=cl_unmerged!B1402) * (LEFT(SKUs!$J$2:$J$10001, LEN("Side Guide"))="Side Guide") * (ISNUMBER(SEARCH(A1402,SKUs!$C$2:$C$10001)))), SKUs!$C$2:$C$10001,"")</f>
        <v/>
      </c>
      <c r="G1402" s="16"/>
      <c r="H1402" s="16"/>
      <c r="I1402" s="16"/>
    </row>
    <row r="1403" spans="1:9" ht="13.5" customHeight="1" x14ac:dyDescent="0.25">
      <c r="A1403" s="41" t="str">
        <f>_xlfn.XLOOKUP(G1403,dd_color!$A$2:$A$8,dd_color!$B$2:$B$8,"",0)</f>
        <v/>
      </c>
      <c r="B1403" s="41">
        <f>_xlfn.XLOOKUP(_xlfn.XLOOKUP(C1403,'Project Details'!$C$17:$C$10003,'Project Details'!$E$17:$E$10003, "",0),dd_design_raw!$A$2:$A$9997,dd_design_raw!$C$2:$C$9997,"",0)</f>
        <v>0</v>
      </c>
      <c r="C1403" s="16"/>
      <c r="D1403" s="16"/>
      <c r="E1403" s="16" t="str" cm="1">
        <f t="array" ref="E1403">IF(C1403&lt;&gt;"", _xlfn.XLOOKUP(1,((SKUs!$A$2:$A$10001=cl_unmerged!B1342) * (LEFT(SKUs!$J$2:$J$10001, LEN("Side Guide"))="Side Guide")), SKUs!$J$2:$J$10001,""),"")</f>
        <v/>
      </c>
      <c r="F1403" s="33" t="str" cm="1">
        <f t="array" ref="F1403">_xlfn.XLOOKUP(1,((SKUs!$A$2:$A$10001=cl_unmerged!B1403) * (LEFT(SKUs!$J$2:$J$10001, LEN("Side Guide"))="Side Guide") * (ISNUMBER(SEARCH(A1403,SKUs!$C$2:$C$10001)))), SKUs!$C$2:$C$10001,"")</f>
        <v/>
      </c>
      <c r="G1403" s="16"/>
      <c r="H1403" s="16"/>
      <c r="I1403" s="16"/>
    </row>
    <row r="1404" spans="1:9" ht="13.5" customHeight="1" x14ac:dyDescent="0.25">
      <c r="A1404" s="41" t="str">
        <f>_xlfn.XLOOKUP(G1404,dd_color!$A$2:$A$8,dd_color!$B$2:$B$8,"",0)</f>
        <v/>
      </c>
      <c r="B1404" s="41">
        <f>_xlfn.XLOOKUP(_xlfn.XLOOKUP(C1404,'Project Details'!$C$17:$C$10003,'Project Details'!$E$17:$E$10003, "",0),dd_design_raw!$A$2:$A$9997,dd_design_raw!$C$2:$C$9997,"",0)</f>
        <v>0</v>
      </c>
      <c r="C1404" s="16"/>
      <c r="D1404" s="16"/>
      <c r="E1404" s="16" t="str" cm="1">
        <f t="array" ref="E1404">IF(C1404&lt;&gt;"", _xlfn.XLOOKUP(1,((SKUs!$A$2:$A$10001=cl_unmerged!B1343) * (LEFT(SKUs!$J$2:$J$10001, LEN("Side Guide"))="Side Guide")), SKUs!$J$2:$J$10001,""),"")</f>
        <v/>
      </c>
      <c r="F1404" s="33" t="str" cm="1">
        <f t="array" ref="F1404">_xlfn.XLOOKUP(1,((SKUs!$A$2:$A$10001=cl_unmerged!B1404) * (LEFT(SKUs!$J$2:$J$10001, LEN("Side Guide"))="Side Guide") * (ISNUMBER(SEARCH(A1404,SKUs!$C$2:$C$10001)))), SKUs!$C$2:$C$10001,"")</f>
        <v/>
      </c>
      <c r="G1404" s="16"/>
      <c r="H1404" s="16"/>
      <c r="I1404" s="16"/>
    </row>
    <row r="1405" spans="1:9" ht="13.5" customHeight="1" x14ac:dyDescent="0.25">
      <c r="A1405" s="41" t="str">
        <f>_xlfn.XLOOKUP(G1405,dd_color!$A$2:$A$8,dd_color!$B$2:$B$8,"",0)</f>
        <v/>
      </c>
      <c r="B1405" s="41">
        <f>_xlfn.XLOOKUP(_xlfn.XLOOKUP(C1405,'Project Details'!$C$17:$C$10003,'Project Details'!$E$17:$E$10003, "",0),dd_design_raw!$A$2:$A$9997,dd_design_raw!$C$2:$C$9997,"",0)</f>
        <v>0</v>
      </c>
      <c r="C1405" s="16"/>
      <c r="D1405" s="16"/>
      <c r="E1405" s="16" t="str" cm="1">
        <f t="array" ref="E1405">IF(C1405&lt;&gt;"", _xlfn.XLOOKUP(1,((SKUs!$A$2:$A$10001=cl_unmerged!B1344) * (LEFT(SKUs!$J$2:$J$10001, LEN("Side Guide"))="Side Guide")), SKUs!$J$2:$J$10001,""),"")</f>
        <v/>
      </c>
      <c r="F1405" s="33" t="str" cm="1">
        <f t="array" ref="F1405">_xlfn.XLOOKUP(1,((SKUs!$A$2:$A$10001=cl_unmerged!B1405) * (LEFT(SKUs!$J$2:$J$10001, LEN("Side Guide"))="Side Guide") * (ISNUMBER(SEARCH(A1405,SKUs!$C$2:$C$10001)))), SKUs!$C$2:$C$10001,"")</f>
        <v/>
      </c>
      <c r="G1405" s="16"/>
      <c r="H1405" s="16"/>
      <c r="I1405" s="16"/>
    </row>
    <row r="1406" spans="1:9" ht="13.5" customHeight="1" x14ac:dyDescent="0.25">
      <c r="A1406" s="41" t="str">
        <f>_xlfn.XLOOKUP(G1406,dd_color!$A$2:$A$8,dd_color!$B$2:$B$8,"",0)</f>
        <v/>
      </c>
      <c r="B1406" s="41">
        <f>_xlfn.XLOOKUP(_xlfn.XLOOKUP(C1406,'Project Details'!$C$17:$C$10003,'Project Details'!$E$17:$E$10003, "",0),dd_design_raw!$A$2:$A$9997,dd_design_raw!$C$2:$C$9997,"",0)</f>
        <v>0</v>
      </c>
      <c r="C1406" s="16"/>
      <c r="D1406" s="16"/>
      <c r="E1406" s="16" t="str" cm="1">
        <f t="array" ref="E1406">IF(C1406&lt;&gt;"", _xlfn.XLOOKUP(1,((SKUs!$A$2:$A$10001=cl_unmerged!B1345) * (LEFT(SKUs!$J$2:$J$10001, LEN("Side Guide"))="Side Guide")), SKUs!$J$2:$J$10001,""),"")</f>
        <v/>
      </c>
      <c r="F1406" s="33" t="str" cm="1">
        <f t="array" ref="F1406">_xlfn.XLOOKUP(1,((SKUs!$A$2:$A$10001=cl_unmerged!B1406) * (LEFT(SKUs!$J$2:$J$10001, LEN("Side Guide"))="Side Guide") * (ISNUMBER(SEARCH(A1406,SKUs!$C$2:$C$10001)))), SKUs!$C$2:$C$10001,"")</f>
        <v/>
      </c>
      <c r="G1406" s="16"/>
      <c r="H1406" s="16"/>
      <c r="I1406" s="16"/>
    </row>
    <row r="1407" spans="1:9" ht="13.5" customHeight="1" x14ac:dyDescent="0.25">
      <c r="A1407" s="41" t="str">
        <f>_xlfn.XLOOKUP(G1407,dd_color!$A$2:$A$8,dd_color!$B$2:$B$8,"",0)</f>
        <v/>
      </c>
      <c r="B1407" s="41">
        <f>_xlfn.XLOOKUP(_xlfn.XLOOKUP(C1407,'Project Details'!$C$17:$C$10003,'Project Details'!$E$17:$E$10003, "",0),dd_design_raw!$A$2:$A$9997,dd_design_raw!$C$2:$C$9997,"",0)</f>
        <v>0</v>
      </c>
      <c r="C1407" s="16"/>
      <c r="D1407" s="16"/>
      <c r="E1407" s="16" t="str" cm="1">
        <f t="array" ref="E1407">IF(C1407&lt;&gt;"", _xlfn.XLOOKUP(1,((SKUs!$A$2:$A$10001=cl_unmerged!B1346) * (LEFT(SKUs!$J$2:$J$10001, LEN("Side Guide"))="Side Guide")), SKUs!$J$2:$J$10001,""),"")</f>
        <v/>
      </c>
      <c r="F1407" s="33" t="str" cm="1">
        <f t="array" ref="F1407">_xlfn.XLOOKUP(1,((SKUs!$A$2:$A$10001=cl_unmerged!B1407) * (LEFT(SKUs!$J$2:$J$10001, LEN("Side Guide"))="Side Guide") * (ISNUMBER(SEARCH(A1407,SKUs!$C$2:$C$10001)))), SKUs!$C$2:$C$10001,"")</f>
        <v/>
      </c>
      <c r="G1407" s="16"/>
      <c r="H1407" s="16"/>
      <c r="I1407" s="16"/>
    </row>
    <row r="1408" spans="1:9" ht="13.5" customHeight="1" x14ac:dyDescent="0.25">
      <c r="A1408" s="41" t="str">
        <f>_xlfn.XLOOKUP(G1408,dd_color!$A$2:$A$8,dd_color!$B$2:$B$8,"",0)</f>
        <v/>
      </c>
      <c r="B1408" s="41">
        <f>_xlfn.XLOOKUP(_xlfn.XLOOKUP(C1408,'Project Details'!$C$17:$C$10003,'Project Details'!$E$17:$E$10003, "",0),dd_design_raw!$A$2:$A$9997,dd_design_raw!$C$2:$C$9997,"",0)</f>
        <v>0</v>
      </c>
      <c r="C1408" s="16"/>
      <c r="D1408" s="16"/>
      <c r="E1408" s="16" t="str" cm="1">
        <f t="array" ref="E1408">IF(C1408&lt;&gt;"", _xlfn.XLOOKUP(1,((SKUs!$A$2:$A$10001=cl_unmerged!B1347) * (LEFT(SKUs!$J$2:$J$10001, LEN("Side Guide"))="Side Guide")), SKUs!$J$2:$J$10001,""),"")</f>
        <v/>
      </c>
      <c r="F1408" s="33" t="str" cm="1">
        <f t="array" ref="F1408">_xlfn.XLOOKUP(1,((SKUs!$A$2:$A$10001=cl_unmerged!B1408) * (LEFT(SKUs!$J$2:$J$10001, LEN("Side Guide"))="Side Guide") * (ISNUMBER(SEARCH(A1408,SKUs!$C$2:$C$10001)))), SKUs!$C$2:$C$10001,"")</f>
        <v/>
      </c>
      <c r="G1408" s="16"/>
      <c r="H1408" s="16"/>
      <c r="I1408" s="16"/>
    </row>
    <row r="1409" spans="1:9" ht="13.5" customHeight="1" x14ac:dyDescent="0.25">
      <c r="A1409" s="41" t="str">
        <f>_xlfn.XLOOKUP(G1409,dd_color!$A$2:$A$8,dd_color!$B$2:$B$8,"",0)</f>
        <v/>
      </c>
      <c r="B1409" s="41">
        <f>_xlfn.XLOOKUP(_xlfn.XLOOKUP(C1409,'Project Details'!$C$17:$C$10003,'Project Details'!$E$17:$E$10003, "",0),dd_design_raw!$A$2:$A$9997,dd_design_raw!$C$2:$C$9997,"",0)</f>
        <v>0</v>
      </c>
      <c r="C1409" s="16"/>
      <c r="D1409" s="16"/>
      <c r="E1409" s="16" t="str" cm="1">
        <f t="array" ref="E1409">IF(C1409&lt;&gt;"", _xlfn.XLOOKUP(1,((SKUs!$A$2:$A$10001=cl_unmerged!B1348) * (LEFT(SKUs!$J$2:$J$10001, LEN("Side Guide"))="Side Guide")), SKUs!$J$2:$J$10001,""),"")</f>
        <v/>
      </c>
      <c r="F1409" s="33" t="str" cm="1">
        <f t="array" ref="F1409">_xlfn.XLOOKUP(1,((SKUs!$A$2:$A$10001=cl_unmerged!B1409) * (LEFT(SKUs!$J$2:$J$10001, LEN("Side Guide"))="Side Guide") * (ISNUMBER(SEARCH(A1409,SKUs!$C$2:$C$10001)))), SKUs!$C$2:$C$10001,"")</f>
        <v/>
      </c>
      <c r="G1409" s="16"/>
      <c r="H1409" s="16"/>
      <c r="I1409" s="16"/>
    </row>
    <row r="1410" spans="1:9" ht="13.5" customHeight="1" x14ac:dyDescent="0.25">
      <c r="A1410" s="41" t="str">
        <f>_xlfn.XLOOKUP(G1410,dd_color!$A$2:$A$8,dd_color!$B$2:$B$8,"",0)</f>
        <v/>
      </c>
      <c r="B1410" s="41">
        <f>_xlfn.XLOOKUP(_xlfn.XLOOKUP(C1410,'Project Details'!$C$17:$C$10003,'Project Details'!$E$17:$E$10003, "",0),dd_design_raw!$A$2:$A$9997,dd_design_raw!$C$2:$C$9997,"",0)</f>
        <v>0</v>
      </c>
      <c r="C1410" s="16"/>
      <c r="D1410" s="16"/>
      <c r="E1410" s="16" t="str" cm="1">
        <f t="array" ref="E1410">IF(C1410&lt;&gt;"", _xlfn.XLOOKUP(1,((SKUs!$A$2:$A$10001=cl_unmerged!B1349) * (LEFT(SKUs!$J$2:$J$10001, LEN("Side Guide"))="Side Guide")), SKUs!$J$2:$J$10001,""),"")</f>
        <v/>
      </c>
      <c r="F1410" s="33" t="str" cm="1">
        <f t="array" ref="F1410">_xlfn.XLOOKUP(1,((SKUs!$A$2:$A$10001=cl_unmerged!B1410) * (LEFT(SKUs!$J$2:$J$10001, LEN("Side Guide"))="Side Guide") * (ISNUMBER(SEARCH(A1410,SKUs!$C$2:$C$10001)))), SKUs!$C$2:$C$10001,"")</f>
        <v/>
      </c>
      <c r="G1410" s="16"/>
      <c r="H1410" s="16"/>
      <c r="I1410" s="16"/>
    </row>
    <row r="1411" spans="1:9" ht="13.5" customHeight="1" x14ac:dyDescent="0.25">
      <c r="A1411" s="41" t="str">
        <f>_xlfn.XLOOKUP(G1411,dd_color!$A$2:$A$8,dd_color!$B$2:$B$8,"",0)</f>
        <v/>
      </c>
      <c r="B1411" s="41">
        <f>_xlfn.XLOOKUP(_xlfn.XLOOKUP(C1411,'Project Details'!$C$17:$C$10003,'Project Details'!$E$17:$E$10003, "",0),dd_design_raw!$A$2:$A$9997,dd_design_raw!$C$2:$C$9997,"",0)</f>
        <v>0</v>
      </c>
      <c r="C1411" s="16"/>
      <c r="D1411" s="16"/>
      <c r="E1411" s="16" t="str" cm="1">
        <f t="array" ref="E1411">IF(C1411&lt;&gt;"", _xlfn.XLOOKUP(1,((SKUs!$A$2:$A$10001=cl_unmerged!B1350) * (LEFT(SKUs!$J$2:$J$10001, LEN("Side Guide"))="Side Guide")), SKUs!$J$2:$J$10001,""),"")</f>
        <v/>
      </c>
      <c r="F1411" s="33" t="str" cm="1">
        <f t="array" ref="F1411">_xlfn.XLOOKUP(1,((SKUs!$A$2:$A$10001=cl_unmerged!B1411) * (LEFT(SKUs!$J$2:$J$10001, LEN("Side Guide"))="Side Guide") * (ISNUMBER(SEARCH(A1411,SKUs!$C$2:$C$10001)))), SKUs!$C$2:$C$10001,"")</f>
        <v/>
      </c>
      <c r="G1411" s="16"/>
      <c r="H1411" s="16"/>
      <c r="I1411" s="16"/>
    </row>
    <row r="1412" spans="1:9" ht="13.5" customHeight="1" x14ac:dyDescent="0.25">
      <c r="A1412" s="41" t="str">
        <f>_xlfn.XLOOKUP(G1412,dd_color!$A$2:$A$8,dd_color!$B$2:$B$8,"",0)</f>
        <v/>
      </c>
      <c r="B1412" s="41">
        <f>_xlfn.XLOOKUP(_xlfn.XLOOKUP(C1412,'Project Details'!$C$17:$C$10003,'Project Details'!$E$17:$E$10003, "",0),dd_design_raw!$A$2:$A$9997,dd_design_raw!$C$2:$C$9997,"",0)</f>
        <v>0</v>
      </c>
      <c r="C1412" s="16"/>
      <c r="D1412" s="16"/>
      <c r="E1412" s="16" t="str" cm="1">
        <f t="array" ref="E1412">IF(C1412&lt;&gt;"", _xlfn.XLOOKUP(1,((SKUs!$A$2:$A$10001=cl_unmerged!B1351) * (LEFT(SKUs!$J$2:$J$10001, LEN("Side Guide"))="Side Guide")), SKUs!$J$2:$J$10001,""),"")</f>
        <v/>
      </c>
      <c r="F1412" s="33" t="str" cm="1">
        <f t="array" ref="F1412">_xlfn.XLOOKUP(1,((SKUs!$A$2:$A$10001=cl_unmerged!B1412) * (LEFT(SKUs!$J$2:$J$10001, LEN("Side Guide"))="Side Guide") * (ISNUMBER(SEARCH(A1412,SKUs!$C$2:$C$10001)))), SKUs!$C$2:$C$10001,"")</f>
        <v/>
      </c>
      <c r="G1412" s="16"/>
      <c r="H1412" s="16"/>
      <c r="I1412" s="16"/>
    </row>
    <row r="1413" spans="1:9" ht="13.5" customHeight="1" x14ac:dyDescent="0.25">
      <c r="A1413" s="41" t="str">
        <f>_xlfn.XLOOKUP(G1413,dd_color!$A$2:$A$8,dd_color!$B$2:$B$8,"",0)</f>
        <v/>
      </c>
      <c r="B1413" s="41">
        <f>_xlfn.XLOOKUP(_xlfn.XLOOKUP(C1413,'Project Details'!$C$17:$C$10003,'Project Details'!$E$17:$E$10003, "",0),dd_design_raw!$A$2:$A$9997,dd_design_raw!$C$2:$C$9997,"",0)</f>
        <v>0</v>
      </c>
      <c r="C1413" s="16"/>
      <c r="D1413" s="16"/>
      <c r="E1413" s="16" t="str" cm="1">
        <f t="array" ref="E1413">IF(C1413&lt;&gt;"", _xlfn.XLOOKUP(1,((SKUs!$A$2:$A$10001=cl_unmerged!B1352) * (LEFT(SKUs!$J$2:$J$10001, LEN("Side Guide"))="Side Guide")), SKUs!$J$2:$J$10001,""),"")</f>
        <v/>
      </c>
      <c r="F1413" s="33" t="str" cm="1">
        <f t="array" ref="F1413">_xlfn.XLOOKUP(1,((SKUs!$A$2:$A$10001=cl_unmerged!B1413) * (LEFT(SKUs!$J$2:$J$10001, LEN("Side Guide"))="Side Guide") * (ISNUMBER(SEARCH(A1413,SKUs!$C$2:$C$10001)))), SKUs!$C$2:$C$10001,"")</f>
        <v/>
      </c>
      <c r="G1413" s="16"/>
      <c r="H1413" s="16"/>
      <c r="I1413" s="16"/>
    </row>
    <row r="1414" spans="1:9" ht="13.5" customHeight="1" x14ac:dyDescent="0.25">
      <c r="A1414" s="41" t="str">
        <f>_xlfn.XLOOKUP(G1414,dd_color!$A$2:$A$8,dd_color!$B$2:$B$8,"",0)</f>
        <v/>
      </c>
      <c r="B1414" s="41">
        <f>_xlfn.XLOOKUP(_xlfn.XLOOKUP(C1414,'Project Details'!$C$17:$C$10003,'Project Details'!$E$17:$E$10003, "",0),dd_design_raw!$A$2:$A$9997,dd_design_raw!$C$2:$C$9997,"",0)</f>
        <v>0</v>
      </c>
      <c r="C1414" s="16"/>
      <c r="D1414" s="16"/>
      <c r="E1414" s="16" t="str" cm="1">
        <f t="array" ref="E1414">IF(C1414&lt;&gt;"", _xlfn.XLOOKUP(1,((SKUs!$A$2:$A$10001=cl_unmerged!B1353) * (LEFT(SKUs!$J$2:$J$10001, LEN("Side Guide"))="Side Guide")), SKUs!$J$2:$J$10001,""),"")</f>
        <v/>
      </c>
      <c r="F1414" s="33" t="str" cm="1">
        <f t="array" ref="F1414">_xlfn.XLOOKUP(1,((SKUs!$A$2:$A$10001=cl_unmerged!B1414) * (LEFT(SKUs!$J$2:$J$10001, LEN("Side Guide"))="Side Guide") * (ISNUMBER(SEARCH(A1414,SKUs!$C$2:$C$10001)))), SKUs!$C$2:$C$10001,"")</f>
        <v/>
      </c>
      <c r="G1414" s="16"/>
      <c r="H1414" s="16"/>
      <c r="I1414" s="16"/>
    </row>
    <row r="1415" spans="1:9" ht="13.5" customHeight="1" x14ac:dyDescent="0.25">
      <c r="A1415" s="41" t="str">
        <f>_xlfn.XLOOKUP(G1415,dd_color!$A$2:$A$8,dd_color!$B$2:$B$8,"",0)</f>
        <v/>
      </c>
      <c r="B1415" s="41">
        <f>_xlfn.XLOOKUP(_xlfn.XLOOKUP(C1415,'Project Details'!$C$17:$C$10003,'Project Details'!$E$17:$E$10003, "",0),dd_design_raw!$A$2:$A$9997,dd_design_raw!$C$2:$C$9997,"",0)</f>
        <v>0</v>
      </c>
      <c r="C1415" s="16"/>
      <c r="D1415" s="16"/>
      <c r="E1415" s="16" t="str" cm="1">
        <f t="array" ref="E1415">IF(C1415&lt;&gt;"", _xlfn.XLOOKUP(1,((SKUs!$A$2:$A$10001=cl_unmerged!B1354) * (LEFT(SKUs!$J$2:$J$10001, LEN("Side Guide"))="Side Guide")), SKUs!$J$2:$J$10001,""),"")</f>
        <v/>
      </c>
      <c r="F1415" s="33" t="str" cm="1">
        <f t="array" ref="F1415">_xlfn.XLOOKUP(1,((SKUs!$A$2:$A$10001=cl_unmerged!B1415) * (LEFT(SKUs!$J$2:$J$10001, LEN("Side Guide"))="Side Guide") * (ISNUMBER(SEARCH(A1415,SKUs!$C$2:$C$10001)))), SKUs!$C$2:$C$10001,"")</f>
        <v/>
      </c>
      <c r="G1415" s="16"/>
      <c r="H1415" s="16"/>
      <c r="I1415" s="16"/>
    </row>
    <row r="1416" spans="1:9" ht="13.5" customHeight="1" x14ac:dyDescent="0.25">
      <c r="A1416" s="41" t="str">
        <f>_xlfn.XLOOKUP(G1416,dd_color!$A$2:$A$8,dd_color!$B$2:$B$8,"",0)</f>
        <v/>
      </c>
      <c r="B1416" s="41">
        <f>_xlfn.XLOOKUP(_xlfn.XLOOKUP(C1416,'Project Details'!$C$17:$C$10003,'Project Details'!$E$17:$E$10003, "",0),dd_design_raw!$A$2:$A$9997,dd_design_raw!$C$2:$C$9997,"",0)</f>
        <v>0</v>
      </c>
      <c r="C1416" s="16"/>
      <c r="D1416" s="16"/>
      <c r="E1416" s="16" t="str" cm="1">
        <f t="array" ref="E1416">IF(C1416&lt;&gt;"", _xlfn.XLOOKUP(1,((SKUs!$A$2:$A$10001=cl_unmerged!B1355) * (LEFT(SKUs!$J$2:$J$10001, LEN("Side Guide"))="Side Guide")), SKUs!$J$2:$J$10001,""),"")</f>
        <v/>
      </c>
      <c r="F1416" s="33" t="str" cm="1">
        <f t="array" ref="F1416">_xlfn.XLOOKUP(1,((SKUs!$A$2:$A$10001=cl_unmerged!B1416) * (LEFT(SKUs!$J$2:$J$10001, LEN("Side Guide"))="Side Guide") * (ISNUMBER(SEARCH(A1416,SKUs!$C$2:$C$10001)))), SKUs!$C$2:$C$10001,"")</f>
        <v/>
      </c>
      <c r="G1416" s="16"/>
      <c r="H1416" s="16"/>
      <c r="I1416" s="16"/>
    </row>
    <row r="1417" spans="1:9" ht="13.5" customHeight="1" x14ac:dyDescent="0.25">
      <c r="A1417" s="41" t="str">
        <f>_xlfn.XLOOKUP(G1417,dd_color!$A$2:$A$8,dd_color!$B$2:$B$8,"",0)</f>
        <v/>
      </c>
      <c r="B1417" s="41">
        <f>_xlfn.XLOOKUP(_xlfn.XLOOKUP(C1417,'Project Details'!$C$17:$C$10003,'Project Details'!$E$17:$E$10003, "",0),dd_design_raw!$A$2:$A$9997,dd_design_raw!$C$2:$C$9997,"",0)</f>
        <v>0</v>
      </c>
      <c r="C1417" s="16"/>
      <c r="D1417" s="16"/>
      <c r="E1417" s="16" t="str" cm="1">
        <f t="array" ref="E1417">IF(C1417&lt;&gt;"", _xlfn.XLOOKUP(1,((SKUs!$A$2:$A$10001=cl_unmerged!B1356) * (LEFT(SKUs!$J$2:$J$10001, LEN("Side Guide"))="Side Guide")), SKUs!$J$2:$J$10001,""),"")</f>
        <v/>
      </c>
      <c r="F1417" s="33" t="str" cm="1">
        <f t="array" ref="F1417">_xlfn.XLOOKUP(1,((SKUs!$A$2:$A$10001=cl_unmerged!B1417) * (LEFT(SKUs!$J$2:$J$10001, LEN("Side Guide"))="Side Guide") * (ISNUMBER(SEARCH(A1417,SKUs!$C$2:$C$10001)))), SKUs!$C$2:$C$10001,"")</f>
        <v/>
      </c>
      <c r="G1417" s="16"/>
      <c r="H1417" s="16"/>
      <c r="I1417" s="16"/>
    </row>
    <row r="1418" spans="1:9" ht="13.5" customHeight="1" x14ac:dyDescent="0.25">
      <c r="A1418" s="41" t="str">
        <f>_xlfn.XLOOKUP(G1418,dd_color!$A$2:$A$8,dd_color!$B$2:$B$8,"",0)</f>
        <v/>
      </c>
      <c r="B1418" s="41">
        <f>_xlfn.XLOOKUP(_xlfn.XLOOKUP(C1418,'Project Details'!$C$17:$C$10003,'Project Details'!$E$17:$E$10003, "",0),dd_design_raw!$A$2:$A$9997,dd_design_raw!$C$2:$C$9997,"",0)</f>
        <v>0</v>
      </c>
      <c r="C1418" s="16"/>
      <c r="D1418" s="16"/>
      <c r="E1418" s="16" t="str" cm="1">
        <f t="array" ref="E1418">IF(C1418&lt;&gt;"", _xlfn.XLOOKUP(1,((SKUs!$A$2:$A$10001=cl_unmerged!B1357) * (LEFT(SKUs!$J$2:$J$10001, LEN("Side Guide"))="Side Guide")), SKUs!$J$2:$J$10001,""),"")</f>
        <v/>
      </c>
      <c r="F1418" s="33" t="str" cm="1">
        <f t="array" ref="F1418">_xlfn.XLOOKUP(1,((SKUs!$A$2:$A$10001=cl_unmerged!B1418) * (LEFT(SKUs!$J$2:$J$10001, LEN("Side Guide"))="Side Guide") * (ISNUMBER(SEARCH(A1418,SKUs!$C$2:$C$10001)))), SKUs!$C$2:$C$10001,"")</f>
        <v/>
      </c>
      <c r="G1418" s="16"/>
      <c r="H1418" s="16"/>
      <c r="I1418" s="16"/>
    </row>
    <row r="1419" spans="1:9" ht="13.5" customHeight="1" x14ac:dyDescent="0.25">
      <c r="A1419" s="41" t="str">
        <f>_xlfn.XLOOKUP(G1419,dd_color!$A$2:$A$8,dd_color!$B$2:$B$8,"",0)</f>
        <v/>
      </c>
      <c r="B1419" s="41">
        <f>_xlfn.XLOOKUP(_xlfn.XLOOKUP(C1419,'Project Details'!$C$17:$C$10003,'Project Details'!$E$17:$E$10003, "",0),dd_design_raw!$A$2:$A$9997,dd_design_raw!$C$2:$C$9997,"",0)</f>
        <v>0</v>
      </c>
      <c r="C1419" s="16"/>
      <c r="D1419" s="16"/>
      <c r="E1419" s="16" t="str" cm="1">
        <f t="array" ref="E1419">IF(C1419&lt;&gt;"", _xlfn.XLOOKUP(1,((SKUs!$A$2:$A$10001=cl_unmerged!B1358) * (LEFT(SKUs!$J$2:$J$10001, LEN("Side Guide"))="Side Guide")), SKUs!$J$2:$J$10001,""),"")</f>
        <v/>
      </c>
      <c r="F1419" s="33" t="str" cm="1">
        <f t="array" ref="F1419">_xlfn.XLOOKUP(1,((SKUs!$A$2:$A$10001=cl_unmerged!B1419) * (LEFT(SKUs!$J$2:$J$10001, LEN("Side Guide"))="Side Guide") * (ISNUMBER(SEARCH(A1419,SKUs!$C$2:$C$10001)))), SKUs!$C$2:$C$10001,"")</f>
        <v/>
      </c>
      <c r="G1419" s="16"/>
      <c r="H1419" s="16"/>
      <c r="I1419" s="16"/>
    </row>
    <row r="1420" spans="1:9" ht="13.5" customHeight="1" x14ac:dyDescent="0.25">
      <c r="A1420" s="41" t="str">
        <f>_xlfn.XLOOKUP(G1420,dd_color!$A$2:$A$8,dd_color!$B$2:$B$8,"",0)</f>
        <v/>
      </c>
      <c r="B1420" s="41">
        <f>_xlfn.XLOOKUP(_xlfn.XLOOKUP(C1420,'Project Details'!$C$17:$C$10003,'Project Details'!$E$17:$E$10003, "",0),dd_design_raw!$A$2:$A$9997,dd_design_raw!$C$2:$C$9997,"",0)</f>
        <v>0</v>
      </c>
      <c r="C1420" s="16"/>
      <c r="D1420" s="16"/>
      <c r="E1420" s="16" t="str" cm="1">
        <f t="array" ref="E1420">IF(C1420&lt;&gt;"", _xlfn.XLOOKUP(1,((SKUs!$A$2:$A$10001=cl_unmerged!B1359) * (LEFT(SKUs!$J$2:$J$10001, LEN("Side Guide"))="Side Guide")), SKUs!$J$2:$J$10001,""),"")</f>
        <v/>
      </c>
      <c r="F1420" s="33" t="str" cm="1">
        <f t="array" ref="F1420">_xlfn.XLOOKUP(1,((SKUs!$A$2:$A$10001=cl_unmerged!B1420) * (LEFT(SKUs!$J$2:$J$10001, LEN("Side Guide"))="Side Guide") * (ISNUMBER(SEARCH(A1420,SKUs!$C$2:$C$10001)))), SKUs!$C$2:$C$10001,"")</f>
        <v/>
      </c>
      <c r="G1420" s="16"/>
      <c r="H1420" s="16"/>
      <c r="I1420" s="16"/>
    </row>
    <row r="1421" spans="1:9" ht="13.5" customHeight="1" x14ac:dyDescent="0.25">
      <c r="A1421" s="41" t="str">
        <f>_xlfn.XLOOKUP(G1421,dd_color!$A$2:$A$8,dd_color!$B$2:$B$8,"",0)</f>
        <v/>
      </c>
      <c r="B1421" s="41">
        <f>_xlfn.XLOOKUP(_xlfn.XLOOKUP(C1421,'Project Details'!$C$17:$C$10003,'Project Details'!$E$17:$E$10003, "",0),dd_design_raw!$A$2:$A$9997,dd_design_raw!$C$2:$C$9997,"",0)</f>
        <v>0</v>
      </c>
      <c r="C1421" s="16"/>
      <c r="D1421" s="16"/>
      <c r="E1421" s="16" t="str" cm="1">
        <f t="array" ref="E1421">IF(C1421&lt;&gt;"", _xlfn.XLOOKUP(1,((SKUs!$A$2:$A$10001=cl_unmerged!B1360) * (LEFT(SKUs!$J$2:$J$10001, LEN("Side Guide"))="Side Guide")), SKUs!$J$2:$J$10001,""),"")</f>
        <v/>
      </c>
      <c r="F1421" s="33" t="str" cm="1">
        <f t="array" ref="F1421">_xlfn.XLOOKUP(1,((SKUs!$A$2:$A$10001=cl_unmerged!B1421) * (LEFT(SKUs!$J$2:$J$10001, LEN("Side Guide"))="Side Guide") * (ISNUMBER(SEARCH(A1421,SKUs!$C$2:$C$10001)))), SKUs!$C$2:$C$10001,"")</f>
        <v/>
      </c>
      <c r="G1421" s="16"/>
      <c r="H1421" s="16"/>
      <c r="I1421" s="16"/>
    </row>
    <row r="1422" spans="1:9" ht="13.5" customHeight="1" x14ac:dyDescent="0.25">
      <c r="A1422" s="41" t="str">
        <f>_xlfn.XLOOKUP(G1422,dd_color!$A$2:$A$8,dd_color!$B$2:$B$8,"",0)</f>
        <v/>
      </c>
      <c r="B1422" s="41">
        <f>_xlfn.XLOOKUP(_xlfn.XLOOKUP(C1422,'Project Details'!$C$17:$C$10003,'Project Details'!$E$17:$E$10003, "",0),dd_design_raw!$A$2:$A$9997,dd_design_raw!$C$2:$C$9997,"",0)</f>
        <v>0</v>
      </c>
      <c r="C1422" s="16"/>
      <c r="D1422" s="16"/>
      <c r="E1422" s="16" t="str" cm="1">
        <f t="array" ref="E1422">IF(C1422&lt;&gt;"", _xlfn.XLOOKUP(1,((SKUs!$A$2:$A$10001=cl_unmerged!B1361) * (LEFT(SKUs!$J$2:$J$10001, LEN("Side Guide"))="Side Guide")), SKUs!$J$2:$J$10001,""),"")</f>
        <v/>
      </c>
      <c r="F1422" s="33" t="str" cm="1">
        <f t="array" ref="F1422">_xlfn.XLOOKUP(1,((SKUs!$A$2:$A$10001=cl_unmerged!B1422) * (LEFT(SKUs!$J$2:$J$10001, LEN("Side Guide"))="Side Guide") * (ISNUMBER(SEARCH(A1422,SKUs!$C$2:$C$10001)))), SKUs!$C$2:$C$10001,"")</f>
        <v/>
      </c>
      <c r="G1422" s="16"/>
      <c r="H1422" s="16"/>
      <c r="I1422" s="16"/>
    </row>
    <row r="1423" spans="1:9" ht="13.5" customHeight="1" x14ac:dyDescent="0.25">
      <c r="A1423" s="41" t="str">
        <f>_xlfn.XLOOKUP(G1423,dd_color!$A$2:$A$8,dd_color!$B$2:$B$8,"",0)</f>
        <v/>
      </c>
      <c r="B1423" s="41">
        <f>_xlfn.XLOOKUP(_xlfn.XLOOKUP(C1423,'Project Details'!$C$17:$C$10003,'Project Details'!$E$17:$E$10003, "",0),dd_design_raw!$A$2:$A$9997,dd_design_raw!$C$2:$C$9997,"",0)</f>
        <v>0</v>
      </c>
      <c r="C1423" s="16"/>
      <c r="D1423" s="16"/>
      <c r="E1423" s="16" t="str" cm="1">
        <f t="array" ref="E1423">IF(C1423&lt;&gt;"", _xlfn.XLOOKUP(1,((SKUs!$A$2:$A$10001=cl_unmerged!B1362) * (LEFT(SKUs!$J$2:$J$10001, LEN("Side Guide"))="Side Guide")), SKUs!$J$2:$J$10001,""),"")</f>
        <v/>
      </c>
      <c r="F1423" s="33" t="str" cm="1">
        <f t="array" ref="F1423">_xlfn.XLOOKUP(1,((SKUs!$A$2:$A$10001=cl_unmerged!B1423) * (LEFT(SKUs!$J$2:$J$10001, LEN("Side Guide"))="Side Guide") * (ISNUMBER(SEARCH(A1423,SKUs!$C$2:$C$10001)))), SKUs!$C$2:$C$10001,"")</f>
        <v/>
      </c>
      <c r="G1423" s="16"/>
      <c r="H1423" s="16"/>
      <c r="I1423" s="16"/>
    </row>
    <row r="1424" spans="1:9" ht="13.5" customHeight="1" x14ac:dyDescent="0.25">
      <c r="A1424" s="41" t="str">
        <f>_xlfn.XLOOKUP(G1424,dd_color!$A$2:$A$8,dd_color!$B$2:$B$8,"",0)</f>
        <v/>
      </c>
      <c r="B1424" s="41">
        <f>_xlfn.XLOOKUP(_xlfn.XLOOKUP(C1424,'Project Details'!$C$17:$C$10003,'Project Details'!$E$17:$E$10003, "",0),dd_design_raw!$A$2:$A$9997,dd_design_raw!$C$2:$C$9997,"",0)</f>
        <v>0</v>
      </c>
      <c r="C1424" s="16"/>
      <c r="D1424" s="16"/>
      <c r="E1424" s="16" t="str" cm="1">
        <f t="array" ref="E1424">IF(C1424&lt;&gt;"", _xlfn.XLOOKUP(1,((SKUs!$A$2:$A$10001=cl_unmerged!B1363) * (LEFT(SKUs!$J$2:$J$10001, LEN("Side Guide"))="Side Guide")), SKUs!$J$2:$J$10001,""),"")</f>
        <v/>
      </c>
      <c r="F1424" s="33" t="str" cm="1">
        <f t="array" ref="F1424">_xlfn.XLOOKUP(1,((SKUs!$A$2:$A$10001=cl_unmerged!B1424) * (LEFT(SKUs!$J$2:$J$10001, LEN("Side Guide"))="Side Guide") * (ISNUMBER(SEARCH(A1424,SKUs!$C$2:$C$10001)))), SKUs!$C$2:$C$10001,"")</f>
        <v/>
      </c>
      <c r="G1424" s="16"/>
      <c r="H1424" s="16"/>
      <c r="I1424" s="16"/>
    </row>
    <row r="1425" spans="1:9" ht="13.5" customHeight="1" x14ac:dyDescent="0.25">
      <c r="A1425" s="41" t="str">
        <f>_xlfn.XLOOKUP(G1425,dd_color!$A$2:$A$8,dd_color!$B$2:$B$8,"",0)</f>
        <v/>
      </c>
      <c r="B1425" s="41">
        <f>_xlfn.XLOOKUP(_xlfn.XLOOKUP(C1425,'Project Details'!$C$17:$C$10003,'Project Details'!$E$17:$E$10003, "",0),dd_design_raw!$A$2:$A$9997,dd_design_raw!$C$2:$C$9997,"",0)</f>
        <v>0</v>
      </c>
      <c r="C1425" s="16"/>
      <c r="D1425" s="16"/>
      <c r="E1425" s="16" t="str" cm="1">
        <f t="array" ref="E1425">IF(C1425&lt;&gt;"", _xlfn.XLOOKUP(1,((SKUs!$A$2:$A$10001=cl_unmerged!B1364) * (LEFT(SKUs!$J$2:$J$10001, LEN("Side Guide"))="Side Guide")), SKUs!$J$2:$J$10001,""),"")</f>
        <v/>
      </c>
      <c r="F1425" s="33" t="str" cm="1">
        <f t="array" ref="F1425">_xlfn.XLOOKUP(1,((SKUs!$A$2:$A$10001=cl_unmerged!B1425) * (LEFT(SKUs!$J$2:$J$10001, LEN("Side Guide"))="Side Guide") * (ISNUMBER(SEARCH(A1425,SKUs!$C$2:$C$10001)))), SKUs!$C$2:$C$10001,"")</f>
        <v/>
      </c>
      <c r="G1425" s="16"/>
      <c r="H1425" s="16"/>
      <c r="I1425" s="16"/>
    </row>
    <row r="1426" spans="1:9" ht="13.5" customHeight="1" x14ac:dyDescent="0.25">
      <c r="A1426" s="41" t="str">
        <f>_xlfn.XLOOKUP(G1426,dd_color!$A$2:$A$8,dd_color!$B$2:$B$8,"",0)</f>
        <v/>
      </c>
      <c r="B1426" s="41">
        <f>_xlfn.XLOOKUP(_xlfn.XLOOKUP(C1426,'Project Details'!$C$17:$C$10003,'Project Details'!$E$17:$E$10003, "",0),dd_design_raw!$A$2:$A$9997,dd_design_raw!$C$2:$C$9997,"",0)</f>
        <v>0</v>
      </c>
      <c r="C1426" s="16"/>
      <c r="D1426" s="16"/>
      <c r="E1426" s="16" t="str" cm="1">
        <f t="array" ref="E1426">IF(C1426&lt;&gt;"", _xlfn.XLOOKUP(1,((SKUs!$A$2:$A$10001=cl_unmerged!B1365) * (LEFT(SKUs!$J$2:$J$10001, LEN("Side Guide"))="Side Guide")), SKUs!$J$2:$J$10001,""),"")</f>
        <v/>
      </c>
      <c r="F1426" s="33" t="str" cm="1">
        <f t="array" ref="F1426">_xlfn.XLOOKUP(1,((SKUs!$A$2:$A$10001=cl_unmerged!B1426) * (LEFT(SKUs!$J$2:$J$10001, LEN("Side Guide"))="Side Guide") * (ISNUMBER(SEARCH(A1426,SKUs!$C$2:$C$10001)))), SKUs!$C$2:$C$10001,"")</f>
        <v/>
      </c>
      <c r="G1426" s="16"/>
      <c r="H1426" s="16"/>
      <c r="I1426" s="16"/>
    </row>
    <row r="1427" spans="1:9" ht="13.5" customHeight="1" x14ac:dyDescent="0.25">
      <c r="A1427" s="41" t="str">
        <f>_xlfn.XLOOKUP(G1427,dd_color!$A$2:$A$8,dd_color!$B$2:$B$8,"",0)</f>
        <v/>
      </c>
      <c r="B1427" s="41">
        <f>_xlfn.XLOOKUP(_xlfn.XLOOKUP(C1427,'Project Details'!$C$17:$C$10003,'Project Details'!$E$17:$E$10003, "",0),dd_design_raw!$A$2:$A$9997,dd_design_raw!$C$2:$C$9997,"",0)</f>
        <v>0</v>
      </c>
      <c r="C1427" s="16"/>
      <c r="D1427" s="16"/>
      <c r="E1427" s="16" t="str" cm="1">
        <f t="array" ref="E1427">IF(C1427&lt;&gt;"", _xlfn.XLOOKUP(1,((SKUs!$A$2:$A$10001=cl_unmerged!B1366) * (LEFT(SKUs!$J$2:$J$10001, LEN("Side Guide"))="Side Guide")), SKUs!$J$2:$J$10001,""),"")</f>
        <v/>
      </c>
      <c r="F1427" s="33" t="str" cm="1">
        <f t="array" ref="F1427">_xlfn.XLOOKUP(1,((SKUs!$A$2:$A$10001=cl_unmerged!B1427) * (LEFT(SKUs!$J$2:$J$10001, LEN("Side Guide"))="Side Guide") * (ISNUMBER(SEARCH(A1427,SKUs!$C$2:$C$10001)))), SKUs!$C$2:$C$10001,"")</f>
        <v/>
      </c>
      <c r="G1427" s="16"/>
      <c r="H1427" s="16"/>
      <c r="I1427" s="16"/>
    </row>
    <row r="1428" spans="1:9" ht="13.5" customHeight="1" x14ac:dyDescent="0.25">
      <c r="A1428" s="41" t="str">
        <f>_xlfn.XLOOKUP(G1428,dd_color!$A$2:$A$8,dd_color!$B$2:$B$8,"",0)</f>
        <v/>
      </c>
      <c r="B1428" s="41">
        <f>_xlfn.XLOOKUP(_xlfn.XLOOKUP(C1428,'Project Details'!$C$17:$C$10003,'Project Details'!$E$17:$E$10003, "",0),dd_design_raw!$A$2:$A$9997,dd_design_raw!$C$2:$C$9997,"",0)</f>
        <v>0</v>
      </c>
      <c r="C1428" s="16"/>
      <c r="D1428" s="16"/>
      <c r="E1428" s="16" t="str" cm="1">
        <f t="array" ref="E1428">IF(C1428&lt;&gt;"", _xlfn.XLOOKUP(1,((SKUs!$A$2:$A$10001=cl_unmerged!B1367) * (LEFT(SKUs!$J$2:$J$10001, LEN("Side Guide"))="Side Guide")), SKUs!$J$2:$J$10001,""),"")</f>
        <v/>
      </c>
      <c r="F1428" s="33" t="str" cm="1">
        <f t="array" ref="F1428">_xlfn.XLOOKUP(1,((SKUs!$A$2:$A$10001=cl_unmerged!B1428) * (LEFT(SKUs!$J$2:$J$10001, LEN("Side Guide"))="Side Guide") * (ISNUMBER(SEARCH(A1428,SKUs!$C$2:$C$10001)))), SKUs!$C$2:$C$10001,"")</f>
        <v/>
      </c>
      <c r="G1428" s="16"/>
      <c r="H1428" s="16"/>
      <c r="I1428" s="16"/>
    </row>
    <row r="1429" spans="1:9" ht="13.5" customHeight="1" x14ac:dyDescent="0.25">
      <c r="A1429" s="41" t="str">
        <f>_xlfn.XLOOKUP(G1429,dd_color!$A$2:$A$8,dd_color!$B$2:$B$8,"",0)</f>
        <v/>
      </c>
      <c r="B1429" s="41">
        <f>_xlfn.XLOOKUP(_xlfn.XLOOKUP(C1429,'Project Details'!$C$17:$C$10003,'Project Details'!$E$17:$E$10003, "",0),dd_design_raw!$A$2:$A$9997,dd_design_raw!$C$2:$C$9997,"",0)</f>
        <v>0</v>
      </c>
      <c r="C1429" s="16"/>
      <c r="D1429" s="16"/>
      <c r="E1429" s="16" t="str" cm="1">
        <f t="array" ref="E1429">IF(C1429&lt;&gt;"", _xlfn.XLOOKUP(1,((SKUs!$A$2:$A$10001=cl_unmerged!B1368) * (LEFT(SKUs!$J$2:$J$10001, LEN("Side Guide"))="Side Guide")), SKUs!$J$2:$J$10001,""),"")</f>
        <v/>
      </c>
      <c r="F1429" s="33" t="str" cm="1">
        <f t="array" ref="F1429">_xlfn.XLOOKUP(1,((SKUs!$A$2:$A$10001=cl_unmerged!B1429) * (LEFT(SKUs!$J$2:$J$10001, LEN("Side Guide"))="Side Guide") * (ISNUMBER(SEARCH(A1429,SKUs!$C$2:$C$10001)))), SKUs!$C$2:$C$10001,"")</f>
        <v/>
      </c>
      <c r="G1429" s="16"/>
      <c r="H1429" s="16"/>
      <c r="I1429" s="16"/>
    </row>
    <row r="1430" spans="1:9" ht="13.5" customHeight="1" x14ac:dyDescent="0.25">
      <c r="A1430" s="41" t="str">
        <f>_xlfn.XLOOKUP(G1430,dd_color!$A$2:$A$8,dd_color!$B$2:$B$8,"",0)</f>
        <v/>
      </c>
      <c r="B1430" s="41">
        <f>_xlfn.XLOOKUP(_xlfn.XLOOKUP(C1430,'Project Details'!$C$17:$C$10003,'Project Details'!$E$17:$E$10003, "",0),dd_design_raw!$A$2:$A$9997,dd_design_raw!$C$2:$C$9997,"",0)</f>
        <v>0</v>
      </c>
      <c r="C1430" s="16"/>
      <c r="D1430" s="16"/>
      <c r="E1430" s="16" t="str" cm="1">
        <f t="array" ref="E1430">IF(C1430&lt;&gt;"", _xlfn.XLOOKUP(1,((SKUs!$A$2:$A$10001=cl_unmerged!B1369) * (LEFT(SKUs!$J$2:$J$10001, LEN("Side Guide"))="Side Guide")), SKUs!$J$2:$J$10001,""),"")</f>
        <v/>
      </c>
      <c r="F1430" s="33" t="str" cm="1">
        <f t="array" ref="F1430">_xlfn.XLOOKUP(1,((SKUs!$A$2:$A$10001=cl_unmerged!B1430) * (LEFT(SKUs!$J$2:$J$10001, LEN("Side Guide"))="Side Guide") * (ISNUMBER(SEARCH(A1430,SKUs!$C$2:$C$10001)))), SKUs!$C$2:$C$10001,"")</f>
        <v/>
      </c>
      <c r="G1430" s="16"/>
      <c r="H1430" s="16"/>
      <c r="I1430" s="16"/>
    </row>
    <row r="1431" spans="1:9" ht="13.5" customHeight="1" x14ac:dyDescent="0.25">
      <c r="A1431" s="41" t="str">
        <f>_xlfn.XLOOKUP(G1431,dd_color!$A$2:$A$8,dd_color!$B$2:$B$8,"",0)</f>
        <v/>
      </c>
      <c r="B1431" s="41">
        <f>_xlfn.XLOOKUP(_xlfn.XLOOKUP(C1431,'Project Details'!$C$17:$C$10003,'Project Details'!$E$17:$E$10003, "",0),dd_design_raw!$A$2:$A$9997,dd_design_raw!$C$2:$C$9997,"",0)</f>
        <v>0</v>
      </c>
      <c r="C1431" s="16"/>
      <c r="D1431" s="16"/>
      <c r="E1431" s="16" t="str" cm="1">
        <f t="array" ref="E1431">IF(C1431&lt;&gt;"", _xlfn.XLOOKUP(1,((SKUs!$A$2:$A$10001=cl_unmerged!B1370) * (LEFT(SKUs!$J$2:$J$10001, LEN("Side Guide"))="Side Guide")), SKUs!$J$2:$J$10001,""),"")</f>
        <v/>
      </c>
      <c r="F1431" s="33" t="str" cm="1">
        <f t="array" ref="F1431">_xlfn.XLOOKUP(1,((SKUs!$A$2:$A$10001=cl_unmerged!B1431) * (LEFT(SKUs!$J$2:$J$10001, LEN("Side Guide"))="Side Guide") * (ISNUMBER(SEARCH(A1431,SKUs!$C$2:$C$10001)))), SKUs!$C$2:$C$10001,"")</f>
        <v/>
      </c>
      <c r="G1431" s="16"/>
      <c r="H1431" s="16"/>
      <c r="I1431" s="16"/>
    </row>
    <row r="1432" spans="1:9" ht="13.5" customHeight="1" x14ac:dyDescent="0.25">
      <c r="A1432" s="41" t="str">
        <f>_xlfn.XLOOKUP(G1432,dd_color!$A$2:$A$8,dd_color!$B$2:$B$8,"",0)</f>
        <v/>
      </c>
      <c r="B1432" s="41">
        <f>_xlfn.XLOOKUP(_xlfn.XLOOKUP(C1432,'Project Details'!$C$17:$C$10003,'Project Details'!$E$17:$E$10003, "",0),dd_design_raw!$A$2:$A$9997,dd_design_raw!$C$2:$C$9997,"",0)</f>
        <v>0</v>
      </c>
      <c r="C1432" s="16"/>
      <c r="D1432" s="16"/>
      <c r="E1432" s="16" t="str" cm="1">
        <f t="array" ref="E1432">IF(C1432&lt;&gt;"", _xlfn.XLOOKUP(1,((SKUs!$A$2:$A$10001=cl_unmerged!B1371) * (LEFT(SKUs!$J$2:$J$10001, LEN("Side Guide"))="Side Guide")), SKUs!$J$2:$J$10001,""),"")</f>
        <v/>
      </c>
      <c r="F1432" s="33" t="str" cm="1">
        <f t="array" ref="F1432">_xlfn.XLOOKUP(1,((SKUs!$A$2:$A$10001=cl_unmerged!B1432) * (LEFT(SKUs!$J$2:$J$10001, LEN("Side Guide"))="Side Guide") * (ISNUMBER(SEARCH(A1432,SKUs!$C$2:$C$10001)))), SKUs!$C$2:$C$10001,"")</f>
        <v/>
      </c>
      <c r="G1432" s="16"/>
      <c r="H1432" s="16"/>
      <c r="I1432" s="16"/>
    </row>
    <row r="1433" spans="1:9" ht="13.5" customHeight="1" x14ac:dyDescent="0.25">
      <c r="A1433" s="41" t="str">
        <f>_xlfn.XLOOKUP(G1433,dd_color!$A$2:$A$8,dd_color!$B$2:$B$8,"",0)</f>
        <v/>
      </c>
      <c r="B1433" s="41">
        <f>_xlfn.XLOOKUP(_xlfn.XLOOKUP(C1433,'Project Details'!$C$17:$C$10003,'Project Details'!$E$17:$E$10003, "",0),dd_design_raw!$A$2:$A$9997,dd_design_raw!$C$2:$C$9997,"",0)</f>
        <v>0</v>
      </c>
      <c r="C1433" s="16"/>
      <c r="D1433" s="16"/>
      <c r="E1433" s="16" t="str" cm="1">
        <f t="array" ref="E1433">IF(C1433&lt;&gt;"", _xlfn.XLOOKUP(1,((SKUs!$A$2:$A$10001=cl_unmerged!B1372) * (LEFT(SKUs!$J$2:$J$10001, LEN("Side Guide"))="Side Guide")), SKUs!$J$2:$J$10001,""),"")</f>
        <v/>
      </c>
      <c r="F1433" s="33" t="str" cm="1">
        <f t="array" ref="F1433">_xlfn.XLOOKUP(1,((SKUs!$A$2:$A$10001=cl_unmerged!B1433) * (LEFT(SKUs!$J$2:$J$10001, LEN("Side Guide"))="Side Guide") * (ISNUMBER(SEARCH(A1433,SKUs!$C$2:$C$10001)))), SKUs!$C$2:$C$10001,"")</f>
        <v/>
      </c>
      <c r="G1433" s="16"/>
      <c r="H1433" s="16"/>
      <c r="I1433" s="16"/>
    </row>
    <row r="1434" spans="1:9" ht="13.5" customHeight="1" x14ac:dyDescent="0.25">
      <c r="A1434" s="41" t="str">
        <f>_xlfn.XLOOKUP(G1434,dd_color!$A$2:$A$8,dd_color!$B$2:$B$8,"",0)</f>
        <v/>
      </c>
      <c r="B1434" s="41">
        <f>_xlfn.XLOOKUP(_xlfn.XLOOKUP(C1434,'Project Details'!$C$17:$C$10003,'Project Details'!$E$17:$E$10003, "",0),dd_design_raw!$A$2:$A$9997,dd_design_raw!$C$2:$C$9997,"",0)</f>
        <v>0</v>
      </c>
      <c r="C1434" s="16"/>
      <c r="D1434" s="16"/>
      <c r="E1434" s="16" t="str" cm="1">
        <f t="array" ref="E1434">IF(C1434&lt;&gt;"", _xlfn.XLOOKUP(1,((SKUs!$A$2:$A$10001=cl_unmerged!B1373) * (LEFT(SKUs!$J$2:$J$10001, LEN("Side Guide"))="Side Guide")), SKUs!$J$2:$J$10001,""),"")</f>
        <v/>
      </c>
      <c r="F1434" s="33" t="str" cm="1">
        <f t="array" ref="F1434">_xlfn.XLOOKUP(1,((SKUs!$A$2:$A$10001=cl_unmerged!B1434) * (LEFT(SKUs!$J$2:$J$10001, LEN("Side Guide"))="Side Guide") * (ISNUMBER(SEARCH(A1434,SKUs!$C$2:$C$10001)))), SKUs!$C$2:$C$10001,"")</f>
        <v/>
      </c>
      <c r="G1434" s="16"/>
      <c r="H1434" s="16"/>
      <c r="I1434" s="16"/>
    </row>
    <row r="1435" spans="1:9" ht="13.5" customHeight="1" x14ac:dyDescent="0.25">
      <c r="A1435" s="41" t="str">
        <f>_xlfn.XLOOKUP(G1435,dd_color!$A$2:$A$8,dd_color!$B$2:$B$8,"",0)</f>
        <v/>
      </c>
      <c r="B1435" s="41">
        <f>_xlfn.XLOOKUP(_xlfn.XLOOKUP(C1435,'Project Details'!$C$17:$C$10003,'Project Details'!$E$17:$E$10003, "",0),dd_design_raw!$A$2:$A$9997,dd_design_raw!$C$2:$C$9997,"",0)</f>
        <v>0</v>
      </c>
      <c r="C1435" s="16"/>
      <c r="D1435" s="16"/>
      <c r="E1435" s="16" t="str" cm="1">
        <f t="array" ref="E1435">IF(C1435&lt;&gt;"", _xlfn.XLOOKUP(1,((SKUs!$A$2:$A$10001=cl_unmerged!B1374) * (LEFT(SKUs!$J$2:$J$10001, LEN("Side Guide"))="Side Guide")), SKUs!$J$2:$J$10001,""),"")</f>
        <v/>
      </c>
      <c r="F1435" s="33" t="str" cm="1">
        <f t="array" ref="F1435">_xlfn.XLOOKUP(1,((SKUs!$A$2:$A$10001=cl_unmerged!B1435) * (LEFT(SKUs!$J$2:$J$10001, LEN("Side Guide"))="Side Guide") * (ISNUMBER(SEARCH(A1435,SKUs!$C$2:$C$10001)))), SKUs!$C$2:$C$10001,"")</f>
        <v/>
      </c>
      <c r="G1435" s="16"/>
      <c r="H1435" s="16"/>
      <c r="I1435" s="16"/>
    </row>
    <row r="1436" spans="1:9" ht="13.5" customHeight="1" x14ac:dyDescent="0.25">
      <c r="A1436" s="41" t="str">
        <f>_xlfn.XLOOKUP(G1436,dd_color!$A$2:$A$8,dd_color!$B$2:$B$8,"",0)</f>
        <v/>
      </c>
      <c r="B1436" s="41">
        <f>_xlfn.XLOOKUP(_xlfn.XLOOKUP(C1436,'Project Details'!$C$17:$C$10003,'Project Details'!$E$17:$E$10003, "",0),dd_design_raw!$A$2:$A$9997,dd_design_raw!$C$2:$C$9997,"",0)</f>
        <v>0</v>
      </c>
      <c r="C1436" s="16"/>
      <c r="D1436" s="16"/>
      <c r="E1436" s="16" t="str" cm="1">
        <f t="array" ref="E1436">IF(C1436&lt;&gt;"", _xlfn.XLOOKUP(1,((SKUs!$A$2:$A$10001=cl_unmerged!B1375) * (LEFT(SKUs!$J$2:$J$10001, LEN("Side Guide"))="Side Guide")), SKUs!$J$2:$J$10001,""),"")</f>
        <v/>
      </c>
      <c r="F1436" s="33" t="str" cm="1">
        <f t="array" ref="F1436">_xlfn.XLOOKUP(1,((SKUs!$A$2:$A$10001=cl_unmerged!B1436) * (LEFT(SKUs!$J$2:$J$10001, LEN("Side Guide"))="Side Guide") * (ISNUMBER(SEARCH(A1436,SKUs!$C$2:$C$10001)))), SKUs!$C$2:$C$10001,"")</f>
        <v/>
      </c>
      <c r="G1436" s="16"/>
      <c r="H1436" s="16"/>
      <c r="I1436" s="16"/>
    </row>
    <row r="1437" spans="1:9" ht="13.5" customHeight="1" x14ac:dyDescent="0.25">
      <c r="A1437" s="41" t="str">
        <f>_xlfn.XLOOKUP(G1437,dd_color!$A$2:$A$8,dd_color!$B$2:$B$8,"",0)</f>
        <v/>
      </c>
      <c r="B1437" s="41">
        <f>_xlfn.XLOOKUP(_xlfn.XLOOKUP(C1437,'Project Details'!$C$17:$C$10003,'Project Details'!$E$17:$E$10003, "",0),dd_design_raw!$A$2:$A$9997,dd_design_raw!$C$2:$C$9997,"",0)</f>
        <v>0</v>
      </c>
      <c r="C1437" s="16"/>
      <c r="D1437" s="16"/>
      <c r="E1437" s="16" t="str" cm="1">
        <f t="array" ref="E1437">IF(C1437&lt;&gt;"", _xlfn.XLOOKUP(1,((SKUs!$A$2:$A$10001=cl_unmerged!B1376) * (LEFT(SKUs!$J$2:$J$10001, LEN("Side Guide"))="Side Guide")), SKUs!$J$2:$J$10001,""),"")</f>
        <v/>
      </c>
      <c r="F1437" s="33" t="str" cm="1">
        <f t="array" ref="F1437">_xlfn.XLOOKUP(1,((SKUs!$A$2:$A$10001=cl_unmerged!B1437) * (LEFT(SKUs!$J$2:$J$10001, LEN("Side Guide"))="Side Guide") * (ISNUMBER(SEARCH(A1437,SKUs!$C$2:$C$10001)))), SKUs!$C$2:$C$10001,"")</f>
        <v/>
      </c>
      <c r="G1437" s="16"/>
      <c r="H1437" s="16"/>
      <c r="I1437" s="16"/>
    </row>
    <row r="1438" spans="1:9" ht="13.5" customHeight="1" x14ac:dyDescent="0.25">
      <c r="A1438" s="41" t="str">
        <f>_xlfn.XLOOKUP(G1438,dd_color!$A$2:$A$8,dd_color!$B$2:$B$8,"",0)</f>
        <v/>
      </c>
      <c r="B1438" s="41">
        <f>_xlfn.XLOOKUP(_xlfn.XLOOKUP(C1438,'Project Details'!$C$17:$C$10003,'Project Details'!$E$17:$E$10003, "",0),dd_design_raw!$A$2:$A$9997,dd_design_raw!$C$2:$C$9997,"",0)</f>
        <v>0</v>
      </c>
      <c r="C1438" s="16"/>
      <c r="D1438" s="16"/>
      <c r="E1438" s="16" t="str" cm="1">
        <f t="array" ref="E1438">IF(C1438&lt;&gt;"", _xlfn.XLOOKUP(1,((SKUs!$A$2:$A$10001=cl_unmerged!B1377) * (LEFT(SKUs!$J$2:$J$10001, LEN("Side Guide"))="Side Guide")), SKUs!$J$2:$J$10001,""),"")</f>
        <v/>
      </c>
      <c r="F1438" s="33" t="str" cm="1">
        <f t="array" ref="F1438">_xlfn.XLOOKUP(1,((SKUs!$A$2:$A$10001=cl_unmerged!B1438) * (LEFT(SKUs!$J$2:$J$10001, LEN("Side Guide"))="Side Guide") * (ISNUMBER(SEARCH(A1438,SKUs!$C$2:$C$10001)))), SKUs!$C$2:$C$10001,"")</f>
        <v/>
      </c>
      <c r="G1438" s="16"/>
      <c r="H1438" s="16"/>
      <c r="I1438" s="16"/>
    </row>
    <row r="1439" spans="1:9" ht="13.5" customHeight="1" x14ac:dyDescent="0.25">
      <c r="A1439" s="41" t="str">
        <f>_xlfn.XLOOKUP(G1439,dd_color!$A$2:$A$8,dd_color!$B$2:$B$8,"",0)</f>
        <v/>
      </c>
      <c r="B1439" s="41">
        <f>_xlfn.XLOOKUP(_xlfn.XLOOKUP(C1439,'Project Details'!$C$17:$C$10003,'Project Details'!$E$17:$E$10003, "",0),dd_design_raw!$A$2:$A$9997,dd_design_raw!$C$2:$C$9997,"",0)</f>
        <v>0</v>
      </c>
      <c r="C1439" s="16"/>
      <c r="D1439" s="16"/>
      <c r="E1439" s="16" t="str" cm="1">
        <f t="array" ref="E1439">IF(C1439&lt;&gt;"", _xlfn.XLOOKUP(1,((SKUs!$A$2:$A$10001=cl_unmerged!B1378) * (LEFT(SKUs!$J$2:$J$10001, LEN("Side Guide"))="Side Guide")), SKUs!$J$2:$J$10001,""),"")</f>
        <v/>
      </c>
      <c r="F1439" s="33" t="str" cm="1">
        <f t="array" ref="F1439">_xlfn.XLOOKUP(1,((SKUs!$A$2:$A$10001=cl_unmerged!B1439) * (LEFT(SKUs!$J$2:$J$10001, LEN("Side Guide"))="Side Guide") * (ISNUMBER(SEARCH(A1439,SKUs!$C$2:$C$10001)))), SKUs!$C$2:$C$10001,"")</f>
        <v/>
      </c>
      <c r="G1439" s="16"/>
      <c r="H1439" s="16"/>
      <c r="I1439" s="16"/>
    </row>
    <row r="1440" spans="1:9" ht="13.5" customHeight="1" x14ac:dyDescent="0.25">
      <c r="A1440" s="41" t="str">
        <f>_xlfn.XLOOKUP(G1440,dd_color!$A$2:$A$8,dd_color!$B$2:$B$8,"",0)</f>
        <v/>
      </c>
      <c r="B1440" s="41">
        <f>_xlfn.XLOOKUP(_xlfn.XLOOKUP(C1440,'Project Details'!$C$17:$C$10003,'Project Details'!$E$17:$E$10003, "",0),dd_design_raw!$A$2:$A$9997,dd_design_raw!$C$2:$C$9997,"",0)</f>
        <v>0</v>
      </c>
      <c r="C1440" s="16"/>
      <c r="D1440" s="16"/>
      <c r="E1440" s="16" t="str" cm="1">
        <f t="array" ref="E1440">IF(C1440&lt;&gt;"", _xlfn.XLOOKUP(1,((SKUs!$A$2:$A$10001=cl_unmerged!B1379) * (LEFT(SKUs!$J$2:$J$10001, LEN("Side Guide"))="Side Guide")), SKUs!$J$2:$J$10001,""),"")</f>
        <v/>
      </c>
      <c r="F1440" s="33" t="str" cm="1">
        <f t="array" ref="F1440">_xlfn.XLOOKUP(1,((SKUs!$A$2:$A$10001=cl_unmerged!B1440) * (LEFT(SKUs!$J$2:$J$10001, LEN("Side Guide"))="Side Guide") * (ISNUMBER(SEARCH(A1440,SKUs!$C$2:$C$10001)))), SKUs!$C$2:$C$10001,"")</f>
        <v/>
      </c>
      <c r="G1440" s="16"/>
      <c r="H1440" s="16"/>
      <c r="I1440" s="16"/>
    </row>
    <row r="1441" spans="1:9" ht="13.5" customHeight="1" x14ac:dyDescent="0.25">
      <c r="A1441" s="41" t="str">
        <f>_xlfn.XLOOKUP(G1441,dd_color!$A$2:$A$8,dd_color!$B$2:$B$8,"",0)</f>
        <v/>
      </c>
      <c r="B1441" s="41">
        <f>_xlfn.XLOOKUP(_xlfn.XLOOKUP(C1441,'Project Details'!$C$17:$C$10003,'Project Details'!$E$17:$E$10003, "",0),dd_design_raw!$A$2:$A$9997,dd_design_raw!$C$2:$C$9997,"",0)</f>
        <v>0</v>
      </c>
      <c r="C1441" s="16"/>
      <c r="D1441" s="16"/>
      <c r="E1441" s="16" t="str" cm="1">
        <f t="array" ref="E1441">IF(C1441&lt;&gt;"", _xlfn.XLOOKUP(1,((SKUs!$A$2:$A$10001=cl_unmerged!B1380) * (LEFT(SKUs!$J$2:$J$10001, LEN("Side Guide"))="Side Guide")), SKUs!$J$2:$J$10001,""),"")</f>
        <v/>
      </c>
      <c r="F1441" s="33" t="str" cm="1">
        <f t="array" ref="F1441">_xlfn.XLOOKUP(1,((SKUs!$A$2:$A$10001=cl_unmerged!B1441) * (LEFT(SKUs!$J$2:$J$10001, LEN("Side Guide"))="Side Guide") * (ISNUMBER(SEARCH(A1441,SKUs!$C$2:$C$10001)))), SKUs!$C$2:$C$10001,"")</f>
        <v/>
      </c>
      <c r="G1441" s="16"/>
      <c r="H1441" s="16"/>
      <c r="I1441" s="16"/>
    </row>
    <row r="1442" spans="1:9" ht="13.5" customHeight="1" x14ac:dyDescent="0.25">
      <c r="A1442" s="41" t="str">
        <f>_xlfn.XLOOKUP(G1442,dd_color!$A$2:$A$8,dd_color!$B$2:$B$8,"",0)</f>
        <v/>
      </c>
      <c r="B1442" s="41">
        <f>_xlfn.XLOOKUP(_xlfn.XLOOKUP(C1442,'Project Details'!$C$17:$C$10003,'Project Details'!$E$17:$E$10003, "",0),dd_design_raw!$A$2:$A$9997,dd_design_raw!$C$2:$C$9997,"",0)</f>
        <v>0</v>
      </c>
      <c r="C1442" s="16"/>
      <c r="D1442" s="16"/>
      <c r="E1442" s="16" t="str" cm="1">
        <f t="array" ref="E1442">IF(C1442&lt;&gt;"", _xlfn.XLOOKUP(1,((SKUs!$A$2:$A$10001=cl_unmerged!B1381) * (LEFT(SKUs!$J$2:$J$10001, LEN("Side Guide"))="Side Guide")), SKUs!$J$2:$J$10001,""),"")</f>
        <v/>
      </c>
      <c r="F1442" s="33" t="str" cm="1">
        <f t="array" ref="F1442">_xlfn.XLOOKUP(1,((SKUs!$A$2:$A$10001=cl_unmerged!B1442) * (LEFT(SKUs!$J$2:$J$10001, LEN("Side Guide"))="Side Guide") * (ISNUMBER(SEARCH(A1442,SKUs!$C$2:$C$10001)))), SKUs!$C$2:$C$10001,"")</f>
        <v/>
      </c>
      <c r="G1442" s="16"/>
      <c r="H1442" s="16"/>
      <c r="I1442" s="16"/>
    </row>
    <row r="1443" spans="1:9" x14ac:dyDescent="0.25">
      <c r="C1443" s="28" t="s">
        <v>890</v>
      </c>
      <c r="D1443" s="29"/>
      <c r="E1443" s="29"/>
      <c r="F1443" s="29"/>
      <c r="G1443" s="29"/>
      <c r="H1443" s="29"/>
      <c r="I1443" s="30"/>
    </row>
    <row r="1444" spans="1:9" x14ac:dyDescent="0.25">
      <c r="A1444" s="41" t="str">
        <f>_xlfn.XLOOKUP(G1444,dd_color!$A$2:$A$8,dd_color!$B$2:$B$8,"",0)</f>
        <v/>
      </c>
      <c r="B1444" s="41" t="str">
        <f>_xlfn.XLOOKUP(_xlfn.XLOOKUP(C1444,'Project Details'!$C$17:$C$10003,'Project Details'!$E$17:$E$10003, "",0),dd_design_raw!$A$2:$A$9997,dd_design_raw!$C$2:$C$9997,"",0)</f>
        <v/>
      </c>
      <c r="C1444" s="16" t="str" cm="1">
        <f t="array" ref="C1444">IFERROR(_xlfn._xlws.FILTER(calc_rusacc!C15:C65,(calc_rusacc!E15:E65&lt;&gt;"Accordion Screen") * (calc_rusacc!D15:D65&lt;&gt;"")),"")</f>
        <v/>
      </c>
      <c r="D1444" s="16" t="str" cm="1">
        <f t="array" ref="D1444">IFERROR(_xlfn._xlws.FILTER(calc_rusacc!Y15:Y65,(calc_rusacc!E15:E65&lt;&gt;"Accordion Screen") * (calc_rusacc!D15:D65&lt;&gt;"")),"")</f>
        <v/>
      </c>
      <c r="E1444" s="16" t="str" cm="1">
        <f t="array" ref="E1444">IF(C1444&lt;&gt;"", _xlfn.XLOOKUP(1,((SKUs!$A$2:$A$10001=cl_unmerged!B1383) * (LEFT(SKUs!$J$2:$J$10001, LEN("Aluminum Tube"))="Aluminum Tube")), SKUs!$J$2:$J$10001,""),"")</f>
        <v/>
      </c>
      <c r="F1444" s="33" t="str" cm="1">
        <f t="array" ref="F1444">_xlfn.XLOOKUP(1,((SKUs!$A$2:$A$10001=cl_unmerged!B1444) * (LEFT(SKUs!$J$2:$J$10001, LEN("Aluminum Tube"))="Aluminum Tube") * (ISNUMBER(SEARCH(A1444,SKUs!$C$2:$C$10001)))), SKUs!$C$2:$C$10001,"")</f>
        <v/>
      </c>
      <c r="G1444" s="16"/>
      <c r="H1444" s="16" t="str" cm="1">
        <f t="array" ref="H1444">IFERROR(_xlfn._xlws.FILTER(calc_rusacc!X15:X65,(calc_rusacc!E15:E65&lt;&gt;"Accordion Screen") * (calc_rusacc!D15:D65&lt;&gt;"")),"")</f>
        <v/>
      </c>
      <c r="I1444" s="16"/>
    </row>
    <row r="1445" spans="1:9" x14ac:dyDescent="0.25">
      <c r="A1445" s="41" t="str">
        <f>_xlfn.XLOOKUP(G1445,dd_color!$A$2:$A$8,dd_color!$B$2:$B$8,"",0)</f>
        <v/>
      </c>
      <c r="B1445" s="41">
        <f>_xlfn.XLOOKUP(_xlfn.XLOOKUP(C1445,'Project Details'!$C$17:$C$10003,'Project Details'!$E$17:$E$10003, "",0),dd_design_raw!$A$2:$A$9997,dd_design_raw!$C$2:$C$9997,"",0)</f>
        <v>0</v>
      </c>
      <c r="C1445" s="16"/>
      <c r="D1445" s="16"/>
      <c r="E1445" s="16" t="str" cm="1">
        <f t="array" ref="E1445">IF(C1445&lt;&gt;"", _xlfn.XLOOKUP(1,((SKUs!$A$2:$A$10001=cl_unmerged!B1384) * (LEFT(SKUs!$J$2:$J$10001, LEN("Aluminum Tube"))="Aluminum Tube")), SKUs!$J$2:$J$10001,""),"")</f>
        <v/>
      </c>
      <c r="F1445" s="33" t="str" cm="1">
        <f t="array" ref="F1445">_xlfn.XLOOKUP(1,((SKUs!$A$2:$A$10001=cl_unmerged!B1445) * (LEFT(SKUs!$J$2:$J$10001, LEN("Aluminum Tube"))="Aluminum Tube") * (ISNUMBER(SEARCH(A1445,SKUs!$C$2:$C$10001)))), SKUs!$C$2:$C$10001,"")</f>
        <v/>
      </c>
      <c r="G1445" s="16"/>
      <c r="H1445" s="16"/>
      <c r="I1445" s="16"/>
    </row>
    <row r="1446" spans="1:9" x14ac:dyDescent="0.25">
      <c r="A1446" s="41" t="str">
        <f>_xlfn.XLOOKUP(G1446,dd_color!$A$2:$A$8,dd_color!$B$2:$B$8,"",0)</f>
        <v/>
      </c>
      <c r="B1446" s="41">
        <f>_xlfn.XLOOKUP(_xlfn.XLOOKUP(C1446,'Project Details'!$C$17:$C$10003,'Project Details'!$E$17:$E$10003, "",0),dd_design_raw!$A$2:$A$9997,dd_design_raw!$C$2:$C$9997,"",0)</f>
        <v>0</v>
      </c>
      <c r="C1446" s="16"/>
      <c r="D1446" s="16"/>
      <c r="E1446" s="16" t="str" cm="1">
        <f t="array" ref="E1446">IF(C1446&lt;&gt;"", _xlfn.XLOOKUP(1,((SKUs!$A$2:$A$10001=cl_unmerged!B1385) * (LEFT(SKUs!$J$2:$J$10001, LEN("Aluminum Tube"))="Aluminum Tube")), SKUs!$J$2:$J$10001,""),"")</f>
        <v/>
      </c>
      <c r="F1446" s="33" t="str" cm="1">
        <f t="array" ref="F1446">_xlfn.XLOOKUP(1,((SKUs!$A$2:$A$10001=cl_unmerged!B1446) * (LEFT(SKUs!$J$2:$J$10001, LEN("Aluminum Tube"))="Aluminum Tube") * (ISNUMBER(SEARCH(A1446,SKUs!$C$2:$C$10001)))), SKUs!$C$2:$C$10001,"")</f>
        <v/>
      </c>
      <c r="G1446" s="16"/>
      <c r="H1446" s="16"/>
      <c r="I1446" s="16"/>
    </row>
    <row r="1447" spans="1:9" x14ac:dyDescent="0.25">
      <c r="A1447" s="41" t="str">
        <f>_xlfn.XLOOKUP(G1447,dd_color!$A$2:$A$8,dd_color!$B$2:$B$8,"",0)</f>
        <v/>
      </c>
      <c r="B1447" s="41">
        <f>_xlfn.XLOOKUP(_xlfn.XLOOKUP(C1447,'Project Details'!$C$17:$C$10003,'Project Details'!$E$17:$E$10003, "",0),dd_design_raw!$A$2:$A$9997,dd_design_raw!$C$2:$C$9997,"",0)</f>
        <v>0</v>
      </c>
      <c r="C1447" s="16"/>
      <c r="D1447" s="16"/>
      <c r="E1447" s="16" t="str" cm="1">
        <f t="array" ref="E1447">IF(C1447&lt;&gt;"", _xlfn.XLOOKUP(1,((SKUs!$A$2:$A$10001=cl_unmerged!B1386) * (LEFT(SKUs!$J$2:$J$10001, LEN("Aluminum Tube"))="Aluminum Tube")), SKUs!$J$2:$J$10001,""),"")</f>
        <v/>
      </c>
      <c r="F1447" s="33" t="str" cm="1">
        <f t="array" ref="F1447">_xlfn.XLOOKUP(1,((SKUs!$A$2:$A$10001=cl_unmerged!B1447) * (LEFT(SKUs!$J$2:$J$10001, LEN("Aluminum Tube"))="Aluminum Tube") * (ISNUMBER(SEARCH(A1447,SKUs!$C$2:$C$10001)))), SKUs!$C$2:$C$10001,"")</f>
        <v/>
      </c>
      <c r="G1447" s="16"/>
      <c r="H1447" s="16"/>
      <c r="I1447" s="16"/>
    </row>
    <row r="1448" spans="1:9" x14ac:dyDescent="0.25">
      <c r="A1448" s="41" t="str">
        <f>_xlfn.XLOOKUP(G1448,dd_color!$A$2:$A$8,dd_color!$B$2:$B$8,"",0)</f>
        <v/>
      </c>
      <c r="B1448" s="41">
        <f>_xlfn.XLOOKUP(_xlfn.XLOOKUP(C1448,'Project Details'!$C$17:$C$10003,'Project Details'!$E$17:$E$10003, "",0),dd_design_raw!$A$2:$A$9997,dd_design_raw!$C$2:$C$9997,"",0)</f>
        <v>0</v>
      </c>
      <c r="C1448" s="16"/>
      <c r="D1448" s="16"/>
      <c r="E1448" s="16" t="str" cm="1">
        <f t="array" ref="E1448">IF(C1448&lt;&gt;"", _xlfn.XLOOKUP(1,((SKUs!$A$2:$A$10001=cl_unmerged!B1387) * (LEFT(SKUs!$J$2:$J$10001, LEN("Aluminum Tube"))="Aluminum Tube")), SKUs!$J$2:$J$10001,""),"")</f>
        <v/>
      </c>
      <c r="F1448" s="33" t="str" cm="1">
        <f t="array" ref="F1448">_xlfn.XLOOKUP(1,((SKUs!$A$2:$A$10001=cl_unmerged!B1448) * (LEFT(SKUs!$J$2:$J$10001, LEN("Aluminum Tube"))="Aluminum Tube") * (ISNUMBER(SEARCH(A1448,SKUs!$C$2:$C$10001)))), SKUs!$C$2:$C$10001,"")</f>
        <v/>
      </c>
      <c r="G1448" s="16"/>
      <c r="H1448" s="16"/>
      <c r="I1448" s="16"/>
    </row>
    <row r="1449" spans="1:9" x14ac:dyDescent="0.25">
      <c r="A1449" s="41" t="str">
        <f>_xlfn.XLOOKUP(G1449,dd_color!$A$2:$A$8,dd_color!$B$2:$B$8,"",0)</f>
        <v/>
      </c>
      <c r="B1449" s="41">
        <f>_xlfn.XLOOKUP(_xlfn.XLOOKUP(C1449,'Project Details'!$C$17:$C$10003,'Project Details'!$E$17:$E$10003, "",0),dd_design_raw!$A$2:$A$9997,dd_design_raw!$C$2:$C$9997,"",0)</f>
        <v>0</v>
      </c>
      <c r="C1449" s="16"/>
      <c r="D1449" s="16"/>
      <c r="E1449" s="16" t="str" cm="1">
        <f t="array" ref="E1449">IF(C1449&lt;&gt;"", _xlfn.XLOOKUP(1,((SKUs!$A$2:$A$10001=cl_unmerged!B1388) * (LEFT(SKUs!$J$2:$J$10001, LEN("Aluminum Tube"))="Aluminum Tube")), SKUs!$J$2:$J$10001,""),"")</f>
        <v/>
      </c>
      <c r="F1449" s="33" t="str" cm="1">
        <f t="array" ref="F1449">_xlfn.XLOOKUP(1,((SKUs!$A$2:$A$10001=cl_unmerged!B1449) * (LEFT(SKUs!$J$2:$J$10001, LEN("Aluminum Tube"))="Aluminum Tube") * (ISNUMBER(SEARCH(A1449,SKUs!$C$2:$C$10001)))), SKUs!$C$2:$C$10001,"")</f>
        <v/>
      </c>
      <c r="G1449" s="16"/>
      <c r="H1449" s="16"/>
      <c r="I1449" s="16"/>
    </row>
    <row r="1450" spans="1:9" x14ac:dyDescent="0.25">
      <c r="A1450" s="41" t="str">
        <f>_xlfn.XLOOKUP(G1450,dd_color!$A$2:$A$8,dd_color!$B$2:$B$8,"",0)</f>
        <v/>
      </c>
      <c r="B1450" s="41">
        <f>_xlfn.XLOOKUP(_xlfn.XLOOKUP(C1450,'Project Details'!$C$17:$C$10003,'Project Details'!$E$17:$E$10003, "",0),dd_design_raw!$A$2:$A$9997,dd_design_raw!$C$2:$C$9997,"",0)</f>
        <v>0</v>
      </c>
      <c r="C1450" s="16"/>
      <c r="D1450" s="16"/>
      <c r="E1450" s="16" t="str" cm="1">
        <f t="array" ref="E1450">IF(C1450&lt;&gt;"", _xlfn.XLOOKUP(1,((SKUs!$A$2:$A$10001=cl_unmerged!B1389) * (LEFT(SKUs!$J$2:$J$10001, LEN("Aluminum Tube"))="Aluminum Tube")), SKUs!$J$2:$J$10001,""),"")</f>
        <v/>
      </c>
      <c r="F1450" s="33" t="str" cm="1">
        <f t="array" ref="F1450">_xlfn.XLOOKUP(1,((SKUs!$A$2:$A$10001=cl_unmerged!B1450) * (LEFT(SKUs!$J$2:$J$10001, LEN("Aluminum Tube"))="Aluminum Tube") * (ISNUMBER(SEARCH(A1450,SKUs!$C$2:$C$10001)))), SKUs!$C$2:$C$10001,"")</f>
        <v/>
      </c>
      <c r="G1450" s="16"/>
      <c r="H1450" s="16"/>
      <c r="I1450" s="16"/>
    </row>
    <row r="1451" spans="1:9" x14ac:dyDescent="0.25">
      <c r="A1451" s="41" t="str">
        <f>_xlfn.XLOOKUP(G1451,dd_color!$A$2:$A$8,dd_color!$B$2:$B$8,"",0)</f>
        <v/>
      </c>
      <c r="B1451" s="41">
        <f>_xlfn.XLOOKUP(_xlfn.XLOOKUP(C1451,'Project Details'!$C$17:$C$10003,'Project Details'!$E$17:$E$10003, "",0),dd_design_raw!$A$2:$A$9997,dd_design_raw!$C$2:$C$9997,"",0)</f>
        <v>0</v>
      </c>
      <c r="C1451" s="16"/>
      <c r="D1451" s="16"/>
      <c r="E1451" s="16" t="str" cm="1">
        <f t="array" ref="E1451">IF(C1451&lt;&gt;"", _xlfn.XLOOKUP(1,((SKUs!$A$2:$A$10001=cl_unmerged!B1390) * (LEFT(SKUs!$J$2:$J$10001, LEN("Aluminum Tube"))="Aluminum Tube")), SKUs!$J$2:$J$10001,""),"")</f>
        <v/>
      </c>
      <c r="F1451" s="33" t="str" cm="1">
        <f t="array" ref="F1451">_xlfn.XLOOKUP(1,((SKUs!$A$2:$A$10001=cl_unmerged!B1451) * (LEFT(SKUs!$J$2:$J$10001, LEN("Aluminum Tube"))="Aluminum Tube") * (ISNUMBER(SEARCH(A1451,SKUs!$C$2:$C$10001)))), SKUs!$C$2:$C$10001,"")</f>
        <v/>
      </c>
      <c r="G1451" s="16"/>
      <c r="H1451" s="16"/>
      <c r="I1451" s="16"/>
    </row>
    <row r="1452" spans="1:9" x14ac:dyDescent="0.25">
      <c r="A1452" s="41" t="str">
        <f>_xlfn.XLOOKUP(G1452,dd_color!$A$2:$A$8,dd_color!$B$2:$B$8,"",0)</f>
        <v/>
      </c>
      <c r="B1452" s="41">
        <f>_xlfn.XLOOKUP(_xlfn.XLOOKUP(C1452,'Project Details'!$C$17:$C$10003,'Project Details'!$E$17:$E$10003, "",0),dd_design_raw!$A$2:$A$9997,dd_design_raw!$C$2:$C$9997,"",0)</f>
        <v>0</v>
      </c>
      <c r="C1452" s="16"/>
      <c r="D1452" s="16"/>
      <c r="E1452" s="16" t="str" cm="1">
        <f t="array" ref="E1452">IF(C1452&lt;&gt;"", _xlfn.XLOOKUP(1,((SKUs!$A$2:$A$10001=cl_unmerged!B1391) * (LEFT(SKUs!$J$2:$J$10001, LEN("Aluminum Tube"))="Aluminum Tube")), SKUs!$J$2:$J$10001,""),"")</f>
        <v/>
      </c>
      <c r="F1452" s="33" t="str" cm="1">
        <f t="array" ref="F1452">_xlfn.XLOOKUP(1,((SKUs!$A$2:$A$10001=cl_unmerged!B1452) * (LEFT(SKUs!$J$2:$J$10001, LEN("Aluminum Tube"))="Aluminum Tube") * (ISNUMBER(SEARCH(A1452,SKUs!$C$2:$C$10001)))), SKUs!$C$2:$C$10001,"")</f>
        <v/>
      </c>
      <c r="G1452" s="16"/>
      <c r="H1452" s="16"/>
      <c r="I1452" s="16"/>
    </row>
    <row r="1453" spans="1:9" x14ac:dyDescent="0.25">
      <c r="A1453" s="41" t="str">
        <f>_xlfn.XLOOKUP(G1453,dd_color!$A$2:$A$8,dd_color!$B$2:$B$8,"",0)</f>
        <v/>
      </c>
      <c r="B1453" s="41">
        <f>_xlfn.XLOOKUP(_xlfn.XLOOKUP(C1453,'Project Details'!$C$17:$C$10003,'Project Details'!$E$17:$E$10003, "",0),dd_design_raw!$A$2:$A$9997,dd_design_raw!$C$2:$C$9997,"",0)</f>
        <v>0</v>
      </c>
      <c r="C1453" s="16"/>
      <c r="D1453" s="16"/>
      <c r="E1453" s="16" t="str" cm="1">
        <f t="array" ref="E1453">IF(C1453&lt;&gt;"", _xlfn.XLOOKUP(1,((SKUs!$A$2:$A$10001=cl_unmerged!B1392) * (LEFT(SKUs!$J$2:$J$10001, LEN("Aluminum Tube"))="Aluminum Tube")), SKUs!$J$2:$J$10001,""),"")</f>
        <v/>
      </c>
      <c r="F1453" s="33" t="str" cm="1">
        <f t="array" ref="F1453">_xlfn.XLOOKUP(1,((SKUs!$A$2:$A$10001=cl_unmerged!B1453) * (LEFT(SKUs!$J$2:$J$10001, LEN("Aluminum Tube"))="Aluminum Tube") * (ISNUMBER(SEARCH(A1453,SKUs!$C$2:$C$10001)))), SKUs!$C$2:$C$10001,"")</f>
        <v/>
      </c>
      <c r="G1453" s="16"/>
      <c r="H1453" s="16"/>
      <c r="I1453" s="16"/>
    </row>
    <row r="1454" spans="1:9" x14ac:dyDescent="0.25">
      <c r="A1454" s="41" t="str">
        <f>_xlfn.XLOOKUP(G1454,dd_color!$A$2:$A$8,dd_color!$B$2:$B$8,"",0)</f>
        <v/>
      </c>
      <c r="B1454" s="41">
        <f>_xlfn.XLOOKUP(_xlfn.XLOOKUP(C1454,'Project Details'!$C$17:$C$10003,'Project Details'!$E$17:$E$10003, "",0),dd_design_raw!$A$2:$A$9997,dd_design_raw!$C$2:$C$9997,"",0)</f>
        <v>0</v>
      </c>
      <c r="C1454" s="16"/>
      <c r="D1454" s="16"/>
      <c r="E1454" s="16" t="str" cm="1">
        <f t="array" ref="E1454">IF(C1454&lt;&gt;"", _xlfn.XLOOKUP(1,((SKUs!$A$2:$A$10001=cl_unmerged!B1393) * (LEFT(SKUs!$J$2:$J$10001, LEN("Aluminum Tube"))="Aluminum Tube")), SKUs!$J$2:$J$10001,""),"")</f>
        <v/>
      </c>
      <c r="F1454" s="33" t="str" cm="1">
        <f t="array" ref="F1454">_xlfn.XLOOKUP(1,((SKUs!$A$2:$A$10001=cl_unmerged!B1454) * (LEFT(SKUs!$J$2:$J$10001, LEN("Aluminum Tube"))="Aluminum Tube") * (ISNUMBER(SEARCH(A1454,SKUs!$C$2:$C$10001)))), SKUs!$C$2:$C$10001,"")</f>
        <v/>
      </c>
      <c r="G1454" s="16"/>
      <c r="H1454" s="16"/>
      <c r="I1454" s="16"/>
    </row>
    <row r="1455" spans="1:9" x14ac:dyDescent="0.25">
      <c r="A1455" s="41" t="str">
        <f>_xlfn.XLOOKUP(G1455,dd_color!$A$2:$A$8,dd_color!$B$2:$B$8,"",0)</f>
        <v/>
      </c>
      <c r="B1455" s="41">
        <f>_xlfn.XLOOKUP(_xlfn.XLOOKUP(C1455,'Project Details'!$C$17:$C$10003,'Project Details'!$E$17:$E$10003, "",0),dd_design_raw!$A$2:$A$9997,dd_design_raw!$C$2:$C$9997,"",0)</f>
        <v>0</v>
      </c>
      <c r="C1455" s="16"/>
      <c r="D1455" s="16"/>
      <c r="E1455" s="16" t="str" cm="1">
        <f t="array" ref="E1455">IF(C1455&lt;&gt;"", _xlfn.XLOOKUP(1,((SKUs!$A$2:$A$10001=cl_unmerged!B1394) * (LEFT(SKUs!$J$2:$J$10001, LEN("Aluminum Tube"))="Aluminum Tube")), SKUs!$J$2:$J$10001,""),"")</f>
        <v/>
      </c>
      <c r="F1455" s="33" t="str" cm="1">
        <f t="array" ref="F1455">_xlfn.XLOOKUP(1,((SKUs!$A$2:$A$10001=cl_unmerged!B1455) * (LEFT(SKUs!$J$2:$J$10001, LEN("Aluminum Tube"))="Aluminum Tube") * (ISNUMBER(SEARCH(A1455,SKUs!$C$2:$C$10001)))), SKUs!$C$2:$C$10001,"")</f>
        <v/>
      </c>
      <c r="G1455" s="16"/>
      <c r="H1455" s="16"/>
      <c r="I1455" s="16"/>
    </row>
    <row r="1456" spans="1:9" x14ac:dyDescent="0.25">
      <c r="A1456" s="41" t="str">
        <f>_xlfn.XLOOKUP(G1456,dd_color!$A$2:$A$8,dd_color!$B$2:$B$8,"",0)</f>
        <v/>
      </c>
      <c r="B1456" s="41">
        <f>_xlfn.XLOOKUP(_xlfn.XLOOKUP(C1456,'Project Details'!$C$17:$C$10003,'Project Details'!$E$17:$E$10003, "",0),dd_design_raw!$A$2:$A$9997,dd_design_raw!$C$2:$C$9997,"",0)</f>
        <v>0</v>
      </c>
      <c r="C1456" s="16"/>
      <c r="D1456" s="16"/>
      <c r="E1456" s="16" t="str" cm="1">
        <f t="array" ref="E1456">IF(C1456&lt;&gt;"", _xlfn.XLOOKUP(1,((SKUs!$A$2:$A$10001=cl_unmerged!B1395) * (LEFT(SKUs!$J$2:$J$10001, LEN("Aluminum Tube"))="Aluminum Tube")), SKUs!$J$2:$J$10001,""),"")</f>
        <v/>
      </c>
      <c r="F1456" s="33" t="str" cm="1">
        <f t="array" ref="F1456">_xlfn.XLOOKUP(1,((SKUs!$A$2:$A$10001=cl_unmerged!B1456) * (LEFT(SKUs!$J$2:$J$10001, LEN("Aluminum Tube"))="Aluminum Tube") * (ISNUMBER(SEARCH(A1456,SKUs!$C$2:$C$10001)))), SKUs!$C$2:$C$10001,"")</f>
        <v/>
      </c>
      <c r="G1456" s="16"/>
      <c r="H1456" s="16"/>
      <c r="I1456" s="16"/>
    </row>
    <row r="1457" spans="1:9" x14ac:dyDescent="0.25">
      <c r="A1457" s="41" t="str">
        <f>_xlfn.XLOOKUP(G1457,dd_color!$A$2:$A$8,dd_color!$B$2:$B$8,"",0)</f>
        <v/>
      </c>
      <c r="B1457" s="41">
        <f>_xlfn.XLOOKUP(_xlfn.XLOOKUP(C1457,'Project Details'!$C$17:$C$10003,'Project Details'!$E$17:$E$10003, "",0),dd_design_raw!$A$2:$A$9997,dd_design_raw!$C$2:$C$9997,"",0)</f>
        <v>0</v>
      </c>
      <c r="C1457" s="16"/>
      <c r="D1457" s="16"/>
      <c r="E1457" s="16" t="str" cm="1">
        <f t="array" ref="E1457">IF(C1457&lt;&gt;"", _xlfn.XLOOKUP(1,((SKUs!$A$2:$A$10001=cl_unmerged!B1396) * (LEFT(SKUs!$J$2:$J$10001, LEN("Aluminum Tube"))="Aluminum Tube")), SKUs!$J$2:$J$10001,""),"")</f>
        <v/>
      </c>
      <c r="F1457" s="33" t="str" cm="1">
        <f t="array" ref="F1457">_xlfn.XLOOKUP(1,((SKUs!$A$2:$A$10001=cl_unmerged!B1457) * (LEFT(SKUs!$J$2:$J$10001, LEN("Aluminum Tube"))="Aluminum Tube") * (ISNUMBER(SEARCH(A1457,SKUs!$C$2:$C$10001)))), SKUs!$C$2:$C$10001,"")</f>
        <v/>
      </c>
      <c r="G1457" s="16"/>
      <c r="H1457" s="16"/>
      <c r="I1457" s="16"/>
    </row>
    <row r="1458" spans="1:9" x14ac:dyDescent="0.25">
      <c r="A1458" s="41" t="str">
        <f>_xlfn.XLOOKUP(G1458,dd_color!$A$2:$A$8,dd_color!$B$2:$B$8,"",0)</f>
        <v/>
      </c>
      <c r="B1458" s="41">
        <f>_xlfn.XLOOKUP(_xlfn.XLOOKUP(C1458,'Project Details'!$C$17:$C$10003,'Project Details'!$E$17:$E$10003, "",0),dd_design_raw!$A$2:$A$9997,dd_design_raw!$C$2:$C$9997,"",0)</f>
        <v>0</v>
      </c>
      <c r="C1458" s="16"/>
      <c r="D1458" s="16"/>
      <c r="E1458" s="16" t="str" cm="1">
        <f t="array" ref="E1458">IF(C1458&lt;&gt;"", _xlfn.XLOOKUP(1,((SKUs!$A$2:$A$10001=cl_unmerged!B1397) * (LEFT(SKUs!$J$2:$J$10001, LEN("Aluminum Tube"))="Aluminum Tube")), SKUs!$J$2:$J$10001,""),"")</f>
        <v/>
      </c>
      <c r="F1458" s="33" t="str" cm="1">
        <f t="array" ref="F1458">_xlfn.XLOOKUP(1,((SKUs!$A$2:$A$10001=cl_unmerged!B1458) * (LEFT(SKUs!$J$2:$J$10001, LEN("Aluminum Tube"))="Aluminum Tube") * (ISNUMBER(SEARCH(A1458,SKUs!$C$2:$C$10001)))), SKUs!$C$2:$C$10001,"")</f>
        <v/>
      </c>
      <c r="G1458" s="16"/>
      <c r="H1458" s="16"/>
      <c r="I1458" s="16"/>
    </row>
    <row r="1459" spans="1:9" x14ac:dyDescent="0.25">
      <c r="A1459" s="41" t="str">
        <f>_xlfn.XLOOKUP(G1459,dd_color!$A$2:$A$8,dd_color!$B$2:$B$8,"",0)</f>
        <v/>
      </c>
      <c r="B1459" s="41">
        <f>_xlfn.XLOOKUP(_xlfn.XLOOKUP(C1459,'Project Details'!$C$17:$C$10003,'Project Details'!$E$17:$E$10003, "",0),dd_design_raw!$A$2:$A$9997,dd_design_raw!$C$2:$C$9997,"",0)</f>
        <v>0</v>
      </c>
      <c r="C1459" s="16"/>
      <c r="D1459" s="16"/>
      <c r="E1459" s="16" t="str" cm="1">
        <f t="array" ref="E1459">IF(C1459&lt;&gt;"", _xlfn.XLOOKUP(1,((SKUs!$A$2:$A$10001=cl_unmerged!B1398) * (LEFT(SKUs!$J$2:$J$10001, LEN("Aluminum Tube"))="Aluminum Tube")), SKUs!$J$2:$J$10001,""),"")</f>
        <v/>
      </c>
      <c r="F1459" s="33" t="str" cm="1">
        <f t="array" ref="F1459">_xlfn.XLOOKUP(1,((SKUs!$A$2:$A$10001=cl_unmerged!B1459) * (LEFT(SKUs!$J$2:$J$10001, LEN("Aluminum Tube"))="Aluminum Tube") * (ISNUMBER(SEARCH(A1459,SKUs!$C$2:$C$10001)))), SKUs!$C$2:$C$10001,"")</f>
        <v/>
      </c>
      <c r="G1459" s="16"/>
      <c r="H1459" s="16"/>
      <c r="I1459" s="16"/>
    </row>
    <row r="1460" spans="1:9" x14ac:dyDescent="0.25">
      <c r="A1460" s="41" t="str">
        <f>_xlfn.XLOOKUP(G1460,dd_color!$A$2:$A$8,dd_color!$B$2:$B$8,"",0)</f>
        <v/>
      </c>
      <c r="B1460" s="41">
        <f>_xlfn.XLOOKUP(_xlfn.XLOOKUP(C1460,'Project Details'!$C$17:$C$10003,'Project Details'!$E$17:$E$10003, "",0),dd_design_raw!$A$2:$A$9997,dd_design_raw!$C$2:$C$9997,"",0)</f>
        <v>0</v>
      </c>
      <c r="C1460" s="16"/>
      <c r="D1460" s="16"/>
      <c r="E1460" s="16" t="str" cm="1">
        <f t="array" ref="E1460">IF(C1460&lt;&gt;"", _xlfn.XLOOKUP(1,((SKUs!$A$2:$A$10001=cl_unmerged!B1399) * (LEFT(SKUs!$J$2:$J$10001, LEN("Aluminum Tube"))="Aluminum Tube")), SKUs!$J$2:$J$10001,""),"")</f>
        <v/>
      </c>
      <c r="F1460" s="33" t="str" cm="1">
        <f t="array" ref="F1460">_xlfn.XLOOKUP(1,((SKUs!$A$2:$A$10001=cl_unmerged!B1460) * (LEFT(SKUs!$J$2:$J$10001, LEN("Aluminum Tube"))="Aluminum Tube") * (ISNUMBER(SEARCH(A1460,SKUs!$C$2:$C$10001)))), SKUs!$C$2:$C$10001,"")</f>
        <v/>
      </c>
      <c r="G1460" s="16"/>
      <c r="H1460" s="16"/>
      <c r="I1460" s="16"/>
    </row>
    <row r="1461" spans="1:9" x14ac:dyDescent="0.25">
      <c r="A1461" s="41" t="str">
        <f>_xlfn.XLOOKUP(G1461,dd_color!$A$2:$A$8,dd_color!$B$2:$B$8,"",0)</f>
        <v/>
      </c>
      <c r="B1461" s="41">
        <f>_xlfn.XLOOKUP(_xlfn.XLOOKUP(C1461,'Project Details'!$C$17:$C$10003,'Project Details'!$E$17:$E$10003, "",0),dd_design_raw!$A$2:$A$9997,dd_design_raw!$C$2:$C$9997,"",0)</f>
        <v>0</v>
      </c>
      <c r="C1461" s="16"/>
      <c r="D1461" s="16"/>
      <c r="E1461" s="16" t="str" cm="1">
        <f t="array" ref="E1461">IF(C1461&lt;&gt;"", _xlfn.XLOOKUP(1,((SKUs!$A$2:$A$10001=cl_unmerged!B1400) * (LEFT(SKUs!$J$2:$J$10001, LEN("Aluminum Tube"))="Aluminum Tube")), SKUs!$J$2:$J$10001,""),"")</f>
        <v/>
      </c>
      <c r="F1461" s="33" t="str" cm="1">
        <f t="array" ref="F1461">_xlfn.XLOOKUP(1,((SKUs!$A$2:$A$10001=cl_unmerged!B1461) * (LEFT(SKUs!$J$2:$J$10001, LEN("Aluminum Tube"))="Aluminum Tube") * (ISNUMBER(SEARCH(A1461,SKUs!$C$2:$C$10001)))), SKUs!$C$2:$C$10001,"")</f>
        <v/>
      </c>
      <c r="G1461" s="16"/>
      <c r="H1461" s="16"/>
      <c r="I1461" s="16"/>
    </row>
    <row r="1462" spans="1:9" x14ac:dyDescent="0.25">
      <c r="A1462" s="41" t="str">
        <f>_xlfn.XLOOKUP(G1462,dd_color!$A$2:$A$8,dd_color!$B$2:$B$8,"",0)</f>
        <v/>
      </c>
      <c r="B1462" s="41">
        <f>_xlfn.XLOOKUP(_xlfn.XLOOKUP(C1462,'Project Details'!$C$17:$C$10003,'Project Details'!$E$17:$E$10003, "",0),dd_design_raw!$A$2:$A$9997,dd_design_raw!$C$2:$C$9997,"",0)</f>
        <v>0</v>
      </c>
      <c r="C1462" s="16"/>
      <c r="D1462" s="16"/>
      <c r="E1462" s="16" t="str" cm="1">
        <f t="array" ref="E1462">IF(C1462&lt;&gt;"", _xlfn.XLOOKUP(1,((SKUs!$A$2:$A$10001=cl_unmerged!B1401) * (LEFT(SKUs!$J$2:$J$10001, LEN("Aluminum Tube"))="Aluminum Tube")), SKUs!$J$2:$J$10001,""),"")</f>
        <v/>
      </c>
      <c r="F1462" s="33" t="str" cm="1">
        <f t="array" ref="F1462">_xlfn.XLOOKUP(1,((SKUs!$A$2:$A$10001=cl_unmerged!B1462) * (LEFT(SKUs!$J$2:$J$10001, LEN("Aluminum Tube"))="Aluminum Tube") * (ISNUMBER(SEARCH(A1462,SKUs!$C$2:$C$10001)))), SKUs!$C$2:$C$10001,"")</f>
        <v/>
      </c>
      <c r="G1462" s="16"/>
      <c r="H1462" s="16"/>
      <c r="I1462" s="16"/>
    </row>
    <row r="1463" spans="1:9" ht="13.5" customHeight="1" x14ac:dyDescent="0.25">
      <c r="A1463" s="41" t="str">
        <f>_xlfn.XLOOKUP(G1463,dd_color!$A$2:$A$8,dd_color!$B$2:$B$8,"",0)</f>
        <v/>
      </c>
      <c r="B1463" s="41">
        <f>_xlfn.XLOOKUP(_xlfn.XLOOKUP(C1463,'Project Details'!$C$17:$C$10003,'Project Details'!$E$17:$E$10003, "",0),dd_design_raw!$A$2:$A$9997,dd_design_raw!$C$2:$C$9997,"",0)</f>
        <v>0</v>
      </c>
      <c r="C1463" s="16"/>
      <c r="D1463" s="16"/>
      <c r="E1463" s="16" t="str" cm="1">
        <f t="array" ref="E1463">IF(C1463&lt;&gt;"", _xlfn.XLOOKUP(1,((SKUs!$A$2:$A$10001=cl_unmerged!B1402) * (LEFT(SKUs!$J$2:$J$10001, LEN("Aluminum Tube"))="Aluminum Tube")), SKUs!$J$2:$J$10001,""),"")</f>
        <v/>
      </c>
      <c r="F1463" s="33" t="str" cm="1">
        <f t="array" ref="F1463">_xlfn.XLOOKUP(1,((SKUs!$A$2:$A$10001=cl_unmerged!B1463) * (LEFT(SKUs!$J$2:$J$10001, LEN("Aluminum Tube"))="Aluminum Tube") * (ISNUMBER(SEARCH(A1463,SKUs!$C$2:$C$10001)))), SKUs!$C$2:$C$10001,"")</f>
        <v/>
      </c>
      <c r="G1463" s="16"/>
      <c r="H1463" s="16"/>
      <c r="I1463" s="16"/>
    </row>
    <row r="1464" spans="1:9" ht="13.5" customHeight="1" x14ac:dyDescent="0.25">
      <c r="A1464" s="41" t="str">
        <f>_xlfn.XLOOKUP(G1464,dd_color!$A$2:$A$8,dd_color!$B$2:$B$8,"",0)</f>
        <v/>
      </c>
      <c r="B1464" s="41">
        <f>_xlfn.XLOOKUP(_xlfn.XLOOKUP(C1464,'Project Details'!$C$17:$C$10003,'Project Details'!$E$17:$E$10003, "",0),dd_design_raw!$A$2:$A$9997,dd_design_raw!$C$2:$C$9997,"",0)</f>
        <v>0</v>
      </c>
      <c r="C1464" s="16"/>
      <c r="D1464" s="16"/>
      <c r="E1464" s="16" t="str" cm="1">
        <f t="array" ref="E1464">IF(C1464&lt;&gt;"", _xlfn.XLOOKUP(1,((SKUs!$A$2:$A$10001=cl_unmerged!B1403) * (LEFT(SKUs!$J$2:$J$10001, LEN("Aluminum Tube"))="Aluminum Tube")), SKUs!$J$2:$J$10001,""),"")</f>
        <v/>
      </c>
      <c r="F1464" s="33" t="str" cm="1">
        <f t="array" ref="F1464">_xlfn.XLOOKUP(1,((SKUs!$A$2:$A$10001=cl_unmerged!B1464) * (LEFT(SKUs!$J$2:$J$10001, LEN("Aluminum Tube"))="Aluminum Tube") * (ISNUMBER(SEARCH(A1464,SKUs!$C$2:$C$10001)))), SKUs!$C$2:$C$10001,"")</f>
        <v/>
      </c>
      <c r="G1464" s="16"/>
      <c r="H1464" s="16"/>
      <c r="I1464" s="16"/>
    </row>
    <row r="1465" spans="1:9" ht="13.5" customHeight="1" x14ac:dyDescent="0.25">
      <c r="A1465" s="41" t="str">
        <f>_xlfn.XLOOKUP(G1465,dd_color!$A$2:$A$8,dd_color!$B$2:$B$8,"",0)</f>
        <v/>
      </c>
      <c r="B1465" s="41">
        <f>_xlfn.XLOOKUP(_xlfn.XLOOKUP(C1465,'Project Details'!$C$17:$C$10003,'Project Details'!$E$17:$E$10003, "",0),dd_design_raw!$A$2:$A$9997,dd_design_raw!$C$2:$C$9997,"",0)</f>
        <v>0</v>
      </c>
      <c r="C1465" s="16"/>
      <c r="D1465" s="16"/>
      <c r="E1465" s="16" t="str" cm="1">
        <f t="array" ref="E1465">IF(C1465&lt;&gt;"", _xlfn.XLOOKUP(1,((SKUs!$A$2:$A$10001=cl_unmerged!B1404) * (LEFT(SKUs!$J$2:$J$10001, LEN("Aluminum Tube"))="Aluminum Tube")), SKUs!$J$2:$J$10001,""),"")</f>
        <v/>
      </c>
      <c r="F1465" s="33" t="str" cm="1">
        <f t="array" ref="F1465">_xlfn.XLOOKUP(1,((SKUs!$A$2:$A$10001=cl_unmerged!B1465) * (LEFT(SKUs!$J$2:$J$10001, LEN("Aluminum Tube"))="Aluminum Tube") * (ISNUMBER(SEARCH(A1465,SKUs!$C$2:$C$10001)))), SKUs!$C$2:$C$10001,"")</f>
        <v/>
      </c>
      <c r="G1465" s="16"/>
      <c r="H1465" s="16"/>
      <c r="I1465" s="16"/>
    </row>
    <row r="1466" spans="1:9" ht="13.5" customHeight="1" x14ac:dyDescent="0.25">
      <c r="A1466" s="41" t="str">
        <f>_xlfn.XLOOKUP(G1466,dd_color!$A$2:$A$8,dd_color!$B$2:$B$8,"",0)</f>
        <v/>
      </c>
      <c r="B1466" s="41">
        <f>_xlfn.XLOOKUP(_xlfn.XLOOKUP(C1466,'Project Details'!$C$17:$C$10003,'Project Details'!$E$17:$E$10003, "",0),dd_design_raw!$A$2:$A$9997,dd_design_raw!$C$2:$C$9997,"",0)</f>
        <v>0</v>
      </c>
      <c r="C1466" s="16"/>
      <c r="D1466" s="16"/>
      <c r="E1466" s="16" t="str" cm="1">
        <f t="array" ref="E1466">IF(C1466&lt;&gt;"", _xlfn.XLOOKUP(1,((SKUs!$A$2:$A$10001=cl_unmerged!B1405) * (LEFT(SKUs!$J$2:$J$10001, LEN("Aluminum Tube"))="Aluminum Tube")), SKUs!$J$2:$J$10001,""),"")</f>
        <v/>
      </c>
      <c r="F1466" s="33" t="str" cm="1">
        <f t="array" ref="F1466">_xlfn.XLOOKUP(1,((SKUs!$A$2:$A$10001=cl_unmerged!B1466) * (LEFT(SKUs!$J$2:$J$10001, LEN("Aluminum Tube"))="Aluminum Tube") * (ISNUMBER(SEARCH(A1466,SKUs!$C$2:$C$10001)))), SKUs!$C$2:$C$10001,"")</f>
        <v/>
      </c>
      <c r="G1466" s="16"/>
      <c r="H1466" s="16"/>
      <c r="I1466" s="16"/>
    </row>
    <row r="1467" spans="1:9" ht="13.5" customHeight="1" x14ac:dyDescent="0.25">
      <c r="A1467" s="41" t="str">
        <f>_xlfn.XLOOKUP(G1467,dd_color!$A$2:$A$8,dd_color!$B$2:$B$8,"",0)</f>
        <v/>
      </c>
      <c r="B1467" s="41">
        <f>_xlfn.XLOOKUP(_xlfn.XLOOKUP(C1467,'Project Details'!$C$17:$C$10003,'Project Details'!$E$17:$E$10003, "",0),dd_design_raw!$A$2:$A$9997,dd_design_raw!$C$2:$C$9997,"",0)</f>
        <v>0</v>
      </c>
      <c r="C1467" s="16"/>
      <c r="D1467" s="16"/>
      <c r="E1467" s="16" t="str" cm="1">
        <f t="array" ref="E1467">IF(C1467&lt;&gt;"", _xlfn.XLOOKUP(1,((SKUs!$A$2:$A$10001=cl_unmerged!B1406) * (LEFT(SKUs!$J$2:$J$10001, LEN("Aluminum Tube"))="Aluminum Tube")), SKUs!$J$2:$J$10001,""),"")</f>
        <v/>
      </c>
      <c r="F1467" s="33" t="str" cm="1">
        <f t="array" ref="F1467">_xlfn.XLOOKUP(1,((SKUs!$A$2:$A$10001=cl_unmerged!B1467) * (LEFT(SKUs!$J$2:$J$10001, LEN("Aluminum Tube"))="Aluminum Tube") * (ISNUMBER(SEARCH(A1467,SKUs!$C$2:$C$10001)))), SKUs!$C$2:$C$10001,"")</f>
        <v/>
      </c>
      <c r="G1467" s="16"/>
      <c r="H1467" s="16"/>
      <c r="I1467" s="16"/>
    </row>
    <row r="1468" spans="1:9" ht="13.5" customHeight="1" x14ac:dyDescent="0.25">
      <c r="A1468" s="41" t="str">
        <f>_xlfn.XLOOKUP(G1468,dd_color!$A$2:$A$8,dd_color!$B$2:$B$8,"",0)</f>
        <v/>
      </c>
      <c r="B1468" s="41">
        <f>_xlfn.XLOOKUP(_xlfn.XLOOKUP(C1468,'Project Details'!$C$17:$C$10003,'Project Details'!$E$17:$E$10003, "",0),dd_design_raw!$A$2:$A$9997,dd_design_raw!$C$2:$C$9997,"",0)</f>
        <v>0</v>
      </c>
      <c r="C1468" s="16"/>
      <c r="D1468" s="16"/>
      <c r="E1468" s="16" t="str" cm="1">
        <f t="array" ref="E1468">IF(C1468&lt;&gt;"", _xlfn.XLOOKUP(1,((SKUs!$A$2:$A$10001=cl_unmerged!B1407) * (LEFT(SKUs!$J$2:$J$10001, LEN("Aluminum Tube"))="Aluminum Tube")), SKUs!$J$2:$J$10001,""),"")</f>
        <v/>
      </c>
      <c r="F1468" s="33" t="str" cm="1">
        <f t="array" ref="F1468">_xlfn.XLOOKUP(1,((SKUs!$A$2:$A$10001=cl_unmerged!B1468) * (LEFT(SKUs!$J$2:$J$10001, LEN("Aluminum Tube"))="Aluminum Tube") * (ISNUMBER(SEARCH(A1468,SKUs!$C$2:$C$10001)))), SKUs!$C$2:$C$10001,"")</f>
        <v/>
      </c>
      <c r="G1468" s="16"/>
      <c r="H1468" s="16"/>
      <c r="I1468" s="16"/>
    </row>
    <row r="1469" spans="1:9" ht="13.5" customHeight="1" x14ac:dyDescent="0.25">
      <c r="A1469" s="41" t="str">
        <f>_xlfn.XLOOKUP(G1469,dd_color!$A$2:$A$8,dd_color!$B$2:$B$8,"",0)</f>
        <v/>
      </c>
      <c r="B1469" s="41">
        <f>_xlfn.XLOOKUP(_xlfn.XLOOKUP(C1469,'Project Details'!$C$17:$C$10003,'Project Details'!$E$17:$E$10003, "",0),dd_design_raw!$A$2:$A$9997,dd_design_raw!$C$2:$C$9997,"",0)</f>
        <v>0</v>
      </c>
      <c r="C1469" s="16"/>
      <c r="D1469" s="16"/>
      <c r="E1469" s="16" t="str" cm="1">
        <f t="array" ref="E1469">IF(C1469&lt;&gt;"", _xlfn.XLOOKUP(1,((SKUs!$A$2:$A$10001=cl_unmerged!B1408) * (LEFT(SKUs!$J$2:$J$10001, LEN("Aluminum Tube"))="Aluminum Tube")), SKUs!$J$2:$J$10001,""),"")</f>
        <v/>
      </c>
      <c r="F1469" s="33" t="str" cm="1">
        <f t="array" ref="F1469">_xlfn.XLOOKUP(1,((SKUs!$A$2:$A$10001=cl_unmerged!B1469) * (LEFT(SKUs!$J$2:$J$10001, LEN("Aluminum Tube"))="Aluminum Tube") * (ISNUMBER(SEARCH(A1469,SKUs!$C$2:$C$10001)))), SKUs!$C$2:$C$10001,"")</f>
        <v/>
      </c>
      <c r="G1469" s="16"/>
      <c r="H1469" s="16"/>
      <c r="I1469" s="16"/>
    </row>
    <row r="1470" spans="1:9" ht="13.5" customHeight="1" x14ac:dyDescent="0.25">
      <c r="A1470" s="41" t="str">
        <f>_xlfn.XLOOKUP(G1470,dd_color!$A$2:$A$8,dd_color!$B$2:$B$8,"",0)</f>
        <v/>
      </c>
      <c r="B1470" s="41">
        <f>_xlfn.XLOOKUP(_xlfn.XLOOKUP(C1470,'Project Details'!$C$17:$C$10003,'Project Details'!$E$17:$E$10003, "",0),dd_design_raw!$A$2:$A$9997,dd_design_raw!$C$2:$C$9997,"",0)</f>
        <v>0</v>
      </c>
      <c r="C1470" s="16"/>
      <c r="D1470" s="16"/>
      <c r="E1470" s="16" t="str" cm="1">
        <f t="array" ref="E1470">IF(C1470&lt;&gt;"", _xlfn.XLOOKUP(1,((SKUs!$A$2:$A$10001=cl_unmerged!B1409) * (LEFT(SKUs!$J$2:$J$10001, LEN("Aluminum Tube"))="Aluminum Tube")), SKUs!$J$2:$J$10001,""),"")</f>
        <v/>
      </c>
      <c r="F1470" s="33" t="str" cm="1">
        <f t="array" ref="F1470">_xlfn.XLOOKUP(1,((SKUs!$A$2:$A$10001=cl_unmerged!B1470) * (LEFT(SKUs!$J$2:$J$10001, LEN("Aluminum Tube"))="Aluminum Tube") * (ISNUMBER(SEARCH(A1470,SKUs!$C$2:$C$10001)))), SKUs!$C$2:$C$10001,"")</f>
        <v/>
      </c>
      <c r="G1470" s="16"/>
      <c r="H1470" s="16"/>
      <c r="I1470" s="16"/>
    </row>
    <row r="1471" spans="1:9" ht="13.5" customHeight="1" x14ac:dyDescent="0.25">
      <c r="A1471" s="41" t="str">
        <f>_xlfn.XLOOKUP(G1471,dd_color!$A$2:$A$8,dd_color!$B$2:$B$8,"",0)</f>
        <v/>
      </c>
      <c r="B1471" s="41">
        <f>_xlfn.XLOOKUP(_xlfn.XLOOKUP(C1471,'Project Details'!$C$17:$C$10003,'Project Details'!$E$17:$E$10003, "",0),dd_design_raw!$A$2:$A$9997,dd_design_raw!$C$2:$C$9997,"",0)</f>
        <v>0</v>
      </c>
      <c r="C1471" s="16"/>
      <c r="D1471" s="16"/>
      <c r="E1471" s="16" t="str" cm="1">
        <f t="array" ref="E1471">IF(C1471&lt;&gt;"", _xlfn.XLOOKUP(1,((SKUs!$A$2:$A$10001=cl_unmerged!B1410) * (LEFT(SKUs!$J$2:$J$10001, LEN("Aluminum Tube"))="Aluminum Tube")), SKUs!$J$2:$J$10001,""),"")</f>
        <v/>
      </c>
      <c r="F1471" s="33" t="str" cm="1">
        <f t="array" ref="F1471">_xlfn.XLOOKUP(1,((SKUs!$A$2:$A$10001=cl_unmerged!B1471) * (LEFT(SKUs!$J$2:$J$10001, LEN("Aluminum Tube"))="Aluminum Tube") * (ISNUMBER(SEARCH(A1471,SKUs!$C$2:$C$10001)))), SKUs!$C$2:$C$10001,"")</f>
        <v/>
      </c>
      <c r="G1471" s="16"/>
      <c r="H1471" s="16"/>
      <c r="I1471" s="16"/>
    </row>
    <row r="1472" spans="1:9" ht="13.5" customHeight="1" x14ac:dyDescent="0.25">
      <c r="A1472" s="41" t="str">
        <f>_xlfn.XLOOKUP(G1472,dd_color!$A$2:$A$8,dd_color!$B$2:$B$8,"",0)</f>
        <v/>
      </c>
      <c r="B1472" s="41">
        <f>_xlfn.XLOOKUP(_xlfn.XLOOKUP(C1472,'Project Details'!$C$17:$C$10003,'Project Details'!$E$17:$E$10003, "",0),dd_design_raw!$A$2:$A$9997,dd_design_raw!$C$2:$C$9997,"",0)</f>
        <v>0</v>
      </c>
      <c r="C1472" s="16"/>
      <c r="D1472" s="16"/>
      <c r="E1472" s="16" t="str" cm="1">
        <f t="array" ref="E1472">IF(C1472&lt;&gt;"", _xlfn.XLOOKUP(1,((SKUs!$A$2:$A$10001=cl_unmerged!B1411) * (LEFT(SKUs!$J$2:$J$10001, LEN("Aluminum Tube"))="Aluminum Tube")), SKUs!$J$2:$J$10001,""),"")</f>
        <v/>
      </c>
      <c r="F1472" s="33" t="str" cm="1">
        <f t="array" ref="F1472">_xlfn.XLOOKUP(1,((SKUs!$A$2:$A$10001=cl_unmerged!B1472) * (LEFT(SKUs!$J$2:$J$10001, LEN("Aluminum Tube"))="Aluminum Tube") * (ISNUMBER(SEARCH(A1472,SKUs!$C$2:$C$10001)))), SKUs!$C$2:$C$10001,"")</f>
        <v/>
      </c>
      <c r="G1472" s="16"/>
      <c r="H1472" s="16"/>
      <c r="I1472" s="16"/>
    </row>
    <row r="1473" spans="1:9" ht="13.5" customHeight="1" x14ac:dyDescent="0.25">
      <c r="A1473" s="41" t="str">
        <f>_xlfn.XLOOKUP(G1473,dd_color!$A$2:$A$8,dd_color!$B$2:$B$8,"",0)</f>
        <v/>
      </c>
      <c r="B1473" s="41">
        <f>_xlfn.XLOOKUP(_xlfn.XLOOKUP(C1473,'Project Details'!$C$17:$C$10003,'Project Details'!$E$17:$E$10003, "",0),dd_design_raw!$A$2:$A$9997,dd_design_raw!$C$2:$C$9997,"",0)</f>
        <v>0</v>
      </c>
      <c r="C1473" s="16"/>
      <c r="D1473" s="16"/>
      <c r="E1473" s="16" t="str" cm="1">
        <f t="array" ref="E1473">IF(C1473&lt;&gt;"", _xlfn.XLOOKUP(1,((SKUs!$A$2:$A$10001=cl_unmerged!B1412) * (LEFT(SKUs!$J$2:$J$10001, LEN("Aluminum Tube"))="Aluminum Tube")), SKUs!$J$2:$J$10001,""),"")</f>
        <v/>
      </c>
      <c r="F1473" s="33" t="str" cm="1">
        <f t="array" ref="F1473">_xlfn.XLOOKUP(1,((SKUs!$A$2:$A$10001=cl_unmerged!B1473) * (LEFT(SKUs!$J$2:$J$10001, LEN("Aluminum Tube"))="Aluminum Tube") * (ISNUMBER(SEARCH(A1473,SKUs!$C$2:$C$10001)))), SKUs!$C$2:$C$10001,"")</f>
        <v/>
      </c>
      <c r="G1473" s="16"/>
      <c r="H1473" s="16"/>
      <c r="I1473" s="16"/>
    </row>
    <row r="1474" spans="1:9" ht="13.5" customHeight="1" x14ac:dyDescent="0.25">
      <c r="A1474" s="41" t="str">
        <f>_xlfn.XLOOKUP(G1474,dd_color!$A$2:$A$8,dd_color!$B$2:$B$8,"",0)</f>
        <v/>
      </c>
      <c r="B1474" s="41">
        <f>_xlfn.XLOOKUP(_xlfn.XLOOKUP(C1474,'Project Details'!$C$17:$C$10003,'Project Details'!$E$17:$E$10003, "",0),dd_design_raw!$A$2:$A$9997,dd_design_raw!$C$2:$C$9997,"",0)</f>
        <v>0</v>
      </c>
      <c r="C1474" s="16"/>
      <c r="D1474" s="16"/>
      <c r="E1474" s="16" t="str" cm="1">
        <f t="array" ref="E1474">IF(C1474&lt;&gt;"", _xlfn.XLOOKUP(1,((SKUs!$A$2:$A$10001=cl_unmerged!B1413) * (LEFT(SKUs!$J$2:$J$10001, LEN("Aluminum Tube"))="Aluminum Tube")), SKUs!$J$2:$J$10001,""),"")</f>
        <v/>
      </c>
      <c r="F1474" s="33" t="str" cm="1">
        <f t="array" ref="F1474">_xlfn.XLOOKUP(1,((SKUs!$A$2:$A$10001=cl_unmerged!B1474) * (LEFT(SKUs!$J$2:$J$10001, LEN("Aluminum Tube"))="Aluminum Tube") * (ISNUMBER(SEARCH(A1474,SKUs!$C$2:$C$10001)))), SKUs!$C$2:$C$10001,"")</f>
        <v/>
      </c>
      <c r="G1474" s="16"/>
      <c r="H1474" s="16"/>
      <c r="I1474" s="16"/>
    </row>
    <row r="1475" spans="1:9" ht="13.5" customHeight="1" x14ac:dyDescent="0.25">
      <c r="A1475" s="41" t="str">
        <f>_xlfn.XLOOKUP(G1475,dd_color!$A$2:$A$8,dd_color!$B$2:$B$8,"",0)</f>
        <v/>
      </c>
      <c r="B1475" s="41">
        <f>_xlfn.XLOOKUP(_xlfn.XLOOKUP(C1475,'Project Details'!$C$17:$C$10003,'Project Details'!$E$17:$E$10003, "",0),dd_design_raw!$A$2:$A$9997,dd_design_raw!$C$2:$C$9997,"",0)</f>
        <v>0</v>
      </c>
      <c r="C1475" s="16"/>
      <c r="D1475" s="16"/>
      <c r="E1475" s="16" t="str" cm="1">
        <f t="array" ref="E1475">IF(C1475&lt;&gt;"", _xlfn.XLOOKUP(1,((SKUs!$A$2:$A$10001=cl_unmerged!B1414) * (LEFT(SKUs!$J$2:$J$10001, LEN("Aluminum Tube"))="Aluminum Tube")), SKUs!$J$2:$J$10001,""),"")</f>
        <v/>
      </c>
      <c r="F1475" s="33" t="str" cm="1">
        <f t="array" ref="F1475">_xlfn.XLOOKUP(1,((SKUs!$A$2:$A$10001=cl_unmerged!B1475) * (LEFT(SKUs!$J$2:$J$10001, LEN("Aluminum Tube"))="Aluminum Tube") * (ISNUMBER(SEARCH(A1475,SKUs!$C$2:$C$10001)))), SKUs!$C$2:$C$10001,"")</f>
        <v/>
      </c>
      <c r="G1475" s="16"/>
      <c r="H1475" s="16"/>
      <c r="I1475" s="16"/>
    </row>
    <row r="1476" spans="1:9" ht="13.5" customHeight="1" x14ac:dyDescent="0.25">
      <c r="A1476" s="41" t="str">
        <f>_xlfn.XLOOKUP(G1476,dd_color!$A$2:$A$8,dd_color!$B$2:$B$8,"",0)</f>
        <v/>
      </c>
      <c r="B1476" s="41">
        <f>_xlfn.XLOOKUP(_xlfn.XLOOKUP(C1476,'Project Details'!$C$17:$C$10003,'Project Details'!$E$17:$E$10003, "",0),dd_design_raw!$A$2:$A$9997,dd_design_raw!$C$2:$C$9997,"",0)</f>
        <v>0</v>
      </c>
      <c r="C1476" s="16"/>
      <c r="D1476" s="16"/>
      <c r="E1476" s="16" t="str" cm="1">
        <f t="array" ref="E1476">IF(C1476&lt;&gt;"", _xlfn.XLOOKUP(1,((SKUs!$A$2:$A$10001=cl_unmerged!B1415) * (LEFT(SKUs!$J$2:$J$10001, LEN("Aluminum Tube"))="Aluminum Tube")), SKUs!$J$2:$J$10001,""),"")</f>
        <v/>
      </c>
      <c r="F1476" s="33" t="str" cm="1">
        <f t="array" ref="F1476">_xlfn.XLOOKUP(1,((SKUs!$A$2:$A$10001=cl_unmerged!B1476) * (LEFT(SKUs!$J$2:$J$10001, LEN("Aluminum Tube"))="Aluminum Tube") * (ISNUMBER(SEARCH(A1476,SKUs!$C$2:$C$10001)))), SKUs!$C$2:$C$10001,"")</f>
        <v/>
      </c>
      <c r="G1476" s="16"/>
      <c r="H1476" s="16"/>
      <c r="I1476" s="16"/>
    </row>
    <row r="1477" spans="1:9" ht="13.5" customHeight="1" x14ac:dyDescent="0.25">
      <c r="A1477" s="41" t="str">
        <f>_xlfn.XLOOKUP(G1477,dd_color!$A$2:$A$8,dd_color!$B$2:$B$8,"",0)</f>
        <v/>
      </c>
      <c r="B1477" s="41">
        <f>_xlfn.XLOOKUP(_xlfn.XLOOKUP(C1477,'Project Details'!$C$17:$C$10003,'Project Details'!$E$17:$E$10003, "",0),dd_design_raw!$A$2:$A$9997,dd_design_raw!$C$2:$C$9997,"",0)</f>
        <v>0</v>
      </c>
      <c r="C1477" s="16"/>
      <c r="D1477" s="16"/>
      <c r="E1477" s="16" t="str" cm="1">
        <f t="array" ref="E1477">IF(C1477&lt;&gt;"", _xlfn.XLOOKUP(1,((SKUs!$A$2:$A$10001=cl_unmerged!B1416) * (LEFT(SKUs!$J$2:$J$10001, LEN("Aluminum Tube"))="Aluminum Tube")), SKUs!$J$2:$J$10001,""),"")</f>
        <v/>
      </c>
      <c r="F1477" s="33" t="str" cm="1">
        <f t="array" ref="F1477">_xlfn.XLOOKUP(1,((SKUs!$A$2:$A$10001=cl_unmerged!B1477) * (LEFT(SKUs!$J$2:$J$10001, LEN("Aluminum Tube"))="Aluminum Tube") * (ISNUMBER(SEARCH(A1477,SKUs!$C$2:$C$10001)))), SKUs!$C$2:$C$10001,"")</f>
        <v/>
      </c>
      <c r="G1477" s="16"/>
      <c r="H1477" s="16"/>
      <c r="I1477" s="16"/>
    </row>
    <row r="1478" spans="1:9" ht="13.5" customHeight="1" x14ac:dyDescent="0.25">
      <c r="A1478" s="41" t="str">
        <f>_xlfn.XLOOKUP(G1478,dd_color!$A$2:$A$8,dd_color!$B$2:$B$8,"",0)</f>
        <v/>
      </c>
      <c r="B1478" s="41">
        <f>_xlfn.XLOOKUP(_xlfn.XLOOKUP(C1478,'Project Details'!$C$17:$C$10003,'Project Details'!$E$17:$E$10003, "",0),dd_design_raw!$A$2:$A$9997,dd_design_raw!$C$2:$C$9997,"",0)</f>
        <v>0</v>
      </c>
      <c r="C1478" s="16"/>
      <c r="D1478" s="16"/>
      <c r="E1478" s="16" t="str" cm="1">
        <f t="array" ref="E1478">IF(C1478&lt;&gt;"", _xlfn.XLOOKUP(1,((SKUs!$A$2:$A$10001=cl_unmerged!B1417) * (LEFT(SKUs!$J$2:$J$10001, LEN("Aluminum Tube"))="Aluminum Tube")), SKUs!$J$2:$J$10001,""),"")</f>
        <v/>
      </c>
      <c r="F1478" s="33" t="str" cm="1">
        <f t="array" ref="F1478">_xlfn.XLOOKUP(1,((SKUs!$A$2:$A$10001=cl_unmerged!B1478) * (LEFT(SKUs!$J$2:$J$10001, LEN("Aluminum Tube"))="Aluminum Tube") * (ISNUMBER(SEARCH(A1478,SKUs!$C$2:$C$10001)))), SKUs!$C$2:$C$10001,"")</f>
        <v/>
      </c>
      <c r="G1478" s="16"/>
      <c r="H1478" s="16"/>
      <c r="I1478" s="16"/>
    </row>
    <row r="1479" spans="1:9" ht="13.5" customHeight="1" x14ac:dyDescent="0.25">
      <c r="A1479" s="41" t="str">
        <f>_xlfn.XLOOKUP(G1479,dd_color!$A$2:$A$8,dd_color!$B$2:$B$8,"",0)</f>
        <v/>
      </c>
      <c r="B1479" s="41">
        <f>_xlfn.XLOOKUP(_xlfn.XLOOKUP(C1479,'Project Details'!$C$17:$C$10003,'Project Details'!$E$17:$E$10003, "",0),dd_design_raw!$A$2:$A$9997,dd_design_raw!$C$2:$C$9997,"",0)</f>
        <v>0</v>
      </c>
      <c r="C1479" s="16"/>
      <c r="D1479" s="16"/>
      <c r="E1479" s="16" t="str" cm="1">
        <f t="array" ref="E1479">IF(C1479&lt;&gt;"", _xlfn.XLOOKUP(1,((SKUs!$A$2:$A$10001=cl_unmerged!B1418) * (LEFT(SKUs!$J$2:$J$10001, LEN("Aluminum Tube"))="Aluminum Tube")), SKUs!$J$2:$J$10001,""),"")</f>
        <v/>
      </c>
      <c r="F1479" s="33" t="str" cm="1">
        <f t="array" ref="F1479">_xlfn.XLOOKUP(1,((SKUs!$A$2:$A$10001=cl_unmerged!B1479) * (LEFT(SKUs!$J$2:$J$10001, LEN("Aluminum Tube"))="Aluminum Tube") * (ISNUMBER(SEARCH(A1479,SKUs!$C$2:$C$10001)))), SKUs!$C$2:$C$10001,"")</f>
        <v/>
      </c>
      <c r="G1479" s="16"/>
      <c r="H1479" s="16"/>
      <c r="I1479" s="16"/>
    </row>
    <row r="1480" spans="1:9" ht="13.5" customHeight="1" x14ac:dyDescent="0.25">
      <c r="A1480" s="41" t="str">
        <f>_xlfn.XLOOKUP(G1480,dd_color!$A$2:$A$8,dd_color!$B$2:$B$8,"",0)</f>
        <v/>
      </c>
      <c r="B1480" s="41">
        <f>_xlfn.XLOOKUP(_xlfn.XLOOKUP(C1480,'Project Details'!$C$17:$C$10003,'Project Details'!$E$17:$E$10003, "",0),dd_design_raw!$A$2:$A$9997,dd_design_raw!$C$2:$C$9997,"",0)</f>
        <v>0</v>
      </c>
      <c r="C1480" s="16"/>
      <c r="D1480" s="16"/>
      <c r="E1480" s="16" t="str" cm="1">
        <f t="array" ref="E1480">IF(C1480&lt;&gt;"", _xlfn.XLOOKUP(1,((SKUs!$A$2:$A$10001=cl_unmerged!B1419) * (LEFT(SKUs!$J$2:$J$10001, LEN("Aluminum Tube"))="Aluminum Tube")), SKUs!$J$2:$J$10001,""),"")</f>
        <v/>
      </c>
      <c r="F1480" s="33" t="str" cm="1">
        <f t="array" ref="F1480">_xlfn.XLOOKUP(1,((SKUs!$A$2:$A$10001=cl_unmerged!B1480) * (LEFT(SKUs!$J$2:$J$10001, LEN("Aluminum Tube"))="Aluminum Tube") * (ISNUMBER(SEARCH(A1480,SKUs!$C$2:$C$10001)))), SKUs!$C$2:$C$10001,"")</f>
        <v/>
      </c>
      <c r="G1480" s="16"/>
      <c r="H1480" s="16"/>
      <c r="I1480" s="16"/>
    </row>
    <row r="1481" spans="1:9" ht="13.5" customHeight="1" x14ac:dyDescent="0.25">
      <c r="A1481" s="41" t="str">
        <f>_xlfn.XLOOKUP(G1481,dd_color!$A$2:$A$8,dd_color!$B$2:$B$8,"",0)</f>
        <v/>
      </c>
      <c r="B1481" s="41">
        <f>_xlfn.XLOOKUP(_xlfn.XLOOKUP(C1481,'Project Details'!$C$17:$C$10003,'Project Details'!$E$17:$E$10003, "",0),dd_design_raw!$A$2:$A$9997,dd_design_raw!$C$2:$C$9997,"",0)</f>
        <v>0</v>
      </c>
      <c r="C1481" s="16"/>
      <c r="D1481" s="16"/>
      <c r="E1481" s="16" t="str" cm="1">
        <f t="array" ref="E1481">IF(C1481&lt;&gt;"", _xlfn.XLOOKUP(1,((SKUs!$A$2:$A$10001=cl_unmerged!B1420) * (LEFT(SKUs!$J$2:$J$10001, LEN("Aluminum Tube"))="Aluminum Tube")), SKUs!$J$2:$J$10001,""),"")</f>
        <v/>
      </c>
      <c r="F1481" s="33" t="str" cm="1">
        <f t="array" ref="F1481">_xlfn.XLOOKUP(1,((SKUs!$A$2:$A$10001=cl_unmerged!B1481) * (LEFT(SKUs!$J$2:$J$10001, LEN("Aluminum Tube"))="Aluminum Tube") * (ISNUMBER(SEARCH(A1481,SKUs!$C$2:$C$10001)))), SKUs!$C$2:$C$10001,"")</f>
        <v/>
      </c>
      <c r="G1481" s="16"/>
      <c r="H1481" s="16"/>
      <c r="I1481" s="16"/>
    </row>
    <row r="1482" spans="1:9" ht="13.5" customHeight="1" x14ac:dyDescent="0.25">
      <c r="A1482" s="41" t="str">
        <f>_xlfn.XLOOKUP(G1482,dd_color!$A$2:$A$8,dd_color!$B$2:$B$8,"",0)</f>
        <v/>
      </c>
      <c r="B1482" s="41">
        <f>_xlfn.XLOOKUP(_xlfn.XLOOKUP(C1482,'Project Details'!$C$17:$C$10003,'Project Details'!$E$17:$E$10003, "",0),dd_design_raw!$A$2:$A$9997,dd_design_raw!$C$2:$C$9997,"",0)</f>
        <v>0</v>
      </c>
      <c r="C1482" s="16"/>
      <c r="D1482" s="16"/>
      <c r="E1482" s="16" t="str" cm="1">
        <f t="array" ref="E1482">IF(C1482&lt;&gt;"", _xlfn.XLOOKUP(1,((SKUs!$A$2:$A$10001=cl_unmerged!B1421) * (LEFT(SKUs!$J$2:$J$10001, LEN("Aluminum Tube"))="Aluminum Tube")), SKUs!$J$2:$J$10001,""),"")</f>
        <v/>
      </c>
      <c r="F1482" s="33" t="str" cm="1">
        <f t="array" ref="F1482">_xlfn.XLOOKUP(1,((SKUs!$A$2:$A$10001=cl_unmerged!B1482) * (LEFT(SKUs!$J$2:$J$10001, LEN("Aluminum Tube"))="Aluminum Tube") * (ISNUMBER(SEARCH(A1482,SKUs!$C$2:$C$10001)))), SKUs!$C$2:$C$10001,"")</f>
        <v/>
      </c>
      <c r="G1482" s="16"/>
      <c r="H1482" s="16"/>
      <c r="I1482" s="16"/>
    </row>
    <row r="1483" spans="1:9" ht="13.5" customHeight="1" x14ac:dyDescent="0.25">
      <c r="A1483" s="41" t="str">
        <f>_xlfn.XLOOKUP(G1483,dd_color!$A$2:$A$8,dd_color!$B$2:$B$8,"",0)</f>
        <v/>
      </c>
      <c r="B1483" s="41">
        <f>_xlfn.XLOOKUP(_xlfn.XLOOKUP(C1483,'Project Details'!$C$17:$C$10003,'Project Details'!$E$17:$E$10003, "",0),dd_design_raw!$A$2:$A$9997,dd_design_raw!$C$2:$C$9997,"",0)</f>
        <v>0</v>
      </c>
      <c r="C1483" s="16"/>
      <c r="D1483" s="16"/>
      <c r="E1483" s="16" t="str" cm="1">
        <f t="array" ref="E1483">IF(C1483&lt;&gt;"", _xlfn.XLOOKUP(1,((SKUs!$A$2:$A$10001=cl_unmerged!B1422) * (LEFT(SKUs!$J$2:$J$10001, LEN("Aluminum Tube"))="Aluminum Tube")), SKUs!$J$2:$J$10001,""),"")</f>
        <v/>
      </c>
      <c r="F1483" s="33" t="str" cm="1">
        <f t="array" ref="F1483">_xlfn.XLOOKUP(1,((SKUs!$A$2:$A$10001=cl_unmerged!B1483) * (LEFT(SKUs!$J$2:$J$10001, LEN("Aluminum Tube"))="Aluminum Tube") * (ISNUMBER(SEARCH(A1483,SKUs!$C$2:$C$10001)))), SKUs!$C$2:$C$10001,"")</f>
        <v/>
      </c>
      <c r="G1483" s="16"/>
      <c r="H1483" s="16"/>
      <c r="I1483" s="16"/>
    </row>
    <row r="1484" spans="1:9" ht="13.5" customHeight="1" x14ac:dyDescent="0.25">
      <c r="A1484" s="41" t="str">
        <f>_xlfn.XLOOKUP(G1484,dd_color!$A$2:$A$8,dd_color!$B$2:$B$8,"",0)</f>
        <v/>
      </c>
      <c r="B1484" s="41">
        <f>_xlfn.XLOOKUP(_xlfn.XLOOKUP(C1484,'Project Details'!$C$17:$C$10003,'Project Details'!$E$17:$E$10003, "",0),dd_design_raw!$A$2:$A$9997,dd_design_raw!$C$2:$C$9997,"",0)</f>
        <v>0</v>
      </c>
      <c r="C1484" s="16"/>
      <c r="D1484" s="16"/>
      <c r="E1484" s="16" t="str" cm="1">
        <f t="array" ref="E1484">IF(C1484&lt;&gt;"", _xlfn.XLOOKUP(1,((SKUs!$A$2:$A$10001=cl_unmerged!B1423) * (LEFT(SKUs!$J$2:$J$10001, LEN("Aluminum Tube"))="Aluminum Tube")), SKUs!$J$2:$J$10001,""),"")</f>
        <v/>
      </c>
      <c r="F1484" s="33" t="str" cm="1">
        <f t="array" ref="F1484">_xlfn.XLOOKUP(1,((SKUs!$A$2:$A$10001=cl_unmerged!B1484) * (LEFT(SKUs!$J$2:$J$10001, LEN("Aluminum Tube"))="Aluminum Tube") * (ISNUMBER(SEARCH(A1484,SKUs!$C$2:$C$10001)))), SKUs!$C$2:$C$10001,"")</f>
        <v/>
      </c>
      <c r="G1484" s="16"/>
      <c r="H1484" s="16"/>
      <c r="I1484" s="16"/>
    </row>
    <row r="1485" spans="1:9" ht="13.5" customHeight="1" x14ac:dyDescent="0.25">
      <c r="A1485" s="41" t="str">
        <f>_xlfn.XLOOKUP(G1485,dd_color!$A$2:$A$8,dd_color!$B$2:$B$8,"",0)</f>
        <v/>
      </c>
      <c r="B1485" s="41">
        <f>_xlfn.XLOOKUP(_xlfn.XLOOKUP(C1485,'Project Details'!$C$17:$C$10003,'Project Details'!$E$17:$E$10003, "",0),dd_design_raw!$A$2:$A$9997,dd_design_raw!$C$2:$C$9997,"",0)</f>
        <v>0</v>
      </c>
      <c r="C1485" s="16"/>
      <c r="D1485" s="16"/>
      <c r="E1485" s="16" t="str" cm="1">
        <f t="array" ref="E1485">IF(C1485&lt;&gt;"", _xlfn.XLOOKUP(1,((SKUs!$A$2:$A$10001=cl_unmerged!B1424) * (LEFT(SKUs!$J$2:$J$10001, LEN("Aluminum Tube"))="Aluminum Tube")), SKUs!$J$2:$J$10001,""),"")</f>
        <v/>
      </c>
      <c r="F1485" s="33" t="str" cm="1">
        <f t="array" ref="F1485">_xlfn.XLOOKUP(1,((SKUs!$A$2:$A$10001=cl_unmerged!B1485) * (LEFT(SKUs!$J$2:$J$10001, LEN("Aluminum Tube"))="Aluminum Tube") * (ISNUMBER(SEARCH(A1485,SKUs!$C$2:$C$10001)))), SKUs!$C$2:$C$10001,"")</f>
        <v/>
      </c>
      <c r="G1485" s="16"/>
      <c r="H1485" s="16"/>
      <c r="I1485" s="16"/>
    </row>
    <row r="1486" spans="1:9" ht="13.5" customHeight="1" x14ac:dyDescent="0.25">
      <c r="A1486" s="41" t="str">
        <f>_xlfn.XLOOKUP(G1486,dd_color!$A$2:$A$8,dd_color!$B$2:$B$8,"",0)</f>
        <v/>
      </c>
      <c r="B1486" s="41">
        <f>_xlfn.XLOOKUP(_xlfn.XLOOKUP(C1486,'Project Details'!$C$17:$C$10003,'Project Details'!$E$17:$E$10003, "",0),dd_design_raw!$A$2:$A$9997,dd_design_raw!$C$2:$C$9997,"",0)</f>
        <v>0</v>
      </c>
      <c r="C1486" s="16"/>
      <c r="D1486" s="16"/>
      <c r="E1486" s="16" t="str" cm="1">
        <f t="array" ref="E1486">IF(C1486&lt;&gt;"", _xlfn.XLOOKUP(1,((SKUs!$A$2:$A$10001=cl_unmerged!B1425) * (LEFT(SKUs!$J$2:$J$10001, LEN("Aluminum Tube"))="Aluminum Tube")), SKUs!$J$2:$J$10001,""),"")</f>
        <v/>
      </c>
      <c r="F1486" s="33" t="str" cm="1">
        <f t="array" ref="F1486">_xlfn.XLOOKUP(1,((SKUs!$A$2:$A$10001=cl_unmerged!B1486) * (LEFT(SKUs!$J$2:$J$10001, LEN("Aluminum Tube"))="Aluminum Tube") * (ISNUMBER(SEARCH(A1486,SKUs!$C$2:$C$10001)))), SKUs!$C$2:$C$10001,"")</f>
        <v/>
      </c>
      <c r="G1486" s="16"/>
      <c r="H1486" s="16"/>
      <c r="I1486" s="16"/>
    </row>
    <row r="1487" spans="1:9" ht="13.5" customHeight="1" x14ac:dyDescent="0.25">
      <c r="A1487" s="41" t="str">
        <f>_xlfn.XLOOKUP(G1487,dd_color!$A$2:$A$8,dd_color!$B$2:$B$8,"",0)</f>
        <v/>
      </c>
      <c r="B1487" s="41">
        <f>_xlfn.XLOOKUP(_xlfn.XLOOKUP(C1487,'Project Details'!$C$17:$C$10003,'Project Details'!$E$17:$E$10003, "",0),dd_design_raw!$A$2:$A$9997,dd_design_raw!$C$2:$C$9997,"",0)</f>
        <v>0</v>
      </c>
      <c r="C1487" s="16"/>
      <c r="D1487" s="16"/>
      <c r="E1487" s="16" t="str" cm="1">
        <f t="array" ref="E1487">IF(C1487&lt;&gt;"", _xlfn.XLOOKUP(1,((SKUs!$A$2:$A$10001=cl_unmerged!B1426) * (LEFT(SKUs!$J$2:$J$10001, LEN("Aluminum Tube"))="Aluminum Tube")), SKUs!$J$2:$J$10001,""),"")</f>
        <v/>
      </c>
      <c r="F1487" s="33" t="str" cm="1">
        <f t="array" ref="F1487">_xlfn.XLOOKUP(1,((SKUs!$A$2:$A$10001=cl_unmerged!B1487) * (LEFT(SKUs!$J$2:$J$10001, LEN("Aluminum Tube"))="Aluminum Tube") * (ISNUMBER(SEARCH(A1487,SKUs!$C$2:$C$10001)))), SKUs!$C$2:$C$10001,"")</f>
        <v/>
      </c>
      <c r="G1487" s="16"/>
      <c r="H1487" s="16"/>
      <c r="I1487" s="16"/>
    </row>
    <row r="1488" spans="1:9" ht="13.5" customHeight="1" x14ac:dyDescent="0.25">
      <c r="A1488" s="41" t="str">
        <f>_xlfn.XLOOKUP(G1488,dd_color!$A$2:$A$8,dd_color!$B$2:$B$8,"",0)</f>
        <v/>
      </c>
      <c r="B1488" s="41">
        <f>_xlfn.XLOOKUP(_xlfn.XLOOKUP(C1488,'Project Details'!$C$17:$C$10003,'Project Details'!$E$17:$E$10003, "",0),dd_design_raw!$A$2:$A$9997,dd_design_raw!$C$2:$C$9997,"",0)</f>
        <v>0</v>
      </c>
      <c r="C1488" s="16"/>
      <c r="D1488" s="16"/>
      <c r="E1488" s="16" t="str" cm="1">
        <f t="array" ref="E1488">IF(C1488&lt;&gt;"", _xlfn.XLOOKUP(1,((SKUs!$A$2:$A$10001=cl_unmerged!B1427) * (LEFT(SKUs!$J$2:$J$10001, LEN("Aluminum Tube"))="Aluminum Tube")), SKUs!$J$2:$J$10001,""),"")</f>
        <v/>
      </c>
      <c r="F1488" s="33" t="str" cm="1">
        <f t="array" ref="F1488">_xlfn.XLOOKUP(1,((SKUs!$A$2:$A$10001=cl_unmerged!B1488) * (LEFT(SKUs!$J$2:$J$10001, LEN("Aluminum Tube"))="Aluminum Tube") * (ISNUMBER(SEARCH(A1488,SKUs!$C$2:$C$10001)))), SKUs!$C$2:$C$10001,"")</f>
        <v/>
      </c>
      <c r="G1488" s="16"/>
      <c r="H1488" s="16"/>
      <c r="I1488" s="16"/>
    </row>
    <row r="1489" spans="1:9" ht="13.5" customHeight="1" x14ac:dyDescent="0.25">
      <c r="A1489" s="41" t="str">
        <f>_xlfn.XLOOKUP(G1489,dd_color!$A$2:$A$8,dd_color!$B$2:$B$8,"",0)</f>
        <v/>
      </c>
      <c r="B1489" s="41">
        <f>_xlfn.XLOOKUP(_xlfn.XLOOKUP(C1489,'Project Details'!$C$17:$C$10003,'Project Details'!$E$17:$E$10003, "",0),dd_design_raw!$A$2:$A$9997,dd_design_raw!$C$2:$C$9997,"",0)</f>
        <v>0</v>
      </c>
      <c r="C1489" s="16"/>
      <c r="D1489" s="16"/>
      <c r="E1489" s="16" t="str" cm="1">
        <f t="array" ref="E1489">IF(C1489&lt;&gt;"", _xlfn.XLOOKUP(1,((SKUs!$A$2:$A$10001=cl_unmerged!B1428) * (LEFT(SKUs!$J$2:$J$10001, LEN("Aluminum Tube"))="Aluminum Tube")), SKUs!$J$2:$J$10001,""),"")</f>
        <v/>
      </c>
      <c r="F1489" s="33" t="str" cm="1">
        <f t="array" ref="F1489">_xlfn.XLOOKUP(1,((SKUs!$A$2:$A$10001=cl_unmerged!B1489) * (LEFT(SKUs!$J$2:$J$10001, LEN("Aluminum Tube"))="Aluminum Tube") * (ISNUMBER(SEARCH(A1489,SKUs!$C$2:$C$10001)))), SKUs!$C$2:$C$10001,"")</f>
        <v/>
      </c>
      <c r="G1489" s="16"/>
      <c r="H1489" s="16"/>
      <c r="I1489" s="16"/>
    </row>
    <row r="1490" spans="1:9" ht="13.5" customHeight="1" x14ac:dyDescent="0.25">
      <c r="A1490" s="41" t="str">
        <f>_xlfn.XLOOKUP(G1490,dd_color!$A$2:$A$8,dd_color!$B$2:$B$8,"",0)</f>
        <v/>
      </c>
      <c r="B1490" s="41">
        <f>_xlfn.XLOOKUP(_xlfn.XLOOKUP(C1490,'Project Details'!$C$17:$C$10003,'Project Details'!$E$17:$E$10003, "",0),dd_design_raw!$A$2:$A$9997,dd_design_raw!$C$2:$C$9997,"",0)</f>
        <v>0</v>
      </c>
      <c r="C1490" s="16"/>
      <c r="D1490" s="16"/>
      <c r="E1490" s="16" t="str" cm="1">
        <f t="array" ref="E1490">IF(C1490&lt;&gt;"", _xlfn.XLOOKUP(1,((SKUs!$A$2:$A$10001=cl_unmerged!B1429) * (LEFT(SKUs!$J$2:$J$10001, LEN("Aluminum Tube"))="Aluminum Tube")), SKUs!$J$2:$J$10001,""),"")</f>
        <v/>
      </c>
      <c r="F1490" s="33" t="str" cm="1">
        <f t="array" ref="F1490">_xlfn.XLOOKUP(1,((SKUs!$A$2:$A$10001=cl_unmerged!B1490) * (LEFT(SKUs!$J$2:$J$10001, LEN("Aluminum Tube"))="Aluminum Tube") * (ISNUMBER(SEARCH(A1490,SKUs!$C$2:$C$10001)))), SKUs!$C$2:$C$10001,"")</f>
        <v/>
      </c>
      <c r="G1490" s="16"/>
      <c r="H1490" s="16"/>
      <c r="I1490" s="16"/>
    </row>
    <row r="1491" spans="1:9" ht="13.5" customHeight="1" x14ac:dyDescent="0.25">
      <c r="A1491" s="41" t="str">
        <f>_xlfn.XLOOKUP(G1491,dd_color!$A$2:$A$8,dd_color!$B$2:$B$8,"",0)</f>
        <v/>
      </c>
      <c r="B1491" s="41">
        <f>_xlfn.XLOOKUP(_xlfn.XLOOKUP(C1491,'Project Details'!$C$17:$C$10003,'Project Details'!$E$17:$E$10003, "",0),dd_design_raw!$A$2:$A$9997,dd_design_raw!$C$2:$C$9997,"",0)</f>
        <v>0</v>
      </c>
      <c r="C1491" s="16"/>
      <c r="D1491" s="16"/>
      <c r="E1491" s="16" t="str" cm="1">
        <f t="array" ref="E1491">IF(C1491&lt;&gt;"", _xlfn.XLOOKUP(1,((SKUs!$A$2:$A$10001=cl_unmerged!B1430) * (LEFT(SKUs!$J$2:$J$10001, LEN("Aluminum Tube"))="Aluminum Tube")), SKUs!$J$2:$J$10001,""),"")</f>
        <v/>
      </c>
      <c r="F1491" s="33" t="str" cm="1">
        <f t="array" ref="F1491">_xlfn.XLOOKUP(1,((SKUs!$A$2:$A$10001=cl_unmerged!B1491) * (LEFT(SKUs!$J$2:$J$10001, LEN("Aluminum Tube"))="Aluminum Tube") * (ISNUMBER(SEARCH(A1491,SKUs!$C$2:$C$10001)))), SKUs!$C$2:$C$10001,"")</f>
        <v/>
      </c>
      <c r="G1491" s="16"/>
      <c r="H1491" s="16"/>
      <c r="I1491" s="16"/>
    </row>
    <row r="1492" spans="1:9" ht="13.5" customHeight="1" x14ac:dyDescent="0.25">
      <c r="A1492" s="41" t="str">
        <f>_xlfn.XLOOKUP(G1492,dd_color!$A$2:$A$8,dd_color!$B$2:$B$8,"",0)</f>
        <v/>
      </c>
      <c r="B1492" s="41">
        <f>_xlfn.XLOOKUP(_xlfn.XLOOKUP(C1492,'Project Details'!$C$17:$C$10003,'Project Details'!$E$17:$E$10003, "",0),dd_design_raw!$A$2:$A$9997,dd_design_raw!$C$2:$C$9997,"",0)</f>
        <v>0</v>
      </c>
      <c r="C1492" s="16"/>
      <c r="D1492" s="16"/>
      <c r="E1492" s="16" t="str" cm="1">
        <f t="array" ref="E1492">IF(C1492&lt;&gt;"", _xlfn.XLOOKUP(1,((SKUs!$A$2:$A$10001=cl_unmerged!B1431) * (LEFT(SKUs!$J$2:$J$10001, LEN("Aluminum Tube"))="Aluminum Tube")), SKUs!$J$2:$J$10001,""),"")</f>
        <v/>
      </c>
      <c r="F1492" s="33" t="str" cm="1">
        <f t="array" ref="F1492">_xlfn.XLOOKUP(1,((SKUs!$A$2:$A$10001=cl_unmerged!B1492) * (LEFT(SKUs!$J$2:$J$10001, LEN("Aluminum Tube"))="Aluminum Tube") * (ISNUMBER(SEARCH(A1492,SKUs!$C$2:$C$10001)))), SKUs!$C$2:$C$10001,"")</f>
        <v/>
      </c>
      <c r="G1492" s="16"/>
      <c r="H1492" s="16"/>
      <c r="I1492" s="16"/>
    </row>
    <row r="1493" spans="1:9" ht="13.5" customHeight="1" x14ac:dyDescent="0.25">
      <c r="A1493" s="41" t="str">
        <f>_xlfn.XLOOKUP(G1493,dd_color!$A$2:$A$8,dd_color!$B$2:$B$8,"",0)</f>
        <v/>
      </c>
      <c r="B1493" s="41">
        <f>_xlfn.XLOOKUP(_xlfn.XLOOKUP(C1493,'Project Details'!$C$17:$C$10003,'Project Details'!$E$17:$E$10003, "",0),dd_design_raw!$A$2:$A$9997,dd_design_raw!$C$2:$C$9997,"",0)</f>
        <v>0</v>
      </c>
      <c r="C1493" s="16"/>
      <c r="D1493" s="16"/>
      <c r="E1493" s="16" t="str" cm="1">
        <f t="array" ref="E1493">IF(C1493&lt;&gt;"", _xlfn.XLOOKUP(1,((SKUs!$A$2:$A$10001=cl_unmerged!B1432) * (LEFT(SKUs!$J$2:$J$10001, LEN("Aluminum Tube"))="Aluminum Tube")), SKUs!$J$2:$J$10001,""),"")</f>
        <v/>
      </c>
      <c r="F1493" s="33" t="str" cm="1">
        <f t="array" ref="F1493">_xlfn.XLOOKUP(1,((SKUs!$A$2:$A$10001=cl_unmerged!B1493) * (LEFT(SKUs!$J$2:$J$10001, LEN("Aluminum Tube"))="Aluminum Tube") * (ISNUMBER(SEARCH(A1493,SKUs!$C$2:$C$10001)))), SKUs!$C$2:$C$10001,"")</f>
        <v/>
      </c>
      <c r="G1493" s="16"/>
      <c r="H1493" s="16"/>
      <c r="I1493" s="16"/>
    </row>
    <row r="1494" spans="1:9" ht="13.5" customHeight="1" x14ac:dyDescent="0.25">
      <c r="A1494" s="41" t="str">
        <f>_xlfn.XLOOKUP(G1494,dd_color!$A$2:$A$8,dd_color!$B$2:$B$8,"",0)</f>
        <v/>
      </c>
      <c r="B1494" s="41">
        <f>_xlfn.XLOOKUP(_xlfn.XLOOKUP(C1494,'Project Details'!$C$17:$C$10003,'Project Details'!$E$17:$E$10003, "",0),dd_design_raw!$A$2:$A$9997,dd_design_raw!$C$2:$C$9997,"",0)</f>
        <v>0</v>
      </c>
      <c r="C1494" s="16"/>
      <c r="D1494" s="16"/>
      <c r="E1494" s="16" t="str" cm="1">
        <f t="array" ref="E1494">IF(C1494&lt;&gt;"", _xlfn.XLOOKUP(1,((SKUs!$A$2:$A$10001=cl_unmerged!B1433) * (LEFT(SKUs!$J$2:$J$10001, LEN("Aluminum Tube"))="Aluminum Tube")), SKUs!$J$2:$J$10001,""),"")</f>
        <v/>
      </c>
      <c r="F1494" s="33" t="str" cm="1">
        <f t="array" ref="F1494">_xlfn.XLOOKUP(1,((SKUs!$A$2:$A$10001=cl_unmerged!B1494) * (LEFT(SKUs!$J$2:$J$10001, LEN("Aluminum Tube"))="Aluminum Tube") * (ISNUMBER(SEARCH(A1494,SKUs!$C$2:$C$10001)))), SKUs!$C$2:$C$10001,"")</f>
        <v/>
      </c>
      <c r="G1494" s="16"/>
      <c r="H1494" s="16"/>
      <c r="I1494" s="16"/>
    </row>
    <row r="1495" spans="1:9" ht="13.5" customHeight="1" x14ac:dyDescent="0.25">
      <c r="A1495" s="41" t="str">
        <f>_xlfn.XLOOKUP(G1495,dd_color!$A$2:$A$8,dd_color!$B$2:$B$8,"",0)</f>
        <v/>
      </c>
      <c r="B1495" s="41">
        <f>_xlfn.XLOOKUP(_xlfn.XLOOKUP(C1495,'Project Details'!$C$17:$C$10003,'Project Details'!$E$17:$E$10003, "",0),dd_design_raw!$A$2:$A$9997,dd_design_raw!$C$2:$C$9997,"",0)</f>
        <v>0</v>
      </c>
      <c r="C1495" s="16"/>
      <c r="D1495" s="16"/>
      <c r="E1495" s="16" t="str" cm="1">
        <f t="array" ref="E1495">IF(C1495&lt;&gt;"", _xlfn.XLOOKUP(1,((SKUs!$A$2:$A$10001=cl_unmerged!B1434) * (LEFT(SKUs!$J$2:$J$10001, LEN("Aluminum Tube"))="Aluminum Tube")), SKUs!$J$2:$J$10001,""),"")</f>
        <v/>
      </c>
      <c r="F1495" s="33" t="str" cm="1">
        <f t="array" ref="F1495">_xlfn.XLOOKUP(1,((SKUs!$A$2:$A$10001=cl_unmerged!B1495) * (LEFT(SKUs!$J$2:$J$10001, LEN("Aluminum Tube"))="Aluminum Tube") * (ISNUMBER(SEARCH(A1495,SKUs!$C$2:$C$10001)))), SKUs!$C$2:$C$10001,"")</f>
        <v/>
      </c>
      <c r="G1495" s="16"/>
      <c r="H1495" s="16"/>
      <c r="I1495" s="16"/>
    </row>
    <row r="1496" spans="1:9" ht="13.5" customHeight="1" x14ac:dyDescent="0.25">
      <c r="A1496" s="41" t="str">
        <f>_xlfn.XLOOKUP(G1496,dd_color!$A$2:$A$8,dd_color!$B$2:$B$8,"",0)</f>
        <v/>
      </c>
      <c r="B1496" s="41">
        <f>_xlfn.XLOOKUP(_xlfn.XLOOKUP(C1496,'Project Details'!$C$17:$C$10003,'Project Details'!$E$17:$E$10003, "",0),dd_design_raw!$A$2:$A$9997,dd_design_raw!$C$2:$C$9997,"",0)</f>
        <v>0</v>
      </c>
      <c r="C1496" s="16"/>
      <c r="D1496" s="16"/>
      <c r="E1496" s="16" t="str" cm="1">
        <f t="array" ref="E1496">IF(C1496&lt;&gt;"", _xlfn.XLOOKUP(1,((SKUs!$A$2:$A$10001=cl_unmerged!B1435) * (LEFT(SKUs!$J$2:$J$10001, LEN("Aluminum Tube"))="Aluminum Tube")), SKUs!$J$2:$J$10001,""),"")</f>
        <v/>
      </c>
      <c r="F1496" s="33" t="str" cm="1">
        <f t="array" ref="F1496">_xlfn.XLOOKUP(1,((SKUs!$A$2:$A$10001=cl_unmerged!B1496) * (LEFT(SKUs!$J$2:$J$10001, LEN("Aluminum Tube"))="Aluminum Tube") * (ISNUMBER(SEARCH(A1496,SKUs!$C$2:$C$10001)))), SKUs!$C$2:$C$10001,"")</f>
        <v/>
      </c>
      <c r="G1496" s="16"/>
      <c r="H1496" s="16"/>
      <c r="I1496" s="16"/>
    </row>
    <row r="1497" spans="1:9" ht="13.5" customHeight="1" x14ac:dyDescent="0.25">
      <c r="A1497" s="41" t="str">
        <f>_xlfn.XLOOKUP(G1497,dd_color!$A$2:$A$8,dd_color!$B$2:$B$8,"",0)</f>
        <v/>
      </c>
      <c r="B1497" s="41">
        <f>_xlfn.XLOOKUP(_xlfn.XLOOKUP(C1497,'Project Details'!$C$17:$C$10003,'Project Details'!$E$17:$E$10003, "",0),dd_design_raw!$A$2:$A$9997,dd_design_raw!$C$2:$C$9997,"",0)</f>
        <v>0</v>
      </c>
      <c r="C1497" s="16"/>
      <c r="D1497" s="16"/>
      <c r="E1497" s="16" t="str" cm="1">
        <f t="array" ref="E1497">IF(C1497&lt;&gt;"", _xlfn.XLOOKUP(1,((SKUs!$A$2:$A$10001=cl_unmerged!B1436) * (LEFT(SKUs!$J$2:$J$10001, LEN("Aluminum Tube"))="Aluminum Tube")), SKUs!$J$2:$J$10001,""),"")</f>
        <v/>
      </c>
      <c r="F1497" s="33" t="str" cm="1">
        <f t="array" ref="F1497">_xlfn.XLOOKUP(1,((SKUs!$A$2:$A$10001=cl_unmerged!B1497) * (LEFT(SKUs!$J$2:$J$10001, LEN("Aluminum Tube"))="Aluminum Tube") * (ISNUMBER(SEARCH(A1497,SKUs!$C$2:$C$10001)))), SKUs!$C$2:$C$10001,"")</f>
        <v/>
      </c>
      <c r="G1497" s="16"/>
      <c r="H1497" s="16"/>
      <c r="I1497" s="16"/>
    </row>
    <row r="1498" spans="1:9" ht="13.5" customHeight="1" x14ac:dyDescent="0.25">
      <c r="A1498" s="41" t="str">
        <f>_xlfn.XLOOKUP(G1498,dd_color!$A$2:$A$8,dd_color!$B$2:$B$8,"",0)</f>
        <v/>
      </c>
      <c r="B1498" s="41">
        <f>_xlfn.XLOOKUP(_xlfn.XLOOKUP(C1498,'Project Details'!$C$17:$C$10003,'Project Details'!$E$17:$E$10003, "",0),dd_design_raw!$A$2:$A$9997,dd_design_raw!$C$2:$C$9997,"",0)</f>
        <v>0</v>
      </c>
      <c r="C1498" s="16"/>
      <c r="D1498" s="16"/>
      <c r="E1498" s="16" t="str" cm="1">
        <f t="array" ref="E1498">IF(C1498&lt;&gt;"", _xlfn.XLOOKUP(1,((SKUs!$A$2:$A$10001=cl_unmerged!B1437) * (LEFT(SKUs!$J$2:$J$10001, LEN("Aluminum Tube"))="Aluminum Tube")), SKUs!$J$2:$J$10001,""),"")</f>
        <v/>
      </c>
      <c r="F1498" s="33" t="str" cm="1">
        <f t="array" ref="F1498">_xlfn.XLOOKUP(1,((SKUs!$A$2:$A$10001=cl_unmerged!B1498) * (LEFT(SKUs!$J$2:$J$10001, LEN("Aluminum Tube"))="Aluminum Tube") * (ISNUMBER(SEARCH(A1498,SKUs!$C$2:$C$10001)))), SKUs!$C$2:$C$10001,"")</f>
        <v/>
      </c>
      <c r="G1498" s="16"/>
      <c r="H1498" s="16"/>
      <c r="I1498" s="16"/>
    </row>
    <row r="1499" spans="1:9" ht="13.5" customHeight="1" x14ac:dyDescent="0.25">
      <c r="A1499" s="41" t="str">
        <f>_xlfn.XLOOKUP(G1499,dd_color!$A$2:$A$8,dd_color!$B$2:$B$8,"",0)</f>
        <v/>
      </c>
      <c r="B1499" s="41">
        <f>_xlfn.XLOOKUP(_xlfn.XLOOKUP(C1499,'Project Details'!$C$17:$C$10003,'Project Details'!$E$17:$E$10003, "",0),dd_design_raw!$A$2:$A$9997,dd_design_raw!$C$2:$C$9997,"",0)</f>
        <v>0</v>
      </c>
      <c r="C1499" s="16"/>
      <c r="D1499" s="16"/>
      <c r="E1499" s="16" t="str" cm="1">
        <f t="array" ref="E1499">IF(C1499&lt;&gt;"", _xlfn.XLOOKUP(1,((SKUs!$A$2:$A$10001=cl_unmerged!B1438) * (LEFT(SKUs!$J$2:$J$10001, LEN("Aluminum Tube"))="Aluminum Tube")), SKUs!$J$2:$J$10001,""),"")</f>
        <v/>
      </c>
      <c r="F1499" s="33" t="str" cm="1">
        <f t="array" ref="F1499">_xlfn.XLOOKUP(1,((SKUs!$A$2:$A$10001=cl_unmerged!B1499) * (LEFT(SKUs!$J$2:$J$10001, LEN("Aluminum Tube"))="Aluminum Tube") * (ISNUMBER(SEARCH(A1499,SKUs!$C$2:$C$10001)))), SKUs!$C$2:$C$10001,"")</f>
        <v/>
      </c>
      <c r="G1499" s="16"/>
      <c r="H1499" s="16"/>
      <c r="I1499" s="16"/>
    </row>
    <row r="1500" spans="1:9" ht="13.5" customHeight="1" x14ac:dyDescent="0.25">
      <c r="A1500" s="41" t="str">
        <f>_xlfn.XLOOKUP(G1500,dd_color!$A$2:$A$8,dd_color!$B$2:$B$8,"",0)</f>
        <v/>
      </c>
      <c r="B1500" s="41">
        <f>_xlfn.XLOOKUP(_xlfn.XLOOKUP(C1500,'Project Details'!$C$17:$C$10003,'Project Details'!$E$17:$E$10003, "",0),dd_design_raw!$A$2:$A$9997,dd_design_raw!$C$2:$C$9997,"",0)</f>
        <v>0</v>
      </c>
      <c r="C1500" s="16"/>
      <c r="D1500" s="16"/>
      <c r="E1500" s="16" t="str" cm="1">
        <f t="array" ref="E1500">IF(C1500&lt;&gt;"", _xlfn.XLOOKUP(1,((SKUs!$A$2:$A$10001=cl_unmerged!B1439) * (LEFT(SKUs!$J$2:$J$10001, LEN("Aluminum Tube"))="Aluminum Tube")), SKUs!$J$2:$J$10001,""),"")</f>
        <v/>
      </c>
      <c r="F1500" s="33" t="str" cm="1">
        <f t="array" ref="F1500">_xlfn.XLOOKUP(1,((SKUs!$A$2:$A$10001=cl_unmerged!B1500) * (LEFT(SKUs!$J$2:$J$10001, LEN("Aluminum Tube"))="Aluminum Tube") * (ISNUMBER(SEARCH(A1500,SKUs!$C$2:$C$10001)))), SKUs!$C$2:$C$10001,"")</f>
        <v/>
      </c>
      <c r="G1500" s="16"/>
      <c r="H1500" s="16"/>
      <c r="I1500" s="16"/>
    </row>
    <row r="1501" spans="1:9" ht="13.5" customHeight="1" x14ac:dyDescent="0.25">
      <c r="A1501" s="41" t="str">
        <f>_xlfn.XLOOKUP(G1501,dd_color!$A$2:$A$8,dd_color!$B$2:$B$8,"",0)</f>
        <v/>
      </c>
      <c r="B1501" s="41">
        <f>_xlfn.XLOOKUP(_xlfn.XLOOKUP(C1501,'Project Details'!$C$17:$C$10003,'Project Details'!$E$17:$E$10003, "",0),dd_design_raw!$A$2:$A$9997,dd_design_raw!$C$2:$C$9997,"",0)</f>
        <v>0</v>
      </c>
      <c r="C1501" s="16"/>
      <c r="D1501" s="16"/>
      <c r="E1501" s="16" t="str" cm="1">
        <f t="array" ref="E1501">IF(C1501&lt;&gt;"", _xlfn.XLOOKUP(1,((SKUs!$A$2:$A$10001=cl_unmerged!B1440) * (LEFT(SKUs!$J$2:$J$10001, LEN("Aluminum Tube"))="Aluminum Tube")), SKUs!$J$2:$J$10001,""),"")</f>
        <v/>
      </c>
      <c r="F1501" s="33" t="str" cm="1">
        <f t="array" ref="F1501">_xlfn.XLOOKUP(1,((SKUs!$A$2:$A$10001=cl_unmerged!B1501) * (LEFT(SKUs!$J$2:$J$10001, LEN("Aluminum Tube"))="Aluminum Tube") * (ISNUMBER(SEARCH(A1501,SKUs!$C$2:$C$10001)))), SKUs!$C$2:$C$10001,"")</f>
        <v/>
      </c>
      <c r="G1501" s="16"/>
      <c r="H1501" s="16"/>
      <c r="I1501" s="16"/>
    </row>
    <row r="1502" spans="1:9" ht="13.5" customHeight="1" x14ac:dyDescent="0.25">
      <c r="A1502" s="41" t="str">
        <f>_xlfn.XLOOKUP(G1502,dd_color!$A$2:$A$8,dd_color!$B$2:$B$8,"",0)</f>
        <v/>
      </c>
      <c r="B1502" s="41">
        <f>_xlfn.XLOOKUP(_xlfn.XLOOKUP(C1502,'Project Details'!$C$17:$C$10003,'Project Details'!$E$17:$E$10003, "",0),dd_design_raw!$A$2:$A$9997,dd_design_raw!$C$2:$C$9997,"",0)</f>
        <v>0</v>
      </c>
      <c r="C1502" s="16"/>
      <c r="D1502" s="16"/>
      <c r="E1502" s="16" t="str" cm="1">
        <f t="array" ref="E1502">IF(C1502&lt;&gt;"", _xlfn.XLOOKUP(1,((SKUs!$A$2:$A$10001=cl_unmerged!B1441) * (LEFT(SKUs!$J$2:$J$10001, LEN("Aluminum Tube"))="Aluminum Tube")), SKUs!$J$2:$J$10001,""),"")</f>
        <v/>
      </c>
      <c r="F1502" s="33" t="str" cm="1">
        <f t="array" ref="F1502">_xlfn.XLOOKUP(1,((SKUs!$A$2:$A$10001=cl_unmerged!B1502) * (LEFT(SKUs!$J$2:$J$10001, LEN("Aluminum Tube"))="Aluminum Tube") * (ISNUMBER(SEARCH(A1502,SKUs!$C$2:$C$10001)))), SKUs!$C$2:$C$10001,"")</f>
        <v/>
      </c>
      <c r="G1502" s="16"/>
      <c r="H1502" s="16"/>
      <c r="I1502" s="16"/>
    </row>
    <row r="1503" spans="1:9" ht="13.5" customHeight="1" x14ac:dyDescent="0.25">
      <c r="A1503" s="41" t="str">
        <f>_xlfn.XLOOKUP(G1503,dd_color!$A$2:$A$8,dd_color!$B$2:$B$8,"",0)</f>
        <v/>
      </c>
      <c r="B1503" s="41">
        <f>_xlfn.XLOOKUP(_xlfn.XLOOKUP(C1503,'Project Details'!$C$17:$C$10003,'Project Details'!$E$17:$E$10003, "",0),dd_design_raw!$A$2:$A$9997,dd_design_raw!$C$2:$C$9997,"",0)</f>
        <v>0</v>
      </c>
      <c r="C1503" s="16"/>
      <c r="D1503" s="16"/>
      <c r="E1503" s="16" t="str" cm="1">
        <f t="array" ref="E1503">IF(C1503&lt;&gt;"", _xlfn.XLOOKUP(1,((SKUs!$A$2:$A$10001=cl_unmerged!B1442) * (LEFT(SKUs!$J$2:$J$10001, LEN("Aluminum Tube"))="Aluminum Tube")), SKUs!$J$2:$J$10001,""),"")</f>
        <v/>
      </c>
      <c r="F1503" s="33" t="str" cm="1">
        <f t="array" ref="F1503">_xlfn.XLOOKUP(1,((SKUs!$A$2:$A$10001=cl_unmerged!B1503) * (LEFT(SKUs!$J$2:$J$10001, LEN("Aluminum Tube"))="Aluminum Tube") * (ISNUMBER(SEARCH(A1503,SKUs!$C$2:$C$10001)))), SKUs!$C$2:$C$10001,"")</f>
        <v/>
      </c>
      <c r="G1503" s="16"/>
      <c r="H1503" s="16"/>
      <c r="I1503" s="16"/>
    </row>
    <row r="1504" spans="1:9" x14ac:dyDescent="0.25">
      <c r="C1504" s="28" t="s">
        <v>891</v>
      </c>
      <c r="D1504" s="29"/>
      <c r="E1504" s="29"/>
      <c r="F1504" s="29"/>
      <c r="G1504" s="29"/>
      <c r="H1504" s="29"/>
      <c r="I1504" s="30"/>
    </row>
    <row r="1505" spans="1:9" x14ac:dyDescent="0.25">
      <c r="A1505" s="41" t="str">
        <f>_xlfn.XLOOKUP(G1505,dd_color!$A$2:$A$8,dd_color!$B$2:$B$8,"",0)</f>
        <v/>
      </c>
      <c r="B1505" s="41" t="str">
        <f>_xlfn.XLOOKUP(_xlfn.XLOOKUP(C1505,'Project Details'!$C$17:$C$10003,'Project Details'!$E$17:$E$10003, "",0),dd_design_raw!$A$2:$A$9997,dd_design_raw!$C$2:$C$9997,"",0)</f>
        <v/>
      </c>
      <c r="C1505" s="16" t="str" cm="1">
        <f t="array" ref="C1505">IFERROR(_xlfn._xlws.FILTER(calc_rusacc!C15:C65,(calc_rusacc!E15:E65&lt;&gt;"Accordion Screen") * (calc_rusacc!D15:D65&lt;&gt;"")),"")</f>
        <v/>
      </c>
      <c r="D1505" s="16" t="str" cm="1">
        <f t="array" ref="D1505">IFERROR(_xlfn._xlws.FILTER(calc_rusacc!AB15:AB65,(calc_rusacc!E15:E65&lt;&gt;"Accordion Screen") * (calc_rusacc!D15:D65&lt;&gt;"")),"")</f>
        <v/>
      </c>
      <c r="E1505" s="16" t="str" cm="1">
        <f t="array" ref="E1505">IF(C1505&lt;&gt;"", _xlfn.XLOOKUP(1,((SKUs!$A$2:$A$10001=cl_unmerged!B1444) * (LEFT(SKUs!$J$2:$J$10001, LEN("PVC Pipe"))="PVC Pipe")), SKUs!$J$2:$J$10001,""),"")</f>
        <v/>
      </c>
      <c r="F1505" s="33" t="str" cm="1">
        <f t="array" ref="F1505">_xlfn.XLOOKUP(1,((SKUs!$A$2:$A$10001=cl_unmerged!B1505) * (LEFT(SKUs!$J$2:$J$10001, LEN("PVC Pipe"))="PVC Pipe") * (ISNUMBER(SEARCH(A1505,SKUs!$C$2:$C$10001)))), SKUs!$C$2:$C$10001,"")</f>
        <v/>
      </c>
      <c r="G1505" s="16"/>
      <c r="H1505" s="16" t="str" cm="1">
        <f t="array" ref="H1505">IFERROR(_xlfn._xlws.FILTER(calc_rusacc!AA15:AA65,(calc_rusacc!E15:E65&lt;&gt;"Accordion Screen") * (calc_rusacc!D15:D65&lt;&gt;"")),"")</f>
        <v/>
      </c>
      <c r="I1505" s="16"/>
    </row>
    <row r="1506" spans="1:9" x14ac:dyDescent="0.25">
      <c r="A1506" s="41" t="str">
        <f>_xlfn.XLOOKUP(G1506,dd_color!$A$2:$A$8,dd_color!$B$2:$B$8,"",0)</f>
        <v/>
      </c>
      <c r="B1506" s="41">
        <f>_xlfn.XLOOKUP(_xlfn.XLOOKUP(C1506,'Project Details'!$C$17:$C$10003,'Project Details'!$E$17:$E$10003, "",0),dd_design_raw!$A$2:$A$9997,dd_design_raw!$C$2:$C$9997,"",0)</f>
        <v>0</v>
      </c>
      <c r="C1506" s="16"/>
      <c r="D1506" s="16"/>
      <c r="E1506" s="16" t="str" cm="1">
        <f t="array" ref="E1506">IF(C1506&lt;&gt;"", _xlfn.XLOOKUP(1,((SKUs!$A$2:$A$10001=cl_unmerged!B1445) * (LEFT(SKUs!$J$2:$J$10001, LEN("PVC Pipe"))="PVC Pipe")), SKUs!$J$2:$J$10001,""),"")</f>
        <v/>
      </c>
      <c r="F1506" s="33" t="str" cm="1">
        <f t="array" ref="F1506">_xlfn.XLOOKUP(1,((SKUs!$A$2:$A$10001=cl_unmerged!B1506) * (LEFT(SKUs!$J$2:$J$10001, LEN("PVC Pipe"))="PVC Pipe") * (ISNUMBER(SEARCH(A1506,SKUs!$C$2:$C$10001)))), SKUs!$C$2:$C$10001,"")</f>
        <v/>
      </c>
      <c r="G1506" s="16"/>
      <c r="H1506" s="16"/>
      <c r="I1506" s="16"/>
    </row>
    <row r="1507" spans="1:9" x14ac:dyDescent="0.25">
      <c r="A1507" s="41" t="str">
        <f>_xlfn.XLOOKUP(G1507,dd_color!$A$2:$A$8,dd_color!$B$2:$B$8,"",0)</f>
        <v/>
      </c>
      <c r="B1507" s="41">
        <f>_xlfn.XLOOKUP(_xlfn.XLOOKUP(C1507,'Project Details'!$C$17:$C$10003,'Project Details'!$E$17:$E$10003, "",0),dd_design_raw!$A$2:$A$9997,dd_design_raw!$C$2:$C$9997,"",0)</f>
        <v>0</v>
      </c>
      <c r="C1507" s="16"/>
      <c r="D1507" s="16"/>
      <c r="E1507" s="16" t="str" cm="1">
        <f t="array" ref="E1507">IF(C1507&lt;&gt;"", _xlfn.XLOOKUP(1,((SKUs!$A$2:$A$10001=cl_unmerged!B1446) * (LEFT(SKUs!$J$2:$J$10001, LEN("PVC Pipe"))="PVC Pipe")), SKUs!$J$2:$J$10001,""),"")</f>
        <v/>
      </c>
      <c r="F1507" s="33" t="str" cm="1">
        <f t="array" ref="F1507">_xlfn.XLOOKUP(1,((SKUs!$A$2:$A$10001=cl_unmerged!B1507) * (LEFT(SKUs!$J$2:$J$10001, LEN("PVC Pipe"))="PVC Pipe") * (ISNUMBER(SEARCH(A1507,SKUs!$C$2:$C$10001)))), SKUs!$C$2:$C$10001,"")</f>
        <v/>
      </c>
      <c r="G1507" s="16"/>
      <c r="H1507" s="16"/>
      <c r="I1507" s="16"/>
    </row>
    <row r="1508" spans="1:9" x14ac:dyDescent="0.25">
      <c r="A1508" s="41" t="str">
        <f>_xlfn.XLOOKUP(G1508,dd_color!$A$2:$A$8,dd_color!$B$2:$B$8,"",0)</f>
        <v/>
      </c>
      <c r="B1508" s="41">
        <f>_xlfn.XLOOKUP(_xlfn.XLOOKUP(C1508,'Project Details'!$C$17:$C$10003,'Project Details'!$E$17:$E$10003, "",0),dd_design_raw!$A$2:$A$9997,dd_design_raw!$C$2:$C$9997,"",0)</f>
        <v>0</v>
      </c>
      <c r="C1508" s="16"/>
      <c r="D1508" s="16"/>
      <c r="E1508" s="16" t="str" cm="1">
        <f t="array" ref="E1508">IF(C1508&lt;&gt;"", _xlfn.XLOOKUP(1,((SKUs!$A$2:$A$10001=cl_unmerged!B1447) * (LEFT(SKUs!$J$2:$J$10001, LEN("PVC Pipe"))="PVC Pipe")), SKUs!$J$2:$J$10001,""),"")</f>
        <v/>
      </c>
      <c r="F1508" s="33" t="str" cm="1">
        <f t="array" ref="F1508">_xlfn.XLOOKUP(1,((SKUs!$A$2:$A$10001=cl_unmerged!B1508) * (LEFT(SKUs!$J$2:$J$10001, LEN("PVC Pipe"))="PVC Pipe") * (ISNUMBER(SEARCH(A1508,SKUs!$C$2:$C$10001)))), SKUs!$C$2:$C$10001,"")</f>
        <v/>
      </c>
      <c r="G1508" s="16"/>
      <c r="H1508" s="16"/>
      <c r="I1508" s="16"/>
    </row>
    <row r="1509" spans="1:9" x14ac:dyDescent="0.25">
      <c r="A1509" s="41" t="str">
        <f>_xlfn.XLOOKUP(G1509,dd_color!$A$2:$A$8,dd_color!$B$2:$B$8,"",0)</f>
        <v/>
      </c>
      <c r="B1509" s="41">
        <f>_xlfn.XLOOKUP(_xlfn.XLOOKUP(C1509,'Project Details'!$C$17:$C$10003,'Project Details'!$E$17:$E$10003, "",0),dd_design_raw!$A$2:$A$9997,dd_design_raw!$C$2:$C$9997,"",0)</f>
        <v>0</v>
      </c>
      <c r="C1509" s="16"/>
      <c r="D1509" s="16"/>
      <c r="E1509" s="16" t="str" cm="1">
        <f t="array" ref="E1509">IF(C1509&lt;&gt;"", _xlfn.XLOOKUP(1,((SKUs!$A$2:$A$10001=cl_unmerged!B1448) * (LEFT(SKUs!$J$2:$J$10001, LEN("PVC Pipe"))="PVC Pipe")), SKUs!$J$2:$J$10001,""),"")</f>
        <v/>
      </c>
      <c r="F1509" s="33" t="str" cm="1">
        <f t="array" ref="F1509">_xlfn.XLOOKUP(1,((SKUs!$A$2:$A$10001=cl_unmerged!B1509) * (LEFT(SKUs!$J$2:$J$10001, LEN("PVC Pipe"))="PVC Pipe") * (ISNUMBER(SEARCH(A1509,SKUs!$C$2:$C$10001)))), SKUs!$C$2:$C$10001,"")</f>
        <v/>
      </c>
      <c r="G1509" s="16"/>
      <c r="H1509" s="16"/>
      <c r="I1509" s="16"/>
    </row>
    <row r="1510" spans="1:9" x14ac:dyDescent="0.25">
      <c r="A1510" s="41" t="str">
        <f>_xlfn.XLOOKUP(G1510,dd_color!$A$2:$A$8,dd_color!$B$2:$B$8,"",0)</f>
        <v/>
      </c>
      <c r="B1510" s="41">
        <f>_xlfn.XLOOKUP(_xlfn.XLOOKUP(C1510,'Project Details'!$C$17:$C$10003,'Project Details'!$E$17:$E$10003, "",0),dd_design_raw!$A$2:$A$9997,dd_design_raw!$C$2:$C$9997,"",0)</f>
        <v>0</v>
      </c>
      <c r="C1510" s="16"/>
      <c r="D1510" s="16"/>
      <c r="E1510" s="16" t="str" cm="1">
        <f t="array" ref="E1510">IF(C1510&lt;&gt;"", _xlfn.XLOOKUP(1,((SKUs!$A$2:$A$10001=cl_unmerged!B1449) * (LEFT(SKUs!$J$2:$J$10001, LEN("PVC Pipe"))="PVC Pipe")), SKUs!$J$2:$J$10001,""),"")</f>
        <v/>
      </c>
      <c r="F1510" s="33" t="str" cm="1">
        <f t="array" ref="F1510">_xlfn.XLOOKUP(1,((SKUs!$A$2:$A$10001=cl_unmerged!B1510) * (LEFT(SKUs!$J$2:$J$10001, LEN("PVC Pipe"))="PVC Pipe") * (ISNUMBER(SEARCH(A1510,SKUs!$C$2:$C$10001)))), SKUs!$C$2:$C$10001,"")</f>
        <v/>
      </c>
      <c r="G1510" s="16"/>
      <c r="H1510" s="16"/>
      <c r="I1510" s="16"/>
    </row>
    <row r="1511" spans="1:9" x14ac:dyDescent="0.25">
      <c r="A1511" s="41" t="str">
        <f>_xlfn.XLOOKUP(G1511,dd_color!$A$2:$A$8,dd_color!$B$2:$B$8,"",0)</f>
        <v/>
      </c>
      <c r="B1511" s="41">
        <f>_xlfn.XLOOKUP(_xlfn.XLOOKUP(C1511,'Project Details'!$C$17:$C$10003,'Project Details'!$E$17:$E$10003, "",0),dd_design_raw!$A$2:$A$9997,dd_design_raw!$C$2:$C$9997,"",0)</f>
        <v>0</v>
      </c>
      <c r="C1511" s="16"/>
      <c r="D1511" s="16"/>
      <c r="E1511" s="16" t="str" cm="1">
        <f t="array" ref="E1511">IF(C1511&lt;&gt;"", _xlfn.XLOOKUP(1,((SKUs!$A$2:$A$10001=cl_unmerged!B1450) * (LEFT(SKUs!$J$2:$J$10001, LEN("PVC Pipe"))="PVC Pipe")), SKUs!$J$2:$J$10001,""),"")</f>
        <v/>
      </c>
      <c r="F1511" s="33" t="str" cm="1">
        <f t="array" ref="F1511">_xlfn.XLOOKUP(1,((SKUs!$A$2:$A$10001=cl_unmerged!B1511) * (LEFT(SKUs!$J$2:$J$10001, LEN("PVC Pipe"))="PVC Pipe") * (ISNUMBER(SEARCH(A1511,SKUs!$C$2:$C$10001)))), SKUs!$C$2:$C$10001,"")</f>
        <v/>
      </c>
      <c r="G1511" s="16"/>
      <c r="H1511" s="16"/>
      <c r="I1511" s="16"/>
    </row>
    <row r="1512" spans="1:9" x14ac:dyDescent="0.25">
      <c r="A1512" s="41" t="str">
        <f>_xlfn.XLOOKUP(G1512,dd_color!$A$2:$A$8,dd_color!$B$2:$B$8,"",0)</f>
        <v/>
      </c>
      <c r="B1512" s="41">
        <f>_xlfn.XLOOKUP(_xlfn.XLOOKUP(C1512,'Project Details'!$C$17:$C$10003,'Project Details'!$E$17:$E$10003, "",0),dd_design_raw!$A$2:$A$9997,dd_design_raw!$C$2:$C$9997,"",0)</f>
        <v>0</v>
      </c>
      <c r="C1512" s="16"/>
      <c r="D1512" s="16"/>
      <c r="E1512" s="16" t="str" cm="1">
        <f t="array" ref="E1512">IF(C1512&lt;&gt;"", _xlfn.XLOOKUP(1,((SKUs!$A$2:$A$10001=cl_unmerged!B1451) * (LEFT(SKUs!$J$2:$J$10001, LEN("PVC Pipe"))="PVC Pipe")), SKUs!$J$2:$J$10001,""),"")</f>
        <v/>
      </c>
      <c r="F1512" s="33" t="str" cm="1">
        <f t="array" ref="F1512">_xlfn.XLOOKUP(1,((SKUs!$A$2:$A$10001=cl_unmerged!B1512) * (LEFT(SKUs!$J$2:$J$10001, LEN("PVC Pipe"))="PVC Pipe") * (ISNUMBER(SEARCH(A1512,SKUs!$C$2:$C$10001)))), SKUs!$C$2:$C$10001,"")</f>
        <v/>
      </c>
      <c r="G1512" s="16"/>
      <c r="H1512" s="16"/>
      <c r="I1512" s="16"/>
    </row>
    <row r="1513" spans="1:9" x14ac:dyDescent="0.25">
      <c r="A1513" s="41" t="str">
        <f>_xlfn.XLOOKUP(G1513,dd_color!$A$2:$A$8,dd_color!$B$2:$B$8,"",0)</f>
        <v/>
      </c>
      <c r="B1513" s="41">
        <f>_xlfn.XLOOKUP(_xlfn.XLOOKUP(C1513,'Project Details'!$C$17:$C$10003,'Project Details'!$E$17:$E$10003, "",0),dd_design_raw!$A$2:$A$9997,dd_design_raw!$C$2:$C$9997,"",0)</f>
        <v>0</v>
      </c>
      <c r="C1513" s="16"/>
      <c r="D1513" s="16"/>
      <c r="E1513" s="16" t="str" cm="1">
        <f t="array" ref="E1513">IF(C1513&lt;&gt;"", _xlfn.XLOOKUP(1,((SKUs!$A$2:$A$10001=cl_unmerged!B1452) * (LEFT(SKUs!$J$2:$J$10001, LEN("PVC Pipe"))="PVC Pipe")), SKUs!$J$2:$J$10001,""),"")</f>
        <v/>
      </c>
      <c r="F1513" s="33" t="str" cm="1">
        <f t="array" ref="F1513">_xlfn.XLOOKUP(1,((SKUs!$A$2:$A$10001=cl_unmerged!B1513) * (LEFT(SKUs!$J$2:$J$10001, LEN("PVC Pipe"))="PVC Pipe") * (ISNUMBER(SEARCH(A1513,SKUs!$C$2:$C$10001)))), SKUs!$C$2:$C$10001,"")</f>
        <v/>
      </c>
      <c r="G1513" s="16"/>
      <c r="H1513" s="16"/>
      <c r="I1513" s="16"/>
    </row>
    <row r="1514" spans="1:9" x14ac:dyDescent="0.25">
      <c r="A1514" s="41" t="str">
        <f>_xlfn.XLOOKUP(G1514,dd_color!$A$2:$A$8,dd_color!$B$2:$B$8,"",0)</f>
        <v/>
      </c>
      <c r="B1514" s="41">
        <f>_xlfn.XLOOKUP(_xlfn.XLOOKUP(C1514,'Project Details'!$C$17:$C$10003,'Project Details'!$E$17:$E$10003, "",0),dd_design_raw!$A$2:$A$9997,dd_design_raw!$C$2:$C$9997,"",0)</f>
        <v>0</v>
      </c>
      <c r="C1514" s="16"/>
      <c r="D1514" s="16"/>
      <c r="E1514" s="16" t="str" cm="1">
        <f t="array" ref="E1514">IF(C1514&lt;&gt;"", _xlfn.XLOOKUP(1,((SKUs!$A$2:$A$10001=cl_unmerged!B1453) * (LEFT(SKUs!$J$2:$J$10001, LEN("PVC Pipe"))="PVC Pipe")), SKUs!$J$2:$J$10001,""),"")</f>
        <v/>
      </c>
      <c r="F1514" s="33" t="str" cm="1">
        <f t="array" ref="F1514">_xlfn.XLOOKUP(1,((SKUs!$A$2:$A$10001=cl_unmerged!B1514) * (LEFT(SKUs!$J$2:$J$10001, LEN("PVC Pipe"))="PVC Pipe") * (ISNUMBER(SEARCH(A1514,SKUs!$C$2:$C$10001)))), SKUs!$C$2:$C$10001,"")</f>
        <v/>
      </c>
      <c r="G1514" s="16"/>
      <c r="H1514" s="16"/>
      <c r="I1514" s="16"/>
    </row>
    <row r="1515" spans="1:9" x14ac:dyDescent="0.25">
      <c r="A1515" s="41" t="str">
        <f>_xlfn.XLOOKUP(G1515,dd_color!$A$2:$A$8,dd_color!$B$2:$B$8,"",0)</f>
        <v/>
      </c>
      <c r="B1515" s="41">
        <f>_xlfn.XLOOKUP(_xlfn.XLOOKUP(C1515,'Project Details'!$C$17:$C$10003,'Project Details'!$E$17:$E$10003, "",0),dd_design_raw!$A$2:$A$9997,dd_design_raw!$C$2:$C$9997,"",0)</f>
        <v>0</v>
      </c>
      <c r="C1515" s="16"/>
      <c r="D1515" s="16"/>
      <c r="E1515" s="16" t="str" cm="1">
        <f t="array" ref="E1515">IF(C1515&lt;&gt;"", _xlfn.XLOOKUP(1,((SKUs!$A$2:$A$10001=cl_unmerged!B1454) * (LEFT(SKUs!$J$2:$J$10001, LEN("PVC Pipe"))="PVC Pipe")), SKUs!$J$2:$J$10001,""),"")</f>
        <v/>
      </c>
      <c r="F1515" s="33" t="str" cm="1">
        <f t="array" ref="F1515">_xlfn.XLOOKUP(1,((SKUs!$A$2:$A$10001=cl_unmerged!B1515) * (LEFT(SKUs!$J$2:$J$10001, LEN("PVC Pipe"))="PVC Pipe") * (ISNUMBER(SEARCH(A1515,SKUs!$C$2:$C$10001)))), SKUs!$C$2:$C$10001,"")</f>
        <v/>
      </c>
      <c r="G1515" s="16"/>
      <c r="H1515" s="16"/>
      <c r="I1515" s="16"/>
    </row>
    <row r="1516" spans="1:9" x14ac:dyDescent="0.25">
      <c r="A1516" s="41" t="str">
        <f>_xlfn.XLOOKUP(G1516,dd_color!$A$2:$A$8,dd_color!$B$2:$B$8,"",0)</f>
        <v/>
      </c>
      <c r="B1516" s="41">
        <f>_xlfn.XLOOKUP(_xlfn.XLOOKUP(C1516,'Project Details'!$C$17:$C$10003,'Project Details'!$E$17:$E$10003, "",0),dd_design_raw!$A$2:$A$9997,dd_design_raw!$C$2:$C$9997,"",0)</f>
        <v>0</v>
      </c>
      <c r="C1516" s="16"/>
      <c r="D1516" s="16"/>
      <c r="E1516" s="16" t="str" cm="1">
        <f t="array" ref="E1516">IF(C1516&lt;&gt;"", _xlfn.XLOOKUP(1,((SKUs!$A$2:$A$10001=cl_unmerged!B1455) * (LEFT(SKUs!$J$2:$J$10001, LEN("PVC Pipe"))="PVC Pipe")), SKUs!$J$2:$J$10001,""),"")</f>
        <v/>
      </c>
      <c r="F1516" s="33" t="str" cm="1">
        <f t="array" ref="F1516">_xlfn.XLOOKUP(1,((SKUs!$A$2:$A$10001=cl_unmerged!B1516) * (LEFT(SKUs!$J$2:$J$10001, LEN("PVC Pipe"))="PVC Pipe") * (ISNUMBER(SEARCH(A1516,SKUs!$C$2:$C$10001)))), SKUs!$C$2:$C$10001,"")</f>
        <v/>
      </c>
      <c r="G1516" s="16"/>
      <c r="H1516" s="16"/>
      <c r="I1516" s="16"/>
    </row>
    <row r="1517" spans="1:9" x14ac:dyDescent="0.25">
      <c r="A1517" s="41" t="str">
        <f>_xlfn.XLOOKUP(G1517,dd_color!$A$2:$A$8,dd_color!$B$2:$B$8,"",0)</f>
        <v/>
      </c>
      <c r="B1517" s="41">
        <f>_xlfn.XLOOKUP(_xlfn.XLOOKUP(C1517,'Project Details'!$C$17:$C$10003,'Project Details'!$E$17:$E$10003, "",0),dd_design_raw!$A$2:$A$9997,dd_design_raw!$C$2:$C$9997,"",0)</f>
        <v>0</v>
      </c>
      <c r="C1517" s="16"/>
      <c r="D1517" s="16"/>
      <c r="E1517" s="16" t="str" cm="1">
        <f t="array" ref="E1517">IF(C1517&lt;&gt;"", _xlfn.XLOOKUP(1,((SKUs!$A$2:$A$10001=cl_unmerged!B1456) * (LEFT(SKUs!$J$2:$J$10001, LEN("PVC Pipe"))="PVC Pipe")), SKUs!$J$2:$J$10001,""),"")</f>
        <v/>
      </c>
      <c r="F1517" s="33" t="str" cm="1">
        <f t="array" ref="F1517">_xlfn.XLOOKUP(1,((SKUs!$A$2:$A$10001=cl_unmerged!B1517) * (LEFT(SKUs!$J$2:$J$10001, LEN("PVC Pipe"))="PVC Pipe") * (ISNUMBER(SEARCH(A1517,SKUs!$C$2:$C$10001)))), SKUs!$C$2:$C$10001,"")</f>
        <v/>
      </c>
      <c r="G1517" s="16"/>
      <c r="H1517" s="16"/>
      <c r="I1517" s="16"/>
    </row>
    <row r="1518" spans="1:9" x14ac:dyDescent="0.25">
      <c r="A1518" s="41" t="str">
        <f>_xlfn.XLOOKUP(G1518,dd_color!$A$2:$A$8,dd_color!$B$2:$B$8,"",0)</f>
        <v/>
      </c>
      <c r="B1518" s="41">
        <f>_xlfn.XLOOKUP(_xlfn.XLOOKUP(C1518,'Project Details'!$C$17:$C$10003,'Project Details'!$E$17:$E$10003, "",0),dd_design_raw!$A$2:$A$9997,dd_design_raw!$C$2:$C$9997,"",0)</f>
        <v>0</v>
      </c>
      <c r="C1518" s="16"/>
      <c r="D1518" s="16"/>
      <c r="E1518" s="16" t="str" cm="1">
        <f t="array" ref="E1518">IF(C1518&lt;&gt;"", _xlfn.XLOOKUP(1,((SKUs!$A$2:$A$10001=cl_unmerged!B1457) * (LEFT(SKUs!$J$2:$J$10001, LEN("PVC Pipe"))="PVC Pipe")), SKUs!$J$2:$J$10001,""),"")</f>
        <v/>
      </c>
      <c r="F1518" s="33" t="str" cm="1">
        <f t="array" ref="F1518">_xlfn.XLOOKUP(1,((SKUs!$A$2:$A$10001=cl_unmerged!B1518) * (LEFT(SKUs!$J$2:$J$10001, LEN("PVC Pipe"))="PVC Pipe") * (ISNUMBER(SEARCH(A1518,SKUs!$C$2:$C$10001)))), SKUs!$C$2:$C$10001,"")</f>
        <v/>
      </c>
      <c r="G1518" s="16"/>
      <c r="H1518" s="16"/>
      <c r="I1518" s="16"/>
    </row>
    <row r="1519" spans="1:9" x14ac:dyDescent="0.25">
      <c r="A1519" s="41" t="str">
        <f>_xlfn.XLOOKUP(G1519,dd_color!$A$2:$A$8,dd_color!$B$2:$B$8,"",0)</f>
        <v/>
      </c>
      <c r="B1519" s="41">
        <f>_xlfn.XLOOKUP(_xlfn.XLOOKUP(C1519,'Project Details'!$C$17:$C$10003,'Project Details'!$E$17:$E$10003, "",0),dd_design_raw!$A$2:$A$9997,dd_design_raw!$C$2:$C$9997,"",0)</f>
        <v>0</v>
      </c>
      <c r="C1519" s="16"/>
      <c r="D1519" s="16"/>
      <c r="E1519" s="16" t="str" cm="1">
        <f t="array" ref="E1519">IF(C1519&lt;&gt;"", _xlfn.XLOOKUP(1,((SKUs!$A$2:$A$10001=cl_unmerged!B1458) * (LEFT(SKUs!$J$2:$J$10001, LEN("PVC Pipe"))="PVC Pipe")), SKUs!$J$2:$J$10001,""),"")</f>
        <v/>
      </c>
      <c r="F1519" s="33" t="str" cm="1">
        <f t="array" ref="F1519">_xlfn.XLOOKUP(1,((SKUs!$A$2:$A$10001=cl_unmerged!B1519) * (LEFT(SKUs!$J$2:$J$10001, LEN("PVC Pipe"))="PVC Pipe") * (ISNUMBER(SEARCH(A1519,SKUs!$C$2:$C$10001)))), SKUs!$C$2:$C$10001,"")</f>
        <v/>
      </c>
      <c r="G1519" s="16"/>
      <c r="H1519" s="16"/>
      <c r="I1519" s="16"/>
    </row>
    <row r="1520" spans="1:9" x14ac:dyDescent="0.25">
      <c r="A1520" s="41" t="str">
        <f>_xlfn.XLOOKUP(G1520,dd_color!$A$2:$A$8,dd_color!$B$2:$B$8,"",0)</f>
        <v/>
      </c>
      <c r="B1520" s="41">
        <f>_xlfn.XLOOKUP(_xlfn.XLOOKUP(C1520,'Project Details'!$C$17:$C$10003,'Project Details'!$E$17:$E$10003, "",0),dd_design_raw!$A$2:$A$9997,dd_design_raw!$C$2:$C$9997,"",0)</f>
        <v>0</v>
      </c>
      <c r="C1520" s="16"/>
      <c r="D1520" s="16"/>
      <c r="E1520" s="16" t="str" cm="1">
        <f t="array" ref="E1520">IF(C1520&lt;&gt;"", _xlfn.XLOOKUP(1,((SKUs!$A$2:$A$10001=cl_unmerged!B1459) * (LEFT(SKUs!$J$2:$J$10001, LEN("PVC Pipe"))="PVC Pipe")), SKUs!$J$2:$J$10001,""),"")</f>
        <v/>
      </c>
      <c r="F1520" s="33" t="str" cm="1">
        <f t="array" ref="F1520">_xlfn.XLOOKUP(1,((SKUs!$A$2:$A$10001=cl_unmerged!B1520) * (LEFT(SKUs!$J$2:$J$10001, LEN("PVC Pipe"))="PVC Pipe") * (ISNUMBER(SEARCH(A1520,SKUs!$C$2:$C$10001)))), SKUs!$C$2:$C$10001,"")</f>
        <v/>
      </c>
      <c r="G1520" s="16"/>
      <c r="H1520" s="16"/>
      <c r="I1520" s="16"/>
    </row>
    <row r="1521" spans="1:9" x14ac:dyDescent="0.25">
      <c r="A1521" s="41" t="str">
        <f>_xlfn.XLOOKUP(G1521,dd_color!$A$2:$A$8,dd_color!$B$2:$B$8,"",0)</f>
        <v/>
      </c>
      <c r="B1521" s="41">
        <f>_xlfn.XLOOKUP(_xlfn.XLOOKUP(C1521,'Project Details'!$C$17:$C$10003,'Project Details'!$E$17:$E$10003, "",0),dd_design_raw!$A$2:$A$9997,dd_design_raw!$C$2:$C$9997,"",0)</f>
        <v>0</v>
      </c>
      <c r="C1521" s="16"/>
      <c r="D1521" s="16"/>
      <c r="E1521" s="16" t="str" cm="1">
        <f t="array" ref="E1521">IF(C1521&lt;&gt;"", _xlfn.XLOOKUP(1,((SKUs!$A$2:$A$10001=cl_unmerged!B1460) * (LEFT(SKUs!$J$2:$J$10001, LEN("PVC Pipe"))="PVC Pipe")), SKUs!$J$2:$J$10001,""),"")</f>
        <v/>
      </c>
      <c r="F1521" s="33" t="str" cm="1">
        <f t="array" ref="F1521">_xlfn.XLOOKUP(1,((SKUs!$A$2:$A$10001=cl_unmerged!B1521) * (LEFT(SKUs!$J$2:$J$10001, LEN("PVC Pipe"))="PVC Pipe") * (ISNUMBER(SEARCH(A1521,SKUs!$C$2:$C$10001)))), SKUs!$C$2:$C$10001,"")</f>
        <v/>
      </c>
      <c r="G1521" s="16"/>
      <c r="H1521" s="16"/>
      <c r="I1521" s="16"/>
    </row>
    <row r="1522" spans="1:9" x14ac:dyDescent="0.25">
      <c r="A1522" s="41" t="str">
        <f>_xlfn.XLOOKUP(G1522,dd_color!$A$2:$A$8,dd_color!$B$2:$B$8,"",0)</f>
        <v/>
      </c>
      <c r="B1522" s="41">
        <f>_xlfn.XLOOKUP(_xlfn.XLOOKUP(C1522,'Project Details'!$C$17:$C$10003,'Project Details'!$E$17:$E$10003, "",0),dd_design_raw!$A$2:$A$9997,dd_design_raw!$C$2:$C$9997,"",0)</f>
        <v>0</v>
      </c>
      <c r="C1522" s="16"/>
      <c r="D1522" s="16"/>
      <c r="E1522" s="16" t="str" cm="1">
        <f t="array" ref="E1522">IF(C1522&lt;&gt;"", _xlfn.XLOOKUP(1,((SKUs!$A$2:$A$10001=cl_unmerged!B1461) * (LEFT(SKUs!$J$2:$J$10001, LEN("PVC Pipe"))="PVC Pipe")), SKUs!$J$2:$J$10001,""),"")</f>
        <v/>
      </c>
      <c r="F1522" s="33" t="str" cm="1">
        <f t="array" ref="F1522">_xlfn.XLOOKUP(1,((SKUs!$A$2:$A$10001=cl_unmerged!B1522) * (LEFT(SKUs!$J$2:$J$10001, LEN("PVC Pipe"))="PVC Pipe") * (ISNUMBER(SEARCH(A1522,SKUs!$C$2:$C$10001)))), SKUs!$C$2:$C$10001,"")</f>
        <v/>
      </c>
      <c r="G1522" s="16"/>
      <c r="H1522" s="16"/>
      <c r="I1522" s="16"/>
    </row>
    <row r="1523" spans="1:9" x14ac:dyDescent="0.25">
      <c r="A1523" s="41" t="str">
        <f>_xlfn.XLOOKUP(G1523,dd_color!$A$2:$A$8,dd_color!$B$2:$B$8,"",0)</f>
        <v/>
      </c>
      <c r="B1523" s="41">
        <f>_xlfn.XLOOKUP(_xlfn.XLOOKUP(C1523,'Project Details'!$C$17:$C$10003,'Project Details'!$E$17:$E$10003, "",0),dd_design_raw!$A$2:$A$9997,dd_design_raw!$C$2:$C$9997,"",0)</f>
        <v>0</v>
      </c>
      <c r="C1523" s="16"/>
      <c r="D1523" s="16"/>
      <c r="E1523" s="16" t="str" cm="1">
        <f t="array" ref="E1523">IF(C1523&lt;&gt;"", _xlfn.XLOOKUP(1,((SKUs!$A$2:$A$10001=cl_unmerged!B1462) * (LEFT(SKUs!$J$2:$J$10001, LEN("PVC Pipe"))="PVC Pipe")), SKUs!$J$2:$J$10001,""),"")</f>
        <v/>
      </c>
      <c r="F1523" s="33" t="str" cm="1">
        <f t="array" ref="F1523">_xlfn.XLOOKUP(1,((SKUs!$A$2:$A$10001=cl_unmerged!B1523) * (LEFT(SKUs!$J$2:$J$10001, LEN("PVC Pipe"))="PVC Pipe") * (ISNUMBER(SEARCH(A1523,SKUs!$C$2:$C$10001)))), SKUs!$C$2:$C$10001,"")</f>
        <v/>
      </c>
      <c r="G1523" s="16"/>
      <c r="H1523" s="16"/>
      <c r="I1523" s="16"/>
    </row>
    <row r="1524" spans="1:9" ht="13.5" customHeight="1" x14ac:dyDescent="0.25">
      <c r="A1524" s="41" t="str">
        <f>_xlfn.XLOOKUP(G1524,dd_color!$A$2:$A$8,dd_color!$B$2:$B$8,"",0)</f>
        <v/>
      </c>
      <c r="B1524" s="41">
        <f>_xlfn.XLOOKUP(_xlfn.XLOOKUP(C1524,'Project Details'!$C$17:$C$10003,'Project Details'!$E$17:$E$10003, "",0),dd_design_raw!$A$2:$A$9997,dd_design_raw!$C$2:$C$9997,"",0)</f>
        <v>0</v>
      </c>
      <c r="C1524" s="16"/>
      <c r="D1524" s="16"/>
      <c r="E1524" s="16" t="str" cm="1">
        <f t="array" ref="E1524">IF(C1524&lt;&gt;"", _xlfn.XLOOKUP(1,((SKUs!$A$2:$A$10001=cl_unmerged!B1463) * (LEFT(SKUs!$J$2:$J$10001, LEN("PVC Pipe"))="PVC Pipe")), SKUs!$J$2:$J$10001,""),"")</f>
        <v/>
      </c>
      <c r="F1524" s="33" t="str" cm="1">
        <f t="array" ref="F1524">_xlfn.XLOOKUP(1,((SKUs!$A$2:$A$10001=cl_unmerged!B1524) * (LEFT(SKUs!$J$2:$J$10001, LEN("PVC Pipe"))="PVC Pipe") * (ISNUMBER(SEARCH(A1524,SKUs!$C$2:$C$10001)))), SKUs!$C$2:$C$10001,"")</f>
        <v/>
      </c>
      <c r="G1524" s="16"/>
      <c r="H1524" s="16"/>
      <c r="I1524" s="16"/>
    </row>
    <row r="1525" spans="1:9" ht="13.5" customHeight="1" x14ac:dyDescent="0.25">
      <c r="A1525" s="41" t="str">
        <f>_xlfn.XLOOKUP(G1525,dd_color!$A$2:$A$8,dd_color!$B$2:$B$8,"",0)</f>
        <v/>
      </c>
      <c r="B1525" s="41">
        <f>_xlfn.XLOOKUP(_xlfn.XLOOKUP(C1525,'Project Details'!$C$17:$C$10003,'Project Details'!$E$17:$E$10003, "",0),dd_design_raw!$A$2:$A$9997,dd_design_raw!$C$2:$C$9997,"",0)</f>
        <v>0</v>
      </c>
      <c r="C1525" s="16"/>
      <c r="D1525" s="16"/>
      <c r="E1525" s="16" t="str" cm="1">
        <f t="array" ref="E1525">IF(C1525&lt;&gt;"", _xlfn.XLOOKUP(1,((SKUs!$A$2:$A$10001=cl_unmerged!B1464) * (LEFT(SKUs!$J$2:$J$10001, LEN("PVC Pipe"))="PVC Pipe")), SKUs!$J$2:$J$10001,""),"")</f>
        <v/>
      </c>
      <c r="F1525" s="33" t="str" cm="1">
        <f t="array" ref="F1525">_xlfn.XLOOKUP(1,((SKUs!$A$2:$A$10001=cl_unmerged!B1525) * (LEFT(SKUs!$J$2:$J$10001, LEN("PVC Pipe"))="PVC Pipe") * (ISNUMBER(SEARCH(A1525,SKUs!$C$2:$C$10001)))), SKUs!$C$2:$C$10001,"")</f>
        <v/>
      </c>
      <c r="G1525" s="16"/>
      <c r="H1525" s="16"/>
      <c r="I1525" s="16"/>
    </row>
    <row r="1526" spans="1:9" ht="13.5" customHeight="1" x14ac:dyDescent="0.25">
      <c r="A1526" s="41" t="str">
        <f>_xlfn.XLOOKUP(G1526,dd_color!$A$2:$A$8,dd_color!$B$2:$B$8,"",0)</f>
        <v/>
      </c>
      <c r="B1526" s="41">
        <f>_xlfn.XLOOKUP(_xlfn.XLOOKUP(C1526,'Project Details'!$C$17:$C$10003,'Project Details'!$E$17:$E$10003, "",0),dd_design_raw!$A$2:$A$9997,dd_design_raw!$C$2:$C$9997,"",0)</f>
        <v>0</v>
      </c>
      <c r="C1526" s="16"/>
      <c r="D1526" s="16"/>
      <c r="E1526" s="16" t="str" cm="1">
        <f t="array" ref="E1526">IF(C1526&lt;&gt;"", _xlfn.XLOOKUP(1,((SKUs!$A$2:$A$10001=cl_unmerged!B1465) * (LEFT(SKUs!$J$2:$J$10001, LEN("PVC Pipe"))="PVC Pipe")), SKUs!$J$2:$J$10001,""),"")</f>
        <v/>
      </c>
      <c r="F1526" s="33" t="str" cm="1">
        <f t="array" ref="F1526">_xlfn.XLOOKUP(1,((SKUs!$A$2:$A$10001=cl_unmerged!B1526) * (LEFT(SKUs!$J$2:$J$10001, LEN("PVC Pipe"))="PVC Pipe") * (ISNUMBER(SEARCH(A1526,SKUs!$C$2:$C$10001)))), SKUs!$C$2:$C$10001,"")</f>
        <v/>
      </c>
      <c r="G1526" s="16"/>
      <c r="H1526" s="16"/>
      <c r="I1526" s="16"/>
    </row>
    <row r="1527" spans="1:9" ht="13.5" customHeight="1" x14ac:dyDescent="0.25">
      <c r="A1527" s="41" t="str">
        <f>_xlfn.XLOOKUP(G1527,dd_color!$A$2:$A$8,dd_color!$B$2:$B$8,"",0)</f>
        <v/>
      </c>
      <c r="B1527" s="41">
        <f>_xlfn.XLOOKUP(_xlfn.XLOOKUP(C1527,'Project Details'!$C$17:$C$10003,'Project Details'!$E$17:$E$10003, "",0),dd_design_raw!$A$2:$A$9997,dd_design_raw!$C$2:$C$9997,"",0)</f>
        <v>0</v>
      </c>
      <c r="C1527" s="16"/>
      <c r="D1527" s="16"/>
      <c r="E1527" s="16" t="str" cm="1">
        <f t="array" ref="E1527">IF(C1527&lt;&gt;"", _xlfn.XLOOKUP(1,((SKUs!$A$2:$A$10001=cl_unmerged!B1466) * (LEFT(SKUs!$J$2:$J$10001, LEN("PVC Pipe"))="PVC Pipe")), SKUs!$J$2:$J$10001,""),"")</f>
        <v/>
      </c>
      <c r="F1527" s="33" t="str" cm="1">
        <f t="array" ref="F1527">_xlfn.XLOOKUP(1,((SKUs!$A$2:$A$10001=cl_unmerged!B1527) * (LEFT(SKUs!$J$2:$J$10001, LEN("PVC Pipe"))="PVC Pipe") * (ISNUMBER(SEARCH(A1527,SKUs!$C$2:$C$10001)))), SKUs!$C$2:$C$10001,"")</f>
        <v/>
      </c>
      <c r="G1527" s="16"/>
      <c r="H1527" s="16"/>
      <c r="I1527" s="16"/>
    </row>
    <row r="1528" spans="1:9" ht="13.5" customHeight="1" x14ac:dyDescent="0.25">
      <c r="A1528" s="41" t="str">
        <f>_xlfn.XLOOKUP(G1528,dd_color!$A$2:$A$8,dd_color!$B$2:$B$8,"",0)</f>
        <v/>
      </c>
      <c r="B1528" s="41">
        <f>_xlfn.XLOOKUP(_xlfn.XLOOKUP(C1528,'Project Details'!$C$17:$C$10003,'Project Details'!$E$17:$E$10003, "",0),dd_design_raw!$A$2:$A$9997,dd_design_raw!$C$2:$C$9997,"",0)</f>
        <v>0</v>
      </c>
      <c r="C1528" s="16"/>
      <c r="D1528" s="16"/>
      <c r="E1528" s="16" t="str" cm="1">
        <f t="array" ref="E1528">IF(C1528&lt;&gt;"", _xlfn.XLOOKUP(1,((SKUs!$A$2:$A$10001=cl_unmerged!B1467) * (LEFT(SKUs!$J$2:$J$10001, LEN("PVC Pipe"))="PVC Pipe")), SKUs!$J$2:$J$10001,""),"")</f>
        <v/>
      </c>
      <c r="F1528" s="33" t="str" cm="1">
        <f t="array" ref="F1528">_xlfn.XLOOKUP(1,((SKUs!$A$2:$A$10001=cl_unmerged!B1528) * (LEFT(SKUs!$J$2:$J$10001, LEN("PVC Pipe"))="PVC Pipe") * (ISNUMBER(SEARCH(A1528,SKUs!$C$2:$C$10001)))), SKUs!$C$2:$C$10001,"")</f>
        <v/>
      </c>
      <c r="G1528" s="16"/>
      <c r="H1528" s="16"/>
      <c r="I1528" s="16"/>
    </row>
    <row r="1529" spans="1:9" ht="13.5" customHeight="1" x14ac:dyDescent="0.25">
      <c r="A1529" s="41" t="str">
        <f>_xlfn.XLOOKUP(G1529,dd_color!$A$2:$A$8,dd_color!$B$2:$B$8,"",0)</f>
        <v/>
      </c>
      <c r="B1529" s="41">
        <f>_xlfn.XLOOKUP(_xlfn.XLOOKUP(C1529,'Project Details'!$C$17:$C$10003,'Project Details'!$E$17:$E$10003, "",0),dd_design_raw!$A$2:$A$9997,dd_design_raw!$C$2:$C$9997,"",0)</f>
        <v>0</v>
      </c>
      <c r="C1529" s="16"/>
      <c r="D1529" s="16"/>
      <c r="E1529" s="16" t="str" cm="1">
        <f t="array" ref="E1529">IF(C1529&lt;&gt;"", _xlfn.XLOOKUP(1,((SKUs!$A$2:$A$10001=cl_unmerged!B1468) * (LEFT(SKUs!$J$2:$J$10001, LEN("PVC Pipe"))="PVC Pipe")), SKUs!$J$2:$J$10001,""),"")</f>
        <v/>
      </c>
      <c r="F1529" s="33" t="str" cm="1">
        <f t="array" ref="F1529">_xlfn.XLOOKUP(1,((SKUs!$A$2:$A$10001=cl_unmerged!B1529) * (LEFT(SKUs!$J$2:$J$10001, LEN("PVC Pipe"))="PVC Pipe") * (ISNUMBER(SEARCH(A1529,SKUs!$C$2:$C$10001)))), SKUs!$C$2:$C$10001,"")</f>
        <v/>
      </c>
      <c r="G1529" s="16"/>
      <c r="H1529" s="16"/>
      <c r="I1529" s="16"/>
    </row>
    <row r="1530" spans="1:9" ht="13.5" customHeight="1" x14ac:dyDescent="0.25">
      <c r="A1530" s="41" t="str">
        <f>_xlfn.XLOOKUP(G1530,dd_color!$A$2:$A$8,dd_color!$B$2:$B$8,"",0)</f>
        <v/>
      </c>
      <c r="B1530" s="41">
        <f>_xlfn.XLOOKUP(_xlfn.XLOOKUP(C1530,'Project Details'!$C$17:$C$10003,'Project Details'!$E$17:$E$10003, "",0),dd_design_raw!$A$2:$A$9997,dd_design_raw!$C$2:$C$9997,"",0)</f>
        <v>0</v>
      </c>
      <c r="C1530" s="16"/>
      <c r="D1530" s="16"/>
      <c r="E1530" s="16" t="str" cm="1">
        <f t="array" ref="E1530">IF(C1530&lt;&gt;"", _xlfn.XLOOKUP(1,((SKUs!$A$2:$A$10001=cl_unmerged!B1469) * (LEFT(SKUs!$J$2:$J$10001, LEN("PVC Pipe"))="PVC Pipe")), SKUs!$J$2:$J$10001,""),"")</f>
        <v/>
      </c>
      <c r="F1530" s="33" t="str" cm="1">
        <f t="array" ref="F1530">_xlfn.XLOOKUP(1,((SKUs!$A$2:$A$10001=cl_unmerged!B1530) * (LEFT(SKUs!$J$2:$J$10001, LEN("PVC Pipe"))="PVC Pipe") * (ISNUMBER(SEARCH(A1530,SKUs!$C$2:$C$10001)))), SKUs!$C$2:$C$10001,"")</f>
        <v/>
      </c>
      <c r="G1530" s="16"/>
      <c r="H1530" s="16"/>
      <c r="I1530" s="16"/>
    </row>
    <row r="1531" spans="1:9" ht="13.5" customHeight="1" x14ac:dyDescent="0.25">
      <c r="A1531" s="41" t="str">
        <f>_xlfn.XLOOKUP(G1531,dd_color!$A$2:$A$8,dd_color!$B$2:$B$8,"",0)</f>
        <v/>
      </c>
      <c r="B1531" s="41">
        <f>_xlfn.XLOOKUP(_xlfn.XLOOKUP(C1531,'Project Details'!$C$17:$C$10003,'Project Details'!$E$17:$E$10003, "",0),dd_design_raw!$A$2:$A$9997,dd_design_raw!$C$2:$C$9997,"",0)</f>
        <v>0</v>
      </c>
      <c r="C1531" s="16"/>
      <c r="D1531" s="16"/>
      <c r="E1531" s="16" t="str" cm="1">
        <f t="array" ref="E1531">IF(C1531&lt;&gt;"", _xlfn.XLOOKUP(1,((SKUs!$A$2:$A$10001=cl_unmerged!B1470) * (LEFT(SKUs!$J$2:$J$10001, LEN("PVC Pipe"))="PVC Pipe")), SKUs!$J$2:$J$10001,""),"")</f>
        <v/>
      </c>
      <c r="F1531" s="33" t="str" cm="1">
        <f t="array" ref="F1531">_xlfn.XLOOKUP(1,((SKUs!$A$2:$A$10001=cl_unmerged!B1531) * (LEFT(SKUs!$J$2:$J$10001, LEN("PVC Pipe"))="PVC Pipe") * (ISNUMBER(SEARCH(A1531,SKUs!$C$2:$C$10001)))), SKUs!$C$2:$C$10001,"")</f>
        <v/>
      </c>
      <c r="G1531" s="16"/>
      <c r="H1531" s="16"/>
      <c r="I1531" s="16"/>
    </row>
    <row r="1532" spans="1:9" ht="13.5" customHeight="1" x14ac:dyDescent="0.25">
      <c r="A1532" s="41" t="str">
        <f>_xlfn.XLOOKUP(G1532,dd_color!$A$2:$A$8,dd_color!$B$2:$B$8,"",0)</f>
        <v/>
      </c>
      <c r="B1532" s="41">
        <f>_xlfn.XLOOKUP(_xlfn.XLOOKUP(C1532,'Project Details'!$C$17:$C$10003,'Project Details'!$E$17:$E$10003, "",0),dd_design_raw!$A$2:$A$9997,dd_design_raw!$C$2:$C$9997,"",0)</f>
        <v>0</v>
      </c>
      <c r="C1532" s="16"/>
      <c r="D1532" s="16"/>
      <c r="E1532" s="16" t="str" cm="1">
        <f t="array" ref="E1532">IF(C1532&lt;&gt;"", _xlfn.XLOOKUP(1,((SKUs!$A$2:$A$10001=cl_unmerged!B1471) * (LEFT(SKUs!$J$2:$J$10001, LEN("PVC Pipe"))="PVC Pipe")), SKUs!$J$2:$J$10001,""),"")</f>
        <v/>
      </c>
      <c r="F1532" s="33" t="str" cm="1">
        <f t="array" ref="F1532">_xlfn.XLOOKUP(1,((SKUs!$A$2:$A$10001=cl_unmerged!B1532) * (LEFT(SKUs!$J$2:$J$10001, LEN("PVC Pipe"))="PVC Pipe") * (ISNUMBER(SEARCH(A1532,SKUs!$C$2:$C$10001)))), SKUs!$C$2:$C$10001,"")</f>
        <v/>
      </c>
      <c r="G1532" s="16"/>
      <c r="H1532" s="16"/>
      <c r="I1532" s="16"/>
    </row>
    <row r="1533" spans="1:9" ht="13.5" customHeight="1" x14ac:dyDescent="0.25">
      <c r="A1533" s="41" t="str">
        <f>_xlfn.XLOOKUP(G1533,dd_color!$A$2:$A$8,dd_color!$B$2:$B$8,"",0)</f>
        <v/>
      </c>
      <c r="B1533" s="41">
        <f>_xlfn.XLOOKUP(_xlfn.XLOOKUP(C1533,'Project Details'!$C$17:$C$10003,'Project Details'!$E$17:$E$10003, "",0),dd_design_raw!$A$2:$A$9997,dd_design_raw!$C$2:$C$9997,"",0)</f>
        <v>0</v>
      </c>
      <c r="C1533" s="16"/>
      <c r="D1533" s="16"/>
      <c r="E1533" s="16" t="str" cm="1">
        <f t="array" ref="E1533">IF(C1533&lt;&gt;"", _xlfn.XLOOKUP(1,((SKUs!$A$2:$A$10001=cl_unmerged!B1472) * (LEFT(SKUs!$J$2:$J$10001, LEN("PVC Pipe"))="PVC Pipe")), SKUs!$J$2:$J$10001,""),"")</f>
        <v/>
      </c>
      <c r="F1533" s="33" t="str" cm="1">
        <f t="array" ref="F1533">_xlfn.XLOOKUP(1,((SKUs!$A$2:$A$10001=cl_unmerged!B1533) * (LEFT(SKUs!$J$2:$J$10001, LEN("PVC Pipe"))="PVC Pipe") * (ISNUMBER(SEARCH(A1533,SKUs!$C$2:$C$10001)))), SKUs!$C$2:$C$10001,"")</f>
        <v/>
      </c>
      <c r="G1533" s="16"/>
      <c r="H1533" s="16"/>
      <c r="I1533" s="16"/>
    </row>
    <row r="1534" spans="1:9" ht="13.5" customHeight="1" x14ac:dyDescent="0.25">
      <c r="A1534" s="41" t="str">
        <f>_xlfn.XLOOKUP(G1534,dd_color!$A$2:$A$8,dd_color!$B$2:$B$8,"",0)</f>
        <v/>
      </c>
      <c r="B1534" s="41">
        <f>_xlfn.XLOOKUP(_xlfn.XLOOKUP(C1534,'Project Details'!$C$17:$C$10003,'Project Details'!$E$17:$E$10003, "",0),dd_design_raw!$A$2:$A$9997,dd_design_raw!$C$2:$C$9997,"",0)</f>
        <v>0</v>
      </c>
      <c r="C1534" s="16"/>
      <c r="D1534" s="16"/>
      <c r="E1534" s="16" t="str" cm="1">
        <f t="array" ref="E1534">IF(C1534&lt;&gt;"", _xlfn.XLOOKUP(1,((SKUs!$A$2:$A$10001=cl_unmerged!B1473) * (LEFT(SKUs!$J$2:$J$10001, LEN("PVC Pipe"))="PVC Pipe")), SKUs!$J$2:$J$10001,""),"")</f>
        <v/>
      </c>
      <c r="F1534" s="33" t="str" cm="1">
        <f t="array" ref="F1534">_xlfn.XLOOKUP(1,((SKUs!$A$2:$A$10001=cl_unmerged!B1534) * (LEFT(SKUs!$J$2:$J$10001, LEN("PVC Pipe"))="PVC Pipe") * (ISNUMBER(SEARCH(A1534,SKUs!$C$2:$C$10001)))), SKUs!$C$2:$C$10001,"")</f>
        <v/>
      </c>
      <c r="G1534" s="16"/>
      <c r="H1534" s="16"/>
      <c r="I1534" s="16"/>
    </row>
    <row r="1535" spans="1:9" ht="13.5" customHeight="1" x14ac:dyDescent="0.25">
      <c r="A1535" s="41" t="str">
        <f>_xlfn.XLOOKUP(G1535,dd_color!$A$2:$A$8,dd_color!$B$2:$B$8,"",0)</f>
        <v/>
      </c>
      <c r="B1535" s="41">
        <f>_xlfn.XLOOKUP(_xlfn.XLOOKUP(C1535,'Project Details'!$C$17:$C$10003,'Project Details'!$E$17:$E$10003, "",0),dd_design_raw!$A$2:$A$9997,dd_design_raw!$C$2:$C$9997,"",0)</f>
        <v>0</v>
      </c>
      <c r="C1535" s="16"/>
      <c r="D1535" s="16"/>
      <c r="E1535" s="16" t="str" cm="1">
        <f t="array" ref="E1535">IF(C1535&lt;&gt;"", _xlfn.XLOOKUP(1,((SKUs!$A$2:$A$10001=cl_unmerged!B1474) * (LEFT(SKUs!$J$2:$J$10001, LEN("PVC Pipe"))="PVC Pipe")), SKUs!$J$2:$J$10001,""),"")</f>
        <v/>
      </c>
      <c r="F1535" s="33" t="str" cm="1">
        <f t="array" ref="F1535">_xlfn.XLOOKUP(1,((SKUs!$A$2:$A$10001=cl_unmerged!B1535) * (LEFT(SKUs!$J$2:$J$10001, LEN("PVC Pipe"))="PVC Pipe") * (ISNUMBER(SEARCH(A1535,SKUs!$C$2:$C$10001)))), SKUs!$C$2:$C$10001,"")</f>
        <v/>
      </c>
      <c r="G1535" s="16"/>
      <c r="H1535" s="16"/>
      <c r="I1535" s="16"/>
    </row>
    <row r="1536" spans="1:9" ht="13.5" customHeight="1" x14ac:dyDescent="0.25">
      <c r="A1536" s="41" t="str">
        <f>_xlfn.XLOOKUP(G1536,dd_color!$A$2:$A$8,dd_color!$B$2:$B$8,"",0)</f>
        <v/>
      </c>
      <c r="B1536" s="41">
        <f>_xlfn.XLOOKUP(_xlfn.XLOOKUP(C1536,'Project Details'!$C$17:$C$10003,'Project Details'!$E$17:$E$10003, "",0),dd_design_raw!$A$2:$A$9997,dd_design_raw!$C$2:$C$9997,"",0)</f>
        <v>0</v>
      </c>
      <c r="C1536" s="16"/>
      <c r="D1536" s="16"/>
      <c r="E1536" s="16" t="str" cm="1">
        <f t="array" ref="E1536">IF(C1536&lt;&gt;"", _xlfn.XLOOKUP(1,((SKUs!$A$2:$A$10001=cl_unmerged!B1475) * (LEFT(SKUs!$J$2:$J$10001, LEN("PVC Pipe"))="PVC Pipe")), SKUs!$J$2:$J$10001,""),"")</f>
        <v/>
      </c>
      <c r="F1536" s="33" t="str" cm="1">
        <f t="array" ref="F1536">_xlfn.XLOOKUP(1,((SKUs!$A$2:$A$10001=cl_unmerged!B1536) * (LEFT(SKUs!$J$2:$J$10001, LEN("PVC Pipe"))="PVC Pipe") * (ISNUMBER(SEARCH(A1536,SKUs!$C$2:$C$10001)))), SKUs!$C$2:$C$10001,"")</f>
        <v/>
      </c>
      <c r="G1536" s="16"/>
      <c r="H1536" s="16"/>
      <c r="I1536" s="16"/>
    </row>
    <row r="1537" spans="1:9" ht="13.5" customHeight="1" x14ac:dyDescent="0.25">
      <c r="A1537" s="41" t="str">
        <f>_xlfn.XLOOKUP(G1537,dd_color!$A$2:$A$8,dd_color!$B$2:$B$8,"",0)</f>
        <v/>
      </c>
      <c r="B1537" s="41">
        <f>_xlfn.XLOOKUP(_xlfn.XLOOKUP(C1537,'Project Details'!$C$17:$C$10003,'Project Details'!$E$17:$E$10003, "",0),dd_design_raw!$A$2:$A$9997,dd_design_raw!$C$2:$C$9997,"",0)</f>
        <v>0</v>
      </c>
      <c r="C1537" s="16"/>
      <c r="D1537" s="16"/>
      <c r="E1537" s="16" t="str" cm="1">
        <f t="array" ref="E1537">IF(C1537&lt;&gt;"", _xlfn.XLOOKUP(1,((SKUs!$A$2:$A$10001=cl_unmerged!B1476) * (LEFT(SKUs!$J$2:$J$10001, LEN("PVC Pipe"))="PVC Pipe")), SKUs!$J$2:$J$10001,""),"")</f>
        <v/>
      </c>
      <c r="F1537" s="33" t="str" cm="1">
        <f t="array" ref="F1537">_xlfn.XLOOKUP(1,((SKUs!$A$2:$A$10001=cl_unmerged!B1537) * (LEFT(SKUs!$J$2:$J$10001, LEN("PVC Pipe"))="PVC Pipe") * (ISNUMBER(SEARCH(A1537,SKUs!$C$2:$C$10001)))), SKUs!$C$2:$C$10001,"")</f>
        <v/>
      </c>
      <c r="G1537" s="16"/>
      <c r="H1537" s="16"/>
      <c r="I1537" s="16"/>
    </row>
    <row r="1538" spans="1:9" ht="13.5" customHeight="1" x14ac:dyDescent="0.25">
      <c r="A1538" s="41" t="str">
        <f>_xlfn.XLOOKUP(G1538,dd_color!$A$2:$A$8,dd_color!$B$2:$B$8,"",0)</f>
        <v/>
      </c>
      <c r="B1538" s="41">
        <f>_xlfn.XLOOKUP(_xlfn.XLOOKUP(C1538,'Project Details'!$C$17:$C$10003,'Project Details'!$E$17:$E$10003, "",0),dd_design_raw!$A$2:$A$9997,dd_design_raw!$C$2:$C$9997,"",0)</f>
        <v>0</v>
      </c>
      <c r="C1538" s="16"/>
      <c r="D1538" s="16"/>
      <c r="E1538" s="16" t="str" cm="1">
        <f t="array" ref="E1538">IF(C1538&lt;&gt;"", _xlfn.XLOOKUP(1,((SKUs!$A$2:$A$10001=cl_unmerged!B1477) * (LEFT(SKUs!$J$2:$J$10001, LEN("PVC Pipe"))="PVC Pipe")), SKUs!$J$2:$J$10001,""),"")</f>
        <v/>
      </c>
      <c r="F1538" s="33" t="str" cm="1">
        <f t="array" ref="F1538">_xlfn.XLOOKUP(1,((SKUs!$A$2:$A$10001=cl_unmerged!B1538) * (LEFT(SKUs!$J$2:$J$10001, LEN("PVC Pipe"))="PVC Pipe") * (ISNUMBER(SEARCH(A1538,SKUs!$C$2:$C$10001)))), SKUs!$C$2:$C$10001,"")</f>
        <v/>
      </c>
      <c r="G1538" s="16"/>
      <c r="H1538" s="16"/>
      <c r="I1538" s="16"/>
    </row>
    <row r="1539" spans="1:9" ht="13.5" customHeight="1" x14ac:dyDescent="0.25">
      <c r="A1539" s="41" t="str">
        <f>_xlfn.XLOOKUP(G1539,dd_color!$A$2:$A$8,dd_color!$B$2:$B$8,"",0)</f>
        <v/>
      </c>
      <c r="B1539" s="41">
        <f>_xlfn.XLOOKUP(_xlfn.XLOOKUP(C1539,'Project Details'!$C$17:$C$10003,'Project Details'!$E$17:$E$10003, "",0),dd_design_raw!$A$2:$A$9997,dd_design_raw!$C$2:$C$9997,"",0)</f>
        <v>0</v>
      </c>
      <c r="C1539" s="16"/>
      <c r="D1539" s="16"/>
      <c r="E1539" s="16" t="str" cm="1">
        <f t="array" ref="E1539">IF(C1539&lt;&gt;"", _xlfn.XLOOKUP(1,((SKUs!$A$2:$A$10001=cl_unmerged!B1478) * (LEFT(SKUs!$J$2:$J$10001, LEN("PVC Pipe"))="PVC Pipe")), SKUs!$J$2:$J$10001,""),"")</f>
        <v/>
      </c>
      <c r="F1539" s="33" t="str" cm="1">
        <f t="array" ref="F1539">_xlfn.XLOOKUP(1,((SKUs!$A$2:$A$10001=cl_unmerged!B1539) * (LEFT(SKUs!$J$2:$J$10001, LEN("PVC Pipe"))="PVC Pipe") * (ISNUMBER(SEARCH(A1539,SKUs!$C$2:$C$10001)))), SKUs!$C$2:$C$10001,"")</f>
        <v/>
      </c>
      <c r="G1539" s="16"/>
      <c r="H1539" s="16"/>
      <c r="I1539" s="16"/>
    </row>
    <row r="1540" spans="1:9" ht="13.5" customHeight="1" x14ac:dyDescent="0.25">
      <c r="A1540" s="41" t="str">
        <f>_xlfn.XLOOKUP(G1540,dd_color!$A$2:$A$8,dd_color!$B$2:$B$8,"",0)</f>
        <v/>
      </c>
      <c r="B1540" s="41">
        <f>_xlfn.XLOOKUP(_xlfn.XLOOKUP(C1540,'Project Details'!$C$17:$C$10003,'Project Details'!$E$17:$E$10003, "",0),dd_design_raw!$A$2:$A$9997,dd_design_raw!$C$2:$C$9997,"",0)</f>
        <v>0</v>
      </c>
      <c r="C1540" s="16"/>
      <c r="D1540" s="16"/>
      <c r="E1540" s="16" t="str" cm="1">
        <f t="array" ref="E1540">IF(C1540&lt;&gt;"", _xlfn.XLOOKUP(1,((SKUs!$A$2:$A$10001=cl_unmerged!B1479) * (LEFT(SKUs!$J$2:$J$10001, LEN("PVC Pipe"))="PVC Pipe")), SKUs!$J$2:$J$10001,""),"")</f>
        <v/>
      </c>
      <c r="F1540" s="33" t="str" cm="1">
        <f t="array" ref="F1540">_xlfn.XLOOKUP(1,((SKUs!$A$2:$A$10001=cl_unmerged!B1540) * (LEFT(SKUs!$J$2:$J$10001, LEN("PVC Pipe"))="PVC Pipe") * (ISNUMBER(SEARCH(A1540,SKUs!$C$2:$C$10001)))), SKUs!$C$2:$C$10001,"")</f>
        <v/>
      </c>
      <c r="G1540" s="16"/>
      <c r="H1540" s="16"/>
      <c r="I1540" s="16"/>
    </row>
    <row r="1541" spans="1:9" ht="13.5" customHeight="1" x14ac:dyDescent="0.25">
      <c r="A1541" s="41" t="str">
        <f>_xlfn.XLOOKUP(G1541,dd_color!$A$2:$A$8,dd_color!$B$2:$B$8,"",0)</f>
        <v/>
      </c>
      <c r="B1541" s="41">
        <f>_xlfn.XLOOKUP(_xlfn.XLOOKUP(C1541,'Project Details'!$C$17:$C$10003,'Project Details'!$E$17:$E$10003, "",0),dd_design_raw!$A$2:$A$9997,dd_design_raw!$C$2:$C$9997,"",0)</f>
        <v>0</v>
      </c>
      <c r="C1541" s="16"/>
      <c r="D1541" s="16"/>
      <c r="E1541" s="16" t="str" cm="1">
        <f t="array" ref="E1541">IF(C1541&lt;&gt;"", _xlfn.XLOOKUP(1,((SKUs!$A$2:$A$10001=cl_unmerged!B1480) * (LEFT(SKUs!$J$2:$J$10001, LEN("PVC Pipe"))="PVC Pipe")), SKUs!$J$2:$J$10001,""),"")</f>
        <v/>
      </c>
      <c r="F1541" s="33" t="str" cm="1">
        <f t="array" ref="F1541">_xlfn.XLOOKUP(1,((SKUs!$A$2:$A$10001=cl_unmerged!B1541) * (LEFT(SKUs!$J$2:$J$10001, LEN("PVC Pipe"))="PVC Pipe") * (ISNUMBER(SEARCH(A1541,SKUs!$C$2:$C$10001)))), SKUs!$C$2:$C$10001,"")</f>
        <v/>
      </c>
      <c r="G1541" s="16"/>
      <c r="H1541" s="16"/>
      <c r="I1541" s="16"/>
    </row>
    <row r="1542" spans="1:9" ht="13.5" customHeight="1" x14ac:dyDescent="0.25">
      <c r="A1542" s="41" t="str">
        <f>_xlfn.XLOOKUP(G1542,dd_color!$A$2:$A$8,dd_color!$B$2:$B$8,"",0)</f>
        <v/>
      </c>
      <c r="B1542" s="41">
        <f>_xlfn.XLOOKUP(_xlfn.XLOOKUP(C1542,'Project Details'!$C$17:$C$10003,'Project Details'!$E$17:$E$10003, "",0),dd_design_raw!$A$2:$A$9997,dd_design_raw!$C$2:$C$9997,"",0)</f>
        <v>0</v>
      </c>
      <c r="C1542" s="16"/>
      <c r="D1542" s="16"/>
      <c r="E1542" s="16" t="str" cm="1">
        <f t="array" ref="E1542">IF(C1542&lt;&gt;"", _xlfn.XLOOKUP(1,((SKUs!$A$2:$A$10001=cl_unmerged!B1481) * (LEFT(SKUs!$J$2:$J$10001, LEN("PVC Pipe"))="PVC Pipe")), SKUs!$J$2:$J$10001,""),"")</f>
        <v/>
      </c>
      <c r="F1542" s="33" t="str" cm="1">
        <f t="array" ref="F1542">_xlfn.XLOOKUP(1,((SKUs!$A$2:$A$10001=cl_unmerged!B1542) * (LEFT(SKUs!$J$2:$J$10001, LEN("PVC Pipe"))="PVC Pipe") * (ISNUMBER(SEARCH(A1542,SKUs!$C$2:$C$10001)))), SKUs!$C$2:$C$10001,"")</f>
        <v/>
      </c>
      <c r="G1542" s="16"/>
      <c r="H1542" s="16"/>
      <c r="I1542" s="16"/>
    </row>
    <row r="1543" spans="1:9" ht="13.5" customHeight="1" x14ac:dyDescent="0.25">
      <c r="A1543" s="41" t="str">
        <f>_xlfn.XLOOKUP(G1543,dd_color!$A$2:$A$8,dd_color!$B$2:$B$8,"",0)</f>
        <v/>
      </c>
      <c r="B1543" s="41">
        <f>_xlfn.XLOOKUP(_xlfn.XLOOKUP(C1543,'Project Details'!$C$17:$C$10003,'Project Details'!$E$17:$E$10003, "",0),dd_design_raw!$A$2:$A$9997,dd_design_raw!$C$2:$C$9997,"",0)</f>
        <v>0</v>
      </c>
      <c r="C1543" s="16"/>
      <c r="D1543" s="16"/>
      <c r="E1543" s="16" t="str" cm="1">
        <f t="array" ref="E1543">IF(C1543&lt;&gt;"", _xlfn.XLOOKUP(1,((SKUs!$A$2:$A$10001=cl_unmerged!B1482) * (LEFT(SKUs!$J$2:$J$10001, LEN("PVC Pipe"))="PVC Pipe")), SKUs!$J$2:$J$10001,""),"")</f>
        <v/>
      </c>
      <c r="F1543" s="33" t="str" cm="1">
        <f t="array" ref="F1543">_xlfn.XLOOKUP(1,((SKUs!$A$2:$A$10001=cl_unmerged!B1543) * (LEFT(SKUs!$J$2:$J$10001, LEN("PVC Pipe"))="PVC Pipe") * (ISNUMBER(SEARCH(A1543,SKUs!$C$2:$C$10001)))), SKUs!$C$2:$C$10001,"")</f>
        <v/>
      </c>
      <c r="G1543" s="16"/>
      <c r="H1543" s="16"/>
      <c r="I1543" s="16"/>
    </row>
    <row r="1544" spans="1:9" ht="13.5" customHeight="1" x14ac:dyDescent="0.25">
      <c r="A1544" s="41" t="str">
        <f>_xlfn.XLOOKUP(G1544,dd_color!$A$2:$A$8,dd_color!$B$2:$B$8,"",0)</f>
        <v/>
      </c>
      <c r="B1544" s="41">
        <f>_xlfn.XLOOKUP(_xlfn.XLOOKUP(C1544,'Project Details'!$C$17:$C$10003,'Project Details'!$E$17:$E$10003, "",0),dd_design_raw!$A$2:$A$9997,dd_design_raw!$C$2:$C$9997,"",0)</f>
        <v>0</v>
      </c>
      <c r="C1544" s="16"/>
      <c r="D1544" s="16"/>
      <c r="E1544" s="16" t="str" cm="1">
        <f t="array" ref="E1544">IF(C1544&lt;&gt;"", _xlfn.XLOOKUP(1,((SKUs!$A$2:$A$10001=cl_unmerged!B1483) * (LEFT(SKUs!$J$2:$J$10001, LEN("PVC Pipe"))="PVC Pipe")), SKUs!$J$2:$J$10001,""),"")</f>
        <v/>
      </c>
      <c r="F1544" s="33" t="str" cm="1">
        <f t="array" ref="F1544">_xlfn.XLOOKUP(1,((SKUs!$A$2:$A$10001=cl_unmerged!B1544) * (LEFT(SKUs!$J$2:$J$10001, LEN("PVC Pipe"))="PVC Pipe") * (ISNUMBER(SEARCH(A1544,SKUs!$C$2:$C$10001)))), SKUs!$C$2:$C$10001,"")</f>
        <v/>
      </c>
      <c r="G1544" s="16"/>
      <c r="H1544" s="16"/>
      <c r="I1544" s="16"/>
    </row>
    <row r="1545" spans="1:9" ht="13.5" customHeight="1" x14ac:dyDescent="0.25">
      <c r="A1545" s="41" t="str">
        <f>_xlfn.XLOOKUP(G1545,dd_color!$A$2:$A$8,dd_color!$B$2:$B$8,"",0)</f>
        <v/>
      </c>
      <c r="B1545" s="41">
        <f>_xlfn.XLOOKUP(_xlfn.XLOOKUP(C1545,'Project Details'!$C$17:$C$10003,'Project Details'!$E$17:$E$10003, "",0),dd_design_raw!$A$2:$A$9997,dd_design_raw!$C$2:$C$9997,"",0)</f>
        <v>0</v>
      </c>
      <c r="C1545" s="16"/>
      <c r="D1545" s="16"/>
      <c r="E1545" s="16" t="str" cm="1">
        <f t="array" ref="E1545">IF(C1545&lt;&gt;"", _xlfn.XLOOKUP(1,((SKUs!$A$2:$A$10001=cl_unmerged!B1484) * (LEFT(SKUs!$J$2:$J$10001, LEN("PVC Pipe"))="PVC Pipe")), SKUs!$J$2:$J$10001,""),"")</f>
        <v/>
      </c>
      <c r="F1545" s="33" t="str" cm="1">
        <f t="array" ref="F1545">_xlfn.XLOOKUP(1,((SKUs!$A$2:$A$10001=cl_unmerged!B1545) * (LEFT(SKUs!$J$2:$J$10001, LEN("PVC Pipe"))="PVC Pipe") * (ISNUMBER(SEARCH(A1545,SKUs!$C$2:$C$10001)))), SKUs!$C$2:$C$10001,"")</f>
        <v/>
      </c>
      <c r="G1545" s="16"/>
      <c r="H1545" s="16"/>
      <c r="I1545" s="16"/>
    </row>
    <row r="1546" spans="1:9" ht="13.5" customHeight="1" x14ac:dyDescent="0.25">
      <c r="A1546" s="41" t="str">
        <f>_xlfn.XLOOKUP(G1546,dd_color!$A$2:$A$8,dd_color!$B$2:$B$8,"",0)</f>
        <v/>
      </c>
      <c r="B1546" s="41">
        <f>_xlfn.XLOOKUP(_xlfn.XLOOKUP(C1546,'Project Details'!$C$17:$C$10003,'Project Details'!$E$17:$E$10003, "",0),dd_design_raw!$A$2:$A$9997,dd_design_raw!$C$2:$C$9997,"",0)</f>
        <v>0</v>
      </c>
      <c r="C1546" s="16"/>
      <c r="D1546" s="16"/>
      <c r="E1546" s="16" t="str" cm="1">
        <f t="array" ref="E1546">IF(C1546&lt;&gt;"", _xlfn.XLOOKUP(1,((SKUs!$A$2:$A$10001=cl_unmerged!B1485) * (LEFT(SKUs!$J$2:$J$10001, LEN("PVC Pipe"))="PVC Pipe")), SKUs!$J$2:$J$10001,""),"")</f>
        <v/>
      </c>
      <c r="F1546" s="33" t="str" cm="1">
        <f t="array" ref="F1546">_xlfn.XLOOKUP(1,((SKUs!$A$2:$A$10001=cl_unmerged!B1546) * (LEFT(SKUs!$J$2:$J$10001, LEN("PVC Pipe"))="PVC Pipe") * (ISNUMBER(SEARCH(A1546,SKUs!$C$2:$C$10001)))), SKUs!$C$2:$C$10001,"")</f>
        <v/>
      </c>
      <c r="G1546" s="16"/>
      <c r="H1546" s="16"/>
      <c r="I1546" s="16"/>
    </row>
    <row r="1547" spans="1:9" ht="13.5" customHeight="1" x14ac:dyDescent="0.25">
      <c r="A1547" s="41" t="str">
        <f>_xlfn.XLOOKUP(G1547,dd_color!$A$2:$A$8,dd_color!$B$2:$B$8,"",0)</f>
        <v/>
      </c>
      <c r="B1547" s="41">
        <f>_xlfn.XLOOKUP(_xlfn.XLOOKUP(C1547,'Project Details'!$C$17:$C$10003,'Project Details'!$E$17:$E$10003, "",0),dd_design_raw!$A$2:$A$9997,dd_design_raw!$C$2:$C$9997,"",0)</f>
        <v>0</v>
      </c>
      <c r="C1547" s="16"/>
      <c r="D1547" s="16"/>
      <c r="E1547" s="16" t="str" cm="1">
        <f t="array" ref="E1547">IF(C1547&lt;&gt;"", _xlfn.XLOOKUP(1,((SKUs!$A$2:$A$10001=cl_unmerged!B1486) * (LEFT(SKUs!$J$2:$J$10001, LEN("PVC Pipe"))="PVC Pipe")), SKUs!$J$2:$J$10001,""),"")</f>
        <v/>
      </c>
      <c r="F1547" s="33" t="str" cm="1">
        <f t="array" ref="F1547">_xlfn.XLOOKUP(1,((SKUs!$A$2:$A$10001=cl_unmerged!B1547) * (LEFT(SKUs!$J$2:$J$10001, LEN("PVC Pipe"))="PVC Pipe") * (ISNUMBER(SEARCH(A1547,SKUs!$C$2:$C$10001)))), SKUs!$C$2:$C$10001,"")</f>
        <v/>
      </c>
      <c r="G1547" s="16"/>
      <c r="H1547" s="16"/>
      <c r="I1547" s="16"/>
    </row>
    <row r="1548" spans="1:9" ht="13.5" customHeight="1" x14ac:dyDescent="0.25">
      <c r="A1548" s="41" t="str">
        <f>_xlfn.XLOOKUP(G1548,dd_color!$A$2:$A$8,dd_color!$B$2:$B$8,"",0)</f>
        <v/>
      </c>
      <c r="B1548" s="41">
        <f>_xlfn.XLOOKUP(_xlfn.XLOOKUP(C1548,'Project Details'!$C$17:$C$10003,'Project Details'!$E$17:$E$10003, "",0),dd_design_raw!$A$2:$A$9997,dd_design_raw!$C$2:$C$9997,"",0)</f>
        <v>0</v>
      </c>
      <c r="C1548" s="16"/>
      <c r="D1548" s="16"/>
      <c r="E1548" s="16" t="str" cm="1">
        <f t="array" ref="E1548">IF(C1548&lt;&gt;"", _xlfn.XLOOKUP(1,((SKUs!$A$2:$A$10001=cl_unmerged!B1487) * (LEFT(SKUs!$J$2:$J$10001, LEN("PVC Pipe"))="PVC Pipe")), SKUs!$J$2:$J$10001,""),"")</f>
        <v/>
      </c>
      <c r="F1548" s="33" t="str" cm="1">
        <f t="array" ref="F1548">_xlfn.XLOOKUP(1,((SKUs!$A$2:$A$10001=cl_unmerged!B1548) * (LEFT(SKUs!$J$2:$J$10001, LEN("PVC Pipe"))="PVC Pipe") * (ISNUMBER(SEARCH(A1548,SKUs!$C$2:$C$10001)))), SKUs!$C$2:$C$10001,"")</f>
        <v/>
      </c>
      <c r="G1548" s="16"/>
      <c r="H1548" s="16"/>
      <c r="I1548" s="16"/>
    </row>
    <row r="1549" spans="1:9" ht="13.5" customHeight="1" x14ac:dyDescent="0.25">
      <c r="A1549" s="41" t="str">
        <f>_xlfn.XLOOKUP(G1549,dd_color!$A$2:$A$8,dd_color!$B$2:$B$8,"",0)</f>
        <v/>
      </c>
      <c r="B1549" s="41">
        <f>_xlfn.XLOOKUP(_xlfn.XLOOKUP(C1549,'Project Details'!$C$17:$C$10003,'Project Details'!$E$17:$E$10003, "",0),dd_design_raw!$A$2:$A$9997,dd_design_raw!$C$2:$C$9997,"",0)</f>
        <v>0</v>
      </c>
      <c r="C1549" s="16"/>
      <c r="D1549" s="16"/>
      <c r="E1549" s="16" t="str" cm="1">
        <f t="array" ref="E1549">IF(C1549&lt;&gt;"", _xlfn.XLOOKUP(1,((SKUs!$A$2:$A$10001=cl_unmerged!B1488) * (LEFT(SKUs!$J$2:$J$10001, LEN("PVC Pipe"))="PVC Pipe")), SKUs!$J$2:$J$10001,""),"")</f>
        <v/>
      </c>
      <c r="F1549" s="33" t="str" cm="1">
        <f t="array" ref="F1549">_xlfn.XLOOKUP(1,((SKUs!$A$2:$A$10001=cl_unmerged!B1549) * (LEFT(SKUs!$J$2:$J$10001, LEN("PVC Pipe"))="PVC Pipe") * (ISNUMBER(SEARCH(A1549,SKUs!$C$2:$C$10001)))), SKUs!$C$2:$C$10001,"")</f>
        <v/>
      </c>
      <c r="G1549" s="16"/>
      <c r="H1549" s="16"/>
      <c r="I1549" s="16"/>
    </row>
    <row r="1550" spans="1:9" ht="13.5" customHeight="1" x14ac:dyDescent="0.25">
      <c r="A1550" s="41" t="str">
        <f>_xlfn.XLOOKUP(G1550,dd_color!$A$2:$A$8,dd_color!$B$2:$B$8,"",0)</f>
        <v/>
      </c>
      <c r="B1550" s="41">
        <f>_xlfn.XLOOKUP(_xlfn.XLOOKUP(C1550,'Project Details'!$C$17:$C$10003,'Project Details'!$E$17:$E$10003, "",0),dd_design_raw!$A$2:$A$9997,dd_design_raw!$C$2:$C$9997,"",0)</f>
        <v>0</v>
      </c>
      <c r="C1550" s="16"/>
      <c r="D1550" s="16"/>
      <c r="E1550" s="16" t="str" cm="1">
        <f t="array" ref="E1550">IF(C1550&lt;&gt;"", _xlfn.XLOOKUP(1,((SKUs!$A$2:$A$10001=cl_unmerged!B1489) * (LEFT(SKUs!$J$2:$J$10001, LEN("PVC Pipe"))="PVC Pipe")), SKUs!$J$2:$J$10001,""),"")</f>
        <v/>
      </c>
      <c r="F1550" s="33" t="str" cm="1">
        <f t="array" ref="F1550">_xlfn.XLOOKUP(1,((SKUs!$A$2:$A$10001=cl_unmerged!B1550) * (LEFT(SKUs!$J$2:$J$10001, LEN("PVC Pipe"))="PVC Pipe") * (ISNUMBER(SEARCH(A1550,SKUs!$C$2:$C$10001)))), SKUs!$C$2:$C$10001,"")</f>
        <v/>
      </c>
      <c r="G1550" s="16"/>
      <c r="H1550" s="16"/>
      <c r="I1550" s="16"/>
    </row>
    <row r="1551" spans="1:9" ht="13.5" customHeight="1" x14ac:dyDescent="0.25">
      <c r="A1551" s="41" t="str">
        <f>_xlfn.XLOOKUP(G1551,dd_color!$A$2:$A$8,dd_color!$B$2:$B$8,"",0)</f>
        <v/>
      </c>
      <c r="B1551" s="41">
        <f>_xlfn.XLOOKUP(_xlfn.XLOOKUP(C1551,'Project Details'!$C$17:$C$10003,'Project Details'!$E$17:$E$10003, "",0),dd_design_raw!$A$2:$A$9997,dd_design_raw!$C$2:$C$9997,"",0)</f>
        <v>0</v>
      </c>
      <c r="C1551" s="16"/>
      <c r="D1551" s="16"/>
      <c r="E1551" s="16" t="str" cm="1">
        <f t="array" ref="E1551">IF(C1551&lt;&gt;"", _xlfn.XLOOKUP(1,((SKUs!$A$2:$A$10001=cl_unmerged!B1490) * (LEFT(SKUs!$J$2:$J$10001, LEN("PVC Pipe"))="PVC Pipe")), SKUs!$J$2:$J$10001,""),"")</f>
        <v/>
      </c>
      <c r="F1551" s="33" t="str" cm="1">
        <f t="array" ref="F1551">_xlfn.XLOOKUP(1,((SKUs!$A$2:$A$10001=cl_unmerged!B1551) * (LEFT(SKUs!$J$2:$J$10001, LEN("PVC Pipe"))="PVC Pipe") * (ISNUMBER(SEARCH(A1551,SKUs!$C$2:$C$10001)))), SKUs!$C$2:$C$10001,"")</f>
        <v/>
      </c>
      <c r="G1551" s="16"/>
      <c r="H1551" s="16"/>
      <c r="I1551" s="16"/>
    </row>
    <row r="1552" spans="1:9" ht="13.5" customHeight="1" x14ac:dyDescent="0.25">
      <c r="A1552" s="41" t="str">
        <f>_xlfn.XLOOKUP(G1552,dd_color!$A$2:$A$8,dd_color!$B$2:$B$8,"",0)</f>
        <v/>
      </c>
      <c r="B1552" s="41">
        <f>_xlfn.XLOOKUP(_xlfn.XLOOKUP(C1552,'Project Details'!$C$17:$C$10003,'Project Details'!$E$17:$E$10003, "",0),dd_design_raw!$A$2:$A$9997,dd_design_raw!$C$2:$C$9997,"",0)</f>
        <v>0</v>
      </c>
      <c r="C1552" s="16"/>
      <c r="D1552" s="16"/>
      <c r="E1552" s="16" t="str" cm="1">
        <f t="array" ref="E1552">IF(C1552&lt;&gt;"", _xlfn.XLOOKUP(1,((SKUs!$A$2:$A$10001=cl_unmerged!B1491) * (LEFT(SKUs!$J$2:$J$10001, LEN("PVC Pipe"))="PVC Pipe")), SKUs!$J$2:$J$10001,""),"")</f>
        <v/>
      </c>
      <c r="F1552" s="33" t="str" cm="1">
        <f t="array" ref="F1552">_xlfn.XLOOKUP(1,((SKUs!$A$2:$A$10001=cl_unmerged!B1552) * (LEFT(SKUs!$J$2:$J$10001, LEN("PVC Pipe"))="PVC Pipe") * (ISNUMBER(SEARCH(A1552,SKUs!$C$2:$C$10001)))), SKUs!$C$2:$C$10001,"")</f>
        <v/>
      </c>
      <c r="G1552" s="16"/>
      <c r="H1552" s="16"/>
      <c r="I1552" s="16"/>
    </row>
    <row r="1553" spans="1:9" ht="13.5" customHeight="1" x14ac:dyDescent="0.25">
      <c r="A1553" s="41" t="str">
        <f>_xlfn.XLOOKUP(G1553,dd_color!$A$2:$A$8,dd_color!$B$2:$B$8,"",0)</f>
        <v/>
      </c>
      <c r="B1553" s="41">
        <f>_xlfn.XLOOKUP(_xlfn.XLOOKUP(C1553,'Project Details'!$C$17:$C$10003,'Project Details'!$E$17:$E$10003, "",0),dd_design_raw!$A$2:$A$9997,dd_design_raw!$C$2:$C$9997,"",0)</f>
        <v>0</v>
      </c>
      <c r="C1553" s="16"/>
      <c r="D1553" s="16"/>
      <c r="E1553" s="16" t="str" cm="1">
        <f t="array" ref="E1553">IF(C1553&lt;&gt;"", _xlfn.XLOOKUP(1,((SKUs!$A$2:$A$10001=cl_unmerged!B1492) * (LEFT(SKUs!$J$2:$J$10001, LEN("PVC Pipe"))="PVC Pipe")), SKUs!$J$2:$J$10001,""),"")</f>
        <v/>
      </c>
      <c r="F1553" s="33" t="str" cm="1">
        <f t="array" ref="F1553">_xlfn.XLOOKUP(1,((SKUs!$A$2:$A$10001=cl_unmerged!B1553) * (LEFT(SKUs!$J$2:$J$10001, LEN("PVC Pipe"))="PVC Pipe") * (ISNUMBER(SEARCH(A1553,SKUs!$C$2:$C$10001)))), SKUs!$C$2:$C$10001,"")</f>
        <v/>
      </c>
      <c r="G1553" s="16"/>
      <c r="H1553" s="16"/>
      <c r="I1553" s="16"/>
    </row>
    <row r="1554" spans="1:9" ht="13.5" customHeight="1" x14ac:dyDescent="0.25">
      <c r="A1554" s="41" t="str">
        <f>_xlfn.XLOOKUP(G1554,dd_color!$A$2:$A$8,dd_color!$B$2:$B$8,"",0)</f>
        <v/>
      </c>
      <c r="B1554" s="41">
        <f>_xlfn.XLOOKUP(_xlfn.XLOOKUP(C1554,'Project Details'!$C$17:$C$10003,'Project Details'!$E$17:$E$10003, "",0),dd_design_raw!$A$2:$A$9997,dd_design_raw!$C$2:$C$9997,"",0)</f>
        <v>0</v>
      </c>
      <c r="C1554" s="16"/>
      <c r="D1554" s="16"/>
      <c r="E1554" s="16" t="str" cm="1">
        <f t="array" ref="E1554">IF(C1554&lt;&gt;"", _xlfn.XLOOKUP(1,((SKUs!$A$2:$A$10001=cl_unmerged!B1493) * (LEFT(SKUs!$J$2:$J$10001, LEN("PVC Pipe"))="PVC Pipe")), SKUs!$J$2:$J$10001,""),"")</f>
        <v/>
      </c>
      <c r="F1554" s="33" t="str" cm="1">
        <f t="array" ref="F1554">_xlfn.XLOOKUP(1,((SKUs!$A$2:$A$10001=cl_unmerged!B1554) * (LEFT(SKUs!$J$2:$J$10001, LEN("PVC Pipe"))="PVC Pipe") * (ISNUMBER(SEARCH(A1554,SKUs!$C$2:$C$10001)))), SKUs!$C$2:$C$10001,"")</f>
        <v/>
      </c>
      <c r="G1554" s="16"/>
      <c r="H1554" s="16"/>
      <c r="I1554" s="16"/>
    </row>
    <row r="1555" spans="1:9" ht="13.5" customHeight="1" x14ac:dyDescent="0.25">
      <c r="A1555" s="41" t="str">
        <f>_xlfn.XLOOKUP(G1555,dd_color!$A$2:$A$8,dd_color!$B$2:$B$8,"",0)</f>
        <v/>
      </c>
      <c r="B1555" s="41">
        <f>_xlfn.XLOOKUP(_xlfn.XLOOKUP(C1555,'Project Details'!$C$17:$C$10003,'Project Details'!$E$17:$E$10003, "",0),dd_design_raw!$A$2:$A$9997,dd_design_raw!$C$2:$C$9997,"",0)</f>
        <v>0</v>
      </c>
      <c r="C1555" s="16"/>
      <c r="D1555" s="16"/>
      <c r="E1555" s="16" t="str" cm="1">
        <f t="array" ref="E1555">IF(C1555&lt;&gt;"", _xlfn.XLOOKUP(1,((SKUs!$A$2:$A$10001=cl_unmerged!B1494) * (LEFT(SKUs!$J$2:$J$10001, LEN("PVC Pipe"))="PVC Pipe")), SKUs!$J$2:$J$10001,""),"")</f>
        <v/>
      </c>
      <c r="F1555" s="33" t="str" cm="1">
        <f t="array" ref="F1555">_xlfn.XLOOKUP(1,((SKUs!$A$2:$A$10001=cl_unmerged!B1555) * (LEFT(SKUs!$J$2:$J$10001, LEN("PVC Pipe"))="PVC Pipe") * (ISNUMBER(SEARCH(A1555,SKUs!$C$2:$C$10001)))), SKUs!$C$2:$C$10001,"")</f>
        <v/>
      </c>
      <c r="G1555" s="16"/>
      <c r="H1555" s="16"/>
      <c r="I1555" s="16"/>
    </row>
    <row r="1556" spans="1:9" ht="13.5" customHeight="1" x14ac:dyDescent="0.25">
      <c r="A1556" s="41" t="str">
        <f>_xlfn.XLOOKUP(G1556,dd_color!$A$2:$A$8,dd_color!$B$2:$B$8,"",0)</f>
        <v/>
      </c>
      <c r="B1556" s="41">
        <f>_xlfn.XLOOKUP(_xlfn.XLOOKUP(C1556,'Project Details'!$C$17:$C$10003,'Project Details'!$E$17:$E$10003, "",0),dd_design_raw!$A$2:$A$9997,dd_design_raw!$C$2:$C$9997,"",0)</f>
        <v>0</v>
      </c>
      <c r="C1556" s="16"/>
      <c r="D1556" s="16"/>
      <c r="E1556" s="16" t="str" cm="1">
        <f t="array" ref="E1556">IF(C1556&lt;&gt;"", _xlfn.XLOOKUP(1,((SKUs!$A$2:$A$10001=cl_unmerged!B1495) * (LEFT(SKUs!$J$2:$J$10001, LEN("PVC Pipe"))="PVC Pipe")), SKUs!$J$2:$J$10001,""),"")</f>
        <v/>
      </c>
      <c r="F1556" s="33" t="str" cm="1">
        <f t="array" ref="F1556">_xlfn.XLOOKUP(1,((SKUs!$A$2:$A$10001=cl_unmerged!B1556) * (LEFT(SKUs!$J$2:$J$10001, LEN("PVC Pipe"))="PVC Pipe") * (ISNUMBER(SEARCH(A1556,SKUs!$C$2:$C$10001)))), SKUs!$C$2:$C$10001,"")</f>
        <v/>
      </c>
      <c r="G1556" s="16"/>
      <c r="H1556" s="16"/>
      <c r="I1556" s="16"/>
    </row>
    <row r="1557" spans="1:9" ht="13.5" customHeight="1" x14ac:dyDescent="0.25">
      <c r="A1557" s="41" t="str">
        <f>_xlfn.XLOOKUP(G1557,dd_color!$A$2:$A$8,dd_color!$B$2:$B$8,"",0)</f>
        <v/>
      </c>
      <c r="B1557" s="41">
        <f>_xlfn.XLOOKUP(_xlfn.XLOOKUP(C1557,'Project Details'!$C$17:$C$10003,'Project Details'!$E$17:$E$10003, "",0),dd_design_raw!$A$2:$A$9997,dd_design_raw!$C$2:$C$9997,"",0)</f>
        <v>0</v>
      </c>
      <c r="C1557" s="16"/>
      <c r="D1557" s="16"/>
      <c r="E1557" s="16" t="str" cm="1">
        <f t="array" ref="E1557">IF(C1557&lt;&gt;"", _xlfn.XLOOKUP(1,((SKUs!$A$2:$A$10001=cl_unmerged!B1496) * (LEFT(SKUs!$J$2:$J$10001, LEN("PVC Pipe"))="PVC Pipe")), SKUs!$J$2:$J$10001,""),"")</f>
        <v/>
      </c>
      <c r="F1557" s="33" t="str" cm="1">
        <f t="array" ref="F1557">_xlfn.XLOOKUP(1,((SKUs!$A$2:$A$10001=cl_unmerged!B1557) * (LEFT(SKUs!$J$2:$J$10001, LEN("PVC Pipe"))="PVC Pipe") * (ISNUMBER(SEARCH(A1557,SKUs!$C$2:$C$10001)))), SKUs!$C$2:$C$10001,"")</f>
        <v/>
      </c>
      <c r="G1557" s="16"/>
      <c r="H1557" s="16"/>
      <c r="I1557" s="16"/>
    </row>
    <row r="1558" spans="1:9" ht="13.5" customHeight="1" x14ac:dyDescent="0.25">
      <c r="A1558" s="41" t="str">
        <f>_xlfn.XLOOKUP(G1558,dd_color!$A$2:$A$8,dd_color!$B$2:$B$8,"",0)</f>
        <v/>
      </c>
      <c r="B1558" s="41">
        <f>_xlfn.XLOOKUP(_xlfn.XLOOKUP(C1558,'Project Details'!$C$17:$C$10003,'Project Details'!$E$17:$E$10003, "",0),dd_design_raw!$A$2:$A$9997,dd_design_raw!$C$2:$C$9997,"",0)</f>
        <v>0</v>
      </c>
      <c r="C1558" s="16"/>
      <c r="D1558" s="16"/>
      <c r="E1558" s="16" t="str" cm="1">
        <f t="array" ref="E1558">IF(C1558&lt;&gt;"", _xlfn.XLOOKUP(1,((SKUs!$A$2:$A$10001=cl_unmerged!B1497) * (LEFT(SKUs!$J$2:$J$10001, LEN("PVC Pipe"))="PVC Pipe")), SKUs!$J$2:$J$10001,""),"")</f>
        <v/>
      </c>
      <c r="F1558" s="33" t="str" cm="1">
        <f t="array" ref="F1558">_xlfn.XLOOKUP(1,((SKUs!$A$2:$A$10001=cl_unmerged!B1558) * (LEFT(SKUs!$J$2:$J$10001, LEN("PVC Pipe"))="PVC Pipe") * (ISNUMBER(SEARCH(A1558,SKUs!$C$2:$C$10001)))), SKUs!$C$2:$C$10001,"")</f>
        <v/>
      </c>
      <c r="G1558" s="16"/>
      <c r="H1558" s="16"/>
      <c r="I1558" s="16"/>
    </row>
    <row r="1559" spans="1:9" ht="13.5" customHeight="1" x14ac:dyDescent="0.25">
      <c r="A1559" s="41" t="str">
        <f>_xlfn.XLOOKUP(G1559,dd_color!$A$2:$A$8,dd_color!$B$2:$B$8,"",0)</f>
        <v/>
      </c>
      <c r="B1559" s="41">
        <f>_xlfn.XLOOKUP(_xlfn.XLOOKUP(C1559,'Project Details'!$C$17:$C$10003,'Project Details'!$E$17:$E$10003, "",0),dd_design_raw!$A$2:$A$9997,dd_design_raw!$C$2:$C$9997,"",0)</f>
        <v>0</v>
      </c>
      <c r="C1559" s="16"/>
      <c r="D1559" s="16"/>
      <c r="E1559" s="16" t="str" cm="1">
        <f t="array" ref="E1559">IF(C1559&lt;&gt;"", _xlfn.XLOOKUP(1,((SKUs!$A$2:$A$10001=cl_unmerged!B1498) * (LEFT(SKUs!$J$2:$J$10001, LEN("PVC Pipe"))="PVC Pipe")), SKUs!$J$2:$J$10001,""),"")</f>
        <v/>
      </c>
      <c r="F1559" s="33" t="str" cm="1">
        <f t="array" ref="F1559">_xlfn.XLOOKUP(1,((SKUs!$A$2:$A$10001=cl_unmerged!B1559) * (LEFT(SKUs!$J$2:$J$10001, LEN("PVC Pipe"))="PVC Pipe") * (ISNUMBER(SEARCH(A1559,SKUs!$C$2:$C$10001)))), SKUs!$C$2:$C$10001,"")</f>
        <v/>
      </c>
      <c r="G1559" s="16"/>
      <c r="H1559" s="16"/>
      <c r="I1559" s="16"/>
    </row>
    <row r="1560" spans="1:9" ht="13.5" customHeight="1" x14ac:dyDescent="0.25">
      <c r="A1560" s="41" t="str">
        <f>_xlfn.XLOOKUP(G1560,dd_color!$A$2:$A$8,dd_color!$B$2:$B$8,"",0)</f>
        <v/>
      </c>
      <c r="B1560" s="41">
        <f>_xlfn.XLOOKUP(_xlfn.XLOOKUP(C1560,'Project Details'!$C$17:$C$10003,'Project Details'!$E$17:$E$10003, "",0),dd_design_raw!$A$2:$A$9997,dd_design_raw!$C$2:$C$9997,"",0)</f>
        <v>0</v>
      </c>
      <c r="C1560" s="16"/>
      <c r="D1560" s="16"/>
      <c r="E1560" s="16" t="str" cm="1">
        <f t="array" ref="E1560">IF(C1560&lt;&gt;"", _xlfn.XLOOKUP(1,((SKUs!$A$2:$A$10001=cl_unmerged!B1499) * (LEFT(SKUs!$J$2:$J$10001, LEN("PVC Pipe"))="PVC Pipe")), SKUs!$J$2:$J$10001,""),"")</f>
        <v/>
      </c>
      <c r="F1560" s="33" t="str" cm="1">
        <f t="array" ref="F1560">_xlfn.XLOOKUP(1,((SKUs!$A$2:$A$10001=cl_unmerged!B1560) * (LEFT(SKUs!$J$2:$J$10001, LEN("PVC Pipe"))="PVC Pipe") * (ISNUMBER(SEARCH(A1560,SKUs!$C$2:$C$10001)))), SKUs!$C$2:$C$10001,"")</f>
        <v/>
      </c>
      <c r="G1560" s="16"/>
      <c r="H1560" s="16"/>
      <c r="I1560" s="16"/>
    </row>
    <row r="1561" spans="1:9" ht="13.5" customHeight="1" x14ac:dyDescent="0.25">
      <c r="A1561" s="41" t="str">
        <f>_xlfn.XLOOKUP(G1561,dd_color!$A$2:$A$8,dd_color!$B$2:$B$8,"",0)</f>
        <v/>
      </c>
      <c r="B1561" s="41">
        <f>_xlfn.XLOOKUP(_xlfn.XLOOKUP(C1561,'Project Details'!$C$17:$C$10003,'Project Details'!$E$17:$E$10003, "",0),dd_design_raw!$A$2:$A$9997,dd_design_raw!$C$2:$C$9997,"",0)</f>
        <v>0</v>
      </c>
      <c r="C1561" s="16"/>
      <c r="D1561" s="16"/>
      <c r="E1561" s="16" t="str" cm="1">
        <f t="array" ref="E1561">IF(C1561&lt;&gt;"", _xlfn.XLOOKUP(1,((SKUs!$A$2:$A$10001=cl_unmerged!B1500) * (LEFT(SKUs!$J$2:$J$10001, LEN("PVC Pipe"))="PVC Pipe")), SKUs!$J$2:$J$10001,""),"")</f>
        <v/>
      </c>
      <c r="F1561" s="33" t="str" cm="1">
        <f t="array" ref="F1561">_xlfn.XLOOKUP(1,((SKUs!$A$2:$A$10001=cl_unmerged!B1561) * (LEFT(SKUs!$J$2:$J$10001, LEN("PVC Pipe"))="PVC Pipe") * (ISNUMBER(SEARCH(A1561,SKUs!$C$2:$C$10001)))), SKUs!$C$2:$C$10001,"")</f>
        <v/>
      </c>
      <c r="G1561" s="16"/>
      <c r="H1561" s="16"/>
      <c r="I1561" s="16"/>
    </row>
    <row r="1562" spans="1:9" ht="13.5" customHeight="1" x14ac:dyDescent="0.25">
      <c r="A1562" s="41" t="str">
        <f>_xlfn.XLOOKUP(G1562,dd_color!$A$2:$A$8,dd_color!$B$2:$B$8,"",0)</f>
        <v/>
      </c>
      <c r="B1562" s="41">
        <f>_xlfn.XLOOKUP(_xlfn.XLOOKUP(C1562,'Project Details'!$C$17:$C$10003,'Project Details'!$E$17:$E$10003, "",0),dd_design_raw!$A$2:$A$9997,dd_design_raw!$C$2:$C$9997,"",0)</f>
        <v>0</v>
      </c>
      <c r="C1562" s="16"/>
      <c r="D1562" s="16"/>
      <c r="E1562" s="16" t="str" cm="1">
        <f t="array" ref="E1562">IF(C1562&lt;&gt;"", _xlfn.XLOOKUP(1,((SKUs!$A$2:$A$10001=cl_unmerged!B1501) * (LEFT(SKUs!$J$2:$J$10001, LEN("PVC Pipe"))="PVC Pipe")), SKUs!$J$2:$J$10001,""),"")</f>
        <v/>
      </c>
      <c r="F1562" s="33" t="str" cm="1">
        <f t="array" ref="F1562">_xlfn.XLOOKUP(1,((SKUs!$A$2:$A$10001=cl_unmerged!B1562) * (LEFT(SKUs!$J$2:$J$10001, LEN("PVC Pipe"))="PVC Pipe") * (ISNUMBER(SEARCH(A1562,SKUs!$C$2:$C$10001)))), SKUs!$C$2:$C$10001,"")</f>
        <v/>
      </c>
      <c r="G1562" s="16"/>
      <c r="H1562" s="16"/>
      <c r="I1562" s="16"/>
    </row>
    <row r="1563" spans="1:9" ht="13.5" customHeight="1" x14ac:dyDescent="0.25">
      <c r="A1563" s="41" t="str">
        <f>_xlfn.XLOOKUP(G1563,dd_color!$A$2:$A$8,dd_color!$B$2:$B$8,"",0)</f>
        <v/>
      </c>
      <c r="B1563" s="41">
        <f>_xlfn.XLOOKUP(_xlfn.XLOOKUP(C1563,'Project Details'!$C$17:$C$10003,'Project Details'!$E$17:$E$10003, "",0),dd_design_raw!$A$2:$A$9997,dd_design_raw!$C$2:$C$9997,"",0)</f>
        <v>0</v>
      </c>
      <c r="C1563" s="16"/>
      <c r="D1563" s="16"/>
      <c r="E1563" s="16" t="str" cm="1">
        <f t="array" ref="E1563">IF(C1563&lt;&gt;"", _xlfn.XLOOKUP(1,((SKUs!$A$2:$A$10001=cl_unmerged!B1502) * (LEFT(SKUs!$J$2:$J$10001, LEN("PVC Pipe"))="PVC Pipe")), SKUs!$J$2:$J$10001,""),"")</f>
        <v/>
      </c>
      <c r="F1563" s="33" t="str" cm="1">
        <f t="array" ref="F1563">_xlfn.XLOOKUP(1,((SKUs!$A$2:$A$10001=cl_unmerged!B1563) * (LEFT(SKUs!$J$2:$J$10001, LEN("PVC Pipe"))="PVC Pipe") * (ISNUMBER(SEARCH(A1563,SKUs!$C$2:$C$10001)))), SKUs!$C$2:$C$10001,"")</f>
        <v/>
      </c>
      <c r="G1563" s="16"/>
      <c r="H1563" s="16"/>
      <c r="I1563" s="16"/>
    </row>
    <row r="1564" spans="1:9" ht="13.5" customHeight="1" x14ac:dyDescent="0.25">
      <c r="A1564" s="41" t="str">
        <f>_xlfn.XLOOKUP(G1564,dd_color!$A$2:$A$8,dd_color!$B$2:$B$8,"",0)</f>
        <v/>
      </c>
      <c r="B1564" s="41">
        <f>_xlfn.XLOOKUP(_xlfn.XLOOKUP(C1564,'Project Details'!$C$17:$C$10003,'Project Details'!$E$17:$E$10003, "",0),dd_design_raw!$A$2:$A$9997,dd_design_raw!$C$2:$C$9997,"",0)</f>
        <v>0</v>
      </c>
      <c r="C1564" s="16"/>
      <c r="D1564" s="16"/>
      <c r="E1564" s="16" t="str" cm="1">
        <f t="array" ref="E1564">IF(C1564&lt;&gt;"", _xlfn.XLOOKUP(1,((SKUs!$A$2:$A$10001=cl_unmerged!B1503) * (LEFT(SKUs!$J$2:$J$10001, LEN("PVC Pipe"))="PVC Pipe")), SKUs!$J$2:$J$10001,""),"")</f>
        <v/>
      </c>
      <c r="F1564" s="33" t="str" cm="1">
        <f t="array" ref="F1564">_xlfn.XLOOKUP(1,((SKUs!$A$2:$A$10001=cl_unmerged!B1564) * (LEFT(SKUs!$J$2:$J$10001, LEN("PVC Pipe"))="PVC Pipe") * (ISNUMBER(SEARCH(A1564,SKUs!$C$2:$C$10001)))), SKUs!$C$2:$C$10001,"")</f>
        <v/>
      </c>
      <c r="G1564" s="16"/>
      <c r="H1564" s="16"/>
      <c r="I1564" s="16"/>
    </row>
    <row r="1565" spans="1:9" ht="13.5" customHeight="1" x14ac:dyDescent="0.25">
      <c r="A1565" s="41"/>
      <c r="B1565" s="41"/>
      <c r="C1565" s="90"/>
      <c r="D1565" s="90"/>
      <c r="E1565" s="90"/>
      <c r="F1565" s="91"/>
      <c r="G1565" s="90"/>
      <c r="H1565" s="90"/>
      <c r="I1565" s="90"/>
    </row>
    <row r="1566" spans="1:9" ht="13.5" customHeight="1" x14ac:dyDescent="0.25">
      <c r="C1566" s="1" t="s">
        <v>885</v>
      </c>
      <c r="F1566" s="39"/>
    </row>
    <row r="1567" spans="1:9" x14ac:dyDescent="0.25">
      <c r="C1567" s="28" t="s">
        <v>893</v>
      </c>
      <c r="D1567" s="29"/>
      <c r="E1567" s="29"/>
      <c r="F1567" s="29"/>
      <c r="G1567" s="29"/>
      <c r="H1567" s="29"/>
      <c r="I1567" s="30"/>
    </row>
    <row r="1568" spans="1:9" x14ac:dyDescent="0.25">
      <c r="A1568" s="41" t="str">
        <f>_xlfn.XLOOKUP(G1568,dd_color!$A$2:$A$8,dd_color!$B$2:$B$8,"",0)</f>
        <v/>
      </c>
      <c r="B1568" s="41" t="str">
        <f>_xlfn.XLOOKUP(_xlfn.XLOOKUP(C1568,'Project Details'!$C$17:$C$10003,'Project Details'!$E$17:$E$10003, "",0),dd_design_raw!$A$2:$A$9997,dd_design_raw!$C$2:$C$9997,"",0)</f>
        <v/>
      </c>
      <c r="C1568" s="16" t="str" cm="1">
        <f t="array" ref="C1568">IFERROR(_xlfn._xlws.FILTER(calc_rusacc!C15:C65,(calc_rusacc!E15:E65&lt;&gt;"Roll-up Screen") * (calc_rusacc!D15:D65&lt;&gt;"")),"")</f>
        <v/>
      </c>
      <c r="D1568" s="16" t="str" cm="1">
        <f t="array" ref="D1568">IFERROR(_xlfn._xlws.FILTER(calc_rusacc!D15:D65,(calc_rusacc!E15:E65&lt;&gt;"Roll-up Screen") * (calc_rusacc!D15:D65&lt;&gt;"")),"")</f>
        <v/>
      </c>
      <c r="E1568" s="16" t="str" cm="1">
        <f t="array" ref="E1568">IF(C1568&lt;&gt;"", _xlfn.XLOOKUP(1,((SKUs!$A$2:$A$10001=B1568) * (LEFT(SKUs!$J$2:$J$10001, LEN("Top Rail"))="Top Rail")), SKUs!$J$2:$J$10001,""),"")</f>
        <v/>
      </c>
      <c r="F1568" s="33" t="str" cm="1">
        <f t="array" ref="F1568">_xlfn.XLOOKUP(1,((SKUs!$A$2:$A$10001=cl_unmerged!B1568) * (LEFT(SKUs!$J$2:$J$10001, LEN("Top Rail"))="Top Rail") * (ISNUMBER(SEARCH(A1568,SKUs!$C$2:$C$10001)))), SKUs!$C$2:$C$10001,"")</f>
        <v/>
      </c>
      <c r="G1568" s="16" t="str" cm="1">
        <f t="array" ref="G1568">IFERROR(_xlfn._xlws.FILTER(calc_rusacc!G15:G65,(calc_rusacc!E15:E65&lt;&gt;"Roll-up Screen") * (calc_rusacc!D15:D65&lt;&gt;"")),"")</f>
        <v/>
      </c>
      <c r="H1568" s="16" t="str" cm="1">
        <f t="array" ref="H1568">IFERROR(_xlfn._xlws.FILTER(calc_rusacc!AH15:AH65,(calc_rusacc!E15:E65&lt;&gt;"Roll-up Screen") * (calc_rusacc!D15:D65&lt;&gt;"")),"")</f>
        <v/>
      </c>
      <c r="I1568" s="16"/>
    </row>
    <row r="1569" spans="1:9" x14ac:dyDescent="0.25">
      <c r="A1569" s="41" t="str">
        <f>_xlfn.XLOOKUP(G1569,dd_color!$A$2:$A$8,dd_color!$B$2:$B$8,"",0)</f>
        <v/>
      </c>
      <c r="B1569" s="41">
        <f>_xlfn.XLOOKUP(_xlfn.XLOOKUP(C1569,'Project Details'!$C$17:$C$10003,'Project Details'!$E$17:$E$10003, "",0),dd_design_raw!$A$2:$A$9997,dd_design_raw!$C$2:$C$9997,"",0)</f>
        <v>0</v>
      </c>
      <c r="C1569" s="16"/>
      <c r="D1569" s="16"/>
      <c r="E1569" s="16" t="str" cm="1">
        <f t="array" ref="E1569">IF(C1569&lt;&gt;"", _xlfn.XLOOKUP(1,((SKUs!$A$2:$A$10001=B1569) * (LEFT(SKUs!$J$2:$J$10001, LEN("Top Rail"))="Top Rail")), SKUs!$J$2:$J$10001,""),"")</f>
        <v/>
      </c>
      <c r="F1569" s="33" t="str" cm="1">
        <f t="array" ref="F1569">_xlfn.XLOOKUP(1,((SKUs!$A$2:$A$10001=cl_unmerged!B1569) * (LEFT(SKUs!$J$2:$J$10001, LEN("Top Rail"))="Top Rail") * (ISNUMBER(SEARCH(A1569,SKUs!$C$2:$C$10001)))), SKUs!$C$2:$C$10001,"")</f>
        <v/>
      </c>
      <c r="G1569" s="16"/>
      <c r="H1569" s="16"/>
      <c r="I1569" s="16"/>
    </row>
    <row r="1570" spans="1:9" x14ac:dyDescent="0.25">
      <c r="A1570" s="41" t="str">
        <f>_xlfn.XLOOKUP(G1570,dd_color!$A$2:$A$8,dd_color!$B$2:$B$8,"",0)</f>
        <v/>
      </c>
      <c r="B1570" s="41">
        <f>_xlfn.XLOOKUP(_xlfn.XLOOKUP(C1570,'Project Details'!$C$17:$C$10003,'Project Details'!$E$17:$E$10003, "",0),dd_design_raw!$A$2:$A$9997,dd_design_raw!$C$2:$C$9997,"",0)</f>
        <v>0</v>
      </c>
      <c r="C1570" s="16"/>
      <c r="D1570" s="16"/>
      <c r="E1570" s="16" t="str" cm="1">
        <f t="array" ref="E1570">IF(C1570&lt;&gt;"", _xlfn.XLOOKUP(1,((SKUs!$A$2:$A$10001=B1570) * (LEFT(SKUs!$J$2:$J$10001, LEN("Top Rail"))="Top Rail")), SKUs!$J$2:$J$10001,""),"")</f>
        <v/>
      </c>
      <c r="F1570" s="33" t="str" cm="1">
        <f t="array" ref="F1570">_xlfn.XLOOKUP(1,((SKUs!$A$2:$A$10001=cl_unmerged!B1570) * (LEFT(SKUs!$J$2:$J$10001, LEN("Top Rail"))="Top Rail") * (ISNUMBER(SEARCH(A1570,SKUs!$C$2:$C$10001)))), SKUs!$C$2:$C$10001,"")</f>
        <v/>
      </c>
      <c r="G1570" s="16"/>
      <c r="H1570" s="16"/>
      <c r="I1570" s="16"/>
    </row>
    <row r="1571" spans="1:9" x14ac:dyDescent="0.25">
      <c r="A1571" s="41" t="str">
        <f>_xlfn.XLOOKUP(G1571,dd_color!$A$2:$A$8,dd_color!$B$2:$B$8,"",0)</f>
        <v/>
      </c>
      <c r="B1571" s="41">
        <f>_xlfn.XLOOKUP(_xlfn.XLOOKUP(C1571,'Project Details'!$C$17:$C$10003,'Project Details'!$E$17:$E$10003, "",0),dd_design_raw!$A$2:$A$9997,dd_design_raw!$C$2:$C$9997,"",0)</f>
        <v>0</v>
      </c>
      <c r="C1571" s="16"/>
      <c r="D1571" s="16"/>
      <c r="E1571" s="16" t="str" cm="1">
        <f t="array" ref="E1571">IF(C1571&lt;&gt;"", _xlfn.XLOOKUP(1,((SKUs!$A$2:$A$10001=B1571) * (LEFT(SKUs!$J$2:$J$10001, LEN("Top Rail"))="Top Rail")), SKUs!$J$2:$J$10001,""),"")</f>
        <v/>
      </c>
      <c r="F1571" s="33" t="str" cm="1">
        <f t="array" ref="F1571">_xlfn.XLOOKUP(1,((SKUs!$A$2:$A$10001=cl_unmerged!B1571) * (LEFT(SKUs!$J$2:$J$10001, LEN("Top Rail"))="Top Rail") * (ISNUMBER(SEARCH(A1571,SKUs!$C$2:$C$10001)))), SKUs!$C$2:$C$10001,"")</f>
        <v/>
      </c>
      <c r="G1571" s="16"/>
      <c r="H1571" s="16"/>
      <c r="I1571" s="16"/>
    </row>
    <row r="1572" spans="1:9" x14ac:dyDescent="0.25">
      <c r="A1572" s="41" t="str">
        <f>_xlfn.XLOOKUP(G1572,dd_color!$A$2:$A$8,dd_color!$B$2:$B$8,"",0)</f>
        <v/>
      </c>
      <c r="B1572" s="41">
        <f>_xlfn.XLOOKUP(_xlfn.XLOOKUP(C1572,'Project Details'!$C$17:$C$10003,'Project Details'!$E$17:$E$10003, "",0),dd_design_raw!$A$2:$A$9997,dd_design_raw!$C$2:$C$9997,"",0)</f>
        <v>0</v>
      </c>
      <c r="C1572" s="16"/>
      <c r="D1572" s="16"/>
      <c r="E1572" s="16" t="str" cm="1">
        <f t="array" ref="E1572">IF(C1572&lt;&gt;"", _xlfn.XLOOKUP(1,((SKUs!$A$2:$A$10001=B1572) * (LEFT(SKUs!$J$2:$J$10001, LEN("Top Rail"))="Top Rail")), SKUs!$J$2:$J$10001,""),"")</f>
        <v/>
      </c>
      <c r="F1572" s="33" t="str" cm="1">
        <f t="array" ref="F1572">_xlfn.XLOOKUP(1,((SKUs!$A$2:$A$10001=cl_unmerged!B1572) * (LEFT(SKUs!$J$2:$J$10001, LEN("Top Rail"))="Top Rail") * (ISNUMBER(SEARCH(A1572,SKUs!$C$2:$C$10001)))), SKUs!$C$2:$C$10001,"")</f>
        <v/>
      </c>
      <c r="G1572" s="16"/>
      <c r="H1572" s="16"/>
      <c r="I1572" s="16"/>
    </row>
    <row r="1573" spans="1:9" x14ac:dyDescent="0.25">
      <c r="A1573" s="41" t="str">
        <f>_xlfn.XLOOKUP(G1573,dd_color!$A$2:$A$8,dd_color!$B$2:$B$8,"",0)</f>
        <v/>
      </c>
      <c r="B1573" s="41">
        <f>_xlfn.XLOOKUP(_xlfn.XLOOKUP(C1573,'Project Details'!$C$17:$C$10003,'Project Details'!$E$17:$E$10003, "",0),dd_design_raw!$A$2:$A$9997,dd_design_raw!$C$2:$C$9997,"",0)</f>
        <v>0</v>
      </c>
      <c r="C1573" s="16"/>
      <c r="D1573" s="16"/>
      <c r="E1573" s="16" t="str" cm="1">
        <f t="array" ref="E1573">IF(C1573&lt;&gt;"", _xlfn.XLOOKUP(1,((SKUs!$A$2:$A$10001=B1573) * (LEFT(SKUs!$J$2:$J$10001, LEN("Top Rail"))="Top Rail")), SKUs!$J$2:$J$10001,""),"")</f>
        <v/>
      </c>
      <c r="F1573" s="33" t="str" cm="1">
        <f t="array" ref="F1573">_xlfn.XLOOKUP(1,((SKUs!$A$2:$A$10001=cl_unmerged!B1573) * (LEFT(SKUs!$J$2:$J$10001, LEN("Top Rail"))="Top Rail") * (ISNUMBER(SEARCH(A1573,SKUs!$C$2:$C$10001)))), SKUs!$C$2:$C$10001,"")</f>
        <v/>
      </c>
      <c r="G1573" s="16"/>
      <c r="H1573" s="16"/>
      <c r="I1573" s="16"/>
    </row>
    <row r="1574" spans="1:9" x14ac:dyDescent="0.25">
      <c r="A1574" s="41" t="str">
        <f>_xlfn.XLOOKUP(G1574,dd_color!$A$2:$A$8,dd_color!$B$2:$B$8,"",0)</f>
        <v/>
      </c>
      <c r="B1574" s="41">
        <f>_xlfn.XLOOKUP(_xlfn.XLOOKUP(C1574,'Project Details'!$C$17:$C$10003,'Project Details'!$E$17:$E$10003, "",0),dd_design_raw!$A$2:$A$9997,dd_design_raw!$C$2:$C$9997,"",0)</f>
        <v>0</v>
      </c>
      <c r="C1574" s="16"/>
      <c r="D1574" s="16"/>
      <c r="E1574" s="16" t="str" cm="1">
        <f t="array" ref="E1574">IF(C1574&lt;&gt;"", _xlfn.XLOOKUP(1,((SKUs!$A$2:$A$10001=B1574) * (LEFT(SKUs!$J$2:$J$10001, LEN("Top Rail"))="Top Rail")), SKUs!$J$2:$J$10001,""),"")</f>
        <v/>
      </c>
      <c r="F1574" s="33" t="str" cm="1">
        <f t="array" ref="F1574">_xlfn.XLOOKUP(1,((SKUs!$A$2:$A$10001=cl_unmerged!B1574) * (LEFT(SKUs!$J$2:$J$10001, LEN("Top Rail"))="Top Rail") * (ISNUMBER(SEARCH(A1574,SKUs!$C$2:$C$10001)))), SKUs!$C$2:$C$10001,"")</f>
        <v/>
      </c>
      <c r="G1574" s="16"/>
      <c r="H1574" s="16"/>
      <c r="I1574" s="16"/>
    </row>
    <row r="1575" spans="1:9" x14ac:dyDescent="0.25">
      <c r="A1575" s="41" t="str">
        <f>_xlfn.XLOOKUP(G1575,dd_color!$A$2:$A$8,dd_color!$B$2:$B$8,"",0)</f>
        <v/>
      </c>
      <c r="B1575" s="41">
        <f>_xlfn.XLOOKUP(_xlfn.XLOOKUP(C1575,'Project Details'!$C$17:$C$10003,'Project Details'!$E$17:$E$10003, "",0),dd_design_raw!$A$2:$A$9997,dd_design_raw!$C$2:$C$9997,"",0)</f>
        <v>0</v>
      </c>
      <c r="C1575" s="16"/>
      <c r="D1575" s="16"/>
      <c r="E1575" s="16" t="str" cm="1">
        <f t="array" ref="E1575">IF(C1575&lt;&gt;"", _xlfn.XLOOKUP(1,((SKUs!$A$2:$A$10001=B1575) * (LEFT(SKUs!$J$2:$J$10001, LEN("Top Rail"))="Top Rail")), SKUs!$J$2:$J$10001,""),"")</f>
        <v/>
      </c>
      <c r="F1575" s="33" t="str" cm="1">
        <f t="array" ref="F1575">_xlfn.XLOOKUP(1,((SKUs!$A$2:$A$10001=cl_unmerged!B1575) * (LEFT(SKUs!$J$2:$J$10001, LEN("Top Rail"))="Top Rail") * (ISNUMBER(SEARCH(A1575,SKUs!$C$2:$C$10001)))), SKUs!$C$2:$C$10001,"")</f>
        <v/>
      </c>
      <c r="G1575" s="16"/>
      <c r="H1575" s="16"/>
      <c r="I1575" s="16"/>
    </row>
    <row r="1576" spans="1:9" x14ac:dyDescent="0.25">
      <c r="A1576" s="41" t="str">
        <f>_xlfn.XLOOKUP(G1576,dd_color!$A$2:$A$8,dd_color!$B$2:$B$8,"",0)</f>
        <v/>
      </c>
      <c r="B1576" s="41">
        <f>_xlfn.XLOOKUP(_xlfn.XLOOKUP(C1576,'Project Details'!$C$17:$C$10003,'Project Details'!$E$17:$E$10003, "",0),dd_design_raw!$A$2:$A$9997,dd_design_raw!$C$2:$C$9997,"",0)</f>
        <v>0</v>
      </c>
      <c r="C1576" s="16"/>
      <c r="D1576" s="16"/>
      <c r="E1576" s="16" t="str" cm="1">
        <f t="array" ref="E1576">IF(C1576&lt;&gt;"", _xlfn.XLOOKUP(1,((SKUs!$A$2:$A$10001=B1576) * (LEFT(SKUs!$J$2:$J$10001, LEN("Top Rail"))="Top Rail")), SKUs!$J$2:$J$10001,""),"")</f>
        <v/>
      </c>
      <c r="F1576" s="33" t="str" cm="1">
        <f t="array" ref="F1576">_xlfn.XLOOKUP(1,((SKUs!$A$2:$A$10001=cl_unmerged!B1576) * (LEFT(SKUs!$J$2:$J$10001, LEN("Top Rail"))="Top Rail") * (ISNUMBER(SEARCH(A1576,SKUs!$C$2:$C$10001)))), SKUs!$C$2:$C$10001,"")</f>
        <v/>
      </c>
      <c r="G1576" s="16"/>
      <c r="H1576" s="16"/>
      <c r="I1576" s="16"/>
    </row>
    <row r="1577" spans="1:9" x14ac:dyDescent="0.25">
      <c r="A1577" s="41" t="str">
        <f>_xlfn.XLOOKUP(G1577,dd_color!$A$2:$A$8,dd_color!$B$2:$B$8,"",0)</f>
        <v/>
      </c>
      <c r="B1577" s="41">
        <f>_xlfn.XLOOKUP(_xlfn.XLOOKUP(C1577,'Project Details'!$C$17:$C$10003,'Project Details'!$E$17:$E$10003, "",0),dd_design_raw!$A$2:$A$9997,dd_design_raw!$C$2:$C$9997,"",0)</f>
        <v>0</v>
      </c>
      <c r="C1577" s="16"/>
      <c r="D1577" s="16"/>
      <c r="E1577" s="16" t="str" cm="1">
        <f t="array" ref="E1577">IF(C1577&lt;&gt;"", _xlfn.XLOOKUP(1,((SKUs!$A$2:$A$10001=B1577) * (LEFT(SKUs!$J$2:$J$10001, LEN("Top Rail"))="Top Rail")), SKUs!$J$2:$J$10001,""),"")</f>
        <v/>
      </c>
      <c r="F1577" s="33" t="str" cm="1">
        <f t="array" ref="F1577">_xlfn.XLOOKUP(1,((SKUs!$A$2:$A$10001=cl_unmerged!B1577) * (LEFT(SKUs!$J$2:$J$10001, LEN("Top Rail"))="Top Rail") * (ISNUMBER(SEARCH(A1577,SKUs!$C$2:$C$10001)))), SKUs!$C$2:$C$10001,"")</f>
        <v/>
      </c>
      <c r="G1577" s="16"/>
      <c r="H1577" s="16"/>
      <c r="I1577" s="16"/>
    </row>
    <row r="1578" spans="1:9" x14ac:dyDescent="0.25">
      <c r="A1578" s="41" t="str">
        <f>_xlfn.XLOOKUP(G1578,dd_color!$A$2:$A$8,dd_color!$B$2:$B$8,"",0)</f>
        <v/>
      </c>
      <c r="B1578" s="41">
        <f>_xlfn.XLOOKUP(_xlfn.XLOOKUP(C1578,'Project Details'!$C$17:$C$10003,'Project Details'!$E$17:$E$10003, "",0),dd_design_raw!$A$2:$A$9997,dd_design_raw!$C$2:$C$9997,"",0)</f>
        <v>0</v>
      </c>
      <c r="C1578" s="16"/>
      <c r="D1578" s="16"/>
      <c r="E1578" s="16" t="str" cm="1">
        <f t="array" ref="E1578">IF(C1578&lt;&gt;"", _xlfn.XLOOKUP(1,((SKUs!$A$2:$A$10001=B1578) * (LEFT(SKUs!$J$2:$J$10001, LEN("Top Rail"))="Top Rail")), SKUs!$J$2:$J$10001,""),"")</f>
        <v/>
      </c>
      <c r="F1578" s="33" t="str" cm="1">
        <f t="array" ref="F1578">_xlfn.XLOOKUP(1,((SKUs!$A$2:$A$10001=cl_unmerged!B1578) * (LEFT(SKUs!$J$2:$J$10001, LEN("Top Rail"))="Top Rail") * (ISNUMBER(SEARCH(A1578,SKUs!$C$2:$C$10001)))), SKUs!$C$2:$C$10001,"")</f>
        <v/>
      </c>
      <c r="G1578" s="16"/>
      <c r="H1578" s="16"/>
      <c r="I1578" s="16"/>
    </row>
    <row r="1579" spans="1:9" x14ac:dyDescent="0.25">
      <c r="A1579" s="41" t="str">
        <f>_xlfn.XLOOKUP(G1579,dd_color!$A$2:$A$8,dd_color!$B$2:$B$8,"",0)</f>
        <v/>
      </c>
      <c r="B1579" s="41">
        <f>_xlfn.XLOOKUP(_xlfn.XLOOKUP(C1579,'Project Details'!$C$17:$C$10003,'Project Details'!$E$17:$E$10003, "",0),dd_design_raw!$A$2:$A$9997,dd_design_raw!$C$2:$C$9997,"",0)</f>
        <v>0</v>
      </c>
      <c r="C1579" s="16"/>
      <c r="D1579" s="16"/>
      <c r="E1579" s="16" t="str" cm="1">
        <f t="array" ref="E1579">IF(C1579&lt;&gt;"", _xlfn.XLOOKUP(1,((SKUs!$A$2:$A$10001=B1579) * (LEFT(SKUs!$J$2:$J$10001, LEN("Top Rail"))="Top Rail")), SKUs!$J$2:$J$10001,""),"")</f>
        <v/>
      </c>
      <c r="F1579" s="33" t="str" cm="1">
        <f t="array" ref="F1579">_xlfn.XLOOKUP(1,((SKUs!$A$2:$A$10001=cl_unmerged!B1579) * (LEFT(SKUs!$J$2:$J$10001, LEN("Top Rail"))="Top Rail") * (ISNUMBER(SEARCH(A1579,SKUs!$C$2:$C$10001)))), SKUs!$C$2:$C$10001,"")</f>
        <v/>
      </c>
      <c r="G1579" s="16"/>
      <c r="H1579" s="16"/>
      <c r="I1579" s="16"/>
    </row>
    <row r="1580" spans="1:9" x14ac:dyDescent="0.25">
      <c r="A1580" s="41" t="str">
        <f>_xlfn.XLOOKUP(G1580,dd_color!$A$2:$A$8,dd_color!$B$2:$B$8,"",0)</f>
        <v/>
      </c>
      <c r="B1580" s="41">
        <f>_xlfn.XLOOKUP(_xlfn.XLOOKUP(C1580,'Project Details'!$C$17:$C$10003,'Project Details'!$E$17:$E$10003, "",0),dd_design_raw!$A$2:$A$9997,dd_design_raw!$C$2:$C$9997,"",0)</f>
        <v>0</v>
      </c>
      <c r="C1580" s="16"/>
      <c r="D1580" s="16"/>
      <c r="E1580" s="16" t="str" cm="1">
        <f t="array" ref="E1580">IF(C1580&lt;&gt;"", _xlfn.XLOOKUP(1,((SKUs!$A$2:$A$10001=B1580) * (LEFT(SKUs!$J$2:$J$10001, LEN("Top Rail"))="Top Rail")), SKUs!$J$2:$J$10001,""),"")</f>
        <v/>
      </c>
      <c r="F1580" s="33" t="str" cm="1">
        <f t="array" ref="F1580">_xlfn.XLOOKUP(1,((SKUs!$A$2:$A$10001=cl_unmerged!B1580) * (LEFT(SKUs!$J$2:$J$10001, LEN("Top Rail"))="Top Rail") * (ISNUMBER(SEARCH(A1580,SKUs!$C$2:$C$10001)))), SKUs!$C$2:$C$10001,"")</f>
        <v/>
      </c>
      <c r="G1580" s="16"/>
      <c r="H1580" s="16"/>
      <c r="I1580" s="16"/>
    </row>
    <row r="1581" spans="1:9" x14ac:dyDescent="0.25">
      <c r="A1581" s="41" t="str">
        <f>_xlfn.XLOOKUP(G1581,dd_color!$A$2:$A$8,dd_color!$B$2:$B$8,"",0)</f>
        <v/>
      </c>
      <c r="B1581" s="41">
        <f>_xlfn.XLOOKUP(_xlfn.XLOOKUP(C1581,'Project Details'!$C$17:$C$10003,'Project Details'!$E$17:$E$10003, "",0),dd_design_raw!$A$2:$A$9997,dd_design_raw!$C$2:$C$9997,"",0)</f>
        <v>0</v>
      </c>
      <c r="C1581" s="16"/>
      <c r="D1581" s="16"/>
      <c r="E1581" s="16" t="str" cm="1">
        <f t="array" ref="E1581">IF(C1581&lt;&gt;"", _xlfn.XLOOKUP(1,((SKUs!$A$2:$A$10001=B1581) * (LEFT(SKUs!$J$2:$J$10001, LEN("Top Rail"))="Top Rail")), SKUs!$J$2:$J$10001,""),"")</f>
        <v/>
      </c>
      <c r="F1581" s="33" t="str" cm="1">
        <f t="array" ref="F1581">_xlfn.XLOOKUP(1,((SKUs!$A$2:$A$10001=cl_unmerged!B1581) * (LEFT(SKUs!$J$2:$J$10001, LEN("Top Rail"))="Top Rail") * (ISNUMBER(SEARCH(A1581,SKUs!$C$2:$C$10001)))), SKUs!$C$2:$C$10001,"")</f>
        <v/>
      </c>
      <c r="G1581" s="16"/>
      <c r="H1581" s="16"/>
      <c r="I1581" s="16"/>
    </row>
    <row r="1582" spans="1:9" x14ac:dyDescent="0.25">
      <c r="A1582" s="41" t="str">
        <f>_xlfn.XLOOKUP(G1582,dd_color!$A$2:$A$8,dd_color!$B$2:$B$8,"",0)</f>
        <v/>
      </c>
      <c r="B1582" s="41">
        <f>_xlfn.XLOOKUP(_xlfn.XLOOKUP(C1582,'Project Details'!$C$17:$C$10003,'Project Details'!$E$17:$E$10003, "",0),dd_design_raw!$A$2:$A$9997,dd_design_raw!$C$2:$C$9997,"",0)</f>
        <v>0</v>
      </c>
      <c r="C1582" s="16"/>
      <c r="D1582" s="16"/>
      <c r="E1582" s="16" t="str" cm="1">
        <f t="array" ref="E1582">IF(C1582&lt;&gt;"", _xlfn.XLOOKUP(1,((SKUs!$A$2:$A$10001=B1582) * (LEFT(SKUs!$J$2:$J$10001, LEN("Top Rail"))="Top Rail")), SKUs!$J$2:$J$10001,""),"")</f>
        <v/>
      </c>
      <c r="F1582" s="33" t="str" cm="1">
        <f t="array" ref="F1582">_xlfn.XLOOKUP(1,((SKUs!$A$2:$A$10001=cl_unmerged!B1582) * (LEFT(SKUs!$J$2:$J$10001, LEN("Top Rail"))="Top Rail") * (ISNUMBER(SEARCH(A1582,SKUs!$C$2:$C$10001)))), SKUs!$C$2:$C$10001,"")</f>
        <v/>
      </c>
      <c r="G1582" s="16"/>
      <c r="H1582" s="16"/>
      <c r="I1582" s="16"/>
    </row>
    <row r="1583" spans="1:9" x14ac:dyDescent="0.25">
      <c r="A1583" s="41" t="str">
        <f>_xlfn.XLOOKUP(G1583,dd_color!$A$2:$A$8,dd_color!$B$2:$B$8,"",0)</f>
        <v/>
      </c>
      <c r="B1583" s="41">
        <f>_xlfn.XLOOKUP(_xlfn.XLOOKUP(C1583,'Project Details'!$C$17:$C$10003,'Project Details'!$E$17:$E$10003, "",0),dd_design_raw!$A$2:$A$9997,dd_design_raw!$C$2:$C$9997,"",0)</f>
        <v>0</v>
      </c>
      <c r="C1583" s="16"/>
      <c r="D1583" s="16"/>
      <c r="E1583" s="16" t="str" cm="1">
        <f t="array" ref="E1583">IF(C1583&lt;&gt;"", _xlfn.XLOOKUP(1,((SKUs!$A$2:$A$10001=B1583) * (LEFT(SKUs!$J$2:$J$10001, LEN("Top Rail"))="Top Rail")), SKUs!$J$2:$J$10001,""),"")</f>
        <v/>
      </c>
      <c r="F1583" s="33" t="str" cm="1">
        <f t="array" ref="F1583">_xlfn.XLOOKUP(1,((SKUs!$A$2:$A$10001=cl_unmerged!B1583) * (LEFT(SKUs!$J$2:$J$10001, LEN("Top Rail"))="Top Rail") * (ISNUMBER(SEARCH(A1583,SKUs!$C$2:$C$10001)))), SKUs!$C$2:$C$10001,"")</f>
        <v/>
      </c>
      <c r="G1583" s="16"/>
      <c r="H1583" s="16"/>
      <c r="I1583" s="16"/>
    </row>
    <row r="1584" spans="1:9" x14ac:dyDescent="0.25">
      <c r="A1584" s="41" t="str">
        <f>_xlfn.XLOOKUP(G1584,dd_color!$A$2:$A$8,dd_color!$B$2:$B$8,"",0)</f>
        <v/>
      </c>
      <c r="B1584" s="41">
        <f>_xlfn.XLOOKUP(_xlfn.XLOOKUP(C1584,'Project Details'!$C$17:$C$10003,'Project Details'!$E$17:$E$10003, "",0),dd_design_raw!$A$2:$A$9997,dd_design_raw!$C$2:$C$9997,"",0)</f>
        <v>0</v>
      </c>
      <c r="C1584" s="16"/>
      <c r="D1584" s="16"/>
      <c r="E1584" s="16" t="str" cm="1">
        <f t="array" ref="E1584">IF(C1584&lt;&gt;"", _xlfn.XLOOKUP(1,((SKUs!$A$2:$A$10001=B1584) * (LEFT(SKUs!$J$2:$J$10001, LEN("Top Rail"))="Top Rail")), SKUs!$J$2:$J$10001,""),"")</f>
        <v/>
      </c>
      <c r="F1584" s="33" t="str" cm="1">
        <f t="array" ref="F1584">_xlfn.XLOOKUP(1,((SKUs!$A$2:$A$10001=cl_unmerged!B1584) * (LEFT(SKUs!$J$2:$J$10001, LEN("Top Rail"))="Top Rail") * (ISNUMBER(SEARCH(A1584,SKUs!$C$2:$C$10001)))), SKUs!$C$2:$C$10001,"")</f>
        <v/>
      </c>
      <c r="G1584" s="16"/>
      <c r="H1584" s="16"/>
      <c r="I1584" s="16"/>
    </row>
    <row r="1585" spans="1:9" x14ac:dyDescent="0.25">
      <c r="A1585" s="41" t="str">
        <f>_xlfn.XLOOKUP(G1585,dd_color!$A$2:$A$8,dd_color!$B$2:$B$8,"",0)</f>
        <v/>
      </c>
      <c r="B1585" s="41">
        <f>_xlfn.XLOOKUP(_xlfn.XLOOKUP(C1585,'Project Details'!$C$17:$C$10003,'Project Details'!$E$17:$E$10003, "",0),dd_design_raw!$A$2:$A$9997,dd_design_raw!$C$2:$C$9997,"",0)</f>
        <v>0</v>
      </c>
      <c r="C1585" s="16"/>
      <c r="D1585" s="16"/>
      <c r="E1585" s="16" t="str" cm="1">
        <f t="array" ref="E1585">IF(C1585&lt;&gt;"", _xlfn.XLOOKUP(1,((SKUs!$A$2:$A$10001=B1585) * (LEFT(SKUs!$J$2:$J$10001, LEN("Top Rail"))="Top Rail")), SKUs!$J$2:$J$10001,""),"")</f>
        <v/>
      </c>
      <c r="F1585" s="33" t="str" cm="1">
        <f t="array" ref="F1585">_xlfn.XLOOKUP(1,((SKUs!$A$2:$A$10001=cl_unmerged!B1585) * (LEFT(SKUs!$J$2:$J$10001, LEN("Top Rail"))="Top Rail") * (ISNUMBER(SEARCH(A1585,SKUs!$C$2:$C$10001)))), SKUs!$C$2:$C$10001,"")</f>
        <v/>
      </c>
      <c r="G1585" s="16"/>
      <c r="H1585" s="16"/>
      <c r="I1585" s="16"/>
    </row>
    <row r="1586" spans="1:9" x14ac:dyDescent="0.25">
      <c r="A1586" s="41" t="str">
        <f>_xlfn.XLOOKUP(G1586,dd_color!$A$2:$A$8,dd_color!$B$2:$B$8,"",0)</f>
        <v/>
      </c>
      <c r="B1586" s="41">
        <f>_xlfn.XLOOKUP(_xlfn.XLOOKUP(C1586,'Project Details'!$C$17:$C$10003,'Project Details'!$E$17:$E$10003, "",0),dd_design_raw!$A$2:$A$9997,dd_design_raw!$C$2:$C$9997,"",0)</f>
        <v>0</v>
      </c>
      <c r="C1586" s="16"/>
      <c r="D1586" s="16"/>
      <c r="E1586" s="16" t="str" cm="1">
        <f t="array" ref="E1586">IF(C1586&lt;&gt;"", _xlfn.XLOOKUP(1,((SKUs!$A$2:$A$10001=B1586) * (LEFT(SKUs!$J$2:$J$10001, LEN("Top Rail"))="Top Rail")), SKUs!$J$2:$J$10001,""),"")</f>
        <v/>
      </c>
      <c r="F1586" s="33" t="str" cm="1">
        <f t="array" ref="F1586">_xlfn.XLOOKUP(1,((SKUs!$A$2:$A$10001=cl_unmerged!B1586) * (LEFT(SKUs!$J$2:$J$10001, LEN("Top Rail"))="Top Rail") * (ISNUMBER(SEARCH(A1586,SKUs!$C$2:$C$10001)))), SKUs!$C$2:$C$10001,"")</f>
        <v/>
      </c>
      <c r="G1586" s="16"/>
      <c r="H1586" s="16"/>
      <c r="I1586" s="16"/>
    </row>
    <row r="1587" spans="1:9" ht="13.5" customHeight="1" x14ac:dyDescent="0.25">
      <c r="A1587" s="41" t="str">
        <f>_xlfn.XLOOKUP(G1587,dd_color!$A$2:$A$8,dd_color!$B$2:$B$8,"",0)</f>
        <v/>
      </c>
      <c r="B1587" s="41">
        <f>_xlfn.XLOOKUP(_xlfn.XLOOKUP(C1587,'Project Details'!$C$17:$C$10003,'Project Details'!$E$17:$E$10003, "",0),dd_design_raw!$A$2:$A$9997,dd_design_raw!$C$2:$C$9997,"",0)</f>
        <v>0</v>
      </c>
      <c r="C1587" s="16"/>
      <c r="D1587" s="16"/>
      <c r="E1587" s="16" t="str" cm="1">
        <f t="array" ref="E1587">IF(C1587&lt;&gt;"", _xlfn.XLOOKUP(1,((SKUs!$A$2:$A$10001=B1587) * (LEFT(SKUs!$J$2:$J$10001, LEN("Top Rail"))="Top Rail")), SKUs!$J$2:$J$10001,""),"")</f>
        <v/>
      </c>
      <c r="F1587" s="33" t="str" cm="1">
        <f t="array" ref="F1587">_xlfn.XLOOKUP(1,((SKUs!$A$2:$A$10001=cl_unmerged!B1587) * (LEFT(SKUs!$J$2:$J$10001, LEN("Top Rail"))="Top Rail") * (ISNUMBER(SEARCH(A1587,SKUs!$C$2:$C$10001)))), SKUs!$C$2:$C$10001,"")</f>
        <v/>
      </c>
      <c r="G1587" s="16"/>
      <c r="H1587" s="16"/>
      <c r="I1587" s="16"/>
    </row>
    <row r="1588" spans="1:9" ht="13.5" customHeight="1" x14ac:dyDescent="0.25">
      <c r="A1588" s="41" t="str">
        <f>_xlfn.XLOOKUP(G1588,dd_color!$A$2:$A$8,dd_color!$B$2:$B$8,"",0)</f>
        <v/>
      </c>
      <c r="B1588" s="41">
        <f>_xlfn.XLOOKUP(_xlfn.XLOOKUP(C1588,'Project Details'!$C$17:$C$10003,'Project Details'!$E$17:$E$10003, "",0),dd_design_raw!$A$2:$A$9997,dd_design_raw!$C$2:$C$9997,"",0)</f>
        <v>0</v>
      </c>
      <c r="C1588" s="16"/>
      <c r="D1588" s="16"/>
      <c r="E1588" s="16" t="str" cm="1">
        <f t="array" ref="E1588">IF(C1588&lt;&gt;"", _xlfn.XLOOKUP(1,((SKUs!$A$2:$A$10001=B1588) * (LEFT(SKUs!$J$2:$J$10001, LEN("Top Rail"))="Top Rail")), SKUs!$J$2:$J$10001,""),"")</f>
        <v/>
      </c>
      <c r="F1588" s="33" t="str" cm="1">
        <f t="array" ref="F1588">_xlfn.XLOOKUP(1,((SKUs!$A$2:$A$10001=cl_unmerged!B1588) * (LEFT(SKUs!$J$2:$J$10001, LEN("Top Rail"))="Top Rail") * (ISNUMBER(SEARCH(A1588,SKUs!$C$2:$C$10001)))), SKUs!$C$2:$C$10001,"")</f>
        <v/>
      </c>
      <c r="G1588" s="16"/>
      <c r="H1588" s="16"/>
      <c r="I1588" s="16"/>
    </row>
    <row r="1589" spans="1:9" ht="13.5" customHeight="1" x14ac:dyDescent="0.25">
      <c r="A1589" s="41" t="str">
        <f>_xlfn.XLOOKUP(G1589,dd_color!$A$2:$A$8,dd_color!$B$2:$B$8,"",0)</f>
        <v/>
      </c>
      <c r="B1589" s="41">
        <f>_xlfn.XLOOKUP(_xlfn.XLOOKUP(C1589,'Project Details'!$C$17:$C$10003,'Project Details'!$E$17:$E$10003, "",0),dd_design_raw!$A$2:$A$9997,dd_design_raw!$C$2:$C$9997,"",0)</f>
        <v>0</v>
      </c>
      <c r="C1589" s="16"/>
      <c r="D1589" s="16"/>
      <c r="E1589" s="16" t="str" cm="1">
        <f t="array" ref="E1589">IF(C1589&lt;&gt;"", _xlfn.XLOOKUP(1,((SKUs!$A$2:$A$10001=B1589) * (LEFT(SKUs!$J$2:$J$10001, LEN("Top Rail"))="Top Rail")), SKUs!$J$2:$J$10001,""),"")</f>
        <v/>
      </c>
      <c r="F1589" s="33" t="str" cm="1">
        <f t="array" ref="F1589">_xlfn.XLOOKUP(1,((SKUs!$A$2:$A$10001=cl_unmerged!B1589) * (LEFT(SKUs!$J$2:$J$10001, LEN("Top Rail"))="Top Rail") * (ISNUMBER(SEARCH(A1589,SKUs!$C$2:$C$10001)))), SKUs!$C$2:$C$10001,"")</f>
        <v/>
      </c>
      <c r="G1589" s="16"/>
      <c r="H1589" s="16"/>
      <c r="I1589" s="16"/>
    </row>
    <row r="1590" spans="1:9" ht="13.5" customHeight="1" x14ac:dyDescent="0.25">
      <c r="A1590" s="41" t="str">
        <f>_xlfn.XLOOKUP(G1590,dd_color!$A$2:$A$8,dd_color!$B$2:$B$8,"",0)</f>
        <v/>
      </c>
      <c r="B1590" s="41">
        <f>_xlfn.XLOOKUP(_xlfn.XLOOKUP(C1590,'Project Details'!$C$17:$C$10003,'Project Details'!$E$17:$E$10003, "",0),dd_design_raw!$A$2:$A$9997,dd_design_raw!$C$2:$C$9997,"",0)</f>
        <v>0</v>
      </c>
      <c r="C1590" s="16"/>
      <c r="D1590" s="16"/>
      <c r="E1590" s="16" t="str" cm="1">
        <f t="array" ref="E1590">IF(C1590&lt;&gt;"", _xlfn.XLOOKUP(1,((SKUs!$A$2:$A$10001=B1590) * (LEFT(SKUs!$J$2:$J$10001, LEN("Top Rail"))="Top Rail")), SKUs!$J$2:$J$10001,""),"")</f>
        <v/>
      </c>
      <c r="F1590" s="33" t="str" cm="1">
        <f t="array" ref="F1590">_xlfn.XLOOKUP(1,((SKUs!$A$2:$A$10001=cl_unmerged!B1590) * (LEFT(SKUs!$J$2:$J$10001, LEN("Top Rail"))="Top Rail") * (ISNUMBER(SEARCH(A1590,SKUs!$C$2:$C$10001)))), SKUs!$C$2:$C$10001,"")</f>
        <v/>
      </c>
      <c r="G1590" s="16"/>
      <c r="H1590" s="16"/>
      <c r="I1590" s="16"/>
    </row>
    <row r="1591" spans="1:9" ht="13.5" customHeight="1" x14ac:dyDescent="0.25">
      <c r="A1591" s="41" t="str">
        <f>_xlfn.XLOOKUP(G1591,dd_color!$A$2:$A$8,dd_color!$B$2:$B$8,"",0)</f>
        <v/>
      </c>
      <c r="B1591" s="41">
        <f>_xlfn.XLOOKUP(_xlfn.XLOOKUP(C1591,'Project Details'!$C$17:$C$10003,'Project Details'!$E$17:$E$10003, "",0),dd_design_raw!$A$2:$A$9997,dd_design_raw!$C$2:$C$9997,"",0)</f>
        <v>0</v>
      </c>
      <c r="C1591" s="16"/>
      <c r="D1591" s="16"/>
      <c r="E1591" s="16" t="str" cm="1">
        <f t="array" ref="E1591">IF(C1591&lt;&gt;"", _xlfn.XLOOKUP(1,((SKUs!$A$2:$A$10001=B1591) * (LEFT(SKUs!$J$2:$J$10001, LEN("Top Rail"))="Top Rail")), SKUs!$J$2:$J$10001,""),"")</f>
        <v/>
      </c>
      <c r="F1591" s="33" t="str" cm="1">
        <f t="array" ref="F1591">_xlfn.XLOOKUP(1,((SKUs!$A$2:$A$10001=cl_unmerged!B1591) * (LEFT(SKUs!$J$2:$J$10001, LEN("Top Rail"))="Top Rail") * (ISNUMBER(SEARCH(A1591,SKUs!$C$2:$C$10001)))), SKUs!$C$2:$C$10001,"")</f>
        <v/>
      </c>
      <c r="G1591" s="16"/>
      <c r="H1591" s="16"/>
      <c r="I1591" s="16"/>
    </row>
    <row r="1592" spans="1:9" ht="13.5" customHeight="1" x14ac:dyDescent="0.25">
      <c r="A1592" s="41" t="str">
        <f>_xlfn.XLOOKUP(G1592,dd_color!$A$2:$A$8,dd_color!$B$2:$B$8,"",0)</f>
        <v/>
      </c>
      <c r="B1592" s="41">
        <f>_xlfn.XLOOKUP(_xlfn.XLOOKUP(C1592,'Project Details'!$C$17:$C$10003,'Project Details'!$E$17:$E$10003, "",0),dd_design_raw!$A$2:$A$9997,dd_design_raw!$C$2:$C$9997,"",0)</f>
        <v>0</v>
      </c>
      <c r="C1592" s="16"/>
      <c r="D1592" s="16"/>
      <c r="E1592" s="16" t="str" cm="1">
        <f t="array" ref="E1592">IF(C1592&lt;&gt;"", _xlfn.XLOOKUP(1,((SKUs!$A$2:$A$10001=B1592) * (LEFT(SKUs!$J$2:$J$10001, LEN("Top Rail"))="Top Rail")), SKUs!$J$2:$J$10001,""),"")</f>
        <v/>
      </c>
      <c r="F1592" s="33" t="str" cm="1">
        <f t="array" ref="F1592">_xlfn.XLOOKUP(1,((SKUs!$A$2:$A$10001=cl_unmerged!B1592) * (LEFT(SKUs!$J$2:$J$10001, LEN("Top Rail"))="Top Rail") * (ISNUMBER(SEARCH(A1592,SKUs!$C$2:$C$10001)))), SKUs!$C$2:$C$10001,"")</f>
        <v/>
      </c>
      <c r="G1592" s="16"/>
      <c r="H1592" s="16"/>
      <c r="I1592" s="16"/>
    </row>
    <row r="1593" spans="1:9" ht="13.5" customHeight="1" x14ac:dyDescent="0.25">
      <c r="A1593" s="41" t="str">
        <f>_xlfn.XLOOKUP(G1593,dd_color!$A$2:$A$8,dd_color!$B$2:$B$8,"",0)</f>
        <v/>
      </c>
      <c r="B1593" s="41">
        <f>_xlfn.XLOOKUP(_xlfn.XLOOKUP(C1593,'Project Details'!$C$17:$C$10003,'Project Details'!$E$17:$E$10003, "",0),dd_design_raw!$A$2:$A$9997,dd_design_raw!$C$2:$C$9997,"",0)</f>
        <v>0</v>
      </c>
      <c r="C1593" s="16"/>
      <c r="D1593" s="16"/>
      <c r="E1593" s="16" t="str" cm="1">
        <f t="array" ref="E1593">IF(C1593&lt;&gt;"", _xlfn.XLOOKUP(1,((SKUs!$A$2:$A$10001=B1593) * (LEFT(SKUs!$J$2:$J$10001, LEN("Top Rail"))="Top Rail")), SKUs!$J$2:$J$10001,""),"")</f>
        <v/>
      </c>
      <c r="F1593" s="33" t="str" cm="1">
        <f t="array" ref="F1593">_xlfn.XLOOKUP(1,((SKUs!$A$2:$A$10001=cl_unmerged!B1593) * (LEFT(SKUs!$J$2:$J$10001, LEN("Top Rail"))="Top Rail") * (ISNUMBER(SEARCH(A1593,SKUs!$C$2:$C$10001)))), SKUs!$C$2:$C$10001,"")</f>
        <v/>
      </c>
      <c r="G1593" s="16"/>
      <c r="H1593" s="16"/>
      <c r="I1593" s="16"/>
    </row>
    <row r="1594" spans="1:9" ht="13.5" customHeight="1" x14ac:dyDescent="0.25">
      <c r="A1594" s="41" t="str">
        <f>_xlfn.XLOOKUP(G1594,dd_color!$A$2:$A$8,dd_color!$B$2:$B$8,"",0)</f>
        <v/>
      </c>
      <c r="B1594" s="41">
        <f>_xlfn.XLOOKUP(_xlfn.XLOOKUP(C1594,'Project Details'!$C$17:$C$10003,'Project Details'!$E$17:$E$10003, "",0),dd_design_raw!$A$2:$A$9997,dd_design_raw!$C$2:$C$9997,"",0)</f>
        <v>0</v>
      </c>
      <c r="C1594" s="16"/>
      <c r="D1594" s="16"/>
      <c r="E1594" s="16" t="str" cm="1">
        <f t="array" ref="E1594">IF(C1594&lt;&gt;"", _xlfn.XLOOKUP(1,((SKUs!$A$2:$A$10001=B1594) * (LEFT(SKUs!$J$2:$J$10001, LEN("Top Rail"))="Top Rail")), SKUs!$J$2:$J$10001,""),"")</f>
        <v/>
      </c>
      <c r="F1594" s="33" t="str" cm="1">
        <f t="array" ref="F1594">_xlfn.XLOOKUP(1,((SKUs!$A$2:$A$10001=cl_unmerged!B1594) * (LEFT(SKUs!$J$2:$J$10001, LEN("Top Rail"))="Top Rail") * (ISNUMBER(SEARCH(A1594,SKUs!$C$2:$C$10001)))), SKUs!$C$2:$C$10001,"")</f>
        <v/>
      </c>
      <c r="G1594" s="16"/>
      <c r="H1594" s="16"/>
      <c r="I1594" s="16"/>
    </row>
    <row r="1595" spans="1:9" ht="13.5" customHeight="1" x14ac:dyDescent="0.25">
      <c r="A1595" s="41" t="str">
        <f>_xlfn.XLOOKUP(G1595,dd_color!$A$2:$A$8,dd_color!$B$2:$B$8,"",0)</f>
        <v/>
      </c>
      <c r="B1595" s="41">
        <f>_xlfn.XLOOKUP(_xlfn.XLOOKUP(C1595,'Project Details'!$C$17:$C$10003,'Project Details'!$E$17:$E$10003, "",0),dd_design_raw!$A$2:$A$9997,dd_design_raw!$C$2:$C$9997,"",0)</f>
        <v>0</v>
      </c>
      <c r="C1595" s="16"/>
      <c r="D1595" s="16"/>
      <c r="E1595" s="16" t="str" cm="1">
        <f t="array" ref="E1595">IF(C1595&lt;&gt;"", _xlfn.XLOOKUP(1,((SKUs!$A$2:$A$10001=B1595) * (LEFT(SKUs!$J$2:$J$10001, LEN("Top Rail"))="Top Rail")), SKUs!$J$2:$J$10001,""),"")</f>
        <v/>
      </c>
      <c r="F1595" s="33" t="str" cm="1">
        <f t="array" ref="F1595">_xlfn.XLOOKUP(1,((SKUs!$A$2:$A$10001=cl_unmerged!B1595) * (LEFT(SKUs!$J$2:$J$10001, LEN("Top Rail"))="Top Rail") * (ISNUMBER(SEARCH(A1595,SKUs!$C$2:$C$10001)))), SKUs!$C$2:$C$10001,"")</f>
        <v/>
      </c>
      <c r="G1595" s="16"/>
      <c r="H1595" s="16"/>
      <c r="I1595" s="16"/>
    </row>
    <row r="1596" spans="1:9" ht="13.5" customHeight="1" x14ac:dyDescent="0.25">
      <c r="A1596" s="41" t="str">
        <f>_xlfn.XLOOKUP(G1596,dd_color!$A$2:$A$8,dd_color!$B$2:$B$8,"",0)</f>
        <v/>
      </c>
      <c r="B1596" s="41">
        <f>_xlfn.XLOOKUP(_xlfn.XLOOKUP(C1596,'Project Details'!$C$17:$C$10003,'Project Details'!$E$17:$E$10003, "",0),dd_design_raw!$A$2:$A$9997,dd_design_raw!$C$2:$C$9997,"",0)</f>
        <v>0</v>
      </c>
      <c r="C1596" s="16"/>
      <c r="D1596" s="16"/>
      <c r="E1596" s="16" t="str" cm="1">
        <f t="array" ref="E1596">IF(C1596&lt;&gt;"", _xlfn.XLOOKUP(1,((SKUs!$A$2:$A$10001=B1596) * (LEFT(SKUs!$J$2:$J$10001, LEN("Top Rail"))="Top Rail")), SKUs!$J$2:$J$10001,""),"")</f>
        <v/>
      </c>
      <c r="F1596" s="33" t="str" cm="1">
        <f t="array" ref="F1596">_xlfn.XLOOKUP(1,((SKUs!$A$2:$A$10001=cl_unmerged!B1596) * (LEFT(SKUs!$J$2:$J$10001, LEN("Top Rail"))="Top Rail") * (ISNUMBER(SEARCH(A1596,SKUs!$C$2:$C$10001)))), SKUs!$C$2:$C$10001,"")</f>
        <v/>
      </c>
      <c r="G1596" s="16"/>
      <c r="H1596" s="16"/>
      <c r="I1596" s="16"/>
    </row>
    <row r="1597" spans="1:9" ht="13.5" customHeight="1" x14ac:dyDescent="0.25">
      <c r="A1597" s="41" t="str">
        <f>_xlfn.XLOOKUP(G1597,dd_color!$A$2:$A$8,dd_color!$B$2:$B$8,"",0)</f>
        <v/>
      </c>
      <c r="B1597" s="41">
        <f>_xlfn.XLOOKUP(_xlfn.XLOOKUP(C1597,'Project Details'!$C$17:$C$10003,'Project Details'!$E$17:$E$10003, "",0),dd_design_raw!$A$2:$A$9997,dd_design_raw!$C$2:$C$9997,"",0)</f>
        <v>0</v>
      </c>
      <c r="C1597" s="16"/>
      <c r="D1597" s="16"/>
      <c r="E1597" s="16" t="str" cm="1">
        <f t="array" ref="E1597">IF(C1597&lt;&gt;"", _xlfn.XLOOKUP(1,((SKUs!$A$2:$A$10001=B1597) * (LEFT(SKUs!$J$2:$J$10001, LEN("Top Rail"))="Top Rail")), SKUs!$J$2:$J$10001,""),"")</f>
        <v/>
      </c>
      <c r="F1597" s="33" t="str" cm="1">
        <f t="array" ref="F1597">_xlfn.XLOOKUP(1,((SKUs!$A$2:$A$10001=cl_unmerged!B1597) * (LEFT(SKUs!$J$2:$J$10001, LEN("Top Rail"))="Top Rail") * (ISNUMBER(SEARCH(A1597,SKUs!$C$2:$C$10001)))), SKUs!$C$2:$C$10001,"")</f>
        <v/>
      </c>
      <c r="G1597" s="16"/>
      <c r="H1597" s="16"/>
      <c r="I1597" s="16"/>
    </row>
    <row r="1598" spans="1:9" ht="13.5" customHeight="1" x14ac:dyDescent="0.25">
      <c r="A1598" s="41" t="str">
        <f>_xlfn.XLOOKUP(G1598,dd_color!$A$2:$A$8,dd_color!$B$2:$B$8,"",0)</f>
        <v/>
      </c>
      <c r="B1598" s="41">
        <f>_xlfn.XLOOKUP(_xlfn.XLOOKUP(C1598,'Project Details'!$C$17:$C$10003,'Project Details'!$E$17:$E$10003, "",0),dd_design_raw!$A$2:$A$9997,dd_design_raw!$C$2:$C$9997,"",0)</f>
        <v>0</v>
      </c>
      <c r="C1598" s="16"/>
      <c r="D1598" s="16"/>
      <c r="E1598" s="16" t="str" cm="1">
        <f t="array" ref="E1598">IF(C1598&lt;&gt;"", _xlfn.XLOOKUP(1,((SKUs!$A$2:$A$10001=B1598) * (LEFT(SKUs!$J$2:$J$10001, LEN("Top Rail"))="Top Rail")), SKUs!$J$2:$J$10001,""),"")</f>
        <v/>
      </c>
      <c r="F1598" s="33" t="str" cm="1">
        <f t="array" ref="F1598">_xlfn.XLOOKUP(1,((SKUs!$A$2:$A$10001=cl_unmerged!B1598) * (LEFT(SKUs!$J$2:$J$10001, LEN("Top Rail"))="Top Rail") * (ISNUMBER(SEARCH(A1598,SKUs!$C$2:$C$10001)))), SKUs!$C$2:$C$10001,"")</f>
        <v/>
      </c>
      <c r="G1598" s="16"/>
      <c r="H1598" s="16"/>
      <c r="I1598" s="16"/>
    </row>
    <row r="1599" spans="1:9" ht="13.5" customHeight="1" x14ac:dyDescent="0.25">
      <c r="A1599" s="41" t="str">
        <f>_xlfn.XLOOKUP(G1599,dd_color!$A$2:$A$8,dd_color!$B$2:$B$8,"",0)</f>
        <v/>
      </c>
      <c r="B1599" s="41">
        <f>_xlfn.XLOOKUP(_xlfn.XLOOKUP(C1599,'Project Details'!$C$17:$C$10003,'Project Details'!$E$17:$E$10003, "",0),dd_design_raw!$A$2:$A$9997,dd_design_raw!$C$2:$C$9997,"",0)</f>
        <v>0</v>
      </c>
      <c r="C1599" s="16"/>
      <c r="D1599" s="16"/>
      <c r="E1599" s="16" t="str" cm="1">
        <f t="array" ref="E1599">IF(C1599&lt;&gt;"", _xlfn.XLOOKUP(1,((SKUs!$A$2:$A$10001=B1599) * (LEFT(SKUs!$J$2:$J$10001, LEN("Top Rail"))="Top Rail")), SKUs!$J$2:$J$10001,""),"")</f>
        <v/>
      </c>
      <c r="F1599" s="33" t="str" cm="1">
        <f t="array" ref="F1599">_xlfn.XLOOKUP(1,((SKUs!$A$2:$A$10001=cl_unmerged!B1599) * (LEFT(SKUs!$J$2:$J$10001, LEN("Top Rail"))="Top Rail") * (ISNUMBER(SEARCH(A1599,SKUs!$C$2:$C$10001)))), SKUs!$C$2:$C$10001,"")</f>
        <v/>
      </c>
      <c r="G1599" s="16"/>
      <c r="H1599" s="16"/>
      <c r="I1599" s="16"/>
    </row>
    <row r="1600" spans="1:9" ht="13.5" customHeight="1" x14ac:dyDescent="0.25">
      <c r="A1600" s="41" t="str">
        <f>_xlfn.XLOOKUP(G1600,dd_color!$A$2:$A$8,dd_color!$B$2:$B$8,"",0)</f>
        <v/>
      </c>
      <c r="B1600" s="41">
        <f>_xlfn.XLOOKUP(_xlfn.XLOOKUP(C1600,'Project Details'!$C$17:$C$10003,'Project Details'!$E$17:$E$10003, "",0),dd_design_raw!$A$2:$A$9997,dd_design_raw!$C$2:$C$9997,"",0)</f>
        <v>0</v>
      </c>
      <c r="C1600" s="16"/>
      <c r="D1600" s="16"/>
      <c r="E1600" s="16" t="str" cm="1">
        <f t="array" ref="E1600">IF(C1600&lt;&gt;"", _xlfn.XLOOKUP(1,((SKUs!$A$2:$A$10001=B1600) * (LEFT(SKUs!$J$2:$J$10001, LEN("Top Rail"))="Top Rail")), SKUs!$J$2:$J$10001,""),"")</f>
        <v/>
      </c>
      <c r="F1600" s="33" t="str" cm="1">
        <f t="array" ref="F1600">_xlfn.XLOOKUP(1,((SKUs!$A$2:$A$10001=cl_unmerged!B1600) * (LEFT(SKUs!$J$2:$J$10001, LEN("Top Rail"))="Top Rail") * (ISNUMBER(SEARCH(A1600,SKUs!$C$2:$C$10001)))), SKUs!$C$2:$C$10001,"")</f>
        <v/>
      </c>
      <c r="G1600" s="16"/>
      <c r="H1600" s="16"/>
      <c r="I1600" s="16"/>
    </row>
    <row r="1601" spans="1:9" ht="13.5" customHeight="1" x14ac:dyDescent="0.25">
      <c r="A1601" s="41" t="str">
        <f>_xlfn.XLOOKUP(G1601,dd_color!$A$2:$A$8,dd_color!$B$2:$B$8,"",0)</f>
        <v/>
      </c>
      <c r="B1601" s="41">
        <f>_xlfn.XLOOKUP(_xlfn.XLOOKUP(C1601,'Project Details'!$C$17:$C$10003,'Project Details'!$E$17:$E$10003, "",0),dd_design_raw!$A$2:$A$9997,dd_design_raw!$C$2:$C$9997,"",0)</f>
        <v>0</v>
      </c>
      <c r="C1601" s="16"/>
      <c r="D1601" s="16"/>
      <c r="E1601" s="16" t="str" cm="1">
        <f t="array" ref="E1601">IF(C1601&lt;&gt;"", _xlfn.XLOOKUP(1,((SKUs!$A$2:$A$10001=B1601) * (LEFT(SKUs!$J$2:$J$10001, LEN("Top Rail"))="Top Rail")), SKUs!$J$2:$J$10001,""),"")</f>
        <v/>
      </c>
      <c r="F1601" s="33" t="str" cm="1">
        <f t="array" ref="F1601">_xlfn.XLOOKUP(1,((SKUs!$A$2:$A$10001=cl_unmerged!B1601) * (LEFT(SKUs!$J$2:$J$10001, LEN("Top Rail"))="Top Rail") * (ISNUMBER(SEARCH(A1601,SKUs!$C$2:$C$10001)))), SKUs!$C$2:$C$10001,"")</f>
        <v/>
      </c>
      <c r="G1601" s="16"/>
      <c r="H1601" s="16"/>
      <c r="I1601" s="16"/>
    </row>
    <row r="1602" spans="1:9" ht="13.5" customHeight="1" x14ac:dyDescent="0.25">
      <c r="A1602" s="41" t="str">
        <f>_xlfn.XLOOKUP(G1602,dd_color!$A$2:$A$8,dd_color!$B$2:$B$8,"",0)</f>
        <v/>
      </c>
      <c r="B1602" s="41">
        <f>_xlfn.XLOOKUP(_xlfn.XLOOKUP(C1602,'Project Details'!$C$17:$C$10003,'Project Details'!$E$17:$E$10003, "",0),dd_design_raw!$A$2:$A$9997,dd_design_raw!$C$2:$C$9997,"",0)</f>
        <v>0</v>
      </c>
      <c r="C1602" s="16"/>
      <c r="D1602" s="16"/>
      <c r="E1602" s="16" t="str" cm="1">
        <f t="array" ref="E1602">IF(C1602&lt;&gt;"", _xlfn.XLOOKUP(1,((SKUs!$A$2:$A$10001=B1602) * (LEFT(SKUs!$J$2:$J$10001, LEN("Top Rail"))="Top Rail")), SKUs!$J$2:$J$10001,""),"")</f>
        <v/>
      </c>
      <c r="F1602" s="33" t="str" cm="1">
        <f t="array" ref="F1602">_xlfn.XLOOKUP(1,((SKUs!$A$2:$A$10001=cl_unmerged!B1602) * (LEFT(SKUs!$J$2:$J$10001, LEN("Top Rail"))="Top Rail") * (ISNUMBER(SEARCH(A1602,SKUs!$C$2:$C$10001)))), SKUs!$C$2:$C$10001,"")</f>
        <v/>
      </c>
      <c r="G1602" s="16"/>
      <c r="H1602" s="16"/>
      <c r="I1602" s="16"/>
    </row>
    <row r="1603" spans="1:9" ht="13.5" customHeight="1" x14ac:dyDescent="0.25">
      <c r="A1603" s="41" t="str">
        <f>_xlfn.XLOOKUP(G1603,dd_color!$A$2:$A$8,dd_color!$B$2:$B$8,"",0)</f>
        <v/>
      </c>
      <c r="B1603" s="41">
        <f>_xlfn.XLOOKUP(_xlfn.XLOOKUP(C1603,'Project Details'!$C$17:$C$10003,'Project Details'!$E$17:$E$10003, "",0),dd_design_raw!$A$2:$A$9997,dd_design_raw!$C$2:$C$9997,"",0)</f>
        <v>0</v>
      </c>
      <c r="C1603" s="16"/>
      <c r="D1603" s="16"/>
      <c r="E1603" s="16" t="str" cm="1">
        <f t="array" ref="E1603">IF(C1603&lt;&gt;"", _xlfn.XLOOKUP(1,((SKUs!$A$2:$A$10001=B1603) * (LEFT(SKUs!$J$2:$J$10001, LEN("Top Rail"))="Top Rail")), SKUs!$J$2:$J$10001,""),"")</f>
        <v/>
      </c>
      <c r="F1603" s="33" t="str" cm="1">
        <f t="array" ref="F1603">_xlfn.XLOOKUP(1,((SKUs!$A$2:$A$10001=cl_unmerged!B1603) * (LEFT(SKUs!$J$2:$J$10001, LEN("Top Rail"))="Top Rail") * (ISNUMBER(SEARCH(A1603,SKUs!$C$2:$C$10001)))), SKUs!$C$2:$C$10001,"")</f>
        <v/>
      </c>
      <c r="G1603" s="16"/>
      <c r="H1603" s="16"/>
      <c r="I1603" s="16"/>
    </row>
    <row r="1604" spans="1:9" ht="13.5" customHeight="1" x14ac:dyDescent="0.25">
      <c r="A1604" s="41" t="str">
        <f>_xlfn.XLOOKUP(G1604,dd_color!$A$2:$A$8,dd_color!$B$2:$B$8,"",0)</f>
        <v/>
      </c>
      <c r="B1604" s="41">
        <f>_xlfn.XLOOKUP(_xlfn.XLOOKUP(C1604,'Project Details'!$C$17:$C$10003,'Project Details'!$E$17:$E$10003, "",0),dd_design_raw!$A$2:$A$9997,dd_design_raw!$C$2:$C$9997,"",0)</f>
        <v>0</v>
      </c>
      <c r="C1604" s="16"/>
      <c r="D1604" s="16"/>
      <c r="E1604" s="16" t="str" cm="1">
        <f t="array" ref="E1604">IF(C1604&lt;&gt;"", _xlfn.XLOOKUP(1,((SKUs!$A$2:$A$10001=B1604) * (LEFT(SKUs!$J$2:$J$10001, LEN("Top Rail"))="Top Rail")), SKUs!$J$2:$J$10001,""),"")</f>
        <v/>
      </c>
      <c r="F1604" s="33" t="str" cm="1">
        <f t="array" ref="F1604">_xlfn.XLOOKUP(1,((SKUs!$A$2:$A$10001=cl_unmerged!B1604) * (LEFT(SKUs!$J$2:$J$10001, LEN("Top Rail"))="Top Rail") * (ISNUMBER(SEARCH(A1604,SKUs!$C$2:$C$10001)))), SKUs!$C$2:$C$10001,"")</f>
        <v/>
      </c>
      <c r="G1604" s="16"/>
      <c r="H1604" s="16"/>
      <c r="I1604" s="16"/>
    </row>
    <row r="1605" spans="1:9" ht="13.5" customHeight="1" x14ac:dyDescent="0.25">
      <c r="A1605" s="41" t="str">
        <f>_xlfn.XLOOKUP(G1605,dd_color!$A$2:$A$8,dd_color!$B$2:$B$8,"",0)</f>
        <v/>
      </c>
      <c r="B1605" s="41">
        <f>_xlfn.XLOOKUP(_xlfn.XLOOKUP(C1605,'Project Details'!$C$17:$C$10003,'Project Details'!$E$17:$E$10003, "",0),dd_design_raw!$A$2:$A$9997,dd_design_raw!$C$2:$C$9997,"",0)</f>
        <v>0</v>
      </c>
      <c r="C1605" s="16"/>
      <c r="D1605" s="16"/>
      <c r="E1605" s="16" t="str" cm="1">
        <f t="array" ref="E1605">IF(C1605&lt;&gt;"", _xlfn.XLOOKUP(1,((SKUs!$A$2:$A$10001=B1605) * (LEFT(SKUs!$J$2:$J$10001, LEN("Top Rail"))="Top Rail")), SKUs!$J$2:$J$10001,""),"")</f>
        <v/>
      </c>
      <c r="F1605" s="33" t="str" cm="1">
        <f t="array" ref="F1605">_xlfn.XLOOKUP(1,((SKUs!$A$2:$A$10001=cl_unmerged!B1605) * (LEFT(SKUs!$J$2:$J$10001, LEN("Top Rail"))="Top Rail") * (ISNUMBER(SEARCH(A1605,SKUs!$C$2:$C$10001)))), SKUs!$C$2:$C$10001,"")</f>
        <v/>
      </c>
      <c r="G1605" s="16"/>
      <c r="H1605" s="16"/>
      <c r="I1605" s="16"/>
    </row>
    <row r="1606" spans="1:9" ht="13.5" customHeight="1" x14ac:dyDescent="0.25">
      <c r="A1606" s="41" t="str">
        <f>_xlfn.XLOOKUP(G1606,dd_color!$A$2:$A$8,dd_color!$B$2:$B$8,"",0)</f>
        <v/>
      </c>
      <c r="B1606" s="41">
        <f>_xlfn.XLOOKUP(_xlfn.XLOOKUP(C1606,'Project Details'!$C$17:$C$10003,'Project Details'!$E$17:$E$10003, "",0),dd_design_raw!$A$2:$A$9997,dd_design_raw!$C$2:$C$9997,"",0)</f>
        <v>0</v>
      </c>
      <c r="C1606" s="16"/>
      <c r="D1606" s="16"/>
      <c r="E1606" s="16" t="str" cm="1">
        <f t="array" ref="E1606">IF(C1606&lt;&gt;"", _xlfn.XLOOKUP(1,((SKUs!$A$2:$A$10001=B1606) * (LEFT(SKUs!$J$2:$J$10001, LEN("Top Rail"))="Top Rail")), SKUs!$J$2:$J$10001,""),"")</f>
        <v/>
      </c>
      <c r="F1606" s="33" t="str" cm="1">
        <f t="array" ref="F1606">_xlfn.XLOOKUP(1,((SKUs!$A$2:$A$10001=cl_unmerged!B1606) * (LEFT(SKUs!$J$2:$J$10001, LEN("Top Rail"))="Top Rail") * (ISNUMBER(SEARCH(A1606,SKUs!$C$2:$C$10001)))), SKUs!$C$2:$C$10001,"")</f>
        <v/>
      </c>
      <c r="G1606" s="16"/>
      <c r="H1606" s="16"/>
      <c r="I1606" s="16"/>
    </row>
    <row r="1607" spans="1:9" ht="13.5" customHeight="1" x14ac:dyDescent="0.25">
      <c r="A1607" s="41" t="str">
        <f>_xlfn.XLOOKUP(G1607,dd_color!$A$2:$A$8,dd_color!$B$2:$B$8,"",0)</f>
        <v/>
      </c>
      <c r="B1607" s="41">
        <f>_xlfn.XLOOKUP(_xlfn.XLOOKUP(C1607,'Project Details'!$C$17:$C$10003,'Project Details'!$E$17:$E$10003, "",0),dd_design_raw!$A$2:$A$9997,dd_design_raw!$C$2:$C$9997,"",0)</f>
        <v>0</v>
      </c>
      <c r="C1607" s="16"/>
      <c r="D1607" s="16"/>
      <c r="E1607" s="16" t="str" cm="1">
        <f t="array" ref="E1607">IF(C1607&lt;&gt;"", _xlfn.XLOOKUP(1,((SKUs!$A$2:$A$10001=B1607) * (LEFT(SKUs!$J$2:$J$10001, LEN("Top Rail"))="Top Rail")), SKUs!$J$2:$J$10001,""),"")</f>
        <v/>
      </c>
      <c r="F1607" s="33" t="str" cm="1">
        <f t="array" ref="F1607">_xlfn.XLOOKUP(1,((SKUs!$A$2:$A$10001=cl_unmerged!B1607) * (LEFT(SKUs!$J$2:$J$10001, LEN("Top Rail"))="Top Rail") * (ISNUMBER(SEARCH(A1607,SKUs!$C$2:$C$10001)))), SKUs!$C$2:$C$10001,"")</f>
        <v/>
      </c>
      <c r="G1607" s="16"/>
      <c r="H1607" s="16"/>
      <c r="I1607" s="16"/>
    </row>
    <row r="1608" spans="1:9" ht="13.5" customHeight="1" x14ac:dyDescent="0.25">
      <c r="A1608" s="41" t="str">
        <f>_xlfn.XLOOKUP(G1608,dd_color!$A$2:$A$8,dd_color!$B$2:$B$8,"",0)</f>
        <v/>
      </c>
      <c r="B1608" s="41">
        <f>_xlfn.XLOOKUP(_xlfn.XLOOKUP(C1608,'Project Details'!$C$17:$C$10003,'Project Details'!$E$17:$E$10003, "",0),dd_design_raw!$A$2:$A$9997,dd_design_raw!$C$2:$C$9997,"",0)</f>
        <v>0</v>
      </c>
      <c r="C1608" s="16"/>
      <c r="D1608" s="16"/>
      <c r="E1608" s="16" t="str" cm="1">
        <f t="array" ref="E1608">IF(C1608&lt;&gt;"", _xlfn.XLOOKUP(1,((SKUs!$A$2:$A$10001=B1608) * (LEFT(SKUs!$J$2:$J$10001, LEN("Top Rail"))="Top Rail")), SKUs!$J$2:$J$10001,""),"")</f>
        <v/>
      </c>
      <c r="F1608" s="33" t="str" cm="1">
        <f t="array" ref="F1608">_xlfn.XLOOKUP(1,((SKUs!$A$2:$A$10001=cl_unmerged!B1608) * (LEFT(SKUs!$J$2:$J$10001, LEN("Top Rail"))="Top Rail") * (ISNUMBER(SEARCH(A1608,SKUs!$C$2:$C$10001)))), SKUs!$C$2:$C$10001,"")</f>
        <v/>
      </c>
      <c r="G1608" s="16"/>
      <c r="H1608" s="16"/>
      <c r="I1608" s="16"/>
    </row>
    <row r="1609" spans="1:9" ht="13.5" customHeight="1" x14ac:dyDescent="0.25">
      <c r="A1609" s="41" t="str">
        <f>_xlfn.XLOOKUP(G1609,dd_color!$A$2:$A$8,dd_color!$B$2:$B$8,"",0)</f>
        <v/>
      </c>
      <c r="B1609" s="41">
        <f>_xlfn.XLOOKUP(_xlfn.XLOOKUP(C1609,'Project Details'!$C$17:$C$10003,'Project Details'!$E$17:$E$10003, "",0),dd_design_raw!$A$2:$A$9997,dd_design_raw!$C$2:$C$9997,"",0)</f>
        <v>0</v>
      </c>
      <c r="C1609" s="16"/>
      <c r="D1609" s="16"/>
      <c r="E1609" s="16" t="str" cm="1">
        <f t="array" ref="E1609">IF(C1609&lt;&gt;"", _xlfn.XLOOKUP(1,((SKUs!$A$2:$A$10001=B1609) * (LEFT(SKUs!$J$2:$J$10001, LEN("Top Rail"))="Top Rail")), SKUs!$J$2:$J$10001,""),"")</f>
        <v/>
      </c>
      <c r="F1609" s="33" t="str" cm="1">
        <f t="array" ref="F1609">_xlfn.XLOOKUP(1,((SKUs!$A$2:$A$10001=cl_unmerged!B1609) * (LEFT(SKUs!$J$2:$J$10001, LEN("Top Rail"))="Top Rail") * (ISNUMBER(SEARCH(A1609,SKUs!$C$2:$C$10001)))), SKUs!$C$2:$C$10001,"")</f>
        <v/>
      </c>
      <c r="G1609" s="16"/>
      <c r="H1609" s="16"/>
      <c r="I1609" s="16"/>
    </row>
    <row r="1610" spans="1:9" ht="13.5" customHeight="1" x14ac:dyDescent="0.25">
      <c r="A1610" s="41" t="str">
        <f>_xlfn.XLOOKUP(G1610,dd_color!$A$2:$A$8,dd_color!$B$2:$B$8,"",0)</f>
        <v/>
      </c>
      <c r="B1610" s="41">
        <f>_xlfn.XLOOKUP(_xlfn.XLOOKUP(C1610,'Project Details'!$C$17:$C$10003,'Project Details'!$E$17:$E$10003, "",0),dd_design_raw!$A$2:$A$9997,dd_design_raw!$C$2:$C$9997,"",0)</f>
        <v>0</v>
      </c>
      <c r="C1610" s="16"/>
      <c r="D1610" s="16"/>
      <c r="E1610" s="16" t="str" cm="1">
        <f t="array" ref="E1610">IF(C1610&lt;&gt;"", _xlfn.XLOOKUP(1,((SKUs!$A$2:$A$10001=B1610) * (LEFT(SKUs!$J$2:$J$10001, LEN("Top Rail"))="Top Rail")), SKUs!$J$2:$J$10001,""),"")</f>
        <v/>
      </c>
      <c r="F1610" s="33" t="str" cm="1">
        <f t="array" ref="F1610">_xlfn.XLOOKUP(1,((SKUs!$A$2:$A$10001=cl_unmerged!B1610) * (LEFT(SKUs!$J$2:$J$10001, LEN("Top Rail"))="Top Rail") * (ISNUMBER(SEARCH(A1610,SKUs!$C$2:$C$10001)))), SKUs!$C$2:$C$10001,"")</f>
        <v/>
      </c>
      <c r="G1610" s="16"/>
      <c r="H1610" s="16"/>
      <c r="I1610" s="16"/>
    </row>
    <row r="1611" spans="1:9" ht="13.5" customHeight="1" x14ac:dyDescent="0.25">
      <c r="A1611" s="41" t="str">
        <f>_xlfn.XLOOKUP(G1611,dd_color!$A$2:$A$8,dd_color!$B$2:$B$8,"",0)</f>
        <v/>
      </c>
      <c r="B1611" s="41">
        <f>_xlfn.XLOOKUP(_xlfn.XLOOKUP(C1611,'Project Details'!$C$17:$C$10003,'Project Details'!$E$17:$E$10003, "",0),dd_design_raw!$A$2:$A$9997,dd_design_raw!$C$2:$C$9997,"",0)</f>
        <v>0</v>
      </c>
      <c r="C1611" s="16"/>
      <c r="D1611" s="16"/>
      <c r="E1611" s="16" t="str" cm="1">
        <f t="array" ref="E1611">IF(C1611&lt;&gt;"", _xlfn.XLOOKUP(1,((SKUs!$A$2:$A$10001=B1611) * (LEFT(SKUs!$J$2:$J$10001, LEN("Top Rail"))="Top Rail")), SKUs!$J$2:$J$10001,""),"")</f>
        <v/>
      </c>
      <c r="F1611" s="33" t="str" cm="1">
        <f t="array" ref="F1611">_xlfn.XLOOKUP(1,((SKUs!$A$2:$A$10001=cl_unmerged!B1611) * (LEFT(SKUs!$J$2:$J$10001, LEN("Top Rail"))="Top Rail") * (ISNUMBER(SEARCH(A1611,SKUs!$C$2:$C$10001)))), SKUs!$C$2:$C$10001,"")</f>
        <v/>
      </c>
      <c r="G1611" s="16"/>
      <c r="H1611" s="16"/>
      <c r="I1611" s="16"/>
    </row>
    <row r="1612" spans="1:9" ht="13.5" customHeight="1" x14ac:dyDescent="0.25">
      <c r="A1612" s="41" t="str">
        <f>_xlfn.XLOOKUP(G1612,dd_color!$A$2:$A$8,dd_color!$B$2:$B$8,"",0)</f>
        <v/>
      </c>
      <c r="B1612" s="41">
        <f>_xlfn.XLOOKUP(_xlfn.XLOOKUP(C1612,'Project Details'!$C$17:$C$10003,'Project Details'!$E$17:$E$10003, "",0),dd_design_raw!$A$2:$A$9997,dd_design_raw!$C$2:$C$9997,"",0)</f>
        <v>0</v>
      </c>
      <c r="C1612" s="16"/>
      <c r="D1612" s="16"/>
      <c r="E1612" s="16" t="str" cm="1">
        <f t="array" ref="E1612">IF(C1612&lt;&gt;"", _xlfn.XLOOKUP(1,((SKUs!$A$2:$A$10001=B1612) * (LEFT(SKUs!$J$2:$J$10001, LEN("Top Rail"))="Top Rail")), SKUs!$J$2:$J$10001,""),"")</f>
        <v/>
      </c>
      <c r="F1612" s="33" t="str" cm="1">
        <f t="array" ref="F1612">_xlfn.XLOOKUP(1,((SKUs!$A$2:$A$10001=cl_unmerged!B1612) * (LEFT(SKUs!$J$2:$J$10001, LEN("Top Rail"))="Top Rail") * (ISNUMBER(SEARCH(A1612,SKUs!$C$2:$C$10001)))), SKUs!$C$2:$C$10001,"")</f>
        <v/>
      </c>
      <c r="G1612" s="16"/>
      <c r="H1612" s="16"/>
      <c r="I1612" s="16"/>
    </row>
    <row r="1613" spans="1:9" ht="13.5" customHeight="1" x14ac:dyDescent="0.25">
      <c r="A1613" s="41" t="str">
        <f>_xlfn.XLOOKUP(G1613,dd_color!$A$2:$A$8,dd_color!$B$2:$B$8,"",0)</f>
        <v/>
      </c>
      <c r="B1613" s="41">
        <f>_xlfn.XLOOKUP(_xlfn.XLOOKUP(C1613,'Project Details'!$C$17:$C$10003,'Project Details'!$E$17:$E$10003, "",0),dd_design_raw!$A$2:$A$9997,dd_design_raw!$C$2:$C$9997,"",0)</f>
        <v>0</v>
      </c>
      <c r="C1613" s="16"/>
      <c r="D1613" s="16"/>
      <c r="E1613" s="16" t="str" cm="1">
        <f t="array" ref="E1613">IF(C1613&lt;&gt;"", _xlfn.XLOOKUP(1,((SKUs!$A$2:$A$10001=B1613) * (LEFT(SKUs!$J$2:$J$10001, LEN("Top Rail"))="Top Rail")), SKUs!$J$2:$J$10001,""),"")</f>
        <v/>
      </c>
      <c r="F1613" s="33" t="str" cm="1">
        <f t="array" ref="F1613">_xlfn.XLOOKUP(1,((SKUs!$A$2:$A$10001=cl_unmerged!B1613) * (LEFT(SKUs!$J$2:$J$10001, LEN("Top Rail"))="Top Rail") * (ISNUMBER(SEARCH(A1613,SKUs!$C$2:$C$10001)))), SKUs!$C$2:$C$10001,"")</f>
        <v/>
      </c>
      <c r="G1613" s="16"/>
      <c r="H1613" s="16"/>
      <c r="I1613" s="16"/>
    </row>
    <row r="1614" spans="1:9" ht="13.5" customHeight="1" x14ac:dyDescent="0.25">
      <c r="A1614" s="41" t="str">
        <f>_xlfn.XLOOKUP(G1614,dd_color!$A$2:$A$8,dd_color!$B$2:$B$8,"",0)</f>
        <v/>
      </c>
      <c r="B1614" s="41">
        <f>_xlfn.XLOOKUP(_xlfn.XLOOKUP(C1614,'Project Details'!$C$17:$C$10003,'Project Details'!$E$17:$E$10003, "",0),dd_design_raw!$A$2:$A$9997,dd_design_raw!$C$2:$C$9997,"",0)</f>
        <v>0</v>
      </c>
      <c r="C1614" s="16"/>
      <c r="D1614" s="16"/>
      <c r="E1614" s="16" t="str" cm="1">
        <f t="array" ref="E1614">IF(C1614&lt;&gt;"", _xlfn.XLOOKUP(1,((SKUs!$A$2:$A$10001=B1614) * (LEFT(SKUs!$J$2:$J$10001, LEN("Top Rail"))="Top Rail")), SKUs!$J$2:$J$10001,""),"")</f>
        <v/>
      </c>
      <c r="F1614" s="33" t="str" cm="1">
        <f t="array" ref="F1614">_xlfn.XLOOKUP(1,((SKUs!$A$2:$A$10001=cl_unmerged!B1614) * (LEFT(SKUs!$J$2:$J$10001, LEN("Top Rail"))="Top Rail") * (ISNUMBER(SEARCH(A1614,SKUs!$C$2:$C$10001)))), SKUs!$C$2:$C$10001,"")</f>
        <v/>
      </c>
      <c r="G1614" s="16"/>
      <c r="H1614" s="16"/>
      <c r="I1614" s="16"/>
    </row>
    <row r="1615" spans="1:9" ht="13.5" customHeight="1" x14ac:dyDescent="0.25">
      <c r="A1615" s="41" t="str">
        <f>_xlfn.XLOOKUP(G1615,dd_color!$A$2:$A$8,dd_color!$B$2:$B$8,"",0)</f>
        <v/>
      </c>
      <c r="B1615" s="41">
        <f>_xlfn.XLOOKUP(_xlfn.XLOOKUP(C1615,'Project Details'!$C$17:$C$10003,'Project Details'!$E$17:$E$10003, "",0),dd_design_raw!$A$2:$A$9997,dd_design_raw!$C$2:$C$9997,"",0)</f>
        <v>0</v>
      </c>
      <c r="C1615" s="16"/>
      <c r="D1615" s="16"/>
      <c r="E1615" s="16" t="str" cm="1">
        <f t="array" ref="E1615">IF(C1615&lt;&gt;"", _xlfn.XLOOKUP(1,((SKUs!$A$2:$A$10001=B1615) * (LEFT(SKUs!$J$2:$J$10001, LEN("Top Rail"))="Top Rail")), SKUs!$J$2:$J$10001,""),"")</f>
        <v/>
      </c>
      <c r="F1615" s="33" t="str" cm="1">
        <f t="array" ref="F1615">_xlfn.XLOOKUP(1,((SKUs!$A$2:$A$10001=cl_unmerged!B1615) * (LEFT(SKUs!$J$2:$J$10001, LEN("Top Rail"))="Top Rail") * (ISNUMBER(SEARCH(A1615,SKUs!$C$2:$C$10001)))), SKUs!$C$2:$C$10001,"")</f>
        <v/>
      </c>
      <c r="G1615" s="16"/>
      <c r="H1615" s="16"/>
      <c r="I1615" s="16"/>
    </row>
    <row r="1616" spans="1:9" ht="13.5" customHeight="1" x14ac:dyDescent="0.25">
      <c r="A1616" s="41" t="str">
        <f>_xlfn.XLOOKUP(G1616,dd_color!$A$2:$A$8,dd_color!$B$2:$B$8,"",0)</f>
        <v/>
      </c>
      <c r="B1616" s="41">
        <f>_xlfn.XLOOKUP(_xlfn.XLOOKUP(C1616,'Project Details'!$C$17:$C$10003,'Project Details'!$E$17:$E$10003, "",0),dd_design_raw!$A$2:$A$9997,dd_design_raw!$C$2:$C$9997,"",0)</f>
        <v>0</v>
      </c>
      <c r="C1616" s="16"/>
      <c r="D1616" s="16"/>
      <c r="E1616" s="16" t="str" cm="1">
        <f t="array" ref="E1616">IF(C1616&lt;&gt;"", _xlfn.XLOOKUP(1,((SKUs!$A$2:$A$10001=B1616) * (LEFT(SKUs!$J$2:$J$10001, LEN("Top Rail"))="Top Rail")), SKUs!$J$2:$J$10001,""),"")</f>
        <v/>
      </c>
      <c r="F1616" s="33" t="str" cm="1">
        <f t="array" ref="F1616">_xlfn.XLOOKUP(1,((SKUs!$A$2:$A$10001=cl_unmerged!B1616) * (LEFT(SKUs!$J$2:$J$10001, LEN("Top Rail"))="Top Rail") * (ISNUMBER(SEARCH(A1616,SKUs!$C$2:$C$10001)))), SKUs!$C$2:$C$10001,"")</f>
        <v/>
      </c>
      <c r="G1616" s="16"/>
      <c r="H1616" s="16"/>
      <c r="I1616" s="16"/>
    </row>
    <row r="1617" spans="1:9" ht="13.5" customHeight="1" x14ac:dyDescent="0.25">
      <c r="A1617" s="41" t="str">
        <f>_xlfn.XLOOKUP(G1617,dd_color!$A$2:$A$8,dd_color!$B$2:$B$8,"",0)</f>
        <v/>
      </c>
      <c r="B1617" s="41">
        <f>_xlfn.XLOOKUP(_xlfn.XLOOKUP(C1617,'Project Details'!$C$17:$C$10003,'Project Details'!$E$17:$E$10003, "",0),dd_design_raw!$A$2:$A$9997,dd_design_raw!$C$2:$C$9997,"",0)</f>
        <v>0</v>
      </c>
      <c r="C1617" s="16"/>
      <c r="D1617" s="16"/>
      <c r="E1617" s="16" t="str" cm="1">
        <f t="array" ref="E1617">IF(C1617&lt;&gt;"", _xlfn.XLOOKUP(1,((SKUs!$A$2:$A$10001=B1617) * (LEFT(SKUs!$J$2:$J$10001, LEN("Top Rail"))="Top Rail")), SKUs!$J$2:$J$10001,""),"")</f>
        <v/>
      </c>
      <c r="F1617" s="33" t="str" cm="1">
        <f t="array" ref="F1617">_xlfn.XLOOKUP(1,((SKUs!$A$2:$A$10001=cl_unmerged!B1617) * (LEFT(SKUs!$J$2:$J$10001, LEN("Top Rail"))="Top Rail") * (ISNUMBER(SEARCH(A1617,SKUs!$C$2:$C$10001)))), SKUs!$C$2:$C$10001,"")</f>
        <v/>
      </c>
      <c r="G1617" s="16"/>
      <c r="H1617" s="16"/>
      <c r="I1617" s="16"/>
    </row>
    <row r="1618" spans="1:9" ht="13.5" customHeight="1" x14ac:dyDescent="0.25">
      <c r="A1618" s="41" t="str">
        <f>_xlfn.XLOOKUP(G1618,dd_color!$A$2:$A$8,dd_color!$B$2:$B$8,"",0)</f>
        <v/>
      </c>
      <c r="B1618" s="41">
        <f>_xlfn.XLOOKUP(_xlfn.XLOOKUP(C1618,'Project Details'!$C$17:$C$10003,'Project Details'!$E$17:$E$10003, "",0),dd_design_raw!$A$2:$A$9997,dd_design_raw!$C$2:$C$9997,"",0)</f>
        <v>0</v>
      </c>
      <c r="C1618" s="16"/>
      <c r="D1618" s="16"/>
      <c r="E1618" s="16" t="str" cm="1">
        <f t="array" ref="E1618">IF(C1618&lt;&gt;"", _xlfn.XLOOKUP(1,((SKUs!$A$2:$A$10001=B1618) * (LEFT(SKUs!$J$2:$J$10001, LEN("Top Rail"))="Top Rail")), SKUs!$J$2:$J$10001,""),"")</f>
        <v/>
      </c>
      <c r="F1618" s="33" t="str" cm="1">
        <f t="array" ref="F1618">_xlfn.XLOOKUP(1,((SKUs!$A$2:$A$10001=cl_unmerged!B1618) * (LEFT(SKUs!$J$2:$J$10001, LEN("Top Rail"))="Top Rail") * (ISNUMBER(SEARCH(A1618,SKUs!$C$2:$C$10001)))), SKUs!$C$2:$C$10001,"")</f>
        <v/>
      </c>
      <c r="G1618" s="16"/>
      <c r="H1618" s="16"/>
      <c r="I1618" s="16"/>
    </row>
    <row r="1619" spans="1:9" ht="13.5" customHeight="1" x14ac:dyDescent="0.25">
      <c r="A1619" s="41" t="str">
        <f>_xlfn.XLOOKUP(G1619,dd_color!$A$2:$A$8,dd_color!$B$2:$B$8,"",0)</f>
        <v/>
      </c>
      <c r="B1619" s="41">
        <f>_xlfn.XLOOKUP(_xlfn.XLOOKUP(C1619,'Project Details'!$C$17:$C$10003,'Project Details'!$E$17:$E$10003, "",0),dd_design_raw!$A$2:$A$9997,dd_design_raw!$C$2:$C$9997,"",0)</f>
        <v>0</v>
      </c>
      <c r="C1619" s="16"/>
      <c r="D1619" s="16"/>
      <c r="E1619" s="16" t="str" cm="1">
        <f t="array" ref="E1619">IF(C1619&lt;&gt;"", _xlfn.XLOOKUP(1,((SKUs!$A$2:$A$10001=B1619) * (LEFT(SKUs!$J$2:$J$10001, LEN("Top Rail"))="Top Rail")), SKUs!$J$2:$J$10001,""),"")</f>
        <v/>
      </c>
      <c r="F1619" s="33" t="str" cm="1">
        <f t="array" ref="F1619">_xlfn.XLOOKUP(1,((SKUs!$A$2:$A$10001=cl_unmerged!B1619) * (LEFT(SKUs!$J$2:$J$10001, LEN("Top Rail"))="Top Rail") * (ISNUMBER(SEARCH(A1619,SKUs!$C$2:$C$10001)))), SKUs!$C$2:$C$10001,"")</f>
        <v/>
      </c>
      <c r="G1619" s="16"/>
      <c r="H1619" s="16"/>
      <c r="I1619" s="16"/>
    </row>
    <row r="1620" spans="1:9" ht="13.5" customHeight="1" x14ac:dyDescent="0.25">
      <c r="A1620" s="41" t="str">
        <f>_xlfn.XLOOKUP(G1620,dd_color!$A$2:$A$8,dd_color!$B$2:$B$8,"",0)</f>
        <v/>
      </c>
      <c r="B1620" s="41">
        <f>_xlfn.XLOOKUP(_xlfn.XLOOKUP(C1620,'Project Details'!$C$17:$C$10003,'Project Details'!$E$17:$E$10003, "",0),dd_design_raw!$A$2:$A$9997,dd_design_raw!$C$2:$C$9997,"",0)</f>
        <v>0</v>
      </c>
      <c r="C1620" s="16"/>
      <c r="D1620" s="16"/>
      <c r="E1620" s="16" t="str" cm="1">
        <f t="array" ref="E1620">IF(C1620&lt;&gt;"", _xlfn.XLOOKUP(1,((SKUs!$A$2:$A$10001=B1620) * (LEFT(SKUs!$J$2:$J$10001, LEN("Top Rail"))="Top Rail")), SKUs!$J$2:$J$10001,""),"")</f>
        <v/>
      </c>
      <c r="F1620" s="33" t="str" cm="1">
        <f t="array" ref="F1620">_xlfn.XLOOKUP(1,((SKUs!$A$2:$A$10001=cl_unmerged!B1620) * (LEFT(SKUs!$J$2:$J$10001, LEN("Top Rail"))="Top Rail") * (ISNUMBER(SEARCH(A1620,SKUs!$C$2:$C$10001)))), SKUs!$C$2:$C$10001,"")</f>
        <v/>
      </c>
      <c r="G1620" s="16"/>
      <c r="H1620" s="16"/>
      <c r="I1620" s="16"/>
    </row>
    <row r="1621" spans="1:9" ht="13.5" customHeight="1" x14ac:dyDescent="0.25">
      <c r="A1621" s="41" t="str">
        <f>_xlfn.XLOOKUP(G1621,dd_color!$A$2:$A$8,dd_color!$B$2:$B$8,"",0)</f>
        <v/>
      </c>
      <c r="B1621" s="41">
        <f>_xlfn.XLOOKUP(_xlfn.XLOOKUP(C1621,'Project Details'!$C$17:$C$10003,'Project Details'!$E$17:$E$10003, "",0),dd_design_raw!$A$2:$A$9997,dd_design_raw!$C$2:$C$9997,"",0)</f>
        <v>0</v>
      </c>
      <c r="C1621" s="16"/>
      <c r="D1621" s="16"/>
      <c r="E1621" s="16" t="str" cm="1">
        <f t="array" ref="E1621">IF(C1621&lt;&gt;"", _xlfn.XLOOKUP(1,((SKUs!$A$2:$A$10001=B1621) * (LEFT(SKUs!$J$2:$J$10001, LEN("Top Rail"))="Top Rail")), SKUs!$J$2:$J$10001,""),"")</f>
        <v/>
      </c>
      <c r="F1621" s="33" t="str" cm="1">
        <f t="array" ref="F1621">_xlfn.XLOOKUP(1,((SKUs!$A$2:$A$10001=cl_unmerged!B1621) * (LEFT(SKUs!$J$2:$J$10001, LEN("Top Rail"))="Top Rail") * (ISNUMBER(SEARCH(A1621,SKUs!$C$2:$C$10001)))), SKUs!$C$2:$C$10001,"")</f>
        <v/>
      </c>
      <c r="G1621" s="16"/>
      <c r="H1621" s="16"/>
      <c r="I1621" s="16"/>
    </row>
    <row r="1622" spans="1:9" ht="13.5" customHeight="1" x14ac:dyDescent="0.25">
      <c r="A1622" s="41" t="str">
        <f>_xlfn.XLOOKUP(G1622,dd_color!$A$2:$A$8,dd_color!$B$2:$B$8,"",0)</f>
        <v/>
      </c>
      <c r="B1622" s="41">
        <f>_xlfn.XLOOKUP(_xlfn.XLOOKUP(C1622,'Project Details'!$C$17:$C$10003,'Project Details'!$E$17:$E$10003, "",0),dd_design_raw!$A$2:$A$9997,dd_design_raw!$C$2:$C$9997,"",0)</f>
        <v>0</v>
      </c>
      <c r="C1622" s="16"/>
      <c r="D1622" s="16"/>
      <c r="E1622" s="16" t="str" cm="1">
        <f t="array" ref="E1622">IF(C1622&lt;&gt;"", _xlfn.XLOOKUP(1,((SKUs!$A$2:$A$10001=B1622) * (LEFT(SKUs!$J$2:$J$10001, LEN("Top Rail"))="Top Rail")), SKUs!$J$2:$J$10001,""),"")</f>
        <v/>
      </c>
      <c r="F1622" s="33" t="str" cm="1">
        <f t="array" ref="F1622">_xlfn.XLOOKUP(1,((SKUs!$A$2:$A$10001=cl_unmerged!B1622) * (LEFT(SKUs!$J$2:$J$10001, LEN("Top Rail"))="Top Rail") * (ISNUMBER(SEARCH(A1622,SKUs!$C$2:$C$10001)))), SKUs!$C$2:$C$10001,"")</f>
        <v/>
      </c>
      <c r="G1622" s="16"/>
      <c r="H1622" s="16"/>
      <c r="I1622" s="16"/>
    </row>
    <row r="1623" spans="1:9" ht="13.5" customHeight="1" x14ac:dyDescent="0.25">
      <c r="A1623" s="41" t="str">
        <f>_xlfn.XLOOKUP(G1623,dd_color!$A$2:$A$8,dd_color!$B$2:$B$8,"",0)</f>
        <v/>
      </c>
      <c r="B1623" s="41">
        <f>_xlfn.XLOOKUP(_xlfn.XLOOKUP(C1623,'Project Details'!$C$17:$C$10003,'Project Details'!$E$17:$E$10003, "",0),dd_design_raw!$A$2:$A$9997,dd_design_raw!$C$2:$C$9997,"",0)</f>
        <v>0</v>
      </c>
      <c r="C1623" s="16"/>
      <c r="D1623" s="16"/>
      <c r="E1623" s="16" t="str" cm="1">
        <f t="array" ref="E1623">IF(C1623&lt;&gt;"", _xlfn.XLOOKUP(1,((SKUs!$A$2:$A$10001=B1623) * (LEFT(SKUs!$J$2:$J$10001, LEN("Top Rail"))="Top Rail")), SKUs!$J$2:$J$10001,""),"")</f>
        <v/>
      </c>
      <c r="F1623" s="33" t="str" cm="1">
        <f t="array" ref="F1623">_xlfn.XLOOKUP(1,((SKUs!$A$2:$A$10001=cl_unmerged!B1623) * (LEFT(SKUs!$J$2:$J$10001, LEN("Top Rail"))="Top Rail") * (ISNUMBER(SEARCH(A1623,SKUs!$C$2:$C$10001)))), SKUs!$C$2:$C$10001,"")</f>
        <v/>
      </c>
      <c r="G1623" s="16"/>
      <c r="H1623" s="16"/>
      <c r="I1623" s="16"/>
    </row>
    <row r="1624" spans="1:9" ht="13.5" customHeight="1" x14ac:dyDescent="0.25">
      <c r="A1624" s="41" t="str">
        <f>_xlfn.XLOOKUP(G1624,dd_color!$A$2:$A$8,dd_color!$B$2:$B$8,"",0)</f>
        <v/>
      </c>
      <c r="B1624" s="41">
        <f>_xlfn.XLOOKUP(_xlfn.XLOOKUP(C1624,'Project Details'!$C$17:$C$10003,'Project Details'!$E$17:$E$10003, "",0),dd_design_raw!$A$2:$A$9997,dd_design_raw!$C$2:$C$9997,"",0)</f>
        <v>0</v>
      </c>
      <c r="C1624" s="16"/>
      <c r="D1624" s="16"/>
      <c r="E1624" s="16" t="str" cm="1">
        <f t="array" ref="E1624">IF(C1624&lt;&gt;"", _xlfn.XLOOKUP(1,((SKUs!$A$2:$A$10001=B1624) * (LEFT(SKUs!$J$2:$J$10001, LEN("Top Rail"))="Top Rail")), SKUs!$J$2:$J$10001,""),"")</f>
        <v/>
      </c>
      <c r="F1624" s="33" t="str" cm="1">
        <f t="array" ref="F1624">_xlfn.XLOOKUP(1,((SKUs!$A$2:$A$10001=cl_unmerged!B1624) * (LEFT(SKUs!$J$2:$J$10001, LEN("Top Rail"))="Top Rail") * (ISNUMBER(SEARCH(A1624,SKUs!$C$2:$C$10001)))), SKUs!$C$2:$C$10001,"")</f>
        <v/>
      </c>
      <c r="G1624" s="16"/>
      <c r="H1624" s="16"/>
      <c r="I1624" s="16"/>
    </row>
    <row r="1625" spans="1:9" ht="13.5" customHeight="1" x14ac:dyDescent="0.25">
      <c r="A1625" s="41" t="str">
        <f>_xlfn.XLOOKUP(G1625,dd_color!$A$2:$A$8,dd_color!$B$2:$B$8,"",0)</f>
        <v/>
      </c>
      <c r="B1625" s="41">
        <f>_xlfn.XLOOKUP(_xlfn.XLOOKUP(C1625,'Project Details'!$C$17:$C$10003,'Project Details'!$E$17:$E$10003, "",0),dd_design_raw!$A$2:$A$9997,dd_design_raw!$C$2:$C$9997,"",0)</f>
        <v>0</v>
      </c>
      <c r="C1625" s="16"/>
      <c r="D1625" s="16"/>
      <c r="E1625" s="16" t="str" cm="1">
        <f t="array" ref="E1625">IF(C1625&lt;&gt;"", _xlfn.XLOOKUP(1,((SKUs!$A$2:$A$10001=B1625) * (LEFT(SKUs!$J$2:$J$10001, LEN("Top Rail"))="Top Rail")), SKUs!$J$2:$J$10001,""),"")</f>
        <v/>
      </c>
      <c r="F1625" s="33" t="str" cm="1">
        <f t="array" ref="F1625">_xlfn.XLOOKUP(1,((SKUs!$A$2:$A$10001=cl_unmerged!B1625) * (LEFT(SKUs!$J$2:$J$10001, LEN("Top Rail"))="Top Rail") * (ISNUMBER(SEARCH(A1625,SKUs!$C$2:$C$10001)))), SKUs!$C$2:$C$10001,"")</f>
        <v/>
      </c>
      <c r="G1625" s="16"/>
      <c r="H1625" s="16"/>
      <c r="I1625" s="16"/>
    </row>
    <row r="1626" spans="1:9" ht="13.5" customHeight="1" x14ac:dyDescent="0.25">
      <c r="A1626" s="41" t="str">
        <f>_xlfn.XLOOKUP(G1626,dd_color!$A$2:$A$8,dd_color!$B$2:$B$8,"",0)</f>
        <v/>
      </c>
      <c r="B1626" s="41">
        <f>_xlfn.XLOOKUP(_xlfn.XLOOKUP(C1626,'Project Details'!$C$17:$C$10003,'Project Details'!$E$17:$E$10003, "",0),dd_design_raw!$A$2:$A$9997,dd_design_raw!$C$2:$C$9997,"",0)</f>
        <v>0</v>
      </c>
      <c r="C1626" s="16"/>
      <c r="D1626" s="16"/>
      <c r="E1626" s="16" t="str" cm="1">
        <f t="array" ref="E1626">IF(C1626&lt;&gt;"", _xlfn.XLOOKUP(1,((SKUs!$A$2:$A$10001=B1626) * (LEFT(SKUs!$J$2:$J$10001, LEN("Top Rail"))="Top Rail")), SKUs!$J$2:$J$10001,""),"")</f>
        <v/>
      </c>
      <c r="F1626" s="33" t="str" cm="1">
        <f t="array" ref="F1626">_xlfn.XLOOKUP(1,((SKUs!$A$2:$A$10001=cl_unmerged!B1626) * (LEFT(SKUs!$J$2:$J$10001, LEN("Top Rail"))="Top Rail") * (ISNUMBER(SEARCH(A1626,SKUs!$C$2:$C$10001)))), SKUs!$C$2:$C$10001,"")</f>
        <v/>
      </c>
      <c r="G1626" s="16"/>
      <c r="H1626" s="16"/>
      <c r="I1626" s="16"/>
    </row>
    <row r="1627" spans="1:9" ht="13.5" customHeight="1" x14ac:dyDescent="0.25">
      <c r="A1627" s="41" t="str">
        <f>_xlfn.XLOOKUP(G1627,dd_color!$A$2:$A$8,dd_color!$B$2:$B$8,"",0)</f>
        <v/>
      </c>
      <c r="B1627" s="41">
        <f>_xlfn.XLOOKUP(_xlfn.XLOOKUP(C1627,'Project Details'!$C$17:$C$10003,'Project Details'!$E$17:$E$10003, "",0),dd_design_raw!$A$2:$A$9997,dd_design_raw!$C$2:$C$9997,"",0)</f>
        <v>0</v>
      </c>
      <c r="C1627" s="16"/>
      <c r="D1627" s="16"/>
      <c r="E1627" s="16" t="str" cm="1">
        <f t="array" ref="E1627">IF(C1627&lt;&gt;"", _xlfn.XLOOKUP(1,((SKUs!$A$2:$A$10001=B1627) * (LEFT(SKUs!$J$2:$J$10001, LEN("Top Rail"))="Top Rail")), SKUs!$J$2:$J$10001,""),"")</f>
        <v/>
      </c>
      <c r="F1627" s="33" t="str" cm="1">
        <f t="array" ref="F1627">_xlfn.XLOOKUP(1,((SKUs!$A$2:$A$10001=cl_unmerged!B1627) * (LEFT(SKUs!$J$2:$J$10001, LEN("Top Rail"))="Top Rail") * (ISNUMBER(SEARCH(A1627,SKUs!$C$2:$C$10001)))), SKUs!$C$2:$C$10001,"")</f>
        <v/>
      </c>
      <c r="G1627" s="16"/>
      <c r="H1627" s="16"/>
      <c r="I1627" s="16"/>
    </row>
    <row r="1628" spans="1:9" x14ac:dyDescent="0.25">
      <c r="C1628" s="28" t="s">
        <v>894</v>
      </c>
      <c r="D1628" s="29"/>
      <c r="E1628" s="29"/>
      <c r="F1628" s="29"/>
      <c r="G1628" s="29"/>
      <c r="H1628" s="29"/>
      <c r="I1628" s="30"/>
    </row>
    <row r="1629" spans="1:9" x14ac:dyDescent="0.25">
      <c r="A1629" s="41" t="str">
        <f>_xlfn.XLOOKUP(G1629,dd_color!$A$2:$A$8,dd_color!$B$2:$B$8,"",0)</f>
        <v/>
      </c>
      <c r="B1629" s="41" t="str">
        <f>_xlfn.XLOOKUP(_xlfn.XLOOKUP(C1629,'Project Details'!$C$17:$C$10003,'Project Details'!$E$17:$E$10003, "",0),dd_design_raw!$A$2:$A$9997,dd_design_raw!$C$2:$C$9997,"",0)</f>
        <v/>
      </c>
      <c r="C1629" s="16" t="str" cm="1">
        <f t="array" ref="C1629">IFERROR(_xlfn._xlws.FILTER(calc_rusacc!C15:C65,(calc_rusacc!E15:E65&lt;&gt;"Roll-up Screen") * (calc_rusacc!D15:D65&lt;&gt;"")),"")</f>
        <v/>
      </c>
      <c r="D1629" s="16" t="str" cm="1">
        <f t="array" ref="D1629">IFERROR(_xlfn._xlws.FILTER(calc_rusacc!AL15:AL65,(calc_rusacc!E15:E65&lt;&gt;"Roll-up Screen") * (calc_rusacc!D15:D65&lt;&gt;"")),"")</f>
        <v/>
      </c>
      <c r="E1629" s="16" t="str" cm="1">
        <f t="array" ref="E1629">IF(C1629&lt;&gt;"", _xlfn.XLOOKUP(1,((SKUs!$A$2:$A$10001=B1629) * (LEFT(SKUs!$J$2:$J$10001, LEN("Fix Rail"))="Fix Rail")), SKUs!$J$2:$J$10001,""),"")</f>
        <v/>
      </c>
      <c r="F1629" s="33" t="str" cm="1">
        <f t="array" ref="F1629">_xlfn.XLOOKUP(1,((SKUs!$A$2:$A$10001=cl_unmerged!B1629) * (LEFT(SKUs!$J$2:$J$10001, LEN("Fix Rail"))="Fix Rail") * (ISNUMBER(SEARCH(A1629,SKUs!$C$2:$C$10001)))), SKUs!$C$2:$C$10001,"")</f>
        <v/>
      </c>
      <c r="G1629" s="16" t="str" cm="1">
        <f t="array" ref="G1629">IFERROR(_xlfn._xlws.FILTER(calc_rusacc!G15:G65,(calc_rusacc!E15:E65&lt;&gt;"Roll-up Screen") * (calc_rusacc!D15:D65&lt;&gt;"")),"")</f>
        <v/>
      </c>
      <c r="H1629" s="16" t="str" cm="1">
        <f t="array" ref="H1629">IFERROR(_xlfn._xlws.FILTER(calc_rusacc!AK15:AK65,(calc_rusacc!E15:E65&lt;&gt;"Roll-up Screen") * (calc_rusacc!D15:D65&lt;&gt;"")),"")</f>
        <v/>
      </c>
      <c r="I1629" s="16"/>
    </row>
    <row r="1630" spans="1:9" x14ac:dyDescent="0.25">
      <c r="A1630" s="41" t="str">
        <f>_xlfn.XLOOKUP(G1630,dd_color!$A$2:$A$8,dd_color!$B$2:$B$8,"",0)</f>
        <v/>
      </c>
      <c r="B1630" s="41">
        <f>_xlfn.XLOOKUP(_xlfn.XLOOKUP(C1630,'Project Details'!$C$17:$C$10003,'Project Details'!$E$17:$E$10003, "",0),dd_design_raw!$A$2:$A$9997,dd_design_raw!$C$2:$C$9997,"",0)</f>
        <v>0</v>
      </c>
      <c r="C1630" s="16"/>
      <c r="D1630" s="16"/>
      <c r="E1630" s="16" t="str" cm="1">
        <f t="array" ref="E1630">IF(C1630&lt;&gt;"", _xlfn.XLOOKUP(1,((SKUs!$A$2:$A$10001=B1630) * (LEFT(SKUs!$J$2:$J$10001, LEN("Fix Rail"))="Fix Rail")), SKUs!$J$2:$J$10001,""),"")</f>
        <v/>
      </c>
      <c r="F1630" s="33" t="str" cm="1">
        <f t="array" ref="F1630">_xlfn.XLOOKUP(1,((SKUs!$A$2:$A$10001=cl_unmerged!B1630) * (LEFT(SKUs!$J$2:$J$10001, LEN("Fix Rail"))="Fix Rail") * (ISNUMBER(SEARCH(A1630,SKUs!$C$2:$C$10001)))), SKUs!$C$2:$C$10001,"")</f>
        <v/>
      </c>
      <c r="G1630" s="16"/>
      <c r="H1630" s="16"/>
      <c r="I1630" s="16"/>
    </row>
    <row r="1631" spans="1:9" x14ac:dyDescent="0.25">
      <c r="A1631" s="41" t="str">
        <f>_xlfn.XLOOKUP(G1631,dd_color!$A$2:$A$8,dd_color!$B$2:$B$8,"",0)</f>
        <v/>
      </c>
      <c r="B1631" s="41">
        <f>_xlfn.XLOOKUP(_xlfn.XLOOKUP(C1631,'Project Details'!$C$17:$C$10003,'Project Details'!$E$17:$E$10003, "",0),dd_design_raw!$A$2:$A$9997,dd_design_raw!$C$2:$C$9997,"",0)</f>
        <v>0</v>
      </c>
      <c r="C1631" s="16"/>
      <c r="D1631" s="16"/>
      <c r="E1631" s="16" t="str" cm="1">
        <f t="array" ref="E1631">IF(C1631&lt;&gt;"", _xlfn.XLOOKUP(1,((SKUs!$A$2:$A$10001=B1631) * (LEFT(SKUs!$J$2:$J$10001, LEN("Fix Rail"))="Fix Rail")), SKUs!$J$2:$J$10001,""),"")</f>
        <v/>
      </c>
      <c r="F1631" s="33" t="str" cm="1">
        <f t="array" ref="F1631">_xlfn.XLOOKUP(1,((SKUs!$A$2:$A$10001=cl_unmerged!B1631) * (LEFT(SKUs!$J$2:$J$10001, LEN("Fix Rail"))="Fix Rail") * (ISNUMBER(SEARCH(A1631,SKUs!$C$2:$C$10001)))), SKUs!$C$2:$C$10001,"")</f>
        <v/>
      </c>
      <c r="G1631" s="16"/>
      <c r="H1631" s="16"/>
      <c r="I1631" s="16"/>
    </row>
    <row r="1632" spans="1:9" x14ac:dyDescent="0.25">
      <c r="A1632" s="41" t="str">
        <f>_xlfn.XLOOKUP(G1632,dd_color!$A$2:$A$8,dd_color!$B$2:$B$8,"",0)</f>
        <v/>
      </c>
      <c r="B1632" s="41">
        <f>_xlfn.XLOOKUP(_xlfn.XLOOKUP(C1632,'Project Details'!$C$17:$C$10003,'Project Details'!$E$17:$E$10003, "",0),dd_design_raw!$A$2:$A$9997,dd_design_raw!$C$2:$C$9997,"",0)</f>
        <v>0</v>
      </c>
      <c r="C1632" s="16"/>
      <c r="D1632" s="16"/>
      <c r="E1632" s="16" t="str" cm="1">
        <f t="array" ref="E1632">IF(C1632&lt;&gt;"", _xlfn.XLOOKUP(1,((SKUs!$A$2:$A$10001=B1632) * (LEFT(SKUs!$J$2:$J$10001, LEN("Fix Rail"))="Fix Rail")), SKUs!$J$2:$J$10001,""),"")</f>
        <v/>
      </c>
      <c r="F1632" s="33" t="str" cm="1">
        <f t="array" ref="F1632">_xlfn.XLOOKUP(1,((SKUs!$A$2:$A$10001=cl_unmerged!B1632) * (LEFT(SKUs!$J$2:$J$10001, LEN("Fix Rail"))="Fix Rail") * (ISNUMBER(SEARCH(A1632,SKUs!$C$2:$C$10001)))), SKUs!$C$2:$C$10001,"")</f>
        <v/>
      </c>
      <c r="G1632" s="16"/>
      <c r="H1632" s="16"/>
      <c r="I1632" s="16"/>
    </row>
    <row r="1633" spans="1:9" x14ac:dyDescent="0.25">
      <c r="A1633" s="41" t="str">
        <f>_xlfn.XLOOKUP(G1633,dd_color!$A$2:$A$8,dd_color!$B$2:$B$8,"",0)</f>
        <v/>
      </c>
      <c r="B1633" s="41">
        <f>_xlfn.XLOOKUP(_xlfn.XLOOKUP(C1633,'Project Details'!$C$17:$C$10003,'Project Details'!$E$17:$E$10003, "",0),dd_design_raw!$A$2:$A$9997,dd_design_raw!$C$2:$C$9997,"",0)</f>
        <v>0</v>
      </c>
      <c r="C1633" s="16"/>
      <c r="D1633" s="16"/>
      <c r="E1633" s="16" t="str" cm="1">
        <f t="array" ref="E1633">IF(C1633&lt;&gt;"", _xlfn.XLOOKUP(1,((SKUs!$A$2:$A$10001=B1633) * (LEFT(SKUs!$J$2:$J$10001, LEN("Fix Rail"))="Fix Rail")), SKUs!$J$2:$J$10001,""),"")</f>
        <v/>
      </c>
      <c r="F1633" s="33" t="str" cm="1">
        <f t="array" ref="F1633">_xlfn.XLOOKUP(1,((SKUs!$A$2:$A$10001=cl_unmerged!B1633) * (LEFT(SKUs!$J$2:$J$10001, LEN("Fix Rail"))="Fix Rail") * (ISNUMBER(SEARCH(A1633,SKUs!$C$2:$C$10001)))), SKUs!$C$2:$C$10001,"")</f>
        <v/>
      </c>
      <c r="G1633" s="16"/>
      <c r="H1633" s="16"/>
      <c r="I1633" s="16"/>
    </row>
    <row r="1634" spans="1:9" x14ac:dyDescent="0.25">
      <c r="A1634" s="41" t="str">
        <f>_xlfn.XLOOKUP(G1634,dd_color!$A$2:$A$8,dd_color!$B$2:$B$8,"",0)</f>
        <v/>
      </c>
      <c r="B1634" s="41">
        <f>_xlfn.XLOOKUP(_xlfn.XLOOKUP(C1634,'Project Details'!$C$17:$C$10003,'Project Details'!$E$17:$E$10003, "",0),dd_design_raw!$A$2:$A$9997,dd_design_raw!$C$2:$C$9997,"",0)</f>
        <v>0</v>
      </c>
      <c r="C1634" s="16"/>
      <c r="D1634" s="16"/>
      <c r="E1634" s="16" t="str" cm="1">
        <f t="array" ref="E1634">IF(C1634&lt;&gt;"", _xlfn.XLOOKUP(1,((SKUs!$A$2:$A$10001=B1634) * (LEFT(SKUs!$J$2:$J$10001, LEN("Fix Rail"))="Fix Rail")), SKUs!$J$2:$J$10001,""),"")</f>
        <v/>
      </c>
      <c r="F1634" s="33" t="str" cm="1">
        <f t="array" ref="F1634">_xlfn.XLOOKUP(1,((SKUs!$A$2:$A$10001=cl_unmerged!B1634) * (LEFT(SKUs!$J$2:$J$10001, LEN("Fix Rail"))="Fix Rail") * (ISNUMBER(SEARCH(A1634,SKUs!$C$2:$C$10001)))), SKUs!$C$2:$C$10001,"")</f>
        <v/>
      </c>
      <c r="G1634" s="16"/>
      <c r="H1634" s="16"/>
      <c r="I1634" s="16"/>
    </row>
    <row r="1635" spans="1:9" x14ac:dyDescent="0.25">
      <c r="A1635" s="41" t="str">
        <f>_xlfn.XLOOKUP(G1635,dd_color!$A$2:$A$8,dd_color!$B$2:$B$8,"",0)</f>
        <v/>
      </c>
      <c r="B1635" s="41">
        <f>_xlfn.XLOOKUP(_xlfn.XLOOKUP(C1635,'Project Details'!$C$17:$C$10003,'Project Details'!$E$17:$E$10003, "",0),dd_design_raw!$A$2:$A$9997,dd_design_raw!$C$2:$C$9997,"",0)</f>
        <v>0</v>
      </c>
      <c r="C1635" s="16"/>
      <c r="D1635" s="16"/>
      <c r="E1635" s="16" t="str" cm="1">
        <f t="array" ref="E1635">IF(C1635&lt;&gt;"", _xlfn.XLOOKUP(1,((SKUs!$A$2:$A$10001=B1635) * (LEFT(SKUs!$J$2:$J$10001, LEN("Fix Rail"))="Fix Rail")), SKUs!$J$2:$J$10001,""),"")</f>
        <v/>
      </c>
      <c r="F1635" s="33" t="str" cm="1">
        <f t="array" ref="F1635">_xlfn.XLOOKUP(1,((SKUs!$A$2:$A$10001=cl_unmerged!B1635) * (LEFT(SKUs!$J$2:$J$10001, LEN("Fix Rail"))="Fix Rail") * (ISNUMBER(SEARCH(A1635,SKUs!$C$2:$C$10001)))), SKUs!$C$2:$C$10001,"")</f>
        <v/>
      </c>
      <c r="G1635" s="16"/>
      <c r="H1635" s="16"/>
      <c r="I1635" s="16"/>
    </row>
    <row r="1636" spans="1:9" x14ac:dyDescent="0.25">
      <c r="A1636" s="41" t="str">
        <f>_xlfn.XLOOKUP(G1636,dd_color!$A$2:$A$8,dd_color!$B$2:$B$8,"",0)</f>
        <v/>
      </c>
      <c r="B1636" s="41">
        <f>_xlfn.XLOOKUP(_xlfn.XLOOKUP(C1636,'Project Details'!$C$17:$C$10003,'Project Details'!$E$17:$E$10003, "",0),dd_design_raw!$A$2:$A$9997,dd_design_raw!$C$2:$C$9997,"",0)</f>
        <v>0</v>
      </c>
      <c r="C1636" s="16"/>
      <c r="D1636" s="16"/>
      <c r="E1636" s="16" t="str" cm="1">
        <f t="array" ref="E1636">IF(C1636&lt;&gt;"", _xlfn.XLOOKUP(1,((SKUs!$A$2:$A$10001=B1636) * (LEFT(SKUs!$J$2:$J$10001, LEN("Fix Rail"))="Fix Rail")), SKUs!$J$2:$J$10001,""),"")</f>
        <v/>
      </c>
      <c r="F1636" s="33" t="str" cm="1">
        <f t="array" ref="F1636">_xlfn.XLOOKUP(1,((SKUs!$A$2:$A$10001=cl_unmerged!B1636) * (LEFT(SKUs!$J$2:$J$10001, LEN("Fix Rail"))="Fix Rail") * (ISNUMBER(SEARCH(A1636,SKUs!$C$2:$C$10001)))), SKUs!$C$2:$C$10001,"")</f>
        <v/>
      </c>
      <c r="G1636" s="16"/>
      <c r="H1636" s="16"/>
      <c r="I1636" s="16"/>
    </row>
    <row r="1637" spans="1:9" x14ac:dyDescent="0.25">
      <c r="A1637" s="41" t="str">
        <f>_xlfn.XLOOKUP(G1637,dd_color!$A$2:$A$8,dd_color!$B$2:$B$8,"",0)</f>
        <v/>
      </c>
      <c r="B1637" s="41">
        <f>_xlfn.XLOOKUP(_xlfn.XLOOKUP(C1637,'Project Details'!$C$17:$C$10003,'Project Details'!$E$17:$E$10003, "",0),dd_design_raw!$A$2:$A$9997,dd_design_raw!$C$2:$C$9997,"",0)</f>
        <v>0</v>
      </c>
      <c r="C1637" s="16"/>
      <c r="D1637" s="16"/>
      <c r="E1637" s="16" t="str" cm="1">
        <f t="array" ref="E1637">IF(C1637&lt;&gt;"", _xlfn.XLOOKUP(1,((SKUs!$A$2:$A$10001=B1637) * (LEFT(SKUs!$J$2:$J$10001, LEN("Fix Rail"))="Fix Rail")), SKUs!$J$2:$J$10001,""),"")</f>
        <v/>
      </c>
      <c r="F1637" s="33" t="str" cm="1">
        <f t="array" ref="F1637">_xlfn.XLOOKUP(1,((SKUs!$A$2:$A$10001=cl_unmerged!B1637) * (LEFT(SKUs!$J$2:$J$10001, LEN("Fix Rail"))="Fix Rail") * (ISNUMBER(SEARCH(A1637,SKUs!$C$2:$C$10001)))), SKUs!$C$2:$C$10001,"")</f>
        <v/>
      </c>
      <c r="G1637" s="16"/>
      <c r="H1637" s="16"/>
      <c r="I1637" s="16"/>
    </row>
    <row r="1638" spans="1:9" x14ac:dyDescent="0.25">
      <c r="A1638" s="41" t="str">
        <f>_xlfn.XLOOKUP(G1638,dd_color!$A$2:$A$8,dd_color!$B$2:$B$8,"",0)</f>
        <v/>
      </c>
      <c r="B1638" s="41">
        <f>_xlfn.XLOOKUP(_xlfn.XLOOKUP(C1638,'Project Details'!$C$17:$C$10003,'Project Details'!$E$17:$E$10003, "",0),dd_design_raw!$A$2:$A$9997,dd_design_raw!$C$2:$C$9997,"",0)</f>
        <v>0</v>
      </c>
      <c r="C1638" s="16"/>
      <c r="D1638" s="16"/>
      <c r="E1638" s="16" t="str" cm="1">
        <f t="array" ref="E1638">IF(C1638&lt;&gt;"", _xlfn.XLOOKUP(1,((SKUs!$A$2:$A$10001=B1638) * (LEFT(SKUs!$J$2:$J$10001, LEN("Fix Rail"))="Fix Rail")), SKUs!$J$2:$J$10001,""),"")</f>
        <v/>
      </c>
      <c r="F1638" s="33" t="str" cm="1">
        <f t="array" ref="F1638">_xlfn.XLOOKUP(1,((SKUs!$A$2:$A$10001=cl_unmerged!B1638) * (LEFT(SKUs!$J$2:$J$10001, LEN("Fix Rail"))="Fix Rail") * (ISNUMBER(SEARCH(A1638,SKUs!$C$2:$C$10001)))), SKUs!$C$2:$C$10001,"")</f>
        <v/>
      </c>
      <c r="G1638" s="16"/>
      <c r="H1638" s="16"/>
      <c r="I1638" s="16"/>
    </row>
    <row r="1639" spans="1:9" x14ac:dyDescent="0.25">
      <c r="A1639" s="41" t="str">
        <f>_xlfn.XLOOKUP(G1639,dd_color!$A$2:$A$8,dd_color!$B$2:$B$8,"",0)</f>
        <v/>
      </c>
      <c r="B1639" s="41">
        <f>_xlfn.XLOOKUP(_xlfn.XLOOKUP(C1639,'Project Details'!$C$17:$C$10003,'Project Details'!$E$17:$E$10003, "",0),dd_design_raw!$A$2:$A$9997,dd_design_raw!$C$2:$C$9997,"",0)</f>
        <v>0</v>
      </c>
      <c r="C1639" s="16"/>
      <c r="D1639" s="16"/>
      <c r="E1639" s="16" t="str" cm="1">
        <f t="array" ref="E1639">IF(C1639&lt;&gt;"", _xlfn.XLOOKUP(1,((SKUs!$A$2:$A$10001=B1639) * (LEFT(SKUs!$J$2:$J$10001, LEN("Fix Rail"))="Fix Rail")), SKUs!$J$2:$J$10001,""),"")</f>
        <v/>
      </c>
      <c r="F1639" s="33" t="str" cm="1">
        <f t="array" ref="F1639">_xlfn.XLOOKUP(1,((SKUs!$A$2:$A$10001=cl_unmerged!B1639) * (LEFT(SKUs!$J$2:$J$10001, LEN("Fix Rail"))="Fix Rail") * (ISNUMBER(SEARCH(A1639,SKUs!$C$2:$C$10001)))), SKUs!$C$2:$C$10001,"")</f>
        <v/>
      </c>
      <c r="G1639" s="16"/>
      <c r="H1639" s="16"/>
      <c r="I1639" s="16"/>
    </row>
    <row r="1640" spans="1:9" x14ac:dyDescent="0.25">
      <c r="A1640" s="41" t="str">
        <f>_xlfn.XLOOKUP(G1640,dd_color!$A$2:$A$8,dd_color!$B$2:$B$8,"",0)</f>
        <v/>
      </c>
      <c r="B1640" s="41">
        <f>_xlfn.XLOOKUP(_xlfn.XLOOKUP(C1640,'Project Details'!$C$17:$C$10003,'Project Details'!$E$17:$E$10003, "",0),dd_design_raw!$A$2:$A$9997,dd_design_raw!$C$2:$C$9997,"",0)</f>
        <v>0</v>
      </c>
      <c r="C1640" s="16"/>
      <c r="D1640" s="16"/>
      <c r="E1640" s="16" t="str" cm="1">
        <f t="array" ref="E1640">IF(C1640&lt;&gt;"", _xlfn.XLOOKUP(1,((SKUs!$A$2:$A$10001=B1640) * (LEFT(SKUs!$J$2:$J$10001, LEN("Fix Rail"))="Fix Rail")), SKUs!$J$2:$J$10001,""),"")</f>
        <v/>
      </c>
      <c r="F1640" s="33" t="str" cm="1">
        <f t="array" ref="F1640">_xlfn.XLOOKUP(1,((SKUs!$A$2:$A$10001=cl_unmerged!B1640) * (LEFT(SKUs!$J$2:$J$10001, LEN("Fix Rail"))="Fix Rail") * (ISNUMBER(SEARCH(A1640,SKUs!$C$2:$C$10001)))), SKUs!$C$2:$C$10001,"")</f>
        <v/>
      </c>
      <c r="G1640" s="16"/>
      <c r="H1640" s="16"/>
      <c r="I1640" s="16"/>
    </row>
    <row r="1641" spans="1:9" x14ac:dyDescent="0.25">
      <c r="A1641" s="41" t="str">
        <f>_xlfn.XLOOKUP(G1641,dd_color!$A$2:$A$8,dd_color!$B$2:$B$8,"",0)</f>
        <v/>
      </c>
      <c r="B1641" s="41">
        <f>_xlfn.XLOOKUP(_xlfn.XLOOKUP(C1641,'Project Details'!$C$17:$C$10003,'Project Details'!$E$17:$E$10003, "",0),dd_design_raw!$A$2:$A$9997,dd_design_raw!$C$2:$C$9997,"",0)</f>
        <v>0</v>
      </c>
      <c r="C1641" s="16"/>
      <c r="D1641" s="16"/>
      <c r="E1641" s="16" t="str" cm="1">
        <f t="array" ref="E1641">IF(C1641&lt;&gt;"", _xlfn.XLOOKUP(1,((SKUs!$A$2:$A$10001=B1641) * (LEFT(SKUs!$J$2:$J$10001, LEN("Fix Rail"))="Fix Rail")), SKUs!$J$2:$J$10001,""),"")</f>
        <v/>
      </c>
      <c r="F1641" s="33" t="str" cm="1">
        <f t="array" ref="F1641">_xlfn.XLOOKUP(1,((SKUs!$A$2:$A$10001=cl_unmerged!B1641) * (LEFT(SKUs!$J$2:$J$10001, LEN("Fix Rail"))="Fix Rail") * (ISNUMBER(SEARCH(A1641,SKUs!$C$2:$C$10001)))), SKUs!$C$2:$C$10001,"")</f>
        <v/>
      </c>
      <c r="G1641" s="16"/>
      <c r="H1641" s="16"/>
      <c r="I1641" s="16"/>
    </row>
    <row r="1642" spans="1:9" x14ac:dyDescent="0.25">
      <c r="A1642" s="41" t="str">
        <f>_xlfn.XLOOKUP(G1642,dd_color!$A$2:$A$8,dd_color!$B$2:$B$8,"",0)</f>
        <v/>
      </c>
      <c r="B1642" s="41">
        <f>_xlfn.XLOOKUP(_xlfn.XLOOKUP(C1642,'Project Details'!$C$17:$C$10003,'Project Details'!$E$17:$E$10003, "",0),dd_design_raw!$A$2:$A$9997,dd_design_raw!$C$2:$C$9997,"",0)</f>
        <v>0</v>
      </c>
      <c r="C1642" s="16"/>
      <c r="D1642" s="16"/>
      <c r="E1642" s="16" t="str" cm="1">
        <f t="array" ref="E1642">IF(C1642&lt;&gt;"", _xlfn.XLOOKUP(1,((SKUs!$A$2:$A$10001=B1642) * (LEFT(SKUs!$J$2:$J$10001, LEN("Fix Rail"))="Fix Rail")), SKUs!$J$2:$J$10001,""),"")</f>
        <v/>
      </c>
      <c r="F1642" s="33" t="str" cm="1">
        <f t="array" ref="F1642">_xlfn.XLOOKUP(1,((SKUs!$A$2:$A$10001=cl_unmerged!B1642) * (LEFT(SKUs!$J$2:$J$10001, LEN("Fix Rail"))="Fix Rail") * (ISNUMBER(SEARCH(A1642,SKUs!$C$2:$C$10001)))), SKUs!$C$2:$C$10001,"")</f>
        <v/>
      </c>
      <c r="G1642" s="16"/>
      <c r="H1642" s="16"/>
      <c r="I1642" s="16"/>
    </row>
    <row r="1643" spans="1:9" x14ac:dyDescent="0.25">
      <c r="A1643" s="41" t="str">
        <f>_xlfn.XLOOKUP(G1643,dd_color!$A$2:$A$8,dd_color!$B$2:$B$8,"",0)</f>
        <v/>
      </c>
      <c r="B1643" s="41">
        <f>_xlfn.XLOOKUP(_xlfn.XLOOKUP(C1643,'Project Details'!$C$17:$C$10003,'Project Details'!$E$17:$E$10003, "",0),dd_design_raw!$A$2:$A$9997,dd_design_raw!$C$2:$C$9997,"",0)</f>
        <v>0</v>
      </c>
      <c r="C1643" s="16"/>
      <c r="D1643" s="16"/>
      <c r="E1643" s="16" t="str" cm="1">
        <f t="array" ref="E1643">IF(C1643&lt;&gt;"", _xlfn.XLOOKUP(1,((SKUs!$A$2:$A$10001=B1643) * (LEFT(SKUs!$J$2:$J$10001, LEN("Fix Rail"))="Fix Rail")), SKUs!$J$2:$J$10001,""),"")</f>
        <v/>
      </c>
      <c r="F1643" s="33" t="str" cm="1">
        <f t="array" ref="F1643">_xlfn.XLOOKUP(1,((SKUs!$A$2:$A$10001=cl_unmerged!B1643) * (LEFT(SKUs!$J$2:$J$10001, LEN("Fix Rail"))="Fix Rail") * (ISNUMBER(SEARCH(A1643,SKUs!$C$2:$C$10001)))), SKUs!$C$2:$C$10001,"")</f>
        <v/>
      </c>
      <c r="G1643" s="16"/>
      <c r="H1643" s="16"/>
      <c r="I1643" s="16"/>
    </row>
    <row r="1644" spans="1:9" x14ac:dyDescent="0.25">
      <c r="A1644" s="41" t="str">
        <f>_xlfn.XLOOKUP(G1644,dd_color!$A$2:$A$8,dd_color!$B$2:$B$8,"",0)</f>
        <v/>
      </c>
      <c r="B1644" s="41">
        <f>_xlfn.XLOOKUP(_xlfn.XLOOKUP(C1644,'Project Details'!$C$17:$C$10003,'Project Details'!$E$17:$E$10003, "",0),dd_design_raw!$A$2:$A$9997,dd_design_raw!$C$2:$C$9997,"",0)</f>
        <v>0</v>
      </c>
      <c r="C1644" s="16"/>
      <c r="D1644" s="16"/>
      <c r="E1644" s="16" t="str" cm="1">
        <f t="array" ref="E1644">IF(C1644&lt;&gt;"", _xlfn.XLOOKUP(1,((SKUs!$A$2:$A$10001=B1644) * (LEFT(SKUs!$J$2:$J$10001, LEN("Fix Rail"))="Fix Rail")), SKUs!$J$2:$J$10001,""),"")</f>
        <v/>
      </c>
      <c r="F1644" s="33" t="str" cm="1">
        <f t="array" ref="F1644">_xlfn.XLOOKUP(1,((SKUs!$A$2:$A$10001=cl_unmerged!B1644) * (LEFT(SKUs!$J$2:$J$10001, LEN("Fix Rail"))="Fix Rail") * (ISNUMBER(SEARCH(A1644,SKUs!$C$2:$C$10001)))), SKUs!$C$2:$C$10001,"")</f>
        <v/>
      </c>
      <c r="G1644" s="16"/>
      <c r="H1644" s="16"/>
      <c r="I1644" s="16"/>
    </row>
    <row r="1645" spans="1:9" x14ac:dyDescent="0.25">
      <c r="A1645" s="41" t="str">
        <f>_xlfn.XLOOKUP(G1645,dd_color!$A$2:$A$8,dd_color!$B$2:$B$8,"",0)</f>
        <v/>
      </c>
      <c r="B1645" s="41">
        <f>_xlfn.XLOOKUP(_xlfn.XLOOKUP(C1645,'Project Details'!$C$17:$C$10003,'Project Details'!$E$17:$E$10003, "",0),dd_design_raw!$A$2:$A$9997,dd_design_raw!$C$2:$C$9997,"",0)</f>
        <v>0</v>
      </c>
      <c r="C1645" s="16"/>
      <c r="D1645" s="16"/>
      <c r="E1645" s="16" t="str" cm="1">
        <f t="array" ref="E1645">IF(C1645&lt;&gt;"", _xlfn.XLOOKUP(1,((SKUs!$A$2:$A$10001=B1645) * (LEFT(SKUs!$J$2:$J$10001, LEN("Fix Rail"))="Fix Rail")), SKUs!$J$2:$J$10001,""),"")</f>
        <v/>
      </c>
      <c r="F1645" s="33" t="str" cm="1">
        <f t="array" ref="F1645">_xlfn.XLOOKUP(1,((SKUs!$A$2:$A$10001=cl_unmerged!B1645) * (LEFT(SKUs!$J$2:$J$10001, LEN("Fix Rail"))="Fix Rail") * (ISNUMBER(SEARCH(A1645,SKUs!$C$2:$C$10001)))), SKUs!$C$2:$C$10001,"")</f>
        <v/>
      </c>
      <c r="G1645" s="16"/>
      <c r="H1645" s="16"/>
      <c r="I1645" s="16"/>
    </row>
    <row r="1646" spans="1:9" x14ac:dyDescent="0.25">
      <c r="A1646" s="41" t="str">
        <f>_xlfn.XLOOKUP(G1646,dd_color!$A$2:$A$8,dd_color!$B$2:$B$8,"",0)</f>
        <v/>
      </c>
      <c r="B1646" s="41">
        <f>_xlfn.XLOOKUP(_xlfn.XLOOKUP(C1646,'Project Details'!$C$17:$C$10003,'Project Details'!$E$17:$E$10003, "",0),dd_design_raw!$A$2:$A$9997,dd_design_raw!$C$2:$C$9997,"",0)</f>
        <v>0</v>
      </c>
      <c r="C1646" s="16"/>
      <c r="D1646" s="16"/>
      <c r="E1646" s="16" t="str" cm="1">
        <f t="array" ref="E1646">IF(C1646&lt;&gt;"", _xlfn.XLOOKUP(1,((SKUs!$A$2:$A$10001=B1646) * (LEFT(SKUs!$J$2:$J$10001, LEN("Fix Rail"))="Fix Rail")), SKUs!$J$2:$J$10001,""),"")</f>
        <v/>
      </c>
      <c r="F1646" s="33" t="str" cm="1">
        <f t="array" ref="F1646">_xlfn.XLOOKUP(1,((SKUs!$A$2:$A$10001=cl_unmerged!B1646) * (LEFT(SKUs!$J$2:$J$10001, LEN("Fix Rail"))="Fix Rail") * (ISNUMBER(SEARCH(A1646,SKUs!$C$2:$C$10001)))), SKUs!$C$2:$C$10001,"")</f>
        <v/>
      </c>
      <c r="G1646" s="16"/>
      <c r="H1646" s="16"/>
      <c r="I1646" s="16"/>
    </row>
    <row r="1647" spans="1:9" x14ac:dyDescent="0.25">
      <c r="A1647" s="41" t="str">
        <f>_xlfn.XLOOKUP(G1647,dd_color!$A$2:$A$8,dd_color!$B$2:$B$8,"",0)</f>
        <v/>
      </c>
      <c r="B1647" s="41">
        <f>_xlfn.XLOOKUP(_xlfn.XLOOKUP(C1647,'Project Details'!$C$17:$C$10003,'Project Details'!$E$17:$E$10003, "",0),dd_design_raw!$A$2:$A$9997,dd_design_raw!$C$2:$C$9997,"",0)</f>
        <v>0</v>
      </c>
      <c r="C1647" s="16"/>
      <c r="D1647" s="16"/>
      <c r="E1647" s="16" t="str" cm="1">
        <f t="array" ref="E1647">IF(C1647&lt;&gt;"", _xlfn.XLOOKUP(1,((SKUs!$A$2:$A$10001=B1647) * (LEFT(SKUs!$J$2:$J$10001, LEN("Fix Rail"))="Fix Rail")), SKUs!$J$2:$J$10001,""),"")</f>
        <v/>
      </c>
      <c r="F1647" s="33" t="str" cm="1">
        <f t="array" ref="F1647">_xlfn.XLOOKUP(1,((SKUs!$A$2:$A$10001=cl_unmerged!B1647) * (LEFT(SKUs!$J$2:$J$10001, LEN("Fix Rail"))="Fix Rail") * (ISNUMBER(SEARCH(A1647,SKUs!$C$2:$C$10001)))), SKUs!$C$2:$C$10001,"")</f>
        <v/>
      </c>
      <c r="G1647" s="16"/>
      <c r="H1647" s="16"/>
      <c r="I1647" s="16"/>
    </row>
    <row r="1648" spans="1:9" ht="13.5" customHeight="1" x14ac:dyDescent="0.25">
      <c r="A1648" s="41" t="str">
        <f>_xlfn.XLOOKUP(G1648,dd_color!$A$2:$A$8,dd_color!$B$2:$B$8,"",0)</f>
        <v/>
      </c>
      <c r="B1648" s="41">
        <f>_xlfn.XLOOKUP(_xlfn.XLOOKUP(C1648,'Project Details'!$C$17:$C$10003,'Project Details'!$E$17:$E$10003, "",0),dd_design_raw!$A$2:$A$9997,dd_design_raw!$C$2:$C$9997,"",0)</f>
        <v>0</v>
      </c>
      <c r="C1648" s="16"/>
      <c r="D1648" s="16"/>
      <c r="E1648" s="16" t="str" cm="1">
        <f t="array" ref="E1648">IF(C1648&lt;&gt;"", _xlfn.XLOOKUP(1,((SKUs!$A$2:$A$10001=B1648) * (LEFT(SKUs!$J$2:$J$10001, LEN("Fix Rail"))="Fix Rail")), SKUs!$J$2:$J$10001,""),"")</f>
        <v/>
      </c>
      <c r="F1648" s="33" t="str" cm="1">
        <f t="array" ref="F1648">_xlfn.XLOOKUP(1,((SKUs!$A$2:$A$10001=cl_unmerged!B1648) * (LEFT(SKUs!$J$2:$J$10001, LEN("Fix Rail"))="Fix Rail") * (ISNUMBER(SEARCH(A1648,SKUs!$C$2:$C$10001)))), SKUs!$C$2:$C$10001,"")</f>
        <v/>
      </c>
      <c r="G1648" s="16"/>
      <c r="H1648" s="16"/>
      <c r="I1648" s="16"/>
    </row>
    <row r="1649" spans="1:9" ht="13.5" customHeight="1" x14ac:dyDescent="0.25">
      <c r="A1649" s="41" t="str">
        <f>_xlfn.XLOOKUP(G1649,dd_color!$A$2:$A$8,dd_color!$B$2:$B$8,"",0)</f>
        <v/>
      </c>
      <c r="B1649" s="41">
        <f>_xlfn.XLOOKUP(_xlfn.XLOOKUP(C1649,'Project Details'!$C$17:$C$10003,'Project Details'!$E$17:$E$10003, "",0),dd_design_raw!$A$2:$A$9997,dd_design_raw!$C$2:$C$9997,"",0)</f>
        <v>0</v>
      </c>
      <c r="C1649" s="16"/>
      <c r="D1649" s="16"/>
      <c r="E1649" s="16" t="str" cm="1">
        <f t="array" ref="E1649">IF(C1649&lt;&gt;"", _xlfn.XLOOKUP(1,((SKUs!$A$2:$A$10001=B1649) * (LEFT(SKUs!$J$2:$J$10001, LEN("Fix Rail"))="Fix Rail")), SKUs!$J$2:$J$10001,""),"")</f>
        <v/>
      </c>
      <c r="F1649" s="33" t="str" cm="1">
        <f t="array" ref="F1649">_xlfn.XLOOKUP(1,((SKUs!$A$2:$A$10001=cl_unmerged!B1649) * (LEFT(SKUs!$J$2:$J$10001, LEN("Fix Rail"))="Fix Rail") * (ISNUMBER(SEARCH(A1649,SKUs!$C$2:$C$10001)))), SKUs!$C$2:$C$10001,"")</f>
        <v/>
      </c>
      <c r="G1649" s="16"/>
      <c r="H1649" s="16"/>
      <c r="I1649" s="16"/>
    </row>
    <row r="1650" spans="1:9" ht="13.5" customHeight="1" x14ac:dyDescent="0.25">
      <c r="A1650" s="41" t="str">
        <f>_xlfn.XLOOKUP(G1650,dd_color!$A$2:$A$8,dd_color!$B$2:$B$8,"",0)</f>
        <v/>
      </c>
      <c r="B1650" s="41">
        <f>_xlfn.XLOOKUP(_xlfn.XLOOKUP(C1650,'Project Details'!$C$17:$C$10003,'Project Details'!$E$17:$E$10003, "",0),dd_design_raw!$A$2:$A$9997,dd_design_raw!$C$2:$C$9997,"",0)</f>
        <v>0</v>
      </c>
      <c r="C1650" s="16"/>
      <c r="D1650" s="16"/>
      <c r="E1650" s="16" t="str" cm="1">
        <f t="array" ref="E1650">IF(C1650&lt;&gt;"", _xlfn.XLOOKUP(1,((SKUs!$A$2:$A$10001=B1650) * (LEFT(SKUs!$J$2:$J$10001, LEN("Fix Rail"))="Fix Rail")), SKUs!$J$2:$J$10001,""),"")</f>
        <v/>
      </c>
      <c r="F1650" s="33" t="str" cm="1">
        <f t="array" ref="F1650">_xlfn.XLOOKUP(1,((SKUs!$A$2:$A$10001=cl_unmerged!B1650) * (LEFT(SKUs!$J$2:$J$10001, LEN("Fix Rail"))="Fix Rail") * (ISNUMBER(SEARCH(A1650,SKUs!$C$2:$C$10001)))), SKUs!$C$2:$C$10001,"")</f>
        <v/>
      </c>
      <c r="G1650" s="16"/>
      <c r="H1650" s="16"/>
      <c r="I1650" s="16"/>
    </row>
    <row r="1651" spans="1:9" ht="13.5" customHeight="1" x14ac:dyDescent="0.25">
      <c r="A1651" s="41" t="str">
        <f>_xlfn.XLOOKUP(G1651,dd_color!$A$2:$A$8,dd_color!$B$2:$B$8,"",0)</f>
        <v/>
      </c>
      <c r="B1651" s="41">
        <f>_xlfn.XLOOKUP(_xlfn.XLOOKUP(C1651,'Project Details'!$C$17:$C$10003,'Project Details'!$E$17:$E$10003, "",0),dd_design_raw!$A$2:$A$9997,dd_design_raw!$C$2:$C$9997,"",0)</f>
        <v>0</v>
      </c>
      <c r="C1651" s="16"/>
      <c r="D1651" s="16"/>
      <c r="E1651" s="16" t="str" cm="1">
        <f t="array" ref="E1651">IF(C1651&lt;&gt;"", _xlfn.XLOOKUP(1,((SKUs!$A$2:$A$10001=B1651) * (LEFT(SKUs!$J$2:$J$10001, LEN("Fix Rail"))="Fix Rail")), SKUs!$J$2:$J$10001,""),"")</f>
        <v/>
      </c>
      <c r="F1651" s="33" t="str" cm="1">
        <f t="array" ref="F1651">_xlfn.XLOOKUP(1,((SKUs!$A$2:$A$10001=cl_unmerged!B1651) * (LEFT(SKUs!$J$2:$J$10001, LEN("Fix Rail"))="Fix Rail") * (ISNUMBER(SEARCH(A1651,SKUs!$C$2:$C$10001)))), SKUs!$C$2:$C$10001,"")</f>
        <v/>
      </c>
      <c r="G1651" s="16"/>
      <c r="H1651" s="16"/>
      <c r="I1651" s="16"/>
    </row>
    <row r="1652" spans="1:9" ht="13.5" customHeight="1" x14ac:dyDescent="0.25">
      <c r="A1652" s="41" t="str">
        <f>_xlfn.XLOOKUP(G1652,dd_color!$A$2:$A$8,dd_color!$B$2:$B$8,"",0)</f>
        <v/>
      </c>
      <c r="B1652" s="41">
        <f>_xlfn.XLOOKUP(_xlfn.XLOOKUP(C1652,'Project Details'!$C$17:$C$10003,'Project Details'!$E$17:$E$10003, "",0),dd_design_raw!$A$2:$A$9997,dd_design_raw!$C$2:$C$9997,"",0)</f>
        <v>0</v>
      </c>
      <c r="C1652" s="16"/>
      <c r="D1652" s="16"/>
      <c r="E1652" s="16" t="str" cm="1">
        <f t="array" ref="E1652">IF(C1652&lt;&gt;"", _xlfn.XLOOKUP(1,((SKUs!$A$2:$A$10001=B1652) * (LEFT(SKUs!$J$2:$J$10001, LEN("Fix Rail"))="Fix Rail")), SKUs!$J$2:$J$10001,""),"")</f>
        <v/>
      </c>
      <c r="F1652" s="33" t="str" cm="1">
        <f t="array" ref="F1652">_xlfn.XLOOKUP(1,((SKUs!$A$2:$A$10001=cl_unmerged!B1652) * (LEFT(SKUs!$J$2:$J$10001, LEN("Fix Rail"))="Fix Rail") * (ISNUMBER(SEARCH(A1652,SKUs!$C$2:$C$10001)))), SKUs!$C$2:$C$10001,"")</f>
        <v/>
      </c>
      <c r="G1652" s="16"/>
      <c r="H1652" s="16"/>
      <c r="I1652" s="16"/>
    </row>
    <row r="1653" spans="1:9" ht="13.5" customHeight="1" x14ac:dyDescent="0.25">
      <c r="A1653" s="41" t="str">
        <f>_xlfn.XLOOKUP(G1653,dd_color!$A$2:$A$8,dd_color!$B$2:$B$8,"",0)</f>
        <v/>
      </c>
      <c r="B1653" s="41">
        <f>_xlfn.XLOOKUP(_xlfn.XLOOKUP(C1653,'Project Details'!$C$17:$C$10003,'Project Details'!$E$17:$E$10003, "",0),dd_design_raw!$A$2:$A$9997,dd_design_raw!$C$2:$C$9997,"",0)</f>
        <v>0</v>
      </c>
      <c r="C1653" s="16"/>
      <c r="D1653" s="16"/>
      <c r="E1653" s="16" t="str" cm="1">
        <f t="array" ref="E1653">IF(C1653&lt;&gt;"", _xlfn.XLOOKUP(1,((SKUs!$A$2:$A$10001=B1653) * (LEFT(SKUs!$J$2:$J$10001, LEN("Fix Rail"))="Fix Rail")), SKUs!$J$2:$J$10001,""),"")</f>
        <v/>
      </c>
      <c r="F1653" s="33" t="str" cm="1">
        <f t="array" ref="F1653">_xlfn.XLOOKUP(1,((SKUs!$A$2:$A$10001=cl_unmerged!B1653) * (LEFT(SKUs!$J$2:$J$10001, LEN("Fix Rail"))="Fix Rail") * (ISNUMBER(SEARCH(A1653,SKUs!$C$2:$C$10001)))), SKUs!$C$2:$C$10001,"")</f>
        <v/>
      </c>
      <c r="G1653" s="16"/>
      <c r="H1653" s="16"/>
      <c r="I1653" s="16"/>
    </row>
    <row r="1654" spans="1:9" ht="13.5" customHeight="1" x14ac:dyDescent="0.25">
      <c r="A1654" s="41" t="str">
        <f>_xlfn.XLOOKUP(G1654,dd_color!$A$2:$A$8,dd_color!$B$2:$B$8,"",0)</f>
        <v/>
      </c>
      <c r="B1654" s="41">
        <f>_xlfn.XLOOKUP(_xlfn.XLOOKUP(C1654,'Project Details'!$C$17:$C$10003,'Project Details'!$E$17:$E$10003, "",0),dd_design_raw!$A$2:$A$9997,dd_design_raw!$C$2:$C$9997,"",0)</f>
        <v>0</v>
      </c>
      <c r="C1654" s="16"/>
      <c r="D1654" s="16"/>
      <c r="E1654" s="16" t="str" cm="1">
        <f t="array" ref="E1654">IF(C1654&lt;&gt;"", _xlfn.XLOOKUP(1,((SKUs!$A$2:$A$10001=B1654) * (LEFT(SKUs!$J$2:$J$10001, LEN("Fix Rail"))="Fix Rail")), SKUs!$J$2:$J$10001,""),"")</f>
        <v/>
      </c>
      <c r="F1654" s="33" t="str" cm="1">
        <f t="array" ref="F1654">_xlfn.XLOOKUP(1,((SKUs!$A$2:$A$10001=cl_unmerged!B1654) * (LEFT(SKUs!$J$2:$J$10001, LEN("Fix Rail"))="Fix Rail") * (ISNUMBER(SEARCH(A1654,SKUs!$C$2:$C$10001)))), SKUs!$C$2:$C$10001,"")</f>
        <v/>
      </c>
      <c r="G1654" s="16"/>
      <c r="H1654" s="16"/>
      <c r="I1654" s="16"/>
    </row>
    <row r="1655" spans="1:9" ht="13.5" customHeight="1" x14ac:dyDescent="0.25">
      <c r="A1655" s="41" t="str">
        <f>_xlfn.XLOOKUP(G1655,dd_color!$A$2:$A$8,dd_color!$B$2:$B$8,"",0)</f>
        <v/>
      </c>
      <c r="B1655" s="41">
        <f>_xlfn.XLOOKUP(_xlfn.XLOOKUP(C1655,'Project Details'!$C$17:$C$10003,'Project Details'!$E$17:$E$10003, "",0),dd_design_raw!$A$2:$A$9997,dd_design_raw!$C$2:$C$9997,"",0)</f>
        <v>0</v>
      </c>
      <c r="C1655" s="16"/>
      <c r="D1655" s="16"/>
      <c r="E1655" s="16" t="str" cm="1">
        <f t="array" ref="E1655">IF(C1655&lt;&gt;"", _xlfn.XLOOKUP(1,((SKUs!$A$2:$A$10001=B1655) * (LEFT(SKUs!$J$2:$J$10001, LEN("Fix Rail"))="Fix Rail")), SKUs!$J$2:$J$10001,""),"")</f>
        <v/>
      </c>
      <c r="F1655" s="33" t="str" cm="1">
        <f t="array" ref="F1655">_xlfn.XLOOKUP(1,((SKUs!$A$2:$A$10001=cl_unmerged!B1655) * (LEFT(SKUs!$J$2:$J$10001, LEN("Fix Rail"))="Fix Rail") * (ISNUMBER(SEARCH(A1655,SKUs!$C$2:$C$10001)))), SKUs!$C$2:$C$10001,"")</f>
        <v/>
      </c>
      <c r="G1655" s="16"/>
      <c r="H1655" s="16"/>
      <c r="I1655" s="16"/>
    </row>
    <row r="1656" spans="1:9" ht="13.5" customHeight="1" x14ac:dyDescent="0.25">
      <c r="A1656" s="41" t="str">
        <f>_xlfn.XLOOKUP(G1656,dd_color!$A$2:$A$8,dd_color!$B$2:$B$8,"",0)</f>
        <v/>
      </c>
      <c r="B1656" s="41">
        <f>_xlfn.XLOOKUP(_xlfn.XLOOKUP(C1656,'Project Details'!$C$17:$C$10003,'Project Details'!$E$17:$E$10003, "",0),dd_design_raw!$A$2:$A$9997,dd_design_raw!$C$2:$C$9997,"",0)</f>
        <v>0</v>
      </c>
      <c r="C1656" s="16"/>
      <c r="D1656" s="16"/>
      <c r="E1656" s="16" t="str" cm="1">
        <f t="array" ref="E1656">IF(C1656&lt;&gt;"", _xlfn.XLOOKUP(1,((SKUs!$A$2:$A$10001=B1656) * (LEFT(SKUs!$J$2:$J$10001, LEN("Fix Rail"))="Fix Rail")), SKUs!$J$2:$J$10001,""),"")</f>
        <v/>
      </c>
      <c r="F1656" s="33" t="str" cm="1">
        <f t="array" ref="F1656">_xlfn.XLOOKUP(1,((SKUs!$A$2:$A$10001=cl_unmerged!B1656) * (LEFT(SKUs!$J$2:$J$10001, LEN("Fix Rail"))="Fix Rail") * (ISNUMBER(SEARCH(A1656,SKUs!$C$2:$C$10001)))), SKUs!$C$2:$C$10001,"")</f>
        <v/>
      </c>
      <c r="G1656" s="16"/>
      <c r="H1656" s="16"/>
      <c r="I1656" s="16"/>
    </row>
    <row r="1657" spans="1:9" ht="13.5" customHeight="1" x14ac:dyDescent="0.25">
      <c r="A1657" s="41" t="str">
        <f>_xlfn.XLOOKUP(G1657,dd_color!$A$2:$A$8,dd_color!$B$2:$B$8,"",0)</f>
        <v/>
      </c>
      <c r="B1657" s="41">
        <f>_xlfn.XLOOKUP(_xlfn.XLOOKUP(C1657,'Project Details'!$C$17:$C$10003,'Project Details'!$E$17:$E$10003, "",0),dd_design_raw!$A$2:$A$9997,dd_design_raw!$C$2:$C$9997,"",0)</f>
        <v>0</v>
      </c>
      <c r="C1657" s="16"/>
      <c r="D1657" s="16"/>
      <c r="E1657" s="16" t="str" cm="1">
        <f t="array" ref="E1657">IF(C1657&lt;&gt;"", _xlfn.XLOOKUP(1,((SKUs!$A$2:$A$10001=B1657) * (LEFT(SKUs!$J$2:$J$10001, LEN("Fix Rail"))="Fix Rail")), SKUs!$J$2:$J$10001,""),"")</f>
        <v/>
      </c>
      <c r="F1657" s="33" t="str" cm="1">
        <f t="array" ref="F1657">_xlfn.XLOOKUP(1,((SKUs!$A$2:$A$10001=cl_unmerged!B1657) * (LEFT(SKUs!$J$2:$J$10001, LEN("Fix Rail"))="Fix Rail") * (ISNUMBER(SEARCH(A1657,SKUs!$C$2:$C$10001)))), SKUs!$C$2:$C$10001,"")</f>
        <v/>
      </c>
      <c r="G1657" s="16"/>
      <c r="H1657" s="16"/>
      <c r="I1657" s="16"/>
    </row>
    <row r="1658" spans="1:9" ht="13.5" customHeight="1" x14ac:dyDescent="0.25">
      <c r="A1658" s="41" t="str">
        <f>_xlfn.XLOOKUP(G1658,dd_color!$A$2:$A$8,dd_color!$B$2:$B$8,"",0)</f>
        <v/>
      </c>
      <c r="B1658" s="41">
        <f>_xlfn.XLOOKUP(_xlfn.XLOOKUP(C1658,'Project Details'!$C$17:$C$10003,'Project Details'!$E$17:$E$10003, "",0),dd_design_raw!$A$2:$A$9997,dd_design_raw!$C$2:$C$9997,"",0)</f>
        <v>0</v>
      </c>
      <c r="C1658" s="16"/>
      <c r="D1658" s="16"/>
      <c r="E1658" s="16" t="str" cm="1">
        <f t="array" ref="E1658">IF(C1658&lt;&gt;"", _xlfn.XLOOKUP(1,((SKUs!$A$2:$A$10001=B1658) * (LEFT(SKUs!$J$2:$J$10001, LEN("Fix Rail"))="Fix Rail")), SKUs!$J$2:$J$10001,""),"")</f>
        <v/>
      </c>
      <c r="F1658" s="33" t="str" cm="1">
        <f t="array" ref="F1658">_xlfn.XLOOKUP(1,((SKUs!$A$2:$A$10001=cl_unmerged!B1658) * (LEFT(SKUs!$J$2:$J$10001, LEN("Fix Rail"))="Fix Rail") * (ISNUMBER(SEARCH(A1658,SKUs!$C$2:$C$10001)))), SKUs!$C$2:$C$10001,"")</f>
        <v/>
      </c>
      <c r="G1658" s="16"/>
      <c r="H1658" s="16"/>
      <c r="I1658" s="16"/>
    </row>
    <row r="1659" spans="1:9" ht="13.5" customHeight="1" x14ac:dyDescent="0.25">
      <c r="A1659" s="41" t="str">
        <f>_xlfn.XLOOKUP(G1659,dd_color!$A$2:$A$8,dd_color!$B$2:$B$8,"",0)</f>
        <v/>
      </c>
      <c r="B1659" s="41">
        <f>_xlfn.XLOOKUP(_xlfn.XLOOKUP(C1659,'Project Details'!$C$17:$C$10003,'Project Details'!$E$17:$E$10003, "",0),dd_design_raw!$A$2:$A$9997,dd_design_raw!$C$2:$C$9997,"",0)</f>
        <v>0</v>
      </c>
      <c r="C1659" s="16"/>
      <c r="D1659" s="16"/>
      <c r="E1659" s="16" t="str" cm="1">
        <f t="array" ref="E1659">IF(C1659&lt;&gt;"", _xlfn.XLOOKUP(1,((SKUs!$A$2:$A$10001=B1659) * (LEFT(SKUs!$J$2:$J$10001, LEN("Fix Rail"))="Fix Rail")), SKUs!$J$2:$J$10001,""),"")</f>
        <v/>
      </c>
      <c r="F1659" s="33" t="str" cm="1">
        <f t="array" ref="F1659">_xlfn.XLOOKUP(1,((SKUs!$A$2:$A$10001=cl_unmerged!B1659) * (LEFT(SKUs!$J$2:$J$10001, LEN("Fix Rail"))="Fix Rail") * (ISNUMBER(SEARCH(A1659,SKUs!$C$2:$C$10001)))), SKUs!$C$2:$C$10001,"")</f>
        <v/>
      </c>
      <c r="G1659" s="16"/>
      <c r="H1659" s="16"/>
      <c r="I1659" s="16"/>
    </row>
    <row r="1660" spans="1:9" ht="13.5" customHeight="1" x14ac:dyDescent="0.25">
      <c r="A1660" s="41" t="str">
        <f>_xlfn.XLOOKUP(G1660,dd_color!$A$2:$A$8,dd_color!$B$2:$B$8,"",0)</f>
        <v/>
      </c>
      <c r="B1660" s="41">
        <f>_xlfn.XLOOKUP(_xlfn.XLOOKUP(C1660,'Project Details'!$C$17:$C$10003,'Project Details'!$E$17:$E$10003, "",0),dd_design_raw!$A$2:$A$9997,dd_design_raw!$C$2:$C$9997,"",0)</f>
        <v>0</v>
      </c>
      <c r="C1660" s="16"/>
      <c r="D1660" s="16"/>
      <c r="E1660" s="16" t="str" cm="1">
        <f t="array" ref="E1660">IF(C1660&lt;&gt;"", _xlfn.XLOOKUP(1,((SKUs!$A$2:$A$10001=B1660) * (LEFT(SKUs!$J$2:$J$10001, LEN("Fix Rail"))="Fix Rail")), SKUs!$J$2:$J$10001,""),"")</f>
        <v/>
      </c>
      <c r="F1660" s="33" t="str" cm="1">
        <f t="array" ref="F1660">_xlfn.XLOOKUP(1,((SKUs!$A$2:$A$10001=cl_unmerged!B1660) * (LEFT(SKUs!$J$2:$J$10001, LEN("Fix Rail"))="Fix Rail") * (ISNUMBER(SEARCH(A1660,SKUs!$C$2:$C$10001)))), SKUs!$C$2:$C$10001,"")</f>
        <v/>
      </c>
      <c r="G1660" s="16"/>
      <c r="H1660" s="16"/>
      <c r="I1660" s="16"/>
    </row>
    <row r="1661" spans="1:9" ht="13.5" customHeight="1" x14ac:dyDescent="0.25">
      <c r="A1661" s="41" t="str">
        <f>_xlfn.XLOOKUP(G1661,dd_color!$A$2:$A$8,dd_color!$B$2:$B$8,"",0)</f>
        <v/>
      </c>
      <c r="B1661" s="41">
        <f>_xlfn.XLOOKUP(_xlfn.XLOOKUP(C1661,'Project Details'!$C$17:$C$10003,'Project Details'!$E$17:$E$10003, "",0),dd_design_raw!$A$2:$A$9997,dd_design_raw!$C$2:$C$9997,"",0)</f>
        <v>0</v>
      </c>
      <c r="C1661" s="16"/>
      <c r="D1661" s="16"/>
      <c r="E1661" s="16" t="str" cm="1">
        <f t="array" ref="E1661">IF(C1661&lt;&gt;"", _xlfn.XLOOKUP(1,((SKUs!$A$2:$A$10001=B1661) * (LEFT(SKUs!$J$2:$J$10001, LEN("Fix Rail"))="Fix Rail")), SKUs!$J$2:$J$10001,""),"")</f>
        <v/>
      </c>
      <c r="F1661" s="33" t="str" cm="1">
        <f t="array" ref="F1661">_xlfn.XLOOKUP(1,((SKUs!$A$2:$A$10001=cl_unmerged!B1661) * (LEFT(SKUs!$J$2:$J$10001, LEN("Fix Rail"))="Fix Rail") * (ISNUMBER(SEARCH(A1661,SKUs!$C$2:$C$10001)))), SKUs!$C$2:$C$10001,"")</f>
        <v/>
      </c>
      <c r="G1661" s="16"/>
      <c r="H1661" s="16"/>
      <c r="I1661" s="16"/>
    </row>
    <row r="1662" spans="1:9" ht="13.5" customHeight="1" x14ac:dyDescent="0.25">
      <c r="A1662" s="41" t="str">
        <f>_xlfn.XLOOKUP(G1662,dd_color!$A$2:$A$8,dd_color!$B$2:$B$8,"",0)</f>
        <v/>
      </c>
      <c r="B1662" s="41">
        <f>_xlfn.XLOOKUP(_xlfn.XLOOKUP(C1662,'Project Details'!$C$17:$C$10003,'Project Details'!$E$17:$E$10003, "",0),dd_design_raw!$A$2:$A$9997,dd_design_raw!$C$2:$C$9997,"",0)</f>
        <v>0</v>
      </c>
      <c r="C1662" s="16"/>
      <c r="D1662" s="16"/>
      <c r="E1662" s="16" t="str" cm="1">
        <f t="array" ref="E1662">IF(C1662&lt;&gt;"", _xlfn.XLOOKUP(1,((SKUs!$A$2:$A$10001=B1662) * (LEFT(SKUs!$J$2:$J$10001, LEN("Fix Rail"))="Fix Rail")), SKUs!$J$2:$J$10001,""),"")</f>
        <v/>
      </c>
      <c r="F1662" s="33" t="str" cm="1">
        <f t="array" ref="F1662">_xlfn.XLOOKUP(1,((SKUs!$A$2:$A$10001=cl_unmerged!B1662) * (LEFT(SKUs!$J$2:$J$10001, LEN("Fix Rail"))="Fix Rail") * (ISNUMBER(SEARCH(A1662,SKUs!$C$2:$C$10001)))), SKUs!$C$2:$C$10001,"")</f>
        <v/>
      </c>
      <c r="G1662" s="16"/>
      <c r="H1662" s="16"/>
      <c r="I1662" s="16"/>
    </row>
    <row r="1663" spans="1:9" ht="13.5" customHeight="1" x14ac:dyDescent="0.25">
      <c r="A1663" s="41" t="str">
        <f>_xlfn.XLOOKUP(G1663,dd_color!$A$2:$A$8,dd_color!$B$2:$B$8,"",0)</f>
        <v/>
      </c>
      <c r="B1663" s="41">
        <f>_xlfn.XLOOKUP(_xlfn.XLOOKUP(C1663,'Project Details'!$C$17:$C$10003,'Project Details'!$E$17:$E$10003, "",0),dd_design_raw!$A$2:$A$9997,dd_design_raw!$C$2:$C$9997,"",0)</f>
        <v>0</v>
      </c>
      <c r="C1663" s="16"/>
      <c r="D1663" s="16"/>
      <c r="E1663" s="16" t="str" cm="1">
        <f t="array" ref="E1663">IF(C1663&lt;&gt;"", _xlfn.XLOOKUP(1,((SKUs!$A$2:$A$10001=B1663) * (LEFT(SKUs!$J$2:$J$10001, LEN("Fix Rail"))="Fix Rail")), SKUs!$J$2:$J$10001,""),"")</f>
        <v/>
      </c>
      <c r="F1663" s="33" t="str" cm="1">
        <f t="array" ref="F1663">_xlfn.XLOOKUP(1,((SKUs!$A$2:$A$10001=cl_unmerged!B1663) * (LEFT(SKUs!$J$2:$J$10001, LEN("Fix Rail"))="Fix Rail") * (ISNUMBER(SEARCH(A1663,SKUs!$C$2:$C$10001)))), SKUs!$C$2:$C$10001,"")</f>
        <v/>
      </c>
      <c r="G1663" s="16"/>
      <c r="H1663" s="16"/>
      <c r="I1663" s="16"/>
    </row>
    <row r="1664" spans="1:9" ht="13.5" customHeight="1" x14ac:dyDescent="0.25">
      <c r="A1664" s="41" t="str">
        <f>_xlfn.XLOOKUP(G1664,dd_color!$A$2:$A$8,dd_color!$B$2:$B$8,"",0)</f>
        <v/>
      </c>
      <c r="B1664" s="41">
        <f>_xlfn.XLOOKUP(_xlfn.XLOOKUP(C1664,'Project Details'!$C$17:$C$10003,'Project Details'!$E$17:$E$10003, "",0),dd_design_raw!$A$2:$A$9997,dd_design_raw!$C$2:$C$9997,"",0)</f>
        <v>0</v>
      </c>
      <c r="C1664" s="16"/>
      <c r="D1664" s="16"/>
      <c r="E1664" s="16" t="str" cm="1">
        <f t="array" ref="E1664">IF(C1664&lt;&gt;"", _xlfn.XLOOKUP(1,((SKUs!$A$2:$A$10001=B1664) * (LEFT(SKUs!$J$2:$J$10001, LEN("Fix Rail"))="Fix Rail")), SKUs!$J$2:$J$10001,""),"")</f>
        <v/>
      </c>
      <c r="F1664" s="33" t="str" cm="1">
        <f t="array" ref="F1664">_xlfn.XLOOKUP(1,((SKUs!$A$2:$A$10001=cl_unmerged!B1664) * (LEFT(SKUs!$J$2:$J$10001, LEN("Fix Rail"))="Fix Rail") * (ISNUMBER(SEARCH(A1664,SKUs!$C$2:$C$10001)))), SKUs!$C$2:$C$10001,"")</f>
        <v/>
      </c>
      <c r="G1664" s="16"/>
      <c r="H1664" s="16"/>
      <c r="I1664" s="16"/>
    </row>
    <row r="1665" spans="1:9" ht="13.5" customHeight="1" x14ac:dyDescent="0.25">
      <c r="A1665" s="41" t="str">
        <f>_xlfn.XLOOKUP(G1665,dd_color!$A$2:$A$8,dd_color!$B$2:$B$8,"",0)</f>
        <v/>
      </c>
      <c r="B1665" s="41">
        <f>_xlfn.XLOOKUP(_xlfn.XLOOKUP(C1665,'Project Details'!$C$17:$C$10003,'Project Details'!$E$17:$E$10003, "",0),dd_design_raw!$A$2:$A$9997,dd_design_raw!$C$2:$C$9997,"",0)</f>
        <v>0</v>
      </c>
      <c r="C1665" s="16"/>
      <c r="D1665" s="16"/>
      <c r="E1665" s="16" t="str" cm="1">
        <f t="array" ref="E1665">IF(C1665&lt;&gt;"", _xlfn.XLOOKUP(1,((SKUs!$A$2:$A$10001=B1665) * (LEFT(SKUs!$J$2:$J$10001, LEN("Fix Rail"))="Fix Rail")), SKUs!$J$2:$J$10001,""),"")</f>
        <v/>
      </c>
      <c r="F1665" s="33" t="str" cm="1">
        <f t="array" ref="F1665">_xlfn.XLOOKUP(1,((SKUs!$A$2:$A$10001=cl_unmerged!B1665) * (LEFT(SKUs!$J$2:$J$10001, LEN("Fix Rail"))="Fix Rail") * (ISNUMBER(SEARCH(A1665,SKUs!$C$2:$C$10001)))), SKUs!$C$2:$C$10001,"")</f>
        <v/>
      </c>
      <c r="G1665" s="16"/>
      <c r="H1665" s="16"/>
      <c r="I1665" s="16"/>
    </row>
    <row r="1666" spans="1:9" ht="13.5" customHeight="1" x14ac:dyDescent="0.25">
      <c r="A1666" s="41" t="str">
        <f>_xlfn.XLOOKUP(G1666,dd_color!$A$2:$A$8,dd_color!$B$2:$B$8,"",0)</f>
        <v/>
      </c>
      <c r="B1666" s="41">
        <f>_xlfn.XLOOKUP(_xlfn.XLOOKUP(C1666,'Project Details'!$C$17:$C$10003,'Project Details'!$E$17:$E$10003, "",0),dd_design_raw!$A$2:$A$9997,dd_design_raw!$C$2:$C$9997,"",0)</f>
        <v>0</v>
      </c>
      <c r="C1666" s="16"/>
      <c r="D1666" s="16"/>
      <c r="E1666" s="16" t="str" cm="1">
        <f t="array" ref="E1666">IF(C1666&lt;&gt;"", _xlfn.XLOOKUP(1,((SKUs!$A$2:$A$10001=B1666) * (LEFT(SKUs!$J$2:$J$10001, LEN("Fix Rail"))="Fix Rail")), SKUs!$J$2:$J$10001,""),"")</f>
        <v/>
      </c>
      <c r="F1666" s="33" t="str" cm="1">
        <f t="array" ref="F1666">_xlfn.XLOOKUP(1,((SKUs!$A$2:$A$10001=cl_unmerged!B1666) * (LEFT(SKUs!$J$2:$J$10001, LEN("Fix Rail"))="Fix Rail") * (ISNUMBER(SEARCH(A1666,SKUs!$C$2:$C$10001)))), SKUs!$C$2:$C$10001,"")</f>
        <v/>
      </c>
      <c r="G1666" s="16"/>
      <c r="H1666" s="16"/>
      <c r="I1666" s="16"/>
    </row>
    <row r="1667" spans="1:9" ht="13.5" customHeight="1" x14ac:dyDescent="0.25">
      <c r="A1667" s="41" t="str">
        <f>_xlfn.XLOOKUP(G1667,dd_color!$A$2:$A$8,dd_color!$B$2:$B$8,"",0)</f>
        <v/>
      </c>
      <c r="B1667" s="41">
        <f>_xlfn.XLOOKUP(_xlfn.XLOOKUP(C1667,'Project Details'!$C$17:$C$10003,'Project Details'!$E$17:$E$10003, "",0),dd_design_raw!$A$2:$A$9997,dd_design_raw!$C$2:$C$9997,"",0)</f>
        <v>0</v>
      </c>
      <c r="C1667" s="16"/>
      <c r="D1667" s="16"/>
      <c r="E1667" s="16" t="str" cm="1">
        <f t="array" ref="E1667">IF(C1667&lt;&gt;"", _xlfn.XLOOKUP(1,((SKUs!$A$2:$A$10001=B1667) * (LEFT(SKUs!$J$2:$J$10001, LEN("Fix Rail"))="Fix Rail")), SKUs!$J$2:$J$10001,""),"")</f>
        <v/>
      </c>
      <c r="F1667" s="33" t="str" cm="1">
        <f t="array" ref="F1667">_xlfn.XLOOKUP(1,((SKUs!$A$2:$A$10001=cl_unmerged!B1667) * (LEFT(SKUs!$J$2:$J$10001, LEN("Fix Rail"))="Fix Rail") * (ISNUMBER(SEARCH(A1667,SKUs!$C$2:$C$10001)))), SKUs!$C$2:$C$10001,"")</f>
        <v/>
      </c>
      <c r="G1667" s="16"/>
      <c r="H1667" s="16"/>
      <c r="I1667" s="16"/>
    </row>
    <row r="1668" spans="1:9" ht="13.5" customHeight="1" x14ac:dyDescent="0.25">
      <c r="A1668" s="41" t="str">
        <f>_xlfn.XLOOKUP(G1668,dd_color!$A$2:$A$8,dd_color!$B$2:$B$8,"",0)</f>
        <v/>
      </c>
      <c r="B1668" s="41">
        <f>_xlfn.XLOOKUP(_xlfn.XLOOKUP(C1668,'Project Details'!$C$17:$C$10003,'Project Details'!$E$17:$E$10003, "",0),dd_design_raw!$A$2:$A$9997,dd_design_raw!$C$2:$C$9997,"",0)</f>
        <v>0</v>
      </c>
      <c r="C1668" s="16"/>
      <c r="D1668" s="16"/>
      <c r="E1668" s="16" t="str" cm="1">
        <f t="array" ref="E1668">IF(C1668&lt;&gt;"", _xlfn.XLOOKUP(1,((SKUs!$A$2:$A$10001=B1668) * (LEFT(SKUs!$J$2:$J$10001, LEN("Fix Rail"))="Fix Rail")), SKUs!$J$2:$J$10001,""),"")</f>
        <v/>
      </c>
      <c r="F1668" s="33" t="str" cm="1">
        <f t="array" ref="F1668">_xlfn.XLOOKUP(1,((SKUs!$A$2:$A$10001=cl_unmerged!B1668) * (LEFT(SKUs!$J$2:$J$10001, LEN("Fix Rail"))="Fix Rail") * (ISNUMBER(SEARCH(A1668,SKUs!$C$2:$C$10001)))), SKUs!$C$2:$C$10001,"")</f>
        <v/>
      </c>
      <c r="G1668" s="16"/>
      <c r="H1668" s="16"/>
      <c r="I1668" s="16"/>
    </row>
    <row r="1669" spans="1:9" ht="13.5" customHeight="1" x14ac:dyDescent="0.25">
      <c r="A1669" s="41" t="str">
        <f>_xlfn.XLOOKUP(G1669,dd_color!$A$2:$A$8,dd_color!$B$2:$B$8,"",0)</f>
        <v/>
      </c>
      <c r="B1669" s="41">
        <f>_xlfn.XLOOKUP(_xlfn.XLOOKUP(C1669,'Project Details'!$C$17:$C$10003,'Project Details'!$E$17:$E$10003, "",0),dd_design_raw!$A$2:$A$9997,dd_design_raw!$C$2:$C$9997,"",0)</f>
        <v>0</v>
      </c>
      <c r="C1669" s="16"/>
      <c r="D1669" s="16"/>
      <c r="E1669" s="16" t="str" cm="1">
        <f t="array" ref="E1669">IF(C1669&lt;&gt;"", _xlfn.XLOOKUP(1,((SKUs!$A$2:$A$10001=B1669) * (LEFT(SKUs!$J$2:$J$10001, LEN("Fix Rail"))="Fix Rail")), SKUs!$J$2:$J$10001,""),"")</f>
        <v/>
      </c>
      <c r="F1669" s="33" t="str" cm="1">
        <f t="array" ref="F1669">_xlfn.XLOOKUP(1,((SKUs!$A$2:$A$10001=cl_unmerged!B1669) * (LEFT(SKUs!$J$2:$J$10001, LEN("Fix Rail"))="Fix Rail") * (ISNUMBER(SEARCH(A1669,SKUs!$C$2:$C$10001)))), SKUs!$C$2:$C$10001,"")</f>
        <v/>
      </c>
      <c r="G1669" s="16"/>
      <c r="H1669" s="16"/>
      <c r="I1669" s="16"/>
    </row>
    <row r="1670" spans="1:9" ht="13.5" customHeight="1" x14ac:dyDescent="0.25">
      <c r="A1670" s="41" t="str">
        <f>_xlfn.XLOOKUP(G1670,dd_color!$A$2:$A$8,dd_color!$B$2:$B$8,"",0)</f>
        <v/>
      </c>
      <c r="B1670" s="41">
        <f>_xlfn.XLOOKUP(_xlfn.XLOOKUP(C1670,'Project Details'!$C$17:$C$10003,'Project Details'!$E$17:$E$10003, "",0),dd_design_raw!$A$2:$A$9997,dd_design_raw!$C$2:$C$9997,"",0)</f>
        <v>0</v>
      </c>
      <c r="C1670" s="16"/>
      <c r="D1670" s="16"/>
      <c r="E1670" s="16" t="str" cm="1">
        <f t="array" ref="E1670">IF(C1670&lt;&gt;"", _xlfn.XLOOKUP(1,((SKUs!$A$2:$A$10001=B1670) * (LEFT(SKUs!$J$2:$J$10001, LEN("Fix Rail"))="Fix Rail")), SKUs!$J$2:$J$10001,""),"")</f>
        <v/>
      </c>
      <c r="F1670" s="33" t="str" cm="1">
        <f t="array" ref="F1670">_xlfn.XLOOKUP(1,((SKUs!$A$2:$A$10001=cl_unmerged!B1670) * (LEFT(SKUs!$J$2:$J$10001, LEN("Fix Rail"))="Fix Rail") * (ISNUMBER(SEARCH(A1670,SKUs!$C$2:$C$10001)))), SKUs!$C$2:$C$10001,"")</f>
        <v/>
      </c>
      <c r="G1670" s="16"/>
      <c r="H1670" s="16"/>
      <c r="I1670" s="16"/>
    </row>
    <row r="1671" spans="1:9" ht="13.5" customHeight="1" x14ac:dyDescent="0.25">
      <c r="A1671" s="41" t="str">
        <f>_xlfn.XLOOKUP(G1671,dd_color!$A$2:$A$8,dd_color!$B$2:$B$8,"",0)</f>
        <v/>
      </c>
      <c r="B1671" s="41">
        <f>_xlfn.XLOOKUP(_xlfn.XLOOKUP(C1671,'Project Details'!$C$17:$C$10003,'Project Details'!$E$17:$E$10003, "",0),dd_design_raw!$A$2:$A$9997,dd_design_raw!$C$2:$C$9997,"",0)</f>
        <v>0</v>
      </c>
      <c r="C1671" s="16"/>
      <c r="D1671" s="16"/>
      <c r="E1671" s="16" t="str" cm="1">
        <f t="array" ref="E1671">IF(C1671&lt;&gt;"", _xlfn.XLOOKUP(1,((SKUs!$A$2:$A$10001=B1671) * (LEFT(SKUs!$J$2:$J$10001, LEN("Fix Rail"))="Fix Rail")), SKUs!$J$2:$J$10001,""),"")</f>
        <v/>
      </c>
      <c r="F1671" s="33" t="str" cm="1">
        <f t="array" ref="F1671">_xlfn.XLOOKUP(1,((SKUs!$A$2:$A$10001=cl_unmerged!B1671) * (LEFT(SKUs!$J$2:$J$10001, LEN("Fix Rail"))="Fix Rail") * (ISNUMBER(SEARCH(A1671,SKUs!$C$2:$C$10001)))), SKUs!$C$2:$C$10001,"")</f>
        <v/>
      </c>
      <c r="G1671" s="16"/>
      <c r="H1671" s="16"/>
      <c r="I1671" s="16"/>
    </row>
    <row r="1672" spans="1:9" ht="13.5" customHeight="1" x14ac:dyDescent="0.25">
      <c r="A1672" s="41" t="str">
        <f>_xlfn.XLOOKUP(G1672,dd_color!$A$2:$A$8,dd_color!$B$2:$B$8,"",0)</f>
        <v/>
      </c>
      <c r="B1672" s="41">
        <f>_xlfn.XLOOKUP(_xlfn.XLOOKUP(C1672,'Project Details'!$C$17:$C$10003,'Project Details'!$E$17:$E$10003, "",0),dd_design_raw!$A$2:$A$9997,dd_design_raw!$C$2:$C$9997,"",0)</f>
        <v>0</v>
      </c>
      <c r="C1672" s="16"/>
      <c r="D1672" s="16"/>
      <c r="E1672" s="16" t="str" cm="1">
        <f t="array" ref="E1672">IF(C1672&lt;&gt;"", _xlfn.XLOOKUP(1,((SKUs!$A$2:$A$10001=B1672) * (LEFT(SKUs!$J$2:$J$10001, LEN("Fix Rail"))="Fix Rail")), SKUs!$J$2:$J$10001,""),"")</f>
        <v/>
      </c>
      <c r="F1672" s="33" t="str" cm="1">
        <f t="array" ref="F1672">_xlfn.XLOOKUP(1,((SKUs!$A$2:$A$10001=cl_unmerged!B1672) * (LEFT(SKUs!$J$2:$J$10001, LEN("Fix Rail"))="Fix Rail") * (ISNUMBER(SEARCH(A1672,SKUs!$C$2:$C$10001)))), SKUs!$C$2:$C$10001,"")</f>
        <v/>
      </c>
      <c r="G1672" s="16"/>
      <c r="H1672" s="16"/>
      <c r="I1672" s="16"/>
    </row>
    <row r="1673" spans="1:9" ht="13.5" customHeight="1" x14ac:dyDescent="0.25">
      <c r="A1673" s="41" t="str">
        <f>_xlfn.XLOOKUP(G1673,dd_color!$A$2:$A$8,dd_color!$B$2:$B$8,"",0)</f>
        <v/>
      </c>
      <c r="B1673" s="41">
        <f>_xlfn.XLOOKUP(_xlfn.XLOOKUP(C1673,'Project Details'!$C$17:$C$10003,'Project Details'!$E$17:$E$10003, "",0),dd_design_raw!$A$2:$A$9997,dd_design_raw!$C$2:$C$9997,"",0)</f>
        <v>0</v>
      </c>
      <c r="C1673" s="16"/>
      <c r="D1673" s="16"/>
      <c r="E1673" s="16" t="str" cm="1">
        <f t="array" ref="E1673">IF(C1673&lt;&gt;"", _xlfn.XLOOKUP(1,((SKUs!$A$2:$A$10001=B1673) * (LEFT(SKUs!$J$2:$J$10001, LEN("Fix Rail"))="Fix Rail")), SKUs!$J$2:$J$10001,""),"")</f>
        <v/>
      </c>
      <c r="F1673" s="33" t="str" cm="1">
        <f t="array" ref="F1673">_xlfn.XLOOKUP(1,((SKUs!$A$2:$A$10001=cl_unmerged!B1673) * (LEFT(SKUs!$J$2:$J$10001, LEN("Fix Rail"))="Fix Rail") * (ISNUMBER(SEARCH(A1673,SKUs!$C$2:$C$10001)))), SKUs!$C$2:$C$10001,"")</f>
        <v/>
      </c>
      <c r="G1673" s="16"/>
      <c r="H1673" s="16"/>
      <c r="I1673" s="16"/>
    </row>
    <row r="1674" spans="1:9" ht="13.5" customHeight="1" x14ac:dyDescent="0.25">
      <c r="A1674" s="41" t="str">
        <f>_xlfn.XLOOKUP(G1674,dd_color!$A$2:$A$8,dd_color!$B$2:$B$8,"",0)</f>
        <v/>
      </c>
      <c r="B1674" s="41">
        <f>_xlfn.XLOOKUP(_xlfn.XLOOKUP(C1674,'Project Details'!$C$17:$C$10003,'Project Details'!$E$17:$E$10003, "",0),dd_design_raw!$A$2:$A$9997,dd_design_raw!$C$2:$C$9997,"",0)</f>
        <v>0</v>
      </c>
      <c r="C1674" s="16"/>
      <c r="D1674" s="16"/>
      <c r="E1674" s="16" t="str" cm="1">
        <f t="array" ref="E1674">IF(C1674&lt;&gt;"", _xlfn.XLOOKUP(1,((SKUs!$A$2:$A$10001=B1674) * (LEFT(SKUs!$J$2:$J$10001, LEN("Fix Rail"))="Fix Rail")), SKUs!$J$2:$J$10001,""),"")</f>
        <v/>
      </c>
      <c r="F1674" s="33" t="str" cm="1">
        <f t="array" ref="F1674">_xlfn.XLOOKUP(1,((SKUs!$A$2:$A$10001=cl_unmerged!B1674) * (LEFT(SKUs!$J$2:$J$10001, LEN("Fix Rail"))="Fix Rail") * (ISNUMBER(SEARCH(A1674,SKUs!$C$2:$C$10001)))), SKUs!$C$2:$C$10001,"")</f>
        <v/>
      </c>
      <c r="G1674" s="16"/>
      <c r="H1674" s="16"/>
      <c r="I1674" s="16"/>
    </row>
    <row r="1675" spans="1:9" ht="13.5" customHeight="1" x14ac:dyDescent="0.25">
      <c r="A1675" s="41" t="str">
        <f>_xlfn.XLOOKUP(G1675,dd_color!$A$2:$A$8,dd_color!$B$2:$B$8,"",0)</f>
        <v/>
      </c>
      <c r="B1675" s="41">
        <f>_xlfn.XLOOKUP(_xlfn.XLOOKUP(C1675,'Project Details'!$C$17:$C$10003,'Project Details'!$E$17:$E$10003, "",0),dd_design_raw!$A$2:$A$9997,dd_design_raw!$C$2:$C$9997,"",0)</f>
        <v>0</v>
      </c>
      <c r="C1675" s="16"/>
      <c r="D1675" s="16"/>
      <c r="E1675" s="16" t="str" cm="1">
        <f t="array" ref="E1675">IF(C1675&lt;&gt;"", _xlfn.XLOOKUP(1,((SKUs!$A$2:$A$10001=B1675) * (LEFT(SKUs!$J$2:$J$10001, LEN("Fix Rail"))="Fix Rail")), SKUs!$J$2:$J$10001,""),"")</f>
        <v/>
      </c>
      <c r="F1675" s="33" t="str" cm="1">
        <f t="array" ref="F1675">_xlfn.XLOOKUP(1,((SKUs!$A$2:$A$10001=cl_unmerged!B1675) * (LEFT(SKUs!$J$2:$J$10001, LEN("Fix Rail"))="Fix Rail") * (ISNUMBER(SEARCH(A1675,SKUs!$C$2:$C$10001)))), SKUs!$C$2:$C$10001,"")</f>
        <v/>
      </c>
      <c r="G1675" s="16"/>
      <c r="H1675" s="16"/>
      <c r="I1675" s="16"/>
    </row>
    <row r="1676" spans="1:9" ht="13.5" customHeight="1" x14ac:dyDescent="0.25">
      <c r="A1676" s="41" t="str">
        <f>_xlfn.XLOOKUP(G1676,dd_color!$A$2:$A$8,dd_color!$B$2:$B$8,"",0)</f>
        <v/>
      </c>
      <c r="B1676" s="41">
        <f>_xlfn.XLOOKUP(_xlfn.XLOOKUP(C1676,'Project Details'!$C$17:$C$10003,'Project Details'!$E$17:$E$10003, "",0),dd_design_raw!$A$2:$A$9997,dd_design_raw!$C$2:$C$9997,"",0)</f>
        <v>0</v>
      </c>
      <c r="C1676" s="16"/>
      <c r="D1676" s="16"/>
      <c r="E1676" s="16" t="str" cm="1">
        <f t="array" ref="E1676">IF(C1676&lt;&gt;"", _xlfn.XLOOKUP(1,((SKUs!$A$2:$A$10001=B1676) * (LEFT(SKUs!$J$2:$J$10001, LEN("Fix Rail"))="Fix Rail")), SKUs!$J$2:$J$10001,""),"")</f>
        <v/>
      </c>
      <c r="F1676" s="33" t="str" cm="1">
        <f t="array" ref="F1676">_xlfn.XLOOKUP(1,((SKUs!$A$2:$A$10001=cl_unmerged!B1676) * (LEFT(SKUs!$J$2:$J$10001, LEN("Fix Rail"))="Fix Rail") * (ISNUMBER(SEARCH(A1676,SKUs!$C$2:$C$10001)))), SKUs!$C$2:$C$10001,"")</f>
        <v/>
      </c>
      <c r="G1676" s="16"/>
      <c r="H1676" s="16"/>
      <c r="I1676" s="16"/>
    </row>
    <row r="1677" spans="1:9" ht="13.5" customHeight="1" x14ac:dyDescent="0.25">
      <c r="A1677" s="41" t="str">
        <f>_xlfn.XLOOKUP(G1677,dd_color!$A$2:$A$8,dd_color!$B$2:$B$8,"",0)</f>
        <v/>
      </c>
      <c r="B1677" s="41">
        <f>_xlfn.XLOOKUP(_xlfn.XLOOKUP(C1677,'Project Details'!$C$17:$C$10003,'Project Details'!$E$17:$E$10003, "",0),dd_design_raw!$A$2:$A$9997,dd_design_raw!$C$2:$C$9997,"",0)</f>
        <v>0</v>
      </c>
      <c r="C1677" s="16"/>
      <c r="D1677" s="16"/>
      <c r="E1677" s="16" t="str" cm="1">
        <f t="array" ref="E1677">IF(C1677&lt;&gt;"", _xlfn.XLOOKUP(1,((SKUs!$A$2:$A$10001=B1677) * (LEFT(SKUs!$J$2:$J$10001, LEN("Fix Rail"))="Fix Rail")), SKUs!$J$2:$J$10001,""),"")</f>
        <v/>
      </c>
      <c r="F1677" s="33" t="str" cm="1">
        <f t="array" ref="F1677">_xlfn.XLOOKUP(1,((SKUs!$A$2:$A$10001=cl_unmerged!B1677) * (LEFT(SKUs!$J$2:$J$10001, LEN("Fix Rail"))="Fix Rail") * (ISNUMBER(SEARCH(A1677,SKUs!$C$2:$C$10001)))), SKUs!$C$2:$C$10001,"")</f>
        <v/>
      </c>
      <c r="G1677" s="16"/>
      <c r="H1677" s="16"/>
      <c r="I1677" s="16"/>
    </row>
    <row r="1678" spans="1:9" ht="13.5" customHeight="1" x14ac:dyDescent="0.25">
      <c r="A1678" s="41" t="str">
        <f>_xlfn.XLOOKUP(G1678,dd_color!$A$2:$A$8,dd_color!$B$2:$B$8,"",0)</f>
        <v/>
      </c>
      <c r="B1678" s="41">
        <f>_xlfn.XLOOKUP(_xlfn.XLOOKUP(C1678,'Project Details'!$C$17:$C$10003,'Project Details'!$E$17:$E$10003, "",0),dd_design_raw!$A$2:$A$9997,dd_design_raw!$C$2:$C$9997,"",0)</f>
        <v>0</v>
      </c>
      <c r="C1678" s="16"/>
      <c r="D1678" s="16"/>
      <c r="E1678" s="16" t="str" cm="1">
        <f t="array" ref="E1678">IF(C1678&lt;&gt;"", _xlfn.XLOOKUP(1,((SKUs!$A$2:$A$10001=B1678) * (LEFT(SKUs!$J$2:$J$10001, LEN("Fix Rail"))="Fix Rail")), SKUs!$J$2:$J$10001,""),"")</f>
        <v/>
      </c>
      <c r="F1678" s="33" t="str" cm="1">
        <f t="array" ref="F1678">_xlfn.XLOOKUP(1,((SKUs!$A$2:$A$10001=cl_unmerged!B1678) * (LEFT(SKUs!$J$2:$J$10001, LEN("Fix Rail"))="Fix Rail") * (ISNUMBER(SEARCH(A1678,SKUs!$C$2:$C$10001)))), SKUs!$C$2:$C$10001,"")</f>
        <v/>
      </c>
      <c r="G1678" s="16"/>
      <c r="H1678" s="16"/>
      <c r="I1678" s="16"/>
    </row>
    <row r="1679" spans="1:9" ht="13.5" customHeight="1" x14ac:dyDescent="0.25">
      <c r="A1679" s="41" t="str">
        <f>_xlfn.XLOOKUP(G1679,dd_color!$A$2:$A$8,dd_color!$B$2:$B$8,"",0)</f>
        <v/>
      </c>
      <c r="B1679" s="41">
        <f>_xlfn.XLOOKUP(_xlfn.XLOOKUP(C1679,'Project Details'!$C$17:$C$10003,'Project Details'!$E$17:$E$10003, "",0),dd_design_raw!$A$2:$A$9997,dd_design_raw!$C$2:$C$9997,"",0)</f>
        <v>0</v>
      </c>
      <c r="C1679" s="16"/>
      <c r="D1679" s="16"/>
      <c r="E1679" s="16" t="str" cm="1">
        <f t="array" ref="E1679">IF(C1679&lt;&gt;"", _xlfn.XLOOKUP(1,((SKUs!$A$2:$A$10001=B1679) * (LEFT(SKUs!$J$2:$J$10001, LEN("Fix Rail"))="Fix Rail")), SKUs!$J$2:$J$10001,""),"")</f>
        <v/>
      </c>
      <c r="F1679" s="33" t="str" cm="1">
        <f t="array" ref="F1679">_xlfn.XLOOKUP(1,((SKUs!$A$2:$A$10001=cl_unmerged!B1679) * (LEFT(SKUs!$J$2:$J$10001, LEN("Fix Rail"))="Fix Rail") * (ISNUMBER(SEARCH(A1679,SKUs!$C$2:$C$10001)))), SKUs!$C$2:$C$10001,"")</f>
        <v/>
      </c>
      <c r="G1679" s="16"/>
      <c r="H1679" s="16"/>
      <c r="I1679" s="16"/>
    </row>
    <row r="1680" spans="1:9" ht="13.5" customHeight="1" x14ac:dyDescent="0.25">
      <c r="A1680" s="41" t="str">
        <f>_xlfn.XLOOKUP(G1680,dd_color!$A$2:$A$8,dd_color!$B$2:$B$8,"",0)</f>
        <v/>
      </c>
      <c r="B1680" s="41">
        <f>_xlfn.XLOOKUP(_xlfn.XLOOKUP(C1680,'Project Details'!$C$17:$C$10003,'Project Details'!$E$17:$E$10003, "",0),dd_design_raw!$A$2:$A$9997,dd_design_raw!$C$2:$C$9997,"",0)</f>
        <v>0</v>
      </c>
      <c r="C1680" s="16"/>
      <c r="D1680" s="16"/>
      <c r="E1680" s="16" t="str" cm="1">
        <f t="array" ref="E1680">IF(C1680&lt;&gt;"", _xlfn.XLOOKUP(1,((SKUs!$A$2:$A$10001=B1680) * (LEFT(SKUs!$J$2:$J$10001, LEN("Fix Rail"))="Fix Rail")), SKUs!$J$2:$J$10001,""),"")</f>
        <v/>
      </c>
      <c r="F1680" s="33" t="str" cm="1">
        <f t="array" ref="F1680">_xlfn.XLOOKUP(1,((SKUs!$A$2:$A$10001=cl_unmerged!B1680) * (LEFT(SKUs!$J$2:$J$10001, LEN("Fix Rail"))="Fix Rail") * (ISNUMBER(SEARCH(A1680,SKUs!$C$2:$C$10001)))), SKUs!$C$2:$C$10001,"")</f>
        <v/>
      </c>
      <c r="G1680" s="16"/>
      <c r="H1680" s="16"/>
      <c r="I1680" s="16"/>
    </row>
    <row r="1681" spans="1:9" ht="13.5" customHeight="1" x14ac:dyDescent="0.25">
      <c r="A1681" s="41" t="str">
        <f>_xlfn.XLOOKUP(G1681,dd_color!$A$2:$A$8,dd_color!$B$2:$B$8,"",0)</f>
        <v/>
      </c>
      <c r="B1681" s="41">
        <f>_xlfn.XLOOKUP(_xlfn.XLOOKUP(C1681,'Project Details'!$C$17:$C$10003,'Project Details'!$E$17:$E$10003, "",0),dd_design_raw!$A$2:$A$9997,dd_design_raw!$C$2:$C$9997,"",0)</f>
        <v>0</v>
      </c>
      <c r="C1681" s="16"/>
      <c r="D1681" s="16"/>
      <c r="E1681" s="16" t="str" cm="1">
        <f t="array" ref="E1681">IF(C1681&lt;&gt;"", _xlfn.XLOOKUP(1,((SKUs!$A$2:$A$10001=B1681) * (LEFT(SKUs!$J$2:$J$10001, LEN("Fix Rail"))="Fix Rail")), SKUs!$J$2:$J$10001,""),"")</f>
        <v/>
      </c>
      <c r="F1681" s="33" t="str" cm="1">
        <f t="array" ref="F1681">_xlfn.XLOOKUP(1,((SKUs!$A$2:$A$10001=cl_unmerged!B1681) * (LEFT(SKUs!$J$2:$J$10001, LEN("Fix Rail"))="Fix Rail") * (ISNUMBER(SEARCH(A1681,SKUs!$C$2:$C$10001)))), SKUs!$C$2:$C$10001,"")</f>
        <v/>
      </c>
      <c r="G1681" s="16"/>
      <c r="H1681" s="16"/>
      <c r="I1681" s="16"/>
    </row>
    <row r="1682" spans="1:9" ht="13.5" customHeight="1" x14ac:dyDescent="0.25">
      <c r="A1682" s="41" t="str">
        <f>_xlfn.XLOOKUP(G1682,dd_color!$A$2:$A$8,dd_color!$B$2:$B$8,"",0)</f>
        <v/>
      </c>
      <c r="B1682" s="41">
        <f>_xlfn.XLOOKUP(_xlfn.XLOOKUP(C1682,'Project Details'!$C$17:$C$10003,'Project Details'!$E$17:$E$10003, "",0),dd_design_raw!$A$2:$A$9997,dd_design_raw!$C$2:$C$9997,"",0)</f>
        <v>0</v>
      </c>
      <c r="C1682" s="16"/>
      <c r="D1682" s="16"/>
      <c r="E1682" s="16" t="str" cm="1">
        <f t="array" ref="E1682">IF(C1682&lt;&gt;"", _xlfn.XLOOKUP(1,((SKUs!$A$2:$A$10001=B1682) * (LEFT(SKUs!$J$2:$J$10001, LEN("Fix Rail"))="Fix Rail")), SKUs!$J$2:$J$10001,""),"")</f>
        <v/>
      </c>
      <c r="F1682" s="33" t="str" cm="1">
        <f t="array" ref="F1682">_xlfn.XLOOKUP(1,((SKUs!$A$2:$A$10001=cl_unmerged!B1682) * (LEFT(SKUs!$J$2:$J$10001, LEN("Fix Rail"))="Fix Rail") * (ISNUMBER(SEARCH(A1682,SKUs!$C$2:$C$10001)))), SKUs!$C$2:$C$10001,"")</f>
        <v/>
      </c>
      <c r="G1682" s="16"/>
      <c r="H1682" s="16"/>
      <c r="I1682" s="16"/>
    </row>
    <row r="1683" spans="1:9" ht="13.5" customHeight="1" x14ac:dyDescent="0.25">
      <c r="A1683" s="41" t="str">
        <f>_xlfn.XLOOKUP(G1683,dd_color!$A$2:$A$8,dd_color!$B$2:$B$8,"",0)</f>
        <v/>
      </c>
      <c r="B1683" s="41">
        <f>_xlfn.XLOOKUP(_xlfn.XLOOKUP(C1683,'Project Details'!$C$17:$C$10003,'Project Details'!$E$17:$E$10003, "",0),dd_design_raw!$A$2:$A$9997,dd_design_raw!$C$2:$C$9997,"",0)</f>
        <v>0</v>
      </c>
      <c r="C1683" s="16"/>
      <c r="D1683" s="16"/>
      <c r="E1683" s="16" t="str" cm="1">
        <f t="array" ref="E1683">IF(C1683&lt;&gt;"", _xlfn.XLOOKUP(1,((SKUs!$A$2:$A$10001=B1683) * (LEFT(SKUs!$J$2:$J$10001, LEN("Fix Rail"))="Fix Rail")), SKUs!$J$2:$J$10001,""),"")</f>
        <v/>
      </c>
      <c r="F1683" s="33" t="str" cm="1">
        <f t="array" ref="F1683">_xlfn.XLOOKUP(1,((SKUs!$A$2:$A$10001=cl_unmerged!B1683) * (LEFT(SKUs!$J$2:$J$10001, LEN("Fix Rail"))="Fix Rail") * (ISNUMBER(SEARCH(A1683,SKUs!$C$2:$C$10001)))), SKUs!$C$2:$C$10001,"")</f>
        <v/>
      </c>
      <c r="G1683" s="16"/>
      <c r="H1683" s="16"/>
      <c r="I1683" s="16"/>
    </row>
    <row r="1684" spans="1:9" ht="13.5" customHeight="1" x14ac:dyDescent="0.25">
      <c r="A1684" s="41" t="str">
        <f>_xlfn.XLOOKUP(G1684,dd_color!$A$2:$A$8,dd_color!$B$2:$B$8,"",0)</f>
        <v/>
      </c>
      <c r="B1684" s="41">
        <f>_xlfn.XLOOKUP(_xlfn.XLOOKUP(C1684,'Project Details'!$C$17:$C$10003,'Project Details'!$E$17:$E$10003, "",0),dd_design_raw!$A$2:$A$9997,dd_design_raw!$C$2:$C$9997,"",0)</f>
        <v>0</v>
      </c>
      <c r="C1684" s="16"/>
      <c r="D1684" s="16"/>
      <c r="E1684" s="16" t="str" cm="1">
        <f t="array" ref="E1684">IF(C1684&lt;&gt;"", _xlfn.XLOOKUP(1,((SKUs!$A$2:$A$10001=B1684) * (LEFT(SKUs!$J$2:$J$10001, LEN("Fix Rail"))="Fix Rail")), SKUs!$J$2:$J$10001,""),"")</f>
        <v/>
      </c>
      <c r="F1684" s="33" t="str" cm="1">
        <f t="array" ref="F1684">_xlfn.XLOOKUP(1,((SKUs!$A$2:$A$10001=cl_unmerged!B1684) * (LEFT(SKUs!$J$2:$J$10001, LEN("Fix Rail"))="Fix Rail") * (ISNUMBER(SEARCH(A1684,SKUs!$C$2:$C$10001)))), SKUs!$C$2:$C$10001,"")</f>
        <v/>
      </c>
      <c r="G1684" s="16"/>
      <c r="H1684" s="16"/>
      <c r="I1684" s="16"/>
    </row>
    <row r="1685" spans="1:9" ht="13.5" customHeight="1" x14ac:dyDescent="0.25">
      <c r="A1685" s="41" t="str">
        <f>_xlfn.XLOOKUP(G1685,dd_color!$A$2:$A$8,dd_color!$B$2:$B$8,"",0)</f>
        <v/>
      </c>
      <c r="B1685" s="41">
        <f>_xlfn.XLOOKUP(_xlfn.XLOOKUP(C1685,'Project Details'!$C$17:$C$10003,'Project Details'!$E$17:$E$10003, "",0),dd_design_raw!$A$2:$A$9997,dd_design_raw!$C$2:$C$9997,"",0)</f>
        <v>0</v>
      </c>
      <c r="C1685" s="16"/>
      <c r="D1685" s="16"/>
      <c r="E1685" s="16" t="str" cm="1">
        <f t="array" ref="E1685">IF(C1685&lt;&gt;"", _xlfn.XLOOKUP(1,((SKUs!$A$2:$A$10001=B1685) * (LEFT(SKUs!$J$2:$J$10001, LEN("Fix Rail"))="Fix Rail")), SKUs!$J$2:$J$10001,""),"")</f>
        <v/>
      </c>
      <c r="F1685" s="33" t="str" cm="1">
        <f t="array" ref="F1685">_xlfn.XLOOKUP(1,((SKUs!$A$2:$A$10001=cl_unmerged!B1685) * (LEFT(SKUs!$J$2:$J$10001, LEN("Fix Rail"))="Fix Rail") * (ISNUMBER(SEARCH(A1685,SKUs!$C$2:$C$10001)))), SKUs!$C$2:$C$10001,"")</f>
        <v/>
      </c>
      <c r="G1685" s="16"/>
      <c r="H1685" s="16"/>
      <c r="I1685" s="16"/>
    </row>
    <row r="1686" spans="1:9" ht="13.5" customHeight="1" x14ac:dyDescent="0.25">
      <c r="A1686" s="41" t="str">
        <f>_xlfn.XLOOKUP(G1686,dd_color!$A$2:$A$8,dd_color!$B$2:$B$8,"",0)</f>
        <v/>
      </c>
      <c r="B1686" s="41">
        <f>_xlfn.XLOOKUP(_xlfn.XLOOKUP(C1686,'Project Details'!$C$17:$C$10003,'Project Details'!$E$17:$E$10003, "",0),dd_design_raw!$A$2:$A$9997,dd_design_raw!$C$2:$C$9997,"",0)</f>
        <v>0</v>
      </c>
      <c r="C1686" s="16"/>
      <c r="D1686" s="16"/>
      <c r="E1686" s="16" t="str" cm="1">
        <f t="array" ref="E1686">IF(C1686&lt;&gt;"", _xlfn.XLOOKUP(1,((SKUs!$A$2:$A$10001=B1686) * (LEFT(SKUs!$J$2:$J$10001, LEN("Fix Rail"))="Fix Rail")), SKUs!$J$2:$J$10001,""),"")</f>
        <v/>
      </c>
      <c r="F1686" s="33" t="str" cm="1">
        <f t="array" ref="F1686">_xlfn.XLOOKUP(1,((SKUs!$A$2:$A$10001=cl_unmerged!B1686) * (LEFT(SKUs!$J$2:$J$10001, LEN("Fix Rail"))="Fix Rail") * (ISNUMBER(SEARCH(A1686,SKUs!$C$2:$C$10001)))), SKUs!$C$2:$C$10001,"")</f>
        <v/>
      </c>
      <c r="G1686" s="16"/>
      <c r="H1686" s="16"/>
      <c r="I1686" s="16"/>
    </row>
    <row r="1687" spans="1:9" ht="13.5" customHeight="1" x14ac:dyDescent="0.25">
      <c r="A1687" s="41" t="str">
        <f>_xlfn.XLOOKUP(G1687,dd_color!$A$2:$A$8,dd_color!$B$2:$B$8,"",0)</f>
        <v/>
      </c>
      <c r="B1687" s="41">
        <f>_xlfn.XLOOKUP(_xlfn.XLOOKUP(C1687,'Project Details'!$C$17:$C$10003,'Project Details'!$E$17:$E$10003, "",0),dd_design_raw!$A$2:$A$9997,dd_design_raw!$C$2:$C$9997,"",0)</f>
        <v>0</v>
      </c>
      <c r="C1687" s="16"/>
      <c r="D1687" s="16"/>
      <c r="E1687" s="16" t="str" cm="1">
        <f t="array" ref="E1687">IF(C1687&lt;&gt;"", _xlfn.XLOOKUP(1,((SKUs!$A$2:$A$10001=B1687) * (LEFT(SKUs!$J$2:$J$10001, LEN("Fix Rail"))="Fix Rail")), SKUs!$J$2:$J$10001,""),"")</f>
        <v/>
      </c>
      <c r="F1687" s="33" t="str" cm="1">
        <f t="array" ref="F1687">_xlfn.XLOOKUP(1,((SKUs!$A$2:$A$10001=cl_unmerged!B1687) * (LEFT(SKUs!$J$2:$J$10001, LEN("Fix Rail"))="Fix Rail") * (ISNUMBER(SEARCH(A1687,SKUs!$C$2:$C$10001)))), SKUs!$C$2:$C$10001,"")</f>
        <v/>
      </c>
      <c r="G1687" s="16"/>
      <c r="H1687" s="16"/>
      <c r="I1687" s="16"/>
    </row>
    <row r="1688" spans="1:9" ht="13.5" customHeight="1" x14ac:dyDescent="0.25">
      <c r="A1688" s="41" t="str">
        <f>_xlfn.XLOOKUP(G1688,dd_color!$A$2:$A$8,dd_color!$B$2:$B$8,"",0)</f>
        <v/>
      </c>
      <c r="B1688" s="41">
        <f>_xlfn.XLOOKUP(_xlfn.XLOOKUP(C1688,'Project Details'!$C$17:$C$10003,'Project Details'!$E$17:$E$10003, "",0),dd_design_raw!$A$2:$A$9997,dd_design_raw!$C$2:$C$9997,"",0)</f>
        <v>0</v>
      </c>
      <c r="C1688" s="16"/>
      <c r="D1688" s="16"/>
      <c r="E1688" s="16" t="str" cm="1">
        <f t="array" ref="E1688">IF(C1688&lt;&gt;"", _xlfn.XLOOKUP(1,((SKUs!$A$2:$A$10001=B1688) * (LEFT(SKUs!$J$2:$J$10001, LEN("Fix Rail"))="Fix Rail")), SKUs!$J$2:$J$10001,""),"")</f>
        <v/>
      </c>
      <c r="F1688" s="33" t="str" cm="1">
        <f t="array" ref="F1688">_xlfn.XLOOKUP(1,((SKUs!$A$2:$A$10001=cl_unmerged!B1688) * (LEFT(SKUs!$J$2:$J$10001, LEN("Fix Rail"))="Fix Rail") * (ISNUMBER(SEARCH(A1688,SKUs!$C$2:$C$10001)))), SKUs!$C$2:$C$10001,"")</f>
        <v/>
      </c>
      <c r="G1688" s="16"/>
      <c r="H1688" s="16"/>
      <c r="I1688" s="16"/>
    </row>
    <row r="1689" spans="1:9" x14ac:dyDescent="0.25">
      <c r="C1689" s="28" t="s">
        <v>895</v>
      </c>
      <c r="D1689" s="29"/>
      <c r="E1689" s="29"/>
      <c r="F1689" s="29"/>
      <c r="G1689" s="29"/>
      <c r="H1689" s="29"/>
      <c r="I1689" s="30"/>
    </row>
    <row r="1690" spans="1:9" x14ac:dyDescent="0.25">
      <c r="A1690" s="41" t="str">
        <f>_xlfn.XLOOKUP(G1690,dd_color!$A$2:$A$8,dd_color!$B$2:$B$8,"",0)</f>
        <v/>
      </c>
      <c r="B1690" s="41" t="str">
        <f>_xlfn.XLOOKUP(_xlfn.XLOOKUP(C1690,'Project Details'!$C$17:$C$10003,'Project Details'!$E$17:$E$10003, "",0),dd_design_raw!$A$2:$A$9997,dd_design_raw!$C$2:$C$9997,"",0)</f>
        <v/>
      </c>
      <c r="C1690" s="16" t="str" cm="1">
        <f t="array" ref="C1690">IFERROR(_xlfn._xlws.FILTER(calc_rusacc!$C$15:$C$65,(calc_rusacc!$E$15:$E$65&lt;&gt;"Roll-up Screen") * (calc_rusacc!$D$15:$D$65&lt;&gt;"")),"")</f>
        <v/>
      </c>
      <c r="D1690" s="16" t="str" cm="1">
        <f t="array" ref="D1690">IFERROR(_xlfn._xlws.FILTER(calc_rusacc!$AO$15:$AO$65,(calc_rusacc!$E$15:$E$65&lt;&gt;"Roll-up Screen") * (calc_rusacc!$D$15:$D$65&lt;&gt;"")),"")</f>
        <v/>
      </c>
      <c r="E1690" s="16" t="str" cm="1">
        <f t="array" ref="E1690">IF(C1690&lt;&gt;"", _xlfn.XLOOKUP(1,((SKUs!$A$2:$A$10001=B1690) * (LEFT(SKUs!$J$2:$J$10001, LEN("Pull Bar"))="Pull Bar")), SKUs!$J$2:$J$10001,""),"")</f>
        <v/>
      </c>
      <c r="F1690" s="33" t="str" cm="1">
        <f t="array" ref="F1690">_xlfn.XLOOKUP(1,((SKUs!$A$2:$A$10001=cl_unmerged!B1690) * (LEFT(SKUs!$J$2:$J$10001, LEN("Pull Bar"))="Pull Bar") * (ISNUMBER(SEARCH(A1690,SKUs!$C$2:$C$10001)))), SKUs!$C$2:$C$10001,"")</f>
        <v/>
      </c>
      <c r="G1690" s="16" t="str" cm="1">
        <f t="array" ref="G1690">IFERROR(_xlfn._xlws.FILTER(calc_rusacc!$G$15:$G$65,(calc_rusacc!$E$15:$E$65&lt;&gt;"Roll-up Screen") * (calc_rusacc!$D$15:$D$65&lt;&gt;"")),"")</f>
        <v/>
      </c>
      <c r="H1690" s="16" t="str" cm="1">
        <f t="array" ref="H1690">IFERROR(_xlfn._xlws.FILTER(calc_rusacc!$AN$15:$AN$65,(calc_rusacc!$E$15:$E$65&lt;&gt;"Roll-up Screen") * (calc_rusacc!$D$15:$D$65&lt;&gt;"")),"")</f>
        <v/>
      </c>
      <c r="I1690" s="16"/>
    </row>
    <row r="1691" spans="1:9" x14ac:dyDescent="0.25">
      <c r="A1691" s="41" t="str">
        <f>_xlfn.XLOOKUP(G1691,dd_color!$A$2:$A$8,dd_color!$B$2:$B$8,"",0)</f>
        <v/>
      </c>
      <c r="B1691" s="41">
        <f>_xlfn.XLOOKUP(_xlfn.XLOOKUP(C1691,'Project Details'!$C$17:$C$10003,'Project Details'!$E$17:$E$10003, "",0),dd_design_raw!$A$2:$A$9997,dd_design_raw!$C$2:$C$9997,"",0)</f>
        <v>0</v>
      </c>
      <c r="C1691" s="16"/>
      <c r="D1691" s="16"/>
      <c r="E1691" s="16" t="str" cm="1">
        <f t="array" ref="E1691">IF(C1691&lt;&gt;"", _xlfn.XLOOKUP(1,((SKUs!$A$2:$A$10001=B1691) * (LEFT(SKUs!$J$2:$J$10001, LEN("Pull Bar"))="Pull Bar")), SKUs!$J$2:$J$10001,""),"")</f>
        <v/>
      </c>
      <c r="F1691" s="33" t="str" cm="1">
        <f t="array" ref="F1691">_xlfn.XLOOKUP(1,((SKUs!$A$2:$A$10001=cl_unmerged!B1691) * (LEFT(SKUs!$J$2:$J$10001, LEN("Pull Bar"))="Pull Bar") * (ISNUMBER(SEARCH(A1691,SKUs!$C$2:$C$10001)))), SKUs!$C$2:$C$10001,"")</f>
        <v/>
      </c>
      <c r="G1691" s="16"/>
      <c r="H1691" s="16"/>
      <c r="I1691" s="16"/>
    </row>
    <row r="1692" spans="1:9" x14ac:dyDescent="0.25">
      <c r="A1692" s="41" t="str">
        <f>_xlfn.XLOOKUP(G1692,dd_color!$A$2:$A$8,dd_color!$B$2:$B$8,"",0)</f>
        <v/>
      </c>
      <c r="B1692" s="41">
        <f>_xlfn.XLOOKUP(_xlfn.XLOOKUP(C1692,'Project Details'!$C$17:$C$10003,'Project Details'!$E$17:$E$10003, "",0),dd_design_raw!$A$2:$A$9997,dd_design_raw!$C$2:$C$9997,"",0)</f>
        <v>0</v>
      </c>
      <c r="C1692" s="16"/>
      <c r="D1692" s="16"/>
      <c r="E1692" s="16" t="str" cm="1">
        <f t="array" ref="E1692">IF(C1692&lt;&gt;"", _xlfn.XLOOKUP(1,((SKUs!$A$2:$A$10001=B1692) * (LEFT(SKUs!$J$2:$J$10001, LEN("Pull Bar"))="Pull Bar")), SKUs!$J$2:$J$10001,""),"")</f>
        <v/>
      </c>
      <c r="F1692" s="33" t="str" cm="1">
        <f t="array" ref="F1692">_xlfn.XLOOKUP(1,((SKUs!$A$2:$A$10001=cl_unmerged!B1692) * (LEFT(SKUs!$J$2:$J$10001, LEN("Pull Bar"))="Pull Bar") * (ISNUMBER(SEARCH(A1692,SKUs!$C$2:$C$10001)))), SKUs!$C$2:$C$10001,"")</f>
        <v/>
      </c>
      <c r="G1692" s="16"/>
      <c r="H1692" s="16"/>
      <c r="I1692" s="16"/>
    </row>
    <row r="1693" spans="1:9" x14ac:dyDescent="0.25">
      <c r="A1693" s="41" t="str">
        <f>_xlfn.XLOOKUP(G1693,dd_color!$A$2:$A$8,dd_color!$B$2:$B$8,"",0)</f>
        <v/>
      </c>
      <c r="B1693" s="41">
        <f>_xlfn.XLOOKUP(_xlfn.XLOOKUP(C1693,'Project Details'!$C$17:$C$10003,'Project Details'!$E$17:$E$10003, "",0),dd_design_raw!$A$2:$A$9997,dd_design_raw!$C$2:$C$9997,"",0)</f>
        <v>0</v>
      </c>
      <c r="C1693" s="16"/>
      <c r="D1693" s="16"/>
      <c r="E1693" s="16" t="str" cm="1">
        <f t="array" ref="E1693">IF(C1693&lt;&gt;"", _xlfn.XLOOKUP(1,((SKUs!$A$2:$A$10001=B1693) * (LEFT(SKUs!$J$2:$J$10001, LEN("Pull Bar"))="Pull Bar")), SKUs!$J$2:$J$10001,""),"")</f>
        <v/>
      </c>
      <c r="F1693" s="33" t="str" cm="1">
        <f t="array" ref="F1693">_xlfn.XLOOKUP(1,((SKUs!$A$2:$A$10001=cl_unmerged!B1693) * (LEFT(SKUs!$J$2:$J$10001, LEN("Pull Bar"))="Pull Bar") * (ISNUMBER(SEARCH(A1693,SKUs!$C$2:$C$10001)))), SKUs!$C$2:$C$10001,"")</f>
        <v/>
      </c>
      <c r="G1693" s="16"/>
      <c r="H1693" s="16"/>
      <c r="I1693" s="16"/>
    </row>
    <row r="1694" spans="1:9" x14ac:dyDescent="0.25">
      <c r="A1694" s="41" t="str">
        <f>_xlfn.XLOOKUP(G1694,dd_color!$A$2:$A$8,dd_color!$B$2:$B$8,"",0)</f>
        <v/>
      </c>
      <c r="B1694" s="41">
        <f>_xlfn.XLOOKUP(_xlfn.XLOOKUP(C1694,'Project Details'!$C$17:$C$10003,'Project Details'!$E$17:$E$10003, "",0),dd_design_raw!$A$2:$A$9997,dd_design_raw!$C$2:$C$9997,"",0)</f>
        <v>0</v>
      </c>
      <c r="C1694" s="16"/>
      <c r="D1694" s="16"/>
      <c r="E1694" s="16" t="str" cm="1">
        <f t="array" ref="E1694">IF(C1694&lt;&gt;"", _xlfn.XLOOKUP(1,((SKUs!$A$2:$A$10001=B1694) * (LEFT(SKUs!$J$2:$J$10001, LEN("Pull Bar"))="Pull Bar")), SKUs!$J$2:$J$10001,""),"")</f>
        <v/>
      </c>
      <c r="F1694" s="33" t="str" cm="1">
        <f t="array" ref="F1694">_xlfn.XLOOKUP(1,((SKUs!$A$2:$A$10001=cl_unmerged!B1694) * (LEFT(SKUs!$J$2:$J$10001, LEN("Pull Bar"))="Pull Bar") * (ISNUMBER(SEARCH(A1694,SKUs!$C$2:$C$10001)))), SKUs!$C$2:$C$10001,"")</f>
        <v/>
      </c>
      <c r="G1694" s="16"/>
      <c r="H1694" s="16"/>
      <c r="I1694" s="16"/>
    </row>
    <row r="1695" spans="1:9" x14ac:dyDescent="0.25">
      <c r="A1695" s="41" t="str">
        <f>_xlfn.XLOOKUP(G1695,dd_color!$A$2:$A$8,dd_color!$B$2:$B$8,"",0)</f>
        <v/>
      </c>
      <c r="B1695" s="41">
        <f>_xlfn.XLOOKUP(_xlfn.XLOOKUP(C1695,'Project Details'!$C$17:$C$10003,'Project Details'!$E$17:$E$10003, "",0),dd_design_raw!$A$2:$A$9997,dd_design_raw!$C$2:$C$9997,"",0)</f>
        <v>0</v>
      </c>
      <c r="C1695" s="16"/>
      <c r="D1695" s="16"/>
      <c r="E1695" s="16" t="str" cm="1">
        <f t="array" ref="E1695">IF(C1695&lt;&gt;"", _xlfn.XLOOKUP(1,((SKUs!$A$2:$A$10001=B1695) * (LEFT(SKUs!$J$2:$J$10001, LEN("Pull Bar"))="Pull Bar")), SKUs!$J$2:$J$10001,""),"")</f>
        <v/>
      </c>
      <c r="F1695" s="33" t="str" cm="1">
        <f t="array" ref="F1695">_xlfn.XLOOKUP(1,((SKUs!$A$2:$A$10001=cl_unmerged!B1695) * (LEFT(SKUs!$J$2:$J$10001, LEN("Pull Bar"))="Pull Bar") * (ISNUMBER(SEARCH(A1695,SKUs!$C$2:$C$10001)))), SKUs!$C$2:$C$10001,"")</f>
        <v/>
      </c>
      <c r="G1695" s="16"/>
      <c r="H1695" s="16"/>
      <c r="I1695" s="16"/>
    </row>
    <row r="1696" spans="1:9" x14ac:dyDescent="0.25">
      <c r="A1696" s="41" t="str">
        <f>_xlfn.XLOOKUP(G1696,dd_color!$A$2:$A$8,dd_color!$B$2:$B$8,"",0)</f>
        <v/>
      </c>
      <c r="B1696" s="41">
        <f>_xlfn.XLOOKUP(_xlfn.XLOOKUP(C1696,'Project Details'!$C$17:$C$10003,'Project Details'!$E$17:$E$10003, "",0),dd_design_raw!$A$2:$A$9997,dd_design_raw!$C$2:$C$9997,"",0)</f>
        <v>0</v>
      </c>
      <c r="C1696" s="16"/>
      <c r="D1696" s="16"/>
      <c r="E1696" s="16" t="str" cm="1">
        <f t="array" ref="E1696">IF(C1696&lt;&gt;"", _xlfn.XLOOKUP(1,((SKUs!$A$2:$A$10001=B1696) * (LEFT(SKUs!$J$2:$J$10001, LEN("Pull Bar"))="Pull Bar")), SKUs!$J$2:$J$10001,""),"")</f>
        <v/>
      </c>
      <c r="F1696" s="33" t="str" cm="1">
        <f t="array" ref="F1696">_xlfn.XLOOKUP(1,((SKUs!$A$2:$A$10001=cl_unmerged!B1696) * (LEFT(SKUs!$J$2:$J$10001, LEN("Pull Bar"))="Pull Bar") * (ISNUMBER(SEARCH(A1696,SKUs!$C$2:$C$10001)))), SKUs!$C$2:$C$10001,"")</f>
        <v/>
      </c>
      <c r="G1696" s="16"/>
      <c r="H1696" s="16"/>
      <c r="I1696" s="16"/>
    </row>
    <row r="1697" spans="1:9" x14ac:dyDescent="0.25">
      <c r="A1697" s="41" t="str">
        <f>_xlfn.XLOOKUP(G1697,dd_color!$A$2:$A$8,dd_color!$B$2:$B$8,"",0)</f>
        <v/>
      </c>
      <c r="B1697" s="41">
        <f>_xlfn.XLOOKUP(_xlfn.XLOOKUP(C1697,'Project Details'!$C$17:$C$10003,'Project Details'!$E$17:$E$10003, "",0),dd_design_raw!$A$2:$A$9997,dd_design_raw!$C$2:$C$9997,"",0)</f>
        <v>0</v>
      </c>
      <c r="C1697" s="16"/>
      <c r="D1697" s="16"/>
      <c r="E1697" s="16" t="str" cm="1">
        <f t="array" ref="E1697">IF(C1697&lt;&gt;"", _xlfn.XLOOKUP(1,((SKUs!$A$2:$A$10001=B1697) * (LEFT(SKUs!$J$2:$J$10001, LEN("Pull Bar"))="Pull Bar")), SKUs!$J$2:$J$10001,""),"")</f>
        <v/>
      </c>
      <c r="F1697" s="33" t="str" cm="1">
        <f t="array" ref="F1697">_xlfn.XLOOKUP(1,((SKUs!$A$2:$A$10001=cl_unmerged!B1697) * (LEFT(SKUs!$J$2:$J$10001, LEN("Pull Bar"))="Pull Bar") * (ISNUMBER(SEARCH(A1697,SKUs!$C$2:$C$10001)))), SKUs!$C$2:$C$10001,"")</f>
        <v/>
      </c>
      <c r="G1697" s="16"/>
      <c r="H1697" s="16"/>
      <c r="I1697" s="16"/>
    </row>
    <row r="1698" spans="1:9" x14ac:dyDescent="0.25">
      <c r="A1698" s="41" t="str">
        <f>_xlfn.XLOOKUP(G1698,dd_color!$A$2:$A$8,dd_color!$B$2:$B$8,"",0)</f>
        <v/>
      </c>
      <c r="B1698" s="41">
        <f>_xlfn.XLOOKUP(_xlfn.XLOOKUP(C1698,'Project Details'!$C$17:$C$10003,'Project Details'!$E$17:$E$10003, "",0),dd_design_raw!$A$2:$A$9997,dd_design_raw!$C$2:$C$9997,"",0)</f>
        <v>0</v>
      </c>
      <c r="C1698" s="16"/>
      <c r="D1698" s="16"/>
      <c r="E1698" s="16" t="str" cm="1">
        <f t="array" ref="E1698">IF(C1698&lt;&gt;"", _xlfn.XLOOKUP(1,((SKUs!$A$2:$A$10001=B1698) * (LEFT(SKUs!$J$2:$J$10001, LEN("Pull Bar"))="Pull Bar")), SKUs!$J$2:$J$10001,""),"")</f>
        <v/>
      </c>
      <c r="F1698" s="33" t="str" cm="1">
        <f t="array" ref="F1698">_xlfn.XLOOKUP(1,((SKUs!$A$2:$A$10001=cl_unmerged!B1698) * (LEFT(SKUs!$J$2:$J$10001, LEN("Pull Bar"))="Pull Bar") * (ISNUMBER(SEARCH(A1698,SKUs!$C$2:$C$10001)))), SKUs!$C$2:$C$10001,"")</f>
        <v/>
      </c>
      <c r="G1698" s="16"/>
      <c r="H1698" s="16"/>
      <c r="I1698" s="16"/>
    </row>
    <row r="1699" spans="1:9" x14ac:dyDescent="0.25">
      <c r="A1699" s="41" t="str">
        <f>_xlfn.XLOOKUP(G1699,dd_color!$A$2:$A$8,dd_color!$B$2:$B$8,"",0)</f>
        <v/>
      </c>
      <c r="B1699" s="41">
        <f>_xlfn.XLOOKUP(_xlfn.XLOOKUP(C1699,'Project Details'!$C$17:$C$10003,'Project Details'!$E$17:$E$10003, "",0),dd_design_raw!$A$2:$A$9997,dd_design_raw!$C$2:$C$9997,"",0)</f>
        <v>0</v>
      </c>
      <c r="C1699" s="16"/>
      <c r="D1699" s="16"/>
      <c r="E1699" s="16" t="str" cm="1">
        <f t="array" ref="E1699">IF(C1699&lt;&gt;"", _xlfn.XLOOKUP(1,((SKUs!$A$2:$A$10001=B1699) * (LEFT(SKUs!$J$2:$J$10001, LEN("Pull Bar"))="Pull Bar")), SKUs!$J$2:$J$10001,""),"")</f>
        <v/>
      </c>
      <c r="F1699" s="33" t="str" cm="1">
        <f t="array" ref="F1699">_xlfn.XLOOKUP(1,((SKUs!$A$2:$A$10001=cl_unmerged!B1699) * (LEFT(SKUs!$J$2:$J$10001, LEN("Pull Bar"))="Pull Bar") * (ISNUMBER(SEARCH(A1699,SKUs!$C$2:$C$10001)))), SKUs!$C$2:$C$10001,"")</f>
        <v/>
      </c>
      <c r="G1699" s="16"/>
      <c r="H1699" s="16"/>
      <c r="I1699" s="16"/>
    </row>
    <row r="1700" spans="1:9" x14ac:dyDescent="0.25">
      <c r="A1700" s="41" t="str">
        <f>_xlfn.XLOOKUP(G1700,dd_color!$A$2:$A$8,dd_color!$B$2:$B$8,"",0)</f>
        <v/>
      </c>
      <c r="B1700" s="41">
        <f>_xlfn.XLOOKUP(_xlfn.XLOOKUP(C1700,'Project Details'!$C$17:$C$10003,'Project Details'!$E$17:$E$10003, "",0),dd_design_raw!$A$2:$A$9997,dd_design_raw!$C$2:$C$9997,"",0)</f>
        <v>0</v>
      </c>
      <c r="C1700" s="16"/>
      <c r="D1700" s="16"/>
      <c r="E1700" s="16" t="str" cm="1">
        <f t="array" ref="E1700">IF(C1700&lt;&gt;"", _xlfn.XLOOKUP(1,((SKUs!$A$2:$A$10001=B1700) * (LEFT(SKUs!$J$2:$J$10001, LEN("Pull Bar"))="Pull Bar")), SKUs!$J$2:$J$10001,""),"")</f>
        <v/>
      </c>
      <c r="F1700" s="33" t="str" cm="1">
        <f t="array" ref="F1700">_xlfn.XLOOKUP(1,((SKUs!$A$2:$A$10001=cl_unmerged!B1700) * (LEFT(SKUs!$J$2:$J$10001, LEN("Pull Bar"))="Pull Bar") * (ISNUMBER(SEARCH(A1700,SKUs!$C$2:$C$10001)))), SKUs!$C$2:$C$10001,"")</f>
        <v/>
      </c>
      <c r="G1700" s="16"/>
      <c r="H1700" s="16"/>
      <c r="I1700" s="16"/>
    </row>
    <row r="1701" spans="1:9" x14ac:dyDescent="0.25">
      <c r="A1701" s="41" t="str">
        <f>_xlfn.XLOOKUP(G1701,dd_color!$A$2:$A$8,dd_color!$B$2:$B$8,"",0)</f>
        <v/>
      </c>
      <c r="B1701" s="41">
        <f>_xlfn.XLOOKUP(_xlfn.XLOOKUP(C1701,'Project Details'!$C$17:$C$10003,'Project Details'!$E$17:$E$10003, "",0),dd_design_raw!$A$2:$A$9997,dd_design_raw!$C$2:$C$9997,"",0)</f>
        <v>0</v>
      </c>
      <c r="C1701" s="16"/>
      <c r="D1701" s="16"/>
      <c r="E1701" s="16" t="str" cm="1">
        <f t="array" ref="E1701">IF(C1701&lt;&gt;"", _xlfn.XLOOKUP(1,((SKUs!$A$2:$A$10001=B1701) * (LEFT(SKUs!$J$2:$J$10001, LEN("Pull Bar"))="Pull Bar")), SKUs!$J$2:$J$10001,""),"")</f>
        <v/>
      </c>
      <c r="F1701" s="33" t="str" cm="1">
        <f t="array" ref="F1701">_xlfn.XLOOKUP(1,((SKUs!$A$2:$A$10001=cl_unmerged!B1701) * (LEFT(SKUs!$J$2:$J$10001, LEN("Pull Bar"))="Pull Bar") * (ISNUMBER(SEARCH(A1701,SKUs!$C$2:$C$10001)))), SKUs!$C$2:$C$10001,"")</f>
        <v/>
      </c>
      <c r="G1701" s="16"/>
      <c r="H1701" s="16"/>
      <c r="I1701" s="16"/>
    </row>
    <row r="1702" spans="1:9" x14ac:dyDescent="0.25">
      <c r="A1702" s="41" t="str">
        <f>_xlfn.XLOOKUP(G1702,dd_color!$A$2:$A$8,dd_color!$B$2:$B$8,"",0)</f>
        <v/>
      </c>
      <c r="B1702" s="41">
        <f>_xlfn.XLOOKUP(_xlfn.XLOOKUP(C1702,'Project Details'!$C$17:$C$10003,'Project Details'!$E$17:$E$10003, "",0),dd_design_raw!$A$2:$A$9997,dd_design_raw!$C$2:$C$9997,"",0)</f>
        <v>0</v>
      </c>
      <c r="C1702" s="16"/>
      <c r="D1702" s="16"/>
      <c r="E1702" s="16" t="str" cm="1">
        <f t="array" ref="E1702">IF(C1702&lt;&gt;"", _xlfn.XLOOKUP(1,((SKUs!$A$2:$A$10001=B1702) * (LEFT(SKUs!$J$2:$J$10001, LEN("Pull Bar"))="Pull Bar")), SKUs!$J$2:$J$10001,""),"")</f>
        <v/>
      </c>
      <c r="F1702" s="33" t="str" cm="1">
        <f t="array" ref="F1702">_xlfn.XLOOKUP(1,((SKUs!$A$2:$A$10001=cl_unmerged!B1702) * (LEFT(SKUs!$J$2:$J$10001, LEN("Pull Bar"))="Pull Bar") * (ISNUMBER(SEARCH(A1702,SKUs!$C$2:$C$10001)))), SKUs!$C$2:$C$10001,"")</f>
        <v/>
      </c>
      <c r="G1702" s="16"/>
      <c r="H1702" s="16"/>
      <c r="I1702" s="16"/>
    </row>
    <row r="1703" spans="1:9" x14ac:dyDescent="0.25">
      <c r="A1703" s="41" t="str">
        <f>_xlfn.XLOOKUP(G1703,dd_color!$A$2:$A$8,dd_color!$B$2:$B$8,"",0)</f>
        <v/>
      </c>
      <c r="B1703" s="41">
        <f>_xlfn.XLOOKUP(_xlfn.XLOOKUP(C1703,'Project Details'!$C$17:$C$10003,'Project Details'!$E$17:$E$10003, "",0),dd_design_raw!$A$2:$A$9997,dd_design_raw!$C$2:$C$9997,"",0)</f>
        <v>0</v>
      </c>
      <c r="C1703" s="16"/>
      <c r="D1703" s="16"/>
      <c r="E1703" s="16" t="str" cm="1">
        <f t="array" ref="E1703">IF(C1703&lt;&gt;"", _xlfn.XLOOKUP(1,((SKUs!$A$2:$A$10001=B1703) * (LEFT(SKUs!$J$2:$J$10001, LEN("Pull Bar"))="Pull Bar")), SKUs!$J$2:$J$10001,""),"")</f>
        <v/>
      </c>
      <c r="F1703" s="33" t="str" cm="1">
        <f t="array" ref="F1703">_xlfn.XLOOKUP(1,((SKUs!$A$2:$A$10001=cl_unmerged!B1703) * (LEFT(SKUs!$J$2:$J$10001, LEN("Pull Bar"))="Pull Bar") * (ISNUMBER(SEARCH(A1703,SKUs!$C$2:$C$10001)))), SKUs!$C$2:$C$10001,"")</f>
        <v/>
      </c>
      <c r="G1703" s="16"/>
      <c r="H1703" s="16"/>
      <c r="I1703" s="16"/>
    </row>
    <row r="1704" spans="1:9" x14ac:dyDescent="0.25">
      <c r="A1704" s="41" t="str">
        <f>_xlfn.XLOOKUP(G1704,dd_color!$A$2:$A$8,dd_color!$B$2:$B$8,"",0)</f>
        <v/>
      </c>
      <c r="B1704" s="41">
        <f>_xlfn.XLOOKUP(_xlfn.XLOOKUP(C1704,'Project Details'!$C$17:$C$10003,'Project Details'!$E$17:$E$10003, "",0),dd_design_raw!$A$2:$A$9997,dd_design_raw!$C$2:$C$9997,"",0)</f>
        <v>0</v>
      </c>
      <c r="C1704" s="16"/>
      <c r="D1704" s="16"/>
      <c r="E1704" s="16" t="str" cm="1">
        <f t="array" ref="E1704">IF(C1704&lt;&gt;"", _xlfn.XLOOKUP(1,((SKUs!$A$2:$A$10001=B1704) * (LEFT(SKUs!$J$2:$J$10001, LEN("Pull Bar"))="Pull Bar")), SKUs!$J$2:$J$10001,""),"")</f>
        <v/>
      </c>
      <c r="F1704" s="33" t="str" cm="1">
        <f t="array" ref="F1704">_xlfn.XLOOKUP(1,((SKUs!$A$2:$A$10001=cl_unmerged!B1704) * (LEFT(SKUs!$J$2:$J$10001, LEN("Pull Bar"))="Pull Bar") * (ISNUMBER(SEARCH(A1704,SKUs!$C$2:$C$10001)))), SKUs!$C$2:$C$10001,"")</f>
        <v/>
      </c>
      <c r="G1704" s="16"/>
      <c r="H1704" s="16"/>
      <c r="I1704" s="16"/>
    </row>
    <row r="1705" spans="1:9" x14ac:dyDescent="0.25">
      <c r="A1705" s="41" t="str">
        <f>_xlfn.XLOOKUP(G1705,dd_color!$A$2:$A$8,dd_color!$B$2:$B$8,"",0)</f>
        <v/>
      </c>
      <c r="B1705" s="41">
        <f>_xlfn.XLOOKUP(_xlfn.XLOOKUP(C1705,'Project Details'!$C$17:$C$10003,'Project Details'!$E$17:$E$10003, "",0),dd_design_raw!$A$2:$A$9997,dd_design_raw!$C$2:$C$9997,"",0)</f>
        <v>0</v>
      </c>
      <c r="C1705" s="16"/>
      <c r="D1705" s="16"/>
      <c r="E1705" s="16" t="str" cm="1">
        <f t="array" ref="E1705">IF(C1705&lt;&gt;"", _xlfn.XLOOKUP(1,((SKUs!$A$2:$A$10001=B1705) * (LEFT(SKUs!$J$2:$J$10001, LEN("Pull Bar"))="Pull Bar")), SKUs!$J$2:$J$10001,""),"")</f>
        <v/>
      </c>
      <c r="F1705" s="33" t="str" cm="1">
        <f t="array" ref="F1705">_xlfn.XLOOKUP(1,((SKUs!$A$2:$A$10001=cl_unmerged!B1705) * (LEFT(SKUs!$J$2:$J$10001, LEN("Pull Bar"))="Pull Bar") * (ISNUMBER(SEARCH(A1705,SKUs!$C$2:$C$10001)))), SKUs!$C$2:$C$10001,"")</f>
        <v/>
      </c>
      <c r="G1705" s="16"/>
      <c r="H1705" s="16"/>
      <c r="I1705" s="16"/>
    </row>
    <row r="1706" spans="1:9" x14ac:dyDescent="0.25">
      <c r="A1706" s="41" t="str">
        <f>_xlfn.XLOOKUP(G1706,dd_color!$A$2:$A$8,dd_color!$B$2:$B$8,"",0)</f>
        <v/>
      </c>
      <c r="B1706" s="41">
        <f>_xlfn.XLOOKUP(_xlfn.XLOOKUP(C1706,'Project Details'!$C$17:$C$10003,'Project Details'!$E$17:$E$10003, "",0),dd_design_raw!$A$2:$A$9997,dd_design_raw!$C$2:$C$9997,"",0)</f>
        <v>0</v>
      </c>
      <c r="C1706" s="16"/>
      <c r="D1706" s="16"/>
      <c r="E1706" s="16" t="str" cm="1">
        <f t="array" ref="E1706">IF(C1706&lt;&gt;"", _xlfn.XLOOKUP(1,((SKUs!$A$2:$A$10001=B1706) * (LEFT(SKUs!$J$2:$J$10001, LEN("Pull Bar"))="Pull Bar")), SKUs!$J$2:$J$10001,""),"")</f>
        <v/>
      </c>
      <c r="F1706" s="33" t="str" cm="1">
        <f t="array" ref="F1706">_xlfn.XLOOKUP(1,((SKUs!$A$2:$A$10001=cl_unmerged!B1706) * (LEFT(SKUs!$J$2:$J$10001, LEN("Pull Bar"))="Pull Bar") * (ISNUMBER(SEARCH(A1706,SKUs!$C$2:$C$10001)))), SKUs!$C$2:$C$10001,"")</f>
        <v/>
      </c>
      <c r="G1706" s="16"/>
      <c r="H1706" s="16"/>
      <c r="I1706" s="16"/>
    </row>
    <row r="1707" spans="1:9" x14ac:dyDescent="0.25">
      <c r="A1707" s="41" t="str">
        <f>_xlfn.XLOOKUP(G1707,dd_color!$A$2:$A$8,dd_color!$B$2:$B$8,"",0)</f>
        <v/>
      </c>
      <c r="B1707" s="41">
        <f>_xlfn.XLOOKUP(_xlfn.XLOOKUP(C1707,'Project Details'!$C$17:$C$10003,'Project Details'!$E$17:$E$10003, "",0),dd_design_raw!$A$2:$A$9997,dd_design_raw!$C$2:$C$9997,"",0)</f>
        <v>0</v>
      </c>
      <c r="C1707" s="16"/>
      <c r="D1707" s="16"/>
      <c r="E1707" s="16" t="str" cm="1">
        <f t="array" ref="E1707">IF(C1707&lt;&gt;"", _xlfn.XLOOKUP(1,((SKUs!$A$2:$A$10001=B1707) * (LEFT(SKUs!$J$2:$J$10001, LEN("Pull Bar"))="Pull Bar")), SKUs!$J$2:$J$10001,""),"")</f>
        <v/>
      </c>
      <c r="F1707" s="33" t="str" cm="1">
        <f t="array" ref="F1707">_xlfn.XLOOKUP(1,((SKUs!$A$2:$A$10001=cl_unmerged!B1707) * (LEFT(SKUs!$J$2:$J$10001, LEN("Pull Bar"))="Pull Bar") * (ISNUMBER(SEARCH(A1707,SKUs!$C$2:$C$10001)))), SKUs!$C$2:$C$10001,"")</f>
        <v/>
      </c>
      <c r="G1707" s="16"/>
      <c r="H1707" s="16"/>
      <c r="I1707" s="16"/>
    </row>
    <row r="1708" spans="1:9" x14ac:dyDescent="0.25">
      <c r="A1708" s="41" t="str">
        <f>_xlfn.XLOOKUP(G1708,dd_color!$A$2:$A$8,dd_color!$B$2:$B$8,"",0)</f>
        <v/>
      </c>
      <c r="B1708" s="41">
        <f>_xlfn.XLOOKUP(_xlfn.XLOOKUP(C1708,'Project Details'!$C$17:$C$10003,'Project Details'!$E$17:$E$10003, "",0),dd_design_raw!$A$2:$A$9997,dd_design_raw!$C$2:$C$9997,"",0)</f>
        <v>0</v>
      </c>
      <c r="C1708" s="16"/>
      <c r="D1708" s="16"/>
      <c r="E1708" s="16" t="str" cm="1">
        <f t="array" ref="E1708">IF(C1708&lt;&gt;"", _xlfn.XLOOKUP(1,((SKUs!$A$2:$A$10001=B1708) * (LEFT(SKUs!$J$2:$J$10001, LEN("Pull Bar"))="Pull Bar")), SKUs!$J$2:$J$10001,""),"")</f>
        <v/>
      </c>
      <c r="F1708" s="33" t="str" cm="1">
        <f t="array" ref="F1708">_xlfn.XLOOKUP(1,((SKUs!$A$2:$A$10001=cl_unmerged!B1708) * (LEFT(SKUs!$J$2:$J$10001, LEN("Pull Bar"))="Pull Bar") * (ISNUMBER(SEARCH(A1708,SKUs!$C$2:$C$10001)))), SKUs!$C$2:$C$10001,"")</f>
        <v/>
      </c>
      <c r="G1708" s="16"/>
      <c r="H1708" s="16"/>
      <c r="I1708" s="16"/>
    </row>
    <row r="1709" spans="1:9" ht="13.5" customHeight="1" x14ac:dyDescent="0.25">
      <c r="A1709" s="41" t="str">
        <f>_xlfn.XLOOKUP(G1709,dd_color!$A$2:$A$8,dd_color!$B$2:$B$8,"",0)</f>
        <v/>
      </c>
      <c r="B1709" s="41">
        <f>_xlfn.XLOOKUP(_xlfn.XLOOKUP(C1709,'Project Details'!$C$17:$C$10003,'Project Details'!$E$17:$E$10003, "",0),dd_design_raw!$A$2:$A$9997,dd_design_raw!$C$2:$C$9997,"",0)</f>
        <v>0</v>
      </c>
      <c r="C1709" s="16"/>
      <c r="D1709" s="16"/>
      <c r="E1709" s="16" t="str" cm="1">
        <f t="array" ref="E1709">IF(C1709&lt;&gt;"", _xlfn.XLOOKUP(1,((SKUs!$A$2:$A$10001=B1709) * (LEFT(SKUs!$J$2:$J$10001, LEN("Pull Bar"))="Pull Bar")), SKUs!$J$2:$J$10001,""),"")</f>
        <v/>
      </c>
      <c r="F1709" s="33" t="str" cm="1">
        <f t="array" ref="F1709">_xlfn.XLOOKUP(1,((SKUs!$A$2:$A$10001=cl_unmerged!B1709) * (LEFT(SKUs!$J$2:$J$10001, LEN("Pull Bar"))="Pull Bar") * (ISNUMBER(SEARCH(A1709,SKUs!$C$2:$C$10001)))), SKUs!$C$2:$C$10001,"")</f>
        <v/>
      </c>
      <c r="G1709" s="16"/>
      <c r="H1709" s="16"/>
      <c r="I1709" s="16"/>
    </row>
    <row r="1710" spans="1:9" ht="13.5" customHeight="1" x14ac:dyDescent="0.25">
      <c r="A1710" s="41" t="str">
        <f>_xlfn.XLOOKUP(G1710,dd_color!$A$2:$A$8,dd_color!$B$2:$B$8,"",0)</f>
        <v/>
      </c>
      <c r="B1710" s="41">
        <f>_xlfn.XLOOKUP(_xlfn.XLOOKUP(C1710,'Project Details'!$C$17:$C$10003,'Project Details'!$E$17:$E$10003, "",0),dd_design_raw!$A$2:$A$9997,dd_design_raw!$C$2:$C$9997,"",0)</f>
        <v>0</v>
      </c>
      <c r="C1710" s="16"/>
      <c r="D1710" s="16"/>
      <c r="E1710" s="16" t="str" cm="1">
        <f t="array" ref="E1710">IF(C1710&lt;&gt;"", _xlfn.XLOOKUP(1,((SKUs!$A$2:$A$10001=B1710) * (LEFT(SKUs!$J$2:$J$10001, LEN("Pull Bar"))="Pull Bar")), SKUs!$J$2:$J$10001,""),"")</f>
        <v/>
      </c>
      <c r="F1710" s="33" t="str" cm="1">
        <f t="array" ref="F1710">_xlfn.XLOOKUP(1,((SKUs!$A$2:$A$10001=cl_unmerged!B1710) * (LEFT(SKUs!$J$2:$J$10001, LEN("Pull Bar"))="Pull Bar") * (ISNUMBER(SEARCH(A1710,SKUs!$C$2:$C$10001)))), SKUs!$C$2:$C$10001,"")</f>
        <v/>
      </c>
      <c r="G1710" s="16"/>
      <c r="H1710" s="16"/>
      <c r="I1710" s="16"/>
    </row>
    <row r="1711" spans="1:9" ht="13.5" customHeight="1" x14ac:dyDescent="0.25">
      <c r="A1711" s="41" t="str">
        <f>_xlfn.XLOOKUP(G1711,dd_color!$A$2:$A$8,dd_color!$B$2:$B$8,"",0)</f>
        <v/>
      </c>
      <c r="B1711" s="41">
        <f>_xlfn.XLOOKUP(_xlfn.XLOOKUP(C1711,'Project Details'!$C$17:$C$10003,'Project Details'!$E$17:$E$10003, "",0),dd_design_raw!$A$2:$A$9997,dd_design_raw!$C$2:$C$9997,"",0)</f>
        <v>0</v>
      </c>
      <c r="C1711" s="16"/>
      <c r="D1711" s="16"/>
      <c r="E1711" s="16" t="str" cm="1">
        <f t="array" ref="E1711">IF(C1711&lt;&gt;"", _xlfn.XLOOKUP(1,((SKUs!$A$2:$A$10001=B1711) * (LEFT(SKUs!$J$2:$J$10001, LEN("Pull Bar"))="Pull Bar")), SKUs!$J$2:$J$10001,""),"")</f>
        <v/>
      </c>
      <c r="F1711" s="33" t="str" cm="1">
        <f t="array" ref="F1711">_xlfn.XLOOKUP(1,((SKUs!$A$2:$A$10001=cl_unmerged!B1711) * (LEFT(SKUs!$J$2:$J$10001, LEN("Pull Bar"))="Pull Bar") * (ISNUMBER(SEARCH(A1711,SKUs!$C$2:$C$10001)))), SKUs!$C$2:$C$10001,"")</f>
        <v/>
      </c>
      <c r="G1711" s="16"/>
      <c r="H1711" s="16"/>
      <c r="I1711" s="16"/>
    </row>
    <row r="1712" spans="1:9" ht="13.5" customHeight="1" x14ac:dyDescent="0.25">
      <c r="A1712" s="41" t="str">
        <f>_xlfn.XLOOKUP(G1712,dd_color!$A$2:$A$8,dd_color!$B$2:$B$8,"",0)</f>
        <v/>
      </c>
      <c r="B1712" s="41">
        <f>_xlfn.XLOOKUP(_xlfn.XLOOKUP(C1712,'Project Details'!$C$17:$C$10003,'Project Details'!$E$17:$E$10003, "",0),dd_design_raw!$A$2:$A$9997,dd_design_raw!$C$2:$C$9997,"",0)</f>
        <v>0</v>
      </c>
      <c r="C1712" s="16"/>
      <c r="D1712" s="16"/>
      <c r="E1712" s="16" t="str" cm="1">
        <f t="array" ref="E1712">IF(C1712&lt;&gt;"", _xlfn.XLOOKUP(1,((SKUs!$A$2:$A$10001=B1712) * (LEFT(SKUs!$J$2:$J$10001, LEN("Pull Bar"))="Pull Bar")), SKUs!$J$2:$J$10001,""),"")</f>
        <v/>
      </c>
      <c r="F1712" s="33" t="str" cm="1">
        <f t="array" ref="F1712">_xlfn.XLOOKUP(1,((SKUs!$A$2:$A$10001=cl_unmerged!B1712) * (LEFT(SKUs!$J$2:$J$10001, LEN("Pull Bar"))="Pull Bar") * (ISNUMBER(SEARCH(A1712,SKUs!$C$2:$C$10001)))), SKUs!$C$2:$C$10001,"")</f>
        <v/>
      </c>
      <c r="G1712" s="16"/>
      <c r="H1712" s="16"/>
      <c r="I1712" s="16"/>
    </row>
    <row r="1713" spans="1:9" ht="13.5" customHeight="1" x14ac:dyDescent="0.25">
      <c r="A1713" s="41" t="str">
        <f>_xlfn.XLOOKUP(G1713,dd_color!$A$2:$A$8,dd_color!$B$2:$B$8,"",0)</f>
        <v/>
      </c>
      <c r="B1713" s="41">
        <f>_xlfn.XLOOKUP(_xlfn.XLOOKUP(C1713,'Project Details'!$C$17:$C$10003,'Project Details'!$E$17:$E$10003, "",0),dd_design_raw!$A$2:$A$9997,dd_design_raw!$C$2:$C$9997,"",0)</f>
        <v>0</v>
      </c>
      <c r="C1713" s="16"/>
      <c r="D1713" s="16"/>
      <c r="E1713" s="16" t="str" cm="1">
        <f t="array" ref="E1713">IF(C1713&lt;&gt;"", _xlfn.XLOOKUP(1,((SKUs!$A$2:$A$10001=B1713) * (LEFT(SKUs!$J$2:$J$10001, LEN("Pull Bar"))="Pull Bar")), SKUs!$J$2:$J$10001,""),"")</f>
        <v/>
      </c>
      <c r="F1713" s="33" t="str" cm="1">
        <f t="array" ref="F1713">_xlfn.XLOOKUP(1,((SKUs!$A$2:$A$10001=cl_unmerged!B1713) * (LEFT(SKUs!$J$2:$J$10001, LEN("Pull Bar"))="Pull Bar") * (ISNUMBER(SEARCH(A1713,SKUs!$C$2:$C$10001)))), SKUs!$C$2:$C$10001,"")</f>
        <v/>
      </c>
      <c r="G1713" s="16"/>
      <c r="H1713" s="16"/>
      <c r="I1713" s="16"/>
    </row>
    <row r="1714" spans="1:9" ht="13.5" customHeight="1" x14ac:dyDescent="0.25">
      <c r="A1714" s="41" t="str">
        <f>_xlfn.XLOOKUP(G1714,dd_color!$A$2:$A$8,dd_color!$B$2:$B$8,"",0)</f>
        <v/>
      </c>
      <c r="B1714" s="41">
        <f>_xlfn.XLOOKUP(_xlfn.XLOOKUP(C1714,'Project Details'!$C$17:$C$10003,'Project Details'!$E$17:$E$10003, "",0),dd_design_raw!$A$2:$A$9997,dd_design_raw!$C$2:$C$9997,"",0)</f>
        <v>0</v>
      </c>
      <c r="C1714" s="16"/>
      <c r="D1714" s="16"/>
      <c r="E1714" s="16" t="str" cm="1">
        <f t="array" ref="E1714">IF(C1714&lt;&gt;"", _xlfn.XLOOKUP(1,((SKUs!$A$2:$A$10001=B1714) * (LEFT(SKUs!$J$2:$J$10001, LEN("Pull Bar"))="Pull Bar")), SKUs!$J$2:$J$10001,""),"")</f>
        <v/>
      </c>
      <c r="F1714" s="33" t="str" cm="1">
        <f t="array" ref="F1714">_xlfn.XLOOKUP(1,((SKUs!$A$2:$A$10001=cl_unmerged!B1714) * (LEFT(SKUs!$J$2:$J$10001, LEN("Pull Bar"))="Pull Bar") * (ISNUMBER(SEARCH(A1714,SKUs!$C$2:$C$10001)))), SKUs!$C$2:$C$10001,"")</f>
        <v/>
      </c>
      <c r="G1714" s="16"/>
      <c r="H1714" s="16"/>
      <c r="I1714" s="16"/>
    </row>
    <row r="1715" spans="1:9" ht="13.5" customHeight="1" x14ac:dyDescent="0.25">
      <c r="A1715" s="41" t="str">
        <f>_xlfn.XLOOKUP(G1715,dd_color!$A$2:$A$8,dd_color!$B$2:$B$8,"",0)</f>
        <v/>
      </c>
      <c r="B1715" s="41">
        <f>_xlfn.XLOOKUP(_xlfn.XLOOKUP(C1715,'Project Details'!$C$17:$C$10003,'Project Details'!$E$17:$E$10003, "",0),dd_design_raw!$A$2:$A$9997,dd_design_raw!$C$2:$C$9997,"",0)</f>
        <v>0</v>
      </c>
      <c r="C1715" s="16"/>
      <c r="D1715" s="16"/>
      <c r="E1715" s="16" t="str" cm="1">
        <f t="array" ref="E1715">IF(C1715&lt;&gt;"", _xlfn.XLOOKUP(1,((SKUs!$A$2:$A$10001=B1715) * (LEFT(SKUs!$J$2:$J$10001, LEN("Pull Bar"))="Pull Bar")), SKUs!$J$2:$J$10001,""),"")</f>
        <v/>
      </c>
      <c r="F1715" s="33" t="str" cm="1">
        <f t="array" ref="F1715">_xlfn.XLOOKUP(1,((SKUs!$A$2:$A$10001=cl_unmerged!B1715) * (LEFT(SKUs!$J$2:$J$10001, LEN("Pull Bar"))="Pull Bar") * (ISNUMBER(SEARCH(A1715,SKUs!$C$2:$C$10001)))), SKUs!$C$2:$C$10001,"")</f>
        <v/>
      </c>
      <c r="G1715" s="16"/>
      <c r="H1715" s="16"/>
      <c r="I1715" s="16"/>
    </row>
    <row r="1716" spans="1:9" ht="13.5" customHeight="1" x14ac:dyDescent="0.25">
      <c r="A1716" s="41" t="str">
        <f>_xlfn.XLOOKUP(G1716,dd_color!$A$2:$A$8,dd_color!$B$2:$B$8,"",0)</f>
        <v/>
      </c>
      <c r="B1716" s="41">
        <f>_xlfn.XLOOKUP(_xlfn.XLOOKUP(C1716,'Project Details'!$C$17:$C$10003,'Project Details'!$E$17:$E$10003, "",0),dd_design_raw!$A$2:$A$9997,dd_design_raw!$C$2:$C$9997,"",0)</f>
        <v>0</v>
      </c>
      <c r="C1716" s="16"/>
      <c r="D1716" s="16"/>
      <c r="E1716" s="16" t="str" cm="1">
        <f t="array" ref="E1716">IF(C1716&lt;&gt;"", _xlfn.XLOOKUP(1,((SKUs!$A$2:$A$10001=B1716) * (LEFT(SKUs!$J$2:$J$10001, LEN("Pull Bar"))="Pull Bar")), SKUs!$J$2:$J$10001,""),"")</f>
        <v/>
      </c>
      <c r="F1716" s="33" t="str" cm="1">
        <f t="array" ref="F1716">_xlfn.XLOOKUP(1,((SKUs!$A$2:$A$10001=cl_unmerged!B1716) * (LEFT(SKUs!$J$2:$J$10001, LEN("Pull Bar"))="Pull Bar") * (ISNUMBER(SEARCH(A1716,SKUs!$C$2:$C$10001)))), SKUs!$C$2:$C$10001,"")</f>
        <v/>
      </c>
      <c r="G1716" s="16"/>
      <c r="H1716" s="16"/>
      <c r="I1716" s="16"/>
    </row>
    <row r="1717" spans="1:9" ht="13.5" customHeight="1" x14ac:dyDescent="0.25">
      <c r="A1717" s="41" t="str">
        <f>_xlfn.XLOOKUP(G1717,dd_color!$A$2:$A$8,dd_color!$B$2:$B$8,"",0)</f>
        <v/>
      </c>
      <c r="B1717" s="41">
        <f>_xlfn.XLOOKUP(_xlfn.XLOOKUP(C1717,'Project Details'!$C$17:$C$10003,'Project Details'!$E$17:$E$10003, "",0),dd_design_raw!$A$2:$A$9997,dd_design_raw!$C$2:$C$9997,"",0)</f>
        <v>0</v>
      </c>
      <c r="C1717" s="16"/>
      <c r="D1717" s="16"/>
      <c r="E1717" s="16" t="str" cm="1">
        <f t="array" ref="E1717">IF(C1717&lt;&gt;"", _xlfn.XLOOKUP(1,((SKUs!$A$2:$A$10001=B1717) * (LEFT(SKUs!$J$2:$J$10001, LEN("Pull Bar"))="Pull Bar")), SKUs!$J$2:$J$10001,""),"")</f>
        <v/>
      </c>
      <c r="F1717" s="33" t="str" cm="1">
        <f t="array" ref="F1717">_xlfn.XLOOKUP(1,((SKUs!$A$2:$A$10001=cl_unmerged!B1717) * (LEFT(SKUs!$J$2:$J$10001, LEN("Pull Bar"))="Pull Bar") * (ISNUMBER(SEARCH(A1717,SKUs!$C$2:$C$10001)))), SKUs!$C$2:$C$10001,"")</f>
        <v/>
      </c>
      <c r="G1717" s="16"/>
      <c r="H1717" s="16"/>
      <c r="I1717" s="16"/>
    </row>
    <row r="1718" spans="1:9" ht="13.5" customHeight="1" x14ac:dyDescent="0.25">
      <c r="A1718" s="41" t="str">
        <f>_xlfn.XLOOKUP(G1718,dd_color!$A$2:$A$8,dd_color!$B$2:$B$8,"",0)</f>
        <v/>
      </c>
      <c r="B1718" s="41">
        <f>_xlfn.XLOOKUP(_xlfn.XLOOKUP(C1718,'Project Details'!$C$17:$C$10003,'Project Details'!$E$17:$E$10003, "",0),dd_design_raw!$A$2:$A$9997,dd_design_raw!$C$2:$C$9997,"",0)</f>
        <v>0</v>
      </c>
      <c r="C1718" s="16"/>
      <c r="D1718" s="16"/>
      <c r="E1718" s="16" t="str" cm="1">
        <f t="array" ref="E1718">IF(C1718&lt;&gt;"", _xlfn.XLOOKUP(1,((SKUs!$A$2:$A$10001=B1718) * (LEFT(SKUs!$J$2:$J$10001, LEN("Pull Bar"))="Pull Bar")), SKUs!$J$2:$J$10001,""),"")</f>
        <v/>
      </c>
      <c r="F1718" s="33" t="str" cm="1">
        <f t="array" ref="F1718">_xlfn.XLOOKUP(1,((SKUs!$A$2:$A$10001=cl_unmerged!B1718) * (LEFT(SKUs!$J$2:$J$10001, LEN("Pull Bar"))="Pull Bar") * (ISNUMBER(SEARCH(A1718,SKUs!$C$2:$C$10001)))), SKUs!$C$2:$C$10001,"")</f>
        <v/>
      </c>
      <c r="G1718" s="16"/>
      <c r="H1718" s="16"/>
      <c r="I1718" s="16"/>
    </row>
    <row r="1719" spans="1:9" ht="13.5" customHeight="1" x14ac:dyDescent="0.25">
      <c r="A1719" s="41" t="str">
        <f>_xlfn.XLOOKUP(G1719,dd_color!$A$2:$A$8,dd_color!$B$2:$B$8,"",0)</f>
        <v/>
      </c>
      <c r="B1719" s="41">
        <f>_xlfn.XLOOKUP(_xlfn.XLOOKUP(C1719,'Project Details'!$C$17:$C$10003,'Project Details'!$E$17:$E$10003, "",0),dd_design_raw!$A$2:$A$9997,dd_design_raw!$C$2:$C$9997,"",0)</f>
        <v>0</v>
      </c>
      <c r="C1719" s="16"/>
      <c r="D1719" s="16"/>
      <c r="E1719" s="16" t="str" cm="1">
        <f t="array" ref="E1719">IF(C1719&lt;&gt;"", _xlfn.XLOOKUP(1,((SKUs!$A$2:$A$10001=B1719) * (LEFT(SKUs!$J$2:$J$10001, LEN("Pull Bar"))="Pull Bar")), SKUs!$J$2:$J$10001,""),"")</f>
        <v/>
      </c>
      <c r="F1719" s="33" t="str" cm="1">
        <f t="array" ref="F1719">_xlfn.XLOOKUP(1,((SKUs!$A$2:$A$10001=cl_unmerged!B1719) * (LEFT(SKUs!$J$2:$J$10001, LEN("Pull Bar"))="Pull Bar") * (ISNUMBER(SEARCH(A1719,SKUs!$C$2:$C$10001)))), SKUs!$C$2:$C$10001,"")</f>
        <v/>
      </c>
      <c r="G1719" s="16"/>
      <c r="H1719" s="16"/>
      <c r="I1719" s="16"/>
    </row>
    <row r="1720" spans="1:9" ht="13.5" customHeight="1" x14ac:dyDescent="0.25">
      <c r="A1720" s="41" t="str">
        <f>_xlfn.XLOOKUP(G1720,dd_color!$A$2:$A$8,dd_color!$B$2:$B$8,"",0)</f>
        <v/>
      </c>
      <c r="B1720" s="41">
        <f>_xlfn.XLOOKUP(_xlfn.XLOOKUP(C1720,'Project Details'!$C$17:$C$10003,'Project Details'!$E$17:$E$10003, "",0),dd_design_raw!$A$2:$A$9997,dd_design_raw!$C$2:$C$9997,"",0)</f>
        <v>0</v>
      </c>
      <c r="C1720" s="16"/>
      <c r="D1720" s="16"/>
      <c r="E1720" s="16" t="str" cm="1">
        <f t="array" ref="E1720">IF(C1720&lt;&gt;"", _xlfn.XLOOKUP(1,((SKUs!$A$2:$A$10001=B1720) * (LEFT(SKUs!$J$2:$J$10001, LEN("Pull Bar"))="Pull Bar")), SKUs!$J$2:$J$10001,""),"")</f>
        <v/>
      </c>
      <c r="F1720" s="33" t="str" cm="1">
        <f t="array" ref="F1720">_xlfn.XLOOKUP(1,((SKUs!$A$2:$A$10001=cl_unmerged!B1720) * (LEFT(SKUs!$J$2:$J$10001, LEN("Pull Bar"))="Pull Bar") * (ISNUMBER(SEARCH(A1720,SKUs!$C$2:$C$10001)))), SKUs!$C$2:$C$10001,"")</f>
        <v/>
      </c>
      <c r="G1720" s="16"/>
      <c r="H1720" s="16"/>
      <c r="I1720" s="16"/>
    </row>
    <row r="1721" spans="1:9" ht="13.5" customHeight="1" x14ac:dyDescent="0.25">
      <c r="A1721" s="41" t="str">
        <f>_xlfn.XLOOKUP(G1721,dd_color!$A$2:$A$8,dd_color!$B$2:$B$8,"",0)</f>
        <v/>
      </c>
      <c r="B1721" s="41">
        <f>_xlfn.XLOOKUP(_xlfn.XLOOKUP(C1721,'Project Details'!$C$17:$C$10003,'Project Details'!$E$17:$E$10003, "",0),dd_design_raw!$A$2:$A$9997,dd_design_raw!$C$2:$C$9997,"",0)</f>
        <v>0</v>
      </c>
      <c r="C1721" s="16"/>
      <c r="D1721" s="16"/>
      <c r="E1721" s="16" t="str" cm="1">
        <f t="array" ref="E1721">IF(C1721&lt;&gt;"", _xlfn.XLOOKUP(1,((SKUs!$A$2:$A$10001=B1721) * (LEFT(SKUs!$J$2:$J$10001, LEN("Pull Bar"))="Pull Bar")), SKUs!$J$2:$J$10001,""),"")</f>
        <v/>
      </c>
      <c r="F1721" s="33" t="str" cm="1">
        <f t="array" ref="F1721">_xlfn.XLOOKUP(1,((SKUs!$A$2:$A$10001=cl_unmerged!B1721) * (LEFT(SKUs!$J$2:$J$10001, LEN("Pull Bar"))="Pull Bar") * (ISNUMBER(SEARCH(A1721,SKUs!$C$2:$C$10001)))), SKUs!$C$2:$C$10001,"")</f>
        <v/>
      </c>
      <c r="G1721" s="16"/>
      <c r="H1721" s="16"/>
      <c r="I1721" s="16"/>
    </row>
    <row r="1722" spans="1:9" ht="13.5" customHeight="1" x14ac:dyDescent="0.25">
      <c r="A1722" s="41" t="str">
        <f>_xlfn.XLOOKUP(G1722,dd_color!$A$2:$A$8,dd_color!$B$2:$B$8,"",0)</f>
        <v/>
      </c>
      <c r="B1722" s="41">
        <f>_xlfn.XLOOKUP(_xlfn.XLOOKUP(C1722,'Project Details'!$C$17:$C$10003,'Project Details'!$E$17:$E$10003, "",0),dd_design_raw!$A$2:$A$9997,dd_design_raw!$C$2:$C$9997,"",0)</f>
        <v>0</v>
      </c>
      <c r="C1722" s="16"/>
      <c r="D1722" s="16"/>
      <c r="E1722" s="16" t="str" cm="1">
        <f t="array" ref="E1722">IF(C1722&lt;&gt;"", _xlfn.XLOOKUP(1,((SKUs!$A$2:$A$10001=B1722) * (LEFT(SKUs!$J$2:$J$10001, LEN("Pull Bar"))="Pull Bar")), SKUs!$J$2:$J$10001,""),"")</f>
        <v/>
      </c>
      <c r="F1722" s="33" t="str" cm="1">
        <f t="array" ref="F1722">_xlfn.XLOOKUP(1,((SKUs!$A$2:$A$10001=cl_unmerged!B1722) * (LEFT(SKUs!$J$2:$J$10001, LEN("Pull Bar"))="Pull Bar") * (ISNUMBER(SEARCH(A1722,SKUs!$C$2:$C$10001)))), SKUs!$C$2:$C$10001,"")</f>
        <v/>
      </c>
      <c r="G1722" s="16"/>
      <c r="H1722" s="16"/>
      <c r="I1722" s="16"/>
    </row>
    <row r="1723" spans="1:9" ht="13.5" customHeight="1" x14ac:dyDescent="0.25">
      <c r="A1723" s="41" t="str">
        <f>_xlfn.XLOOKUP(G1723,dd_color!$A$2:$A$8,dd_color!$B$2:$B$8,"",0)</f>
        <v/>
      </c>
      <c r="B1723" s="41">
        <f>_xlfn.XLOOKUP(_xlfn.XLOOKUP(C1723,'Project Details'!$C$17:$C$10003,'Project Details'!$E$17:$E$10003, "",0),dd_design_raw!$A$2:$A$9997,dd_design_raw!$C$2:$C$9997,"",0)</f>
        <v>0</v>
      </c>
      <c r="C1723" s="16"/>
      <c r="D1723" s="16"/>
      <c r="E1723" s="16" t="str" cm="1">
        <f t="array" ref="E1723">IF(C1723&lt;&gt;"", _xlfn.XLOOKUP(1,((SKUs!$A$2:$A$10001=B1723) * (LEFT(SKUs!$J$2:$J$10001, LEN("Pull Bar"))="Pull Bar")), SKUs!$J$2:$J$10001,""),"")</f>
        <v/>
      </c>
      <c r="F1723" s="33" t="str" cm="1">
        <f t="array" ref="F1723">_xlfn.XLOOKUP(1,((SKUs!$A$2:$A$10001=cl_unmerged!B1723) * (LEFT(SKUs!$J$2:$J$10001, LEN("Pull Bar"))="Pull Bar") * (ISNUMBER(SEARCH(A1723,SKUs!$C$2:$C$10001)))), SKUs!$C$2:$C$10001,"")</f>
        <v/>
      </c>
      <c r="G1723" s="16"/>
      <c r="H1723" s="16"/>
      <c r="I1723" s="16"/>
    </row>
    <row r="1724" spans="1:9" ht="13.5" customHeight="1" x14ac:dyDescent="0.25">
      <c r="A1724" s="41" t="str">
        <f>_xlfn.XLOOKUP(G1724,dd_color!$A$2:$A$8,dd_color!$B$2:$B$8,"",0)</f>
        <v/>
      </c>
      <c r="B1724" s="41">
        <f>_xlfn.XLOOKUP(_xlfn.XLOOKUP(C1724,'Project Details'!$C$17:$C$10003,'Project Details'!$E$17:$E$10003, "",0),dd_design_raw!$A$2:$A$9997,dd_design_raw!$C$2:$C$9997,"",0)</f>
        <v>0</v>
      </c>
      <c r="C1724" s="16"/>
      <c r="D1724" s="16"/>
      <c r="E1724" s="16" t="str" cm="1">
        <f t="array" ref="E1724">IF(C1724&lt;&gt;"", _xlfn.XLOOKUP(1,((SKUs!$A$2:$A$10001=B1724) * (LEFT(SKUs!$J$2:$J$10001, LEN("Pull Bar"))="Pull Bar")), SKUs!$J$2:$J$10001,""),"")</f>
        <v/>
      </c>
      <c r="F1724" s="33" t="str" cm="1">
        <f t="array" ref="F1724">_xlfn.XLOOKUP(1,((SKUs!$A$2:$A$10001=cl_unmerged!B1724) * (LEFT(SKUs!$J$2:$J$10001, LEN("Pull Bar"))="Pull Bar") * (ISNUMBER(SEARCH(A1724,SKUs!$C$2:$C$10001)))), SKUs!$C$2:$C$10001,"")</f>
        <v/>
      </c>
      <c r="G1724" s="16"/>
      <c r="H1724" s="16"/>
      <c r="I1724" s="16"/>
    </row>
    <row r="1725" spans="1:9" ht="13.5" customHeight="1" x14ac:dyDescent="0.25">
      <c r="A1725" s="41" t="str">
        <f>_xlfn.XLOOKUP(G1725,dd_color!$A$2:$A$8,dd_color!$B$2:$B$8,"",0)</f>
        <v/>
      </c>
      <c r="B1725" s="41">
        <f>_xlfn.XLOOKUP(_xlfn.XLOOKUP(C1725,'Project Details'!$C$17:$C$10003,'Project Details'!$E$17:$E$10003, "",0),dd_design_raw!$A$2:$A$9997,dd_design_raw!$C$2:$C$9997,"",0)</f>
        <v>0</v>
      </c>
      <c r="C1725" s="16"/>
      <c r="D1725" s="16"/>
      <c r="E1725" s="16" t="str" cm="1">
        <f t="array" ref="E1725">IF(C1725&lt;&gt;"", _xlfn.XLOOKUP(1,((SKUs!$A$2:$A$10001=B1725) * (LEFT(SKUs!$J$2:$J$10001, LEN("Pull Bar"))="Pull Bar")), SKUs!$J$2:$J$10001,""),"")</f>
        <v/>
      </c>
      <c r="F1725" s="33" t="str" cm="1">
        <f t="array" ref="F1725">_xlfn.XLOOKUP(1,((SKUs!$A$2:$A$10001=cl_unmerged!B1725) * (LEFT(SKUs!$J$2:$J$10001, LEN("Pull Bar"))="Pull Bar") * (ISNUMBER(SEARCH(A1725,SKUs!$C$2:$C$10001)))), SKUs!$C$2:$C$10001,"")</f>
        <v/>
      </c>
      <c r="G1725" s="16"/>
      <c r="H1725" s="16"/>
      <c r="I1725" s="16"/>
    </row>
    <row r="1726" spans="1:9" ht="13.5" customHeight="1" x14ac:dyDescent="0.25">
      <c r="A1726" s="41" t="str">
        <f>_xlfn.XLOOKUP(G1726,dd_color!$A$2:$A$8,dd_color!$B$2:$B$8,"",0)</f>
        <v/>
      </c>
      <c r="B1726" s="41">
        <f>_xlfn.XLOOKUP(_xlfn.XLOOKUP(C1726,'Project Details'!$C$17:$C$10003,'Project Details'!$E$17:$E$10003, "",0),dd_design_raw!$A$2:$A$9997,dd_design_raw!$C$2:$C$9997,"",0)</f>
        <v>0</v>
      </c>
      <c r="C1726" s="16"/>
      <c r="D1726" s="16"/>
      <c r="E1726" s="16" t="str" cm="1">
        <f t="array" ref="E1726">IF(C1726&lt;&gt;"", _xlfn.XLOOKUP(1,((SKUs!$A$2:$A$10001=B1726) * (LEFT(SKUs!$J$2:$J$10001, LEN("Pull Bar"))="Pull Bar")), SKUs!$J$2:$J$10001,""),"")</f>
        <v/>
      </c>
      <c r="F1726" s="33" t="str" cm="1">
        <f t="array" ref="F1726">_xlfn.XLOOKUP(1,((SKUs!$A$2:$A$10001=cl_unmerged!B1726) * (LEFT(SKUs!$J$2:$J$10001, LEN("Pull Bar"))="Pull Bar") * (ISNUMBER(SEARCH(A1726,SKUs!$C$2:$C$10001)))), SKUs!$C$2:$C$10001,"")</f>
        <v/>
      </c>
      <c r="G1726" s="16"/>
      <c r="H1726" s="16"/>
      <c r="I1726" s="16"/>
    </row>
    <row r="1727" spans="1:9" ht="13.5" customHeight="1" x14ac:dyDescent="0.25">
      <c r="A1727" s="41" t="str">
        <f>_xlfn.XLOOKUP(G1727,dd_color!$A$2:$A$8,dd_color!$B$2:$B$8,"",0)</f>
        <v/>
      </c>
      <c r="B1727" s="41">
        <f>_xlfn.XLOOKUP(_xlfn.XLOOKUP(C1727,'Project Details'!$C$17:$C$10003,'Project Details'!$E$17:$E$10003, "",0),dd_design_raw!$A$2:$A$9997,dd_design_raw!$C$2:$C$9997,"",0)</f>
        <v>0</v>
      </c>
      <c r="C1727" s="16"/>
      <c r="D1727" s="16"/>
      <c r="E1727" s="16" t="str" cm="1">
        <f t="array" ref="E1727">IF(C1727&lt;&gt;"", _xlfn.XLOOKUP(1,((SKUs!$A$2:$A$10001=B1727) * (LEFT(SKUs!$J$2:$J$10001, LEN("Pull Bar"))="Pull Bar")), SKUs!$J$2:$J$10001,""),"")</f>
        <v/>
      </c>
      <c r="F1727" s="33" t="str" cm="1">
        <f t="array" ref="F1727">_xlfn.XLOOKUP(1,((SKUs!$A$2:$A$10001=cl_unmerged!B1727) * (LEFT(SKUs!$J$2:$J$10001, LEN("Pull Bar"))="Pull Bar") * (ISNUMBER(SEARCH(A1727,SKUs!$C$2:$C$10001)))), SKUs!$C$2:$C$10001,"")</f>
        <v/>
      </c>
      <c r="G1727" s="16"/>
      <c r="H1727" s="16"/>
      <c r="I1727" s="16"/>
    </row>
    <row r="1728" spans="1:9" ht="13.5" customHeight="1" x14ac:dyDescent="0.25">
      <c r="A1728" s="41" t="str">
        <f>_xlfn.XLOOKUP(G1728,dd_color!$A$2:$A$8,dd_color!$B$2:$B$8,"",0)</f>
        <v/>
      </c>
      <c r="B1728" s="41">
        <f>_xlfn.XLOOKUP(_xlfn.XLOOKUP(C1728,'Project Details'!$C$17:$C$10003,'Project Details'!$E$17:$E$10003, "",0),dd_design_raw!$A$2:$A$9997,dd_design_raw!$C$2:$C$9997,"",0)</f>
        <v>0</v>
      </c>
      <c r="C1728" s="16"/>
      <c r="D1728" s="16"/>
      <c r="E1728" s="16" t="str" cm="1">
        <f t="array" ref="E1728">IF(C1728&lt;&gt;"", _xlfn.XLOOKUP(1,((SKUs!$A$2:$A$10001=B1728) * (LEFT(SKUs!$J$2:$J$10001, LEN("Pull Bar"))="Pull Bar")), SKUs!$J$2:$J$10001,""),"")</f>
        <v/>
      </c>
      <c r="F1728" s="33" t="str" cm="1">
        <f t="array" ref="F1728">_xlfn.XLOOKUP(1,((SKUs!$A$2:$A$10001=cl_unmerged!B1728) * (LEFT(SKUs!$J$2:$J$10001, LEN("Pull Bar"))="Pull Bar") * (ISNUMBER(SEARCH(A1728,SKUs!$C$2:$C$10001)))), SKUs!$C$2:$C$10001,"")</f>
        <v/>
      </c>
      <c r="G1728" s="16"/>
      <c r="H1728" s="16"/>
      <c r="I1728" s="16"/>
    </row>
    <row r="1729" spans="1:9" ht="13.5" customHeight="1" x14ac:dyDescent="0.25">
      <c r="A1729" s="41" t="str">
        <f>_xlfn.XLOOKUP(G1729,dd_color!$A$2:$A$8,dd_color!$B$2:$B$8,"",0)</f>
        <v/>
      </c>
      <c r="B1729" s="41">
        <f>_xlfn.XLOOKUP(_xlfn.XLOOKUP(C1729,'Project Details'!$C$17:$C$10003,'Project Details'!$E$17:$E$10003, "",0),dd_design_raw!$A$2:$A$9997,dd_design_raw!$C$2:$C$9997,"",0)</f>
        <v>0</v>
      </c>
      <c r="C1729" s="16"/>
      <c r="D1729" s="16"/>
      <c r="E1729" s="16" t="str" cm="1">
        <f t="array" ref="E1729">IF(C1729&lt;&gt;"", _xlfn.XLOOKUP(1,((SKUs!$A$2:$A$10001=B1729) * (LEFT(SKUs!$J$2:$J$10001, LEN("Pull Bar"))="Pull Bar")), SKUs!$J$2:$J$10001,""),"")</f>
        <v/>
      </c>
      <c r="F1729" s="33" t="str" cm="1">
        <f t="array" ref="F1729">_xlfn.XLOOKUP(1,((SKUs!$A$2:$A$10001=cl_unmerged!B1729) * (LEFT(SKUs!$J$2:$J$10001, LEN("Pull Bar"))="Pull Bar") * (ISNUMBER(SEARCH(A1729,SKUs!$C$2:$C$10001)))), SKUs!$C$2:$C$10001,"")</f>
        <v/>
      </c>
      <c r="G1729" s="16"/>
      <c r="H1729" s="16"/>
      <c r="I1729" s="16"/>
    </row>
    <row r="1730" spans="1:9" ht="13.5" customHeight="1" x14ac:dyDescent="0.25">
      <c r="A1730" s="41" t="str">
        <f>_xlfn.XLOOKUP(G1730,dd_color!$A$2:$A$8,dd_color!$B$2:$B$8,"",0)</f>
        <v/>
      </c>
      <c r="B1730" s="41">
        <f>_xlfn.XLOOKUP(_xlfn.XLOOKUP(C1730,'Project Details'!$C$17:$C$10003,'Project Details'!$E$17:$E$10003, "",0),dd_design_raw!$A$2:$A$9997,dd_design_raw!$C$2:$C$9997,"",0)</f>
        <v>0</v>
      </c>
      <c r="C1730" s="16"/>
      <c r="D1730" s="16"/>
      <c r="E1730" s="16" t="str" cm="1">
        <f t="array" ref="E1730">IF(C1730&lt;&gt;"", _xlfn.XLOOKUP(1,((SKUs!$A$2:$A$10001=B1730) * (LEFT(SKUs!$J$2:$J$10001, LEN("Pull Bar"))="Pull Bar")), SKUs!$J$2:$J$10001,""),"")</f>
        <v/>
      </c>
      <c r="F1730" s="33" t="str" cm="1">
        <f t="array" ref="F1730">_xlfn.XLOOKUP(1,((SKUs!$A$2:$A$10001=cl_unmerged!B1730) * (LEFT(SKUs!$J$2:$J$10001, LEN("Pull Bar"))="Pull Bar") * (ISNUMBER(SEARCH(A1730,SKUs!$C$2:$C$10001)))), SKUs!$C$2:$C$10001,"")</f>
        <v/>
      </c>
      <c r="G1730" s="16"/>
      <c r="H1730" s="16"/>
      <c r="I1730" s="16"/>
    </row>
    <row r="1731" spans="1:9" ht="13.5" customHeight="1" x14ac:dyDescent="0.25">
      <c r="A1731" s="41" t="str">
        <f>_xlfn.XLOOKUP(G1731,dd_color!$A$2:$A$8,dd_color!$B$2:$B$8,"",0)</f>
        <v/>
      </c>
      <c r="B1731" s="41">
        <f>_xlfn.XLOOKUP(_xlfn.XLOOKUP(C1731,'Project Details'!$C$17:$C$10003,'Project Details'!$E$17:$E$10003, "",0),dd_design_raw!$A$2:$A$9997,dd_design_raw!$C$2:$C$9997,"",0)</f>
        <v>0</v>
      </c>
      <c r="C1731" s="16"/>
      <c r="D1731" s="16"/>
      <c r="E1731" s="16" t="str" cm="1">
        <f t="array" ref="E1731">IF(C1731&lt;&gt;"", _xlfn.XLOOKUP(1,((SKUs!$A$2:$A$10001=B1731) * (LEFT(SKUs!$J$2:$J$10001, LEN("Pull Bar"))="Pull Bar")), SKUs!$J$2:$J$10001,""),"")</f>
        <v/>
      </c>
      <c r="F1731" s="33" t="str" cm="1">
        <f t="array" ref="F1731">_xlfn.XLOOKUP(1,((SKUs!$A$2:$A$10001=cl_unmerged!B1731) * (LEFT(SKUs!$J$2:$J$10001, LEN("Pull Bar"))="Pull Bar") * (ISNUMBER(SEARCH(A1731,SKUs!$C$2:$C$10001)))), SKUs!$C$2:$C$10001,"")</f>
        <v/>
      </c>
      <c r="G1731" s="16"/>
      <c r="H1731" s="16"/>
      <c r="I1731" s="16"/>
    </row>
    <row r="1732" spans="1:9" ht="13.5" customHeight="1" x14ac:dyDescent="0.25">
      <c r="A1732" s="41" t="str">
        <f>_xlfn.XLOOKUP(G1732,dd_color!$A$2:$A$8,dd_color!$B$2:$B$8,"",0)</f>
        <v/>
      </c>
      <c r="B1732" s="41">
        <f>_xlfn.XLOOKUP(_xlfn.XLOOKUP(C1732,'Project Details'!$C$17:$C$10003,'Project Details'!$E$17:$E$10003, "",0),dd_design_raw!$A$2:$A$9997,dd_design_raw!$C$2:$C$9997,"",0)</f>
        <v>0</v>
      </c>
      <c r="C1732" s="16"/>
      <c r="D1732" s="16"/>
      <c r="E1732" s="16" t="str" cm="1">
        <f t="array" ref="E1732">IF(C1732&lt;&gt;"", _xlfn.XLOOKUP(1,((SKUs!$A$2:$A$10001=B1732) * (LEFT(SKUs!$J$2:$J$10001, LEN("Pull Bar"))="Pull Bar")), SKUs!$J$2:$J$10001,""),"")</f>
        <v/>
      </c>
      <c r="F1732" s="33" t="str" cm="1">
        <f t="array" ref="F1732">_xlfn.XLOOKUP(1,((SKUs!$A$2:$A$10001=cl_unmerged!B1732) * (LEFT(SKUs!$J$2:$J$10001, LEN("Pull Bar"))="Pull Bar") * (ISNUMBER(SEARCH(A1732,SKUs!$C$2:$C$10001)))), SKUs!$C$2:$C$10001,"")</f>
        <v/>
      </c>
      <c r="G1732" s="16"/>
      <c r="H1732" s="16"/>
      <c r="I1732" s="16"/>
    </row>
    <row r="1733" spans="1:9" ht="13.5" customHeight="1" x14ac:dyDescent="0.25">
      <c r="A1733" s="41" t="str">
        <f>_xlfn.XLOOKUP(G1733,dd_color!$A$2:$A$8,dd_color!$B$2:$B$8,"",0)</f>
        <v/>
      </c>
      <c r="B1733" s="41">
        <f>_xlfn.XLOOKUP(_xlfn.XLOOKUP(C1733,'Project Details'!$C$17:$C$10003,'Project Details'!$E$17:$E$10003, "",0),dd_design_raw!$A$2:$A$9997,dd_design_raw!$C$2:$C$9997,"",0)</f>
        <v>0</v>
      </c>
      <c r="C1733" s="16"/>
      <c r="D1733" s="16"/>
      <c r="E1733" s="16" t="str" cm="1">
        <f t="array" ref="E1733">IF(C1733&lt;&gt;"", _xlfn.XLOOKUP(1,((SKUs!$A$2:$A$10001=B1733) * (LEFT(SKUs!$J$2:$J$10001, LEN("Pull Bar"))="Pull Bar")), SKUs!$J$2:$J$10001,""),"")</f>
        <v/>
      </c>
      <c r="F1733" s="33" t="str" cm="1">
        <f t="array" ref="F1733">_xlfn.XLOOKUP(1,((SKUs!$A$2:$A$10001=cl_unmerged!B1733) * (LEFT(SKUs!$J$2:$J$10001, LEN("Pull Bar"))="Pull Bar") * (ISNUMBER(SEARCH(A1733,SKUs!$C$2:$C$10001)))), SKUs!$C$2:$C$10001,"")</f>
        <v/>
      </c>
      <c r="G1733" s="16"/>
      <c r="H1733" s="16"/>
      <c r="I1733" s="16"/>
    </row>
    <row r="1734" spans="1:9" ht="13.5" customHeight="1" x14ac:dyDescent="0.25">
      <c r="A1734" s="41" t="str">
        <f>_xlfn.XLOOKUP(G1734,dd_color!$A$2:$A$8,dd_color!$B$2:$B$8,"",0)</f>
        <v/>
      </c>
      <c r="B1734" s="41">
        <f>_xlfn.XLOOKUP(_xlfn.XLOOKUP(C1734,'Project Details'!$C$17:$C$10003,'Project Details'!$E$17:$E$10003, "",0),dd_design_raw!$A$2:$A$9997,dd_design_raw!$C$2:$C$9997,"",0)</f>
        <v>0</v>
      </c>
      <c r="C1734" s="16"/>
      <c r="D1734" s="16"/>
      <c r="E1734" s="16" t="str" cm="1">
        <f t="array" ref="E1734">IF(C1734&lt;&gt;"", _xlfn.XLOOKUP(1,((SKUs!$A$2:$A$10001=B1734) * (LEFT(SKUs!$J$2:$J$10001, LEN("Pull Bar"))="Pull Bar")), SKUs!$J$2:$J$10001,""),"")</f>
        <v/>
      </c>
      <c r="F1734" s="33" t="str" cm="1">
        <f t="array" ref="F1734">_xlfn.XLOOKUP(1,((SKUs!$A$2:$A$10001=cl_unmerged!B1734) * (LEFT(SKUs!$J$2:$J$10001, LEN("Pull Bar"))="Pull Bar") * (ISNUMBER(SEARCH(A1734,SKUs!$C$2:$C$10001)))), SKUs!$C$2:$C$10001,"")</f>
        <v/>
      </c>
      <c r="G1734" s="16"/>
      <c r="H1734" s="16"/>
      <c r="I1734" s="16"/>
    </row>
    <row r="1735" spans="1:9" ht="13.5" customHeight="1" x14ac:dyDescent="0.25">
      <c r="A1735" s="41" t="str">
        <f>_xlfn.XLOOKUP(G1735,dd_color!$A$2:$A$8,dd_color!$B$2:$B$8,"",0)</f>
        <v/>
      </c>
      <c r="B1735" s="41">
        <f>_xlfn.XLOOKUP(_xlfn.XLOOKUP(C1735,'Project Details'!$C$17:$C$10003,'Project Details'!$E$17:$E$10003, "",0),dd_design_raw!$A$2:$A$9997,dd_design_raw!$C$2:$C$9997,"",0)</f>
        <v>0</v>
      </c>
      <c r="C1735" s="16"/>
      <c r="D1735" s="16"/>
      <c r="E1735" s="16" t="str" cm="1">
        <f t="array" ref="E1735">IF(C1735&lt;&gt;"", _xlfn.XLOOKUP(1,((SKUs!$A$2:$A$10001=B1735) * (LEFT(SKUs!$J$2:$J$10001, LEN("Pull Bar"))="Pull Bar")), SKUs!$J$2:$J$10001,""),"")</f>
        <v/>
      </c>
      <c r="F1735" s="33" t="str" cm="1">
        <f t="array" ref="F1735">_xlfn.XLOOKUP(1,((SKUs!$A$2:$A$10001=cl_unmerged!B1735) * (LEFT(SKUs!$J$2:$J$10001, LEN("Pull Bar"))="Pull Bar") * (ISNUMBER(SEARCH(A1735,SKUs!$C$2:$C$10001)))), SKUs!$C$2:$C$10001,"")</f>
        <v/>
      </c>
      <c r="G1735" s="16"/>
      <c r="H1735" s="16"/>
      <c r="I1735" s="16"/>
    </row>
    <row r="1736" spans="1:9" ht="13.5" customHeight="1" x14ac:dyDescent="0.25">
      <c r="A1736" s="41" t="str">
        <f>_xlfn.XLOOKUP(G1736,dd_color!$A$2:$A$8,dd_color!$B$2:$B$8,"",0)</f>
        <v/>
      </c>
      <c r="B1736" s="41">
        <f>_xlfn.XLOOKUP(_xlfn.XLOOKUP(C1736,'Project Details'!$C$17:$C$10003,'Project Details'!$E$17:$E$10003, "",0),dd_design_raw!$A$2:$A$9997,dd_design_raw!$C$2:$C$9997,"",0)</f>
        <v>0</v>
      </c>
      <c r="C1736" s="16"/>
      <c r="D1736" s="16"/>
      <c r="E1736" s="16" t="str" cm="1">
        <f t="array" ref="E1736">IF(C1736&lt;&gt;"", _xlfn.XLOOKUP(1,((SKUs!$A$2:$A$10001=B1736) * (LEFT(SKUs!$J$2:$J$10001, LEN("Pull Bar"))="Pull Bar")), SKUs!$J$2:$J$10001,""),"")</f>
        <v/>
      </c>
      <c r="F1736" s="33" t="str" cm="1">
        <f t="array" ref="F1736">_xlfn.XLOOKUP(1,((SKUs!$A$2:$A$10001=cl_unmerged!B1736) * (LEFT(SKUs!$J$2:$J$10001, LEN("Pull Bar"))="Pull Bar") * (ISNUMBER(SEARCH(A1736,SKUs!$C$2:$C$10001)))), SKUs!$C$2:$C$10001,"")</f>
        <v/>
      </c>
      <c r="G1736" s="16"/>
      <c r="H1736" s="16"/>
      <c r="I1736" s="16"/>
    </row>
    <row r="1737" spans="1:9" ht="13.5" customHeight="1" x14ac:dyDescent="0.25">
      <c r="A1737" s="41" t="str">
        <f>_xlfn.XLOOKUP(G1737,dd_color!$A$2:$A$8,dd_color!$B$2:$B$8,"",0)</f>
        <v/>
      </c>
      <c r="B1737" s="41">
        <f>_xlfn.XLOOKUP(_xlfn.XLOOKUP(C1737,'Project Details'!$C$17:$C$10003,'Project Details'!$E$17:$E$10003, "",0),dd_design_raw!$A$2:$A$9997,dd_design_raw!$C$2:$C$9997,"",0)</f>
        <v>0</v>
      </c>
      <c r="C1737" s="16"/>
      <c r="D1737" s="16"/>
      <c r="E1737" s="16" t="str" cm="1">
        <f t="array" ref="E1737">IF(C1737&lt;&gt;"", _xlfn.XLOOKUP(1,((SKUs!$A$2:$A$10001=B1737) * (LEFT(SKUs!$J$2:$J$10001, LEN("Pull Bar"))="Pull Bar")), SKUs!$J$2:$J$10001,""),"")</f>
        <v/>
      </c>
      <c r="F1737" s="33" t="str" cm="1">
        <f t="array" ref="F1737">_xlfn.XLOOKUP(1,((SKUs!$A$2:$A$10001=cl_unmerged!B1737) * (LEFT(SKUs!$J$2:$J$10001, LEN("Pull Bar"))="Pull Bar") * (ISNUMBER(SEARCH(A1737,SKUs!$C$2:$C$10001)))), SKUs!$C$2:$C$10001,"")</f>
        <v/>
      </c>
      <c r="G1737" s="16"/>
      <c r="H1737" s="16"/>
      <c r="I1737" s="16"/>
    </row>
    <row r="1738" spans="1:9" ht="13.5" customHeight="1" x14ac:dyDescent="0.25">
      <c r="A1738" s="41" t="str">
        <f>_xlfn.XLOOKUP(G1738,dd_color!$A$2:$A$8,dd_color!$B$2:$B$8,"",0)</f>
        <v/>
      </c>
      <c r="B1738" s="41">
        <f>_xlfn.XLOOKUP(_xlfn.XLOOKUP(C1738,'Project Details'!$C$17:$C$10003,'Project Details'!$E$17:$E$10003, "",0),dd_design_raw!$A$2:$A$9997,dd_design_raw!$C$2:$C$9997,"",0)</f>
        <v>0</v>
      </c>
      <c r="C1738" s="16"/>
      <c r="D1738" s="16"/>
      <c r="E1738" s="16" t="str" cm="1">
        <f t="array" ref="E1738">IF(C1738&lt;&gt;"", _xlfn.XLOOKUP(1,((SKUs!$A$2:$A$10001=B1738) * (LEFT(SKUs!$J$2:$J$10001, LEN("Pull Bar"))="Pull Bar")), SKUs!$J$2:$J$10001,""),"")</f>
        <v/>
      </c>
      <c r="F1738" s="33" t="str" cm="1">
        <f t="array" ref="F1738">_xlfn.XLOOKUP(1,((SKUs!$A$2:$A$10001=cl_unmerged!B1738) * (LEFT(SKUs!$J$2:$J$10001, LEN("Pull Bar"))="Pull Bar") * (ISNUMBER(SEARCH(A1738,SKUs!$C$2:$C$10001)))), SKUs!$C$2:$C$10001,"")</f>
        <v/>
      </c>
      <c r="G1738" s="16"/>
      <c r="H1738" s="16"/>
      <c r="I1738" s="16"/>
    </row>
    <row r="1739" spans="1:9" ht="13.5" customHeight="1" x14ac:dyDescent="0.25">
      <c r="A1739" s="41" t="str">
        <f>_xlfn.XLOOKUP(G1739,dd_color!$A$2:$A$8,dd_color!$B$2:$B$8,"",0)</f>
        <v/>
      </c>
      <c r="B1739" s="41">
        <f>_xlfn.XLOOKUP(_xlfn.XLOOKUP(C1739,'Project Details'!$C$17:$C$10003,'Project Details'!$E$17:$E$10003, "",0),dd_design_raw!$A$2:$A$9997,dd_design_raw!$C$2:$C$9997,"",0)</f>
        <v>0</v>
      </c>
      <c r="C1739" s="16"/>
      <c r="D1739" s="16"/>
      <c r="E1739" s="16" t="str" cm="1">
        <f t="array" ref="E1739">IF(C1739&lt;&gt;"", _xlfn.XLOOKUP(1,((SKUs!$A$2:$A$10001=B1739) * (LEFT(SKUs!$J$2:$J$10001, LEN("Pull Bar"))="Pull Bar")), SKUs!$J$2:$J$10001,""),"")</f>
        <v/>
      </c>
      <c r="F1739" s="33" t="str" cm="1">
        <f t="array" ref="F1739">_xlfn.XLOOKUP(1,((SKUs!$A$2:$A$10001=cl_unmerged!B1739) * (LEFT(SKUs!$J$2:$J$10001, LEN("Pull Bar"))="Pull Bar") * (ISNUMBER(SEARCH(A1739,SKUs!$C$2:$C$10001)))), SKUs!$C$2:$C$10001,"")</f>
        <v/>
      </c>
      <c r="G1739" s="16"/>
      <c r="H1739" s="16"/>
      <c r="I1739" s="16"/>
    </row>
    <row r="1740" spans="1:9" ht="13.5" customHeight="1" x14ac:dyDescent="0.25">
      <c r="A1740" s="41" t="str">
        <f>_xlfn.XLOOKUP(G1740,dd_color!$A$2:$A$8,dd_color!$B$2:$B$8,"",0)</f>
        <v/>
      </c>
      <c r="B1740" s="41">
        <f>_xlfn.XLOOKUP(_xlfn.XLOOKUP(C1740,'Project Details'!$C$17:$C$10003,'Project Details'!$E$17:$E$10003, "",0),dd_design_raw!$A$2:$A$9997,dd_design_raw!$C$2:$C$9997,"",0)</f>
        <v>0</v>
      </c>
      <c r="C1740" s="16"/>
      <c r="D1740" s="16"/>
      <c r="E1740" s="16" t="str" cm="1">
        <f t="array" ref="E1740">IF(C1740&lt;&gt;"", _xlfn.XLOOKUP(1,((SKUs!$A$2:$A$10001=B1740) * (LEFT(SKUs!$J$2:$J$10001, LEN("Pull Bar"))="Pull Bar")), SKUs!$J$2:$J$10001,""),"")</f>
        <v/>
      </c>
      <c r="F1740" s="33" t="str" cm="1">
        <f t="array" ref="F1740">_xlfn.XLOOKUP(1,((SKUs!$A$2:$A$10001=cl_unmerged!B1740) * (LEFT(SKUs!$J$2:$J$10001, LEN("Pull Bar"))="Pull Bar") * (ISNUMBER(SEARCH(A1740,SKUs!$C$2:$C$10001)))), SKUs!$C$2:$C$10001,"")</f>
        <v/>
      </c>
      <c r="G1740" s="16"/>
      <c r="H1740" s="16"/>
      <c r="I1740" s="16"/>
    </row>
    <row r="1741" spans="1:9" ht="13.5" customHeight="1" x14ac:dyDescent="0.25">
      <c r="A1741" s="41" t="str">
        <f>_xlfn.XLOOKUP(G1741,dd_color!$A$2:$A$8,dd_color!$B$2:$B$8,"",0)</f>
        <v/>
      </c>
      <c r="B1741" s="41">
        <f>_xlfn.XLOOKUP(_xlfn.XLOOKUP(C1741,'Project Details'!$C$17:$C$10003,'Project Details'!$E$17:$E$10003, "",0),dd_design_raw!$A$2:$A$9997,dd_design_raw!$C$2:$C$9997,"",0)</f>
        <v>0</v>
      </c>
      <c r="C1741" s="16"/>
      <c r="D1741" s="16"/>
      <c r="E1741" s="16" t="str" cm="1">
        <f t="array" ref="E1741">IF(C1741&lt;&gt;"", _xlfn.XLOOKUP(1,((SKUs!$A$2:$A$10001=B1741) * (LEFT(SKUs!$J$2:$J$10001, LEN("Pull Bar"))="Pull Bar")), SKUs!$J$2:$J$10001,""),"")</f>
        <v/>
      </c>
      <c r="F1741" s="33" t="str" cm="1">
        <f t="array" ref="F1741">_xlfn.XLOOKUP(1,((SKUs!$A$2:$A$10001=cl_unmerged!B1741) * (LEFT(SKUs!$J$2:$J$10001, LEN("Pull Bar"))="Pull Bar") * (ISNUMBER(SEARCH(A1741,SKUs!$C$2:$C$10001)))), SKUs!$C$2:$C$10001,"")</f>
        <v/>
      </c>
      <c r="G1741" s="16"/>
      <c r="H1741" s="16"/>
      <c r="I1741" s="16"/>
    </row>
    <row r="1742" spans="1:9" ht="13.5" customHeight="1" x14ac:dyDescent="0.25">
      <c r="A1742" s="41" t="str">
        <f>_xlfn.XLOOKUP(G1742,dd_color!$A$2:$A$8,dd_color!$B$2:$B$8,"",0)</f>
        <v/>
      </c>
      <c r="B1742" s="41">
        <f>_xlfn.XLOOKUP(_xlfn.XLOOKUP(C1742,'Project Details'!$C$17:$C$10003,'Project Details'!$E$17:$E$10003, "",0),dd_design_raw!$A$2:$A$9997,dd_design_raw!$C$2:$C$9997,"",0)</f>
        <v>0</v>
      </c>
      <c r="C1742" s="16"/>
      <c r="D1742" s="16"/>
      <c r="E1742" s="16" t="str" cm="1">
        <f t="array" ref="E1742">IF(C1742&lt;&gt;"", _xlfn.XLOOKUP(1,((SKUs!$A$2:$A$10001=B1742) * (LEFT(SKUs!$J$2:$J$10001, LEN("Pull Bar"))="Pull Bar")), SKUs!$J$2:$J$10001,""),"")</f>
        <v/>
      </c>
      <c r="F1742" s="33" t="str" cm="1">
        <f t="array" ref="F1742">_xlfn.XLOOKUP(1,((SKUs!$A$2:$A$10001=cl_unmerged!B1742) * (LEFT(SKUs!$J$2:$J$10001, LEN("Pull Bar"))="Pull Bar") * (ISNUMBER(SEARCH(A1742,SKUs!$C$2:$C$10001)))), SKUs!$C$2:$C$10001,"")</f>
        <v/>
      </c>
      <c r="G1742" s="16"/>
      <c r="H1742" s="16"/>
      <c r="I1742" s="16"/>
    </row>
    <row r="1743" spans="1:9" ht="13.5" customHeight="1" x14ac:dyDescent="0.25">
      <c r="A1743" s="41" t="str">
        <f>_xlfn.XLOOKUP(G1743,dd_color!$A$2:$A$8,dd_color!$B$2:$B$8,"",0)</f>
        <v/>
      </c>
      <c r="B1743" s="41">
        <f>_xlfn.XLOOKUP(_xlfn.XLOOKUP(C1743,'Project Details'!$C$17:$C$10003,'Project Details'!$E$17:$E$10003, "",0),dd_design_raw!$A$2:$A$9997,dd_design_raw!$C$2:$C$9997,"",0)</f>
        <v>0</v>
      </c>
      <c r="C1743" s="16"/>
      <c r="D1743" s="16"/>
      <c r="E1743" s="16" t="str" cm="1">
        <f t="array" ref="E1743">IF(C1743&lt;&gt;"", _xlfn.XLOOKUP(1,((SKUs!$A$2:$A$10001=B1743) * (LEFT(SKUs!$J$2:$J$10001, LEN("Pull Bar"))="Pull Bar")), SKUs!$J$2:$J$10001,""),"")</f>
        <v/>
      </c>
      <c r="F1743" s="33" t="str" cm="1">
        <f t="array" ref="F1743">_xlfn.XLOOKUP(1,((SKUs!$A$2:$A$10001=cl_unmerged!B1743) * (LEFT(SKUs!$J$2:$J$10001, LEN("Pull Bar"))="Pull Bar") * (ISNUMBER(SEARCH(A1743,SKUs!$C$2:$C$10001)))), SKUs!$C$2:$C$10001,"")</f>
        <v/>
      </c>
      <c r="G1743" s="16"/>
      <c r="H1743" s="16"/>
      <c r="I1743" s="16"/>
    </row>
    <row r="1744" spans="1:9" ht="13.5" customHeight="1" x14ac:dyDescent="0.25">
      <c r="A1744" s="41" t="str">
        <f>_xlfn.XLOOKUP(G1744,dd_color!$A$2:$A$8,dd_color!$B$2:$B$8,"",0)</f>
        <v/>
      </c>
      <c r="B1744" s="41">
        <f>_xlfn.XLOOKUP(_xlfn.XLOOKUP(C1744,'Project Details'!$C$17:$C$10003,'Project Details'!$E$17:$E$10003, "",0),dd_design_raw!$A$2:$A$9997,dd_design_raw!$C$2:$C$9997,"",0)</f>
        <v>0</v>
      </c>
      <c r="C1744" s="16"/>
      <c r="D1744" s="16"/>
      <c r="E1744" s="16" t="str" cm="1">
        <f t="array" ref="E1744">IF(C1744&lt;&gt;"", _xlfn.XLOOKUP(1,((SKUs!$A$2:$A$10001=B1744) * (LEFT(SKUs!$J$2:$J$10001, LEN("Pull Bar"))="Pull Bar")), SKUs!$J$2:$J$10001,""),"")</f>
        <v/>
      </c>
      <c r="F1744" s="33" t="str" cm="1">
        <f t="array" ref="F1744">_xlfn.XLOOKUP(1,((SKUs!$A$2:$A$10001=cl_unmerged!B1744) * (LEFT(SKUs!$J$2:$J$10001, LEN("Pull Bar"))="Pull Bar") * (ISNUMBER(SEARCH(A1744,SKUs!$C$2:$C$10001)))), SKUs!$C$2:$C$10001,"")</f>
        <v/>
      </c>
      <c r="G1744" s="16"/>
      <c r="H1744" s="16"/>
      <c r="I1744" s="16"/>
    </row>
    <row r="1745" spans="1:9" ht="13.5" customHeight="1" x14ac:dyDescent="0.25">
      <c r="A1745" s="41" t="str">
        <f>_xlfn.XLOOKUP(G1745,dd_color!$A$2:$A$8,dd_color!$B$2:$B$8,"",0)</f>
        <v/>
      </c>
      <c r="B1745" s="41">
        <f>_xlfn.XLOOKUP(_xlfn.XLOOKUP(C1745,'Project Details'!$C$17:$C$10003,'Project Details'!$E$17:$E$10003, "",0),dd_design_raw!$A$2:$A$9997,dd_design_raw!$C$2:$C$9997,"",0)</f>
        <v>0</v>
      </c>
      <c r="C1745" s="16"/>
      <c r="D1745" s="16"/>
      <c r="E1745" s="16" t="str" cm="1">
        <f t="array" ref="E1745">IF(C1745&lt;&gt;"", _xlfn.XLOOKUP(1,((SKUs!$A$2:$A$10001=B1745) * (LEFT(SKUs!$J$2:$J$10001, LEN("Pull Bar"))="Pull Bar")), SKUs!$J$2:$J$10001,""),"")</f>
        <v/>
      </c>
      <c r="F1745" s="33" t="str" cm="1">
        <f t="array" ref="F1745">_xlfn.XLOOKUP(1,((SKUs!$A$2:$A$10001=cl_unmerged!B1745) * (LEFT(SKUs!$J$2:$J$10001, LEN("Pull Bar"))="Pull Bar") * (ISNUMBER(SEARCH(A1745,SKUs!$C$2:$C$10001)))), SKUs!$C$2:$C$10001,"")</f>
        <v/>
      </c>
      <c r="G1745" s="16"/>
      <c r="H1745" s="16"/>
      <c r="I1745" s="16"/>
    </row>
    <row r="1746" spans="1:9" ht="13.5" customHeight="1" x14ac:dyDescent="0.25">
      <c r="A1746" s="41" t="str">
        <f>_xlfn.XLOOKUP(G1746,dd_color!$A$2:$A$8,dd_color!$B$2:$B$8,"",0)</f>
        <v/>
      </c>
      <c r="B1746" s="41">
        <f>_xlfn.XLOOKUP(_xlfn.XLOOKUP(C1746,'Project Details'!$C$17:$C$10003,'Project Details'!$E$17:$E$10003, "",0),dd_design_raw!$A$2:$A$9997,dd_design_raw!$C$2:$C$9997,"",0)</f>
        <v>0</v>
      </c>
      <c r="C1746" s="16"/>
      <c r="D1746" s="16"/>
      <c r="E1746" s="16" t="str" cm="1">
        <f t="array" ref="E1746">IF(C1746&lt;&gt;"", _xlfn.XLOOKUP(1,((SKUs!$A$2:$A$10001=B1746) * (LEFT(SKUs!$J$2:$J$10001, LEN("Pull Bar"))="Pull Bar")), SKUs!$J$2:$J$10001,""),"")</f>
        <v/>
      </c>
      <c r="F1746" s="33" t="str" cm="1">
        <f t="array" ref="F1746">_xlfn.XLOOKUP(1,((SKUs!$A$2:$A$10001=cl_unmerged!B1746) * (LEFT(SKUs!$J$2:$J$10001, LEN("Pull Bar"))="Pull Bar") * (ISNUMBER(SEARCH(A1746,SKUs!$C$2:$C$10001)))), SKUs!$C$2:$C$10001,"")</f>
        <v/>
      </c>
      <c r="G1746" s="16"/>
      <c r="H1746" s="16"/>
      <c r="I1746" s="16"/>
    </row>
    <row r="1747" spans="1:9" ht="13.5" customHeight="1" x14ac:dyDescent="0.25">
      <c r="A1747" s="41" t="str">
        <f>_xlfn.XLOOKUP(G1747,dd_color!$A$2:$A$8,dd_color!$B$2:$B$8,"",0)</f>
        <v/>
      </c>
      <c r="B1747" s="41">
        <f>_xlfn.XLOOKUP(_xlfn.XLOOKUP(C1747,'Project Details'!$C$17:$C$10003,'Project Details'!$E$17:$E$10003, "",0),dd_design_raw!$A$2:$A$9997,dd_design_raw!$C$2:$C$9997,"",0)</f>
        <v>0</v>
      </c>
      <c r="C1747" s="16"/>
      <c r="D1747" s="16"/>
      <c r="E1747" s="16" t="str" cm="1">
        <f t="array" ref="E1747">IF(C1747&lt;&gt;"", _xlfn.XLOOKUP(1,((SKUs!$A$2:$A$10001=B1747) * (LEFT(SKUs!$J$2:$J$10001, LEN("Pull Bar"))="Pull Bar")), SKUs!$J$2:$J$10001,""),"")</f>
        <v/>
      </c>
      <c r="F1747" s="33" t="str" cm="1">
        <f t="array" ref="F1747">_xlfn.XLOOKUP(1,((SKUs!$A$2:$A$10001=cl_unmerged!B1747) * (LEFT(SKUs!$J$2:$J$10001, LEN("Pull Bar"))="Pull Bar") * (ISNUMBER(SEARCH(A1747,SKUs!$C$2:$C$10001)))), SKUs!$C$2:$C$10001,"")</f>
        <v/>
      </c>
      <c r="G1747" s="16"/>
      <c r="H1747" s="16"/>
      <c r="I1747" s="16"/>
    </row>
    <row r="1748" spans="1:9" ht="13.5" customHeight="1" x14ac:dyDescent="0.25">
      <c r="A1748" s="41" t="str">
        <f>_xlfn.XLOOKUP(G1748,dd_color!$A$2:$A$8,dd_color!$B$2:$B$8,"",0)</f>
        <v/>
      </c>
      <c r="B1748" s="41">
        <f>_xlfn.XLOOKUP(_xlfn.XLOOKUP(C1748,'Project Details'!$C$17:$C$10003,'Project Details'!$E$17:$E$10003, "",0),dd_design_raw!$A$2:$A$9997,dd_design_raw!$C$2:$C$9997,"",0)</f>
        <v>0</v>
      </c>
      <c r="C1748" s="16"/>
      <c r="D1748" s="16"/>
      <c r="E1748" s="16" t="str" cm="1">
        <f t="array" ref="E1748">IF(C1748&lt;&gt;"", _xlfn.XLOOKUP(1,((SKUs!$A$2:$A$10001=B1748) * (LEFT(SKUs!$J$2:$J$10001, LEN("Pull Bar"))="Pull Bar")), SKUs!$J$2:$J$10001,""),"")</f>
        <v/>
      </c>
      <c r="F1748" s="33" t="str" cm="1">
        <f t="array" ref="F1748">_xlfn.XLOOKUP(1,((SKUs!$A$2:$A$10001=cl_unmerged!B1748) * (LEFT(SKUs!$J$2:$J$10001, LEN("Pull Bar"))="Pull Bar") * (ISNUMBER(SEARCH(A1748,SKUs!$C$2:$C$10001)))), SKUs!$C$2:$C$10001,"")</f>
        <v/>
      </c>
      <c r="G1748" s="16"/>
      <c r="H1748" s="16"/>
      <c r="I1748" s="16"/>
    </row>
    <row r="1749" spans="1:9" ht="13.5" customHeight="1" x14ac:dyDescent="0.25">
      <c r="A1749" s="41" t="str">
        <f>_xlfn.XLOOKUP(G1749,dd_color!$A$2:$A$8,dd_color!$B$2:$B$8,"",0)</f>
        <v/>
      </c>
      <c r="B1749" s="41">
        <f>_xlfn.XLOOKUP(_xlfn.XLOOKUP(C1749,'Project Details'!$C$17:$C$10003,'Project Details'!$E$17:$E$10003, "",0),dd_design_raw!$A$2:$A$9997,dd_design_raw!$C$2:$C$9997,"",0)</f>
        <v>0</v>
      </c>
      <c r="C1749" s="16"/>
      <c r="D1749" s="16"/>
      <c r="E1749" s="16" t="str" cm="1">
        <f t="array" ref="E1749">IF(C1749&lt;&gt;"", _xlfn.XLOOKUP(1,((SKUs!$A$2:$A$10001=B1749) * (LEFT(SKUs!$J$2:$J$10001, LEN("Pull Bar"))="Pull Bar")), SKUs!$J$2:$J$10001,""),"")</f>
        <v/>
      </c>
      <c r="F1749" s="33" t="str" cm="1">
        <f t="array" ref="F1749">_xlfn.XLOOKUP(1,((SKUs!$A$2:$A$10001=cl_unmerged!B1749) * (LEFT(SKUs!$J$2:$J$10001, LEN("Pull Bar"))="Pull Bar") * (ISNUMBER(SEARCH(A1749,SKUs!$C$2:$C$10001)))), SKUs!$C$2:$C$10001,"")</f>
        <v/>
      </c>
      <c r="G1749" s="16"/>
      <c r="H1749" s="16"/>
      <c r="I1749" s="16"/>
    </row>
    <row r="1750" spans="1:9" x14ac:dyDescent="0.25">
      <c r="C1750" s="28" t="s">
        <v>896</v>
      </c>
      <c r="D1750" s="29"/>
      <c r="E1750" s="29"/>
      <c r="F1750" s="29"/>
      <c r="G1750" s="29"/>
      <c r="H1750" s="29"/>
      <c r="I1750" s="30"/>
    </row>
    <row r="1751" spans="1:9" x14ac:dyDescent="0.25">
      <c r="A1751" s="41" t="str">
        <f>_xlfn.XLOOKUP(G1751,dd_color!$A$2:$A$8,dd_color!$B$2:$B$8,"",0)</f>
        <v/>
      </c>
      <c r="B1751" s="41" t="str">
        <f>_xlfn.XLOOKUP(_xlfn.XLOOKUP(C1751,'Project Details'!$C$17:$C$10003,'Project Details'!$E$17:$E$10003, "",0),dd_design_raw!$A$2:$A$9997,dd_design_raw!$C$2:$C$9997,"",0)</f>
        <v/>
      </c>
      <c r="C1751" s="16" t="str" cm="1">
        <f t="array" ref="C1751">IFERROR(_xlfn._xlws.FILTER(calc_rusacc!$C$15:$C$65,(calc_rusacc!$E$15:$E$65&lt;&gt;"Roll-up Screen") * (calc_rusacc!$D$15:$D$65&lt;&gt;"")),"")</f>
        <v/>
      </c>
      <c r="D1751" s="16" t="str" cm="1">
        <f t="array" ref="D1751">IFERROR(_xlfn._xlws.FILTER(calc_rusacc!$AR$15:$AR$65,(calc_rusacc!$E$15:$E$65&lt;&gt;"Roll-up Screen") * (calc_rusacc!$D$15:$D$65&lt;&gt;"")),"")</f>
        <v/>
      </c>
      <c r="E1751" s="16" t="str" cm="1">
        <f t="array" ref="E1751">IF(C1751&lt;&gt;"", _xlfn.XLOOKUP(1,((SKUs!$A$2:$A$10001=B1751) * (LEFT(SKUs!$J$2:$J$10001, LEN("Vertical Rail"))="Vertical Rail")), SKUs!$J$2:$J$10001,""),"")</f>
        <v/>
      </c>
      <c r="F1751" s="33" t="str" cm="1">
        <f t="array" ref="F1751">_xlfn.XLOOKUP(1,((SKUs!$A$2:$A$10001=cl_unmerged!B1751) * (LEFT(SKUs!$J$2:$J$10001, LEN("Vertical Rail"))="Vertical Rail") * (ISNUMBER(SEARCH(A1751,SKUs!$C$2:$C$10001)))), SKUs!$C$2:$C$10001,"")</f>
        <v/>
      </c>
      <c r="G1751" s="16" t="str" cm="1">
        <f t="array" ref="G1751">IFERROR(_xlfn._xlws.FILTER(calc_rusacc!$G$15:$G$65,(calc_rusacc!$E$15:$E$65&lt;&gt;"Roll-up Screen") * (calc_rusacc!$D$15:$D$65&lt;&gt;"")),"")</f>
        <v/>
      </c>
      <c r="H1751" s="16" t="str" cm="1">
        <f t="array" ref="H1751">IFERROR(_xlfn._xlws.FILTER(calc_rusacc!$AQ$15:$AQ$65,(calc_rusacc!$E$15:$E$65&lt;&gt;"Roll-up Screen") * (calc_rusacc!$D$15:$D$65&lt;&gt;"")),"")</f>
        <v/>
      </c>
      <c r="I1751" s="16"/>
    </row>
    <row r="1752" spans="1:9" x14ac:dyDescent="0.25">
      <c r="A1752" s="41" t="str">
        <f>_xlfn.XLOOKUP(G1752,dd_color!$A$2:$A$8,dd_color!$B$2:$B$8,"",0)</f>
        <v/>
      </c>
      <c r="B1752" s="41">
        <f>_xlfn.XLOOKUP(_xlfn.XLOOKUP(C1752,'Project Details'!$C$17:$C$10003,'Project Details'!$E$17:$E$10003, "",0),dd_design_raw!$A$2:$A$9997,dd_design_raw!$C$2:$C$9997,"",0)</f>
        <v>0</v>
      </c>
      <c r="C1752" s="16"/>
      <c r="D1752" s="16"/>
      <c r="E1752" s="16" t="str" cm="1">
        <f t="array" ref="E1752">IF(C1752&lt;&gt;"", _xlfn.XLOOKUP(1,((SKUs!$A$2:$A$10001=B1752) * (LEFT(SKUs!$J$2:$J$10001, LEN("Vertical Rail"))="Vertical Rail")), SKUs!$J$2:$J$10001,""),"")</f>
        <v/>
      </c>
      <c r="F1752" s="33" t="str" cm="1">
        <f t="array" ref="F1752">_xlfn.XLOOKUP(1,((SKUs!$A$2:$A$10001=cl_unmerged!B1752) * (LEFT(SKUs!$J$2:$J$10001, LEN("Vertical Rail"))="Vertical Rail") * (ISNUMBER(SEARCH(A1752,SKUs!$C$2:$C$10001)))), SKUs!$C$2:$C$10001,"")</f>
        <v/>
      </c>
      <c r="G1752" s="16"/>
      <c r="H1752" s="16"/>
      <c r="I1752" s="16"/>
    </row>
    <row r="1753" spans="1:9" x14ac:dyDescent="0.25">
      <c r="A1753" s="41" t="str">
        <f>_xlfn.XLOOKUP(G1753,dd_color!$A$2:$A$8,dd_color!$B$2:$B$8,"",0)</f>
        <v/>
      </c>
      <c r="B1753" s="41">
        <f>_xlfn.XLOOKUP(_xlfn.XLOOKUP(C1753,'Project Details'!$C$17:$C$10003,'Project Details'!$E$17:$E$10003, "",0),dd_design_raw!$A$2:$A$9997,dd_design_raw!$C$2:$C$9997,"",0)</f>
        <v>0</v>
      </c>
      <c r="C1753" s="16"/>
      <c r="D1753" s="16"/>
      <c r="E1753" s="16" t="str" cm="1">
        <f t="array" ref="E1753">IF(C1753&lt;&gt;"", _xlfn.XLOOKUP(1,((SKUs!$A$2:$A$10001=B1753) * (LEFT(SKUs!$J$2:$J$10001, LEN("Vertical Rail"))="Vertical Rail")), SKUs!$J$2:$J$10001,""),"")</f>
        <v/>
      </c>
      <c r="F1753" s="33" t="str" cm="1">
        <f t="array" ref="F1753">_xlfn.XLOOKUP(1,((SKUs!$A$2:$A$10001=cl_unmerged!B1753) * (LEFT(SKUs!$J$2:$J$10001, LEN("Vertical Rail"))="Vertical Rail") * (ISNUMBER(SEARCH(A1753,SKUs!$C$2:$C$10001)))), SKUs!$C$2:$C$10001,"")</f>
        <v/>
      </c>
      <c r="G1753" s="16"/>
      <c r="H1753" s="16"/>
      <c r="I1753" s="16"/>
    </row>
    <row r="1754" spans="1:9" x14ac:dyDescent="0.25">
      <c r="A1754" s="41" t="str">
        <f>_xlfn.XLOOKUP(G1754,dd_color!$A$2:$A$8,dd_color!$B$2:$B$8,"",0)</f>
        <v/>
      </c>
      <c r="B1754" s="41">
        <f>_xlfn.XLOOKUP(_xlfn.XLOOKUP(C1754,'Project Details'!$C$17:$C$10003,'Project Details'!$E$17:$E$10003, "",0),dd_design_raw!$A$2:$A$9997,dd_design_raw!$C$2:$C$9997,"",0)</f>
        <v>0</v>
      </c>
      <c r="C1754" s="16"/>
      <c r="D1754" s="16"/>
      <c r="E1754" s="16" t="str" cm="1">
        <f t="array" ref="E1754">IF(C1754&lt;&gt;"", _xlfn.XLOOKUP(1,((SKUs!$A$2:$A$10001=B1754) * (LEFT(SKUs!$J$2:$J$10001, LEN("Vertical Rail"))="Vertical Rail")), SKUs!$J$2:$J$10001,""),"")</f>
        <v/>
      </c>
      <c r="F1754" s="33" t="str" cm="1">
        <f t="array" ref="F1754">_xlfn.XLOOKUP(1,((SKUs!$A$2:$A$10001=cl_unmerged!B1754) * (LEFT(SKUs!$J$2:$J$10001, LEN("Vertical Rail"))="Vertical Rail") * (ISNUMBER(SEARCH(A1754,SKUs!$C$2:$C$10001)))), SKUs!$C$2:$C$10001,"")</f>
        <v/>
      </c>
      <c r="G1754" s="16"/>
      <c r="H1754" s="16"/>
      <c r="I1754" s="16"/>
    </row>
    <row r="1755" spans="1:9" x14ac:dyDescent="0.25">
      <c r="A1755" s="41" t="str">
        <f>_xlfn.XLOOKUP(G1755,dd_color!$A$2:$A$8,dd_color!$B$2:$B$8,"",0)</f>
        <v/>
      </c>
      <c r="B1755" s="41">
        <f>_xlfn.XLOOKUP(_xlfn.XLOOKUP(C1755,'Project Details'!$C$17:$C$10003,'Project Details'!$E$17:$E$10003, "",0),dd_design_raw!$A$2:$A$9997,dd_design_raw!$C$2:$C$9997,"",0)</f>
        <v>0</v>
      </c>
      <c r="C1755" s="16"/>
      <c r="D1755" s="16"/>
      <c r="E1755" s="16" t="str" cm="1">
        <f t="array" ref="E1755">IF(C1755&lt;&gt;"", _xlfn.XLOOKUP(1,((SKUs!$A$2:$A$10001=B1755) * (LEFT(SKUs!$J$2:$J$10001, LEN("Vertical Rail"))="Vertical Rail")), SKUs!$J$2:$J$10001,""),"")</f>
        <v/>
      </c>
      <c r="F1755" s="33" t="str" cm="1">
        <f t="array" ref="F1755">_xlfn.XLOOKUP(1,((SKUs!$A$2:$A$10001=cl_unmerged!B1755) * (LEFT(SKUs!$J$2:$J$10001, LEN("Vertical Rail"))="Vertical Rail") * (ISNUMBER(SEARCH(A1755,SKUs!$C$2:$C$10001)))), SKUs!$C$2:$C$10001,"")</f>
        <v/>
      </c>
      <c r="G1755" s="16"/>
      <c r="H1755" s="16"/>
      <c r="I1755" s="16"/>
    </row>
    <row r="1756" spans="1:9" x14ac:dyDescent="0.25">
      <c r="A1756" s="41" t="str">
        <f>_xlfn.XLOOKUP(G1756,dd_color!$A$2:$A$8,dd_color!$B$2:$B$8,"",0)</f>
        <v/>
      </c>
      <c r="B1756" s="41">
        <f>_xlfn.XLOOKUP(_xlfn.XLOOKUP(C1756,'Project Details'!$C$17:$C$10003,'Project Details'!$E$17:$E$10003, "",0),dd_design_raw!$A$2:$A$9997,dd_design_raw!$C$2:$C$9997,"",0)</f>
        <v>0</v>
      </c>
      <c r="C1756" s="16"/>
      <c r="D1756" s="16"/>
      <c r="E1756" s="16" t="str" cm="1">
        <f t="array" ref="E1756">IF(C1756&lt;&gt;"", _xlfn.XLOOKUP(1,((SKUs!$A$2:$A$10001=B1756) * (LEFT(SKUs!$J$2:$J$10001, LEN("Vertical Rail"))="Vertical Rail")), SKUs!$J$2:$J$10001,""),"")</f>
        <v/>
      </c>
      <c r="F1756" s="33" t="str" cm="1">
        <f t="array" ref="F1756">_xlfn.XLOOKUP(1,((SKUs!$A$2:$A$10001=cl_unmerged!B1756) * (LEFT(SKUs!$J$2:$J$10001, LEN("Vertical Rail"))="Vertical Rail") * (ISNUMBER(SEARCH(A1756,SKUs!$C$2:$C$10001)))), SKUs!$C$2:$C$10001,"")</f>
        <v/>
      </c>
      <c r="G1756" s="16"/>
      <c r="H1756" s="16"/>
      <c r="I1756" s="16"/>
    </row>
    <row r="1757" spans="1:9" x14ac:dyDescent="0.25">
      <c r="A1757" s="41" t="str">
        <f>_xlfn.XLOOKUP(G1757,dd_color!$A$2:$A$8,dd_color!$B$2:$B$8,"",0)</f>
        <v/>
      </c>
      <c r="B1757" s="41">
        <f>_xlfn.XLOOKUP(_xlfn.XLOOKUP(C1757,'Project Details'!$C$17:$C$10003,'Project Details'!$E$17:$E$10003, "",0),dd_design_raw!$A$2:$A$9997,dd_design_raw!$C$2:$C$9997,"",0)</f>
        <v>0</v>
      </c>
      <c r="C1757" s="16"/>
      <c r="D1757" s="16"/>
      <c r="E1757" s="16" t="str" cm="1">
        <f t="array" ref="E1757">IF(C1757&lt;&gt;"", _xlfn.XLOOKUP(1,((SKUs!$A$2:$A$10001=B1757) * (LEFT(SKUs!$J$2:$J$10001, LEN("Vertical Rail"))="Vertical Rail")), SKUs!$J$2:$J$10001,""),"")</f>
        <v/>
      </c>
      <c r="F1757" s="33" t="str" cm="1">
        <f t="array" ref="F1757">_xlfn.XLOOKUP(1,((SKUs!$A$2:$A$10001=cl_unmerged!B1757) * (LEFT(SKUs!$J$2:$J$10001, LEN("Vertical Rail"))="Vertical Rail") * (ISNUMBER(SEARCH(A1757,SKUs!$C$2:$C$10001)))), SKUs!$C$2:$C$10001,"")</f>
        <v/>
      </c>
      <c r="G1757" s="16"/>
      <c r="H1757" s="16"/>
      <c r="I1757" s="16"/>
    </row>
    <row r="1758" spans="1:9" x14ac:dyDescent="0.25">
      <c r="A1758" s="41" t="str">
        <f>_xlfn.XLOOKUP(G1758,dd_color!$A$2:$A$8,dd_color!$B$2:$B$8,"",0)</f>
        <v/>
      </c>
      <c r="B1758" s="41">
        <f>_xlfn.XLOOKUP(_xlfn.XLOOKUP(C1758,'Project Details'!$C$17:$C$10003,'Project Details'!$E$17:$E$10003, "",0),dd_design_raw!$A$2:$A$9997,dd_design_raw!$C$2:$C$9997,"",0)</f>
        <v>0</v>
      </c>
      <c r="C1758" s="16"/>
      <c r="D1758" s="16"/>
      <c r="E1758" s="16" t="str" cm="1">
        <f t="array" ref="E1758">IF(C1758&lt;&gt;"", _xlfn.XLOOKUP(1,((SKUs!$A$2:$A$10001=B1758) * (LEFT(SKUs!$J$2:$J$10001, LEN("Vertical Rail"))="Vertical Rail")), SKUs!$J$2:$J$10001,""),"")</f>
        <v/>
      </c>
      <c r="F1758" s="33" t="str" cm="1">
        <f t="array" ref="F1758">_xlfn.XLOOKUP(1,((SKUs!$A$2:$A$10001=cl_unmerged!B1758) * (LEFT(SKUs!$J$2:$J$10001, LEN("Vertical Rail"))="Vertical Rail") * (ISNUMBER(SEARCH(A1758,SKUs!$C$2:$C$10001)))), SKUs!$C$2:$C$10001,"")</f>
        <v/>
      </c>
      <c r="G1758" s="16"/>
      <c r="H1758" s="16"/>
      <c r="I1758" s="16"/>
    </row>
    <row r="1759" spans="1:9" x14ac:dyDescent="0.25">
      <c r="A1759" s="41" t="str">
        <f>_xlfn.XLOOKUP(G1759,dd_color!$A$2:$A$8,dd_color!$B$2:$B$8,"",0)</f>
        <v/>
      </c>
      <c r="B1759" s="41">
        <f>_xlfn.XLOOKUP(_xlfn.XLOOKUP(C1759,'Project Details'!$C$17:$C$10003,'Project Details'!$E$17:$E$10003, "",0),dd_design_raw!$A$2:$A$9997,dd_design_raw!$C$2:$C$9997,"",0)</f>
        <v>0</v>
      </c>
      <c r="C1759" s="16"/>
      <c r="D1759" s="16"/>
      <c r="E1759" s="16" t="str" cm="1">
        <f t="array" ref="E1759">IF(C1759&lt;&gt;"", _xlfn.XLOOKUP(1,((SKUs!$A$2:$A$10001=B1759) * (LEFT(SKUs!$J$2:$J$10001, LEN("Vertical Rail"))="Vertical Rail")), SKUs!$J$2:$J$10001,""),"")</f>
        <v/>
      </c>
      <c r="F1759" s="33" t="str" cm="1">
        <f t="array" ref="F1759">_xlfn.XLOOKUP(1,((SKUs!$A$2:$A$10001=cl_unmerged!B1759) * (LEFT(SKUs!$J$2:$J$10001, LEN("Vertical Rail"))="Vertical Rail") * (ISNUMBER(SEARCH(A1759,SKUs!$C$2:$C$10001)))), SKUs!$C$2:$C$10001,"")</f>
        <v/>
      </c>
      <c r="G1759" s="16"/>
      <c r="H1759" s="16"/>
      <c r="I1759" s="16"/>
    </row>
    <row r="1760" spans="1:9" x14ac:dyDescent="0.25">
      <c r="A1760" s="41" t="str">
        <f>_xlfn.XLOOKUP(G1760,dd_color!$A$2:$A$8,dd_color!$B$2:$B$8,"",0)</f>
        <v/>
      </c>
      <c r="B1760" s="41">
        <f>_xlfn.XLOOKUP(_xlfn.XLOOKUP(C1760,'Project Details'!$C$17:$C$10003,'Project Details'!$E$17:$E$10003, "",0),dd_design_raw!$A$2:$A$9997,dd_design_raw!$C$2:$C$9997,"",0)</f>
        <v>0</v>
      </c>
      <c r="C1760" s="16"/>
      <c r="D1760" s="16"/>
      <c r="E1760" s="16" t="str" cm="1">
        <f t="array" ref="E1760">IF(C1760&lt;&gt;"", _xlfn.XLOOKUP(1,((SKUs!$A$2:$A$10001=B1760) * (LEFT(SKUs!$J$2:$J$10001, LEN("Vertical Rail"))="Vertical Rail")), SKUs!$J$2:$J$10001,""),"")</f>
        <v/>
      </c>
      <c r="F1760" s="33" t="str" cm="1">
        <f t="array" ref="F1760">_xlfn.XLOOKUP(1,((SKUs!$A$2:$A$10001=cl_unmerged!B1760) * (LEFT(SKUs!$J$2:$J$10001, LEN("Vertical Rail"))="Vertical Rail") * (ISNUMBER(SEARCH(A1760,SKUs!$C$2:$C$10001)))), SKUs!$C$2:$C$10001,"")</f>
        <v/>
      </c>
      <c r="G1760" s="16"/>
      <c r="H1760" s="16"/>
      <c r="I1760" s="16"/>
    </row>
    <row r="1761" spans="1:9" x14ac:dyDescent="0.25">
      <c r="A1761" s="41" t="str">
        <f>_xlfn.XLOOKUP(G1761,dd_color!$A$2:$A$8,dd_color!$B$2:$B$8,"",0)</f>
        <v/>
      </c>
      <c r="B1761" s="41">
        <f>_xlfn.XLOOKUP(_xlfn.XLOOKUP(C1761,'Project Details'!$C$17:$C$10003,'Project Details'!$E$17:$E$10003, "",0),dd_design_raw!$A$2:$A$9997,dd_design_raw!$C$2:$C$9997,"",0)</f>
        <v>0</v>
      </c>
      <c r="C1761" s="16"/>
      <c r="D1761" s="16"/>
      <c r="E1761" s="16" t="str" cm="1">
        <f t="array" ref="E1761">IF(C1761&lt;&gt;"", _xlfn.XLOOKUP(1,((SKUs!$A$2:$A$10001=B1761) * (LEFT(SKUs!$J$2:$J$10001, LEN("Vertical Rail"))="Vertical Rail")), SKUs!$J$2:$J$10001,""),"")</f>
        <v/>
      </c>
      <c r="F1761" s="33" t="str" cm="1">
        <f t="array" ref="F1761">_xlfn.XLOOKUP(1,((SKUs!$A$2:$A$10001=cl_unmerged!B1761) * (LEFT(SKUs!$J$2:$J$10001, LEN("Vertical Rail"))="Vertical Rail") * (ISNUMBER(SEARCH(A1761,SKUs!$C$2:$C$10001)))), SKUs!$C$2:$C$10001,"")</f>
        <v/>
      </c>
      <c r="G1761" s="16"/>
      <c r="H1761" s="16"/>
      <c r="I1761" s="16"/>
    </row>
    <row r="1762" spans="1:9" x14ac:dyDescent="0.25">
      <c r="A1762" s="41" t="str">
        <f>_xlfn.XLOOKUP(G1762,dd_color!$A$2:$A$8,dd_color!$B$2:$B$8,"",0)</f>
        <v/>
      </c>
      <c r="B1762" s="41">
        <f>_xlfn.XLOOKUP(_xlfn.XLOOKUP(C1762,'Project Details'!$C$17:$C$10003,'Project Details'!$E$17:$E$10003, "",0),dd_design_raw!$A$2:$A$9997,dd_design_raw!$C$2:$C$9997,"",0)</f>
        <v>0</v>
      </c>
      <c r="C1762" s="16"/>
      <c r="D1762" s="16"/>
      <c r="E1762" s="16" t="str" cm="1">
        <f t="array" ref="E1762">IF(C1762&lt;&gt;"", _xlfn.XLOOKUP(1,((SKUs!$A$2:$A$10001=B1762) * (LEFT(SKUs!$J$2:$J$10001, LEN("Vertical Rail"))="Vertical Rail")), SKUs!$J$2:$J$10001,""),"")</f>
        <v/>
      </c>
      <c r="F1762" s="33" t="str" cm="1">
        <f t="array" ref="F1762">_xlfn.XLOOKUP(1,((SKUs!$A$2:$A$10001=cl_unmerged!B1762) * (LEFT(SKUs!$J$2:$J$10001, LEN("Vertical Rail"))="Vertical Rail") * (ISNUMBER(SEARCH(A1762,SKUs!$C$2:$C$10001)))), SKUs!$C$2:$C$10001,"")</f>
        <v/>
      </c>
      <c r="G1762" s="16"/>
      <c r="H1762" s="16"/>
      <c r="I1762" s="16"/>
    </row>
    <row r="1763" spans="1:9" x14ac:dyDescent="0.25">
      <c r="A1763" s="41" t="str">
        <f>_xlfn.XLOOKUP(G1763,dd_color!$A$2:$A$8,dd_color!$B$2:$B$8,"",0)</f>
        <v/>
      </c>
      <c r="B1763" s="41">
        <f>_xlfn.XLOOKUP(_xlfn.XLOOKUP(C1763,'Project Details'!$C$17:$C$10003,'Project Details'!$E$17:$E$10003, "",0),dd_design_raw!$A$2:$A$9997,dd_design_raw!$C$2:$C$9997,"",0)</f>
        <v>0</v>
      </c>
      <c r="C1763" s="16"/>
      <c r="D1763" s="16"/>
      <c r="E1763" s="16" t="str" cm="1">
        <f t="array" ref="E1763">IF(C1763&lt;&gt;"", _xlfn.XLOOKUP(1,((SKUs!$A$2:$A$10001=B1763) * (LEFT(SKUs!$J$2:$J$10001, LEN("Vertical Rail"))="Vertical Rail")), SKUs!$J$2:$J$10001,""),"")</f>
        <v/>
      </c>
      <c r="F1763" s="33" t="str" cm="1">
        <f t="array" ref="F1763">_xlfn.XLOOKUP(1,((SKUs!$A$2:$A$10001=cl_unmerged!B1763) * (LEFT(SKUs!$J$2:$J$10001, LEN("Vertical Rail"))="Vertical Rail") * (ISNUMBER(SEARCH(A1763,SKUs!$C$2:$C$10001)))), SKUs!$C$2:$C$10001,"")</f>
        <v/>
      </c>
      <c r="G1763" s="16"/>
      <c r="H1763" s="16"/>
      <c r="I1763" s="16"/>
    </row>
    <row r="1764" spans="1:9" x14ac:dyDescent="0.25">
      <c r="A1764" s="41" t="str">
        <f>_xlfn.XLOOKUP(G1764,dd_color!$A$2:$A$8,dd_color!$B$2:$B$8,"",0)</f>
        <v/>
      </c>
      <c r="B1764" s="41">
        <f>_xlfn.XLOOKUP(_xlfn.XLOOKUP(C1764,'Project Details'!$C$17:$C$10003,'Project Details'!$E$17:$E$10003, "",0),dd_design_raw!$A$2:$A$9997,dd_design_raw!$C$2:$C$9997,"",0)</f>
        <v>0</v>
      </c>
      <c r="C1764" s="16"/>
      <c r="D1764" s="16"/>
      <c r="E1764" s="16" t="str" cm="1">
        <f t="array" ref="E1764">IF(C1764&lt;&gt;"", _xlfn.XLOOKUP(1,((SKUs!$A$2:$A$10001=B1764) * (LEFT(SKUs!$J$2:$J$10001, LEN("Vertical Rail"))="Vertical Rail")), SKUs!$J$2:$J$10001,""),"")</f>
        <v/>
      </c>
      <c r="F1764" s="33" t="str" cm="1">
        <f t="array" ref="F1764">_xlfn.XLOOKUP(1,((SKUs!$A$2:$A$10001=cl_unmerged!B1764) * (LEFT(SKUs!$J$2:$J$10001, LEN("Vertical Rail"))="Vertical Rail") * (ISNUMBER(SEARCH(A1764,SKUs!$C$2:$C$10001)))), SKUs!$C$2:$C$10001,"")</f>
        <v/>
      </c>
      <c r="G1764" s="16"/>
      <c r="H1764" s="16"/>
      <c r="I1764" s="16"/>
    </row>
    <row r="1765" spans="1:9" x14ac:dyDescent="0.25">
      <c r="A1765" s="41" t="str">
        <f>_xlfn.XLOOKUP(G1765,dd_color!$A$2:$A$8,dd_color!$B$2:$B$8,"",0)</f>
        <v/>
      </c>
      <c r="B1765" s="41">
        <f>_xlfn.XLOOKUP(_xlfn.XLOOKUP(C1765,'Project Details'!$C$17:$C$10003,'Project Details'!$E$17:$E$10003, "",0),dd_design_raw!$A$2:$A$9997,dd_design_raw!$C$2:$C$9997,"",0)</f>
        <v>0</v>
      </c>
      <c r="C1765" s="16"/>
      <c r="D1765" s="16"/>
      <c r="E1765" s="16" t="str" cm="1">
        <f t="array" ref="E1765">IF(C1765&lt;&gt;"", _xlfn.XLOOKUP(1,((SKUs!$A$2:$A$10001=B1765) * (LEFT(SKUs!$J$2:$J$10001, LEN("Vertical Rail"))="Vertical Rail")), SKUs!$J$2:$J$10001,""),"")</f>
        <v/>
      </c>
      <c r="F1765" s="33" t="str" cm="1">
        <f t="array" ref="F1765">_xlfn.XLOOKUP(1,((SKUs!$A$2:$A$10001=cl_unmerged!B1765) * (LEFT(SKUs!$J$2:$J$10001, LEN("Vertical Rail"))="Vertical Rail") * (ISNUMBER(SEARCH(A1765,SKUs!$C$2:$C$10001)))), SKUs!$C$2:$C$10001,"")</f>
        <v/>
      </c>
      <c r="G1765" s="16"/>
      <c r="H1765" s="16"/>
      <c r="I1765" s="16"/>
    </row>
    <row r="1766" spans="1:9" x14ac:dyDescent="0.25">
      <c r="A1766" s="41" t="str">
        <f>_xlfn.XLOOKUP(G1766,dd_color!$A$2:$A$8,dd_color!$B$2:$B$8,"",0)</f>
        <v/>
      </c>
      <c r="B1766" s="41">
        <f>_xlfn.XLOOKUP(_xlfn.XLOOKUP(C1766,'Project Details'!$C$17:$C$10003,'Project Details'!$E$17:$E$10003, "",0),dd_design_raw!$A$2:$A$9997,dd_design_raw!$C$2:$C$9997,"",0)</f>
        <v>0</v>
      </c>
      <c r="C1766" s="16"/>
      <c r="D1766" s="16"/>
      <c r="E1766" s="16" t="str" cm="1">
        <f t="array" ref="E1766">IF(C1766&lt;&gt;"", _xlfn.XLOOKUP(1,((SKUs!$A$2:$A$10001=B1766) * (LEFT(SKUs!$J$2:$J$10001, LEN("Vertical Rail"))="Vertical Rail")), SKUs!$J$2:$J$10001,""),"")</f>
        <v/>
      </c>
      <c r="F1766" s="33" t="str" cm="1">
        <f t="array" ref="F1766">_xlfn.XLOOKUP(1,((SKUs!$A$2:$A$10001=cl_unmerged!B1766) * (LEFT(SKUs!$J$2:$J$10001, LEN("Vertical Rail"))="Vertical Rail") * (ISNUMBER(SEARCH(A1766,SKUs!$C$2:$C$10001)))), SKUs!$C$2:$C$10001,"")</f>
        <v/>
      </c>
      <c r="G1766" s="16"/>
      <c r="H1766" s="16"/>
      <c r="I1766" s="16"/>
    </row>
    <row r="1767" spans="1:9" x14ac:dyDescent="0.25">
      <c r="A1767" s="41" t="str">
        <f>_xlfn.XLOOKUP(G1767,dd_color!$A$2:$A$8,dd_color!$B$2:$B$8,"",0)</f>
        <v/>
      </c>
      <c r="B1767" s="41">
        <f>_xlfn.XLOOKUP(_xlfn.XLOOKUP(C1767,'Project Details'!$C$17:$C$10003,'Project Details'!$E$17:$E$10003, "",0),dd_design_raw!$A$2:$A$9997,dd_design_raw!$C$2:$C$9997,"",0)</f>
        <v>0</v>
      </c>
      <c r="C1767" s="16"/>
      <c r="D1767" s="16"/>
      <c r="E1767" s="16" t="str" cm="1">
        <f t="array" ref="E1767">IF(C1767&lt;&gt;"", _xlfn.XLOOKUP(1,((SKUs!$A$2:$A$10001=B1767) * (LEFT(SKUs!$J$2:$J$10001, LEN("Vertical Rail"))="Vertical Rail")), SKUs!$J$2:$J$10001,""),"")</f>
        <v/>
      </c>
      <c r="F1767" s="33" t="str" cm="1">
        <f t="array" ref="F1767">_xlfn.XLOOKUP(1,((SKUs!$A$2:$A$10001=cl_unmerged!B1767) * (LEFT(SKUs!$J$2:$J$10001, LEN("Vertical Rail"))="Vertical Rail") * (ISNUMBER(SEARCH(A1767,SKUs!$C$2:$C$10001)))), SKUs!$C$2:$C$10001,"")</f>
        <v/>
      </c>
      <c r="G1767" s="16"/>
      <c r="H1767" s="16"/>
      <c r="I1767" s="16"/>
    </row>
    <row r="1768" spans="1:9" x14ac:dyDescent="0.25">
      <c r="A1768" s="41" t="str">
        <f>_xlfn.XLOOKUP(G1768,dd_color!$A$2:$A$8,dd_color!$B$2:$B$8,"",0)</f>
        <v/>
      </c>
      <c r="B1768" s="41">
        <f>_xlfn.XLOOKUP(_xlfn.XLOOKUP(C1768,'Project Details'!$C$17:$C$10003,'Project Details'!$E$17:$E$10003, "",0),dd_design_raw!$A$2:$A$9997,dd_design_raw!$C$2:$C$9997,"",0)</f>
        <v>0</v>
      </c>
      <c r="C1768" s="16"/>
      <c r="D1768" s="16"/>
      <c r="E1768" s="16" t="str" cm="1">
        <f t="array" ref="E1768">IF(C1768&lt;&gt;"", _xlfn.XLOOKUP(1,((SKUs!$A$2:$A$10001=B1768) * (LEFT(SKUs!$J$2:$J$10001, LEN("Vertical Rail"))="Vertical Rail")), SKUs!$J$2:$J$10001,""),"")</f>
        <v/>
      </c>
      <c r="F1768" s="33" t="str" cm="1">
        <f t="array" ref="F1768">_xlfn.XLOOKUP(1,((SKUs!$A$2:$A$10001=cl_unmerged!B1768) * (LEFT(SKUs!$J$2:$J$10001, LEN("Vertical Rail"))="Vertical Rail") * (ISNUMBER(SEARCH(A1768,SKUs!$C$2:$C$10001)))), SKUs!$C$2:$C$10001,"")</f>
        <v/>
      </c>
      <c r="G1768" s="16"/>
      <c r="H1768" s="16"/>
      <c r="I1768" s="16"/>
    </row>
    <row r="1769" spans="1:9" x14ac:dyDescent="0.25">
      <c r="A1769" s="41" t="str">
        <f>_xlfn.XLOOKUP(G1769,dd_color!$A$2:$A$8,dd_color!$B$2:$B$8,"",0)</f>
        <v/>
      </c>
      <c r="B1769" s="41">
        <f>_xlfn.XLOOKUP(_xlfn.XLOOKUP(C1769,'Project Details'!$C$17:$C$10003,'Project Details'!$E$17:$E$10003, "",0),dd_design_raw!$A$2:$A$9997,dd_design_raw!$C$2:$C$9997,"",0)</f>
        <v>0</v>
      </c>
      <c r="C1769" s="16"/>
      <c r="D1769" s="16"/>
      <c r="E1769" s="16" t="str" cm="1">
        <f t="array" ref="E1769">IF(C1769&lt;&gt;"", _xlfn.XLOOKUP(1,((SKUs!$A$2:$A$10001=B1769) * (LEFT(SKUs!$J$2:$J$10001, LEN("Vertical Rail"))="Vertical Rail")), SKUs!$J$2:$J$10001,""),"")</f>
        <v/>
      </c>
      <c r="F1769" s="33" t="str" cm="1">
        <f t="array" ref="F1769">_xlfn.XLOOKUP(1,((SKUs!$A$2:$A$10001=cl_unmerged!B1769) * (LEFT(SKUs!$J$2:$J$10001, LEN("Vertical Rail"))="Vertical Rail") * (ISNUMBER(SEARCH(A1769,SKUs!$C$2:$C$10001)))), SKUs!$C$2:$C$10001,"")</f>
        <v/>
      </c>
      <c r="G1769" s="16"/>
      <c r="H1769" s="16"/>
      <c r="I1769" s="16"/>
    </row>
    <row r="1770" spans="1:9" ht="13.5" customHeight="1" x14ac:dyDescent="0.25">
      <c r="A1770" s="41" t="str">
        <f>_xlfn.XLOOKUP(G1770,dd_color!$A$2:$A$8,dd_color!$B$2:$B$8,"",0)</f>
        <v/>
      </c>
      <c r="B1770" s="41">
        <f>_xlfn.XLOOKUP(_xlfn.XLOOKUP(C1770,'Project Details'!$C$17:$C$10003,'Project Details'!$E$17:$E$10003, "",0),dd_design_raw!$A$2:$A$9997,dd_design_raw!$C$2:$C$9997,"",0)</f>
        <v>0</v>
      </c>
      <c r="C1770" s="16"/>
      <c r="D1770" s="16"/>
      <c r="E1770" s="16" t="str" cm="1">
        <f t="array" ref="E1770">IF(C1770&lt;&gt;"", _xlfn.XLOOKUP(1,((SKUs!$A$2:$A$10001=B1770) * (LEFT(SKUs!$J$2:$J$10001, LEN("Vertical Rail"))="Vertical Rail")), SKUs!$J$2:$J$10001,""),"")</f>
        <v/>
      </c>
      <c r="F1770" s="33" t="str" cm="1">
        <f t="array" ref="F1770">_xlfn.XLOOKUP(1,((SKUs!$A$2:$A$10001=cl_unmerged!B1770) * (LEFT(SKUs!$J$2:$J$10001, LEN("Vertical Rail"))="Vertical Rail") * (ISNUMBER(SEARCH(A1770,SKUs!$C$2:$C$10001)))), SKUs!$C$2:$C$10001,"")</f>
        <v/>
      </c>
      <c r="G1770" s="16"/>
      <c r="H1770" s="16"/>
      <c r="I1770" s="16"/>
    </row>
    <row r="1771" spans="1:9" ht="13.5" customHeight="1" x14ac:dyDescent="0.25">
      <c r="A1771" s="41" t="str">
        <f>_xlfn.XLOOKUP(G1771,dd_color!$A$2:$A$8,dd_color!$B$2:$B$8,"",0)</f>
        <v/>
      </c>
      <c r="B1771" s="41">
        <f>_xlfn.XLOOKUP(_xlfn.XLOOKUP(C1771,'Project Details'!$C$17:$C$10003,'Project Details'!$E$17:$E$10003, "",0),dd_design_raw!$A$2:$A$9997,dd_design_raw!$C$2:$C$9997,"",0)</f>
        <v>0</v>
      </c>
      <c r="C1771" s="16"/>
      <c r="D1771" s="16"/>
      <c r="E1771" s="16" t="str" cm="1">
        <f t="array" ref="E1771">IF(C1771&lt;&gt;"", _xlfn.XLOOKUP(1,((SKUs!$A$2:$A$10001=B1771) * (LEFT(SKUs!$J$2:$J$10001, LEN("Vertical Rail"))="Vertical Rail")), SKUs!$J$2:$J$10001,""),"")</f>
        <v/>
      </c>
      <c r="F1771" s="33" t="str" cm="1">
        <f t="array" ref="F1771">_xlfn.XLOOKUP(1,((SKUs!$A$2:$A$10001=cl_unmerged!B1771) * (LEFT(SKUs!$J$2:$J$10001, LEN("Vertical Rail"))="Vertical Rail") * (ISNUMBER(SEARCH(A1771,SKUs!$C$2:$C$10001)))), SKUs!$C$2:$C$10001,"")</f>
        <v/>
      </c>
      <c r="G1771" s="16"/>
      <c r="H1771" s="16"/>
      <c r="I1771" s="16"/>
    </row>
    <row r="1772" spans="1:9" ht="13.5" customHeight="1" x14ac:dyDescent="0.25">
      <c r="A1772" s="41" t="str">
        <f>_xlfn.XLOOKUP(G1772,dd_color!$A$2:$A$8,dd_color!$B$2:$B$8,"",0)</f>
        <v/>
      </c>
      <c r="B1772" s="41">
        <f>_xlfn.XLOOKUP(_xlfn.XLOOKUP(C1772,'Project Details'!$C$17:$C$10003,'Project Details'!$E$17:$E$10003, "",0),dd_design_raw!$A$2:$A$9997,dd_design_raw!$C$2:$C$9997,"",0)</f>
        <v>0</v>
      </c>
      <c r="C1772" s="16"/>
      <c r="D1772" s="16"/>
      <c r="E1772" s="16" t="str" cm="1">
        <f t="array" ref="E1772">IF(C1772&lt;&gt;"", _xlfn.XLOOKUP(1,((SKUs!$A$2:$A$10001=B1772) * (LEFT(SKUs!$J$2:$J$10001, LEN("Vertical Rail"))="Vertical Rail")), SKUs!$J$2:$J$10001,""),"")</f>
        <v/>
      </c>
      <c r="F1772" s="33" t="str" cm="1">
        <f t="array" ref="F1772">_xlfn.XLOOKUP(1,((SKUs!$A$2:$A$10001=cl_unmerged!B1772) * (LEFT(SKUs!$J$2:$J$10001, LEN("Vertical Rail"))="Vertical Rail") * (ISNUMBER(SEARCH(A1772,SKUs!$C$2:$C$10001)))), SKUs!$C$2:$C$10001,"")</f>
        <v/>
      </c>
      <c r="G1772" s="16"/>
      <c r="H1772" s="16"/>
      <c r="I1772" s="16"/>
    </row>
    <row r="1773" spans="1:9" ht="13.5" customHeight="1" x14ac:dyDescent="0.25">
      <c r="A1773" s="41" t="str">
        <f>_xlfn.XLOOKUP(G1773,dd_color!$A$2:$A$8,dd_color!$B$2:$B$8,"",0)</f>
        <v/>
      </c>
      <c r="B1773" s="41">
        <f>_xlfn.XLOOKUP(_xlfn.XLOOKUP(C1773,'Project Details'!$C$17:$C$10003,'Project Details'!$E$17:$E$10003, "",0),dd_design_raw!$A$2:$A$9997,dd_design_raw!$C$2:$C$9997,"",0)</f>
        <v>0</v>
      </c>
      <c r="C1773" s="16"/>
      <c r="D1773" s="16"/>
      <c r="E1773" s="16" t="str" cm="1">
        <f t="array" ref="E1773">IF(C1773&lt;&gt;"", _xlfn.XLOOKUP(1,((SKUs!$A$2:$A$10001=B1773) * (LEFT(SKUs!$J$2:$J$10001, LEN("Vertical Rail"))="Vertical Rail")), SKUs!$J$2:$J$10001,""),"")</f>
        <v/>
      </c>
      <c r="F1773" s="33" t="str" cm="1">
        <f t="array" ref="F1773">_xlfn.XLOOKUP(1,((SKUs!$A$2:$A$10001=cl_unmerged!B1773) * (LEFT(SKUs!$J$2:$J$10001, LEN("Vertical Rail"))="Vertical Rail") * (ISNUMBER(SEARCH(A1773,SKUs!$C$2:$C$10001)))), SKUs!$C$2:$C$10001,"")</f>
        <v/>
      </c>
      <c r="G1773" s="16"/>
      <c r="H1773" s="16"/>
      <c r="I1773" s="16"/>
    </row>
    <row r="1774" spans="1:9" ht="13.5" customHeight="1" x14ac:dyDescent="0.25">
      <c r="A1774" s="41" t="str">
        <f>_xlfn.XLOOKUP(G1774,dd_color!$A$2:$A$8,dd_color!$B$2:$B$8,"",0)</f>
        <v/>
      </c>
      <c r="B1774" s="41">
        <f>_xlfn.XLOOKUP(_xlfn.XLOOKUP(C1774,'Project Details'!$C$17:$C$10003,'Project Details'!$E$17:$E$10003, "",0),dd_design_raw!$A$2:$A$9997,dd_design_raw!$C$2:$C$9997,"",0)</f>
        <v>0</v>
      </c>
      <c r="C1774" s="16"/>
      <c r="D1774" s="16"/>
      <c r="E1774" s="16" t="str" cm="1">
        <f t="array" ref="E1774">IF(C1774&lt;&gt;"", _xlfn.XLOOKUP(1,((SKUs!$A$2:$A$10001=B1774) * (LEFT(SKUs!$J$2:$J$10001, LEN("Vertical Rail"))="Vertical Rail")), SKUs!$J$2:$J$10001,""),"")</f>
        <v/>
      </c>
      <c r="F1774" s="33" t="str" cm="1">
        <f t="array" ref="F1774">_xlfn.XLOOKUP(1,((SKUs!$A$2:$A$10001=cl_unmerged!B1774) * (LEFT(SKUs!$J$2:$J$10001, LEN("Vertical Rail"))="Vertical Rail") * (ISNUMBER(SEARCH(A1774,SKUs!$C$2:$C$10001)))), SKUs!$C$2:$C$10001,"")</f>
        <v/>
      </c>
      <c r="G1774" s="16"/>
      <c r="H1774" s="16"/>
      <c r="I1774" s="16"/>
    </row>
    <row r="1775" spans="1:9" ht="13.5" customHeight="1" x14ac:dyDescent="0.25">
      <c r="A1775" s="41" t="str">
        <f>_xlfn.XLOOKUP(G1775,dd_color!$A$2:$A$8,dd_color!$B$2:$B$8,"",0)</f>
        <v/>
      </c>
      <c r="B1775" s="41">
        <f>_xlfn.XLOOKUP(_xlfn.XLOOKUP(C1775,'Project Details'!$C$17:$C$10003,'Project Details'!$E$17:$E$10003, "",0),dd_design_raw!$A$2:$A$9997,dd_design_raw!$C$2:$C$9997,"",0)</f>
        <v>0</v>
      </c>
      <c r="C1775" s="16"/>
      <c r="D1775" s="16"/>
      <c r="E1775" s="16" t="str" cm="1">
        <f t="array" ref="E1775">IF(C1775&lt;&gt;"", _xlfn.XLOOKUP(1,((SKUs!$A$2:$A$10001=B1775) * (LEFT(SKUs!$J$2:$J$10001, LEN("Vertical Rail"))="Vertical Rail")), SKUs!$J$2:$J$10001,""),"")</f>
        <v/>
      </c>
      <c r="F1775" s="33" t="str" cm="1">
        <f t="array" ref="F1775">_xlfn.XLOOKUP(1,((SKUs!$A$2:$A$10001=cl_unmerged!B1775) * (LEFT(SKUs!$J$2:$J$10001, LEN("Vertical Rail"))="Vertical Rail") * (ISNUMBER(SEARCH(A1775,SKUs!$C$2:$C$10001)))), SKUs!$C$2:$C$10001,"")</f>
        <v/>
      </c>
      <c r="G1775" s="16"/>
      <c r="H1775" s="16"/>
      <c r="I1775" s="16"/>
    </row>
    <row r="1776" spans="1:9" ht="13.5" customHeight="1" x14ac:dyDescent="0.25">
      <c r="A1776" s="41" t="str">
        <f>_xlfn.XLOOKUP(G1776,dd_color!$A$2:$A$8,dd_color!$B$2:$B$8,"",0)</f>
        <v/>
      </c>
      <c r="B1776" s="41">
        <f>_xlfn.XLOOKUP(_xlfn.XLOOKUP(C1776,'Project Details'!$C$17:$C$10003,'Project Details'!$E$17:$E$10003, "",0),dd_design_raw!$A$2:$A$9997,dd_design_raw!$C$2:$C$9997,"",0)</f>
        <v>0</v>
      </c>
      <c r="C1776" s="16"/>
      <c r="D1776" s="16"/>
      <c r="E1776" s="16" t="str" cm="1">
        <f t="array" ref="E1776">IF(C1776&lt;&gt;"", _xlfn.XLOOKUP(1,((SKUs!$A$2:$A$10001=B1776) * (LEFT(SKUs!$J$2:$J$10001, LEN("Vertical Rail"))="Vertical Rail")), SKUs!$J$2:$J$10001,""),"")</f>
        <v/>
      </c>
      <c r="F1776" s="33" t="str" cm="1">
        <f t="array" ref="F1776">_xlfn.XLOOKUP(1,((SKUs!$A$2:$A$10001=cl_unmerged!B1776) * (LEFT(SKUs!$J$2:$J$10001, LEN("Vertical Rail"))="Vertical Rail") * (ISNUMBER(SEARCH(A1776,SKUs!$C$2:$C$10001)))), SKUs!$C$2:$C$10001,"")</f>
        <v/>
      </c>
      <c r="G1776" s="16"/>
      <c r="H1776" s="16"/>
      <c r="I1776" s="16"/>
    </row>
    <row r="1777" spans="1:9" ht="13.5" customHeight="1" x14ac:dyDescent="0.25">
      <c r="A1777" s="41" t="str">
        <f>_xlfn.XLOOKUP(G1777,dd_color!$A$2:$A$8,dd_color!$B$2:$B$8,"",0)</f>
        <v/>
      </c>
      <c r="B1777" s="41">
        <f>_xlfn.XLOOKUP(_xlfn.XLOOKUP(C1777,'Project Details'!$C$17:$C$10003,'Project Details'!$E$17:$E$10003, "",0),dd_design_raw!$A$2:$A$9997,dd_design_raw!$C$2:$C$9997,"",0)</f>
        <v>0</v>
      </c>
      <c r="C1777" s="16"/>
      <c r="D1777" s="16"/>
      <c r="E1777" s="16" t="str" cm="1">
        <f t="array" ref="E1777">IF(C1777&lt;&gt;"", _xlfn.XLOOKUP(1,((SKUs!$A$2:$A$10001=B1777) * (LEFT(SKUs!$J$2:$J$10001, LEN("Vertical Rail"))="Vertical Rail")), SKUs!$J$2:$J$10001,""),"")</f>
        <v/>
      </c>
      <c r="F1777" s="33" t="str" cm="1">
        <f t="array" ref="F1777">_xlfn.XLOOKUP(1,((SKUs!$A$2:$A$10001=cl_unmerged!B1777) * (LEFT(SKUs!$J$2:$J$10001, LEN("Vertical Rail"))="Vertical Rail") * (ISNUMBER(SEARCH(A1777,SKUs!$C$2:$C$10001)))), SKUs!$C$2:$C$10001,"")</f>
        <v/>
      </c>
      <c r="G1777" s="16"/>
      <c r="H1777" s="16"/>
      <c r="I1777" s="16"/>
    </row>
    <row r="1778" spans="1:9" ht="13.5" customHeight="1" x14ac:dyDescent="0.25">
      <c r="A1778" s="41" t="str">
        <f>_xlfn.XLOOKUP(G1778,dd_color!$A$2:$A$8,dd_color!$B$2:$B$8,"",0)</f>
        <v/>
      </c>
      <c r="B1778" s="41">
        <f>_xlfn.XLOOKUP(_xlfn.XLOOKUP(C1778,'Project Details'!$C$17:$C$10003,'Project Details'!$E$17:$E$10003, "",0),dd_design_raw!$A$2:$A$9997,dd_design_raw!$C$2:$C$9997,"",0)</f>
        <v>0</v>
      </c>
      <c r="C1778" s="16"/>
      <c r="D1778" s="16"/>
      <c r="E1778" s="16" t="str" cm="1">
        <f t="array" ref="E1778">IF(C1778&lt;&gt;"", _xlfn.XLOOKUP(1,((SKUs!$A$2:$A$10001=B1778) * (LEFT(SKUs!$J$2:$J$10001, LEN("Vertical Rail"))="Vertical Rail")), SKUs!$J$2:$J$10001,""),"")</f>
        <v/>
      </c>
      <c r="F1778" s="33" t="str" cm="1">
        <f t="array" ref="F1778">_xlfn.XLOOKUP(1,((SKUs!$A$2:$A$10001=cl_unmerged!B1778) * (LEFT(SKUs!$J$2:$J$10001, LEN("Vertical Rail"))="Vertical Rail") * (ISNUMBER(SEARCH(A1778,SKUs!$C$2:$C$10001)))), SKUs!$C$2:$C$10001,"")</f>
        <v/>
      </c>
      <c r="G1778" s="16"/>
      <c r="H1778" s="16"/>
      <c r="I1778" s="16"/>
    </row>
    <row r="1779" spans="1:9" ht="13.5" customHeight="1" x14ac:dyDescent="0.25">
      <c r="A1779" s="41" t="str">
        <f>_xlfn.XLOOKUP(G1779,dd_color!$A$2:$A$8,dd_color!$B$2:$B$8,"",0)</f>
        <v/>
      </c>
      <c r="B1779" s="41">
        <f>_xlfn.XLOOKUP(_xlfn.XLOOKUP(C1779,'Project Details'!$C$17:$C$10003,'Project Details'!$E$17:$E$10003, "",0),dd_design_raw!$A$2:$A$9997,dd_design_raw!$C$2:$C$9997,"",0)</f>
        <v>0</v>
      </c>
      <c r="C1779" s="16"/>
      <c r="D1779" s="16"/>
      <c r="E1779" s="16" t="str" cm="1">
        <f t="array" ref="E1779">IF(C1779&lt;&gt;"", _xlfn.XLOOKUP(1,((SKUs!$A$2:$A$10001=B1779) * (LEFT(SKUs!$J$2:$J$10001, LEN("Vertical Rail"))="Vertical Rail")), SKUs!$J$2:$J$10001,""),"")</f>
        <v/>
      </c>
      <c r="F1779" s="33" t="str" cm="1">
        <f t="array" ref="F1779">_xlfn.XLOOKUP(1,((SKUs!$A$2:$A$10001=cl_unmerged!B1779) * (LEFT(SKUs!$J$2:$J$10001, LEN("Vertical Rail"))="Vertical Rail") * (ISNUMBER(SEARCH(A1779,SKUs!$C$2:$C$10001)))), SKUs!$C$2:$C$10001,"")</f>
        <v/>
      </c>
      <c r="G1779" s="16"/>
      <c r="H1779" s="16"/>
      <c r="I1779" s="16"/>
    </row>
    <row r="1780" spans="1:9" ht="13.5" customHeight="1" x14ac:dyDescent="0.25">
      <c r="A1780" s="41" t="str">
        <f>_xlfn.XLOOKUP(G1780,dd_color!$A$2:$A$8,dd_color!$B$2:$B$8,"",0)</f>
        <v/>
      </c>
      <c r="B1780" s="41">
        <f>_xlfn.XLOOKUP(_xlfn.XLOOKUP(C1780,'Project Details'!$C$17:$C$10003,'Project Details'!$E$17:$E$10003, "",0),dd_design_raw!$A$2:$A$9997,dd_design_raw!$C$2:$C$9997,"",0)</f>
        <v>0</v>
      </c>
      <c r="C1780" s="16"/>
      <c r="D1780" s="16"/>
      <c r="E1780" s="16" t="str" cm="1">
        <f t="array" ref="E1780">IF(C1780&lt;&gt;"", _xlfn.XLOOKUP(1,((SKUs!$A$2:$A$10001=B1780) * (LEFT(SKUs!$J$2:$J$10001, LEN("Vertical Rail"))="Vertical Rail")), SKUs!$J$2:$J$10001,""),"")</f>
        <v/>
      </c>
      <c r="F1780" s="33" t="str" cm="1">
        <f t="array" ref="F1780">_xlfn.XLOOKUP(1,((SKUs!$A$2:$A$10001=cl_unmerged!B1780) * (LEFT(SKUs!$J$2:$J$10001, LEN("Vertical Rail"))="Vertical Rail") * (ISNUMBER(SEARCH(A1780,SKUs!$C$2:$C$10001)))), SKUs!$C$2:$C$10001,"")</f>
        <v/>
      </c>
      <c r="G1780" s="16"/>
      <c r="H1780" s="16"/>
      <c r="I1780" s="16"/>
    </row>
    <row r="1781" spans="1:9" ht="13.5" customHeight="1" x14ac:dyDescent="0.25">
      <c r="A1781" s="41" t="str">
        <f>_xlfn.XLOOKUP(G1781,dd_color!$A$2:$A$8,dd_color!$B$2:$B$8,"",0)</f>
        <v/>
      </c>
      <c r="B1781" s="41">
        <f>_xlfn.XLOOKUP(_xlfn.XLOOKUP(C1781,'Project Details'!$C$17:$C$10003,'Project Details'!$E$17:$E$10003, "",0),dd_design_raw!$A$2:$A$9997,dd_design_raw!$C$2:$C$9997,"",0)</f>
        <v>0</v>
      </c>
      <c r="C1781" s="16"/>
      <c r="D1781" s="16"/>
      <c r="E1781" s="16" t="str" cm="1">
        <f t="array" ref="E1781">IF(C1781&lt;&gt;"", _xlfn.XLOOKUP(1,((SKUs!$A$2:$A$10001=B1781) * (LEFT(SKUs!$J$2:$J$10001, LEN("Vertical Rail"))="Vertical Rail")), SKUs!$J$2:$J$10001,""),"")</f>
        <v/>
      </c>
      <c r="F1781" s="33" t="str" cm="1">
        <f t="array" ref="F1781">_xlfn.XLOOKUP(1,((SKUs!$A$2:$A$10001=cl_unmerged!B1781) * (LEFT(SKUs!$J$2:$J$10001, LEN("Vertical Rail"))="Vertical Rail") * (ISNUMBER(SEARCH(A1781,SKUs!$C$2:$C$10001)))), SKUs!$C$2:$C$10001,"")</f>
        <v/>
      </c>
      <c r="G1781" s="16"/>
      <c r="H1781" s="16"/>
      <c r="I1781" s="16"/>
    </row>
    <row r="1782" spans="1:9" ht="13.5" customHeight="1" x14ac:dyDescent="0.25">
      <c r="A1782" s="41" t="str">
        <f>_xlfn.XLOOKUP(G1782,dd_color!$A$2:$A$8,dd_color!$B$2:$B$8,"",0)</f>
        <v/>
      </c>
      <c r="B1782" s="41">
        <f>_xlfn.XLOOKUP(_xlfn.XLOOKUP(C1782,'Project Details'!$C$17:$C$10003,'Project Details'!$E$17:$E$10003, "",0),dd_design_raw!$A$2:$A$9997,dd_design_raw!$C$2:$C$9997,"",0)</f>
        <v>0</v>
      </c>
      <c r="C1782" s="16"/>
      <c r="D1782" s="16"/>
      <c r="E1782" s="16" t="str" cm="1">
        <f t="array" ref="E1782">IF(C1782&lt;&gt;"", _xlfn.XLOOKUP(1,((SKUs!$A$2:$A$10001=B1782) * (LEFT(SKUs!$J$2:$J$10001, LEN("Vertical Rail"))="Vertical Rail")), SKUs!$J$2:$J$10001,""),"")</f>
        <v/>
      </c>
      <c r="F1782" s="33" t="str" cm="1">
        <f t="array" ref="F1782">_xlfn.XLOOKUP(1,((SKUs!$A$2:$A$10001=cl_unmerged!B1782) * (LEFT(SKUs!$J$2:$J$10001, LEN("Vertical Rail"))="Vertical Rail") * (ISNUMBER(SEARCH(A1782,SKUs!$C$2:$C$10001)))), SKUs!$C$2:$C$10001,"")</f>
        <v/>
      </c>
      <c r="G1782" s="16"/>
      <c r="H1782" s="16"/>
      <c r="I1782" s="16"/>
    </row>
    <row r="1783" spans="1:9" ht="13.5" customHeight="1" x14ac:dyDescent="0.25">
      <c r="A1783" s="41" t="str">
        <f>_xlfn.XLOOKUP(G1783,dd_color!$A$2:$A$8,dd_color!$B$2:$B$8,"",0)</f>
        <v/>
      </c>
      <c r="B1783" s="41">
        <f>_xlfn.XLOOKUP(_xlfn.XLOOKUP(C1783,'Project Details'!$C$17:$C$10003,'Project Details'!$E$17:$E$10003, "",0),dd_design_raw!$A$2:$A$9997,dd_design_raw!$C$2:$C$9997,"",0)</f>
        <v>0</v>
      </c>
      <c r="C1783" s="16"/>
      <c r="D1783" s="16"/>
      <c r="E1783" s="16" t="str" cm="1">
        <f t="array" ref="E1783">IF(C1783&lt;&gt;"", _xlfn.XLOOKUP(1,((SKUs!$A$2:$A$10001=B1783) * (LEFT(SKUs!$J$2:$J$10001, LEN("Vertical Rail"))="Vertical Rail")), SKUs!$J$2:$J$10001,""),"")</f>
        <v/>
      </c>
      <c r="F1783" s="33" t="str" cm="1">
        <f t="array" ref="F1783">_xlfn.XLOOKUP(1,((SKUs!$A$2:$A$10001=cl_unmerged!B1783) * (LEFT(SKUs!$J$2:$J$10001, LEN("Vertical Rail"))="Vertical Rail") * (ISNUMBER(SEARCH(A1783,SKUs!$C$2:$C$10001)))), SKUs!$C$2:$C$10001,"")</f>
        <v/>
      </c>
      <c r="G1783" s="16"/>
      <c r="H1783" s="16"/>
      <c r="I1783" s="16"/>
    </row>
    <row r="1784" spans="1:9" ht="13.5" customHeight="1" x14ac:dyDescent="0.25">
      <c r="A1784" s="41" t="str">
        <f>_xlfn.XLOOKUP(G1784,dd_color!$A$2:$A$8,dd_color!$B$2:$B$8,"",0)</f>
        <v/>
      </c>
      <c r="B1784" s="41">
        <f>_xlfn.XLOOKUP(_xlfn.XLOOKUP(C1784,'Project Details'!$C$17:$C$10003,'Project Details'!$E$17:$E$10003, "",0),dd_design_raw!$A$2:$A$9997,dd_design_raw!$C$2:$C$9997,"",0)</f>
        <v>0</v>
      </c>
      <c r="C1784" s="16"/>
      <c r="D1784" s="16"/>
      <c r="E1784" s="16" t="str" cm="1">
        <f t="array" ref="E1784">IF(C1784&lt;&gt;"", _xlfn.XLOOKUP(1,((SKUs!$A$2:$A$10001=B1784) * (LEFT(SKUs!$J$2:$J$10001, LEN("Vertical Rail"))="Vertical Rail")), SKUs!$J$2:$J$10001,""),"")</f>
        <v/>
      </c>
      <c r="F1784" s="33" t="str" cm="1">
        <f t="array" ref="F1784">_xlfn.XLOOKUP(1,((SKUs!$A$2:$A$10001=cl_unmerged!B1784) * (LEFT(SKUs!$J$2:$J$10001, LEN("Vertical Rail"))="Vertical Rail") * (ISNUMBER(SEARCH(A1784,SKUs!$C$2:$C$10001)))), SKUs!$C$2:$C$10001,"")</f>
        <v/>
      </c>
      <c r="G1784" s="16"/>
      <c r="H1784" s="16"/>
      <c r="I1784" s="16"/>
    </row>
    <row r="1785" spans="1:9" ht="13.5" customHeight="1" x14ac:dyDescent="0.25">
      <c r="A1785" s="41" t="str">
        <f>_xlfn.XLOOKUP(G1785,dd_color!$A$2:$A$8,dd_color!$B$2:$B$8,"",0)</f>
        <v/>
      </c>
      <c r="B1785" s="41">
        <f>_xlfn.XLOOKUP(_xlfn.XLOOKUP(C1785,'Project Details'!$C$17:$C$10003,'Project Details'!$E$17:$E$10003, "",0),dd_design_raw!$A$2:$A$9997,dd_design_raw!$C$2:$C$9997,"",0)</f>
        <v>0</v>
      </c>
      <c r="C1785" s="16"/>
      <c r="D1785" s="16"/>
      <c r="E1785" s="16" t="str" cm="1">
        <f t="array" ref="E1785">IF(C1785&lt;&gt;"", _xlfn.XLOOKUP(1,((SKUs!$A$2:$A$10001=B1785) * (LEFT(SKUs!$J$2:$J$10001, LEN("Vertical Rail"))="Vertical Rail")), SKUs!$J$2:$J$10001,""),"")</f>
        <v/>
      </c>
      <c r="F1785" s="33" t="str" cm="1">
        <f t="array" ref="F1785">_xlfn.XLOOKUP(1,((SKUs!$A$2:$A$10001=cl_unmerged!B1785) * (LEFT(SKUs!$J$2:$J$10001, LEN("Vertical Rail"))="Vertical Rail") * (ISNUMBER(SEARCH(A1785,SKUs!$C$2:$C$10001)))), SKUs!$C$2:$C$10001,"")</f>
        <v/>
      </c>
      <c r="G1785" s="16"/>
      <c r="H1785" s="16"/>
      <c r="I1785" s="16"/>
    </row>
    <row r="1786" spans="1:9" ht="13.5" customHeight="1" x14ac:dyDescent="0.25">
      <c r="A1786" s="41" t="str">
        <f>_xlfn.XLOOKUP(G1786,dd_color!$A$2:$A$8,dd_color!$B$2:$B$8,"",0)</f>
        <v/>
      </c>
      <c r="B1786" s="41">
        <f>_xlfn.XLOOKUP(_xlfn.XLOOKUP(C1786,'Project Details'!$C$17:$C$10003,'Project Details'!$E$17:$E$10003, "",0),dd_design_raw!$A$2:$A$9997,dd_design_raw!$C$2:$C$9997,"",0)</f>
        <v>0</v>
      </c>
      <c r="C1786" s="16"/>
      <c r="D1786" s="16"/>
      <c r="E1786" s="16" t="str" cm="1">
        <f t="array" ref="E1786">IF(C1786&lt;&gt;"", _xlfn.XLOOKUP(1,((SKUs!$A$2:$A$10001=B1786) * (LEFT(SKUs!$J$2:$J$10001, LEN("Vertical Rail"))="Vertical Rail")), SKUs!$J$2:$J$10001,""),"")</f>
        <v/>
      </c>
      <c r="F1786" s="33" t="str" cm="1">
        <f t="array" ref="F1786">_xlfn.XLOOKUP(1,((SKUs!$A$2:$A$10001=cl_unmerged!B1786) * (LEFT(SKUs!$J$2:$J$10001, LEN("Vertical Rail"))="Vertical Rail") * (ISNUMBER(SEARCH(A1786,SKUs!$C$2:$C$10001)))), SKUs!$C$2:$C$10001,"")</f>
        <v/>
      </c>
      <c r="G1786" s="16"/>
      <c r="H1786" s="16"/>
      <c r="I1786" s="16"/>
    </row>
    <row r="1787" spans="1:9" ht="13.5" customHeight="1" x14ac:dyDescent="0.25">
      <c r="A1787" s="41" t="str">
        <f>_xlfn.XLOOKUP(G1787,dd_color!$A$2:$A$8,dd_color!$B$2:$B$8,"",0)</f>
        <v/>
      </c>
      <c r="B1787" s="41">
        <f>_xlfn.XLOOKUP(_xlfn.XLOOKUP(C1787,'Project Details'!$C$17:$C$10003,'Project Details'!$E$17:$E$10003, "",0),dd_design_raw!$A$2:$A$9997,dd_design_raw!$C$2:$C$9997,"",0)</f>
        <v>0</v>
      </c>
      <c r="C1787" s="16"/>
      <c r="D1787" s="16"/>
      <c r="E1787" s="16" t="str" cm="1">
        <f t="array" ref="E1787">IF(C1787&lt;&gt;"", _xlfn.XLOOKUP(1,((SKUs!$A$2:$A$10001=B1787) * (LEFT(SKUs!$J$2:$J$10001, LEN("Vertical Rail"))="Vertical Rail")), SKUs!$J$2:$J$10001,""),"")</f>
        <v/>
      </c>
      <c r="F1787" s="33" t="str" cm="1">
        <f t="array" ref="F1787">_xlfn.XLOOKUP(1,((SKUs!$A$2:$A$10001=cl_unmerged!B1787) * (LEFT(SKUs!$J$2:$J$10001, LEN("Vertical Rail"))="Vertical Rail") * (ISNUMBER(SEARCH(A1787,SKUs!$C$2:$C$10001)))), SKUs!$C$2:$C$10001,"")</f>
        <v/>
      </c>
      <c r="G1787" s="16"/>
      <c r="H1787" s="16"/>
      <c r="I1787" s="16"/>
    </row>
    <row r="1788" spans="1:9" ht="13.5" customHeight="1" x14ac:dyDescent="0.25">
      <c r="A1788" s="41" t="str">
        <f>_xlfn.XLOOKUP(G1788,dd_color!$A$2:$A$8,dd_color!$B$2:$B$8,"",0)</f>
        <v/>
      </c>
      <c r="B1788" s="41">
        <f>_xlfn.XLOOKUP(_xlfn.XLOOKUP(C1788,'Project Details'!$C$17:$C$10003,'Project Details'!$E$17:$E$10003, "",0),dd_design_raw!$A$2:$A$9997,dd_design_raw!$C$2:$C$9997,"",0)</f>
        <v>0</v>
      </c>
      <c r="C1788" s="16"/>
      <c r="D1788" s="16"/>
      <c r="E1788" s="16" t="str" cm="1">
        <f t="array" ref="E1788">IF(C1788&lt;&gt;"", _xlfn.XLOOKUP(1,((SKUs!$A$2:$A$10001=B1788) * (LEFT(SKUs!$J$2:$J$10001, LEN("Vertical Rail"))="Vertical Rail")), SKUs!$J$2:$J$10001,""),"")</f>
        <v/>
      </c>
      <c r="F1788" s="33" t="str" cm="1">
        <f t="array" ref="F1788">_xlfn.XLOOKUP(1,((SKUs!$A$2:$A$10001=cl_unmerged!B1788) * (LEFT(SKUs!$J$2:$J$10001, LEN("Vertical Rail"))="Vertical Rail") * (ISNUMBER(SEARCH(A1788,SKUs!$C$2:$C$10001)))), SKUs!$C$2:$C$10001,"")</f>
        <v/>
      </c>
      <c r="G1788" s="16"/>
      <c r="H1788" s="16"/>
      <c r="I1788" s="16"/>
    </row>
    <row r="1789" spans="1:9" ht="13.5" customHeight="1" x14ac:dyDescent="0.25">
      <c r="A1789" s="41" t="str">
        <f>_xlfn.XLOOKUP(G1789,dd_color!$A$2:$A$8,dd_color!$B$2:$B$8,"",0)</f>
        <v/>
      </c>
      <c r="B1789" s="41">
        <f>_xlfn.XLOOKUP(_xlfn.XLOOKUP(C1789,'Project Details'!$C$17:$C$10003,'Project Details'!$E$17:$E$10003, "",0),dd_design_raw!$A$2:$A$9997,dd_design_raw!$C$2:$C$9997,"",0)</f>
        <v>0</v>
      </c>
      <c r="C1789" s="16"/>
      <c r="D1789" s="16"/>
      <c r="E1789" s="16" t="str" cm="1">
        <f t="array" ref="E1789">IF(C1789&lt;&gt;"", _xlfn.XLOOKUP(1,((SKUs!$A$2:$A$10001=B1789) * (LEFT(SKUs!$J$2:$J$10001, LEN("Vertical Rail"))="Vertical Rail")), SKUs!$J$2:$J$10001,""),"")</f>
        <v/>
      </c>
      <c r="F1789" s="33" t="str" cm="1">
        <f t="array" ref="F1789">_xlfn.XLOOKUP(1,((SKUs!$A$2:$A$10001=cl_unmerged!B1789) * (LEFT(SKUs!$J$2:$J$10001, LEN("Vertical Rail"))="Vertical Rail") * (ISNUMBER(SEARCH(A1789,SKUs!$C$2:$C$10001)))), SKUs!$C$2:$C$10001,"")</f>
        <v/>
      </c>
      <c r="G1789" s="16"/>
      <c r="H1789" s="16"/>
      <c r="I1789" s="16"/>
    </row>
    <row r="1790" spans="1:9" ht="13.5" customHeight="1" x14ac:dyDescent="0.25">
      <c r="A1790" s="41" t="str">
        <f>_xlfn.XLOOKUP(G1790,dd_color!$A$2:$A$8,dd_color!$B$2:$B$8,"",0)</f>
        <v/>
      </c>
      <c r="B1790" s="41">
        <f>_xlfn.XLOOKUP(_xlfn.XLOOKUP(C1790,'Project Details'!$C$17:$C$10003,'Project Details'!$E$17:$E$10003, "",0),dd_design_raw!$A$2:$A$9997,dd_design_raw!$C$2:$C$9997,"",0)</f>
        <v>0</v>
      </c>
      <c r="C1790" s="16"/>
      <c r="D1790" s="16"/>
      <c r="E1790" s="16" t="str" cm="1">
        <f t="array" ref="E1790">IF(C1790&lt;&gt;"", _xlfn.XLOOKUP(1,((SKUs!$A$2:$A$10001=B1790) * (LEFT(SKUs!$J$2:$J$10001, LEN("Vertical Rail"))="Vertical Rail")), SKUs!$J$2:$J$10001,""),"")</f>
        <v/>
      </c>
      <c r="F1790" s="33" t="str" cm="1">
        <f t="array" ref="F1790">_xlfn.XLOOKUP(1,((SKUs!$A$2:$A$10001=cl_unmerged!B1790) * (LEFT(SKUs!$J$2:$J$10001, LEN("Vertical Rail"))="Vertical Rail") * (ISNUMBER(SEARCH(A1790,SKUs!$C$2:$C$10001)))), SKUs!$C$2:$C$10001,"")</f>
        <v/>
      </c>
      <c r="G1790" s="16"/>
      <c r="H1790" s="16"/>
      <c r="I1790" s="16"/>
    </row>
    <row r="1791" spans="1:9" ht="13.5" customHeight="1" x14ac:dyDescent="0.25">
      <c r="A1791" s="41" t="str">
        <f>_xlfn.XLOOKUP(G1791,dd_color!$A$2:$A$8,dd_color!$B$2:$B$8,"",0)</f>
        <v/>
      </c>
      <c r="B1791" s="41">
        <f>_xlfn.XLOOKUP(_xlfn.XLOOKUP(C1791,'Project Details'!$C$17:$C$10003,'Project Details'!$E$17:$E$10003, "",0),dd_design_raw!$A$2:$A$9997,dd_design_raw!$C$2:$C$9997,"",0)</f>
        <v>0</v>
      </c>
      <c r="C1791" s="16"/>
      <c r="D1791" s="16"/>
      <c r="E1791" s="16" t="str" cm="1">
        <f t="array" ref="E1791">IF(C1791&lt;&gt;"", _xlfn.XLOOKUP(1,((SKUs!$A$2:$A$10001=B1791) * (LEFT(SKUs!$J$2:$J$10001, LEN("Vertical Rail"))="Vertical Rail")), SKUs!$J$2:$J$10001,""),"")</f>
        <v/>
      </c>
      <c r="F1791" s="33" t="str" cm="1">
        <f t="array" ref="F1791">_xlfn.XLOOKUP(1,((SKUs!$A$2:$A$10001=cl_unmerged!B1791) * (LEFT(SKUs!$J$2:$J$10001, LEN("Vertical Rail"))="Vertical Rail") * (ISNUMBER(SEARCH(A1791,SKUs!$C$2:$C$10001)))), SKUs!$C$2:$C$10001,"")</f>
        <v/>
      </c>
      <c r="G1791" s="16"/>
      <c r="H1791" s="16"/>
      <c r="I1791" s="16"/>
    </row>
    <row r="1792" spans="1:9" ht="13.5" customHeight="1" x14ac:dyDescent="0.25">
      <c r="A1792" s="41" t="str">
        <f>_xlfn.XLOOKUP(G1792,dd_color!$A$2:$A$8,dd_color!$B$2:$B$8,"",0)</f>
        <v/>
      </c>
      <c r="B1792" s="41">
        <f>_xlfn.XLOOKUP(_xlfn.XLOOKUP(C1792,'Project Details'!$C$17:$C$10003,'Project Details'!$E$17:$E$10003, "",0),dd_design_raw!$A$2:$A$9997,dd_design_raw!$C$2:$C$9997,"",0)</f>
        <v>0</v>
      </c>
      <c r="C1792" s="16"/>
      <c r="D1792" s="16"/>
      <c r="E1792" s="16" t="str" cm="1">
        <f t="array" ref="E1792">IF(C1792&lt;&gt;"", _xlfn.XLOOKUP(1,((SKUs!$A$2:$A$10001=B1792) * (LEFT(SKUs!$J$2:$J$10001, LEN("Vertical Rail"))="Vertical Rail")), SKUs!$J$2:$J$10001,""),"")</f>
        <v/>
      </c>
      <c r="F1792" s="33" t="str" cm="1">
        <f t="array" ref="F1792">_xlfn.XLOOKUP(1,((SKUs!$A$2:$A$10001=cl_unmerged!B1792) * (LEFT(SKUs!$J$2:$J$10001, LEN("Vertical Rail"))="Vertical Rail") * (ISNUMBER(SEARCH(A1792,SKUs!$C$2:$C$10001)))), SKUs!$C$2:$C$10001,"")</f>
        <v/>
      </c>
      <c r="G1792" s="16"/>
      <c r="H1792" s="16"/>
      <c r="I1792" s="16"/>
    </row>
    <row r="1793" spans="1:9" ht="13.5" customHeight="1" x14ac:dyDescent="0.25">
      <c r="A1793" s="41" t="str">
        <f>_xlfn.XLOOKUP(G1793,dd_color!$A$2:$A$8,dd_color!$B$2:$B$8,"",0)</f>
        <v/>
      </c>
      <c r="B1793" s="41">
        <f>_xlfn.XLOOKUP(_xlfn.XLOOKUP(C1793,'Project Details'!$C$17:$C$10003,'Project Details'!$E$17:$E$10003, "",0),dd_design_raw!$A$2:$A$9997,dd_design_raw!$C$2:$C$9997,"",0)</f>
        <v>0</v>
      </c>
      <c r="C1793" s="16"/>
      <c r="D1793" s="16"/>
      <c r="E1793" s="16" t="str" cm="1">
        <f t="array" ref="E1793">IF(C1793&lt;&gt;"", _xlfn.XLOOKUP(1,((SKUs!$A$2:$A$10001=B1793) * (LEFT(SKUs!$J$2:$J$10001, LEN("Vertical Rail"))="Vertical Rail")), SKUs!$J$2:$J$10001,""),"")</f>
        <v/>
      </c>
      <c r="F1793" s="33" t="str" cm="1">
        <f t="array" ref="F1793">_xlfn.XLOOKUP(1,((SKUs!$A$2:$A$10001=cl_unmerged!B1793) * (LEFT(SKUs!$J$2:$J$10001, LEN("Vertical Rail"))="Vertical Rail") * (ISNUMBER(SEARCH(A1793,SKUs!$C$2:$C$10001)))), SKUs!$C$2:$C$10001,"")</f>
        <v/>
      </c>
      <c r="G1793" s="16"/>
      <c r="H1793" s="16"/>
      <c r="I1793" s="16"/>
    </row>
    <row r="1794" spans="1:9" ht="13.5" customHeight="1" x14ac:dyDescent="0.25">
      <c r="A1794" s="41" t="str">
        <f>_xlfn.XLOOKUP(G1794,dd_color!$A$2:$A$8,dd_color!$B$2:$B$8,"",0)</f>
        <v/>
      </c>
      <c r="B1794" s="41">
        <f>_xlfn.XLOOKUP(_xlfn.XLOOKUP(C1794,'Project Details'!$C$17:$C$10003,'Project Details'!$E$17:$E$10003, "",0),dd_design_raw!$A$2:$A$9997,dd_design_raw!$C$2:$C$9997,"",0)</f>
        <v>0</v>
      </c>
      <c r="C1794" s="16"/>
      <c r="D1794" s="16"/>
      <c r="E1794" s="16" t="str" cm="1">
        <f t="array" ref="E1794">IF(C1794&lt;&gt;"", _xlfn.XLOOKUP(1,((SKUs!$A$2:$A$10001=B1794) * (LEFT(SKUs!$J$2:$J$10001, LEN("Vertical Rail"))="Vertical Rail")), SKUs!$J$2:$J$10001,""),"")</f>
        <v/>
      </c>
      <c r="F1794" s="33" t="str" cm="1">
        <f t="array" ref="F1794">_xlfn.XLOOKUP(1,((SKUs!$A$2:$A$10001=cl_unmerged!B1794) * (LEFT(SKUs!$J$2:$J$10001, LEN("Vertical Rail"))="Vertical Rail") * (ISNUMBER(SEARCH(A1794,SKUs!$C$2:$C$10001)))), SKUs!$C$2:$C$10001,"")</f>
        <v/>
      </c>
      <c r="G1794" s="16"/>
      <c r="H1794" s="16"/>
      <c r="I1794" s="16"/>
    </row>
    <row r="1795" spans="1:9" ht="13.5" customHeight="1" x14ac:dyDescent="0.25">
      <c r="A1795" s="41" t="str">
        <f>_xlfn.XLOOKUP(G1795,dd_color!$A$2:$A$8,dd_color!$B$2:$B$8,"",0)</f>
        <v/>
      </c>
      <c r="B1795" s="41">
        <f>_xlfn.XLOOKUP(_xlfn.XLOOKUP(C1795,'Project Details'!$C$17:$C$10003,'Project Details'!$E$17:$E$10003, "",0),dd_design_raw!$A$2:$A$9997,dd_design_raw!$C$2:$C$9997,"",0)</f>
        <v>0</v>
      </c>
      <c r="C1795" s="16"/>
      <c r="D1795" s="16"/>
      <c r="E1795" s="16" t="str" cm="1">
        <f t="array" ref="E1795">IF(C1795&lt;&gt;"", _xlfn.XLOOKUP(1,((SKUs!$A$2:$A$10001=B1795) * (LEFT(SKUs!$J$2:$J$10001, LEN("Vertical Rail"))="Vertical Rail")), SKUs!$J$2:$J$10001,""),"")</f>
        <v/>
      </c>
      <c r="F1795" s="33" t="str" cm="1">
        <f t="array" ref="F1795">_xlfn.XLOOKUP(1,((SKUs!$A$2:$A$10001=cl_unmerged!B1795) * (LEFT(SKUs!$J$2:$J$10001, LEN("Vertical Rail"))="Vertical Rail") * (ISNUMBER(SEARCH(A1795,SKUs!$C$2:$C$10001)))), SKUs!$C$2:$C$10001,"")</f>
        <v/>
      </c>
      <c r="G1795" s="16"/>
      <c r="H1795" s="16"/>
      <c r="I1795" s="16"/>
    </row>
    <row r="1796" spans="1:9" ht="13.5" customHeight="1" x14ac:dyDescent="0.25">
      <c r="A1796" s="41" t="str">
        <f>_xlfn.XLOOKUP(G1796,dd_color!$A$2:$A$8,dd_color!$B$2:$B$8,"",0)</f>
        <v/>
      </c>
      <c r="B1796" s="41">
        <f>_xlfn.XLOOKUP(_xlfn.XLOOKUP(C1796,'Project Details'!$C$17:$C$10003,'Project Details'!$E$17:$E$10003, "",0),dd_design_raw!$A$2:$A$9997,dd_design_raw!$C$2:$C$9997,"",0)</f>
        <v>0</v>
      </c>
      <c r="C1796" s="16"/>
      <c r="D1796" s="16"/>
      <c r="E1796" s="16" t="str" cm="1">
        <f t="array" ref="E1796">IF(C1796&lt;&gt;"", _xlfn.XLOOKUP(1,((SKUs!$A$2:$A$10001=B1796) * (LEFT(SKUs!$J$2:$J$10001, LEN("Vertical Rail"))="Vertical Rail")), SKUs!$J$2:$J$10001,""),"")</f>
        <v/>
      </c>
      <c r="F1796" s="33" t="str" cm="1">
        <f t="array" ref="F1796">_xlfn.XLOOKUP(1,((SKUs!$A$2:$A$10001=cl_unmerged!B1796) * (LEFT(SKUs!$J$2:$J$10001, LEN("Vertical Rail"))="Vertical Rail") * (ISNUMBER(SEARCH(A1796,SKUs!$C$2:$C$10001)))), SKUs!$C$2:$C$10001,"")</f>
        <v/>
      </c>
      <c r="G1796" s="16"/>
      <c r="H1796" s="16"/>
      <c r="I1796" s="16"/>
    </row>
    <row r="1797" spans="1:9" ht="13.5" customHeight="1" x14ac:dyDescent="0.25">
      <c r="A1797" s="41" t="str">
        <f>_xlfn.XLOOKUP(G1797,dd_color!$A$2:$A$8,dd_color!$B$2:$B$8,"",0)</f>
        <v/>
      </c>
      <c r="B1797" s="41">
        <f>_xlfn.XLOOKUP(_xlfn.XLOOKUP(C1797,'Project Details'!$C$17:$C$10003,'Project Details'!$E$17:$E$10003, "",0),dd_design_raw!$A$2:$A$9997,dd_design_raw!$C$2:$C$9997,"",0)</f>
        <v>0</v>
      </c>
      <c r="C1797" s="16"/>
      <c r="D1797" s="16"/>
      <c r="E1797" s="16" t="str" cm="1">
        <f t="array" ref="E1797">IF(C1797&lt;&gt;"", _xlfn.XLOOKUP(1,((SKUs!$A$2:$A$10001=B1797) * (LEFT(SKUs!$J$2:$J$10001, LEN("Vertical Rail"))="Vertical Rail")), SKUs!$J$2:$J$10001,""),"")</f>
        <v/>
      </c>
      <c r="F1797" s="33" t="str" cm="1">
        <f t="array" ref="F1797">_xlfn.XLOOKUP(1,((SKUs!$A$2:$A$10001=cl_unmerged!B1797) * (LEFT(SKUs!$J$2:$J$10001, LEN("Vertical Rail"))="Vertical Rail") * (ISNUMBER(SEARCH(A1797,SKUs!$C$2:$C$10001)))), SKUs!$C$2:$C$10001,"")</f>
        <v/>
      </c>
      <c r="G1797" s="16"/>
      <c r="H1797" s="16"/>
      <c r="I1797" s="16"/>
    </row>
    <row r="1798" spans="1:9" ht="13.5" customHeight="1" x14ac:dyDescent="0.25">
      <c r="A1798" s="41" t="str">
        <f>_xlfn.XLOOKUP(G1798,dd_color!$A$2:$A$8,dd_color!$B$2:$B$8,"",0)</f>
        <v/>
      </c>
      <c r="B1798" s="41">
        <f>_xlfn.XLOOKUP(_xlfn.XLOOKUP(C1798,'Project Details'!$C$17:$C$10003,'Project Details'!$E$17:$E$10003, "",0),dd_design_raw!$A$2:$A$9997,dd_design_raw!$C$2:$C$9997,"",0)</f>
        <v>0</v>
      </c>
      <c r="C1798" s="16"/>
      <c r="D1798" s="16"/>
      <c r="E1798" s="16" t="str" cm="1">
        <f t="array" ref="E1798">IF(C1798&lt;&gt;"", _xlfn.XLOOKUP(1,((SKUs!$A$2:$A$10001=B1798) * (LEFT(SKUs!$J$2:$J$10001, LEN("Vertical Rail"))="Vertical Rail")), SKUs!$J$2:$J$10001,""),"")</f>
        <v/>
      </c>
      <c r="F1798" s="33" t="str" cm="1">
        <f t="array" ref="F1798">_xlfn.XLOOKUP(1,((SKUs!$A$2:$A$10001=cl_unmerged!B1798) * (LEFT(SKUs!$J$2:$J$10001, LEN("Vertical Rail"))="Vertical Rail") * (ISNUMBER(SEARCH(A1798,SKUs!$C$2:$C$10001)))), SKUs!$C$2:$C$10001,"")</f>
        <v/>
      </c>
      <c r="G1798" s="16"/>
      <c r="H1798" s="16"/>
      <c r="I1798" s="16"/>
    </row>
    <row r="1799" spans="1:9" ht="13.5" customHeight="1" x14ac:dyDescent="0.25">
      <c r="A1799" s="41" t="str">
        <f>_xlfn.XLOOKUP(G1799,dd_color!$A$2:$A$8,dd_color!$B$2:$B$8,"",0)</f>
        <v/>
      </c>
      <c r="B1799" s="41">
        <f>_xlfn.XLOOKUP(_xlfn.XLOOKUP(C1799,'Project Details'!$C$17:$C$10003,'Project Details'!$E$17:$E$10003, "",0),dd_design_raw!$A$2:$A$9997,dd_design_raw!$C$2:$C$9997,"",0)</f>
        <v>0</v>
      </c>
      <c r="C1799" s="16"/>
      <c r="D1799" s="16"/>
      <c r="E1799" s="16" t="str" cm="1">
        <f t="array" ref="E1799">IF(C1799&lt;&gt;"", _xlfn.XLOOKUP(1,((SKUs!$A$2:$A$10001=B1799) * (LEFT(SKUs!$J$2:$J$10001, LEN("Vertical Rail"))="Vertical Rail")), SKUs!$J$2:$J$10001,""),"")</f>
        <v/>
      </c>
      <c r="F1799" s="33" t="str" cm="1">
        <f t="array" ref="F1799">_xlfn.XLOOKUP(1,((SKUs!$A$2:$A$10001=cl_unmerged!B1799) * (LEFT(SKUs!$J$2:$J$10001, LEN("Vertical Rail"))="Vertical Rail") * (ISNUMBER(SEARCH(A1799,SKUs!$C$2:$C$10001)))), SKUs!$C$2:$C$10001,"")</f>
        <v/>
      </c>
      <c r="G1799" s="16"/>
      <c r="H1799" s="16"/>
      <c r="I1799" s="16"/>
    </row>
    <row r="1800" spans="1:9" ht="13.5" customHeight="1" x14ac:dyDescent="0.25">
      <c r="A1800" s="41" t="str">
        <f>_xlfn.XLOOKUP(G1800,dd_color!$A$2:$A$8,dd_color!$B$2:$B$8,"",0)</f>
        <v/>
      </c>
      <c r="B1800" s="41">
        <f>_xlfn.XLOOKUP(_xlfn.XLOOKUP(C1800,'Project Details'!$C$17:$C$10003,'Project Details'!$E$17:$E$10003, "",0),dd_design_raw!$A$2:$A$9997,dd_design_raw!$C$2:$C$9997,"",0)</f>
        <v>0</v>
      </c>
      <c r="C1800" s="16"/>
      <c r="D1800" s="16"/>
      <c r="E1800" s="16" t="str" cm="1">
        <f t="array" ref="E1800">IF(C1800&lt;&gt;"", _xlfn.XLOOKUP(1,((SKUs!$A$2:$A$10001=B1800) * (LEFT(SKUs!$J$2:$J$10001, LEN("Vertical Rail"))="Vertical Rail")), SKUs!$J$2:$J$10001,""),"")</f>
        <v/>
      </c>
      <c r="F1800" s="33" t="str" cm="1">
        <f t="array" ref="F1800">_xlfn.XLOOKUP(1,((SKUs!$A$2:$A$10001=cl_unmerged!B1800) * (LEFT(SKUs!$J$2:$J$10001, LEN("Vertical Rail"))="Vertical Rail") * (ISNUMBER(SEARCH(A1800,SKUs!$C$2:$C$10001)))), SKUs!$C$2:$C$10001,"")</f>
        <v/>
      </c>
      <c r="G1800" s="16"/>
      <c r="H1800" s="16"/>
      <c r="I1800" s="16"/>
    </row>
    <row r="1801" spans="1:9" ht="13.5" customHeight="1" x14ac:dyDescent="0.25">
      <c r="A1801" s="41" t="str">
        <f>_xlfn.XLOOKUP(G1801,dd_color!$A$2:$A$8,dd_color!$B$2:$B$8,"",0)</f>
        <v/>
      </c>
      <c r="B1801" s="41">
        <f>_xlfn.XLOOKUP(_xlfn.XLOOKUP(C1801,'Project Details'!$C$17:$C$10003,'Project Details'!$E$17:$E$10003, "",0),dd_design_raw!$A$2:$A$9997,dd_design_raw!$C$2:$C$9997,"",0)</f>
        <v>0</v>
      </c>
      <c r="C1801" s="16"/>
      <c r="D1801" s="16"/>
      <c r="E1801" s="16" t="str" cm="1">
        <f t="array" ref="E1801">IF(C1801&lt;&gt;"", _xlfn.XLOOKUP(1,((SKUs!$A$2:$A$10001=B1801) * (LEFT(SKUs!$J$2:$J$10001, LEN("Vertical Rail"))="Vertical Rail")), SKUs!$J$2:$J$10001,""),"")</f>
        <v/>
      </c>
      <c r="F1801" s="33" t="str" cm="1">
        <f t="array" ref="F1801">_xlfn.XLOOKUP(1,((SKUs!$A$2:$A$10001=cl_unmerged!B1801) * (LEFT(SKUs!$J$2:$J$10001, LEN("Vertical Rail"))="Vertical Rail") * (ISNUMBER(SEARCH(A1801,SKUs!$C$2:$C$10001)))), SKUs!$C$2:$C$10001,"")</f>
        <v/>
      </c>
      <c r="G1801" s="16"/>
      <c r="H1801" s="16"/>
      <c r="I1801" s="16"/>
    </row>
    <row r="1802" spans="1:9" ht="13.5" customHeight="1" x14ac:dyDescent="0.25">
      <c r="A1802" s="41" t="str">
        <f>_xlfn.XLOOKUP(G1802,dd_color!$A$2:$A$8,dd_color!$B$2:$B$8,"",0)</f>
        <v/>
      </c>
      <c r="B1802" s="41">
        <f>_xlfn.XLOOKUP(_xlfn.XLOOKUP(C1802,'Project Details'!$C$17:$C$10003,'Project Details'!$E$17:$E$10003, "",0),dd_design_raw!$A$2:$A$9997,dd_design_raw!$C$2:$C$9997,"",0)</f>
        <v>0</v>
      </c>
      <c r="C1802" s="16"/>
      <c r="D1802" s="16"/>
      <c r="E1802" s="16" t="str" cm="1">
        <f t="array" ref="E1802">IF(C1802&lt;&gt;"", _xlfn.XLOOKUP(1,((SKUs!$A$2:$A$10001=B1802) * (LEFT(SKUs!$J$2:$J$10001, LEN("Vertical Rail"))="Vertical Rail")), SKUs!$J$2:$J$10001,""),"")</f>
        <v/>
      </c>
      <c r="F1802" s="33" t="str" cm="1">
        <f t="array" ref="F1802">_xlfn.XLOOKUP(1,((SKUs!$A$2:$A$10001=cl_unmerged!B1802) * (LEFT(SKUs!$J$2:$J$10001, LEN("Vertical Rail"))="Vertical Rail") * (ISNUMBER(SEARCH(A1802,SKUs!$C$2:$C$10001)))), SKUs!$C$2:$C$10001,"")</f>
        <v/>
      </c>
      <c r="G1802" s="16"/>
      <c r="H1802" s="16"/>
      <c r="I1802" s="16"/>
    </row>
    <row r="1803" spans="1:9" ht="13.5" customHeight="1" x14ac:dyDescent="0.25">
      <c r="A1803" s="41" t="str">
        <f>_xlfn.XLOOKUP(G1803,dd_color!$A$2:$A$8,dd_color!$B$2:$B$8,"",0)</f>
        <v/>
      </c>
      <c r="B1803" s="41">
        <f>_xlfn.XLOOKUP(_xlfn.XLOOKUP(C1803,'Project Details'!$C$17:$C$10003,'Project Details'!$E$17:$E$10003, "",0),dd_design_raw!$A$2:$A$9997,dd_design_raw!$C$2:$C$9997,"",0)</f>
        <v>0</v>
      </c>
      <c r="C1803" s="16"/>
      <c r="D1803" s="16"/>
      <c r="E1803" s="16" t="str" cm="1">
        <f t="array" ref="E1803">IF(C1803&lt;&gt;"", _xlfn.XLOOKUP(1,((SKUs!$A$2:$A$10001=B1803) * (LEFT(SKUs!$J$2:$J$10001, LEN("Vertical Rail"))="Vertical Rail")), SKUs!$J$2:$J$10001,""),"")</f>
        <v/>
      </c>
      <c r="F1803" s="33" t="str" cm="1">
        <f t="array" ref="F1803">_xlfn.XLOOKUP(1,((SKUs!$A$2:$A$10001=cl_unmerged!B1803) * (LEFT(SKUs!$J$2:$J$10001, LEN("Vertical Rail"))="Vertical Rail") * (ISNUMBER(SEARCH(A1803,SKUs!$C$2:$C$10001)))), SKUs!$C$2:$C$10001,"")</f>
        <v/>
      </c>
      <c r="G1803" s="16"/>
      <c r="H1803" s="16"/>
      <c r="I1803" s="16"/>
    </row>
    <row r="1804" spans="1:9" ht="13.5" customHeight="1" x14ac:dyDescent="0.25">
      <c r="A1804" s="41" t="str">
        <f>_xlfn.XLOOKUP(G1804,dd_color!$A$2:$A$8,dd_color!$B$2:$B$8,"",0)</f>
        <v/>
      </c>
      <c r="B1804" s="41">
        <f>_xlfn.XLOOKUP(_xlfn.XLOOKUP(C1804,'Project Details'!$C$17:$C$10003,'Project Details'!$E$17:$E$10003, "",0),dd_design_raw!$A$2:$A$9997,dd_design_raw!$C$2:$C$9997,"",0)</f>
        <v>0</v>
      </c>
      <c r="C1804" s="16"/>
      <c r="D1804" s="16"/>
      <c r="E1804" s="16" t="str" cm="1">
        <f t="array" ref="E1804">IF(C1804&lt;&gt;"", _xlfn.XLOOKUP(1,((SKUs!$A$2:$A$10001=B1804) * (LEFT(SKUs!$J$2:$J$10001, LEN("Vertical Rail"))="Vertical Rail")), SKUs!$J$2:$J$10001,""),"")</f>
        <v/>
      </c>
      <c r="F1804" s="33" t="str" cm="1">
        <f t="array" ref="F1804">_xlfn.XLOOKUP(1,((SKUs!$A$2:$A$10001=cl_unmerged!B1804) * (LEFT(SKUs!$J$2:$J$10001, LEN("Vertical Rail"))="Vertical Rail") * (ISNUMBER(SEARCH(A1804,SKUs!$C$2:$C$10001)))), SKUs!$C$2:$C$10001,"")</f>
        <v/>
      </c>
      <c r="G1804" s="16"/>
      <c r="H1804" s="16"/>
      <c r="I1804" s="16"/>
    </row>
    <row r="1805" spans="1:9" ht="13.5" customHeight="1" x14ac:dyDescent="0.25">
      <c r="A1805" s="41" t="str">
        <f>_xlfn.XLOOKUP(G1805,dd_color!$A$2:$A$8,dd_color!$B$2:$B$8,"",0)</f>
        <v/>
      </c>
      <c r="B1805" s="41">
        <f>_xlfn.XLOOKUP(_xlfn.XLOOKUP(C1805,'Project Details'!$C$17:$C$10003,'Project Details'!$E$17:$E$10003, "",0),dd_design_raw!$A$2:$A$9997,dd_design_raw!$C$2:$C$9997,"",0)</f>
        <v>0</v>
      </c>
      <c r="C1805" s="16"/>
      <c r="D1805" s="16"/>
      <c r="E1805" s="16" t="str" cm="1">
        <f t="array" ref="E1805">IF(C1805&lt;&gt;"", _xlfn.XLOOKUP(1,((SKUs!$A$2:$A$10001=B1805) * (LEFT(SKUs!$J$2:$J$10001, LEN("Vertical Rail"))="Vertical Rail")), SKUs!$J$2:$J$10001,""),"")</f>
        <v/>
      </c>
      <c r="F1805" s="33" t="str" cm="1">
        <f t="array" ref="F1805">_xlfn.XLOOKUP(1,((SKUs!$A$2:$A$10001=cl_unmerged!B1805) * (LEFT(SKUs!$J$2:$J$10001, LEN("Vertical Rail"))="Vertical Rail") * (ISNUMBER(SEARCH(A1805,SKUs!$C$2:$C$10001)))), SKUs!$C$2:$C$10001,"")</f>
        <v/>
      </c>
      <c r="G1805" s="16"/>
      <c r="H1805" s="16"/>
      <c r="I1805" s="16"/>
    </row>
    <row r="1806" spans="1:9" ht="13.5" customHeight="1" x14ac:dyDescent="0.25">
      <c r="A1806" s="41" t="str">
        <f>_xlfn.XLOOKUP(G1806,dd_color!$A$2:$A$8,dd_color!$B$2:$B$8,"",0)</f>
        <v/>
      </c>
      <c r="B1806" s="41">
        <f>_xlfn.XLOOKUP(_xlfn.XLOOKUP(C1806,'Project Details'!$C$17:$C$10003,'Project Details'!$E$17:$E$10003, "",0),dd_design_raw!$A$2:$A$9997,dd_design_raw!$C$2:$C$9997,"",0)</f>
        <v>0</v>
      </c>
      <c r="C1806" s="16"/>
      <c r="D1806" s="16"/>
      <c r="E1806" s="16" t="str" cm="1">
        <f t="array" ref="E1806">IF(C1806&lt;&gt;"", _xlfn.XLOOKUP(1,((SKUs!$A$2:$A$10001=B1806) * (LEFT(SKUs!$J$2:$J$10001, LEN("Vertical Rail"))="Vertical Rail")), SKUs!$J$2:$J$10001,""),"")</f>
        <v/>
      </c>
      <c r="F1806" s="33" t="str" cm="1">
        <f t="array" ref="F1806">_xlfn.XLOOKUP(1,((SKUs!$A$2:$A$10001=cl_unmerged!B1806) * (LEFT(SKUs!$J$2:$J$10001, LEN("Vertical Rail"))="Vertical Rail") * (ISNUMBER(SEARCH(A1806,SKUs!$C$2:$C$10001)))), SKUs!$C$2:$C$10001,"")</f>
        <v/>
      </c>
      <c r="G1806" s="16"/>
      <c r="H1806" s="16"/>
      <c r="I1806" s="16"/>
    </row>
    <row r="1807" spans="1:9" ht="13.5" customHeight="1" x14ac:dyDescent="0.25">
      <c r="A1807" s="41" t="str">
        <f>_xlfn.XLOOKUP(G1807,dd_color!$A$2:$A$8,dd_color!$B$2:$B$8,"",0)</f>
        <v/>
      </c>
      <c r="B1807" s="41">
        <f>_xlfn.XLOOKUP(_xlfn.XLOOKUP(C1807,'Project Details'!$C$17:$C$10003,'Project Details'!$E$17:$E$10003, "",0),dd_design_raw!$A$2:$A$9997,dd_design_raw!$C$2:$C$9997,"",0)</f>
        <v>0</v>
      </c>
      <c r="C1807" s="16"/>
      <c r="D1807" s="16"/>
      <c r="E1807" s="16" t="str" cm="1">
        <f t="array" ref="E1807">IF(C1807&lt;&gt;"", _xlfn.XLOOKUP(1,((SKUs!$A$2:$A$10001=B1807) * (LEFT(SKUs!$J$2:$J$10001, LEN("Vertical Rail"))="Vertical Rail")), SKUs!$J$2:$J$10001,""),"")</f>
        <v/>
      </c>
      <c r="F1807" s="33" t="str" cm="1">
        <f t="array" ref="F1807">_xlfn.XLOOKUP(1,((SKUs!$A$2:$A$10001=cl_unmerged!B1807) * (LEFT(SKUs!$J$2:$J$10001, LEN("Vertical Rail"))="Vertical Rail") * (ISNUMBER(SEARCH(A1807,SKUs!$C$2:$C$10001)))), SKUs!$C$2:$C$10001,"")</f>
        <v/>
      </c>
      <c r="G1807" s="16"/>
      <c r="H1807" s="16"/>
      <c r="I1807" s="16"/>
    </row>
    <row r="1808" spans="1:9" ht="13.5" customHeight="1" x14ac:dyDescent="0.25">
      <c r="A1808" s="41" t="str">
        <f>_xlfn.XLOOKUP(G1808,dd_color!$A$2:$A$8,dd_color!$B$2:$B$8,"",0)</f>
        <v/>
      </c>
      <c r="B1808" s="41">
        <f>_xlfn.XLOOKUP(_xlfn.XLOOKUP(C1808,'Project Details'!$C$17:$C$10003,'Project Details'!$E$17:$E$10003, "",0),dd_design_raw!$A$2:$A$9997,dd_design_raw!$C$2:$C$9997,"",0)</f>
        <v>0</v>
      </c>
      <c r="C1808" s="16"/>
      <c r="D1808" s="16"/>
      <c r="E1808" s="16" t="str" cm="1">
        <f t="array" ref="E1808">IF(C1808&lt;&gt;"", _xlfn.XLOOKUP(1,((SKUs!$A$2:$A$10001=B1808) * (LEFT(SKUs!$J$2:$J$10001, LEN("Vertical Rail"))="Vertical Rail")), SKUs!$J$2:$J$10001,""),"")</f>
        <v/>
      </c>
      <c r="F1808" s="33" t="str" cm="1">
        <f t="array" ref="F1808">_xlfn.XLOOKUP(1,((SKUs!$A$2:$A$10001=cl_unmerged!B1808) * (LEFT(SKUs!$J$2:$J$10001, LEN("Vertical Rail"))="Vertical Rail") * (ISNUMBER(SEARCH(A1808,SKUs!$C$2:$C$10001)))), SKUs!$C$2:$C$10001,"")</f>
        <v/>
      </c>
      <c r="G1808" s="16"/>
      <c r="H1808" s="16"/>
      <c r="I1808" s="16"/>
    </row>
    <row r="1809" spans="1:9" ht="13.5" customHeight="1" x14ac:dyDescent="0.25">
      <c r="A1809" s="41" t="str">
        <f>_xlfn.XLOOKUP(G1809,dd_color!$A$2:$A$8,dd_color!$B$2:$B$8,"",0)</f>
        <v/>
      </c>
      <c r="B1809" s="41">
        <f>_xlfn.XLOOKUP(_xlfn.XLOOKUP(C1809,'Project Details'!$C$17:$C$10003,'Project Details'!$E$17:$E$10003, "",0),dd_design_raw!$A$2:$A$9997,dd_design_raw!$C$2:$C$9997,"",0)</f>
        <v>0</v>
      </c>
      <c r="C1809" s="16"/>
      <c r="D1809" s="16"/>
      <c r="E1809" s="16" t="str" cm="1">
        <f t="array" ref="E1809">IF(C1809&lt;&gt;"", _xlfn.XLOOKUP(1,((SKUs!$A$2:$A$10001=B1809) * (LEFT(SKUs!$J$2:$J$10001, LEN("Vertical Rail"))="Vertical Rail")), SKUs!$J$2:$J$10001,""),"")</f>
        <v/>
      </c>
      <c r="F1809" s="33" t="str" cm="1">
        <f t="array" ref="F1809">_xlfn.XLOOKUP(1,((SKUs!$A$2:$A$10001=cl_unmerged!B1809) * (LEFT(SKUs!$J$2:$J$10001, LEN("Vertical Rail"))="Vertical Rail") * (ISNUMBER(SEARCH(A1809,SKUs!$C$2:$C$10001)))), SKUs!$C$2:$C$10001,"")</f>
        <v/>
      </c>
      <c r="G1809" s="16"/>
      <c r="H1809" s="16"/>
      <c r="I1809" s="16"/>
    </row>
    <row r="1810" spans="1:9" ht="13.5" customHeight="1" x14ac:dyDescent="0.25">
      <c r="A1810" s="41" t="str">
        <f>_xlfn.XLOOKUP(G1810,dd_color!$A$2:$A$8,dd_color!$B$2:$B$8,"",0)</f>
        <v/>
      </c>
      <c r="B1810" s="41">
        <f>_xlfn.XLOOKUP(_xlfn.XLOOKUP(C1810,'Project Details'!$C$17:$C$10003,'Project Details'!$E$17:$E$10003, "",0),dd_design_raw!$A$2:$A$9997,dd_design_raw!$C$2:$C$9997,"",0)</f>
        <v>0</v>
      </c>
      <c r="C1810" s="16"/>
      <c r="D1810" s="16"/>
      <c r="E1810" s="16" t="str" cm="1">
        <f t="array" ref="E1810">IF(C1810&lt;&gt;"", _xlfn.XLOOKUP(1,((SKUs!$A$2:$A$10001=B1810) * (LEFT(SKUs!$J$2:$J$10001, LEN("Vertical Rail"))="Vertical Rail")), SKUs!$J$2:$J$10001,""),"")</f>
        <v/>
      </c>
      <c r="F1810" s="33" t="str" cm="1">
        <f t="array" ref="F1810">_xlfn.XLOOKUP(1,((SKUs!$A$2:$A$10001=cl_unmerged!B1810) * (LEFT(SKUs!$J$2:$J$10001, LEN("Vertical Rail"))="Vertical Rail") * (ISNUMBER(SEARCH(A1810,SKUs!$C$2:$C$10001)))), SKUs!$C$2:$C$10001,"")</f>
        <v/>
      </c>
      <c r="G1810" s="16"/>
      <c r="H1810" s="16"/>
      <c r="I1810" s="16"/>
    </row>
    <row r="1811" spans="1:9" x14ac:dyDescent="0.25">
      <c r="C1811" s="28" t="s">
        <v>897</v>
      </c>
      <c r="D1811" s="29"/>
      <c r="E1811" s="29"/>
      <c r="F1811" s="29"/>
      <c r="G1811" s="29"/>
      <c r="H1811" s="29"/>
      <c r="I1811" s="30"/>
    </row>
    <row r="1812" spans="1:9" x14ac:dyDescent="0.25">
      <c r="A1812" s="41" t="str">
        <f>_xlfn.XLOOKUP(G1812,dd_color!$A$2:$A$8,dd_color!$B$2:$B$8,"",0)</f>
        <v/>
      </c>
      <c r="B1812" s="41" t="str">
        <f>_xlfn.XLOOKUP(_xlfn.XLOOKUP(C1812,'Project Details'!$C$17:$C$10003,'Project Details'!$E$17:$E$10003, "",0),dd_design_raw!$A$2:$A$9997,dd_design_raw!$C$2:$C$9997,"",0)</f>
        <v/>
      </c>
      <c r="C1812" s="16" t="str" cm="1">
        <f t="array" ref="C1812">IFERROR(_xlfn._xlws.FILTER(calc_rusacc!$C$15:$C$65,(calc_rusacc!$E$15:$E$65&lt;&gt;"Roll-up Screen") * (calc_rusacc!$D$15:$D$65&lt;&gt;"")),"")</f>
        <v/>
      </c>
      <c r="D1812" s="16" t="str" cm="1">
        <f t="array" ref="D1812">IFERROR(_xlfn._xlws.FILTER(calc_rusacc!$AU$15:$AU$65,(calc_rusacc!$E$15:$E$65&lt;&gt;"Roll-up Screen") * (calc_rusacc!$D$15:$D$65&lt;&gt;"")),"")</f>
        <v/>
      </c>
      <c r="E1812" s="16" t="str" cm="1">
        <f t="array" ref="E1812">IF(C1812&lt;&gt;"", _xlfn.XLOOKUP(1,((SKUs!$A$2:$A$10001=B1812) * (LEFT(SKUs!$J$2:$J$10001, LEN("PVC Cover"))="PVC Cover")), SKUs!$J$2:$J$10001,""),"")</f>
        <v/>
      </c>
      <c r="F1812" s="33" t="str" cm="1">
        <f t="array" ref="F1812">_xlfn.XLOOKUP(1,((SKUs!$A$2:$A$10001=cl_unmerged!B1812) * (LEFT(SKUs!$J$2:$J$10001, LEN("PVC Cover"))="PVC Cover") * (ISNUMBER(SEARCH(A1812,SKUs!$C$2:$C$10001)))), SKUs!$C$2:$C$10001,"")</f>
        <v/>
      </c>
      <c r="G1812" s="16"/>
      <c r="H1812" s="16" t="str" cm="1">
        <f t="array" ref="H1812">IFERROR(_xlfn._xlws.FILTER(calc_rusacc!$AT$15:$AT$65,(calc_rusacc!$E$15:$E$65&lt;&gt;"Roll-up Screen") * (calc_rusacc!$D$15:$D$65&lt;&gt;"")),"")</f>
        <v/>
      </c>
      <c r="I1812" s="16"/>
    </row>
    <row r="1813" spans="1:9" x14ac:dyDescent="0.25">
      <c r="A1813" s="41" t="str">
        <f>_xlfn.XLOOKUP(G1813,dd_color!$A$2:$A$8,dd_color!$B$2:$B$8,"",0)</f>
        <v/>
      </c>
      <c r="B1813" s="41">
        <f>_xlfn.XLOOKUP(_xlfn.XLOOKUP(C1813,'Project Details'!$C$17:$C$10003,'Project Details'!$E$17:$E$10003, "",0),dd_design_raw!$A$2:$A$9997,dd_design_raw!$C$2:$C$9997,"",0)</f>
        <v>0</v>
      </c>
      <c r="C1813" s="16"/>
      <c r="D1813" s="16"/>
      <c r="E1813" s="16" t="str" cm="1">
        <f t="array" ref="E1813">IF(C1813&lt;&gt;"", _xlfn.XLOOKUP(1,((SKUs!$A$2:$A$10001=B1813) * (LEFT(SKUs!$J$2:$J$10001, LEN("PVC Cover"))="PVC Cover")), SKUs!$J$2:$J$10001,""),"")</f>
        <v/>
      </c>
      <c r="F1813" s="33" t="str" cm="1">
        <f t="array" ref="F1813">_xlfn.XLOOKUP(1,((SKUs!$A$2:$A$10001=cl_unmerged!B1813) * (LEFT(SKUs!$J$2:$J$10001, LEN("PVC Cover"))="PVC Cover") * (ISNUMBER(SEARCH(A1813,SKUs!$C$2:$C$10001)))), SKUs!$C$2:$C$10001,"")</f>
        <v/>
      </c>
      <c r="G1813" s="16"/>
      <c r="H1813" s="16"/>
      <c r="I1813" s="16"/>
    </row>
    <row r="1814" spans="1:9" x14ac:dyDescent="0.25">
      <c r="A1814" s="41" t="str">
        <f>_xlfn.XLOOKUP(G1814,dd_color!$A$2:$A$8,dd_color!$B$2:$B$8,"",0)</f>
        <v/>
      </c>
      <c r="B1814" s="41">
        <f>_xlfn.XLOOKUP(_xlfn.XLOOKUP(C1814,'Project Details'!$C$17:$C$10003,'Project Details'!$E$17:$E$10003, "",0),dd_design_raw!$A$2:$A$9997,dd_design_raw!$C$2:$C$9997,"",0)</f>
        <v>0</v>
      </c>
      <c r="C1814" s="16"/>
      <c r="D1814" s="16"/>
      <c r="E1814" s="16" t="str" cm="1">
        <f t="array" ref="E1814">IF(C1814&lt;&gt;"", _xlfn.XLOOKUP(1,((SKUs!$A$2:$A$10001=B1814) * (LEFT(SKUs!$J$2:$J$10001, LEN("PVC Cover"))="PVC Cover")), SKUs!$J$2:$J$10001,""),"")</f>
        <v/>
      </c>
      <c r="F1814" s="33" t="str" cm="1">
        <f t="array" ref="F1814">_xlfn.XLOOKUP(1,((SKUs!$A$2:$A$10001=cl_unmerged!B1814) * (LEFT(SKUs!$J$2:$J$10001, LEN("PVC Cover"))="PVC Cover") * (ISNUMBER(SEARCH(A1814,SKUs!$C$2:$C$10001)))), SKUs!$C$2:$C$10001,"")</f>
        <v/>
      </c>
      <c r="G1814" s="16"/>
      <c r="H1814" s="16"/>
      <c r="I1814" s="16"/>
    </row>
    <row r="1815" spans="1:9" x14ac:dyDescent="0.25">
      <c r="A1815" s="41" t="str">
        <f>_xlfn.XLOOKUP(G1815,dd_color!$A$2:$A$8,dd_color!$B$2:$B$8,"",0)</f>
        <v/>
      </c>
      <c r="B1815" s="41">
        <f>_xlfn.XLOOKUP(_xlfn.XLOOKUP(C1815,'Project Details'!$C$17:$C$10003,'Project Details'!$E$17:$E$10003, "",0),dd_design_raw!$A$2:$A$9997,dd_design_raw!$C$2:$C$9997,"",0)</f>
        <v>0</v>
      </c>
      <c r="C1815" s="16"/>
      <c r="D1815" s="16"/>
      <c r="E1815" s="16" t="str" cm="1">
        <f t="array" ref="E1815">IF(C1815&lt;&gt;"", _xlfn.XLOOKUP(1,((SKUs!$A$2:$A$10001=B1815) * (LEFT(SKUs!$J$2:$J$10001, LEN("PVC Cover"))="PVC Cover")), SKUs!$J$2:$J$10001,""),"")</f>
        <v/>
      </c>
      <c r="F1815" s="33" t="str" cm="1">
        <f t="array" ref="F1815">_xlfn.XLOOKUP(1,((SKUs!$A$2:$A$10001=cl_unmerged!B1815) * (LEFT(SKUs!$J$2:$J$10001, LEN("PVC Cover"))="PVC Cover") * (ISNUMBER(SEARCH(A1815,SKUs!$C$2:$C$10001)))), SKUs!$C$2:$C$10001,"")</f>
        <v/>
      </c>
      <c r="G1815" s="16"/>
      <c r="H1815" s="16"/>
      <c r="I1815" s="16"/>
    </row>
    <row r="1816" spans="1:9" x14ac:dyDescent="0.25">
      <c r="A1816" s="41" t="str">
        <f>_xlfn.XLOOKUP(G1816,dd_color!$A$2:$A$8,dd_color!$B$2:$B$8,"",0)</f>
        <v/>
      </c>
      <c r="B1816" s="41">
        <f>_xlfn.XLOOKUP(_xlfn.XLOOKUP(C1816,'Project Details'!$C$17:$C$10003,'Project Details'!$E$17:$E$10003, "",0),dd_design_raw!$A$2:$A$9997,dd_design_raw!$C$2:$C$9997,"",0)</f>
        <v>0</v>
      </c>
      <c r="C1816" s="16"/>
      <c r="D1816" s="16"/>
      <c r="E1816" s="16" t="str" cm="1">
        <f t="array" ref="E1816">IF(C1816&lt;&gt;"", _xlfn.XLOOKUP(1,((SKUs!$A$2:$A$10001=B1816) * (LEFT(SKUs!$J$2:$J$10001, LEN("PVC Cover"))="PVC Cover")), SKUs!$J$2:$J$10001,""),"")</f>
        <v/>
      </c>
      <c r="F1816" s="33" t="str" cm="1">
        <f t="array" ref="F1816">_xlfn.XLOOKUP(1,((SKUs!$A$2:$A$10001=cl_unmerged!B1816) * (LEFT(SKUs!$J$2:$J$10001, LEN("PVC Cover"))="PVC Cover") * (ISNUMBER(SEARCH(A1816,SKUs!$C$2:$C$10001)))), SKUs!$C$2:$C$10001,"")</f>
        <v/>
      </c>
      <c r="G1816" s="16"/>
      <c r="H1816" s="16"/>
      <c r="I1816" s="16"/>
    </row>
    <row r="1817" spans="1:9" x14ac:dyDescent="0.25">
      <c r="A1817" s="41" t="str">
        <f>_xlfn.XLOOKUP(G1817,dd_color!$A$2:$A$8,dd_color!$B$2:$B$8,"",0)</f>
        <v/>
      </c>
      <c r="B1817" s="41">
        <f>_xlfn.XLOOKUP(_xlfn.XLOOKUP(C1817,'Project Details'!$C$17:$C$10003,'Project Details'!$E$17:$E$10003, "",0),dd_design_raw!$A$2:$A$9997,dd_design_raw!$C$2:$C$9997,"",0)</f>
        <v>0</v>
      </c>
      <c r="C1817" s="16"/>
      <c r="D1817" s="16"/>
      <c r="E1817" s="16" t="str" cm="1">
        <f t="array" ref="E1817">IF(C1817&lt;&gt;"", _xlfn.XLOOKUP(1,((SKUs!$A$2:$A$10001=B1817) * (LEFT(SKUs!$J$2:$J$10001, LEN("PVC Cover"))="PVC Cover")), SKUs!$J$2:$J$10001,""),"")</f>
        <v/>
      </c>
      <c r="F1817" s="33" t="str" cm="1">
        <f t="array" ref="F1817">_xlfn.XLOOKUP(1,((SKUs!$A$2:$A$10001=cl_unmerged!B1817) * (LEFT(SKUs!$J$2:$J$10001, LEN("PVC Cover"))="PVC Cover") * (ISNUMBER(SEARCH(A1817,SKUs!$C$2:$C$10001)))), SKUs!$C$2:$C$10001,"")</f>
        <v/>
      </c>
      <c r="G1817" s="16"/>
      <c r="H1817" s="16"/>
      <c r="I1817" s="16"/>
    </row>
    <row r="1818" spans="1:9" x14ac:dyDescent="0.25">
      <c r="A1818" s="41" t="str">
        <f>_xlfn.XLOOKUP(G1818,dd_color!$A$2:$A$8,dd_color!$B$2:$B$8,"",0)</f>
        <v/>
      </c>
      <c r="B1818" s="41">
        <f>_xlfn.XLOOKUP(_xlfn.XLOOKUP(C1818,'Project Details'!$C$17:$C$10003,'Project Details'!$E$17:$E$10003, "",0),dd_design_raw!$A$2:$A$9997,dd_design_raw!$C$2:$C$9997,"",0)</f>
        <v>0</v>
      </c>
      <c r="C1818" s="16"/>
      <c r="D1818" s="16"/>
      <c r="E1818" s="16" t="str" cm="1">
        <f t="array" ref="E1818">IF(C1818&lt;&gt;"", _xlfn.XLOOKUP(1,((SKUs!$A$2:$A$10001=B1818) * (LEFT(SKUs!$J$2:$J$10001, LEN("PVC Cover"))="PVC Cover")), SKUs!$J$2:$J$10001,""),"")</f>
        <v/>
      </c>
      <c r="F1818" s="33" t="str" cm="1">
        <f t="array" ref="F1818">_xlfn.XLOOKUP(1,((SKUs!$A$2:$A$10001=cl_unmerged!B1818) * (LEFT(SKUs!$J$2:$J$10001, LEN("PVC Cover"))="PVC Cover") * (ISNUMBER(SEARCH(A1818,SKUs!$C$2:$C$10001)))), SKUs!$C$2:$C$10001,"")</f>
        <v/>
      </c>
      <c r="G1818" s="16"/>
      <c r="H1818" s="16"/>
      <c r="I1818" s="16"/>
    </row>
    <row r="1819" spans="1:9" x14ac:dyDescent="0.25">
      <c r="A1819" s="41" t="str">
        <f>_xlfn.XLOOKUP(G1819,dd_color!$A$2:$A$8,dd_color!$B$2:$B$8,"",0)</f>
        <v/>
      </c>
      <c r="B1819" s="41">
        <f>_xlfn.XLOOKUP(_xlfn.XLOOKUP(C1819,'Project Details'!$C$17:$C$10003,'Project Details'!$E$17:$E$10003, "",0),dd_design_raw!$A$2:$A$9997,dd_design_raw!$C$2:$C$9997,"",0)</f>
        <v>0</v>
      </c>
      <c r="C1819" s="16"/>
      <c r="D1819" s="16"/>
      <c r="E1819" s="16" t="str" cm="1">
        <f t="array" ref="E1819">IF(C1819&lt;&gt;"", _xlfn.XLOOKUP(1,((SKUs!$A$2:$A$10001=B1819) * (LEFT(SKUs!$J$2:$J$10001, LEN("PVC Cover"))="PVC Cover")), SKUs!$J$2:$J$10001,""),"")</f>
        <v/>
      </c>
      <c r="F1819" s="33" t="str" cm="1">
        <f t="array" ref="F1819">_xlfn.XLOOKUP(1,((SKUs!$A$2:$A$10001=cl_unmerged!B1819) * (LEFT(SKUs!$J$2:$J$10001, LEN("PVC Cover"))="PVC Cover") * (ISNUMBER(SEARCH(A1819,SKUs!$C$2:$C$10001)))), SKUs!$C$2:$C$10001,"")</f>
        <v/>
      </c>
      <c r="G1819" s="16"/>
      <c r="H1819" s="16"/>
      <c r="I1819" s="16"/>
    </row>
    <row r="1820" spans="1:9" x14ac:dyDescent="0.25">
      <c r="A1820" s="41" t="str">
        <f>_xlfn.XLOOKUP(G1820,dd_color!$A$2:$A$8,dd_color!$B$2:$B$8,"",0)</f>
        <v/>
      </c>
      <c r="B1820" s="41">
        <f>_xlfn.XLOOKUP(_xlfn.XLOOKUP(C1820,'Project Details'!$C$17:$C$10003,'Project Details'!$E$17:$E$10003, "",0),dd_design_raw!$A$2:$A$9997,dd_design_raw!$C$2:$C$9997,"",0)</f>
        <v>0</v>
      </c>
      <c r="C1820" s="16"/>
      <c r="D1820" s="16"/>
      <c r="E1820" s="16" t="str" cm="1">
        <f t="array" ref="E1820">IF(C1820&lt;&gt;"", _xlfn.XLOOKUP(1,((SKUs!$A$2:$A$10001=B1820) * (LEFT(SKUs!$J$2:$J$10001, LEN("PVC Cover"))="PVC Cover")), SKUs!$J$2:$J$10001,""),"")</f>
        <v/>
      </c>
      <c r="F1820" s="33" t="str" cm="1">
        <f t="array" ref="F1820">_xlfn.XLOOKUP(1,((SKUs!$A$2:$A$10001=cl_unmerged!B1820) * (LEFT(SKUs!$J$2:$J$10001, LEN("PVC Cover"))="PVC Cover") * (ISNUMBER(SEARCH(A1820,SKUs!$C$2:$C$10001)))), SKUs!$C$2:$C$10001,"")</f>
        <v/>
      </c>
      <c r="G1820" s="16"/>
      <c r="H1820" s="16"/>
      <c r="I1820" s="16"/>
    </row>
    <row r="1821" spans="1:9" x14ac:dyDescent="0.25">
      <c r="A1821" s="41" t="str">
        <f>_xlfn.XLOOKUP(G1821,dd_color!$A$2:$A$8,dd_color!$B$2:$B$8,"",0)</f>
        <v/>
      </c>
      <c r="B1821" s="41">
        <f>_xlfn.XLOOKUP(_xlfn.XLOOKUP(C1821,'Project Details'!$C$17:$C$10003,'Project Details'!$E$17:$E$10003, "",0),dd_design_raw!$A$2:$A$9997,dd_design_raw!$C$2:$C$9997,"",0)</f>
        <v>0</v>
      </c>
      <c r="C1821" s="16"/>
      <c r="D1821" s="16"/>
      <c r="E1821" s="16" t="str" cm="1">
        <f t="array" ref="E1821">IF(C1821&lt;&gt;"", _xlfn.XLOOKUP(1,((SKUs!$A$2:$A$10001=B1821) * (LEFT(SKUs!$J$2:$J$10001, LEN("PVC Cover"))="PVC Cover")), SKUs!$J$2:$J$10001,""),"")</f>
        <v/>
      </c>
      <c r="F1821" s="33" t="str" cm="1">
        <f t="array" ref="F1821">_xlfn.XLOOKUP(1,((SKUs!$A$2:$A$10001=cl_unmerged!B1821) * (LEFT(SKUs!$J$2:$J$10001, LEN("PVC Cover"))="PVC Cover") * (ISNUMBER(SEARCH(A1821,SKUs!$C$2:$C$10001)))), SKUs!$C$2:$C$10001,"")</f>
        <v/>
      </c>
      <c r="G1821" s="16"/>
      <c r="H1821" s="16"/>
      <c r="I1821" s="16"/>
    </row>
    <row r="1822" spans="1:9" x14ac:dyDescent="0.25">
      <c r="A1822" s="41" t="str">
        <f>_xlfn.XLOOKUP(G1822,dd_color!$A$2:$A$8,dd_color!$B$2:$B$8,"",0)</f>
        <v/>
      </c>
      <c r="B1822" s="41">
        <f>_xlfn.XLOOKUP(_xlfn.XLOOKUP(C1822,'Project Details'!$C$17:$C$10003,'Project Details'!$E$17:$E$10003, "",0),dd_design_raw!$A$2:$A$9997,dd_design_raw!$C$2:$C$9997,"",0)</f>
        <v>0</v>
      </c>
      <c r="C1822" s="16"/>
      <c r="D1822" s="16"/>
      <c r="E1822" s="16" t="str" cm="1">
        <f t="array" ref="E1822">IF(C1822&lt;&gt;"", _xlfn.XLOOKUP(1,((SKUs!$A$2:$A$10001=B1822) * (LEFT(SKUs!$J$2:$J$10001, LEN("PVC Cover"))="PVC Cover")), SKUs!$J$2:$J$10001,""),"")</f>
        <v/>
      </c>
      <c r="F1822" s="33" t="str" cm="1">
        <f t="array" ref="F1822">_xlfn.XLOOKUP(1,((SKUs!$A$2:$A$10001=cl_unmerged!B1822) * (LEFT(SKUs!$J$2:$J$10001, LEN("PVC Cover"))="PVC Cover") * (ISNUMBER(SEARCH(A1822,SKUs!$C$2:$C$10001)))), SKUs!$C$2:$C$10001,"")</f>
        <v/>
      </c>
      <c r="G1822" s="16"/>
      <c r="H1822" s="16"/>
      <c r="I1822" s="16"/>
    </row>
    <row r="1823" spans="1:9" x14ac:dyDescent="0.25">
      <c r="A1823" s="41" t="str">
        <f>_xlfn.XLOOKUP(G1823,dd_color!$A$2:$A$8,dd_color!$B$2:$B$8,"",0)</f>
        <v/>
      </c>
      <c r="B1823" s="41">
        <f>_xlfn.XLOOKUP(_xlfn.XLOOKUP(C1823,'Project Details'!$C$17:$C$10003,'Project Details'!$E$17:$E$10003, "",0),dd_design_raw!$A$2:$A$9997,dd_design_raw!$C$2:$C$9997,"",0)</f>
        <v>0</v>
      </c>
      <c r="C1823" s="16"/>
      <c r="D1823" s="16"/>
      <c r="E1823" s="16" t="str" cm="1">
        <f t="array" ref="E1823">IF(C1823&lt;&gt;"", _xlfn.XLOOKUP(1,((SKUs!$A$2:$A$10001=B1823) * (LEFT(SKUs!$J$2:$J$10001, LEN("PVC Cover"))="PVC Cover")), SKUs!$J$2:$J$10001,""),"")</f>
        <v/>
      </c>
      <c r="F1823" s="33" t="str" cm="1">
        <f t="array" ref="F1823">_xlfn.XLOOKUP(1,((SKUs!$A$2:$A$10001=cl_unmerged!B1823) * (LEFT(SKUs!$J$2:$J$10001, LEN("PVC Cover"))="PVC Cover") * (ISNUMBER(SEARCH(A1823,SKUs!$C$2:$C$10001)))), SKUs!$C$2:$C$10001,"")</f>
        <v/>
      </c>
      <c r="G1823" s="16"/>
      <c r="H1823" s="16"/>
      <c r="I1823" s="16"/>
    </row>
    <row r="1824" spans="1:9" x14ac:dyDescent="0.25">
      <c r="A1824" s="41" t="str">
        <f>_xlfn.XLOOKUP(G1824,dd_color!$A$2:$A$8,dd_color!$B$2:$B$8,"",0)</f>
        <v/>
      </c>
      <c r="B1824" s="41">
        <f>_xlfn.XLOOKUP(_xlfn.XLOOKUP(C1824,'Project Details'!$C$17:$C$10003,'Project Details'!$E$17:$E$10003, "",0),dd_design_raw!$A$2:$A$9997,dd_design_raw!$C$2:$C$9997,"",0)</f>
        <v>0</v>
      </c>
      <c r="C1824" s="16"/>
      <c r="D1824" s="16"/>
      <c r="E1824" s="16" t="str" cm="1">
        <f t="array" ref="E1824">IF(C1824&lt;&gt;"", _xlfn.XLOOKUP(1,((SKUs!$A$2:$A$10001=B1824) * (LEFT(SKUs!$J$2:$J$10001, LEN("PVC Cover"))="PVC Cover")), SKUs!$J$2:$J$10001,""),"")</f>
        <v/>
      </c>
      <c r="F1824" s="33" t="str" cm="1">
        <f t="array" ref="F1824">_xlfn.XLOOKUP(1,((SKUs!$A$2:$A$10001=cl_unmerged!B1824) * (LEFT(SKUs!$J$2:$J$10001, LEN("PVC Cover"))="PVC Cover") * (ISNUMBER(SEARCH(A1824,SKUs!$C$2:$C$10001)))), SKUs!$C$2:$C$10001,"")</f>
        <v/>
      </c>
      <c r="G1824" s="16"/>
      <c r="H1824" s="16"/>
      <c r="I1824" s="16"/>
    </row>
    <row r="1825" spans="1:9" x14ac:dyDescent="0.25">
      <c r="A1825" s="41" t="str">
        <f>_xlfn.XLOOKUP(G1825,dd_color!$A$2:$A$8,dd_color!$B$2:$B$8,"",0)</f>
        <v/>
      </c>
      <c r="B1825" s="41">
        <f>_xlfn.XLOOKUP(_xlfn.XLOOKUP(C1825,'Project Details'!$C$17:$C$10003,'Project Details'!$E$17:$E$10003, "",0),dd_design_raw!$A$2:$A$9997,dd_design_raw!$C$2:$C$9997,"",0)</f>
        <v>0</v>
      </c>
      <c r="C1825" s="16"/>
      <c r="D1825" s="16"/>
      <c r="E1825" s="16" t="str" cm="1">
        <f t="array" ref="E1825">IF(C1825&lt;&gt;"", _xlfn.XLOOKUP(1,((SKUs!$A$2:$A$10001=B1825) * (LEFT(SKUs!$J$2:$J$10001, LEN("PVC Cover"))="PVC Cover")), SKUs!$J$2:$J$10001,""),"")</f>
        <v/>
      </c>
      <c r="F1825" s="33" t="str" cm="1">
        <f t="array" ref="F1825">_xlfn.XLOOKUP(1,((SKUs!$A$2:$A$10001=cl_unmerged!B1825) * (LEFT(SKUs!$J$2:$J$10001, LEN("PVC Cover"))="PVC Cover") * (ISNUMBER(SEARCH(A1825,SKUs!$C$2:$C$10001)))), SKUs!$C$2:$C$10001,"")</f>
        <v/>
      </c>
      <c r="G1825" s="16"/>
      <c r="H1825" s="16"/>
      <c r="I1825" s="16"/>
    </row>
    <row r="1826" spans="1:9" x14ac:dyDescent="0.25">
      <c r="A1826" s="41" t="str">
        <f>_xlfn.XLOOKUP(G1826,dd_color!$A$2:$A$8,dd_color!$B$2:$B$8,"",0)</f>
        <v/>
      </c>
      <c r="B1826" s="41">
        <f>_xlfn.XLOOKUP(_xlfn.XLOOKUP(C1826,'Project Details'!$C$17:$C$10003,'Project Details'!$E$17:$E$10003, "",0),dd_design_raw!$A$2:$A$9997,dd_design_raw!$C$2:$C$9997,"",0)</f>
        <v>0</v>
      </c>
      <c r="C1826" s="16"/>
      <c r="D1826" s="16"/>
      <c r="E1826" s="16" t="str" cm="1">
        <f t="array" ref="E1826">IF(C1826&lt;&gt;"", _xlfn.XLOOKUP(1,((SKUs!$A$2:$A$10001=B1826) * (LEFT(SKUs!$J$2:$J$10001, LEN("PVC Cover"))="PVC Cover")), SKUs!$J$2:$J$10001,""),"")</f>
        <v/>
      </c>
      <c r="F1826" s="33" t="str" cm="1">
        <f t="array" ref="F1826">_xlfn.XLOOKUP(1,((SKUs!$A$2:$A$10001=cl_unmerged!B1826) * (LEFT(SKUs!$J$2:$J$10001, LEN("PVC Cover"))="PVC Cover") * (ISNUMBER(SEARCH(A1826,SKUs!$C$2:$C$10001)))), SKUs!$C$2:$C$10001,"")</f>
        <v/>
      </c>
      <c r="G1826" s="16"/>
      <c r="H1826" s="16"/>
      <c r="I1826" s="16"/>
    </row>
    <row r="1827" spans="1:9" x14ac:dyDescent="0.25">
      <c r="A1827" s="41" t="str">
        <f>_xlfn.XLOOKUP(G1827,dd_color!$A$2:$A$8,dd_color!$B$2:$B$8,"",0)</f>
        <v/>
      </c>
      <c r="B1827" s="41">
        <f>_xlfn.XLOOKUP(_xlfn.XLOOKUP(C1827,'Project Details'!$C$17:$C$10003,'Project Details'!$E$17:$E$10003, "",0),dd_design_raw!$A$2:$A$9997,dd_design_raw!$C$2:$C$9997,"",0)</f>
        <v>0</v>
      </c>
      <c r="C1827" s="16"/>
      <c r="D1827" s="16"/>
      <c r="E1827" s="16" t="str" cm="1">
        <f t="array" ref="E1827">IF(C1827&lt;&gt;"", _xlfn.XLOOKUP(1,((SKUs!$A$2:$A$10001=B1827) * (LEFT(SKUs!$J$2:$J$10001, LEN("PVC Cover"))="PVC Cover")), SKUs!$J$2:$J$10001,""),"")</f>
        <v/>
      </c>
      <c r="F1827" s="33" t="str" cm="1">
        <f t="array" ref="F1827">_xlfn.XLOOKUP(1,((SKUs!$A$2:$A$10001=cl_unmerged!B1827) * (LEFT(SKUs!$J$2:$J$10001, LEN("PVC Cover"))="PVC Cover") * (ISNUMBER(SEARCH(A1827,SKUs!$C$2:$C$10001)))), SKUs!$C$2:$C$10001,"")</f>
        <v/>
      </c>
      <c r="G1827" s="16"/>
      <c r="H1827" s="16"/>
      <c r="I1827" s="16"/>
    </row>
    <row r="1828" spans="1:9" x14ac:dyDescent="0.25">
      <c r="A1828" s="41" t="str">
        <f>_xlfn.XLOOKUP(G1828,dd_color!$A$2:$A$8,dd_color!$B$2:$B$8,"",0)</f>
        <v/>
      </c>
      <c r="B1828" s="41">
        <f>_xlfn.XLOOKUP(_xlfn.XLOOKUP(C1828,'Project Details'!$C$17:$C$10003,'Project Details'!$E$17:$E$10003, "",0),dd_design_raw!$A$2:$A$9997,dd_design_raw!$C$2:$C$9997,"",0)</f>
        <v>0</v>
      </c>
      <c r="C1828" s="16"/>
      <c r="D1828" s="16"/>
      <c r="E1828" s="16" t="str" cm="1">
        <f t="array" ref="E1828">IF(C1828&lt;&gt;"", _xlfn.XLOOKUP(1,((SKUs!$A$2:$A$10001=B1828) * (LEFT(SKUs!$J$2:$J$10001, LEN("PVC Cover"))="PVC Cover")), SKUs!$J$2:$J$10001,""),"")</f>
        <v/>
      </c>
      <c r="F1828" s="33" t="str" cm="1">
        <f t="array" ref="F1828">_xlfn.XLOOKUP(1,((SKUs!$A$2:$A$10001=cl_unmerged!B1828) * (LEFT(SKUs!$J$2:$J$10001, LEN("PVC Cover"))="PVC Cover") * (ISNUMBER(SEARCH(A1828,SKUs!$C$2:$C$10001)))), SKUs!$C$2:$C$10001,"")</f>
        <v/>
      </c>
      <c r="G1828" s="16"/>
      <c r="H1828" s="16"/>
      <c r="I1828" s="16"/>
    </row>
    <row r="1829" spans="1:9" x14ac:dyDescent="0.25">
      <c r="A1829" s="41" t="str">
        <f>_xlfn.XLOOKUP(G1829,dd_color!$A$2:$A$8,dd_color!$B$2:$B$8,"",0)</f>
        <v/>
      </c>
      <c r="B1829" s="41">
        <f>_xlfn.XLOOKUP(_xlfn.XLOOKUP(C1829,'Project Details'!$C$17:$C$10003,'Project Details'!$E$17:$E$10003, "",0),dd_design_raw!$A$2:$A$9997,dd_design_raw!$C$2:$C$9997,"",0)</f>
        <v>0</v>
      </c>
      <c r="C1829" s="16"/>
      <c r="D1829" s="16"/>
      <c r="E1829" s="16" t="str" cm="1">
        <f t="array" ref="E1829">IF(C1829&lt;&gt;"", _xlfn.XLOOKUP(1,((SKUs!$A$2:$A$10001=B1829) * (LEFT(SKUs!$J$2:$J$10001, LEN("PVC Cover"))="PVC Cover")), SKUs!$J$2:$J$10001,""),"")</f>
        <v/>
      </c>
      <c r="F1829" s="33" t="str" cm="1">
        <f t="array" ref="F1829">_xlfn.XLOOKUP(1,((SKUs!$A$2:$A$10001=cl_unmerged!B1829) * (LEFT(SKUs!$J$2:$J$10001, LEN("PVC Cover"))="PVC Cover") * (ISNUMBER(SEARCH(A1829,SKUs!$C$2:$C$10001)))), SKUs!$C$2:$C$10001,"")</f>
        <v/>
      </c>
      <c r="G1829" s="16"/>
      <c r="H1829" s="16"/>
      <c r="I1829" s="16"/>
    </row>
    <row r="1830" spans="1:9" x14ac:dyDescent="0.25">
      <c r="A1830" s="41" t="str">
        <f>_xlfn.XLOOKUP(G1830,dd_color!$A$2:$A$8,dd_color!$B$2:$B$8,"",0)</f>
        <v/>
      </c>
      <c r="B1830" s="41">
        <f>_xlfn.XLOOKUP(_xlfn.XLOOKUP(C1830,'Project Details'!$C$17:$C$10003,'Project Details'!$E$17:$E$10003, "",0),dd_design_raw!$A$2:$A$9997,dd_design_raw!$C$2:$C$9997,"",0)</f>
        <v>0</v>
      </c>
      <c r="C1830" s="16"/>
      <c r="D1830" s="16"/>
      <c r="E1830" s="16" t="str" cm="1">
        <f t="array" ref="E1830">IF(C1830&lt;&gt;"", _xlfn.XLOOKUP(1,((SKUs!$A$2:$A$10001=B1830) * (LEFT(SKUs!$J$2:$J$10001, LEN("PVC Cover"))="PVC Cover")), SKUs!$J$2:$J$10001,""),"")</f>
        <v/>
      </c>
      <c r="F1830" s="33" t="str" cm="1">
        <f t="array" ref="F1830">_xlfn.XLOOKUP(1,((SKUs!$A$2:$A$10001=cl_unmerged!B1830) * (LEFT(SKUs!$J$2:$J$10001, LEN("PVC Cover"))="PVC Cover") * (ISNUMBER(SEARCH(A1830,SKUs!$C$2:$C$10001)))), SKUs!$C$2:$C$10001,"")</f>
        <v/>
      </c>
      <c r="G1830" s="16"/>
      <c r="H1830" s="16"/>
      <c r="I1830" s="16"/>
    </row>
    <row r="1831" spans="1:9" ht="13.5" customHeight="1" x14ac:dyDescent="0.25">
      <c r="A1831" s="41" t="str">
        <f>_xlfn.XLOOKUP(G1831,dd_color!$A$2:$A$8,dd_color!$B$2:$B$8,"",0)</f>
        <v/>
      </c>
      <c r="B1831" s="41">
        <f>_xlfn.XLOOKUP(_xlfn.XLOOKUP(C1831,'Project Details'!$C$17:$C$10003,'Project Details'!$E$17:$E$10003, "",0),dd_design_raw!$A$2:$A$9997,dd_design_raw!$C$2:$C$9997,"",0)</f>
        <v>0</v>
      </c>
      <c r="C1831" s="16"/>
      <c r="D1831" s="16"/>
      <c r="E1831" s="16" t="str" cm="1">
        <f t="array" ref="E1831">IF(C1831&lt;&gt;"", _xlfn.XLOOKUP(1,((SKUs!$A$2:$A$10001=B1831) * (LEFT(SKUs!$J$2:$J$10001, LEN("PVC Cover"))="PVC Cover")), SKUs!$J$2:$J$10001,""),"")</f>
        <v/>
      </c>
      <c r="F1831" s="33" t="str" cm="1">
        <f t="array" ref="F1831">_xlfn.XLOOKUP(1,((SKUs!$A$2:$A$10001=cl_unmerged!B1831) * (LEFT(SKUs!$J$2:$J$10001, LEN("PVC Cover"))="PVC Cover") * (ISNUMBER(SEARCH(A1831,SKUs!$C$2:$C$10001)))), SKUs!$C$2:$C$10001,"")</f>
        <v/>
      </c>
      <c r="G1831" s="16"/>
      <c r="H1831" s="16"/>
      <c r="I1831" s="16"/>
    </row>
    <row r="1832" spans="1:9" ht="13.5" customHeight="1" x14ac:dyDescent="0.25">
      <c r="A1832" s="41" t="str">
        <f>_xlfn.XLOOKUP(G1832,dd_color!$A$2:$A$8,dd_color!$B$2:$B$8,"",0)</f>
        <v/>
      </c>
      <c r="B1832" s="41">
        <f>_xlfn.XLOOKUP(_xlfn.XLOOKUP(C1832,'Project Details'!$C$17:$C$10003,'Project Details'!$E$17:$E$10003, "",0),dd_design_raw!$A$2:$A$9997,dd_design_raw!$C$2:$C$9997,"",0)</f>
        <v>0</v>
      </c>
      <c r="C1832" s="16"/>
      <c r="D1832" s="16"/>
      <c r="E1832" s="16" t="str" cm="1">
        <f t="array" ref="E1832">IF(C1832&lt;&gt;"", _xlfn.XLOOKUP(1,((SKUs!$A$2:$A$10001=B1832) * (LEFT(SKUs!$J$2:$J$10001, LEN("PVC Cover"))="PVC Cover")), SKUs!$J$2:$J$10001,""),"")</f>
        <v/>
      </c>
      <c r="F1832" s="33" t="str" cm="1">
        <f t="array" ref="F1832">_xlfn.XLOOKUP(1,((SKUs!$A$2:$A$10001=cl_unmerged!B1832) * (LEFT(SKUs!$J$2:$J$10001, LEN("PVC Cover"))="PVC Cover") * (ISNUMBER(SEARCH(A1832,SKUs!$C$2:$C$10001)))), SKUs!$C$2:$C$10001,"")</f>
        <v/>
      </c>
      <c r="G1832" s="16"/>
      <c r="H1832" s="16"/>
      <c r="I1832" s="16"/>
    </row>
    <row r="1833" spans="1:9" ht="13.5" customHeight="1" x14ac:dyDescent="0.25">
      <c r="A1833" s="41" t="str">
        <f>_xlfn.XLOOKUP(G1833,dd_color!$A$2:$A$8,dd_color!$B$2:$B$8,"",0)</f>
        <v/>
      </c>
      <c r="B1833" s="41">
        <f>_xlfn.XLOOKUP(_xlfn.XLOOKUP(C1833,'Project Details'!$C$17:$C$10003,'Project Details'!$E$17:$E$10003, "",0),dd_design_raw!$A$2:$A$9997,dd_design_raw!$C$2:$C$9997,"",0)</f>
        <v>0</v>
      </c>
      <c r="C1833" s="16"/>
      <c r="D1833" s="16"/>
      <c r="E1833" s="16" t="str" cm="1">
        <f t="array" ref="E1833">IF(C1833&lt;&gt;"", _xlfn.XLOOKUP(1,((SKUs!$A$2:$A$10001=B1833) * (LEFT(SKUs!$J$2:$J$10001, LEN("PVC Cover"))="PVC Cover")), SKUs!$J$2:$J$10001,""),"")</f>
        <v/>
      </c>
      <c r="F1833" s="33" t="str" cm="1">
        <f t="array" ref="F1833">_xlfn.XLOOKUP(1,((SKUs!$A$2:$A$10001=cl_unmerged!B1833) * (LEFT(SKUs!$J$2:$J$10001, LEN("PVC Cover"))="PVC Cover") * (ISNUMBER(SEARCH(A1833,SKUs!$C$2:$C$10001)))), SKUs!$C$2:$C$10001,"")</f>
        <v/>
      </c>
      <c r="G1833" s="16"/>
      <c r="H1833" s="16"/>
      <c r="I1833" s="16"/>
    </row>
    <row r="1834" spans="1:9" ht="13.5" customHeight="1" x14ac:dyDescent="0.25">
      <c r="A1834" s="41" t="str">
        <f>_xlfn.XLOOKUP(G1834,dd_color!$A$2:$A$8,dd_color!$B$2:$B$8,"",0)</f>
        <v/>
      </c>
      <c r="B1834" s="41">
        <f>_xlfn.XLOOKUP(_xlfn.XLOOKUP(C1834,'Project Details'!$C$17:$C$10003,'Project Details'!$E$17:$E$10003, "",0),dd_design_raw!$A$2:$A$9997,dd_design_raw!$C$2:$C$9997,"",0)</f>
        <v>0</v>
      </c>
      <c r="C1834" s="16"/>
      <c r="D1834" s="16"/>
      <c r="E1834" s="16" t="str" cm="1">
        <f t="array" ref="E1834">IF(C1834&lt;&gt;"", _xlfn.XLOOKUP(1,((SKUs!$A$2:$A$10001=B1834) * (LEFT(SKUs!$J$2:$J$10001, LEN("PVC Cover"))="PVC Cover")), SKUs!$J$2:$J$10001,""),"")</f>
        <v/>
      </c>
      <c r="F1834" s="33" t="str" cm="1">
        <f t="array" ref="F1834">_xlfn.XLOOKUP(1,((SKUs!$A$2:$A$10001=cl_unmerged!B1834) * (LEFT(SKUs!$J$2:$J$10001, LEN("PVC Cover"))="PVC Cover") * (ISNUMBER(SEARCH(A1834,SKUs!$C$2:$C$10001)))), SKUs!$C$2:$C$10001,"")</f>
        <v/>
      </c>
      <c r="G1834" s="16"/>
      <c r="H1834" s="16"/>
      <c r="I1834" s="16"/>
    </row>
    <row r="1835" spans="1:9" ht="13.5" customHeight="1" x14ac:dyDescent="0.25">
      <c r="A1835" s="41" t="str">
        <f>_xlfn.XLOOKUP(G1835,dd_color!$A$2:$A$8,dd_color!$B$2:$B$8,"",0)</f>
        <v/>
      </c>
      <c r="B1835" s="41">
        <f>_xlfn.XLOOKUP(_xlfn.XLOOKUP(C1835,'Project Details'!$C$17:$C$10003,'Project Details'!$E$17:$E$10003, "",0),dd_design_raw!$A$2:$A$9997,dd_design_raw!$C$2:$C$9997,"",0)</f>
        <v>0</v>
      </c>
      <c r="C1835" s="16"/>
      <c r="D1835" s="16"/>
      <c r="E1835" s="16" t="str" cm="1">
        <f t="array" ref="E1835">IF(C1835&lt;&gt;"", _xlfn.XLOOKUP(1,((SKUs!$A$2:$A$10001=B1835) * (LEFT(SKUs!$J$2:$J$10001, LEN("PVC Cover"))="PVC Cover")), SKUs!$J$2:$J$10001,""),"")</f>
        <v/>
      </c>
      <c r="F1835" s="33" t="str" cm="1">
        <f t="array" ref="F1835">_xlfn.XLOOKUP(1,((SKUs!$A$2:$A$10001=cl_unmerged!B1835) * (LEFT(SKUs!$J$2:$J$10001, LEN("PVC Cover"))="PVC Cover") * (ISNUMBER(SEARCH(A1835,SKUs!$C$2:$C$10001)))), SKUs!$C$2:$C$10001,"")</f>
        <v/>
      </c>
      <c r="G1835" s="16"/>
      <c r="H1835" s="16"/>
      <c r="I1835" s="16"/>
    </row>
    <row r="1836" spans="1:9" ht="13.5" customHeight="1" x14ac:dyDescent="0.25">
      <c r="A1836" s="41" t="str">
        <f>_xlfn.XLOOKUP(G1836,dd_color!$A$2:$A$8,dd_color!$B$2:$B$8,"",0)</f>
        <v/>
      </c>
      <c r="B1836" s="41">
        <f>_xlfn.XLOOKUP(_xlfn.XLOOKUP(C1836,'Project Details'!$C$17:$C$10003,'Project Details'!$E$17:$E$10003, "",0),dd_design_raw!$A$2:$A$9997,dd_design_raw!$C$2:$C$9997,"",0)</f>
        <v>0</v>
      </c>
      <c r="C1836" s="16"/>
      <c r="D1836" s="16"/>
      <c r="E1836" s="16" t="str" cm="1">
        <f t="array" ref="E1836">IF(C1836&lt;&gt;"", _xlfn.XLOOKUP(1,((SKUs!$A$2:$A$10001=B1836) * (LEFT(SKUs!$J$2:$J$10001, LEN("PVC Cover"))="PVC Cover")), SKUs!$J$2:$J$10001,""),"")</f>
        <v/>
      </c>
      <c r="F1836" s="33" t="str" cm="1">
        <f t="array" ref="F1836">_xlfn.XLOOKUP(1,((SKUs!$A$2:$A$10001=cl_unmerged!B1836) * (LEFT(SKUs!$J$2:$J$10001, LEN("PVC Cover"))="PVC Cover") * (ISNUMBER(SEARCH(A1836,SKUs!$C$2:$C$10001)))), SKUs!$C$2:$C$10001,"")</f>
        <v/>
      </c>
      <c r="G1836" s="16"/>
      <c r="H1836" s="16"/>
      <c r="I1836" s="16"/>
    </row>
    <row r="1837" spans="1:9" ht="13.5" customHeight="1" x14ac:dyDescent="0.25">
      <c r="A1837" s="41" t="str">
        <f>_xlfn.XLOOKUP(G1837,dd_color!$A$2:$A$8,dd_color!$B$2:$B$8,"",0)</f>
        <v/>
      </c>
      <c r="B1837" s="41">
        <f>_xlfn.XLOOKUP(_xlfn.XLOOKUP(C1837,'Project Details'!$C$17:$C$10003,'Project Details'!$E$17:$E$10003, "",0),dd_design_raw!$A$2:$A$9997,dd_design_raw!$C$2:$C$9997,"",0)</f>
        <v>0</v>
      </c>
      <c r="C1837" s="16"/>
      <c r="D1837" s="16"/>
      <c r="E1837" s="16" t="str" cm="1">
        <f t="array" ref="E1837">IF(C1837&lt;&gt;"", _xlfn.XLOOKUP(1,((SKUs!$A$2:$A$10001=B1837) * (LEFT(SKUs!$J$2:$J$10001, LEN("PVC Cover"))="PVC Cover")), SKUs!$J$2:$J$10001,""),"")</f>
        <v/>
      </c>
      <c r="F1837" s="33" t="str" cm="1">
        <f t="array" ref="F1837">_xlfn.XLOOKUP(1,((SKUs!$A$2:$A$10001=cl_unmerged!B1837) * (LEFT(SKUs!$J$2:$J$10001, LEN("PVC Cover"))="PVC Cover") * (ISNUMBER(SEARCH(A1837,SKUs!$C$2:$C$10001)))), SKUs!$C$2:$C$10001,"")</f>
        <v/>
      </c>
      <c r="G1837" s="16"/>
      <c r="H1837" s="16"/>
      <c r="I1837" s="16"/>
    </row>
    <row r="1838" spans="1:9" ht="13.5" customHeight="1" x14ac:dyDescent="0.25">
      <c r="A1838" s="41" t="str">
        <f>_xlfn.XLOOKUP(G1838,dd_color!$A$2:$A$8,dd_color!$B$2:$B$8,"",0)</f>
        <v/>
      </c>
      <c r="B1838" s="41">
        <f>_xlfn.XLOOKUP(_xlfn.XLOOKUP(C1838,'Project Details'!$C$17:$C$10003,'Project Details'!$E$17:$E$10003, "",0),dd_design_raw!$A$2:$A$9997,dd_design_raw!$C$2:$C$9997,"",0)</f>
        <v>0</v>
      </c>
      <c r="C1838" s="16"/>
      <c r="D1838" s="16"/>
      <c r="E1838" s="16" t="str" cm="1">
        <f t="array" ref="E1838">IF(C1838&lt;&gt;"", _xlfn.XLOOKUP(1,((SKUs!$A$2:$A$10001=B1838) * (LEFT(SKUs!$J$2:$J$10001, LEN("PVC Cover"))="PVC Cover")), SKUs!$J$2:$J$10001,""),"")</f>
        <v/>
      </c>
      <c r="F1838" s="33" t="str" cm="1">
        <f t="array" ref="F1838">_xlfn.XLOOKUP(1,((SKUs!$A$2:$A$10001=cl_unmerged!B1838) * (LEFT(SKUs!$J$2:$J$10001, LEN("PVC Cover"))="PVC Cover") * (ISNUMBER(SEARCH(A1838,SKUs!$C$2:$C$10001)))), SKUs!$C$2:$C$10001,"")</f>
        <v/>
      </c>
      <c r="G1838" s="16"/>
      <c r="H1838" s="16"/>
      <c r="I1838" s="16"/>
    </row>
    <row r="1839" spans="1:9" ht="13.5" customHeight="1" x14ac:dyDescent="0.25">
      <c r="A1839" s="41" t="str">
        <f>_xlfn.XLOOKUP(G1839,dd_color!$A$2:$A$8,dd_color!$B$2:$B$8,"",0)</f>
        <v/>
      </c>
      <c r="B1839" s="41">
        <f>_xlfn.XLOOKUP(_xlfn.XLOOKUP(C1839,'Project Details'!$C$17:$C$10003,'Project Details'!$E$17:$E$10003, "",0),dd_design_raw!$A$2:$A$9997,dd_design_raw!$C$2:$C$9997,"",0)</f>
        <v>0</v>
      </c>
      <c r="C1839" s="16"/>
      <c r="D1839" s="16"/>
      <c r="E1839" s="16" t="str" cm="1">
        <f t="array" ref="E1839">IF(C1839&lt;&gt;"", _xlfn.XLOOKUP(1,((SKUs!$A$2:$A$10001=B1839) * (LEFT(SKUs!$J$2:$J$10001, LEN("PVC Cover"))="PVC Cover")), SKUs!$J$2:$J$10001,""),"")</f>
        <v/>
      </c>
      <c r="F1839" s="33" t="str" cm="1">
        <f t="array" ref="F1839">_xlfn.XLOOKUP(1,((SKUs!$A$2:$A$10001=cl_unmerged!B1839) * (LEFT(SKUs!$J$2:$J$10001, LEN("PVC Cover"))="PVC Cover") * (ISNUMBER(SEARCH(A1839,SKUs!$C$2:$C$10001)))), SKUs!$C$2:$C$10001,"")</f>
        <v/>
      </c>
      <c r="G1839" s="16"/>
      <c r="H1839" s="16"/>
      <c r="I1839" s="16"/>
    </row>
    <row r="1840" spans="1:9" ht="13.5" customHeight="1" x14ac:dyDescent="0.25">
      <c r="A1840" s="41" t="str">
        <f>_xlfn.XLOOKUP(G1840,dd_color!$A$2:$A$8,dd_color!$B$2:$B$8,"",0)</f>
        <v/>
      </c>
      <c r="B1840" s="41">
        <f>_xlfn.XLOOKUP(_xlfn.XLOOKUP(C1840,'Project Details'!$C$17:$C$10003,'Project Details'!$E$17:$E$10003, "",0),dd_design_raw!$A$2:$A$9997,dd_design_raw!$C$2:$C$9997,"",0)</f>
        <v>0</v>
      </c>
      <c r="C1840" s="16"/>
      <c r="D1840" s="16"/>
      <c r="E1840" s="16" t="str" cm="1">
        <f t="array" ref="E1840">IF(C1840&lt;&gt;"", _xlfn.XLOOKUP(1,((SKUs!$A$2:$A$10001=B1840) * (LEFT(SKUs!$J$2:$J$10001, LEN("PVC Cover"))="PVC Cover")), SKUs!$J$2:$J$10001,""),"")</f>
        <v/>
      </c>
      <c r="F1840" s="33" t="str" cm="1">
        <f t="array" ref="F1840">_xlfn.XLOOKUP(1,((SKUs!$A$2:$A$10001=cl_unmerged!B1840) * (LEFT(SKUs!$J$2:$J$10001, LEN("PVC Cover"))="PVC Cover") * (ISNUMBER(SEARCH(A1840,SKUs!$C$2:$C$10001)))), SKUs!$C$2:$C$10001,"")</f>
        <v/>
      </c>
      <c r="G1840" s="16"/>
      <c r="H1840" s="16"/>
      <c r="I1840" s="16"/>
    </row>
    <row r="1841" spans="1:9" ht="13.5" customHeight="1" x14ac:dyDescent="0.25">
      <c r="A1841" s="41" t="str">
        <f>_xlfn.XLOOKUP(G1841,dd_color!$A$2:$A$8,dd_color!$B$2:$B$8,"",0)</f>
        <v/>
      </c>
      <c r="B1841" s="41">
        <f>_xlfn.XLOOKUP(_xlfn.XLOOKUP(C1841,'Project Details'!$C$17:$C$10003,'Project Details'!$E$17:$E$10003, "",0),dd_design_raw!$A$2:$A$9997,dd_design_raw!$C$2:$C$9997,"",0)</f>
        <v>0</v>
      </c>
      <c r="C1841" s="16"/>
      <c r="D1841" s="16"/>
      <c r="E1841" s="16" t="str" cm="1">
        <f t="array" ref="E1841">IF(C1841&lt;&gt;"", _xlfn.XLOOKUP(1,((SKUs!$A$2:$A$10001=B1841) * (LEFT(SKUs!$J$2:$J$10001, LEN("PVC Cover"))="PVC Cover")), SKUs!$J$2:$J$10001,""),"")</f>
        <v/>
      </c>
      <c r="F1841" s="33" t="str" cm="1">
        <f t="array" ref="F1841">_xlfn.XLOOKUP(1,((SKUs!$A$2:$A$10001=cl_unmerged!B1841) * (LEFT(SKUs!$J$2:$J$10001, LEN("PVC Cover"))="PVC Cover") * (ISNUMBER(SEARCH(A1841,SKUs!$C$2:$C$10001)))), SKUs!$C$2:$C$10001,"")</f>
        <v/>
      </c>
      <c r="G1841" s="16"/>
      <c r="H1841" s="16"/>
      <c r="I1841" s="16"/>
    </row>
    <row r="1842" spans="1:9" ht="13.5" customHeight="1" x14ac:dyDescent="0.25">
      <c r="A1842" s="41" t="str">
        <f>_xlfn.XLOOKUP(G1842,dd_color!$A$2:$A$8,dd_color!$B$2:$B$8,"",0)</f>
        <v/>
      </c>
      <c r="B1842" s="41">
        <f>_xlfn.XLOOKUP(_xlfn.XLOOKUP(C1842,'Project Details'!$C$17:$C$10003,'Project Details'!$E$17:$E$10003, "",0),dd_design_raw!$A$2:$A$9997,dd_design_raw!$C$2:$C$9997,"",0)</f>
        <v>0</v>
      </c>
      <c r="C1842" s="16"/>
      <c r="D1842" s="16"/>
      <c r="E1842" s="16" t="str" cm="1">
        <f t="array" ref="E1842">IF(C1842&lt;&gt;"", _xlfn.XLOOKUP(1,((SKUs!$A$2:$A$10001=B1842) * (LEFT(SKUs!$J$2:$J$10001, LEN("PVC Cover"))="PVC Cover")), SKUs!$J$2:$J$10001,""),"")</f>
        <v/>
      </c>
      <c r="F1842" s="33" t="str" cm="1">
        <f t="array" ref="F1842">_xlfn.XLOOKUP(1,((SKUs!$A$2:$A$10001=cl_unmerged!B1842) * (LEFT(SKUs!$J$2:$J$10001, LEN("PVC Cover"))="PVC Cover") * (ISNUMBER(SEARCH(A1842,SKUs!$C$2:$C$10001)))), SKUs!$C$2:$C$10001,"")</f>
        <v/>
      </c>
      <c r="G1842" s="16"/>
      <c r="H1842" s="16"/>
      <c r="I1842" s="16"/>
    </row>
    <row r="1843" spans="1:9" ht="13.5" customHeight="1" x14ac:dyDescent="0.25">
      <c r="A1843" s="41" t="str">
        <f>_xlfn.XLOOKUP(G1843,dd_color!$A$2:$A$8,dd_color!$B$2:$B$8,"",0)</f>
        <v/>
      </c>
      <c r="B1843" s="41">
        <f>_xlfn.XLOOKUP(_xlfn.XLOOKUP(C1843,'Project Details'!$C$17:$C$10003,'Project Details'!$E$17:$E$10003, "",0),dd_design_raw!$A$2:$A$9997,dd_design_raw!$C$2:$C$9997,"",0)</f>
        <v>0</v>
      </c>
      <c r="C1843" s="16"/>
      <c r="D1843" s="16"/>
      <c r="E1843" s="16" t="str" cm="1">
        <f t="array" ref="E1843">IF(C1843&lt;&gt;"", _xlfn.XLOOKUP(1,((SKUs!$A$2:$A$10001=B1843) * (LEFT(SKUs!$J$2:$J$10001, LEN("PVC Cover"))="PVC Cover")), SKUs!$J$2:$J$10001,""),"")</f>
        <v/>
      </c>
      <c r="F1843" s="33" t="str" cm="1">
        <f t="array" ref="F1843">_xlfn.XLOOKUP(1,((SKUs!$A$2:$A$10001=cl_unmerged!B1843) * (LEFT(SKUs!$J$2:$J$10001, LEN("PVC Cover"))="PVC Cover") * (ISNUMBER(SEARCH(A1843,SKUs!$C$2:$C$10001)))), SKUs!$C$2:$C$10001,"")</f>
        <v/>
      </c>
      <c r="G1843" s="16"/>
      <c r="H1843" s="16"/>
      <c r="I1843" s="16"/>
    </row>
    <row r="1844" spans="1:9" ht="13.5" customHeight="1" x14ac:dyDescent="0.25">
      <c r="A1844" s="41" t="str">
        <f>_xlfn.XLOOKUP(G1844,dd_color!$A$2:$A$8,dd_color!$B$2:$B$8,"",0)</f>
        <v/>
      </c>
      <c r="B1844" s="41">
        <f>_xlfn.XLOOKUP(_xlfn.XLOOKUP(C1844,'Project Details'!$C$17:$C$10003,'Project Details'!$E$17:$E$10003, "",0),dd_design_raw!$A$2:$A$9997,dd_design_raw!$C$2:$C$9997,"",0)</f>
        <v>0</v>
      </c>
      <c r="C1844" s="16"/>
      <c r="D1844" s="16"/>
      <c r="E1844" s="16" t="str" cm="1">
        <f t="array" ref="E1844">IF(C1844&lt;&gt;"", _xlfn.XLOOKUP(1,((SKUs!$A$2:$A$10001=B1844) * (LEFT(SKUs!$J$2:$J$10001, LEN("PVC Cover"))="PVC Cover")), SKUs!$J$2:$J$10001,""),"")</f>
        <v/>
      </c>
      <c r="F1844" s="33" t="str" cm="1">
        <f t="array" ref="F1844">_xlfn.XLOOKUP(1,((SKUs!$A$2:$A$10001=cl_unmerged!B1844) * (LEFT(SKUs!$J$2:$J$10001, LEN("PVC Cover"))="PVC Cover") * (ISNUMBER(SEARCH(A1844,SKUs!$C$2:$C$10001)))), SKUs!$C$2:$C$10001,"")</f>
        <v/>
      </c>
      <c r="G1844" s="16"/>
      <c r="H1844" s="16"/>
      <c r="I1844" s="16"/>
    </row>
    <row r="1845" spans="1:9" ht="13.5" customHeight="1" x14ac:dyDescent="0.25">
      <c r="A1845" s="41" t="str">
        <f>_xlfn.XLOOKUP(G1845,dd_color!$A$2:$A$8,dd_color!$B$2:$B$8,"",0)</f>
        <v/>
      </c>
      <c r="B1845" s="41">
        <f>_xlfn.XLOOKUP(_xlfn.XLOOKUP(C1845,'Project Details'!$C$17:$C$10003,'Project Details'!$E$17:$E$10003, "",0),dd_design_raw!$A$2:$A$9997,dd_design_raw!$C$2:$C$9997,"",0)</f>
        <v>0</v>
      </c>
      <c r="C1845" s="16"/>
      <c r="D1845" s="16"/>
      <c r="E1845" s="16" t="str" cm="1">
        <f t="array" ref="E1845">IF(C1845&lt;&gt;"", _xlfn.XLOOKUP(1,((SKUs!$A$2:$A$10001=B1845) * (LEFT(SKUs!$J$2:$J$10001, LEN("PVC Cover"))="PVC Cover")), SKUs!$J$2:$J$10001,""),"")</f>
        <v/>
      </c>
      <c r="F1845" s="33" t="str" cm="1">
        <f t="array" ref="F1845">_xlfn.XLOOKUP(1,((SKUs!$A$2:$A$10001=cl_unmerged!B1845) * (LEFT(SKUs!$J$2:$J$10001, LEN("PVC Cover"))="PVC Cover") * (ISNUMBER(SEARCH(A1845,SKUs!$C$2:$C$10001)))), SKUs!$C$2:$C$10001,"")</f>
        <v/>
      </c>
      <c r="G1845" s="16"/>
      <c r="H1845" s="16"/>
      <c r="I1845" s="16"/>
    </row>
    <row r="1846" spans="1:9" ht="13.5" customHeight="1" x14ac:dyDescent="0.25">
      <c r="A1846" s="41" t="str">
        <f>_xlfn.XLOOKUP(G1846,dd_color!$A$2:$A$8,dd_color!$B$2:$B$8,"",0)</f>
        <v/>
      </c>
      <c r="B1846" s="41">
        <f>_xlfn.XLOOKUP(_xlfn.XLOOKUP(C1846,'Project Details'!$C$17:$C$10003,'Project Details'!$E$17:$E$10003, "",0),dd_design_raw!$A$2:$A$9997,dd_design_raw!$C$2:$C$9997,"",0)</f>
        <v>0</v>
      </c>
      <c r="C1846" s="16"/>
      <c r="D1846" s="16"/>
      <c r="E1846" s="16" t="str" cm="1">
        <f t="array" ref="E1846">IF(C1846&lt;&gt;"", _xlfn.XLOOKUP(1,((SKUs!$A$2:$A$10001=B1846) * (LEFT(SKUs!$J$2:$J$10001, LEN("PVC Cover"))="PVC Cover")), SKUs!$J$2:$J$10001,""),"")</f>
        <v/>
      </c>
      <c r="F1846" s="33" t="str" cm="1">
        <f t="array" ref="F1846">_xlfn.XLOOKUP(1,((SKUs!$A$2:$A$10001=cl_unmerged!B1846) * (LEFT(SKUs!$J$2:$J$10001, LEN("PVC Cover"))="PVC Cover") * (ISNUMBER(SEARCH(A1846,SKUs!$C$2:$C$10001)))), SKUs!$C$2:$C$10001,"")</f>
        <v/>
      </c>
      <c r="G1846" s="16"/>
      <c r="H1846" s="16"/>
      <c r="I1846" s="16"/>
    </row>
    <row r="1847" spans="1:9" ht="13.5" customHeight="1" x14ac:dyDescent="0.25">
      <c r="A1847" s="41" t="str">
        <f>_xlfn.XLOOKUP(G1847,dd_color!$A$2:$A$8,dd_color!$B$2:$B$8,"",0)</f>
        <v/>
      </c>
      <c r="B1847" s="41">
        <f>_xlfn.XLOOKUP(_xlfn.XLOOKUP(C1847,'Project Details'!$C$17:$C$10003,'Project Details'!$E$17:$E$10003, "",0),dd_design_raw!$A$2:$A$9997,dd_design_raw!$C$2:$C$9997,"",0)</f>
        <v>0</v>
      </c>
      <c r="C1847" s="16"/>
      <c r="D1847" s="16"/>
      <c r="E1847" s="16" t="str" cm="1">
        <f t="array" ref="E1847">IF(C1847&lt;&gt;"", _xlfn.XLOOKUP(1,((SKUs!$A$2:$A$10001=B1847) * (LEFT(SKUs!$J$2:$J$10001, LEN("PVC Cover"))="PVC Cover")), SKUs!$J$2:$J$10001,""),"")</f>
        <v/>
      </c>
      <c r="F1847" s="33" t="str" cm="1">
        <f t="array" ref="F1847">_xlfn.XLOOKUP(1,((SKUs!$A$2:$A$10001=cl_unmerged!B1847) * (LEFT(SKUs!$J$2:$J$10001, LEN("PVC Cover"))="PVC Cover") * (ISNUMBER(SEARCH(A1847,SKUs!$C$2:$C$10001)))), SKUs!$C$2:$C$10001,"")</f>
        <v/>
      </c>
      <c r="G1847" s="16"/>
      <c r="H1847" s="16"/>
      <c r="I1847" s="16"/>
    </row>
    <row r="1848" spans="1:9" ht="13.5" customHeight="1" x14ac:dyDescent="0.25">
      <c r="A1848" s="41" t="str">
        <f>_xlfn.XLOOKUP(G1848,dd_color!$A$2:$A$8,dd_color!$B$2:$B$8,"",0)</f>
        <v/>
      </c>
      <c r="B1848" s="41">
        <f>_xlfn.XLOOKUP(_xlfn.XLOOKUP(C1848,'Project Details'!$C$17:$C$10003,'Project Details'!$E$17:$E$10003, "",0),dd_design_raw!$A$2:$A$9997,dd_design_raw!$C$2:$C$9997,"",0)</f>
        <v>0</v>
      </c>
      <c r="C1848" s="16"/>
      <c r="D1848" s="16"/>
      <c r="E1848" s="16" t="str" cm="1">
        <f t="array" ref="E1848">IF(C1848&lt;&gt;"", _xlfn.XLOOKUP(1,((SKUs!$A$2:$A$10001=B1848) * (LEFT(SKUs!$J$2:$J$10001, LEN("PVC Cover"))="PVC Cover")), SKUs!$J$2:$J$10001,""),"")</f>
        <v/>
      </c>
      <c r="F1848" s="33" t="str" cm="1">
        <f t="array" ref="F1848">_xlfn.XLOOKUP(1,((SKUs!$A$2:$A$10001=cl_unmerged!B1848) * (LEFT(SKUs!$J$2:$J$10001, LEN("PVC Cover"))="PVC Cover") * (ISNUMBER(SEARCH(A1848,SKUs!$C$2:$C$10001)))), SKUs!$C$2:$C$10001,"")</f>
        <v/>
      </c>
      <c r="G1848" s="16"/>
      <c r="H1848" s="16"/>
      <c r="I1848" s="16"/>
    </row>
    <row r="1849" spans="1:9" ht="13.5" customHeight="1" x14ac:dyDescent="0.25">
      <c r="A1849" s="41" t="str">
        <f>_xlfn.XLOOKUP(G1849,dd_color!$A$2:$A$8,dd_color!$B$2:$B$8,"",0)</f>
        <v/>
      </c>
      <c r="B1849" s="41">
        <f>_xlfn.XLOOKUP(_xlfn.XLOOKUP(C1849,'Project Details'!$C$17:$C$10003,'Project Details'!$E$17:$E$10003, "",0),dd_design_raw!$A$2:$A$9997,dd_design_raw!$C$2:$C$9997,"",0)</f>
        <v>0</v>
      </c>
      <c r="C1849" s="16"/>
      <c r="D1849" s="16"/>
      <c r="E1849" s="16" t="str" cm="1">
        <f t="array" ref="E1849">IF(C1849&lt;&gt;"", _xlfn.XLOOKUP(1,((SKUs!$A$2:$A$10001=B1849) * (LEFT(SKUs!$J$2:$J$10001, LEN("PVC Cover"))="PVC Cover")), SKUs!$J$2:$J$10001,""),"")</f>
        <v/>
      </c>
      <c r="F1849" s="33" t="str" cm="1">
        <f t="array" ref="F1849">_xlfn.XLOOKUP(1,((SKUs!$A$2:$A$10001=cl_unmerged!B1849) * (LEFT(SKUs!$J$2:$J$10001, LEN("PVC Cover"))="PVC Cover") * (ISNUMBER(SEARCH(A1849,SKUs!$C$2:$C$10001)))), SKUs!$C$2:$C$10001,"")</f>
        <v/>
      </c>
      <c r="G1849" s="16"/>
      <c r="H1849" s="16"/>
      <c r="I1849" s="16"/>
    </row>
    <row r="1850" spans="1:9" ht="13.5" customHeight="1" x14ac:dyDescent="0.25">
      <c r="A1850" s="41" t="str">
        <f>_xlfn.XLOOKUP(G1850,dd_color!$A$2:$A$8,dd_color!$B$2:$B$8,"",0)</f>
        <v/>
      </c>
      <c r="B1850" s="41">
        <f>_xlfn.XLOOKUP(_xlfn.XLOOKUP(C1850,'Project Details'!$C$17:$C$10003,'Project Details'!$E$17:$E$10003, "",0),dd_design_raw!$A$2:$A$9997,dd_design_raw!$C$2:$C$9997,"",0)</f>
        <v>0</v>
      </c>
      <c r="C1850" s="16"/>
      <c r="D1850" s="16"/>
      <c r="E1850" s="16" t="str" cm="1">
        <f t="array" ref="E1850">IF(C1850&lt;&gt;"", _xlfn.XLOOKUP(1,((SKUs!$A$2:$A$10001=B1850) * (LEFT(SKUs!$J$2:$J$10001, LEN("PVC Cover"))="PVC Cover")), SKUs!$J$2:$J$10001,""),"")</f>
        <v/>
      </c>
      <c r="F1850" s="33" t="str" cm="1">
        <f t="array" ref="F1850">_xlfn.XLOOKUP(1,((SKUs!$A$2:$A$10001=cl_unmerged!B1850) * (LEFT(SKUs!$J$2:$J$10001, LEN("PVC Cover"))="PVC Cover") * (ISNUMBER(SEARCH(A1850,SKUs!$C$2:$C$10001)))), SKUs!$C$2:$C$10001,"")</f>
        <v/>
      </c>
      <c r="G1850" s="16"/>
      <c r="H1850" s="16"/>
      <c r="I1850" s="16"/>
    </row>
    <row r="1851" spans="1:9" ht="13.5" customHeight="1" x14ac:dyDescent="0.25">
      <c r="A1851" s="41" t="str">
        <f>_xlfn.XLOOKUP(G1851,dd_color!$A$2:$A$8,dd_color!$B$2:$B$8,"",0)</f>
        <v/>
      </c>
      <c r="B1851" s="41">
        <f>_xlfn.XLOOKUP(_xlfn.XLOOKUP(C1851,'Project Details'!$C$17:$C$10003,'Project Details'!$E$17:$E$10003, "",0),dd_design_raw!$A$2:$A$9997,dd_design_raw!$C$2:$C$9997,"",0)</f>
        <v>0</v>
      </c>
      <c r="C1851" s="16"/>
      <c r="D1851" s="16"/>
      <c r="E1851" s="16" t="str" cm="1">
        <f t="array" ref="E1851">IF(C1851&lt;&gt;"", _xlfn.XLOOKUP(1,((SKUs!$A$2:$A$10001=B1851) * (LEFT(SKUs!$J$2:$J$10001, LEN("PVC Cover"))="PVC Cover")), SKUs!$J$2:$J$10001,""),"")</f>
        <v/>
      </c>
      <c r="F1851" s="33" t="str" cm="1">
        <f t="array" ref="F1851">_xlfn.XLOOKUP(1,((SKUs!$A$2:$A$10001=cl_unmerged!B1851) * (LEFT(SKUs!$J$2:$J$10001, LEN("PVC Cover"))="PVC Cover") * (ISNUMBER(SEARCH(A1851,SKUs!$C$2:$C$10001)))), SKUs!$C$2:$C$10001,"")</f>
        <v/>
      </c>
      <c r="G1851" s="16"/>
      <c r="H1851" s="16"/>
      <c r="I1851" s="16"/>
    </row>
    <row r="1852" spans="1:9" ht="13.5" customHeight="1" x14ac:dyDescent="0.25">
      <c r="A1852" s="41" t="str">
        <f>_xlfn.XLOOKUP(G1852,dd_color!$A$2:$A$8,dd_color!$B$2:$B$8,"",0)</f>
        <v/>
      </c>
      <c r="B1852" s="41">
        <f>_xlfn.XLOOKUP(_xlfn.XLOOKUP(C1852,'Project Details'!$C$17:$C$10003,'Project Details'!$E$17:$E$10003, "",0),dd_design_raw!$A$2:$A$9997,dd_design_raw!$C$2:$C$9997,"",0)</f>
        <v>0</v>
      </c>
      <c r="C1852" s="16"/>
      <c r="D1852" s="16"/>
      <c r="E1852" s="16" t="str" cm="1">
        <f t="array" ref="E1852">IF(C1852&lt;&gt;"", _xlfn.XLOOKUP(1,((SKUs!$A$2:$A$10001=B1852) * (LEFT(SKUs!$J$2:$J$10001, LEN("PVC Cover"))="PVC Cover")), SKUs!$J$2:$J$10001,""),"")</f>
        <v/>
      </c>
      <c r="F1852" s="33" t="str" cm="1">
        <f t="array" ref="F1852">_xlfn.XLOOKUP(1,((SKUs!$A$2:$A$10001=cl_unmerged!B1852) * (LEFT(SKUs!$J$2:$J$10001, LEN("PVC Cover"))="PVC Cover") * (ISNUMBER(SEARCH(A1852,SKUs!$C$2:$C$10001)))), SKUs!$C$2:$C$10001,"")</f>
        <v/>
      </c>
      <c r="G1852" s="16"/>
      <c r="H1852" s="16"/>
      <c r="I1852" s="16"/>
    </row>
    <row r="1853" spans="1:9" ht="13.5" customHeight="1" x14ac:dyDescent="0.25">
      <c r="A1853" s="41" t="str">
        <f>_xlfn.XLOOKUP(G1853,dd_color!$A$2:$A$8,dd_color!$B$2:$B$8,"",0)</f>
        <v/>
      </c>
      <c r="B1853" s="41">
        <f>_xlfn.XLOOKUP(_xlfn.XLOOKUP(C1853,'Project Details'!$C$17:$C$10003,'Project Details'!$E$17:$E$10003, "",0),dd_design_raw!$A$2:$A$9997,dd_design_raw!$C$2:$C$9997,"",0)</f>
        <v>0</v>
      </c>
      <c r="C1853" s="16"/>
      <c r="D1853" s="16"/>
      <c r="E1853" s="16" t="str" cm="1">
        <f t="array" ref="E1853">IF(C1853&lt;&gt;"", _xlfn.XLOOKUP(1,((SKUs!$A$2:$A$10001=B1853) * (LEFT(SKUs!$J$2:$J$10001, LEN("PVC Cover"))="PVC Cover")), SKUs!$J$2:$J$10001,""),"")</f>
        <v/>
      </c>
      <c r="F1853" s="33" t="str" cm="1">
        <f t="array" ref="F1853">_xlfn.XLOOKUP(1,((SKUs!$A$2:$A$10001=cl_unmerged!B1853) * (LEFT(SKUs!$J$2:$J$10001, LEN("PVC Cover"))="PVC Cover") * (ISNUMBER(SEARCH(A1853,SKUs!$C$2:$C$10001)))), SKUs!$C$2:$C$10001,"")</f>
        <v/>
      </c>
      <c r="G1853" s="16"/>
      <c r="H1853" s="16"/>
      <c r="I1853" s="16"/>
    </row>
    <row r="1854" spans="1:9" ht="13.5" customHeight="1" x14ac:dyDescent="0.25">
      <c r="A1854" s="41" t="str">
        <f>_xlfn.XLOOKUP(G1854,dd_color!$A$2:$A$8,dd_color!$B$2:$B$8,"",0)</f>
        <v/>
      </c>
      <c r="B1854" s="41">
        <f>_xlfn.XLOOKUP(_xlfn.XLOOKUP(C1854,'Project Details'!$C$17:$C$10003,'Project Details'!$E$17:$E$10003, "",0),dd_design_raw!$A$2:$A$9997,dd_design_raw!$C$2:$C$9997,"",0)</f>
        <v>0</v>
      </c>
      <c r="C1854" s="16"/>
      <c r="D1854" s="16"/>
      <c r="E1854" s="16" t="str" cm="1">
        <f t="array" ref="E1854">IF(C1854&lt;&gt;"", _xlfn.XLOOKUP(1,((SKUs!$A$2:$A$10001=B1854) * (LEFT(SKUs!$J$2:$J$10001, LEN("PVC Cover"))="PVC Cover")), SKUs!$J$2:$J$10001,""),"")</f>
        <v/>
      </c>
      <c r="F1854" s="33" t="str" cm="1">
        <f t="array" ref="F1854">_xlfn.XLOOKUP(1,((SKUs!$A$2:$A$10001=cl_unmerged!B1854) * (LEFT(SKUs!$J$2:$J$10001, LEN("PVC Cover"))="PVC Cover") * (ISNUMBER(SEARCH(A1854,SKUs!$C$2:$C$10001)))), SKUs!$C$2:$C$10001,"")</f>
        <v/>
      </c>
      <c r="G1854" s="16"/>
      <c r="H1854" s="16"/>
      <c r="I1854" s="16"/>
    </row>
    <row r="1855" spans="1:9" ht="13.5" customHeight="1" x14ac:dyDescent="0.25">
      <c r="A1855" s="41" t="str">
        <f>_xlfn.XLOOKUP(G1855,dd_color!$A$2:$A$8,dd_color!$B$2:$B$8,"",0)</f>
        <v/>
      </c>
      <c r="B1855" s="41">
        <f>_xlfn.XLOOKUP(_xlfn.XLOOKUP(C1855,'Project Details'!$C$17:$C$10003,'Project Details'!$E$17:$E$10003, "",0),dd_design_raw!$A$2:$A$9997,dd_design_raw!$C$2:$C$9997,"",0)</f>
        <v>0</v>
      </c>
      <c r="C1855" s="16"/>
      <c r="D1855" s="16"/>
      <c r="E1855" s="16" t="str" cm="1">
        <f t="array" ref="E1855">IF(C1855&lt;&gt;"", _xlfn.XLOOKUP(1,((SKUs!$A$2:$A$10001=B1855) * (LEFT(SKUs!$J$2:$J$10001, LEN("PVC Cover"))="PVC Cover")), SKUs!$J$2:$J$10001,""),"")</f>
        <v/>
      </c>
      <c r="F1855" s="33" t="str" cm="1">
        <f t="array" ref="F1855">_xlfn.XLOOKUP(1,((SKUs!$A$2:$A$10001=cl_unmerged!B1855) * (LEFT(SKUs!$J$2:$J$10001, LEN("PVC Cover"))="PVC Cover") * (ISNUMBER(SEARCH(A1855,SKUs!$C$2:$C$10001)))), SKUs!$C$2:$C$10001,"")</f>
        <v/>
      </c>
      <c r="G1855" s="16"/>
      <c r="H1855" s="16"/>
      <c r="I1855" s="16"/>
    </row>
    <row r="1856" spans="1:9" ht="13.5" customHeight="1" x14ac:dyDescent="0.25">
      <c r="A1856" s="41" t="str">
        <f>_xlfn.XLOOKUP(G1856,dd_color!$A$2:$A$8,dd_color!$B$2:$B$8,"",0)</f>
        <v/>
      </c>
      <c r="B1856" s="41">
        <f>_xlfn.XLOOKUP(_xlfn.XLOOKUP(C1856,'Project Details'!$C$17:$C$10003,'Project Details'!$E$17:$E$10003, "",0),dd_design_raw!$A$2:$A$9997,dd_design_raw!$C$2:$C$9997,"",0)</f>
        <v>0</v>
      </c>
      <c r="C1856" s="16"/>
      <c r="D1856" s="16"/>
      <c r="E1856" s="16" t="str" cm="1">
        <f t="array" ref="E1856">IF(C1856&lt;&gt;"", _xlfn.XLOOKUP(1,((SKUs!$A$2:$A$10001=B1856) * (LEFT(SKUs!$J$2:$J$10001, LEN("PVC Cover"))="PVC Cover")), SKUs!$J$2:$J$10001,""),"")</f>
        <v/>
      </c>
      <c r="F1856" s="33" t="str" cm="1">
        <f t="array" ref="F1856">_xlfn.XLOOKUP(1,((SKUs!$A$2:$A$10001=cl_unmerged!B1856) * (LEFT(SKUs!$J$2:$J$10001, LEN("PVC Cover"))="PVC Cover") * (ISNUMBER(SEARCH(A1856,SKUs!$C$2:$C$10001)))), SKUs!$C$2:$C$10001,"")</f>
        <v/>
      </c>
      <c r="G1856" s="16"/>
      <c r="H1856" s="16"/>
      <c r="I1856" s="16"/>
    </row>
    <row r="1857" spans="1:9" ht="13.5" customHeight="1" x14ac:dyDescent="0.25">
      <c r="A1857" s="41" t="str">
        <f>_xlfn.XLOOKUP(G1857,dd_color!$A$2:$A$8,dd_color!$B$2:$B$8,"",0)</f>
        <v/>
      </c>
      <c r="B1857" s="41">
        <f>_xlfn.XLOOKUP(_xlfn.XLOOKUP(C1857,'Project Details'!$C$17:$C$10003,'Project Details'!$E$17:$E$10003, "",0),dd_design_raw!$A$2:$A$9997,dd_design_raw!$C$2:$C$9997,"",0)</f>
        <v>0</v>
      </c>
      <c r="C1857" s="16"/>
      <c r="D1857" s="16"/>
      <c r="E1857" s="16" t="str" cm="1">
        <f t="array" ref="E1857">IF(C1857&lt;&gt;"", _xlfn.XLOOKUP(1,((SKUs!$A$2:$A$10001=B1857) * (LEFT(SKUs!$J$2:$J$10001, LEN("PVC Cover"))="PVC Cover")), SKUs!$J$2:$J$10001,""),"")</f>
        <v/>
      </c>
      <c r="F1857" s="33" t="str" cm="1">
        <f t="array" ref="F1857">_xlfn.XLOOKUP(1,((SKUs!$A$2:$A$10001=cl_unmerged!B1857) * (LEFT(SKUs!$J$2:$J$10001, LEN("PVC Cover"))="PVC Cover") * (ISNUMBER(SEARCH(A1857,SKUs!$C$2:$C$10001)))), SKUs!$C$2:$C$10001,"")</f>
        <v/>
      </c>
      <c r="G1857" s="16"/>
      <c r="H1857" s="16"/>
      <c r="I1857" s="16"/>
    </row>
    <row r="1858" spans="1:9" ht="13.5" customHeight="1" x14ac:dyDescent="0.25">
      <c r="A1858" s="41" t="str">
        <f>_xlfn.XLOOKUP(G1858,dd_color!$A$2:$A$8,dd_color!$B$2:$B$8,"",0)</f>
        <v/>
      </c>
      <c r="B1858" s="41">
        <f>_xlfn.XLOOKUP(_xlfn.XLOOKUP(C1858,'Project Details'!$C$17:$C$10003,'Project Details'!$E$17:$E$10003, "",0),dd_design_raw!$A$2:$A$9997,dd_design_raw!$C$2:$C$9997,"",0)</f>
        <v>0</v>
      </c>
      <c r="C1858" s="16"/>
      <c r="D1858" s="16"/>
      <c r="E1858" s="16" t="str" cm="1">
        <f t="array" ref="E1858">IF(C1858&lt;&gt;"", _xlfn.XLOOKUP(1,((SKUs!$A$2:$A$10001=B1858) * (LEFT(SKUs!$J$2:$J$10001, LEN("PVC Cover"))="PVC Cover")), SKUs!$J$2:$J$10001,""),"")</f>
        <v/>
      </c>
      <c r="F1858" s="33" t="str" cm="1">
        <f t="array" ref="F1858">_xlfn.XLOOKUP(1,((SKUs!$A$2:$A$10001=cl_unmerged!B1858) * (LEFT(SKUs!$J$2:$J$10001, LEN("PVC Cover"))="PVC Cover") * (ISNUMBER(SEARCH(A1858,SKUs!$C$2:$C$10001)))), SKUs!$C$2:$C$10001,"")</f>
        <v/>
      </c>
      <c r="G1858" s="16"/>
      <c r="H1858" s="16"/>
      <c r="I1858" s="16"/>
    </row>
    <row r="1859" spans="1:9" ht="13.5" customHeight="1" x14ac:dyDescent="0.25">
      <c r="A1859" s="41" t="str">
        <f>_xlfn.XLOOKUP(G1859,dd_color!$A$2:$A$8,dd_color!$B$2:$B$8,"",0)</f>
        <v/>
      </c>
      <c r="B1859" s="41">
        <f>_xlfn.XLOOKUP(_xlfn.XLOOKUP(C1859,'Project Details'!$C$17:$C$10003,'Project Details'!$E$17:$E$10003, "",0),dd_design_raw!$A$2:$A$9997,dd_design_raw!$C$2:$C$9997,"",0)</f>
        <v>0</v>
      </c>
      <c r="C1859" s="16"/>
      <c r="D1859" s="16"/>
      <c r="E1859" s="16" t="str" cm="1">
        <f t="array" ref="E1859">IF(C1859&lt;&gt;"", _xlfn.XLOOKUP(1,((SKUs!$A$2:$A$10001=B1859) * (LEFT(SKUs!$J$2:$J$10001, LEN("PVC Cover"))="PVC Cover")), SKUs!$J$2:$J$10001,""),"")</f>
        <v/>
      </c>
      <c r="F1859" s="33" t="str" cm="1">
        <f t="array" ref="F1859">_xlfn.XLOOKUP(1,((SKUs!$A$2:$A$10001=cl_unmerged!B1859) * (LEFT(SKUs!$J$2:$J$10001, LEN("PVC Cover"))="PVC Cover") * (ISNUMBER(SEARCH(A1859,SKUs!$C$2:$C$10001)))), SKUs!$C$2:$C$10001,"")</f>
        <v/>
      </c>
      <c r="G1859" s="16"/>
      <c r="H1859" s="16"/>
      <c r="I1859" s="16"/>
    </row>
    <row r="1860" spans="1:9" ht="13.5" customHeight="1" x14ac:dyDescent="0.25">
      <c r="A1860" s="41" t="str">
        <f>_xlfn.XLOOKUP(G1860,dd_color!$A$2:$A$8,dd_color!$B$2:$B$8,"",0)</f>
        <v/>
      </c>
      <c r="B1860" s="41">
        <f>_xlfn.XLOOKUP(_xlfn.XLOOKUP(C1860,'Project Details'!$C$17:$C$10003,'Project Details'!$E$17:$E$10003, "",0),dd_design_raw!$A$2:$A$9997,dd_design_raw!$C$2:$C$9997,"",0)</f>
        <v>0</v>
      </c>
      <c r="C1860" s="16"/>
      <c r="D1860" s="16"/>
      <c r="E1860" s="16" t="str" cm="1">
        <f t="array" ref="E1860">IF(C1860&lt;&gt;"", _xlfn.XLOOKUP(1,((SKUs!$A$2:$A$10001=B1860) * (LEFT(SKUs!$J$2:$J$10001, LEN("PVC Cover"))="PVC Cover")), SKUs!$J$2:$J$10001,""),"")</f>
        <v/>
      </c>
      <c r="F1860" s="33" t="str" cm="1">
        <f t="array" ref="F1860">_xlfn.XLOOKUP(1,((SKUs!$A$2:$A$10001=cl_unmerged!B1860) * (LEFT(SKUs!$J$2:$J$10001, LEN("PVC Cover"))="PVC Cover") * (ISNUMBER(SEARCH(A1860,SKUs!$C$2:$C$10001)))), SKUs!$C$2:$C$10001,"")</f>
        <v/>
      </c>
      <c r="G1860" s="16"/>
      <c r="H1860" s="16"/>
      <c r="I1860" s="16"/>
    </row>
    <row r="1861" spans="1:9" ht="13.5" customHeight="1" x14ac:dyDescent="0.25">
      <c r="A1861" s="41" t="str">
        <f>_xlfn.XLOOKUP(G1861,dd_color!$A$2:$A$8,dd_color!$B$2:$B$8,"",0)</f>
        <v/>
      </c>
      <c r="B1861" s="41">
        <f>_xlfn.XLOOKUP(_xlfn.XLOOKUP(C1861,'Project Details'!$C$17:$C$10003,'Project Details'!$E$17:$E$10003, "",0),dd_design_raw!$A$2:$A$9997,dd_design_raw!$C$2:$C$9997,"",0)</f>
        <v>0</v>
      </c>
      <c r="C1861" s="16"/>
      <c r="D1861" s="16"/>
      <c r="E1861" s="16" t="str" cm="1">
        <f t="array" ref="E1861">IF(C1861&lt;&gt;"", _xlfn.XLOOKUP(1,((SKUs!$A$2:$A$10001=B1861) * (LEFT(SKUs!$J$2:$J$10001, LEN("PVC Cover"))="PVC Cover")), SKUs!$J$2:$J$10001,""),"")</f>
        <v/>
      </c>
      <c r="F1861" s="33" t="str" cm="1">
        <f t="array" ref="F1861">_xlfn.XLOOKUP(1,((SKUs!$A$2:$A$10001=cl_unmerged!B1861) * (LEFT(SKUs!$J$2:$J$10001, LEN("PVC Cover"))="PVC Cover") * (ISNUMBER(SEARCH(A1861,SKUs!$C$2:$C$10001)))), SKUs!$C$2:$C$10001,"")</f>
        <v/>
      </c>
      <c r="G1861" s="16"/>
      <c r="H1861" s="16"/>
      <c r="I1861" s="16"/>
    </row>
    <row r="1862" spans="1:9" ht="13.5" customHeight="1" x14ac:dyDescent="0.25">
      <c r="A1862" s="41" t="str">
        <f>_xlfn.XLOOKUP(G1862,dd_color!$A$2:$A$8,dd_color!$B$2:$B$8,"",0)</f>
        <v/>
      </c>
      <c r="B1862" s="41">
        <f>_xlfn.XLOOKUP(_xlfn.XLOOKUP(C1862,'Project Details'!$C$17:$C$10003,'Project Details'!$E$17:$E$10003, "",0),dd_design_raw!$A$2:$A$9997,dd_design_raw!$C$2:$C$9997,"",0)</f>
        <v>0</v>
      </c>
      <c r="C1862" s="16"/>
      <c r="D1862" s="16"/>
      <c r="E1862" s="16" t="str" cm="1">
        <f t="array" ref="E1862">IF(C1862&lt;&gt;"", _xlfn.XLOOKUP(1,((SKUs!$A$2:$A$10001=B1862) * (LEFT(SKUs!$J$2:$J$10001, LEN("PVC Cover"))="PVC Cover")), SKUs!$J$2:$J$10001,""),"")</f>
        <v/>
      </c>
      <c r="F1862" s="33" t="str" cm="1">
        <f t="array" ref="F1862">_xlfn.XLOOKUP(1,((SKUs!$A$2:$A$10001=cl_unmerged!B1862) * (LEFT(SKUs!$J$2:$J$10001, LEN("PVC Cover"))="PVC Cover") * (ISNUMBER(SEARCH(A1862,SKUs!$C$2:$C$10001)))), SKUs!$C$2:$C$10001,"")</f>
        <v/>
      </c>
      <c r="G1862" s="16"/>
      <c r="H1862" s="16"/>
      <c r="I1862" s="16"/>
    </row>
    <row r="1863" spans="1:9" ht="13.5" customHeight="1" x14ac:dyDescent="0.25">
      <c r="A1863" s="41" t="str">
        <f>_xlfn.XLOOKUP(G1863,dd_color!$A$2:$A$8,dd_color!$B$2:$B$8,"",0)</f>
        <v/>
      </c>
      <c r="B1863" s="41">
        <f>_xlfn.XLOOKUP(_xlfn.XLOOKUP(C1863,'Project Details'!$C$17:$C$10003,'Project Details'!$E$17:$E$10003, "",0),dd_design_raw!$A$2:$A$9997,dd_design_raw!$C$2:$C$9997,"",0)</f>
        <v>0</v>
      </c>
      <c r="C1863" s="16"/>
      <c r="D1863" s="16"/>
      <c r="E1863" s="16" t="str" cm="1">
        <f t="array" ref="E1863">IF(C1863&lt;&gt;"", _xlfn.XLOOKUP(1,((SKUs!$A$2:$A$10001=B1863) * (LEFT(SKUs!$J$2:$J$10001, LEN("PVC Cover"))="PVC Cover")), SKUs!$J$2:$J$10001,""),"")</f>
        <v/>
      </c>
      <c r="F1863" s="33" t="str" cm="1">
        <f t="array" ref="F1863">_xlfn.XLOOKUP(1,((SKUs!$A$2:$A$10001=cl_unmerged!B1863) * (LEFT(SKUs!$J$2:$J$10001, LEN("PVC Cover"))="PVC Cover") * (ISNUMBER(SEARCH(A1863,SKUs!$C$2:$C$10001)))), SKUs!$C$2:$C$10001,"")</f>
        <v/>
      </c>
      <c r="G1863" s="16"/>
      <c r="H1863" s="16"/>
      <c r="I1863" s="16"/>
    </row>
    <row r="1864" spans="1:9" ht="13.5" customHeight="1" x14ac:dyDescent="0.25">
      <c r="A1864" s="41" t="str">
        <f>_xlfn.XLOOKUP(G1864,dd_color!$A$2:$A$8,dd_color!$B$2:$B$8,"",0)</f>
        <v/>
      </c>
      <c r="B1864" s="41">
        <f>_xlfn.XLOOKUP(_xlfn.XLOOKUP(C1864,'Project Details'!$C$17:$C$10003,'Project Details'!$E$17:$E$10003, "",0),dd_design_raw!$A$2:$A$9997,dd_design_raw!$C$2:$C$9997,"",0)</f>
        <v>0</v>
      </c>
      <c r="C1864" s="16"/>
      <c r="D1864" s="16"/>
      <c r="E1864" s="16" t="str" cm="1">
        <f t="array" ref="E1864">IF(C1864&lt;&gt;"", _xlfn.XLOOKUP(1,((SKUs!$A$2:$A$10001=B1864) * (LEFT(SKUs!$J$2:$J$10001, LEN("PVC Cover"))="PVC Cover")), SKUs!$J$2:$J$10001,""),"")</f>
        <v/>
      </c>
      <c r="F1864" s="33" t="str" cm="1">
        <f t="array" ref="F1864">_xlfn.XLOOKUP(1,((SKUs!$A$2:$A$10001=cl_unmerged!B1864) * (LEFT(SKUs!$J$2:$J$10001, LEN("PVC Cover"))="PVC Cover") * (ISNUMBER(SEARCH(A1864,SKUs!$C$2:$C$10001)))), SKUs!$C$2:$C$10001,"")</f>
        <v/>
      </c>
      <c r="G1864" s="16"/>
      <c r="H1864" s="16"/>
      <c r="I1864" s="16"/>
    </row>
    <row r="1865" spans="1:9" ht="13.5" customHeight="1" x14ac:dyDescent="0.25">
      <c r="A1865" s="41" t="str">
        <f>_xlfn.XLOOKUP(G1865,dd_color!$A$2:$A$8,dd_color!$B$2:$B$8,"",0)</f>
        <v/>
      </c>
      <c r="B1865" s="41">
        <f>_xlfn.XLOOKUP(_xlfn.XLOOKUP(C1865,'Project Details'!$C$17:$C$10003,'Project Details'!$E$17:$E$10003, "",0),dd_design_raw!$A$2:$A$9997,dd_design_raw!$C$2:$C$9997,"",0)</f>
        <v>0</v>
      </c>
      <c r="C1865" s="16"/>
      <c r="D1865" s="16"/>
      <c r="E1865" s="16" t="str" cm="1">
        <f t="array" ref="E1865">IF(C1865&lt;&gt;"", _xlfn.XLOOKUP(1,((SKUs!$A$2:$A$10001=B1865) * (LEFT(SKUs!$J$2:$J$10001, LEN("PVC Cover"))="PVC Cover")), SKUs!$J$2:$J$10001,""),"")</f>
        <v/>
      </c>
      <c r="F1865" s="33" t="str" cm="1">
        <f t="array" ref="F1865">_xlfn.XLOOKUP(1,((SKUs!$A$2:$A$10001=cl_unmerged!B1865) * (LEFT(SKUs!$J$2:$J$10001, LEN("PVC Cover"))="PVC Cover") * (ISNUMBER(SEARCH(A1865,SKUs!$C$2:$C$10001)))), SKUs!$C$2:$C$10001,"")</f>
        <v/>
      </c>
      <c r="G1865" s="16"/>
      <c r="H1865" s="16"/>
      <c r="I1865" s="16"/>
    </row>
    <row r="1866" spans="1:9" ht="13.5" customHeight="1" x14ac:dyDescent="0.25">
      <c r="A1866" s="41" t="str">
        <f>_xlfn.XLOOKUP(G1866,dd_color!$A$2:$A$8,dd_color!$B$2:$B$8,"",0)</f>
        <v/>
      </c>
      <c r="B1866" s="41">
        <f>_xlfn.XLOOKUP(_xlfn.XLOOKUP(C1866,'Project Details'!$C$17:$C$10003,'Project Details'!$E$17:$E$10003, "",0),dd_design_raw!$A$2:$A$9997,dd_design_raw!$C$2:$C$9997,"",0)</f>
        <v>0</v>
      </c>
      <c r="C1866" s="16"/>
      <c r="D1866" s="16"/>
      <c r="E1866" s="16" t="str" cm="1">
        <f t="array" ref="E1866">IF(C1866&lt;&gt;"", _xlfn.XLOOKUP(1,((SKUs!$A$2:$A$10001=B1866) * (LEFT(SKUs!$J$2:$J$10001, LEN("PVC Cover"))="PVC Cover")), SKUs!$J$2:$J$10001,""),"")</f>
        <v/>
      </c>
      <c r="F1866" s="33" t="str" cm="1">
        <f t="array" ref="F1866">_xlfn.XLOOKUP(1,((SKUs!$A$2:$A$10001=cl_unmerged!B1866) * (LEFT(SKUs!$J$2:$J$10001, LEN("PVC Cover"))="PVC Cover") * (ISNUMBER(SEARCH(A1866,SKUs!$C$2:$C$10001)))), SKUs!$C$2:$C$10001,"")</f>
        <v/>
      </c>
      <c r="G1866" s="16"/>
      <c r="H1866" s="16"/>
      <c r="I1866" s="16"/>
    </row>
    <row r="1867" spans="1:9" ht="13.5" customHeight="1" x14ac:dyDescent="0.25">
      <c r="A1867" s="41" t="str">
        <f>_xlfn.XLOOKUP(G1867,dd_color!$A$2:$A$8,dd_color!$B$2:$B$8,"",0)</f>
        <v/>
      </c>
      <c r="B1867" s="41">
        <f>_xlfn.XLOOKUP(_xlfn.XLOOKUP(C1867,'Project Details'!$C$17:$C$10003,'Project Details'!$E$17:$E$10003, "",0),dd_design_raw!$A$2:$A$9997,dd_design_raw!$C$2:$C$9997,"",0)</f>
        <v>0</v>
      </c>
      <c r="C1867" s="16"/>
      <c r="D1867" s="16"/>
      <c r="E1867" s="16" t="str" cm="1">
        <f t="array" ref="E1867">IF(C1867&lt;&gt;"", _xlfn.XLOOKUP(1,((SKUs!$A$2:$A$10001=B1867) * (LEFT(SKUs!$J$2:$J$10001, LEN("PVC Cover"))="PVC Cover")), SKUs!$J$2:$J$10001,""),"")</f>
        <v/>
      </c>
      <c r="F1867" s="33" t="str" cm="1">
        <f t="array" ref="F1867">_xlfn.XLOOKUP(1,((SKUs!$A$2:$A$10001=cl_unmerged!B1867) * (LEFT(SKUs!$J$2:$J$10001, LEN("PVC Cover"))="PVC Cover") * (ISNUMBER(SEARCH(A1867,SKUs!$C$2:$C$10001)))), SKUs!$C$2:$C$10001,"")</f>
        <v/>
      </c>
      <c r="G1867" s="16"/>
      <c r="H1867" s="16"/>
      <c r="I1867" s="16"/>
    </row>
    <row r="1868" spans="1:9" ht="13.5" customHeight="1" x14ac:dyDescent="0.25">
      <c r="A1868" s="41" t="str">
        <f>_xlfn.XLOOKUP(G1868,dd_color!$A$2:$A$8,dd_color!$B$2:$B$8,"",0)</f>
        <v/>
      </c>
      <c r="B1868" s="41">
        <f>_xlfn.XLOOKUP(_xlfn.XLOOKUP(C1868,'Project Details'!$C$17:$C$10003,'Project Details'!$E$17:$E$10003, "",0),dd_design_raw!$A$2:$A$9997,dd_design_raw!$C$2:$C$9997,"",0)</f>
        <v>0</v>
      </c>
      <c r="C1868" s="16"/>
      <c r="D1868" s="16"/>
      <c r="E1868" s="16" t="str" cm="1">
        <f t="array" ref="E1868">IF(C1868&lt;&gt;"", _xlfn.XLOOKUP(1,((SKUs!$A$2:$A$10001=B1868) * (LEFT(SKUs!$J$2:$J$10001, LEN("PVC Cover"))="PVC Cover")), SKUs!$J$2:$J$10001,""),"")</f>
        <v/>
      </c>
      <c r="F1868" s="33" t="str" cm="1">
        <f t="array" ref="F1868">_xlfn.XLOOKUP(1,((SKUs!$A$2:$A$10001=cl_unmerged!B1868) * (LEFT(SKUs!$J$2:$J$10001, LEN("PVC Cover"))="PVC Cover") * (ISNUMBER(SEARCH(A1868,SKUs!$C$2:$C$10001)))), SKUs!$C$2:$C$10001,"")</f>
        <v/>
      </c>
      <c r="G1868" s="16"/>
      <c r="H1868" s="16"/>
      <c r="I1868" s="16"/>
    </row>
    <row r="1869" spans="1:9" ht="13.5" customHeight="1" x14ac:dyDescent="0.25">
      <c r="A1869" s="41" t="str">
        <f>_xlfn.XLOOKUP(G1869,dd_color!$A$2:$A$8,dd_color!$B$2:$B$8,"",0)</f>
        <v/>
      </c>
      <c r="B1869" s="41">
        <f>_xlfn.XLOOKUP(_xlfn.XLOOKUP(C1869,'Project Details'!$C$17:$C$10003,'Project Details'!$E$17:$E$10003, "",0),dd_design_raw!$A$2:$A$9997,dd_design_raw!$C$2:$C$9997,"",0)</f>
        <v>0</v>
      </c>
      <c r="C1869" s="16"/>
      <c r="D1869" s="16"/>
      <c r="E1869" s="16" t="str" cm="1">
        <f t="array" ref="E1869">IF(C1869&lt;&gt;"", _xlfn.XLOOKUP(1,((SKUs!$A$2:$A$10001=B1869) * (LEFT(SKUs!$J$2:$J$10001, LEN("PVC Cover"))="PVC Cover")), SKUs!$J$2:$J$10001,""),"")</f>
        <v/>
      </c>
      <c r="F1869" s="33" t="str" cm="1">
        <f t="array" ref="F1869">_xlfn.XLOOKUP(1,((SKUs!$A$2:$A$10001=cl_unmerged!B1869) * (LEFT(SKUs!$J$2:$J$10001, LEN("PVC Cover"))="PVC Cover") * (ISNUMBER(SEARCH(A1869,SKUs!$C$2:$C$10001)))), SKUs!$C$2:$C$10001,"")</f>
        <v/>
      </c>
      <c r="G1869" s="16"/>
      <c r="H1869" s="16"/>
      <c r="I1869" s="16"/>
    </row>
    <row r="1870" spans="1:9" ht="13.5" customHeight="1" x14ac:dyDescent="0.25">
      <c r="A1870" s="41" t="str">
        <f>_xlfn.XLOOKUP(G1870,dd_color!$A$2:$A$8,dd_color!$B$2:$B$8,"",0)</f>
        <v/>
      </c>
      <c r="B1870" s="41">
        <f>_xlfn.XLOOKUP(_xlfn.XLOOKUP(C1870,'Project Details'!$C$17:$C$10003,'Project Details'!$E$17:$E$10003, "",0),dd_design_raw!$A$2:$A$9997,dd_design_raw!$C$2:$C$9997,"",0)</f>
        <v>0</v>
      </c>
      <c r="C1870" s="16"/>
      <c r="D1870" s="16"/>
      <c r="E1870" s="16" t="str" cm="1">
        <f t="array" ref="E1870">IF(C1870&lt;&gt;"", _xlfn.XLOOKUP(1,((SKUs!$A$2:$A$10001=B1870) * (LEFT(SKUs!$J$2:$J$10001, LEN("PVC Cover"))="PVC Cover")), SKUs!$J$2:$J$10001,""),"")</f>
        <v/>
      </c>
      <c r="F1870" s="33" t="str" cm="1">
        <f t="array" ref="F1870">_xlfn.XLOOKUP(1,((SKUs!$A$2:$A$10001=cl_unmerged!B1870) * (LEFT(SKUs!$J$2:$J$10001, LEN("PVC Cover"))="PVC Cover") * (ISNUMBER(SEARCH(A1870,SKUs!$C$2:$C$10001)))), SKUs!$C$2:$C$10001,"")</f>
        <v/>
      </c>
      <c r="G1870" s="16"/>
      <c r="H1870" s="16"/>
      <c r="I1870" s="16"/>
    </row>
    <row r="1871" spans="1:9" ht="13.5" customHeight="1" x14ac:dyDescent="0.25">
      <c r="A1871" s="41" t="str">
        <f>_xlfn.XLOOKUP(G1871,dd_color!$A$2:$A$8,dd_color!$B$2:$B$8,"",0)</f>
        <v/>
      </c>
      <c r="B1871" s="41">
        <f>_xlfn.XLOOKUP(_xlfn.XLOOKUP(C1871,'Project Details'!$C$17:$C$10003,'Project Details'!$E$17:$E$10003, "",0),dd_design_raw!$A$2:$A$9997,dd_design_raw!$C$2:$C$9997,"",0)</f>
        <v>0</v>
      </c>
      <c r="C1871" s="16"/>
      <c r="D1871" s="16"/>
      <c r="E1871" s="16" t="str" cm="1">
        <f t="array" ref="E1871">IF(C1871&lt;&gt;"", _xlfn.XLOOKUP(1,((SKUs!$A$2:$A$10001=B1871) * (LEFT(SKUs!$J$2:$J$10001, LEN("PVC Cover"))="PVC Cover")), SKUs!$J$2:$J$10001,""),"")</f>
        <v/>
      </c>
      <c r="F1871" s="33" t="str" cm="1">
        <f t="array" ref="F1871">_xlfn.XLOOKUP(1,((SKUs!$A$2:$A$10001=cl_unmerged!B1871) * (LEFT(SKUs!$J$2:$J$10001, LEN("PVC Cover"))="PVC Cover") * (ISNUMBER(SEARCH(A1871,SKUs!$C$2:$C$10001)))), SKUs!$C$2:$C$10001,"")</f>
        <v/>
      </c>
      <c r="G1871" s="16"/>
      <c r="H1871" s="16"/>
      <c r="I1871" s="16"/>
    </row>
    <row r="1872" spans="1:9" x14ac:dyDescent="0.25">
      <c r="C1872" s="28" t="s">
        <v>898</v>
      </c>
      <c r="D1872" s="29"/>
      <c r="E1872" s="29"/>
      <c r="F1872" s="29"/>
      <c r="G1872" s="29"/>
      <c r="H1872" s="29"/>
      <c r="I1872" s="30"/>
    </row>
    <row r="1873" spans="1:9" x14ac:dyDescent="0.25">
      <c r="A1873" s="41" t="str">
        <f>_xlfn.XLOOKUP(G1873,dd_color!$A$2:$A$8,dd_color!$B$2:$B$8,"",0)</f>
        <v/>
      </c>
      <c r="B1873" s="41" t="str">
        <f>_xlfn.XLOOKUP(_xlfn.XLOOKUP(C1873,'Project Details'!$C$17:$C$10003,'Project Details'!$E$17:$E$10003, "",0),dd_design_raw!$A$2:$A$9997,dd_design_raw!$C$2:$C$9997,"",0)</f>
        <v/>
      </c>
      <c r="C1873" s="16" t="str" cm="1">
        <f t="array" ref="C1873">IFERROR(_xlfn._xlws.FILTER(calc_rusacc!$C$15:$C$65,(calc_rusacc!$E$15:$E$65&lt;&gt;"Roll-up Screen") * (calc_rusacc!$D$15:$D$65&lt;&gt;"")),"")</f>
        <v/>
      </c>
      <c r="D1873" s="16" t="str" cm="1">
        <f t="array" ref="D1873">IFERROR(_xlfn._xlws.FILTER(calc_rusacc!$AX$15:$AX$65,(calc_rusacc!$E$15:$E$65&lt;&gt;"Roll-up Screen") * (calc_rusacc!$D$15:$D$65&lt;&gt;"")),"")</f>
        <v/>
      </c>
      <c r="E1873" s="16" t="str" cm="1">
        <f t="array" ref="E1873">IF(C1873&lt;&gt;"", _xlfn.XLOOKUP(1,((SKUs!$A$2:$A$10001=B1873) * (LEFT(SKUs!$J$2:$J$10001, LEN("PVC Magnet Holder"))="PVC Magnet Holder")), SKUs!$J$2:$J$10001,""),"")</f>
        <v/>
      </c>
      <c r="F1873" s="33" t="str" cm="1">
        <f t="array" ref="F1873">_xlfn.XLOOKUP(1,((SKUs!$A$2:$A$10001=cl_unmerged!B1873) * (LEFT(SKUs!$J$2:$J$10001, LEN("PVC Magnet Holder"))="PVC Magnet Holder") * (ISNUMBER(SEARCH(A1873,SKUs!$C$2:$C$10001)))), SKUs!$C$2:$C$10001,"")</f>
        <v/>
      </c>
      <c r="G1873" s="16"/>
      <c r="H1873" s="16" t="str" cm="1">
        <f t="array" ref="H1873">IFERROR(_xlfn._xlws.FILTER(calc_rusacc!$AW$15:$AW$65,(calc_rusacc!$E$15:$E$65&lt;&gt;"Roll-up Screen") * (calc_rusacc!$D$15:$D$65&lt;&gt;"")),"")</f>
        <v/>
      </c>
      <c r="I1873" s="16"/>
    </row>
    <row r="1874" spans="1:9" x14ac:dyDescent="0.25">
      <c r="A1874" s="41" t="str">
        <f>_xlfn.XLOOKUP(G1874,dd_color!$A$2:$A$8,dd_color!$B$2:$B$8,"",0)</f>
        <v/>
      </c>
      <c r="B1874" s="41">
        <f>_xlfn.XLOOKUP(_xlfn.XLOOKUP(C1874,'Project Details'!$C$17:$C$10003,'Project Details'!$E$17:$E$10003, "",0),dd_design_raw!$A$2:$A$9997,dd_design_raw!$C$2:$C$9997,"",0)</f>
        <v>0</v>
      </c>
      <c r="C1874" s="16"/>
      <c r="D1874" s="16"/>
      <c r="E1874" s="16" t="str" cm="1">
        <f t="array" ref="E1874">IF(C1874&lt;&gt;"", _xlfn.XLOOKUP(1,((SKUs!$A$2:$A$10001=B1874) * (LEFT(SKUs!$J$2:$J$10001, LEN("PVC Magnet Holder"))="PVC Magnet Holder")), SKUs!$J$2:$J$10001,""),"")</f>
        <v/>
      </c>
      <c r="F1874" s="33" t="str" cm="1">
        <f t="array" ref="F1874">_xlfn.XLOOKUP(1,((SKUs!$A$2:$A$10001=cl_unmerged!B1874) * (LEFT(SKUs!$J$2:$J$10001, LEN("PVC Magnet Holder"))="PVC Magnet Holder") * (ISNUMBER(SEARCH(A1874,SKUs!$C$2:$C$10001)))), SKUs!$C$2:$C$10001,"")</f>
        <v/>
      </c>
      <c r="G1874" s="16"/>
      <c r="H1874" s="16"/>
      <c r="I1874" s="16"/>
    </row>
    <row r="1875" spans="1:9" x14ac:dyDescent="0.25">
      <c r="A1875" s="41" t="str">
        <f>_xlfn.XLOOKUP(G1875,dd_color!$A$2:$A$8,dd_color!$B$2:$B$8,"",0)</f>
        <v/>
      </c>
      <c r="B1875" s="41">
        <f>_xlfn.XLOOKUP(_xlfn.XLOOKUP(C1875,'Project Details'!$C$17:$C$10003,'Project Details'!$E$17:$E$10003, "",0),dd_design_raw!$A$2:$A$9997,dd_design_raw!$C$2:$C$9997,"",0)</f>
        <v>0</v>
      </c>
      <c r="C1875" s="16"/>
      <c r="D1875" s="16"/>
      <c r="E1875" s="16" t="str" cm="1">
        <f t="array" ref="E1875">IF(C1875&lt;&gt;"", _xlfn.XLOOKUP(1,((SKUs!$A$2:$A$10001=B1875) * (LEFT(SKUs!$J$2:$J$10001, LEN("PVC Magnet Holder"))="PVC Magnet Holder")), SKUs!$J$2:$J$10001,""),"")</f>
        <v/>
      </c>
      <c r="F1875" s="33" t="str" cm="1">
        <f t="array" ref="F1875">_xlfn.XLOOKUP(1,((SKUs!$A$2:$A$10001=cl_unmerged!B1875) * (LEFT(SKUs!$J$2:$J$10001, LEN("PVC Magnet Holder"))="PVC Magnet Holder") * (ISNUMBER(SEARCH(A1875,SKUs!$C$2:$C$10001)))), SKUs!$C$2:$C$10001,"")</f>
        <v/>
      </c>
      <c r="G1875" s="16"/>
      <c r="H1875" s="16"/>
      <c r="I1875" s="16"/>
    </row>
    <row r="1876" spans="1:9" x14ac:dyDescent="0.25">
      <c r="A1876" s="41" t="str">
        <f>_xlfn.XLOOKUP(G1876,dd_color!$A$2:$A$8,dd_color!$B$2:$B$8,"",0)</f>
        <v/>
      </c>
      <c r="B1876" s="41">
        <f>_xlfn.XLOOKUP(_xlfn.XLOOKUP(C1876,'Project Details'!$C$17:$C$10003,'Project Details'!$E$17:$E$10003, "",0),dd_design_raw!$A$2:$A$9997,dd_design_raw!$C$2:$C$9997,"",0)</f>
        <v>0</v>
      </c>
      <c r="C1876" s="16"/>
      <c r="D1876" s="16"/>
      <c r="E1876" s="16" t="str" cm="1">
        <f t="array" ref="E1876">IF(C1876&lt;&gt;"", _xlfn.XLOOKUP(1,((SKUs!$A$2:$A$10001=B1876) * (LEFT(SKUs!$J$2:$J$10001, LEN("PVC Magnet Holder"))="PVC Magnet Holder")), SKUs!$J$2:$J$10001,""),"")</f>
        <v/>
      </c>
      <c r="F1876" s="33" t="str" cm="1">
        <f t="array" ref="F1876">_xlfn.XLOOKUP(1,((SKUs!$A$2:$A$10001=cl_unmerged!B1876) * (LEFT(SKUs!$J$2:$J$10001, LEN("PVC Magnet Holder"))="PVC Magnet Holder") * (ISNUMBER(SEARCH(A1876,SKUs!$C$2:$C$10001)))), SKUs!$C$2:$C$10001,"")</f>
        <v/>
      </c>
      <c r="G1876" s="16"/>
      <c r="H1876" s="16"/>
      <c r="I1876" s="16"/>
    </row>
    <row r="1877" spans="1:9" x14ac:dyDescent="0.25">
      <c r="A1877" s="41" t="str">
        <f>_xlfn.XLOOKUP(G1877,dd_color!$A$2:$A$8,dd_color!$B$2:$B$8,"",0)</f>
        <v/>
      </c>
      <c r="B1877" s="41">
        <f>_xlfn.XLOOKUP(_xlfn.XLOOKUP(C1877,'Project Details'!$C$17:$C$10003,'Project Details'!$E$17:$E$10003, "",0),dd_design_raw!$A$2:$A$9997,dd_design_raw!$C$2:$C$9997,"",0)</f>
        <v>0</v>
      </c>
      <c r="C1877" s="16"/>
      <c r="D1877" s="16"/>
      <c r="E1877" s="16" t="str" cm="1">
        <f t="array" ref="E1877">IF(C1877&lt;&gt;"", _xlfn.XLOOKUP(1,((SKUs!$A$2:$A$10001=B1877) * (LEFT(SKUs!$J$2:$J$10001, LEN("PVC Magnet Holder"))="PVC Magnet Holder")), SKUs!$J$2:$J$10001,""),"")</f>
        <v/>
      </c>
      <c r="F1877" s="33" t="str" cm="1">
        <f t="array" ref="F1877">_xlfn.XLOOKUP(1,((SKUs!$A$2:$A$10001=cl_unmerged!B1877) * (LEFT(SKUs!$J$2:$J$10001, LEN("PVC Magnet Holder"))="PVC Magnet Holder") * (ISNUMBER(SEARCH(A1877,SKUs!$C$2:$C$10001)))), SKUs!$C$2:$C$10001,"")</f>
        <v/>
      </c>
      <c r="G1877" s="16"/>
      <c r="H1877" s="16"/>
      <c r="I1877" s="16"/>
    </row>
    <row r="1878" spans="1:9" x14ac:dyDescent="0.25">
      <c r="A1878" s="41" t="str">
        <f>_xlfn.XLOOKUP(G1878,dd_color!$A$2:$A$8,dd_color!$B$2:$B$8,"",0)</f>
        <v/>
      </c>
      <c r="B1878" s="41">
        <f>_xlfn.XLOOKUP(_xlfn.XLOOKUP(C1878,'Project Details'!$C$17:$C$10003,'Project Details'!$E$17:$E$10003, "",0),dd_design_raw!$A$2:$A$9997,dd_design_raw!$C$2:$C$9997,"",0)</f>
        <v>0</v>
      </c>
      <c r="C1878" s="16"/>
      <c r="D1878" s="16"/>
      <c r="E1878" s="16" t="str" cm="1">
        <f t="array" ref="E1878">IF(C1878&lt;&gt;"", _xlfn.XLOOKUP(1,((SKUs!$A$2:$A$10001=B1878) * (LEFT(SKUs!$J$2:$J$10001, LEN("PVC Magnet Holder"))="PVC Magnet Holder")), SKUs!$J$2:$J$10001,""),"")</f>
        <v/>
      </c>
      <c r="F1878" s="33" t="str" cm="1">
        <f t="array" ref="F1878">_xlfn.XLOOKUP(1,((SKUs!$A$2:$A$10001=cl_unmerged!B1878) * (LEFT(SKUs!$J$2:$J$10001, LEN("PVC Magnet Holder"))="PVC Magnet Holder") * (ISNUMBER(SEARCH(A1878,SKUs!$C$2:$C$10001)))), SKUs!$C$2:$C$10001,"")</f>
        <v/>
      </c>
      <c r="G1878" s="16"/>
      <c r="H1878" s="16"/>
      <c r="I1878" s="16"/>
    </row>
    <row r="1879" spans="1:9" x14ac:dyDescent="0.25">
      <c r="A1879" s="41" t="str">
        <f>_xlfn.XLOOKUP(G1879,dd_color!$A$2:$A$8,dd_color!$B$2:$B$8,"",0)</f>
        <v/>
      </c>
      <c r="B1879" s="41">
        <f>_xlfn.XLOOKUP(_xlfn.XLOOKUP(C1879,'Project Details'!$C$17:$C$10003,'Project Details'!$E$17:$E$10003, "",0),dd_design_raw!$A$2:$A$9997,dd_design_raw!$C$2:$C$9997,"",0)</f>
        <v>0</v>
      </c>
      <c r="C1879" s="16"/>
      <c r="D1879" s="16"/>
      <c r="E1879" s="16" t="str" cm="1">
        <f t="array" ref="E1879">IF(C1879&lt;&gt;"", _xlfn.XLOOKUP(1,((SKUs!$A$2:$A$10001=B1879) * (LEFT(SKUs!$J$2:$J$10001, LEN("PVC Magnet Holder"))="PVC Magnet Holder")), SKUs!$J$2:$J$10001,""),"")</f>
        <v/>
      </c>
      <c r="F1879" s="33" t="str" cm="1">
        <f t="array" ref="F1879">_xlfn.XLOOKUP(1,((SKUs!$A$2:$A$10001=cl_unmerged!B1879) * (LEFT(SKUs!$J$2:$J$10001, LEN("PVC Magnet Holder"))="PVC Magnet Holder") * (ISNUMBER(SEARCH(A1879,SKUs!$C$2:$C$10001)))), SKUs!$C$2:$C$10001,"")</f>
        <v/>
      </c>
      <c r="G1879" s="16"/>
      <c r="H1879" s="16"/>
      <c r="I1879" s="16"/>
    </row>
    <row r="1880" spans="1:9" x14ac:dyDescent="0.25">
      <c r="A1880" s="41" t="str">
        <f>_xlfn.XLOOKUP(G1880,dd_color!$A$2:$A$8,dd_color!$B$2:$B$8,"",0)</f>
        <v/>
      </c>
      <c r="B1880" s="41">
        <f>_xlfn.XLOOKUP(_xlfn.XLOOKUP(C1880,'Project Details'!$C$17:$C$10003,'Project Details'!$E$17:$E$10003, "",0),dd_design_raw!$A$2:$A$9997,dd_design_raw!$C$2:$C$9997,"",0)</f>
        <v>0</v>
      </c>
      <c r="C1880" s="16"/>
      <c r="D1880" s="16"/>
      <c r="E1880" s="16" t="str" cm="1">
        <f t="array" ref="E1880">IF(C1880&lt;&gt;"", _xlfn.XLOOKUP(1,((SKUs!$A$2:$A$10001=B1880) * (LEFT(SKUs!$J$2:$J$10001, LEN("PVC Magnet Holder"))="PVC Magnet Holder")), SKUs!$J$2:$J$10001,""),"")</f>
        <v/>
      </c>
      <c r="F1880" s="33" t="str" cm="1">
        <f t="array" ref="F1880">_xlfn.XLOOKUP(1,((SKUs!$A$2:$A$10001=cl_unmerged!B1880) * (LEFT(SKUs!$J$2:$J$10001, LEN("PVC Magnet Holder"))="PVC Magnet Holder") * (ISNUMBER(SEARCH(A1880,SKUs!$C$2:$C$10001)))), SKUs!$C$2:$C$10001,"")</f>
        <v/>
      </c>
      <c r="G1880" s="16"/>
      <c r="H1880" s="16"/>
      <c r="I1880" s="16"/>
    </row>
    <row r="1881" spans="1:9" x14ac:dyDescent="0.25">
      <c r="A1881" s="41" t="str">
        <f>_xlfn.XLOOKUP(G1881,dd_color!$A$2:$A$8,dd_color!$B$2:$B$8,"",0)</f>
        <v/>
      </c>
      <c r="B1881" s="41">
        <f>_xlfn.XLOOKUP(_xlfn.XLOOKUP(C1881,'Project Details'!$C$17:$C$10003,'Project Details'!$E$17:$E$10003, "",0),dd_design_raw!$A$2:$A$9997,dd_design_raw!$C$2:$C$9997,"",0)</f>
        <v>0</v>
      </c>
      <c r="C1881" s="16"/>
      <c r="D1881" s="16"/>
      <c r="E1881" s="16" t="str" cm="1">
        <f t="array" ref="E1881">IF(C1881&lt;&gt;"", _xlfn.XLOOKUP(1,((SKUs!$A$2:$A$10001=B1881) * (LEFT(SKUs!$J$2:$J$10001, LEN("PVC Magnet Holder"))="PVC Magnet Holder")), SKUs!$J$2:$J$10001,""),"")</f>
        <v/>
      </c>
      <c r="F1881" s="33" t="str" cm="1">
        <f t="array" ref="F1881">_xlfn.XLOOKUP(1,((SKUs!$A$2:$A$10001=cl_unmerged!B1881) * (LEFT(SKUs!$J$2:$J$10001, LEN("PVC Magnet Holder"))="PVC Magnet Holder") * (ISNUMBER(SEARCH(A1881,SKUs!$C$2:$C$10001)))), SKUs!$C$2:$C$10001,"")</f>
        <v/>
      </c>
      <c r="G1881" s="16"/>
      <c r="H1881" s="16"/>
      <c r="I1881" s="16"/>
    </row>
    <row r="1882" spans="1:9" x14ac:dyDescent="0.25">
      <c r="A1882" s="41" t="str">
        <f>_xlfn.XLOOKUP(G1882,dd_color!$A$2:$A$8,dd_color!$B$2:$B$8,"",0)</f>
        <v/>
      </c>
      <c r="B1882" s="41">
        <f>_xlfn.XLOOKUP(_xlfn.XLOOKUP(C1882,'Project Details'!$C$17:$C$10003,'Project Details'!$E$17:$E$10003, "",0),dd_design_raw!$A$2:$A$9997,dd_design_raw!$C$2:$C$9997,"",0)</f>
        <v>0</v>
      </c>
      <c r="C1882" s="16"/>
      <c r="D1882" s="16"/>
      <c r="E1882" s="16" t="str" cm="1">
        <f t="array" ref="E1882">IF(C1882&lt;&gt;"", _xlfn.XLOOKUP(1,((SKUs!$A$2:$A$10001=B1882) * (LEFT(SKUs!$J$2:$J$10001, LEN("PVC Magnet Holder"))="PVC Magnet Holder")), SKUs!$J$2:$J$10001,""),"")</f>
        <v/>
      </c>
      <c r="F1882" s="33" t="str" cm="1">
        <f t="array" ref="F1882">_xlfn.XLOOKUP(1,((SKUs!$A$2:$A$10001=cl_unmerged!B1882) * (LEFT(SKUs!$J$2:$J$10001, LEN("PVC Magnet Holder"))="PVC Magnet Holder") * (ISNUMBER(SEARCH(A1882,SKUs!$C$2:$C$10001)))), SKUs!$C$2:$C$10001,"")</f>
        <v/>
      </c>
      <c r="G1882" s="16"/>
      <c r="H1882" s="16"/>
      <c r="I1882" s="16"/>
    </row>
    <row r="1883" spans="1:9" x14ac:dyDescent="0.25">
      <c r="A1883" s="41" t="str">
        <f>_xlfn.XLOOKUP(G1883,dd_color!$A$2:$A$8,dd_color!$B$2:$B$8,"",0)</f>
        <v/>
      </c>
      <c r="B1883" s="41">
        <f>_xlfn.XLOOKUP(_xlfn.XLOOKUP(C1883,'Project Details'!$C$17:$C$10003,'Project Details'!$E$17:$E$10003, "",0),dd_design_raw!$A$2:$A$9997,dd_design_raw!$C$2:$C$9997,"",0)</f>
        <v>0</v>
      </c>
      <c r="C1883" s="16"/>
      <c r="D1883" s="16"/>
      <c r="E1883" s="16" t="str" cm="1">
        <f t="array" ref="E1883">IF(C1883&lt;&gt;"", _xlfn.XLOOKUP(1,((SKUs!$A$2:$A$10001=B1883) * (LEFT(SKUs!$J$2:$J$10001, LEN("PVC Magnet Holder"))="PVC Magnet Holder")), SKUs!$J$2:$J$10001,""),"")</f>
        <v/>
      </c>
      <c r="F1883" s="33" t="str" cm="1">
        <f t="array" ref="F1883">_xlfn.XLOOKUP(1,((SKUs!$A$2:$A$10001=cl_unmerged!B1883) * (LEFT(SKUs!$J$2:$J$10001, LEN("PVC Magnet Holder"))="PVC Magnet Holder") * (ISNUMBER(SEARCH(A1883,SKUs!$C$2:$C$10001)))), SKUs!$C$2:$C$10001,"")</f>
        <v/>
      </c>
      <c r="G1883" s="16"/>
      <c r="H1883" s="16"/>
      <c r="I1883" s="16"/>
    </row>
    <row r="1884" spans="1:9" x14ac:dyDescent="0.25">
      <c r="A1884" s="41" t="str">
        <f>_xlfn.XLOOKUP(G1884,dd_color!$A$2:$A$8,dd_color!$B$2:$B$8,"",0)</f>
        <v/>
      </c>
      <c r="B1884" s="41">
        <f>_xlfn.XLOOKUP(_xlfn.XLOOKUP(C1884,'Project Details'!$C$17:$C$10003,'Project Details'!$E$17:$E$10003, "",0),dd_design_raw!$A$2:$A$9997,dd_design_raw!$C$2:$C$9997,"",0)</f>
        <v>0</v>
      </c>
      <c r="C1884" s="16"/>
      <c r="D1884" s="16"/>
      <c r="E1884" s="16" t="str" cm="1">
        <f t="array" ref="E1884">IF(C1884&lt;&gt;"", _xlfn.XLOOKUP(1,((SKUs!$A$2:$A$10001=B1884) * (LEFT(SKUs!$J$2:$J$10001, LEN("PVC Magnet Holder"))="PVC Magnet Holder")), SKUs!$J$2:$J$10001,""),"")</f>
        <v/>
      </c>
      <c r="F1884" s="33" t="str" cm="1">
        <f t="array" ref="F1884">_xlfn.XLOOKUP(1,((SKUs!$A$2:$A$10001=cl_unmerged!B1884) * (LEFT(SKUs!$J$2:$J$10001, LEN("PVC Magnet Holder"))="PVC Magnet Holder") * (ISNUMBER(SEARCH(A1884,SKUs!$C$2:$C$10001)))), SKUs!$C$2:$C$10001,"")</f>
        <v/>
      </c>
      <c r="G1884" s="16"/>
      <c r="H1884" s="16"/>
      <c r="I1884" s="16"/>
    </row>
    <row r="1885" spans="1:9" x14ac:dyDescent="0.25">
      <c r="A1885" s="41" t="str">
        <f>_xlfn.XLOOKUP(G1885,dd_color!$A$2:$A$8,dd_color!$B$2:$B$8,"",0)</f>
        <v/>
      </c>
      <c r="B1885" s="41">
        <f>_xlfn.XLOOKUP(_xlfn.XLOOKUP(C1885,'Project Details'!$C$17:$C$10003,'Project Details'!$E$17:$E$10003, "",0),dd_design_raw!$A$2:$A$9997,dd_design_raw!$C$2:$C$9997,"",0)</f>
        <v>0</v>
      </c>
      <c r="C1885" s="16"/>
      <c r="D1885" s="16"/>
      <c r="E1885" s="16" t="str" cm="1">
        <f t="array" ref="E1885">IF(C1885&lt;&gt;"", _xlfn.XLOOKUP(1,((SKUs!$A$2:$A$10001=B1885) * (LEFT(SKUs!$J$2:$J$10001, LEN("PVC Magnet Holder"))="PVC Magnet Holder")), SKUs!$J$2:$J$10001,""),"")</f>
        <v/>
      </c>
      <c r="F1885" s="33" t="str" cm="1">
        <f t="array" ref="F1885">_xlfn.XLOOKUP(1,((SKUs!$A$2:$A$10001=cl_unmerged!B1885) * (LEFT(SKUs!$J$2:$J$10001, LEN("PVC Magnet Holder"))="PVC Magnet Holder") * (ISNUMBER(SEARCH(A1885,SKUs!$C$2:$C$10001)))), SKUs!$C$2:$C$10001,"")</f>
        <v/>
      </c>
      <c r="G1885" s="16"/>
      <c r="H1885" s="16"/>
      <c r="I1885" s="16"/>
    </row>
    <row r="1886" spans="1:9" x14ac:dyDescent="0.25">
      <c r="A1886" s="41" t="str">
        <f>_xlfn.XLOOKUP(G1886,dd_color!$A$2:$A$8,dd_color!$B$2:$B$8,"",0)</f>
        <v/>
      </c>
      <c r="B1886" s="41">
        <f>_xlfn.XLOOKUP(_xlfn.XLOOKUP(C1886,'Project Details'!$C$17:$C$10003,'Project Details'!$E$17:$E$10003, "",0),dd_design_raw!$A$2:$A$9997,dd_design_raw!$C$2:$C$9997,"",0)</f>
        <v>0</v>
      </c>
      <c r="C1886" s="16"/>
      <c r="D1886" s="16"/>
      <c r="E1886" s="16" t="str" cm="1">
        <f t="array" ref="E1886">IF(C1886&lt;&gt;"", _xlfn.XLOOKUP(1,((SKUs!$A$2:$A$10001=B1886) * (LEFT(SKUs!$J$2:$J$10001, LEN("PVC Magnet Holder"))="PVC Magnet Holder")), SKUs!$J$2:$J$10001,""),"")</f>
        <v/>
      </c>
      <c r="F1886" s="33" t="str" cm="1">
        <f t="array" ref="F1886">_xlfn.XLOOKUP(1,((SKUs!$A$2:$A$10001=cl_unmerged!B1886) * (LEFT(SKUs!$J$2:$J$10001, LEN("PVC Magnet Holder"))="PVC Magnet Holder") * (ISNUMBER(SEARCH(A1886,SKUs!$C$2:$C$10001)))), SKUs!$C$2:$C$10001,"")</f>
        <v/>
      </c>
      <c r="G1886" s="16"/>
      <c r="H1886" s="16"/>
      <c r="I1886" s="16"/>
    </row>
    <row r="1887" spans="1:9" x14ac:dyDescent="0.25">
      <c r="A1887" s="41" t="str">
        <f>_xlfn.XLOOKUP(G1887,dd_color!$A$2:$A$8,dd_color!$B$2:$B$8,"",0)</f>
        <v/>
      </c>
      <c r="B1887" s="41">
        <f>_xlfn.XLOOKUP(_xlfn.XLOOKUP(C1887,'Project Details'!$C$17:$C$10003,'Project Details'!$E$17:$E$10003, "",0),dd_design_raw!$A$2:$A$9997,dd_design_raw!$C$2:$C$9997,"",0)</f>
        <v>0</v>
      </c>
      <c r="C1887" s="16"/>
      <c r="D1887" s="16"/>
      <c r="E1887" s="16" t="str" cm="1">
        <f t="array" ref="E1887">IF(C1887&lt;&gt;"", _xlfn.XLOOKUP(1,((SKUs!$A$2:$A$10001=B1887) * (LEFT(SKUs!$J$2:$J$10001, LEN("PVC Magnet Holder"))="PVC Magnet Holder")), SKUs!$J$2:$J$10001,""),"")</f>
        <v/>
      </c>
      <c r="F1887" s="33" t="str" cm="1">
        <f t="array" ref="F1887">_xlfn.XLOOKUP(1,((SKUs!$A$2:$A$10001=cl_unmerged!B1887) * (LEFT(SKUs!$J$2:$J$10001, LEN("PVC Magnet Holder"))="PVC Magnet Holder") * (ISNUMBER(SEARCH(A1887,SKUs!$C$2:$C$10001)))), SKUs!$C$2:$C$10001,"")</f>
        <v/>
      </c>
      <c r="G1887" s="16"/>
      <c r="H1887" s="16"/>
      <c r="I1887" s="16"/>
    </row>
    <row r="1888" spans="1:9" x14ac:dyDescent="0.25">
      <c r="A1888" s="41" t="str">
        <f>_xlfn.XLOOKUP(G1888,dd_color!$A$2:$A$8,dd_color!$B$2:$B$8,"",0)</f>
        <v/>
      </c>
      <c r="B1888" s="41">
        <f>_xlfn.XLOOKUP(_xlfn.XLOOKUP(C1888,'Project Details'!$C$17:$C$10003,'Project Details'!$E$17:$E$10003, "",0),dd_design_raw!$A$2:$A$9997,dd_design_raw!$C$2:$C$9997,"",0)</f>
        <v>0</v>
      </c>
      <c r="C1888" s="16"/>
      <c r="D1888" s="16"/>
      <c r="E1888" s="16" t="str" cm="1">
        <f t="array" ref="E1888">IF(C1888&lt;&gt;"", _xlfn.XLOOKUP(1,((SKUs!$A$2:$A$10001=B1888) * (LEFT(SKUs!$J$2:$J$10001, LEN("PVC Magnet Holder"))="PVC Magnet Holder")), SKUs!$J$2:$J$10001,""),"")</f>
        <v/>
      </c>
      <c r="F1888" s="33" t="str" cm="1">
        <f t="array" ref="F1888">_xlfn.XLOOKUP(1,((SKUs!$A$2:$A$10001=cl_unmerged!B1888) * (LEFT(SKUs!$J$2:$J$10001, LEN("PVC Magnet Holder"))="PVC Magnet Holder") * (ISNUMBER(SEARCH(A1888,SKUs!$C$2:$C$10001)))), SKUs!$C$2:$C$10001,"")</f>
        <v/>
      </c>
      <c r="G1888" s="16"/>
      <c r="H1888" s="16"/>
      <c r="I1888" s="16"/>
    </row>
    <row r="1889" spans="1:9" x14ac:dyDescent="0.25">
      <c r="A1889" s="41" t="str">
        <f>_xlfn.XLOOKUP(G1889,dd_color!$A$2:$A$8,dd_color!$B$2:$B$8,"",0)</f>
        <v/>
      </c>
      <c r="B1889" s="41">
        <f>_xlfn.XLOOKUP(_xlfn.XLOOKUP(C1889,'Project Details'!$C$17:$C$10003,'Project Details'!$E$17:$E$10003, "",0),dd_design_raw!$A$2:$A$9997,dd_design_raw!$C$2:$C$9997,"",0)</f>
        <v>0</v>
      </c>
      <c r="C1889" s="16"/>
      <c r="D1889" s="16"/>
      <c r="E1889" s="16" t="str" cm="1">
        <f t="array" ref="E1889">IF(C1889&lt;&gt;"", _xlfn.XLOOKUP(1,((SKUs!$A$2:$A$10001=B1889) * (LEFT(SKUs!$J$2:$J$10001, LEN("PVC Magnet Holder"))="PVC Magnet Holder")), SKUs!$J$2:$J$10001,""),"")</f>
        <v/>
      </c>
      <c r="F1889" s="33" t="str" cm="1">
        <f t="array" ref="F1889">_xlfn.XLOOKUP(1,((SKUs!$A$2:$A$10001=cl_unmerged!B1889) * (LEFT(SKUs!$J$2:$J$10001, LEN("PVC Magnet Holder"))="PVC Magnet Holder") * (ISNUMBER(SEARCH(A1889,SKUs!$C$2:$C$10001)))), SKUs!$C$2:$C$10001,"")</f>
        <v/>
      </c>
      <c r="G1889" s="16"/>
      <c r="H1889" s="16"/>
      <c r="I1889" s="16"/>
    </row>
    <row r="1890" spans="1:9" x14ac:dyDescent="0.25">
      <c r="A1890" s="41" t="str">
        <f>_xlfn.XLOOKUP(G1890,dd_color!$A$2:$A$8,dd_color!$B$2:$B$8,"",0)</f>
        <v/>
      </c>
      <c r="B1890" s="41">
        <f>_xlfn.XLOOKUP(_xlfn.XLOOKUP(C1890,'Project Details'!$C$17:$C$10003,'Project Details'!$E$17:$E$10003, "",0),dd_design_raw!$A$2:$A$9997,dd_design_raw!$C$2:$C$9997,"",0)</f>
        <v>0</v>
      </c>
      <c r="C1890" s="16"/>
      <c r="D1890" s="16"/>
      <c r="E1890" s="16" t="str" cm="1">
        <f t="array" ref="E1890">IF(C1890&lt;&gt;"", _xlfn.XLOOKUP(1,((SKUs!$A$2:$A$10001=B1890) * (LEFT(SKUs!$J$2:$J$10001, LEN("PVC Magnet Holder"))="PVC Magnet Holder")), SKUs!$J$2:$J$10001,""),"")</f>
        <v/>
      </c>
      <c r="F1890" s="33" t="str" cm="1">
        <f t="array" ref="F1890">_xlfn.XLOOKUP(1,((SKUs!$A$2:$A$10001=cl_unmerged!B1890) * (LEFT(SKUs!$J$2:$J$10001, LEN("PVC Magnet Holder"))="PVC Magnet Holder") * (ISNUMBER(SEARCH(A1890,SKUs!$C$2:$C$10001)))), SKUs!$C$2:$C$10001,"")</f>
        <v/>
      </c>
      <c r="G1890" s="16"/>
      <c r="H1890" s="16"/>
      <c r="I1890" s="16"/>
    </row>
    <row r="1891" spans="1:9" x14ac:dyDescent="0.25">
      <c r="A1891" s="41" t="str">
        <f>_xlfn.XLOOKUP(G1891,dd_color!$A$2:$A$8,dd_color!$B$2:$B$8,"",0)</f>
        <v/>
      </c>
      <c r="B1891" s="41">
        <f>_xlfn.XLOOKUP(_xlfn.XLOOKUP(C1891,'Project Details'!$C$17:$C$10003,'Project Details'!$E$17:$E$10003, "",0),dd_design_raw!$A$2:$A$9997,dd_design_raw!$C$2:$C$9997,"",0)</f>
        <v>0</v>
      </c>
      <c r="C1891" s="16"/>
      <c r="D1891" s="16"/>
      <c r="E1891" s="16" t="str" cm="1">
        <f t="array" ref="E1891">IF(C1891&lt;&gt;"", _xlfn.XLOOKUP(1,((SKUs!$A$2:$A$10001=B1891) * (LEFT(SKUs!$J$2:$J$10001, LEN("PVC Magnet Holder"))="PVC Magnet Holder")), SKUs!$J$2:$J$10001,""),"")</f>
        <v/>
      </c>
      <c r="F1891" s="33" t="str" cm="1">
        <f t="array" ref="F1891">_xlfn.XLOOKUP(1,((SKUs!$A$2:$A$10001=cl_unmerged!B1891) * (LEFT(SKUs!$J$2:$J$10001, LEN("PVC Magnet Holder"))="PVC Magnet Holder") * (ISNUMBER(SEARCH(A1891,SKUs!$C$2:$C$10001)))), SKUs!$C$2:$C$10001,"")</f>
        <v/>
      </c>
      <c r="G1891" s="16"/>
      <c r="H1891" s="16"/>
      <c r="I1891" s="16"/>
    </row>
    <row r="1892" spans="1:9" ht="13.5" customHeight="1" x14ac:dyDescent="0.25">
      <c r="A1892" s="41" t="str">
        <f>_xlfn.XLOOKUP(G1892,dd_color!$A$2:$A$8,dd_color!$B$2:$B$8,"",0)</f>
        <v/>
      </c>
      <c r="B1892" s="41">
        <f>_xlfn.XLOOKUP(_xlfn.XLOOKUP(C1892,'Project Details'!$C$17:$C$10003,'Project Details'!$E$17:$E$10003, "",0),dd_design_raw!$A$2:$A$9997,dd_design_raw!$C$2:$C$9997,"",0)</f>
        <v>0</v>
      </c>
      <c r="C1892" s="16"/>
      <c r="D1892" s="16"/>
      <c r="E1892" s="16" t="str" cm="1">
        <f t="array" ref="E1892">IF(C1892&lt;&gt;"", _xlfn.XLOOKUP(1,((SKUs!$A$2:$A$10001=B1892) * (LEFT(SKUs!$J$2:$J$10001, LEN("PVC Magnet Holder"))="PVC Magnet Holder")), SKUs!$J$2:$J$10001,""),"")</f>
        <v/>
      </c>
      <c r="F1892" s="33" t="str" cm="1">
        <f t="array" ref="F1892">_xlfn.XLOOKUP(1,((SKUs!$A$2:$A$10001=cl_unmerged!B1892) * (LEFT(SKUs!$J$2:$J$10001, LEN("PVC Magnet Holder"))="PVC Magnet Holder") * (ISNUMBER(SEARCH(A1892,SKUs!$C$2:$C$10001)))), SKUs!$C$2:$C$10001,"")</f>
        <v/>
      </c>
      <c r="G1892" s="16"/>
      <c r="H1892" s="16"/>
      <c r="I1892" s="16"/>
    </row>
    <row r="1893" spans="1:9" ht="13.5" customHeight="1" x14ac:dyDescent="0.25">
      <c r="A1893" s="41" t="str">
        <f>_xlfn.XLOOKUP(G1893,dd_color!$A$2:$A$8,dd_color!$B$2:$B$8,"",0)</f>
        <v/>
      </c>
      <c r="B1893" s="41">
        <f>_xlfn.XLOOKUP(_xlfn.XLOOKUP(C1893,'Project Details'!$C$17:$C$10003,'Project Details'!$E$17:$E$10003, "",0),dd_design_raw!$A$2:$A$9997,dd_design_raw!$C$2:$C$9997,"",0)</f>
        <v>0</v>
      </c>
      <c r="C1893" s="16"/>
      <c r="D1893" s="16"/>
      <c r="E1893" s="16" t="str" cm="1">
        <f t="array" ref="E1893">IF(C1893&lt;&gt;"", _xlfn.XLOOKUP(1,((SKUs!$A$2:$A$10001=B1893) * (LEFT(SKUs!$J$2:$J$10001, LEN("PVC Magnet Holder"))="PVC Magnet Holder")), SKUs!$J$2:$J$10001,""),"")</f>
        <v/>
      </c>
      <c r="F1893" s="33" t="str" cm="1">
        <f t="array" ref="F1893">_xlfn.XLOOKUP(1,((SKUs!$A$2:$A$10001=cl_unmerged!B1893) * (LEFT(SKUs!$J$2:$J$10001, LEN("PVC Magnet Holder"))="PVC Magnet Holder") * (ISNUMBER(SEARCH(A1893,SKUs!$C$2:$C$10001)))), SKUs!$C$2:$C$10001,"")</f>
        <v/>
      </c>
      <c r="G1893" s="16"/>
      <c r="H1893" s="16"/>
      <c r="I1893" s="16"/>
    </row>
    <row r="1894" spans="1:9" ht="13.5" customHeight="1" x14ac:dyDescent="0.25">
      <c r="A1894" s="41" t="str">
        <f>_xlfn.XLOOKUP(G1894,dd_color!$A$2:$A$8,dd_color!$B$2:$B$8,"",0)</f>
        <v/>
      </c>
      <c r="B1894" s="41">
        <f>_xlfn.XLOOKUP(_xlfn.XLOOKUP(C1894,'Project Details'!$C$17:$C$10003,'Project Details'!$E$17:$E$10003, "",0),dd_design_raw!$A$2:$A$9997,dd_design_raw!$C$2:$C$9997,"",0)</f>
        <v>0</v>
      </c>
      <c r="C1894" s="16"/>
      <c r="D1894" s="16"/>
      <c r="E1894" s="16" t="str" cm="1">
        <f t="array" ref="E1894">IF(C1894&lt;&gt;"", _xlfn.XLOOKUP(1,((SKUs!$A$2:$A$10001=B1894) * (LEFT(SKUs!$J$2:$J$10001, LEN("PVC Magnet Holder"))="PVC Magnet Holder")), SKUs!$J$2:$J$10001,""),"")</f>
        <v/>
      </c>
      <c r="F1894" s="33" t="str" cm="1">
        <f t="array" ref="F1894">_xlfn.XLOOKUP(1,((SKUs!$A$2:$A$10001=cl_unmerged!B1894) * (LEFT(SKUs!$J$2:$J$10001, LEN("PVC Magnet Holder"))="PVC Magnet Holder") * (ISNUMBER(SEARCH(A1894,SKUs!$C$2:$C$10001)))), SKUs!$C$2:$C$10001,"")</f>
        <v/>
      </c>
      <c r="G1894" s="16"/>
      <c r="H1894" s="16"/>
      <c r="I1894" s="16"/>
    </row>
    <row r="1895" spans="1:9" ht="13.5" customHeight="1" x14ac:dyDescent="0.25">
      <c r="A1895" s="41" t="str">
        <f>_xlfn.XLOOKUP(G1895,dd_color!$A$2:$A$8,dd_color!$B$2:$B$8,"",0)</f>
        <v/>
      </c>
      <c r="B1895" s="41">
        <f>_xlfn.XLOOKUP(_xlfn.XLOOKUP(C1895,'Project Details'!$C$17:$C$10003,'Project Details'!$E$17:$E$10003, "",0),dd_design_raw!$A$2:$A$9997,dd_design_raw!$C$2:$C$9997,"",0)</f>
        <v>0</v>
      </c>
      <c r="C1895" s="16"/>
      <c r="D1895" s="16"/>
      <c r="E1895" s="16" t="str" cm="1">
        <f t="array" ref="E1895">IF(C1895&lt;&gt;"", _xlfn.XLOOKUP(1,((SKUs!$A$2:$A$10001=B1895) * (LEFT(SKUs!$J$2:$J$10001, LEN("PVC Magnet Holder"))="PVC Magnet Holder")), SKUs!$J$2:$J$10001,""),"")</f>
        <v/>
      </c>
      <c r="F1895" s="33" t="str" cm="1">
        <f t="array" ref="F1895">_xlfn.XLOOKUP(1,((SKUs!$A$2:$A$10001=cl_unmerged!B1895) * (LEFT(SKUs!$J$2:$J$10001, LEN("PVC Magnet Holder"))="PVC Magnet Holder") * (ISNUMBER(SEARCH(A1895,SKUs!$C$2:$C$10001)))), SKUs!$C$2:$C$10001,"")</f>
        <v/>
      </c>
      <c r="G1895" s="16"/>
      <c r="H1895" s="16"/>
      <c r="I1895" s="16"/>
    </row>
    <row r="1896" spans="1:9" ht="13.5" customHeight="1" x14ac:dyDescent="0.25">
      <c r="A1896" s="41" t="str">
        <f>_xlfn.XLOOKUP(G1896,dd_color!$A$2:$A$8,dd_color!$B$2:$B$8,"",0)</f>
        <v/>
      </c>
      <c r="B1896" s="41">
        <f>_xlfn.XLOOKUP(_xlfn.XLOOKUP(C1896,'Project Details'!$C$17:$C$10003,'Project Details'!$E$17:$E$10003, "",0),dd_design_raw!$A$2:$A$9997,dd_design_raw!$C$2:$C$9997,"",0)</f>
        <v>0</v>
      </c>
      <c r="C1896" s="16"/>
      <c r="D1896" s="16"/>
      <c r="E1896" s="16" t="str" cm="1">
        <f t="array" ref="E1896">IF(C1896&lt;&gt;"", _xlfn.XLOOKUP(1,((SKUs!$A$2:$A$10001=B1896) * (LEFT(SKUs!$J$2:$J$10001, LEN("PVC Magnet Holder"))="PVC Magnet Holder")), SKUs!$J$2:$J$10001,""),"")</f>
        <v/>
      </c>
      <c r="F1896" s="33" t="str" cm="1">
        <f t="array" ref="F1896">_xlfn.XLOOKUP(1,((SKUs!$A$2:$A$10001=cl_unmerged!B1896) * (LEFT(SKUs!$J$2:$J$10001, LEN("PVC Magnet Holder"))="PVC Magnet Holder") * (ISNUMBER(SEARCH(A1896,SKUs!$C$2:$C$10001)))), SKUs!$C$2:$C$10001,"")</f>
        <v/>
      </c>
      <c r="G1896" s="16"/>
      <c r="H1896" s="16"/>
      <c r="I1896" s="16"/>
    </row>
    <row r="1897" spans="1:9" ht="13.5" customHeight="1" x14ac:dyDescent="0.25">
      <c r="A1897" s="41" t="str">
        <f>_xlfn.XLOOKUP(G1897,dd_color!$A$2:$A$8,dd_color!$B$2:$B$8,"",0)</f>
        <v/>
      </c>
      <c r="B1897" s="41">
        <f>_xlfn.XLOOKUP(_xlfn.XLOOKUP(C1897,'Project Details'!$C$17:$C$10003,'Project Details'!$E$17:$E$10003, "",0),dd_design_raw!$A$2:$A$9997,dd_design_raw!$C$2:$C$9997,"",0)</f>
        <v>0</v>
      </c>
      <c r="C1897" s="16"/>
      <c r="D1897" s="16"/>
      <c r="E1897" s="16" t="str" cm="1">
        <f t="array" ref="E1897">IF(C1897&lt;&gt;"", _xlfn.XLOOKUP(1,((SKUs!$A$2:$A$10001=B1897) * (LEFT(SKUs!$J$2:$J$10001, LEN("PVC Magnet Holder"))="PVC Magnet Holder")), SKUs!$J$2:$J$10001,""),"")</f>
        <v/>
      </c>
      <c r="F1897" s="33" t="str" cm="1">
        <f t="array" ref="F1897">_xlfn.XLOOKUP(1,((SKUs!$A$2:$A$10001=cl_unmerged!B1897) * (LEFT(SKUs!$J$2:$J$10001, LEN("PVC Magnet Holder"))="PVC Magnet Holder") * (ISNUMBER(SEARCH(A1897,SKUs!$C$2:$C$10001)))), SKUs!$C$2:$C$10001,"")</f>
        <v/>
      </c>
      <c r="G1897" s="16"/>
      <c r="H1897" s="16"/>
      <c r="I1897" s="16"/>
    </row>
    <row r="1898" spans="1:9" ht="13.5" customHeight="1" x14ac:dyDescent="0.25">
      <c r="A1898" s="41" t="str">
        <f>_xlfn.XLOOKUP(G1898,dd_color!$A$2:$A$8,dd_color!$B$2:$B$8,"",0)</f>
        <v/>
      </c>
      <c r="B1898" s="41">
        <f>_xlfn.XLOOKUP(_xlfn.XLOOKUP(C1898,'Project Details'!$C$17:$C$10003,'Project Details'!$E$17:$E$10003, "",0),dd_design_raw!$A$2:$A$9997,dd_design_raw!$C$2:$C$9997,"",0)</f>
        <v>0</v>
      </c>
      <c r="C1898" s="16"/>
      <c r="D1898" s="16"/>
      <c r="E1898" s="16" t="str" cm="1">
        <f t="array" ref="E1898">IF(C1898&lt;&gt;"", _xlfn.XLOOKUP(1,((SKUs!$A$2:$A$10001=B1898) * (LEFT(SKUs!$J$2:$J$10001, LEN("PVC Magnet Holder"))="PVC Magnet Holder")), SKUs!$J$2:$J$10001,""),"")</f>
        <v/>
      </c>
      <c r="F1898" s="33" t="str" cm="1">
        <f t="array" ref="F1898">_xlfn.XLOOKUP(1,((SKUs!$A$2:$A$10001=cl_unmerged!B1898) * (LEFT(SKUs!$J$2:$J$10001, LEN("PVC Magnet Holder"))="PVC Magnet Holder") * (ISNUMBER(SEARCH(A1898,SKUs!$C$2:$C$10001)))), SKUs!$C$2:$C$10001,"")</f>
        <v/>
      </c>
      <c r="G1898" s="16"/>
      <c r="H1898" s="16"/>
      <c r="I1898" s="16"/>
    </row>
    <row r="1899" spans="1:9" ht="13.5" customHeight="1" x14ac:dyDescent="0.25">
      <c r="A1899" s="41" t="str">
        <f>_xlfn.XLOOKUP(G1899,dd_color!$A$2:$A$8,dd_color!$B$2:$B$8,"",0)</f>
        <v/>
      </c>
      <c r="B1899" s="41">
        <f>_xlfn.XLOOKUP(_xlfn.XLOOKUP(C1899,'Project Details'!$C$17:$C$10003,'Project Details'!$E$17:$E$10003, "",0),dd_design_raw!$A$2:$A$9997,dd_design_raw!$C$2:$C$9997,"",0)</f>
        <v>0</v>
      </c>
      <c r="C1899" s="16"/>
      <c r="D1899" s="16"/>
      <c r="E1899" s="16" t="str" cm="1">
        <f t="array" ref="E1899">IF(C1899&lt;&gt;"", _xlfn.XLOOKUP(1,((SKUs!$A$2:$A$10001=B1899) * (LEFT(SKUs!$J$2:$J$10001, LEN("PVC Magnet Holder"))="PVC Magnet Holder")), SKUs!$J$2:$J$10001,""),"")</f>
        <v/>
      </c>
      <c r="F1899" s="33" t="str" cm="1">
        <f t="array" ref="F1899">_xlfn.XLOOKUP(1,((SKUs!$A$2:$A$10001=cl_unmerged!B1899) * (LEFT(SKUs!$J$2:$J$10001, LEN("PVC Magnet Holder"))="PVC Magnet Holder") * (ISNUMBER(SEARCH(A1899,SKUs!$C$2:$C$10001)))), SKUs!$C$2:$C$10001,"")</f>
        <v/>
      </c>
      <c r="G1899" s="16"/>
      <c r="H1899" s="16"/>
      <c r="I1899" s="16"/>
    </row>
    <row r="1900" spans="1:9" ht="13.5" customHeight="1" x14ac:dyDescent="0.25">
      <c r="A1900" s="41" t="str">
        <f>_xlfn.XLOOKUP(G1900,dd_color!$A$2:$A$8,dd_color!$B$2:$B$8,"",0)</f>
        <v/>
      </c>
      <c r="B1900" s="41">
        <f>_xlfn.XLOOKUP(_xlfn.XLOOKUP(C1900,'Project Details'!$C$17:$C$10003,'Project Details'!$E$17:$E$10003, "",0),dd_design_raw!$A$2:$A$9997,dd_design_raw!$C$2:$C$9997,"",0)</f>
        <v>0</v>
      </c>
      <c r="C1900" s="16"/>
      <c r="D1900" s="16"/>
      <c r="E1900" s="16" t="str" cm="1">
        <f t="array" ref="E1900">IF(C1900&lt;&gt;"", _xlfn.XLOOKUP(1,((SKUs!$A$2:$A$10001=B1900) * (LEFT(SKUs!$J$2:$J$10001, LEN("PVC Magnet Holder"))="PVC Magnet Holder")), SKUs!$J$2:$J$10001,""),"")</f>
        <v/>
      </c>
      <c r="F1900" s="33" t="str" cm="1">
        <f t="array" ref="F1900">_xlfn.XLOOKUP(1,((SKUs!$A$2:$A$10001=cl_unmerged!B1900) * (LEFT(SKUs!$J$2:$J$10001, LEN("PVC Magnet Holder"))="PVC Magnet Holder") * (ISNUMBER(SEARCH(A1900,SKUs!$C$2:$C$10001)))), SKUs!$C$2:$C$10001,"")</f>
        <v/>
      </c>
      <c r="G1900" s="16"/>
      <c r="H1900" s="16"/>
      <c r="I1900" s="16"/>
    </row>
    <row r="1901" spans="1:9" ht="13.5" customHeight="1" x14ac:dyDescent="0.25">
      <c r="A1901" s="41" t="str">
        <f>_xlfn.XLOOKUP(G1901,dd_color!$A$2:$A$8,dd_color!$B$2:$B$8,"",0)</f>
        <v/>
      </c>
      <c r="B1901" s="41">
        <f>_xlfn.XLOOKUP(_xlfn.XLOOKUP(C1901,'Project Details'!$C$17:$C$10003,'Project Details'!$E$17:$E$10003, "",0),dd_design_raw!$A$2:$A$9997,dd_design_raw!$C$2:$C$9997,"",0)</f>
        <v>0</v>
      </c>
      <c r="C1901" s="16"/>
      <c r="D1901" s="16"/>
      <c r="E1901" s="16" t="str" cm="1">
        <f t="array" ref="E1901">IF(C1901&lt;&gt;"", _xlfn.XLOOKUP(1,((SKUs!$A$2:$A$10001=B1901) * (LEFT(SKUs!$J$2:$J$10001, LEN("PVC Magnet Holder"))="PVC Magnet Holder")), SKUs!$J$2:$J$10001,""),"")</f>
        <v/>
      </c>
      <c r="F1901" s="33" t="str" cm="1">
        <f t="array" ref="F1901">_xlfn.XLOOKUP(1,((SKUs!$A$2:$A$10001=cl_unmerged!B1901) * (LEFT(SKUs!$J$2:$J$10001, LEN("PVC Magnet Holder"))="PVC Magnet Holder") * (ISNUMBER(SEARCH(A1901,SKUs!$C$2:$C$10001)))), SKUs!$C$2:$C$10001,"")</f>
        <v/>
      </c>
      <c r="G1901" s="16"/>
      <c r="H1901" s="16"/>
      <c r="I1901" s="16"/>
    </row>
    <row r="1902" spans="1:9" ht="13.5" customHeight="1" x14ac:dyDescent="0.25">
      <c r="A1902" s="41" t="str">
        <f>_xlfn.XLOOKUP(G1902,dd_color!$A$2:$A$8,dd_color!$B$2:$B$8,"",0)</f>
        <v/>
      </c>
      <c r="B1902" s="41">
        <f>_xlfn.XLOOKUP(_xlfn.XLOOKUP(C1902,'Project Details'!$C$17:$C$10003,'Project Details'!$E$17:$E$10003, "",0),dd_design_raw!$A$2:$A$9997,dd_design_raw!$C$2:$C$9997,"",0)</f>
        <v>0</v>
      </c>
      <c r="C1902" s="16"/>
      <c r="D1902" s="16"/>
      <c r="E1902" s="16" t="str" cm="1">
        <f t="array" ref="E1902">IF(C1902&lt;&gt;"", _xlfn.XLOOKUP(1,((SKUs!$A$2:$A$10001=B1902) * (LEFT(SKUs!$J$2:$J$10001, LEN("PVC Magnet Holder"))="PVC Magnet Holder")), SKUs!$J$2:$J$10001,""),"")</f>
        <v/>
      </c>
      <c r="F1902" s="33" t="str" cm="1">
        <f t="array" ref="F1902">_xlfn.XLOOKUP(1,((SKUs!$A$2:$A$10001=cl_unmerged!B1902) * (LEFT(SKUs!$J$2:$J$10001, LEN("PVC Magnet Holder"))="PVC Magnet Holder") * (ISNUMBER(SEARCH(A1902,SKUs!$C$2:$C$10001)))), SKUs!$C$2:$C$10001,"")</f>
        <v/>
      </c>
      <c r="G1902" s="16"/>
      <c r="H1902" s="16"/>
      <c r="I1902" s="16"/>
    </row>
    <row r="1903" spans="1:9" ht="13.5" customHeight="1" x14ac:dyDescent="0.25">
      <c r="A1903" s="41" t="str">
        <f>_xlfn.XLOOKUP(G1903,dd_color!$A$2:$A$8,dd_color!$B$2:$B$8,"",0)</f>
        <v/>
      </c>
      <c r="B1903" s="41">
        <f>_xlfn.XLOOKUP(_xlfn.XLOOKUP(C1903,'Project Details'!$C$17:$C$10003,'Project Details'!$E$17:$E$10003, "",0),dd_design_raw!$A$2:$A$9997,dd_design_raw!$C$2:$C$9997,"",0)</f>
        <v>0</v>
      </c>
      <c r="C1903" s="16"/>
      <c r="D1903" s="16"/>
      <c r="E1903" s="16" t="str" cm="1">
        <f t="array" ref="E1903">IF(C1903&lt;&gt;"", _xlfn.XLOOKUP(1,((SKUs!$A$2:$A$10001=B1903) * (LEFT(SKUs!$J$2:$J$10001, LEN("PVC Magnet Holder"))="PVC Magnet Holder")), SKUs!$J$2:$J$10001,""),"")</f>
        <v/>
      </c>
      <c r="F1903" s="33" t="str" cm="1">
        <f t="array" ref="F1903">_xlfn.XLOOKUP(1,((SKUs!$A$2:$A$10001=cl_unmerged!B1903) * (LEFT(SKUs!$J$2:$J$10001, LEN("PVC Magnet Holder"))="PVC Magnet Holder") * (ISNUMBER(SEARCH(A1903,SKUs!$C$2:$C$10001)))), SKUs!$C$2:$C$10001,"")</f>
        <v/>
      </c>
      <c r="G1903" s="16"/>
      <c r="H1903" s="16"/>
      <c r="I1903" s="16"/>
    </row>
    <row r="1904" spans="1:9" ht="13.5" customHeight="1" x14ac:dyDescent="0.25">
      <c r="A1904" s="41" t="str">
        <f>_xlfn.XLOOKUP(G1904,dd_color!$A$2:$A$8,dd_color!$B$2:$B$8,"",0)</f>
        <v/>
      </c>
      <c r="B1904" s="41">
        <f>_xlfn.XLOOKUP(_xlfn.XLOOKUP(C1904,'Project Details'!$C$17:$C$10003,'Project Details'!$E$17:$E$10003, "",0),dd_design_raw!$A$2:$A$9997,dd_design_raw!$C$2:$C$9997,"",0)</f>
        <v>0</v>
      </c>
      <c r="C1904" s="16"/>
      <c r="D1904" s="16"/>
      <c r="E1904" s="16" t="str" cm="1">
        <f t="array" ref="E1904">IF(C1904&lt;&gt;"", _xlfn.XLOOKUP(1,((SKUs!$A$2:$A$10001=B1904) * (LEFT(SKUs!$J$2:$J$10001, LEN("PVC Magnet Holder"))="PVC Magnet Holder")), SKUs!$J$2:$J$10001,""),"")</f>
        <v/>
      </c>
      <c r="F1904" s="33" t="str" cm="1">
        <f t="array" ref="F1904">_xlfn.XLOOKUP(1,((SKUs!$A$2:$A$10001=cl_unmerged!B1904) * (LEFT(SKUs!$J$2:$J$10001, LEN("PVC Magnet Holder"))="PVC Magnet Holder") * (ISNUMBER(SEARCH(A1904,SKUs!$C$2:$C$10001)))), SKUs!$C$2:$C$10001,"")</f>
        <v/>
      </c>
      <c r="G1904" s="16"/>
      <c r="H1904" s="16"/>
      <c r="I1904" s="16"/>
    </row>
    <row r="1905" spans="1:9" ht="13.5" customHeight="1" x14ac:dyDescent="0.25">
      <c r="A1905" s="41" t="str">
        <f>_xlfn.XLOOKUP(G1905,dd_color!$A$2:$A$8,dd_color!$B$2:$B$8,"",0)</f>
        <v/>
      </c>
      <c r="B1905" s="41">
        <f>_xlfn.XLOOKUP(_xlfn.XLOOKUP(C1905,'Project Details'!$C$17:$C$10003,'Project Details'!$E$17:$E$10003, "",0),dd_design_raw!$A$2:$A$9997,dd_design_raw!$C$2:$C$9997,"",0)</f>
        <v>0</v>
      </c>
      <c r="C1905" s="16"/>
      <c r="D1905" s="16"/>
      <c r="E1905" s="16" t="str" cm="1">
        <f t="array" ref="E1905">IF(C1905&lt;&gt;"", _xlfn.XLOOKUP(1,((SKUs!$A$2:$A$10001=B1905) * (LEFT(SKUs!$J$2:$J$10001, LEN("PVC Magnet Holder"))="PVC Magnet Holder")), SKUs!$J$2:$J$10001,""),"")</f>
        <v/>
      </c>
      <c r="F1905" s="33" t="str" cm="1">
        <f t="array" ref="F1905">_xlfn.XLOOKUP(1,((SKUs!$A$2:$A$10001=cl_unmerged!B1905) * (LEFT(SKUs!$J$2:$J$10001, LEN("PVC Magnet Holder"))="PVC Magnet Holder") * (ISNUMBER(SEARCH(A1905,SKUs!$C$2:$C$10001)))), SKUs!$C$2:$C$10001,"")</f>
        <v/>
      </c>
      <c r="G1905" s="16"/>
      <c r="H1905" s="16"/>
      <c r="I1905" s="16"/>
    </row>
    <row r="1906" spans="1:9" ht="13.5" customHeight="1" x14ac:dyDescent="0.25">
      <c r="A1906" s="41" t="str">
        <f>_xlfn.XLOOKUP(G1906,dd_color!$A$2:$A$8,dd_color!$B$2:$B$8,"",0)</f>
        <v/>
      </c>
      <c r="B1906" s="41">
        <f>_xlfn.XLOOKUP(_xlfn.XLOOKUP(C1906,'Project Details'!$C$17:$C$10003,'Project Details'!$E$17:$E$10003, "",0),dd_design_raw!$A$2:$A$9997,dd_design_raw!$C$2:$C$9997,"",0)</f>
        <v>0</v>
      </c>
      <c r="C1906" s="16"/>
      <c r="D1906" s="16"/>
      <c r="E1906" s="16" t="str" cm="1">
        <f t="array" ref="E1906">IF(C1906&lt;&gt;"", _xlfn.XLOOKUP(1,((SKUs!$A$2:$A$10001=B1906) * (LEFT(SKUs!$J$2:$J$10001, LEN("PVC Magnet Holder"))="PVC Magnet Holder")), SKUs!$J$2:$J$10001,""),"")</f>
        <v/>
      </c>
      <c r="F1906" s="33" t="str" cm="1">
        <f t="array" ref="F1906">_xlfn.XLOOKUP(1,((SKUs!$A$2:$A$10001=cl_unmerged!B1906) * (LEFT(SKUs!$J$2:$J$10001, LEN("PVC Magnet Holder"))="PVC Magnet Holder") * (ISNUMBER(SEARCH(A1906,SKUs!$C$2:$C$10001)))), SKUs!$C$2:$C$10001,"")</f>
        <v/>
      </c>
      <c r="G1906" s="16"/>
      <c r="H1906" s="16"/>
      <c r="I1906" s="16"/>
    </row>
    <row r="1907" spans="1:9" ht="13.5" customHeight="1" x14ac:dyDescent="0.25">
      <c r="A1907" s="41" t="str">
        <f>_xlfn.XLOOKUP(G1907,dd_color!$A$2:$A$8,dd_color!$B$2:$B$8,"",0)</f>
        <v/>
      </c>
      <c r="B1907" s="41">
        <f>_xlfn.XLOOKUP(_xlfn.XLOOKUP(C1907,'Project Details'!$C$17:$C$10003,'Project Details'!$E$17:$E$10003, "",0),dd_design_raw!$A$2:$A$9997,dd_design_raw!$C$2:$C$9997,"",0)</f>
        <v>0</v>
      </c>
      <c r="C1907" s="16"/>
      <c r="D1907" s="16"/>
      <c r="E1907" s="16" t="str" cm="1">
        <f t="array" ref="E1907">IF(C1907&lt;&gt;"", _xlfn.XLOOKUP(1,((SKUs!$A$2:$A$10001=B1907) * (LEFT(SKUs!$J$2:$J$10001, LEN("PVC Magnet Holder"))="PVC Magnet Holder")), SKUs!$J$2:$J$10001,""),"")</f>
        <v/>
      </c>
      <c r="F1907" s="33" t="str" cm="1">
        <f t="array" ref="F1907">_xlfn.XLOOKUP(1,((SKUs!$A$2:$A$10001=cl_unmerged!B1907) * (LEFT(SKUs!$J$2:$J$10001, LEN("PVC Magnet Holder"))="PVC Magnet Holder") * (ISNUMBER(SEARCH(A1907,SKUs!$C$2:$C$10001)))), SKUs!$C$2:$C$10001,"")</f>
        <v/>
      </c>
      <c r="G1907" s="16"/>
      <c r="H1907" s="16"/>
      <c r="I1907" s="16"/>
    </row>
    <row r="1908" spans="1:9" ht="13.5" customHeight="1" x14ac:dyDescent="0.25">
      <c r="A1908" s="41" t="str">
        <f>_xlfn.XLOOKUP(G1908,dd_color!$A$2:$A$8,dd_color!$B$2:$B$8,"",0)</f>
        <v/>
      </c>
      <c r="B1908" s="41">
        <f>_xlfn.XLOOKUP(_xlfn.XLOOKUP(C1908,'Project Details'!$C$17:$C$10003,'Project Details'!$E$17:$E$10003, "",0),dd_design_raw!$A$2:$A$9997,dd_design_raw!$C$2:$C$9997,"",0)</f>
        <v>0</v>
      </c>
      <c r="C1908" s="16"/>
      <c r="D1908" s="16"/>
      <c r="E1908" s="16" t="str" cm="1">
        <f t="array" ref="E1908">IF(C1908&lt;&gt;"", _xlfn.XLOOKUP(1,((SKUs!$A$2:$A$10001=B1908) * (LEFT(SKUs!$J$2:$J$10001, LEN("PVC Magnet Holder"))="PVC Magnet Holder")), SKUs!$J$2:$J$10001,""),"")</f>
        <v/>
      </c>
      <c r="F1908" s="33" t="str" cm="1">
        <f t="array" ref="F1908">_xlfn.XLOOKUP(1,((SKUs!$A$2:$A$10001=cl_unmerged!B1908) * (LEFT(SKUs!$J$2:$J$10001, LEN("PVC Magnet Holder"))="PVC Magnet Holder") * (ISNUMBER(SEARCH(A1908,SKUs!$C$2:$C$10001)))), SKUs!$C$2:$C$10001,"")</f>
        <v/>
      </c>
      <c r="G1908" s="16"/>
      <c r="H1908" s="16"/>
      <c r="I1908" s="16"/>
    </row>
    <row r="1909" spans="1:9" ht="13.5" customHeight="1" x14ac:dyDescent="0.25">
      <c r="A1909" s="41" t="str">
        <f>_xlfn.XLOOKUP(G1909,dd_color!$A$2:$A$8,dd_color!$B$2:$B$8,"",0)</f>
        <v/>
      </c>
      <c r="B1909" s="41">
        <f>_xlfn.XLOOKUP(_xlfn.XLOOKUP(C1909,'Project Details'!$C$17:$C$10003,'Project Details'!$E$17:$E$10003, "",0),dd_design_raw!$A$2:$A$9997,dd_design_raw!$C$2:$C$9997,"",0)</f>
        <v>0</v>
      </c>
      <c r="C1909" s="16"/>
      <c r="D1909" s="16"/>
      <c r="E1909" s="16" t="str" cm="1">
        <f t="array" ref="E1909">IF(C1909&lt;&gt;"", _xlfn.XLOOKUP(1,((SKUs!$A$2:$A$10001=B1909) * (LEFT(SKUs!$J$2:$J$10001, LEN("PVC Magnet Holder"))="PVC Magnet Holder")), SKUs!$J$2:$J$10001,""),"")</f>
        <v/>
      </c>
      <c r="F1909" s="33" t="str" cm="1">
        <f t="array" ref="F1909">_xlfn.XLOOKUP(1,((SKUs!$A$2:$A$10001=cl_unmerged!B1909) * (LEFT(SKUs!$J$2:$J$10001, LEN("PVC Magnet Holder"))="PVC Magnet Holder") * (ISNUMBER(SEARCH(A1909,SKUs!$C$2:$C$10001)))), SKUs!$C$2:$C$10001,"")</f>
        <v/>
      </c>
      <c r="G1909" s="16"/>
      <c r="H1909" s="16"/>
      <c r="I1909" s="16"/>
    </row>
    <row r="1910" spans="1:9" ht="13.5" customHeight="1" x14ac:dyDescent="0.25">
      <c r="A1910" s="41" t="str">
        <f>_xlfn.XLOOKUP(G1910,dd_color!$A$2:$A$8,dd_color!$B$2:$B$8,"",0)</f>
        <v/>
      </c>
      <c r="B1910" s="41">
        <f>_xlfn.XLOOKUP(_xlfn.XLOOKUP(C1910,'Project Details'!$C$17:$C$10003,'Project Details'!$E$17:$E$10003, "",0),dd_design_raw!$A$2:$A$9997,dd_design_raw!$C$2:$C$9997,"",0)</f>
        <v>0</v>
      </c>
      <c r="C1910" s="16"/>
      <c r="D1910" s="16"/>
      <c r="E1910" s="16" t="str" cm="1">
        <f t="array" ref="E1910">IF(C1910&lt;&gt;"", _xlfn.XLOOKUP(1,((SKUs!$A$2:$A$10001=B1910) * (LEFT(SKUs!$J$2:$J$10001, LEN("PVC Magnet Holder"))="PVC Magnet Holder")), SKUs!$J$2:$J$10001,""),"")</f>
        <v/>
      </c>
      <c r="F1910" s="33" t="str" cm="1">
        <f t="array" ref="F1910">_xlfn.XLOOKUP(1,((SKUs!$A$2:$A$10001=cl_unmerged!B1910) * (LEFT(SKUs!$J$2:$J$10001, LEN("PVC Magnet Holder"))="PVC Magnet Holder") * (ISNUMBER(SEARCH(A1910,SKUs!$C$2:$C$10001)))), SKUs!$C$2:$C$10001,"")</f>
        <v/>
      </c>
      <c r="G1910" s="16"/>
      <c r="H1910" s="16"/>
      <c r="I1910" s="16"/>
    </row>
    <row r="1911" spans="1:9" ht="13.5" customHeight="1" x14ac:dyDescent="0.25">
      <c r="A1911" s="41" t="str">
        <f>_xlfn.XLOOKUP(G1911,dd_color!$A$2:$A$8,dd_color!$B$2:$B$8,"",0)</f>
        <v/>
      </c>
      <c r="B1911" s="41">
        <f>_xlfn.XLOOKUP(_xlfn.XLOOKUP(C1911,'Project Details'!$C$17:$C$10003,'Project Details'!$E$17:$E$10003, "",0),dd_design_raw!$A$2:$A$9997,dd_design_raw!$C$2:$C$9997,"",0)</f>
        <v>0</v>
      </c>
      <c r="C1911" s="16"/>
      <c r="D1911" s="16"/>
      <c r="E1911" s="16" t="str" cm="1">
        <f t="array" ref="E1911">IF(C1911&lt;&gt;"", _xlfn.XLOOKUP(1,((SKUs!$A$2:$A$10001=B1911) * (LEFT(SKUs!$J$2:$J$10001, LEN("PVC Magnet Holder"))="PVC Magnet Holder")), SKUs!$J$2:$J$10001,""),"")</f>
        <v/>
      </c>
      <c r="F1911" s="33" t="str" cm="1">
        <f t="array" ref="F1911">_xlfn.XLOOKUP(1,((SKUs!$A$2:$A$10001=cl_unmerged!B1911) * (LEFT(SKUs!$J$2:$J$10001, LEN("PVC Magnet Holder"))="PVC Magnet Holder") * (ISNUMBER(SEARCH(A1911,SKUs!$C$2:$C$10001)))), SKUs!$C$2:$C$10001,"")</f>
        <v/>
      </c>
      <c r="G1911" s="16"/>
      <c r="H1911" s="16"/>
      <c r="I1911" s="16"/>
    </row>
    <row r="1912" spans="1:9" ht="13.5" customHeight="1" x14ac:dyDescent="0.25">
      <c r="A1912" s="41" t="str">
        <f>_xlfn.XLOOKUP(G1912,dd_color!$A$2:$A$8,dd_color!$B$2:$B$8,"",0)</f>
        <v/>
      </c>
      <c r="B1912" s="41">
        <f>_xlfn.XLOOKUP(_xlfn.XLOOKUP(C1912,'Project Details'!$C$17:$C$10003,'Project Details'!$E$17:$E$10003, "",0),dd_design_raw!$A$2:$A$9997,dd_design_raw!$C$2:$C$9997,"",0)</f>
        <v>0</v>
      </c>
      <c r="C1912" s="16"/>
      <c r="D1912" s="16"/>
      <c r="E1912" s="16" t="str" cm="1">
        <f t="array" ref="E1912">IF(C1912&lt;&gt;"", _xlfn.XLOOKUP(1,((SKUs!$A$2:$A$10001=B1912) * (LEFT(SKUs!$J$2:$J$10001, LEN("PVC Magnet Holder"))="PVC Magnet Holder")), SKUs!$J$2:$J$10001,""),"")</f>
        <v/>
      </c>
      <c r="F1912" s="33" t="str" cm="1">
        <f t="array" ref="F1912">_xlfn.XLOOKUP(1,((SKUs!$A$2:$A$10001=cl_unmerged!B1912) * (LEFT(SKUs!$J$2:$J$10001, LEN("PVC Magnet Holder"))="PVC Magnet Holder") * (ISNUMBER(SEARCH(A1912,SKUs!$C$2:$C$10001)))), SKUs!$C$2:$C$10001,"")</f>
        <v/>
      </c>
      <c r="G1912" s="16"/>
      <c r="H1912" s="16"/>
      <c r="I1912" s="16"/>
    </row>
    <row r="1913" spans="1:9" ht="13.5" customHeight="1" x14ac:dyDescent="0.25">
      <c r="A1913" s="41" t="str">
        <f>_xlfn.XLOOKUP(G1913,dd_color!$A$2:$A$8,dd_color!$B$2:$B$8,"",0)</f>
        <v/>
      </c>
      <c r="B1913" s="41">
        <f>_xlfn.XLOOKUP(_xlfn.XLOOKUP(C1913,'Project Details'!$C$17:$C$10003,'Project Details'!$E$17:$E$10003, "",0),dd_design_raw!$A$2:$A$9997,dd_design_raw!$C$2:$C$9997,"",0)</f>
        <v>0</v>
      </c>
      <c r="C1913" s="16"/>
      <c r="D1913" s="16"/>
      <c r="E1913" s="16" t="str" cm="1">
        <f t="array" ref="E1913">IF(C1913&lt;&gt;"", _xlfn.XLOOKUP(1,((SKUs!$A$2:$A$10001=B1913) * (LEFT(SKUs!$J$2:$J$10001, LEN("PVC Magnet Holder"))="PVC Magnet Holder")), SKUs!$J$2:$J$10001,""),"")</f>
        <v/>
      </c>
      <c r="F1913" s="33" t="str" cm="1">
        <f t="array" ref="F1913">_xlfn.XLOOKUP(1,((SKUs!$A$2:$A$10001=cl_unmerged!B1913) * (LEFT(SKUs!$J$2:$J$10001, LEN("PVC Magnet Holder"))="PVC Magnet Holder") * (ISNUMBER(SEARCH(A1913,SKUs!$C$2:$C$10001)))), SKUs!$C$2:$C$10001,"")</f>
        <v/>
      </c>
      <c r="G1913" s="16"/>
      <c r="H1913" s="16"/>
      <c r="I1913" s="16"/>
    </row>
    <row r="1914" spans="1:9" ht="13.5" customHeight="1" x14ac:dyDescent="0.25">
      <c r="A1914" s="41" t="str">
        <f>_xlfn.XLOOKUP(G1914,dd_color!$A$2:$A$8,dd_color!$B$2:$B$8,"",0)</f>
        <v/>
      </c>
      <c r="B1914" s="41">
        <f>_xlfn.XLOOKUP(_xlfn.XLOOKUP(C1914,'Project Details'!$C$17:$C$10003,'Project Details'!$E$17:$E$10003, "",0),dd_design_raw!$A$2:$A$9997,dd_design_raw!$C$2:$C$9997,"",0)</f>
        <v>0</v>
      </c>
      <c r="C1914" s="16"/>
      <c r="D1914" s="16"/>
      <c r="E1914" s="16" t="str" cm="1">
        <f t="array" ref="E1914">IF(C1914&lt;&gt;"", _xlfn.XLOOKUP(1,((SKUs!$A$2:$A$10001=B1914) * (LEFT(SKUs!$J$2:$J$10001, LEN("PVC Magnet Holder"))="PVC Magnet Holder")), SKUs!$J$2:$J$10001,""),"")</f>
        <v/>
      </c>
      <c r="F1914" s="33" t="str" cm="1">
        <f t="array" ref="F1914">_xlfn.XLOOKUP(1,((SKUs!$A$2:$A$10001=cl_unmerged!B1914) * (LEFT(SKUs!$J$2:$J$10001, LEN("PVC Magnet Holder"))="PVC Magnet Holder") * (ISNUMBER(SEARCH(A1914,SKUs!$C$2:$C$10001)))), SKUs!$C$2:$C$10001,"")</f>
        <v/>
      </c>
      <c r="G1914" s="16"/>
      <c r="H1914" s="16"/>
      <c r="I1914" s="16"/>
    </row>
    <row r="1915" spans="1:9" ht="13.5" customHeight="1" x14ac:dyDescent="0.25">
      <c r="A1915" s="41" t="str">
        <f>_xlfn.XLOOKUP(G1915,dd_color!$A$2:$A$8,dd_color!$B$2:$B$8,"",0)</f>
        <v/>
      </c>
      <c r="B1915" s="41">
        <f>_xlfn.XLOOKUP(_xlfn.XLOOKUP(C1915,'Project Details'!$C$17:$C$10003,'Project Details'!$E$17:$E$10003, "",0),dd_design_raw!$A$2:$A$9997,dd_design_raw!$C$2:$C$9997,"",0)</f>
        <v>0</v>
      </c>
      <c r="C1915" s="16"/>
      <c r="D1915" s="16"/>
      <c r="E1915" s="16" t="str" cm="1">
        <f t="array" ref="E1915">IF(C1915&lt;&gt;"", _xlfn.XLOOKUP(1,((SKUs!$A$2:$A$10001=B1915) * (LEFT(SKUs!$J$2:$J$10001, LEN("PVC Magnet Holder"))="PVC Magnet Holder")), SKUs!$J$2:$J$10001,""),"")</f>
        <v/>
      </c>
      <c r="F1915" s="33" t="str" cm="1">
        <f t="array" ref="F1915">_xlfn.XLOOKUP(1,((SKUs!$A$2:$A$10001=cl_unmerged!B1915) * (LEFT(SKUs!$J$2:$J$10001, LEN("PVC Magnet Holder"))="PVC Magnet Holder") * (ISNUMBER(SEARCH(A1915,SKUs!$C$2:$C$10001)))), SKUs!$C$2:$C$10001,"")</f>
        <v/>
      </c>
      <c r="G1915" s="16"/>
      <c r="H1915" s="16"/>
      <c r="I1915" s="16"/>
    </row>
    <row r="1916" spans="1:9" ht="13.5" customHeight="1" x14ac:dyDescent="0.25">
      <c r="A1916" s="41" t="str">
        <f>_xlfn.XLOOKUP(G1916,dd_color!$A$2:$A$8,dd_color!$B$2:$B$8,"",0)</f>
        <v/>
      </c>
      <c r="B1916" s="41">
        <f>_xlfn.XLOOKUP(_xlfn.XLOOKUP(C1916,'Project Details'!$C$17:$C$10003,'Project Details'!$E$17:$E$10003, "",0),dd_design_raw!$A$2:$A$9997,dd_design_raw!$C$2:$C$9997,"",0)</f>
        <v>0</v>
      </c>
      <c r="C1916" s="16"/>
      <c r="D1916" s="16"/>
      <c r="E1916" s="16" t="str" cm="1">
        <f t="array" ref="E1916">IF(C1916&lt;&gt;"", _xlfn.XLOOKUP(1,((SKUs!$A$2:$A$10001=B1916) * (LEFT(SKUs!$J$2:$J$10001, LEN("PVC Magnet Holder"))="PVC Magnet Holder")), SKUs!$J$2:$J$10001,""),"")</f>
        <v/>
      </c>
      <c r="F1916" s="33" t="str" cm="1">
        <f t="array" ref="F1916">_xlfn.XLOOKUP(1,((SKUs!$A$2:$A$10001=cl_unmerged!B1916) * (LEFT(SKUs!$J$2:$J$10001, LEN("PVC Magnet Holder"))="PVC Magnet Holder") * (ISNUMBER(SEARCH(A1916,SKUs!$C$2:$C$10001)))), SKUs!$C$2:$C$10001,"")</f>
        <v/>
      </c>
      <c r="G1916" s="16"/>
      <c r="H1916" s="16"/>
      <c r="I1916" s="16"/>
    </row>
    <row r="1917" spans="1:9" ht="13.5" customHeight="1" x14ac:dyDescent="0.25">
      <c r="A1917" s="41" t="str">
        <f>_xlfn.XLOOKUP(G1917,dd_color!$A$2:$A$8,dd_color!$B$2:$B$8,"",0)</f>
        <v/>
      </c>
      <c r="B1917" s="41">
        <f>_xlfn.XLOOKUP(_xlfn.XLOOKUP(C1917,'Project Details'!$C$17:$C$10003,'Project Details'!$E$17:$E$10003, "",0),dd_design_raw!$A$2:$A$9997,dd_design_raw!$C$2:$C$9997,"",0)</f>
        <v>0</v>
      </c>
      <c r="C1917" s="16"/>
      <c r="D1917" s="16"/>
      <c r="E1917" s="16" t="str" cm="1">
        <f t="array" ref="E1917">IF(C1917&lt;&gt;"", _xlfn.XLOOKUP(1,((SKUs!$A$2:$A$10001=B1917) * (LEFT(SKUs!$J$2:$J$10001, LEN("PVC Magnet Holder"))="PVC Magnet Holder")), SKUs!$J$2:$J$10001,""),"")</f>
        <v/>
      </c>
      <c r="F1917" s="33" t="str" cm="1">
        <f t="array" ref="F1917">_xlfn.XLOOKUP(1,((SKUs!$A$2:$A$10001=cl_unmerged!B1917) * (LEFT(SKUs!$J$2:$J$10001, LEN("PVC Magnet Holder"))="PVC Magnet Holder") * (ISNUMBER(SEARCH(A1917,SKUs!$C$2:$C$10001)))), SKUs!$C$2:$C$10001,"")</f>
        <v/>
      </c>
      <c r="G1917" s="16"/>
      <c r="H1917" s="16"/>
      <c r="I1917" s="16"/>
    </row>
    <row r="1918" spans="1:9" ht="13.5" customHeight="1" x14ac:dyDescent="0.25">
      <c r="A1918" s="41" t="str">
        <f>_xlfn.XLOOKUP(G1918,dd_color!$A$2:$A$8,dd_color!$B$2:$B$8,"",0)</f>
        <v/>
      </c>
      <c r="B1918" s="41">
        <f>_xlfn.XLOOKUP(_xlfn.XLOOKUP(C1918,'Project Details'!$C$17:$C$10003,'Project Details'!$E$17:$E$10003, "",0),dd_design_raw!$A$2:$A$9997,dd_design_raw!$C$2:$C$9997,"",0)</f>
        <v>0</v>
      </c>
      <c r="C1918" s="16"/>
      <c r="D1918" s="16"/>
      <c r="E1918" s="16" t="str" cm="1">
        <f t="array" ref="E1918">IF(C1918&lt;&gt;"", _xlfn.XLOOKUP(1,((SKUs!$A$2:$A$10001=B1918) * (LEFT(SKUs!$J$2:$J$10001, LEN("PVC Magnet Holder"))="PVC Magnet Holder")), SKUs!$J$2:$J$10001,""),"")</f>
        <v/>
      </c>
      <c r="F1918" s="33" t="str" cm="1">
        <f t="array" ref="F1918">_xlfn.XLOOKUP(1,((SKUs!$A$2:$A$10001=cl_unmerged!B1918) * (LEFT(SKUs!$J$2:$J$10001, LEN("PVC Magnet Holder"))="PVC Magnet Holder") * (ISNUMBER(SEARCH(A1918,SKUs!$C$2:$C$10001)))), SKUs!$C$2:$C$10001,"")</f>
        <v/>
      </c>
      <c r="G1918" s="16"/>
      <c r="H1918" s="16"/>
      <c r="I1918" s="16"/>
    </row>
    <row r="1919" spans="1:9" ht="13.5" customHeight="1" x14ac:dyDescent="0.25">
      <c r="A1919" s="41" t="str">
        <f>_xlfn.XLOOKUP(G1919,dd_color!$A$2:$A$8,dd_color!$B$2:$B$8,"",0)</f>
        <v/>
      </c>
      <c r="B1919" s="41">
        <f>_xlfn.XLOOKUP(_xlfn.XLOOKUP(C1919,'Project Details'!$C$17:$C$10003,'Project Details'!$E$17:$E$10003, "",0),dd_design_raw!$A$2:$A$9997,dd_design_raw!$C$2:$C$9997,"",0)</f>
        <v>0</v>
      </c>
      <c r="C1919" s="16"/>
      <c r="D1919" s="16"/>
      <c r="E1919" s="16" t="str" cm="1">
        <f t="array" ref="E1919">IF(C1919&lt;&gt;"", _xlfn.XLOOKUP(1,((SKUs!$A$2:$A$10001=B1919) * (LEFT(SKUs!$J$2:$J$10001, LEN("PVC Magnet Holder"))="PVC Magnet Holder")), SKUs!$J$2:$J$10001,""),"")</f>
        <v/>
      </c>
      <c r="F1919" s="33" t="str" cm="1">
        <f t="array" ref="F1919">_xlfn.XLOOKUP(1,((SKUs!$A$2:$A$10001=cl_unmerged!B1919) * (LEFT(SKUs!$J$2:$J$10001, LEN("PVC Magnet Holder"))="PVC Magnet Holder") * (ISNUMBER(SEARCH(A1919,SKUs!$C$2:$C$10001)))), SKUs!$C$2:$C$10001,"")</f>
        <v/>
      </c>
      <c r="G1919" s="16"/>
      <c r="H1919" s="16"/>
      <c r="I1919" s="16"/>
    </row>
    <row r="1920" spans="1:9" ht="13.5" customHeight="1" x14ac:dyDescent="0.25">
      <c r="A1920" s="41" t="str">
        <f>_xlfn.XLOOKUP(G1920,dd_color!$A$2:$A$8,dd_color!$B$2:$B$8,"",0)</f>
        <v/>
      </c>
      <c r="B1920" s="41">
        <f>_xlfn.XLOOKUP(_xlfn.XLOOKUP(C1920,'Project Details'!$C$17:$C$10003,'Project Details'!$E$17:$E$10003, "",0),dd_design_raw!$A$2:$A$9997,dd_design_raw!$C$2:$C$9997,"",0)</f>
        <v>0</v>
      </c>
      <c r="C1920" s="16"/>
      <c r="D1920" s="16"/>
      <c r="E1920" s="16" t="str" cm="1">
        <f t="array" ref="E1920">IF(C1920&lt;&gt;"", _xlfn.XLOOKUP(1,((SKUs!$A$2:$A$10001=B1920) * (LEFT(SKUs!$J$2:$J$10001, LEN("PVC Magnet Holder"))="PVC Magnet Holder")), SKUs!$J$2:$J$10001,""),"")</f>
        <v/>
      </c>
      <c r="F1920" s="33" t="str" cm="1">
        <f t="array" ref="F1920">_xlfn.XLOOKUP(1,((SKUs!$A$2:$A$10001=cl_unmerged!B1920) * (LEFT(SKUs!$J$2:$J$10001, LEN("PVC Magnet Holder"))="PVC Magnet Holder") * (ISNUMBER(SEARCH(A1920,SKUs!$C$2:$C$10001)))), SKUs!$C$2:$C$10001,"")</f>
        <v/>
      </c>
      <c r="G1920" s="16"/>
      <c r="H1920" s="16"/>
      <c r="I1920" s="16"/>
    </row>
    <row r="1921" spans="1:9" ht="13.5" customHeight="1" x14ac:dyDescent="0.25">
      <c r="A1921" s="41" t="str">
        <f>_xlfn.XLOOKUP(G1921,dd_color!$A$2:$A$8,dd_color!$B$2:$B$8,"",0)</f>
        <v/>
      </c>
      <c r="B1921" s="41">
        <f>_xlfn.XLOOKUP(_xlfn.XLOOKUP(C1921,'Project Details'!$C$17:$C$10003,'Project Details'!$E$17:$E$10003, "",0),dd_design_raw!$A$2:$A$9997,dd_design_raw!$C$2:$C$9997,"",0)</f>
        <v>0</v>
      </c>
      <c r="C1921" s="16"/>
      <c r="D1921" s="16"/>
      <c r="E1921" s="16" t="str" cm="1">
        <f t="array" ref="E1921">IF(C1921&lt;&gt;"", _xlfn.XLOOKUP(1,((SKUs!$A$2:$A$10001=B1921) * (LEFT(SKUs!$J$2:$J$10001, LEN("PVC Magnet Holder"))="PVC Magnet Holder")), SKUs!$J$2:$J$10001,""),"")</f>
        <v/>
      </c>
      <c r="F1921" s="33" t="str" cm="1">
        <f t="array" ref="F1921">_xlfn.XLOOKUP(1,((SKUs!$A$2:$A$10001=cl_unmerged!B1921) * (LEFT(SKUs!$J$2:$J$10001, LEN("PVC Magnet Holder"))="PVC Magnet Holder") * (ISNUMBER(SEARCH(A1921,SKUs!$C$2:$C$10001)))), SKUs!$C$2:$C$10001,"")</f>
        <v/>
      </c>
      <c r="G1921" s="16"/>
      <c r="H1921" s="16"/>
      <c r="I1921" s="16"/>
    </row>
    <row r="1922" spans="1:9" ht="13.5" customHeight="1" x14ac:dyDescent="0.25">
      <c r="A1922" s="41" t="str">
        <f>_xlfn.XLOOKUP(G1922,dd_color!$A$2:$A$8,dd_color!$B$2:$B$8,"",0)</f>
        <v/>
      </c>
      <c r="B1922" s="41">
        <f>_xlfn.XLOOKUP(_xlfn.XLOOKUP(C1922,'Project Details'!$C$17:$C$10003,'Project Details'!$E$17:$E$10003, "",0),dd_design_raw!$A$2:$A$9997,dd_design_raw!$C$2:$C$9997,"",0)</f>
        <v>0</v>
      </c>
      <c r="C1922" s="16"/>
      <c r="D1922" s="16"/>
      <c r="E1922" s="16" t="str" cm="1">
        <f t="array" ref="E1922">IF(C1922&lt;&gt;"", _xlfn.XLOOKUP(1,((SKUs!$A$2:$A$10001=B1922) * (LEFT(SKUs!$J$2:$J$10001, LEN("PVC Magnet Holder"))="PVC Magnet Holder")), SKUs!$J$2:$J$10001,""),"")</f>
        <v/>
      </c>
      <c r="F1922" s="33" t="str" cm="1">
        <f t="array" ref="F1922">_xlfn.XLOOKUP(1,((SKUs!$A$2:$A$10001=cl_unmerged!B1922) * (LEFT(SKUs!$J$2:$J$10001, LEN("PVC Magnet Holder"))="PVC Magnet Holder") * (ISNUMBER(SEARCH(A1922,SKUs!$C$2:$C$10001)))), SKUs!$C$2:$C$10001,"")</f>
        <v/>
      </c>
      <c r="G1922" s="16"/>
      <c r="H1922" s="16"/>
      <c r="I1922" s="16"/>
    </row>
    <row r="1923" spans="1:9" ht="13.5" customHeight="1" x14ac:dyDescent="0.25">
      <c r="A1923" s="41" t="str">
        <f>_xlfn.XLOOKUP(G1923,dd_color!$A$2:$A$8,dd_color!$B$2:$B$8,"",0)</f>
        <v/>
      </c>
      <c r="B1923" s="41">
        <f>_xlfn.XLOOKUP(_xlfn.XLOOKUP(C1923,'Project Details'!$C$17:$C$10003,'Project Details'!$E$17:$E$10003, "",0),dd_design_raw!$A$2:$A$9997,dd_design_raw!$C$2:$C$9997,"",0)</f>
        <v>0</v>
      </c>
      <c r="C1923" s="16"/>
      <c r="D1923" s="16"/>
      <c r="E1923" s="16" t="str" cm="1">
        <f t="array" ref="E1923">IF(C1923&lt;&gt;"", _xlfn.XLOOKUP(1,((SKUs!$A$2:$A$10001=B1923) * (LEFT(SKUs!$J$2:$J$10001, LEN("PVC Magnet Holder"))="PVC Magnet Holder")), SKUs!$J$2:$J$10001,""),"")</f>
        <v/>
      </c>
      <c r="F1923" s="33" t="str" cm="1">
        <f t="array" ref="F1923">_xlfn.XLOOKUP(1,((SKUs!$A$2:$A$10001=cl_unmerged!B1923) * (LEFT(SKUs!$J$2:$J$10001, LEN("PVC Magnet Holder"))="PVC Magnet Holder") * (ISNUMBER(SEARCH(A1923,SKUs!$C$2:$C$10001)))), SKUs!$C$2:$C$10001,"")</f>
        <v/>
      </c>
      <c r="G1923" s="16"/>
      <c r="H1923" s="16"/>
      <c r="I1923" s="16"/>
    </row>
    <row r="1924" spans="1:9" ht="13.5" customHeight="1" x14ac:dyDescent="0.25">
      <c r="A1924" s="41" t="str">
        <f>_xlfn.XLOOKUP(G1924,dd_color!$A$2:$A$8,dd_color!$B$2:$B$8,"",0)</f>
        <v/>
      </c>
      <c r="B1924" s="41">
        <f>_xlfn.XLOOKUP(_xlfn.XLOOKUP(C1924,'Project Details'!$C$17:$C$10003,'Project Details'!$E$17:$E$10003, "",0),dd_design_raw!$A$2:$A$9997,dd_design_raw!$C$2:$C$9997,"",0)</f>
        <v>0</v>
      </c>
      <c r="C1924" s="16"/>
      <c r="D1924" s="16"/>
      <c r="E1924" s="16" t="str" cm="1">
        <f t="array" ref="E1924">IF(C1924&lt;&gt;"", _xlfn.XLOOKUP(1,((SKUs!$A$2:$A$10001=B1924) * (LEFT(SKUs!$J$2:$J$10001, LEN("PVC Magnet Holder"))="PVC Magnet Holder")), SKUs!$J$2:$J$10001,""),"")</f>
        <v/>
      </c>
      <c r="F1924" s="33" t="str" cm="1">
        <f t="array" ref="F1924">_xlfn.XLOOKUP(1,((SKUs!$A$2:$A$10001=cl_unmerged!B1924) * (LEFT(SKUs!$J$2:$J$10001, LEN("PVC Magnet Holder"))="PVC Magnet Holder") * (ISNUMBER(SEARCH(A1924,SKUs!$C$2:$C$10001)))), SKUs!$C$2:$C$10001,"")</f>
        <v/>
      </c>
      <c r="G1924" s="16"/>
      <c r="H1924" s="16"/>
      <c r="I1924" s="16"/>
    </row>
    <row r="1925" spans="1:9" ht="13.5" customHeight="1" x14ac:dyDescent="0.25">
      <c r="A1925" s="41" t="str">
        <f>_xlfn.XLOOKUP(G1925,dd_color!$A$2:$A$8,dd_color!$B$2:$B$8,"",0)</f>
        <v/>
      </c>
      <c r="B1925" s="41">
        <f>_xlfn.XLOOKUP(_xlfn.XLOOKUP(C1925,'Project Details'!$C$17:$C$10003,'Project Details'!$E$17:$E$10003, "",0),dd_design_raw!$A$2:$A$9997,dd_design_raw!$C$2:$C$9997,"",0)</f>
        <v>0</v>
      </c>
      <c r="C1925" s="16"/>
      <c r="D1925" s="16"/>
      <c r="E1925" s="16" t="str" cm="1">
        <f t="array" ref="E1925">IF(C1925&lt;&gt;"", _xlfn.XLOOKUP(1,((SKUs!$A$2:$A$10001=B1925) * (LEFT(SKUs!$J$2:$J$10001, LEN("PVC Magnet Holder"))="PVC Magnet Holder")), SKUs!$J$2:$J$10001,""),"")</f>
        <v/>
      </c>
      <c r="F1925" s="33" t="str" cm="1">
        <f t="array" ref="F1925">_xlfn.XLOOKUP(1,((SKUs!$A$2:$A$10001=cl_unmerged!B1925) * (LEFT(SKUs!$J$2:$J$10001, LEN("PVC Magnet Holder"))="PVC Magnet Holder") * (ISNUMBER(SEARCH(A1925,SKUs!$C$2:$C$10001)))), SKUs!$C$2:$C$10001,"")</f>
        <v/>
      </c>
      <c r="G1925" s="16"/>
      <c r="H1925" s="16"/>
      <c r="I1925" s="16"/>
    </row>
    <row r="1926" spans="1:9" ht="13.5" customHeight="1" x14ac:dyDescent="0.25">
      <c r="A1926" s="41" t="str">
        <f>_xlfn.XLOOKUP(G1926,dd_color!$A$2:$A$8,dd_color!$B$2:$B$8,"",0)</f>
        <v/>
      </c>
      <c r="B1926" s="41">
        <f>_xlfn.XLOOKUP(_xlfn.XLOOKUP(C1926,'Project Details'!$C$17:$C$10003,'Project Details'!$E$17:$E$10003, "",0),dd_design_raw!$A$2:$A$9997,dd_design_raw!$C$2:$C$9997,"",0)</f>
        <v>0</v>
      </c>
      <c r="C1926" s="16"/>
      <c r="D1926" s="16"/>
      <c r="E1926" s="16" t="str" cm="1">
        <f t="array" ref="E1926">IF(C1926&lt;&gt;"", _xlfn.XLOOKUP(1,((SKUs!$A$2:$A$10001=B1926) * (LEFT(SKUs!$J$2:$J$10001, LEN("PVC Magnet Holder"))="PVC Magnet Holder")), SKUs!$J$2:$J$10001,""),"")</f>
        <v/>
      </c>
      <c r="F1926" s="33" t="str" cm="1">
        <f t="array" ref="F1926">_xlfn.XLOOKUP(1,((SKUs!$A$2:$A$10001=cl_unmerged!B1926) * (LEFT(SKUs!$J$2:$J$10001, LEN("PVC Magnet Holder"))="PVC Magnet Holder") * (ISNUMBER(SEARCH(A1926,SKUs!$C$2:$C$10001)))), SKUs!$C$2:$C$10001,"")</f>
        <v/>
      </c>
      <c r="G1926" s="16"/>
      <c r="H1926" s="16"/>
      <c r="I1926" s="16"/>
    </row>
    <row r="1927" spans="1:9" ht="13.5" customHeight="1" x14ac:dyDescent="0.25">
      <c r="A1927" s="41" t="str">
        <f>_xlfn.XLOOKUP(G1927,dd_color!$A$2:$A$8,dd_color!$B$2:$B$8,"",0)</f>
        <v/>
      </c>
      <c r="B1927" s="41">
        <f>_xlfn.XLOOKUP(_xlfn.XLOOKUP(C1927,'Project Details'!$C$17:$C$10003,'Project Details'!$E$17:$E$10003, "",0),dd_design_raw!$A$2:$A$9997,dd_design_raw!$C$2:$C$9997,"",0)</f>
        <v>0</v>
      </c>
      <c r="C1927" s="16"/>
      <c r="D1927" s="16"/>
      <c r="E1927" s="16" t="str" cm="1">
        <f t="array" ref="E1927">IF(C1927&lt;&gt;"", _xlfn.XLOOKUP(1,((SKUs!$A$2:$A$10001=B1927) * (LEFT(SKUs!$J$2:$J$10001, LEN("PVC Magnet Holder"))="PVC Magnet Holder")), SKUs!$J$2:$J$10001,""),"")</f>
        <v/>
      </c>
      <c r="F1927" s="33" t="str" cm="1">
        <f t="array" ref="F1927">_xlfn.XLOOKUP(1,((SKUs!$A$2:$A$10001=cl_unmerged!B1927) * (LEFT(SKUs!$J$2:$J$10001, LEN("PVC Magnet Holder"))="PVC Magnet Holder") * (ISNUMBER(SEARCH(A1927,SKUs!$C$2:$C$10001)))), SKUs!$C$2:$C$10001,"")</f>
        <v/>
      </c>
      <c r="G1927" s="16"/>
      <c r="H1927" s="16"/>
      <c r="I1927" s="16"/>
    </row>
    <row r="1928" spans="1:9" ht="13.5" customHeight="1" x14ac:dyDescent="0.25">
      <c r="A1928" s="41" t="str">
        <f>_xlfn.XLOOKUP(G1928,dd_color!$A$2:$A$8,dd_color!$B$2:$B$8,"",0)</f>
        <v/>
      </c>
      <c r="B1928" s="41">
        <f>_xlfn.XLOOKUP(_xlfn.XLOOKUP(C1928,'Project Details'!$C$17:$C$10003,'Project Details'!$E$17:$E$10003, "",0),dd_design_raw!$A$2:$A$9997,dd_design_raw!$C$2:$C$9997,"",0)</f>
        <v>0</v>
      </c>
      <c r="C1928" s="16"/>
      <c r="D1928" s="16"/>
      <c r="E1928" s="16" t="str" cm="1">
        <f t="array" ref="E1928">IF(C1928&lt;&gt;"", _xlfn.XLOOKUP(1,((SKUs!$A$2:$A$10001=B1928) * (LEFT(SKUs!$J$2:$J$10001, LEN("PVC Magnet Holder"))="PVC Magnet Holder")), SKUs!$J$2:$J$10001,""),"")</f>
        <v/>
      </c>
      <c r="F1928" s="33" t="str" cm="1">
        <f t="array" ref="F1928">_xlfn.XLOOKUP(1,((SKUs!$A$2:$A$10001=cl_unmerged!B1928) * (LEFT(SKUs!$J$2:$J$10001, LEN("PVC Magnet Holder"))="PVC Magnet Holder") * (ISNUMBER(SEARCH(A1928,SKUs!$C$2:$C$10001)))), SKUs!$C$2:$C$10001,"")</f>
        <v/>
      </c>
      <c r="G1928" s="16"/>
      <c r="H1928" s="16"/>
      <c r="I1928" s="16"/>
    </row>
    <row r="1929" spans="1:9" ht="13.5" customHeight="1" x14ac:dyDescent="0.25">
      <c r="A1929" s="41" t="str">
        <f>_xlfn.XLOOKUP(G1929,dd_color!$A$2:$A$8,dd_color!$B$2:$B$8,"",0)</f>
        <v/>
      </c>
      <c r="B1929" s="41">
        <f>_xlfn.XLOOKUP(_xlfn.XLOOKUP(C1929,'Project Details'!$C$17:$C$10003,'Project Details'!$E$17:$E$10003, "",0),dd_design_raw!$A$2:$A$9997,dd_design_raw!$C$2:$C$9997,"",0)</f>
        <v>0</v>
      </c>
      <c r="C1929" s="16"/>
      <c r="D1929" s="16"/>
      <c r="E1929" s="16" t="str" cm="1">
        <f t="array" ref="E1929">IF(C1929&lt;&gt;"", _xlfn.XLOOKUP(1,((SKUs!$A$2:$A$10001=B1929) * (LEFT(SKUs!$J$2:$J$10001, LEN("PVC Magnet Holder"))="PVC Magnet Holder")), SKUs!$J$2:$J$10001,""),"")</f>
        <v/>
      </c>
      <c r="F1929" s="33" t="str" cm="1">
        <f t="array" ref="F1929">_xlfn.XLOOKUP(1,((SKUs!$A$2:$A$10001=cl_unmerged!B1929) * (LEFT(SKUs!$J$2:$J$10001, LEN("PVC Magnet Holder"))="PVC Magnet Holder") * (ISNUMBER(SEARCH(A1929,SKUs!$C$2:$C$10001)))), SKUs!$C$2:$C$10001,"")</f>
        <v/>
      </c>
      <c r="G1929" s="16"/>
      <c r="H1929" s="16"/>
      <c r="I1929" s="16"/>
    </row>
    <row r="1930" spans="1:9" ht="13.5" customHeight="1" x14ac:dyDescent="0.25">
      <c r="A1930" s="41" t="str">
        <f>_xlfn.XLOOKUP(G1930,dd_color!$A$2:$A$8,dd_color!$B$2:$B$8,"",0)</f>
        <v/>
      </c>
      <c r="B1930" s="41">
        <f>_xlfn.XLOOKUP(_xlfn.XLOOKUP(C1930,'Project Details'!$C$17:$C$10003,'Project Details'!$E$17:$E$10003, "",0),dd_design_raw!$A$2:$A$9997,dd_design_raw!$C$2:$C$9997,"",0)</f>
        <v>0</v>
      </c>
      <c r="C1930" s="16"/>
      <c r="D1930" s="16"/>
      <c r="E1930" s="16" t="str" cm="1">
        <f t="array" ref="E1930">IF(C1930&lt;&gt;"", _xlfn.XLOOKUP(1,((SKUs!$A$2:$A$10001=B1930) * (LEFT(SKUs!$J$2:$J$10001, LEN("PVC Magnet Holder"))="PVC Magnet Holder")), SKUs!$J$2:$J$10001,""),"")</f>
        <v/>
      </c>
      <c r="F1930" s="33" t="str" cm="1">
        <f t="array" ref="F1930">_xlfn.XLOOKUP(1,((SKUs!$A$2:$A$10001=cl_unmerged!B1930) * (LEFT(SKUs!$J$2:$J$10001, LEN("PVC Magnet Holder"))="PVC Magnet Holder") * (ISNUMBER(SEARCH(A1930,SKUs!$C$2:$C$10001)))), SKUs!$C$2:$C$10001,"")</f>
        <v/>
      </c>
      <c r="G1930" s="16"/>
      <c r="H1930" s="16"/>
      <c r="I1930" s="16"/>
    </row>
    <row r="1931" spans="1:9" ht="13.5" customHeight="1" x14ac:dyDescent="0.25">
      <c r="A1931" s="41" t="str">
        <f>_xlfn.XLOOKUP(G1931,dd_color!$A$2:$A$8,dd_color!$B$2:$B$8,"",0)</f>
        <v/>
      </c>
      <c r="B1931" s="41">
        <f>_xlfn.XLOOKUP(_xlfn.XLOOKUP(C1931,'Project Details'!$C$17:$C$10003,'Project Details'!$E$17:$E$10003, "",0),dd_design_raw!$A$2:$A$9997,dd_design_raw!$C$2:$C$9997,"",0)</f>
        <v>0</v>
      </c>
      <c r="C1931" s="16"/>
      <c r="D1931" s="16"/>
      <c r="E1931" s="16" t="str" cm="1">
        <f t="array" ref="E1931">IF(C1931&lt;&gt;"", _xlfn.XLOOKUP(1,((SKUs!$A$2:$A$10001=B1931) * (LEFT(SKUs!$J$2:$J$10001, LEN("PVC Magnet Holder"))="PVC Magnet Holder")), SKUs!$J$2:$J$10001,""),"")</f>
        <v/>
      </c>
      <c r="F1931" s="33" t="str" cm="1">
        <f t="array" ref="F1931">_xlfn.XLOOKUP(1,((SKUs!$A$2:$A$10001=cl_unmerged!B1931) * (LEFT(SKUs!$J$2:$J$10001, LEN("PVC Magnet Holder"))="PVC Magnet Holder") * (ISNUMBER(SEARCH(A1931,SKUs!$C$2:$C$10001)))), SKUs!$C$2:$C$10001,"")</f>
        <v/>
      </c>
      <c r="G1931" s="16"/>
      <c r="H1931" s="16"/>
      <c r="I1931" s="16"/>
    </row>
    <row r="1932" spans="1:9" ht="13.5" customHeight="1" x14ac:dyDescent="0.25">
      <c r="A1932" s="41" t="str">
        <f>_xlfn.XLOOKUP(G1932,dd_color!$A$2:$A$8,dd_color!$B$2:$B$8,"",0)</f>
        <v/>
      </c>
      <c r="B1932" s="41">
        <f>_xlfn.XLOOKUP(_xlfn.XLOOKUP(C1932,'Project Details'!$C$17:$C$10003,'Project Details'!$E$17:$E$10003, "",0),dd_design_raw!$A$2:$A$9997,dd_design_raw!$C$2:$C$9997,"",0)</f>
        <v>0</v>
      </c>
      <c r="C1932" s="16"/>
      <c r="D1932" s="16"/>
      <c r="E1932" s="16" t="str" cm="1">
        <f t="array" ref="E1932">IF(C1932&lt;&gt;"", _xlfn.XLOOKUP(1,((SKUs!$A$2:$A$10001=B1932) * (LEFT(SKUs!$J$2:$J$10001, LEN("PVC Magnet Holder"))="PVC Magnet Holder")), SKUs!$J$2:$J$10001,""),"")</f>
        <v/>
      </c>
      <c r="F1932" s="33" t="str" cm="1">
        <f t="array" ref="F1932">_xlfn.XLOOKUP(1,((SKUs!$A$2:$A$10001=cl_unmerged!B1932) * (LEFT(SKUs!$J$2:$J$10001, LEN("PVC Magnet Holder"))="PVC Magnet Holder") * (ISNUMBER(SEARCH(A1932,SKUs!$C$2:$C$10001)))), SKUs!$C$2:$C$10001,"")</f>
        <v/>
      </c>
      <c r="G1932" s="16"/>
      <c r="H1932" s="16"/>
      <c r="I1932" s="16"/>
    </row>
    <row r="1933" spans="1:9" x14ac:dyDescent="0.25">
      <c r="C1933" s="28" t="s">
        <v>899</v>
      </c>
      <c r="D1933" s="29"/>
      <c r="E1933" s="29"/>
      <c r="F1933" s="29"/>
      <c r="G1933" s="29"/>
      <c r="H1933" s="29"/>
      <c r="I1933" s="30"/>
    </row>
    <row r="1934" spans="1:9" x14ac:dyDescent="0.25">
      <c r="A1934" s="41" t="str">
        <f>_xlfn.XLOOKUP(G1934,dd_color!$A$2:$A$8,dd_color!$B$2:$B$8,"",0)</f>
        <v/>
      </c>
      <c r="B1934" s="41" t="str">
        <f>_xlfn.XLOOKUP(_xlfn.XLOOKUP(C1934,'Project Details'!$C$17:$C$10003,'Project Details'!$E$17:$E$10003, "",0),dd_design_raw!$A$2:$A$9997,dd_design_raw!$C$2:$C$9997,"",0)</f>
        <v/>
      </c>
      <c r="C1934" s="16" t="str" cm="1">
        <f t="array" ref="C1934">IFERROR(_xlfn._xlws.FILTER(calc_rusacc!$C$15:$C$65,(calc_rusacc!$E$15:$E$65&lt;&gt;"Roll-up Screen") * (calc_rusacc!$D$15:$D$65&lt;&gt;"")),"")</f>
        <v/>
      </c>
      <c r="D1934" s="16" t="str" cm="1">
        <f t="array" ref="D1934">IFERROR(_xlfn._xlws.FILTER(calc_rusacc!$BA$15:$BA$65,(calc_rusacc!$E$15:$E$65&lt;&gt;"Roll-up Screen") * (calc_rusacc!$D$15:$D$65&lt;&gt;"")),"")</f>
        <v/>
      </c>
      <c r="E1934" s="16" t="str" cm="1">
        <f t="array" ref="E1934">IF(C1934&lt;&gt;"", _xlfn.XLOOKUP(1,((SKUs!$A$2:$A$10001=B1934) * (LEFT(SKUs!$J$2:$J$10001, LEN("PVC Sliding Strip"))="PVC Sliding Strip")), SKUs!$J$2:$J$10001,""),"")</f>
        <v/>
      </c>
      <c r="F1934" s="33" t="str" cm="1">
        <f t="array" ref="F1934">_xlfn.XLOOKUP(1,((SKUs!$A$2:$A$10001=cl_unmerged!B1934) * (LEFT(SKUs!$J$2:$J$10001, LEN("PVC Sliding Strip"))="PVC Sliding Strip") * (ISNUMBER(SEARCH(A1934,SKUs!$C$2:$C$10001)))), SKUs!$C$2:$C$10001,"")</f>
        <v/>
      </c>
      <c r="G1934" s="16"/>
      <c r="H1934" s="16" t="str" cm="1">
        <f t="array" ref="H1934">IFERROR(_xlfn._xlws.FILTER(calc_rusacc!$AZ$15:$AZ$65,(calc_rusacc!$E$15:$E$65&lt;&gt;"Roll-up Screen") * (calc_rusacc!$D$15:$D$65&lt;&gt;"")),"")</f>
        <v/>
      </c>
      <c r="I1934" s="16"/>
    </row>
    <row r="1935" spans="1:9" x14ac:dyDescent="0.25">
      <c r="A1935" s="41" t="str">
        <f>_xlfn.XLOOKUP(G1935,dd_color!$A$2:$A$8,dd_color!$B$2:$B$8,"",0)</f>
        <v/>
      </c>
      <c r="B1935" s="41">
        <f>_xlfn.XLOOKUP(_xlfn.XLOOKUP(C1935,'Project Details'!$C$17:$C$10003,'Project Details'!$E$17:$E$10003, "",0),dd_design_raw!$A$2:$A$9997,dd_design_raw!$C$2:$C$9997,"",0)</f>
        <v>0</v>
      </c>
      <c r="C1935" s="16"/>
      <c r="D1935" s="16"/>
      <c r="E1935" s="16" t="str" cm="1">
        <f t="array" ref="E1935">IF(C1935&lt;&gt;"", _xlfn.XLOOKUP(1,((SKUs!$A$2:$A$10001=B1935) * (LEFT(SKUs!$J$2:$J$10001, LEN("PVC Sliding Strip"))="PVC Sliding Strip")), SKUs!$J$2:$J$10001,""),"")</f>
        <v/>
      </c>
      <c r="F1935" s="33" t="str" cm="1">
        <f t="array" ref="F1935">_xlfn.XLOOKUP(1,((SKUs!$A$2:$A$10001=cl_unmerged!B1935) * (LEFT(SKUs!$J$2:$J$10001, LEN("PVC Sliding Strip"))="PVC Sliding Strip") * (ISNUMBER(SEARCH(A1935,SKUs!$C$2:$C$10001)))), SKUs!$C$2:$C$10001,"")</f>
        <v/>
      </c>
      <c r="G1935" s="16"/>
      <c r="H1935" s="16"/>
      <c r="I1935" s="16"/>
    </row>
    <row r="1936" spans="1:9" x14ac:dyDescent="0.25">
      <c r="A1936" s="41" t="str">
        <f>_xlfn.XLOOKUP(G1936,dd_color!$A$2:$A$8,dd_color!$B$2:$B$8,"",0)</f>
        <v/>
      </c>
      <c r="B1936" s="41">
        <f>_xlfn.XLOOKUP(_xlfn.XLOOKUP(C1936,'Project Details'!$C$17:$C$10003,'Project Details'!$E$17:$E$10003, "",0),dd_design_raw!$A$2:$A$9997,dd_design_raw!$C$2:$C$9997,"",0)</f>
        <v>0</v>
      </c>
      <c r="C1936" s="16"/>
      <c r="D1936" s="16"/>
      <c r="E1936" s="16" t="str" cm="1">
        <f t="array" ref="E1936">IF(C1936&lt;&gt;"", _xlfn.XLOOKUP(1,((SKUs!$A$2:$A$10001=B1936) * (LEFT(SKUs!$J$2:$J$10001, LEN("PVC Sliding Strip"))="PVC Sliding Strip")), SKUs!$J$2:$J$10001,""),"")</f>
        <v/>
      </c>
      <c r="F1936" s="33" t="str" cm="1">
        <f t="array" ref="F1936">_xlfn.XLOOKUP(1,((SKUs!$A$2:$A$10001=cl_unmerged!B1936) * (LEFT(SKUs!$J$2:$J$10001, LEN("PVC Sliding Strip"))="PVC Sliding Strip") * (ISNUMBER(SEARCH(A1936,SKUs!$C$2:$C$10001)))), SKUs!$C$2:$C$10001,"")</f>
        <v/>
      </c>
      <c r="G1936" s="16"/>
      <c r="H1936" s="16"/>
      <c r="I1936" s="16"/>
    </row>
    <row r="1937" spans="1:9" x14ac:dyDescent="0.25">
      <c r="A1937" s="41" t="str">
        <f>_xlfn.XLOOKUP(G1937,dd_color!$A$2:$A$8,dd_color!$B$2:$B$8,"",0)</f>
        <v/>
      </c>
      <c r="B1937" s="41">
        <f>_xlfn.XLOOKUP(_xlfn.XLOOKUP(C1937,'Project Details'!$C$17:$C$10003,'Project Details'!$E$17:$E$10003, "",0),dd_design_raw!$A$2:$A$9997,dd_design_raw!$C$2:$C$9997,"",0)</f>
        <v>0</v>
      </c>
      <c r="C1937" s="16"/>
      <c r="D1937" s="16"/>
      <c r="E1937" s="16" t="str" cm="1">
        <f t="array" ref="E1937">IF(C1937&lt;&gt;"", _xlfn.XLOOKUP(1,((SKUs!$A$2:$A$10001=B1937) * (LEFT(SKUs!$J$2:$J$10001, LEN("PVC Sliding Strip"))="PVC Sliding Strip")), SKUs!$J$2:$J$10001,""),"")</f>
        <v/>
      </c>
      <c r="F1937" s="33" t="str" cm="1">
        <f t="array" ref="F1937">_xlfn.XLOOKUP(1,((SKUs!$A$2:$A$10001=cl_unmerged!B1937) * (LEFT(SKUs!$J$2:$J$10001, LEN("PVC Sliding Strip"))="PVC Sliding Strip") * (ISNUMBER(SEARCH(A1937,SKUs!$C$2:$C$10001)))), SKUs!$C$2:$C$10001,"")</f>
        <v/>
      </c>
      <c r="G1937" s="16"/>
      <c r="H1937" s="16"/>
      <c r="I1937" s="16"/>
    </row>
    <row r="1938" spans="1:9" x14ac:dyDescent="0.25">
      <c r="A1938" s="41" t="str">
        <f>_xlfn.XLOOKUP(G1938,dd_color!$A$2:$A$8,dd_color!$B$2:$B$8,"",0)</f>
        <v/>
      </c>
      <c r="B1938" s="41">
        <f>_xlfn.XLOOKUP(_xlfn.XLOOKUP(C1938,'Project Details'!$C$17:$C$10003,'Project Details'!$E$17:$E$10003, "",0),dd_design_raw!$A$2:$A$9997,dd_design_raw!$C$2:$C$9997,"",0)</f>
        <v>0</v>
      </c>
      <c r="C1938" s="16"/>
      <c r="D1938" s="16"/>
      <c r="E1938" s="16" t="str" cm="1">
        <f t="array" ref="E1938">IF(C1938&lt;&gt;"", _xlfn.XLOOKUP(1,((SKUs!$A$2:$A$10001=B1938) * (LEFT(SKUs!$J$2:$J$10001, LEN("PVC Sliding Strip"))="PVC Sliding Strip")), SKUs!$J$2:$J$10001,""),"")</f>
        <v/>
      </c>
      <c r="F1938" s="33" t="str" cm="1">
        <f t="array" ref="F1938">_xlfn.XLOOKUP(1,((SKUs!$A$2:$A$10001=cl_unmerged!B1938) * (LEFT(SKUs!$J$2:$J$10001, LEN("PVC Sliding Strip"))="PVC Sliding Strip") * (ISNUMBER(SEARCH(A1938,SKUs!$C$2:$C$10001)))), SKUs!$C$2:$C$10001,"")</f>
        <v/>
      </c>
      <c r="G1938" s="16"/>
      <c r="H1938" s="16"/>
      <c r="I1938" s="16"/>
    </row>
    <row r="1939" spans="1:9" x14ac:dyDescent="0.25">
      <c r="A1939" s="41" t="str">
        <f>_xlfn.XLOOKUP(G1939,dd_color!$A$2:$A$8,dd_color!$B$2:$B$8,"",0)</f>
        <v/>
      </c>
      <c r="B1939" s="41">
        <f>_xlfn.XLOOKUP(_xlfn.XLOOKUP(C1939,'Project Details'!$C$17:$C$10003,'Project Details'!$E$17:$E$10003, "",0),dd_design_raw!$A$2:$A$9997,dd_design_raw!$C$2:$C$9997,"",0)</f>
        <v>0</v>
      </c>
      <c r="C1939" s="16"/>
      <c r="D1939" s="16"/>
      <c r="E1939" s="16" t="str" cm="1">
        <f t="array" ref="E1939">IF(C1939&lt;&gt;"", _xlfn.XLOOKUP(1,((SKUs!$A$2:$A$10001=B1939) * (LEFT(SKUs!$J$2:$J$10001, LEN("PVC Sliding Strip"))="PVC Sliding Strip")), SKUs!$J$2:$J$10001,""),"")</f>
        <v/>
      </c>
      <c r="F1939" s="33" t="str" cm="1">
        <f t="array" ref="F1939">_xlfn.XLOOKUP(1,((SKUs!$A$2:$A$10001=cl_unmerged!B1939) * (LEFT(SKUs!$J$2:$J$10001, LEN("PVC Sliding Strip"))="PVC Sliding Strip") * (ISNUMBER(SEARCH(A1939,SKUs!$C$2:$C$10001)))), SKUs!$C$2:$C$10001,"")</f>
        <v/>
      </c>
      <c r="G1939" s="16"/>
      <c r="H1939" s="16"/>
      <c r="I1939" s="16"/>
    </row>
    <row r="1940" spans="1:9" x14ac:dyDescent="0.25">
      <c r="A1940" s="41" t="str">
        <f>_xlfn.XLOOKUP(G1940,dd_color!$A$2:$A$8,dd_color!$B$2:$B$8,"",0)</f>
        <v/>
      </c>
      <c r="B1940" s="41">
        <f>_xlfn.XLOOKUP(_xlfn.XLOOKUP(C1940,'Project Details'!$C$17:$C$10003,'Project Details'!$E$17:$E$10003, "",0),dd_design_raw!$A$2:$A$9997,dd_design_raw!$C$2:$C$9997,"",0)</f>
        <v>0</v>
      </c>
      <c r="C1940" s="16"/>
      <c r="D1940" s="16"/>
      <c r="E1940" s="16" t="str" cm="1">
        <f t="array" ref="E1940">IF(C1940&lt;&gt;"", _xlfn.XLOOKUP(1,((SKUs!$A$2:$A$10001=B1940) * (LEFT(SKUs!$J$2:$J$10001, LEN("PVC Sliding Strip"))="PVC Sliding Strip")), SKUs!$J$2:$J$10001,""),"")</f>
        <v/>
      </c>
      <c r="F1940" s="33" t="str" cm="1">
        <f t="array" ref="F1940">_xlfn.XLOOKUP(1,((SKUs!$A$2:$A$10001=cl_unmerged!B1940) * (LEFT(SKUs!$J$2:$J$10001, LEN("PVC Sliding Strip"))="PVC Sliding Strip") * (ISNUMBER(SEARCH(A1940,SKUs!$C$2:$C$10001)))), SKUs!$C$2:$C$10001,"")</f>
        <v/>
      </c>
      <c r="G1940" s="16"/>
      <c r="H1940" s="16"/>
      <c r="I1940" s="16"/>
    </row>
    <row r="1941" spans="1:9" x14ac:dyDescent="0.25">
      <c r="A1941" s="41" t="str">
        <f>_xlfn.XLOOKUP(G1941,dd_color!$A$2:$A$8,dd_color!$B$2:$B$8,"",0)</f>
        <v/>
      </c>
      <c r="B1941" s="41">
        <f>_xlfn.XLOOKUP(_xlfn.XLOOKUP(C1941,'Project Details'!$C$17:$C$10003,'Project Details'!$E$17:$E$10003, "",0),dd_design_raw!$A$2:$A$9997,dd_design_raw!$C$2:$C$9997,"",0)</f>
        <v>0</v>
      </c>
      <c r="C1941" s="16"/>
      <c r="D1941" s="16"/>
      <c r="E1941" s="16" t="str" cm="1">
        <f t="array" ref="E1941">IF(C1941&lt;&gt;"", _xlfn.XLOOKUP(1,((SKUs!$A$2:$A$10001=B1941) * (LEFT(SKUs!$J$2:$J$10001, LEN("PVC Sliding Strip"))="PVC Sliding Strip")), SKUs!$J$2:$J$10001,""),"")</f>
        <v/>
      </c>
      <c r="F1941" s="33" t="str" cm="1">
        <f t="array" ref="F1941">_xlfn.XLOOKUP(1,((SKUs!$A$2:$A$10001=cl_unmerged!B1941) * (LEFT(SKUs!$J$2:$J$10001, LEN("PVC Sliding Strip"))="PVC Sliding Strip") * (ISNUMBER(SEARCH(A1941,SKUs!$C$2:$C$10001)))), SKUs!$C$2:$C$10001,"")</f>
        <v/>
      </c>
      <c r="G1941" s="16"/>
      <c r="H1941" s="16"/>
      <c r="I1941" s="16"/>
    </row>
    <row r="1942" spans="1:9" x14ac:dyDescent="0.25">
      <c r="A1942" s="41" t="str">
        <f>_xlfn.XLOOKUP(G1942,dd_color!$A$2:$A$8,dd_color!$B$2:$B$8,"",0)</f>
        <v/>
      </c>
      <c r="B1942" s="41">
        <f>_xlfn.XLOOKUP(_xlfn.XLOOKUP(C1942,'Project Details'!$C$17:$C$10003,'Project Details'!$E$17:$E$10003, "",0),dd_design_raw!$A$2:$A$9997,dd_design_raw!$C$2:$C$9997,"",0)</f>
        <v>0</v>
      </c>
      <c r="C1942" s="16"/>
      <c r="D1942" s="16"/>
      <c r="E1942" s="16" t="str" cm="1">
        <f t="array" ref="E1942">IF(C1942&lt;&gt;"", _xlfn.XLOOKUP(1,((SKUs!$A$2:$A$10001=B1942) * (LEFT(SKUs!$J$2:$J$10001, LEN("PVC Sliding Strip"))="PVC Sliding Strip")), SKUs!$J$2:$J$10001,""),"")</f>
        <v/>
      </c>
      <c r="F1942" s="33" t="str" cm="1">
        <f t="array" ref="F1942">_xlfn.XLOOKUP(1,((SKUs!$A$2:$A$10001=cl_unmerged!B1942) * (LEFT(SKUs!$J$2:$J$10001, LEN("PVC Sliding Strip"))="PVC Sliding Strip") * (ISNUMBER(SEARCH(A1942,SKUs!$C$2:$C$10001)))), SKUs!$C$2:$C$10001,"")</f>
        <v/>
      </c>
      <c r="G1942" s="16"/>
      <c r="H1942" s="16"/>
      <c r="I1942" s="16"/>
    </row>
    <row r="1943" spans="1:9" x14ac:dyDescent="0.25">
      <c r="A1943" s="41" t="str">
        <f>_xlfn.XLOOKUP(G1943,dd_color!$A$2:$A$8,dd_color!$B$2:$B$8,"",0)</f>
        <v/>
      </c>
      <c r="B1943" s="41">
        <f>_xlfn.XLOOKUP(_xlfn.XLOOKUP(C1943,'Project Details'!$C$17:$C$10003,'Project Details'!$E$17:$E$10003, "",0),dd_design_raw!$A$2:$A$9997,dd_design_raw!$C$2:$C$9997,"",0)</f>
        <v>0</v>
      </c>
      <c r="C1943" s="16"/>
      <c r="D1943" s="16"/>
      <c r="E1943" s="16" t="str" cm="1">
        <f t="array" ref="E1943">IF(C1943&lt;&gt;"", _xlfn.XLOOKUP(1,((SKUs!$A$2:$A$10001=B1943) * (LEFT(SKUs!$J$2:$J$10001, LEN("PVC Sliding Strip"))="PVC Sliding Strip")), SKUs!$J$2:$J$10001,""),"")</f>
        <v/>
      </c>
      <c r="F1943" s="33" t="str" cm="1">
        <f t="array" ref="F1943">_xlfn.XLOOKUP(1,((SKUs!$A$2:$A$10001=cl_unmerged!B1943) * (LEFT(SKUs!$J$2:$J$10001, LEN("PVC Sliding Strip"))="PVC Sliding Strip") * (ISNUMBER(SEARCH(A1943,SKUs!$C$2:$C$10001)))), SKUs!$C$2:$C$10001,"")</f>
        <v/>
      </c>
      <c r="G1943" s="16"/>
      <c r="H1943" s="16"/>
      <c r="I1943" s="16"/>
    </row>
    <row r="1944" spans="1:9" x14ac:dyDescent="0.25">
      <c r="A1944" s="41" t="str">
        <f>_xlfn.XLOOKUP(G1944,dd_color!$A$2:$A$8,dd_color!$B$2:$B$8,"",0)</f>
        <v/>
      </c>
      <c r="B1944" s="41">
        <f>_xlfn.XLOOKUP(_xlfn.XLOOKUP(C1944,'Project Details'!$C$17:$C$10003,'Project Details'!$E$17:$E$10003, "",0),dd_design_raw!$A$2:$A$9997,dd_design_raw!$C$2:$C$9997,"",0)</f>
        <v>0</v>
      </c>
      <c r="C1944" s="16"/>
      <c r="D1944" s="16"/>
      <c r="E1944" s="16" t="str" cm="1">
        <f t="array" ref="E1944">IF(C1944&lt;&gt;"", _xlfn.XLOOKUP(1,((SKUs!$A$2:$A$10001=B1944) * (LEFT(SKUs!$J$2:$J$10001, LEN("PVC Sliding Strip"))="PVC Sliding Strip")), SKUs!$J$2:$J$10001,""),"")</f>
        <v/>
      </c>
      <c r="F1944" s="33" t="str" cm="1">
        <f t="array" ref="F1944">_xlfn.XLOOKUP(1,((SKUs!$A$2:$A$10001=cl_unmerged!B1944) * (LEFT(SKUs!$J$2:$J$10001, LEN("PVC Sliding Strip"))="PVC Sliding Strip") * (ISNUMBER(SEARCH(A1944,SKUs!$C$2:$C$10001)))), SKUs!$C$2:$C$10001,"")</f>
        <v/>
      </c>
      <c r="G1944" s="16"/>
      <c r="H1944" s="16"/>
      <c r="I1944" s="16"/>
    </row>
    <row r="1945" spans="1:9" x14ac:dyDescent="0.25">
      <c r="A1945" s="41" t="str">
        <f>_xlfn.XLOOKUP(G1945,dd_color!$A$2:$A$8,dd_color!$B$2:$B$8,"",0)</f>
        <v/>
      </c>
      <c r="B1945" s="41">
        <f>_xlfn.XLOOKUP(_xlfn.XLOOKUP(C1945,'Project Details'!$C$17:$C$10003,'Project Details'!$E$17:$E$10003, "",0),dd_design_raw!$A$2:$A$9997,dd_design_raw!$C$2:$C$9997,"",0)</f>
        <v>0</v>
      </c>
      <c r="C1945" s="16"/>
      <c r="D1945" s="16"/>
      <c r="E1945" s="16" t="str" cm="1">
        <f t="array" ref="E1945">IF(C1945&lt;&gt;"", _xlfn.XLOOKUP(1,((SKUs!$A$2:$A$10001=B1945) * (LEFT(SKUs!$J$2:$J$10001, LEN("PVC Sliding Strip"))="PVC Sliding Strip")), SKUs!$J$2:$J$10001,""),"")</f>
        <v/>
      </c>
      <c r="F1945" s="33" t="str" cm="1">
        <f t="array" ref="F1945">_xlfn.XLOOKUP(1,((SKUs!$A$2:$A$10001=cl_unmerged!B1945) * (LEFT(SKUs!$J$2:$J$10001, LEN("PVC Sliding Strip"))="PVC Sliding Strip") * (ISNUMBER(SEARCH(A1945,SKUs!$C$2:$C$10001)))), SKUs!$C$2:$C$10001,"")</f>
        <v/>
      </c>
      <c r="G1945" s="16"/>
      <c r="H1945" s="16"/>
      <c r="I1945" s="16"/>
    </row>
    <row r="1946" spans="1:9" x14ac:dyDescent="0.25">
      <c r="A1946" s="41" t="str">
        <f>_xlfn.XLOOKUP(G1946,dd_color!$A$2:$A$8,dd_color!$B$2:$B$8,"",0)</f>
        <v/>
      </c>
      <c r="B1946" s="41">
        <f>_xlfn.XLOOKUP(_xlfn.XLOOKUP(C1946,'Project Details'!$C$17:$C$10003,'Project Details'!$E$17:$E$10003, "",0),dd_design_raw!$A$2:$A$9997,dd_design_raw!$C$2:$C$9997,"",0)</f>
        <v>0</v>
      </c>
      <c r="C1946" s="16"/>
      <c r="D1946" s="16"/>
      <c r="E1946" s="16" t="str" cm="1">
        <f t="array" ref="E1946">IF(C1946&lt;&gt;"", _xlfn.XLOOKUP(1,((SKUs!$A$2:$A$10001=B1946) * (LEFT(SKUs!$J$2:$J$10001, LEN("PVC Sliding Strip"))="PVC Sliding Strip")), SKUs!$J$2:$J$10001,""),"")</f>
        <v/>
      </c>
      <c r="F1946" s="33" t="str" cm="1">
        <f t="array" ref="F1946">_xlfn.XLOOKUP(1,((SKUs!$A$2:$A$10001=cl_unmerged!B1946) * (LEFT(SKUs!$J$2:$J$10001, LEN("PVC Sliding Strip"))="PVC Sliding Strip") * (ISNUMBER(SEARCH(A1946,SKUs!$C$2:$C$10001)))), SKUs!$C$2:$C$10001,"")</f>
        <v/>
      </c>
      <c r="G1946" s="16"/>
      <c r="H1946" s="16"/>
      <c r="I1946" s="16"/>
    </row>
    <row r="1947" spans="1:9" x14ac:dyDescent="0.25">
      <c r="A1947" s="41" t="str">
        <f>_xlfn.XLOOKUP(G1947,dd_color!$A$2:$A$8,dd_color!$B$2:$B$8,"",0)</f>
        <v/>
      </c>
      <c r="B1947" s="41">
        <f>_xlfn.XLOOKUP(_xlfn.XLOOKUP(C1947,'Project Details'!$C$17:$C$10003,'Project Details'!$E$17:$E$10003, "",0),dd_design_raw!$A$2:$A$9997,dd_design_raw!$C$2:$C$9997,"",0)</f>
        <v>0</v>
      </c>
      <c r="C1947" s="16"/>
      <c r="D1947" s="16"/>
      <c r="E1947" s="16" t="str" cm="1">
        <f t="array" ref="E1947">IF(C1947&lt;&gt;"", _xlfn.XLOOKUP(1,((SKUs!$A$2:$A$10001=B1947) * (LEFT(SKUs!$J$2:$J$10001, LEN("PVC Sliding Strip"))="PVC Sliding Strip")), SKUs!$J$2:$J$10001,""),"")</f>
        <v/>
      </c>
      <c r="F1947" s="33" t="str" cm="1">
        <f t="array" ref="F1947">_xlfn.XLOOKUP(1,((SKUs!$A$2:$A$10001=cl_unmerged!B1947) * (LEFT(SKUs!$J$2:$J$10001, LEN("PVC Sliding Strip"))="PVC Sliding Strip") * (ISNUMBER(SEARCH(A1947,SKUs!$C$2:$C$10001)))), SKUs!$C$2:$C$10001,"")</f>
        <v/>
      </c>
      <c r="G1947" s="16"/>
      <c r="H1947" s="16"/>
      <c r="I1947" s="16"/>
    </row>
    <row r="1948" spans="1:9" x14ac:dyDescent="0.25">
      <c r="A1948" s="41" t="str">
        <f>_xlfn.XLOOKUP(G1948,dd_color!$A$2:$A$8,dd_color!$B$2:$B$8,"",0)</f>
        <v/>
      </c>
      <c r="B1948" s="41">
        <f>_xlfn.XLOOKUP(_xlfn.XLOOKUP(C1948,'Project Details'!$C$17:$C$10003,'Project Details'!$E$17:$E$10003, "",0),dd_design_raw!$A$2:$A$9997,dd_design_raw!$C$2:$C$9997,"",0)</f>
        <v>0</v>
      </c>
      <c r="C1948" s="16"/>
      <c r="D1948" s="16"/>
      <c r="E1948" s="16" t="str" cm="1">
        <f t="array" ref="E1948">IF(C1948&lt;&gt;"", _xlfn.XLOOKUP(1,((SKUs!$A$2:$A$10001=B1948) * (LEFT(SKUs!$J$2:$J$10001, LEN("PVC Sliding Strip"))="PVC Sliding Strip")), SKUs!$J$2:$J$10001,""),"")</f>
        <v/>
      </c>
      <c r="F1948" s="33" t="str" cm="1">
        <f t="array" ref="F1948">_xlfn.XLOOKUP(1,((SKUs!$A$2:$A$10001=cl_unmerged!B1948) * (LEFT(SKUs!$J$2:$J$10001, LEN("PVC Sliding Strip"))="PVC Sliding Strip") * (ISNUMBER(SEARCH(A1948,SKUs!$C$2:$C$10001)))), SKUs!$C$2:$C$10001,"")</f>
        <v/>
      </c>
      <c r="G1948" s="16"/>
      <c r="H1948" s="16"/>
      <c r="I1948" s="16"/>
    </row>
    <row r="1949" spans="1:9" x14ac:dyDescent="0.25">
      <c r="A1949" s="41" t="str">
        <f>_xlfn.XLOOKUP(G1949,dd_color!$A$2:$A$8,dd_color!$B$2:$B$8,"",0)</f>
        <v/>
      </c>
      <c r="B1949" s="41">
        <f>_xlfn.XLOOKUP(_xlfn.XLOOKUP(C1949,'Project Details'!$C$17:$C$10003,'Project Details'!$E$17:$E$10003, "",0),dd_design_raw!$A$2:$A$9997,dd_design_raw!$C$2:$C$9997,"",0)</f>
        <v>0</v>
      </c>
      <c r="C1949" s="16"/>
      <c r="D1949" s="16"/>
      <c r="E1949" s="16" t="str" cm="1">
        <f t="array" ref="E1949">IF(C1949&lt;&gt;"", _xlfn.XLOOKUP(1,((SKUs!$A$2:$A$10001=B1949) * (LEFT(SKUs!$J$2:$J$10001, LEN("PVC Sliding Strip"))="PVC Sliding Strip")), SKUs!$J$2:$J$10001,""),"")</f>
        <v/>
      </c>
      <c r="F1949" s="33" t="str" cm="1">
        <f t="array" ref="F1949">_xlfn.XLOOKUP(1,((SKUs!$A$2:$A$10001=cl_unmerged!B1949) * (LEFT(SKUs!$J$2:$J$10001, LEN("PVC Sliding Strip"))="PVC Sliding Strip") * (ISNUMBER(SEARCH(A1949,SKUs!$C$2:$C$10001)))), SKUs!$C$2:$C$10001,"")</f>
        <v/>
      </c>
      <c r="G1949" s="16"/>
      <c r="H1949" s="16"/>
      <c r="I1949" s="16"/>
    </row>
    <row r="1950" spans="1:9" x14ac:dyDescent="0.25">
      <c r="A1950" s="41" t="str">
        <f>_xlfn.XLOOKUP(G1950,dd_color!$A$2:$A$8,dd_color!$B$2:$B$8,"",0)</f>
        <v/>
      </c>
      <c r="B1950" s="41">
        <f>_xlfn.XLOOKUP(_xlfn.XLOOKUP(C1950,'Project Details'!$C$17:$C$10003,'Project Details'!$E$17:$E$10003, "",0),dd_design_raw!$A$2:$A$9997,dd_design_raw!$C$2:$C$9997,"",0)</f>
        <v>0</v>
      </c>
      <c r="C1950" s="16"/>
      <c r="D1950" s="16"/>
      <c r="E1950" s="16" t="str" cm="1">
        <f t="array" ref="E1950">IF(C1950&lt;&gt;"", _xlfn.XLOOKUP(1,((SKUs!$A$2:$A$10001=B1950) * (LEFT(SKUs!$J$2:$J$10001, LEN("PVC Sliding Strip"))="PVC Sliding Strip")), SKUs!$J$2:$J$10001,""),"")</f>
        <v/>
      </c>
      <c r="F1950" s="33" t="str" cm="1">
        <f t="array" ref="F1950">_xlfn.XLOOKUP(1,((SKUs!$A$2:$A$10001=cl_unmerged!B1950) * (LEFT(SKUs!$J$2:$J$10001, LEN("PVC Sliding Strip"))="PVC Sliding Strip") * (ISNUMBER(SEARCH(A1950,SKUs!$C$2:$C$10001)))), SKUs!$C$2:$C$10001,"")</f>
        <v/>
      </c>
      <c r="G1950" s="16"/>
      <c r="H1950" s="16"/>
      <c r="I1950" s="16"/>
    </row>
    <row r="1951" spans="1:9" x14ac:dyDescent="0.25">
      <c r="A1951" s="41" t="str">
        <f>_xlfn.XLOOKUP(G1951,dd_color!$A$2:$A$8,dd_color!$B$2:$B$8,"",0)</f>
        <v/>
      </c>
      <c r="B1951" s="41">
        <f>_xlfn.XLOOKUP(_xlfn.XLOOKUP(C1951,'Project Details'!$C$17:$C$10003,'Project Details'!$E$17:$E$10003, "",0),dd_design_raw!$A$2:$A$9997,dd_design_raw!$C$2:$C$9997,"",0)</f>
        <v>0</v>
      </c>
      <c r="C1951" s="16"/>
      <c r="D1951" s="16"/>
      <c r="E1951" s="16" t="str" cm="1">
        <f t="array" ref="E1951">IF(C1951&lt;&gt;"", _xlfn.XLOOKUP(1,((SKUs!$A$2:$A$10001=B1951) * (LEFT(SKUs!$J$2:$J$10001, LEN("PVC Sliding Strip"))="PVC Sliding Strip")), SKUs!$J$2:$J$10001,""),"")</f>
        <v/>
      </c>
      <c r="F1951" s="33" t="str" cm="1">
        <f t="array" ref="F1951">_xlfn.XLOOKUP(1,((SKUs!$A$2:$A$10001=cl_unmerged!B1951) * (LEFT(SKUs!$J$2:$J$10001, LEN("PVC Sliding Strip"))="PVC Sliding Strip") * (ISNUMBER(SEARCH(A1951,SKUs!$C$2:$C$10001)))), SKUs!$C$2:$C$10001,"")</f>
        <v/>
      </c>
      <c r="G1951" s="16"/>
      <c r="H1951" s="16"/>
      <c r="I1951" s="16"/>
    </row>
    <row r="1952" spans="1:9" x14ac:dyDescent="0.25">
      <c r="A1952" s="41" t="str">
        <f>_xlfn.XLOOKUP(G1952,dd_color!$A$2:$A$8,dd_color!$B$2:$B$8,"",0)</f>
        <v/>
      </c>
      <c r="B1952" s="41">
        <f>_xlfn.XLOOKUP(_xlfn.XLOOKUP(C1952,'Project Details'!$C$17:$C$10003,'Project Details'!$E$17:$E$10003, "",0),dd_design_raw!$A$2:$A$9997,dd_design_raw!$C$2:$C$9997,"",0)</f>
        <v>0</v>
      </c>
      <c r="C1952" s="16"/>
      <c r="D1952" s="16"/>
      <c r="E1952" s="16" t="str" cm="1">
        <f t="array" ref="E1952">IF(C1952&lt;&gt;"", _xlfn.XLOOKUP(1,((SKUs!$A$2:$A$10001=B1952) * (LEFT(SKUs!$J$2:$J$10001, LEN("PVC Sliding Strip"))="PVC Sliding Strip")), SKUs!$J$2:$J$10001,""),"")</f>
        <v/>
      </c>
      <c r="F1952" s="33" t="str" cm="1">
        <f t="array" ref="F1952">_xlfn.XLOOKUP(1,((SKUs!$A$2:$A$10001=cl_unmerged!B1952) * (LEFT(SKUs!$J$2:$J$10001, LEN("PVC Sliding Strip"))="PVC Sliding Strip") * (ISNUMBER(SEARCH(A1952,SKUs!$C$2:$C$10001)))), SKUs!$C$2:$C$10001,"")</f>
        <v/>
      </c>
      <c r="G1952" s="16"/>
      <c r="H1952" s="16"/>
      <c r="I1952" s="16"/>
    </row>
    <row r="1953" spans="1:9" ht="13.5" customHeight="1" x14ac:dyDescent="0.25">
      <c r="A1953" s="41" t="str">
        <f>_xlfn.XLOOKUP(G1953,dd_color!$A$2:$A$8,dd_color!$B$2:$B$8,"",0)</f>
        <v/>
      </c>
      <c r="B1953" s="41">
        <f>_xlfn.XLOOKUP(_xlfn.XLOOKUP(C1953,'Project Details'!$C$17:$C$10003,'Project Details'!$E$17:$E$10003, "",0),dd_design_raw!$A$2:$A$9997,dd_design_raw!$C$2:$C$9997,"",0)</f>
        <v>0</v>
      </c>
      <c r="C1953" s="16"/>
      <c r="D1953" s="16"/>
      <c r="E1953" s="16" t="str" cm="1">
        <f t="array" ref="E1953">IF(C1953&lt;&gt;"", _xlfn.XLOOKUP(1,((SKUs!$A$2:$A$10001=B1953) * (LEFT(SKUs!$J$2:$J$10001, LEN("PVC Sliding Strip"))="PVC Sliding Strip")), SKUs!$J$2:$J$10001,""),"")</f>
        <v/>
      </c>
      <c r="F1953" s="33" t="str" cm="1">
        <f t="array" ref="F1953">_xlfn.XLOOKUP(1,((SKUs!$A$2:$A$10001=cl_unmerged!B1953) * (LEFT(SKUs!$J$2:$J$10001, LEN("PVC Sliding Strip"))="PVC Sliding Strip") * (ISNUMBER(SEARCH(A1953,SKUs!$C$2:$C$10001)))), SKUs!$C$2:$C$10001,"")</f>
        <v/>
      </c>
      <c r="G1953" s="16"/>
      <c r="H1953" s="16"/>
      <c r="I1953" s="16"/>
    </row>
    <row r="1954" spans="1:9" ht="13.5" customHeight="1" x14ac:dyDescent="0.25">
      <c r="A1954" s="41" t="str">
        <f>_xlfn.XLOOKUP(G1954,dd_color!$A$2:$A$8,dd_color!$B$2:$B$8,"",0)</f>
        <v/>
      </c>
      <c r="B1954" s="41">
        <f>_xlfn.XLOOKUP(_xlfn.XLOOKUP(C1954,'Project Details'!$C$17:$C$10003,'Project Details'!$E$17:$E$10003, "",0),dd_design_raw!$A$2:$A$9997,dd_design_raw!$C$2:$C$9997,"",0)</f>
        <v>0</v>
      </c>
      <c r="C1954" s="16"/>
      <c r="D1954" s="16"/>
      <c r="E1954" s="16" t="str" cm="1">
        <f t="array" ref="E1954">IF(C1954&lt;&gt;"", _xlfn.XLOOKUP(1,((SKUs!$A$2:$A$10001=B1954) * (LEFT(SKUs!$J$2:$J$10001, LEN("PVC Sliding Strip"))="PVC Sliding Strip")), SKUs!$J$2:$J$10001,""),"")</f>
        <v/>
      </c>
      <c r="F1954" s="33" t="str" cm="1">
        <f t="array" ref="F1954">_xlfn.XLOOKUP(1,((SKUs!$A$2:$A$10001=cl_unmerged!B1954) * (LEFT(SKUs!$J$2:$J$10001, LEN("PVC Sliding Strip"))="PVC Sliding Strip") * (ISNUMBER(SEARCH(A1954,SKUs!$C$2:$C$10001)))), SKUs!$C$2:$C$10001,"")</f>
        <v/>
      </c>
      <c r="G1954" s="16"/>
      <c r="H1954" s="16"/>
      <c r="I1954" s="16"/>
    </row>
    <row r="1955" spans="1:9" ht="13.5" customHeight="1" x14ac:dyDescent="0.25">
      <c r="A1955" s="41" t="str">
        <f>_xlfn.XLOOKUP(G1955,dd_color!$A$2:$A$8,dd_color!$B$2:$B$8,"",0)</f>
        <v/>
      </c>
      <c r="B1955" s="41">
        <f>_xlfn.XLOOKUP(_xlfn.XLOOKUP(C1955,'Project Details'!$C$17:$C$10003,'Project Details'!$E$17:$E$10003, "",0),dd_design_raw!$A$2:$A$9997,dd_design_raw!$C$2:$C$9997,"",0)</f>
        <v>0</v>
      </c>
      <c r="C1955" s="16"/>
      <c r="D1955" s="16"/>
      <c r="E1955" s="16" t="str" cm="1">
        <f t="array" ref="E1955">IF(C1955&lt;&gt;"", _xlfn.XLOOKUP(1,((SKUs!$A$2:$A$10001=B1955) * (LEFT(SKUs!$J$2:$J$10001, LEN("PVC Sliding Strip"))="PVC Sliding Strip")), SKUs!$J$2:$J$10001,""),"")</f>
        <v/>
      </c>
      <c r="F1955" s="33" t="str" cm="1">
        <f t="array" ref="F1955">_xlfn.XLOOKUP(1,((SKUs!$A$2:$A$10001=cl_unmerged!B1955) * (LEFT(SKUs!$J$2:$J$10001, LEN("PVC Sliding Strip"))="PVC Sliding Strip") * (ISNUMBER(SEARCH(A1955,SKUs!$C$2:$C$10001)))), SKUs!$C$2:$C$10001,"")</f>
        <v/>
      </c>
      <c r="G1955" s="16"/>
      <c r="H1955" s="16"/>
      <c r="I1955" s="16"/>
    </row>
    <row r="1956" spans="1:9" ht="13.5" customHeight="1" x14ac:dyDescent="0.25">
      <c r="A1956" s="41" t="str">
        <f>_xlfn.XLOOKUP(G1956,dd_color!$A$2:$A$8,dd_color!$B$2:$B$8,"",0)</f>
        <v/>
      </c>
      <c r="B1956" s="41">
        <f>_xlfn.XLOOKUP(_xlfn.XLOOKUP(C1956,'Project Details'!$C$17:$C$10003,'Project Details'!$E$17:$E$10003, "",0),dd_design_raw!$A$2:$A$9997,dd_design_raw!$C$2:$C$9997,"",0)</f>
        <v>0</v>
      </c>
      <c r="C1956" s="16"/>
      <c r="D1956" s="16"/>
      <c r="E1956" s="16" t="str" cm="1">
        <f t="array" ref="E1956">IF(C1956&lt;&gt;"", _xlfn.XLOOKUP(1,((SKUs!$A$2:$A$10001=B1956) * (LEFT(SKUs!$J$2:$J$10001, LEN("PVC Sliding Strip"))="PVC Sliding Strip")), SKUs!$J$2:$J$10001,""),"")</f>
        <v/>
      </c>
      <c r="F1956" s="33" t="str" cm="1">
        <f t="array" ref="F1956">_xlfn.XLOOKUP(1,((SKUs!$A$2:$A$10001=cl_unmerged!B1956) * (LEFT(SKUs!$J$2:$J$10001, LEN("PVC Sliding Strip"))="PVC Sliding Strip") * (ISNUMBER(SEARCH(A1956,SKUs!$C$2:$C$10001)))), SKUs!$C$2:$C$10001,"")</f>
        <v/>
      </c>
      <c r="G1956" s="16"/>
      <c r="H1956" s="16"/>
      <c r="I1956" s="16"/>
    </row>
    <row r="1957" spans="1:9" ht="13.5" customHeight="1" x14ac:dyDescent="0.25">
      <c r="A1957" s="41" t="str">
        <f>_xlfn.XLOOKUP(G1957,dd_color!$A$2:$A$8,dd_color!$B$2:$B$8,"",0)</f>
        <v/>
      </c>
      <c r="B1957" s="41">
        <f>_xlfn.XLOOKUP(_xlfn.XLOOKUP(C1957,'Project Details'!$C$17:$C$10003,'Project Details'!$E$17:$E$10003, "",0),dd_design_raw!$A$2:$A$9997,dd_design_raw!$C$2:$C$9997,"",0)</f>
        <v>0</v>
      </c>
      <c r="C1957" s="16"/>
      <c r="D1957" s="16"/>
      <c r="E1957" s="16" t="str" cm="1">
        <f t="array" ref="E1957">IF(C1957&lt;&gt;"", _xlfn.XLOOKUP(1,((SKUs!$A$2:$A$10001=B1957) * (LEFT(SKUs!$J$2:$J$10001, LEN("PVC Sliding Strip"))="PVC Sliding Strip")), SKUs!$J$2:$J$10001,""),"")</f>
        <v/>
      </c>
      <c r="F1957" s="33" t="str" cm="1">
        <f t="array" ref="F1957">_xlfn.XLOOKUP(1,((SKUs!$A$2:$A$10001=cl_unmerged!B1957) * (LEFT(SKUs!$J$2:$J$10001, LEN("PVC Sliding Strip"))="PVC Sliding Strip") * (ISNUMBER(SEARCH(A1957,SKUs!$C$2:$C$10001)))), SKUs!$C$2:$C$10001,"")</f>
        <v/>
      </c>
      <c r="G1957" s="16"/>
      <c r="H1957" s="16"/>
      <c r="I1957" s="16"/>
    </row>
    <row r="1958" spans="1:9" ht="13.5" customHeight="1" x14ac:dyDescent="0.25">
      <c r="A1958" s="41" t="str">
        <f>_xlfn.XLOOKUP(G1958,dd_color!$A$2:$A$8,dd_color!$B$2:$B$8,"",0)</f>
        <v/>
      </c>
      <c r="B1958" s="41">
        <f>_xlfn.XLOOKUP(_xlfn.XLOOKUP(C1958,'Project Details'!$C$17:$C$10003,'Project Details'!$E$17:$E$10003, "",0),dd_design_raw!$A$2:$A$9997,dd_design_raw!$C$2:$C$9997,"",0)</f>
        <v>0</v>
      </c>
      <c r="C1958" s="16"/>
      <c r="D1958" s="16"/>
      <c r="E1958" s="16" t="str" cm="1">
        <f t="array" ref="E1958">IF(C1958&lt;&gt;"", _xlfn.XLOOKUP(1,((SKUs!$A$2:$A$10001=B1958) * (LEFT(SKUs!$J$2:$J$10001, LEN("PVC Sliding Strip"))="PVC Sliding Strip")), SKUs!$J$2:$J$10001,""),"")</f>
        <v/>
      </c>
      <c r="F1958" s="33" t="str" cm="1">
        <f t="array" ref="F1958">_xlfn.XLOOKUP(1,((SKUs!$A$2:$A$10001=cl_unmerged!B1958) * (LEFT(SKUs!$J$2:$J$10001, LEN("PVC Sliding Strip"))="PVC Sliding Strip") * (ISNUMBER(SEARCH(A1958,SKUs!$C$2:$C$10001)))), SKUs!$C$2:$C$10001,"")</f>
        <v/>
      </c>
      <c r="G1958" s="16"/>
      <c r="H1958" s="16"/>
      <c r="I1958" s="16"/>
    </row>
    <row r="1959" spans="1:9" ht="13.5" customHeight="1" x14ac:dyDescent="0.25">
      <c r="A1959" s="41" t="str">
        <f>_xlfn.XLOOKUP(G1959,dd_color!$A$2:$A$8,dd_color!$B$2:$B$8,"",0)</f>
        <v/>
      </c>
      <c r="B1959" s="41">
        <f>_xlfn.XLOOKUP(_xlfn.XLOOKUP(C1959,'Project Details'!$C$17:$C$10003,'Project Details'!$E$17:$E$10003, "",0),dd_design_raw!$A$2:$A$9997,dd_design_raw!$C$2:$C$9997,"",0)</f>
        <v>0</v>
      </c>
      <c r="C1959" s="16"/>
      <c r="D1959" s="16"/>
      <c r="E1959" s="16" t="str" cm="1">
        <f t="array" ref="E1959">IF(C1959&lt;&gt;"", _xlfn.XLOOKUP(1,((SKUs!$A$2:$A$10001=B1959) * (LEFT(SKUs!$J$2:$J$10001, LEN("PVC Sliding Strip"))="PVC Sliding Strip")), SKUs!$J$2:$J$10001,""),"")</f>
        <v/>
      </c>
      <c r="F1959" s="33" t="str" cm="1">
        <f t="array" ref="F1959">_xlfn.XLOOKUP(1,((SKUs!$A$2:$A$10001=cl_unmerged!B1959) * (LEFT(SKUs!$J$2:$J$10001, LEN("PVC Sliding Strip"))="PVC Sliding Strip") * (ISNUMBER(SEARCH(A1959,SKUs!$C$2:$C$10001)))), SKUs!$C$2:$C$10001,"")</f>
        <v/>
      </c>
      <c r="G1959" s="16"/>
      <c r="H1959" s="16"/>
      <c r="I1959" s="16"/>
    </row>
    <row r="1960" spans="1:9" ht="13.5" customHeight="1" x14ac:dyDescent="0.25">
      <c r="A1960" s="41" t="str">
        <f>_xlfn.XLOOKUP(G1960,dd_color!$A$2:$A$8,dd_color!$B$2:$B$8,"",0)</f>
        <v/>
      </c>
      <c r="B1960" s="41">
        <f>_xlfn.XLOOKUP(_xlfn.XLOOKUP(C1960,'Project Details'!$C$17:$C$10003,'Project Details'!$E$17:$E$10003, "",0),dd_design_raw!$A$2:$A$9997,dd_design_raw!$C$2:$C$9997,"",0)</f>
        <v>0</v>
      </c>
      <c r="C1960" s="16"/>
      <c r="D1960" s="16"/>
      <c r="E1960" s="16" t="str" cm="1">
        <f t="array" ref="E1960">IF(C1960&lt;&gt;"", _xlfn.XLOOKUP(1,((SKUs!$A$2:$A$10001=B1960) * (LEFT(SKUs!$J$2:$J$10001, LEN("PVC Sliding Strip"))="PVC Sliding Strip")), SKUs!$J$2:$J$10001,""),"")</f>
        <v/>
      </c>
      <c r="F1960" s="33" t="str" cm="1">
        <f t="array" ref="F1960">_xlfn.XLOOKUP(1,((SKUs!$A$2:$A$10001=cl_unmerged!B1960) * (LEFT(SKUs!$J$2:$J$10001, LEN("PVC Sliding Strip"))="PVC Sliding Strip") * (ISNUMBER(SEARCH(A1960,SKUs!$C$2:$C$10001)))), SKUs!$C$2:$C$10001,"")</f>
        <v/>
      </c>
      <c r="G1960" s="16"/>
      <c r="H1960" s="16"/>
      <c r="I1960" s="16"/>
    </row>
    <row r="1961" spans="1:9" ht="13.5" customHeight="1" x14ac:dyDescent="0.25">
      <c r="A1961" s="41" t="str">
        <f>_xlfn.XLOOKUP(G1961,dd_color!$A$2:$A$8,dd_color!$B$2:$B$8,"",0)</f>
        <v/>
      </c>
      <c r="B1961" s="41">
        <f>_xlfn.XLOOKUP(_xlfn.XLOOKUP(C1961,'Project Details'!$C$17:$C$10003,'Project Details'!$E$17:$E$10003, "",0),dd_design_raw!$A$2:$A$9997,dd_design_raw!$C$2:$C$9997,"",0)</f>
        <v>0</v>
      </c>
      <c r="C1961" s="16"/>
      <c r="D1961" s="16"/>
      <c r="E1961" s="16" t="str" cm="1">
        <f t="array" ref="E1961">IF(C1961&lt;&gt;"", _xlfn.XLOOKUP(1,((SKUs!$A$2:$A$10001=B1961) * (LEFT(SKUs!$J$2:$J$10001, LEN("PVC Sliding Strip"))="PVC Sliding Strip")), SKUs!$J$2:$J$10001,""),"")</f>
        <v/>
      </c>
      <c r="F1961" s="33" t="str" cm="1">
        <f t="array" ref="F1961">_xlfn.XLOOKUP(1,((SKUs!$A$2:$A$10001=cl_unmerged!B1961) * (LEFT(SKUs!$J$2:$J$10001, LEN("PVC Sliding Strip"))="PVC Sliding Strip") * (ISNUMBER(SEARCH(A1961,SKUs!$C$2:$C$10001)))), SKUs!$C$2:$C$10001,"")</f>
        <v/>
      </c>
      <c r="G1961" s="16"/>
      <c r="H1961" s="16"/>
      <c r="I1961" s="16"/>
    </row>
    <row r="1962" spans="1:9" ht="13.5" customHeight="1" x14ac:dyDescent="0.25">
      <c r="A1962" s="41" t="str">
        <f>_xlfn.XLOOKUP(G1962,dd_color!$A$2:$A$8,dd_color!$B$2:$B$8,"",0)</f>
        <v/>
      </c>
      <c r="B1962" s="41">
        <f>_xlfn.XLOOKUP(_xlfn.XLOOKUP(C1962,'Project Details'!$C$17:$C$10003,'Project Details'!$E$17:$E$10003, "",0),dd_design_raw!$A$2:$A$9997,dd_design_raw!$C$2:$C$9997,"",0)</f>
        <v>0</v>
      </c>
      <c r="C1962" s="16"/>
      <c r="D1962" s="16"/>
      <c r="E1962" s="16" t="str" cm="1">
        <f t="array" ref="E1962">IF(C1962&lt;&gt;"", _xlfn.XLOOKUP(1,((SKUs!$A$2:$A$10001=B1962) * (LEFT(SKUs!$J$2:$J$10001, LEN("PVC Sliding Strip"))="PVC Sliding Strip")), SKUs!$J$2:$J$10001,""),"")</f>
        <v/>
      </c>
      <c r="F1962" s="33" t="str" cm="1">
        <f t="array" ref="F1962">_xlfn.XLOOKUP(1,((SKUs!$A$2:$A$10001=cl_unmerged!B1962) * (LEFT(SKUs!$J$2:$J$10001, LEN("PVC Sliding Strip"))="PVC Sliding Strip") * (ISNUMBER(SEARCH(A1962,SKUs!$C$2:$C$10001)))), SKUs!$C$2:$C$10001,"")</f>
        <v/>
      </c>
      <c r="G1962" s="16"/>
      <c r="H1962" s="16"/>
      <c r="I1962" s="16"/>
    </row>
    <row r="1963" spans="1:9" ht="13.5" customHeight="1" x14ac:dyDescent="0.25">
      <c r="A1963" s="41" t="str">
        <f>_xlfn.XLOOKUP(G1963,dd_color!$A$2:$A$8,dd_color!$B$2:$B$8,"",0)</f>
        <v/>
      </c>
      <c r="B1963" s="41">
        <f>_xlfn.XLOOKUP(_xlfn.XLOOKUP(C1963,'Project Details'!$C$17:$C$10003,'Project Details'!$E$17:$E$10003, "",0),dd_design_raw!$A$2:$A$9997,dd_design_raw!$C$2:$C$9997,"",0)</f>
        <v>0</v>
      </c>
      <c r="C1963" s="16"/>
      <c r="D1963" s="16"/>
      <c r="E1963" s="16" t="str" cm="1">
        <f t="array" ref="E1963">IF(C1963&lt;&gt;"", _xlfn.XLOOKUP(1,((SKUs!$A$2:$A$10001=B1963) * (LEFT(SKUs!$J$2:$J$10001, LEN("PVC Sliding Strip"))="PVC Sliding Strip")), SKUs!$J$2:$J$10001,""),"")</f>
        <v/>
      </c>
      <c r="F1963" s="33" t="str" cm="1">
        <f t="array" ref="F1963">_xlfn.XLOOKUP(1,((SKUs!$A$2:$A$10001=cl_unmerged!B1963) * (LEFT(SKUs!$J$2:$J$10001, LEN("PVC Sliding Strip"))="PVC Sliding Strip") * (ISNUMBER(SEARCH(A1963,SKUs!$C$2:$C$10001)))), SKUs!$C$2:$C$10001,"")</f>
        <v/>
      </c>
      <c r="G1963" s="16"/>
      <c r="H1963" s="16"/>
      <c r="I1963" s="16"/>
    </row>
    <row r="1964" spans="1:9" ht="13.5" customHeight="1" x14ac:dyDescent="0.25">
      <c r="A1964" s="41" t="str">
        <f>_xlfn.XLOOKUP(G1964,dd_color!$A$2:$A$8,dd_color!$B$2:$B$8,"",0)</f>
        <v/>
      </c>
      <c r="B1964" s="41">
        <f>_xlfn.XLOOKUP(_xlfn.XLOOKUP(C1964,'Project Details'!$C$17:$C$10003,'Project Details'!$E$17:$E$10003, "",0),dd_design_raw!$A$2:$A$9997,dd_design_raw!$C$2:$C$9997,"",0)</f>
        <v>0</v>
      </c>
      <c r="C1964" s="16"/>
      <c r="D1964" s="16"/>
      <c r="E1964" s="16" t="str" cm="1">
        <f t="array" ref="E1964">IF(C1964&lt;&gt;"", _xlfn.XLOOKUP(1,((SKUs!$A$2:$A$10001=B1964) * (LEFT(SKUs!$J$2:$J$10001, LEN("PVC Sliding Strip"))="PVC Sliding Strip")), SKUs!$J$2:$J$10001,""),"")</f>
        <v/>
      </c>
      <c r="F1964" s="33" t="str" cm="1">
        <f t="array" ref="F1964">_xlfn.XLOOKUP(1,((SKUs!$A$2:$A$10001=cl_unmerged!B1964) * (LEFT(SKUs!$J$2:$J$10001, LEN("PVC Sliding Strip"))="PVC Sliding Strip") * (ISNUMBER(SEARCH(A1964,SKUs!$C$2:$C$10001)))), SKUs!$C$2:$C$10001,"")</f>
        <v/>
      </c>
      <c r="G1964" s="16"/>
      <c r="H1964" s="16"/>
      <c r="I1964" s="16"/>
    </row>
    <row r="1965" spans="1:9" ht="13.5" customHeight="1" x14ac:dyDescent="0.25">
      <c r="A1965" s="41" t="str">
        <f>_xlfn.XLOOKUP(G1965,dd_color!$A$2:$A$8,dd_color!$B$2:$B$8,"",0)</f>
        <v/>
      </c>
      <c r="B1965" s="41">
        <f>_xlfn.XLOOKUP(_xlfn.XLOOKUP(C1965,'Project Details'!$C$17:$C$10003,'Project Details'!$E$17:$E$10003, "",0),dd_design_raw!$A$2:$A$9997,dd_design_raw!$C$2:$C$9997,"",0)</f>
        <v>0</v>
      </c>
      <c r="C1965" s="16"/>
      <c r="D1965" s="16"/>
      <c r="E1965" s="16" t="str" cm="1">
        <f t="array" ref="E1965">IF(C1965&lt;&gt;"", _xlfn.XLOOKUP(1,((SKUs!$A$2:$A$10001=B1965) * (LEFT(SKUs!$J$2:$J$10001, LEN("PVC Sliding Strip"))="PVC Sliding Strip")), SKUs!$J$2:$J$10001,""),"")</f>
        <v/>
      </c>
      <c r="F1965" s="33" t="str" cm="1">
        <f t="array" ref="F1965">_xlfn.XLOOKUP(1,((SKUs!$A$2:$A$10001=cl_unmerged!B1965) * (LEFT(SKUs!$J$2:$J$10001, LEN("PVC Sliding Strip"))="PVC Sliding Strip") * (ISNUMBER(SEARCH(A1965,SKUs!$C$2:$C$10001)))), SKUs!$C$2:$C$10001,"")</f>
        <v/>
      </c>
      <c r="G1965" s="16"/>
      <c r="H1965" s="16"/>
      <c r="I1965" s="16"/>
    </row>
    <row r="1966" spans="1:9" ht="13.5" customHeight="1" x14ac:dyDescent="0.25">
      <c r="A1966" s="41" t="str">
        <f>_xlfn.XLOOKUP(G1966,dd_color!$A$2:$A$8,dd_color!$B$2:$B$8,"",0)</f>
        <v/>
      </c>
      <c r="B1966" s="41">
        <f>_xlfn.XLOOKUP(_xlfn.XLOOKUP(C1966,'Project Details'!$C$17:$C$10003,'Project Details'!$E$17:$E$10003, "",0),dd_design_raw!$A$2:$A$9997,dd_design_raw!$C$2:$C$9997,"",0)</f>
        <v>0</v>
      </c>
      <c r="C1966" s="16"/>
      <c r="D1966" s="16"/>
      <c r="E1966" s="16" t="str" cm="1">
        <f t="array" ref="E1966">IF(C1966&lt;&gt;"", _xlfn.XLOOKUP(1,((SKUs!$A$2:$A$10001=B1966) * (LEFT(SKUs!$J$2:$J$10001, LEN("PVC Sliding Strip"))="PVC Sliding Strip")), SKUs!$J$2:$J$10001,""),"")</f>
        <v/>
      </c>
      <c r="F1966" s="33" t="str" cm="1">
        <f t="array" ref="F1966">_xlfn.XLOOKUP(1,((SKUs!$A$2:$A$10001=cl_unmerged!B1966) * (LEFT(SKUs!$J$2:$J$10001, LEN("PVC Sliding Strip"))="PVC Sliding Strip") * (ISNUMBER(SEARCH(A1966,SKUs!$C$2:$C$10001)))), SKUs!$C$2:$C$10001,"")</f>
        <v/>
      </c>
      <c r="G1966" s="16"/>
      <c r="H1966" s="16"/>
      <c r="I1966" s="16"/>
    </row>
    <row r="1967" spans="1:9" ht="13.5" customHeight="1" x14ac:dyDescent="0.25">
      <c r="A1967" s="41" t="str">
        <f>_xlfn.XLOOKUP(G1967,dd_color!$A$2:$A$8,dd_color!$B$2:$B$8,"",0)</f>
        <v/>
      </c>
      <c r="B1967" s="41">
        <f>_xlfn.XLOOKUP(_xlfn.XLOOKUP(C1967,'Project Details'!$C$17:$C$10003,'Project Details'!$E$17:$E$10003, "",0),dd_design_raw!$A$2:$A$9997,dd_design_raw!$C$2:$C$9997,"",0)</f>
        <v>0</v>
      </c>
      <c r="C1967" s="16"/>
      <c r="D1967" s="16"/>
      <c r="E1967" s="16" t="str" cm="1">
        <f t="array" ref="E1967">IF(C1967&lt;&gt;"", _xlfn.XLOOKUP(1,((SKUs!$A$2:$A$10001=B1967) * (LEFT(SKUs!$J$2:$J$10001, LEN("PVC Sliding Strip"))="PVC Sliding Strip")), SKUs!$J$2:$J$10001,""),"")</f>
        <v/>
      </c>
      <c r="F1967" s="33" t="str" cm="1">
        <f t="array" ref="F1967">_xlfn.XLOOKUP(1,((SKUs!$A$2:$A$10001=cl_unmerged!B1967) * (LEFT(SKUs!$J$2:$J$10001, LEN("PVC Sliding Strip"))="PVC Sliding Strip") * (ISNUMBER(SEARCH(A1967,SKUs!$C$2:$C$10001)))), SKUs!$C$2:$C$10001,"")</f>
        <v/>
      </c>
      <c r="G1967" s="16"/>
      <c r="H1967" s="16"/>
      <c r="I1967" s="16"/>
    </row>
    <row r="1968" spans="1:9" ht="13.5" customHeight="1" x14ac:dyDescent="0.25">
      <c r="A1968" s="41" t="str">
        <f>_xlfn.XLOOKUP(G1968,dd_color!$A$2:$A$8,dd_color!$B$2:$B$8,"",0)</f>
        <v/>
      </c>
      <c r="B1968" s="41">
        <f>_xlfn.XLOOKUP(_xlfn.XLOOKUP(C1968,'Project Details'!$C$17:$C$10003,'Project Details'!$E$17:$E$10003, "",0),dd_design_raw!$A$2:$A$9997,dd_design_raw!$C$2:$C$9997,"",0)</f>
        <v>0</v>
      </c>
      <c r="C1968" s="16"/>
      <c r="D1968" s="16"/>
      <c r="E1968" s="16" t="str" cm="1">
        <f t="array" ref="E1968">IF(C1968&lt;&gt;"", _xlfn.XLOOKUP(1,((SKUs!$A$2:$A$10001=B1968) * (LEFT(SKUs!$J$2:$J$10001, LEN("PVC Sliding Strip"))="PVC Sliding Strip")), SKUs!$J$2:$J$10001,""),"")</f>
        <v/>
      </c>
      <c r="F1968" s="33" t="str" cm="1">
        <f t="array" ref="F1968">_xlfn.XLOOKUP(1,((SKUs!$A$2:$A$10001=cl_unmerged!B1968) * (LEFT(SKUs!$J$2:$J$10001, LEN("PVC Sliding Strip"))="PVC Sliding Strip") * (ISNUMBER(SEARCH(A1968,SKUs!$C$2:$C$10001)))), SKUs!$C$2:$C$10001,"")</f>
        <v/>
      </c>
      <c r="G1968" s="16"/>
      <c r="H1968" s="16"/>
      <c r="I1968" s="16"/>
    </row>
    <row r="1969" spans="1:9" ht="13.5" customHeight="1" x14ac:dyDescent="0.25">
      <c r="A1969" s="41" t="str">
        <f>_xlfn.XLOOKUP(G1969,dd_color!$A$2:$A$8,dd_color!$B$2:$B$8,"",0)</f>
        <v/>
      </c>
      <c r="B1969" s="41">
        <f>_xlfn.XLOOKUP(_xlfn.XLOOKUP(C1969,'Project Details'!$C$17:$C$10003,'Project Details'!$E$17:$E$10003, "",0),dd_design_raw!$A$2:$A$9997,dd_design_raw!$C$2:$C$9997,"",0)</f>
        <v>0</v>
      </c>
      <c r="C1969" s="16"/>
      <c r="D1969" s="16"/>
      <c r="E1969" s="16" t="str" cm="1">
        <f t="array" ref="E1969">IF(C1969&lt;&gt;"", _xlfn.XLOOKUP(1,((SKUs!$A$2:$A$10001=B1969) * (LEFT(SKUs!$J$2:$J$10001, LEN("PVC Sliding Strip"))="PVC Sliding Strip")), SKUs!$J$2:$J$10001,""),"")</f>
        <v/>
      </c>
      <c r="F1969" s="33" t="str" cm="1">
        <f t="array" ref="F1969">_xlfn.XLOOKUP(1,((SKUs!$A$2:$A$10001=cl_unmerged!B1969) * (LEFT(SKUs!$J$2:$J$10001, LEN("PVC Sliding Strip"))="PVC Sliding Strip") * (ISNUMBER(SEARCH(A1969,SKUs!$C$2:$C$10001)))), SKUs!$C$2:$C$10001,"")</f>
        <v/>
      </c>
      <c r="G1969" s="16"/>
      <c r="H1969" s="16"/>
      <c r="I1969" s="16"/>
    </row>
    <row r="1970" spans="1:9" ht="13.5" customHeight="1" x14ac:dyDescent="0.25">
      <c r="A1970" s="41" t="str">
        <f>_xlfn.XLOOKUP(G1970,dd_color!$A$2:$A$8,dd_color!$B$2:$B$8,"",0)</f>
        <v/>
      </c>
      <c r="B1970" s="41">
        <f>_xlfn.XLOOKUP(_xlfn.XLOOKUP(C1970,'Project Details'!$C$17:$C$10003,'Project Details'!$E$17:$E$10003, "",0),dd_design_raw!$A$2:$A$9997,dd_design_raw!$C$2:$C$9997,"",0)</f>
        <v>0</v>
      </c>
      <c r="C1970" s="16"/>
      <c r="D1970" s="16"/>
      <c r="E1970" s="16" t="str" cm="1">
        <f t="array" ref="E1970">IF(C1970&lt;&gt;"", _xlfn.XLOOKUP(1,((SKUs!$A$2:$A$10001=B1970) * (LEFT(SKUs!$J$2:$J$10001, LEN("PVC Sliding Strip"))="PVC Sliding Strip")), SKUs!$J$2:$J$10001,""),"")</f>
        <v/>
      </c>
      <c r="F1970" s="33" t="str" cm="1">
        <f t="array" ref="F1970">_xlfn.XLOOKUP(1,((SKUs!$A$2:$A$10001=cl_unmerged!B1970) * (LEFT(SKUs!$J$2:$J$10001, LEN("PVC Sliding Strip"))="PVC Sliding Strip") * (ISNUMBER(SEARCH(A1970,SKUs!$C$2:$C$10001)))), SKUs!$C$2:$C$10001,"")</f>
        <v/>
      </c>
      <c r="G1970" s="16"/>
      <c r="H1970" s="16"/>
      <c r="I1970" s="16"/>
    </row>
    <row r="1971" spans="1:9" ht="13.5" customHeight="1" x14ac:dyDescent="0.25">
      <c r="A1971" s="41" t="str">
        <f>_xlfn.XLOOKUP(G1971,dd_color!$A$2:$A$8,dd_color!$B$2:$B$8,"",0)</f>
        <v/>
      </c>
      <c r="B1971" s="41">
        <f>_xlfn.XLOOKUP(_xlfn.XLOOKUP(C1971,'Project Details'!$C$17:$C$10003,'Project Details'!$E$17:$E$10003, "",0),dd_design_raw!$A$2:$A$9997,dd_design_raw!$C$2:$C$9997,"",0)</f>
        <v>0</v>
      </c>
      <c r="C1971" s="16"/>
      <c r="D1971" s="16"/>
      <c r="E1971" s="16" t="str" cm="1">
        <f t="array" ref="E1971">IF(C1971&lt;&gt;"", _xlfn.XLOOKUP(1,((SKUs!$A$2:$A$10001=B1971) * (LEFT(SKUs!$J$2:$J$10001, LEN("PVC Sliding Strip"))="PVC Sliding Strip")), SKUs!$J$2:$J$10001,""),"")</f>
        <v/>
      </c>
      <c r="F1971" s="33" t="str" cm="1">
        <f t="array" ref="F1971">_xlfn.XLOOKUP(1,((SKUs!$A$2:$A$10001=cl_unmerged!B1971) * (LEFT(SKUs!$J$2:$J$10001, LEN("PVC Sliding Strip"))="PVC Sliding Strip") * (ISNUMBER(SEARCH(A1971,SKUs!$C$2:$C$10001)))), SKUs!$C$2:$C$10001,"")</f>
        <v/>
      </c>
      <c r="G1971" s="16"/>
      <c r="H1971" s="16"/>
      <c r="I1971" s="16"/>
    </row>
    <row r="1972" spans="1:9" ht="13.5" customHeight="1" x14ac:dyDescent="0.25">
      <c r="A1972" s="41" t="str">
        <f>_xlfn.XLOOKUP(G1972,dd_color!$A$2:$A$8,dd_color!$B$2:$B$8,"",0)</f>
        <v/>
      </c>
      <c r="B1972" s="41">
        <f>_xlfn.XLOOKUP(_xlfn.XLOOKUP(C1972,'Project Details'!$C$17:$C$10003,'Project Details'!$E$17:$E$10003, "",0),dd_design_raw!$A$2:$A$9997,dd_design_raw!$C$2:$C$9997,"",0)</f>
        <v>0</v>
      </c>
      <c r="C1972" s="16"/>
      <c r="D1972" s="16"/>
      <c r="E1972" s="16" t="str" cm="1">
        <f t="array" ref="E1972">IF(C1972&lt;&gt;"", _xlfn.XLOOKUP(1,((SKUs!$A$2:$A$10001=B1972) * (LEFT(SKUs!$J$2:$J$10001, LEN("PVC Sliding Strip"))="PVC Sliding Strip")), SKUs!$J$2:$J$10001,""),"")</f>
        <v/>
      </c>
      <c r="F1972" s="33" t="str" cm="1">
        <f t="array" ref="F1972">_xlfn.XLOOKUP(1,((SKUs!$A$2:$A$10001=cl_unmerged!B1972) * (LEFT(SKUs!$J$2:$J$10001, LEN("PVC Sliding Strip"))="PVC Sliding Strip") * (ISNUMBER(SEARCH(A1972,SKUs!$C$2:$C$10001)))), SKUs!$C$2:$C$10001,"")</f>
        <v/>
      </c>
      <c r="G1972" s="16"/>
      <c r="H1972" s="16"/>
      <c r="I1972" s="16"/>
    </row>
    <row r="1973" spans="1:9" ht="13.5" customHeight="1" x14ac:dyDescent="0.25">
      <c r="A1973" s="41" t="str">
        <f>_xlfn.XLOOKUP(G1973,dd_color!$A$2:$A$8,dd_color!$B$2:$B$8,"",0)</f>
        <v/>
      </c>
      <c r="B1973" s="41">
        <f>_xlfn.XLOOKUP(_xlfn.XLOOKUP(C1973,'Project Details'!$C$17:$C$10003,'Project Details'!$E$17:$E$10003, "",0),dd_design_raw!$A$2:$A$9997,dd_design_raw!$C$2:$C$9997,"",0)</f>
        <v>0</v>
      </c>
      <c r="C1973" s="16"/>
      <c r="D1973" s="16"/>
      <c r="E1973" s="16" t="str" cm="1">
        <f t="array" ref="E1973">IF(C1973&lt;&gt;"", _xlfn.XLOOKUP(1,((SKUs!$A$2:$A$10001=B1973) * (LEFT(SKUs!$J$2:$J$10001, LEN("PVC Sliding Strip"))="PVC Sliding Strip")), SKUs!$J$2:$J$10001,""),"")</f>
        <v/>
      </c>
      <c r="F1973" s="33" t="str" cm="1">
        <f t="array" ref="F1973">_xlfn.XLOOKUP(1,((SKUs!$A$2:$A$10001=cl_unmerged!B1973) * (LEFT(SKUs!$J$2:$J$10001, LEN("PVC Sliding Strip"))="PVC Sliding Strip") * (ISNUMBER(SEARCH(A1973,SKUs!$C$2:$C$10001)))), SKUs!$C$2:$C$10001,"")</f>
        <v/>
      </c>
      <c r="G1973" s="16"/>
      <c r="H1973" s="16"/>
      <c r="I1973" s="16"/>
    </row>
    <row r="1974" spans="1:9" ht="13.5" customHeight="1" x14ac:dyDescent="0.25">
      <c r="A1974" s="41" t="str">
        <f>_xlfn.XLOOKUP(G1974,dd_color!$A$2:$A$8,dd_color!$B$2:$B$8,"",0)</f>
        <v/>
      </c>
      <c r="B1974" s="41">
        <f>_xlfn.XLOOKUP(_xlfn.XLOOKUP(C1974,'Project Details'!$C$17:$C$10003,'Project Details'!$E$17:$E$10003, "",0),dd_design_raw!$A$2:$A$9997,dd_design_raw!$C$2:$C$9997,"",0)</f>
        <v>0</v>
      </c>
      <c r="C1974" s="16"/>
      <c r="D1974" s="16"/>
      <c r="E1974" s="16" t="str" cm="1">
        <f t="array" ref="E1974">IF(C1974&lt;&gt;"", _xlfn.XLOOKUP(1,((SKUs!$A$2:$A$10001=B1974) * (LEFT(SKUs!$J$2:$J$10001, LEN("PVC Sliding Strip"))="PVC Sliding Strip")), SKUs!$J$2:$J$10001,""),"")</f>
        <v/>
      </c>
      <c r="F1974" s="33" t="str" cm="1">
        <f t="array" ref="F1974">_xlfn.XLOOKUP(1,((SKUs!$A$2:$A$10001=cl_unmerged!B1974) * (LEFT(SKUs!$J$2:$J$10001, LEN("PVC Sliding Strip"))="PVC Sliding Strip") * (ISNUMBER(SEARCH(A1974,SKUs!$C$2:$C$10001)))), SKUs!$C$2:$C$10001,"")</f>
        <v/>
      </c>
      <c r="G1974" s="16"/>
      <c r="H1974" s="16"/>
      <c r="I1974" s="16"/>
    </row>
    <row r="1975" spans="1:9" ht="13.5" customHeight="1" x14ac:dyDescent="0.25">
      <c r="A1975" s="41" t="str">
        <f>_xlfn.XLOOKUP(G1975,dd_color!$A$2:$A$8,dd_color!$B$2:$B$8,"",0)</f>
        <v/>
      </c>
      <c r="B1975" s="41">
        <f>_xlfn.XLOOKUP(_xlfn.XLOOKUP(C1975,'Project Details'!$C$17:$C$10003,'Project Details'!$E$17:$E$10003, "",0),dd_design_raw!$A$2:$A$9997,dd_design_raw!$C$2:$C$9997,"",0)</f>
        <v>0</v>
      </c>
      <c r="C1975" s="16"/>
      <c r="D1975" s="16"/>
      <c r="E1975" s="16" t="str" cm="1">
        <f t="array" ref="E1975">IF(C1975&lt;&gt;"", _xlfn.XLOOKUP(1,((SKUs!$A$2:$A$10001=B1975) * (LEFT(SKUs!$J$2:$J$10001, LEN("PVC Sliding Strip"))="PVC Sliding Strip")), SKUs!$J$2:$J$10001,""),"")</f>
        <v/>
      </c>
      <c r="F1975" s="33" t="str" cm="1">
        <f t="array" ref="F1975">_xlfn.XLOOKUP(1,((SKUs!$A$2:$A$10001=cl_unmerged!B1975) * (LEFT(SKUs!$J$2:$J$10001, LEN("PVC Sliding Strip"))="PVC Sliding Strip") * (ISNUMBER(SEARCH(A1975,SKUs!$C$2:$C$10001)))), SKUs!$C$2:$C$10001,"")</f>
        <v/>
      </c>
      <c r="G1975" s="16"/>
      <c r="H1975" s="16"/>
      <c r="I1975" s="16"/>
    </row>
    <row r="1976" spans="1:9" ht="13.5" customHeight="1" x14ac:dyDescent="0.25">
      <c r="A1976" s="41" t="str">
        <f>_xlfn.XLOOKUP(G1976,dd_color!$A$2:$A$8,dd_color!$B$2:$B$8,"",0)</f>
        <v/>
      </c>
      <c r="B1976" s="41">
        <f>_xlfn.XLOOKUP(_xlfn.XLOOKUP(C1976,'Project Details'!$C$17:$C$10003,'Project Details'!$E$17:$E$10003, "",0),dd_design_raw!$A$2:$A$9997,dd_design_raw!$C$2:$C$9997,"",0)</f>
        <v>0</v>
      </c>
      <c r="C1976" s="16"/>
      <c r="D1976" s="16"/>
      <c r="E1976" s="16" t="str" cm="1">
        <f t="array" ref="E1976">IF(C1976&lt;&gt;"", _xlfn.XLOOKUP(1,((SKUs!$A$2:$A$10001=B1976) * (LEFT(SKUs!$J$2:$J$10001, LEN("PVC Sliding Strip"))="PVC Sliding Strip")), SKUs!$J$2:$J$10001,""),"")</f>
        <v/>
      </c>
      <c r="F1976" s="33" t="str" cm="1">
        <f t="array" ref="F1976">_xlfn.XLOOKUP(1,((SKUs!$A$2:$A$10001=cl_unmerged!B1976) * (LEFT(SKUs!$J$2:$J$10001, LEN("PVC Sliding Strip"))="PVC Sliding Strip") * (ISNUMBER(SEARCH(A1976,SKUs!$C$2:$C$10001)))), SKUs!$C$2:$C$10001,"")</f>
        <v/>
      </c>
      <c r="G1976" s="16"/>
      <c r="H1976" s="16"/>
      <c r="I1976" s="16"/>
    </row>
    <row r="1977" spans="1:9" ht="13.5" customHeight="1" x14ac:dyDescent="0.25">
      <c r="A1977" s="41" t="str">
        <f>_xlfn.XLOOKUP(G1977,dd_color!$A$2:$A$8,dd_color!$B$2:$B$8,"",0)</f>
        <v/>
      </c>
      <c r="B1977" s="41">
        <f>_xlfn.XLOOKUP(_xlfn.XLOOKUP(C1977,'Project Details'!$C$17:$C$10003,'Project Details'!$E$17:$E$10003, "",0),dd_design_raw!$A$2:$A$9997,dd_design_raw!$C$2:$C$9997,"",0)</f>
        <v>0</v>
      </c>
      <c r="C1977" s="16"/>
      <c r="D1977" s="16"/>
      <c r="E1977" s="16" t="str" cm="1">
        <f t="array" ref="E1977">IF(C1977&lt;&gt;"", _xlfn.XLOOKUP(1,((SKUs!$A$2:$A$10001=B1977) * (LEFT(SKUs!$J$2:$J$10001, LEN("PVC Sliding Strip"))="PVC Sliding Strip")), SKUs!$J$2:$J$10001,""),"")</f>
        <v/>
      </c>
      <c r="F1977" s="33" t="str" cm="1">
        <f t="array" ref="F1977">_xlfn.XLOOKUP(1,((SKUs!$A$2:$A$10001=cl_unmerged!B1977) * (LEFT(SKUs!$J$2:$J$10001, LEN("PVC Sliding Strip"))="PVC Sliding Strip") * (ISNUMBER(SEARCH(A1977,SKUs!$C$2:$C$10001)))), SKUs!$C$2:$C$10001,"")</f>
        <v/>
      </c>
      <c r="G1977" s="16"/>
      <c r="H1977" s="16"/>
      <c r="I1977" s="16"/>
    </row>
    <row r="1978" spans="1:9" ht="13.5" customHeight="1" x14ac:dyDescent="0.25">
      <c r="A1978" s="41" t="str">
        <f>_xlfn.XLOOKUP(G1978,dd_color!$A$2:$A$8,dd_color!$B$2:$B$8,"",0)</f>
        <v/>
      </c>
      <c r="B1978" s="41">
        <f>_xlfn.XLOOKUP(_xlfn.XLOOKUP(C1978,'Project Details'!$C$17:$C$10003,'Project Details'!$E$17:$E$10003, "",0),dd_design_raw!$A$2:$A$9997,dd_design_raw!$C$2:$C$9997,"",0)</f>
        <v>0</v>
      </c>
      <c r="C1978" s="16"/>
      <c r="D1978" s="16"/>
      <c r="E1978" s="16" t="str" cm="1">
        <f t="array" ref="E1978">IF(C1978&lt;&gt;"", _xlfn.XLOOKUP(1,((SKUs!$A$2:$A$10001=B1978) * (LEFT(SKUs!$J$2:$J$10001, LEN("PVC Sliding Strip"))="PVC Sliding Strip")), SKUs!$J$2:$J$10001,""),"")</f>
        <v/>
      </c>
      <c r="F1978" s="33" t="str" cm="1">
        <f t="array" ref="F1978">_xlfn.XLOOKUP(1,((SKUs!$A$2:$A$10001=cl_unmerged!B1978) * (LEFT(SKUs!$J$2:$J$10001, LEN("PVC Sliding Strip"))="PVC Sliding Strip") * (ISNUMBER(SEARCH(A1978,SKUs!$C$2:$C$10001)))), SKUs!$C$2:$C$10001,"")</f>
        <v/>
      </c>
      <c r="G1978" s="16"/>
      <c r="H1978" s="16"/>
      <c r="I1978" s="16"/>
    </row>
    <row r="1979" spans="1:9" ht="13.5" customHeight="1" x14ac:dyDescent="0.25">
      <c r="A1979" s="41" t="str">
        <f>_xlfn.XLOOKUP(G1979,dd_color!$A$2:$A$8,dd_color!$B$2:$B$8,"",0)</f>
        <v/>
      </c>
      <c r="B1979" s="41">
        <f>_xlfn.XLOOKUP(_xlfn.XLOOKUP(C1979,'Project Details'!$C$17:$C$10003,'Project Details'!$E$17:$E$10003, "",0),dd_design_raw!$A$2:$A$9997,dd_design_raw!$C$2:$C$9997,"",0)</f>
        <v>0</v>
      </c>
      <c r="C1979" s="16"/>
      <c r="D1979" s="16"/>
      <c r="E1979" s="16" t="str" cm="1">
        <f t="array" ref="E1979">IF(C1979&lt;&gt;"", _xlfn.XLOOKUP(1,((SKUs!$A$2:$A$10001=B1979) * (LEFT(SKUs!$J$2:$J$10001, LEN("PVC Sliding Strip"))="PVC Sliding Strip")), SKUs!$J$2:$J$10001,""),"")</f>
        <v/>
      </c>
      <c r="F1979" s="33" t="str" cm="1">
        <f t="array" ref="F1979">_xlfn.XLOOKUP(1,((SKUs!$A$2:$A$10001=cl_unmerged!B1979) * (LEFT(SKUs!$J$2:$J$10001, LEN("PVC Sliding Strip"))="PVC Sliding Strip") * (ISNUMBER(SEARCH(A1979,SKUs!$C$2:$C$10001)))), SKUs!$C$2:$C$10001,"")</f>
        <v/>
      </c>
      <c r="G1979" s="16"/>
      <c r="H1979" s="16"/>
      <c r="I1979" s="16"/>
    </row>
    <row r="1980" spans="1:9" ht="13.5" customHeight="1" x14ac:dyDescent="0.25">
      <c r="A1980" s="41" t="str">
        <f>_xlfn.XLOOKUP(G1980,dd_color!$A$2:$A$8,dd_color!$B$2:$B$8,"",0)</f>
        <v/>
      </c>
      <c r="B1980" s="41">
        <f>_xlfn.XLOOKUP(_xlfn.XLOOKUP(C1980,'Project Details'!$C$17:$C$10003,'Project Details'!$E$17:$E$10003, "",0),dd_design_raw!$A$2:$A$9997,dd_design_raw!$C$2:$C$9997,"",0)</f>
        <v>0</v>
      </c>
      <c r="C1980" s="16"/>
      <c r="D1980" s="16"/>
      <c r="E1980" s="16" t="str" cm="1">
        <f t="array" ref="E1980">IF(C1980&lt;&gt;"", _xlfn.XLOOKUP(1,((SKUs!$A$2:$A$10001=B1980) * (LEFT(SKUs!$J$2:$J$10001, LEN("PVC Sliding Strip"))="PVC Sliding Strip")), SKUs!$J$2:$J$10001,""),"")</f>
        <v/>
      </c>
      <c r="F1980" s="33" t="str" cm="1">
        <f t="array" ref="F1980">_xlfn.XLOOKUP(1,((SKUs!$A$2:$A$10001=cl_unmerged!B1980) * (LEFT(SKUs!$J$2:$J$10001, LEN("PVC Sliding Strip"))="PVC Sliding Strip") * (ISNUMBER(SEARCH(A1980,SKUs!$C$2:$C$10001)))), SKUs!$C$2:$C$10001,"")</f>
        <v/>
      </c>
      <c r="G1980" s="16"/>
      <c r="H1980" s="16"/>
      <c r="I1980" s="16"/>
    </row>
    <row r="1981" spans="1:9" ht="13.5" customHeight="1" x14ac:dyDescent="0.25">
      <c r="A1981" s="41" t="str">
        <f>_xlfn.XLOOKUP(G1981,dd_color!$A$2:$A$8,dd_color!$B$2:$B$8,"",0)</f>
        <v/>
      </c>
      <c r="B1981" s="41">
        <f>_xlfn.XLOOKUP(_xlfn.XLOOKUP(C1981,'Project Details'!$C$17:$C$10003,'Project Details'!$E$17:$E$10003, "",0),dd_design_raw!$A$2:$A$9997,dd_design_raw!$C$2:$C$9997,"",0)</f>
        <v>0</v>
      </c>
      <c r="C1981" s="16"/>
      <c r="D1981" s="16"/>
      <c r="E1981" s="16" t="str" cm="1">
        <f t="array" ref="E1981">IF(C1981&lt;&gt;"", _xlfn.XLOOKUP(1,((SKUs!$A$2:$A$10001=B1981) * (LEFT(SKUs!$J$2:$J$10001, LEN("PVC Sliding Strip"))="PVC Sliding Strip")), SKUs!$J$2:$J$10001,""),"")</f>
        <v/>
      </c>
      <c r="F1981" s="33" t="str" cm="1">
        <f t="array" ref="F1981">_xlfn.XLOOKUP(1,((SKUs!$A$2:$A$10001=cl_unmerged!B1981) * (LEFT(SKUs!$J$2:$J$10001, LEN("PVC Sliding Strip"))="PVC Sliding Strip") * (ISNUMBER(SEARCH(A1981,SKUs!$C$2:$C$10001)))), SKUs!$C$2:$C$10001,"")</f>
        <v/>
      </c>
      <c r="G1981" s="16"/>
      <c r="H1981" s="16"/>
      <c r="I1981" s="16"/>
    </row>
    <row r="1982" spans="1:9" ht="13.5" customHeight="1" x14ac:dyDescent="0.25">
      <c r="A1982" s="41" t="str">
        <f>_xlfn.XLOOKUP(G1982,dd_color!$A$2:$A$8,dd_color!$B$2:$B$8,"",0)</f>
        <v/>
      </c>
      <c r="B1982" s="41">
        <f>_xlfn.XLOOKUP(_xlfn.XLOOKUP(C1982,'Project Details'!$C$17:$C$10003,'Project Details'!$E$17:$E$10003, "",0),dd_design_raw!$A$2:$A$9997,dd_design_raw!$C$2:$C$9997,"",0)</f>
        <v>0</v>
      </c>
      <c r="C1982" s="16"/>
      <c r="D1982" s="16"/>
      <c r="E1982" s="16" t="str" cm="1">
        <f t="array" ref="E1982">IF(C1982&lt;&gt;"", _xlfn.XLOOKUP(1,((SKUs!$A$2:$A$10001=B1982) * (LEFT(SKUs!$J$2:$J$10001, LEN("PVC Sliding Strip"))="PVC Sliding Strip")), SKUs!$J$2:$J$10001,""),"")</f>
        <v/>
      </c>
      <c r="F1982" s="33" t="str" cm="1">
        <f t="array" ref="F1982">_xlfn.XLOOKUP(1,((SKUs!$A$2:$A$10001=cl_unmerged!B1982) * (LEFT(SKUs!$J$2:$J$10001, LEN("PVC Sliding Strip"))="PVC Sliding Strip") * (ISNUMBER(SEARCH(A1982,SKUs!$C$2:$C$10001)))), SKUs!$C$2:$C$10001,"")</f>
        <v/>
      </c>
      <c r="G1982" s="16"/>
      <c r="H1982" s="16"/>
      <c r="I1982" s="16"/>
    </row>
    <row r="1983" spans="1:9" ht="13.5" customHeight="1" x14ac:dyDescent="0.25">
      <c r="A1983" s="41" t="str">
        <f>_xlfn.XLOOKUP(G1983,dd_color!$A$2:$A$8,dd_color!$B$2:$B$8,"",0)</f>
        <v/>
      </c>
      <c r="B1983" s="41">
        <f>_xlfn.XLOOKUP(_xlfn.XLOOKUP(C1983,'Project Details'!$C$17:$C$10003,'Project Details'!$E$17:$E$10003, "",0),dd_design_raw!$A$2:$A$9997,dd_design_raw!$C$2:$C$9997,"",0)</f>
        <v>0</v>
      </c>
      <c r="C1983" s="16"/>
      <c r="D1983" s="16"/>
      <c r="E1983" s="16" t="str" cm="1">
        <f t="array" ref="E1983">IF(C1983&lt;&gt;"", _xlfn.XLOOKUP(1,((SKUs!$A$2:$A$10001=B1983) * (LEFT(SKUs!$J$2:$J$10001, LEN("PVC Sliding Strip"))="PVC Sliding Strip")), SKUs!$J$2:$J$10001,""),"")</f>
        <v/>
      </c>
      <c r="F1983" s="33" t="str" cm="1">
        <f t="array" ref="F1983">_xlfn.XLOOKUP(1,((SKUs!$A$2:$A$10001=cl_unmerged!B1983) * (LEFT(SKUs!$J$2:$J$10001, LEN("PVC Sliding Strip"))="PVC Sliding Strip") * (ISNUMBER(SEARCH(A1983,SKUs!$C$2:$C$10001)))), SKUs!$C$2:$C$10001,"")</f>
        <v/>
      </c>
      <c r="G1983" s="16"/>
      <c r="H1983" s="16"/>
      <c r="I1983" s="16"/>
    </row>
    <row r="1984" spans="1:9" ht="13.5" customHeight="1" x14ac:dyDescent="0.25">
      <c r="A1984" s="41" t="str">
        <f>_xlfn.XLOOKUP(G1984,dd_color!$A$2:$A$8,dd_color!$B$2:$B$8,"",0)</f>
        <v/>
      </c>
      <c r="B1984" s="41">
        <f>_xlfn.XLOOKUP(_xlfn.XLOOKUP(C1984,'Project Details'!$C$17:$C$10003,'Project Details'!$E$17:$E$10003, "",0),dd_design_raw!$A$2:$A$9997,dd_design_raw!$C$2:$C$9997,"",0)</f>
        <v>0</v>
      </c>
      <c r="C1984" s="16"/>
      <c r="D1984" s="16"/>
      <c r="E1984" s="16" t="str" cm="1">
        <f t="array" ref="E1984">IF(C1984&lt;&gt;"", _xlfn.XLOOKUP(1,((SKUs!$A$2:$A$10001=B1984) * (LEFT(SKUs!$J$2:$J$10001, LEN("PVC Sliding Strip"))="PVC Sliding Strip")), SKUs!$J$2:$J$10001,""),"")</f>
        <v/>
      </c>
      <c r="F1984" s="33" t="str" cm="1">
        <f t="array" ref="F1984">_xlfn.XLOOKUP(1,((SKUs!$A$2:$A$10001=cl_unmerged!B1984) * (LEFT(SKUs!$J$2:$J$10001, LEN("PVC Sliding Strip"))="PVC Sliding Strip") * (ISNUMBER(SEARCH(A1984,SKUs!$C$2:$C$10001)))), SKUs!$C$2:$C$10001,"")</f>
        <v/>
      </c>
      <c r="G1984" s="16"/>
      <c r="H1984" s="16"/>
      <c r="I1984" s="16"/>
    </row>
    <row r="1985" spans="1:9" ht="13.5" customHeight="1" x14ac:dyDescent="0.25">
      <c r="A1985" s="41" t="str">
        <f>_xlfn.XLOOKUP(G1985,dd_color!$A$2:$A$8,dd_color!$B$2:$B$8,"",0)</f>
        <v/>
      </c>
      <c r="B1985" s="41">
        <f>_xlfn.XLOOKUP(_xlfn.XLOOKUP(C1985,'Project Details'!$C$17:$C$10003,'Project Details'!$E$17:$E$10003, "",0),dd_design_raw!$A$2:$A$9997,dd_design_raw!$C$2:$C$9997,"",0)</f>
        <v>0</v>
      </c>
      <c r="C1985" s="16"/>
      <c r="D1985" s="16"/>
      <c r="E1985" s="16" t="str" cm="1">
        <f t="array" ref="E1985">IF(C1985&lt;&gt;"", _xlfn.XLOOKUP(1,((SKUs!$A$2:$A$10001=B1985) * (LEFT(SKUs!$J$2:$J$10001, LEN("PVC Sliding Strip"))="PVC Sliding Strip")), SKUs!$J$2:$J$10001,""),"")</f>
        <v/>
      </c>
      <c r="F1985" s="33" t="str" cm="1">
        <f t="array" ref="F1985">_xlfn.XLOOKUP(1,((SKUs!$A$2:$A$10001=cl_unmerged!B1985) * (LEFT(SKUs!$J$2:$J$10001, LEN("PVC Sliding Strip"))="PVC Sliding Strip") * (ISNUMBER(SEARCH(A1985,SKUs!$C$2:$C$10001)))), SKUs!$C$2:$C$10001,"")</f>
        <v/>
      </c>
      <c r="G1985" s="16"/>
      <c r="H1985" s="16"/>
      <c r="I1985" s="16"/>
    </row>
    <row r="1986" spans="1:9" ht="13.5" customHeight="1" x14ac:dyDescent="0.25">
      <c r="A1986" s="41" t="str">
        <f>_xlfn.XLOOKUP(G1986,dd_color!$A$2:$A$8,dd_color!$B$2:$B$8,"",0)</f>
        <v/>
      </c>
      <c r="B1986" s="41">
        <f>_xlfn.XLOOKUP(_xlfn.XLOOKUP(C1986,'Project Details'!$C$17:$C$10003,'Project Details'!$E$17:$E$10003, "",0),dd_design_raw!$A$2:$A$9997,dd_design_raw!$C$2:$C$9997,"",0)</f>
        <v>0</v>
      </c>
      <c r="C1986" s="16"/>
      <c r="D1986" s="16"/>
      <c r="E1986" s="16" t="str" cm="1">
        <f t="array" ref="E1986">IF(C1986&lt;&gt;"", _xlfn.XLOOKUP(1,((SKUs!$A$2:$A$10001=B1986) * (LEFT(SKUs!$J$2:$J$10001, LEN("PVC Sliding Strip"))="PVC Sliding Strip")), SKUs!$J$2:$J$10001,""),"")</f>
        <v/>
      </c>
      <c r="F1986" s="33" t="str" cm="1">
        <f t="array" ref="F1986">_xlfn.XLOOKUP(1,((SKUs!$A$2:$A$10001=cl_unmerged!B1986) * (LEFT(SKUs!$J$2:$J$10001, LEN("PVC Sliding Strip"))="PVC Sliding Strip") * (ISNUMBER(SEARCH(A1986,SKUs!$C$2:$C$10001)))), SKUs!$C$2:$C$10001,"")</f>
        <v/>
      </c>
      <c r="G1986" s="16"/>
      <c r="H1986" s="16"/>
      <c r="I1986" s="16"/>
    </row>
    <row r="1987" spans="1:9" ht="13.5" customHeight="1" x14ac:dyDescent="0.25">
      <c r="A1987" s="41" t="str">
        <f>_xlfn.XLOOKUP(G1987,dd_color!$A$2:$A$8,dd_color!$B$2:$B$8,"",0)</f>
        <v/>
      </c>
      <c r="B1987" s="41">
        <f>_xlfn.XLOOKUP(_xlfn.XLOOKUP(C1987,'Project Details'!$C$17:$C$10003,'Project Details'!$E$17:$E$10003, "",0),dd_design_raw!$A$2:$A$9997,dd_design_raw!$C$2:$C$9997,"",0)</f>
        <v>0</v>
      </c>
      <c r="C1987" s="16"/>
      <c r="D1987" s="16"/>
      <c r="E1987" s="16" t="str" cm="1">
        <f t="array" ref="E1987">IF(C1987&lt;&gt;"", _xlfn.XLOOKUP(1,((SKUs!$A$2:$A$10001=B1987) * (LEFT(SKUs!$J$2:$J$10001, LEN("PVC Sliding Strip"))="PVC Sliding Strip")), SKUs!$J$2:$J$10001,""),"")</f>
        <v/>
      </c>
      <c r="F1987" s="33" t="str" cm="1">
        <f t="array" ref="F1987">_xlfn.XLOOKUP(1,((SKUs!$A$2:$A$10001=cl_unmerged!B1987) * (LEFT(SKUs!$J$2:$J$10001, LEN("PVC Sliding Strip"))="PVC Sliding Strip") * (ISNUMBER(SEARCH(A1987,SKUs!$C$2:$C$10001)))), SKUs!$C$2:$C$10001,"")</f>
        <v/>
      </c>
      <c r="G1987" s="16"/>
      <c r="H1987" s="16"/>
      <c r="I1987" s="16"/>
    </row>
    <row r="1988" spans="1:9" ht="13.5" customHeight="1" x14ac:dyDescent="0.25">
      <c r="A1988" s="41" t="str">
        <f>_xlfn.XLOOKUP(G1988,dd_color!$A$2:$A$8,dd_color!$B$2:$B$8,"",0)</f>
        <v/>
      </c>
      <c r="B1988" s="41">
        <f>_xlfn.XLOOKUP(_xlfn.XLOOKUP(C1988,'Project Details'!$C$17:$C$10003,'Project Details'!$E$17:$E$10003, "",0),dd_design_raw!$A$2:$A$9997,dd_design_raw!$C$2:$C$9997,"",0)</f>
        <v>0</v>
      </c>
      <c r="C1988" s="16"/>
      <c r="D1988" s="16"/>
      <c r="E1988" s="16" t="str" cm="1">
        <f t="array" ref="E1988">IF(C1988&lt;&gt;"", _xlfn.XLOOKUP(1,((SKUs!$A$2:$A$10001=B1988) * (LEFT(SKUs!$J$2:$J$10001, LEN("PVC Sliding Strip"))="PVC Sliding Strip")), SKUs!$J$2:$J$10001,""),"")</f>
        <v/>
      </c>
      <c r="F1988" s="33" t="str" cm="1">
        <f t="array" ref="F1988">_xlfn.XLOOKUP(1,((SKUs!$A$2:$A$10001=cl_unmerged!B1988) * (LEFT(SKUs!$J$2:$J$10001, LEN("PVC Sliding Strip"))="PVC Sliding Strip") * (ISNUMBER(SEARCH(A1988,SKUs!$C$2:$C$10001)))), SKUs!$C$2:$C$10001,"")</f>
        <v/>
      </c>
      <c r="G1988" s="16"/>
      <c r="H1988" s="16"/>
      <c r="I1988" s="16"/>
    </row>
    <row r="1989" spans="1:9" ht="13.5" customHeight="1" x14ac:dyDescent="0.25">
      <c r="A1989" s="41" t="str">
        <f>_xlfn.XLOOKUP(G1989,dd_color!$A$2:$A$8,dd_color!$B$2:$B$8,"",0)</f>
        <v/>
      </c>
      <c r="B1989" s="41">
        <f>_xlfn.XLOOKUP(_xlfn.XLOOKUP(C1989,'Project Details'!$C$17:$C$10003,'Project Details'!$E$17:$E$10003, "",0),dd_design_raw!$A$2:$A$9997,dd_design_raw!$C$2:$C$9997,"",0)</f>
        <v>0</v>
      </c>
      <c r="C1989" s="16"/>
      <c r="D1989" s="16"/>
      <c r="E1989" s="16" t="str" cm="1">
        <f t="array" ref="E1989">IF(C1989&lt;&gt;"", _xlfn.XLOOKUP(1,((SKUs!$A$2:$A$10001=B1989) * (LEFT(SKUs!$J$2:$J$10001, LEN("PVC Sliding Strip"))="PVC Sliding Strip")), SKUs!$J$2:$J$10001,""),"")</f>
        <v/>
      </c>
      <c r="F1989" s="33" t="str" cm="1">
        <f t="array" ref="F1989">_xlfn.XLOOKUP(1,((SKUs!$A$2:$A$10001=cl_unmerged!B1989) * (LEFT(SKUs!$J$2:$J$10001, LEN("PVC Sliding Strip"))="PVC Sliding Strip") * (ISNUMBER(SEARCH(A1989,SKUs!$C$2:$C$10001)))), SKUs!$C$2:$C$10001,"")</f>
        <v/>
      </c>
      <c r="G1989" s="16"/>
      <c r="H1989" s="16"/>
      <c r="I1989" s="16"/>
    </row>
    <row r="1990" spans="1:9" ht="13.5" customHeight="1" x14ac:dyDescent="0.25">
      <c r="A1990" s="41" t="str">
        <f>_xlfn.XLOOKUP(G1990,dd_color!$A$2:$A$8,dd_color!$B$2:$B$8,"",0)</f>
        <v/>
      </c>
      <c r="B1990" s="41">
        <f>_xlfn.XLOOKUP(_xlfn.XLOOKUP(C1990,'Project Details'!$C$17:$C$10003,'Project Details'!$E$17:$E$10003, "",0),dd_design_raw!$A$2:$A$9997,dd_design_raw!$C$2:$C$9997,"",0)</f>
        <v>0</v>
      </c>
      <c r="C1990" s="16"/>
      <c r="D1990" s="16"/>
      <c r="E1990" s="16" t="str" cm="1">
        <f t="array" ref="E1990">IF(C1990&lt;&gt;"", _xlfn.XLOOKUP(1,((SKUs!$A$2:$A$10001=B1990) * (LEFT(SKUs!$J$2:$J$10001, LEN("PVC Sliding Strip"))="PVC Sliding Strip")), SKUs!$J$2:$J$10001,""),"")</f>
        <v/>
      </c>
      <c r="F1990" s="33" t="str" cm="1">
        <f t="array" ref="F1990">_xlfn.XLOOKUP(1,((SKUs!$A$2:$A$10001=cl_unmerged!B1990) * (LEFT(SKUs!$J$2:$J$10001, LEN("PVC Sliding Strip"))="PVC Sliding Strip") * (ISNUMBER(SEARCH(A1990,SKUs!$C$2:$C$10001)))), SKUs!$C$2:$C$10001,"")</f>
        <v/>
      </c>
      <c r="G1990" s="16"/>
      <c r="H1990" s="16"/>
      <c r="I1990" s="16"/>
    </row>
    <row r="1991" spans="1:9" ht="13.5" customHeight="1" x14ac:dyDescent="0.25">
      <c r="A1991" s="41" t="str">
        <f>_xlfn.XLOOKUP(G1991,dd_color!$A$2:$A$8,dd_color!$B$2:$B$8,"",0)</f>
        <v/>
      </c>
      <c r="B1991" s="41">
        <f>_xlfn.XLOOKUP(_xlfn.XLOOKUP(C1991,'Project Details'!$C$17:$C$10003,'Project Details'!$E$17:$E$10003, "",0),dd_design_raw!$A$2:$A$9997,dd_design_raw!$C$2:$C$9997,"",0)</f>
        <v>0</v>
      </c>
      <c r="C1991" s="16"/>
      <c r="D1991" s="16"/>
      <c r="E1991" s="16" t="str" cm="1">
        <f t="array" ref="E1991">IF(C1991&lt;&gt;"", _xlfn.XLOOKUP(1,((SKUs!$A$2:$A$10001=B1991) * (LEFT(SKUs!$J$2:$J$10001, LEN("PVC Sliding Strip"))="PVC Sliding Strip")), SKUs!$J$2:$J$10001,""),"")</f>
        <v/>
      </c>
      <c r="F1991" s="33" t="str" cm="1">
        <f t="array" ref="F1991">_xlfn.XLOOKUP(1,((SKUs!$A$2:$A$10001=cl_unmerged!B1991) * (LEFT(SKUs!$J$2:$J$10001, LEN("PVC Sliding Strip"))="PVC Sliding Strip") * (ISNUMBER(SEARCH(A1991,SKUs!$C$2:$C$10001)))), SKUs!$C$2:$C$10001,"")</f>
        <v/>
      </c>
      <c r="G1991" s="16"/>
      <c r="H1991" s="16"/>
      <c r="I1991" s="16"/>
    </row>
    <row r="1992" spans="1:9" ht="13.5" customHeight="1" x14ac:dyDescent="0.25">
      <c r="A1992" s="41" t="str">
        <f>_xlfn.XLOOKUP(G1992,dd_color!$A$2:$A$8,dd_color!$B$2:$B$8,"",0)</f>
        <v/>
      </c>
      <c r="B1992" s="41">
        <f>_xlfn.XLOOKUP(_xlfn.XLOOKUP(C1992,'Project Details'!$C$17:$C$10003,'Project Details'!$E$17:$E$10003, "",0),dd_design_raw!$A$2:$A$9997,dd_design_raw!$C$2:$C$9997,"",0)</f>
        <v>0</v>
      </c>
      <c r="C1992" s="16"/>
      <c r="D1992" s="16"/>
      <c r="E1992" s="16" t="str" cm="1">
        <f t="array" ref="E1992">IF(C1992&lt;&gt;"", _xlfn.XLOOKUP(1,((SKUs!$A$2:$A$10001=B1992) * (LEFT(SKUs!$J$2:$J$10001, LEN("PVC Sliding Strip"))="PVC Sliding Strip")), SKUs!$J$2:$J$10001,""),"")</f>
        <v/>
      </c>
      <c r="F1992" s="33" t="str" cm="1">
        <f t="array" ref="F1992">_xlfn.XLOOKUP(1,((SKUs!$A$2:$A$10001=cl_unmerged!B1992) * (LEFT(SKUs!$J$2:$J$10001, LEN("PVC Sliding Strip"))="PVC Sliding Strip") * (ISNUMBER(SEARCH(A1992,SKUs!$C$2:$C$10001)))), SKUs!$C$2:$C$10001,"")</f>
        <v/>
      </c>
      <c r="G1992" s="16"/>
      <c r="H1992" s="16"/>
      <c r="I1992" s="16"/>
    </row>
    <row r="1993" spans="1:9" ht="13.5" customHeight="1" x14ac:dyDescent="0.25">
      <c r="A1993" s="41" t="str">
        <f>_xlfn.XLOOKUP(G1993,dd_color!$A$2:$A$8,dd_color!$B$2:$B$8,"",0)</f>
        <v/>
      </c>
      <c r="B1993" s="41">
        <f>_xlfn.XLOOKUP(_xlfn.XLOOKUP(C1993,'Project Details'!$C$17:$C$10003,'Project Details'!$E$17:$E$10003, "",0),dd_design_raw!$A$2:$A$9997,dd_design_raw!$C$2:$C$9997,"",0)</f>
        <v>0</v>
      </c>
      <c r="C1993" s="16"/>
      <c r="D1993" s="16"/>
      <c r="E1993" s="16" t="str" cm="1">
        <f t="array" ref="E1993">IF(C1993&lt;&gt;"", _xlfn.XLOOKUP(1,((SKUs!$A$2:$A$10001=B1993) * (LEFT(SKUs!$J$2:$J$10001, LEN("PVC Sliding Strip"))="PVC Sliding Strip")), SKUs!$J$2:$J$10001,""),"")</f>
        <v/>
      </c>
      <c r="F1993" s="33" t="str" cm="1">
        <f t="array" ref="F1993">_xlfn.XLOOKUP(1,((SKUs!$A$2:$A$10001=cl_unmerged!B1993) * (LEFT(SKUs!$J$2:$J$10001, LEN("PVC Sliding Strip"))="PVC Sliding Strip") * (ISNUMBER(SEARCH(A1993,SKUs!$C$2:$C$10001)))), SKUs!$C$2:$C$10001,"")</f>
        <v/>
      </c>
      <c r="G1993" s="16"/>
      <c r="H1993" s="16"/>
      <c r="I1993" s="16"/>
    </row>
    <row r="1994" spans="1:9" x14ac:dyDescent="0.25">
      <c r="C1994" s="28" t="s">
        <v>900</v>
      </c>
      <c r="D1994" s="29"/>
      <c r="E1994" s="29"/>
      <c r="F1994" s="29"/>
      <c r="G1994" s="29"/>
      <c r="H1994" s="29"/>
      <c r="I1994" s="30"/>
    </row>
    <row r="1995" spans="1:9" x14ac:dyDescent="0.25">
      <c r="A1995" s="41" t="str">
        <f>_xlfn.XLOOKUP(G1995,dd_color!$A$2:$A$8,dd_color!$B$2:$B$8,"",0)</f>
        <v/>
      </c>
      <c r="B1995" s="41" t="str">
        <f>_xlfn.XLOOKUP(_xlfn.XLOOKUP(C1995,'Project Details'!$C$17:$C$10003,'Project Details'!$E$17:$E$10003, "",0),dd_design_raw!$A$2:$A$9997,dd_design_raw!$C$2:$C$9997,"",0)</f>
        <v/>
      </c>
      <c r="C1995" s="16" t="str" cm="1">
        <f t="array" ref="C1995">IFERROR(_xlfn._xlws.FILTER(calc_rusacc!$C$15:$C$65,(calc_rusacc!$E$15:$E$65&lt;&gt;"Roll-up Screen") * (calc_rusacc!$D$15:$D$65&lt;&gt;"")),"")</f>
        <v/>
      </c>
      <c r="D1995" s="16" t="str" cm="1">
        <f t="array" ref="D1995">IFERROR(_xlfn._xlws.FILTER(calc_rusacc!$BD$15:$BD$65,(calc_rusacc!$E$15:$E$65&lt;&gt;"Roll-up Screen") * (calc_rusacc!$D$15:$D$65&lt;&gt;"")),"")</f>
        <v/>
      </c>
      <c r="E1995" s="16" t="str" cm="1">
        <f t="array" ref="E1995">IF(C1995&lt;&gt;"", _xlfn.XLOOKUP(1,((SKUs!$A$2:$A$10001=B1995) * (LEFT(SKUs!$J$2:$J$10001, LEN("18PVC Slat"))="18PVC Slat")), SKUs!$J$2:$J$10001,""),"")</f>
        <v/>
      </c>
      <c r="F1995" s="33" t="str" cm="1">
        <f t="array" ref="F1995">_xlfn.XLOOKUP(1,((SKUs!$A$2:$A$10001=cl_unmerged!B1995) * (LEFT(SKUs!$J$2:$J$10001, LEN("18PVC Slat"))="18PVC Slat") * (ISNUMBER(SEARCH(A1995,SKUs!$C$2:$C$10001)))), SKUs!$C$2:$C$10001,"")</f>
        <v/>
      </c>
      <c r="G1995" s="16"/>
      <c r="H1995" s="16" t="str" cm="1">
        <f t="array" ref="H1995">IFERROR(_xlfn._xlws.FILTER(calc_rusacc!$BC$15:$BC$65,(calc_rusacc!$E$15:$E$65&lt;&gt;"Roll-up Screen") * (calc_rusacc!$D$15:$D$65&lt;&gt;"")),"")</f>
        <v/>
      </c>
      <c r="I1995" s="16"/>
    </row>
    <row r="1996" spans="1:9" x14ac:dyDescent="0.25">
      <c r="A1996" s="41" t="str">
        <f>_xlfn.XLOOKUP(G1996,dd_color!$A$2:$A$8,dd_color!$B$2:$B$8,"",0)</f>
        <v/>
      </c>
      <c r="B1996" s="41">
        <f>_xlfn.XLOOKUP(_xlfn.XLOOKUP(C1996,'Project Details'!$C$17:$C$10003,'Project Details'!$E$17:$E$10003, "",0),dd_design_raw!$A$2:$A$9997,dd_design_raw!$C$2:$C$9997,"",0)</f>
        <v>0</v>
      </c>
      <c r="C1996" s="16"/>
      <c r="D1996" s="16"/>
      <c r="E1996" s="16" t="str" cm="1">
        <f t="array" ref="E1996">IF(C1996&lt;&gt;"", _xlfn.XLOOKUP(1,((SKUs!$A$2:$A$10001=B1996) * (LEFT(SKUs!$J$2:$J$10001, LEN("PVC Sliding Strip"))="PVC Sliding Strip")), SKUs!$J$2:$J$10001,""),"")</f>
        <v/>
      </c>
      <c r="F1996" s="33" t="str" cm="1">
        <f t="array" ref="F1996">_xlfn.XLOOKUP(1,((SKUs!$A$2:$A$10001=cl_unmerged!B1996) * (LEFT(SKUs!$J$2:$J$10001, LEN("PVC Sliding Strip"))="PVC Sliding Strip") * (ISNUMBER(SEARCH(A1996,SKUs!$C$2:$C$10001)))), SKUs!$C$2:$C$10001,"")</f>
        <v/>
      </c>
      <c r="G1996" s="16"/>
      <c r="H1996" s="16"/>
      <c r="I1996" s="16"/>
    </row>
    <row r="1997" spans="1:9" x14ac:dyDescent="0.25">
      <c r="A1997" s="41" t="str">
        <f>_xlfn.XLOOKUP(G1997,dd_color!$A$2:$A$8,dd_color!$B$2:$B$8,"",0)</f>
        <v/>
      </c>
      <c r="B1997" s="41">
        <f>_xlfn.XLOOKUP(_xlfn.XLOOKUP(C1997,'Project Details'!$C$17:$C$10003,'Project Details'!$E$17:$E$10003, "",0),dd_design_raw!$A$2:$A$9997,dd_design_raw!$C$2:$C$9997,"",0)</f>
        <v>0</v>
      </c>
      <c r="C1997" s="16"/>
      <c r="D1997" s="16"/>
      <c r="E1997" s="16" t="str" cm="1">
        <f t="array" ref="E1997">IF(C1997&lt;&gt;"", _xlfn.XLOOKUP(1,((SKUs!$A$2:$A$10001=B1997) * (LEFT(SKUs!$J$2:$J$10001, LEN("PVC Sliding Strip"))="PVC Sliding Strip")), SKUs!$J$2:$J$10001,""),"")</f>
        <v/>
      </c>
      <c r="F1997" s="33" t="str" cm="1">
        <f t="array" ref="F1997">_xlfn.XLOOKUP(1,((SKUs!$A$2:$A$10001=cl_unmerged!B1997) * (LEFT(SKUs!$J$2:$J$10001, LEN("PVC Sliding Strip"))="PVC Sliding Strip") * (ISNUMBER(SEARCH(A1997,SKUs!$C$2:$C$10001)))), SKUs!$C$2:$C$10001,"")</f>
        <v/>
      </c>
      <c r="G1997" s="16"/>
      <c r="H1997" s="16"/>
      <c r="I1997" s="16"/>
    </row>
    <row r="1998" spans="1:9" x14ac:dyDescent="0.25">
      <c r="A1998" s="41" t="str">
        <f>_xlfn.XLOOKUP(G1998,dd_color!$A$2:$A$8,dd_color!$B$2:$B$8,"",0)</f>
        <v/>
      </c>
      <c r="B1998" s="41">
        <f>_xlfn.XLOOKUP(_xlfn.XLOOKUP(C1998,'Project Details'!$C$17:$C$10003,'Project Details'!$E$17:$E$10003, "",0),dd_design_raw!$A$2:$A$9997,dd_design_raw!$C$2:$C$9997,"",0)</f>
        <v>0</v>
      </c>
      <c r="C1998" s="16"/>
      <c r="D1998" s="16"/>
      <c r="E1998" s="16" t="str" cm="1">
        <f t="array" ref="E1998">IF(C1998&lt;&gt;"", _xlfn.XLOOKUP(1,((SKUs!$A$2:$A$10001=B1998) * (LEFT(SKUs!$J$2:$J$10001, LEN("PVC Sliding Strip"))="PVC Sliding Strip")), SKUs!$J$2:$J$10001,""),"")</f>
        <v/>
      </c>
      <c r="F1998" s="33" t="str" cm="1">
        <f t="array" ref="F1998">_xlfn.XLOOKUP(1,((SKUs!$A$2:$A$10001=cl_unmerged!B1998) * (LEFT(SKUs!$J$2:$J$10001, LEN("PVC Sliding Strip"))="PVC Sliding Strip") * (ISNUMBER(SEARCH(A1998,SKUs!$C$2:$C$10001)))), SKUs!$C$2:$C$10001,"")</f>
        <v/>
      </c>
      <c r="G1998" s="16"/>
      <c r="H1998" s="16"/>
      <c r="I1998" s="16"/>
    </row>
    <row r="1999" spans="1:9" x14ac:dyDescent="0.25">
      <c r="A1999" s="41" t="str">
        <f>_xlfn.XLOOKUP(G1999,dd_color!$A$2:$A$8,dd_color!$B$2:$B$8,"",0)</f>
        <v/>
      </c>
      <c r="B1999" s="41">
        <f>_xlfn.XLOOKUP(_xlfn.XLOOKUP(C1999,'Project Details'!$C$17:$C$10003,'Project Details'!$E$17:$E$10003, "",0),dd_design_raw!$A$2:$A$9997,dd_design_raw!$C$2:$C$9997,"",0)</f>
        <v>0</v>
      </c>
      <c r="C1999" s="16"/>
      <c r="D1999" s="16"/>
      <c r="E1999" s="16" t="str" cm="1">
        <f t="array" ref="E1999">IF(C1999&lt;&gt;"", _xlfn.XLOOKUP(1,((SKUs!$A$2:$A$10001=B1999) * (LEFT(SKUs!$J$2:$J$10001, LEN("PVC Sliding Strip"))="PVC Sliding Strip")), SKUs!$J$2:$J$10001,""),"")</f>
        <v/>
      </c>
      <c r="F1999" s="33" t="str" cm="1">
        <f t="array" ref="F1999">_xlfn.XLOOKUP(1,((SKUs!$A$2:$A$10001=cl_unmerged!B1999) * (LEFT(SKUs!$J$2:$J$10001, LEN("PVC Sliding Strip"))="PVC Sliding Strip") * (ISNUMBER(SEARCH(A1999,SKUs!$C$2:$C$10001)))), SKUs!$C$2:$C$10001,"")</f>
        <v/>
      </c>
      <c r="G1999" s="16"/>
      <c r="H1999" s="16"/>
      <c r="I1999" s="16"/>
    </row>
    <row r="2000" spans="1:9" x14ac:dyDescent="0.25">
      <c r="A2000" s="41" t="str">
        <f>_xlfn.XLOOKUP(G2000,dd_color!$A$2:$A$8,dd_color!$B$2:$B$8,"",0)</f>
        <v/>
      </c>
      <c r="B2000" s="41">
        <f>_xlfn.XLOOKUP(_xlfn.XLOOKUP(C2000,'Project Details'!$C$17:$C$10003,'Project Details'!$E$17:$E$10003, "",0),dd_design_raw!$A$2:$A$9997,dd_design_raw!$C$2:$C$9997,"",0)</f>
        <v>0</v>
      </c>
      <c r="C2000" s="16"/>
      <c r="D2000" s="16"/>
      <c r="E2000" s="16" t="str" cm="1">
        <f t="array" ref="E2000">IF(C2000&lt;&gt;"", _xlfn.XLOOKUP(1,((SKUs!$A$2:$A$10001=B2000) * (LEFT(SKUs!$J$2:$J$10001, LEN("PVC Sliding Strip"))="PVC Sliding Strip")), SKUs!$J$2:$J$10001,""),"")</f>
        <v/>
      </c>
      <c r="F2000" s="33" t="str" cm="1">
        <f t="array" ref="F2000">_xlfn.XLOOKUP(1,((SKUs!$A$2:$A$10001=cl_unmerged!B2000) * (LEFT(SKUs!$J$2:$J$10001, LEN("PVC Sliding Strip"))="PVC Sliding Strip") * (ISNUMBER(SEARCH(A2000,SKUs!$C$2:$C$10001)))), SKUs!$C$2:$C$10001,"")</f>
        <v/>
      </c>
      <c r="G2000" s="16"/>
      <c r="H2000" s="16"/>
      <c r="I2000" s="16"/>
    </row>
    <row r="2001" spans="1:9" x14ac:dyDescent="0.25">
      <c r="A2001" s="41" t="str">
        <f>_xlfn.XLOOKUP(G2001,dd_color!$A$2:$A$8,dd_color!$B$2:$B$8,"",0)</f>
        <v/>
      </c>
      <c r="B2001" s="41">
        <f>_xlfn.XLOOKUP(_xlfn.XLOOKUP(C2001,'Project Details'!$C$17:$C$10003,'Project Details'!$E$17:$E$10003, "",0),dd_design_raw!$A$2:$A$9997,dd_design_raw!$C$2:$C$9997,"",0)</f>
        <v>0</v>
      </c>
      <c r="C2001" s="16"/>
      <c r="D2001" s="16"/>
      <c r="E2001" s="16" t="str" cm="1">
        <f t="array" ref="E2001">IF(C2001&lt;&gt;"", _xlfn.XLOOKUP(1,((SKUs!$A$2:$A$10001=B2001) * (LEFT(SKUs!$J$2:$J$10001, LEN("PVC Sliding Strip"))="PVC Sliding Strip")), SKUs!$J$2:$J$10001,""),"")</f>
        <v/>
      </c>
      <c r="F2001" s="33" t="str" cm="1">
        <f t="array" ref="F2001">_xlfn.XLOOKUP(1,((SKUs!$A$2:$A$10001=cl_unmerged!B2001) * (LEFT(SKUs!$J$2:$J$10001, LEN("PVC Sliding Strip"))="PVC Sliding Strip") * (ISNUMBER(SEARCH(A2001,SKUs!$C$2:$C$10001)))), SKUs!$C$2:$C$10001,"")</f>
        <v/>
      </c>
      <c r="G2001" s="16"/>
      <c r="H2001" s="16"/>
      <c r="I2001" s="16"/>
    </row>
    <row r="2002" spans="1:9" x14ac:dyDescent="0.25">
      <c r="A2002" s="41" t="str">
        <f>_xlfn.XLOOKUP(G2002,dd_color!$A$2:$A$8,dd_color!$B$2:$B$8,"",0)</f>
        <v/>
      </c>
      <c r="B2002" s="41">
        <f>_xlfn.XLOOKUP(_xlfn.XLOOKUP(C2002,'Project Details'!$C$17:$C$10003,'Project Details'!$E$17:$E$10003, "",0),dd_design_raw!$A$2:$A$9997,dd_design_raw!$C$2:$C$9997,"",0)</f>
        <v>0</v>
      </c>
      <c r="C2002" s="16"/>
      <c r="D2002" s="16"/>
      <c r="E2002" s="16" t="str" cm="1">
        <f t="array" ref="E2002">IF(C2002&lt;&gt;"", _xlfn.XLOOKUP(1,((SKUs!$A$2:$A$10001=B2002) * (LEFT(SKUs!$J$2:$J$10001, LEN("PVC Sliding Strip"))="PVC Sliding Strip")), SKUs!$J$2:$J$10001,""),"")</f>
        <v/>
      </c>
      <c r="F2002" s="33" t="str" cm="1">
        <f t="array" ref="F2002">_xlfn.XLOOKUP(1,((SKUs!$A$2:$A$10001=cl_unmerged!B2002) * (LEFT(SKUs!$J$2:$J$10001, LEN("PVC Sliding Strip"))="PVC Sliding Strip") * (ISNUMBER(SEARCH(A2002,SKUs!$C$2:$C$10001)))), SKUs!$C$2:$C$10001,"")</f>
        <v/>
      </c>
      <c r="G2002" s="16"/>
      <c r="H2002" s="16"/>
      <c r="I2002" s="16"/>
    </row>
    <row r="2003" spans="1:9" x14ac:dyDescent="0.25">
      <c r="A2003" s="41" t="str">
        <f>_xlfn.XLOOKUP(G2003,dd_color!$A$2:$A$8,dd_color!$B$2:$B$8,"",0)</f>
        <v/>
      </c>
      <c r="B2003" s="41">
        <f>_xlfn.XLOOKUP(_xlfn.XLOOKUP(C2003,'Project Details'!$C$17:$C$10003,'Project Details'!$E$17:$E$10003, "",0),dd_design_raw!$A$2:$A$9997,dd_design_raw!$C$2:$C$9997,"",0)</f>
        <v>0</v>
      </c>
      <c r="C2003" s="16"/>
      <c r="D2003" s="16"/>
      <c r="E2003" s="16" t="str" cm="1">
        <f t="array" ref="E2003">IF(C2003&lt;&gt;"", _xlfn.XLOOKUP(1,((SKUs!$A$2:$A$10001=B2003) * (LEFT(SKUs!$J$2:$J$10001, LEN("PVC Sliding Strip"))="PVC Sliding Strip")), SKUs!$J$2:$J$10001,""),"")</f>
        <v/>
      </c>
      <c r="F2003" s="33" t="str" cm="1">
        <f t="array" ref="F2003">_xlfn.XLOOKUP(1,((SKUs!$A$2:$A$10001=cl_unmerged!B2003) * (LEFT(SKUs!$J$2:$J$10001, LEN("PVC Sliding Strip"))="PVC Sliding Strip") * (ISNUMBER(SEARCH(A2003,SKUs!$C$2:$C$10001)))), SKUs!$C$2:$C$10001,"")</f>
        <v/>
      </c>
      <c r="G2003" s="16"/>
      <c r="H2003" s="16"/>
      <c r="I2003" s="16"/>
    </row>
    <row r="2004" spans="1:9" x14ac:dyDescent="0.25">
      <c r="A2004" s="41" t="str">
        <f>_xlfn.XLOOKUP(G2004,dd_color!$A$2:$A$8,dd_color!$B$2:$B$8,"",0)</f>
        <v/>
      </c>
      <c r="B2004" s="41">
        <f>_xlfn.XLOOKUP(_xlfn.XLOOKUP(C2004,'Project Details'!$C$17:$C$10003,'Project Details'!$E$17:$E$10003, "",0),dd_design_raw!$A$2:$A$9997,dd_design_raw!$C$2:$C$9997,"",0)</f>
        <v>0</v>
      </c>
      <c r="C2004" s="16"/>
      <c r="D2004" s="16"/>
      <c r="E2004" s="16" t="str" cm="1">
        <f t="array" ref="E2004">IF(C2004&lt;&gt;"", _xlfn.XLOOKUP(1,((SKUs!$A$2:$A$10001=B2004) * (LEFT(SKUs!$J$2:$J$10001, LEN("PVC Sliding Strip"))="PVC Sliding Strip")), SKUs!$J$2:$J$10001,""),"")</f>
        <v/>
      </c>
      <c r="F2004" s="33" t="str" cm="1">
        <f t="array" ref="F2004">_xlfn.XLOOKUP(1,((SKUs!$A$2:$A$10001=cl_unmerged!B2004) * (LEFT(SKUs!$J$2:$J$10001, LEN("PVC Sliding Strip"))="PVC Sliding Strip") * (ISNUMBER(SEARCH(A2004,SKUs!$C$2:$C$10001)))), SKUs!$C$2:$C$10001,"")</f>
        <v/>
      </c>
      <c r="G2004" s="16"/>
      <c r="H2004" s="16"/>
      <c r="I2004" s="16"/>
    </row>
    <row r="2005" spans="1:9" x14ac:dyDescent="0.25">
      <c r="A2005" s="41" t="str">
        <f>_xlfn.XLOOKUP(G2005,dd_color!$A$2:$A$8,dd_color!$B$2:$B$8,"",0)</f>
        <v/>
      </c>
      <c r="B2005" s="41">
        <f>_xlfn.XLOOKUP(_xlfn.XLOOKUP(C2005,'Project Details'!$C$17:$C$10003,'Project Details'!$E$17:$E$10003, "",0),dd_design_raw!$A$2:$A$9997,dd_design_raw!$C$2:$C$9997,"",0)</f>
        <v>0</v>
      </c>
      <c r="C2005" s="16"/>
      <c r="D2005" s="16"/>
      <c r="E2005" s="16" t="str" cm="1">
        <f t="array" ref="E2005">IF(C2005&lt;&gt;"", _xlfn.XLOOKUP(1,((SKUs!$A$2:$A$10001=B2005) * (LEFT(SKUs!$J$2:$J$10001, LEN("PVC Sliding Strip"))="PVC Sliding Strip")), SKUs!$J$2:$J$10001,""),"")</f>
        <v/>
      </c>
      <c r="F2005" s="33" t="str" cm="1">
        <f t="array" ref="F2005">_xlfn.XLOOKUP(1,((SKUs!$A$2:$A$10001=cl_unmerged!B2005) * (LEFT(SKUs!$J$2:$J$10001, LEN("PVC Sliding Strip"))="PVC Sliding Strip") * (ISNUMBER(SEARCH(A2005,SKUs!$C$2:$C$10001)))), SKUs!$C$2:$C$10001,"")</f>
        <v/>
      </c>
      <c r="G2005" s="16"/>
      <c r="H2005" s="16"/>
      <c r="I2005" s="16"/>
    </row>
    <row r="2006" spans="1:9" x14ac:dyDescent="0.25">
      <c r="A2006" s="41" t="str">
        <f>_xlfn.XLOOKUP(G2006,dd_color!$A$2:$A$8,dd_color!$B$2:$B$8,"",0)</f>
        <v/>
      </c>
      <c r="B2006" s="41">
        <f>_xlfn.XLOOKUP(_xlfn.XLOOKUP(C2006,'Project Details'!$C$17:$C$10003,'Project Details'!$E$17:$E$10003, "",0),dd_design_raw!$A$2:$A$9997,dd_design_raw!$C$2:$C$9997,"",0)</f>
        <v>0</v>
      </c>
      <c r="C2006" s="16"/>
      <c r="D2006" s="16"/>
      <c r="E2006" s="16" t="str" cm="1">
        <f t="array" ref="E2006">IF(C2006&lt;&gt;"", _xlfn.XLOOKUP(1,((SKUs!$A$2:$A$10001=B2006) * (LEFT(SKUs!$J$2:$J$10001, LEN("PVC Sliding Strip"))="PVC Sliding Strip")), SKUs!$J$2:$J$10001,""),"")</f>
        <v/>
      </c>
      <c r="F2006" s="33" t="str" cm="1">
        <f t="array" ref="F2006">_xlfn.XLOOKUP(1,((SKUs!$A$2:$A$10001=cl_unmerged!B2006) * (LEFT(SKUs!$J$2:$J$10001, LEN("PVC Sliding Strip"))="PVC Sliding Strip") * (ISNUMBER(SEARCH(A2006,SKUs!$C$2:$C$10001)))), SKUs!$C$2:$C$10001,"")</f>
        <v/>
      </c>
      <c r="G2006" s="16"/>
      <c r="H2006" s="16"/>
      <c r="I2006" s="16"/>
    </row>
    <row r="2007" spans="1:9" x14ac:dyDescent="0.25">
      <c r="A2007" s="41" t="str">
        <f>_xlfn.XLOOKUP(G2007,dd_color!$A$2:$A$8,dd_color!$B$2:$B$8,"",0)</f>
        <v/>
      </c>
      <c r="B2007" s="41">
        <f>_xlfn.XLOOKUP(_xlfn.XLOOKUP(C2007,'Project Details'!$C$17:$C$10003,'Project Details'!$E$17:$E$10003, "",0),dd_design_raw!$A$2:$A$9997,dd_design_raw!$C$2:$C$9997,"",0)</f>
        <v>0</v>
      </c>
      <c r="C2007" s="16"/>
      <c r="D2007" s="16"/>
      <c r="E2007" s="16" t="str" cm="1">
        <f t="array" ref="E2007">IF(C2007&lt;&gt;"", _xlfn.XLOOKUP(1,((SKUs!$A$2:$A$10001=B2007) * (LEFT(SKUs!$J$2:$J$10001, LEN("PVC Sliding Strip"))="PVC Sliding Strip")), SKUs!$J$2:$J$10001,""),"")</f>
        <v/>
      </c>
      <c r="F2007" s="33" t="str" cm="1">
        <f t="array" ref="F2007">_xlfn.XLOOKUP(1,((SKUs!$A$2:$A$10001=cl_unmerged!B2007) * (LEFT(SKUs!$J$2:$J$10001, LEN("PVC Sliding Strip"))="PVC Sliding Strip") * (ISNUMBER(SEARCH(A2007,SKUs!$C$2:$C$10001)))), SKUs!$C$2:$C$10001,"")</f>
        <v/>
      </c>
      <c r="G2007" s="16"/>
      <c r="H2007" s="16"/>
      <c r="I2007" s="16"/>
    </row>
    <row r="2008" spans="1:9" x14ac:dyDescent="0.25">
      <c r="A2008" s="41" t="str">
        <f>_xlfn.XLOOKUP(G2008,dd_color!$A$2:$A$8,dd_color!$B$2:$B$8,"",0)</f>
        <v/>
      </c>
      <c r="B2008" s="41">
        <f>_xlfn.XLOOKUP(_xlfn.XLOOKUP(C2008,'Project Details'!$C$17:$C$10003,'Project Details'!$E$17:$E$10003, "",0),dd_design_raw!$A$2:$A$9997,dd_design_raw!$C$2:$C$9997,"",0)</f>
        <v>0</v>
      </c>
      <c r="C2008" s="16"/>
      <c r="D2008" s="16"/>
      <c r="E2008" s="16" t="str" cm="1">
        <f t="array" ref="E2008">IF(C2008&lt;&gt;"", _xlfn.XLOOKUP(1,((SKUs!$A$2:$A$10001=B2008) * (LEFT(SKUs!$J$2:$J$10001, LEN("PVC Sliding Strip"))="PVC Sliding Strip")), SKUs!$J$2:$J$10001,""),"")</f>
        <v/>
      </c>
      <c r="F2008" s="33" t="str" cm="1">
        <f t="array" ref="F2008">_xlfn.XLOOKUP(1,((SKUs!$A$2:$A$10001=cl_unmerged!B2008) * (LEFT(SKUs!$J$2:$J$10001, LEN("PVC Sliding Strip"))="PVC Sliding Strip") * (ISNUMBER(SEARCH(A2008,SKUs!$C$2:$C$10001)))), SKUs!$C$2:$C$10001,"")</f>
        <v/>
      </c>
      <c r="G2008" s="16"/>
      <c r="H2008" s="16"/>
      <c r="I2008" s="16"/>
    </row>
    <row r="2009" spans="1:9" x14ac:dyDescent="0.25">
      <c r="A2009" s="41" t="str">
        <f>_xlfn.XLOOKUP(G2009,dd_color!$A$2:$A$8,dd_color!$B$2:$B$8,"",0)</f>
        <v/>
      </c>
      <c r="B2009" s="41">
        <f>_xlfn.XLOOKUP(_xlfn.XLOOKUP(C2009,'Project Details'!$C$17:$C$10003,'Project Details'!$E$17:$E$10003, "",0),dd_design_raw!$A$2:$A$9997,dd_design_raw!$C$2:$C$9997,"",0)</f>
        <v>0</v>
      </c>
      <c r="C2009" s="16"/>
      <c r="D2009" s="16"/>
      <c r="E2009" s="16" t="str" cm="1">
        <f t="array" ref="E2009">IF(C2009&lt;&gt;"", _xlfn.XLOOKUP(1,((SKUs!$A$2:$A$10001=B2009) * (LEFT(SKUs!$J$2:$J$10001, LEN("PVC Sliding Strip"))="PVC Sliding Strip")), SKUs!$J$2:$J$10001,""),"")</f>
        <v/>
      </c>
      <c r="F2009" s="33" t="str" cm="1">
        <f t="array" ref="F2009">_xlfn.XLOOKUP(1,((SKUs!$A$2:$A$10001=cl_unmerged!B2009) * (LEFT(SKUs!$J$2:$J$10001, LEN("PVC Sliding Strip"))="PVC Sliding Strip") * (ISNUMBER(SEARCH(A2009,SKUs!$C$2:$C$10001)))), SKUs!$C$2:$C$10001,"")</f>
        <v/>
      </c>
      <c r="G2009" s="16"/>
      <c r="H2009" s="16"/>
      <c r="I2009" s="16"/>
    </row>
    <row r="2010" spans="1:9" x14ac:dyDescent="0.25">
      <c r="A2010" s="41" t="str">
        <f>_xlfn.XLOOKUP(G2010,dd_color!$A$2:$A$8,dd_color!$B$2:$B$8,"",0)</f>
        <v/>
      </c>
      <c r="B2010" s="41">
        <f>_xlfn.XLOOKUP(_xlfn.XLOOKUP(C2010,'Project Details'!$C$17:$C$10003,'Project Details'!$E$17:$E$10003, "",0),dd_design_raw!$A$2:$A$9997,dd_design_raw!$C$2:$C$9997,"",0)</f>
        <v>0</v>
      </c>
      <c r="C2010" s="16"/>
      <c r="D2010" s="16"/>
      <c r="E2010" s="16" t="str" cm="1">
        <f t="array" ref="E2010">IF(C2010&lt;&gt;"", _xlfn.XLOOKUP(1,((SKUs!$A$2:$A$10001=B2010) * (LEFT(SKUs!$J$2:$J$10001, LEN("PVC Sliding Strip"))="PVC Sliding Strip")), SKUs!$J$2:$J$10001,""),"")</f>
        <v/>
      </c>
      <c r="F2010" s="33" t="str" cm="1">
        <f t="array" ref="F2010">_xlfn.XLOOKUP(1,((SKUs!$A$2:$A$10001=cl_unmerged!B2010) * (LEFT(SKUs!$J$2:$J$10001, LEN("PVC Sliding Strip"))="PVC Sliding Strip") * (ISNUMBER(SEARCH(A2010,SKUs!$C$2:$C$10001)))), SKUs!$C$2:$C$10001,"")</f>
        <v/>
      </c>
      <c r="G2010" s="16"/>
      <c r="H2010" s="16"/>
      <c r="I2010" s="16"/>
    </row>
    <row r="2011" spans="1:9" x14ac:dyDescent="0.25">
      <c r="A2011" s="41" t="str">
        <f>_xlfn.XLOOKUP(G2011,dd_color!$A$2:$A$8,dd_color!$B$2:$B$8,"",0)</f>
        <v/>
      </c>
      <c r="B2011" s="41">
        <f>_xlfn.XLOOKUP(_xlfn.XLOOKUP(C2011,'Project Details'!$C$17:$C$10003,'Project Details'!$E$17:$E$10003, "",0),dd_design_raw!$A$2:$A$9997,dd_design_raw!$C$2:$C$9997,"",0)</f>
        <v>0</v>
      </c>
      <c r="C2011" s="16"/>
      <c r="D2011" s="16"/>
      <c r="E2011" s="16" t="str" cm="1">
        <f t="array" ref="E2011">IF(C2011&lt;&gt;"", _xlfn.XLOOKUP(1,((SKUs!$A$2:$A$10001=B2011) * (LEFT(SKUs!$J$2:$J$10001, LEN("PVC Sliding Strip"))="PVC Sliding Strip")), SKUs!$J$2:$J$10001,""),"")</f>
        <v/>
      </c>
      <c r="F2011" s="33" t="str" cm="1">
        <f t="array" ref="F2011">_xlfn.XLOOKUP(1,((SKUs!$A$2:$A$10001=cl_unmerged!B2011) * (LEFT(SKUs!$J$2:$J$10001, LEN("PVC Sliding Strip"))="PVC Sliding Strip") * (ISNUMBER(SEARCH(A2011,SKUs!$C$2:$C$10001)))), SKUs!$C$2:$C$10001,"")</f>
        <v/>
      </c>
      <c r="G2011" s="16"/>
      <c r="H2011" s="16"/>
      <c r="I2011" s="16"/>
    </row>
    <row r="2012" spans="1:9" x14ac:dyDescent="0.25">
      <c r="A2012" s="41" t="str">
        <f>_xlfn.XLOOKUP(G2012,dd_color!$A$2:$A$8,dd_color!$B$2:$B$8,"",0)</f>
        <v/>
      </c>
      <c r="B2012" s="41">
        <f>_xlfn.XLOOKUP(_xlfn.XLOOKUP(C2012,'Project Details'!$C$17:$C$10003,'Project Details'!$E$17:$E$10003, "",0),dd_design_raw!$A$2:$A$9997,dd_design_raw!$C$2:$C$9997,"",0)</f>
        <v>0</v>
      </c>
      <c r="C2012" s="16"/>
      <c r="D2012" s="16"/>
      <c r="E2012" s="16" t="str" cm="1">
        <f t="array" ref="E2012">IF(C2012&lt;&gt;"", _xlfn.XLOOKUP(1,((SKUs!$A$2:$A$10001=B2012) * (LEFT(SKUs!$J$2:$J$10001, LEN("PVC Sliding Strip"))="PVC Sliding Strip")), SKUs!$J$2:$J$10001,""),"")</f>
        <v/>
      </c>
      <c r="F2012" s="33" t="str" cm="1">
        <f t="array" ref="F2012">_xlfn.XLOOKUP(1,((SKUs!$A$2:$A$10001=cl_unmerged!B2012) * (LEFT(SKUs!$J$2:$J$10001, LEN("PVC Sliding Strip"))="PVC Sliding Strip") * (ISNUMBER(SEARCH(A2012,SKUs!$C$2:$C$10001)))), SKUs!$C$2:$C$10001,"")</f>
        <v/>
      </c>
      <c r="G2012" s="16"/>
      <c r="H2012" s="16"/>
      <c r="I2012" s="16"/>
    </row>
    <row r="2013" spans="1:9" x14ac:dyDescent="0.25">
      <c r="A2013" s="41" t="str">
        <f>_xlfn.XLOOKUP(G2013,dd_color!$A$2:$A$8,dd_color!$B$2:$B$8,"",0)</f>
        <v/>
      </c>
      <c r="B2013" s="41">
        <f>_xlfn.XLOOKUP(_xlfn.XLOOKUP(C2013,'Project Details'!$C$17:$C$10003,'Project Details'!$E$17:$E$10003, "",0),dd_design_raw!$A$2:$A$9997,dd_design_raw!$C$2:$C$9997,"",0)</f>
        <v>0</v>
      </c>
      <c r="C2013" s="16"/>
      <c r="D2013" s="16"/>
      <c r="E2013" s="16" t="str" cm="1">
        <f t="array" ref="E2013">IF(C2013&lt;&gt;"", _xlfn.XLOOKUP(1,((SKUs!$A$2:$A$10001=B2013) * (LEFT(SKUs!$J$2:$J$10001, LEN("PVC Sliding Strip"))="PVC Sliding Strip")), SKUs!$J$2:$J$10001,""),"")</f>
        <v/>
      </c>
      <c r="F2013" s="33" t="str" cm="1">
        <f t="array" ref="F2013">_xlfn.XLOOKUP(1,((SKUs!$A$2:$A$10001=cl_unmerged!B2013) * (LEFT(SKUs!$J$2:$J$10001, LEN("PVC Sliding Strip"))="PVC Sliding Strip") * (ISNUMBER(SEARCH(A2013,SKUs!$C$2:$C$10001)))), SKUs!$C$2:$C$10001,"")</f>
        <v/>
      </c>
      <c r="G2013" s="16"/>
      <c r="H2013" s="16"/>
      <c r="I2013" s="16"/>
    </row>
    <row r="2014" spans="1:9" ht="13.5" customHeight="1" x14ac:dyDescent="0.25">
      <c r="A2014" s="41" t="str">
        <f>_xlfn.XLOOKUP(G2014,dd_color!$A$2:$A$8,dd_color!$B$2:$B$8,"",0)</f>
        <v/>
      </c>
      <c r="B2014" s="41">
        <f>_xlfn.XLOOKUP(_xlfn.XLOOKUP(C2014,'Project Details'!$C$17:$C$10003,'Project Details'!$E$17:$E$10003, "",0),dd_design_raw!$A$2:$A$9997,dd_design_raw!$C$2:$C$9997,"",0)</f>
        <v>0</v>
      </c>
      <c r="C2014" s="16"/>
      <c r="D2014" s="16"/>
      <c r="E2014" s="16" t="str" cm="1">
        <f t="array" ref="E2014">IF(C2014&lt;&gt;"", _xlfn.XLOOKUP(1,((SKUs!$A$2:$A$10001=B2014) * (LEFT(SKUs!$J$2:$J$10001, LEN("PVC Sliding Strip"))="PVC Sliding Strip")), SKUs!$J$2:$J$10001,""),"")</f>
        <v/>
      </c>
      <c r="F2014" s="33" t="str" cm="1">
        <f t="array" ref="F2014">_xlfn.XLOOKUP(1,((SKUs!$A$2:$A$10001=cl_unmerged!B2014) * (LEFT(SKUs!$J$2:$J$10001, LEN("PVC Sliding Strip"))="PVC Sliding Strip") * (ISNUMBER(SEARCH(A2014,SKUs!$C$2:$C$10001)))), SKUs!$C$2:$C$10001,"")</f>
        <v/>
      </c>
      <c r="G2014" s="16"/>
      <c r="H2014" s="16"/>
      <c r="I2014" s="16"/>
    </row>
    <row r="2015" spans="1:9" ht="13.5" customHeight="1" x14ac:dyDescent="0.25">
      <c r="A2015" s="41" t="str">
        <f>_xlfn.XLOOKUP(G2015,dd_color!$A$2:$A$8,dd_color!$B$2:$B$8,"",0)</f>
        <v/>
      </c>
      <c r="B2015" s="41">
        <f>_xlfn.XLOOKUP(_xlfn.XLOOKUP(C2015,'Project Details'!$C$17:$C$10003,'Project Details'!$E$17:$E$10003, "",0),dd_design_raw!$A$2:$A$9997,dd_design_raw!$C$2:$C$9997,"",0)</f>
        <v>0</v>
      </c>
      <c r="C2015" s="16"/>
      <c r="D2015" s="16"/>
      <c r="E2015" s="16" t="str" cm="1">
        <f t="array" ref="E2015">IF(C2015&lt;&gt;"", _xlfn.XLOOKUP(1,((SKUs!$A$2:$A$10001=B2015) * (LEFT(SKUs!$J$2:$J$10001, LEN("PVC Sliding Strip"))="PVC Sliding Strip")), SKUs!$J$2:$J$10001,""),"")</f>
        <v/>
      </c>
      <c r="F2015" s="33" t="str" cm="1">
        <f t="array" ref="F2015">_xlfn.XLOOKUP(1,((SKUs!$A$2:$A$10001=cl_unmerged!B2015) * (LEFT(SKUs!$J$2:$J$10001, LEN("PVC Sliding Strip"))="PVC Sliding Strip") * (ISNUMBER(SEARCH(A2015,SKUs!$C$2:$C$10001)))), SKUs!$C$2:$C$10001,"")</f>
        <v/>
      </c>
      <c r="G2015" s="16"/>
      <c r="H2015" s="16"/>
      <c r="I2015" s="16"/>
    </row>
    <row r="2016" spans="1:9" ht="13.5" customHeight="1" x14ac:dyDescent="0.25">
      <c r="A2016" s="41" t="str">
        <f>_xlfn.XLOOKUP(G2016,dd_color!$A$2:$A$8,dd_color!$B$2:$B$8,"",0)</f>
        <v/>
      </c>
      <c r="B2016" s="41">
        <f>_xlfn.XLOOKUP(_xlfn.XLOOKUP(C2016,'Project Details'!$C$17:$C$10003,'Project Details'!$E$17:$E$10003, "",0),dd_design_raw!$A$2:$A$9997,dd_design_raw!$C$2:$C$9997,"",0)</f>
        <v>0</v>
      </c>
      <c r="C2016" s="16"/>
      <c r="D2016" s="16"/>
      <c r="E2016" s="16" t="str" cm="1">
        <f t="array" ref="E2016">IF(C2016&lt;&gt;"", _xlfn.XLOOKUP(1,((SKUs!$A$2:$A$10001=B2016) * (LEFT(SKUs!$J$2:$J$10001, LEN("PVC Sliding Strip"))="PVC Sliding Strip")), SKUs!$J$2:$J$10001,""),"")</f>
        <v/>
      </c>
      <c r="F2016" s="33" t="str" cm="1">
        <f t="array" ref="F2016">_xlfn.XLOOKUP(1,((SKUs!$A$2:$A$10001=cl_unmerged!B2016) * (LEFT(SKUs!$J$2:$J$10001, LEN("PVC Sliding Strip"))="PVC Sliding Strip") * (ISNUMBER(SEARCH(A2016,SKUs!$C$2:$C$10001)))), SKUs!$C$2:$C$10001,"")</f>
        <v/>
      </c>
      <c r="G2016" s="16"/>
      <c r="H2016" s="16"/>
      <c r="I2016" s="16"/>
    </row>
    <row r="2017" spans="1:9" ht="13.5" customHeight="1" x14ac:dyDescent="0.25">
      <c r="A2017" s="41" t="str">
        <f>_xlfn.XLOOKUP(G2017,dd_color!$A$2:$A$8,dd_color!$B$2:$B$8,"",0)</f>
        <v/>
      </c>
      <c r="B2017" s="41">
        <f>_xlfn.XLOOKUP(_xlfn.XLOOKUP(C2017,'Project Details'!$C$17:$C$10003,'Project Details'!$E$17:$E$10003, "",0),dd_design_raw!$A$2:$A$9997,dd_design_raw!$C$2:$C$9997,"",0)</f>
        <v>0</v>
      </c>
      <c r="C2017" s="16"/>
      <c r="D2017" s="16"/>
      <c r="E2017" s="16" t="str" cm="1">
        <f t="array" ref="E2017">IF(C2017&lt;&gt;"", _xlfn.XLOOKUP(1,((SKUs!$A$2:$A$10001=B2017) * (LEFT(SKUs!$J$2:$J$10001, LEN("PVC Sliding Strip"))="PVC Sliding Strip")), SKUs!$J$2:$J$10001,""),"")</f>
        <v/>
      </c>
      <c r="F2017" s="33" t="str" cm="1">
        <f t="array" ref="F2017">_xlfn.XLOOKUP(1,((SKUs!$A$2:$A$10001=cl_unmerged!B2017) * (LEFT(SKUs!$J$2:$J$10001, LEN("PVC Sliding Strip"))="PVC Sliding Strip") * (ISNUMBER(SEARCH(A2017,SKUs!$C$2:$C$10001)))), SKUs!$C$2:$C$10001,"")</f>
        <v/>
      </c>
      <c r="G2017" s="16"/>
      <c r="H2017" s="16"/>
      <c r="I2017" s="16"/>
    </row>
    <row r="2018" spans="1:9" ht="13.5" customHeight="1" x14ac:dyDescent="0.25">
      <c r="A2018" s="41" t="str">
        <f>_xlfn.XLOOKUP(G2018,dd_color!$A$2:$A$8,dd_color!$B$2:$B$8,"",0)</f>
        <v/>
      </c>
      <c r="B2018" s="41">
        <f>_xlfn.XLOOKUP(_xlfn.XLOOKUP(C2018,'Project Details'!$C$17:$C$10003,'Project Details'!$E$17:$E$10003, "",0),dd_design_raw!$A$2:$A$9997,dd_design_raw!$C$2:$C$9997,"",0)</f>
        <v>0</v>
      </c>
      <c r="C2018" s="16"/>
      <c r="D2018" s="16"/>
      <c r="E2018" s="16" t="str" cm="1">
        <f t="array" ref="E2018">IF(C2018&lt;&gt;"", _xlfn.XLOOKUP(1,((SKUs!$A$2:$A$10001=B2018) * (LEFT(SKUs!$J$2:$J$10001, LEN("PVC Sliding Strip"))="PVC Sliding Strip")), SKUs!$J$2:$J$10001,""),"")</f>
        <v/>
      </c>
      <c r="F2018" s="33" t="str" cm="1">
        <f t="array" ref="F2018">_xlfn.XLOOKUP(1,((SKUs!$A$2:$A$10001=cl_unmerged!B2018) * (LEFT(SKUs!$J$2:$J$10001, LEN("PVC Sliding Strip"))="PVC Sliding Strip") * (ISNUMBER(SEARCH(A2018,SKUs!$C$2:$C$10001)))), SKUs!$C$2:$C$10001,"")</f>
        <v/>
      </c>
      <c r="G2018" s="16"/>
      <c r="H2018" s="16"/>
      <c r="I2018" s="16"/>
    </row>
    <row r="2019" spans="1:9" ht="13.5" customHeight="1" x14ac:dyDescent="0.25">
      <c r="A2019" s="41" t="str">
        <f>_xlfn.XLOOKUP(G2019,dd_color!$A$2:$A$8,dd_color!$B$2:$B$8,"",0)</f>
        <v/>
      </c>
      <c r="B2019" s="41">
        <f>_xlfn.XLOOKUP(_xlfn.XLOOKUP(C2019,'Project Details'!$C$17:$C$10003,'Project Details'!$E$17:$E$10003, "",0),dd_design_raw!$A$2:$A$9997,dd_design_raw!$C$2:$C$9997,"",0)</f>
        <v>0</v>
      </c>
      <c r="C2019" s="16"/>
      <c r="D2019" s="16"/>
      <c r="E2019" s="16" t="str" cm="1">
        <f t="array" ref="E2019">IF(C2019&lt;&gt;"", _xlfn.XLOOKUP(1,((SKUs!$A$2:$A$10001=B2019) * (LEFT(SKUs!$J$2:$J$10001, LEN("PVC Sliding Strip"))="PVC Sliding Strip")), SKUs!$J$2:$J$10001,""),"")</f>
        <v/>
      </c>
      <c r="F2019" s="33" t="str" cm="1">
        <f t="array" ref="F2019">_xlfn.XLOOKUP(1,((SKUs!$A$2:$A$10001=cl_unmerged!B2019) * (LEFT(SKUs!$J$2:$J$10001, LEN("PVC Sliding Strip"))="PVC Sliding Strip") * (ISNUMBER(SEARCH(A2019,SKUs!$C$2:$C$10001)))), SKUs!$C$2:$C$10001,"")</f>
        <v/>
      </c>
      <c r="G2019" s="16"/>
      <c r="H2019" s="16"/>
      <c r="I2019" s="16"/>
    </row>
    <row r="2020" spans="1:9" ht="13.5" customHeight="1" x14ac:dyDescent="0.25">
      <c r="A2020" s="41" t="str">
        <f>_xlfn.XLOOKUP(G2020,dd_color!$A$2:$A$8,dd_color!$B$2:$B$8,"",0)</f>
        <v/>
      </c>
      <c r="B2020" s="41">
        <f>_xlfn.XLOOKUP(_xlfn.XLOOKUP(C2020,'Project Details'!$C$17:$C$10003,'Project Details'!$E$17:$E$10003, "",0),dd_design_raw!$A$2:$A$9997,dd_design_raw!$C$2:$C$9997,"",0)</f>
        <v>0</v>
      </c>
      <c r="C2020" s="16"/>
      <c r="D2020" s="16"/>
      <c r="E2020" s="16" t="str" cm="1">
        <f t="array" ref="E2020">IF(C2020&lt;&gt;"", _xlfn.XLOOKUP(1,((SKUs!$A$2:$A$10001=B2020) * (LEFT(SKUs!$J$2:$J$10001, LEN("PVC Sliding Strip"))="PVC Sliding Strip")), SKUs!$J$2:$J$10001,""),"")</f>
        <v/>
      </c>
      <c r="F2020" s="33" t="str" cm="1">
        <f t="array" ref="F2020">_xlfn.XLOOKUP(1,((SKUs!$A$2:$A$10001=cl_unmerged!B2020) * (LEFT(SKUs!$J$2:$J$10001, LEN("PVC Sliding Strip"))="PVC Sliding Strip") * (ISNUMBER(SEARCH(A2020,SKUs!$C$2:$C$10001)))), SKUs!$C$2:$C$10001,"")</f>
        <v/>
      </c>
      <c r="G2020" s="16"/>
      <c r="H2020" s="16"/>
      <c r="I2020" s="16"/>
    </row>
    <row r="2021" spans="1:9" ht="13.5" customHeight="1" x14ac:dyDescent="0.25">
      <c r="A2021" s="41" t="str">
        <f>_xlfn.XLOOKUP(G2021,dd_color!$A$2:$A$8,dd_color!$B$2:$B$8,"",0)</f>
        <v/>
      </c>
      <c r="B2021" s="41">
        <f>_xlfn.XLOOKUP(_xlfn.XLOOKUP(C2021,'Project Details'!$C$17:$C$10003,'Project Details'!$E$17:$E$10003, "",0),dd_design_raw!$A$2:$A$9997,dd_design_raw!$C$2:$C$9997,"",0)</f>
        <v>0</v>
      </c>
      <c r="C2021" s="16"/>
      <c r="D2021" s="16"/>
      <c r="E2021" s="16" t="str" cm="1">
        <f t="array" ref="E2021">IF(C2021&lt;&gt;"", _xlfn.XLOOKUP(1,((SKUs!$A$2:$A$10001=B2021) * (LEFT(SKUs!$J$2:$J$10001, LEN("PVC Sliding Strip"))="PVC Sliding Strip")), SKUs!$J$2:$J$10001,""),"")</f>
        <v/>
      </c>
      <c r="F2021" s="33" t="str" cm="1">
        <f t="array" ref="F2021">_xlfn.XLOOKUP(1,((SKUs!$A$2:$A$10001=cl_unmerged!B2021) * (LEFT(SKUs!$J$2:$J$10001, LEN("PVC Sliding Strip"))="PVC Sliding Strip") * (ISNUMBER(SEARCH(A2021,SKUs!$C$2:$C$10001)))), SKUs!$C$2:$C$10001,"")</f>
        <v/>
      </c>
      <c r="G2021" s="16"/>
      <c r="H2021" s="16"/>
      <c r="I2021" s="16"/>
    </row>
    <row r="2022" spans="1:9" ht="13.5" customHeight="1" x14ac:dyDescent="0.25">
      <c r="A2022" s="41" t="str">
        <f>_xlfn.XLOOKUP(G2022,dd_color!$A$2:$A$8,dd_color!$B$2:$B$8,"",0)</f>
        <v/>
      </c>
      <c r="B2022" s="41">
        <f>_xlfn.XLOOKUP(_xlfn.XLOOKUP(C2022,'Project Details'!$C$17:$C$10003,'Project Details'!$E$17:$E$10003, "",0),dd_design_raw!$A$2:$A$9997,dd_design_raw!$C$2:$C$9997,"",0)</f>
        <v>0</v>
      </c>
      <c r="C2022" s="16"/>
      <c r="D2022" s="16"/>
      <c r="E2022" s="16" t="str" cm="1">
        <f t="array" ref="E2022">IF(C2022&lt;&gt;"", _xlfn.XLOOKUP(1,((SKUs!$A$2:$A$10001=B2022) * (LEFT(SKUs!$J$2:$J$10001, LEN("PVC Sliding Strip"))="PVC Sliding Strip")), SKUs!$J$2:$J$10001,""),"")</f>
        <v/>
      </c>
      <c r="F2022" s="33" t="str" cm="1">
        <f t="array" ref="F2022">_xlfn.XLOOKUP(1,((SKUs!$A$2:$A$10001=cl_unmerged!B2022) * (LEFT(SKUs!$J$2:$J$10001, LEN("PVC Sliding Strip"))="PVC Sliding Strip") * (ISNUMBER(SEARCH(A2022,SKUs!$C$2:$C$10001)))), SKUs!$C$2:$C$10001,"")</f>
        <v/>
      </c>
      <c r="G2022" s="16"/>
      <c r="H2022" s="16"/>
      <c r="I2022" s="16"/>
    </row>
    <row r="2023" spans="1:9" ht="13.5" customHeight="1" x14ac:dyDescent="0.25">
      <c r="A2023" s="41" t="str">
        <f>_xlfn.XLOOKUP(G2023,dd_color!$A$2:$A$8,dd_color!$B$2:$B$8,"",0)</f>
        <v/>
      </c>
      <c r="B2023" s="41">
        <f>_xlfn.XLOOKUP(_xlfn.XLOOKUP(C2023,'Project Details'!$C$17:$C$10003,'Project Details'!$E$17:$E$10003, "",0),dd_design_raw!$A$2:$A$9997,dd_design_raw!$C$2:$C$9997,"",0)</f>
        <v>0</v>
      </c>
      <c r="C2023" s="16"/>
      <c r="D2023" s="16"/>
      <c r="E2023" s="16" t="str" cm="1">
        <f t="array" ref="E2023">IF(C2023&lt;&gt;"", _xlfn.XLOOKUP(1,((SKUs!$A$2:$A$10001=B2023) * (LEFT(SKUs!$J$2:$J$10001, LEN("PVC Sliding Strip"))="PVC Sliding Strip")), SKUs!$J$2:$J$10001,""),"")</f>
        <v/>
      </c>
      <c r="F2023" s="33" t="str" cm="1">
        <f t="array" ref="F2023">_xlfn.XLOOKUP(1,((SKUs!$A$2:$A$10001=cl_unmerged!B2023) * (LEFT(SKUs!$J$2:$J$10001, LEN("PVC Sliding Strip"))="PVC Sliding Strip") * (ISNUMBER(SEARCH(A2023,SKUs!$C$2:$C$10001)))), SKUs!$C$2:$C$10001,"")</f>
        <v/>
      </c>
      <c r="G2023" s="16"/>
      <c r="H2023" s="16"/>
      <c r="I2023" s="16"/>
    </row>
    <row r="2024" spans="1:9" ht="13.5" customHeight="1" x14ac:dyDescent="0.25">
      <c r="A2024" s="41" t="str">
        <f>_xlfn.XLOOKUP(G2024,dd_color!$A$2:$A$8,dd_color!$B$2:$B$8,"",0)</f>
        <v/>
      </c>
      <c r="B2024" s="41">
        <f>_xlfn.XLOOKUP(_xlfn.XLOOKUP(C2024,'Project Details'!$C$17:$C$10003,'Project Details'!$E$17:$E$10003, "",0),dd_design_raw!$A$2:$A$9997,dd_design_raw!$C$2:$C$9997,"",0)</f>
        <v>0</v>
      </c>
      <c r="C2024" s="16"/>
      <c r="D2024" s="16"/>
      <c r="E2024" s="16" t="str" cm="1">
        <f t="array" ref="E2024">IF(C2024&lt;&gt;"", _xlfn.XLOOKUP(1,((SKUs!$A$2:$A$10001=B2024) * (LEFT(SKUs!$J$2:$J$10001, LEN("PVC Sliding Strip"))="PVC Sliding Strip")), SKUs!$J$2:$J$10001,""),"")</f>
        <v/>
      </c>
      <c r="F2024" s="33" t="str" cm="1">
        <f t="array" ref="F2024">_xlfn.XLOOKUP(1,((SKUs!$A$2:$A$10001=cl_unmerged!B2024) * (LEFT(SKUs!$J$2:$J$10001, LEN("PVC Sliding Strip"))="PVC Sliding Strip") * (ISNUMBER(SEARCH(A2024,SKUs!$C$2:$C$10001)))), SKUs!$C$2:$C$10001,"")</f>
        <v/>
      </c>
      <c r="G2024" s="16"/>
      <c r="H2024" s="16"/>
      <c r="I2024" s="16"/>
    </row>
    <row r="2025" spans="1:9" ht="13.5" customHeight="1" x14ac:dyDescent="0.25">
      <c r="A2025" s="41" t="str">
        <f>_xlfn.XLOOKUP(G2025,dd_color!$A$2:$A$8,dd_color!$B$2:$B$8,"",0)</f>
        <v/>
      </c>
      <c r="B2025" s="41">
        <f>_xlfn.XLOOKUP(_xlfn.XLOOKUP(C2025,'Project Details'!$C$17:$C$10003,'Project Details'!$E$17:$E$10003, "",0),dd_design_raw!$A$2:$A$9997,dd_design_raw!$C$2:$C$9997,"",0)</f>
        <v>0</v>
      </c>
      <c r="C2025" s="16"/>
      <c r="D2025" s="16"/>
      <c r="E2025" s="16" t="str" cm="1">
        <f t="array" ref="E2025">IF(C2025&lt;&gt;"", _xlfn.XLOOKUP(1,((SKUs!$A$2:$A$10001=B2025) * (LEFT(SKUs!$J$2:$J$10001, LEN("PVC Sliding Strip"))="PVC Sliding Strip")), SKUs!$J$2:$J$10001,""),"")</f>
        <v/>
      </c>
      <c r="F2025" s="33" t="str" cm="1">
        <f t="array" ref="F2025">_xlfn.XLOOKUP(1,((SKUs!$A$2:$A$10001=cl_unmerged!B2025) * (LEFT(SKUs!$J$2:$J$10001, LEN("PVC Sliding Strip"))="PVC Sliding Strip") * (ISNUMBER(SEARCH(A2025,SKUs!$C$2:$C$10001)))), SKUs!$C$2:$C$10001,"")</f>
        <v/>
      </c>
      <c r="G2025" s="16"/>
      <c r="H2025" s="16"/>
      <c r="I2025" s="16"/>
    </row>
    <row r="2026" spans="1:9" ht="13.5" customHeight="1" x14ac:dyDescent="0.25">
      <c r="A2026" s="41" t="str">
        <f>_xlfn.XLOOKUP(G2026,dd_color!$A$2:$A$8,dd_color!$B$2:$B$8,"",0)</f>
        <v/>
      </c>
      <c r="B2026" s="41">
        <f>_xlfn.XLOOKUP(_xlfn.XLOOKUP(C2026,'Project Details'!$C$17:$C$10003,'Project Details'!$E$17:$E$10003, "",0),dd_design_raw!$A$2:$A$9997,dd_design_raw!$C$2:$C$9997,"",0)</f>
        <v>0</v>
      </c>
      <c r="C2026" s="16"/>
      <c r="D2026" s="16"/>
      <c r="E2026" s="16" t="str" cm="1">
        <f t="array" ref="E2026">IF(C2026&lt;&gt;"", _xlfn.XLOOKUP(1,((SKUs!$A$2:$A$10001=B2026) * (LEFT(SKUs!$J$2:$J$10001, LEN("PVC Sliding Strip"))="PVC Sliding Strip")), SKUs!$J$2:$J$10001,""),"")</f>
        <v/>
      </c>
      <c r="F2026" s="33" t="str" cm="1">
        <f t="array" ref="F2026">_xlfn.XLOOKUP(1,((SKUs!$A$2:$A$10001=cl_unmerged!B2026) * (LEFT(SKUs!$J$2:$J$10001, LEN("PVC Sliding Strip"))="PVC Sliding Strip") * (ISNUMBER(SEARCH(A2026,SKUs!$C$2:$C$10001)))), SKUs!$C$2:$C$10001,"")</f>
        <v/>
      </c>
      <c r="G2026" s="16"/>
      <c r="H2026" s="16"/>
      <c r="I2026" s="16"/>
    </row>
    <row r="2027" spans="1:9" ht="13.5" customHeight="1" x14ac:dyDescent="0.25">
      <c r="A2027" s="41" t="str">
        <f>_xlfn.XLOOKUP(G2027,dd_color!$A$2:$A$8,dd_color!$B$2:$B$8,"",0)</f>
        <v/>
      </c>
      <c r="B2027" s="41">
        <f>_xlfn.XLOOKUP(_xlfn.XLOOKUP(C2027,'Project Details'!$C$17:$C$10003,'Project Details'!$E$17:$E$10003, "",0),dd_design_raw!$A$2:$A$9997,dd_design_raw!$C$2:$C$9997,"",0)</f>
        <v>0</v>
      </c>
      <c r="C2027" s="16"/>
      <c r="D2027" s="16"/>
      <c r="E2027" s="16" t="str" cm="1">
        <f t="array" ref="E2027">IF(C2027&lt;&gt;"", _xlfn.XLOOKUP(1,((SKUs!$A$2:$A$10001=B2027) * (LEFT(SKUs!$J$2:$J$10001, LEN("PVC Sliding Strip"))="PVC Sliding Strip")), SKUs!$J$2:$J$10001,""),"")</f>
        <v/>
      </c>
      <c r="F2027" s="33" t="str" cm="1">
        <f t="array" ref="F2027">_xlfn.XLOOKUP(1,((SKUs!$A$2:$A$10001=cl_unmerged!B2027) * (LEFT(SKUs!$J$2:$J$10001, LEN("PVC Sliding Strip"))="PVC Sliding Strip") * (ISNUMBER(SEARCH(A2027,SKUs!$C$2:$C$10001)))), SKUs!$C$2:$C$10001,"")</f>
        <v/>
      </c>
      <c r="G2027" s="16"/>
      <c r="H2027" s="16"/>
      <c r="I2027" s="16"/>
    </row>
    <row r="2028" spans="1:9" ht="13.5" customHeight="1" x14ac:dyDescent="0.25">
      <c r="A2028" s="41" t="str">
        <f>_xlfn.XLOOKUP(G2028,dd_color!$A$2:$A$8,dd_color!$B$2:$B$8,"",0)</f>
        <v/>
      </c>
      <c r="B2028" s="41">
        <f>_xlfn.XLOOKUP(_xlfn.XLOOKUP(C2028,'Project Details'!$C$17:$C$10003,'Project Details'!$E$17:$E$10003, "",0),dd_design_raw!$A$2:$A$9997,dd_design_raw!$C$2:$C$9997,"",0)</f>
        <v>0</v>
      </c>
      <c r="C2028" s="16"/>
      <c r="D2028" s="16"/>
      <c r="E2028" s="16" t="str" cm="1">
        <f t="array" ref="E2028">IF(C2028&lt;&gt;"", _xlfn.XLOOKUP(1,((SKUs!$A$2:$A$10001=B2028) * (LEFT(SKUs!$J$2:$J$10001, LEN("PVC Sliding Strip"))="PVC Sliding Strip")), SKUs!$J$2:$J$10001,""),"")</f>
        <v/>
      </c>
      <c r="F2028" s="33" t="str" cm="1">
        <f t="array" ref="F2028">_xlfn.XLOOKUP(1,((SKUs!$A$2:$A$10001=cl_unmerged!B2028) * (LEFT(SKUs!$J$2:$J$10001, LEN("PVC Sliding Strip"))="PVC Sliding Strip") * (ISNUMBER(SEARCH(A2028,SKUs!$C$2:$C$10001)))), SKUs!$C$2:$C$10001,"")</f>
        <v/>
      </c>
      <c r="G2028" s="16"/>
      <c r="H2028" s="16"/>
      <c r="I2028" s="16"/>
    </row>
    <row r="2029" spans="1:9" ht="13.5" customHeight="1" x14ac:dyDescent="0.25">
      <c r="A2029" s="41" t="str">
        <f>_xlfn.XLOOKUP(G2029,dd_color!$A$2:$A$8,dd_color!$B$2:$B$8,"",0)</f>
        <v/>
      </c>
      <c r="B2029" s="41">
        <f>_xlfn.XLOOKUP(_xlfn.XLOOKUP(C2029,'Project Details'!$C$17:$C$10003,'Project Details'!$E$17:$E$10003, "",0),dd_design_raw!$A$2:$A$9997,dd_design_raw!$C$2:$C$9997,"",0)</f>
        <v>0</v>
      </c>
      <c r="C2029" s="16"/>
      <c r="D2029" s="16"/>
      <c r="E2029" s="16" t="str" cm="1">
        <f t="array" ref="E2029">IF(C2029&lt;&gt;"", _xlfn.XLOOKUP(1,((SKUs!$A$2:$A$10001=B2029) * (LEFT(SKUs!$J$2:$J$10001, LEN("PVC Sliding Strip"))="PVC Sliding Strip")), SKUs!$J$2:$J$10001,""),"")</f>
        <v/>
      </c>
      <c r="F2029" s="33" t="str" cm="1">
        <f t="array" ref="F2029">_xlfn.XLOOKUP(1,((SKUs!$A$2:$A$10001=cl_unmerged!B2029) * (LEFT(SKUs!$J$2:$J$10001, LEN("PVC Sliding Strip"))="PVC Sliding Strip") * (ISNUMBER(SEARCH(A2029,SKUs!$C$2:$C$10001)))), SKUs!$C$2:$C$10001,"")</f>
        <v/>
      </c>
      <c r="G2029" s="16"/>
      <c r="H2029" s="16"/>
      <c r="I2029" s="16"/>
    </row>
    <row r="2030" spans="1:9" ht="13.5" customHeight="1" x14ac:dyDescent="0.25">
      <c r="A2030" s="41" t="str">
        <f>_xlfn.XLOOKUP(G2030,dd_color!$A$2:$A$8,dd_color!$B$2:$B$8,"",0)</f>
        <v/>
      </c>
      <c r="B2030" s="41">
        <f>_xlfn.XLOOKUP(_xlfn.XLOOKUP(C2030,'Project Details'!$C$17:$C$10003,'Project Details'!$E$17:$E$10003, "",0),dd_design_raw!$A$2:$A$9997,dd_design_raw!$C$2:$C$9997,"",0)</f>
        <v>0</v>
      </c>
      <c r="C2030" s="16"/>
      <c r="D2030" s="16"/>
      <c r="E2030" s="16" t="str" cm="1">
        <f t="array" ref="E2030">IF(C2030&lt;&gt;"", _xlfn.XLOOKUP(1,((SKUs!$A$2:$A$10001=B2030) * (LEFT(SKUs!$J$2:$J$10001, LEN("PVC Sliding Strip"))="PVC Sliding Strip")), SKUs!$J$2:$J$10001,""),"")</f>
        <v/>
      </c>
      <c r="F2030" s="33" t="str" cm="1">
        <f t="array" ref="F2030">_xlfn.XLOOKUP(1,((SKUs!$A$2:$A$10001=cl_unmerged!B2030) * (LEFT(SKUs!$J$2:$J$10001, LEN("PVC Sliding Strip"))="PVC Sliding Strip") * (ISNUMBER(SEARCH(A2030,SKUs!$C$2:$C$10001)))), SKUs!$C$2:$C$10001,"")</f>
        <v/>
      </c>
      <c r="G2030" s="16"/>
      <c r="H2030" s="16"/>
      <c r="I2030" s="16"/>
    </row>
    <row r="2031" spans="1:9" ht="13.5" customHeight="1" x14ac:dyDescent="0.25">
      <c r="A2031" s="41" t="str">
        <f>_xlfn.XLOOKUP(G2031,dd_color!$A$2:$A$8,dd_color!$B$2:$B$8,"",0)</f>
        <v/>
      </c>
      <c r="B2031" s="41">
        <f>_xlfn.XLOOKUP(_xlfn.XLOOKUP(C2031,'Project Details'!$C$17:$C$10003,'Project Details'!$E$17:$E$10003, "",0),dd_design_raw!$A$2:$A$9997,dd_design_raw!$C$2:$C$9997,"",0)</f>
        <v>0</v>
      </c>
      <c r="C2031" s="16"/>
      <c r="D2031" s="16"/>
      <c r="E2031" s="16" t="str" cm="1">
        <f t="array" ref="E2031">IF(C2031&lt;&gt;"", _xlfn.XLOOKUP(1,((SKUs!$A$2:$A$10001=B2031) * (LEFT(SKUs!$J$2:$J$10001, LEN("PVC Sliding Strip"))="PVC Sliding Strip")), SKUs!$J$2:$J$10001,""),"")</f>
        <v/>
      </c>
      <c r="F2031" s="33" t="str" cm="1">
        <f t="array" ref="F2031">_xlfn.XLOOKUP(1,((SKUs!$A$2:$A$10001=cl_unmerged!B2031) * (LEFT(SKUs!$J$2:$J$10001, LEN("PVC Sliding Strip"))="PVC Sliding Strip") * (ISNUMBER(SEARCH(A2031,SKUs!$C$2:$C$10001)))), SKUs!$C$2:$C$10001,"")</f>
        <v/>
      </c>
      <c r="G2031" s="16"/>
      <c r="H2031" s="16"/>
      <c r="I2031" s="16"/>
    </row>
    <row r="2032" spans="1:9" ht="13.5" customHeight="1" x14ac:dyDescent="0.25">
      <c r="A2032" s="41" t="str">
        <f>_xlfn.XLOOKUP(G2032,dd_color!$A$2:$A$8,dd_color!$B$2:$B$8,"",0)</f>
        <v/>
      </c>
      <c r="B2032" s="41">
        <f>_xlfn.XLOOKUP(_xlfn.XLOOKUP(C2032,'Project Details'!$C$17:$C$10003,'Project Details'!$E$17:$E$10003, "",0),dd_design_raw!$A$2:$A$9997,dd_design_raw!$C$2:$C$9997,"",0)</f>
        <v>0</v>
      </c>
      <c r="C2032" s="16"/>
      <c r="D2032" s="16"/>
      <c r="E2032" s="16" t="str" cm="1">
        <f t="array" ref="E2032">IF(C2032&lt;&gt;"", _xlfn.XLOOKUP(1,((SKUs!$A$2:$A$10001=B2032) * (LEFT(SKUs!$J$2:$J$10001, LEN("PVC Sliding Strip"))="PVC Sliding Strip")), SKUs!$J$2:$J$10001,""),"")</f>
        <v/>
      </c>
      <c r="F2032" s="33" t="str" cm="1">
        <f t="array" ref="F2032">_xlfn.XLOOKUP(1,((SKUs!$A$2:$A$10001=cl_unmerged!B2032) * (LEFT(SKUs!$J$2:$J$10001, LEN("PVC Sliding Strip"))="PVC Sliding Strip") * (ISNUMBER(SEARCH(A2032,SKUs!$C$2:$C$10001)))), SKUs!$C$2:$C$10001,"")</f>
        <v/>
      </c>
      <c r="G2032" s="16"/>
      <c r="H2032" s="16"/>
      <c r="I2032" s="16"/>
    </row>
    <row r="2033" spans="1:9" ht="13.5" customHeight="1" x14ac:dyDescent="0.25">
      <c r="A2033" s="41" t="str">
        <f>_xlfn.XLOOKUP(G2033,dd_color!$A$2:$A$8,dd_color!$B$2:$B$8,"",0)</f>
        <v/>
      </c>
      <c r="B2033" s="41">
        <f>_xlfn.XLOOKUP(_xlfn.XLOOKUP(C2033,'Project Details'!$C$17:$C$10003,'Project Details'!$E$17:$E$10003, "",0),dd_design_raw!$A$2:$A$9997,dd_design_raw!$C$2:$C$9997,"",0)</f>
        <v>0</v>
      </c>
      <c r="C2033" s="16"/>
      <c r="D2033" s="16"/>
      <c r="E2033" s="16" t="str" cm="1">
        <f t="array" ref="E2033">IF(C2033&lt;&gt;"", _xlfn.XLOOKUP(1,((SKUs!$A$2:$A$10001=B2033) * (LEFT(SKUs!$J$2:$J$10001, LEN("PVC Sliding Strip"))="PVC Sliding Strip")), SKUs!$J$2:$J$10001,""),"")</f>
        <v/>
      </c>
      <c r="F2033" s="33" t="str" cm="1">
        <f t="array" ref="F2033">_xlfn.XLOOKUP(1,((SKUs!$A$2:$A$10001=cl_unmerged!B2033) * (LEFT(SKUs!$J$2:$J$10001, LEN("PVC Sliding Strip"))="PVC Sliding Strip") * (ISNUMBER(SEARCH(A2033,SKUs!$C$2:$C$10001)))), SKUs!$C$2:$C$10001,"")</f>
        <v/>
      </c>
      <c r="G2033" s="16"/>
      <c r="H2033" s="16"/>
      <c r="I2033" s="16"/>
    </row>
    <row r="2034" spans="1:9" ht="13.5" customHeight="1" x14ac:dyDescent="0.25">
      <c r="A2034" s="41" t="str">
        <f>_xlfn.XLOOKUP(G2034,dd_color!$A$2:$A$8,dd_color!$B$2:$B$8,"",0)</f>
        <v/>
      </c>
      <c r="B2034" s="41">
        <f>_xlfn.XLOOKUP(_xlfn.XLOOKUP(C2034,'Project Details'!$C$17:$C$10003,'Project Details'!$E$17:$E$10003, "",0),dd_design_raw!$A$2:$A$9997,dd_design_raw!$C$2:$C$9997,"",0)</f>
        <v>0</v>
      </c>
      <c r="C2034" s="16"/>
      <c r="D2034" s="16"/>
      <c r="E2034" s="16" t="str" cm="1">
        <f t="array" ref="E2034">IF(C2034&lt;&gt;"", _xlfn.XLOOKUP(1,((SKUs!$A$2:$A$10001=B2034) * (LEFT(SKUs!$J$2:$J$10001, LEN("PVC Sliding Strip"))="PVC Sliding Strip")), SKUs!$J$2:$J$10001,""),"")</f>
        <v/>
      </c>
      <c r="F2034" s="33" t="str" cm="1">
        <f t="array" ref="F2034">_xlfn.XLOOKUP(1,((SKUs!$A$2:$A$10001=cl_unmerged!B2034) * (LEFT(SKUs!$J$2:$J$10001, LEN("PVC Sliding Strip"))="PVC Sliding Strip") * (ISNUMBER(SEARCH(A2034,SKUs!$C$2:$C$10001)))), SKUs!$C$2:$C$10001,"")</f>
        <v/>
      </c>
      <c r="G2034" s="16"/>
      <c r="H2034" s="16"/>
      <c r="I2034" s="16"/>
    </row>
    <row r="2035" spans="1:9" ht="13.5" customHeight="1" x14ac:dyDescent="0.25">
      <c r="A2035" s="41" t="str">
        <f>_xlfn.XLOOKUP(G2035,dd_color!$A$2:$A$8,dd_color!$B$2:$B$8,"",0)</f>
        <v/>
      </c>
      <c r="B2035" s="41">
        <f>_xlfn.XLOOKUP(_xlfn.XLOOKUP(C2035,'Project Details'!$C$17:$C$10003,'Project Details'!$E$17:$E$10003, "",0),dd_design_raw!$A$2:$A$9997,dd_design_raw!$C$2:$C$9997,"",0)</f>
        <v>0</v>
      </c>
      <c r="C2035" s="16"/>
      <c r="D2035" s="16"/>
      <c r="E2035" s="16" t="str" cm="1">
        <f t="array" ref="E2035">IF(C2035&lt;&gt;"", _xlfn.XLOOKUP(1,((SKUs!$A$2:$A$10001=B2035) * (LEFT(SKUs!$J$2:$J$10001, LEN("PVC Sliding Strip"))="PVC Sliding Strip")), SKUs!$J$2:$J$10001,""),"")</f>
        <v/>
      </c>
      <c r="F2035" s="33" t="str" cm="1">
        <f t="array" ref="F2035">_xlfn.XLOOKUP(1,((SKUs!$A$2:$A$10001=cl_unmerged!B2035) * (LEFT(SKUs!$J$2:$J$10001, LEN("PVC Sliding Strip"))="PVC Sliding Strip") * (ISNUMBER(SEARCH(A2035,SKUs!$C$2:$C$10001)))), SKUs!$C$2:$C$10001,"")</f>
        <v/>
      </c>
      <c r="G2035" s="16"/>
      <c r="H2035" s="16"/>
      <c r="I2035" s="16"/>
    </row>
    <row r="2036" spans="1:9" ht="13.5" customHeight="1" x14ac:dyDescent="0.25">
      <c r="A2036" s="41" t="str">
        <f>_xlfn.XLOOKUP(G2036,dd_color!$A$2:$A$8,dd_color!$B$2:$B$8,"",0)</f>
        <v/>
      </c>
      <c r="B2036" s="41">
        <f>_xlfn.XLOOKUP(_xlfn.XLOOKUP(C2036,'Project Details'!$C$17:$C$10003,'Project Details'!$E$17:$E$10003, "",0),dd_design_raw!$A$2:$A$9997,dd_design_raw!$C$2:$C$9997,"",0)</f>
        <v>0</v>
      </c>
      <c r="C2036" s="16"/>
      <c r="D2036" s="16"/>
      <c r="E2036" s="16" t="str" cm="1">
        <f t="array" ref="E2036">IF(C2036&lt;&gt;"", _xlfn.XLOOKUP(1,((SKUs!$A$2:$A$10001=B2036) * (LEFT(SKUs!$J$2:$J$10001, LEN("PVC Sliding Strip"))="PVC Sliding Strip")), SKUs!$J$2:$J$10001,""),"")</f>
        <v/>
      </c>
      <c r="F2036" s="33" t="str" cm="1">
        <f t="array" ref="F2036">_xlfn.XLOOKUP(1,((SKUs!$A$2:$A$10001=cl_unmerged!B2036) * (LEFT(SKUs!$J$2:$J$10001, LEN("PVC Sliding Strip"))="PVC Sliding Strip") * (ISNUMBER(SEARCH(A2036,SKUs!$C$2:$C$10001)))), SKUs!$C$2:$C$10001,"")</f>
        <v/>
      </c>
      <c r="G2036" s="16"/>
      <c r="H2036" s="16"/>
      <c r="I2036" s="16"/>
    </row>
    <row r="2037" spans="1:9" ht="13.5" customHeight="1" x14ac:dyDescent="0.25">
      <c r="A2037" s="41" t="str">
        <f>_xlfn.XLOOKUP(G2037,dd_color!$A$2:$A$8,dd_color!$B$2:$B$8,"",0)</f>
        <v/>
      </c>
      <c r="B2037" s="41">
        <f>_xlfn.XLOOKUP(_xlfn.XLOOKUP(C2037,'Project Details'!$C$17:$C$10003,'Project Details'!$E$17:$E$10003, "",0),dd_design_raw!$A$2:$A$9997,dd_design_raw!$C$2:$C$9997,"",0)</f>
        <v>0</v>
      </c>
      <c r="C2037" s="16"/>
      <c r="D2037" s="16"/>
      <c r="E2037" s="16" t="str" cm="1">
        <f t="array" ref="E2037">IF(C2037&lt;&gt;"", _xlfn.XLOOKUP(1,((SKUs!$A$2:$A$10001=B2037) * (LEFT(SKUs!$J$2:$J$10001, LEN("PVC Sliding Strip"))="PVC Sliding Strip")), SKUs!$J$2:$J$10001,""),"")</f>
        <v/>
      </c>
      <c r="F2037" s="33" t="str" cm="1">
        <f t="array" ref="F2037">_xlfn.XLOOKUP(1,((SKUs!$A$2:$A$10001=cl_unmerged!B2037) * (LEFT(SKUs!$J$2:$J$10001, LEN("PVC Sliding Strip"))="PVC Sliding Strip") * (ISNUMBER(SEARCH(A2037,SKUs!$C$2:$C$10001)))), SKUs!$C$2:$C$10001,"")</f>
        <v/>
      </c>
      <c r="G2037" s="16"/>
      <c r="H2037" s="16"/>
      <c r="I2037" s="16"/>
    </row>
    <row r="2038" spans="1:9" ht="13.5" customHeight="1" x14ac:dyDescent="0.25">
      <c r="A2038" s="41" t="str">
        <f>_xlfn.XLOOKUP(G2038,dd_color!$A$2:$A$8,dd_color!$B$2:$B$8,"",0)</f>
        <v/>
      </c>
      <c r="B2038" s="41">
        <f>_xlfn.XLOOKUP(_xlfn.XLOOKUP(C2038,'Project Details'!$C$17:$C$10003,'Project Details'!$E$17:$E$10003, "",0),dd_design_raw!$A$2:$A$9997,dd_design_raw!$C$2:$C$9997,"",0)</f>
        <v>0</v>
      </c>
      <c r="C2038" s="16"/>
      <c r="D2038" s="16"/>
      <c r="E2038" s="16" t="str" cm="1">
        <f t="array" ref="E2038">IF(C2038&lt;&gt;"", _xlfn.XLOOKUP(1,((SKUs!$A$2:$A$10001=B2038) * (LEFT(SKUs!$J$2:$J$10001, LEN("PVC Sliding Strip"))="PVC Sliding Strip")), SKUs!$J$2:$J$10001,""),"")</f>
        <v/>
      </c>
      <c r="F2038" s="33" t="str" cm="1">
        <f t="array" ref="F2038">_xlfn.XLOOKUP(1,((SKUs!$A$2:$A$10001=cl_unmerged!B2038) * (LEFT(SKUs!$J$2:$J$10001, LEN("PVC Sliding Strip"))="PVC Sliding Strip") * (ISNUMBER(SEARCH(A2038,SKUs!$C$2:$C$10001)))), SKUs!$C$2:$C$10001,"")</f>
        <v/>
      </c>
      <c r="G2038" s="16"/>
      <c r="H2038" s="16"/>
      <c r="I2038" s="16"/>
    </row>
    <row r="2039" spans="1:9" ht="13.5" customHeight="1" x14ac:dyDescent="0.25">
      <c r="A2039" s="41" t="str">
        <f>_xlfn.XLOOKUP(G2039,dd_color!$A$2:$A$8,dd_color!$B$2:$B$8,"",0)</f>
        <v/>
      </c>
      <c r="B2039" s="41">
        <f>_xlfn.XLOOKUP(_xlfn.XLOOKUP(C2039,'Project Details'!$C$17:$C$10003,'Project Details'!$E$17:$E$10003, "",0),dd_design_raw!$A$2:$A$9997,dd_design_raw!$C$2:$C$9997,"",0)</f>
        <v>0</v>
      </c>
      <c r="C2039" s="16"/>
      <c r="D2039" s="16"/>
      <c r="E2039" s="16" t="str" cm="1">
        <f t="array" ref="E2039">IF(C2039&lt;&gt;"", _xlfn.XLOOKUP(1,((SKUs!$A$2:$A$10001=B2039) * (LEFT(SKUs!$J$2:$J$10001, LEN("PVC Sliding Strip"))="PVC Sliding Strip")), SKUs!$J$2:$J$10001,""),"")</f>
        <v/>
      </c>
      <c r="F2039" s="33" t="str" cm="1">
        <f t="array" ref="F2039">_xlfn.XLOOKUP(1,((SKUs!$A$2:$A$10001=cl_unmerged!B2039) * (LEFT(SKUs!$J$2:$J$10001, LEN("PVC Sliding Strip"))="PVC Sliding Strip") * (ISNUMBER(SEARCH(A2039,SKUs!$C$2:$C$10001)))), SKUs!$C$2:$C$10001,"")</f>
        <v/>
      </c>
      <c r="G2039" s="16"/>
      <c r="H2039" s="16"/>
      <c r="I2039" s="16"/>
    </row>
    <row r="2040" spans="1:9" ht="13.5" customHeight="1" x14ac:dyDescent="0.25">
      <c r="A2040" s="41" t="str">
        <f>_xlfn.XLOOKUP(G2040,dd_color!$A$2:$A$8,dd_color!$B$2:$B$8,"",0)</f>
        <v/>
      </c>
      <c r="B2040" s="41">
        <f>_xlfn.XLOOKUP(_xlfn.XLOOKUP(C2040,'Project Details'!$C$17:$C$10003,'Project Details'!$E$17:$E$10003, "",0),dd_design_raw!$A$2:$A$9997,dd_design_raw!$C$2:$C$9997,"",0)</f>
        <v>0</v>
      </c>
      <c r="C2040" s="16"/>
      <c r="D2040" s="16"/>
      <c r="E2040" s="16" t="str" cm="1">
        <f t="array" ref="E2040">IF(C2040&lt;&gt;"", _xlfn.XLOOKUP(1,((SKUs!$A$2:$A$10001=B2040) * (LEFT(SKUs!$J$2:$J$10001, LEN("PVC Sliding Strip"))="PVC Sliding Strip")), SKUs!$J$2:$J$10001,""),"")</f>
        <v/>
      </c>
      <c r="F2040" s="33" t="str" cm="1">
        <f t="array" ref="F2040">_xlfn.XLOOKUP(1,((SKUs!$A$2:$A$10001=cl_unmerged!B2040) * (LEFT(SKUs!$J$2:$J$10001, LEN("PVC Sliding Strip"))="PVC Sliding Strip") * (ISNUMBER(SEARCH(A2040,SKUs!$C$2:$C$10001)))), SKUs!$C$2:$C$10001,"")</f>
        <v/>
      </c>
      <c r="G2040" s="16"/>
      <c r="H2040" s="16"/>
      <c r="I2040" s="16"/>
    </row>
    <row r="2041" spans="1:9" ht="13.5" customHeight="1" x14ac:dyDescent="0.25">
      <c r="A2041" s="41" t="str">
        <f>_xlfn.XLOOKUP(G2041,dd_color!$A$2:$A$8,dd_color!$B$2:$B$8,"",0)</f>
        <v/>
      </c>
      <c r="B2041" s="41">
        <f>_xlfn.XLOOKUP(_xlfn.XLOOKUP(C2041,'Project Details'!$C$17:$C$10003,'Project Details'!$E$17:$E$10003, "",0),dd_design_raw!$A$2:$A$9997,dd_design_raw!$C$2:$C$9997,"",0)</f>
        <v>0</v>
      </c>
      <c r="C2041" s="16"/>
      <c r="D2041" s="16"/>
      <c r="E2041" s="16" t="str" cm="1">
        <f t="array" ref="E2041">IF(C2041&lt;&gt;"", _xlfn.XLOOKUP(1,((SKUs!$A$2:$A$10001=B2041) * (LEFT(SKUs!$J$2:$J$10001, LEN("PVC Sliding Strip"))="PVC Sliding Strip")), SKUs!$J$2:$J$10001,""),"")</f>
        <v/>
      </c>
      <c r="F2041" s="33" t="str" cm="1">
        <f t="array" ref="F2041">_xlfn.XLOOKUP(1,((SKUs!$A$2:$A$10001=cl_unmerged!B2041) * (LEFT(SKUs!$J$2:$J$10001, LEN("PVC Sliding Strip"))="PVC Sliding Strip") * (ISNUMBER(SEARCH(A2041,SKUs!$C$2:$C$10001)))), SKUs!$C$2:$C$10001,"")</f>
        <v/>
      </c>
      <c r="G2041" s="16"/>
      <c r="H2041" s="16"/>
      <c r="I2041" s="16"/>
    </row>
    <row r="2042" spans="1:9" ht="13.5" customHeight="1" x14ac:dyDescent="0.25">
      <c r="A2042" s="41" t="str">
        <f>_xlfn.XLOOKUP(G2042,dd_color!$A$2:$A$8,dd_color!$B$2:$B$8,"",0)</f>
        <v/>
      </c>
      <c r="B2042" s="41">
        <f>_xlfn.XLOOKUP(_xlfn.XLOOKUP(C2042,'Project Details'!$C$17:$C$10003,'Project Details'!$E$17:$E$10003, "",0),dd_design_raw!$A$2:$A$9997,dd_design_raw!$C$2:$C$9997,"",0)</f>
        <v>0</v>
      </c>
      <c r="C2042" s="16"/>
      <c r="D2042" s="16"/>
      <c r="E2042" s="16" t="str" cm="1">
        <f t="array" ref="E2042">IF(C2042&lt;&gt;"", _xlfn.XLOOKUP(1,((SKUs!$A$2:$A$10001=B2042) * (LEFT(SKUs!$J$2:$J$10001, LEN("PVC Sliding Strip"))="PVC Sliding Strip")), SKUs!$J$2:$J$10001,""),"")</f>
        <v/>
      </c>
      <c r="F2042" s="33" t="str" cm="1">
        <f t="array" ref="F2042">_xlfn.XLOOKUP(1,((SKUs!$A$2:$A$10001=cl_unmerged!B2042) * (LEFT(SKUs!$J$2:$J$10001, LEN("PVC Sliding Strip"))="PVC Sliding Strip") * (ISNUMBER(SEARCH(A2042,SKUs!$C$2:$C$10001)))), SKUs!$C$2:$C$10001,"")</f>
        <v/>
      </c>
      <c r="G2042" s="16"/>
      <c r="H2042" s="16"/>
      <c r="I2042" s="16"/>
    </row>
    <row r="2043" spans="1:9" ht="13.5" customHeight="1" x14ac:dyDescent="0.25">
      <c r="A2043" s="41" t="str">
        <f>_xlfn.XLOOKUP(G2043,dd_color!$A$2:$A$8,dd_color!$B$2:$B$8,"",0)</f>
        <v/>
      </c>
      <c r="B2043" s="41">
        <f>_xlfn.XLOOKUP(_xlfn.XLOOKUP(C2043,'Project Details'!$C$17:$C$10003,'Project Details'!$E$17:$E$10003, "",0),dd_design_raw!$A$2:$A$9997,dd_design_raw!$C$2:$C$9997,"",0)</f>
        <v>0</v>
      </c>
      <c r="C2043" s="16"/>
      <c r="D2043" s="16"/>
      <c r="E2043" s="16" t="str" cm="1">
        <f t="array" ref="E2043">IF(C2043&lt;&gt;"", _xlfn.XLOOKUP(1,((SKUs!$A$2:$A$10001=B2043) * (LEFT(SKUs!$J$2:$J$10001, LEN("PVC Sliding Strip"))="PVC Sliding Strip")), SKUs!$J$2:$J$10001,""),"")</f>
        <v/>
      </c>
      <c r="F2043" s="33" t="str" cm="1">
        <f t="array" ref="F2043">_xlfn.XLOOKUP(1,((SKUs!$A$2:$A$10001=cl_unmerged!B2043) * (LEFT(SKUs!$J$2:$J$10001, LEN("PVC Sliding Strip"))="PVC Sliding Strip") * (ISNUMBER(SEARCH(A2043,SKUs!$C$2:$C$10001)))), SKUs!$C$2:$C$10001,"")</f>
        <v/>
      </c>
      <c r="G2043" s="16"/>
      <c r="H2043" s="16"/>
      <c r="I2043" s="16"/>
    </row>
    <row r="2044" spans="1:9" ht="13.5" customHeight="1" x14ac:dyDescent="0.25">
      <c r="A2044" s="41" t="str">
        <f>_xlfn.XLOOKUP(G2044,dd_color!$A$2:$A$8,dd_color!$B$2:$B$8,"",0)</f>
        <v/>
      </c>
      <c r="B2044" s="41">
        <f>_xlfn.XLOOKUP(_xlfn.XLOOKUP(C2044,'Project Details'!$C$17:$C$10003,'Project Details'!$E$17:$E$10003, "",0),dd_design_raw!$A$2:$A$9997,dd_design_raw!$C$2:$C$9997,"",0)</f>
        <v>0</v>
      </c>
      <c r="C2044" s="16"/>
      <c r="D2044" s="16"/>
      <c r="E2044" s="16" t="str" cm="1">
        <f t="array" ref="E2044">IF(C2044&lt;&gt;"", _xlfn.XLOOKUP(1,((SKUs!$A$2:$A$10001=B2044) * (LEFT(SKUs!$J$2:$J$10001, LEN("PVC Sliding Strip"))="PVC Sliding Strip")), SKUs!$J$2:$J$10001,""),"")</f>
        <v/>
      </c>
      <c r="F2044" s="33" t="str" cm="1">
        <f t="array" ref="F2044">_xlfn.XLOOKUP(1,((SKUs!$A$2:$A$10001=cl_unmerged!B2044) * (LEFT(SKUs!$J$2:$J$10001, LEN("PVC Sliding Strip"))="PVC Sliding Strip") * (ISNUMBER(SEARCH(A2044,SKUs!$C$2:$C$10001)))), SKUs!$C$2:$C$10001,"")</f>
        <v/>
      </c>
      <c r="G2044" s="16"/>
      <c r="H2044" s="16"/>
      <c r="I2044" s="16"/>
    </row>
    <row r="2045" spans="1:9" ht="13.5" customHeight="1" x14ac:dyDescent="0.25">
      <c r="A2045" s="41" t="str">
        <f>_xlfn.XLOOKUP(G2045,dd_color!$A$2:$A$8,dd_color!$B$2:$B$8,"",0)</f>
        <v/>
      </c>
      <c r="B2045" s="41">
        <f>_xlfn.XLOOKUP(_xlfn.XLOOKUP(C2045,'Project Details'!$C$17:$C$10003,'Project Details'!$E$17:$E$10003, "",0),dd_design_raw!$A$2:$A$9997,dd_design_raw!$C$2:$C$9997,"",0)</f>
        <v>0</v>
      </c>
      <c r="C2045" s="16"/>
      <c r="D2045" s="16"/>
      <c r="E2045" s="16" t="str" cm="1">
        <f t="array" ref="E2045">IF(C2045&lt;&gt;"", _xlfn.XLOOKUP(1,((SKUs!$A$2:$A$10001=B2045) * (LEFT(SKUs!$J$2:$J$10001, LEN("PVC Sliding Strip"))="PVC Sliding Strip")), SKUs!$J$2:$J$10001,""),"")</f>
        <v/>
      </c>
      <c r="F2045" s="33" t="str" cm="1">
        <f t="array" ref="F2045">_xlfn.XLOOKUP(1,((SKUs!$A$2:$A$10001=cl_unmerged!B2045) * (LEFT(SKUs!$J$2:$J$10001, LEN("PVC Sliding Strip"))="PVC Sliding Strip") * (ISNUMBER(SEARCH(A2045,SKUs!$C$2:$C$10001)))), SKUs!$C$2:$C$10001,"")</f>
        <v/>
      </c>
      <c r="G2045" s="16"/>
      <c r="H2045" s="16"/>
      <c r="I2045" s="16"/>
    </row>
    <row r="2046" spans="1:9" ht="13.5" customHeight="1" x14ac:dyDescent="0.25">
      <c r="A2046" s="41" t="str">
        <f>_xlfn.XLOOKUP(G2046,dd_color!$A$2:$A$8,dd_color!$B$2:$B$8,"",0)</f>
        <v/>
      </c>
      <c r="B2046" s="41">
        <f>_xlfn.XLOOKUP(_xlfn.XLOOKUP(C2046,'Project Details'!$C$17:$C$10003,'Project Details'!$E$17:$E$10003, "",0),dd_design_raw!$A$2:$A$9997,dd_design_raw!$C$2:$C$9997,"",0)</f>
        <v>0</v>
      </c>
      <c r="C2046" s="16"/>
      <c r="D2046" s="16"/>
      <c r="E2046" s="16" t="str" cm="1">
        <f t="array" ref="E2046">IF(C2046&lt;&gt;"", _xlfn.XLOOKUP(1,((SKUs!$A$2:$A$10001=B2046) * (LEFT(SKUs!$J$2:$J$10001, LEN("PVC Sliding Strip"))="PVC Sliding Strip")), SKUs!$J$2:$J$10001,""),"")</f>
        <v/>
      </c>
      <c r="F2046" s="33" t="str" cm="1">
        <f t="array" ref="F2046">_xlfn.XLOOKUP(1,((SKUs!$A$2:$A$10001=cl_unmerged!B2046) * (LEFT(SKUs!$J$2:$J$10001, LEN("PVC Sliding Strip"))="PVC Sliding Strip") * (ISNUMBER(SEARCH(A2046,SKUs!$C$2:$C$10001)))), SKUs!$C$2:$C$10001,"")</f>
        <v/>
      </c>
      <c r="G2046" s="16"/>
      <c r="H2046" s="16"/>
      <c r="I2046" s="16"/>
    </row>
    <row r="2047" spans="1:9" ht="13.5" customHeight="1" x14ac:dyDescent="0.25">
      <c r="A2047" s="41" t="str">
        <f>_xlfn.XLOOKUP(G2047,dd_color!$A$2:$A$8,dd_color!$B$2:$B$8,"",0)</f>
        <v/>
      </c>
      <c r="B2047" s="41">
        <f>_xlfn.XLOOKUP(_xlfn.XLOOKUP(C2047,'Project Details'!$C$17:$C$10003,'Project Details'!$E$17:$E$10003, "",0),dd_design_raw!$A$2:$A$9997,dd_design_raw!$C$2:$C$9997,"",0)</f>
        <v>0</v>
      </c>
      <c r="C2047" s="16"/>
      <c r="D2047" s="16"/>
      <c r="E2047" s="16" t="str" cm="1">
        <f t="array" ref="E2047">IF(C2047&lt;&gt;"", _xlfn.XLOOKUP(1,((SKUs!$A$2:$A$10001=B2047) * (LEFT(SKUs!$J$2:$J$10001, LEN("PVC Sliding Strip"))="PVC Sliding Strip")), SKUs!$J$2:$J$10001,""),"")</f>
        <v/>
      </c>
      <c r="F2047" s="33" t="str" cm="1">
        <f t="array" ref="F2047">_xlfn.XLOOKUP(1,((SKUs!$A$2:$A$10001=cl_unmerged!B2047) * (LEFT(SKUs!$J$2:$J$10001, LEN("PVC Sliding Strip"))="PVC Sliding Strip") * (ISNUMBER(SEARCH(A2047,SKUs!$C$2:$C$10001)))), SKUs!$C$2:$C$10001,"")</f>
        <v/>
      </c>
      <c r="G2047" s="16"/>
      <c r="H2047" s="16"/>
      <c r="I2047" s="16"/>
    </row>
    <row r="2048" spans="1:9" ht="13.5" customHeight="1" x14ac:dyDescent="0.25">
      <c r="A2048" s="41" t="str">
        <f>_xlfn.XLOOKUP(G2048,dd_color!$A$2:$A$8,dd_color!$B$2:$B$8,"",0)</f>
        <v/>
      </c>
      <c r="B2048" s="41">
        <f>_xlfn.XLOOKUP(_xlfn.XLOOKUP(C2048,'Project Details'!$C$17:$C$10003,'Project Details'!$E$17:$E$10003, "",0),dd_design_raw!$A$2:$A$9997,dd_design_raw!$C$2:$C$9997,"",0)</f>
        <v>0</v>
      </c>
      <c r="C2048" s="16"/>
      <c r="D2048" s="16"/>
      <c r="E2048" s="16" t="str" cm="1">
        <f t="array" ref="E2048">IF(C2048&lt;&gt;"", _xlfn.XLOOKUP(1,((SKUs!$A$2:$A$10001=B2048) * (LEFT(SKUs!$J$2:$J$10001, LEN("PVC Sliding Strip"))="PVC Sliding Strip")), SKUs!$J$2:$J$10001,""),"")</f>
        <v/>
      </c>
      <c r="F2048" s="33" t="str" cm="1">
        <f t="array" ref="F2048">_xlfn.XLOOKUP(1,((SKUs!$A$2:$A$10001=cl_unmerged!B2048) * (LEFT(SKUs!$J$2:$J$10001, LEN("PVC Sliding Strip"))="PVC Sliding Strip") * (ISNUMBER(SEARCH(A2048,SKUs!$C$2:$C$10001)))), SKUs!$C$2:$C$10001,"")</f>
        <v/>
      </c>
      <c r="G2048" s="16"/>
      <c r="H2048" s="16"/>
      <c r="I2048" s="16"/>
    </row>
    <row r="2049" spans="1:9" ht="13.5" customHeight="1" x14ac:dyDescent="0.25">
      <c r="A2049" s="41" t="str">
        <f>_xlfn.XLOOKUP(G2049,dd_color!$A$2:$A$8,dd_color!$B$2:$B$8,"",0)</f>
        <v/>
      </c>
      <c r="B2049" s="41">
        <f>_xlfn.XLOOKUP(_xlfn.XLOOKUP(C2049,'Project Details'!$C$17:$C$10003,'Project Details'!$E$17:$E$10003, "",0),dd_design_raw!$A$2:$A$9997,dd_design_raw!$C$2:$C$9997,"",0)</f>
        <v>0</v>
      </c>
      <c r="C2049" s="16"/>
      <c r="D2049" s="16"/>
      <c r="E2049" s="16" t="str" cm="1">
        <f t="array" ref="E2049">IF(C2049&lt;&gt;"", _xlfn.XLOOKUP(1,((SKUs!$A$2:$A$10001=B2049) * (LEFT(SKUs!$J$2:$J$10001, LEN("PVC Sliding Strip"))="PVC Sliding Strip")), SKUs!$J$2:$J$10001,""),"")</f>
        <v/>
      </c>
      <c r="F2049" s="33" t="str" cm="1">
        <f t="array" ref="F2049">_xlfn.XLOOKUP(1,((SKUs!$A$2:$A$10001=cl_unmerged!B2049) * (LEFT(SKUs!$J$2:$J$10001, LEN("PVC Sliding Strip"))="PVC Sliding Strip") * (ISNUMBER(SEARCH(A2049,SKUs!$C$2:$C$10001)))), SKUs!$C$2:$C$10001,"")</f>
        <v/>
      </c>
      <c r="G2049" s="16"/>
      <c r="H2049" s="16"/>
      <c r="I2049" s="16"/>
    </row>
    <row r="2050" spans="1:9" ht="13.5" customHeight="1" x14ac:dyDescent="0.25">
      <c r="A2050" s="41" t="str">
        <f>_xlfn.XLOOKUP(G2050,dd_color!$A$2:$A$8,dd_color!$B$2:$B$8,"",0)</f>
        <v/>
      </c>
      <c r="B2050" s="41">
        <f>_xlfn.XLOOKUP(_xlfn.XLOOKUP(C2050,'Project Details'!$C$17:$C$10003,'Project Details'!$E$17:$E$10003, "",0),dd_design_raw!$A$2:$A$9997,dd_design_raw!$C$2:$C$9997,"",0)</f>
        <v>0</v>
      </c>
      <c r="C2050" s="16"/>
      <c r="D2050" s="16"/>
      <c r="E2050" s="16" t="str" cm="1">
        <f t="array" ref="E2050">IF(C2050&lt;&gt;"", _xlfn.XLOOKUP(1,((SKUs!$A$2:$A$10001=B2050) * (LEFT(SKUs!$J$2:$J$10001, LEN("PVC Sliding Strip"))="PVC Sliding Strip")), SKUs!$J$2:$J$10001,""),"")</f>
        <v/>
      </c>
      <c r="F2050" s="33" t="str" cm="1">
        <f t="array" ref="F2050">_xlfn.XLOOKUP(1,((SKUs!$A$2:$A$10001=cl_unmerged!B2050) * (LEFT(SKUs!$J$2:$J$10001, LEN("PVC Sliding Strip"))="PVC Sliding Strip") * (ISNUMBER(SEARCH(A2050,SKUs!$C$2:$C$10001)))), SKUs!$C$2:$C$10001,"")</f>
        <v/>
      </c>
      <c r="G2050" s="16"/>
      <c r="H2050" s="16"/>
      <c r="I2050" s="16"/>
    </row>
    <row r="2051" spans="1:9" ht="13.5" customHeight="1" x14ac:dyDescent="0.25">
      <c r="A2051" s="41" t="str">
        <f>_xlfn.XLOOKUP(G2051,dd_color!$A$2:$A$8,dd_color!$B$2:$B$8,"",0)</f>
        <v/>
      </c>
      <c r="B2051" s="41">
        <f>_xlfn.XLOOKUP(_xlfn.XLOOKUP(C2051,'Project Details'!$C$17:$C$10003,'Project Details'!$E$17:$E$10003, "",0),dd_design_raw!$A$2:$A$9997,dd_design_raw!$C$2:$C$9997,"",0)</f>
        <v>0</v>
      </c>
      <c r="C2051" s="16"/>
      <c r="D2051" s="16"/>
      <c r="E2051" s="16" t="str" cm="1">
        <f t="array" ref="E2051">IF(C2051&lt;&gt;"", _xlfn.XLOOKUP(1,((SKUs!$A$2:$A$10001=B2051) * (LEFT(SKUs!$J$2:$J$10001, LEN("PVC Sliding Strip"))="PVC Sliding Strip")), SKUs!$J$2:$J$10001,""),"")</f>
        <v/>
      </c>
      <c r="F2051" s="33" t="str" cm="1">
        <f t="array" ref="F2051">_xlfn.XLOOKUP(1,((SKUs!$A$2:$A$10001=cl_unmerged!B2051) * (LEFT(SKUs!$J$2:$J$10001, LEN("PVC Sliding Strip"))="PVC Sliding Strip") * (ISNUMBER(SEARCH(A2051,SKUs!$C$2:$C$10001)))), SKUs!$C$2:$C$10001,"")</f>
        <v/>
      </c>
      <c r="G2051" s="16"/>
      <c r="H2051" s="16"/>
      <c r="I2051" s="16"/>
    </row>
    <row r="2052" spans="1:9" ht="13.5" customHeight="1" x14ac:dyDescent="0.25">
      <c r="A2052" s="41" t="str">
        <f>_xlfn.XLOOKUP(G2052,dd_color!$A$2:$A$8,dd_color!$B$2:$B$8,"",0)</f>
        <v/>
      </c>
      <c r="B2052" s="41">
        <f>_xlfn.XLOOKUP(_xlfn.XLOOKUP(C2052,'Project Details'!$C$17:$C$10003,'Project Details'!$E$17:$E$10003, "",0),dd_design_raw!$A$2:$A$9997,dd_design_raw!$C$2:$C$9997,"",0)</f>
        <v>0</v>
      </c>
      <c r="C2052" s="16"/>
      <c r="D2052" s="16"/>
      <c r="E2052" s="16" t="str" cm="1">
        <f t="array" ref="E2052">IF(C2052&lt;&gt;"", _xlfn.XLOOKUP(1,((SKUs!$A$2:$A$10001=B2052) * (LEFT(SKUs!$J$2:$J$10001, LEN("PVC Sliding Strip"))="PVC Sliding Strip")), SKUs!$J$2:$J$10001,""),"")</f>
        <v/>
      </c>
      <c r="F2052" s="33" t="str" cm="1">
        <f t="array" ref="F2052">_xlfn.XLOOKUP(1,((SKUs!$A$2:$A$10001=cl_unmerged!B2052) * (LEFT(SKUs!$J$2:$J$10001, LEN("PVC Sliding Strip"))="PVC Sliding Strip") * (ISNUMBER(SEARCH(A2052,SKUs!$C$2:$C$10001)))), SKUs!$C$2:$C$10001,"")</f>
        <v/>
      </c>
      <c r="G2052" s="16"/>
      <c r="H2052" s="16"/>
      <c r="I2052" s="16"/>
    </row>
    <row r="2053" spans="1:9" ht="13.5" customHeight="1" x14ac:dyDescent="0.25">
      <c r="A2053" s="41" t="str">
        <f>_xlfn.XLOOKUP(G2053,dd_color!$A$2:$A$8,dd_color!$B$2:$B$8,"",0)</f>
        <v/>
      </c>
      <c r="B2053" s="41">
        <f>_xlfn.XLOOKUP(_xlfn.XLOOKUP(C2053,'Project Details'!$C$17:$C$10003,'Project Details'!$E$17:$E$10003, "",0),dd_design_raw!$A$2:$A$9997,dd_design_raw!$C$2:$C$9997,"",0)</f>
        <v>0</v>
      </c>
      <c r="C2053" s="16"/>
      <c r="D2053" s="16"/>
      <c r="E2053" s="16" t="str" cm="1">
        <f t="array" ref="E2053">IF(C2053&lt;&gt;"", _xlfn.XLOOKUP(1,((SKUs!$A$2:$A$10001=B2053) * (LEFT(SKUs!$J$2:$J$10001, LEN("PVC Sliding Strip"))="PVC Sliding Strip")), SKUs!$J$2:$J$10001,""),"")</f>
        <v/>
      </c>
      <c r="F2053" s="33" t="str" cm="1">
        <f t="array" ref="F2053">_xlfn.XLOOKUP(1,((SKUs!$A$2:$A$10001=cl_unmerged!B2053) * (LEFT(SKUs!$J$2:$J$10001, LEN("PVC Sliding Strip"))="PVC Sliding Strip") * (ISNUMBER(SEARCH(A2053,SKUs!$C$2:$C$10001)))), SKUs!$C$2:$C$10001,"")</f>
        <v/>
      </c>
      <c r="G2053" s="16"/>
      <c r="H2053" s="16"/>
      <c r="I2053" s="16"/>
    </row>
    <row r="2054" spans="1:9" ht="13.5" customHeight="1" x14ac:dyDescent="0.25">
      <c r="A2054" s="41" t="str">
        <f>_xlfn.XLOOKUP(G2054,dd_color!$A$2:$A$8,dd_color!$B$2:$B$8,"",0)</f>
        <v/>
      </c>
      <c r="B2054" s="41">
        <f>_xlfn.XLOOKUP(_xlfn.XLOOKUP(C2054,'Project Details'!$C$17:$C$10003,'Project Details'!$E$17:$E$10003, "",0),dd_design_raw!$A$2:$A$9997,dd_design_raw!$C$2:$C$9997,"",0)</f>
        <v>0</v>
      </c>
      <c r="C2054" s="16"/>
      <c r="D2054" s="16"/>
      <c r="E2054" s="16" t="str" cm="1">
        <f t="array" ref="E2054">IF(C2054&lt;&gt;"", _xlfn.XLOOKUP(1,((SKUs!$A$2:$A$10001=B2054) * (LEFT(SKUs!$J$2:$J$10001, LEN("PVC Sliding Strip"))="PVC Sliding Strip")), SKUs!$J$2:$J$10001,""),"")</f>
        <v/>
      </c>
      <c r="F2054" s="33" t="str" cm="1">
        <f t="array" ref="F2054">_xlfn.XLOOKUP(1,((SKUs!$A$2:$A$10001=cl_unmerged!B2054) * (LEFT(SKUs!$J$2:$J$10001, LEN("PVC Sliding Strip"))="PVC Sliding Strip") * (ISNUMBER(SEARCH(A2054,SKUs!$C$2:$C$10001)))), SKUs!$C$2:$C$10001,"")</f>
        <v/>
      </c>
      <c r="G2054" s="16"/>
      <c r="H2054" s="16"/>
      <c r="I2054" s="16"/>
    </row>
  </sheetData>
  <mergeCells count="10">
    <mergeCell ref="D9:E9"/>
    <mergeCell ref="H9:I9"/>
    <mergeCell ref="D10:E10"/>
    <mergeCell ref="H10:I10"/>
    <mergeCell ref="D6:E6"/>
    <mergeCell ref="H6:I6"/>
    <mergeCell ref="D7:E7"/>
    <mergeCell ref="H7:I7"/>
    <mergeCell ref="D8:E8"/>
    <mergeCell ref="H8:I8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3390B-595A-4BCE-B775-8B69A6D175CD}">
  <sheetPr codeName="Sheet12">
    <tabColor theme="0" tint="-0.499984740745262"/>
  </sheetPr>
  <dimension ref="A1:R211"/>
  <sheetViews>
    <sheetView topLeftCell="A25" workbookViewId="0">
      <selection activeCell="E15" sqref="E15"/>
    </sheetView>
  </sheetViews>
  <sheetFormatPr defaultColWidth="0" defaultRowHeight="13.5" customHeight="1" x14ac:dyDescent="0.25"/>
  <cols>
    <col min="1" max="1" width="2.7109375" style="1" customWidth="1"/>
    <col min="2" max="2" width="1.7109375" style="1" customWidth="1"/>
    <col min="3" max="3" width="11.85546875" style="1" customWidth="1"/>
    <col min="4" max="4" width="8" style="1" bestFit="1" customWidth="1"/>
    <col min="5" max="5" width="40.28515625" style="1" customWidth="1"/>
    <col min="6" max="7" width="36.7109375" style="1" customWidth="1"/>
    <col min="8" max="9" width="20.5703125" style="1" customWidth="1"/>
    <col min="10" max="10" width="14.85546875" style="1" customWidth="1"/>
    <col min="11" max="11" width="1.7109375" style="1" customWidth="1"/>
    <col min="12" max="12" width="15.140625" style="1" bestFit="1" customWidth="1"/>
    <col min="13" max="13" width="2.7109375" style="1" customWidth="1"/>
    <col min="14" max="14" width="15.140625" style="1" bestFit="1" customWidth="1"/>
    <col min="15" max="15" width="1.7109375" style="1" customWidth="1"/>
    <col min="16" max="16" width="2.7109375" style="1" customWidth="1"/>
    <col min="17" max="18" width="0" style="1" hidden="1" customWidth="1"/>
    <col min="19" max="16384" width="9.140625" style="1" hidden="1"/>
  </cols>
  <sheetData>
    <row r="1" spans="2:11" x14ac:dyDescent="0.25"/>
    <row r="2" spans="2:11" x14ac:dyDescent="0.25"/>
    <row r="3" spans="2:11" x14ac:dyDescent="0.25"/>
    <row r="4" spans="2:11" x14ac:dyDescent="0.25"/>
    <row r="5" spans="2:11" ht="9.9499999999999993" customHeight="1" x14ac:dyDescent="0.25">
      <c r="B5" s="9"/>
      <c r="C5" s="10"/>
      <c r="D5" s="10"/>
      <c r="E5" s="10"/>
      <c r="F5" s="10"/>
      <c r="G5" s="10"/>
      <c r="H5" s="10"/>
      <c r="I5" s="10"/>
      <c r="J5" s="10"/>
      <c r="K5" s="11"/>
    </row>
    <row r="6" spans="2:11" ht="14.25" x14ac:dyDescent="0.3">
      <c r="B6" s="4"/>
      <c r="C6" s="12" t="s">
        <v>0</v>
      </c>
      <c r="D6" s="114">
        <v>45217</v>
      </c>
      <c r="E6" s="114"/>
      <c r="F6" s="13"/>
      <c r="G6" s="13"/>
      <c r="H6" s="12" t="s">
        <v>90</v>
      </c>
      <c r="I6" s="113"/>
      <c r="J6" s="113"/>
      <c r="K6" s="5"/>
    </row>
    <row r="7" spans="2:11" ht="14.25" x14ac:dyDescent="0.3">
      <c r="B7" s="4"/>
      <c r="C7" s="12" t="s">
        <v>1</v>
      </c>
      <c r="D7" s="112"/>
      <c r="E7" s="112"/>
      <c r="F7" s="13"/>
      <c r="G7" s="13"/>
      <c r="H7" s="12" t="s">
        <v>91</v>
      </c>
      <c r="I7" s="113"/>
      <c r="J7" s="113"/>
      <c r="K7" s="5"/>
    </row>
    <row r="8" spans="2:11" ht="14.25" x14ac:dyDescent="0.3">
      <c r="B8" s="4"/>
      <c r="C8" s="12" t="s">
        <v>2</v>
      </c>
      <c r="D8" s="112"/>
      <c r="E8" s="112"/>
      <c r="F8" s="13"/>
      <c r="G8" s="13"/>
      <c r="H8" s="12" t="s">
        <v>92</v>
      </c>
      <c r="I8" s="113"/>
      <c r="J8" s="113"/>
      <c r="K8" s="5"/>
    </row>
    <row r="9" spans="2:11" ht="14.25" x14ac:dyDescent="0.3">
      <c r="B9" s="4"/>
      <c r="C9" s="12" t="s">
        <v>62</v>
      </c>
      <c r="D9" s="112"/>
      <c r="E9" s="112"/>
      <c r="F9" s="13"/>
      <c r="G9" s="13"/>
      <c r="H9" s="12" t="s">
        <v>93</v>
      </c>
      <c r="I9" s="113"/>
      <c r="J9" s="113"/>
      <c r="K9" s="5"/>
    </row>
    <row r="10" spans="2:11" ht="14.25" x14ac:dyDescent="0.3">
      <c r="B10" s="4"/>
      <c r="C10" s="12" t="s">
        <v>63</v>
      </c>
      <c r="D10" s="112"/>
      <c r="E10" s="112"/>
      <c r="F10" s="13"/>
      <c r="G10" s="13"/>
      <c r="H10" s="12" t="s">
        <v>94</v>
      </c>
      <c r="I10" s="113"/>
      <c r="J10" s="113"/>
      <c r="K10" s="5"/>
    </row>
    <row r="11" spans="2:11" ht="9.9499999999999993" customHeight="1" x14ac:dyDescent="0.25">
      <c r="B11" s="6"/>
      <c r="C11" s="7"/>
      <c r="D11" s="7"/>
      <c r="E11" s="7"/>
      <c r="F11" s="7"/>
      <c r="G11" s="7"/>
      <c r="H11" s="7"/>
      <c r="I11" s="14"/>
      <c r="J11" s="7"/>
      <c r="K11" s="8"/>
    </row>
    <row r="12" spans="2:11" x14ac:dyDescent="0.25"/>
    <row r="13" spans="2:11" x14ac:dyDescent="0.25">
      <c r="C13" s="28" t="s">
        <v>67</v>
      </c>
      <c r="D13" s="29"/>
      <c r="E13" s="29"/>
      <c r="F13" s="29"/>
      <c r="G13" s="29"/>
      <c r="H13" s="29"/>
      <c r="I13" s="29"/>
      <c r="J13" s="30"/>
    </row>
    <row r="14" spans="2:11" x14ac:dyDescent="0.25">
      <c r="C14" s="15" t="s">
        <v>3</v>
      </c>
      <c r="D14" s="15" t="s">
        <v>134</v>
      </c>
      <c r="E14" s="15" t="s">
        <v>4</v>
      </c>
      <c r="F14" s="34" t="s">
        <v>191</v>
      </c>
      <c r="G14" s="34"/>
      <c r="H14" s="15" t="s">
        <v>193</v>
      </c>
      <c r="I14" s="15" t="s">
        <v>192</v>
      </c>
      <c r="J14" s="15" t="s">
        <v>136</v>
      </c>
    </row>
    <row r="15" spans="2:11" ht="13.5" customHeight="1" x14ac:dyDescent="0.25">
      <c r="C15" s="32" t="s">
        <v>882</v>
      </c>
      <c r="D15" s="32"/>
      <c r="E15" s="32"/>
      <c r="F15" s="32"/>
      <c r="G15" s="32"/>
      <c r="H15" s="32"/>
      <c r="I15" s="32"/>
      <c r="J15" s="32"/>
    </row>
    <row r="16" spans="2:11" ht="13.5" customHeight="1" x14ac:dyDescent="0.25">
      <c r="C16" s="16" t="str" cm="1">
        <f t="array" ref="C16">IFERROR(INDEX(_xlfn._xlws.FILTER(calc_s60!C15:C65, calc_s60!AY15:AY65&lt;&gt;""), INT((_xlfn.SEQUENCE(1 * COUNTA(_xlfn._xlws.FILTER(calc_s60!C15:C65, calc_s60!AY15:AY65&lt;&gt;""))) - 1) / 1) + 1), "")</f>
        <v/>
      </c>
      <c r="D16" s="16" t="str" cm="1">
        <f t="array" ref="D16">IFERROR(INDEX(_xlfn._xlws.FILTER(calc_s60!BA15:BA65, calc_s60!AY15:AY65&lt;&gt;""), INT((_xlfn.SEQUENCE(1 * COUNTA(_xlfn._xlws.FILTER(calc_s60!BA15:BA65, calc_s60!AY15:AY65&lt;&gt;""))) - 1) / 1) + 1), "")</f>
        <v/>
      </c>
      <c r="E16" s="16" t="str" cm="1">
        <f t="array" ref="E16">IFERROR(INDEX(_xlfn._xlws.FILTER(calc_s60!E15:E65, calc_s60!AY15:AY65&lt;&gt;""), INT((_xlfn.SEQUENCE(1 * COUNTA(_xlfn._xlws.FILTER(calc_s60!E15:E65, calc_s60!AY15:AY65&lt;&gt;""))) - 1) / 1) + 1), "")</f>
        <v/>
      </c>
      <c r="F16" s="33" t="str" cm="1">
        <f t="array" ref="F16">IFERROR(INDEX(_xlfn._xlws.FILTER(calc_s60!H15:H65, calc_s60!AY15:AY65&lt;&gt;""), INT((_xlfn.SEQUENCE(1 * COUNTA(_xlfn._xlws.FILTER(calc_s60!H15:H65, calc_s60!AY15:AY65&lt;&gt;""))) - 1) / 1) + 1), "")</f>
        <v/>
      </c>
      <c r="G16" s="33" t="str" cm="1">
        <f t="array" ref="G16">IFERROR(INDEX(_xlfn._xlws.FILTER(calc_s60!I15:I65, calc_s60!AZ15:AZ65&lt;&gt;""), INT((_xlfn.SEQUENCE(1 * COUNTA(_xlfn._xlws.FILTER(calc_s60!I15:I65, calc_s60!AZ15:AZ65&lt;&gt;""))) - 1) / 1) + 1), "")</f>
        <v/>
      </c>
      <c r="H16" s="16" t="str" cm="1">
        <f t="array" ref="H16">IFERROR(INDEX(_xlfn._xlws.FILTER(calc_s60!AY15:AY65, calc_s60!AY15:AY65&lt;&gt;""), INT((_xlfn.SEQUENCE(1 * COUNTA(_xlfn._xlws.FILTER(calc_s60!AY15:AY65, calc_s60!AY15:AY65&lt;&gt;""))) - 1) / 1) + 1), "")</f>
        <v/>
      </c>
      <c r="I16" s="16" t="str" cm="1">
        <f t="array" ref="I16">IFERROR(INDEX(_xlfn._xlws.FILTER(calc_s60!AZ15:AZ65, calc_s60!AY15:AY65&lt;&gt;""), INT((_xlfn.SEQUENCE(1 * COUNTA(_xlfn._xlws.FILTER(calc_s60!AZ15:AZ65, calc_s60!AY15:AY65&lt;&gt;""))) - 1) / 1) + 1), "")</f>
        <v/>
      </c>
      <c r="J16" s="16" t="str">
        <f>IF(C16&lt;&gt;"", "Frame","")</f>
        <v/>
      </c>
    </row>
    <row r="17" spans="3:10" ht="13.5" customHeight="1" x14ac:dyDescent="0.25">
      <c r="C17" s="16"/>
      <c r="D17" s="16"/>
      <c r="E17" s="16"/>
      <c r="F17" s="33"/>
      <c r="G17" s="33"/>
      <c r="H17" s="16"/>
      <c r="I17" s="16"/>
      <c r="J17" s="16" t="str">
        <f t="shared" ref="J17:J66" si="0">IF(C17&lt;&gt;"", "Frame","")</f>
        <v/>
      </c>
    </row>
    <row r="18" spans="3:10" ht="13.5" customHeight="1" x14ac:dyDescent="0.25">
      <c r="C18" s="16"/>
      <c r="D18" s="16"/>
      <c r="E18" s="16"/>
      <c r="F18" s="33"/>
      <c r="G18" s="33"/>
      <c r="H18" s="16"/>
      <c r="I18" s="16"/>
      <c r="J18" s="16" t="str">
        <f t="shared" si="0"/>
        <v/>
      </c>
    </row>
    <row r="19" spans="3:10" ht="13.5" customHeight="1" x14ac:dyDescent="0.25">
      <c r="C19" s="16"/>
      <c r="D19" s="16"/>
      <c r="E19" s="16"/>
      <c r="F19" s="33"/>
      <c r="G19" s="33"/>
      <c r="H19" s="16"/>
      <c r="I19" s="16"/>
      <c r="J19" s="16" t="str">
        <f t="shared" si="0"/>
        <v/>
      </c>
    </row>
    <row r="20" spans="3:10" ht="13.5" customHeight="1" x14ac:dyDescent="0.25">
      <c r="C20" s="16"/>
      <c r="D20" s="16"/>
      <c r="E20" s="16"/>
      <c r="F20" s="33"/>
      <c r="G20" s="33"/>
      <c r="H20" s="16"/>
      <c r="I20" s="16"/>
      <c r="J20" s="16" t="str">
        <f t="shared" si="0"/>
        <v/>
      </c>
    </row>
    <row r="21" spans="3:10" ht="13.5" customHeight="1" x14ac:dyDescent="0.25">
      <c r="C21" s="16"/>
      <c r="D21" s="16"/>
      <c r="E21" s="16"/>
      <c r="F21" s="33"/>
      <c r="G21" s="33"/>
      <c r="H21" s="16"/>
      <c r="I21" s="16"/>
      <c r="J21" s="16" t="str">
        <f t="shared" si="0"/>
        <v/>
      </c>
    </row>
    <row r="22" spans="3:10" ht="13.5" customHeight="1" x14ac:dyDescent="0.25">
      <c r="C22" s="16"/>
      <c r="D22" s="16"/>
      <c r="E22" s="16"/>
      <c r="F22" s="33"/>
      <c r="G22" s="33"/>
      <c r="H22" s="16"/>
      <c r="I22" s="16"/>
      <c r="J22" s="16" t="str">
        <f t="shared" si="0"/>
        <v/>
      </c>
    </row>
    <row r="23" spans="3:10" ht="13.5" customHeight="1" x14ac:dyDescent="0.25">
      <c r="C23" s="16"/>
      <c r="D23" s="16"/>
      <c r="E23" s="16"/>
      <c r="F23" s="33"/>
      <c r="G23" s="33"/>
      <c r="H23" s="16"/>
      <c r="I23" s="16"/>
      <c r="J23" s="16" t="str">
        <f t="shared" si="0"/>
        <v/>
      </c>
    </row>
    <row r="24" spans="3:10" ht="13.5" customHeight="1" x14ac:dyDescent="0.25">
      <c r="C24" s="16"/>
      <c r="D24" s="16"/>
      <c r="E24" s="16"/>
      <c r="F24" s="33"/>
      <c r="G24" s="33"/>
      <c r="H24" s="16"/>
      <c r="I24" s="16"/>
      <c r="J24" s="16" t="str">
        <f t="shared" si="0"/>
        <v/>
      </c>
    </row>
    <row r="25" spans="3:10" ht="13.5" customHeight="1" x14ac:dyDescent="0.25">
      <c r="C25" s="16"/>
      <c r="D25" s="16"/>
      <c r="E25" s="16"/>
      <c r="F25" s="33"/>
      <c r="G25" s="33"/>
      <c r="H25" s="16"/>
      <c r="I25" s="16"/>
      <c r="J25" s="16" t="str">
        <f t="shared" si="0"/>
        <v/>
      </c>
    </row>
    <row r="26" spans="3:10" ht="13.5" customHeight="1" x14ac:dyDescent="0.25">
      <c r="C26" s="16"/>
      <c r="D26" s="16"/>
      <c r="E26" s="16"/>
      <c r="F26" s="33"/>
      <c r="G26" s="33"/>
      <c r="H26" s="16"/>
      <c r="I26" s="16"/>
      <c r="J26" s="16" t="str">
        <f t="shared" si="0"/>
        <v/>
      </c>
    </row>
    <row r="27" spans="3:10" ht="13.5" customHeight="1" x14ac:dyDescent="0.25">
      <c r="C27" s="16"/>
      <c r="D27" s="16"/>
      <c r="E27" s="16"/>
      <c r="F27" s="33"/>
      <c r="G27" s="33"/>
      <c r="H27" s="16"/>
      <c r="I27" s="16"/>
      <c r="J27" s="16" t="str">
        <f t="shared" si="0"/>
        <v/>
      </c>
    </row>
    <row r="28" spans="3:10" ht="13.5" customHeight="1" x14ac:dyDescent="0.25">
      <c r="C28" s="16"/>
      <c r="D28" s="16"/>
      <c r="E28" s="16"/>
      <c r="F28" s="33"/>
      <c r="G28" s="33"/>
      <c r="H28" s="16"/>
      <c r="I28" s="16"/>
      <c r="J28" s="16" t="str">
        <f t="shared" si="0"/>
        <v/>
      </c>
    </row>
    <row r="29" spans="3:10" ht="13.5" customHeight="1" x14ac:dyDescent="0.25">
      <c r="C29" s="16"/>
      <c r="D29" s="16"/>
      <c r="E29" s="16"/>
      <c r="F29" s="33"/>
      <c r="G29" s="33"/>
      <c r="H29" s="16"/>
      <c r="I29" s="16"/>
      <c r="J29" s="16" t="str">
        <f t="shared" si="0"/>
        <v/>
      </c>
    </row>
    <row r="30" spans="3:10" ht="13.5" customHeight="1" x14ac:dyDescent="0.25">
      <c r="C30" s="16"/>
      <c r="D30" s="16"/>
      <c r="E30" s="16"/>
      <c r="F30" s="33"/>
      <c r="G30" s="33"/>
      <c r="H30" s="16"/>
      <c r="I30" s="16"/>
      <c r="J30" s="16" t="str">
        <f t="shared" si="0"/>
        <v/>
      </c>
    </row>
    <row r="31" spans="3:10" ht="13.5" customHeight="1" x14ac:dyDescent="0.25">
      <c r="C31" s="16"/>
      <c r="D31" s="16"/>
      <c r="E31" s="16"/>
      <c r="F31" s="33"/>
      <c r="G31" s="33"/>
      <c r="H31" s="16"/>
      <c r="I31" s="16"/>
      <c r="J31" s="16" t="str">
        <f t="shared" si="0"/>
        <v/>
      </c>
    </row>
    <row r="32" spans="3:10" ht="13.5" customHeight="1" x14ac:dyDescent="0.25">
      <c r="C32" s="16"/>
      <c r="D32" s="16"/>
      <c r="E32" s="16"/>
      <c r="F32" s="33"/>
      <c r="G32" s="33"/>
      <c r="H32" s="16"/>
      <c r="I32" s="16"/>
      <c r="J32" s="16" t="str">
        <f t="shared" si="0"/>
        <v/>
      </c>
    </row>
    <row r="33" spans="3:10" ht="13.5" customHeight="1" x14ac:dyDescent="0.25">
      <c r="C33" s="16"/>
      <c r="D33" s="16"/>
      <c r="E33" s="16"/>
      <c r="F33" s="33"/>
      <c r="G33" s="33"/>
      <c r="H33" s="16"/>
      <c r="I33" s="16"/>
      <c r="J33" s="16" t="str">
        <f t="shared" si="0"/>
        <v/>
      </c>
    </row>
    <row r="34" spans="3:10" ht="13.5" customHeight="1" x14ac:dyDescent="0.25">
      <c r="C34" s="16"/>
      <c r="D34" s="16"/>
      <c r="E34" s="16"/>
      <c r="F34" s="33"/>
      <c r="G34" s="33"/>
      <c r="H34" s="16"/>
      <c r="I34" s="16"/>
      <c r="J34" s="16" t="str">
        <f t="shared" si="0"/>
        <v/>
      </c>
    </row>
    <row r="35" spans="3:10" ht="13.5" customHeight="1" x14ac:dyDescent="0.25">
      <c r="C35" s="16"/>
      <c r="D35" s="16"/>
      <c r="E35" s="16"/>
      <c r="F35" s="33"/>
      <c r="G35" s="33"/>
      <c r="H35" s="16"/>
      <c r="I35" s="16"/>
      <c r="J35" s="16" t="str">
        <f t="shared" si="0"/>
        <v/>
      </c>
    </row>
    <row r="36" spans="3:10" ht="13.5" customHeight="1" x14ac:dyDescent="0.25">
      <c r="C36" s="16"/>
      <c r="D36" s="16"/>
      <c r="E36" s="16"/>
      <c r="F36" s="33"/>
      <c r="G36" s="33"/>
      <c r="H36" s="16"/>
      <c r="I36" s="16"/>
      <c r="J36" s="16" t="str">
        <f t="shared" si="0"/>
        <v/>
      </c>
    </row>
    <row r="37" spans="3:10" ht="13.5" customHeight="1" x14ac:dyDescent="0.25">
      <c r="C37" s="16"/>
      <c r="D37" s="16"/>
      <c r="E37" s="16"/>
      <c r="F37" s="33"/>
      <c r="G37" s="33"/>
      <c r="H37" s="16"/>
      <c r="I37" s="16"/>
      <c r="J37" s="16" t="str">
        <f t="shared" si="0"/>
        <v/>
      </c>
    </row>
    <row r="38" spans="3:10" ht="13.5" customHeight="1" x14ac:dyDescent="0.25">
      <c r="C38" s="16"/>
      <c r="D38" s="16"/>
      <c r="E38" s="16"/>
      <c r="F38" s="33"/>
      <c r="G38" s="33"/>
      <c r="H38" s="16"/>
      <c r="I38" s="16"/>
      <c r="J38" s="16" t="str">
        <f t="shared" si="0"/>
        <v/>
      </c>
    </row>
    <row r="39" spans="3:10" ht="13.5" customHeight="1" x14ac:dyDescent="0.25">
      <c r="C39" s="16"/>
      <c r="D39" s="16"/>
      <c r="E39" s="16"/>
      <c r="F39" s="33"/>
      <c r="G39" s="33"/>
      <c r="H39" s="16"/>
      <c r="I39" s="16"/>
      <c r="J39" s="16" t="str">
        <f t="shared" si="0"/>
        <v/>
      </c>
    </row>
    <row r="40" spans="3:10" ht="13.5" customHeight="1" x14ac:dyDescent="0.25">
      <c r="C40" s="16"/>
      <c r="D40" s="16"/>
      <c r="E40" s="16"/>
      <c r="F40" s="33"/>
      <c r="G40" s="33"/>
      <c r="H40" s="16"/>
      <c r="I40" s="16"/>
      <c r="J40" s="16" t="str">
        <f t="shared" si="0"/>
        <v/>
      </c>
    </row>
    <row r="41" spans="3:10" ht="13.5" customHeight="1" x14ac:dyDescent="0.25">
      <c r="C41" s="16"/>
      <c r="D41" s="16"/>
      <c r="E41" s="16"/>
      <c r="F41" s="33"/>
      <c r="G41" s="33"/>
      <c r="H41" s="16"/>
      <c r="I41" s="16"/>
      <c r="J41" s="16" t="str">
        <f t="shared" si="0"/>
        <v/>
      </c>
    </row>
    <row r="42" spans="3:10" ht="13.5" customHeight="1" x14ac:dyDescent="0.25">
      <c r="C42" s="16"/>
      <c r="D42" s="16"/>
      <c r="E42" s="16"/>
      <c r="F42" s="33"/>
      <c r="G42" s="33"/>
      <c r="H42" s="16"/>
      <c r="I42" s="16"/>
      <c r="J42" s="16" t="str">
        <f t="shared" si="0"/>
        <v/>
      </c>
    </row>
    <row r="43" spans="3:10" ht="13.5" customHeight="1" x14ac:dyDescent="0.25">
      <c r="C43" s="16"/>
      <c r="D43" s="16"/>
      <c r="E43" s="16"/>
      <c r="F43" s="33"/>
      <c r="G43" s="33"/>
      <c r="H43" s="16"/>
      <c r="I43" s="16"/>
      <c r="J43" s="16" t="str">
        <f t="shared" si="0"/>
        <v/>
      </c>
    </row>
    <row r="44" spans="3:10" ht="13.5" customHeight="1" x14ac:dyDescent="0.25">
      <c r="C44" s="16"/>
      <c r="D44" s="16"/>
      <c r="E44" s="16"/>
      <c r="F44" s="33"/>
      <c r="G44" s="33"/>
      <c r="H44" s="16"/>
      <c r="I44" s="16"/>
      <c r="J44" s="16" t="str">
        <f t="shared" si="0"/>
        <v/>
      </c>
    </row>
    <row r="45" spans="3:10" ht="13.5" customHeight="1" x14ac:dyDescent="0.25">
      <c r="C45" s="16"/>
      <c r="D45" s="16"/>
      <c r="E45" s="16"/>
      <c r="F45" s="33"/>
      <c r="G45" s="33"/>
      <c r="H45" s="16"/>
      <c r="I45" s="16"/>
      <c r="J45" s="16" t="str">
        <f t="shared" si="0"/>
        <v/>
      </c>
    </row>
    <row r="46" spans="3:10" ht="13.5" customHeight="1" x14ac:dyDescent="0.25">
      <c r="C46" s="16"/>
      <c r="D46" s="16"/>
      <c r="E46" s="16"/>
      <c r="F46" s="33"/>
      <c r="G46" s="33"/>
      <c r="H46" s="16"/>
      <c r="I46" s="16"/>
      <c r="J46" s="16" t="str">
        <f t="shared" si="0"/>
        <v/>
      </c>
    </row>
    <row r="47" spans="3:10" ht="13.5" customHeight="1" x14ac:dyDescent="0.25">
      <c r="C47" s="16"/>
      <c r="D47" s="16"/>
      <c r="E47" s="16"/>
      <c r="F47" s="33"/>
      <c r="G47" s="33"/>
      <c r="H47" s="16"/>
      <c r="I47" s="16"/>
      <c r="J47" s="16" t="str">
        <f t="shared" si="0"/>
        <v/>
      </c>
    </row>
    <row r="48" spans="3:10" ht="13.5" customHeight="1" x14ac:dyDescent="0.25">
      <c r="C48" s="16"/>
      <c r="D48" s="16"/>
      <c r="E48" s="16"/>
      <c r="F48" s="33"/>
      <c r="G48" s="33"/>
      <c r="H48" s="16"/>
      <c r="I48" s="16"/>
      <c r="J48" s="16" t="str">
        <f t="shared" si="0"/>
        <v/>
      </c>
    </row>
    <row r="49" spans="3:10" ht="13.5" customHeight="1" x14ac:dyDescent="0.25">
      <c r="C49" s="16"/>
      <c r="D49" s="16"/>
      <c r="E49" s="16"/>
      <c r="F49" s="33"/>
      <c r="G49" s="33"/>
      <c r="H49" s="16"/>
      <c r="I49" s="16"/>
      <c r="J49" s="16" t="str">
        <f t="shared" si="0"/>
        <v/>
      </c>
    </row>
    <row r="50" spans="3:10" ht="13.5" customHeight="1" x14ac:dyDescent="0.25">
      <c r="C50" s="16"/>
      <c r="D50" s="16"/>
      <c r="E50" s="16"/>
      <c r="F50" s="33"/>
      <c r="G50" s="33"/>
      <c r="H50" s="16"/>
      <c r="I50" s="16"/>
      <c r="J50" s="16" t="str">
        <f t="shared" si="0"/>
        <v/>
      </c>
    </row>
    <row r="51" spans="3:10" ht="13.5" customHeight="1" x14ac:dyDescent="0.25">
      <c r="C51" s="16"/>
      <c r="D51" s="16"/>
      <c r="E51" s="16"/>
      <c r="F51" s="33"/>
      <c r="G51" s="33"/>
      <c r="H51" s="16"/>
      <c r="I51" s="16"/>
      <c r="J51" s="16" t="str">
        <f t="shared" si="0"/>
        <v/>
      </c>
    </row>
    <row r="52" spans="3:10" ht="13.5" customHeight="1" x14ac:dyDescent="0.25">
      <c r="C52" s="16"/>
      <c r="D52" s="16"/>
      <c r="E52" s="16"/>
      <c r="F52" s="33"/>
      <c r="G52" s="33"/>
      <c r="H52" s="16"/>
      <c r="I52" s="16"/>
      <c r="J52" s="16" t="str">
        <f t="shared" si="0"/>
        <v/>
      </c>
    </row>
    <row r="53" spans="3:10" ht="13.5" customHeight="1" x14ac:dyDescent="0.25">
      <c r="C53" s="16"/>
      <c r="D53" s="16"/>
      <c r="E53" s="16"/>
      <c r="F53" s="33"/>
      <c r="G53" s="33"/>
      <c r="H53" s="16"/>
      <c r="I53" s="16"/>
      <c r="J53" s="16" t="str">
        <f t="shared" si="0"/>
        <v/>
      </c>
    </row>
    <row r="54" spans="3:10" ht="13.5" customHeight="1" x14ac:dyDescent="0.25">
      <c r="C54" s="16"/>
      <c r="D54" s="16"/>
      <c r="E54" s="16"/>
      <c r="F54" s="33"/>
      <c r="G54" s="33"/>
      <c r="H54" s="16"/>
      <c r="I54" s="16"/>
      <c r="J54" s="16" t="str">
        <f t="shared" si="0"/>
        <v/>
      </c>
    </row>
    <row r="55" spans="3:10" ht="13.5" customHeight="1" x14ac:dyDescent="0.25">
      <c r="C55" s="16"/>
      <c r="D55" s="16"/>
      <c r="E55" s="16"/>
      <c r="F55" s="33"/>
      <c r="G55" s="33"/>
      <c r="H55" s="16"/>
      <c r="I55" s="16"/>
      <c r="J55" s="16" t="str">
        <f t="shared" si="0"/>
        <v/>
      </c>
    </row>
    <row r="56" spans="3:10" ht="13.5" customHeight="1" x14ac:dyDescent="0.25">
      <c r="C56" s="16"/>
      <c r="D56" s="16"/>
      <c r="E56" s="16"/>
      <c r="F56" s="33"/>
      <c r="G56" s="33"/>
      <c r="H56" s="16"/>
      <c r="I56" s="16"/>
      <c r="J56" s="16" t="str">
        <f t="shared" si="0"/>
        <v/>
      </c>
    </row>
    <row r="57" spans="3:10" ht="13.5" customHeight="1" x14ac:dyDescent="0.25">
      <c r="C57" s="16"/>
      <c r="D57" s="16"/>
      <c r="E57" s="16"/>
      <c r="F57" s="33"/>
      <c r="G57" s="33"/>
      <c r="H57" s="16"/>
      <c r="I57" s="16"/>
      <c r="J57" s="16" t="str">
        <f t="shared" si="0"/>
        <v/>
      </c>
    </row>
    <row r="58" spans="3:10" ht="13.5" customHeight="1" x14ac:dyDescent="0.25">
      <c r="C58" s="16"/>
      <c r="D58" s="16"/>
      <c r="E58" s="16"/>
      <c r="F58" s="33"/>
      <c r="G58" s="33"/>
      <c r="H58" s="16"/>
      <c r="I58" s="16"/>
      <c r="J58" s="16" t="str">
        <f t="shared" si="0"/>
        <v/>
      </c>
    </row>
    <row r="59" spans="3:10" ht="13.5" customHeight="1" x14ac:dyDescent="0.25">
      <c r="C59" s="16"/>
      <c r="D59" s="16"/>
      <c r="E59" s="16"/>
      <c r="F59" s="33"/>
      <c r="G59" s="33"/>
      <c r="H59" s="16"/>
      <c r="I59" s="16"/>
      <c r="J59" s="16" t="str">
        <f t="shared" si="0"/>
        <v/>
      </c>
    </row>
    <row r="60" spans="3:10" ht="13.5" customHeight="1" x14ac:dyDescent="0.25">
      <c r="C60" s="16"/>
      <c r="D60" s="16"/>
      <c r="E60" s="16"/>
      <c r="F60" s="33"/>
      <c r="G60" s="33"/>
      <c r="H60" s="16"/>
      <c r="I60" s="16"/>
      <c r="J60" s="16" t="str">
        <f t="shared" si="0"/>
        <v/>
      </c>
    </row>
    <row r="61" spans="3:10" ht="13.5" customHeight="1" x14ac:dyDescent="0.25">
      <c r="C61" s="16"/>
      <c r="D61" s="16"/>
      <c r="E61" s="16"/>
      <c r="F61" s="33"/>
      <c r="G61" s="33"/>
      <c r="H61" s="16"/>
      <c r="I61" s="16"/>
      <c r="J61" s="16" t="str">
        <f t="shared" si="0"/>
        <v/>
      </c>
    </row>
    <row r="62" spans="3:10" ht="13.5" customHeight="1" x14ac:dyDescent="0.25">
      <c r="C62" s="16"/>
      <c r="D62" s="16"/>
      <c r="E62" s="16"/>
      <c r="F62" s="33"/>
      <c r="G62" s="33"/>
      <c r="H62" s="16"/>
      <c r="I62" s="16"/>
      <c r="J62" s="16" t="str">
        <f t="shared" si="0"/>
        <v/>
      </c>
    </row>
    <row r="63" spans="3:10" ht="13.5" customHeight="1" x14ac:dyDescent="0.25">
      <c r="C63" s="16"/>
      <c r="D63" s="16"/>
      <c r="E63" s="16"/>
      <c r="F63" s="33"/>
      <c r="G63" s="33"/>
      <c r="H63" s="16"/>
      <c r="I63" s="16"/>
      <c r="J63" s="16" t="str">
        <f t="shared" si="0"/>
        <v/>
      </c>
    </row>
    <row r="64" spans="3:10" ht="13.5" customHeight="1" x14ac:dyDescent="0.25">
      <c r="C64" s="16"/>
      <c r="D64" s="16"/>
      <c r="E64" s="16"/>
      <c r="F64" s="33"/>
      <c r="G64" s="33"/>
      <c r="H64" s="16"/>
      <c r="I64" s="16"/>
      <c r="J64" s="16" t="str">
        <f t="shared" si="0"/>
        <v/>
      </c>
    </row>
    <row r="65" spans="3:10" ht="13.5" customHeight="1" x14ac:dyDescent="0.25">
      <c r="C65" s="16"/>
      <c r="D65" s="16"/>
      <c r="E65" s="16"/>
      <c r="F65" s="33"/>
      <c r="G65" s="33"/>
      <c r="H65" s="16"/>
      <c r="I65" s="16"/>
      <c r="J65" s="16" t="str">
        <f t="shared" si="0"/>
        <v/>
      </c>
    </row>
    <row r="66" spans="3:10" ht="13.5" customHeight="1" x14ac:dyDescent="0.25">
      <c r="C66" s="16"/>
      <c r="D66" s="16"/>
      <c r="E66" s="16"/>
      <c r="F66" s="33"/>
      <c r="G66" s="33"/>
      <c r="H66" s="16"/>
      <c r="I66" s="16"/>
      <c r="J66" s="16" t="str">
        <f t="shared" si="0"/>
        <v/>
      </c>
    </row>
    <row r="67" spans="3:10" ht="13.5" customHeight="1" x14ac:dyDescent="0.25">
      <c r="C67" s="32" t="s">
        <v>196</v>
      </c>
      <c r="D67" s="32"/>
      <c r="E67" s="32"/>
      <c r="F67" s="32"/>
      <c r="G67" s="32"/>
      <c r="H67" s="32"/>
      <c r="I67" s="32"/>
      <c r="J67" s="32"/>
    </row>
    <row r="68" spans="3:10" ht="13.5" customHeight="1" x14ac:dyDescent="0.25">
      <c r="C68" s="16" t="str" cm="1">
        <f t="array" ref="C68">IFERROR(INDEX(_xlfn._xlws.FILTER(calc_s60!C15:C65, calc_s60!BC15:BC65&lt;&gt;""), INT((_xlfn.SEQUENCE(1 * COUNTA(_xlfn._xlws.FILTER(calc_s60!C15:C65, calc_s60!BC15:BC65&lt;&gt;""))) - 1) / 1) + 1), "")</f>
        <v/>
      </c>
      <c r="D68" s="16" t="str" cm="1">
        <f t="array" ref="D68">IFERROR(INDEX(_xlfn._xlws.FILTER(calc_s60!BE15:BE65, calc_s60!BC15:BC65&lt;&gt;""), INT((_xlfn.SEQUENCE(1 * COUNTA(_xlfn._xlws.FILTER(calc_s60!BE15:BE65, calc_s60!BC15:BC65&lt;&gt;""))) - 1) / 1) + 1), "")</f>
        <v/>
      </c>
      <c r="E68" s="16" t="str" cm="1">
        <f t="array" ref="E68">IFERROR(INDEX(_xlfn._xlws.FILTER(calc_s60!E15:E65, calc_s60!BC15:BC65&lt;&gt;""), INT((_xlfn.SEQUENCE(1 * COUNTA(_xlfn._xlws.FILTER(calc_s60!E15:E65, calc_s60!BC15:BC65&lt;&gt;""))) - 1) / 1) + 1), "")</f>
        <v/>
      </c>
      <c r="F68" s="33" t="str" cm="1">
        <f t="array" ref="F68">IFERROR(INDEX(_xlfn._xlws.FILTER(calc_s60!H15:H65, calc_s60!BC15:BC65&lt;&gt;""), INT((_xlfn.SEQUENCE(1 * COUNTA(_xlfn._xlws.FILTER(calc_s60!H15:H65, calc_s60!BC15:BC65&lt;&gt;""))) - 1) / 1) + 1), "")</f>
        <v/>
      </c>
      <c r="G68" s="33" t="str" cm="1">
        <f t="array" ref="G68">IFERROR(INDEX(_xlfn._xlws.FILTER(calc_s60!I15:I65, calc_s60!BD15:BD65&lt;&gt;""), INT((_xlfn.SEQUENCE(1 * COUNTA(_xlfn._xlws.FILTER(calc_s60!I15:I65, calc_s60!BD15:BD65&lt;&gt;""))) - 1) / 1) + 1), "")</f>
        <v/>
      </c>
      <c r="H68" s="16" t="str" cm="1">
        <f t="array" ref="H68">IFERROR(INDEX(_xlfn._xlws.FILTER(calc_s60!BC15:BC65, calc_s60!BC15:BC65&lt;&gt;""), INT((_xlfn.SEQUENCE(1 * COUNTA(_xlfn._xlws.FILTER(calc_s60!BC15:BC65, calc_s60!BC15:BC65&lt;&gt;""))) - 1) / 1) + 1), "")</f>
        <v/>
      </c>
      <c r="I68" s="16" t="str" cm="1">
        <f t="array" ref="I68">IFERROR(INDEX(_xlfn._xlws.FILTER(calc_s60!BD15:BD65, calc_s60!BC15:BC65&lt;&gt;""), INT((_xlfn.SEQUENCE(1 * COUNTA(_xlfn._xlws.FILTER(calc_s60!BD15:BD65, calc_s60!BC15:BC65&lt;&gt;""))) - 1) / 1) + 1), "")</f>
        <v/>
      </c>
      <c r="J68" s="16" t="str">
        <f>IF(C68&lt;&gt;"", "Sash","")</f>
        <v/>
      </c>
    </row>
    <row r="69" spans="3:10" ht="13.5" customHeight="1" x14ac:dyDescent="0.25">
      <c r="C69" s="16"/>
      <c r="D69" s="16"/>
      <c r="E69" s="16"/>
      <c r="F69" s="33"/>
      <c r="G69" s="33"/>
      <c r="H69" s="16"/>
      <c r="I69" s="16"/>
      <c r="J69" s="16" t="str">
        <f t="shared" ref="J69:J118" si="1">IF(C69&lt;&gt;"", "Sash","")</f>
        <v/>
      </c>
    </row>
    <row r="70" spans="3:10" ht="13.5" customHeight="1" x14ac:dyDescent="0.25">
      <c r="C70" s="16"/>
      <c r="D70" s="16"/>
      <c r="E70" s="16"/>
      <c r="F70" s="33"/>
      <c r="G70" s="33"/>
      <c r="H70" s="16"/>
      <c r="I70" s="16"/>
      <c r="J70" s="16" t="str">
        <f t="shared" si="1"/>
        <v/>
      </c>
    </row>
    <row r="71" spans="3:10" ht="13.5" customHeight="1" x14ac:dyDescent="0.25">
      <c r="C71" s="16"/>
      <c r="D71" s="16"/>
      <c r="E71" s="16"/>
      <c r="F71" s="33"/>
      <c r="G71" s="33"/>
      <c r="H71" s="16"/>
      <c r="I71" s="16"/>
      <c r="J71" s="16" t="str">
        <f t="shared" si="1"/>
        <v/>
      </c>
    </row>
    <row r="72" spans="3:10" ht="13.5" customHeight="1" x14ac:dyDescent="0.25">
      <c r="C72" s="16"/>
      <c r="D72" s="16"/>
      <c r="E72" s="16"/>
      <c r="F72" s="33"/>
      <c r="G72" s="33"/>
      <c r="H72" s="16"/>
      <c r="I72" s="16"/>
      <c r="J72" s="16" t="str">
        <f t="shared" si="1"/>
        <v/>
      </c>
    </row>
    <row r="73" spans="3:10" ht="13.5" customHeight="1" x14ac:dyDescent="0.25">
      <c r="C73" s="16"/>
      <c r="D73" s="16"/>
      <c r="E73" s="16"/>
      <c r="F73" s="33"/>
      <c r="G73" s="33"/>
      <c r="H73" s="16"/>
      <c r="I73" s="16"/>
      <c r="J73" s="16" t="str">
        <f t="shared" si="1"/>
        <v/>
      </c>
    </row>
    <row r="74" spans="3:10" ht="13.5" customHeight="1" x14ac:dyDescent="0.25">
      <c r="C74" s="16"/>
      <c r="D74" s="16"/>
      <c r="E74" s="16"/>
      <c r="F74" s="33"/>
      <c r="G74" s="33"/>
      <c r="H74" s="16"/>
      <c r="I74" s="16"/>
      <c r="J74" s="16" t="str">
        <f t="shared" si="1"/>
        <v/>
      </c>
    </row>
    <row r="75" spans="3:10" ht="13.5" customHeight="1" x14ac:dyDescent="0.25">
      <c r="C75" s="16"/>
      <c r="D75" s="16"/>
      <c r="E75" s="16"/>
      <c r="F75" s="33"/>
      <c r="G75" s="33"/>
      <c r="H75" s="16"/>
      <c r="I75" s="16"/>
      <c r="J75" s="16" t="str">
        <f t="shared" si="1"/>
        <v/>
      </c>
    </row>
    <row r="76" spans="3:10" ht="13.5" customHeight="1" x14ac:dyDescent="0.25">
      <c r="C76" s="16"/>
      <c r="D76" s="16"/>
      <c r="E76" s="16"/>
      <c r="F76" s="33"/>
      <c r="G76" s="33"/>
      <c r="H76" s="16"/>
      <c r="I76" s="16"/>
      <c r="J76" s="16" t="str">
        <f t="shared" si="1"/>
        <v/>
      </c>
    </row>
    <row r="77" spans="3:10" ht="13.5" customHeight="1" x14ac:dyDescent="0.25">
      <c r="C77" s="16"/>
      <c r="D77" s="16"/>
      <c r="E77" s="16"/>
      <c r="F77" s="33"/>
      <c r="G77" s="33"/>
      <c r="H77" s="16"/>
      <c r="I77" s="16"/>
      <c r="J77" s="16" t="str">
        <f t="shared" si="1"/>
        <v/>
      </c>
    </row>
    <row r="78" spans="3:10" ht="13.5" customHeight="1" x14ac:dyDescent="0.25">
      <c r="C78" s="16"/>
      <c r="D78" s="16"/>
      <c r="E78" s="16"/>
      <c r="F78" s="33"/>
      <c r="G78" s="33"/>
      <c r="H78" s="16"/>
      <c r="I78" s="16"/>
      <c r="J78" s="16" t="str">
        <f t="shared" si="1"/>
        <v/>
      </c>
    </row>
    <row r="79" spans="3:10" ht="13.5" customHeight="1" x14ac:dyDescent="0.25">
      <c r="C79" s="16"/>
      <c r="D79" s="16"/>
      <c r="E79" s="16"/>
      <c r="F79" s="33"/>
      <c r="G79" s="33"/>
      <c r="H79" s="16"/>
      <c r="I79" s="16"/>
      <c r="J79" s="16" t="str">
        <f t="shared" si="1"/>
        <v/>
      </c>
    </row>
    <row r="80" spans="3:10" ht="13.5" customHeight="1" x14ac:dyDescent="0.25">
      <c r="C80" s="16"/>
      <c r="D80" s="16"/>
      <c r="E80" s="16"/>
      <c r="F80" s="33"/>
      <c r="G80" s="33"/>
      <c r="H80" s="16"/>
      <c r="I80" s="16"/>
      <c r="J80" s="16" t="str">
        <f t="shared" si="1"/>
        <v/>
      </c>
    </row>
    <row r="81" spans="3:10" ht="13.5" customHeight="1" x14ac:dyDescent="0.25">
      <c r="C81" s="16"/>
      <c r="D81" s="16"/>
      <c r="E81" s="16"/>
      <c r="F81" s="33"/>
      <c r="G81" s="33"/>
      <c r="H81" s="16"/>
      <c r="I81" s="16"/>
      <c r="J81" s="16" t="str">
        <f t="shared" si="1"/>
        <v/>
      </c>
    </row>
    <row r="82" spans="3:10" ht="13.5" customHeight="1" x14ac:dyDescent="0.25">
      <c r="C82" s="16"/>
      <c r="D82" s="16"/>
      <c r="E82" s="16"/>
      <c r="F82" s="33"/>
      <c r="G82" s="33"/>
      <c r="H82" s="16"/>
      <c r="I82" s="16"/>
      <c r="J82" s="16" t="str">
        <f t="shared" si="1"/>
        <v/>
      </c>
    </row>
    <row r="83" spans="3:10" ht="13.5" customHeight="1" x14ac:dyDescent="0.25">
      <c r="C83" s="16"/>
      <c r="D83" s="16"/>
      <c r="E83" s="16"/>
      <c r="F83" s="33"/>
      <c r="G83" s="33"/>
      <c r="H83" s="16"/>
      <c r="I83" s="16"/>
      <c r="J83" s="16" t="str">
        <f t="shared" si="1"/>
        <v/>
      </c>
    </row>
    <row r="84" spans="3:10" ht="13.5" customHeight="1" x14ac:dyDescent="0.25">
      <c r="C84" s="16"/>
      <c r="D84" s="16"/>
      <c r="E84" s="16"/>
      <c r="F84" s="33"/>
      <c r="G84" s="33"/>
      <c r="H84" s="16"/>
      <c r="I84" s="16"/>
      <c r="J84" s="16" t="str">
        <f t="shared" si="1"/>
        <v/>
      </c>
    </row>
    <row r="85" spans="3:10" ht="13.5" customHeight="1" x14ac:dyDescent="0.25">
      <c r="C85" s="16"/>
      <c r="D85" s="16"/>
      <c r="E85" s="16"/>
      <c r="F85" s="33"/>
      <c r="G85" s="33"/>
      <c r="H85" s="16"/>
      <c r="I85" s="16"/>
      <c r="J85" s="16" t="str">
        <f t="shared" si="1"/>
        <v/>
      </c>
    </row>
    <row r="86" spans="3:10" ht="13.5" customHeight="1" x14ac:dyDescent="0.25">
      <c r="C86" s="16"/>
      <c r="D86" s="16"/>
      <c r="E86" s="16"/>
      <c r="F86" s="33"/>
      <c r="G86" s="33"/>
      <c r="H86" s="16"/>
      <c r="I86" s="16"/>
      <c r="J86" s="16" t="str">
        <f t="shared" si="1"/>
        <v/>
      </c>
    </row>
    <row r="87" spans="3:10" ht="13.5" customHeight="1" x14ac:dyDescent="0.25">
      <c r="C87" s="16"/>
      <c r="D87" s="16"/>
      <c r="E87" s="16"/>
      <c r="F87" s="33"/>
      <c r="G87" s="33"/>
      <c r="H87" s="16"/>
      <c r="I87" s="16"/>
      <c r="J87" s="16" t="str">
        <f t="shared" si="1"/>
        <v/>
      </c>
    </row>
    <row r="88" spans="3:10" ht="13.5" customHeight="1" x14ac:dyDescent="0.25">
      <c r="C88" s="16"/>
      <c r="D88" s="16"/>
      <c r="E88" s="16"/>
      <c r="F88" s="33"/>
      <c r="G88" s="33"/>
      <c r="H88" s="16"/>
      <c r="I88" s="16"/>
      <c r="J88" s="16" t="str">
        <f t="shared" si="1"/>
        <v/>
      </c>
    </row>
    <row r="89" spans="3:10" ht="13.5" customHeight="1" x14ac:dyDescent="0.25">
      <c r="C89" s="16"/>
      <c r="D89" s="16"/>
      <c r="E89" s="16"/>
      <c r="F89" s="33"/>
      <c r="G89" s="33"/>
      <c r="H89" s="16"/>
      <c r="I89" s="16"/>
      <c r="J89" s="16" t="str">
        <f t="shared" si="1"/>
        <v/>
      </c>
    </row>
    <row r="90" spans="3:10" ht="13.5" customHeight="1" x14ac:dyDescent="0.25">
      <c r="C90" s="16"/>
      <c r="D90" s="16"/>
      <c r="E90" s="16"/>
      <c r="F90" s="33"/>
      <c r="G90" s="33"/>
      <c r="H90" s="16"/>
      <c r="I90" s="16"/>
      <c r="J90" s="16" t="str">
        <f t="shared" si="1"/>
        <v/>
      </c>
    </row>
    <row r="91" spans="3:10" ht="13.5" customHeight="1" x14ac:dyDescent="0.25">
      <c r="C91" s="16"/>
      <c r="D91" s="16"/>
      <c r="E91" s="16"/>
      <c r="F91" s="33"/>
      <c r="G91" s="33"/>
      <c r="H91" s="16"/>
      <c r="I91" s="16"/>
      <c r="J91" s="16" t="str">
        <f t="shared" si="1"/>
        <v/>
      </c>
    </row>
    <row r="92" spans="3:10" ht="13.5" customHeight="1" x14ac:dyDescent="0.25">
      <c r="C92" s="16"/>
      <c r="D92" s="16"/>
      <c r="E92" s="16"/>
      <c r="F92" s="33"/>
      <c r="G92" s="33"/>
      <c r="H92" s="16"/>
      <c r="I92" s="16"/>
      <c r="J92" s="16" t="str">
        <f t="shared" si="1"/>
        <v/>
      </c>
    </row>
    <row r="93" spans="3:10" ht="13.5" customHeight="1" x14ac:dyDescent="0.25">
      <c r="C93" s="16"/>
      <c r="D93" s="16"/>
      <c r="E93" s="16"/>
      <c r="F93" s="33"/>
      <c r="G93" s="33"/>
      <c r="H93" s="16"/>
      <c r="I93" s="16"/>
      <c r="J93" s="16" t="str">
        <f t="shared" si="1"/>
        <v/>
      </c>
    </row>
    <row r="94" spans="3:10" ht="13.5" customHeight="1" x14ac:dyDescent="0.25">
      <c r="C94" s="16"/>
      <c r="D94" s="16"/>
      <c r="E94" s="16"/>
      <c r="F94" s="33"/>
      <c r="G94" s="33"/>
      <c r="H94" s="16"/>
      <c r="I94" s="16"/>
      <c r="J94" s="16" t="str">
        <f t="shared" si="1"/>
        <v/>
      </c>
    </row>
    <row r="95" spans="3:10" ht="13.5" customHeight="1" x14ac:dyDescent="0.25">
      <c r="C95" s="16"/>
      <c r="D95" s="16"/>
      <c r="E95" s="16"/>
      <c r="F95" s="33"/>
      <c r="G95" s="33"/>
      <c r="H95" s="16"/>
      <c r="I95" s="16"/>
      <c r="J95" s="16" t="str">
        <f t="shared" si="1"/>
        <v/>
      </c>
    </row>
    <row r="96" spans="3:10" ht="13.5" customHeight="1" x14ac:dyDescent="0.25">
      <c r="C96" s="16"/>
      <c r="D96" s="16"/>
      <c r="E96" s="16"/>
      <c r="F96" s="33"/>
      <c r="G96" s="33"/>
      <c r="H96" s="16"/>
      <c r="I96" s="16"/>
      <c r="J96" s="16" t="str">
        <f t="shared" si="1"/>
        <v/>
      </c>
    </row>
    <row r="97" spans="3:10" ht="13.5" customHeight="1" x14ac:dyDescent="0.25">
      <c r="C97" s="16"/>
      <c r="D97" s="16"/>
      <c r="E97" s="16"/>
      <c r="F97" s="33"/>
      <c r="G97" s="33"/>
      <c r="H97" s="16"/>
      <c r="I97" s="16"/>
      <c r="J97" s="16" t="str">
        <f t="shared" si="1"/>
        <v/>
      </c>
    </row>
    <row r="98" spans="3:10" ht="13.5" customHeight="1" x14ac:dyDescent="0.25">
      <c r="C98" s="16"/>
      <c r="D98" s="16"/>
      <c r="E98" s="16"/>
      <c r="F98" s="33"/>
      <c r="G98" s="33"/>
      <c r="H98" s="16"/>
      <c r="I98" s="16"/>
      <c r="J98" s="16" t="str">
        <f t="shared" si="1"/>
        <v/>
      </c>
    </row>
    <row r="99" spans="3:10" ht="13.5" customHeight="1" x14ac:dyDescent="0.25">
      <c r="C99" s="16"/>
      <c r="D99" s="16"/>
      <c r="E99" s="16"/>
      <c r="F99" s="33"/>
      <c r="G99" s="33"/>
      <c r="H99" s="16"/>
      <c r="I99" s="16"/>
      <c r="J99" s="16" t="str">
        <f t="shared" si="1"/>
        <v/>
      </c>
    </row>
    <row r="100" spans="3:10" ht="13.5" customHeight="1" x14ac:dyDescent="0.25">
      <c r="C100" s="16"/>
      <c r="D100" s="16"/>
      <c r="E100" s="16"/>
      <c r="F100" s="33"/>
      <c r="G100" s="33"/>
      <c r="H100" s="16"/>
      <c r="I100" s="16"/>
      <c r="J100" s="16" t="str">
        <f t="shared" si="1"/>
        <v/>
      </c>
    </row>
    <row r="101" spans="3:10" ht="13.5" customHeight="1" x14ac:dyDescent="0.25">
      <c r="C101" s="16"/>
      <c r="D101" s="16"/>
      <c r="E101" s="16"/>
      <c r="F101" s="33"/>
      <c r="G101" s="33"/>
      <c r="H101" s="16"/>
      <c r="I101" s="16"/>
      <c r="J101" s="16" t="str">
        <f t="shared" si="1"/>
        <v/>
      </c>
    </row>
    <row r="102" spans="3:10" ht="13.5" customHeight="1" x14ac:dyDescent="0.25">
      <c r="C102" s="16"/>
      <c r="D102" s="16"/>
      <c r="E102" s="16"/>
      <c r="F102" s="33"/>
      <c r="G102" s="33"/>
      <c r="H102" s="16"/>
      <c r="I102" s="16"/>
      <c r="J102" s="16" t="str">
        <f t="shared" si="1"/>
        <v/>
      </c>
    </row>
    <row r="103" spans="3:10" ht="13.5" customHeight="1" x14ac:dyDescent="0.25">
      <c r="C103" s="16"/>
      <c r="D103" s="16"/>
      <c r="E103" s="16"/>
      <c r="F103" s="33"/>
      <c r="G103" s="33"/>
      <c r="H103" s="16"/>
      <c r="I103" s="16"/>
      <c r="J103" s="16" t="str">
        <f t="shared" si="1"/>
        <v/>
      </c>
    </row>
    <row r="104" spans="3:10" ht="13.5" customHeight="1" x14ac:dyDescent="0.25">
      <c r="C104" s="16"/>
      <c r="D104" s="16"/>
      <c r="E104" s="16"/>
      <c r="F104" s="33"/>
      <c r="G104" s="33"/>
      <c r="H104" s="16"/>
      <c r="I104" s="16"/>
      <c r="J104" s="16" t="str">
        <f t="shared" si="1"/>
        <v/>
      </c>
    </row>
    <row r="105" spans="3:10" ht="13.5" customHeight="1" x14ac:dyDescent="0.25">
      <c r="C105" s="16"/>
      <c r="D105" s="16"/>
      <c r="E105" s="16"/>
      <c r="F105" s="33"/>
      <c r="G105" s="33"/>
      <c r="H105" s="16"/>
      <c r="I105" s="16"/>
      <c r="J105" s="16" t="str">
        <f t="shared" si="1"/>
        <v/>
      </c>
    </row>
    <row r="106" spans="3:10" ht="13.5" customHeight="1" x14ac:dyDescent="0.25">
      <c r="C106" s="16"/>
      <c r="D106" s="16"/>
      <c r="E106" s="16"/>
      <c r="F106" s="33"/>
      <c r="G106" s="33"/>
      <c r="H106" s="16"/>
      <c r="I106" s="16"/>
      <c r="J106" s="16" t="str">
        <f t="shared" si="1"/>
        <v/>
      </c>
    </row>
    <row r="107" spans="3:10" ht="13.5" customHeight="1" x14ac:dyDescent="0.25">
      <c r="C107" s="16"/>
      <c r="D107" s="16"/>
      <c r="E107" s="16"/>
      <c r="F107" s="33"/>
      <c r="G107" s="33"/>
      <c r="H107" s="16"/>
      <c r="I107" s="16"/>
      <c r="J107" s="16" t="str">
        <f t="shared" si="1"/>
        <v/>
      </c>
    </row>
    <row r="108" spans="3:10" ht="13.5" customHeight="1" x14ac:dyDescent="0.25">
      <c r="C108" s="16"/>
      <c r="D108" s="16"/>
      <c r="E108" s="16"/>
      <c r="F108" s="33"/>
      <c r="G108" s="33"/>
      <c r="H108" s="16"/>
      <c r="I108" s="16"/>
      <c r="J108" s="16" t="str">
        <f t="shared" si="1"/>
        <v/>
      </c>
    </row>
    <row r="109" spans="3:10" ht="13.5" customHeight="1" x14ac:dyDescent="0.25">
      <c r="C109" s="16"/>
      <c r="D109" s="16"/>
      <c r="E109" s="16"/>
      <c r="F109" s="33"/>
      <c r="G109" s="33"/>
      <c r="H109" s="16"/>
      <c r="I109" s="16"/>
      <c r="J109" s="16" t="str">
        <f t="shared" si="1"/>
        <v/>
      </c>
    </row>
    <row r="110" spans="3:10" ht="13.5" customHeight="1" x14ac:dyDescent="0.25">
      <c r="C110" s="16"/>
      <c r="D110" s="16"/>
      <c r="E110" s="16"/>
      <c r="F110" s="33"/>
      <c r="G110" s="33"/>
      <c r="H110" s="16"/>
      <c r="I110" s="16"/>
      <c r="J110" s="16" t="str">
        <f t="shared" si="1"/>
        <v/>
      </c>
    </row>
    <row r="111" spans="3:10" ht="13.5" customHeight="1" x14ac:dyDescent="0.25">
      <c r="C111" s="16"/>
      <c r="D111" s="16"/>
      <c r="E111" s="16"/>
      <c r="F111" s="33"/>
      <c r="G111" s="33"/>
      <c r="H111" s="16"/>
      <c r="I111" s="16"/>
      <c r="J111" s="16" t="str">
        <f t="shared" si="1"/>
        <v/>
      </c>
    </row>
    <row r="112" spans="3:10" ht="13.5" customHeight="1" x14ac:dyDescent="0.25">
      <c r="C112" s="16"/>
      <c r="D112" s="16"/>
      <c r="E112" s="16"/>
      <c r="F112" s="33"/>
      <c r="G112" s="33"/>
      <c r="H112" s="16"/>
      <c r="I112" s="16"/>
      <c r="J112" s="16" t="str">
        <f t="shared" si="1"/>
        <v/>
      </c>
    </row>
    <row r="113" spans="3:10" ht="13.5" customHeight="1" x14ac:dyDescent="0.25">
      <c r="C113" s="16"/>
      <c r="D113" s="16"/>
      <c r="E113" s="16"/>
      <c r="F113" s="33"/>
      <c r="G113" s="33"/>
      <c r="H113" s="16"/>
      <c r="I113" s="16"/>
      <c r="J113" s="16" t="str">
        <f t="shared" si="1"/>
        <v/>
      </c>
    </row>
    <row r="114" spans="3:10" ht="13.5" customHeight="1" x14ac:dyDescent="0.25">
      <c r="C114" s="16"/>
      <c r="D114" s="16"/>
      <c r="E114" s="16"/>
      <c r="F114" s="33"/>
      <c r="G114" s="33"/>
      <c r="H114" s="16"/>
      <c r="I114" s="16"/>
      <c r="J114" s="16" t="str">
        <f t="shared" si="1"/>
        <v/>
      </c>
    </row>
    <row r="115" spans="3:10" ht="13.5" customHeight="1" x14ac:dyDescent="0.25">
      <c r="C115" s="16"/>
      <c r="D115" s="16"/>
      <c r="E115" s="16"/>
      <c r="F115" s="33"/>
      <c r="G115" s="33"/>
      <c r="H115" s="16"/>
      <c r="I115" s="16"/>
      <c r="J115" s="16" t="str">
        <f t="shared" si="1"/>
        <v/>
      </c>
    </row>
    <row r="116" spans="3:10" ht="13.5" customHeight="1" x14ac:dyDescent="0.25">
      <c r="C116" s="16"/>
      <c r="D116" s="16"/>
      <c r="E116" s="16"/>
      <c r="F116" s="33"/>
      <c r="G116" s="33"/>
      <c r="H116" s="16"/>
      <c r="I116" s="16"/>
      <c r="J116" s="16" t="str">
        <f t="shared" si="1"/>
        <v/>
      </c>
    </row>
    <row r="117" spans="3:10" ht="13.5" customHeight="1" x14ac:dyDescent="0.25">
      <c r="C117" s="16"/>
      <c r="D117" s="16"/>
      <c r="E117" s="16"/>
      <c r="F117" s="33"/>
      <c r="G117" s="33"/>
      <c r="H117" s="16"/>
      <c r="I117" s="16"/>
      <c r="J117" s="16" t="str">
        <f t="shared" si="1"/>
        <v/>
      </c>
    </row>
    <row r="118" spans="3:10" ht="13.5" customHeight="1" x14ac:dyDescent="0.25">
      <c r="C118" s="16"/>
      <c r="D118" s="16"/>
      <c r="E118" s="16"/>
      <c r="F118" s="33"/>
      <c r="G118" s="33"/>
      <c r="H118" s="16"/>
      <c r="I118" s="16"/>
      <c r="J118" s="16" t="str">
        <f t="shared" si="1"/>
        <v/>
      </c>
    </row>
    <row r="119" spans="3:10" ht="13.5" customHeight="1" x14ac:dyDescent="0.25">
      <c r="C119" s="32" t="s">
        <v>197</v>
      </c>
      <c r="D119" s="32"/>
      <c r="E119" s="32"/>
      <c r="F119" s="32"/>
      <c r="G119" s="32"/>
      <c r="H119" s="32"/>
      <c r="I119" s="32"/>
      <c r="J119" s="32"/>
    </row>
    <row r="120" spans="3:10" ht="13.5" customHeight="1" x14ac:dyDescent="0.25">
      <c r="C120" s="16" t="str" cm="1">
        <f t="array" ref="C120:C121">IFERROR(INDEX(_xlfn._xlws.FILTER('calc_s90&amp;138'!C15:C65, 'calc_s90&amp;138'!CC15:CC65&lt;&gt;""), INT((_xlfn.SEQUENCE(2 * COUNTA(_xlfn._xlws.FILTER('calc_s90&amp;138'!C15:C65, 'calc_s90&amp;138'!CC15:CC65&lt;&gt;""))) - 1) / 2) + 1), "")</f>
        <v/>
      </c>
      <c r="D120" s="16" t="str" cm="1">
        <f t="array" ref="D120">IF(C120&lt;&gt;"", _xlfn.IFS(J120="SLI",_xlfn.XLOOKUP(C120,'calc_s90&amp;138'!$C$15:$C$1000,'calc_s90&amp;138'!$CE$15:$CE$1000,"",0),    J120="FIX", _xlfn.XLOOKUP(C120,'calc_s90&amp;138'!$C$15:$C$1000,'calc_s90&amp;138'!$CH$15:$CH$1000,"",0)),"")</f>
        <v/>
      </c>
      <c r="E120" s="16" t="str" cm="1">
        <f t="array" ref="E120:E121">IFERROR(INDEX(_xlfn._xlws.FILTER('calc_s90&amp;138'!E15:E65, 'calc_s90&amp;138'!CC15:CC65&lt;&gt;""), INT((_xlfn.SEQUENCE(2 * COUNTA(_xlfn._xlws.FILTER('calc_s90&amp;138'!E15:E65, 'calc_s90&amp;138'!CC15:CC65&lt;&gt;""))) - 1) / 2) + 1), "")</f>
        <v/>
      </c>
      <c r="F120" s="33" t="str" cm="1">
        <f t="array" ref="F120:F121">IFERROR(INDEX(_xlfn._xlws.FILTER('calc_s90&amp;138'!H15:H65, 'calc_s90&amp;138'!CC15:CC65&lt;&gt;""), INT((_xlfn.SEQUENCE(2 * COUNTA(_xlfn._xlws.FILTER('calc_s90&amp;138'!H15:H65, 'calc_s90&amp;138'!CC15:CC65&lt;&gt;""))) - 1) / 2) + 1), "")</f>
        <v/>
      </c>
      <c r="G120" s="33" t="str" cm="1">
        <f t="array" ref="G120:G121">IFERROR(INDEX(_xlfn._xlws.FILTER('calc_s90&amp;138'!I15:I65, 'calc_s90&amp;138'!CD15:CD65&lt;&gt;""), INT((_xlfn.SEQUENCE(2 * COUNTA(_xlfn._xlws.FILTER('calc_s90&amp;138'!I15:I65, 'calc_s90&amp;138'!CD15:CD65&lt;&gt;""))) - 1) / 2) + 1), "")</f>
        <v/>
      </c>
      <c r="H120" s="16" t="str" cm="1">
        <f t="array" ref="H120">IF(C120&lt;&gt;"", _xlfn.IFS(J120="SLI",_xlfn.XLOOKUP(C120,'calc_s90&amp;138'!$C$15:$C$1000,'calc_s90&amp;138'!$CC$15:$CC$1000,"",0),    J120="FIX", _xlfn.XLOOKUP(C120,'calc_s90&amp;138'!$C$15:$C$1000,'calc_s90&amp;138'!$CF$15:$CF$1000,"",0)),"")</f>
        <v/>
      </c>
      <c r="I120" s="16" t="str" cm="1">
        <f t="array" ref="I120">IF(C120&lt;&gt;"", _xlfn.IFS(J120="SLI",_xlfn.XLOOKUP(C120,'calc_s90&amp;138'!$C$15:$C$1000,'calc_s90&amp;138'!$CD$15:$CD$1000,"",0),    J120="FIX", _xlfn.XLOOKUP(C120,'calc_s90&amp;138'!$C$15:$C$1000,'calc_s90&amp;138'!$CG$15:$CG$1000,"",0)),"")</f>
        <v/>
      </c>
      <c r="J120" s="16" t="str">
        <f>IF(C120&lt;&gt;"", IF(C120=C119, "FIX", "SLI"),"")</f>
        <v/>
      </c>
    </row>
    <row r="121" spans="3:10" ht="13.5" customHeight="1" x14ac:dyDescent="0.25">
      <c r="C121" s="16" t="str">
        <v/>
      </c>
      <c r="D121" s="16" t="str" cm="1">
        <f t="array" ref="D121">IF(C121&lt;&gt;"", _xlfn.IFS(J121="SLI",_xlfn.XLOOKUP(C121,'calc_s90&amp;138'!$C$15:$C$1000,'calc_s90&amp;138'!$CE$15:$CE$1000,"",0),    J121="FIX", _xlfn.XLOOKUP(C121,'calc_s90&amp;138'!$C$15:$C$1000,'calc_s90&amp;138'!$CH$15:$CH$1000,"",0)),"")</f>
        <v/>
      </c>
      <c r="E121" s="16" t="str">
        <v/>
      </c>
      <c r="F121" s="33" t="str">
        <v/>
      </c>
      <c r="G121" s="33" t="str">
        <v/>
      </c>
      <c r="H121" s="16" t="str" cm="1">
        <f t="array" ref="H121">IF(C121&lt;&gt;"", _xlfn.IFS(J121="SLI",_xlfn.XLOOKUP(C121,'calc_s90&amp;138'!$C$15:$C$1000,'calc_s90&amp;138'!$CC$15:$CC$1000,"",0),    J121="FIX", _xlfn.XLOOKUP(C121,'calc_s90&amp;138'!$C$15:$C$1000,'calc_s90&amp;138'!$CF$15:$CF$1000,"",0)),"")</f>
        <v/>
      </c>
      <c r="I121" s="16" t="str" cm="1">
        <f t="array" ref="I121">IF(C121&lt;&gt;"", _xlfn.IFS(J121="SLI",_xlfn.XLOOKUP(C121,'calc_s90&amp;138'!$C$15:$C$1000,'calc_s90&amp;138'!$CD$15:$CD$1000,"",0),    J121="FIX", _xlfn.XLOOKUP(C121,'calc_s90&amp;138'!$C$15:$C$1000,'calc_s90&amp;138'!$CG$15:$CG$1000,"",0)),"")</f>
        <v/>
      </c>
      <c r="J121" s="16" t="str">
        <f t="shared" ref="J121:J184" si="2">IF(C121&lt;&gt;"", IF(C121=C120, "FIX", "SLI"),"")</f>
        <v/>
      </c>
    </row>
    <row r="122" spans="3:10" ht="13.5" customHeight="1" x14ac:dyDescent="0.25">
      <c r="C122" s="16"/>
      <c r="D122" s="16" t="str" cm="1">
        <f t="array" ref="D122">IF(C122&lt;&gt;"", _xlfn.IFS(J122="SLI",_xlfn.XLOOKUP(C122,'calc_s90&amp;138'!$C$15:$C$1000,'calc_s90&amp;138'!$CE$15:$CE$1000,"",0),    J122="FIX", _xlfn.XLOOKUP(C122,'calc_s90&amp;138'!$C$15:$C$1000,'calc_s90&amp;138'!$CH$15:$CH$1000,"",0)),"")</f>
        <v/>
      </c>
      <c r="E122" s="16"/>
      <c r="F122" s="33"/>
      <c r="G122" s="33"/>
      <c r="H122" s="16" t="str" cm="1">
        <f t="array" ref="H122">IF(C122&lt;&gt;"", _xlfn.IFS(J122="SLI",_xlfn.XLOOKUP(C122,'calc_s90&amp;138'!$C$15:$C$1000,'calc_s90&amp;138'!$CC$15:$CC$1000,"",0),    J122="FIX", _xlfn.XLOOKUP(C122,'calc_s90&amp;138'!$C$15:$C$1000,'calc_s90&amp;138'!$CF$15:$CF$1000,"",0)),"")</f>
        <v/>
      </c>
      <c r="I122" s="16" t="str" cm="1">
        <f t="array" ref="I122">IF(C122&lt;&gt;"", _xlfn.IFS(J122="SLI",_xlfn.XLOOKUP(C122,'calc_s90&amp;138'!$C$15:$C$1000,'calc_s90&amp;138'!$CD$15:$CD$1000,"",0),    J122="FIX", _xlfn.XLOOKUP(C122,'calc_s90&amp;138'!$C$15:$C$1000,'calc_s90&amp;138'!$CG$15:$CG$1000,"",0)),"")</f>
        <v/>
      </c>
      <c r="J122" s="16" t="str">
        <f t="shared" si="2"/>
        <v/>
      </c>
    </row>
    <row r="123" spans="3:10" ht="13.5" customHeight="1" x14ac:dyDescent="0.25">
      <c r="C123" s="16"/>
      <c r="D123" s="16" t="str" cm="1">
        <f t="array" ref="D123">IF(C123&lt;&gt;"", _xlfn.IFS(J123="SLI",_xlfn.XLOOKUP(C123,'calc_s90&amp;138'!$C$15:$C$1000,'calc_s90&amp;138'!$CE$15:$CE$1000,"",0),    J123="FIX", _xlfn.XLOOKUP(C123,'calc_s90&amp;138'!$C$15:$C$1000,'calc_s90&amp;138'!$CH$15:$CH$1000,"",0)),"")</f>
        <v/>
      </c>
      <c r="E123" s="16"/>
      <c r="F123" s="33"/>
      <c r="G123" s="33"/>
      <c r="H123" s="16" t="str" cm="1">
        <f t="array" ref="H123">IF(C123&lt;&gt;"", _xlfn.IFS(J123="SLI",_xlfn.XLOOKUP(C123,'calc_s90&amp;138'!$C$15:$C$1000,'calc_s90&amp;138'!$CC$15:$CC$1000,"",0),    J123="FIX", _xlfn.XLOOKUP(C123,'calc_s90&amp;138'!$C$15:$C$1000,'calc_s90&amp;138'!$CF$15:$CF$1000,"",0)),"")</f>
        <v/>
      </c>
      <c r="I123" s="16" t="str" cm="1">
        <f t="array" ref="I123">IF(C123&lt;&gt;"", _xlfn.IFS(J123="SLI",_xlfn.XLOOKUP(C123,'calc_s90&amp;138'!$C$15:$C$1000,'calc_s90&amp;138'!$CD$15:$CD$1000,"",0),    J123="FIX", _xlfn.XLOOKUP(C123,'calc_s90&amp;138'!$C$15:$C$1000,'calc_s90&amp;138'!$CG$15:$CG$1000,"",0)),"")</f>
        <v/>
      </c>
      <c r="J123" s="16" t="str">
        <f t="shared" si="2"/>
        <v/>
      </c>
    </row>
    <row r="124" spans="3:10" ht="13.5" customHeight="1" x14ac:dyDescent="0.25">
      <c r="C124" s="16"/>
      <c r="D124" s="16" t="str" cm="1">
        <f t="array" ref="D124">IF(C124&lt;&gt;"", _xlfn.IFS(J124="SLI",_xlfn.XLOOKUP(C124,'calc_s90&amp;138'!$C$15:$C$1000,'calc_s90&amp;138'!$CE$15:$CE$1000,"",0),    J124="FIX", _xlfn.XLOOKUP(C124,'calc_s90&amp;138'!$C$15:$C$1000,'calc_s90&amp;138'!$CH$15:$CH$1000,"",0)),"")</f>
        <v/>
      </c>
      <c r="E124" s="16"/>
      <c r="F124" s="33"/>
      <c r="G124" s="33"/>
      <c r="H124" s="16" t="str" cm="1">
        <f t="array" ref="H124">IF(C124&lt;&gt;"", _xlfn.IFS(J124="SLI",_xlfn.XLOOKUP(C124,'calc_s90&amp;138'!$C$15:$C$1000,'calc_s90&amp;138'!$CC$15:$CC$1000,"",0),    J124="FIX", _xlfn.XLOOKUP(C124,'calc_s90&amp;138'!$C$15:$C$1000,'calc_s90&amp;138'!$CF$15:$CF$1000,"",0)),"")</f>
        <v/>
      </c>
      <c r="I124" s="16" t="str" cm="1">
        <f t="array" ref="I124">IF(C124&lt;&gt;"", _xlfn.IFS(J124="SLI",_xlfn.XLOOKUP(C124,'calc_s90&amp;138'!$C$15:$C$1000,'calc_s90&amp;138'!$CD$15:$CD$1000,"",0),    J124="FIX", _xlfn.XLOOKUP(C124,'calc_s90&amp;138'!$C$15:$C$1000,'calc_s90&amp;138'!$CG$15:$CG$1000,"",0)),"")</f>
        <v/>
      </c>
      <c r="J124" s="16" t="str">
        <f t="shared" si="2"/>
        <v/>
      </c>
    </row>
    <row r="125" spans="3:10" ht="13.5" customHeight="1" x14ac:dyDescent="0.25">
      <c r="C125" s="16"/>
      <c r="D125" s="16" t="str" cm="1">
        <f t="array" ref="D125">IF(C125&lt;&gt;"", _xlfn.IFS(J125="SLI",_xlfn.XLOOKUP(C125,'calc_s90&amp;138'!$C$15:$C$1000,'calc_s90&amp;138'!$CE$15:$CE$1000,"",0),    J125="FIX", _xlfn.XLOOKUP(C125,'calc_s90&amp;138'!$C$15:$C$1000,'calc_s90&amp;138'!$CH$15:$CH$1000,"",0)),"")</f>
        <v/>
      </c>
      <c r="E125" s="16"/>
      <c r="F125" s="33"/>
      <c r="G125" s="33"/>
      <c r="H125" s="16" t="str" cm="1">
        <f t="array" ref="H125">IF(C125&lt;&gt;"", _xlfn.IFS(J125="SLI",_xlfn.XLOOKUP(C125,'calc_s90&amp;138'!$C$15:$C$1000,'calc_s90&amp;138'!$CC$15:$CC$1000,"",0),    J125="FIX", _xlfn.XLOOKUP(C125,'calc_s90&amp;138'!$C$15:$C$1000,'calc_s90&amp;138'!$CF$15:$CF$1000,"",0)),"")</f>
        <v/>
      </c>
      <c r="I125" s="16" t="str" cm="1">
        <f t="array" ref="I125">IF(C125&lt;&gt;"", _xlfn.IFS(J125="SLI",_xlfn.XLOOKUP(C125,'calc_s90&amp;138'!$C$15:$C$1000,'calc_s90&amp;138'!$CD$15:$CD$1000,"",0),    J125="FIX", _xlfn.XLOOKUP(C125,'calc_s90&amp;138'!$C$15:$C$1000,'calc_s90&amp;138'!$CG$15:$CG$1000,"",0)),"")</f>
        <v/>
      </c>
      <c r="J125" s="16" t="str">
        <f t="shared" si="2"/>
        <v/>
      </c>
    </row>
    <row r="126" spans="3:10" ht="13.5" customHeight="1" x14ac:dyDescent="0.25">
      <c r="C126" s="16"/>
      <c r="D126" s="16" t="str" cm="1">
        <f t="array" ref="D126">IF(C126&lt;&gt;"", _xlfn.IFS(J126="SLI",_xlfn.XLOOKUP(C126,'calc_s90&amp;138'!$C$15:$C$1000,'calc_s90&amp;138'!$CE$15:$CE$1000,"",0),    J126="FIX", _xlfn.XLOOKUP(C126,'calc_s90&amp;138'!$C$15:$C$1000,'calc_s90&amp;138'!$CH$15:$CH$1000,"",0)),"")</f>
        <v/>
      </c>
      <c r="E126" s="16"/>
      <c r="F126" s="33"/>
      <c r="G126" s="33"/>
      <c r="H126" s="16" t="str" cm="1">
        <f t="array" ref="H126">IF(C126&lt;&gt;"", _xlfn.IFS(J126="SLI",_xlfn.XLOOKUP(C126,'calc_s90&amp;138'!$C$15:$C$1000,'calc_s90&amp;138'!$CC$15:$CC$1000,"",0),    J126="FIX", _xlfn.XLOOKUP(C126,'calc_s90&amp;138'!$C$15:$C$1000,'calc_s90&amp;138'!$CF$15:$CF$1000,"",0)),"")</f>
        <v/>
      </c>
      <c r="I126" s="16" t="str" cm="1">
        <f t="array" ref="I126">IF(C126&lt;&gt;"", _xlfn.IFS(J126="SLI",_xlfn.XLOOKUP(C126,'calc_s90&amp;138'!$C$15:$C$1000,'calc_s90&amp;138'!$CD$15:$CD$1000,"",0),    J126="FIX", _xlfn.XLOOKUP(C126,'calc_s90&amp;138'!$C$15:$C$1000,'calc_s90&amp;138'!$CG$15:$CG$1000,"",0)),"")</f>
        <v/>
      </c>
      <c r="J126" s="16" t="str">
        <f t="shared" si="2"/>
        <v/>
      </c>
    </row>
    <row r="127" spans="3:10" ht="13.5" customHeight="1" x14ac:dyDescent="0.25">
      <c r="C127" s="16"/>
      <c r="D127" s="16" t="str" cm="1">
        <f t="array" ref="D127">IF(C127&lt;&gt;"", _xlfn.IFS(J127="SLI",_xlfn.XLOOKUP(C127,'calc_s90&amp;138'!$C$15:$C$1000,'calc_s90&amp;138'!$CE$15:$CE$1000,"",0),    J127="FIX", _xlfn.XLOOKUP(C127,'calc_s90&amp;138'!$C$15:$C$1000,'calc_s90&amp;138'!$CH$15:$CH$1000,"",0)),"")</f>
        <v/>
      </c>
      <c r="E127" s="16"/>
      <c r="F127" s="33"/>
      <c r="G127" s="33"/>
      <c r="H127" s="16" t="str" cm="1">
        <f t="array" ref="H127">IF(C127&lt;&gt;"", _xlfn.IFS(J127="SLI",_xlfn.XLOOKUP(C127,'calc_s90&amp;138'!$C$15:$C$1000,'calc_s90&amp;138'!$CC$15:$CC$1000,"",0),    J127="FIX", _xlfn.XLOOKUP(C127,'calc_s90&amp;138'!$C$15:$C$1000,'calc_s90&amp;138'!$CF$15:$CF$1000,"",0)),"")</f>
        <v/>
      </c>
      <c r="I127" s="16" t="str" cm="1">
        <f t="array" ref="I127">IF(C127&lt;&gt;"", _xlfn.IFS(J127="SLI",_xlfn.XLOOKUP(C127,'calc_s90&amp;138'!$C$15:$C$1000,'calc_s90&amp;138'!$CD$15:$CD$1000,"",0),    J127="FIX", _xlfn.XLOOKUP(C127,'calc_s90&amp;138'!$C$15:$C$1000,'calc_s90&amp;138'!$CG$15:$CG$1000,"",0)),"")</f>
        <v/>
      </c>
      <c r="J127" s="16" t="str">
        <f t="shared" si="2"/>
        <v/>
      </c>
    </row>
    <row r="128" spans="3:10" ht="13.5" customHeight="1" x14ac:dyDescent="0.25">
      <c r="C128" s="16"/>
      <c r="D128" s="16" t="str" cm="1">
        <f t="array" ref="D128">IF(C128&lt;&gt;"", _xlfn.IFS(J128="SLI",_xlfn.XLOOKUP(C128,'calc_s90&amp;138'!$C$15:$C$1000,'calc_s90&amp;138'!$CE$15:$CE$1000,"",0),    J128="FIX", _xlfn.XLOOKUP(C128,'calc_s90&amp;138'!$C$15:$C$1000,'calc_s90&amp;138'!$CH$15:$CH$1000,"",0)),"")</f>
        <v/>
      </c>
      <c r="E128" s="16"/>
      <c r="F128" s="33"/>
      <c r="G128" s="33"/>
      <c r="H128" s="16" t="str" cm="1">
        <f t="array" ref="H128">IF(C128&lt;&gt;"", _xlfn.IFS(J128="SLI",_xlfn.XLOOKUP(C128,'calc_s90&amp;138'!$C$15:$C$1000,'calc_s90&amp;138'!$CC$15:$CC$1000,"",0),    J128="FIX", _xlfn.XLOOKUP(C128,'calc_s90&amp;138'!$C$15:$C$1000,'calc_s90&amp;138'!$CF$15:$CF$1000,"",0)),"")</f>
        <v/>
      </c>
      <c r="I128" s="16" t="str" cm="1">
        <f t="array" ref="I128">IF(C128&lt;&gt;"", _xlfn.IFS(J128="SLI",_xlfn.XLOOKUP(C128,'calc_s90&amp;138'!$C$15:$C$1000,'calc_s90&amp;138'!$CD$15:$CD$1000,"",0),    J128="FIX", _xlfn.XLOOKUP(C128,'calc_s90&amp;138'!$C$15:$C$1000,'calc_s90&amp;138'!$CG$15:$CG$1000,"",0)),"")</f>
        <v/>
      </c>
      <c r="J128" s="16" t="str">
        <f t="shared" si="2"/>
        <v/>
      </c>
    </row>
    <row r="129" spans="3:10" ht="13.5" customHeight="1" x14ac:dyDescent="0.25">
      <c r="C129" s="16"/>
      <c r="D129" s="16" t="str" cm="1">
        <f t="array" ref="D129">IF(C129&lt;&gt;"", _xlfn.IFS(J129="SLI",_xlfn.XLOOKUP(C129,'calc_s90&amp;138'!$C$15:$C$1000,'calc_s90&amp;138'!$CE$15:$CE$1000,"",0),    J129="FIX", _xlfn.XLOOKUP(C129,'calc_s90&amp;138'!$C$15:$C$1000,'calc_s90&amp;138'!$CH$15:$CH$1000,"",0)),"")</f>
        <v/>
      </c>
      <c r="E129" s="16"/>
      <c r="F129" s="33"/>
      <c r="G129" s="33"/>
      <c r="H129" s="16" t="str" cm="1">
        <f t="array" ref="H129">IF(C129&lt;&gt;"", _xlfn.IFS(J129="SLI",_xlfn.XLOOKUP(C129,'calc_s90&amp;138'!$C$15:$C$1000,'calc_s90&amp;138'!$CC$15:$CC$1000,"",0),    J129="FIX", _xlfn.XLOOKUP(C129,'calc_s90&amp;138'!$C$15:$C$1000,'calc_s90&amp;138'!$CF$15:$CF$1000,"",0)),"")</f>
        <v/>
      </c>
      <c r="I129" s="16" t="str" cm="1">
        <f t="array" ref="I129">IF(C129&lt;&gt;"", _xlfn.IFS(J129="SLI",_xlfn.XLOOKUP(C129,'calc_s90&amp;138'!$C$15:$C$1000,'calc_s90&amp;138'!$CD$15:$CD$1000,"",0),    J129="FIX", _xlfn.XLOOKUP(C129,'calc_s90&amp;138'!$C$15:$C$1000,'calc_s90&amp;138'!$CG$15:$CG$1000,"",0)),"")</f>
        <v/>
      </c>
      <c r="J129" s="16" t="str">
        <f t="shared" si="2"/>
        <v/>
      </c>
    </row>
    <row r="130" spans="3:10" ht="13.5" customHeight="1" x14ac:dyDescent="0.25">
      <c r="C130" s="16"/>
      <c r="D130" s="16" t="str" cm="1">
        <f t="array" ref="D130">IF(C130&lt;&gt;"", _xlfn.IFS(J130="SLI",_xlfn.XLOOKUP(C130,'calc_s90&amp;138'!$C$15:$C$1000,'calc_s90&amp;138'!$CE$15:$CE$1000,"",0),    J130="FIX", _xlfn.XLOOKUP(C130,'calc_s90&amp;138'!$C$15:$C$1000,'calc_s90&amp;138'!$CH$15:$CH$1000,"",0)),"")</f>
        <v/>
      </c>
      <c r="E130" s="16"/>
      <c r="F130" s="33"/>
      <c r="G130" s="33"/>
      <c r="H130" s="16" t="str" cm="1">
        <f t="array" ref="H130">IF(C130&lt;&gt;"", _xlfn.IFS(J130="SLI",_xlfn.XLOOKUP(C130,'calc_s90&amp;138'!$C$15:$C$1000,'calc_s90&amp;138'!$CC$15:$CC$1000,"",0),    J130="FIX", _xlfn.XLOOKUP(C130,'calc_s90&amp;138'!$C$15:$C$1000,'calc_s90&amp;138'!$CF$15:$CF$1000,"",0)),"")</f>
        <v/>
      </c>
      <c r="I130" s="16" t="str" cm="1">
        <f t="array" ref="I130">IF(C130&lt;&gt;"", _xlfn.IFS(J130="SLI",_xlfn.XLOOKUP(C130,'calc_s90&amp;138'!$C$15:$C$1000,'calc_s90&amp;138'!$CD$15:$CD$1000,"",0),    J130="FIX", _xlfn.XLOOKUP(C130,'calc_s90&amp;138'!$C$15:$C$1000,'calc_s90&amp;138'!$CG$15:$CG$1000,"",0)),"")</f>
        <v/>
      </c>
      <c r="J130" s="16" t="str">
        <f t="shared" si="2"/>
        <v/>
      </c>
    </row>
    <row r="131" spans="3:10" ht="13.5" customHeight="1" x14ac:dyDescent="0.25">
      <c r="C131" s="16"/>
      <c r="D131" s="16" t="str" cm="1">
        <f t="array" ref="D131">IF(C131&lt;&gt;"", _xlfn.IFS(J131="SLI",_xlfn.XLOOKUP(C131,'calc_s90&amp;138'!$C$15:$C$1000,'calc_s90&amp;138'!$CE$15:$CE$1000,"",0),    J131="FIX", _xlfn.XLOOKUP(C131,'calc_s90&amp;138'!$C$15:$C$1000,'calc_s90&amp;138'!$CH$15:$CH$1000,"",0)),"")</f>
        <v/>
      </c>
      <c r="E131" s="16"/>
      <c r="F131" s="33"/>
      <c r="G131" s="33"/>
      <c r="H131" s="16" t="str" cm="1">
        <f t="array" ref="H131">IF(C131&lt;&gt;"", _xlfn.IFS(J131="SLI",_xlfn.XLOOKUP(C131,'calc_s90&amp;138'!$C$15:$C$1000,'calc_s90&amp;138'!$CC$15:$CC$1000,"",0),    J131="FIX", _xlfn.XLOOKUP(C131,'calc_s90&amp;138'!$C$15:$C$1000,'calc_s90&amp;138'!$CF$15:$CF$1000,"",0)),"")</f>
        <v/>
      </c>
      <c r="I131" s="16" t="str" cm="1">
        <f t="array" ref="I131">IF(C131&lt;&gt;"", _xlfn.IFS(J131="SLI",_xlfn.XLOOKUP(C131,'calc_s90&amp;138'!$C$15:$C$1000,'calc_s90&amp;138'!$CD$15:$CD$1000,"",0),    J131="FIX", _xlfn.XLOOKUP(C131,'calc_s90&amp;138'!$C$15:$C$1000,'calc_s90&amp;138'!$CG$15:$CG$1000,"",0)),"")</f>
        <v/>
      </c>
      <c r="J131" s="16" t="str">
        <f t="shared" si="2"/>
        <v/>
      </c>
    </row>
    <row r="132" spans="3:10" ht="13.5" customHeight="1" x14ac:dyDescent="0.25">
      <c r="C132" s="16"/>
      <c r="D132" s="16" t="str" cm="1">
        <f t="array" ref="D132">IF(C132&lt;&gt;"", _xlfn.IFS(J132="SLI",_xlfn.XLOOKUP(C132,'calc_s90&amp;138'!$C$15:$C$1000,'calc_s90&amp;138'!$CE$15:$CE$1000,"",0),    J132="FIX", _xlfn.XLOOKUP(C132,'calc_s90&amp;138'!$C$15:$C$1000,'calc_s90&amp;138'!$CH$15:$CH$1000,"",0)),"")</f>
        <v/>
      </c>
      <c r="E132" s="16"/>
      <c r="F132" s="33"/>
      <c r="G132" s="33"/>
      <c r="H132" s="16" t="str" cm="1">
        <f t="array" ref="H132">IF(C132&lt;&gt;"", _xlfn.IFS(J132="SLI",_xlfn.XLOOKUP(C132,'calc_s90&amp;138'!$C$15:$C$1000,'calc_s90&amp;138'!$CC$15:$CC$1000,"",0),    J132="FIX", _xlfn.XLOOKUP(C132,'calc_s90&amp;138'!$C$15:$C$1000,'calc_s90&amp;138'!$CF$15:$CF$1000,"",0)),"")</f>
        <v/>
      </c>
      <c r="I132" s="16" t="str" cm="1">
        <f t="array" ref="I132">IF(C132&lt;&gt;"", _xlfn.IFS(J132="SLI",_xlfn.XLOOKUP(C132,'calc_s90&amp;138'!$C$15:$C$1000,'calc_s90&amp;138'!$CD$15:$CD$1000,"",0),    J132="FIX", _xlfn.XLOOKUP(C132,'calc_s90&amp;138'!$C$15:$C$1000,'calc_s90&amp;138'!$CG$15:$CG$1000,"",0)),"")</f>
        <v/>
      </c>
      <c r="J132" s="16" t="str">
        <f t="shared" si="2"/>
        <v/>
      </c>
    </row>
    <row r="133" spans="3:10" ht="13.5" customHeight="1" x14ac:dyDescent="0.25">
      <c r="C133" s="16"/>
      <c r="D133" s="16" t="str" cm="1">
        <f t="array" ref="D133">IF(C133&lt;&gt;"", _xlfn.IFS(J133="SLI",_xlfn.XLOOKUP(C133,'calc_s90&amp;138'!$C$15:$C$1000,'calc_s90&amp;138'!$CE$15:$CE$1000,"",0),    J133="FIX", _xlfn.XLOOKUP(C133,'calc_s90&amp;138'!$C$15:$C$1000,'calc_s90&amp;138'!$CH$15:$CH$1000,"",0)),"")</f>
        <v/>
      </c>
      <c r="E133" s="16"/>
      <c r="F133" s="33"/>
      <c r="G133" s="33"/>
      <c r="H133" s="16" t="str" cm="1">
        <f t="array" ref="H133">IF(C133&lt;&gt;"", _xlfn.IFS(J133="SLI",_xlfn.XLOOKUP(C133,'calc_s90&amp;138'!$C$15:$C$1000,'calc_s90&amp;138'!$CC$15:$CC$1000,"",0),    J133="FIX", _xlfn.XLOOKUP(C133,'calc_s90&amp;138'!$C$15:$C$1000,'calc_s90&amp;138'!$CF$15:$CF$1000,"",0)),"")</f>
        <v/>
      </c>
      <c r="I133" s="16" t="str" cm="1">
        <f t="array" ref="I133">IF(C133&lt;&gt;"", _xlfn.IFS(J133="SLI",_xlfn.XLOOKUP(C133,'calc_s90&amp;138'!$C$15:$C$1000,'calc_s90&amp;138'!$CD$15:$CD$1000,"",0),    J133="FIX", _xlfn.XLOOKUP(C133,'calc_s90&amp;138'!$C$15:$C$1000,'calc_s90&amp;138'!$CG$15:$CG$1000,"",0)),"")</f>
        <v/>
      </c>
      <c r="J133" s="16" t="str">
        <f t="shared" si="2"/>
        <v/>
      </c>
    </row>
    <row r="134" spans="3:10" ht="13.5" customHeight="1" x14ac:dyDescent="0.25">
      <c r="C134" s="16"/>
      <c r="D134" s="16" t="str" cm="1">
        <f t="array" ref="D134">IF(C134&lt;&gt;"", _xlfn.IFS(J134="SLI",_xlfn.XLOOKUP(C134,'calc_s90&amp;138'!$C$15:$C$1000,'calc_s90&amp;138'!$CE$15:$CE$1000,"",0),    J134="FIX", _xlfn.XLOOKUP(C134,'calc_s90&amp;138'!$C$15:$C$1000,'calc_s90&amp;138'!$CH$15:$CH$1000,"",0)),"")</f>
        <v/>
      </c>
      <c r="E134" s="16"/>
      <c r="F134" s="33"/>
      <c r="G134" s="33"/>
      <c r="H134" s="16" t="str" cm="1">
        <f t="array" ref="H134">IF(C134&lt;&gt;"", _xlfn.IFS(J134="SLI",_xlfn.XLOOKUP(C134,'calc_s90&amp;138'!$C$15:$C$1000,'calc_s90&amp;138'!$CC$15:$CC$1000,"",0),    J134="FIX", _xlfn.XLOOKUP(C134,'calc_s90&amp;138'!$C$15:$C$1000,'calc_s90&amp;138'!$CF$15:$CF$1000,"",0)),"")</f>
        <v/>
      </c>
      <c r="I134" s="16" t="str" cm="1">
        <f t="array" ref="I134">IF(C134&lt;&gt;"", _xlfn.IFS(J134="SLI",_xlfn.XLOOKUP(C134,'calc_s90&amp;138'!$C$15:$C$1000,'calc_s90&amp;138'!$CD$15:$CD$1000,"",0),    J134="FIX", _xlfn.XLOOKUP(C134,'calc_s90&amp;138'!$C$15:$C$1000,'calc_s90&amp;138'!$CG$15:$CG$1000,"",0)),"")</f>
        <v/>
      </c>
      <c r="J134" s="16" t="str">
        <f t="shared" si="2"/>
        <v/>
      </c>
    </row>
    <row r="135" spans="3:10" ht="13.5" customHeight="1" x14ac:dyDescent="0.25">
      <c r="C135" s="16"/>
      <c r="D135" s="16" t="str" cm="1">
        <f t="array" ref="D135">IF(C135&lt;&gt;"", _xlfn.IFS(J135="SLI",_xlfn.XLOOKUP(C135,'calc_s90&amp;138'!$C$15:$C$1000,'calc_s90&amp;138'!$CE$15:$CE$1000,"",0),    J135="FIX", _xlfn.XLOOKUP(C135,'calc_s90&amp;138'!$C$15:$C$1000,'calc_s90&amp;138'!$CH$15:$CH$1000,"",0)),"")</f>
        <v/>
      </c>
      <c r="E135" s="16"/>
      <c r="F135" s="33"/>
      <c r="G135" s="33"/>
      <c r="H135" s="16" t="str" cm="1">
        <f t="array" ref="H135">IF(C135&lt;&gt;"", _xlfn.IFS(J135="SLI",_xlfn.XLOOKUP(C135,'calc_s90&amp;138'!$C$15:$C$1000,'calc_s90&amp;138'!$CC$15:$CC$1000,"",0),    J135="FIX", _xlfn.XLOOKUP(C135,'calc_s90&amp;138'!$C$15:$C$1000,'calc_s90&amp;138'!$CF$15:$CF$1000,"",0)),"")</f>
        <v/>
      </c>
      <c r="I135" s="16" t="str" cm="1">
        <f t="array" ref="I135">IF(C135&lt;&gt;"", _xlfn.IFS(J135="SLI",_xlfn.XLOOKUP(C135,'calc_s90&amp;138'!$C$15:$C$1000,'calc_s90&amp;138'!$CD$15:$CD$1000,"",0),    J135="FIX", _xlfn.XLOOKUP(C135,'calc_s90&amp;138'!$C$15:$C$1000,'calc_s90&amp;138'!$CG$15:$CG$1000,"",0)),"")</f>
        <v/>
      </c>
      <c r="J135" s="16" t="str">
        <f t="shared" si="2"/>
        <v/>
      </c>
    </row>
    <row r="136" spans="3:10" ht="13.5" customHeight="1" x14ac:dyDescent="0.25">
      <c r="C136" s="16"/>
      <c r="D136" s="16" t="str" cm="1">
        <f t="array" ref="D136">IF(C136&lt;&gt;"", _xlfn.IFS(J136="SLI",_xlfn.XLOOKUP(C136,'calc_s90&amp;138'!$C$15:$C$1000,'calc_s90&amp;138'!$CE$15:$CE$1000,"",0),    J136="FIX", _xlfn.XLOOKUP(C136,'calc_s90&amp;138'!$C$15:$C$1000,'calc_s90&amp;138'!$CH$15:$CH$1000,"",0)),"")</f>
        <v/>
      </c>
      <c r="E136" s="16"/>
      <c r="F136" s="33"/>
      <c r="G136" s="33"/>
      <c r="H136" s="16" t="str" cm="1">
        <f t="array" ref="H136">IF(C136&lt;&gt;"", _xlfn.IFS(J136="SLI",_xlfn.XLOOKUP(C136,'calc_s90&amp;138'!$C$15:$C$1000,'calc_s90&amp;138'!$CC$15:$CC$1000,"",0),    J136="FIX", _xlfn.XLOOKUP(C136,'calc_s90&amp;138'!$C$15:$C$1000,'calc_s90&amp;138'!$CF$15:$CF$1000,"",0)),"")</f>
        <v/>
      </c>
      <c r="I136" s="16" t="str" cm="1">
        <f t="array" ref="I136">IF(C136&lt;&gt;"", _xlfn.IFS(J136="SLI",_xlfn.XLOOKUP(C136,'calc_s90&amp;138'!$C$15:$C$1000,'calc_s90&amp;138'!$CD$15:$CD$1000,"",0),    J136="FIX", _xlfn.XLOOKUP(C136,'calc_s90&amp;138'!$C$15:$C$1000,'calc_s90&amp;138'!$CG$15:$CG$1000,"",0)),"")</f>
        <v/>
      </c>
      <c r="J136" s="16" t="str">
        <f t="shared" si="2"/>
        <v/>
      </c>
    </row>
    <row r="137" spans="3:10" ht="13.5" customHeight="1" x14ac:dyDescent="0.25">
      <c r="C137" s="16"/>
      <c r="D137" s="16" t="str" cm="1">
        <f t="array" ref="D137">IF(C137&lt;&gt;"", _xlfn.IFS(J137="SLI",_xlfn.XLOOKUP(C137,'calc_s90&amp;138'!$C$15:$C$1000,'calc_s90&amp;138'!$CE$15:$CE$1000,"",0),    J137="FIX", _xlfn.XLOOKUP(C137,'calc_s90&amp;138'!$C$15:$C$1000,'calc_s90&amp;138'!$CH$15:$CH$1000,"",0)),"")</f>
        <v/>
      </c>
      <c r="E137" s="16"/>
      <c r="F137" s="33"/>
      <c r="G137" s="33"/>
      <c r="H137" s="16" t="str" cm="1">
        <f t="array" ref="H137">IF(C137&lt;&gt;"", _xlfn.IFS(J137="SLI",_xlfn.XLOOKUP(C137,'calc_s90&amp;138'!$C$15:$C$1000,'calc_s90&amp;138'!$CC$15:$CC$1000,"",0),    J137="FIX", _xlfn.XLOOKUP(C137,'calc_s90&amp;138'!$C$15:$C$1000,'calc_s90&amp;138'!$CF$15:$CF$1000,"",0)),"")</f>
        <v/>
      </c>
      <c r="I137" s="16" t="str" cm="1">
        <f t="array" ref="I137">IF(C137&lt;&gt;"", _xlfn.IFS(J137="SLI",_xlfn.XLOOKUP(C137,'calc_s90&amp;138'!$C$15:$C$1000,'calc_s90&amp;138'!$CD$15:$CD$1000,"",0),    J137="FIX", _xlfn.XLOOKUP(C137,'calc_s90&amp;138'!$C$15:$C$1000,'calc_s90&amp;138'!$CG$15:$CG$1000,"",0)),"")</f>
        <v/>
      </c>
      <c r="J137" s="16" t="str">
        <f t="shared" si="2"/>
        <v/>
      </c>
    </row>
    <row r="138" spans="3:10" ht="13.5" customHeight="1" x14ac:dyDescent="0.25">
      <c r="C138" s="16"/>
      <c r="D138" s="16" t="str" cm="1">
        <f t="array" ref="D138">IF(C138&lt;&gt;"", _xlfn.IFS(J138="SLI",_xlfn.XLOOKUP(C138,'calc_s90&amp;138'!$C$15:$C$1000,'calc_s90&amp;138'!$CE$15:$CE$1000,"",0),    J138="FIX", _xlfn.XLOOKUP(C138,'calc_s90&amp;138'!$C$15:$C$1000,'calc_s90&amp;138'!$CH$15:$CH$1000,"",0)),"")</f>
        <v/>
      </c>
      <c r="E138" s="16"/>
      <c r="F138" s="33"/>
      <c r="G138" s="33"/>
      <c r="H138" s="16" t="str" cm="1">
        <f t="array" ref="H138">IF(C138&lt;&gt;"", _xlfn.IFS(J138="SLI",_xlfn.XLOOKUP(C138,'calc_s90&amp;138'!$C$15:$C$1000,'calc_s90&amp;138'!$CC$15:$CC$1000,"",0),    J138="FIX", _xlfn.XLOOKUP(C138,'calc_s90&amp;138'!$C$15:$C$1000,'calc_s90&amp;138'!$CF$15:$CF$1000,"",0)),"")</f>
        <v/>
      </c>
      <c r="I138" s="16" t="str" cm="1">
        <f t="array" ref="I138">IF(C138&lt;&gt;"", _xlfn.IFS(J138="SLI",_xlfn.XLOOKUP(C138,'calc_s90&amp;138'!$C$15:$C$1000,'calc_s90&amp;138'!$CD$15:$CD$1000,"",0),    J138="FIX", _xlfn.XLOOKUP(C138,'calc_s90&amp;138'!$C$15:$C$1000,'calc_s90&amp;138'!$CG$15:$CG$1000,"",0)),"")</f>
        <v/>
      </c>
      <c r="J138" s="16" t="str">
        <f t="shared" si="2"/>
        <v/>
      </c>
    </row>
    <row r="139" spans="3:10" ht="13.5" customHeight="1" x14ac:dyDescent="0.25">
      <c r="C139" s="16"/>
      <c r="D139" s="16" t="str" cm="1">
        <f t="array" ref="D139">IF(C139&lt;&gt;"", _xlfn.IFS(J139="SLI",_xlfn.XLOOKUP(C139,'calc_s90&amp;138'!$C$15:$C$1000,'calc_s90&amp;138'!$CE$15:$CE$1000,"",0),    J139="FIX", _xlfn.XLOOKUP(C139,'calc_s90&amp;138'!$C$15:$C$1000,'calc_s90&amp;138'!$CH$15:$CH$1000,"",0)),"")</f>
        <v/>
      </c>
      <c r="E139" s="16"/>
      <c r="F139" s="33"/>
      <c r="G139" s="33"/>
      <c r="H139" s="16" t="str" cm="1">
        <f t="array" ref="H139">IF(C139&lt;&gt;"", _xlfn.IFS(J139="SLI",_xlfn.XLOOKUP(C139,'calc_s90&amp;138'!$C$15:$C$1000,'calc_s90&amp;138'!$CC$15:$CC$1000,"",0),    J139="FIX", _xlfn.XLOOKUP(C139,'calc_s90&amp;138'!$C$15:$C$1000,'calc_s90&amp;138'!$CF$15:$CF$1000,"",0)),"")</f>
        <v/>
      </c>
      <c r="I139" s="16" t="str" cm="1">
        <f t="array" ref="I139">IF(C139&lt;&gt;"", _xlfn.IFS(J139="SLI",_xlfn.XLOOKUP(C139,'calc_s90&amp;138'!$C$15:$C$1000,'calc_s90&amp;138'!$CD$15:$CD$1000,"",0),    J139="FIX", _xlfn.XLOOKUP(C139,'calc_s90&amp;138'!$C$15:$C$1000,'calc_s90&amp;138'!$CG$15:$CG$1000,"",0)),"")</f>
        <v/>
      </c>
      <c r="J139" s="16" t="str">
        <f t="shared" si="2"/>
        <v/>
      </c>
    </row>
    <row r="140" spans="3:10" ht="13.5" customHeight="1" x14ac:dyDescent="0.25">
      <c r="C140" s="16"/>
      <c r="D140" s="16" t="str" cm="1">
        <f t="array" ref="D140">IF(C140&lt;&gt;"", _xlfn.IFS(J140="SLI",_xlfn.XLOOKUP(C140,'calc_s90&amp;138'!$C$15:$C$1000,'calc_s90&amp;138'!$CE$15:$CE$1000,"",0),    J140="FIX", _xlfn.XLOOKUP(C140,'calc_s90&amp;138'!$C$15:$C$1000,'calc_s90&amp;138'!$CH$15:$CH$1000,"",0)),"")</f>
        <v/>
      </c>
      <c r="E140" s="16"/>
      <c r="F140" s="33"/>
      <c r="G140" s="33"/>
      <c r="H140" s="16" t="str" cm="1">
        <f t="array" ref="H140">IF(C140&lt;&gt;"", _xlfn.IFS(J140="SLI",_xlfn.XLOOKUP(C140,'calc_s90&amp;138'!$C$15:$C$1000,'calc_s90&amp;138'!$CC$15:$CC$1000,"",0),    J140="FIX", _xlfn.XLOOKUP(C140,'calc_s90&amp;138'!$C$15:$C$1000,'calc_s90&amp;138'!$CF$15:$CF$1000,"",0)),"")</f>
        <v/>
      </c>
      <c r="I140" s="16" t="str" cm="1">
        <f t="array" ref="I140">IF(C140&lt;&gt;"", _xlfn.IFS(J140="SLI",_xlfn.XLOOKUP(C140,'calc_s90&amp;138'!$C$15:$C$1000,'calc_s90&amp;138'!$CD$15:$CD$1000,"",0),    J140="FIX", _xlfn.XLOOKUP(C140,'calc_s90&amp;138'!$C$15:$C$1000,'calc_s90&amp;138'!$CG$15:$CG$1000,"",0)),"")</f>
        <v/>
      </c>
      <c r="J140" s="16" t="str">
        <f t="shared" si="2"/>
        <v/>
      </c>
    </row>
    <row r="141" spans="3:10" ht="13.5" customHeight="1" x14ac:dyDescent="0.25">
      <c r="C141" s="16"/>
      <c r="D141" s="16" t="str" cm="1">
        <f t="array" ref="D141">IF(C141&lt;&gt;"", _xlfn.IFS(J141="SLI",_xlfn.XLOOKUP(C141,'calc_s90&amp;138'!$C$15:$C$1000,'calc_s90&amp;138'!$CE$15:$CE$1000,"",0),    J141="FIX", _xlfn.XLOOKUP(C141,'calc_s90&amp;138'!$C$15:$C$1000,'calc_s90&amp;138'!$CH$15:$CH$1000,"",0)),"")</f>
        <v/>
      </c>
      <c r="E141" s="16"/>
      <c r="F141" s="33"/>
      <c r="G141" s="33"/>
      <c r="H141" s="16" t="str" cm="1">
        <f t="array" ref="H141">IF(C141&lt;&gt;"", _xlfn.IFS(J141="SLI",_xlfn.XLOOKUP(C141,'calc_s90&amp;138'!$C$15:$C$1000,'calc_s90&amp;138'!$CC$15:$CC$1000,"",0),    J141="FIX", _xlfn.XLOOKUP(C141,'calc_s90&amp;138'!$C$15:$C$1000,'calc_s90&amp;138'!$CF$15:$CF$1000,"",0)),"")</f>
        <v/>
      </c>
      <c r="I141" s="16" t="str" cm="1">
        <f t="array" ref="I141">IF(C141&lt;&gt;"", _xlfn.IFS(J141="SLI",_xlfn.XLOOKUP(C141,'calc_s90&amp;138'!$C$15:$C$1000,'calc_s90&amp;138'!$CD$15:$CD$1000,"",0),    J141="FIX", _xlfn.XLOOKUP(C141,'calc_s90&amp;138'!$C$15:$C$1000,'calc_s90&amp;138'!$CG$15:$CG$1000,"",0)),"")</f>
        <v/>
      </c>
      <c r="J141" s="16" t="str">
        <f t="shared" si="2"/>
        <v/>
      </c>
    </row>
    <row r="142" spans="3:10" ht="13.5" customHeight="1" x14ac:dyDescent="0.25">
      <c r="C142" s="16"/>
      <c r="D142" s="16" t="str" cm="1">
        <f t="array" ref="D142">IF(C142&lt;&gt;"", _xlfn.IFS(J142="SLI",_xlfn.XLOOKUP(C142,'calc_s90&amp;138'!$C$15:$C$1000,'calc_s90&amp;138'!$CE$15:$CE$1000,"",0),    J142="FIX", _xlfn.XLOOKUP(C142,'calc_s90&amp;138'!$C$15:$C$1000,'calc_s90&amp;138'!$CH$15:$CH$1000,"",0)),"")</f>
        <v/>
      </c>
      <c r="E142" s="16"/>
      <c r="F142" s="33"/>
      <c r="G142" s="33"/>
      <c r="H142" s="16" t="str" cm="1">
        <f t="array" ref="H142">IF(C142&lt;&gt;"", _xlfn.IFS(J142="SLI",_xlfn.XLOOKUP(C142,'calc_s90&amp;138'!$C$15:$C$1000,'calc_s90&amp;138'!$CC$15:$CC$1000,"",0),    J142="FIX", _xlfn.XLOOKUP(C142,'calc_s90&amp;138'!$C$15:$C$1000,'calc_s90&amp;138'!$CF$15:$CF$1000,"",0)),"")</f>
        <v/>
      </c>
      <c r="I142" s="16" t="str" cm="1">
        <f t="array" ref="I142">IF(C142&lt;&gt;"", _xlfn.IFS(J142="SLI",_xlfn.XLOOKUP(C142,'calc_s90&amp;138'!$C$15:$C$1000,'calc_s90&amp;138'!$CD$15:$CD$1000,"",0),    J142="FIX", _xlfn.XLOOKUP(C142,'calc_s90&amp;138'!$C$15:$C$1000,'calc_s90&amp;138'!$CG$15:$CG$1000,"",0)),"")</f>
        <v/>
      </c>
      <c r="J142" s="16" t="str">
        <f t="shared" si="2"/>
        <v/>
      </c>
    </row>
    <row r="143" spans="3:10" ht="13.5" customHeight="1" x14ac:dyDescent="0.25">
      <c r="C143" s="16"/>
      <c r="D143" s="16" t="str" cm="1">
        <f t="array" ref="D143">IF(C143&lt;&gt;"", _xlfn.IFS(J143="SLI",_xlfn.XLOOKUP(C143,'calc_s90&amp;138'!$C$15:$C$1000,'calc_s90&amp;138'!$CE$15:$CE$1000,"",0),    J143="FIX", _xlfn.XLOOKUP(C143,'calc_s90&amp;138'!$C$15:$C$1000,'calc_s90&amp;138'!$CH$15:$CH$1000,"",0)),"")</f>
        <v/>
      </c>
      <c r="E143" s="16"/>
      <c r="F143" s="33"/>
      <c r="G143" s="33"/>
      <c r="H143" s="16" t="str" cm="1">
        <f t="array" ref="H143">IF(C143&lt;&gt;"", _xlfn.IFS(J143="SLI",_xlfn.XLOOKUP(C143,'calc_s90&amp;138'!$C$15:$C$1000,'calc_s90&amp;138'!$CC$15:$CC$1000,"",0),    J143="FIX", _xlfn.XLOOKUP(C143,'calc_s90&amp;138'!$C$15:$C$1000,'calc_s90&amp;138'!$CF$15:$CF$1000,"",0)),"")</f>
        <v/>
      </c>
      <c r="I143" s="16" t="str" cm="1">
        <f t="array" ref="I143">IF(C143&lt;&gt;"", _xlfn.IFS(J143="SLI",_xlfn.XLOOKUP(C143,'calc_s90&amp;138'!$C$15:$C$1000,'calc_s90&amp;138'!$CD$15:$CD$1000,"",0),    J143="FIX", _xlfn.XLOOKUP(C143,'calc_s90&amp;138'!$C$15:$C$1000,'calc_s90&amp;138'!$CG$15:$CG$1000,"",0)),"")</f>
        <v/>
      </c>
      <c r="J143" s="16" t="str">
        <f t="shared" si="2"/>
        <v/>
      </c>
    </row>
    <row r="144" spans="3:10" ht="13.5" customHeight="1" x14ac:dyDescent="0.25">
      <c r="C144" s="16"/>
      <c r="D144" s="16" t="str" cm="1">
        <f t="array" ref="D144">IF(C144&lt;&gt;"", _xlfn.IFS(J144="SLI",_xlfn.XLOOKUP(C144,'calc_s90&amp;138'!$C$15:$C$1000,'calc_s90&amp;138'!$CE$15:$CE$1000,"",0),    J144="FIX", _xlfn.XLOOKUP(C144,'calc_s90&amp;138'!$C$15:$C$1000,'calc_s90&amp;138'!$CH$15:$CH$1000,"",0)),"")</f>
        <v/>
      </c>
      <c r="E144" s="16"/>
      <c r="F144" s="33"/>
      <c r="G144" s="33"/>
      <c r="H144" s="16" t="str" cm="1">
        <f t="array" ref="H144">IF(C144&lt;&gt;"", _xlfn.IFS(J144="SLI",_xlfn.XLOOKUP(C144,'calc_s90&amp;138'!$C$15:$C$1000,'calc_s90&amp;138'!$CC$15:$CC$1000,"",0),    J144="FIX", _xlfn.XLOOKUP(C144,'calc_s90&amp;138'!$C$15:$C$1000,'calc_s90&amp;138'!$CF$15:$CF$1000,"",0)),"")</f>
        <v/>
      </c>
      <c r="I144" s="16" t="str" cm="1">
        <f t="array" ref="I144">IF(C144&lt;&gt;"", _xlfn.IFS(J144="SLI",_xlfn.XLOOKUP(C144,'calc_s90&amp;138'!$C$15:$C$1000,'calc_s90&amp;138'!$CD$15:$CD$1000,"",0),    J144="FIX", _xlfn.XLOOKUP(C144,'calc_s90&amp;138'!$C$15:$C$1000,'calc_s90&amp;138'!$CG$15:$CG$1000,"",0)),"")</f>
        <v/>
      </c>
      <c r="J144" s="16" t="str">
        <f t="shared" si="2"/>
        <v/>
      </c>
    </row>
    <row r="145" spans="3:10" ht="13.5" customHeight="1" x14ac:dyDescent="0.25">
      <c r="C145" s="16"/>
      <c r="D145" s="16" t="str" cm="1">
        <f t="array" ref="D145">IF(C145&lt;&gt;"", _xlfn.IFS(J145="SLI",_xlfn.XLOOKUP(C145,'calc_s90&amp;138'!$C$15:$C$1000,'calc_s90&amp;138'!$CE$15:$CE$1000,"",0),    J145="FIX", _xlfn.XLOOKUP(C145,'calc_s90&amp;138'!$C$15:$C$1000,'calc_s90&amp;138'!$CH$15:$CH$1000,"",0)),"")</f>
        <v/>
      </c>
      <c r="E145" s="16"/>
      <c r="F145" s="33"/>
      <c r="G145" s="33"/>
      <c r="H145" s="16" t="str" cm="1">
        <f t="array" ref="H145">IF(C145&lt;&gt;"", _xlfn.IFS(J145="SLI",_xlfn.XLOOKUP(C145,'calc_s90&amp;138'!$C$15:$C$1000,'calc_s90&amp;138'!$CC$15:$CC$1000,"",0),    J145="FIX", _xlfn.XLOOKUP(C145,'calc_s90&amp;138'!$C$15:$C$1000,'calc_s90&amp;138'!$CF$15:$CF$1000,"",0)),"")</f>
        <v/>
      </c>
      <c r="I145" s="16" t="str" cm="1">
        <f t="array" ref="I145">IF(C145&lt;&gt;"", _xlfn.IFS(J145="SLI",_xlfn.XLOOKUP(C145,'calc_s90&amp;138'!$C$15:$C$1000,'calc_s90&amp;138'!$CD$15:$CD$1000,"",0),    J145="FIX", _xlfn.XLOOKUP(C145,'calc_s90&amp;138'!$C$15:$C$1000,'calc_s90&amp;138'!$CG$15:$CG$1000,"",0)),"")</f>
        <v/>
      </c>
      <c r="J145" s="16" t="str">
        <f t="shared" si="2"/>
        <v/>
      </c>
    </row>
    <row r="146" spans="3:10" ht="13.5" customHeight="1" x14ac:dyDescent="0.25">
      <c r="C146" s="16"/>
      <c r="D146" s="16" t="str" cm="1">
        <f t="array" ref="D146">IF(C146&lt;&gt;"", _xlfn.IFS(J146="SLI",_xlfn.XLOOKUP(C146,'calc_s90&amp;138'!$C$15:$C$1000,'calc_s90&amp;138'!$CE$15:$CE$1000,"",0),    J146="FIX", _xlfn.XLOOKUP(C146,'calc_s90&amp;138'!$C$15:$C$1000,'calc_s90&amp;138'!$CH$15:$CH$1000,"",0)),"")</f>
        <v/>
      </c>
      <c r="E146" s="16"/>
      <c r="F146" s="33"/>
      <c r="G146" s="33"/>
      <c r="H146" s="16" t="str" cm="1">
        <f t="array" ref="H146">IF(C146&lt;&gt;"", _xlfn.IFS(J146="SLI",_xlfn.XLOOKUP(C146,'calc_s90&amp;138'!$C$15:$C$1000,'calc_s90&amp;138'!$CC$15:$CC$1000,"",0),    J146="FIX", _xlfn.XLOOKUP(C146,'calc_s90&amp;138'!$C$15:$C$1000,'calc_s90&amp;138'!$CF$15:$CF$1000,"",0)),"")</f>
        <v/>
      </c>
      <c r="I146" s="16" t="str" cm="1">
        <f t="array" ref="I146">IF(C146&lt;&gt;"", _xlfn.IFS(J146="SLI",_xlfn.XLOOKUP(C146,'calc_s90&amp;138'!$C$15:$C$1000,'calc_s90&amp;138'!$CD$15:$CD$1000,"",0),    J146="FIX", _xlfn.XLOOKUP(C146,'calc_s90&amp;138'!$C$15:$C$1000,'calc_s90&amp;138'!$CG$15:$CG$1000,"",0)),"")</f>
        <v/>
      </c>
      <c r="J146" s="16" t="str">
        <f t="shared" si="2"/>
        <v/>
      </c>
    </row>
    <row r="147" spans="3:10" ht="13.5" customHeight="1" x14ac:dyDescent="0.25">
      <c r="C147" s="16"/>
      <c r="D147" s="16" t="str" cm="1">
        <f t="array" ref="D147">IF(C147&lt;&gt;"", _xlfn.IFS(J147="SLI",_xlfn.XLOOKUP(C147,'calc_s90&amp;138'!$C$15:$C$1000,'calc_s90&amp;138'!$CE$15:$CE$1000,"",0),    J147="FIX", _xlfn.XLOOKUP(C147,'calc_s90&amp;138'!$C$15:$C$1000,'calc_s90&amp;138'!$CH$15:$CH$1000,"",0)),"")</f>
        <v/>
      </c>
      <c r="E147" s="16"/>
      <c r="F147" s="33"/>
      <c r="G147" s="33"/>
      <c r="H147" s="16" t="str" cm="1">
        <f t="array" ref="H147">IF(C147&lt;&gt;"", _xlfn.IFS(J147="SLI",_xlfn.XLOOKUP(C147,'calc_s90&amp;138'!$C$15:$C$1000,'calc_s90&amp;138'!$CC$15:$CC$1000,"",0),    J147="FIX", _xlfn.XLOOKUP(C147,'calc_s90&amp;138'!$C$15:$C$1000,'calc_s90&amp;138'!$CF$15:$CF$1000,"",0)),"")</f>
        <v/>
      </c>
      <c r="I147" s="16" t="str" cm="1">
        <f t="array" ref="I147">IF(C147&lt;&gt;"", _xlfn.IFS(J147="SLI",_xlfn.XLOOKUP(C147,'calc_s90&amp;138'!$C$15:$C$1000,'calc_s90&amp;138'!$CD$15:$CD$1000,"",0),    J147="FIX", _xlfn.XLOOKUP(C147,'calc_s90&amp;138'!$C$15:$C$1000,'calc_s90&amp;138'!$CG$15:$CG$1000,"",0)),"")</f>
        <v/>
      </c>
      <c r="J147" s="16" t="str">
        <f t="shared" si="2"/>
        <v/>
      </c>
    </row>
    <row r="148" spans="3:10" ht="13.5" customHeight="1" x14ac:dyDescent="0.25">
      <c r="C148" s="16"/>
      <c r="D148" s="16" t="str" cm="1">
        <f t="array" ref="D148">IF(C148&lt;&gt;"", _xlfn.IFS(J148="SLI",_xlfn.XLOOKUP(C148,'calc_s90&amp;138'!$C$15:$C$1000,'calc_s90&amp;138'!$CE$15:$CE$1000,"",0),    J148="FIX", _xlfn.XLOOKUP(C148,'calc_s90&amp;138'!$C$15:$C$1000,'calc_s90&amp;138'!$CH$15:$CH$1000,"",0)),"")</f>
        <v/>
      </c>
      <c r="E148" s="16"/>
      <c r="F148" s="33"/>
      <c r="G148" s="33"/>
      <c r="H148" s="16" t="str" cm="1">
        <f t="array" ref="H148">IF(C148&lt;&gt;"", _xlfn.IFS(J148="SLI",_xlfn.XLOOKUP(C148,'calc_s90&amp;138'!$C$15:$C$1000,'calc_s90&amp;138'!$CC$15:$CC$1000,"",0),    J148="FIX", _xlfn.XLOOKUP(C148,'calc_s90&amp;138'!$C$15:$C$1000,'calc_s90&amp;138'!$CF$15:$CF$1000,"",0)),"")</f>
        <v/>
      </c>
      <c r="I148" s="16" t="str" cm="1">
        <f t="array" ref="I148">IF(C148&lt;&gt;"", _xlfn.IFS(J148="SLI",_xlfn.XLOOKUP(C148,'calc_s90&amp;138'!$C$15:$C$1000,'calc_s90&amp;138'!$CD$15:$CD$1000,"",0),    J148="FIX", _xlfn.XLOOKUP(C148,'calc_s90&amp;138'!$C$15:$C$1000,'calc_s90&amp;138'!$CG$15:$CG$1000,"",0)),"")</f>
        <v/>
      </c>
      <c r="J148" s="16" t="str">
        <f t="shared" si="2"/>
        <v/>
      </c>
    </row>
    <row r="149" spans="3:10" ht="13.5" customHeight="1" x14ac:dyDescent="0.25">
      <c r="C149" s="16"/>
      <c r="D149" s="16" t="str" cm="1">
        <f t="array" ref="D149">IF(C149&lt;&gt;"", _xlfn.IFS(J149="SLI",_xlfn.XLOOKUP(C149,'calc_s90&amp;138'!$C$15:$C$1000,'calc_s90&amp;138'!$CE$15:$CE$1000,"",0),    J149="FIX", _xlfn.XLOOKUP(C149,'calc_s90&amp;138'!$C$15:$C$1000,'calc_s90&amp;138'!$CH$15:$CH$1000,"",0)),"")</f>
        <v/>
      </c>
      <c r="E149" s="16"/>
      <c r="F149" s="33"/>
      <c r="G149" s="33"/>
      <c r="H149" s="16" t="str" cm="1">
        <f t="array" ref="H149">IF(C149&lt;&gt;"", _xlfn.IFS(J149="SLI",_xlfn.XLOOKUP(C149,'calc_s90&amp;138'!$C$15:$C$1000,'calc_s90&amp;138'!$CC$15:$CC$1000,"",0),    J149="FIX", _xlfn.XLOOKUP(C149,'calc_s90&amp;138'!$C$15:$C$1000,'calc_s90&amp;138'!$CF$15:$CF$1000,"",0)),"")</f>
        <v/>
      </c>
      <c r="I149" s="16" t="str" cm="1">
        <f t="array" ref="I149">IF(C149&lt;&gt;"", _xlfn.IFS(J149="SLI",_xlfn.XLOOKUP(C149,'calc_s90&amp;138'!$C$15:$C$1000,'calc_s90&amp;138'!$CD$15:$CD$1000,"",0),    J149="FIX", _xlfn.XLOOKUP(C149,'calc_s90&amp;138'!$C$15:$C$1000,'calc_s90&amp;138'!$CG$15:$CG$1000,"",0)),"")</f>
        <v/>
      </c>
      <c r="J149" s="16" t="str">
        <f t="shared" si="2"/>
        <v/>
      </c>
    </row>
    <row r="150" spans="3:10" ht="13.5" customHeight="1" x14ac:dyDescent="0.25">
      <c r="C150" s="16"/>
      <c r="D150" s="16" t="str" cm="1">
        <f t="array" ref="D150">IF(C150&lt;&gt;"", _xlfn.IFS(J150="SLI",_xlfn.XLOOKUP(C150,'calc_s90&amp;138'!$C$15:$C$1000,'calc_s90&amp;138'!$CE$15:$CE$1000,"",0),    J150="FIX", _xlfn.XLOOKUP(C150,'calc_s90&amp;138'!$C$15:$C$1000,'calc_s90&amp;138'!$CH$15:$CH$1000,"",0)),"")</f>
        <v/>
      </c>
      <c r="E150" s="16"/>
      <c r="F150" s="33"/>
      <c r="G150" s="33"/>
      <c r="H150" s="16" t="str" cm="1">
        <f t="array" ref="H150">IF(C150&lt;&gt;"", _xlfn.IFS(J150="SLI",_xlfn.XLOOKUP(C150,'calc_s90&amp;138'!$C$15:$C$1000,'calc_s90&amp;138'!$CC$15:$CC$1000,"",0),    J150="FIX", _xlfn.XLOOKUP(C150,'calc_s90&amp;138'!$C$15:$C$1000,'calc_s90&amp;138'!$CF$15:$CF$1000,"",0)),"")</f>
        <v/>
      </c>
      <c r="I150" s="16" t="str" cm="1">
        <f t="array" ref="I150">IF(C150&lt;&gt;"", _xlfn.IFS(J150="SLI",_xlfn.XLOOKUP(C150,'calc_s90&amp;138'!$C$15:$C$1000,'calc_s90&amp;138'!$CD$15:$CD$1000,"",0),    J150="FIX", _xlfn.XLOOKUP(C150,'calc_s90&amp;138'!$C$15:$C$1000,'calc_s90&amp;138'!$CG$15:$CG$1000,"",0)),"")</f>
        <v/>
      </c>
      <c r="J150" s="16" t="str">
        <f t="shared" si="2"/>
        <v/>
      </c>
    </row>
    <row r="151" spans="3:10" ht="13.5" customHeight="1" x14ac:dyDescent="0.25">
      <c r="C151" s="16"/>
      <c r="D151" s="16" t="str" cm="1">
        <f t="array" ref="D151">IF(C151&lt;&gt;"", _xlfn.IFS(J151="SLI",_xlfn.XLOOKUP(C151,'calc_s90&amp;138'!$C$15:$C$1000,'calc_s90&amp;138'!$CE$15:$CE$1000,"",0),    J151="FIX", _xlfn.XLOOKUP(C151,'calc_s90&amp;138'!$C$15:$C$1000,'calc_s90&amp;138'!$CH$15:$CH$1000,"",0)),"")</f>
        <v/>
      </c>
      <c r="E151" s="16"/>
      <c r="F151" s="33"/>
      <c r="G151" s="33"/>
      <c r="H151" s="16" t="str" cm="1">
        <f t="array" ref="H151">IF(C151&lt;&gt;"", _xlfn.IFS(J151="SLI",_xlfn.XLOOKUP(C151,'calc_s90&amp;138'!$C$15:$C$1000,'calc_s90&amp;138'!$CC$15:$CC$1000,"",0),    J151="FIX", _xlfn.XLOOKUP(C151,'calc_s90&amp;138'!$C$15:$C$1000,'calc_s90&amp;138'!$CF$15:$CF$1000,"",0)),"")</f>
        <v/>
      </c>
      <c r="I151" s="16" t="str" cm="1">
        <f t="array" ref="I151">IF(C151&lt;&gt;"", _xlfn.IFS(J151="SLI",_xlfn.XLOOKUP(C151,'calc_s90&amp;138'!$C$15:$C$1000,'calc_s90&amp;138'!$CD$15:$CD$1000,"",0),    J151="FIX", _xlfn.XLOOKUP(C151,'calc_s90&amp;138'!$C$15:$C$1000,'calc_s90&amp;138'!$CG$15:$CG$1000,"",0)),"")</f>
        <v/>
      </c>
      <c r="J151" s="16" t="str">
        <f t="shared" si="2"/>
        <v/>
      </c>
    </row>
    <row r="152" spans="3:10" ht="13.5" customHeight="1" x14ac:dyDescent="0.25">
      <c r="C152" s="16"/>
      <c r="D152" s="16" t="str" cm="1">
        <f t="array" ref="D152">IF(C152&lt;&gt;"", _xlfn.IFS(J152="SLI",_xlfn.XLOOKUP(C152,'calc_s90&amp;138'!$C$15:$C$1000,'calc_s90&amp;138'!$CE$15:$CE$1000,"",0),    J152="FIX", _xlfn.XLOOKUP(C152,'calc_s90&amp;138'!$C$15:$C$1000,'calc_s90&amp;138'!$CH$15:$CH$1000,"",0)),"")</f>
        <v/>
      </c>
      <c r="E152" s="16"/>
      <c r="F152" s="33"/>
      <c r="G152" s="33"/>
      <c r="H152" s="16" t="str" cm="1">
        <f t="array" ref="H152">IF(C152&lt;&gt;"", _xlfn.IFS(J152="SLI",_xlfn.XLOOKUP(C152,'calc_s90&amp;138'!$C$15:$C$1000,'calc_s90&amp;138'!$CC$15:$CC$1000,"",0),    J152="FIX", _xlfn.XLOOKUP(C152,'calc_s90&amp;138'!$C$15:$C$1000,'calc_s90&amp;138'!$CF$15:$CF$1000,"",0)),"")</f>
        <v/>
      </c>
      <c r="I152" s="16" t="str" cm="1">
        <f t="array" ref="I152">IF(C152&lt;&gt;"", _xlfn.IFS(J152="SLI",_xlfn.XLOOKUP(C152,'calc_s90&amp;138'!$C$15:$C$1000,'calc_s90&amp;138'!$CD$15:$CD$1000,"",0),    J152="FIX", _xlfn.XLOOKUP(C152,'calc_s90&amp;138'!$C$15:$C$1000,'calc_s90&amp;138'!$CG$15:$CG$1000,"",0)),"")</f>
        <v/>
      </c>
      <c r="J152" s="16" t="str">
        <f t="shared" si="2"/>
        <v/>
      </c>
    </row>
    <row r="153" spans="3:10" ht="13.5" customHeight="1" x14ac:dyDescent="0.25">
      <c r="C153" s="16"/>
      <c r="D153" s="16" t="str" cm="1">
        <f t="array" ref="D153">IF(C153&lt;&gt;"", _xlfn.IFS(J153="SLI",_xlfn.XLOOKUP(C153,'calc_s90&amp;138'!$C$15:$C$1000,'calc_s90&amp;138'!$CE$15:$CE$1000,"",0),    J153="FIX", _xlfn.XLOOKUP(C153,'calc_s90&amp;138'!$C$15:$C$1000,'calc_s90&amp;138'!$CH$15:$CH$1000,"",0)),"")</f>
        <v/>
      </c>
      <c r="E153" s="16"/>
      <c r="F153" s="33"/>
      <c r="G153" s="33"/>
      <c r="H153" s="16" t="str" cm="1">
        <f t="array" ref="H153">IF(C153&lt;&gt;"", _xlfn.IFS(J153="SLI",_xlfn.XLOOKUP(C153,'calc_s90&amp;138'!$C$15:$C$1000,'calc_s90&amp;138'!$CC$15:$CC$1000,"",0),    J153="FIX", _xlfn.XLOOKUP(C153,'calc_s90&amp;138'!$C$15:$C$1000,'calc_s90&amp;138'!$CF$15:$CF$1000,"",0)),"")</f>
        <v/>
      </c>
      <c r="I153" s="16" t="str" cm="1">
        <f t="array" ref="I153">IF(C153&lt;&gt;"", _xlfn.IFS(J153="SLI",_xlfn.XLOOKUP(C153,'calc_s90&amp;138'!$C$15:$C$1000,'calc_s90&amp;138'!$CD$15:$CD$1000,"",0),    J153="FIX", _xlfn.XLOOKUP(C153,'calc_s90&amp;138'!$C$15:$C$1000,'calc_s90&amp;138'!$CG$15:$CG$1000,"",0)),"")</f>
        <v/>
      </c>
      <c r="J153" s="16" t="str">
        <f t="shared" si="2"/>
        <v/>
      </c>
    </row>
    <row r="154" spans="3:10" ht="13.5" customHeight="1" x14ac:dyDescent="0.25">
      <c r="C154" s="16"/>
      <c r="D154" s="16" t="str" cm="1">
        <f t="array" ref="D154">IF(C154&lt;&gt;"", _xlfn.IFS(J154="SLI",_xlfn.XLOOKUP(C154,'calc_s90&amp;138'!$C$15:$C$1000,'calc_s90&amp;138'!$CE$15:$CE$1000,"",0),    J154="FIX", _xlfn.XLOOKUP(C154,'calc_s90&amp;138'!$C$15:$C$1000,'calc_s90&amp;138'!$CH$15:$CH$1000,"",0)),"")</f>
        <v/>
      </c>
      <c r="E154" s="16"/>
      <c r="F154" s="33"/>
      <c r="G154" s="33"/>
      <c r="H154" s="16" t="str" cm="1">
        <f t="array" ref="H154">IF(C154&lt;&gt;"", _xlfn.IFS(J154="SLI",_xlfn.XLOOKUP(C154,'calc_s90&amp;138'!$C$15:$C$1000,'calc_s90&amp;138'!$CC$15:$CC$1000,"",0),    J154="FIX", _xlfn.XLOOKUP(C154,'calc_s90&amp;138'!$C$15:$C$1000,'calc_s90&amp;138'!$CF$15:$CF$1000,"",0)),"")</f>
        <v/>
      </c>
      <c r="I154" s="16" t="str" cm="1">
        <f t="array" ref="I154">IF(C154&lt;&gt;"", _xlfn.IFS(J154="SLI",_xlfn.XLOOKUP(C154,'calc_s90&amp;138'!$C$15:$C$1000,'calc_s90&amp;138'!$CD$15:$CD$1000,"",0),    J154="FIX", _xlfn.XLOOKUP(C154,'calc_s90&amp;138'!$C$15:$C$1000,'calc_s90&amp;138'!$CG$15:$CG$1000,"",0)),"")</f>
        <v/>
      </c>
      <c r="J154" s="16" t="str">
        <f t="shared" si="2"/>
        <v/>
      </c>
    </row>
    <row r="155" spans="3:10" ht="13.5" customHeight="1" x14ac:dyDescent="0.25">
      <c r="C155" s="16"/>
      <c r="D155" s="16" t="str" cm="1">
        <f t="array" ref="D155">IF(C155&lt;&gt;"", _xlfn.IFS(J155="SLI",_xlfn.XLOOKUP(C155,'calc_s90&amp;138'!$C$15:$C$1000,'calc_s90&amp;138'!$CE$15:$CE$1000,"",0),    J155="FIX", _xlfn.XLOOKUP(C155,'calc_s90&amp;138'!$C$15:$C$1000,'calc_s90&amp;138'!$CH$15:$CH$1000,"",0)),"")</f>
        <v/>
      </c>
      <c r="E155" s="16"/>
      <c r="F155" s="33"/>
      <c r="G155" s="33"/>
      <c r="H155" s="16" t="str" cm="1">
        <f t="array" ref="H155">IF(C155&lt;&gt;"", _xlfn.IFS(J155="SLI",_xlfn.XLOOKUP(C155,'calc_s90&amp;138'!$C$15:$C$1000,'calc_s90&amp;138'!$CC$15:$CC$1000,"",0),    J155="FIX", _xlfn.XLOOKUP(C155,'calc_s90&amp;138'!$C$15:$C$1000,'calc_s90&amp;138'!$CF$15:$CF$1000,"",0)),"")</f>
        <v/>
      </c>
      <c r="I155" s="16" t="str" cm="1">
        <f t="array" ref="I155">IF(C155&lt;&gt;"", _xlfn.IFS(J155="SLI",_xlfn.XLOOKUP(C155,'calc_s90&amp;138'!$C$15:$C$1000,'calc_s90&amp;138'!$CD$15:$CD$1000,"",0),    J155="FIX", _xlfn.XLOOKUP(C155,'calc_s90&amp;138'!$C$15:$C$1000,'calc_s90&amp;138'!$CG$15:$CG$1000,"",0)),"")</f>
        <v/>
      </c>
      <c r="J155" s="16" t="str">
        <f t="shared" si="2"/>
        <v/>
      </c>
    </row>
    <row r="156" spans="3:10" ht="13.5" customHeight="1" x14ac:dyDescent="0.25">
      <c r="C156" s="16"/>
      <c r="D156" s="16" t="str" cm="1">
        <f t="array" ref="D156">IF(C156&lt;&gt;"", _xlfn.IFS(J156="SLI",_xlfn.XLOOKUP(C156,'calc_s90&amp;138'!$C$15:$C$1000,'calc_s90&amp;138'!$CE$15:$CE$1000,"",0),    J156="FIX", _xlfn.XLOOKUP(C156,'calc_s90&amp;138'!$C$15:$C$1000,'calc_s90&amp;138'!$CH$15:$CH$1000,"",0)),"")</f>
        <v/>
      </c>
      <c r="E156" s="16"/>
      <c r="F156" s="33"/>
      <c r="G156" s="33"/>
      <c r="H156" s="16" t="str" cm="1">
        <f t="array" ref="H156">IF(C156&lt;&gt;"", _xlfn.IFS(J156="SLI",_xlfn.XLOOKUP(C156,'calc_s90&amp;138'!$C$15:$C$1000,'calc_s90&amp;138'!$CC$15:$CC$1000,"",0),    J156="FIX", _xlfn.XLOOKUP(C156,'calc_s90&amp;138'!$C$15:$C$1000,'calc_s90&amp;138'!$CF$15:$CF$1000,"",0)),"")</f>
        <v/>
      </c>
      <c r="I156" s="16" t="str" cm="1">
        <f t="array" ref="I156">IF(C156&lt;&gt;"", _xlfn.IFS(J156="SLI",_xlfn.XLOOKUP(C156,'calc_s90&amp;138'!$C$15:$C$1000,'calc_s90&amp;138'!$CD$15:$CD$1000,"",0),    J156="FIX", _xlfn.XLOOKUP(C156,'calc_s90&amp;138'!$C$15:$C$1000,'calc_s90&amp;138'!$CG$15:$CG$1000,"",0)),"")</f>
        <v/>
      </c>
      <c r="J156" s="16" t="str">
        <f t="shared" si="2"/>
        <v/>
      </c>
    </row>
    <row r="157" spans="3:10" ht="13.5" customHeight="1" x14ac:dyDescent="0.25">
      <c r="C157" s="16"/>
      <c r="D157" s="16" t="str" cm="1">
        <f t="array" ref="D157">IF(C157&lt;&gt;"", _xlfn.IFS(J157="SLI",_xlfn.XLOOKUP(C157,'calc_s90&amp;138'!$C$15:$C$1000,'calc_s90&amp;138'!$CE$15:$CE$1000,"",0),    J157="FIX", _xlfn.XLOOKUP(C157,'calc_s90&amp;138'!$C$15:$C$1000,'calc_s90&amp;138'!$CH$15:$CH$1000,"",0)),"")</f>
        <v/>
      </c>
      <c r="E157" s="16"/>
      <c r="F157" s="33"/>
      <c r="G157" s="33"/>
      <c r="H157" s="16" t="str" cm="1">
        <f t="array" ref="H157">IF(C157&lt;&gt;"", _xlfn.IFS(J157="SLI",_xlfn.XLOOKUP(C157,'calc_s90&amp;138'!$C$15:$C$1000,'calc_s90&amp;138'!$CC$15:$CC$1000,"",0),    J157="FIX", _xlfn.XLOOKUP(C157,'calc_s90&amp;138'!$C$15:$C$1000,'calc_s90&amp;138'!$CF$15:$CF$1000,"",0)),"")</f>
        <v/>
      </c>
      <c r="I157" s="16" t="str" cm="1">
        <f t="array" ref="I157">IF(C157&lt;&gt;"", _xlfn.IFS(J157="SLI",_xlfn.XLOOKUP(C157,'calc_s90&amp;138'!$C$15:$C$1000,'calc_s90&amp;138'!$CD$15:$CD$1000,"",0),    J157="FIX", _xlfn.XLOOKUP(C157,'calc_s90&amp;138'!$C$15:$C$1000,'calc_s90&amp;138'!$CG$15:$CG$1000,"",0)),"")</f>
        <v/>
      </c>
      <c r="J157" s="16" t="str">
        <f t="shared" si="2"/>
        <v/>
      </c>
    </row>
    <row r="158" spans="3:10" ht="13.5" customHeight="1" x14ac:dyDescent="0.25">
      <c r="C158" s="16"/>
      <c r="D158" s="16" t="str" cm="1">
        <f t="array" ref="D158">IF(C158&lt;&gt;"", _xlfn.IFS(J158="SLI",_xlfn.XLOOKUP(C158,'calc_s90&amp;138'!$C$15:$C$1000,'calc_s90&amp;138'!$CE$15:$CE$1000,"",0),    J158="FIX", _xlfn.XLOOKUP(C158,'calc_s90&amp;138'!$C$15:$C$1000,'calc_s90&amp;138'!$CH$15:$CH$1000,"",0)),"")</f>
        <v/>
      </c>
      <c r="E158" s="16"/>
      <c r="F158" s="33"/>
      <c r="G158" s="33"/>
      <c r="H158" s="16" t="str" cm="1">
        <f t="array" ref="H158">IF(C158&lt;&gt;"", _xlfn.IFS(J158="SLI",_xlfn.XLOOKUP(C158,'calc_s90&amp;138'!$C$15:$C$1000,'calc_s90&amp;138'!$CC$15:$CC$1000,"",0),    J158="FIX", _xlfn.XLOOKUP(C158,'calc_s90&amp;138'!$C$15:$C$1000,'calc_s90&amp;138'!$CF$15:$CF$1000,"",0)),"")</f>
        <v/>
      </c>
      <c r="I158" s="16" t="str" cm="1">
        <f t="array" ref="I158">IF(C158&lt;&gt;"", _xlfn.IFS(J158="SLI",_xlfn.XLOOKUP(C158,'calc_s90&amp;138'!$C$15:$C$1000,'calc_s90&amp;138'!$CD$15:$CD$1000,"",0),    J158="FIX", _xlfn.XLOOKUP(C158,'calc_s90&amp;138'!$C$15:$C$1000,'calc_s90&amp;138'!$CG$15:$CG$1000,"",0)),"")</f>
        <v/>
      </c>
      <c r="J158" s="16" t="str">
        <f t="shared" si="2"/>
        <v/>
      </c>
    </row>
    <row r="159" spans="3:10" ht="13.5" customHeight="1" x14ac:dyDescent="0.25">
      <c r="C159" s="16"/>
      <c r="D159" s="16" t="str" cm="1">
        <f t="array" ref="D159">IF(C159&lt;&gt;"", _xlfn.IFS(J159="SLI",_xlfn.XLOOKUP(C159,'calc_s90&amp;138'!$C$15:$C$1000,'calc_s90&amp;138'!$CE$15:$CE$1000,"",0),    J159="FIX", _xlfn.XLOOKUP(C159,'calc_s90&amp;138'!$C$15:$C$1000,'calc_s90&amp;138'!$CH$15:$CH$1000,"",0)),"")</f>
        <v/>
      </c>
      <c r="E159" s="16"/>
      <c r="F159" s="33"/>
      <c r="G159" s="33"/>
      <c r="H159" s="16" t="str" cm="1">
        <f t="array" ref="H159">IF(C159&lt;&gt;"", _xlfn.IFS(J159="SLI",_xlfn.XLOOKUP(C159,'calc_s90&amp;138'!$C$15:$C$1000,'calc_s90&amp;138'!$CC$15:$CC$1000,"",0),    J159="FIX", _xlfn.XLOOKUP(C159,'calc_s90&amp;138'!$C$15:$C$1000,'calc_s90&amp;138'!$CF$15:$CF$1000,"",0)),"")</f>
        <v/>
      </c>
      <c r="I159" s="16" t="str" cm="1">
        <f t="array" ref="I159">IF(C159&lt;&gt;"", _xlfn.IFS(J159="SLI",_xlfn.XLOOKUP(C159,'calc_s90&amp;138'!$C$15:$C$1000,'calc_s90&amp;138'!$CD$15:$CD$1000,"",0),    J159="FIX", _xlfn.XLOOKUP(C159,'calc_s90&amp;138'!$C$15:$C$1000,'calc_s90&amp;138'!$CG$15:$CG$1000,"",0)),"")</f>
        <v/>
      </c>
      <c r="J159" s="16" t="str">
        <f t="shared" si="2"/>
        <v/>
      </c>
    </row>
    <row r="160" spans="3:10" ht="13.5" customHeight="1" x14ac:dyDescent="0.25">
      <c r="C160" s="16"/>
      <c r="D160" s="16" t="str" cm="1">
        <f t="array" ref="D160">IF(C160&lt;&gt;"", _xlfn.IFS(J160="SLI",_xlfn.XLOOKUP(C160,'calc_s90&amp;138'!$C$15:$C$1000,'calc_s90&amp;138'!$CE$15:$CE$1000,"",0),    J160="FIX", _xlfn.XLOOKUP(C160,'calc_s90&amp;138'!$C$15:$C$1000,'calc_s90&amp;138'!$CH$15:$CH$1000,"",0)),"")</f>
        <v/>
      </c>
      <c r="E160" s="16"/>
      <c r="F160" s="33"/>
      <c r="G160" s="33"/>
      <c r="H160" s="16" t="str" cm="1">
        <f t="array" ref="H160">IF(C160&lt;&gt;"", _xlfn.IFS(J160="SLI",_xlfn.XLOOKUP(C160,'calc_s90&amp;138'!$C$15:$C$1000,'calc_s90&amp;138'!$CC$15:$CC$1000,"",0),    J160="FIX", _xlfn.XLOOKUP(C160,'calc_s90&amp;138'!$C$15:$C$1000,'calc_s90&amp;138'!$CF$15:$CF$1000,"",0)),"")</f>
        <v/>
      </c>
      <c r="I160" s="16" t="str" cm="1">
        <f t="array" ref="I160">IF(C160&lt;&gt;"", _xlfn.IFS(J160="SLI",_xlfn.XLOOKUP(C160,'calc_s90&amp;138'!$C$15:$C$1000,'calc_s90&amp;138'!$CD$15:$CD$1000,"",0),    J160="FIX", _xlfn.XLOOKUP(C160,'calc_s90&amp;138'!$C$15:$C$1000,'calc_s90&amp;138'!$CG$15:$CG$1000,"",0)),"")</f>
        <v/>
      </c>
      <c r="J160" s="16" t="str">
        <f t="shared" si="2"/>
        <v/>
      </c>
    </row>
    <row r="161" spans="3:10" ht="13.5" customHeight="1" x14ac:dyDescent="0.25">
      <c r="C161" s="16"/>
      <c r="D161" s="16" t="str" cm="1">
        <f t="array" ref="D161">IF(C161&lt;&gt;"", _xlfn.IFS(J161="SLI",_xlfn.XLOOKUP(C161,'calc_s90&amp;138'!$C$15:$C$1000,'calc_s90&amp;138'!$CE$15:$CE$1000,"",0),    J161="FIX", _xlfn.XLOOKUP(C161,'calc_s90&amp;138'!$C$15:$C$1000,'calc_s90&amp;138'!$CH$15:$CH$1000,"",0)),"")</f>
        <v/>
      </c>
      <c r="E161" s="16"/>
      <c r="F161" s="33"/>
      <c r="G161" s="33"/>
      <c r="H161" s="16" t="str" cm="1">
        <f t="array" ref="H161">IF(C161&lt;&gt;"", _xlfn.IFS(J161="SLI",_xlfn.XLOOKUP(C161,'calc_s90&amp;138'!$C$15:$C$1000,'calc_s90&amp;138'!$CC$15:$CC$1000,"",0),    J161="FIX", _xlfn.XLOOKUP(C161,'calc_s90&amp;138'!$C$15:$C$1000,'calc_s90&amp;138'!$CF$15:$CF$1000,"",0)),"")</f>
        <v/>
      </c>
      <c r="I161" s="16" t="str" cm="1">
        <f t="array" ref="I161">IF(C161&lt;&gt;"", _xlfn.IFS(J161="SLI",_xlfn.XLOOKUP(C161,'calc_s90&amp;138'!$C$15:$C$1000,'calc_s90&amp;138'!$CD$15:$CD$1000,"",0),    J161="FIX", _xlfn.XLOOKUP(C161,'calc_s90&amp;138'!$C$15:$C$1000,'calc_s90&amp;138'!$CG$15:$CG$1000,"",0)),"")</f>
        <v/>
      </c>
      <c r="J161" s="16" t="str">
        <f t="shared" si="2"/>
        <v/>
      </c>
    </row>
    <row r="162" spans="3:10" ht="13.5" customHeight="1" x14ac:dyDescent="0.25">
      <c r="C162" s="16"/>
      <c r="D162" s="16" t="str" cm="1">
        <f t="array" ref="D162">IF(C162&lt;&gt;"", _xlfn.IFS(J162="SLI",_xlfn.XLOOKUP(C162,'calc_s90&amp;138'!$C$15:$C$1000,'calc_s90&amp;138'!$CE$15:$CE$1000,"",0),    J162="FIX", _xlfn.XLOOKUP(C162,'calc_s90&amp;138'!$C$15:$C$1000,'calc_s90&amp;138'!$CH$15:$CH$1000,"",0)),"")</f>
        <v/>
      </c>
      <c r="E162" s="16"/>
      <c r="F162" s="33"/>
      <c r="G162" s="33"/>
      <c r="H162" s="16" t="str" cm="1">
        <f t="array" ref="H162">IF(C162&lt;&gt;"", _xlfn.IFS(J162="SLI",_xlfn.XLOOKUP(C162,'calc_s90&amp;138'!$C$15:$C$1000,'calc_s90&amp;138'!$CC$15:$CC$1000,"",0),    J162="FIX", _xlfn.XLOOKUP(C162,'calc_s90&amp;138'!$C$15:$C$1000,'calc_s90&amp;138'!$CF$15:$CF$1000,"",0)),"")</f>
        <v/>
      </c>
      <c r="I162" s="16" t="str" cm="1">
        <f t="array" ref="I162">IF(C162&lt;&gt;"", _xlfn.IFS(J162="SLI",_xlfn.XLOOKUP(C162,'calc_s90&amp;138'!$C$15:$C$1000,'calc_s90&amp;138'!$CD$15:$CD$1000,"",0),    J162="FIX", _xlfn.XLOOKUP(C162,'calc_s90&amp;138'!$C$15:$C$1000,'calc_s90&amp;138'!$CG$15:$CG$1000,"",0)),"")</f>
        <v/>
      </c>
      <c r="J162" s="16" t="str">
        <f t="shared" si="2"/>
        <v/>
      </c>
    </row>
    <row r="163" spans="3:10" ht="13.5" customHeight="1" x14ac:dyDescent="0.25">
      <c r="C163" s="16"/>
      <c r="D163" s="16" t="str" cm="1">
        <f t="array" ref="D163">IF(C163&lt;&gt;"", _xlfn.IFS(J163="SLI",_xlfn.XLOOKUP(C163,'calc_s90&amp;138'!$C$15:$C$1000,'calc_s90&amp;138'!$CE$15:$CE$1000,"",0),    J163="FIX", _xlfn.XLOOKUP(C163,'calc_s90&amp;138'!$C$15:$C$1000,'calc_s90&amp;138'!$CH$15:$CH$1000,"",0)),"")</f>
        <v/>
      </c>
      <c r="E163" s="16"/>
      <c r="F163" s="33"/>
      <c r="G163" s="33"/>
      <c r="H163" s="16" t="str" cm="1">
        <f t="array" ref="H163">IF(C163&lt;&gt;"", _xlfn.IFS(J163="SLI",_xlfn.XLOOKUP(C163,'calc_s90&amp;138'!$C$15:$C$1000,'calc_s90&amp;138'!$CC$15:$CC$1000,"",0),    J163="FIX", _xlfn.XLOOKUP(C163,'calc_s90&amp;138'!$C$15:$C$1000,'calc_s90&amp;138'!$CF$15:$CF$1000,"",0)),"")</f>
        <v/>
      </c>
      <c r="I163" s="16" t="str" cm="1">
        <f t="array" ref="I163">IF(C163&lt;&gt;"", _xlfn.IFS(J163="SLI",_xlfn.XLOOKUP(C163,'calc_s90&amp;138'!$C$15:$C$1000,'calc_s90&amp;138'!$CD$15:$CD$1000,"",0),    J163="FIX", _xlfn.XLOOKUP(C163,'calc_s90&amp;138'!$C$15:$C$1000,'calc_s90&amp;138'!$CG$15:$CG$1000,"",0)),"")</f>
        <v/>
      </c>
      <c r="J163" s="16" t="str">
        <f t="shared" si="2"/>
        <v/>
      </c>
    </row>
    <row r="164" spans="3:10" ht="13.5" customHeight="1" x14ac:dyDescent="0.25">
      <c r="C164" s="16"/>
      <c r="D164" s="16" t="str" cm="1">
        <f t="array" ref="D164">IF(C164&lt;&gt;"", _xlfn.IFS(J164="SLI",_xlfn.XLOOKUP(C164,'calc_s90&amp;138'!$C$15:$C$1000,'calc_s90&amp;138'!$CE$15:$CE$1000,"",0),    J164="FIX", _xlfn.XLOOKUP(C164,'calc_s90&amp;138'!$C$15:$C$1000,'calc_s90&amp;138'!$CH$15:$CH$1000,"",0)),"")</f>
        <v/>
      </c>
      <c r="E164" s="16"/>
      <c r="F164" s="33"/>
      <c r="G164" s="33"/>
      <c r="H164" s="16" t="str" cm="1">
        <f t="array" ref="H164">IF(C164&lt;&gt;"", _xlfn.IFS(J164="SLI",_xlfn.XLOOKUP(C164,'calc_s90&amp;138'!$C$15:$C$1000,'calc_s90&amp;138'!$CC$15:$CC$1000,"",0),    J164="FIX", _xlfn.XLOOKUP(C164,'calc_s90&amp;138'!$C$15:$C$1000,'calc_s90&amp;138'!$CF$15:$CF$1000,"",0)),"")</f>
        <v/>
      </c>
      <c r="I164" s="16" t="str" cm="1">
        <f t="array" ref="I164">IF(C164&lt;&gt;"", _xlfn.IFS(J164="SLI",_xlfn.XLOOKUP(C164,'calc_s90&amp;138'!$C$15:$C$1000,'calc_s90&amp;138'!$CD$15:$CD$1000,"",0),    J164="FIX", _xlfn.XLOOKUP(C164,'calc_s90&amp;138'!$C$15:$C$1000,'calc_s90&amp;138'!$CG$15:$CG$1000,"",0)),"")</f>
        <v/>
      </c>
      <c r="J164" s="16" t="str">
        <f t="shared" si="2"/>
        <v/>
      </c>
    </row>
    <row r="165" spans="3:10" ht="13.5" customHeight="1" x14ac:dyDescent="0.25">
      <c r="C165" s="16"/>
      <c r="D165" s="16" t="str" cm="1">
        <f t="array" ref="D165">IF(C165&lt;&gt;"", _xlfn.IFS(J165="SLI",_xlfn.XLOOKUP(C165,'calc_s90&amp;138'!$C$15:$C$1000,'calc_s90&amp;138'!$CE$15:$CE$1000,"",0),    J165="FIX", _xlfn.XLOOKUP(C165,'calc_s90&amp;138'!$C$15:$C$1000,'calc_s90&amp;138'!$CH$15:$CH$1000,"",0)),"")</f>
        <v/>
      </c>
      <c r="E165" s="16"/>
      <c r="F165" s="33"/>
      <c r="G165" s="33"/>
      <c r="H165" s="16" t="str" cm="1">
        <f t="array" ref="H165">IF(C165&lt;&gt;"", _xlfn.IFS(J165="SLI",_xlfn.XLOOKUP(C165,'calc_s90&amp;138'!$C$15:$C$1000,'calc_s90&amp;138'!$CC$15:$CC$1000,"",0),    J165="FIX", _xlfn.XLOOKUP(C165,'calc_s90&amp;138'!$C$15:$C$1000,'calc_s90&amp;138'!$CF$15:$CF$1000,"",0)),"")</f>
        <v/>
      </c>
      <c r="I165" s="16" t="str" cm="1">
        <f t="array" ref="I165">IF(C165&lt;&gt;"", _xlfn.IFS(J165="SLI",_xlfn.XLOOKUP(C165,'calc_s90&amp;138'!$C$15:$C$1000,'calc_s90&amp;138'!$CD$15:$CD$1000,"",0),    J165="FIX", _xlfn.XLOOKUP(C165,'calc_s90&amp;138'!$C$15:$C$1000,'calc_s90&amp;138'!$CG$15:$CG$1000,"",0)),"")</f>
        <v/>
      </c>
      <c r="J165" s="16" t="str">
        <f t="shared" si="2"/>
        <v/>
      </c>
    </row>
    <row r="166" spans="3:10" ht="13.5" customHeight="1" x14ac:dyDescent="0.25">
      <c r="C166" s="16"/>
      <c r="D166" s="16" t="str" cm="1">
        <f t="array" ref="D166">IF(C166&lt;&gt;"", _xlfn.IFS(J166="SLI",_xlfn.XLOOKUP(C166,'calc_s90&amp;138'!$C$15:$C$1000,'calc_s90&amp;138'!$CE$15:$CE$1000,"",0),    J166="FIX", _xlfn.XLOOKUP(C166,'calc_s90&amp;138'!$C$15:$C$1000,'calc_s90&amp;138'!$CH$15:$CH$1000,"",0)),"")</f>
        <v/>
      </c>
      <c r="E166" s="16"/>
      <c r="F166" s="33"/>
      <c r="G166" s="33"/>
      <c r="H166" s="16" t="str" cm="1">
        <f t="array" ref="H166">IF(C166&lt;&gt;"", _xlfn.IFS(J166="SLI",_xlfn.XLOOKUP(C166,'calc_s90&amp;138'!$C$15:$C$1000,'calc_s90&amp;138'!$CC$15:$CC$1000,"",0),    J166="FIX", _xlfn.XLOOKUP(C166,'calc_s90&amp;138'!$C$15:$C$1000,'calc_s90&amp;138'!$CF$15:$CF$1000,"",0)),"")</f>
        <v/>
      </c>
      <c r="I166" s="16" t="str" cm="1">
        <f t="array" ref="I166">IF(C166&lt;&gt;"", _xlfn.IFS(J166="SLI",_xlfn.XLOOKUP(C166,'calc_s90&amp;138'!$C$15:$C$1000,'calc_s90&amp;138'!$CD$15:$CD$1000,"",0),    J166="FIX", _xlfn.XLOOKUP(C166,'calc_s90&amp;138'!$C$15:$C$1000,'calc_s90&amp;138'!$CG$15:$CG$1000,"",0)),"")</f>
        <v/>
      </c>
      <c r="J166" s="16" t="str">
        <f t="shared" si="2"/>
        <v/>
      </c>
    </row>
    <row r="167" spans="3:10" ht="13.5" customHeight="1" x14ac:dyDescent="0.25">
      <c r="C167" s="16"/>
      <c r="D167" s="16" t="str" cm="1">
        <f t="array" ref="D167">IF(C167&lt;&gt;"", _xlfn.IFS(J167="SLI",_xlfn.XLOOKUP(C167,'calc_s90&amp;138'!$C$15:$C$1000,'calc_s90&amp;138'!$CE$15:$CE$1000,"",0),    J167="FIX", _xlfn.XLOOKUP(C167,'calc_s90&amp;138'!$C$15:$C$1000,'calc_s90&amp;138'!$CH$15:$CH$1000,"",0)),"")</f>
        <v/>
      </c>
      <c r="E167" s="16"/>
      <c r="F167" s="33"/>
      <c r="G167" s="33"/>
      <c r="H167" s="16" t="str" cm="1">
        <f t="array" ref="H167">IF(C167&lt;&gt;"", _xlfn.IFS(J167="SLI",_xlfn.XLOOKUP(C167,'calc_s90&amp;138'!$C$15:$C$1000,'calc_s90&amp;138'!$CC$15:$CC$1000,"",0),    J167="FIX", _xlfn.XLOOKUP(C167,'calc_s90&amp;138'!$C$15:$C$1000,'calc_s90&amp;138'!$CF$15:$CF$1000,"",0)),"")</f>
        <v/>
      </c>
      <c r="I167" s="16" t="str" cm="1">
        <f t="array" ref="I167">IF(C167&lt;&gt;"", _xlfn.IFS(J167="SLI",_xlfn.XLOOKUP(C167,'calc_s90&amp;138'!$C$15:$C$1000,'calc_s90&amp;138'!$CD$15:$CD$1000,"",0),    J167="FIX", _xlfn.XLOOKUP(C167,'calc_s90&amp;138'!$C$15:$C$1000,'calc_s90&amp;138'!$CG$15:$CG$1000,"",0)),"")</f>
        <v/>
      </c>
      <c r="J167" s="16" t="str">
        <f t="shared" si="2"/>
        <v/>
      </c>
    </row>
    <row r="168" spans="3:10" ht="13.5" customHeight="1" x14ac:dyDescent="0.25">
      <c r="C168" s="16"/>
      <c r="D168" s="16" t="str" cm="1">
        <f t="array" ref="D168">IF(C168&lt;&gt;"", _xlfn.IFS(J168="SLI",_xlfn.XLOOKUP(C168,'calc_s90&amp;138'!$C$15:$C$1000,'calc_s90&amp;138'!$CE$15:$CE$1000,"",0),    J168="FIX", _xlfn.XLOOKUP(C168,'calc_s90&amp;138'!$C$15:$C$1000,'calc_s90&amp;138'!$CH$15:$CH$1000,"",0)),"")</f>
        <v/>
      </c>
      <c r="E168" s="16"/>
      <c r="F168" s="33"/>
      <c r="G168" s="33"/>
      <c r="H168" s="16" t="str" cm="1">
        <f t="array" ref="H168">IF(C168&lt;&gt;"", _xlfn.IFS(J168="SLI",_xlfn.XLOOKUP(C168,'calc_s90&amp;138'!$C$15:$C$1000,'calc_s90&amp;138'!$CC$15:$CC$1000,"",0),    J168="FIX", _xlfn.XLOOKUP(C168,'calc_s90&amp;138'!$C$15:$C$1000,'calc_s90&amp;138'!$CF$15:$CF$1000,"",0)),"")</f>
        <v/>
      </c>
      <c r="I168" s="16" t="str" cm="1">
        <f t="array" ref="I168">IF(C168&lt;&gt;"", _xlfn.IFS(J168="SLI",_xlfn.XLOOKUP(C168,'calc_s90&amp;138'!$C$15:$C$1000,'calc_s90&amp;138'!$CD$15:$CD$1000,"",0),    J168="FIX", _xlfn.XLOOKUP(C168,'calc_s90&amp;138'!$C$15:$C$1000,'calc_s90&amp;138'!$CG$15:$CG$1000,"",0)),"")</f>
        <v/>
      </c>
      <c r="J168" s="16" t="str">
        <f t="shared" si="2"/>
        <v/>
      </c>
    </row>
    <row r="169" spans="3:10" ht="13.5" customHeight="1" x14ac:dyDescent="0.25">
      <c r="C169" s="16"/>
      <c r="D169" s="16" t="str" cm="1">
        <f t="array" ref="D169">IF(C169&lt;&gt;"", _xlfn.IFS(J169="SLI",_xlfn.XLOOKUP(C169,'calc_s90&amp;138'!$C$15:$C$1000,'calc_s90&amp;138'!$CE$15:$CE$1000,"",0),    J169="FIX", _xlfn.XLOOKUP(C169,'calc_s90&amp;138'!$C$15:$C$1000,'calc_s90&amp;138'!$CH$15:$CH$1000,"",0)),"")</f>
        <v/>
      </c>
      <c r="E169" s="16"/>
      <c r="F169" s="33"/>
      <c r="G169" s="33"/>
      <c r="H169" s="16" t="str" cm="1">
        <f t="array" ref="H169">IF(C169&lt;&gt;"", _xlfn.IFS(J169="SLI",_xlfn.XLOOKUP(C169,'calc_s90&amp;138'!$C$15:$C$1000,'calc_s90&amp;138'!$CC$15:$CC$1000,"",0),    J169="FIX", _xlfn.XLOOKUP(C169,'calc_s90&amp;138'!$C$15:$C$1000,'calc_s90&amp;138'!$CF$15:$CF$1000,"",0)),"")</f>
        <v/>
      </c>
      <c r="I169" s="16" t="str" cm="1">
        <f t="array" ref="I169">IF(C169&lt;&gt;"", _xlfn.IFS(J169="SLI",_xlfn.XLOOKUP(C169,'calc_s90&amp;138'!$C$15:$C$1000,'calc_s90&amp;138'!$CD$15:$CD$1000,"",0),    J169="FIX", _xlfn.XLOOKUP(C169,'calc_s90&amp;138'!$C$15:$C$1000,'calc_s90&amp;138'!$CG$15:$CG$1000,"",0)),"")</f>
        <v/>
      </c>
      <c r="J169" s="16" t="str">
        <f t="shared" si="2"/>
        <v/>
      </c>
    </row>
    <row r="170" spans="3:10" ht="13.5" customHeight="1" x14ac:dyDescent="0.25">
      <c r="C170" s="16"/>
      <c r="D170" s="16" t="str" cm="1">
        <f t="array" ref="D170">IF(C170&lt;&gt;"", _xlfn.IFS(J170="SLI",_xlfn.XLOOKUP(C170,'calc_s90&amp;138'!$C$15:$C$1000,'calc_s90&amp;138'!$CE$15:$CE$1000,"",0),    J170="FIX", _xlfn.XLOOKUP(C170,'calc_s90&amp;138'!$C$15:$C$1000,'calc_s90&amp;138'!$CH$15:$CH$1000,"",0)),"")</f>
        <v/>
      </c>
      <c r="E170" s="16"/>
      <c r="F170" s="33"/>
      <c r="G170" s="33"/>
      <c r="H170" s="16" t="str" cm="1">
        <f t="array" ref="H170">IF(C170&lt;&gt;"", _xlfn.IFS(J170="SLI",_xlfn.XLOOKUP(C170,'calc_s90&amp;138'!$C$15:$C$1000,'calc_s90&amp;138'!$CC$15:$CC$1000,"",0),    J170="FIX", _xlfn.XLOOKUP(C170,'calc_s90&amp;138'!$C$15:$C$1000,'calc_s90&amp;138'!$CF$15:$CF$1000,"",0)),"")</f>
        <v/>
      </c>
      <c r="I170" s="16" t="str" cm="1">
        <f t="array" ref="I170">IF(C170&lt;&gt;"", _xlfn.IFS(J170="SLI",_xlfn.XLOOKUP(C170,'calc_s90&amp;138'!$C$15:$C$1000,'calc_s90&amp;138'!$CD$15:$CD$1000,"",0),    J170="FIX", _xlfn.XLOOKUP(C170,'calc_s90&amp;138'!$C$15:$C$1000,'calc_s90&amp;138'!$CG$15:$CG$1000,"",0)),"")</f>
        <v/>
      </c>
      <c r="J170" s="16" t="str">
        <f t="shared" si="2"/>
        <v/>
      </c>
    </row>
    <row r="171" spans="3:10" ht="13.5" customHeight="1" x14ac:dyDescent="0.25">
      <c r="C171" s="16"/>
      <c r="D171" s="16"/>
      <c r="E171" s="16"/>
      <c r="F171" s="33"/>
      <c r="G171" s="33"/>
      <c r="H171" s="16"/>
      <c r="I171" s="16"/>
      <c r="J171" s="16" t="str">
        <f t="shared" si="2"/>
        <v/>
      </c>
    </row>
    <row r="172" spans="3:10" ht="13.5" customHeight="1" x14ac:dyDescent="0.25">
      <c r="C172" s="16"/>
      <c r="D172" s="16"/>
      <c r="E172" s="16"/>
      <c r="F172" s="33"/>
      <c r="G172" s="33"/>
      <c r="H172" s="16"/>
      <c r="I172" s="16"/>
      <c r="J172" s="16" t="str">
        <f t="shared" si="2"/>
        <v/>
      </c>
    </row>
    <row r="173" spans="3:10" ht="13.5" customHeight="1" x14ac:dyDescent="0.25">
      <c r="C173" s="16"/>
      <c r="D173" s="16"/>
      <c r="E173" s="16"/>
      <c r="F173" s="33"/>
      <c r="G173" s="33"/>
      <c r="H173" s="16"/>
      <c r="I173" s="16"/>
      <c r="J173" s="16" t="str">
        <f t="shared" si="2"/>
        <v/>
      </c>
    </row>
    <row r="174" spans="3:10" ht="13.5" customHeight="1" x14ac:dyDescent="0.25">
      <c r="C174" s="16"/>
      <c r="D174" s="16"/>
      <c r="E174" s="16"/>
      <c r="F174" s="33"/>
      <c r="G174" s="33"/>
      <c r="H174" s="16"/>
      <c r="I174" s="16"/>
      <c r="J174" s="16" t="str">
        <f t="shared" si="2"/>
        <v/>
      </c>
    </row>
    <row r="175" spans="3:10" ht="13.5" customHeight="1" x14ac:dyDescent="0.25">
      <c r="C175" s="16"/>
      <c r="D175" s="16"/>
      <c r="E175" s="16"/>
      <c r="F175" s="33"/>
      <c r="G175" s="33"/>
      <c r="H175" s="16"/>
      <c r="I175" s="16"/>
      <c r="J175" s="16" t="str">
        <f t="shared" si="2"/>
        <v/>
      </c>
    </row>
    <row r="176" spans="3:10" ht="13.5" customHeight="1" x14ac:dyDescent="0.25">
      <c r="C176" s="16"/>
      <c r="D176" s="16"/>
      <c r="E176" s="16"/>
      <c r="F176" s="33"/>
      <c r="G176" s="33"/>
      <c r="H176" s="16"/>
      <c r="I176" s="16"/>
      <c r="J176" s="16" t="str">
        <f t="shared" si="2"/>
        <v/>
      </c>
    </row>
    <row r="177" spans="3:10" ht="13.5" customHeight="1" x14ac:dyDescent="0.25">
      <c r="C177" s="16"/>
      <c r="D177" s="16"/>
      <c r="E177" s="16"/>
      <c r="F177" s="33"/>
      <c r="G177" s="33"/>
      <c r="H177" s="16"/>
      <c r="I177" s="16"/>
      <c r="J177" s="16" t="str">
        <f t="shared" si="2"/>
        <v/>
      </c>
    </row>
    <row r="178" spans="3:10" ht="13.5" customHeight="1" x14ac:dyDescent="0.25">
      <c r="C178" s="16"/>
      <c r="D178" s="16"/>
      <c r="E178" s="16"/>
      <c r="F178" s="33"/>
      <c r="G178" s="33"/>
      <c r="H178" s="16"/>
      <c r="I178" s="16"/>
      <c r="J178" s="16" t="str">
        <f t="shared" si="2"/>
        <v/>
      </c>
    </row>
    <row r="179" spans="3:10" ht="13.5" customHeight="1" x14ac:dyDescent="0.25">
      <c r="C179" s="16"/>
      <c r="D179" s="16"/>
      <c r="E179" s="16"/>
      <c r="F179" s="33"/>
      <c r="G179" s="33"/>
      <c r="H179" s="16"/>
      <c r="I179" s="16"/>
      <c r="J179" s="16" t="str">
        <f t="shared" si="2"/>
        <v/>
      </c>
    </row>
    <row r="180" spans="3:10" ht="13.5" customHeight="1" x14ac:dyDescent="0.25">
      <c r="C180" s="16"/>
      <c r="D180" s="16"/>
      <c r="E180" s="16"/>
      <c r="F180" s="33"/>
      <c r="G180" s="33"/>
      <c r="H180" s="16"/>
      <c r="I180" s="16"/>
      <c r="J180" s="16" t="str">
        <f t="shared" si="2"/>
        <v/>
      </c>
    </row>
    <row r="181" spans="3:10" ht="13.5" customHeight="1" x14ac:dyDescent="0.25">
      <c r="C181" s="16"/>
      <c r="D181" s="16"/>
      <c r="E181" s="16"/>
      <c r="F181" s="33"/>
      <c r="G181" s="33"/>
      <c r="H181" s="16"/>
      <c r="I181" s="16"/>
      <c r="J181" s="16" t="str">
        <f t="shared" si="2"/>
        <v/>
      </c>
    </row>
    <row r="182" spans="3:10" ht="13.5" customHeight="1" x14ac:dyDescent="0.25">
      <c r="C182" s="16"/>
      <c r="D182" s="16"/>
      <c r="E182" s="16"/>
      <c r="F182" s="33"/>
      <c r="G182" s="33"/>
      <c r="H182" s="16"/>
      <c r="I182" s="16"/>
      <c r="J182" s="16" t="str">
        <f t="shared" si="2"/>
        <v/>
      </c>
    </row>
    <row r="183" spans="3:10" ht="13.5" customHeight="1" x14ac:dyDescent="0.25">
      <c r="C183" s="16"/>
      <c r="D183" s="16"/>
      <c r="E183" s="16"/>
      <c r="F183" s="33"/>
      <c r="G183" s="33"/>
      <c r="H183" s="16"/>
      <c r="I183" s="16"/>
      <c r="J183" s="16" t="str">
        <f t="shared" si="2"/>
        <v/>
      </c>
    </row>
    <row r="184" spans="3:10" ht="13.5" customHeight="1" x14ac:dyDescent="0.25">
      <c r="C184" s="16"/>
      <c r="D184" s="16"/>
      <c r="E184" s="16"/>
      <c r="F184" s="33"/>
      <c r="G184" s="33"/>
      <c r="H184" s="16"/>
      <c r="I184" s="16"/>
      <c r="J184" s="16" t="str">
        <f t="shared" si="2"/>
        <v/>
      </c>
    </row>
    <row r="185" spans="3:10" ht="13.5" customHeight="1" x14ac:dyDescent="0.25">
      <c r="C185" s="16"/>
      <c r="D185" s="16"/>
      <c r="E185" s="16"/>
      <c r="F185" s="33"/>
      <c r="G185" s="33"/>
      <c r="H185" s="16"/>
      <c r="I185" s="16"/>
      <c r="J185" s="16" t="str">
        <f t="shared" ref="J185:J211" si="3">IF(C185&lt;&gt;"", IF(C185=C184, "FIX", "SLI"),"")</f>
        <v/>
      </c>
    </row>
    <row r="186" spans="3:10" ht="13.5" customHeight="1" x14ac:dyDescent="0.25">
      <c r="C186" s="16"/>
      <c r="D186" s="16"/>
      <c r="E186" s="16"/>
      <c r="F186" s="33"/>
      <c r="G186" s="33"/>
      <c r="H186" s="16"/>
      <c r="I186" s="16"/>
      <c r="J186" s="16" t="str">
        <f t="shared" si="3"/>
        <v/>
      </c>
    </row>
    <row r="187" spans="3:10" ht="13.5" customHeight="1" x14ac:dyDescent="0.25">
      <c r="C187" s="16"/>
      <c r="D187" s="16"/>
      <c r="E187" s="16"/>
      <c r="F187" s="33"/>
      <c r="G187" s="33"/>
      <c r="H187" s="16"/>
      <c r="I187" s="16"/>
      <c r="J187" s="16" t="str">
        <f t="shared" si="3"/>
        <v/>
      </c>
    </row>
    <row r="188" spans="3:10" ht="13.5" customHeight="1" x14ac:dyDescent="0.25">
      <c r="C188" s="16"/>
      <c r="D188" s="16"/>
      <c r="E188" s="16"/>
      <c r="F188" s="33"/>
      <c r="G188" s="33"/>
      <c r="H188" s="16"/>
      <c r="I188" s="16"/>
      <c r="J188" s="16" t="str">
        <f t="shared" si="3"/>
        <v/>
      </c>
    </row>
    <row r="189" spans="3:10" ht="13.5" customHeight="1" x14ac:dyDescent="0.25">
      <c r="C189" s="16"/>
      <c r="D189" s="16"/>
      <c r="E189" s="16"/>
      <c r="F189" s="33"/>
      <c r="G189" s="33"/>
      <c r="H189" s="16"/>
      <c r="I189" s="16"/>
      <c r="J189" s="16" t="str">
        <f t="shared" si="3"/>
        <v/>
      </c>
    </row>
    <row r="190" spans="3:10" ht="13.5" customHeight="1" x14ac:dyDescent="0.25">
      <c r="C190" s="16"/>
      <c r="D190" s="16"/>
      <c r="E190" s="16"/>
      <c r="F190" s="33"/>
      <c r="G190" s="33"/>
      <c r="H190" s="16"/>
      <c r="I190" s="16"/>
      <c r="J190" s="16" t="str">
        <f t="shared" si="3"/>
        <v/>
      </c>
    </row>
    <row r="191" spans="3:10" ht="13.5" customHeight="1" x14ac:dyDescent="0.25">
      <c r="C191" s="16"/>
      <c r="D191" s="16"/>
      <c r="E191" s="16"/>
      <c r="F191" s="33"/>
      <c r="G191" s="33"/>
      <c r="H191" s="16"/>
      <c r="I191" s="16"/>
      <c r="J191" s="16" t="str">
        <f t="shared" si="3"/>
        <v/>
      </c>
    </row>
    <row r="192" spans="3:10" ht="13.5" customHeight="1" x14ac:dyDescent="0.25">
      <c r="C192" s="16"/>
      <c r="D192" s="16"/>
      <c r="E192" s="16"/>
      <c r="F192" s="33"/>
      <c r="G192" s="33"/>
      <c r="H192" s="16"/>
      <c r="I192" s="16"/>
      <c r="J192" s="16" t="str">
        <f t="shared" si="3"/>
        <v/>
      </c>
    </row>
    <row r="193" spans="3:10" ht="13.5" customHeight="1" x14ac:dyDescent="0.25">
      <c r="C193" s="16"/>
      <c r="D193" s="16"/>
      <c r="E193" s="16"/>
      <c r="F193" s="33"/>
      <c r="G193" s="33"/>
      <c r="H193" s="16"/>
      <c r="I193" s="16"/>
      <c r="J193" s="16" t="str">
        <f t="shared" si="3"/>
        <v/>
      </c>
    </row>
    <row r="194" spans="3:10" ht="13.5" customHeight="1" x14ac:dyDescent="0.25">
      <c r="C194" s="16"/>
      <c r="D194" s="16"/>
      <c r="E194" s="16"/>
      <c r="F194" s="33"/>
      <c r="G194" s="33"/>
      <c r="H194" s="16"/>
      <c r="I194" s="16"/>
      <c r="J194" s="16" t="str">
        <f t="shared" si="3"/>
        <v/>
      </c>
    </row>
    <row r="195" spans="3:10" ht="13.5" customHeight="1" x14ac:dyDescent="0.25">
      <c r="C195" s="16"/>
      <c r="D195" s="16"/>
      <c r="E195" s="16"/>
      <c r="F195" s="33"/>
      <c r="G195" s="33"/>
      <c r="H195" s="16"/>
      <c r="I195" s="16"/>
      <c r="J195" s="16" t="str">
        <f t="shared" si="3"/>
        <v/>
      </c>
    </row>
    <row r="196" spans="3:10" ht="13.5" customHeight="1" x14ac:dyDescent="0.25">
      <c r="C196" s="16"/>
      <c r="D196" s="16"/>
      <c r="E196" s="16"/>
      <c r="F196" s="33"/>
      <c r="G196" s="33"/>
      <c r="H196" s="16"/>
      <c r="I196" s="16"/>
      <c r="J196" s="16" t="str">
        <f t="shared" si="3"/>
        <v/>
      </c>
    </row>
    <row r="197" spans="3:10" ht="13.5" customHeight="1" x14ac:dyDescent="0.25">
      <c r="C197" s="16"/>
      <c r="D197" s="16"/>
      <c r="E197" s="16"/>
      <c r="F197" s="33"/>
      <c r="G197" s="33"/>
      <c r="H197" s="16"/>
      <c r="I197" s="16"/>
      <c r="J197" s="16" t="str">
        <f t="shared" si="3"/>
        <v/>
      </c>
    </row>
    <row r="198" spans="3:10" ht="13.5" customHeight="1" x14ac:dyDescent="0.25">
      <c r="C198" s="16"/>
      <c r="D198" s="16"/>
      <c r="E198" s="16"/>
      <c r="F198" s="33"/>
      <c r="G198" s="33"/>
      <c r="H198" s="16"/>
      <c r="I198" s="16"/>
      <c r="J198" s="16" t="str">
        <f t="shared" si="3"/>
        <v/>
      </c>
    </row>
    <row r="199" spans="3:10" ht="13.5" customHeight="1" x14ac:dyDescent="0.25">
      <c r="C199" s="16"/>
      <c r="D199" s="16"/>
      <c r="E199" s="16"/>
      <c r="F199" s="33"/>
      <c r="G199" s="33"/>
      <c r="H199" s="16"/>
      <c r="I199" s="16"/>
      <c r="J199" s="16" t="str">
        <f t="shared" si="3"/>
        <v/>
      </c>
    </row>
    <row r="200" spans="3:10" ht="13.5" customHeight="1" x14ac:dyDescent="0.25">
      <c r="C200" s="16"/>
      <c r="D200" s="16"/>
      <c r="E200" s="16"/>
      <c r="F200" s="33"/>
      <c r="G200" s="33"/>
      <c r="H200" s="16"/>
      <c r="I200" s="16"/>
      <c r="J200" s="16" t="str">
        <f t="shared" si="3"/>
        <v/>
      </c>
    </row>
    <row r="201" spans="3:10" ht="13.5" customHeight="1" x14ac:dyDescent="0.25">
      <c r="C201" s="16"/>
      <c r="D201" s="16"/>
      <c r="E201" s="16"/>
      <c r="F201" s="33"/>
      <c r="G201" s="33"/>
      <c r="H201" s="16"/>
      <c r="I201" s="16"/>
      <c r="J201" s="16" t="str">
        <f t="shared" si="3"/>
        <v/>
      </c>
    </row>
    <row r="202" spans="3:10" ht="13.5" customHeight="1" x14ac:dyDescent="0.25">
      <c r="C202" s="16"/>
      <c r="D202" s="16"/>
      <c r="E202" s="16"/>
      <c r="F202" s="33"/>
      <c r="G202" s="33"/>
      <c r="H202" s="16"/>
      <c r="I202" s="16"/>
      <c r="J202" s="16" t="str">
        <f t="shared" si="3"/>
        <v/>
      </c>
    </row>
    <row r="203" spans="3:10" ht="13.5" customHeight="1" x14ac:dyDescent="0.25">
      <c r="C203" s="16"/>
      <c r="D203" s="16"/>
      <c r="E203" s="16"/>
      <c r="F203" s="33"/>
      <c r="G203" s="33"/>
      <c r="H203" s="16"/>
      <c r="I203" s="16"/>
      <c r="J203" s="16" t="str">
        <f t="shared" si="3"/>
        <v/>
      </c>
    </row>
    <row r="204" spans="3:10" ht="13.5" customHeight="1" x14ac:dyDescent="0.25">
      <c r="C204" s="16"/>
      <c r="D204" s="16"/>
      <c r="E204" s="16"/>
      <c r="F204" s="33"/>
      <c r="G204" s="33"/>
      <c r="H204" s="16"/>
      <c r="I204" s="16"/>
      <c r="J204" s="16" t="str">
        <f t="shared" si="3"/>
        <v/>
      </c>
    </row>
    <row r="205" spans="3:10" ht="13.5" customHeight="1" x14ac:dyDescent="0.25">
      <c r="C205" s="16"/>
      <c r="D205" s="16"/>
      <c r="E205" s="16"/>
      <c r="F205" s="33"/>
      <c r="G205" s="33"/>
      <c r="H205" s="16"/>
      <c r="I205" s="16"/>
      <c r="J205" s="16" t="str">
        <f t="shared" si="3"/>
        <v/>
      </c>
    </row>
    <row r="206" spans="3:10" ht="13.5" customHeight="1" x14ac:dyDescent="0.25">
      <c r="C206" s="16"/>
      <c r="D206" s="16"/>
      <c r="E206" s="16"/>
      <c r="F206" s="33"/>
      <c r="G206" s="33"/>
      <c r="H206" s="16"/>
      <c r="I206" s="16"/>
      <c r="J206" s="16" t="str">
        <f t="shared" si="3"/>
        <v/>
      </c>
    </row>
    <row r="207" spans="3:10" ht="13.5" customHeight="1" x14ac:dyDescent="0.25">
      <c r="C207" s="16"/>
      <c r="D207" s="16"/>
      <c r="E207" s="16"/>
      <c r="F207" s="33"/>
      <c r="G207" s="33"/>
      <c r="H207" s="16"/>
      <c r="I207" s="16"/>
      <c r="J207" s="16" t="str">
        <f t="shared" si="3"/>
        <v/>
      </c>
    </row>
    <row r="208" spans="3:10" ht="13.5" customHeight="1" x14ac:dyDescent="0.25">
      <c r="C208" s="16"/>
      <c r="D208" s="16"/>
      <c r="E208" s="16"/>
      <c r="F208" s="33"/>
      <c r="G208" s="33"/>
      <c r="H208" s="16"/>
      <c r="I208" s="16"/>
      <c r="J208" s="16" t="str">
        <f t="shared" si="3"/>
        <v/>
      </c>
    </row>
    <row r="209" spans="3:10" ht="13.5" customHeight="1" x14ac:dyDescent="0.25">
      <c r="C209" s="16"/>
      <c r="D209" s="16"/>
      <c r="E209" s="16"/>
      <c r="F209" s="33"/>
      <c r="G209" s="33"/>
      <c r="H209" s="16"/>
      <c r="I209" s="16"/>
      <c r="J209" s="16" t="str">
        <f t="shared" si="3"/>
        <v/>
      </c>
    </row>
    <row r="210" spans="3:10" ht="13.5" customHeight="1" x14ac:dyDescent="0.25">
      <c r="C210" s="16"/>
      <c r="D210" s="16"/>
      <c r="E210" s="16"/>
      <c r="F210" s="33"/>
      <c r="G210" s="33"/>
      <c r="H210" s="16"/>
      <c r="I210" s="16"/>
      <c r="J210" s="16" t="str">
        <f t="shared" si="3"/>
        <v/>
      </c>
    </row>
    <row r="211" spans="3:10" ht="13.5" customHeight="1" x14ac:dyDescent="0.25">
      <c r="C211" s="16"/>
      <c r="D211" s="16"/>
      <c r="E211" s="16"/>
      <c r="F211" s="33"/>
      <c r="G211" s="33"/>
      <c r="H211" s="16"/>
      <c r="I211" s="16"/>
      <c r="J211" s="16" t="str">
        <f t="shared" si="3"/>
        <v/>
      </c>
    </row>
  </sheetData>
  <mergeCells count="10">
    <mergeCell ref="D9:E9"/>
    <mergeCell ref="I9:J9"/>
    <mergeCell ref="D10:E10"/>
    <mergeCell ref="I10:J10"/>
    <mergeCell ref="D6:E6"/>
    <mergeCell ref="I6:J6"/>
    <mergeCell ref="D7:E7"/>
    <mergeCell ref="I7:J7"/>
    <mergeCell ref="D8:E8"/>
    <mergeCell ref="I8:J8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E67EA-20A4-4A29-A038-7AC67FEFC75B}">
  <sheetPr codeName="Sheet10">
    <tabColor theme="0" tint="-0.499984740745262"/>
  </sheetPr>
  <dimension ref="A1:M2516"/>
  <sheetViews>
    <sheetView zoomScaleNormal="100" workbookViewId="0">
      <pane xSplit="6" ySplit="14" topLeftCell="G2487" activePane="bottomRight" state="frozen"/>
      <selection activeCell="E15" sqref="E15"/>
      <selection pane="topRight" activeCell="E15" sqref="E15"/>
      <selection pane="bottomLeft" activeCell="E15" sqref="E15"/>
      <selection pane="bottomRight" activeCell="G2502" sqref="G2502"/>
    </sheetView>
  </sheetViews>
  <sheetFormatPr defaultColWidth="9.140625" defaultRowHeight="13.5" customHeight="1" zeroHeight="1" outlineLevelRow="1" x14ac:dyDescent="0.25"/>
  <cols>
    <col min="1" max="1" width="2.7109375" style="1" customWidth="1"/>
    <col min="2" max="2" width="1.7109375" style="1" customWidth="1"/>
    <col min="3" max="3" width="11.85546875" style="1" customWidth="1"/>
    <col min="4" max="4" width="6.85546875" style="1" bestFit="1" customWidth="1"/>
    <col min="5" max="5" width="6.85546875" style="1" customWidth="1"/>
    <col min="6" max="6" width="40.28515625" style="1" customWidth="1"/>
    <col min="7" max="7" width="43.28515625" style="1" bestFit="1" customWidth="1"/>
    <col min="8" max="8" width="20.140625" style="1" bestFit="1" customWidth="1"/>
    <col min="9" max="9" width="37.5703125" style="1" bestFit="1" customWidth="1"/>
    <col min="10" max="10" width="14" style="1" customWidth="1"/>
    <col min="11" max="11" width="15.7109375" style="1" bestFit="1" customWidth="1"/>
    <col min="12" max="12" width="20.140625" style="1" bestFit="1" customWidth="1"/>
    <col min="13" max="13" width="1.7109375" style="1" customWidth="1"/>
    <col min="14" max="14" width="2.7109375" style="1" customWidth="1"/>
    <col min="15" max="15" width="15.140625" style="1" customWidth="1"/>
    <col min="16" max="16" width="1.7109375" style="1" customWidth="1"/>
    <col min="17" max="18" width="2.7109375" style="1" customWidth="1"/>
    <col min="19" max="16384" width="9.140625" style="1"/>
  </cols>
  <sheetData>
    <row r="1" spans="1:13" s="43" customFormat="1" x14ac:dyDescent="0.25"/>
    <row r="2" spans="1:13" s="43" customFormat="1" x14ac:dyDescent="0.25"/>
    <row r="3" spans="1:13" s="43" customFormat="1" x14ac:dyDescent="0.25"/>
    <row r="4" spans="1:13" s="43" customFormat="1" x14ac:dyDescent="0.25"/>
    <row r="5" spans="1:13" ht="9.9499999999999993" customHeight="1" x14ac:dyDescent="0.25">
      <c r="A5" s="43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43"/>
    </row>
    <row r="6" spans="1:13" ht="14.25" x14ac:dyDescent="0.3">
      <c r="A6" s="43"/>
      <c r="B6" s="4"/>
      <c r="C6" s="12" t="s">
        <v>0</v>
      </c>
      <c r="D6" s="93">
        <f>IF('Project Details'!D6=0,"", 'Project Details'!D6)</f>
        <v>45217</v>
      </c>
      <c r="E6" s="93"/>
      <c r="F6" s="93"/>
      <c r="G6" s="12"/>
      <c r="H6" s="12" t="s">
        <v>90</v>
      </c>
      <c r="I6" s="95">
        <f>IF('Project Details'!J6=0,"", 'Project Details'!J6)</f>
        <v>1</v>
      </c>
      <c r="J6" s="95"/>
      <c r="K6" s="58"/>
      <c r="L6" s="12" t="s">
        <v>90</v>
      </c>
      <c r="M6" s="43"/>
    </row>
    <row r="7" spans="1:13" ht="14.25" x14ac:dyDescent="0.3">
      <c r="A7" s="43"/>
      <c r="B7" s="4"/>
      <c r="C7" s="12" t="s">
        <v>1</v>
      </c>
      <c r="D7" s="95" t="str">
        <f>IF('Project Details'!D7=0,"", 'Project Details'!D7)</f>
        <v>William Andrew Bulaquena</v>
      </c>
      <c r="E7" s="95"/>
      <c r="F7" s="95"/>
      <c r="G7" s="12"/>
      <c r="H7" s="12" t="s">
        <v>91</v>
      </c>
      <c r="I7" s="95">
        <f>IF('Project Details'!J7=0,"", 'Project Details'!J7)</f>
        <v>1</v>
      </c>
      <c r="J7" s="95"/>
      <c r="K7" s="58"/>
      <c r="L7" s="12" t="s">
        <v>91</v>
      </c>
      <c r="M7" s="43"/>
    </row>
    <row r="8" spans="1:13" ht="14.25" x14ac:dyDescent="0.3">
      <c r="A8" s="43"/>
      <c r="B8" s="4"/>
      <c r="C8" s="12" t="s">
        <v>730</v>
      </c>
      <c r="D8" s="95" t="str">
        <f>IF('Project Details'!D8=0,"", 'Project Details'!D8)</f>
        <v>Banilad</v>
      </c>
      <c r="E8" s="95"/>
      <c r="F8" s="95"/>
      <c r="G8" s="12"/>
      <c r="H8" s="12" t="s">
        <v>92</v>
      </c>
      <c r="I8" s="95">
        <f>IF('Project Details'!J8=0,"", 'Project Details'!J8)</f>
        <v>12345</v>
      </c>
      <c r="J8" s="95"/>
      <c r="K8" s="58"/>
      <c r="L8" s="12" t="s">
        <v>92</v>
      </c>
      <c r="M8" s="43"/>
    </row>
    <row r="9" spans="1:13" ht="14.25" x14ac:dyDescent="0.3">
      <c r="A9" s="43"/>
      <c r="B9" s="4"/>
      <c r="C9" s="12" t="s">
        <v>62</v>
      </c>
      <c r="D9" s="95">
        <f>IF('Project Details'!D9=0,"", 'Project Details'!D9)</f>
        <v>9123456789</v>
      </c>
      <c r="E9" s="95"/>
      <c r="F9" s="95"/>
      <c r="G9" s="12"/>
      <c r="H9" s="12" t="s">
        <v>93</v>
      </c>
      <c r="I9" s="95" t="str">
        <f>IF('Project Details'!J9=0,"", 'Project Details'!J9)</f>
        <v>Kunstof</v>
      </c>
      <c r="J9" s="95"/>
      <c r="K9" s="58"/>
      <c r="L9" s="12" t="s">
        <v>93</v>
      </c>
      <c r="M9" s="43"/>
    </row>
    <row r="10" spans="1:13" ht="14.25" x14ac:dyDescent="0.3">
      <c r="A10" s="43"/>
      <c r="B10" s="4"/>
      <c r="C10" s="12" t="s">
        <v>63</v>
      </c>
      <c r="D10" s="95" t="str">
        <f>IF('Project Details'!D10=0,"", 'Project Details'!D10)</f>
        <v>williamgbulaquena@gmail.com</v>
      </c>
      <c r="E10" s="95"/>
      <c r="F10" s="95"/>
      <c r="G10" s="12"/>
      <c r="H10" s="12" t="s">
        <v>94</v>
      </c>
      <c r="I10" s="95" t="str">
        <f>IF('Project Details'!J10=0,"", 'Project Details'!J10)</f>
        <v>Kunstof</v>
      </c>
      <c r="J10" s="95"/>
      <c r="K10" s="58"/>
      <c r="L10" s="12" t="s">
        <v>94</v>
      </c>
      <c r="M10" s="43"/>
    </row>
    <row r="11" spans="1:13" ht="9.9499999999999993" customHeight="1" x14ac:dyDescent="0.25">
      <c r="A11" s="43"/>
      <c r="B11" s="6"/>
      <c r="C11" s="7"/>
      <c r="D11" s="7"/>
      <c r="E11" s="7"/>
      <c r="F11" s="7"/>
      <c r="G11" s="7"/>
      <c r="H11" s="7"/>
      <c r="I11" s="14"/>
      <c r="J11" s="7"/>
      <c r="K11" s="7"/>
      <c r="L11" s="7"/>
      <c r="M11" s="43"/>
    </row>
    <row r="12" spans="1:13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</row>
    <row r="13" spans="1:13" x14ac:dyDescent="0.25">
      <c r="A13" s="43"/>
      <c r="B13" s="43"/>
      <c r="C13" s="28" t="s">
        <v>102</v>
      </c>
      <c r="D13" s="29"/>
      <c r="E13" s="29"/>
      <c r="F13" s="29"/>
      <c r="G13" s="29"/>
      <c r="H13" s="29"/>
      <c r="I13" s="29"/>
      <c r="J13" s="30"/>
      <c r="K13" s="29"/>
      <c r="L13" s="29"/>
      <c r="M13" s="43"/>
    </row>
    <row r="14" spans="1:13" x14ac:dyDescent="0.25">
      <c r="A14" s="43"/>
      <c r="B14" s="43"/>
      <c r="C14" s="37" t="s">
        <v>3</v>
      </c>
      <c r="D14" s="37" t="s">
        <v>88</v>
      </c>
      <c r="E14" s="37" t="s">
        <v>781</v>
      </c>
      <c r="F14" s="37" t="s">
        <v>733</v>
      </c>
      <c r="G14" s="37" t="s">
        <v>95</v>
      </c>
      <c r="H14" s="38" t="s">
        <v>5</v>
      </c>
      <c r="I14" s="37" t="s">
        <v>4</v>
      </c>
      <c r="J14" s="37" t="s">
        <v>768</v>
      </c>
      <c r="K14" s="38" t="s">
        <v>776</v>
      </c>
      <c r="L14" s="38" t="s">
        <v>771</v>
      </c>
      <c r="M14" s="43"/>
    </row>
    <row r="15" spans="1:13" x14ac:dyDescent="0.25">
      <c r="A15" s="43"/>
      <c r="B15" s="43"/>
      <c r="C15" s="16">
        <v>1</v>
      </c>
      <c r="D15" s="48" cm="1">
        <f t="array" ref="D15">IFERROR(ROUNDUP(_xlfn.IFS(F15="Aluminum Track", _xlfn.XLOOKUP(C15, dd_accsrycalc!$A$2:$A$51, dd_accsrycalc!$B$2:$B$51, "",0), F15="10 x 2 1/2 S (Flat)", _xlfn.XLOOKUP(C15, dd_accsrycalc!$A$2:$A$51, dd_accsrycalc!$C$2:$C$51, "",0), F15="Tox6", _xlfn.XLOOKUP(C15, dd_accsrycalc!$A$2:$A$51, dd_accsrycalc!$D$2:$D$51, "",0), F15="Cover Cap", _xlfn.XLOOKUP(C15, dd_accsrycalc!$A$2:$A$51, dd_accsrycalc!$E$2:$E$51, "",0), F15="Drainage Cover", _xlfn.XLOOKUP(C15, dd_accsrycalc!$A$2:$A$51, dd_accsrycalc!$F$2:$F$51, "",0),AND( F15="Double Adhesive Tape", I15="Roll-up Screen"), _xlfn.XLOOKUP(C15, calc_rusacc!$C$15:$C$65, calc_rusacc!$AD$15:$AD$65, "",0),AND( F15="Sealant", I15="Roll-up Screen"), _xlfn.XLOOKUP(C15, calc_rusacc!$C$15:$C$65, calc_rusacc!$AF$15:$AF$65, "",0),  AND( F15="Main Chain", I15="Accordion Screen"), _xlfn.XLOOKUP(C15, calc_rusacc!$C$15:$C$65, calc_rusacc!$BF$15:$BF$65, "",0), AND( F15="Sealant", I15="Accordion Screen"), _xlfn.XLOOKUP(C15, calc_rusacc!$C$15:$C$65, calc_rusacc!$BJ$15:$BJ$65, "",0),  F15="Sealant", _xlfn.XLOOKUP(C15, dd_accsrycalc!$A$2:$A$51, dd_accsrycalc!$G$2:$G$51, "",0),  F15&lt;&gt;"",L15*_xlfn.XLOOKUP(1, (SKUs!$C$2:$C$10001=G15)*(SKUs!$K$2:$K$10001=I15),SKUs!$E$2:$E$10001)), 0),"")</f>
        <v>0</v>
      </c>
      <c r="E15" s="48" t="str">
        <f>_xlfn.XLOOKUP(F15,dd_item!$B$2:$B$105,dd_item!$C$2:$C$105,"",0)</f>
        <v/>
      </c>
      <c r="F15" s="48" cm="1">
        <f t="array" ref="F15">IFERROR(_xlfn.UNIQUE(_xlfn._xlws.FILTER(SKUs!$J$2:$J$10001, (SKUs!$F$2:$F$10001&lt;&gt;"Cutting List") * (SKUs!$A$2:$A$10001=_xlfn.XLOOKUP(_xlfn.XLOOKUP(C15,'Project Details'!$C$17:$C$66,'Project Details'!$E$17:$E$66,"",0), dd_design_raw!$A$2:$A$101,dd_design_raw!$C$2:$C$101,"",0)))), "")</f>
        <v>0</v>
      </c>
      <c r="G15" s="16" cm="1">
        <f t="array" ref="G15">IFERROR(_xlfn.XLOOKUP(1, (SKUs!$J$2:$J$10001=accsry_unmerged!F15)*IF(H15&lt;&gt;"",(SKUs!$L$2:$L$10001=accsry_unmerged!H15),1)*(SKUs!$K$2:$K$10001=I15),SKUs!$C$2:$C$10001),"")</f>
        <v>0</v>
      </c>
      <c r="H15" s="16" cm="1">
        <f t="array" ref="H15">IFERROR(_xlfn.XLOOKUP(1, (dd_accsryclr!$C$2:$C$1000=accsry_unmerged!F15)*(dd_accsryclr!$B$2:$B$1000=accsry_unmerged!J15),dd_accsryclr!$A$2:$A$1000),"")</f>
        <v>0</v>
      </c>
      <c r="I15" s="16">
        <f>_xlfn.XLOOKUP(C15,'Project Details'!$C$17:$C$66,'Project Details'!$E$17:$E$66,"",0)</f>
        <v>0</v>
      </c>
      <c r="J15" s="16">
        <f>_xlfn.XLOOKUP(C15,'Project Details'!$C$17:$C$66,'Project Details'!$H$17:$H$66,"",0)</f>
        <v>0</v>
      </c>
      <c r="K15" s="16" t="str">
        <f>IF(AND(_xlfn.XLOOKUP(C15,'Project Details'!$C$17:$C$66,'Project Details'!$L$17:$L$66,"",0)&gt;550, F15="Spring-L27cm"),"",SUBSTITUTE(_xlfn.XLOOKUP(G15,SKUs!$C$2:$C$10001,SKUs!$F$2:$F$10001,"",0), " Accessories",""))</f>
        <v/>
      </c>
      <c r="L15" s="16">
        <f>_xlfn.XLOOKUP(C15,'Project Details'!$C$17:$C$66,'Project Details'!$D$17:$D$66,"",0)</f>
        <v>0</v>
      </c>
      <c r="M15" s="43"/>
    </row>
    <row r="16" spans="1:13" x14ac:dyDescent="0.25">
      <c r="A16" s="43"/>
      <c r="B16" s="43"/>
      <c r="C16" s="35">
        <v>1</v>
      </c>
      <c r="D16" s="35" t="str" cm="1">
        <f t="array" ref="D16">IFERROR(ROUNDUP(_xlfn.IFS(F16="Aluminum Track", _xlfn.XLOOKUP(C16, dd_accsrycalc!$A$2:$A$51, dd_accsrycalc!$B$2:$B$51, "",0), F16="10 x 2 1/2 S (Flat)", _xlfn.XLOOKUP(C16, dd_accsrycalc!$A$2:$A$51, dd_accsrycalc!$C$2:$C$51, "",0), F16="Tox6", _xlfn.XLOOKUP(C16, dd_accsrycalc!$A$2:$A$51, dd_accsrycalc!$D$2:$D$51, "",0), F16="Cover Cap", _xlfn.XLOOKUP(C16, dd_accsrycalc!$A$2:$A$51, dd_accsrycalc!$E$2:$E$51, "",0), F16="Drainage Cover", _xlfn.XLOOKUP(C16, dd_accsrycalc!$A$2:$A$51, dd_accsrycalc!$F$2:$F$51, "",0),AND( F16="Double Adhesive Tape", I16="Roll-up Screen"), _xlfn.XLOOKUP(C16, calc_rusacc!$C$15:$C$65, calc_rusacc!$AD$15:$AD$65, "",0),AND( F16="Sealant", I16="Roll-up Screen"), _xlfn.XLOOKUP(C16, calc_rusacc!$C$15:$C$65, calc_rusacc!$AF$15:$AF$65, "",0),  AND( F16="Main Chain", I16="Accordion Screen"), _xlfn.XLOOKUP(C16, calc_rusacc!$C$15:$C$65, calc_rusacc!$BF$15:$BF$65, "",0), AND( F16="Sealant", I16="Accordion Screen"), _xlfn.XLOOKUP(C16, calc_rusacc!$C$15:$C$65, calc_rusacc!$BJ$15:$BJ$65, "",0),  F16="Sealant", _xlfn.XLOOKUP(C16, dd_accsrycalc!$A$2:$A$51, dd_accsrycalc!$G$2:$G$51, "",0),  F16&lt;&gt;"",L16*_xlfn.XLOOKUP(1, (SKUs!$C$2:$C$10001=G16)*(SKUs!$K$2:$K$10001=I16),SKUs!$E$2:$E$10001)), 0),"")</f>
        <v/>
      </c>
      <c r="E16" s="35" t="str">
        <f>_xlfn.XLOOKUP(F16,dd_item!$B$2:$B$105,dd_item!$C$2:$C$105,"",0)</f>
        <v/>
      </c>
      <c r="F16" s="35"/>
      <c r="G16" s="35" cm="1">
        <f t="array" ref="G16">IFERROR(_xlfn.XLOOKUP(1, (SKUs!$J$2:$J$10001=accsry_unmerged!F16)*IF(H16&lt;&gt;"",(SKUs!$L$2:$L$10001=accsry_unmerged!H16),1)*(SKUs!$K$2:$K$10001=I16),SKUs!$C$2:$C$10001),"")</f>
        <v>0</v>
      </c>
      <c r="H16" s="36" cm="1">
        <f t="array" ref="H16">IFERROR(_xlfn.XLOOKUP(1, (dd_accsryclr!$C$2:$C$1000=accsry_unmerged!F16)*(dd_accsryclr!$B$2:$B$1000=accsry_unmerged!J16),dd_accsryclr!$A$2:$A$1000),"")</f>
        <v>0</v>
      </c>
      <c r="I16" s="35">
        <f>_xlfn.XLOOKUP(C16,'Project Details'!$C$17:$C$66,'Project Details'!$E$17:$E$66,"",0)</f>
        <v>0</v>
      </c>
      <c r="J16" s="35">
        <f>_xlfn.XLOOKUP(C16,'Project Details'!$C$17:$C$66,'Project Details'!$H$17:$H$66,"",0)</f>
        <v>0</v>
      </c>
      <c r="K16" s="36" t="str">
        <f>IF(AND(_xlfn.XLOOKUP(C16,'Project Details'!$C$17:$C$66,'Project Details'!$L$17:$L$66,"",0)&gt;550, F16="Spring-L27cm"),"",SUBSTITUTE(_xlfn.XLOOKUP(G16,SKUs!$C$2:$C$10001,SKUs!$F$2:$F$10001,"",0), " Accessories",""))</f>
        <v/>
      </c>
      <c r="L16" s="36">
        <f>_xlfn.XLOOKUP(C16,'Project Details'!$C$17:$C$66,'Project Details'!$D$17:$D$66,"",0)</f>
        <v>0</v>
      </c>
      <c r="M16" s="43"/>
    </row>
    <row r="17" spans="1:13" x14ac:dyDescent="0.25">
      <c r="A17" s="43"/>
      <c r="B17" s="43"/>
      <c r="C17" s="16">
        <v>1</v>
      </c>
      <c r="D17" s="16" t="str" cm="1">
        <f t="array" ref="D17">IFERROR(ROUNDUP(_xlfn.IFS(F17="Aluminum Track", _xlfn.XLOOKUP(C17, dd_accsrycalc!$A$2:$A$51, dd_accsrycalc!$B$2:$B$51, "",0), F17="10 x 2 1/2 S (Flat)", _xlfn.XLOOKUP(C17, dd_accsrycalc!$A$2:$A$51, dd_accsrycalc!$C$2:$C$51, "",0), F17="Tox6", _xlfn.XLOOKUP(C17, dd_accsrycalc!$A$2:$A$51, dd_accsrycalc!$D$2:$D$51, "",0), F17="Cover Cap", _xlfn.XLOOKUP(C17, dd_accsrycalc!$A$2:$A$51, dd_accsrycalc!$E$2:$E$51, "",0), F17="Drainage Cover", _xlfn.XLOOKUP(C17, dd_accsrycalc!$A$2:$A$51, dd_accsrycalc!$F$2:$F$51, "",0),AND( F17="Double Adhesive Tape", I17="Roll-up Screen"), _xlfn.XLOOKUP(C17, calc_rusacc!$C$15:$C$65, calc_rusacc!$AD$15:$AD$65, "",0),AND( F17="Sealant", I17="Roll-up Screen"), _xlfn.XLOOKUP(C17, calc_rusacc!$C$15:$C$65, calc_rusacc!$AF$15:$AF$65, "",0),  AND( F17="Main Chain", I17="Accordion Screen"), _xlfn.XLOOKUP(C17, calc_rusacc!$C$15:$C$65, calc_rusacc!$BF$15:$BF$65, "",0), AND( F17="Sealant", I17="Accordion Screen"), _xlfn.XLOOKUP(C17, calc_rusacc!$C$15:$C$65, calc_rusacc!$BJ$15:$BJ$65, "",0),  F17="Sealant", _xlfn.XLOOKUP(C17, dd_accsrycalc!$A$2:$A$51, dd_accsrycalc!$G$2:$G$51, "",0),  F17&lt;&gt;"",L17*_xlfn.XLOOKUP(1, (SKUs!$C$2:$C$10001=G17)*(SKUs!$K$2:$K$10001=I17),SKUs!$E$2:$E$10001)), 0),"")</f>
        <v/>
      </c>
      <c r="E17" s="16" t="str">
        <f>_xlfn.XLOOKUP(F17,dd_item!$B$2:$B$105,dd_item!$C$2:$C$105,"",0)</f>
        <v/>
      </c>
      <c r="F17" s="16"/>
      <c r="G17" s="16" cm="1">
        <f t="array" ref="G17">IFERROR(_xlfn.XLOOKUP(1, (SKUs!$J$2:$J$10001=accsry_unmerged!F17)*IF(H17&lt;&gt;"",(SKUs!$L$2:$L$10001=accsry_unmerged!H17),1)*(SKUs!$K$2:$K$10001=I17),SKUs!$C$2:$C$10001),"")</f>
        <v>0</v>
      </c>
      <c r="H17" s="33" cm="1">
        <f t="array" ref="H17">IFERROR(_xlfn.XLOOKUP(1, (dd_accsryclr!$C$2:$C$1000=accsry_unmerged!F17)*(dd_accsryclr!$B$2:$B$1000=accsry_unmerged!J17),dd_accsryclr!$A$2:$A$1000),"")</f>
        <v>0</v>
      </c>
      <c r="I17" s="16">
        <f>_xlfn.XLOOKUP(C17,'Project Details'!$C$17:$C$66,'Project Details'!$E$17:$E$66,"",0)</f>
        <v>0</v>
      </c>
      <c r="J17" s="16">
        <f>_xlfn.XLOOKUP(C17,'Project Details'!$C$17:$C$66,'Project Details'!$H$17:$H$66,"",0)</f>
        <v>0</v>
      </c>
      <c r="K17" s="33" t="str">
        <f>IF(AND(_xlfn.XLOOKUP(C17,'Project Details'!$C$17:$C$66,'Project Details'!$L$17:$L$66,"",0)&gt;550, F17="Spring-L27cm"),"",SUBSTITUTE(_xlfn.XLOOKUP(G17,SKUs!$C$2:$C$10001,SKUs!$F$2:$F$10001,"",0), " Accessories",""))</f>
        <v/>
      </c>
      <c r="L17" s="33">
        <f>_xlfn.XLOOKUP(C17,'Project Details'!$C$17:$C$66,'Project Details'!$D$17:$D$66,"",0)</f>
        <v>0</v>
      </c>
      <c r="M17" s="43"/>
    </row>
    <row r="18" spans="1:13" x14ac:dyDescent="0.25">
      <c r="A18" s="43"/>
      <c r="B18" s="43"/>
      <c r="C18" s="35">
        <v>1</v>
      </c>
      <c r="D18" s="35" t="str" cm="1">
        <f t="array" ref="D18">IFERROR(ROUNDUP(_xlfn.IFS(F18="Aluminum Track", _xlfn.XLOOKUP(C18, dd_accsrycalc!$A$2:$A$51, dd_accsrycalc!$B$2:$B$51, "",0), F18="10 x 2 1/2 S (Flat)", _xlfn.XLOOKUP(C18, dd_accsrycalc!$A$2:$A$51, dd_accsrycalc!$C$2:$C$51, "",0), F18="Tox6", _xlfn.XLOOKUP(C18, dd_accsrycalc!$A$2:$A$51, dd_accsrycalc!$D$2:$D$51, "",0), F18="Cover Cap", _xlfn.XLOOKUP(C18, dd_accsrycalc!$A$2:$A$51, dd_accsrycalc!$E$2:$E$51, "",0), F18="Drainage Cover", _xlfn.XLOOKUP(C18, dd_accsrycalc!$A$2:$A$51, dd_accsrycalc!$F$2:$F$51, "",0),AND( F18="Double Adhesive Tape", I18="Roll-up Screen"), _xlfn.XLOOKUP(C18, calc_rusacc!$C$15:$C$65, calc_rusacc!$AD$15:$AD$65, "",0),AND( F18="Sealant", I18="Roll-up Screen"), _xlfn.XLOOKUP(C18, calc_rusacc!$C$15:$C$65, calc_rusacc!$AF$15:$AF$65, "",0),  AND( F18="Main Chain", I18="Accordion Screen"), _xlfn.XLOOKUP(C18, calc_rusacc!$C$15:$C$65, calc_rusacc!$BF$15:$BF$65, "",0), AND( F18="Sealant", I18="Accordion Screen"), _xlfn.XLOOKUP(C18, calc_rusacc!$C$15:$C$65, calc_rusacc!$BJ$15:$BJ$65, "",0),  F18="Sealant", _xlfn.XLOOKUP(C18, dd_accsrycalc!$A$2:$A$51, dd_accsrycalc!$G$2:$G$51, "",0),  F18&lt;&gt;"",L18*_xlfn.XLOOKUP(1, (SKUs!$C$2:$C$10001=G18)*(SKUs!$K$2:$K$10001=I18),SKUs!$E$2:$E$10001)), 0),"")</f>
        <v/>
      </c>
      <c r="E18" s="35" t="str">
        <f>_xlfn.XLOOKUP(F18,dd_item!$B$2:$B$105,dd_item!$C$2:$C$105,"",0)</f>
        <v/>
      </c>
      <c r="F18" s="35"/>
      <c r="G18" s="35" cm="1">
        <f t="array" ref="G18">IFERROR(_xlfn.XLOOKUP(1, (SKUs!$J$2:$J$10001=accsry_unmerged!F18)*IF(H18&lt;&gt;"",(SKUs!$L$2:$L$10001=accsry_unmerged!H18),1)*(SKUs!$K$2:$K$10001=I18),SKUs!$C$2:$C$10001),"")</f>
        <v>0</v>
      </c>
      <c r="H18" s="36" cm="1">
        <f t="array" ref="H18">IFERROR(_xlfn.XLOOKUP(1, (dd_accsryclr!$C$2:$C$1000=accsry_unmerged!F18)*(dd_accsryclr!$B$2:$B$1000=accsry_unmerged!J18),dd_accsryclr!$A$2:$A$1000),"")</f>
        <v>0</v>
      </c>
      <c r="I18" s="35">
        <f>_xlfn.XLOOKUP(C18,'Project Details'!$C$17:$C$66,'Project Details'!$E$17:$E$66,"",0)</f>
        <v>0</v>
      </c>
      <c r="J18" s="35">
        <f>_xlfn.XLOOKUP(C18,'Project Details'!$C$17:$C$66,'Project Details'!$H$17:$H$66,"",0)</f>
        <v>0</v>
      </c>
      <c r="K18" s="36" t="str">
        <f>IF(AND(_xlfn.XLOOKUP(C18,'Project Details'!$C$17:$C$66,'Project Details'!$L$17:$L$66,"",0)&gt;550, F18="Spring-L27cm"),"",SUBSTITUTE(_xlfn.XLOOKUP(G18,SKUs!$C$2:$C$10001,SKUs!$F$2:$F$10001,"",0), " Accessories",""))</f>
        <v/>
      </c>
      <c r="L18" s="36">
        <f>_xlfn.XLOOKUP(C18,'Project Details'!$C$17:$C$66,'Project Details'!$D$17:$D$66,"",0)</f>
        <v>0</v>
      </c>
      <c r="M18" s="43"/>
    </row>
    <row r="19" spans="1:13" x14ac:dyDescent="0.25">
      <c r="A19" s="43"/>
      <c r="B19" s="43"/>
      <c r="C19" s="16">
        <v>1</v>
      </c>
      <c r="D19" s="16" t="str" cm="1">
        <f t="array" ref="D19">IFERROR(ROUNDUP(_xlfn.IFS(F19="Aluminum Track", _xlfn.XLOOKUP(C19, dd_accsrycalc!$A$2:$A$51, dd_accsrycalc!$B$2:$B$51, "",0), F19="10 x 2 1/2 S (Flat)", _xlfn.XLOOKUP(C19, dd_accsrycalc!$A$2:$A$51, dd_accsrycalc!$C$2:$C$51, "",0), F19="Tox6", _xlfn.XLOOKUP(C19, dd_accsrycalc!$A$2:$A$51, dd_accsrycalc!$D$2:$D$51, "",0), F19="Cover Cap", _xlfn.XLOOKUP(C19, dd_accsrycalc!$A$2:$A$51, dd_accsrycalc!$E$2:$E$51, "",0), F19="Drainage Cover", _xlfn.XLOOKUP(C19, dd_accsrycalc!$A$2:$A$51, dd_accsrycalc!$F$2:$F$51, "",0),AND( F19="Double Adhesive Tape", I19="Roll-up Screen"), _xlfn.XLOOKUP(C19, calc_rusacc!$C$15:$C$65, calc_rusacc!$AD$15:$AD$65, "",0),AND( F19="Sealant", I19="Roll-up Screen"), _xlfn.XLOOKUP(C19, calc_rusacc!$C$15:$C$65, calc_rusacc!$AF$15:$AF$65, "",0),  AND( F19="Main Chain", I19="Accordion Screen"), _xlfn.XLOOKUP(C19, calc_rusacc!$C$15:$C$65, calc_rusacc!$BF$15:$BF$65, "",0), AND( F19="Sealant", I19="Accordion Screen"), _xlfn.XLOOKUP(C19, calc_rusacc!$C$15:$C$65, calc_rusacc!$BJ$15:$BJ$65, "",0),  F19="Sealant", _xlfn.XLOOKUP(C19, dd_accsrycalc!$A$2:$A$51, dd_accsrycalc!$G$2:$G$51, "",0),  F19&lt;&gt;"",L19*_xlfn.XLOOKUP(1, (SKUs!$C$2:$C$10001=G19)*(SKUs!$K$2:$K$10001=I19),SKUs!$E$2:$E$10001)), 0),"")</f>
        <v/>
      </c>
      <c r="E19" s="16" t="str">
        <f>_xlfn.XLOOKUP(F19,dd_item!$B$2:$B$105,dd_item!$C$2:$C$105,"",0)</f>
        <v/>
      </c>
      <c r="F19" s="16"/>
      <c r="G19" s="16" cm="1">
        <f t="array" ref="G19">IFERROR(_xlfn.XLOOKUP(1, (SKUs!$J$2:$J$10001=accsry_unmerged!F19)*IF(H19&lt;&gt;"",(SKUs!$L$2:$L$10001=accsry_unmerged!H19),1)*(SKUs!$K$2:$K$10001=I19),SKUs!$C$2:$C$10001),"")</f>
        <v>0</v>
      </c>
      <c r="H19" s="33" cm="1">
        <f t="array" ref="H19">IFERROR(_xlfn.XLOOKUP(1, (dd_accsryclr!$C$2:$C$1000=accsry_unmerged!F19)*(dd_accsryclr!$B$2:$B$1000=accsry_unmerged!J19),dd_accsryclr!$A$2:$A$1000),"")</f>
        <v>0</v>
      </c>
      <c r="I19" s="16">
        <f>_xlfn.XLOOKUP(C19,'Project Details'!$C$17:$C$66,'Project Details'!$E$17:$E$66,"",0)</f>
        <v>0</v>
      </c>
      <c r="J19" s="16">
        <f>_xlfn.XLOOKUP(C19,'Project Details'!$C$17:$C$66,'Project Details'!$H$17:$H$66,"",0)</f>
        <v>0</v>
      </c>
      <c r="K19" s="33" t="str">
        <f>IF(AND(_xlfn.XLOOKUP(C19,'Project Details'!$C$17:$C$66,'Project Details'!$L$17:$L$66,"",0)&gt;550, F19="Spring-L27cm"),"",SUBSTITUTE(_xlfn.XLOOKUP(G19,SKUs!$C$2:$C$10001,SKUs!$F$2:$F$10001,"",0), " Accessories",""))</f>
        <v/>
      </c>
      <c r="L19" s="33">
        <f>_xlfn.XLOOKUP(C19,'Project Details'!$C$17:$C$66,'Project Details'!$D$17:$D$66,"",0)</f>
        <v>0</v>
      </c>
      <c r="M19" s="43"/>
    </row>
    <row r="20" spans="1:13" x14ac:dyDescent="0.25">
      <c r="A20" s="43"/>
      <c r="B20" s="43"/>
      <c r="C20" s="35">
        <v>1</v>
      </c>
      <c r="D20" s="35" t="str" cm="1">
        <f t="array" ref="D20">IFERROR(ROUNDUP(_xlfn.IFS(F20="Aluminum Track", _xlfn.XLOOKUP(C20, dd_accsrycalc!$A$2:$A$51, dd_accsrycalc!$B$2:$B$51, "",0), F20="10 x 2 1/2 S (Flat)", _xlfn.XLOOKUP(C20, dd_accsrycalc!$A$2:$A$51, dd_accsrycalc!$C$2:$C$51, "",0), F20="Tox6", _xlfn.XLOOKUP(C20, dd_accsrycalc!$A$2:$A$51, dd_accsrycalc!$D$2:$D$51, "",0), F20="Cover Cap", _xlfn.XLOOKUP(C20, dd_accsrycalc!$A$2:$A$51, dd_accsrycalc!$E$2:$E$51, "",0), F20="Drainage Cover", _xlfn.XLOOKUP(C20, dd_accsrycalc!$A$2:$A$51, dd_accsrycalc!$F$2:$F$51, "",0),AND( F20="Double Adhesive Tape", I20="Roll-up Screen"), _xlfn.XLOOKUP(C20, calc_rusacc!$C$15:$C$65, calc_rusacc!$AD$15:$AD$65, "",0),AND( F20="Sealant", I20="Roll-up Screen"), _xlfn.XLOOKUP(C20, calc_rusacc!$C$15:$C$65, calc_rusacc!$AF$15:$AF$65, "",0),  AND( F20="Main Chain", I20="Accordion Screen"), _xlfn.XLOOKUP(C20, calc_rusacc!$C$15:$C$65, calc_rusacc!$BF$15:$BF$65, "",0), AND( F20="Sealant", I20="Accordion Screen"), _xlfn.XLOOKUP(C20, calc_rusacc!$C$15:$C$65, calc_rusacc!$BJ$15:$BJ$65, "",0),  F20="Sealant", _xlfn.XLOOKUP(C20, dd_accsrycalc!$A$2:$A$51, dd_accsrycalc!$G$2:$G$51, "",0),  F20&lt;&gt;"",L20*_xlfn.XLOOKUP(1, (SKUs!$C$2:$C$10001=G20)*(SKUs!$K$2:$K$10001=I20),SKUs!$E$2:$E$10001)), 0),"")</f>
        <v/>
      </c>
      <c r="E20" s="35" t="str">
        <f>_xlfn.XLOOKUP(F20,dd_item!$B$2:$B$105,dd_item!$C$2:$C$105,"",0)</f>
        <v/>
      </c>
      <c r="F20" s="35"/>
      <c r="G20" s="35" cm="1">
        <f t="array" ref="G20">IFERROR(_xlfn.XLOOKUP(1, (SKUs!$J$2:$J$10001=accsry_unmerged!F20)*IF(H20&lt;&gt;"",(SKUs!$L$2:$L$10001=accsry_unmerged!H20),1)*(SKUs!$K$2:$K$10001=I20),SKUs!$C$2:$C$10001),"")</f>
        <v>0</v>
      </c>
      <c r="H20" s="36" cm="1">
        <f t="array" ref="H20">IFERROR(_xlfn.XLOOKUP(1, (dd_accsryclr!$C$2:$C$1000=accsry_unmerged!F20)*(dd_accsryclr!$B$2:$B$1000=accsry_unmerged!J20),dd_accsryclr!$A$2:$A$1000),"")</f>
        <v>0</v>
      </c>
      <c r="I20" s="35">
        <f>_xlfn.XLOOKUP(C20,'Project Details'!$C$17:$C$66,'Project Details'!$E$17:$E$66,"",0)</f>
        <v>0</v>
      </c>
      <c r="J20" s="35">
        <f>_xlfn.XLOOKUP(C20,'Project Details'!$C$17:$C$66,'Project Details'!$H$17:$H$66,"",0)</f>
        <v>0</v>
      </c>
      <c r="K20" s="36" t="str">
        <f>IF(AND(_xlfn.XLOOKUP(C20,'Project Details'!$C$17:$C$66,'Project Details'!$L$17:$L$66,"",0)&gt;550, F20="Spring-L27cm"),"",SUBSTITUTE(_xlfn.XLOOKUP(G20,SKUs!$C$2:$C$10001,SKUs!$F$2:$F$10001,"",0), " Accessories",""))</f>
        <v/>
      </c>
      <c r="L20" s="36">
        <f>_xlfn.XLOOKUP(C20,'Project Details'!$C$17:$C$66,'Project Details'!$D$17:$D$66,"",0)</f>
        <v>0</v>
      </c>
      <c r="M20" s="43"/>
    </row>
    <row r="21" spans="1:13" x14ac:dyDescent="0.25">
      <c r="A21" s="43"/>
      <c r="B21" s="43"/>
      <c r="C21" s="16">
        <v>1</v>
      </c>
      <c r="D21" s="16" t="str" cm="1">
        <f t="array" ref="D21">IFERROR(ROUNDUP(_xlfn.IFS(F21="Aluminum Track", _xlfn.XLOOKUP(C21, dd_accsrycalc!$A$2:$A$51, dd_accsrycalc!$B$2:$B$51, "",0), F21="10 x 2 1/2 S (Flat)", _xlfn.XLOOKUP(C21, dd_accsrycalc!$A$2:$A$51, dd_accsrycalc!$C$2:$C$51, "",0), F21="Tox6", _xlfn.XLOOKUP(C21, dd_accsrycalc!$A$2:$A$51, dd_accsrycalc!$D$2:$D$51, "",0), F21="Cover Cap", _xlfn.XLOOKUP(C21, dd_accsrycalc!$A$2:$A$51, dd_accsrycalc!$E$2:$E$51, "",0), F21="Drainage Cover", _xlfn.XLOOKUP(C21, dd_accsrycalc!$A$2:$A$51, dd_accsrycalc!$F$2:$F$51, "",0),AND( F21="Double Adhesive Tape", I21="Roll-up Screen"), _xlfn.XLOOKUP(C21, calc_rusacc!$C$15:$C$65, calc_rusacc!$AD$15:$AD$65, "",0),AND( F21="Sealant", I21="Roll-up Screen"), _xlfn.XLOOKUP(C21, calc_rusacc!$C$15:$C$65, calc_rusacc!$AF$15:$AF$65, "",0),  AND( F21="Main Chain", I21="Accordion Screen"), _xlfn.XLOOKUP(C21, calc_rusacc!$C$15:$C$65, calc_rusacc!$BF$15:$BF$65, "",0), AND( F21="Sealant", I21="Accordion Screen"), _xlfn.XLOOKUP(C21, calc_rusacc!$C$15:$C$65, calc_rusacc!$BJ$15:$BJ$65, "",0),  F21="Sealant", _xlfn.XLOOKUP(C21, dd_accsrycalc!$A$2:$A$51, dd_accsrycalc!$G$2:$G$51, "",0),  F21&lt;&gt;"",L21*_xlfn.XLOOKUP(1, (SKUs!$C$2:$C$10001=G21)*(SKUs!$K$2:$K$10001=I21),SKUs!$E$2:$E$10001)), 0),"")</f>
        <v/>
      </c>
      <c r="E21" s="16" t="str">
        <f>_xlfn.XLOOKUP(F21,dd_item!$B$2:$B$105,dd_item!$C$2:$C$105,"",0)</f>
        <v/>
      </c>
      <c r="F21" s="16"/>
      <c r="G21" s="16" cm="1">
        <f t="array" ref="G21">IFERROR(_xlfn.XLOOKUP(1, (SKUs!$J$2:$J$10001=accsry_unmerged!F21)*IF(H21&lt;&gt;"",(SKUs!$L$2:$L$10001=accsry_unmerged!H21),1)*(SKUs!$K$2:$K$10001=I21),SKUs!$C$2:$C$10001),"")</f>
        <v>0</v>
      </c>
      <c r="H21" s="33" cm="1">
        <f t="array" ref="H21">IFERROR(_xlfn.XLOOKUP(1, (dd_accsryclr!$C$2:$C$1000=accsry_unmerged!F21)*(dd_accsryclr!$B$2:$B$1000=accsry_unmerged!J21),dd_accsryclr!$A$2:$A$1000),"")</f>
        <v>0</v>
      </c>
      <c r="I21" s="16">
        <f>_xlfn.XLOOKUP(C21,'Project Details'!$C$17:$C$66,'Project Details'!$E$17:$E$66,"",0)</f>
        <v>0</v>
      </c>
      <c r="J21" s="16">
        <f>_xlfn.XLOOKUP(C21,'Project Details'!$C$17:$C$66,'Project Details'!$H$17:$H$66,"",0)</f>
        <v>0</v>
      </c>
      <c r="K21" s="33" t="str">
        <f>IF(AND(_xlfn.XLOOKUP(C21,'Project Details'!$C$17:$C$66,'Project Details'!$L$17:$L$66,"",0)&gt;550, F21="Spring-L27cm"),"",SUBSTITUTE(_xlfn.XLOOKUP(G21,SKUs!$C$2:$C$10001,SKUs!$F$2:$F$10001,"",0), " Accessories",""))</f>
        <v/>
      </c>
      <c r="L21" s="33">
        <f>_xlfn.XLOOKUP(C21,'Project Details'!$C$17:$C$66,'Project Details'!$D$17:$D$66,"",0)</f>
        <v>0</v>
      </c>
      <c r="M21" s="43"/>
    </row>
    <row r="22" spans="1:13" x14ac:dyDescent="0.25">
      <c r="A22" s="43"/>
      <c r="B22" s="43"/>
      <c r="C22" s="35">
        <v>1</v>
      </c>
      <c r="D22" s="35" t="str" cm="1">
        <f t="array" ref="D22">IFERROR(ROUNDUP(_xlfn.IFS(F22="Aluminum Track", _xlfn.XLOOKUP(C22, dd_accsrycalc!$A$2:$A$51, dd_accsrycalc!$B$2:$B$51, "",0), F22="10 x 2 1/2 S (Flat)", _xlfn.XLOOKUP(C22, dd_accsrycalc!$A$2:$A$51, dd_accsrycalc!$C$2:$C$51, "",0), F22="Tox6", _xlfn.XLOOKUP(C22, dd_accsrycalc!$A$2:$A$51, dd_accsrycalc!$D$2:$D$51, "",0), F22="Cover Cap", _xlfn.XLOOKUP(C22, dd_accsrycalc!$A$2:$A$51, dd_accsrycalc!$E$2:$E$51, "",0), F22="Drainage Cover", _xlfn.XLOOKUP(C22, dd_accsrycalc!$A$2:$A$51, dd_accsrycalc!$F$2:$F$51, "",0),AND( F22="Double Adhesive Tape", I22="Roll-up Screen"), _xlfn.XLOOKUP(C22, calc_rusacc!$C$15:$C$65, calc_rusacc!$AD$15:$AD$65, "",0),AND( F22="Sealant", I22="Roll-up Screen"), _xlfn.XLOOKUP(C22, calc_rusacc!$C$15:$C$65, calc_rusacc!$AF$15:$AF$65, "",0),  AND( F22="Main Chain", I22="Accordion Screen"), _xlfn.XLOOKUP(C22, calc_rusacc!$C$15:$C$65, calc_rusacc!$BF$15:$BF$65, "",0), AND( F22="Sealant", I22="Accordion Screen"), _xlfn.XLOOKUP(C22, calc_rusacc!$C$15:$C$65, calc_rusacc!$BJ$15:$BJ$65, "",0),  F22="Sealant", _xlfn.XLOOKUP(C22, dd_accsrycalc!$A$2:$A$51, dd_accsrycalc!$G$2:$G$51, "",0),  F22&lt;&gt;"",L22*_xlfn.XLOOKUP(1, (SKUs!$C$2:$C$10001=G22)*(SKUs!$K$2:$K$10001=I22),SKUs!$E$2:$E$10001)), 0),"")</f>
        <v/>
      </c>
      <c r="E22" s="35" t="str">
        <f>_xlfn.XLOOKUP(F22,dd_item!$B$2:$B$105,dd_item!$C$2:$C$105,"",0)</f>
        <v/>
      </c>
      <c r="F22" s="35"/>
      <c r="G22" s="35" cm="1">
        <f t="array" ref="G22">IFERROR(_xlfn.XLOOKUP(1, (SKUs!$J$2:$J$10001=accsry_unmerged!F22)*IF(H22&lt;&gt;"",(SKUs!$L$2:$L$10001=accsry_unmerged!H22),1)*(SKUs!$K$2:$K$10001=I22),SKUs!$C$2:$C$10001),"")</f>
        <v>0</v>
      </c>
      <c r="H22" s="36" cm="1">
        <f t="array" ref="H22">IFERROR(_xlfn.XLOOKUP(1, (dd_accsryclr!$C$2:$C$1000=accsry_unmerged!F22)*(dd_accsryclr!$B$2:$B$1000=accsry_unmerged!J22),dd_accsryclr!$A$2:$A$1000),"")</f>
        <v>0</v>
      </c>
      <c r="I22" s="35">
        <f>_xlfn.XLOOKUP(C22,'Project Details'!$C$17:$C$66,'Project Details'!$E$17:$E$66,"",0)</f>
        <v>0</v>
      </c>
      <c r="J22" s="35">
        <f>_xlfn.XLOOKUP(C22,'Project Details'!$C$17:$C$66,'Project Details'!$H$17:$H$66,"",0)</f>
        <v>0</v>
      </c>
      <c r="K22" s="36" t="str">
        <f>IF(AND(_xlfn.XLOOKUP(C22,'Project Details'!$C$17:$C$66,'Project Details'!$L$17:$L$66,"",0)&gt;550, F22="Spring-L27cm"),"",SUBSTITUTE(_xlfn.XLOOKUP(G22,SKUs!$C$2:$C$10001,SKUs!$F$2:$F$10001,"",0), " Accessories",""))</f>
        <v/>
      </c>
      <c r="L22" s="36">
        <f>_xlfn.XLOOKUP(C22,'Project Details'!$C$17:$C$66,'Project Details'!$D$17:$D$66,"",0)</f>
        <v>0</v>
      </c>
      <c r="M22" s="43"/>
    </row>
    <row r="23" spans="1:13" x14ac:dyDescent="0.25">
      <c r="A23" s="43"/>
      <c r="B23" s="43"/>
      <c r="C23" s="16">
        <v>1</v>
      </c>
      <c r="D23" s="16" t="str" cm="1">
        <f t="array" ref="D23">IFERROR(ROUNDUP(_xlfn.IFS(F23="Aluminum Track", _xlfn.XLOOKUP(C23, dd_accsrycalc!$A$2:$A$51, dd_accsrycalc!$B$2:$B$51, "",0), F23="10 x 2 1/2 S (Flat)", _xlfn.XLOOKUP(C23, dd_accsrycalc!$A$2:$A$51, dd_accsrycalc!$C$2:$C$51, "",0), F23="Tox6", _xlfn.XLOOKUP(C23, dd_accsrycalc!$A$2:$A$51, dd_accsrycalc!$D$2:$D$51, "",0), F23="Cover Cap", _xlfn.XLOOKUP(C23, dd_accsrycalc!$A$2:$A$51, dd_accsrycalc!$E$2:$E$51, "",0), F23="Drainage Cover", _xlfn.XLOOKUP(C23, dd_accsrycalc!$A$2:$A$51, dd_accsrycalc!$F$2:$F$51, "",0),AND( F23="Double Adhesive Tape", I23="Roll-up Screen"), _xlfn.XLOOKUP(C23, calc_rusacc!$C$15:$C$65, calc_rusacc!$AD$15:$AD$65, "",0),AND( F23="Sealant", I23="Roll-up Screen"), _xlfn.XLOOKUP(C23, calc_rusacc!$C$15:$C$65, calc_rusacc!$AF$15:$AF$65, "",0),  AND( F23="Main Chain", I23="Accordion Screen"), _xlfn.XLOOKUP(C23, calc_rusacc!$C$15:$C$65, calc_rusacc!$BF$15:$BF$65, "",0), AND( F23="Sealant", I23="Accordion Screen"), _xlfn.XLOOKUP(C23, calc_rusacc!$C$15:$C$65, calc_rusacc!$BJ$15:$BJ$65, "",0),  F23="Sealant", _xlfn.XLOOKUP(C23, dd_accsrycalc!$A$2:$A$51, dd_accsrycalc!$G$2:$G$51, "",0),  F23&lt;&gt;"",L23*_xlfn.XLOOKUP(1, (SKUs!$C$2:$C$10001=G23)*(SKUs!$K$2:$K$10001=I23),SKUs!$E$2:$E$10001)), 0),"")</f>
        <v/>
      </c>
      <c r="E23" s="16" t="str">
        <f>_xlfn.XLOOKUP(F23,dd_item!$B$2:$B$105,dd_item!$C$2:$C$105,"",0)</f>
        <v/>
      </c>
      <c r="F23" s="16"/>
      <c r="G23" s="16" cm="1">
        <f t="array" ref="G23">IFERROR(_xlfn.XLOOKUP(1, (SKUs!$J$2:$J$10001=accsry_unmerged!F23)*IF(H23&lt;&gt;"",(SKUs!$L$2:$L$10001=accsry_unmerged!H23),1)*(SKUs!$K$2:$K$10001=I23),SKUs!$C$2:$C$10001),"")</f>
        <v>0</v>
      </c>
      <c r="H23" s="33" cm="1">
        <f t="array" ref="H23">IFERROR(_xlfn.XLOOKUP(1, (dd_accsryclr!$C$2:$C$1000=accsry_unmerged!F23)*(dd_accsryclr!$B$2:$B$1000=accsry_unmerged!J23),dd_accsryclr!$A$2:$A$1000),"")</f>
        <v>0</v>
      </c>
      <c r="I23" s="16">
        <f>_xlfn.XLOOKUP(C23,'Project Details'!$C$17:$C$66,'Project Details'!$E$17:$E$66,"",0)</f>
        <v>0</v>
      </c>
      <c r="J23" s="16">
        <f>_xlfn.XLOOKUP(C23,'Project Details'!$C$17:$C$66,'Project Details'!$H$17:$H$66,"",0)</f>
        <v>0</v>
      </c>
      <c r="K23" s="33" t="str">
        <f>IF(AND(_xlfn.XLOOKUP(C23,'Project Details'!$C$17:$C$66,'Project Details'!$L$17:$L$66,"",0)&gt;550, F23="Spring-L27cm"),"",SUBSTITUTE(_xlfn.XLOOKUP(G23,SKUs!$C$2:$C$10001,SKUs!$F$2:$F$10001,"",0), " Accessories",""))</f>
        <v/>
      </c>
      <c r="L23" s="33">
        <f>_xlfn.XLOOKUP(C23,'Project Details'!$C$17:$C$66,'Project Details'!$D$17:$D$66,"",0)</f>
        <v>0</v>
      </c>
      <c r="M23" s="43"/>
    </row>
    <row r="24" spans="1:13" x14ac:dyDescent="0.25">
      <c r="A24" s="43"/>
      <c r="B24" s="43"/>
      <c r="C24" s="35">
        <v>1</v>
      </c>
      <c r="D24" s="35" t="str" cm="1">
        <f t="array" ref="D24">IFERROR(ROUNDUP(_xlfn.IFS(F24="Aluminum Track", _xlfn.XLOOKUP(C24, dd_accsrycalc!$A$2:$A$51, dd_accsrycalc!$B$2:$B$51, "",0), F24="10 x 2 1/2 S (Flat)", _xlfn.XLOOKUP(C24, dd_accsrycalc!$A$2:$A$51, dd_accsrycalc!$C$2:$C$51, "",0), F24="Tox6", _xlfn.XLOOKUP(C24, dd_accsrycalc!$A$2:$A$51, dd_accsrycalc!$D$2:$D$51, "",0), F24="Cover Cap", _xlfn.XLOOKUP(C24, dd_accsrycalc!$A$2:$A$51, dd_accsrycalc!$E$2:$E$51, "",0), F24="Drainage Cover", _xlfn.XLOOKUP(C24, dd_accsrycalc!$A$2:$A$51, dd_accsrycalc!$F$2:$F$51, "",0),AND( F24="Double Adhesive Tape", I24="Roll-up Screen"), _xlfn.XLOOKUP(C24, calc_rusacc!$C$15:$C$65, calc_rusacc!$AD$15:$AD$65, "",0),AND( F24="Sealant", I24="Roll-up Screen"), _xlfn.XLOOKUP(C24, calc_rusacc!$C$15:$C$65, calc_rusacc!$AF$15:$AF$65, "",0),  AND( F24="Main Chain", I24="Accordion Screen"), _xlfn.XLOOKUP(C24, calc_rusacc!$C$15:$C$65, calc_rusacc!$BF$15:$BF$65, "",0), AND( F24="Sealant", I24="Accordion Screen"), _xlfn.XLOOKUP(C24, calc_rusacc!$C$15:$C$65, calc_rusacc!$BJ$15:$BJ$65, "",0),  F24="Sealant", _xlfn.XLOOKUP(C24, dd_accsrycalc!$A$2:$A$51, dd_accsrycalc!$G$2:$G$51, "",0),  F24&lt;&gt;"",L24*_xlfn.XLOOKUP(1, (SKUs!$C$2:$C$10001=G24)*(SKUs!$K$2:$K$10001=I24),SKUs!$E$2:$E$10001)), 0),"")</f>
        <v/>
      </c>
      <c r="E24" s="35" t="str">
        <f>_xlfn.XLOOKUP(F24,dd_item!$B$2:$B$105,dd_item!$C$2:$C$105,"",0)</f>
        <v/>
      </c>
      <c r="F24" s="35"/>
      <c r="G24" s="35" cm="1">
        <f t="array" ref="G24">IFERROR(_xlfn.XLOOKUP(1, (SKUs!$J$2:$J$10001=accsry_unmerged!F24)*IF(H24&lt;&gt;"",(SKUs!$L$2:$L$10001=accsry_unmerged!H24),1)*(SKUs!$K$2:$K$10001=I24),SKUs!$C$2:$C$10001),"")</f>
        <v>0</v>
      </c>
      <c r="H24" s="36" cm="1">
        <f t="array" ref="H24">IFERROR(_xlfn.XLOOKUP(1, (dd_accsryclr!$C$2:$C$1000=accsry_unmerged!F24)*(dd_accsryclr!$B$2:$B$1000=accsry_unmerged!J24),dd_accsryclr!$A$2:$A$1000),"")</f>
        <v>0</v>
      </c>
      <c r="I24" s="35">
        <f>_xlfn.XLOOKUP(C24,'Project Details'!$C$17:$C$66,'Project Details'!$E$17:$E$66,"",0)</f>
        <v>0</v>
      </c>
      <c r="J24" s="35">
        <f>_xlfn.XLOOKUP(C24,'Project Details'!$C$17:$C$66,'Project Details'!$H$17:$H$66,"",0)</f>
        <v>0</v>
      </c>
      <c r="K24" s="36" t="str">
        <f>IF(AND(_xlfn.XLOOKUP(C24,'Project Details'!$C$17:$C$66,'Project Details'!$L$17:$L$66,"",0)&gt;550, F24="Spring-L27cm"),"",SUBSTITUTE(_xlfn.XLOOKUP(G24,SKUs!$C$2:$C$10001,SKUs!$F$2:$F$10001,"",0), " Accessories",""))</f>
        <v/>
      </c>
      <c r="L24" s="36">
        <f>_xlfn.XLOOKUP(C24,'Project Details'!$C$17:$C$66,'Project Details'!$D$17:$D$66,"",0)</f>
        <v>0</v>
      </c>
      <c r="M24" s="43"/>
    </row>
    <row r="25" spans="1:13" x14ac:dyDescent="0.25">
      <c r="A25" s="43"/>
      <c r="B25" s="43"/>
      <c r="C25" s="16">
        <v>1</v>
      </c>
      <c r="D25" s="16" t="str" cm="1">
        <f t="array" ref="D25">IFERROR(ROUNDUP(_xlfn.IFS(F25="Aluminum Track", _xlfn.XLOOKUP(C25, dd_accsrycalc!$A$2:$A$51, dd_accsrycalc!$B$2:$B$51, "",0), F25="10 x 2 1/2 S (Flat)", _xlfn.XLOOKUP(C25, dd_accsrycalc!$A$2:$A$51, dd_accsrycalc!$C$2:$C$51, "",0), F25="Tox6", _xlfn.XLOOKUP(C25, dd_accsrycalc!$A$2:$A$51, dd_accsrycalc!$D$2:$D$51, "",0), F25="Cover Cap", _xlfn.XLOOKUP(C25, dd_accsrycalc!$A$2:$A$51, dd_accsrycalc!$E$2:$E$51, "",0), F25="Drainage Cover", _xlfn.XLOOKUP(C25, dd_accsrycalc!$A$2:$A$51, dd_accsrycalc!$F$2:$F$51, "",0),AND( F25="Double Adhesive Tape", I25="Roll-up Screen"), _xlfn.XLOOKUP(C25, calc_rusacc!$C$15:$C$65, calc_rusacc!$AD$15:$AD$65, "",0),AND( F25="Sealant", I25="Roll-up Screen"), _xlfn.XLOOKUP(C25, calc_rusacc!$C$15:$C$65, calc_rusacc!$AF$15:$AF$65, "",0),  AND( F25="Main Chain", I25="Accordion Screen"), _xlfn.XLOOKUP(C25, calc_rusacc!$C$15:$C$65, calc_rusacc!$BF$15:$BF$65, "",0), AND( F25="Sealant", I25="Accordion Screen"), _xlfn.XLOOKUP(C25, calc_rusacc!$C$15:$C$65, calc_rusacc!$BJ$15:$BJ$65, "",0),  F25="Sealant", _xlfn.XLOOKUP(C25, dd_accsrycalc!$A$2:$A$51, dd_accsrycalc!$G$2:$G$51, "",0),  F25&lt;&gt;"",L25*_xlfn.XLOOKUP(1, (SKUs!$C$2:$C$10001=G25)*(SKUs!$K$2:$K$10001=I25),SKUs!$E$2:$E$10001)), 0),"")</f>
        <v/>
      </c>
      <c r="E25" s="16" t="str">
        <f>_xlfn.XLOOKUP(F25,dd_item!$B$2:$B$105,dd_item!$C$2:$C$105,"",0)</f>
        <v/>
      </c>
      <c r="F25" s="16"/>
      <c r="G25" s="16" cm="1">
        <f t="array" ref="G25">IFERROR(_xlfn.XLOOKUP(1, (SKUs!$J$2:$J$10001=accsry_unmerged!F25)*IF(H25&lt;&gt;"",(SKUs!$L$2:$L$10001=accsry_unmerged!H25),1)*(SKUs!$K$2:$K$10001=I25),SKUs!$C$2:$C$10001),"")</f>
        <v>0</v>
      </c>
      <c r="H25" s="33" cm="1">
        <f t="array" ref="H25">IFERROR(_xlfn.XLOOKUP(1, (dd_accsryclr!$C$2:$C$1000=accsry_unmerged!F25)*(dd_accsryclr!$B$2:$B$1000=accsry_unmerged!J25),dd_accsryclr!$A$2:$A$1000),"")</f>
        <v>0</v>
      </c>
      <c r="I25" s="16">
        <f>_xlfn.XLOOKUP(C25,'Project Details'!$C$17:$C$66,'Project Details'!$E$17:$E$66,"",0)</f>
        <v>0</v>
      </c>
      <c r="J25" s="16">
        <f>_xlfn.XLOOKUP(C25,'Project Details'!$C$17:$C$66,'Project Details'!$H$17:$H$66,"",0)</f>
        <v>0</v>
      </c>
      <c r="K25" s="33" t="str">
        <f>IF(AND(_xlfn.XLOOKUP(C25,'Project Details'!$C$17:$C$66,'Project Details'!$L$17:$L$66,"",0)&gt;550, F25="Spring-L27cm"),"",SUBSTITUTE(_xlfn.XLOOKUP(G25,SKUs!$C$2:$C$10001,SKUs!$F$2:$F$10001,"",0), " Accessories",""))</f>
        <v/>
      </c>
      <c r="L25" s="33">
        <f>_xlfn.XLOOKUP(C25,'Project Details'!$C$17:$C$66,'Project Details'!$D$17:$D$66,"",0)</f>
        <v>0</v>
      </c>
      <c r="M25" s="43"/>
    </row>
    <row r="26" spans="1:13" x14ac:dyDescent="0.25">
      <c r="A26" s="43"/>
      <c r="B26" s="43"/>
      <c r="C26" s="35">
        <v>1</v>
      </c>
      <c r="D26" s="35" t="str" cm="1">
        <f t="array" ref="D26">IFERROR(ROUNDUP(_xlfn.IFS(F26="Aluminum Track", _xlfn.XLOOKUP(C26, dd_accsrycalc!$A$2:$A$51, dd_accsrycalc!$B$2:$B$51, "",0), F26="10 x 2 1/2 S (Flat)", _xlfn.XLOOKUP(C26, dd_accsrycalc!$A$2:$A$51, dd_accsrycalc!$C$2:$C$51, "",0), F26="Tox6", _xlfn.XLOOKUP(C26, dd_accsrycalc!$A$2:$A$51, dd_accsrycalc!$D$2:$D$51, "",0), F26="Cover Cap", _xlfn.XLOOKUP(C26, dd_accsrycalc!$A$2:$A$51, dd_accsrycalc!$E$2:$E$51, "",0), F26="Drainage Cover", _xlfn.XLOOKUP(C26, dd_accsrycalc!$A$2:$A$51, dd_accsrycalc!$F$2:$F$51, "",0),AND( F26="Double Adhesive Tape", I26="Roll-up Screen"), _xlfn.XLOOKUP(C26, calc_rusacc!$C$15:$C$65, calc_rusacc!$AD$15:$AD$65, "",0),AND( F26="Sealant", I26="Roll-up Screen"), _xlfn.XLOOKUP(C26, calc_rusacc!$C$15:$C$65, calc_rusacc!$AF$15:$AF$65, "",0),  AND( F26="Main Chain", I26="Accordion Screen"), _xlfn.XLOOKUP(C26, calc_rusacc!$C$15:$C$65, calc_rusacc!$BF$15:$BF$65, "",0), AND( F26="Sealant", I26="Accordion Screen"), _xlfn.XLOOKUP(C26, calc_rusacc!$C$15:$C$65, calc_rusacc!$BJ$15:$BJ$65, "",0),  F26="Sealant", _xlfn.XLOOKUP(C26, dd_accsrycalc!$A$2:$A$51, dd_accsrycalc!$G$2:$G$51, "",0),  F26&lt;&gt;"",L26*_xlfn.XLOOKUP(1, (SKUs!$C$2:$C$10001=G26)*(SKUs!$K$2:$K$10001=I26),SKUs!$E$2:$E$10001)), 0),"")</f>
        <v/>
      </c>
      <c r="E26" s="35" t="str">
        <f>_xlfn.XLOOKUP(F26,dd_item!$B$2:$B$105,dd_item!$C$2:$C$105,"",0)</f>
        <v/>
      </c>
      <c r="F26" s="35"/>
      <c r="G26" s="35" cm="1">
        <f t="array" ref="G26">IFERROR(_xlfn.XLOOKUP(1, (SKUs!$J$2:$J$10001=accsry_unmerged!F26)*IF(H26&lt;&gt;"",(SKUs!$L$2:$L$10001=accsry_unmerged!H26),1)*(SKUs!$K$2:$K$10001=I26),SKUs!$C$2:$C$10001),"")</f>
        <v>0</v>
      </c>
      <c r="H26" s="36" cm="1">
        <f t="array" ref="H26">IFERROR(_xlfn.XLOOKUP(1, (dd_accsryclr!$C$2:$C$1000=accsry_unmerged!F26)*(dd_accsryclr!$B$2:$B$1000=accsry_unmerged!J26),dd_accsryclr!$A$2:$A$1000),"")</f>
        <v>0</v>
      </c>
      <c r="I26" s="35">
        <f>_xlfn.XLOOKUP(C26,'Project Details'!$C$17:$C$66,'Project Details'!$E$17:$E$66,"",0)</f>
        <v>0</v>
      </c>
      <c r="J26" s="35">
        <f>_xlfn.XLOOKUP(C26,'Project Details'!$C$17:$C$66,'Project Details'!$H$17:$H$66,"",0)</f>
        <v>0</v>
      </c>
      <c r="K26" s="36" t="str">
        <f>IF(AND(_xlfn.XLOOKUP(C26,'Project Details'!$C$17:$C$66,'Project Details'!$L$17:$L$66,"",0)&gt;550, F26="Spring-L27cm"),"",SUBSTITUTE(_xlfn.XLOOKUP(G26,SKUs!$C$2:$C$10001,SKUs!$F$2:$F$10001,"",0), " Accessories",""))</f>
        <v/>
      </c>
      <c r="L26" s="36">
        <f>_xlfn.XLOOKUP(C26,'Project Details'!$C$17:$C$66,'Project Details'!$D$17:$D$66,"",0)</f>
        <v>0</v>
      </c>
      <c r="M26" s="43"/>
    </row>
    <row r="27" spans="1:13" x14ac:dyDescent="0.25">
      <c r="A27" s="43"/>
      <c r="B27" s="43"/>
      <c r="C27" s="16">
        <v>1</v>
      </c>
      <c r="D27" s="16" t="str" cm="1">
        <f t="array" ref="D27">IFERROR(ROUNDUP(_xlfn.IFS(F27="Aluminum Track", _xlfn.XLOOKUP(C27, dd_accsrycalc!$A$2:$A$51, dd_accsrycalc!$B$2:$B$51, "",0), F27="10 x 2 1/2 S (Flat)", _xlfn.XLOOKUP(C27, dd_accsrycalc!$A$2:$A$51, dd_accsrycalc!$C$2:$C$51, "",0), F27="Tox6", _xlfn.XLOOKUP(C27, dd_accsrycalc!$A$2:$A$51, dd_accsrycalc!$D$2:$D$51, "",0), F27="Cover Cap", _xlfn.XLOOKUP(C27, dd_accsrycalc!$A$2:$A$51, dd_accsrycalc!$E$2:$E$51, "",0), F27="Drainage Cover", _xlfn.XLOOKUP(C27, dd_accsrycalc!$A$2:$A$51, dd_accsrycalc!$F$2:$F$51, "",0),AND( F27="Double Adhesive Tape", I27="Roll-up Screen"), _xlfn.XLOOKUP(C27, calc_rusacc!$C$15:$C$65, calc_rusacc!$AD$15:$AD$65, "",0),AND( F27="Sealant", I27="Roll-up Screen"), _xlfn.XLOOKUP(C27, calc_rusacc!$C$15:$C$65, calc_rusacc!$AF$15:$AF$65, "",0),  AND( F27="Main Chain", I27="Accordion Screen"), _xlfn.XLOOKUP(C27, calc_rusacc!$C$15:$C$65, calc_rusacc!$BF$15:$BF$65, "",0), AND( F27="Sealant", I27="Accordion Screen"), _xlfn.XLOOKUP(C27, calc_rusacc!$C$15:$C$65, calc_rusacc!$BJ$15:$BJ$65, "",0),  F27="Sealant", _xlfn.XLOOKUP(C27, dd_accsrycalc!$A$2:$A$51, dd_accsrycalc!$G$2:$G$51, "",0),  F27&lt;&gt;"",L27*_xlfn.XLOOKUP(1, (SKUs!$C$2:$C$10001=G27)*(SKUs!$K$2:$K$10001=I27),SKUs!$E$2:$E$10001)), 0),"")</f>
        <v/>
      </c>
      <c r="E27" s="16" t="str">
        <f>_xlfn.XLOOKUP(F27,dd_item!$B$2:$B$105,dd_item!$C$2:$C$105,"",0)</f>
        <v/>
      </c>
      <c r="F27" s="16"/>
      <c r="G27" s="16" cm="1">
        <f t="array" ref="G27">IFERROR(_xlfn.XLOOKUP(1, (SKUs!$J$2:$J$10001=accsry_unmerged!F27)*IF(H27&lt;&gt;"",(SKUs!$L$2:$L$10001=accsry_unmerged!H27),1)*(SKUs!$K$2:$K$10001=I27),SKUs!$C$2:$C$10001),"")</f>
        <v>0</v>
      </c>
      <c r="H27" s="33" cm="1">
        <f t="array" ref="H27">IFERROR(_xlfn.XLOOKUP(1, (dd_accsryclr!$C$2:$C$1000=accsry_unmerged!F27)*(dd_accsryclr!$B$2:$B$1000=accsry_unmerged!J27),dd_accsryclr!$A$2:$A$1000),"")</f>
        <v>0</v>
      </c>
      <c r="I27" s="16">
        <f>_xlfn.XLOOKUP(C27,'Project Details'!$C$17:$C$66,'Project Details'!$E$17:$E$66,"",0)</f>
        <v>0</v>
      </c>
      <c r="J27" s="16">
        <f>_xlfn.XLOOKUP(C27,'Project Details'!$C$17:$C$66,'Project Details'!$H$17:$H$66,"",0)</f>
        <v>0</v>
      </c>
      <c r="K27" s="33" t="str">
        <f>IF(AND(_xlfn.XLOOKUP(C27,'Project Details'!$C$17:$C$66,'Project Details'!$L$17:$L$66,"",0)&gt;550, F27="Spring-L27cm"),"",SUBSTITUTE(_xlfn.XLOOKUP(G27,SKUs!$C$2:$C$10001,SKUs!$F$2:$F$10001,"",0), " Accessories",""))</f>
        <v/>
      </c>
      <c r="L27" s="33">
        <f>_xlfn.XLOOKUP(C27,'Project Details'!$C$17:$C$66,'Project Details'!$D$17:$D$66,"",0)</f>
        <v>0</v>
      </c>
      <c r="M27" s="43"/>
    </row>
    <row r="28" spans="1:13" x14ac:dyDescent="0.25">
      <c r="A28" s="43"/>
      <c r="B28" s="43"/>
      <c r="C28" s="35">
        <v>1</v>
      </c>
      <c r="D28" s="35" t="str" cm="1">
        <f t="array" ref="D28">IFERROR(ROUNDUP(_xlfn.IFS(F28="Aluminum Track", _xlfn.XLOOKUP(C28, dd_accsrycalc!$A$2:$A$51, dd_accsrycalc!$B$2:$B$51, "",0), F28="10 x 2 1/2 S (Flat)", _xlfn.XLOOKUP(C28, dd_accsrycalc!$A$2:$A$51, dd_accsrycalc!$C$2:$C$51, "",0), F28="Tox6", _xlfn.XLOOKUP(C28, dd_accsrycalc!$A$2:$A$51, dd_accsrycalc!$D$2:$D$51, "",0), F28="Cover Cap", _xlfn.XLOOKUP(C28, dd_accsrycalc!$A$2:$A$51, dd_accsrycalc!$E$2:$E$51, "",0), F28="Drainage Cover", _xlfn.XLOOKUP(C28, dd_accsrycalc!$A$2:$A$51, dd_accsrycalc!$F$2:$F$51, "",0),AND( F28="Double Adhesive Tape", I28="Roll-up Screen"), _xlfn.XLOOKUP(C28, calc_rusacc!$C$15:$C$65, calc_rusacc!$AD$15:$AD$65, "",0),AND( F28="Sealant", I28="Roll-up Screen"), _xlfn.XLOOKUP(C28, calc_rusacc!$C$15:$C$65, calc_rusacc!$AF$15:$AF$65, "",0),  AND( F28="Main Chain", I28="Accordion Screen"), _xlfn.XLOOKUP(C28, calc_rusacc!$C$15:$C$65, calc_rusacc!$BF$15:$BF$65, "",0), AND( F28="Sealant", I28="Accordion Screen"), _xlfn.XLOOKUP(C28, calc_rusacc!$C$15:$C$65, calc_rusacc!$BJ$15:$BJ$65, "",0),  F28="Sealant", _xlfn.XLOOKUP(C28, dd_accsrycalc!$A$2:$A$51, dd_accsrycalc!$G$2:$G$51, "",0),  F28&lt;&gt;"",L28*_xlfn.XLOOKUP(1, (SKUs!$C$2:$C$10001=G28)*(SKUs!$K$2:$K$10001=I28),SKUs!$E$2:$E$10001)), 0),"")</f>
        <v/>
      </c>
      <c r="E28" s="35" t="str">
        <f>_xlfn.XLOOKUP(F28,dd_item!$B$2:$B$105,dd_item!$C$2:$C$105,"",0)</f>
        <v/>
      </c>
      <c r="F28" s="35"/>
      <c r="G28" s="35" cm="1">
        <f t="array" ref="G28">IFERROR(_xlfn.XLOOKUP(1, (SKUs!$J$2:$J$10001=accsry_unmerged!F28)*IF(H28&lt;&gt;"",(SKUs!$L$2:$L$10001=accsry_unmerged!H28),1)*(SKUs!$K$2:$K$10001=I28),SKUs!$C$2:$C$10001),"")</f>
        <v>0</v>
      </c>
      <c r="H28" s="36" cm="1">
        <f t="array" ref="H28">IFERROR(_xlfn.XLOOKUP(1, (dd_accsryclr!$C$2:$C$1000=accsry_unmerged!F28)*(dd_accsryclr!$B$2:$B$1000=accsry_unmerged!J28),dd_accsryclr!$A$2:$A$1000),"")</f>
        <v>0</v>
      </c>
      <c r="I28" s="35">
        <f>_xlfn.XLOOKUP(C28,'Project Details'!$C$17:$C$66,'Project Details'!$E$17:$E$66,"",0)</f>
        <v>0</v>
      </c>
      <c r="J28" s="35">
        <f>_xlfn.XLOOKUP(C28,'Project Details'!$C$17:$C$66,'Project Details'!$H$17:$H$66,"",0)</f>
        <v>0</v>
      </c>
      <c r="K28" s="36" t="str">
        <f>IF(AND(_xlfn.XLOOKUP(C28,'Project Details'!$C$17:$C$66,'Project Details'!$L$17:$L$66,"",0)&gt;550, F28="Spring-L27cm"),"",SUBSTITUTE(_xlfn.XLOOKUP(G28,SKUs!$C$2:$C$10001,SKUs!$F$2:$F$10001,"",0), " Accessories",""))</f>
        <v/>
      </c>
      <c r="L28" s="36">
        <f>_xlfn.XLOOKUP(C28,'Project Details'!$C$17:$C$66,'Project Details'!$D$17:$D$66,"",0)</f>
        <v>0</v>
      </c>
      <c r="M28" s="43"/>
    </row>
    <row r="29" spans="1:13" x14ac:dyDescent="0.25">
      <c r="A29" s="43"/>
      <c r="B29" s="43"/>
      <c r="C29" s="16">
        <v>1</v>
      </c>
      <c r="D29" s="16" t="str" cm="1">
        <f t="array" ref="D29">IFERROR(ROUNDUP(_xlfn.IFS(F29="Aluminum Track", _xlfn.XLOOKUP(C29, dd_accsrycalc!$A$2:$A$51, dd_accsrycalc!$B$2:$B$51, "",0), F29="10 x 2 1/2 S (Flat)", _xlfn.XLOOKUP(C29, dd_accsrycalc!$A$2:$A$51, dd_accsrycalc!$C$2:$C$51, "",0), F29="Tox6", _xlfn.XLOOKUP(C29, dd_accsrycalc!$A$2:$A$51, dd_accsrycalc!$D$2:$D$51, "",0), F29="Cover Cap", _xlfn.XLOOKUP(C29, dd_accsrycalc!$A$2:$A$51, dd_accsrycalc!$E$2:$E$51, "",0), F29="Drainage Cover", _xlfn.XLOOKUP(C29, dd_accsrycalc!$A$2:$A$51, dd_accsrycalc!$F$2:$F$51, "",0),AND( F29="Double Adhesive Tape", I29="Roll-up Screen"), _xlfn.XLOOKUP(C29, calc_rusacc!$C$15:$C$65, calc_rusacc!$AD$15:$AD$65, "",0),AND( F29="Sealant", I29="Roll-up Screen"), _xlfn.XLOOKUP(C29, calc_rusacc!$C$15:$C$65, calc_rusacc!$AF$15:$AF$65, "",0),  AND( F29="Main Chain", I29="Accordion Screen"), _xlfn.XLOOKUP(C29, calc_rusacc!$C$15:$C$65, calc_rusacc!$BF$15:$BF$65, "",0), AND( F29="Sealant", I29="Accordion Screen"), _xlfn.XLOOKUP(C29, calc_rusacc!$C$15:$C$65, calc_rusacc!$BJ$15:$BJ$65, "",0),  F29="Sealant", _xlfn.XLOOKUP(C29, dd_accsrycalc!$A$2:$A$51, dd_accsrycalc!$G$2:$G$51, "",0),  F29&lt;&gt;"",L29*_xlfn.XLOOKUP(1, (SKUs!$C$2:$C$10001=G29)*(SKUs!$K$2:$K$10001=I29),SKUs!$E$2:$E$10001)), 0),"")</f>
        <v/>
      </c>
      <c r="E29" s="16" t="str">
        <f>_xlfn.XLOOKUP(F29,dd_item!$B$2:$B$105,dd_item!$C$2:$C$105,"",0)</f>
        <v/>
      </c>
      <c r="F29" s="16"/>
      <c r="G29" s="16" cm="1">
        <f t="array" ref="G29">IFERROR(_xlfn.XLOOKUP(1, (SKUs!$J$2:$J$10001=accsry_unmerged!F29)*IF(H29&lt;&gt;"",(SKUs!$L$2:$L$10001=accsry_unmerged!H29),1)*(SKUs!$K$2:$K$10001=I29),SKUs!$C$2:$C$10001),"")</f>
        <v>0</v>
      </c>
      <c r="H29" s="33" cm="1">
        <f t="array" ref="H29">IFERROR(_xlfn.XLOOKUP(1, (dd_accsryclr!$C$2:$C$1000=accsry_unmerged!F29)*(dd_accsryclr!$B$2:$B$1000=accsry_unmerged!J29),dd_accsryclr!$A$2:$A$1000),"")</f>
        <v>0</v>
      </c>
      <c r="I29" s="16">
        <f>_xlfn.XLOOKUP(C29,'Project Details'!$C$17:$C$66,'Project Details'!$E$17:$E$66,"",0)</f>
        <v>0</v>
      </c>
      <c r="J29" s="16">
        <f>_xlfn.XLOOKUP(C29,'Project Details'!$C$17:$C$66,'Project Details'!$H$17:$H$66,"",0)</f>
        <v>0</v>
      </c>
      <c r="K29" s="33" t="str">
        <f>IF(AND(_xlfn.XLOOKUP(C29,'Project Details'!$C$17:$C$66,'Project Details'!$L$17:$L$66,"",0)&gt;550, F29="Spring-L27cm"),"",SUBSTITUTE(_xlfn.XLOOKUP(G29,SKUs!$C$2:$C$10001,SKUs!$F$2:$F$10001,"",0), " Accessories",""))</f>
        <v/>
      </c>
      <c r="L29" s="33">
        <f>_xlfn.XLOOKUP(C29,'Project Details'!$C$17:$C$66,'Project Details'!$D$17:$D$66,"",0)</f>
        <v>0</v>
      </c>
      <c r="M29" s="43"/>
    </row>
    <row r="30" spans="1:13" x14ac:dyDescent="0.25">
      <c r="A30" s="43"/>
      <c r="B30" s="43"/>
      <c r="C30" s="35">
        <v>1</v>
      </c>
      <c r="D30" s="35" t="str" cm="1">
        <f t="array" ref="D30">IFERROR(ROUNDUP(_xlfn.IFS(F30="Aluminum Track", _xlfn.XLOOKUP(C30, dd_accsrycalc!$A$2:$A$51, dd_accsrycalc!$B$2:$B$51, "",0), F30="10 x 2 1/2 S (Flat)", _xlfn.XLOOKUP(C30, dd_accsrycalc!$A$2:$A$51, dd_accsrycalc!$C$2:$C$51, "",0), F30="Tox6", _xlfn.XLOOKUP(C30, dd_accsrycalc!$A$2:$A$51, dd_accsrycalc!$D$2:$D$51, "",0), F30="Cover Cap", _xlfn.XLOOKUP(C30, dd_accsrycalc!$A$2:$A$51, dd_accsrycalc!$E$2:$E$51, "",0), F30="Drainage Cover", _xlfn.XLOOKUP(C30, dd_accsrycalc!$A$2:$A$51, dd_accsrycalc!$F$2:$F$51, "",0),AND( F30="Double Adhesive Tape", I30="Roll-up Screen"), _xlfn.XLOOKUP(C30, calc_rusacc!$C$15:$C$65, calc_rusacc!$AD$15:$AD$65, "",0),AND( F30="Sealant", I30="Roll-up Screen"), _xlfn.XLOOKUP(C30, calc_rusacc!$C$15:$C$65, calc_rusacc!$AF$15:$AF$65, "",0),  AND( F30="Main Chain", I30="Accordion Screen"), _xlfn.XLOOKUP(C30, calc_rusacc!$C$15:$C$65, calc_rusacc!$BF$15:$BF$65, "",0), AND( F30="Sealant", I30="Accordion Screen"), _xlfn.XLOOKUP(C30, calc_rusacc!$C$15:$C$65, calc_rusacc!$BJ$15:$BJ$65, "",0),  F30="Sealant", _xlfn.XLOOKUP(C30, dd_accsrycalc!$A$2:$A$51, dd_accsrycalc!$G$2:$G$51, "",0),  F30&lt;&gt;"",L30*_xlfn.XLOOKUP(1, (SKUs!$C$2:$C$10001=G30)*(SKUs!$K$2:$K$10001=I30),SKUs!$E$2:$E$10001)), 0),"")</f>
        <v/>
      </c>
      <c r="E30" s="35" t="str">
        <f>_xlfn.XLOOKUP(F30,dd_item!$B$2:$B$105,dd_item!$C$2:$C$105,"",0)</f>
        <v/>
      </c>
      <c r="F30" s="35"/>
      <c r="G30" s="35" cm="1">
        <f t="array" ref="G30">IFERROR(_xlfn.XLOOKUP(1, (SKUs!$J$2:$J$10001=accsry_unmerged!F30)*IF(H30&lt;&gt;"",(SKUs!$L$2:$L$10001=accsry_unmerged!H30),1)*(SKUs!$K$2:$K$10001=I30),SKUs!$C$2:$C$10001),"")</f>
        <v>0</v>
      </c>
      <c r="H30" s="36" cm="1">
        <f t="array" ref="H30">IFERROR(_xlfn.XLOOKUP(1, (dd_accsryclr!$C$2:$C$1000=accsry_unmerged!F30)*(dd_accsryclr!$B$2:$B$1000=accsry_unmerged!J30),dd_accsryclr!$A$2:$A$1000),"")</f>
        <v>0</v>
      </c>
      <c r="I30" s="35">
        <f>_xlfn.XLOOKUP(C30,'Project Details'!$C$17:$C$66,'Project Details'!$E$17:$E$66,"",0)</f>
        <v>0</v>
      </c>
      <c r="J30" s="35">
        <f>_xlfn.XLOOKUP(C30,'Project Details'!$C$17:$C$66,'Project Details'!$H$17:$H$66,"",0)</f>
        <v>0</v>
      </c>
      <c r="K30" s="36" t="str">
        <f>IF(AND(_xlfn.XLOOKUP(C30,'Project Details'!$C$17:$C$66,'Project Details'!$L$17:$L$66,"",0)&gt;550, F30="Spring-L27cm"),"",SUBSTITUTE(_xlfn.XLOOKUP(G30,SKUs!$C$2:$C$10001,SKUs!$F$2:$F$10001,"",0), " Accessories",""))</f>
        <v/>
      </c>
      <c r="L30" s="36">
        <f>_xlfn.XLOOKUP(C30,'Project Details'!$C$17:$C$66,'Project Details'!$D$17:$D$66,"",0)</f>
        <v>0</v>
      </c>
      <c r="M30" s="43"/>
    </row>
    <row r="31" spans="1:13" x14ac:dyDescent="0.25">
      <c r="A31" s="43"/>
      <c r="B31" s="43"/>
      <c r="C31" s="16">
        <v>1</v>
      </c>
      <c r="D31" s="16" t="str" cm="1">
        <f t="array" ref="D31">IFERROR(ROUNDUP(_xlfn.IFS(F31="Aluminum Track", _xlfn.XLOOKUP(C31, dd_accsrycalc!$A$2:$A$51, dd_accsrycalc!$B$2:$B$51, "",0), F31="10 x 2 1/2 S (Flat)", _xlfn.XLOOKUP(C31, dd_accsrycalc!$A$2:$A$51, dd_accsrycalc!$C$2:$C$51, "",0), F31="Tox6", _xlfn.XLOOKUP(C31, dd_accsrycalc!$A$2:$A$51, dd_accsrycalc!$D$2:$D$51, "",0), F31="Cover Cap", _xlfn.XLOOKUP(C31, dd_accsrycalc!$A$2:$A$51, dd_accsrycalc!$E$2:$E$51, "",0), F31="Drainage Cover", _xlfn.XLOOKUP(C31, dd_accsrycalc!$A$2:$A$51, dd_accsrycalc!$F$2:$F$51, "",0),AND( F31="Double Adhesive Tape", I31="Roll-up Screen"), _xlfn.XLOOKUP(C31, calc_rusacc!$C$15:$C$65, calc_rusacc!$AD$15:$AD$65, "",0),AND( F31="Sealant", I31="Roll-up Screen"), _xlfn.XLOOKUP(C31, calc_rusacc!$C$15:$C$65, calc_rusacc!$AF$15:$AF$65, "",0),  AND( F31="Main Chain", I31="Accordion Screen"), _xlfn.XLOOKUP(C31, calc_rusacc!$C$15:$C$65, calc_rusacc!$BF$15:$BF$65, "",0), AND( F31="Sealant", I31="Accordion Screen"), _xlfn.XLOOKUP(C31, calc_rusacc!$C$15:$C$65, calc_rusacc!$BJ$15:$BJ$65, "",0),  F31="Sealant", _xlfn.XLOOKUP(C31, dd_accsrycalc!$A$2:$A$51, dd_accsrycalc!$G$2:$G$51, "",0),  F31&lt;&gt;"",L31*_xlfn.XLOOKUP(1, (SKUs!$C$2:$C$10001=G31)*(SKUs!$K$2:$K$10001=I31),SKUs!$E$2:$E$10001)), 0),"")</f>
        <v/>
      </c>
      <c r="E31" s="16" t="str">
        <f>_xlfn.XLOOKUP(F31,dd_item!$B$2:$B$105,dd_item!$C$2:$C$105,"",0)</f>
        <v/>
      </c>
      <c r="F31" s="16"/>
      <c r="G31" s="16" cm="1">
        <f t="array" ref="G31">IFERROR(_xlfn.XLOOKUP(1, (SKUs!$J$2:$J$10001=accsry_unmerged!F31)*IF(H31&lt;&gt;"",(SKUs!$L$2:$L$10001=accsry_unmerged!H31),1)*(SKUs!$K$2:$K$10001=I31),SKUs!$C$2:$C$10001),"")</f>
        <v>0</v>
      </c>
      <c r="H31" s="33" cm="1">
        <f t="array" ref="H31">IFERROR(_xlfn.XLOOKUP(1, (dd_accsryclr!$C$2:$C$1000=accsry_unmerged!F31)*(dd_accsryclr!$B$2:$B$1000=accsry_unmerged!J31),dd_accsryclr!$A$2:$A$1000),"")</f>
        <v>0</v>
      </c>
      <c r="I31" s="16">
        <f>_xlfn.XLOOKUP(C31,'Project Details'!$C$17:$C$66,'Project Details'!$E$17:$E$66,"",0)</f>
        <v>0</v>
      </c>
      <c r="J31" s="16">
        <f>_xlfn.XLOOKUP(C31,'Project Details'!$C$17:$C$66,'Project Details'!$H$17:$H$66,"",0)</f>
        <v>0</v>
      </c>
      <c r="K31" s="33" t="str">
        <f>IF(AND(_xlfn.XLOOKUP(C31,'Project Details'!$C$17:$C$66,'Project Details'!$L$17:$L$66,"",0)&gt;550, F31="Spring-L27cm"),"",SUBSTITUTE(_xlfn.XLOOKUP(G31,SKUs!$C$2:$C$10001,SKUs!$F$2:$F$10001,"",0), " Accessories",""))</f>
        <v/>
      </c>
      <c r="L31" s="33">
        <f>_xlfn.XLOOKUP(C31,'Project Details'!$C$17:$C$66,'Project Details'!$D$17:$D$66,"",0)</f>
        <v>0</v>
      </c>
      <c r="M31" s="43"/>
    </row>
    <row r="32" spans="1:13" x14ac:dyDescent="0.25">
      <c r="A32" s="43"/>
      <c r="B32" s="43"/>
      <c r="C32" s="35">
        <v>1</v>
      </c>
      <c r="D32" s="35" t="str" cm="1">
        <f t="array" ref="D32">IFERROR(ROUNDUP(_xlfn.IFS(F32="Aluminum Track", _xlfn.XLOOKUP(C32, dd_accsrycalc!$A$2:$A$51, dd_accsrycalc!$B$2:$B$51, "",0), F32="10 x 2 1/2 S (Flat)", _xlfn.XLOOKUP(C32, dd_accsrycalc!$A$2:$A$51, dd_accsrycalc!$C$2:$C$51, "",0), F32="Tox6", _xlfn.XLOOKUP(C32, dd_accsrycalc!$A$2:$A$51, dd_accsrycalc!$D$2:$D$51, "",0), F32="Cover Cap", _xlfn.XLOOKUP(C32, dd_accsrycalc!$A$2:$A$51, dd_accsrycalc!$E$2:$E$51, "",0), F32="Drainage Cover", _xlfn.XLOOKUP(C32, dd_accsrycalc!$A$2:$A$51, dd_accsrycalc!$F$2:$F$51, "",0),AND( F32="Double Adhesive Tape", I32="Roll-up Screen"), _xlfn.XLOOKUP(C32, calc_rusacc!$C$15:$C$65, calc_rusacc!$AD$15:$AD$65, "",0),AND( F32="Sealant", I32="Roll-up Screen"), _xlfn.XLOOKUP(C32, calc_rusacc!$C$15:$C$65, calc_rusacc!$AF$15:$AF$65, "",0),  AND( F32="Main Chain", I32="Accordion Screen"), _xlfn.XLOOKUP(C32, calc_rusacc!$C$15:$C$65, calc_rusacc!$BF$15:$BF$65, "",0), AND( F32="Sealant", I32="Accordion Screen"), _xlfn.XLOOKUP(C32, calc_rusacc!$C$15:$C$65, calc_rusacc!$BJ$15:$BJ$65, "",0),  F32="Sealant", _xlfn.XLOOKUP(C32, dd_accsrycalc!$A$2:$A$51, dd_accsrycalc!$G$2:$G$51, "",0),  F32&lt;&gt;"",L32*_xlfn.XLOOKUP(1, (SKUs!$C$2:$C$10001=G32)*(SKUs!$K$2:$K$10001=I32),SKUs!$E$2:$E$10001)), 0),"")</f>
        <v/>
      </c>
      <c r="E32" s="35" t="str">
        <f>_xlfn.XLOOKUP(F32,dd_item!$B$2:$B$105,dd_item!$C$2:$C$105,"",0)</f>
        <v/>
      </c>
      <c r="F32" s="35"/>
      <c r="G32" s="35" cm="1">
        <f t="array" ref="G32">IFERROR(_xlfn.XLOOKUP(1, (SKUs!$J$2:$J$10001=accsry_unmerged!F32)*IF(H32&lt;&gt;"",(SKUs!$L$2:$L$10001=accsry_unmerged!H32),1)*(SKUs!$K$2:$K$10001=I32),SKUs!$C$2:$C$10001),"")</f>
        <v>0</v>
      </c>
      <c r="H32" s="36" cm="1">
        <f t="array" ref="H32">IFERROR(_xlfn.XLOOKUP(1, (dd_accsryclr!$C$2:$C$1000=accsry_unmerged!F32)*(dd_accsryclr!$B$2:$B$1000=accsry_unmerged!J32),dd_accsryclr!$A$2:$A$1000),"")</f>
        <v>0</v>
      </c>
      <c r="I32" s="35">
        <f>_xlfn.XLOOKUP(C32,'Project Details'!$C$17:$C$66,'Project Details'!$E$17:$E$66,"",0)</f>
        <v>0</v>
      </c>
      <c r="J32" s="35">
        <f>_xlfn.XLOOKUP(C32,'Project Details'!$C$17:$C$66,'Project Details'!$H$17:$H$66,"",0)</f>
        <v>0</v>
      </c>
      <c r="K32" s="36" t="str">
        <f>IF(AND(_xlfn.XLOOKUP(C32,'Project Details'!$C$17:$C$66,'Project Details'!$L$17:$L$66,"",0)&gt;550, F32="Spring-L27cm"),"",SUBSTITUTE(_xlfn.XLOOKUP(G32,SKUs!$C$2:$C$10001,SKUs!$F$2:$F$10001,"",0), " Accessories",""))</f>
        <v/>
      </c>
      <c r="L32" s="36">
        <f>_xlfn.XLOOKUP(C32,'Project Details'!$C$17:$C$66,'Project Details'!$D$17:$D$66,"",0)</f>
        <v>0</v>
      </c>
      <c r="M32" s="43"/>
    </row>
    <row r="33" spans="1:13" x14ac:dyDescent="0.25">
      <c r="A33" s="43"/>
      <c r="B33" s="43"/>
      <c r="C33" s="16">
        <v>1</v>
      </c>
      <c r="D33" s="16" t="str" cm="1">
        <f t="array" ref="D33">IFERROR(ROUNDUP(_xlfn.IFS(F33="Aluminum Track", _xlfn.XLOOKUP(C33, dd_accsrycalc!$A$2:$A$51, dd_accsrycalc!$B$2:$B$51, "",0), F33="10 x 2 1/2 S (Flat)", _xlfn.XLOOKUP(C33, dd_accsrycalc!$A$2:$A$51, dd_accsrycalc!$C$2:$C$51, "",0), F33="Tox6", _xlfn.XLOOKUP(C33, dd_accsrycalc!$A$2:$A$51, dd_accsrycalc!$D$2:$D$51, "",0), F33="Cover Cap", _xlfn.XLOOKUP(C33, dd_accsrycalc!$A$2:$A$51, dd_accsrycalc!$E$2:$E$51, "",0), F33="Drainage Cover", _xlfn.XLOOKUP(C33, dd_accsrycalc!$A$2:$A$51, dd_accsrycalc!$F$2:$F$51, "",0),AND( F33="Double Adhesive Tape", I33="Roll-up Screen"), _xlfn.XLOOKUP(C33, calc_rusacc!$C$15:$C$65, calc_rusacc!$AD$15:$AD$65, "",0),AND( F33="Sealant", I33="Roll-up Screen"), _xlfn.XLOOKUP(C33, calc_rusacc!$C$15:$C$65, calc_rusacc!$AF$15:$AF$65, "",0),  AND( F33="Main Chain", I33="Accordion Screen"), _xlfn.XLOOKUP(C33, calc_rusacc!$C$15:$C$65, calc_rusacc!$BF$15:$BF$65, "",0), AND( F33="Sealant", I33="Accordion Screen"), _xlfn.XLOOKUP(C33, calc_rusacc!$C$15:$C$65, calc_rusacc!$BJ$15:$BJ$65, "",0),  F33="Sealant", _xlfn.XLOOKUP(C33, dd_accsrycalc!$A$2:$A$51, dd_accsrycalc!$G$2:$G$51, "",0),  F33&lt;&gt;"",L33*_xlfn.XLOOKUP(1, (SKUs!$C$2:$C$10001=G33)*(SKUs!$K$2:$K$10001=I33),SKUs!$E$2:$E$10001)), 0),"")</f>
        <v/>
      </c>
      <c r="E33" s="16" t="str">
        <f>_xlfn.XLOOKUP(F33,dd_item!$B$2:$B$105,dd_item!$C$2:$C$105,"",0)</f>
        <v/>
      </c>
      <c r="F33" s="16"/>
      <c r="G33" s="16" cm="1">
        <f t="array" ref="G33">IFERROR(_xlfn.XLOOKUP(1, (SKUs!$J$2:$J$10001=accsry_unmerged!F33)*IF(H33&lt;&gt;"",(SKUs!$L$2:$L$10001=accsry_unmerged!H33),1)*(SKUs!$K$2:$K$10001=I33),SKUs!$C$2:$C$10001),"")</f>
        <v>0</v>
      </c>
      <c r="H33" s="33" cm="1">
        <f t="array" ref="H33">IFERROR(_xlfn.XLOOKUP(1, (dd_accsryclr!$C$2:$C$1000=accsry_unmerged!F33)*(dd_accsryclr!$B$2:$B$1000=accsry_unmerged!J33),dd_accsryclr!$A$2:$A$1000),"")</f>
        <v>0</v>
      </c>
      <c r="I33" s="16">
        <f>_xlfn.XLOOKUP(C33,'Project Details'!$C$17:$C$66,'Project Details'!$E$17:$E$66,"",0)</f>
        <v>0</v>
      </c>
      <c r="J33" s="16">
        <f>_xlfn.XLOOKUP(C33,'Project Details'!$C$17:$C$66,'Project Details'!$H$17:$H$66,"",0)</f>
        <v>0</v>
      </c>
      <c r="K33" s="33" t="str">
        <f>IF(AND(_xlfn.XLOOKUP(C33,'Project Details'!$C$17:$C$66,'Project Details'!$L$17:$L$66,"",0)&gt;550, F33="Spring-L27cm"),"",SUBSTITUTE(_xlfn.XLOOKUP(G33,SKUs!$C$2:$C$10001,SKUs!$F$2:$F$10001,"",0), " Accessories",""))</f>
        <v/>
      </c>
      <c r="L33" s="33">
        <f>_xlfn.XLOOKUP(C33,'Project Details'!$C$17:$C$66,'Project Details'!$D$17:$D$66,"",0)</f>
        <v>0</v>
      </c>
      <c r="M33" s="43"/>
    </row>
    <row r="34" spans="1:13" ht="13.5" customHeight="1" x14ac:dyDescent="0.25">
      <c r="A34" s="43"/>
      <c r="B34" s="43"/>
      <c r="C34" s="35">
        <v>1</v>
      </c>
      <c r="D34" s="35" t="str" cm="1">
        <f t="array" ref="D34">IFERROR(ROUNDUP(_xlfn.IFS(F34="Aluminum Track", _xlfn.XLOOKUP(C34, dd_accsrycalc!$A$2:$A$51, dd_accsrycalc!$B$2:$B$51, "",0), F34="10 x 2 1/2 S (Flat)", _xlfn.XLOOKUP(C34, dd_accsrycalc!$A$2:$A$51, dd_accsrycalc!$C$2:$C$51, "",0), F34="Tox6", _xlfn.XLOOKUP(C34, dd_accsrycalc!$A$2:$A$51, dd_accsrycalc!$D$2:$D$51, "",0), F34="Cover Cap", _xlfn.XLOOKUP(C34, dd_accsrycalc!$A$2:$A$51, dd_accsrycalc!$E$2:$E$51, "",0), F34="Drainage Cover", _xlfn.XLOOKUP(C34, dd_accsrycalc!$A$2:$A$51, dd_accsrycalc!$F$2:$F$51, "",0),AND( F34="Double Adhesive Tape", I34="Roll-up Screen"), _xlfn.XLOOKUP(C34, calc_rusacc!$C$15:$C$65, calc_rusacc!$AD$15:$AD$65, "",0),AND( F34="Sealant", I34="Roll-up Screen"), _xlfn.XLOOKUP(C34, calc_rusacc!$C$15:$C$65, calc_rusacc!$AF$15:$AF$65, "",0),  AND( F34="Main Chain", I34="Accordion Screen"), _xlfn.XLOOKUP(C34, calc_rusacc!$C$15:$C$65, calc_rusacc!$BF$15:$BF$65, "",0), AND( F34="Sealant", I34="Accordion Screen"), _xlfn.XLOOKUP(C34, calc_rusacc!$C$15:$C$65, calc_rusacc!$BJ$15:$BJ$65, "",0),  F34="Sealant", _xlfn.XLOOKUP(C34, dd_accsrycalc!$A$2:$A$51, dd_accsrycalc!$G$2:$G$51, "",0),  F34&lt;&gt;"",L34*_xlfn.XLOOKUP(1, (SKUs!$C$2:$C$10001=G34)*(SKUs!$K$2:$K$10001=I34),SKUs!$E$2:$E$10001)), 0),"")</f>
        <v/>
      </c>
      <c r="E34" s="35" t="str">
        <f>_xlfn.XLOOKUP(F34,dd_item!$B$2:$B$105,dd_item!$C$2:$C$105,"",0)</f>
        <v/>
      </c>
      <c r="F34" s="35"/>
      <c r="G34" s="35" cm="1">
        <f t="array" ref="G34">IFERROR(_xlfn.XLOOKUP(1, (SKUs!$J$2:$J$10001=accsry_unmerged!F34)*IF(H34&lt;&gt;"",(SKUs!$L$2:$L$10001=accsry_unmerged!H34),1)*(SKUs!$K$2:$K$10001=I34),SKUs!$C$2:$C$10001),"")</f>
        <v>0</v>
      </c>
      <c r="H34" s="36" cm="1">
        <f t="array" ref="H34">IFERROR(_xlfn.XLOOKUP(1, (dd_accsryclr!$C$2:$C$1000=accsry_unmerged!F34)*(dd_accsryclr!$B$2:$B$1000=accsry_unmerged!J34),dd_accsryclr!$A$2:$A$1000),"")</f>
        <v>0</v>
      </c>
      <c r="I34" s="35">
        <f>_xlfn.XLOOKUP(C34,'Project Details'!$C$17:$C$66,'Project Details'!$E$17:$E$66,"",0)</f>
        <v>0</v>
      </c>
      <c r="J34" s="35">
        <f>_xlfn.XLOOKUP(C34,'Project Details'!$C$17:$C$66,'Project Details'!$H$17:$H$66,"",0)</f>
        <v>0</v>
      </c>
      <c r="K34" s="36" t="str">
        <f>IF(AND(_xlfn.XLOOKUP(C34,'Project Details'!$C$17:$C$66,'Project Details'!$L$17:$L$66,"",0)&gt;550, F34="Spring-L27cm"),"",SUBSTITUTE(_xlfn.XLOOKUP(G34,SKUs!$C$2:$C$10001,SKUs!$F$2:$F$10001,"",0), " Accessories",""))</f>
        <v/>
      </c>
      <c r="L34" s="36">
        <f>_xlfn.XLOOKUP(C34,'Project Details'!$C$17:$C$66,'Project Details'!$D$17:$D$66,"",0)</f>
        <v>0</v>
      </c>
      <c r="M34" s="43"/>
    </row>
    <row r="35" spans="1:13" ht="13.5" customHeight="1" x14ac:dyDescent="0.25">
      <c r="A35" s="43"/>
      <c r="B35" s="43"/>
      <c r="C35" s="16">
        <v>1</v>
      </c>
      <c r="D35" s="16" t="str" cm="1">
        <f t="array" ref="D35">IFERROR(ROUNDUP(_xlfn.IFS(F35="Aluminum Track", _xlfn.XLOOKUP(C35, dd_accsrycalc!$A$2:$A$51, dd_accsrycalc!$B$2:$B$51, "",0), F35="10 x 2 1/2 S (Flat)", _xlfn.XLOOKUP(C35, dd_accsrycalc!$A$2:$A$51, dd_accsrycalc!$C$2:$C$51, "",0), F35="Tox6", _xlfn.XLOOKUP(C35, dd_accsrycalc!$A$2:$A$51, dd_accsrycalc!$D$2:$D$51, "",0), F35="Cover Cap", _xlfn.XLOOKUP(C35, dd_accsrycalc!$A$2:$A$51, dd_accsrycalc!$E$2:$E$51, "",0), F35="Drainage Cover", _xlfn.XLOOKUP(C35, dd_accsrycalc!$A$2:$A$51, dd_accsrycalc!$F$2:$F$51, "",0),AND( F35="Double Adhesive Tape", I35="Roll-up Screen"), _xlfn.XLOOKUP(C35, calc_rusacc!$C$15:$C$65, calc_rusacc!$AD$15:$AD$65, "",0),AND( F35="Sealant", I35="Roll-up Screen"), _xlfn.XLOOKUP(C35, calc_rusacc!$C$15:$C$65, calc_rusacc!$AF$15:$AF$65, "",0),  AND( F35="Main Chain", I35="Accordion Screen"), _xlfn.XLOOKUP(C35, calc_rusacc!$C$15:$C$65, calc_rusacc!$BF$15:$BF$65, "",0), AND( F35="Sealant", I35="Accordion Screen"), _xlfn.XLOOKUP(C35, calc_rusacc!$C$15:$C$65, calc_rusacc!$BJ$15:$BJ$65, "",0),  F35="Sealant", _xlfn.XLOOKUP(C35, dd_accsrycalc!$A$2:$A$51, dd_accsrycalc!$G$2:$G$51, "",0),  F35&lt;&gt;"",L35*_xlfn.XLOOKUP(1, (SKUs!$C$2:$C$10001=G35)*(SKUs!$K$2:$K$10001=I35),SKUs!$E$2:$E$10001)), 0),"")</f>
        <v/>
      </c>
      <c r="E35" s="16" t="str">
        <f>_xlfn.XLOOKUP(F35,dd_item!$B$2:$B$105,dd_item!$C$2:$C$105,"",0)</f>
        <v/>
      </c>
      <c r="F35" s="16"/>
      <c r="G35" s="16" cm="1">
        <f t="array" ref="G35">IFERROR(_xlfn.XLOOKUP(1, (SKUs!$J$2:$J$10001=accsry_unmerged!F35)*IF(H35&lt;&gt;"",(SKUs!$L$2:$L$10001=accsry_unmerged!H35),1)*(SKUs!$K$2:$K$10001=I35),SKUs!$C$2:$C$10001),"")</f>
        <v>0</v>
      </c>
      <c r="H35" s="33" cm="1">
        <f t="array" ref="H35">IFERROR(_xlfn.XLOOKUP(1, (dd_accsryclr!$C$2:$C$1000=accsry_unmerged!F35)*(dd_accsryclr!$B$2:$B$1000=accsry_unmerged!J35),dd_accsryclr!$A$2:$A$1000),"")</f>
        <v>0</v>
      </c>
      <c r="I35" s="16">
        <f>_xlfn.XLOOKUP(C35,'Project Details'!$C$17:$C$66,'Project Details'!$E$17:$E$66,"",0)</f>
        <v>0</v>
      </c>
      <c r="J35" s="16">
        <f>_xlfn.XLOOKUP(C35,'Project Details'!$C$17:$C$66,'Project Details'!$H$17:$H$66,"",0)</f>
        <v>0</v>
      </c>
      <c r="K35" s="33" t="str">
        <f>IF(AND(_xlfn.XLOOKUP(C35,'Project Details'!$C$17:$C$66,'Project Details'!$L$17:$L$66,"",0)&gt;550, F35="Spring-L27cm"),"",SUBSTITUTE(_xlfn.XLOOKUP(G35,SKUs!$C$2:$C$10001,SKUs!$F$2:$F$10001,"",0), " Accessories",""))</f>
        <v/>
      </c>
      <c r="L35" s="33">
        <f>_xlfn.XLOOKUP(C35,'Project Details'!$C$17:$C$66,'Project Details'!$D$17:$D$66,"",0)</f>
        <v>0</v>
      </c>
      <c r="M35" s="43"/>
    </row>
    <row r="36" spans="1:13" ht="13.5" customHeight="1" x14ac:dyDescent="0.25">
      <c r="A36" s="43"/>
      <c r="B36" s="43"/>
      <c r="C36" s="35">
        <v>1</v>
      </c>
      <c r="D36" s="35" t="str" cm="1">
        <f t="array" ref="D36">IFERROR(ROUNDUP(_xlfn.IFS(F36="Aluminum Track", _xlfn.XLOOKUP(C36, dd_accsrycalc!$A$2:$A$51, dd_accsrycalc!$B$2:$B$51, "",0), F36="10 x 2 1/2 S (Flat)", _xlfn.XLOOKUP(C36, dd_accsrycalc!$A$2:$A$51, dd_accsrycalc!$C$2:$C$51, "",0), F36="Tox6", _xlfn.XLOOKUP(C36, dd_accsrycalc!$A$2:$A$51, dd_accsrycalc!$D$2:$D$51, "",0), F36="Cover Cap", _xlfn.XLOOKUP(C36, dd_accsrycalc!$A$2:$A$51, dd_accsrycalc!$E$2:$E$51, "",0), F36="Drainage Cover", _xlfn.XLOOKUP(C36, dd_accsrycalc!$A$2:$A$51, dd_accsrycalc!$F$2:$F$51, "",0),AND( F36="Double Adhesive Tape", I36="Roll-up Screen"), _xlfn.XLOOKUP(C36, calc_rusacc!$C$15:$C$65, calc_rusacc!$AD$15:$AD$65, "",0),AND( F36="Sealant", I36="Roll-up Screen"), _xlfn.XLOOKUP(C36, calc_rusacc!$C$15:$C$65, calc_rusacc!$AF$15:$AF$65, "",0),  AND( F36="Main Chain", I36="Accordion Screen"), _xlfn.XLOOKUP(C36, calc_rusacc!$C$15:$C$65, calc_rusacc!$BF$15:$BF$65, "",0), AND( F36="Sealant", I36="Accordion Screen"), _xlfn.XLOOKUP(C36, calc_rusacc!$C$15:$C$65, calc_rusacc!$BJ$15:$BJ$65, "",0),  F36="Sealant", _xlfn.XLOOKUP(C36, dd_accsrycalc!$A$2:$A$51, dd_accsrycalc!$G$2:$G$51, "",0),  F36&lt;&gt;"",L36*_xlfn.XLOOKUP(1, (SKUs!$C$2:$C$10001=G36)*(SKUs!$K$2:$K$10001=I36),SKUs!$E$2:$E$10001)), 0),"")</f>
        <v/>
      </c>
      <c r="E36" s="35" t="str">
        <f>_xlfn.XLOOKUP(F36,dd_item!$B$2:$B$105,dd_item!$C$2:$C$105,"",0)</f>
        <v/>
      </c>
      <c r="F36" s="35"/>
      <c r="G36" s="35" cm="1">
        <f t="array" ref="G36">IFERROR(_xlfn.XLOOKUP(1, (SKUs!$J$2:$J$10001=accsry_unmerged!F36)*IF(H36&lt;&gt;"",(SKUs!$L$2:$L$10001=accsry_unmerged!H36),1)*(SKUs!$K$2:$K$10001=I36),SKUs!$C$2:$C$10001),"")</f>
        <v>0</v>
      </c>
      <c r="H36" s="36" cm="1">
        <f t="array" ref="H36">IFERROR(_xlfn.XLOOKUP(1, (dd_accsryclr!$C$2:$C$1000=accsry_unmerged!F36)*(dd_accsryclr!$B$2:$B$1000=accsry_unmerged!J36),dd_accsryclr!$A$2:$A$1000),"")</f>
        <v>0</v>
      </c>
      <c r="I36" s="35">
        <f>_xlfn.XLOOKUP(C36,'Project Details'!$C$17:$C$66,'Project Details'!$E$17:$E$66,"",0)</f>
        <v>0</v>
      </c>
      <c r="J36" s="35">
        <f>_xlfn.XLOOKUP(C36,'Project Details'!$C$17:$C$66,'Project Details'!$H$17:$H$66,"",0)</f>
        <v>0</v>
      </c>
      <c r="K36" s="36" t="str">
        <f>IF(AND(_xlfn.XLOOKUP(C36,'Project Details'!$C$17:$C$66,'Project Details'!$L$17:$L$66,"",0)&gt;550, F36="Spring-L27cm"),"",SUBSTITUTE(_xlfn.XLOOKUP(G36,SKUs!$C$2:$C$10001,SKUs!$F$2:$F$10001,"",0), " Accessories",""))</f>
        <v/>
      </c>
      <c r="L36" s="36">
        <f>_xlfn.XLOOKUP(C36,'Project Details'!$C$17:$C$66,'Project Details'!$D$17:$D$66,"",0)</f>
        <v>0</v>
      </c>
      <c r="M36" s="43"/>
    </row>
    <row r="37" spans="1:13" ht="13.5" customHeight="1" x14ac:dyDescent="0.25">
      <c r="A37" s="43"/>
      <c r="B37" s="43"/>
      <c r="C37" s="16">
        <v>1</v>
      </c>
      <c r="D37" s="16" t="str" cm="1">
        <f t="array" ref="D37">IFERROR(ROUNDUP(_xlfn.IFS(F37="Aluminum Track", _xlfn.XLOOKUP(C37, dd_accsrycalc!$A$2:$A$51, dd_accsrycalc!$B$2:$B$51, "",0), F37="10 x 2 1/2 S (Flat)", _xlfn.XLOOKUP(C37, dd_accsrycalc!$A$2:$A$51, dd_accsrycalc!$C$2:$C$51, "",0), F37="Tox6", _xlfn.XLOOKUP(C37, dd_accsrycalc!$A$2:$A$51, dd_accsrycalc!$D$2:$D$51, "",0), F37="Cover Cap", _xlfn.XLOOKUP(C37, dd_accsrycalc!$A$2:$A$51, dd_accsrycalc!$E$2:$E$51, "",0), F37="Drainage Cover", _xlfn.XLOOKUP(C37, dd_accsrycalc!$A$2:$A$51, dd_accsrycalc!$F$2:$F$51, "",0),AND( F37="Double Adhesive Tape", I37="Roll-up Screen"), _xlfn.XLOOKUP(C37, calc_rusacc!$C$15:$C$65, calc_rusacc!$AD$15:$AD$65, "",0),AND( F37="Sealant", I37="Roll-up Screen"), _xlfn.XLOOKUP(C37, calc_rusacc!$C$15:$C$65, calc_rusacc!$AF$15:$AF$65, "",0),  AND( F37="Main Chain", I37="Accordion Screen"), _xlfn.XLOOKUP(C37, calc_rusacc!$C$15:$C$65, calc_rusacc!$BF$15:$BF$65, "",0), AND( F37="Sealant", I37="Accordion Screen"), _xlfn.XLOOKUP(C37, calc_rusacc!$C$15:$C$65, calc_rusacc!$BJ$15:$BJ$65, "",0),  F37="Sealant", _xlfn.XLOOKUP(C37, dd_accsrycalc!$A$2:$A$51, dd_accsrycalc!$G$2:$G$51, "",0),  F37&lt;&gt;"",L37*_xlfn.XLOOKUP(1, (SKUs!$C$2:$C$10001=G37)*(SKUs!$K$2:$K$10001=I37),SKUs!$E$2:$E$10001)), 0),"")</f>
        <v/>
      </c>
      <c r="E37" s="16" t="str">
        <f>_xlfn.XLOOKUP(F37,dd_item!$B$2:$B$105,dd_item!$C$2:$C$105,"",0)</f>
        <v/>
      </c>
      <c r="F37" s="16"/>
      <c r="G37" s="16" cm="1">
        <f t="array" ref="G37">IFERROR(_xlfn.XLOOKUP(1, (SKUs!$J$2:$J$10001=accsry_unmerged!F37)*IF(H37&lt;&gt;"",(SKUs!$L$2:$L$10001=accsry_unmerged!H37),1)*(SKUs!$K$2:$K$10001=I37),SKUs!$C$2:$C$10001),"")</f>
        <v>0</v>
      </c>
      <c r="H37" s="33" cm="1">
        <f t="array" ref="H37">IFERROR(_xlfn.XLOOKUP(1, (dd_accsryclr!$C$2:$C$1000=accsry_unmerged!F37)*(dd_accsryclr!$B$2:$B$1000=accsry_unmerged!J37),dd_accsryclr!$A$2:$A$1000),"")</f>
        <v>0</v>
      </c>
      <c r="I37" s="16">
        <f>_xlfn.XLOOKUP(C37,'Project Details'!$C$17:$C$66,'Project Details'!$E$17:$E$66,"",0)</f>
        <v>0</v>
      </c>
      <c r="J37" s="16">
        <f>_xlfn.XLOOKUP(C37,'Project Details'!$C$17:$C$66,'Project Details'!$H$17:$H$66,"",0)</f>
        <v>0</v>
      </c>
      <c r="K37" s="33" t="str">
        <f>IF(AND(_xlfn.XLOOKUP(C37,'Project Details'!$C$17:$C$66,'Project Details'!$L$17:$L$66,"",0)&gt;550, F37="Spring-L27cm"),"",SUBSTITUTE(_xlfn.XLOOKUP(G37,SKUs!$C$2:$C$10001,SKUs!$F$2:$F$10001,"",0), " Accessories",""))</f>
        <v/>
      </c>
      <c r="L37" s="33">
        <f>_xlfn.XLOOKUP(C37,'Project Details'!$C$17:$C$66,'Project Details'!$D$17:$D$66,"",0)</f>
        <v>0</v>
      </c>
      <c r="M37" s="43"/>
    </row>
    <row r="38" spans="1:13" ht="13.5" customHeight="1" x14ac:dyDescent="0.25">
      <c r="A38" s="43"/>
      <c r="B38" s="43"/>
      <c r="C38" s="35">
        <v>1</v>
      </c>
      <c r="D38" s="35" t="str" cm="1">
        <f t="array" ref="D38">IFERROR(ROUNDUP(_xlfn.IFS(F38="Aluminum Track", _xlfn.XLOOKUP(C38, dd_accsrycalc!$A$2:$A$51, dd_accsrycalc!$B$2:$B$51, "",0), F38="10 x 2 1/2 S (Flat)", _xlfn.XLOOKUP(C38, dd_accsrycalc!$A$2:$A$51, dd_accsrycalc!$C$2:$C$51, "",0), F38="Tox6", _xlfn.XLOOKUP(C38, dd_accsrycalc!$A$2:$A$51, dd_accsrycalc!$D$2:$D$51, "",0), F38="Cover Cap", _xlfn.XLOOKUP(C38, dd_accsrycalc!$A$2:$A$51, dd_accsrycalc!$E$2:$E$51, "",0), F38="Drainage Cover", _xlfn.XLOOKUP(C38, dd_accsrycalc!$A$2:$A$51, dd_accsrycalc!$F$2:$F$51, "",0),AND( F38="Double Adhesive Tape", I38="Roll-up Screen"), _xlfn.XLOOKUP(C38, calc_rusacc!$C$15:$C$65, calc_rusacc!$AD$15:$AD$65, "",0),AND( F38="Sealant", I38="Roll-up Screen"), _xlfn.XLOOKUP(C38, calc_rusacc!$C$15:$C$65, calc_rusacc!$AF$15:$AF$65, "",0),  AND( F38="Main Chain", I38="Accordion Screen"), _xlfn.XLOOKUP(C38, calc_rusacc!$C$15:$C$65, calc_rusacc!$BF$15:$BF$65, "",0), AND( F38="Sealant", I38="Accordion Screen"), _xlfn.XLOOKUP(C38, calc_rusacc!$C$15:$C$65, calc_rusacc!$BJ$15:$BJ$65, "",0),  F38="Sealant", _xlfn.XLOOKUP(C38, dd_accsrycalc!$A$2:$A$51, dd_accsrycalc!$G$2:$G$51, "",0),  F38&lt;&gt;"",L38*_xlfn.XLOOKUP(1, (SKUs!$C$2:$C$10001=G38)*(SKUs!$K$2:$K$10001=I38),SKUs!$E$2:$E$10001)), 0),"")</f>
        <v/>
      </c>
      <c r="E38" s="35" t="str">
        <f>_xlfn.XLOOKUP(F38,dd_item!$B$2:$B$105,dd_item!$C$2:$C$105,"",0)</f>
        <v/>
      </c>
      <c r="F38" s="35"/>
      <c r="G38" s="35" cm="1">
        <f t="array" ref="G38">IFERROR(_xlfn.XLOOKUP(1, (SKUs!$J$2:$J$10001=accsry_unmerged!F38)*IF(H38&lt;&gt;"",(SKUs!$L$2:$L$10001=accsry_unmerged!H38),1)*(SKUs!$K$2:$K$10001=I38),SKUs!$C$2:$C$10001),"")</f>
        <v>0</v>
      </c>
      <c r="H38" s="36" cm="1">
        <f t="array" ref="H38">IFERROR(_xlfn.XLOOKUP(1, (dd_accsryclr!$C$2:$C$1000=accsry_unmerged!F38)*(dd_accsryclr!$B$2:$B$1000=accsry_unmerged!J38),dd_accsryclr!$A$2:$A$1000),"")</f>
        <v>0</v>
      </c>
      <c r="I38" s="35">
        <f>_xlfn.XLOOKUP(C38,'Project Details'!$C$17:$C$66,'Project Details'!$E$17:$E$66,"",0)</f>
        <v>0</v>
      </c>
      <c r="J38" s="35">
        <f>_xlfn.XLOOKUP(C38,'Project Details'!$C$17:$C$66,'Project Details'!$H$17:$H$66,"",0)</f>
        <v>0</v>
      </c>
      <c r="K38" s="36" t="str">
        <f>IF(AND(_xlfn.XLOOKUP(C38,'Project Details'!$C$17:$C$66,'Project Details'!$L$17:$L$66,"",0)&gt;550, F38="Spring-L27cm"),"",SUBSTITUTE(_xlfn.XLOOKUP(G38,SKUs!$C$2:$C$10001,SKUs!$F$2:$F$10001,"",0), " Accessories",""))</f>
        <v/>
      </c>
      <c r="L38" s="36">
        <f>_xlfn.XLOOKUP(C38,'Project Details'!$C$17:$C$66,'Project Details'!$D$17:$D$66,"",0)</f>
        <v>0</v>
      </c>
      <c r="M38" s="43"/>
    </row>
    <row r="39" spans="1:13" ht="13.5" customHeight="1" x14ac:dyDescent="0.25">
      <c r="A39" s="43"/>
      <c r="B39" s="43"/>
      <c r="C39" s="16">
        <v>1</v>
      </c>
      <c r="D39" s="16" t="str" cm="1">
        <f t="array" ref="D39">IFERROR(ROUNDUP(_xlfn.IFS(F39="Aluminum Track", _xlfn.XLOOKUP(C39, dd_accsrycalc!$A$2:$A$51, dd_accsrycalc!$B$2:$B$51, "",0), F39="10 x 2 1/2 S (Flat)", _xlfn.XLOOKUP(C39, dd_accsrycalc!$A$2:$A$51, dd_accsrycalc!$C$2:$C$51, "",0), F39="Tox6", _xlfn.XLOOKUP(C39, dd_accsrycalc!$A$2:$A$51, dd_accsrycalc!$D$2:$D$51, "",0), F39="Cover Cap", _xlfn.XLOOKUP(C39, dd_accsrycalc!$A$2:$A$51, dd_accsrycalc!$E$2:$E$51, "",0), F39="Drainage Cover", _xlfn.XLOOKUP(C39, dd_accsrycalc!$A$2:$A$51, dd_accsrycalc!$F$2:$F$51, "",0),AND( F39="Double Adhesive Tape", I39="Roll-up Screen"), _xlfn.XLOOKUP(C39, calc_rusacc!$C$15:$C$65, calc_rusacc!$AD$15:$AD$65, "",0),AND( F39="Sealant", I39="Roll-up Screen"), _xlfn.XLOOKUP(C39, calc_rusacc!$C$15:$C$65, calc_rusacc!$AF$15:$AF$65, "",0),  AND( F39="Main Chain", I39="Accordion Screen"), _xlfn.XLOOKUP(C39, calc_rusacc!$C$15:$C$65, calc_rusacc!$BF$15:$BF$65, "",0), AND( F39="Sealant", I39="Accordion Screen"), _xlfn.XLOOKUP(C39, calc_rusacc!$C$15:$C$65, calc_rusacc!$BJ$15:$BJ$65, "",0),  F39="Sealant", _xlfn.XLOOKUP(C39, dd_accsrycalc!$A$2:$A$51, dd_accsrycalc!$G$2:$G$51, "",0),  F39&lt;&gt;"",L39*_xlfn.XLOOKUP(1, (SKUs!$C$2:$C$10001=G39)*(SKUs!$K$2:$K$10001=I39),SKUs!$E$2:$E$10001)), 0),"")</f>
        <v/>
      </c>
      <c r="E39" s="16" t="str">
        <f>_xlfn.XLOOKUP(F39,dd_item!$B$2:$B$105,dd_item!$C$2:$C$105,"",0)</f>
        <v/>
      </c>
      <c r="F39" s="16"/>
      <c r="G39" s="16" cm="1">
        <f t="array" ref="G39">IFERROR(_xlfn.XLOOKUP(1, (SKUs!$J$2:$J$10001=accsry_unmerged!F39)*IF(H39&lt;&gt;"",(SKUs!$L$2:$L$10001=accsry_unmerged!H39),1)*(SKUs!$K$2:$K$10001=I39),SKUs!$C$2:$C$10001),"")</f>
        <v>0</v>
      </c>
      <c r="H39" s="33" cm="1">
        <f t="array" ref="H39">IFERROR(_xlfn.XLOOKUP(1, (dd_accsryclr!$C$2:$C$1000=accsry_unmerged!F39)*(dd_accsryclr!$B$2:$B$1000=accsry_unmerged!J39),dd_accsryclr!$A$2:$A$1000),"")</f>
        <v>0</v>
      </c>
      <c r="I39" s="16">
        <f>_xlfn.XLOOKUP(C39,'Project Details'!$C$17:$C$66,'Project Details'!$E$17:$E$66,"",0)</f>
        <v>0</v>
      </c>
      <c r="J39" s="16">
        <f>_xlfn.XLOOKUP(C39,'Project Details'!$C$17:$C$66,'Project Details'!$H$17:$H$66,"",0)</f>
        <v>0</v>
      </c>
      <c r="K39" s="33" t="str">
        <f>IF(AND(_xlfn.XLOOKUP(C39,'Project Details'!$C$17:$C$66,'Project Details'!$L$17:$L$66,"",0)&gt;550, F39="Spring-L27cm"),"",SUBSTITUTE(_xlfn.XLOOKUP(G39,SKUs!$C$2:$C$10001,SKUs!$F$2:$F$10001,"",0), " Accessories",""))</f>
        <v/>
      </c>
      <c r="L39" s="33">
        <f>_xlfn.XLOOKUP(C39,'Project Details'!$C$17:$C$66,'Project Details'!$D$17:$D$66,"",0)</f>
        <v>0</v>
      </c>
      <c r="M39" s="43"/>
    </row>
    <row r="40" spans="1:13" ht="13.5" customHeight="1" x14ac:dyDescent="0.25">
      <c r="A40" s="43"/>
      <c r="B40" s="43"/>
      <c r="C40" s="35">
        <v>1</v>
      </c>
      <c r="D40" s="35" t="str" cm="1">
        <f t="array" ref="D40">IFERROR(ROUNDUP(_xlfn.IFS(F40="Aluminum Track", _xlfn.XLOOKUP(C40, dd_accsrycalc!$A$2:$A$51, dd_accsrycalc!$B$2:$B$51, "",0), F40="10 x 2 1/2 S (Flat)", _xlfn.XLOOKUP(C40, dd_accsrycalc!$A$2:$A$51, dd_accsrycalc!$C$2:$C$51, "",0), F40="Tox6", _xlfn.XLOOKUP(C40, dd_accsrycalc!$A$2:$A$51, dd_accsrycalc!$D$2:$D$51, "",0), F40="Cover Cap", _xlfn.XLOOKUP(C40, dd_accsrycalc!$A$2:$A$51, dd_accsrycalc!$E$2:$E$51, "",0), F40="Drainage Cover", _xlfn.XLOOKUP(C40, dd_accsrycalc!$A$2:$A$51, dd_accsrycalc!$F$2:$F$51, "",0),AND( F40="Double Adhesive Tape", I40="Roll-up Screen"), _xlfn.XLOOKUP(C40, calc_rusacc!$C$15:$C$65, calc_rusacc!$AD$15:$AD$65, "",0),AND( F40="Sealant", I40="Roll-up Screen"), _xlfn.XLOOKUP(C40, calc_rusacc!$C$15:$C$65, calc_rusacc!$AF$15:$AF$65, "",0),  AND( F40="Main Chain", I40="Accordion Screen"), _xlfn.XLOOKUP(C40, calc_rusacc!$C$15:$C$65, calc_rusacc!$BF$15:$BF$65, "",0), AND( F40="Sealant", I40="Accordion Screen"), _xlfn.XLOOKUP(C40, calc_rusacc!$C$15:$C$65, calc_rusacc!$BJ$15:$BJ$65, "",0),  F40="Sealant", _xlfn.XLOOKUP(C40, dd_accsrycalc!$A$2:$A$51, dd_accsrycalc!$G$2:$G$51, "",0),  F40&lt;&gt;"",L40*_xlfn.XLOOKUP(1, (SKUs!$C$2:$C$10001=G40)*(SKUs!$K$2:$K$10001=I40),SKUs!$E$2:$E$10001)), 0),"")</f>
        <v/>
      </c>
      <c r="E40" s="35" t="str">
        <f>_xlfn.XLOOKUP(F40,dd_item!$B$2:$B$105,dd_item!$C$2:$C$105,"",0)</f>
        <v/>
      </c>
      <c r="F40" s="35"/>
      <c r="G40" s="35" cm="1">
        <f t="array" ref="G40">IFERROR(_xlfn.XLOOKUP(1, (SKUs!$J$2:$J$10001=accsry_unmerged!F40)*IF(H40&lt;&gt;"",(SKUs!$L$2:$L$10001=accsry_unmerged!H40),1)*(SKUs!$K$2:$K$10001=I40),SKUs!$C$2:$C$10001),"")</f>
        <v>0</v>
      </c>
      <c r="H40" s="36" cm="1">
        <f t="array" ref="H40">IFERROR(_xlfn.XLOOKUP(1, (dd_accsryclr!$C$2:$C$1000=accsry_unmerged!F40)*(dd_accsryclr!$B$2:$B$1000=accsry_unmerged!J40),dd_accsryclr!$A$2:$A$1000),"")</f>
        <v>0</v>
      </c>
      <c r="I40" s="35">
        <f>_xlfn.XLOOKUP(C40,'Project Details'!$C$17:$C$66,'Project Details'!$E$17:$E$66,"",0)</f>
        <v>0</v>
      </c>
      <c r="J40" s="35">
        <f>_xlfn.XLOOKUP(C40,'Project Details'!$C$17:$C$66,'Project Details'!$H$17:$H$66,"",0)</f>
        <v>0</v>
      </c>
      <c r="K40" s="36" t="str">
        <f>IF(AND(_xlfn.XLOOKUP(C40,'Project Details'!$C$17:$C$66,'Project Details'!$L$17:$L$66,"",0)&gt;550, F40="Spring-L27cm"),"",SUBSTITUTE(_xlfn.XLOOKUP(G40,SKUs!$C$2:$C$10001,SKUs!$F$2:$F$10001,"",0), " Accessories",""))</f>
        <v/>
      </c>
      <c r="L40" s="36">
        <f>_xlfn.XLOOKUP(C40,'Project Details'!$C$17:$C$66,'Project Details'!$D$17:$D$66,"",0)</f>
        <v>0</v>
      </c>
      <c r="M40" s="43"/>
    </row>
    <row r="41" spans="1:13" ht="13.5" customHeight="1" x14ac:dyDescent="0.25">
      <c r="A41" s="43"/>
      <c r="B41" s="43"/>
      <c r="C41" s="16">
        <v>1</v>
      </c>
      <c r="D41" s="16" t="str" cm="1">
        <f t="array" ref="D41">IFERROR(ROUNDUP(_xlfn.IFS(F41="Aluminum Track", _xlfn.XLOOKUP(C41, dd_accsrycalc!$A$2:$A$51, dd_accsrycalc!$B$2:$B$51, "",0), F41="10 x 2 1/2 S (Flat)", _xlfn.XLOOKUP(C41, dd_accsrycalc!$A$2:$A$51, dd_accsrycalc!$C$2:$C$51, "",0), F41="Tox6", _xlfn.XLOOKUP(C41, dd_accsrycalc!$A$2:$A$51, dd_accsrycalc!$D$2:$D$51, "",0), F41="Cover Cap", _xlfn.XLOOKUP(C41, dd_accsrycalc!$A$2:$A$51, dd_accsrycalc!$E$2:$E$51, "",0), F41="Drainage Cover", _xlfn.XLOOKUP(C41, dd_accsrycalc!$A$2:$A$51, dd_accsrycalc!$F$2:$F$51, "",0),AND( F41="Double Adhesive Tape", I41="Roll-up Screen"), _xlfn.XLOOKUP(C41, calc_rusacc!$C$15:$C$65, calc_rusacc!$AD$15:$AD$65, "",0),AND( F41="Sealant", I41="Roll-up Screen"), _xlfn.XLOOKUP(C41, calc_rusacc!$C$15:$C$65, calc_rusacc!$AF$15:$AF$65, "",0),  AND( F41="Main Chain", I41="Accordion Screen"), _xlfn.XLOOKUP(C41, calc_rusacc!$C$15:$C$65, calc_rusacc!$BF$15:$BF$65, "",0), AND( F41="Sealant", I41="Accordion Screen"), _xlfn.XLOOKUP(C41, calc_rusacc!$C$15:$C$65, calc_rusacc!$BJ$15:$BJ$65, "",0),  F41="Sealant", _xlfn.XLOOKUP(C41, dd_accsrycalc!$A$2:$A$51, dd_accsrycalc!$G$2:$G$51, "",0),  F41&lt;&gt;"",L41*_xlfn.XLOOKUP(1, (SKUs!$C$2:$C$10001=G41)*(SKUs!$K$2:$K$10001=I41),SKUs!$E$2:$E$10001)), 0),"")</f>
        <v/>
      </c>
      <c r="E41" s="16" t="str">
        <f>_xlfn.XLOOKUP(F41,dd_item!$B$2:$B$105,dd_item!$C$2:$C$105,"",0)</f>
        <v/>
      </c>
      <c r="F41" s="16"/>
      <c r="G41" s="16" cm="1">
        <f t="array" ref="G41">IFERROR(_xlfn.XLOOKUP(1, (SKUs!$J$2:$J$10001=accsry_unmerged!F41)*IF(H41&lt;&gt;"",(SKUs!$L$2:$L$10001=accsry_unmerged!H41),1)*(SKUs!$K$2:$K$10001=I41),SKUs!$C$2:$C$10001),"")</f>
        <v>0</v>
      </c>
      <c r="H41" s="33" cm="1">
        <f t="array" ref="H41">IFERROR(_xlfn.XLOOKUP(1, (dd_accsryclr!$C$2:$C$1000=accsry_unmerged!F41)*(dd_accsryclr!$B$2:$B$1000=accsry_unmerged!J41),dd_accsryclr!$A$2:$A$1000),"")</f>
        <v>0</v>
      </c>
      <c r="I41" s="16">
        <f>_xlfn.XLOOKUP(C41,'Project Details'!$C$17:$C$66,'Project Details'!$E$17:$E$66,"",0)</f>
        <v>0</v>
      </c>
      <c r="J41" s="16">
        <f>_xlfn.XLOOKUP(C41,'Project Details'!$C$17:$C$66,'Project Details'!$H$17:$H$66,"",0)</f>
        <v>0</v>
      </c>
      <c r="K41" s="33" t="str">
        <f>IF(AND(_xlfn.XLOOKUP(C41,'Project Details'!$C$17:$C$66,'Project Details'!$L$17:$L$66,"",0)&gt;550, F41="Spring-L27cm"),"",SUBSTITUTE(_xlfn.XLOOKUP(G41,SKUs!$C$2:$C$10001,SKUs!$F$2:$F$10001,"",0), " Accessories",""))</f>
        <v/>
      </c>
      <c r="L41" s="33">
        <f>_xlfn.XLOOKUP(C41,'Project Details'!$C$17:$C$66,'Project Details'!$D$17:$D$66,"",0)</f>
        <v>0</v>
      </c>
      <c r="M41" s="43"/>
    </row>
    <row r="42" spans="1:13" ht="13.5" customHeight="1" x14ac:dyDescent="0.25">
      <c r="A42" s="43"/>
      <c r="B42" s="43"/>
      <c r="C42" s="35">
        <v>1</v>
      </c>
      <c r="D42" s="35" t="str" cm="1">
        <f t="array" ref="D42">IFERROR(ROUNDUP(_xlfn.IFS(F42="Aluminum Track", _xlfn.XLOOKUP(C42, dd_accsrycalc!$A$2:$A$51, dd_accsrycalc!$B$2:$B$51, "",0), F42="10 x 2 1/2 S (Flat)", _xlfn.XLOOKUP(C42, dd_accsrycalc!$A$2:$A$51, dd_accsrycalc!$C$2:$C$51, "",0), F42="Tox6", _xlfn.XLOOKUP(C42, dd_accsrycalc!$A$2:$A$51, dd_accsrycalc!$D$2:$D$51, "",0), F42="Cover Cap", _xlfn.XLOOKUP(C42, dd_accsrycalc!$A$2:$A$51, dd_accsrycalc!$E$2:$E$51, "",0), F42="Drainage Cover", _xlfn.XLOOKUP(C42, dd_accsrycalc!$A$2:$A$51, dd_accsrycalc!$F$2:$F$51, "",0),AND( F42="Double Adhesive Tape", I42="Roll-up Screen"), _xlfn.XLOOKUP(C42, calc_rusacc!$C$15:$C$65, calc_rusacc!$AD$15:$AD$65, "",0),AND( F42="Sealant", I42="Roll-up Screen"), _xlfn.XLOOKUP(C42, calc_rusacc!$C$15:$C$65, calc_rusacc!$AF$15:$AF$65, "",0),  AND( F42="Main Chain", I42="Accordion Screen"), _xlfn.XLOOKUP(C42, calc_rusacc!$C$15:$C$65, calc_rusacc!$BF$15:$BF$65, "",0), AND( F42="Sealant", I42="Accordion Screen"), _xlfn.XLOOKUP(C42, calc_rusacc!$C$15:$C$65, calc_rusacc!$BJ$15:$BJ$65, "",0),  F42="Sealant", _xlfn.XLOOKUP(C42, dd_accsrycalc!$A$2:$A$51, dd_accsrycalc!$G$2:$G$51, "",0),  F42&lt;&gt;"",L42*_xlfn.XLOOKUP(1, (SKUs!$C$2:$C$10001=G42)*(SKUs!$K$2:$K$10001=I42),SKUs!$E$2:$E$10001)), 0),"")</f>
        <v/>
      </c>
      <c r="E42" s="35" t="str">
        <f>_xlfn.XLOOKUP(F42,dd_item!$B$2:$B$105,dd_item!$C$2:$C$105,"",0)</f>
        <v/>
      </c>
      <c r="F42" s="35"/>
      <c r="G42" s="35" cm="1">
        <f t="array" ref="G42">IFERROR(_xlfn.XLOOKUP(1, (SKUs!$J$2:$J$10001=accsry_unmerged!F42)*IF(H42&lt;&gt;"",(SKUs!$L$2:$L$10001=accsry_unmerged!H42),1)*(SKUs!$K$2:$K$10001=I42),SKUs!$C$2:$C$10001),"")</f>
        <v>0</v>
      </c>
      <c r="H42" s="36" cm="1">
        <f t="array" ref="H42">IFERROR(_xlfn.XLOOKUP(1, (dd_accsryclr!$C$2:$C$1000=accsry_unmerged!F42)*(dd_accsryclr!$B$2:$B$1000=accsry_unmerged!J42),dd_accsryclr!$A$2:$A$1000),"")</f>
        <v>0</v>
      </c>
      <c r="I42" s="35">
        <f>_xlfn.XLOOKUP(C42,'Project Details'!$C$17:$C$66,'Project Details'!$E$17:$E$66,"",0)</f>
        <v>0</v>
      </c>
      <c r="J42" s="35">
        <f>_xlfn.XLOOKUP(C42,'Project Details'!$C$17:$C$66,'Project Details'!$H$17:$H$66,"",0)</f>
        <v>0</v>
      </c>
      <c r="K42" s="36" t="str">
        <f>IF(AND(_xlfn.XLOOKUP(C42,'Project Details'!$C$17:$C$66,'Project Details'!$L$17:$L$66,"",0)&gt;550, F42="Spring-L27cm"),"",SUBSTITUTE(_xlfn.XLOOKUP(G42,SKUs!$C$2:$C$10001,SKUs!$F$2:$F$10001,"",0), " Accessories",""))</f>
        <v/>
      </c>
      <c r="L42" s="36">
        <f>_xlfn.XLOOKUP(C42,'Project Details'!$C$17:$C$66,'Project Details'!$D$17:$D$66,"",0)</f>
        <v>0</v>
      </c>
      <c r="M42" s="43"/>
    </row>
    <row r="43" spans="1:13" ht="13.5" customHeight="1" x14ac:dyDescent="0.25">
      <c r="A43" s="43"/>
      <c r="B43" s="43"/>
      <c r="C43" s="16">
        <v>1</v>
      </c>
      <c r="D43" s="16" t="str" cm="1">
        <f t="array" ref="D43">IFERROR(ROUNDUP(_xlfn.IFS(F43="Aluminum Track", _xlfn.XLOOKUP(C43, dd_accsrycalc!$A$2:$A$51, dd_accsrycalc!$B$2:$B$51, "",0), F43="10 x 2 1/2 S (Flat)", _xlfn.XLOOKUP(C43, dd_accsrycalc!$A$2:$A$51, dd_accsrycalc!$C$2:$C$51, "",0), F43="Tox6", _xlfn.XLOOKUP(C43, dd_accsrycalc!$A$2:$A$51, dd_accsrycalc!$D$2:$D$51, "",0), F43="Cover Cap", _xlfn.XLOOKUP(C43, dd_accsrycalc!$A$2:$A$51, dd_accsrycalc!$E$2:$E$51, "",0), F43="Drainage Cover", _xlfn.XLOOKUP(C43, dd_accsrycalc!$A$2:$A$51, dd_accsrycalc!$F$2:$F$51, "",0),AND( F43="Double Adhesive Tape", I43="Roll-up Screen"), _xlfn.XLOOKUP(C43, calc_rusacc!$C$15:$C$65, calc_rusacc!$AD$15:$AD$65, "",0),AND( F43="Sealant", I43="Roll-up Screen"), _xlfn.XLOOKUP(C43, calc_rusacc!$C$15:$C$65, calc_rusacc!$AF$15:$AF$65, "",0),  AND( F43="Main Chain", I43="Accordion Screen"), _xlfn.XLOOKUP(C43, calc_rusacc!$C$15:$C$65, calc_rusacc!$BF$15:$BF$65, "",0), AND( F43="Sealant", I43="Accordion Screen"), _xlfn.XLOOKUP(C43, calc_rusacc!$C$15:$C$65, calc_rusacc!$BJ$15:$BJ$65, "",0),  F43="Sealant", _xlfn.XLOOKUP(C43, dd_accsrycalc!$A$2:$A$51, dd_accsrycalc!$G$2:$G$51, "",0),  F43&lt;&gt;"",L43*_xlfn.XLOOKUP(1, (SKUs!$C$2:$C$10001=G43)*(SKUs!$K$2:$K$10001=I43),SKUs!$E$2:$E$10001)), 0),"")</f>
        <v/>
      </c>
      <c r="E43" s="16" t="str">
        <f>_xlfn.XLOOKUP(F43,dd_item!$B$2:$B$105,dd_item!$C$2:$C$105,"",0)</f>
        <v/>
      </c>
      <c r="F43" s="16"/>
      <c r="G43" s="16" cm="1">
        <f t="array" ref="G43">IFERROR(_xlfn.XLOOKUP(1, (SKUs!$J$2:$J$10001=accsry_unmerged!F43)*IF(H43&lt;&gt;"",(SKUs!$L$2:$L$10001=accsry_unmerged!H43),1)*(SKUs!$K$2:$K$10001=I43),SKUs!$C$2:$C$10001),"")</f>
        <v>0</v>
      </c>
      <c r="H43" s="33" cm="1">
        <f t="array" ref="H43">IFERROR(_xlfn.XLOOKUP(1, (dd_accsryclr!$C$2:$C$1000=accsry_unmerged!F43)*(dd_accsryclr!$B$2:$B$1000=accsry_unmerged!J43),dd_accsryclr!$A$2:$A$1000),"")</f>
        <v>0</v>
      </c>
      <c r="I43" s="16">
        <f>_xlfn.XLOOKUP(C43,'Project Details'!$C$17:$C$66,'Project Details'!$E$17:$E$66,"",0)</f>
        <v>0</v>
      </c>
      <c r="J43" s="16">
        <f>_xlfn.XLOOKUP(C43,'Project Details'!$C$17:$C$66,'Project Details'!$H$17:$H$66,"",0)</f>
        <v>0</v>
      </c>
      <c r="K43" s="33" t="str">
        <f>IF(AND(_xlfn.XLOOKUP(C43,'Project Details'!$C$17:$C$66,'Project Details'!$L$17:$L$66,"",0)&gt;550, F43="Spring-L27cm"),"",SUBSTITUTE(_xlfn.XLOOKUP(G43,SKUs!$C$2:$C$10001,SKUs!$F$2:$F$10001,"",0), " Accessories",""))</f>
        <v/>
      </c>
      <c r="L43" s="33">
        <f>_xlfn.XLOOKUP(C43,'Project Details'!$C$17:$C$66,'Project Details'!$D$17:$D$66,"",0)</f>
        <v>0</v>
      </c>
      <c r="M43" s="43"/>
    </row>
    <row r="44" spans="1:13" ht="13.5" customHeight="1" x14ac:dyDescent="0.25">
      <c r="A44" s="43"/>
      <c r="B44" s="43"/>
      <c r="C44" s="35">
        <v>1</v>
      </c>
      <c r="D44" s="35" t="str" cm="1">
        <f t="array" ref="D44">IFERROR(ROUNDUP(_xlfn.IFS(F44="Aluminum Track", _xlfn.XLOOKUP(C44, dd_accsrycalc!$A$2:$A$51, dd_accsrycalc!$B$2:$B$51, "",0), F44="10 x 2 1/2 S (Flat)", _xlfn.XLOOKUP(C44, dd_accsrycalc!$A$2:$A$51, dd_accsrycalc!$C$2:$C$51, "",0), F44="Tox6", _xlfn.XLOOKUP(C44, dd_accsrycalc!$A$2:$A$51, dd_accsrycalc!$D$2:$D$51, "",0), F44="Cover Cap", _xlfn.XLOOKUP(C44, dd_accsrycalc!$A$2:$A$51, dd_accsrycalc!$E$2:$E$51, "",0), F44="Drainage Cover", _xlfn.XLOOKUP(C44, dd_accsrycalc!$A$2:$A$51, dd_accsrycalc!$F$2:$F$51, "",0),AND( F44="Double Adhesive Tape", I44="Roll-up Screen"), _xlfn.XLOOKUP(C44, calc_rusacc!$C$15:$C$65, calc_rusacc!$AD$15:$AD$65, "",0),AND( F44="Sealant", I44="Roll-up Screen"), _xlfn.XLOOKUP(C44, calc_rusacc!$C$15:$C$65, calc_rusacc!$AF$15:$AF$65, "",0),  AND( F44="Main Chain", I44="Accordion Screen"), _xlfn.XLOOKUP(C44, calc_rusacc!$C$15:$C$65, calc_rusacc!$BF$15:$BF$65, "",0), AND( F44="Sealant", I44="Accordion Screen"), _xlfn.XLOOKUP(C44, calc_rusacc!$C$15:$C$65, calc_rusacc!$BJ$15:$BJ$65, "",0),  F44="Sealant", _xlfn.XLOOKUP(C44, dd_accsrycalc!$A$2:$A$51, dd_accsrycalc!$G$2:$G$51, "",0),  F44&lt;&gt;"",L44*_xlfn.XLOOKUP(1, (SKUs!$C$2:$C$10001=G44)*(SKUs!$K$2:$K$10001=I44),SKUs!$E$2:$E$10001)), 0),"")</f>
        <v/>
      </c>
      <c r="E44" s="35" t="str">
        <f>_xlfn.XLOOKUP(F44,dd_item!$B$2:$B$105,dd_item!$C$2:$C$105,"",0)</f>
        <v/>
      </c>
      <c r="F44" s="35"/>
      <c r="G44" s="35" cm="1">
        <f t="array" ref="G44">IFERROR(_xlfn.XLOOKUP(1, (SKUs!$J$2:$J$10001=accsry_unmerged!F44)*IF(H44&lt;&gt;"",(SKUs!$L$2:$L$10001=accsry_unmerged!H44),1)*(SKUs!$K$2:$K$10001=I44),SKUs!$C$2:$C$10001),"")</f>
        <v>0</v>
      </c>
      <c r="H44" s="36" cm="1">
        <f t="array" ref="H44">IFERROR(_xlfn.XLOOKUP(1, (dd_accsryclr!$C$2:$C$1000=accsry_unmerged!F44)*(dd_accsryclr!$B$2:$B$1000=accsry_unmerged!J44),dd_accsryclr!$A$2:$A$1000),"")</f>
        <v>0</v>
      </c>
      <c r="I44" s="35">
        <f>_xlfn.XLOOKUP(C44,'Project Details'!$C$17:$C$66,'Project Details'!$E$17:$E$66,"",0)</f>
        <v>0</v>
      </c>
      <c r="J44" s="35">
        <f>_xlfn.XLOOKUP(C44,'Project Details'!$C$17:$C$66,'Project Details'!$H$17:$H$66,"",0)</f>
        <v>0</v>
      </c>
      <c r="K44" s="36" t="str">
        <f>IF(AND(_xlfn.XLOOKUP(C44,'Project Details'!$C$17:$C$66,'Project Details'!$L$17:$L$66,"",0)&gt;550, F44="Spring-L27cm"),"",SUBSTITUTE(_xlfn.XLOOKUP(G44,SKUs!$C$2:$C$10001,SKUs!$F$2:$F$10001,"",0), " Accessories",""))</f>
        <v/>
      </c>
      <c r="L44" s="36">
        <f>_xlfn.XLOOKUP(C44,'Project Details'!$C$17:$C$66,'Project Details'!$D$17:$D$66,"",0)</f>
        <v>0</v>
      </c>
      <c r="M44" s="43"/>
    </row>
    <row r="45" spans="1:13" ht="13.5" customHeight="1" outlineLevel="1" x14ac:dyDescent="0.25">
      <c r="A45" s="43"/>
      <c r="B45" s="43"/>
      <c r="C45" s="16">
        <v>1</v>
      </c>
      <c r="D45" s="16" t="str" cm="1">
        <f t="array" ref="D45">IFERROR(ROUNDUP(_xlfn.IFS(F45="Aluminum Track", _xlfn.XLOOKUP(C45, dd_accsrycalc!$A$2:$A$51, dd_accsrycalc!$B$2:$B$51, "",0), F45="10 x 2 1/2 S (Flat)", _xlfn.XLOOKUP(C45, dd_accsrycalc!$A$2:$A$51, dd_accsrycalc!$C$2:$C$51, "",0), F45="Tox6", _xlfn.XLOOKUP(C45, dd_accsrycalc!$A$2:$A$51, dd_accsrycalc!$D$2:$D$51, "",0), F45="Cover Cap", _xlfn.XLOOKUP(C45, dd_accsrycalc!$A$2:$A$51, dd_accsrycalc!$E$2:$E$51, "",0), F45="Drainage Cover", _xlfn.XLOOKUP(C45, dd_accsrycalc!$A$2:$A$51, dd_accsrycalc!$F$2:$F$51, "",0),AND( F45="Double Adhesive Tape", I45="Roll-up Screen"), _xlfn.XLOOKUP(C45, calc_rusacc!$C$15:$C$65, calc_rusacc!$AD$15:$AD$65, "",0),AND( F45="Sealant", I45="Roll-up Screen"), _xlfn.XLOOKUP(C45, calc_rusacc!$C$15:$C$65, calc_rusacc!$AF$15:$AF$65, "",0),  AND( F45="Main Chain", I45="Accordion Screen"), _xlfn.XLOOKUP(C45, calc_rusacc!$C$15:$C$65, calc_rusacc!$BF$15:$BF$65, "",0), AND( F45="Sealant", I45="Accordion Screen"), _xlfn.XLOOKUP(C45, calc_rusacc!$C$15:$C$65, calc_rusacc!$BJ$15:$BJ$65, "",0),  F45="Sealant", _xlfn.XLOOKUP(C45, dd_accsrycalc!$A$2:$A$51, dd_accsrycalc!$G$2:$G$51, "",0),  F45&lt;&gt;"",L45*_xlfn.XLOOKUP(1, (SKUs!$C$2:$C$10001=G45)*(SKUs!$K$2:$K$10001=I45),SKUs!$E$2:$E$10001)), 0),"")</f>
        <v/>
      </c>
      <c r="E45" s="16" t="str">
        <f>_xlfn.XLOOKUP(F45,dd_item!$B$2:$B$105,dd_item!$C$2:$C$105,"",0)</f>
        <v/>
      </c>
      <c r="F45" s="16"/>
      <c r="G45" s="16" cm="1">
        <f t="array" ref="G45">IFERROR(_xlfn.XLOOKUP(1, (SKUs!$J$2:$J$10001=accsry_unmerged!F45)*IF(H45&lt;&gt;"",(SKUs!$L$2:$L$10001=accsry_unmerged!H45),1)*(SKUs!$K$2:$K$10001=I45),SKUs!$C$2:$C$10001),"")</f>
        <v>0</v>
      </c>
      <c r="H45" s="33" cm="1">
        <f t="array" ref="H45">IFERROR(_xlfn.XLOOKUP(1, (dd_accsryclr!$C$2:$C$1000=accsry_unmerged!F45)*(dd_accsryclr!$B$2:$B$1000=accsry_unmerged!J45),dd_accsryclr!$A$2:$A$1000),"")</f>
        <v>0</v>
      </c>
      <c r="I45" s="16">
        <f>_xlfn.XLOOKUP(C45,'Project Details'!$C$17:$C$66,'Project Details'!$E$17:$E$66,"",0)</f>
        <v>0</v>
      </c>
      <c r="J45" s="16">
        <f>_xlfn.XLOOKUP(C45,'Project Details'!$C$17:$C$66,'Project Details'!$H$17:$H$66,"",0)</f>
        <v>0</v>
      </c>
      <c r="K45" s="33" t="str">
        <f>IF(AND(_xlfn.XLOOKUP(C45,'Project Details'!$C$17:$C$66,'Project Details'!$L$17:$L$66,"",0)&gt;550, F45="Spring-L27cm"),"",SUBSTITUTE(_xlfn.XLOOKUP(G45,SKUs!$C$2:$C$10001,SKUs!$F$2:$F$10001,"",0), " Accessories",""))</f>
        <v/>
      </c>
      <c r="L45" s="33">
        <f>_xlfn.XLOOKUP(C45,'Project Details'!$C$17:$C$66,'Project Details'!$D$17:$D$66,"",0)</f>
        <v>0</v>
      </c>
      <c r="M45" s="43"/>
    </row>
    <row r="46" spans="1:13" ht="13.5" customHeight="1" outlineLevel="1" x14ac:dyDescent="0.25">
      <c r="A46" s="43"/>
      <c r="B46" s="43"/>
      <c r="C46" s="35">
        <v>1</v>
      </c>
      <c r="D46" s="35" t="str" cm="1">
        <f t="array" ref="D46">IFERROR(ROUNDUP(_xlfn.IFS(F46="Aluminum Track", _xlfn.XLOOKUP(C46, dd_accsrycalc!$A$2:$A$51, dd_accsrycalc!$B$2:$B$51, "",0), F46="10 x 2 1/2 S (Flat)", _xlfn.XLOOKUP(C46, dd_accsrycalc!$A$2:$A$51, dd_accsrycalc!$C$2:$C$51, "",0), F46="Tox6", _xlfn.XLOOKUP(C46, dd_accsrycalc!$A$2:$A$51, dd_accsrycalc!$D$2:$D$51, "",0), F46="Cover Cap", _xlfn.XLOOKUP(C46, dd_accsrycalc!$A$2:$A$51, dd_accsrycalc!$E$2:$E$51, "",0), F46="Drainage Cover", _xlfn.XLOOKUP(C46, dd_accsrycalc!$A$2:$A$51, dd_accsrycalc!$F$2:$F$51, "",0),AND( F46="Double Adhesive Tape", I46="Roll-up Screen"), _xlfn.XLOOKUP(C46, calc_rusacc!$C$15:$C$65, calc_rusacc!$AD$15:$AD$65, "",0),AND( F46="Sealant", I46="Roll-up Screen"), _xlfn.XLOOKUP(C46, calc_rusacc!$C$15:$C$65, calc_rusacc!$AF$15:$AF$65, "",0),  AND( F46="Main Chain", I46="Accordion Screen"), _xlfn.XLOOKUP(C46, calc_rusacc!$C$15:$C$65, calc_rusacc!$BF$15:$BF$65, "",0), AND( F46="Sealant", I46="Accordion Screen"), _xlfn.XLOOKUP(C46, calc_rusacc!$C$15:$C$65, calc_rusacc!$BJ$15:$BJ$65, "",0),  F46="Sealant", _xlfn.XLOOKUP(C46, dd_accsrycalc!$A$2:$A$51, dd_accsrycalc!$G$2:$G$51, "",0),  F46&lt;&gt;"",L46*_xlfn.XLOOKUP(1, (SKUs!$C$2:$C$10001=G46)*(SKUs!$K$2:$K$10001=I46),SKUs!$E$2:$E$10001)), 0),"")</f>
        <v/>
      </c>
      <c r="E46" s="35" t="str">
        <f>_xlfn.XLOOKUP(F46,dd_item!$B$2:$B$105,dd_item!$C$2:$C$105,"",0)</f>
        <v/>
      </c>
      <c r="F46" s="35"/>
      <c r="G46" s="35" cm="1">
        <f t="array" ref="G46">IFERROR(_xlfn.XLOOKUP(1, (SKUs!$J$2:$J$10001=accsry_unmerged!F46)*IF(H46&lt;&gt;"",(SKUs!$L$2:$L$10001=accsry_unmerged!H46),1)*(SKUs!$K$2:$K$10001=I46),SKUs!$C$2:$C$10001),"")</f>
        <v>0</v>
      </c>
      <c r="H46" s="36" cm="1">
        <f t="array" ref="H46">IFERROR(_xlfn.XLOOKUP(1, (dd_accsryclr!$C$2:$C$1000=accsry_unmerged!F46)*(dd_accsryclr!$B$2:$B$1000=accsry_unmerged!J46),dd_accsryclr!$A$2:$A$1000),"")</f>
        <v>0</v>
      </c>
      <c r="I46" s="35">
        <f>_xlfn.XLOOKUP(C46,'Project Details'!$C$17:$C$66,'Project Details'!$E$17:$E$66,"",0)</f>
        <v>0</v>
      </c>
      <c r="J46" s="35">
        <f>_xlfn.XLOOKUP(C46,'Project Details'!$C$17:$C$66,'Project Details'!$H$17:$H$66,"",0)</f>
        <v>0</v>
      </c>
      <c r="K46" s="36" t="str">
        <f>IF(AND(_xlfn.XLOOKUP(C46,'Project Details'!$C$17:$C$66,'Project Details'!$L$17:$L$66,"",0)&gt;550, F46="Spring-L27cm"),"",SUBSTITUTE(_xlfn.XLOOKUP(G46,SKUs!$C$2:$C$10001,SKUs!$F$2:$F$10001,"",0), " Accessories",""))</f>
        <v/>
      </c>
      <c r="L46" s="36">
        <f>_xlfn.XLOOKUP(C46,'Project Details'!$C$17:$C$66,'Project Details'!$D$17:$D$66,"",0)</f>
        <v>0</v>
      </c>
      <c r="M46" s="43"/>
    </row>
    <row r="47" spans="1:13" ht="13.5" customHeight="1" outlineLevel="1" x14ac:dyDescent="0.25">
      <c r="A47" s="43"/>
      <c r="B47" s="43"/>
      <c r="C47" s="16">
        <v>1</v>
      </c>
      <c r="D47" s="16" t="str" cm="1">
        <f t="array" ref="D47">IFERROR(ROUNDUP(_xlfn.IFS(F47="Aluminum Track", _xlfn.XLOOKUP(C47, dd_accsrycalc!$A$2:$A$51, dd_accsrycalc!$B$2:$B$51, "",0), F47="10 x 2 1/2 S (Flat)", _xlfn.XLOOKUP(C47, dd_accsrycalc!$A$2:$A$51, dd_accsrycalc!$C$2:$C$51, "",0), F47="Tox6", _xlfn.XLOOKUP(C47, dd_accsrycalc!$A$2:$A$51, dd_accsrycalc!$D$2:$D$51, "",0), F47="Cover Cap", _xlfn.XLOOKUP(C47, dd_accsrycalc!$A$2:$A$51, dd_accsrycalc!$E$2:$E$51, "",0), F47="Drainage Cover", _xlfn.XLOOKUP(C47, dd_accsrycalc!$A$2:$A$51, dd_accsrycalc!$F$2:$F$51, "",0),AND( F47="Double Adhesive Tape", I47="Roll-up Screen"), _xlfn.XLOOKUP(C47, calc_rusacc!$C$15:$C$65, calc_rusacc!$AD$15:$AD$65, "",0),AND( F47="Sealant", I47="Roll-up Screen"), _xlfn.XLOOKUP(C47, calc_rusacc!$C$15:$C$65, calc_rusacc!$AF$15:$AF$65, "",0),  AND( F47="Main Chain", I47="Accordion Screen"), _xlfn.XLOOKUP(C47, calc_rusacc!$C$15:$C$65, calc_rusacc!$BF$15:$BF$65, "",0), AND( F47="Sealant", I47="Accordion Screen"), _xlfn.XLOOKUP(C47, calc_rusacc!$C$15:$C$65, calc_rusacc!$BJ$15:$BJ$65, "",0),  F47="Sealant", _xlfn.XLOOKUP(C47, dd_accsrycalc!$A$2:$A$51, dd_accsrycalc!$G$2:$G$51, "",0),  F47&lt;&gt;"",L47*_xlfn.XLOOKUP(1, (SKUs!$C$2:$C$10001=G47)*(SKUs!$K$2:$K$10001=I47),SKUs!$E$2:$E$10001)), 0),"")</f>
        <v/>
      </c>
      <c r="E47" s="16" t="str">
        <f>_xlfn.XLOOKUP(F47,dd_item!$B$2:$B$105,dd_item!$C$2:$C$105,"",0)</f>
        <v/>
      </c>
      <c r="F47" s="16"/>
      <c r="G47" s="16" cm="1">
        <f t="array" ref="G47">IFERROR(_xlfn.XLOOKUP(1, (SKUs!$J$2:$J$10001=accsry_unmerged!F47)*IF(H47&lt;&gt;"",(SKUs!$L$2:$L$10001=accsry_unmerged!H47),1)*(SKUs!$K$2:$K$10001=I47),SKUs!$C$2:$C$10001),"")</f>
        <v>0</v>
      </c>
      <c r="H47" s="33" cm="1">
        <f t="array" ref="H47">IFERROR(_xlfn.XLOOKUP(1, (dd_accsryclr!$C$2:$C$1000=accsry_unmerged!F47)*(dd_accsryclr!$B$2:$B$1000=accsry_unmerged!J47),dd_accsryclr!$A$2:$A$1000),"")</f>
        <v>0</v>
      </c>
      <c r="I47" s="16">
        <f>_xlfn.XLOOKUP(C47,'Project Details'!$C$17:$C$66,'Project Details'!$E$17:$E$66,"",0)</f>
        <v>0</v>
      </c>
      <c r="J47" s="16">
        <f>_xlfn.XLOOKUP(C47,'Project Details'!$C$17:$C$66,'Project Details'!$H$17:$H$66,"",0)</f>
        <v>0</v>
      </c>
      <c r="K47" s="33" t="str">
        <f>IF(AND(_xlfn.XLOOKUP(C47,'Project Details'!$C$17:$C$66,'Project Details'!$L$17:$L$66,"",0)&gt;550, F47="Spring-L27cm"),"",SUBSTITUTE(_xlfn.XLOOKUP(G47,SKUs!$C$2:$C$10001,SKUs!$F$2:$F$10001,"",0), " Accessories",""))</f>
        <v/>
      </c>
      <c r="L47" s="33">
        <f>_xlfn.XLOOKUP(C47,'Project Details'!$C$17:$C$66,'Project Details'!$D$17:$D$66,"",0)</f>
        <v>0</v>
      </c>
      <c r="M47" s="43"/>
    </row>
    <row r="48" spans="1:13" ht="13.5" customHeight="1" outlineLevel="1" x14ac:dyDescent="0.25">
      <c r="A48" s="43"/>
      <c r="B48" s="43"/>
      <c r="C48" s="35">
        <v>1</v>
      </c>
      <c r="D48" s="35" t="str" cm="1">
        <f t="array" ref="D48">IFERROR(ROUNDUP(_xlfn.IFS(F48="Aluminum Track", _xlfn.XLOOKUP(C48, dd_accsrycalc!$A$2:$A$51, dd_accsrycalc!$B$2:$B$51, "",0), F48="10 x 2 1/2 S (Flat)", _xlfn.XLOOKUP(C48, dd_accsrycalc!$A$2:$A$51, dd_accsrycalc!$C$2:$C$51, "",0), F48="Tox6", _xlfn.XLOOKUP(C48, dd_accsrycalc!$A$2:$A$51, dd_accsrycalc!$D$2:$D$51, "",0), F48="Cover Cap", _xlfn.XLOOKUP(C48, dd_accsrycalc!$A$2:$A$51, dd_accsrycalc!$E$2:$E$51, "",0), F48="Drainage Cover", _xlfn.XLOOKUP(C48, dd_accsrycalc!$A$2:$A$51, dd_accsrycalc!$F$2:$F$51, "",0),AND( F48="Double Adhesive Tape", I48="Roll-up Screen"), _xlfn.XLOOKUP(C48, calc_rusacc!$C$15:$C$65, calc_rusacc!$AD$15:$AD$65, "",0),AND( F48="Sealant", I48="Roll-up Screen"), _xlfn.XLOOKUP(C48, calc_rusacc!$C$15:$C$65, calc_rusacc!$AF$15:$AF$65, "",0),  AND( F48="Main Chain", I48="Accordion Screen"), _xlfn.XLOOKUP(C48, calc_rusacc!$C$15:$C$65, calc_rusacc!$BF$15:$BF$65, "",0), AND( F48="Sealant", I48="Accordion Screen"), _xlfn.XLOOKUP(C48, calc_rusacc!$C$15:$C$65, calc_rusacc!$BJ$15:$BJ$65, "",0),  F48="Sealant", _xlfn.XLOOKUP(C48, dd_accsrycalc!$A$2:$A$51, dd_accsrycalc!$G$2:$G$51, "",0),  F48&lt;&gt;"",L48*_xlfn.XLOOKUP(1, (SKUs!$C$2:$C$10001=G48)*(SKUs!$K$2:$K$10001=I48),SKUs!$E$2:$E$10001)), 0),"")</f>
        <v/>
      </c>
      <c r="E48" s="35" t="str">
        <f>_xlfn.XLOOKUP(F48,dd_item!$B$2:$B$105,dd_item!$C$2:$C$105,"",0)</f>
        <v/>
      </c>
      <c r="F48" s="35"/>
      <c r="G48" s="35" cm="1">
        <f t="array" ref="G48">IFERROR(_xlfn.XLOOKUP(1, (SKUs!$J$2:$J$10001=accsry_unmerged!F48)*IF(H48&lt;&gt;"",(SKUs!$L$2:$L$10001=accsry_unmerged!H48),1)*(SKUs!$K$2:$K$10001=I48),SKUs!$C$2:$C$10001),"")</f>
        <v>0</v>
      </c>
      <c r="H48" s="36" cm="1">
        <f t="array" ref="H48">IFERROR(_xlfn.XLOOKUP(1, (dd_accsryclr!$C$2:$C$1000=accsry_unmerged!F48)*(dd_accsryclr!$B$2:$B$1000=accsry_unmerged!J48),dd_accsryclr!$A$2:$A$1000),"")</f>
        <v>0</v>
      </c>
      <c r="I48" s="35">
        <f>_xlfn.XLOOKUP(C48,'Project Details'!$C$17:$C$66,'Project Details'!$E$17:$E$66,"",0)</f>
        <v>0</v>
      </c>
      <c r="J48" s="35">
        <f>_xlfn.XLOOKUP(C48,'Project Details'!$C$17:$C$66,'Project Details'!$H$17:$H$66,"",0)</f>
        <v>0</v>
      </c>
      <c r="K48" s="36" t="str">
        <f>IF(AND(_xlfn.XLOOKUP(C48,'Project Details'!$C$17:$C$66,'Project Details'!$L$17:$L$66,"",0)&gt;550, F48="Spring-L27cm"),"",SUBSTITUTE(_xlfn.XLOOKUP(G48,SKUs!$C$2:$C$10001,SKUs!$F$2:$F$10001,"",0), " Accessories",""))</f>
        <v/>
      </c>
      <c r="L48" s="36">
        <f>_xlfn.XLOOKUP(C48,'Project Details'!$C$17:$C$66,'Project Details'!$D$17:$D$66,"",0)</f>
        <v>0</v>
      </c>
      <c r="M48" s="43"/>
    </row>
    <row r="49" spans="1:13" ht="13.5" customHeight="1" outlineLevel="1" x14ac:dyDescent="0.25">
      <c r="A49" s="43"/>
      <c r="B49" s="43"/>
      <c r="C49" s="16">
        <v>1</v>
      </c>
      <c r="D49" s="16" t="str" cm="1">
        <f t="array" ref="D49">IFERROR(ROUNDUP(_xlfn.IFS(F49="Aluminum Track", _xlfn.XLOOKUP(C49, dd_accsrycalc!$A$2:$A$51, dd_accsrycalc!$B$2:$B$51, "",0), F49="10 x 2 1/2 S (Flat)", _xlfn.XLOOKUP(C49, dd_accsrycalc!$A$2:$A$51, dd_accsrycalc!$C$2:$C$51, "",0), F49="Tox6", _xlfn.XLOOKUP(C49, dd_accsrycalc!$A$2:$A$51, dd_accsrycalc!$D$2:$D$51, "",0), F49="Cover Cap", _xlfn.XLOOKUP(C49, dd_accsrycalc!$A$2:$A$51, dd_accsrycalc!$E$2:$E$51, "",0), F49="Drainage Cover", _xlfn.XLOOKUP(C49, dd_accsrycalc!$A$2:$A$51, dd_accsrycalc!$F$2:$F$51, "",0),AND( F49="Double Adhesive Tape", I49="Roll-up Screen"), _xlfn.XLOOKUP(C49, calc_rusacc!$C$15:$C$65, calc_rusacc!$AD$15:$AD$65, "",0),AND( F49="Sealant", I49="Roll-up Screen"), _xlfn.XLOOKUP(C49, calc_rusacc!$C$15:$C$65, calc_rusacc!$AF$15:$AF$65, "",0),  AND( F49="Main Chain", I49="Accordion Screen"), _xlfn.XLOOKUP(C49, calc_rusacc!$C$15:$C$65, calc_rusacc!$BF$15:$BF$65, "",0), AND( F49="Sealant", I49="Accordion Screen"), _xlfn.XLOOKUP(C49, calc_rusacc!$C$15:$C$65, calc_rusacc!$BJ$15:$BJ$65, "",0),  F49="Sealant", _xlfn.XLOOKUP(C49, dd_accsrycalc!$A$2:$A$51, dd_accsrycalc!$G$2:$G$51, "",0),  F49&lt;&gt;"",L49*_xlfn.XLOOKUP(1, (SKUs!$C$2:$C$10001=G49)*(SKUs!$K$2:$K$10001=I49),SKUs!$E$2:$E$10001)), 0),"")</f>
        <v/>
      </c>
      <c r="E49" s="16" t="str">
        <f>_xlfn.XLOOKUP(F49,dd_item!$B$2:$B$105,dd_item!$C$2:$C$105,"",0)</f>
        <v/>
      </c>
      <c r="F49" s="16"/>
      <c r="G49" s="16" cm="1">
        <f t="array" ref="G49">IFERROR(_xlfn.XLOOKUP(1, (SKUs!$J$2:$J$10001=accsry_unmerged!F49)*IF(H49&lt;&gt;"",(SKUs!$L$2:$L$10001=accsry_unmerged!H49),1)*(SKUs!$K$2:$K$10001=I49),SKUs!$C$2:$C$10001),"")</f>
        <v>0</v>
      </c>
      <c r="H49" s="33" cm="1">
        <f t="array" ref="H49">IFERROR(_xlfn.XLOOKUP(1, (dd_accsryclr!$C$2:$C$1000=accsry_unmerged!F49)*(dd_accsryclr!$B$2:$B$1000=accsry_unmerged!J49),dd_accsryclr!$A$2:$A$1000),"")</f>
        <v>0</v>
      </c>
      <c r="I49" s="16">
        <f>_xlfn.XLOOKUP(C49,'Project Details'!$C$17:$C$66,'Project Details'!$E$17:$E$66,"",0)</f>
        <v>0</v>
      </c>
      <c r="J49" s="16">
        <f>_xlfn.XLOOKUP(C49,'Project Details'!$C$17:$C$66,'Project Details'!$H$17:$H$66,"",0)</f>
        <v>0</v>
      </c>
      <c r="K49" s="33" t="str">
        <f>IF(AND(_xlfn.XLOOKUP(C49,'Project Details'!$C$17:$C$66,'Project Details'!$L$17:$L$66,"",0)&gt;550, F49="Spring-L27cm"),"",SUBSTITUTE(_xlfn.XLOOKUP(G49,SKUs!$C$2:$C$10001,SKUs!$F$2:$F$10001,"",0), " Accessories",""))</f>
        <v/>
      </c>
      <c r="L49" s="33">
        <f>_xlfn.XLOOKUP(C49,'Project Details'!$C$17:$C$66,'Project Details'!$D$17:$D$66,"",0)</f>
        <v>0</v>
      </c>
      <c r="M49" s="43"/>
    </row>
    <row r="50" spans="1:13" ht="13.5" customHeight="1" outlineLevel="1" x14ac:dyDescent="0.25">
      <c r="A50" s="43"/>
      <c r="B50" s="43"/>
      <c r="C50" s="35">
        <v>1</v>
      </c>
      <c r="D50" s="35" t="str" cm="1">
        <f t="array" ref="D50">IFERROR(ROUNDUP(_xlfn.IFS(F50="Aluminum Track", _xlfn.XLOOKUP(C50, dd_accsrycalc!$A$2:$A$51, dd_accsrycalc!$B$2:$B$51, "",0), F50="10 x 2 1/2 S (Flat)", _xlfn.XLOOKUP(C50, dd_accsrycalc!$A$2:$A$51, dd_accsrycalc!$C$2:$C$51, "",0), F50="Tox6", _xlfn.XLOOKUP(C50, dd_accsrycalc!$A$2:$A$51, dd_accsrycalc!$D$2:$D$51, "",0), F50="Cover Cap", _xlfn.XLOOKUP(C50, dd_accsrycalc!$A$2:$A$51, dd_accsrycalc!$E$2:$E$51, "",0), F50="Drainage Cover", _xlfn.XLOOKUP(C50, dd_accsrycalc!$A$2:$A$51, dd_accsrycalc!$F$2:$F$51, "",0),AND( F50="Double Adhesive Tape", I50="Roll-up Screen"), _xlfn.XLOOKUP(C50, calc_rusacc!$C$15:$C$65, calc_rusacc!$AD$15:$AD$65, "",0),AND( F50="Sealant", I50="Roll-up Screen"), _xlfn.XLOOKUP(C50, calc_rusacc!$C$15:$C$65, calc_rusacc!$AF$15:$AF$65, "",0),  AND( F50="Main Chain", I50="Accordion Screen"), _xlfn.XLOOKUP(C50, calc_rusacc!$C$15:$C$65, calc_rusacc!$BF$15:$BF$65, "",0), AND( F50="Sealant", I50="Accordion Screen"), _xlfn.XLOOKUP(C50, calc_rusacc!$C$15:$C$65, calc_rusacc!$BJ$15:$BJ$65, "",0),  F50="Sealant", _xlfn.XLOOKUP(C50, dd_accsrycalc!$A$2:$A$51, dd_accsrycalc!$G$2:$G$51, "",0),  F50&lt;&gt;"",L50*_xlfn.XLOOKUP(1, (SKUs!$C$2:$C$10001=G50)*(SKUs!$K$2:$K$10001=I50),SKUs!$E$2:$E$10001)), 0),"")</f>
        <v/>
      </c>
      <c r="E50" s="35" t="str">
        <f>_xlfn.XLOOKUP(F50,dd_item!$B$2:$B$105,dd_item!$C$2:$C$105,"",0)</f>
        <v/>
      </c>
      <c r="F50" s="35"/>
      <c r="G50" s="35" cm="1">
        <f t="array" ref="G50">IFERROR(_xlfn.XLOOKUP(1, (SKUs!$J$2:$J$10001=accsry_unmerged!F50)*IF(H50&lt;&gt;"",(SKUs!$L$2:$L$10001=accsry_unmerged!H50),1)*(SKUs!$K$2:$K$10001=I50),SKUs!$C$2:$C$10001),"")</f>
        <v>0</v>
      </c>
      <c r="H50" s="36" cm="1">
        <f t="array" ref="H50">IFERROR(_xlfn.XLOOKUP(1, (dd_accsryclr!$C$2:$C$1000=accsry_unmerged!F50)*(dd_accsryclr!$B$2:$B$1000=accsry_unmerged!J50),dd_accsryclr!$A$2:$A$1000),"")</f>
        <v>0</v>
      </c>
      <c r="I50" s="35">
        <f>_xlfn.XLOOKUP(C50,'Project Details'!$C$17:$C$66,'Project Details'!$E$17:$E$66,"",0)</f>
        <v>0</v>
      </c>
      <c r="J50" s="35">
        <f>_xlfn.XLOOKUP(C50,'Project Details'!$C$17:$C$66,'Project Details'!$H$17:$H$66,"",0)</f>
        <v>0</v>
      </c>
      <c r="K50" s="36" t="str">
        <f>IF(AND(_xlfn.XLOOKUP(C50,'Project Details'!$C$17:$C$66,'Project Details'!$L$17:$L$66,"",0)&gt;550, F50="Spring-L27cm"),"",SUBSTITUTE(_xlfn.XLOOKUP(G50,SKUs!$C$2:$C$10001,SKUs!$F$2:$F$10001,"",0), " Accessories",""))</f>
        <v/>
      </c>
      <c r="L50" s="36">
        <f>_xlfn.XLOOKUP(C50,'Project Details'!$C$17:$C$66,'Project Details'!$D$17:$D$66,"",0)</f>
        <v>0</v>
      </c>
      <c r="M50" s="43"/>
    </row>
    <row r="51" spans="1:13" ht="13.5" customHeight="1" outlineLevel="1" x14ac:dyDescent="0.25">
      <c r="A51" s="43"/>
      <c r="B51" s="43"/>
      <c r="C51" s="16">
        <v>1</v>
      </c>
      <c r="D51" s="16" t="str" cm="1">
        <f t="array" ref="D51">IFERROR(ROUNDUP(_xlfn.IFS(F51="Aluminum Track", _xlfn.XLOOKUP(C51, dd_accsrycalc!$A$2:$A$51, dd_accsrycalc!$B$2:$B$51, "",0), F51="10 x 2 1/2 S (Flat)", _xlfn.XLOOKUP(C51, dd_accsrycalc!$A$2:$A$51, dd_accsrycalc!$C$2:$C$51, "",0), F51="Tox6", _xlfn.XLOOKUP(C51, dd_accsrycalc!$A$2:$A$51, dd_accsrycalc!$D$2:$D$51, "",0), F51="Cover Cap", _xlfn.XLOOKUP(C51, dd_accsrycalc!$A$2:$A$51, dd_accsrycalc!$E$2:$E$51, "",0), F51="Drainage Cover", _xlfn.XLOOKUP(C51, dd_accsrycalc!$A$2:$A$51, dd_accsrycalc!$F$2:$F$51, "",0),AND( F51="Double Adhesive Tape", I51="Roll-up Screen"), _xlfn.XLOOKUP(C51, calc_rusacc!$C$15:$C$65, calc_rusacc!$AD$15:$AD$65, "",0),AND( F51="Sealant", I51="Roll-up Screen"), _xlfn.XLOOKUP(C51, calc_rusacc!$C$15:$C$65, calc_rusacc!$AF$15:$AF$65, "",0),  AND( F51="Main Chain", I51="Accordion Screen"), _xlfn.XLOOKUP(C51, calc_rusacc!$C$15:$C$65, calc_rusacc!$BF$15:$BF$65, "",0), AND( F51="Sealant", I51="Accordion Screen"), _xlfn.XLOOKUP(C51, calc_rusacc!$C$15:$C$65, calc_rusacc!$BJ$15:$BJ$65, "",0),  F51="Sealant", _xlfn.XLOOKUP(C51, dd_accsrycalc!$A$2:$A$51, dd_accsrycalc!$G$2:$G$51, "",0),  F51&lt;&gt;"",L51*_xlfn.XLOOKUP(1, (SKUs!$C$2:$C$10001=G51)*(SKUs!$K$2:$K$10001=I51),SKUs!$E$2:$E$10001)), 0),"")</f>
        <v/>
      </c>
      <c r="E51" s="16" t="str">
        <f>_xlfn.XLOOKUP(F51,dd_item!$B$2:$B$105,dd_item!$C$2:$C$105,"",0)</f>
        <v/>
      </c>
      <c r="F51" s="16"/>
      <c r="G51" s="16" cm="1">
        <f t="array" ref="G51">IFERROR(_xlfn.XLOOKUP(1, (SKUs!$J$2:$J$10001=accsry_unmerged!F51)*IF(H51&lt;&gt;"",(SKUs!$L$2:$L$10001=accsry_unmerged!H51),1)*(SKUs!$K$2:$K$10001=I51),SKUs!$C$2:$C$10001),"")</f>
        <v>0</v>
      </c>
      <c r="H51" s="33" cm="1">
        <f t="array" ref="H51">IFERROR(_xlfn.XLOOKUP(1, (dd_accsryclr!$C$2:$C$1000=accsry_unmerged!F51)*(dd_accsryclr!$B$2:$B$1000=accsry_unmerged!J51),dd_accsryclr!$A$2:$A$1000),"")</f>
        <v>0</v>
      </c>
      <c r="I51" s="16">
        <f>_xlfn.XLOOKUP(C51,'Project Details'!$C$17:$C$66,'Project Details'!$E$17:$E$66,"",0)</f>
        <v>0</v>
      </c>
      <c r="J51" s="16">
        <f>_xlfn.XLOOKUP(C51,'Project Details'!$C$17:$C$66,'Project Details'!$H$17:$H$66,"",0)</f>
        <v>0</v>
      </c>
      <c r="K51" s="33" t="str">
        <f>IF(AND(_xlfn.XLOOKUP(C51,'Project Details'!$C$17:$C$66,'Project Details'!$L$17:$L$66,"",0)&gt;550, F51="Spring-L27cm"),"",SUBSTITUTE(_xlfn.XLOOKUP(G51,SKUs!$C$2:$C$10001,SKUs!$F$2:$F$10001,"",0), " Accessories",""))</f>
        <v/>
      </c>
      <c r="L51" s="33">
        <f>_xlfn.XLOOKUP(C51,'Project Details'!$C$17:$C$66,'Project Details'!$D$17:$D$66,"",0)</f>
        <v>0</v>
      </c>
      <c r="M51" s="43"/>
    </row>
    <row r="52" spans="1:13" ht="13.5" customHeight="1" outlineLevel="1" x14ac:dyDescent="0.25">
      <c r="A52" s="43"/>
      <c r="B52" s="43"/>
      <c r="C52" s="35">
        <v>1</v>
      </c>
      <c r="D52" s="35" t="str" cm="1">
        <f t="array" ref="D52">IFERROR(ROUNDUP(_xlfn.IFS(F52="Aluminum Track", _xlfn.XLOOKUP(C52, dd_accsrycalc!$A$2:$A$51, dd_accsrycalc!$B$2:$B$51, "",0), F52="10 x 2 1/2 S (Flat)", _xlfn.XLOOKUP(C52, dd_accsrycalc!$A$2:$A$51, dd_accsrycalc!$C$2:$C$51, "",0), F52="Tox6", _xlfn.XLOOKUP(C52, dd_accsrycalc!$A$2:$A$51, dd_accsrycalc!$D$2:$D$51, "",0), F52="Cover Cap", _xlfn.XLOOKUP(C52, dd_accsrycalc!$A$2:$A$51, dd_accsrycalc!$E$2:$E$51, "",0), F52="Drainage Cover", _xlfn.XLOOKUP(C52, dd_accsrycalc!$A$2:$A$51, dd_accsrycalc!$F$2:$F$51, "",0),AND( F52="Double Adhesive Tape", I52="Roll-up Screen"), _xlfn.XLOOKUP(C52, calc_rusacc!$C$15:$C$65, calc_rusacc!$AD$15:$AD$65, "",0),AND( F52="Sealant", I52="Roll-up Screen"), _xlfn.XLOOKUP(C52, calc_rusacc!$C$15:$C$65, calc_rusacc!$AF$15:$AF$65, "",0),  AND( F52="Main Chain", I52="Accordion Screen"), _xlfn.XLOOKUP(C52, calc_rusacc!$C$15:$C$65, calc_rusacc!$BF$15:$BF$65, "",0), AND( F52="Sealant", I52="Accordion Screen"), _xlfn.XLOOKUP(C52, calc_rusacc!$C$15:$C$65, calc_rusacc!$BJ$15:$BJ$65, "",0),  F52="Sealant", _xlfn.XLOOKUP(C52, dd_accsrycalc!$A$2:$A$51, dd_accsrycalc!$G$2:$G$51, "",0),  F52&lt;&gt;"",L52*_xlfn.XLOOKUP(1, (SKUs!$C$2:$C$10001=G52)*(SKUs!$K$2:$K$10001=I52),SKUs!$E$2:$E$10001)), 0),"")</f>
        <v/>
      </c>
      <c r="E52" s="35" t="str">
        <f>_xlfn.XLOOKUP(F52,dd_item!$B$2:$B$105,dd_item!$C$2:$C$105,"",0)</f>
        <v/>
      </c>
      <c r="F52" s="35"/>
      <c r="G52" s="35" cm="1">
        <f t="array" ref="G52">IFERROR(_xlfn.XLOOKUP(1, (SKUs!$J$2:$J$10001=accsry_unmerged!F52)*IF(H52&lt;&gt;"",(SKUs!$L$2:$L$10001=accsry_unmerged!H52),1)*(SKUs!$K$2:$K$10001=I52),SKUs!$C$2:$C$10001),"")</f>
        <v>0</v>
      </c>
      <c r="H52" s="36" cm="1">
        <f t="array" ref="H52">IFERROR(_xlfn.XLOOKUP(1, (dd_accsryclr!$C$2:$C$1000=accsry_unmerged!F52)*(dd_accsryclr!$B$2:$B$1000=accsry_unmerged!J52),dd_accsryclr!$A$2:$A$1000),"")</f>
        <v>0</v>
      </c>
      <c r="I52" s="35">
        <f>_xlfn.XLOOKUP(C52,'Project Details'!$C$17:$C$66,'Project Details'!$E$17:$E$66,"",0)</f>
        <v>0</v>
      </c>
      <c r="J52" s="35">
        <f>_xlfn.XLOOKUP(C52,'Project Details'!$C$17:$C$66,'Project Details'!$H$17:$H$66,"",0)</f>
        <v>0</v>
      </c>
      <c r="K52" s="36" t="str">
        <f>IF(AND(_xlfn.XLOOKUP(C52,'Project Details'!$C$17:$C$66,'Project Details'!$L$17:$L$66,"",0)&gt;550, F52="Spring-L27cm"),"",SUBSTITUTE(_xlfn.XLOOKUP(G52,SKUs!$C$2:$C$10001,SKUs!$F$2:$F$10001,"",0), " Accessories",""))</f>
        <v/>
      </c>
      <c r="L52" s="36">
        <f>_xlfn.XLOOKUP(C52,'Project Details'!$C$17:$C$66,'Project Details'!$D$17:$D$66,"",0)</f>
        <v>0</v>
      </c>
      <c r="M52" s="43"/>
    </row>
    <row r="53" spans="1:13" ht="13.5" customHeight="1" outlineLevel="1" x14ac:dyDescent="0.25">
      <c r="A53" s="43"/>
      <c r="B53" s="43"/>
      <c r="C53" s="16">
        <v>1</v>
      </c>
      <c r="D53" s="16" t="str" cm="1">
        <f t="array" ref="D53">IFERROR(ROUNDUP(_xlfn.IFS(F53="Aluminum Track", _xlfn.XLOOKUP(C53, dd_accsrycalc!$A$2:$A$51, dd_accsrycalc!$B$2:$B$51, "",0), F53="10 x 2 1/2 S (Flat)", _xlfn.XLOOKUP(C53, dd_accsrycalc!$A$2:$A$51, dd_accsrycalc!$C$2:$C$51, "",0), F53="Tox6", _xlfn.XLOOKUP(C53, dd_accsrycalc!$A$2:$A$51, dd_accsrycalc!$D$2:$D$51, "",0), F53="Cover Cap", _xlfn.XLOOKUP(C53, dd_accsrycalc!$A$2:$A$51, dd_accsrycalc!$E$2:$E$51, "",0), F53="Drainage Cover", _xlfn.XLOOKUP(C53, dd_accsrycalc!$A$2:$A$51, dd_accsrycalc!$F$2:$F$51, "",0),AND( F53="Double Adhesive Tape", I53="Roll-up Screen"), _xlfn.XLOOKUP(C53, calc_rusacc!$C$15:$C$65, calc_rusacc!$AD$15:$AD$65, "",0),AND( F53="Sealant", I53="Roll-up Screen"), _xlfn.XLOOKUP(C53, calc_rusacc!$C$15:$C$65, calc_rusacc!$AF$15:$AF$65, "",0),  AND( F53="Main Chain", I53="Accordion Screen"), _xlfn.XLOOKUP(C53, calc_rusacc!$C$15:$C$65, calc_rusacc!$BF$15:$BF$65, "",0), AND( F53="Sealant", I53="Accordion Screen"), _xlfn.XLOOKUP(C53, calc_rusacc!$C$15:$C$65, calc_rusacc!$BJ$15:$BJ$65, "",0),  F53="Sealant", _xlfn.XLOOKUP(C53, dd_accsrycalc!$A$2:$A$51, dd_accsrycalc!$G$2:$G$51, "",0),  F53&lt;&gt;"",L53*_xlfn.XLOOKUP(1, (SKUs!$C$2:$C$10001=G53)*(SKUs!$K$2:$K$10001=I53),SKUs!$E$2:$E$10001)), 0),"")</f>
        <v/>
      </c>
      <c r="E53" s="16" t="str">
        <f>_xlfn.XLOOKUP(F53,dd_item!$B$2:$B$105,dd_item!$C$2:$C$105,"",0)</f>
        <v/>
      </c>
      <c r="F53" s="16"/>
      <c r="G53" s="16" cm="1">
        <f t="array" ref="G53">IFERROR(_xlfn.XLOOKUP(1, (SKUs!$J$2:$J$10001=accsry_unmerged!F53)*IF(H53&lt;&gt;"",(SKUs!$L$2:$L$10001=accsry_unmerged!H53),1)*(SKUs!$K$2:$K$10001=I53),SKUs!$C$2:$C$10001),"")</f>
        <v>0</v>
      </c>
      <c r="H53" s="33" cm="1">
        <f t="array" ref="H53">IFERROR(_xlfn.XLOOKUP(1, (dd_accsryclr!$C$2:$C$1000=accsry_unmerged!F53)*(dd_accsryclr!$B$2:$B$1000=accsry_unmerged!J53),dd_accsryclr!$A$2:$A$1000),"")</f>
        <v>0</v>
      </c>
      <c r="I53" s="16">
        <f>_xlfn.XLOOKUP(C53,'Project Details'!$C$17:$C$66,'Project Details'!$E$17:$E$66,"",0)</f>
        <v>0</v>
      </c>
      <c r="J53" s="16">
        <f>_xlfn.XLOOKUP(C53,'Project Details'!$C$17:$C$66,'Project Details'!$H$17:$H$66,"",0)</f>
        <v>0</v>
      </c>
      <c r="K53" s="33" t="str">
        <f>IF(AND(_xlfn.XLOOKUP(C53,'Project Details'!$C$17:$C$66,'Project Details'!$L$17:$L$66,"",0)&gt;550, F53="Spring-L27cm"),"",SUBSTITUTE(_xlfn.XLOOKUP(G53,SKUs!$C$2:$C$10001,SKUs!$F$2:$F$10001,"",0), " Accessories",""))</f>
        <v/>
      </c>
      <c r="L53" s="33">
        <f>_xlfn.XLOOKUP(C53,'Project Details'!$C$17:$C$66,'Project Details'!$D$17:$D$66,"",0)</f>
        <v>0</v>
      </c>
      <c r="M53" s="43"/>
    </row>
    <row r="54" spans="1:13" ht="13.5" customHeight="1" outlineLevel="1" x14ac:dyDescent="0.25">
      <c r="A54" s="43"/>
      <c r="B54" s="43"/>
      <c r="C54" s="35">
        <v>1</v>
      </c>
      <c r="D54" s="35" t="str" cm="1">
        <f t="array" ref="D54">IFERROR(ROUNDUP(_xlfn.IFS(F54="Aluminum Track", _xlfn.XLOOKUP(C54, dd_accsrycalc!$A$2:$A$51, dd_accsrycalc!$B$2:$B$51, "",0), F54="10 x 2 1/2 S (Flat)", _xlfn.XLOOKUP(C54, dd_accsrycalc!$A$2:$A$51, dd_accsrycalc!$C$2:$C$51, "",0), F54="Tox6", _xlfn.XLOOKUP(C54, dd_accsrycalc!$A$2:$A$51, dd_accsrycalc!$D$2:$D$51, "",0), F54="Cover Cap", _xlfn.XLOOKUP(C54, dd_accsrycalc!$A$2:$A$51, dd_accsrycalc!$E$2:$E$51, "",0), F54="Drainage Cover", _xlfn.XLOOKUP(C54, dd_accsrycalc!$A$2:$A$51, dd_accsrycalc!$F$2:$F$51, "",0),AND( F54="Double Adhesive Tape", I54="Roll-up Screen"), _xlfn.XLOOKUP(C54, calc_rusacc!$C$15:$C$65, calc_rusacc!$AD$15:$AD$65, "",0),AND( F54="Sealant", I54="Roll-up Screen"), _xlfn.XLOOKUP(C54, calc_rusacc!$C$15:$C$65, calc_rusacc!$AF$15:$AF$65, "",0),  AND( F54="Main Chain", I54="Accordion Screen"), _xlfn.XLOOKUP(C54, calc_rusacc!$C$15:$C$65, calc_rusacc!$BF$15:$BF$65, "",0), AND( F54="Sealant", I54="Accordion Screen"), _xlfn.XLOOKUP(C54, calc_rusacc!$C$15:$C$65, calc_rusacc!$BJ$15:$BJ$65, "",0),  F54="Sealant", _xlfn.XLOOKUP(C54, dd_accsrycalc!$A$2:$A$51, dd_accsrycalc!$G$2:$G$51, "",0),  F54&lt;&gt;"",L54*_xlfn.XLOOKUP(1, (SKUs!$C$2:$C$10001=G54)*(SKUs!$K$2:$K$10001=I54),SKUs!$E$2:$E$10001)), 0),"")</f>
        <v/>
      </c>
      <c r="E54" s="35" t="str">
        <f>_xlfn.XLOOKUP(F54,dd_item!$B$2:$B$105,dd_item!$C$2:$C$105,"",0)</f>
        <v/>
      </c>
      <c r="F54" s="35"/>
      <c r="G54" s="35" cm="1">
        <f t="array" ref="G54">IFERROR(_xlfn.XLOOKUP(1, (SKUs!$J$2:$J$10001=accsry_unmerged!F54)*IF(H54&lt;&gt;"",(SKUs!$L$2:$L$10001=accsry_unmerged!H54),1)*(SKUs!$K$2:$K$10001=I54),SKUs!$C$2:$C$10001),"")</f>
        <v>0</v>
      </c>
      <c r="H54" s="36" cm="1">
        <f t="array" ref="H54">IFERROR(_xlfn.XLOOKUP(1, (dd_accsryclr!$C$2:$C$1000=accsry_unmerged!F54)*(dd_accsryclr!$B$2:$B$1000=accsry_unmerged!J54),dd_accsryclr!$A$2:$A$1000),"")</f>
        <v>0</v>
      </c>
      <c r="I54" s="35">
        <f>_xlfn.XLOOKUP(C54,'Project Details'!$C$17:$C$66,'Project Details'!$E$17:$E$66,"",0)</f>
        <v>0</v>
      </c>
      <c r="J54" s="35">
        <f>_xlfn.XLOOKUP(C54,'Project Details'!$C$17:$C$66,'Project Details'!$H$17:$H$66,"",0)</f>
        <v>0</v>
      </c>
      <c r="K54" s="36" t="str">
        <f>IF(AND(_xlfn.XLOOKUP(C54,'Project Details'!$C$17:$C$66,'Project Details'!$L$17:$L$66,"",0)&gt;550, F54="Spring-L27cm"),"",SUBSTITUTE(_xlfn.XLOOKUP(G54,SKUs!$C$2:$C$10001,SKUs!$F$2:$F$10001,"",0), " Accessories",""))</f>
        <v/>
      </c>
      <c r="L54" s="36">
        <f>_xlfn.XLOOKUP(C54,'Project Details'!$C$17:$C$66,'Project Details'!$D$17:$D$66,"",0)</f>
        <v>0</v>
      </c>
      <c r="M54" s="43"/>
    </row>
    <row r="55" spans="1:13" ht="13.5" customHeight="1" outlineLevel="1" collapsed="1" x14ac:dyDescent="0.25">
      <c r="A55" s="43"/>
      <c r="B55" s="43"/>
      <c r="C55" s="16">
        <v>1</v>
      </c>
      <c r="D55" s="16" t="str" cm="1">
        <f t="array" ref="D55">IFERROR(ROUNDUP(_xlfn.IFS(F55="Aluminum Track", _xlfn.XLOOKUP(C55, dd_accsrycalc!$A$2:$A$51, dd_accsrycalc!$B$2:$B$51, "",0), F55="10 x 2 1/2 S (Flat)", _xlfn.XLOOKUP(C55, dd_accsrycalc!$A$2:$A$51, dd_accsrycalc!$C$2:$C$51, "",0), F55="Tox6", _xlfn.XLOOKUP(C55, dd_accsrycalc!$A$2:$A$51, dd_accsrycalc!$D$2:$D$51, "",0), F55="Cover Cap", _xlfn.XLOOKUP(C55, dd_accsrycalc!$A$2:$A$51, dd_accsrycalc!$E$2:$E$51, "",0), F55="Drainage Cover", _xlfn.XLOOKUP(C55, dd_accsrycalc!$A$2:$A$51, dd_accsrycalc!$F$2:$F$51, "",0),AND( F55="Double Adhesive Tape", I55="Roll-up Screen"), _xlfn.XLOOKUP(C55, calc_rusacc!$C$15:$C$65, calc_rusacc!$AD$15:$AD$65, "",0),AND( F55="Sealant", I55="Roll-up Screen"), _xlfn.XLOOKUP(C55, calc_rusacc!$C$15:$C$65, calc_rusacc!$AF$15:$AF$65, "",0),  AND( F55="Main Chain", I55="Accordion Screen"), _xlfn.XLOOKUP(C55, calc_rusacc!$C$15:$C$65, calc_rusacc!$BF$15:$BF$65, "",0), AND( F55="Sealant", I55="Accordion Screen"), _xlfn.XLOOKUP(C55, calc_rusacc!$C$15:$C$65, calc_rusacc!$BJ$15:$BJ$65, "",0),  F55="Sealant", _xlfn.XLOOKUP(C55, dd_accsrycalc!$A$2:$A$51, dd_accsrycalc!$G$2:$G$51, "",0),  F55&lt;&gt;"",L55*_xlfn.XLOOKUP(1, (SKUs!$C$2:$C$10001=G55)*(SKUs!$K$2:$K$10001=I55),SKUs!$E$2:$E$10001)), 0),"")</f>
        <v/>
      </c>
      <c r="E55" s="16" t="str">
        <f>_xlfn.XLOOKUP(F55,dd_item!$B$2:$B$105,dd_item!$C$2:$C$105,"",0)</f>
        <v/>
      </c>
      <c r="F55" s="16"/>
      <c r="G55" s="16" cm="1">
        <f t="array" ref="G55">IFERROR(_xlfn.XLOOKUP(1, (SKUs!$J$2:$J$10001=accsry_unmerged!F55)*IF(H55&lt;&gt;"",(SKUs!$L$2:$L$10001=accsry_unmerged!H55),1)*(SKUs!$K$2:$K$10001=I55),SKUs!$C$2:$C$10001),"")</f>
        <v>0</v>
      </c>
      <c r="H55" s="33" cm="1">
        <f t="array" ref="H55">IFERROR(_xlfn.XLOOKUP(1, (dd_accsryclr!$C$2:$C$1000=accsry_unmerged!F55)*(dd_accsryclr!$B$2:$B$1000=accsry_unmerged!J55),dd_accsryclr!$A$2:$A$1000),"")</f>
        <v>0</v>
      </c>
      <c r="I55" s="16">
        <f>_xlfn.XLOOKUP(C55,'Project Details'!$C$17:$C$66,'Project Details'!$E$17:$E$66,"",0)</f>
        <v>0</v>
      </c>
      <c r="J55" s="16">
        <f>_xlfn.XLOOKUP(C55,'Project Details'!$C$17:$C$66,'Project Details'!$H$17:$H$66,"",0)</f>
        <v>0</v>
      </c>
      <c r="K55" s="33" t="str">
        <f>IF(AND(_xlfn.XLOOKUP(C55,'Project Details'!$C$17:$C$66,'Project Details'!$L$17:$L$66,"",0)&gt;550, F55="Spring-L27cm"),"",SUBSTITUTE(_xlfn.XLOOKUP(G55,SKUs!$C$2:$C$10001,SKUs!$F$2:$F$10001,"",0), " Accessories",""))</f>
        <v/>
      </c>
      <c r="L55" s="33">
        <f>_xlfn.XLOOKUP(C55,'Project Details'!$C$17:$C$66,'Project Details'!$D$17:$D$66,"",0)</f>
        <v>0</v>
      </c>
      <c r="M55" s="43"/>
    </row>
    <row r="56" spans="1:13" ht="13.5" customHeight="1" outlineLevel="1" x14ac:dyDescent="0.25">
      <c r="A56" s="43"/>
      <c r="B56" s="43"/>
      <c r="C56" s="35">
        <v>1</v>
      </c>
      <c r="D56" s="35" t="str" cm="1">
        <f t="array" ref="D56">IFERROR(ROUNDUP(_xlfn.IFS(F56="Aluminum Track", _xlfn.XLOOKUP(C56, dd_accsrycalc!$A$2:$A$51, dd_accsrycalc!$B$2:$B$51, "",0), F56="10 x 2 1/2 S (Flat)", _xlfn.XLOOKUP(C56, dd_accsrycalc!$A$2:$A$51, dd_accsrycalc!$C$2:$C$51, "",0), F56="Tox6", _xlfn.XLOOKUP(C56, dd_accsrycalc!$A$2:$A$51, dd_accsrycalc!$D$2:$D$51, "",0), F56="Cover Cap", _xlfn.XLOOKUP(C56, dd_accsrycalc!$A$2:$A$51, dd_accsrycalc!$E$2:$E$51, "",0), F56="Drainage Cover", _xlfn.XLOOKUP(C56, dd_accsrycalc!$A$2:$A$51, dd_accsrycalc!$F$2:$F$51, "",0),AND( F56="Double Adhesive Tape", I56="Roll-up Screen"), _xlfn.XLOOKUP(C56, calc_rusacc!$C$15:$C$65, calc_rusacc!$AD$15:$AD$65, "",0),AND( F56="Sealant", I56="Roll-up Screen"), _xlfn.XLOOKUP(C56, calc_rusacc!$C$15:$C$65, calc_rusacc!$AF$15:$AF$65, "",0),  AND( F56="Main Chain", I56="Accordion Screen"), _xlfn.XLOOKUP(C56, calc_rusacc!$C$15:$C$65, calc_rusacc!$BF$15:$BF$65, "",0), AND( F56="Sealant", I56="Accordion Screen"), _xlfn.XLOOKUP(C56, calc_rusacc!$C$15:$C$65, calc_rusacc!$BJ$15:$BJ$65, "",0),  F56="Sealant", _xlfn.XLOOKUP(C56, dd_accsrycalc!$A$2:$A$51, dd_accsrycalc!$G$2:$G$51, "",0),  F56&lt;&gt;"",L56*_xlfn.XLOOKUP(1, (SKUs!$C$2:$C$10001=G56)*(SKUs!$K$2:$K$10001=I56),SKUs!$E$2:$E$10001)), 0),"")</f>
        <v/>
      </c>
      <c r="E56" s="35" t="str">
        <f>_xlfn.XLOOKUP(F56,dd_item!$B$2:$B$105,dd_item!$C$2:$C$105,"",0)</f>
        <v/>
      </c>
      <c r="F56" s="35"/>
      <c r="G56" s="35" cm="1">
        <f t="array" ref="G56">IFERROR(_xlfn.XLOOKUP(1, (SKUs!$J$2:$J$10001=accsry_unmerged!F56)*IF(H56&lt;&gt;"",(SKUs!$L$2:$L$10001=accsry_unmerged!H56),1)*(SKUs!$K$2:$K$10001=I56),SKUs!$C$2:$C$10001),"")</f>
        <v>0</v>
      </c>
      <c r="H56" s="36" cm="1">
        <f t="array" ref="H56">IFERROR(_xlfn.XLOOKUP(1, (dd_accsryclr!$C$2:$C$1000=accsry_unmerged!F56)*(dd_accsryclr!$B$2:$B$1000=accsry_unmerged!J56),dd_accsryclr!$A$2:$A$1000),"")</f>
        <v>0</v>
      </c>
      <c r="I56" s="35">
        <f>_xlfn.XLOOKUP(C56,'Project Details'!$C$17:$C$66,'Project Details'!$E$17:$E$66,"",0)</f>
        <v>0</v>
      </c>
      <c r="J56" s="35">
        <f>_xlfn.XLOOKUP(C56,'Project Details'!$C$17:$C$66,'Project Details'!$H$17:$H$66,"",0)</f>
        <v>0</v>
      </c>
      <c r="K56" s="36" t="str">
        <f>IF(AND(_xlfn.XLOOKUP(C56,'Project Details'!$C$17:$C$66,'Project Details'!$L$17:$L$66,"",0)&gt;550, F56="Spring-L27cm"),"",SUBSTITUTE(_xlfn.XLOOKUP(G56,SKUs!$C$2:$C$10001,SKUs!$F$2:$F$10001,"",0), " Accessories",""))</f>
        <v/>
      </c>
      <c r="L56" s="36">
        <f>_xlfn.XLOOKUP(C56,'Project Details'!$C$17:$C$66,'Project Details'!$D$17:$D$66,"",0)</f>
        <v>0</v>
      </c>
      <c r="M56" s="43"/>
    </row>
    <row r="57" spans="1:13" ht="13.5" customHeight="1" outlineLevel="1" x14ac:dyDescent="0.25">
      <c r="A57" s="43"/>
      <c r="B57" s="43"/>
      <c r="C57" s="16">
        <v>1</v>
      </c>
      <c r="D57" s="16" t="str" cm="1">
        <f t="array" ref="D57">IFERROR(ROUNDUP(_xlfn.IFS(F57="Aluminum Track", _xlfn.XLOOKUP(C57, dd_accsrycalc!$A$2:$A$51, dd_accsrycalc!$B$2:$B$51, "",0), F57="10 x 2 1/2 S (Flat)", _xlfn.XLOOKUP(C57, dd_accsrycalc!$A$2:$A$51, dd_accsrycalc!$C$2:$C$51, "",0), F57="Tox6", _xlfn.XLOOKUP(C57, dd_accsrycalc!$A$2:$A$51, dd_accsrycalc!$D$2:$D$51, "",0), F57="Cover Cap", _xlfn.XLOOKUP(C57, dd_accsrycalc!$A$2:$A$51, dd_accsrycalc!$E$2:$E$51, "",0), F57="Drainage Cover", _xlfn.XLOOKUP(C57, dd_accsrycalc!$A$2:$A$51, dd_accsrycalc!$F$2:$F$51, "",0),AND( F57="Double Adhesive Tape", I57="Roll-up Screen"), _xlfn.XLOOKUP(C57, calc_rusacc!$C$15:$C$65, calc_rusacc!$AD$15:$AD$65, "",0),AND( F57="Sealant", I57="Roll-up Screen"), _xlfn.XLOOKUP(C57, calc_rusacc!$C$15:$C$65, calc_rusacc!$AF$15:$AF$65, "",0),  AND( F57="Main Chain", I57="Accordion Screen"), _xlfn.XLOOKUP(C57, calc_rusacc!$C$15:$C$65, calc_rusacc!$BF$15:$BF$65, "",0), AND( F57="Sealant", I57="Accordion Screen"), _xlfn.XLOOKUP(C57, calc_rusacc!$C$15:$C$65, calc_rusacc!$BJ$15:$BJ$65, "",0),  F57="Sealant", _xlfn.XLOOKUP(C57, dd_accsrycalc!$A$2:$A$51, dd_accsrycalc!$G$2:$G$51, "",0),  F57&lt;&gt;"",L57*_xlfn.XLOOKUP(1, (SKUs!$C$2:$C$10001=G57)*(SKUs!$K$2:$K$10001=I57),SKUs!$E$2:$E$10001)), 0),"")</f>
        <v/>
      </c>
      <c r="E57" s="16" t="str">
        <f>_xlfn.XLOOKUP(F57,dd_item!$B$2:$B$105,dd_item!$C$2:$C$105,"",0)</f>
        <v/>
      </c>
      <c r="F57" s="16"/>
      <c r="G57" s="16" cm="1">
        <f t="array" ref="G57">IFERROR(_xlfn.XLOOKUP(1, (SKUs!$J$2:$J$10001=accsry_unmerged!F57)*IF(H57&lt;&gt;"",(SKUs!$L$2:$L$10001=accsry_unmerged!H57),1)*(SKUs!$K$2:$K$10001=I57),SKUs!$C$2:$C$10001),"")</f>
        <v>0</v>
      </c>
      <c r="H57" s="33" cm="1">
        <f t="array" ref="H57">IFERROR(_xlfn.XLOOKUP(1, (dd_accsryclr!$C$2:$C$1000=accsry_unmerged!F57)*(dd_accsryclr!$B$2:$B$1000=accsry_unmerged!J57),dd_accsryclr!$A$2:$A$1000),"")</f>
        <v>0</v>
      </c>
      <c r="I57" s="16">
        <f>_xlfn.XLOOKUP(C57,'Project Details'!$C$17:$C$66,'Project Details'!$E$17:$E$66,"",0)</f>
        <v>0</v>
      </c>
      <c r="J57" s="16">
        <f>_xlfn.XLOOKUP(C57,'Project Details'!$C$17:$C$66,'Project Details'!$H$17:$H$66,"",0)</f>
        <v>0</v>
      </c>
      <c r="K57" s="33" t="str">
        <f>IF(AND(_xlfn.XLOOKUP(C57,'Project Details'!$C$17:$C$66,'Project Details'!$L$17:$L$66,"",0)&gt;550, F57="Spring-L27cm"),"",SUBSTITUTE(_xlfn.XLOOKUP(G57,SKUs!$C$2:$C$10001,SKUs!$F$2:$F$10001,"",0), " Accessories",""))</f>
        <v/>
      </c>
      <c r="L57" s="33">
        <f>_xlfn.XLOOKUP(C57,'Project Details'!$C$17:$C$66,'Project Details'!$D$17:$D$66,"",0)</f>
        <v>0</v>
      </c>
      <c r="M57" s="43"/>
    </row>
    <row r="58" spans="1:13" ht="13.5" customHeight="1" outlineLevel="1" x14ac:dyDescent="0.25">
      <c r="A58" s="43"/>
      <c r="B58" s="43"/>
      <c r="C58" s="35">
        <v>1</v>
      </c>
      <c r="D58" s="35" t="str" cm="1">
        <f t="array" ref="D58">IFERROR(ROUNDUP(_xlfn.IFS(F58="Aluminum Track", _xlfn.XLOOKUP(C58, dd_accsrycalc!$A$2:$A$51, dd_accsrycalc!$B$2:$B$51, "",0), F58="10 x 2 1/2 S (Flat)", _xlfn.XLOOKUP(C58, dd_accsrycalc!$A$2:$A$51, dd_accsrycalc!$C$2:$C$51, "",0), F58="Tox6", _xlfn.XLOOKUP(C58, dd_accsrycalc!$A$2:$A$51, dd_accsrycalc!$D$2:$D$51, "",0), F58="Cover Cap", _xlfn.XLOOKUP(C58, dd_accsrycalc!$A$2:$A$51, dd_accsrycalc!$E$2:$E$51, "",0), F58="Drainage Cover", _xlfn.XLOOKUP(C58, dd_accsrycalc!$A$2:$A$51, dd_accsrycalc!$F$2:$F$51, "",0),AND( F58="Double Adhesive Tape", I58="Roll-up Screen"), _xlfn.XLOOKUP(C58, calc_rusacc!$C$15:$C$65, calc_rusacc!$AD$15:$AD$65, "",0),AND( F58="Sealant", I58="Roll-up Screen"), _xlfn.XLOOKUP(C58, calc_rusacc!$C$15:$C$65, calc_rusacc!$AF$15:$AF$65, "",0),  AND( F58="Main Chain", I58="Accordion Screen"), _xlfn.XLOOKUP(C58, calc_rusacc!$C$15:$C$65, calc_rusacc!$BF$15:$BF$65, "",0), AND( F58="Sealant", I58="Accordion Screen"), _xlfn.XLOOKUP(C58, calc_rusacc!$C$15:$C$65, calc_rusacc!$BJ$15:$BJ$65, "",0),  F58="Sealant", _xlfn.XLOOKUP(C58, dd_accsrycalc!$A$2:$A$51, dd_accsrycalc!$G$2:$G$51, "",0),  F58&lt;&gt;"",L58*_xlfn.XLOOKUP(1, (SKUs!$C$2:$C$10001=G58)*(SKUs!$K$2:$K$10001=I58),SKUs!$E$2:$E$10001)), 0),"")</f>
        <v/>
      </c>
      <c r="E58" s="35" t="str">
        <f>_xlfn.XLOOKUP(F58,dd_item!$B$2:$B$105,dd_item!$C$2:$C$105,"",0)</f>
        <v/>
      </c>
      <c r="F58" s="35"/>
      <c r="G58" s="35" cm="1">
        <f t="array" ref="G58">IFERROR(_xlfn.XLOOKUP(1, (SKUs!$J$2:$J$10001=accsry_unmerged!F58)*IF(H58&lt;&gt;"",(SKUs!$L$2:$L$10001=accsry_unmerged!H58),1)*(SKUs!$K$2:$K$10001=I58),SKUs!$C$2:$C$10001),"")</f>
        <v>0</v>
      </c>
      <c r="H58" s="36" cm="1">
        <f t="array" ref="H58">IFERROR(_xlfn.XLOOKUP(1, (dd_accsryclr!$C$2:$C$1000=accsry_unmerged!F58)*(dd_accsryclr!$B$2:$B$1000=accsry_unmerged!J58),dd_accsryclr!$A$2:$A$1000),"")</f>
        <v>0</v>
      </c>
      <c r="I58" s="35">
        <f>_xlfn.XLOOKUP(C58,'Project Details'!$C$17:$C$66,'Project Details'!$E$17:$E$66,"",0)</f>
        <v>0</v>
      </c>
      <c r="J58" s="35">
        <f>_xlfn.XLOOKUP(C58,'Project Details'!$C$17:$C$66,'Project Details'!$H$17:$H$66,"",0)</f>
        <v>0</v>
      </c>
      <c r="K58" s="36" t="str">
        <f>IF(AND(_xlfn.XLOOKUP(C58,'Project Details'!$C$17:$C$66,'Project Details'!$L$17:$L$66,"",0)&gt;550, F58="Spring-L27cm"),"",SUBSTITUTE(_xlfn.XLOOKUP(G58,SKUs!$C$2:$C$10001,SKUs!$F$2:$F$10001,"",0), " Accessories",""))</f>
        <v/>
      </c>
      <c r="L58" s="36">
        <f>_xlfn.XLOOKUP(C58,'Project Details'!$C$17:$C$66,'Project Details'!$D$17:$D$66,"",0)</f>
        <v>0</v>
      </c>
      <c r="M58" s="43"/>
    </row>
    <row r="59" spans="1:13" ht="13.5" customHeight="1" outlineLevel="1" x14ac:dyDescent="0.25">
      <c r="A59" s="43"/>
      <c r="B59" s="43"/>
      <c r="C59" s="16">
        <v>1</v>
      </c>
      <c r="D59" s="16" t="str" cm="1">
        <f t="array" ref="D59">IFERROR(ROUNDUP(_xlfn.IFS(F59="Aluminum Track", _xlfn.XLOOKUP(C59, dd_accsrycalc!$A$2:$A$51, dd_accsrycalc!$B$2:$B$51, "",0), F59="10 x 2 1/2 S (Flat)", _xlfn.XLOOKUP(C59, dd_accsrycalc!$A$2:$A$51, dd_accsrycalc!$C$2:$C$51, "",0), F59="Tox6", _xlfn.XLOOKUP(C59, dd_accsrycalc!$A$2:$A$51, dd_accsrycalc!$D$2:$D$51, "",0), F59="Cover Cap", _xlfn.XLOOKUP(C59, dd_accsrycalc!$A$2:$A$51, dd_accsrycalc!$E$2:$E$51, "",0), F59="Drainage Cover", _xlfn.XLOOKUP(C59, dd_accsrycalc!$A$2:$A$51, dd_accsrycalc!$F$2:$F$51, "",0),AND( F59="Double Adhesive Tape", I59="Roll-up Screen"), _xlfn.XLOOKUP(C59, calc_rusacc!$C$15:$C$65, calc_rusacc!$AD$15:$AD$65, "",0),AND( F59="Sealant", I59="Roll-up Screen"), _xlfn.XLOOKUP(C59, calc_rusacc!$C$15:$C$65, calc_rusacc!$AF$15:$AF$65, "",0),  AND( F59="Main Chain", I59="Accordion Screen"), _xlfn.XLOOKUP(C59, calc_rusacc!$C$15:$C$65, calc_rusacc!$BF$15:$BF$65, "",0), AND( F59="Sealant", I59="Accordion Screen"), _xlfn.XLOOKUP(C59, calc_rusacc!$C$15:$C$65, calc_rusacc!$BJ$15:$BJ$65, "",0),  F59="Sealant", _xlfn.XLOOKUP(C59, dd_accsrycalc!$A$2:$A$51, dd_accsrycalc!$G$2:$G$51, "",0),  F59&lt;&gt;"",L59*_xlfn.XLOOKUP(1, (SKUs!$C$2:$C$10001=G59)*(SKUs!$K$2:$K$10001=I59),SKUs!$E$2:$E$10001)), 0),"")</f>
        <v/>
      </c>
      <c r="E59" s="16" t="str">
        <f>_xlfn.XLOOKUP(F59,dd_item!$B$2:$B$105,dd_item!$C$2:$C$105,"",0)</f>
        <v/>
      </c>
      <c r="F59" s="16"/>
      <c r="G59" s="16" cm="1">
        <f t="array" ref="G59">IFERROR(_xlfn.XLOOKUP(1, (SKUs!$J$2:$J$10001=accsry_unmerged!F59)*IF(H59&lt;&gt;"",(SKUs!$L$2:$L$10001=accsry_unmerged!H59),1)*(SKUs!$K$2:$K$10001=I59),SKUs!$C$2:$C$10001),"")</f>
        <v>0</v>
      </c>
      <c r="H59" s="33" cm="1">
        <f t="array" ref="H59">IFERROR(_xlfn.XLOOKUP(1, (dd_accsryclr!$C$2:$C$1000=accsry_unmerged!F59)*(dd_accsryclr!$B$2:$B$1000=accsry_unmerged!J59),dd_accsryclr!$A$2:$A$1000),"")</f>
        <v>0</v>
      </c>
      <c r="I59" s="16">
        <f>_xlfn.XLOOKUP(C59,'Project Details'!$C$17:$C$66,'Project Details'!$E$17:$E$66,"",0)</f>
        <v>0</v>
      </c>
      <c r="J59" s="16">
        <f>_xlfn.XLOOKUP(C59,'Project Details'!$C$17:$C$66,'Project Details'!$H$17:$H$66,"",0)</f>
        <v>0</v>
      </c>
      <c r="K59" s="33" t="str">
        <f>IF(AND(_xlfn.XLOOKUP(C59,'Project Details'!$C$17:$C$66,'Project Details'!$L$17:$L$66,"",0)&gt;550, F59="Spring-L27cm"),"",SUBSTITUTE(_xlfn.XLOOKUP(G59,SKUs!$C$2:$C$10001,SKUs!$F$2:$F$10001,"",0), " Accessories",""))</f>
        <v/>
      </c>
      <c r="L59" s="33">
        <f>_xlfn.XLOOKUP(C59,'Project Details'!$C$17:$C$66,'Project Details'!$D$17:$D$66,"",0)</f>
        <v>0</v>
      </c>
      <c r="M59" s="43"/>
    </row>
    <row r="60" spans="1:13" ht="13.5" customHeight="1" outlineLevel="1" x14ac:dyDescent="0.25">
      <c r="A60" s="43"/>
      <c r="B60" s="43"/>
      <c r="C60" s="35">
        <v>1</v>
      </c>
      <c r="D60" s="35" t="str" cm="1">
        <f t="array" ref="D60">IFERROR(ROUNDUP(_xlfn.IFS(F60="Aluminum Track", _xlfn.XLOOKUP(C60, dd_accsrycalc!$A$2:$A$51, dd_accsrycalc!$B$2:$B$51, "",0), F60="10 x 2 1/2 S (Flat)", _xlfn.XLOOKUP(C60, dd_accsrycalc!$A$2:$A$51, dd_accsrycalc!$C$2:$C$51, "",0), F60="Tox6", _xlfn.XLOOKUP(C60, dd_accsrycalc!$A$2:$A$51, dd_accsrycalc!$D$2:$D$51, "",0), F60="Cover Cap", _xlfn.XLOOKUP(C60, dd_accsrycalc!$A$2:$A$51, dd_accsrycalc!$E$2:$E$51, "",0), F60="Drainage Cover", _xlfn.XLOOKUP(C60, dd_accsrycalc!$A$2:$A$51, dd_accsrycalc!$F$2:$F$51, "",0),AND( F60="Double Adhesive Tape", I60="Roll-up Screen"), _xlfn.XLOOKUP(C60, calc_rusacc!$C$15:$C$65, calc_rusacc!$AD$15:$AD$65, "",0),AND( F60="Sealant", I60="Roll-up Screen"), _xlfn.XLOOKUP(C60, calc_rusacc!$C$15:$C$65, calc_rusacc!$AF$15:$AF$65, "",0),  AND( F60="Main Chain", I60="Accordion Screen"), _xlfn.XLOOKUP(C60, calc_rusacc!$C$15:$C$65, calc_rusacc!$BF$15:$BF$65, "",0), AND( F60="Sealant", I60="Accordion Screen"), _xlfn.XLOOKUP(C60, calc_rusacc!$C$15:$C$65, calc_rusacc!$BJ$15:$BJ$65, "",0),  F60="Sealant", _xlfn.XLOOKUP(C60, dd_accsrycalc!$A$2:$A$51, dd_accsrycalc!$G$2:$G$51, "",0),  F60&lt;&gt;"",L60*_xlfn.XLOOKUP(1, (SKUs!$C$2:$C$10001=G60)*(SKUs!$K$2:$K$10001=I60),SKUs!$E$2:$E$10001)), 0),"")</f>
        <v/>
      </c>
      <c r="E60" s="35" t="str">
        <f>_xlfn.XLOOKUP(F60,dd_item!$B$2:$B$105,dd_item!$C$2:$C$105,"",0)</f>
        <v/>
      </c>
      <c r="F60" s="35"/>
      <c r="G60" s="35" cm="1">
        <f t="array" ref="G60">IFERROR(_xlfn.XLOOKUP(1, (SKUs!$J$2:$J$10001=accsry_unmerged!F60)*IF(H60&lt;&gt;"",(SKUs!$L$2:$L$10001=accsry_unmerged!H60),1)*(SKUs!$K$2:$K$10001=I60),SKUs!$C$2:$C$10001),"")</f>
        <v>0</v>
      </c>
      <c r="H60" s="36" cm="1">
        <f t="array" ref="H60">IFERROR(_xlfn.XLOOKUP(1, (dd_accsryclr!$C$2:$C$1000=accsry_unmerged!F60)*(dd_accsryclr!$B$2:$B$1000=accsry_unmerged!J60),dd_accsryclr!$A$2:$A$1000),"")</f>
        <v>0</v>
      </c>
      <c r="I60" s="35">
        <f>_xlfn.XLOOKUP(C60,'Project Details'!$C$17:$C$66,'Project Details'!$E$17:$E$66,"",0)</f>
        <v>0</v>
      </c>
      <c r="J60" s="35">
        <f>_xlfn.XLOOKUP(C60,'Project Details'!$C$17:$C$66,'Project Details'!$H$17:$H$66,"",0)</f>
        <v>0</v>
      </c>
      <c r="K60" s="36" t="str">
        <f>IF(AND(_xlfn.XLOOKUP(C60,'Project Details'!$C$17:$C$66,'Project Details'!$L$17:$L$66,"",0)&gt;550, F60="Spring-L27cm"),"",SUBSTITUTE(_xlfn.XLOOKUP(G60,SKUs!$C$2:$C$10001,SKUs!$F$2:$F$10001,"",0), " Accessories",""))</f>
        <v/>
      </c>
      <c r="L60" s="36">
        <f>_xlfn.XLOOKUP(C60,'Project Details'!$C$17:$C$66,'Project Details'!$D$17:$D$66,"",0)</f>
        <v>0</v>
      </c>
      <c r="M60" s="43"/>
    </row>
    <row r="61" spans="1:13" ht="13.5" customHeight="1" outlineLevel="1" x14ac:dyDescent="0.25">
      <c r="A61" s="43"/>
      <c r="B61" s="43"/>
      <c r="C61" s="16">
        <v>1</v>
      </c>
      <c r="D61" s="16" t="str" cm="1">
        <f t="array" ref="D61">IFERROR(ROUNDUP(_xlfn.IFS(F61="Aluminum Track", _xlfn.XLOOKUP(C61, dd_accsrycalc!$A$2:$A$51, dd_accsrycalc!$B$2:$B$51, "",0), F61="10 x 2 1/2 S (Flat)", _xlfn.XLOOKUP(C61, dd_accsrycalc!$A$2:$A$51, dd_accsrycalc!$C$2:$C$51, "",0), F61="Tox6", _xlfn.XLOOKUP(C61, dd_accsrycalc!$A$2:$A$51, dd_accsrycalc!$D$2:$D$51, "",0), F61="Cover Cap", _xlfn.XLOOKUP(C61, dd_accsrycalc!$A$2:$A$51, dd_accsrycalc!$E$2:$E$51, "",0), F61="Drainage Cover", _xlfn.XLOOKUP(C61, dd_accsrycalc!$A$2:$A$51, dd_accsrycalc!$F$2:$F$51, "",0),AND( F61="Double Adhesive Tape", I61="Roll-up Screen"), _xlfn.XLOOKUP(C61, calc_rusacc!$C$15:$C$65, calc_rusacc!$AD$15:$AD$65, "",0),AND( F61="Sealant", I61="Roll-up Screen"), _xlfn.XLOOKUP(C61, calc_rusacc!$C$15:$C$65, calc_rusacc!$AF$15:$AF$65, "",0),  AND( F61="Main Chain", I61="Accordion Screen"), _xlfn.XLOOKUP(C61, calc_rusacc!$C$15:$C$65, calc_rusacc!$BF$15:$BF$65, "",0), AND( F61="Sealant", I61="Accordion Screen"), _xlfn.XLOOKUP(C61, calc_rusacc!$C$15:$C$65, calc_rusacc!$BJ$15:$BJ$65, "",0),  F61="Sealant", _xlfn.XLOOKUP(C61, dd_accsrycalc!$A$2:$A$51, dd_accsrycalc!$G$2:$G$51, "",0),  F61&lt;&gt;"",L61*_xlfn.XLOOKUP(1, (SKUs!$C$2:$C$10001=G61)*(SKUs!$K$2:$K$10001=I61),SKUs!$E$2:$E$10001)), 0),"")</f>
        <v/>
      </c>
      <c r="E61" s="16" t="str">
        <f>_xlfn.XLOOKUP(F61,dd_item!$B$2:$B$105,dd_item!$C$2:$C$105,"",0)</f>
        <v/>
      </c>
      <c r="F61" s="16"/>
      <c r="G61" s="16" cm="1">
        <f t="array" ref="G61">IFERROR(_xlfn.XLOOKUP(1, (SKUs!$J$2:$J$10001=accsry_unmerged!F61)*IF(H61&lt;&gt;"",(SKUs!$L$2:$L$10001=accsry_unmerged!H61),1)*(SKUs!$K$2:$K$10001=I61),SKUs!$C$2:$C$10001),"")</f>
        <v>0</v>
      </c>
      <c r="H61" s="33" cm="1">
        <f t="array" ref="H61">IFERROR(_xlfn.XLOOKUP(1, (dd_accsryclr!$C$2:$C$1000=accsry_unmerged!F61)*(dd_accsryclr!$B$2:$B$1000=accsry_unmerged!J61),dd_accsryclr!$A$2:$A$1000),"")</f>
        <v>0</v>
      </c>
      <c r="I61" s="16">
        <f>_xlfn.XLOOKUP(C61,'Project Details'!$C$17:$C$66,'Project Details'!$E$17:$E$66,"",0)</f>
        <v>0</v>
      </c>
      <c r="J61" s="16">
        <f>_xlfn.XLOOKUP(C61,'Project Details'!$C$17:$C$66,'Project Details'!$H$17:$H$66,"",0)</f>
        <v>0</v>
      </c>
      <c r="K61" s="33" t="str">
        <f>IF(AND(_xlfn.XLOOKUP(C61,'Project Details'!$C$17:$C$66,'Project Details'!$L$17:$L$66,"",0)&gt;550, F61="Spring-L27cm"),"",SUBSTITUTE(_xlfn.XLOOKUP(G61,SKUs!$C$2:$C$10001,SKUs!$F$2:$F$10001,"",0), " Accessories",""))</f>
        <v/>
      </c>
      <c r="L61" s="33">
        <f>_xlfn.XLOOKUP(C61,'Project Details'!$C$17:$C$66,'Project Details'!$D$17:$D$66,"",0)</f>
        <v>0</v>
      </c>
      <c r="M61" s="43"/>
    </row>
    <row r="62" spans="1:13" ht="13.5" customHeight="1" outlineLevel="1" x14ac:dyDescent="0.25">
      <c r="A62" s="43"/>
      <c r="B62" s="43"/>
      <c r="C62" s="35">
        <v>1</v>
      </c>
      <c r="D62" s="35" t="str" cm="1">
        <f t="array" ref="D62">IFERROR(ROUNDUP(_xlfn.IFS(F62="Aluminum Track", _xlfn.XLOOKUP(C62, dd_accsrycalc!$A$2:$A$51, dd_accsrycalc!$B$2:$B$51, "",0), F62="10 x 2 1/2 S (Flat)", _xlfn.XLOOKUP(C62, dd_accsrycalc!$A$2:$A$51, dd_accsrycalc!$C$2:$C$51, "",0), F62="Tox6", _xlfn.XLOOKUP(C62, dd_accsrycalc!$A$2:$A$51, dd_accsrycalc!$D$2:$D$51, "",0), F62="Cover Cap", _xlfn.XLOOKUP(C62, dd_accsrycalc!$A$2:$A$51, dd_accsrycalc!$E$2:$E$51, "",0), F62="Drainage Cover", _xlfn.XLOOKUP(C62, dd_accsrycalc!$A$2:$A$51, dd_accsrycalc!$F$2:$F$51, "",0),AND( F62="Double Adhesive Tape", I62="Roll-up Screen"), _xlfn.XLOOKUP(C62, calc_rusacc!$C$15:$C$65, calc_rusacc!$AD$15:$AD$65, "",0),AND( F62="Sealant", I62="Roll-up Screen"), _xlfn.XLOOKUP(C62, calc_rusacc!$C$15:$C$65, calc_rusacc!$AF$15:$AF$65, "",0),  AND( F62="Main Chain", I62="Accordion Screen"), _xlfn.XLOOKUP(C62, calc_rusacc!$C$15:$C$65, calc_rusacc!$BF$15:$BF$65, "",0), AND( F62="Sealant", I62="Accordion Screen"), _xlfn.XLOOKUP(C62, calc_rusacc!$C$15:$C$65, calc_rusacc!$BJ$15:$BJ$65, "",0),  F62="Sealant", _xlfn.XLOOKUP(C62, dd_accsrycalc!$A$2:$A$51, dd_accsrycalc!$G$2:$G$51, "",0),  F62&lt;&gt;"",L62*_xlfn.XLOOKUP(1, (SKUs!$C$2:$C$10001=G62)*(SKUs!$K$2:$K$10001=I62),SKUs!$E$2:$E$10001)), 0),"")</f>
        <v/>
      </c>
      <c r="E62" s="35" t="str">
        <f>_xlfn.XLOOKUP(F62,dd_item!$B$2:$B$105,dd_item!$C$2:$C$105,"",0)</f>
        <v/>
      </c>
      <c r="F62" s="35"/>
      <c r="G62" s="35" cm="1">
        <f t="array" ref="G62">IFERROR(_xlfn.XLOOKUP(1, (SKUs!$J$2:$J$10001=accsry_unmerged!F62)*IF(H62&lt;&gt;"",(SKUs!$L$2:$L$10001=accsry_unmerged!H62),1)*(SKUs!$K$2:$K$10001=I62),SKUs!$C$2:$C$10001),"")</f>
        <v>0</v>
      </c>
      <c r="H62" s="36" cm="1">
        <f t="array" ref="H62">IFERROR(_xlfn.XLOOKUP(1, (dd_accsryclr!$C$2:$C$1000=accsry_unmerged!F62)*(dd_accsryclr!$B$2:$B$1000=accsry_unmerged!J62),dd_accsryclr!$A$2:$A$1000),"")</f>
        <v>0</v>
      </c>
      <c r="I62" s="35">
        <f>_xlfn.XLOOKUP(C62,'Project Details'!$C$17:$C$66,'Project Details'!$E$17:$E$66,"",0)</f>
        <v>0</v>
      </c>
      <c r="J62" s="35">
        <f>_xlfn.XLOOKUP(C62,'Project Details'!$C$17:$C$66,'Project Details'!$H$17:$H$66,"",0)</f>
        <v>0</v>
      </c>
      <c r="K62" s="36" t="str">
        <f>IF(AND(_xlfn.XLOOKUP(C62,'Project Details'!$C$17:$C$66,'Project Details'!$L$17:$L$66,"",0)&gt;550, F62="Spring-L27cm"),"",SUBSTITUTE(_xlfn.XLOOKUP(G62,SKUs!$C$2:$C$10001,SKUs!$F$2:$F$10001,"",0), " Accessories",""))</f>
        <v/>
      </c>
      <c r="L62" s="36">
        <f>_xlfn.XLOOKUP(C62,'Project Details'!$C$17:$C$66,'Project Details'!$D$17:$D$66,"",0)</f>
        <v>0</v>
      </c>
      <c r="M62" s="43"/>
    </row>
    <row r="63" spans="1:13" ht="13.5" customHeight="1" outlineLevel="1" x14ac:dyDescent="0.25">
      <c r="A63" s="43"/>
      <c r="B63" s="43"/>
      <c r="C63" s="16">
        <v>1</v>
      </c>
      <c r="D63" s="16" t="str" cm="1">
        <f t="array" ref="D63">IFERROR(ROUNDUP(_xlfn.IFS(F63="Aluminum Track", _xlfn.XLOOKUP(C63, dd_accsrycalc!$A$2:$A$51, dd_accsrycalc!$B$2:$B$51, "",0), F63="10 x 2 1/2 S (Flat)", _xlfn.XLOOKUP(C63, dd_accsrycalc!$A$2:$A$51, dd_accsrycalc!$C$2:$C$51, "",0), F63="Tox6", _xlfn.XLOOKUP(C63, dd_accsrycalc!$A$2:$A$51, dd_accsrycalc!$D$2:$D$51, "",0), F63="Cover Cap", _xlfn.XLOOKUP(C63, dd_accsrycalc!$A$2:$A$51, dd_accsrycalc!$E$2:$E$51, "",0), F63="Drainage Cover", _xlfn.XLOOKUP(C63, dd_accsrycalc!$A$2:$A$51, dd_accsrycalc!$F$2:$F$51, "",0),AND( F63="Double Adhesive Tape", I63="Roll-up Screen"), _xlfn.XLOOKUP(C63, calc_rusacc!$C$15:$C$65, calc_rusacc!$AD$15:$AD$65, "",0),AND( F63="Sealant", I63="Roll-up Screen"), _xlfn.XLOOKUP(C63, calc_rusacc!$C$15:$C$65, calc_rusacc!$AF$15:$AF$65, "",0),  AND( F63="Main Chain", I63="Accordion Screen"), _xlfn.XLOOKUP(C63, calc_rusacc!$C$15:$C$65, calc_rusacc!$BF$15:$BF$65, "",0), AND( F63="Sealant", I63="Accordion Screen"), _xlfn.XLOOKUP(C63, calc_rusacc!$C$15:$C$65, calc_rusacc!$BJ$15:$BJ$65, "",0),  F63="Sealant", _xlfn.XLOOKUP(C63, dd_accsrycalc!$A$2:$A$51, dd_accsrycalc!$G$2:$G$51, "",0),  F63&lt;&gt;"",L63*_xlfn.XLOOKUP(1, (SKUs!$C$2:$C$10001=G63)*(SKUs!$K$2:$K$10001=I63),SKUs!$E$2:$E$10001)), 0),"")</f>
        <v/>
      </c>
      <c r="E63" s="16" t="str">
        <f>_xlfn.XLOOKUP(F63,dd_item!$B$2:$B$105,dd_item!$C$2:$C$105,"",0)</f>
        <v/>
      </c>
      <c r="F63" s="16"/>
      <c r="G63" s="16" cm="1">
        <f t="array" ref="G63">IFERROR(_xlfn.XLOOKUP(1, (SKUs!$J$2:$J$10001=accsry_unmerged!F63)*IF(H63&lt;&gt;"",(SKUs!$L$2:$L$10001=accsry_unmerged!H63),1)*(SKUs!$K$2:$K$10001=I63),SKUs!$C$2:$C$10001),"")</f>
        <v>0</v>
      </c>
      <c r="H63" s="33" cm="1">
        <f t="array" ref="H63">IFERROR(_xlfn.XLOOKUP(1, (dd_accsryclr!$C$2:$C$1000=accsry_unmerged!F63)*(dd_accsryclr!$B$2:$B$1000=accsry_unmerged!J63),dd_accsryclr!$A$2:$A$1000),"")</f>
        <v>0</v>
      </c>
      <c r="I63" s="16">
        <f>_xlfn.XLOOKUP(C63,'Project Details'!$C$17:$C$66,'Project Details'!$E$17:$E$66,"",0)</f>
        <v>0</v>
      </c>
      <c r="J63" s="16">
        <f>_xlfn.XLOOKUP(C63,'Project Details'!$C$17:$C$66,'Project Details'!$H$17:$H$66,"",0)</f>
        <v>0</v>
      </c>
      <c r="K63" s="33" t="str">
        <f>IF(AND(_xlfn.XLOOKUP(C63,'Project Details'!$C$17:$C$66,'Project Details'!$L$17:$L$66,"",0)&gt;550, F63="Spring-L27cm"),"",SUBSTITUTE(_xlfn.XLOOKUP(G63,SKUs!$C$2:$C$10001,SKUs!$F$2:$F$10001,"",0), " Accessories",""))</f>
        <v/>
      </c>
      <c r="L63" s="33">
        <f>_xlfn.XLOOKUP(C63,'Project Details'!$C$17:$C$66,'Project Details'!$D$17:$D$66,"",0)</f>
        <v>0</v>
      </c>
      <c r="M63" s="43"/>
    </row>
    <row r="64" spans="1:13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</row>
    <row r="65" spans="1:13" x14ac:dyDescent="0.25">
      <c r="A65" s="43"/>
      <c r="B65" s="43"/>
      <c r="C65" s="16">
        <f>C63+1</f>
        <v>2</v>
      </c>
      <c r="D65" s="48" cm="1">
        <f t="array" ref="D65">IFERROR(ROUNDUP(_xlfn.IFS(F65="Aluminum Track", _xlfn.XLOOKUP(C65, dd_accsrycalc!$A$2:$A$51, dd_accsrycalc!$B$2:$B$51, "",0), F65="10 x 2 1/2 S (Flat)", _xlfn.XLOOKUP(C65, dd_accsrycalc!$A$2:$A$51, dd_accsrycalc!$C$2:$C$51, "",0), F65="Tox6", _xlfn.XLOOKUP(C65, dd_accsrycalc!$A$2:$A$51, dd_accsrycalc!$D$2:$D$51, "",0), F65="Cover Cap", _xlfn.XLOOKUP(C65, dd_accsrycalc!$A$2:$A$51, dd_accsrycalc!$E$2:$E$51, "",0), F65="Drainage Cover", _xlfn.XLOOKUP(C65, dd_accsrycalc!$A$2:$A$51, dd_accsrycalc!$F$2:$F$51, "",0),AND( F65="Double Adhesive Tape", I65="Roll-up Screen"), _xlfn.XLOOKUP(C65, calc_rusacc!$C$15:$C$65, calc_rusacc!$AD$15:$AD$65, "",0),AND( F65="Sealant", I65="Roll-up Screen"), _xlfn.XLOOKUP(C65, calc_rusacc!$C$15:$C$65, calc_rusacc!$AF$15:$AF$65, "",0),  AND( F65="Main Chain", I65="Accordion Screen"), _xlfn.XLOOKUP(C65, calc_rusacc!$C$15:$C$65, calc_rusacc!$BF$15:$BF$65, "",0), AND( F65="Sealant", I65="Accordion Screen"), _xlfn.XLOOKUP(C65, calc_rusacc!$C$15:$C$65, calc_rusacc!$BJ$15:$BJ$65, "",0),  F65="Sealant", _xlfn.XLOOKUP(C65, dd_accsrycalc!$A$2:$A$51, dd_accsrycalc!$G$2:$G$51, "",0),  F65&lt;&gt;"",L65*_xlfn.XLOOKUP(1, (SKUs!$C$2:$C$10001=G65)*(SKUs!$K$2:$K$10001=I65),SKUs!$E$2:$E$10001)), 0),"")</f>
        <v>0</v>
      </c>
      <c r="E65" s="48" t="str">
        <f>_xlfn.XLOOKUP(F65,dd_item!$B$2:$B$105,dd_item!$C$2:$C$105,"",0)</f>
        <v/>
      </c>
      <c r="F65" s="48" cm="1">
        <f t="array" ref="F65">IFERROR(_xlfn.UNIQUE(_xlfn._xlws.FILTER(SKUs!$J$2:$J$10001, (SKUs!$F$2:$F$10001&lt;&gt;"Cutting List") * (SKUs!$A$2:$A$10001=_xlfn.XLOOKUP(_xlfn.XLOOKUP(C65,'Project Details'!$C$17:$C$66,'Project Details'!$E$17:$E$66,"",0), dd_design_raw!$A$2:$A$101,dd_design_raw!$C$2:$C$101,"",0)))), "")</f>
        <v>0</v>
      </c>
      <c r="G65" s="16" cm="1">
        <f t="array" ref="G65">IFERROR(_xlfn.XLOOKUP(1, (SKUs!$J$2:$J$10001=accsry_unmerged!F65)*IF(H65&lt;&gt;"",(SKUs!$L$2:$L$10001=accsry_unmerged!H65),1)*(SKUs!$K$2:$K$10001=I65),SKUs!$C$2:$C$10001),"")</f>
        <v>0</v>
      </c>
      <c r="H65" s="16" cm="1">
        <f t="array" ref="H65">IFERROR(_xlfn.XLOOKUP(1, (dd_accsryclr!$C$2:$C$1000=accsry_unmerged!F65)*(dd_accsryclr!$B$2:$B$1000=accsry_unmerged!J65),dd_accsryclr!$A$2:$A$1000),"")</f>
        <v>0</v>
      </c>
      <c r="I65" s="16">
        <f>_xlfn.XLOOKUP(C65,'Project Details'!$C$17:$C$66,'Project Details'!$E$17:$E$66,"",0)</f>
        <v>0</v>
      </c>
      <c r="J65" s="16">
        <f>_xlfn.XLOOKUP(C65,'Project Details'!$C$17:$C$66,'Project Details'!$H$17:$H$66,"",0)</f>
        <v>0</v>
      </c>
      <c r="K65" s="16" t="str">
        <f>IF(AND(_xlfn.XLOOKUP(C65,'Project Details'!$C$17:$C$66,'Project Details'!$L$17:$L$66,"",0)&gt;550, F65="Spring-L27cm"),"",SUBSTITUTE(_xlfn.XLOOKUP(G65,SKUs!$C$2:$C$10001,SKUs!$F$2:$F$10001,"",0), " Accessories",""))</f>
        <v/>
      </c>
      <c r="L65" s="16">
        <f>_xlfn.XLOOKUP(C65,'Project Details'!$C$17:$C$66,'Project Details'!$D$17:$D$66,"",0)</f>
        <v>0</v>
      </c>
      <c r="M65" s="43"/>
    </row>
    <row r="66" spans="1:13" x14ac:dyDescent="0.25">
      <c r="A66" s="43"/>
      <c r="B66" s="43"/>
      <c r="C66" s="35">
        <f>C65</f>
        <v>2</v>
      </c>
      <c r="D66" s="35" t="str" cm="1">
        <f t="array" ref="D66">IFERROR(ROUNDUP(_xlfn.IFS(F66="Aluminum Track", _xlfn.XLOOKUP(C66, dd_accsrycalc!$A$2:$A$51, dd_accsrycalc!$B$2:$B$51, "",0), F66="10 x 2 1/2 S (Flat)", _xlfn.XLOOKUP(C66, dd_accsrycalc!$A$2:$A$51, dd_accsrycalc!$C$2:$C$51, "",0), F66="Tox6", _xlfn.XLOOKUP(C66, dd_accsrycalc!$A$2:$A$51, dd_accsrycalc!$D$2:$D$51, "",0), F66="Cover Cap", _xlfn.XLOOKUP(C66, dd_accsrycalc!$A$2:$A$51, dd_accsrycalc!$E$2:$E$51, "",0), F66="Drainage Cover", _xlfn.XLOOKUP(C66, dd_accsrycalc!$A$2:$A$51, dd_accsrycalc!$F$2:$F$51, "",0),AND( F66="Double Adhesive Tape", I66="Roll-up Screen"), _xlfn.XLOOKUP(C66, calc_rusacc!$C$15:$C$65, calc_rusacc!$AD$15:$AD$65, "",0),AND( F66="Sealant", I66="Roll-up Screen"), _xlfn.XLOOKUP(C66, calc_rusacc!$C$15:$C$65, calc_rusacc!$AF$15:$AF$65, "",0),  AND( F66="Main Chain", I66="Accordion Screen"), _xlfn.XLOOKUP(C66, calc_rusacc!$C$15:$C$65, calc_rusacc!$BF$15:$BF$65, "",0), AND( F66="Sealant", I66="Accordion Screen"), _xlfn.XLOOKUP(C66, calc_rusacc!$C$15:$C$65, calc_rusacc!$BJ$15:$BJ$65, "",0),  F66="Sealant", _xlfn.XLOOKUP(C66, dd_accsrycalc!$A$2:$A$51, dd_accsrycalc!$G$2:$G$51, "",0),  F66&lt;&gt;"",L66*_xlfn.XLOOKUP(1, (SKUs!$C$2:$C$10001=G66)*(SKUs!$K$2:$K$10001=I66),SKUs!$E$2:$E$10001)), 0),"")</f>
        <v/>
      </c>
      <c r="E66" s="35" t="str">
        <f>_xlfn.XLOOKUP(F66,dd_item!$B$2:$B$105,dd_item!$C$2:$C$105,"",0)</f>
        <v/>
      </c>
      <c r="F66" s="35"/>
      <c r="G66" s="35" cm="1">
        <f t="array" ref="G66">IFERROR(_xlfn.XLOOKUP(1, (SKUs!$J$2:$J$10001=accsry_unmerged!F66)*IF(H66&lt;&gt;"",(SKUs!$L$2:$L$10001=accsry_unmerged!H66),1)*(SKUs!$K$2:$K$10001=I66),SKUs!$C$2:$C$10001),"")</f>
        <v>0</v>
      </c>
      <c r="H66" s="36" cm="1">
        <f t="array" ref="H66">IFERROR(_xlfn.XLOOKUP(1, (dd_accsryclr!$C$2:$C$1000=accsry_unmerged!F66)*(dd_accsryclr!$B$2:$B$1000=accsry_unmerged!J66),dd_accsryclr!$A$2:$A$1000),"")</f>
        <v>0</v>
      </c>
      <c r="I66" s="35">
        <f>_xlfn.XLOOKUP(C66,'Project Details'!$C$17:$C$66,'Project Details'!$E$17:$E$66,"",0)</f>
        <v>0</v>
      </c>
      <c r="J66" s="35">
        <f>_xlfn.XLOOKUP(C66,'Project Details'!$C$17:$C$66,'Project Details'!$H$17:$H$66,"",0)</f>
        <v>0</v>
      </c>
      <c r="K66" s="36" t="str">
        <f>IF(AND(_xlfn.XLOOKUP(C66,'Project Details'!$C$17:$C$66,'Project Details'!$L$17:$L$66,"",0)&gt;550, F66="Spring-L27cm"),"",SUBSTITUTE(_xlfn.XLOOKUP(G66,SKUs!$C$2:$C$10001,SKUs!$F$2:$F$10001,"",0), " Accessories",""))</f>
        <v/>
      </c>
      <c r="L66" s="36">
        <f>_xlfn.XLOOKUP(C66,'Project Details'!$C$17:$C$66,'Project Details'!$D$17:$D$66,"",0)</f>
        <v>0</v>
      </c>
      <c r="M66" s="43"/>
    </row>
    <row r="67" spans="1:13" x14ac:dyDescent="0.25">
      <c r="A67" s="43"/>
      <c r="B67" s="43"/>
      <c r="C67" s="16">
        <f t="shared" ref="C67:C113" si="0">C66</f>
        <v>2</v>
      </c>
      <c r="D67" s="16" t="str" cm="1">
        <f t="array" ref="D67">IFERROR(ROUNDUP(_xlfn.IFS(F67="Aluminum Track", _xlfn.XLOOKUP(C67, dd_accsrycalc!$A$2:$A$51, dd_accsrycalc!$B$2:$B$51, "",0), F67="10 x 2 1/2 S (Flat)", _xlfn.XLOOKUP(C67, dd_accsrycalc!$A$2:$A$51, dd_accsrycalc!$C$2:$C$51, "",0), F67="Tox6", _xlfn.XLOOKUP(C67, dd_accsrycalc!$A$2:$A$51, dd_accsrycalc!$D$2:$D$51, "",0), F67="Cover Cap", _xlfn.XLOOKUP(C67, dd_accsrycalc!$A$2:$A$51, dd_accsrycalc!$E$2:$E$51, "",0), F67="Drainage Cover", _xlfn.XLOOKUP(C67, dd_accsrycalc!$A$2:$A$51, dd_accsrycalc!$F$2:$F$51, "",0),AND( F67="Double Adhesive Tape", I67="Roll-up Screen"), _xlfn.XLOOKUP(C67, calc_rusacc!$C$15:$C$65, calc_rusacc!$AD$15:$AD$65, "",0),AND( F67="Sealant", I67="Roll-up Screen"), _xlfn.XLOOKUP(C67, calc_rusacc!$C$15:$C$65, calc_rusacc!$AF$15:$AF$65, "",0),  AND( F67="Main Chain", I67="Accordion Screen"), _xlfn.XLOOKUP(C67, calc_rusacc!$C$15:$C$65, calc_rusacc!$BF$15:$BF$65, "",0), AND( F67="Sealant", I67="Accordion Screen"), _xlfn.XLOOKUP(C67, calc_rusacc!$C$15:$C$65, calc_rusacc!$BJ$15:$BJ$65, "",0),  F67="Sealant", _xlfn.XLOOKUP(C67, dd_accsrycalc!$A$2:$A$51, dd_accsrycalc!$G$2:$G$51, "",0),  F67&lt;&gt;"",L67*_xlfn.XLOOKUP(1, (SKUs!$C$2:$C$10001=G67)*(SKUs!$K$2:$K$10001=I67),SKUs!$E$2:$E$10001)), 0),"")</f>
        <v/>
      </c>
      <c r="E67" s="16" t="str">
        <f>_xlfn.XLOOKUP(F67,dd_item!$B$2:$B$105,dd_item!$C$2:$C$105,"",0)</f>
        <v/>
      </c>
      <c r="F67" s="16"/>
      <c r="G67" s="16" cm="1">
        <f t="array" ref="G67">IFERROR(_xlfn.XLOOKUP(1, (SKUs!$J$2:$J$10001=accsry_unmerged!F67)*IF(H67&lt;&gt;"",(SKUs!$L$2:$L$10001=accsry_unmerged!H67),1)*(SKUs!$K$2:$K$10001=I67),SKUs!$C$2:$C$10001),"")</f>
        <v>0</v>
      </c>
      <c r="H67" s="33" cm="1">
        <f t="array" ref="H67">IFERROR(_xlfn.XLOOKUP(1, (dd_accsryclr!$C$2:$C$1000=accsry_unmerged!F67)*(dd_accsryclr!$B$2:$B$1000=accsry_unmerged!J67),dd_accsryclr!$A$2:$A$1000),"")</f>
        <v>0</v>
      </c>
      <c r="I67" s="16">
        <f>_xlfn.XLOOKUP(C67,'Project Details'!$C$17:$C$66,'Project Details'!$E$17:$E$66,"",0)</f>
        <v>0</v>
      </c>
      <c r="J67" s="16">
        <f>_xlfn.XLOOKUP(C67,'Project Details'!$C$17:$C$66,'Project Details'!$H$17:$H$66,"",0)</f>
        <v>0</v>
      </c>
      <c r="K67" s="33" t="str">
        <f>IF(AND(_xlfn.XLOOKUP(C67,'Project Details'!$C$17:$C$66,'Project Details'!$L$17:$L$66,"",0)&gt;550, F67="Spring-L27cm"),"",SUBSTITUTE(_xlfn.XLOOKUP(G67,SKUs!$C$2:$C$10001,SKUs!$F$2:$F$10001,"",0), " Accessories",""))</f>
        <v/>
      </c>
      <c r="L67" s="33">
        <f>_xlfn.XLOOKUP(C67,'Project Details'!$C$17:$C$66,'Project Details'!$D$17:$D$66,"",0)</f>
        <v>0</v>
      </c>
      <c r="M67" s="43"/>
    </row>
    <row r="68" spans="1:13" x14ac:dyDescent="0.25">
      <c r="A68" s="43"/>
      <c r="B68" s="43"/>
      <c r="C68" s="35">
        <f t="shared" si="0"/>
        <v>2</v>
      </c>
      <c r="D68" s="35" t="str" cm="1">
        <f t="array" ref="D68">IFERROR(ROUNDUP(_xlfn.IFS(F68="Aluminum Track", _xlfn.XLOOKUP(C68, dd_accsrycalc!$A$2:$A$51, dd_accsrycalc!$B$2:$B$51, "",0), F68="10 x 2 1/2 S (Flat)", _xlfn.XLOOKUP(C68, dd_accsrycalc!$A$2:$A$51, dd_accsrycalc!$C$2:$C$51, "",0), F68="Tox6", _xlfn.XLOOKUP(C68, dd_accsrycalc!$A$2:$A$51, dd_accsrycalc!$D$2:$D$51, "",0), F68="Cover Cap", _xlfn.XLOOKUP(C68, dd_accsrycalc!$A$2:$A$51, dd_accsrycalc!$E$2:$E$51, "",0), F68="Drainage Cover", _xlfn.XLOOKUP(C68, dd_accsrycalc!$A$2:$A$51, dd_accsrycalc!$F$2:$F$51, "",0),AND( F68="Double Adhesive Tape", I68="Roll-up Screen"), _xlfn.XLOOKUP(C68, calc_rusacc!$C$15:$C$65, calc_rusacc!$AD$15:$AD$65, "",0),AND( F68="Sealant", I68="Roll-up Screen"), _xlfn.XLOOKUP(C68, calc_rusacc!$C$15:$C$65, calc_rusacc!$AF$15:$AF$65, "",0),  AND( F68="Main Chain", I68="Accordion Screen"), _xlfn.XLOOKUP(C68, calc_rusacc!$C$15:$C$65, calc_rusacc!$BF$15:$BF$65, "",0), AND( F68="Sealant", I68="Accordion Screen"), _xlfn.XLOOKUP(C68, calc_rusacc!$C$15:$C$65, calc_rusacc!$BJ$15:$BJ$65, "",0),  F68="Sealant", _xlfn.XLOOKUP(C68, dd_accsrycalc!$A$2:$A$51, dd_accsrycalc!$G$2:$G$51, "",0),  F68&lt;&gt;"",L68*_xlfn.XLOOKUP(1, (SKUs!$C$2:$C$10001=G68)*(SKUs!$K$2:$K$10001=I68),SKUs!$E$2:$E$10001)), 0),"")</f>
        <v/>
      </c>
      <c r="E68" s="35" t="str">
        <f>_xlfn.XLOOKUP(F68,dd_item!$B$2:$B$105,dd_item!$C$2:$C$105,"",0)</f>
        <v/>
      </c>
      <c r="F68" s="35"/>
      <c r="G68" s="35" cm="1">
        <f t="array" ref="G68">IFERROR(_xlfn.XLOOKUP(1, (SKUs!$J$2:$J$10001=accsry_unmerged!F68)*IF(H68&lt;&gt;"",(SKUs!$L$2:$L$10001=accsry_unmerged!H68),1)*(SKUs!$K$2:$K$10001=I68),SKUs!$C$2:$C$10001),"")</f>
        <v>0</v>
      </c>
      <c r="H68" s="36" cm="1">
        <f t="array" ref="H68">IFERROR(_xlfn.XLOOKUP(1, (dd_accsryclr!$C$2:$C$1000=accsry_unmerged!F68)*(dd_accsryclr!$B$2:$B$1000=accsry_unmerged!J68),dd_accsryclr!$A$2:$A$1000),"")</f>
        <v>0</v>
      </c>
      <c r="I68" s="35">
        <f>_xlfn.XLOOKUP(C68,'Project Details'!$C$17:$C$66,'Project Details'!$E$17:$E$66,"",0)</f>
        <v>0</v>
      </c>
      <c r="J68" s="35">
        <f>_xlfn.XLOOKUP(C68,'Project Details'!$C$17:$C$66,'Project Details'!$H$17:$H$66,"",0)</f>
        <v>0</v>
      </c>
      <c r="K68" s="36" t="str">
        <f>IF(AND(_xlfn.XLOOKUP(C68,'Project Details'!$C$17:$C$66,'Project Details'!$L$17:$L$66,"",0)&gt;550, F68="Spring-L27cm"),"",SUBSTITUTE(_xlfn.XLOOKUP(G68,SKUs!$C$2:$C$10001,SKUs!$F$2:$F$10001,"",0), " Accessories",""))</f>
        <v/>
      </c>
      <c r="L68" s="36">
        <f>_xlfn.XLOOKUP(C68,'Project Details'!$C$17:$C$66,'Project Details'!$D$17:$D$66,"",0)</f>
        <v>0</v>
      </c>
      <c r="M68" s="43"/>
    </row>
    <row r="69" spans="1:13" x14ac:dyDescent="0.25">
      <c r="A69" s="43"/>
      <c r="B69" s="43"/>
      <c r="C69" s="16">
        <f t="shared" si="0"/>
        <v>2</v>
      </c>
      <c r="D69" s="16" t="str" cm="1">
        <f t="array" ref="D69">IFERROR(ROUNDUP(_xlfn.IFS(F69="Aluminum Track", _xlfn.XLOOKUP(C69, dd_accsrycalc!$A$2:$A$51, dd_accsrycalc!$B$2:$B$51, "",0), F69="10 x 2 1/2 S (Flat)", _xlfn.XLOOKUP(C69, dd_accsrycalc!$A$2:$A$51, dd_accsrycalc!$C$2:$C$51, "",0), F69="Tox6", _xlfn.XLOOKUP(C69, dd_accsrycalc!$A$2:$A$51, dd_accsrycalc!$D$2:$D$51, "",0), F69="Cover Cap", _xlfn.XLOOKUP(C69, dd_accsrycalc!$A$2:$A$51, dd_accsrycalc!$E$2:$E$51, "",0), F69="Drainage Cover", _xlfn.XLOOKUP(C69, dd_accsrycalc!$A$2:$A$51, dd_accsrycalc!$F$2:$F$51, "",0),AND( F69="Double Adhesive Tape", I69="Roll-up Screen"), _xlfn.XLOOKUP(C69, calc_rusacc!$C$15:$C$65, calc_rusacc!$AD$15:$AD$65, "",0),AND( F69="Sealant", I69="Roll-up Screen"), _xlfn.XLOOKUP(C69, calc_rusacc!$C$15:$C$65, calc_rusacc!$AF$15:$AF$65, "",0),  AND( F69="Main Chain", I69="Accordion Screen"), _xlfn.XLOOKUP(C69, calc_rusacc!$C$15:$C$65, calc_rusacc!$BF$15:$BF$65, "",0), AND( F69="Sealant", I69="Accordion Screen"), _xlfn.XLOOKUP(C69, calc_rusacc!$C$15:$C$65, calc_rusacc!$BJ$15:$BJ$65, "",0),  F69="Sealant", _xlfn.XLOOKUP(C69, dd_accsrycalc!$A$2:$A$51, dd_accsrycalc!$G$2:$G$51, "",0),  F69&lt;&gt;"",L69*_xlfn.XLOOKUP(1, (SKUs!$C$2:$C$10001=G69)*(SKUs!$K$2:$K$10001=I69),SKUs!$E$2:$E$10001)), 0),"")</f>
        <v/>
      </c>
      <c r="E69" s="16" t="str">
        <f>_xlfn.XLOOKUP(F69,dd_item!$B$2:$B$105,dd_item!$C$2:$C$105,"",0)</f>
        <v/>
      </c>
      <c r="F69" s="16"/>
      <c r="G69" s="16" cm="1">
        <f t="array" ref="G69">IFERROR(_xlfn.XLOOKUP(1, (SKUs!$J$2:$J$10001=accsry_unmerged!F69)*IF(H69&lt;&gt;"",(SKUs!$L$2:$L$10001=accsry_unmerged!H69),1)*(SKUs!$K$2:$K$10001=I69),SKUs!$C$2:$C$10001),"")</f>
        <v>0</v>
      </c>
      <c r="H69" s="33" cm="1">
        <f t="array" ref="H69">IFERROR(_xlfn.XLOOKUP(1, (dd_accsryclr!$C$2:$C$1000=accsry_unmerged!F69)*(dd_accsryclr!$B$2:$B$1000=accsry_unmerged!J69),dd_accsryclr!$A$2:$A$1000),"")</f>
        <v>0</v>
      </c>
      <c r="I69" s="16">
        <f>_xlfn.XLOOKUP(C69,'Project Details'!$C$17:$C$66,'Project Details'!$E$17:$E$66,"",0)</f>
        <v>0</v>
      </c>
      <c r="J69" s="16">
        <f>_xlfn.XLOOKUP(C69,'Project Details'!$C$17:$C$66,'Project Details'!$H$17:$H$66,"",0)</f>
        <v>0</v>
      </c>
      <c r="K69" s="33" t="str">
        <f>IF(AND(_xlfn.XLOOKUP(C69,'Project Details'!$C$17:$C$66,'Project Details'!$L$17:$L$66,"",0)&gt;550, F69="Spring-L27cm"),"",SUBSTITUTE(_xlfn.XLOOKUP(G69,SKUs!$C$2:$C$10001,SKUs!$F$2:$F$10001,"",0), " Accessories",""))</f>
        <v/>
      </c>
      <c r="L69" s="33">
        <f>_xlfn.XLOOKUP(C69,'Project Details'!$C$17:$C$66,'Project Details'!$D$17:$D$66,"",0)</f>
        <v>0</v>
      </c>
      <c r="M69" s="43"/>
    </row>
    <row r="70" spans="1:13" x14ac:dyDescent="0.25">
      <c r="A70" s="43"/>
      <c r="B70" s="43"/>
      <c r="C70" s="35">
        <f t="shared" si="0"/>
        <v>2</v>
      </c>
      <c r="D70" s="35" t="str" cm="1">
        <f t="array" ref="D70">IFERROR(ROUNDUP(_xlfn.IFS(F70="Aluminum Track", _xlfn.XLOOKUP(C70, dd_accsrycalc!$A$2:$A$51, dd_accsrycalc!$B$2:$B$51, "",0), F70="10 x 2 1/2 S (Flat)", _xlfn.XLOOKUP(C70, dd_accsrycalc!$A$2:$A$51, dd_accsrycalc!$C$2:$C$51, "",0), F70="Tox6", _xlfn.XLOOKUP(C70, dd_accsrycalc!$A$2:$A$51, dd_accsrycalc!$D$2:$D$51, "",0), F70="Cover Cap", _xlfn.XLOOKUP(C70, dd_accsrycalc!$A$2:$A$51, dd_accsrycalc!$E$2:$E$51, "",0), F70="Drainage Cover", _xlfn.XLOOKUP(C70, dd_accsrycalc!$A$2:$A$51, dd_accsrycalc!$F$2:$F$51, "",0),AND( F70="Double Adhesive Tape", I70="Roll-up Screen"), _xlfn.XLOOKUP(C70, calc_rusacc!$C$15:$C$65, calc_rusacc!$AD$15:$AD$65, "",0),AND( F70="Sealant", I70="Roll-up Screen"), _xlfn.XLOOKUP(C70, calc_rusacc!$C$15:$C$65, calc_rusacc!$AF$15:$AF$65, "",0),  AND( F70="Main Chain", I70="Accordion Screen"), _xlfn.XLOOKUP(C70, calc_rusacc!$C$15:$C$65, calc_rusacc!$BF$15:$BF$65, "",0), AND( F70="Sealant", I70="Accordion Screen"), _xlfn.XLOOKUP(C70, calc_rusacc!$C$15:$C$65, calc_rusacc!$BJ$15:$BJ$65, "",0),  F70="Sealant", _xlfn.XLOOKUP(C70, dd_accsrycalc!$A$2:$A$51, dd_accsrycalc!$G$2:$G$51, "",0),  F70&lt;&gt;"",L70*_xlfn.XLOOKUP(1, (SKUs!$C$2:$C$10001=G70)*(SKUs!$K$2:$K$10001=I70),SKUs!$E$2:$E$10001)), 0),"")</f>
        <v/>
      </c>
      <c r="E70" s="35" t="str">
        <f>_xlfn.XLOOKUP(F70,dd_item!$B$2:$B$105,dd_item!$C$2:$C$105,"",0)</f>
        <v/>
      </c>
      <c r="F70" s="35"/>
      <c r="G70" s="35" cm="1">
        <f t="array" ref="G70">IFERROR(_xlfn.XLOOKUP(1, (SKUs!$J$2:$J$10001=accsry_unmerged!F70)*IF(H70&lt;&gt;"",(SKUs!$L$2:$L$10001=accsry_unmerged!H70),1)*(SKUs!$K$2:$K$10001=I70),SKUs!$C$2:$C$10001),"")</f>
        <v>0</v>
      </c>
      <c r="H70" s="36" cm="1">
        <f t="array" ref="H70">IFERROR(_xlfn.XLOOKUP(1, (dd_accsryclr!$C$2:$C$1000=accsry_unmerged!F70)*(dd_accsryclr!$B$2:$B$1000=accsry_unmerged!J70),dd_accsryclr!$A$2:$A$1000),"")</f>
        <v>0</v>
      </c>
      <c r="I70" s="35">
        <f>_xlfn.XLOOKUP(C70,'Project Details'!$C$17:$C$66,'Project Details'!$E$17:$E$66,"",0)</f>
        <v>0</v>
      </c>
      <c r="J70" s="35">
        <f>_xlfn.XLOOKUP(C70,'Project Details'!$C$17:$C$66,'Project Details'!$H$17:$H$66,"",0)</f>
        <v>0</v>
      </c>
      <c r="K70" s="36" t="str">
        <f>IF(AND(_xlfn.XLOOKUP(C70,'Project Details'!$C$17:$C$66,'Project Details'!$L$17:$L$66,"",0)&gt;550, F70="Spring-L27cm"),"",SUBSTITUTE(_xlfn.XLOOKUP(G70,SKUs!$C$2:$C$10001,SKUs!$F$2:$F$10001,"",0), " Accessories",""))</f>
        <v/>
      </c>
      <c r="L70" s="36">
        <f>_xlfn.XLOOKUP(C70,'Project Details'!$C$17:$C$66,'Project Details'!$D$17:$D$66,"",0)</f>
        <v>0</v>
      </c>
      <c r="M70" s="43"/>
    </row>
    <row r="71" spans="1:13" x14ac:dyDescent="0.25">
      <c r="A71" s="43"/>
      <c r="B71" s="43"/>
      <c r="C71" s="16">
        <f t="shared" si="0"/>
        <v>2</v>
      </c>
      <c r="D71" s="16" t="str" cm="1">
        <f t="array" ref="D71">IFERROR(ROUNDUP(_xlfn.IFS(F71="Aluminum Track", _xlfn.XLOOKUP(C71, dd_accsrycalc!$A$2:$A$51, dd_accsrycalc!$B$2:$B$51, "",0), F71="10 x 2 1/2 S (Flat)", _xlfn.XLOOKUP(C71, dd_accsrycalc!$A$2:$A$51, dd_accsrycalc!$C$2:$C$51, "",0), F71="Tox6", _xlfn.XLOOKUP(C71, dd_accsrycalc!$A$2:$A$51, dd_accsrycalc!$D$2:$D$51, "",0), F71="Cover Cap", _xlfn.XLOOKUP(C71, dd_accsrycalc!$A$2:$A$51, dd_accsrycalc!$E$2:$E$51, "",0), F71="Drainage Cover", _xlfn.XLOOKUP(C71, dd_accsrycalc!$A$2:$A$51, dd_accsrycalc!$F$2:$F$51, "",0),AND( F71="Double Adhesive Tape", I71="Roll-up Screen"), _xlfn.XLOOKUP(C71, calc_rusacc!$C$15:$C$65, calc_rusacc!$AD$15:$AD$65, "",0),AND( F71="Sealant", I71="Roll-up Screen"), _xlfn.XLOOKUP(C71, calc_rusacc!$C$15:$C$65, calc_rusacc!$AF$15:$AF$65, "",0),  AND( F71="Main Chain", I71="Accordion Screen"), _xlfn.XLOOKUP(C71, calc_rusacc!$C$15:$C$65, calc_rusacc!$BF$15:$BF$65, "",0), AND( F71="Sealant", I71="Accordion Screen"), _xlfn.XLOOKUP(C71, calc_rusacc!$C$15:$C$65, calc_rusacc!$BJ$15:$BJ$65, "",0),  F71="Sealant", _xlfn.XLOOKUP(C71, dd_accsrycalc!$A$2:$A$51, dd_accsrycalc!$G$2:$G$51, "",0),  F71&lt;&gt;"",L71*_xlfn.XLOOKUP(1, (SKUs!$C$2:$C$10001=G71)*(SKUs!$K$2:$K$10001=I71),SKUs!$E$2:$E$10001)), 0),"")</f>
        <v/>
      </c>
      <c r="E71" s="16" t="str">
        <f>_xlfn.XLOOKUP(F71,dd_item!$B$2:$B$105,dd_item!$C$2:$C$105,"",0)</f>
        <v/>
      </c>
      <c r="F71" s="16"/>
      <c r="G71" s="16" cm="1">
        <f t="array" ref="G71">IFERROR(_xlfn.XLOOKUP(1, (SKUs!$J$2:$J$10001=accsry_unmerged!F71)*IF(H71&lt;&gt;"",(SKUs!$L$2:$L$10001=accsry_unmerged!H71),1)*(SKUs!$K$2:$K$10001=I71),SKUs!$C$2:$C$10001),"")</f>
        <v>0</v>
      </c>
      <c r="H71" s="33" cm="1">
        <f t="array" ref="H71">IFERROR(_xlfn.XLOOKUP(1, (dd_accsryclr!$C$2:$C$1000=accsry_unmerged!F71)*(dd_accsryclr!$B$2:$B$1000=accsry_unmerged!J71),dd_accsryclr!$A$2:$A$1000),"")</f>
        <v>0</v>
      </c>
      <c r="I71" s="16">
        <f>_xlfn.XLOOKUP(C71,'Project Details'!$C$17:$C$66,'Project Details'!$E$17:$E$66,"",0)</f>
        <v>0</v>
      </c>
      <c r="J71" s="16">
        <f>_xlfn.XLOOKUP(C71,'Project Details'!$C$17:$C$66,'Project Details'!$H$17:$H$66,"",0)</f>
        <v>0</v>
      </c>
      <c r="K71" s="33" t="str">
        <f>IF(AND(_xlfn.XLOOKUP(C71,'Project Details'!$C$17:$C$66,'Project Details'!$L$17:$L$66,"",0)&gt;550, F71="Spring-L27cm"),"",SUBSTITUTE(_xlfn.XLOOKUP(G71,SKUs!$C$2:$C$10001,SKUs!$F$2:$F$10001,"",0), " Accessories",""))</f>
        <v/>
      </c>
      <c r="L71" s="33">
        <f>_xlfn.XLOOKUP(C71,'Project Details'!$C$17:$C$66,'Project Details'!$D$17:$D$66,"",0)</f>
        <v>0</v>
      </c>
      <c r="M71" s="43"/>
    </row>
    <row r="72" spans="1:13" x14ac:dyDescent="0.25">
      <c r="A72" s="43"/>
      <c r="B72" s="43"/>
      <c r="C72" s="35">
        <f t="shared" si="0"/>
        <v>2</v>
      </c>
      <c r="D72" s="35" t="str" cm="1">
        <f t="array" ref="D72">IFERROR(ROUNDUP(_xlfn.IFS(F72="Aluminum Track", _xlfn.XLOOKUP(C72, dd_accsrycalc!$A$2:$A$51, dd_accsrycalc!$B$2:$B$51, "",0), F72="10 x 2 1/2 S (Flat)", _xlfn.XLOOKUP(C72, dd_accsrycalc!$A$2:$A$51, dd_accsrycalc!$C$2:$C$51, "",0), F72="Tox6", _xlfn.XLOOKUP(C72, dd_accsrycalc!$A$2:$A$51, dd_accsrycalc!$D$2:$D$51, "",0), F72="Cover Cap", _xlfn.XLOOKUP(C72, dd_accsrycalc!$A$2:$A$51, dd_accsrycalc!$E$2:$E$51, "",0), F72="Drainage Cover", _xlfn.XLOOKUP(C72, dd_accsrycalc!$A$2:$A$51, dd_accsrycalc!$F$2:$F$51, "",0),AND( F72="Double Adhesive Tape", I72="Roll-up Screen"), _xlfn.XLOOKUP(C72, calc_rusacc!$C$15:$C$65, calc_rusacc!$AD$15:$AD$65, "",0),AND( F72="Sealant", I72="Roll-up Screen"), _xlfn.XLOOKUP(C72, calc_rusacc!$C$15:$C$65, calc_rusacc!$AF$15:$AF$65, "",0),  AND( F72="Main Chain", I72="Accordion Screen"), _xlfn.XLOOKUP(C72, calc_rusacc!$C$15:$C$65, calc_rusacc!$BF$15:$BF$65, "",0), AND( F72="Sealant", I72="Accordion Screen"), _xlfn.XLOOKUP(C72, calc_rusacc!$C$15:$C$65, calc_rusacc!$BJ$15:$BJ$65, "",0),  F72="Sealant", _xlfn.XLOOKUP(C72, dd_accsrycalc!$A$2:$A$51, dd_accsrycalc!$G$2:$G$51, "",0),  F72&lt;&gt;"",L72*_xlfn.XLOOKUP(1, (SKUs!$C$2:$C$10001=G72)*(SKUs!$K$2:$K$10001=I72),SKUs!$E$2:$E$10001)), 0),"")</f>
        <v/>
      </c>
      <c r="E72" s="35" t="str">
        <f>_xlfn.XLOOKUP(F72,dd_item!$B$2:$B$105,dd_item!$C$2:$C$105,"",0)</f>
        <v/>
      </c>
      <c r="F72" s="35"/>
      <c r="G72" s="35" cm="1">
        <f t="array" ref="G72">IFERROR(_xlfn.XLOOKUP(1, (SKUs!$J$2:$J$10001=accsry_unmerged!F72)*IF(H72&lt;&gt;"",(SKUs!$L$2:$L$10001=accsry_unmerged!H72),1)*(SKUs!$K$2:$K$10001=I72),SKUs!$C$2:$C$10001),"")</f>
        <v>0</v>
      </c>
      <c r="H72" s="36" cm="1">
        <f t="array" ref="H72">IFERROR(_xlfn.XLOOKUP(1, (dd_accsryclr!$C$2:$C$1000=accsry_unmerged!F72)*(dd_accsryclr!$B$2:$B$1000=accsry_unmerged!J72),dd_accsryclr!$A$2:$A$1000),"")</f>
        <v>0</v>
      </c>
      <c r="I72" s="35">
        <f>_xlfn.XLOOKUP(C72,'Project Details'!$C$17:$C$66,'Project Details'!$E$17:$E$66,"",0)</f>
        <v>0</v>
      </c>
      <c r="J72" s="35">
        <f>_xlfn.XLOOKUP(C72,'Project Details'!$C$17:$C$66,'Project Details'!$H$17:$H$66,"",0)</f>
        <v>0</v>
      </c>
      <c r="K72" s="36" t="str">
        <f>IF(AND(_xlfn.XLOOKUP(C72,'Project Details'!$C$17:$C$66,'Project Details'!$L$17:$L$66,"",0)&gt;550, F72="Spring-L27cm"),"",SUBSTITUTE(_xlfn.XLOOKUP(G72,SKUs!$C$2:$C$10001,SKUs!$F$2:$F$10001,"",0), " Accessories",""))</f>
        <v/>
      </c>
      <c r="L72" s="36">
        <f>_xlfn.XLOOKUP(C72,'Project Details'!$C$17:$C$66,'Project Details'!$D$17:$D$66,"",0)</f>
        <v>0</v>
      </c>
      <c r="M72" s="43"/>
    </row>
    <row r="73" spans="1:13" x14ac:dyDescent="0.25">
      <c r="A73" s="43"/>
      <c r="B73" s="43"/>
      <c r="C73" s="16">
        <f t="shared" si="0"/>
        <v>2</v>
      </c>
      <c r="D73" s="16" t="str" cm="1">
        <f t="array" ref="D73">IFERROR(ROUNDUP(_xlfn.IFS(F73="Aluminum Track", _xlfn.XLOOKUP(C73, dd_accsrycalc!$A$2:$A$51, dd_accsrycalc!$B$2:$B$51, "",0), F73="10 x 2 1/2 S (Flat)", _xlfn.XLOOKUP(C73, dd_accsrycalc!$A$2:$A$51, dd_accsrycalc!$C$2:$C$51, "",0), F73="Tox6", _xlfn.XLOOKUP(C73, dd_accsrycalc!$A$2:$A$51, dd_accsrycalc!$D$2:$D$51, "",0), F73="Cover Cap", _xlfn.XLOOKUP(C73, dd_accsrycalc!$A$2:$A$51, dd_accsrycalc!$E$2:$E$51, "",0), F73="Drainage Cover", _xlfn.XLOOKUP(C73, dd_accsrycalc!$A$2:$A$51, dd_accsrycalc!$F$2:$F$51, "",0),AND( F73="Double Adhesive Tape", I73="Roll-up Screen"), _xlfn.XLOOKUP(C73, calc_rusacc!$C$15:$C$65, calc_rusacc!$AD$15:$AD$65, "",0),AND( F73="Sealant", I73="Roll-up Screen"), _xlfn.XLOOKUP(C73, calc_rusacc!$C$15:$C$65, calc_rusacc!$AF$15:$AF$65, "",0),  AND( F73="Main Chain", I73="Accordion Screen"), _xlfn.XLOOKUP(C73, calc_rusacc!$C$15:$C$65, calc_rusacc!$BF$15:$BF$65, "",0), AND( F73="Sealant", I73="Accordion Screen"), _xlfn.XLOOKUP(C73, calc_rusacc!$C$15:$C$65, calc_rusacc!$BJ$15:$BJ$65, "",0),  F73="Sealant", _xlfn.XLOOKUP(C73, dd_accsrycalc!$A$2:$A$51, dd_accsrycalc!$G$2:$G$51, "",0),  F73&lt;&gt;"",L73*_xlfn.XLOOKUP(1, (SKUs!$C$2:$C$10001=G73)*(SKUs!$K$2:$K$10001=I73),SKUs!$E$2:$E$10001)), 0),"")</f>
        <v/>
      </c>
      <c r="E73" s="16" t="str">
        <f>_xlfn.XLOOKUP(F73,dd_item!$B$2:$B$105,dd_item!$C$2:$C$105,"",0)</f>
        <v/>
      </c>
      <c r="F73" s="16"/>
      <c r="G73" s="16" cm="1">
        <f t="array" ref="G73">IFERROR(_xlfn.XLOOKUP(1, (SKUs!$J$2:$J$10001=accsry_unmerged!F73)*IF(H73&lt;&gt;"",(SKUs!$L$2:$L$10001=accsry_unmerged!H73),1)*(SKUs!$K$2:$K$10001=I73),SKUs!$C$2:$C$10001),"")</f>
        <v>0</v>
      </c>
      <c r="H73" s="33" cm="1">
        <f t="array" ref="H73">IFERROR(_xlfn.XLOOKUP(1, (dd_accsryclr!$C$2:$C$1000=accsry_unmerged!F73)*(dd_accsryclr!$B$2:$B$1000=accsry_unmerged!J73),dd_accsryclr!$A$2:$A$1000),"")</f>
        <v>0</v>
      </c>
      <c r="I73" s="16">
        <f>_xlfn.XLOOKUP(C73,'Project Details'!$C$17:$C$66,'Project Details'!$E$17:$E$66,"",0)</f>
        <v>0</v>
      </c>
      <c r="J73" s="16">
        <f>_xlfn.XLOOKUP(C73,'Project Details'!$C$17:$C$66,'Project Details'!$H$17:$H$66,"",0)</f>
        <v>0</v>
      </c>
      <c r="K73" s="33" t="str">
        <f>IF(AND(_xlfn.XLOOKUP(C73,'Project Details'!$C$17:$C$66,'Project Details'!$L$17:$L$66,"",0)&gt;550, F73="Spring-L27cm"),"",SUBSTITUTE(_xlfn.XLOOKUP(G73,SKUs!$C$2:$C$10001,SKUs!$F$2:$F$10001,"",0), " Accessories",""))</f>
        <v/>
      </c>
      <c r="L73" s="33">
        <f>_xlfn.XLOOKUP(C73,'Project Details'!$C$17:$C$66,'Project Details'!$D$17:$D$66,"",0)</f>
        <v>0</v>
      </c>
      <c r="M73" s="43"/>
    </row>
    <row r="74" spans="1:13" x14ac:dyDescent="0.25">
      <c r="A74" s="43"/>
      <c r="B74" s="43"/>
      <c r="C74" s="35">
        <f t="shared" si="0"/>
        <v>2</v>
      </c>
      <c r="D74" s="35" t="str" cm="1">
        <f t="array" ref="D74">IFERROR(ROUNDUP(_xlfn.IFS(F74="Aluminum Track", _xlfn.XLOOKUP(C74, dd_accsrycalc!$A$2:$A$51, dd_accsrycalc!$B$2:$B$51, "",0), F74="10 x 2 1/2 S (Flat)", _xlfn.XLOOKUP(C74, dd_accsrycalc!$A$2:$A$51, dd_accsrycalc!$C$2:$C$51, "",0), F74="Tox6", _xlfn.XLOOKUP(C74, dd_accsrycalc!$A$2:$A$51, dd_accsrycalc!$D$2:$D$51, "",0), F74="Cover Cap", _xlfn.XLOOKUP(C74, dd_accsrycalc!$A$2:$A$51, dd_accsrycalc!$E$2:$E$51, "",0), F74="Drainage Cover", _xlfn.XLOOKUP(C74, dd_accsrycalc!$A$2:$A$51, dd_accsrycalc!$F$2:$F$51, "",0),AND( F74="Double Adhesive Tape", I74="Roll-up Screen"), _xlfn.XLOOKUP(C74, calc_rusacc!$C$15:$C$65, calc_rusacc!$AD$15:$AD$65, "",0),AND( F74="Sealant", I74="Roll-up Screen"), _xlfn.XLOOKUP(C74, calc_rusacc!$C$15:$C$65, calc_rusacc!$AF$15:$AF$65, "",0),  AND( F74="Main Chain", I74="Accordion Screen"), _xlfn.XLOOKUP(C74, calc_rusacc!$C$15:$C$65, calc_rusacc!$BF$15:$BF$65, "",0), AND( F74="Sealant", I74="Accordion Screen"), _xlfn.XLOOKUP(C74, calc_rusacc!$C$15:$C$65, calc_rusacc!$BJ$15:$BJ$65, "",0),  F74="Sealant", _xlfn.XLOOKUP(C74, dd_accsrycalc!$A$2:$A$51, dd_accsrycalc!$G$2:$G$51, "",0),  F74&lt;&gt;"",L74*_xlfn.XLOOKUP(1, (SKUs!$C$2:$C$10001=G74)*(SKUs!$K$2:$K$10001=I74),SKUs!$E$2:$E$10001)), 0),"")</f>
        <v/>
      </c>
      <c r="E74" s="35" t="str">
        <f>_xlfn.XLOOKUP(F74,dd_item!$B$2:$B$105,dd_item!$C$2:$C$105,"",0)</f>
        <v/>
      </c>
      <c r="F74" s="35"/>
      <c r="G74" s="35" cm="1">
        <f t="array" ref="G74">IFERROR(_xlfn.XLOOKUP(1, (SKUs!$J$2:$J$10001=accsry_unmerged!F74)*IF(H74&lt;&gt;"",(SKUs!$L$2:$L$10001=accsry_unmerged!H74),1)*(SKUs!$K$2:$K$10001=I74),SKUs!$C$2:$C$10001),"")</f>
        <v>0</v>
      </c>
      <c r="H74" s="36" cm="1">
        <f t="array" ref="H74">IFERROR(_xlfn.XLOOKUP(1, (dd_accsryclr!$C$2:$C$1000=accsry_unmerged!F74)*(dd_accsryclr!$B$2:$B$1000=accsry_unmerged!J74),dd_accsryclr!$A$2:$A$1000),"")</f>
        <v>0</v>
      </c>
      <c r="I74" s="35">
        <f>_xlfn.XLOOKUP(C74,'Project Details'!$C$17:$C$66,'Project Details'!$E$17:$E$66,"",0)</f>
        <v>0</v>
      </c>
      <c r="J74" s="35">
        <f>_xlfn.XLOOKUP(C74,'Project Details'!$C$17:$C$66,'Project Details'!$H$17:$H$66,"",0)</f>
        <v>0</v>
      </c>
      <c r="K74" s="36" t="str">
        <f>IF(AND(_xlfn.XLOOKUP(C74,'Project Details'!$C$17:$C$66,'Project Details'!$L$17:$L$66,"",0)&gt;550, F74="Spring-L27cm"),"",SUBSTITUTE(_xlfn.XLOOKUP(G74,SKUs!$C$2:$C$10001,SKUs!$F$2:$F$10001,"",0), " Accessories",""))</f>
        <v/>
      </c>
      <c r="L74" s="36">
        <f>_xlfn.XLOOKUP(C74,'Project Details'!$C$17:$C$66,'Project Details'!$D$17:$D$66,"",0)</f>
        <v>0</v>
      </c>
      <c r="M74" s="43"/>
    </row>
    <row r="75" spans="1:13" x14ac:dyDescent="0.25">
      <c r="A75" s="43"/>
      <c r="B75" s="43"/>
      <c r="C75" s="16">
        <f t="shared" si="0"/>
        <v>2</v>
      </c>
      <c r="D75" s="16" t="str" cm="1">
        <f t="array" ref="D75">IFERROR(ROUNDUP(_xlfn.IFS(F75="Aluminum Track", _xlfn.XLOOKUP(C75, dd_accsrycalc!$A$2:$A$51, dd_accsrycalc!$B$2:$B$51, "",0), F75="10 x 2 1/2 S (Flat)", _xlfn.XLOOKUP(C75, dd_accsrycalc!$A$2:$A$51, dd_accsrycalc!$C$2:$C$51, "",0), F75="Tox6", _xlfn.XLOOKUP(C75, dd_accsrycalc!$A$2:$A$51, dd_accsrycalc!$D$2:$D$51, "",0), F75="Cover Cap", _xlfn.XLOOKUP(C75, dd_accsrycalc!$A$2:$A$51, dd_accsrycalc!$E$2:$E$51, "",0), F75="Drainage Cover", _xlfn.XLOOKUP(C75, dd_accsrycalc!$A$2:$A$51, dd_accsrycalc!$F$2:$F$51, "",0),AND( F75="Double Adhesive Tape", I75="Roll-up Screen"), _xlfn.XLOOKUP(C75, calc_rusacc!$C$15:$C$65, calc_rusacc!$AD$15:$AD$65, "",0),AND( F75="Sealant", I75="Roll-up Screen"), _xlfn.XLOOKUP(C75, calc_rusacc!$C$15:$C$65, calc_rusacc!$AF$15:$AF$65, "",0),  AND( F75="Main Chain", I75="Accordion Screen"), _xlfn.XLOOKUP(C75, calc_rusacc!$C$15:$C$65, calc_rusacc!$BF$15:$BF$65, "",0), AND( F75="Sealant", I75="Accordion Screen"), _xlfn.XLOOKUP(C75, calc_rusacc!$C$15:$C$65, calc_rusacc!$BJ$15:$BJ$65, "",0),  F75="Sealant", _xlfn.XLOOKUP(C75, dd_accsrycalc!$A$2:$A$51, dd_accsrycalc!$G$2:$G$51, "",0),  F75&lt;&gt;"",L75*_xlfn.XLOOKUP(1, (SKUs!$C$2:$C$10001=G75)*(SKUs!$K$2:$K$10001=I75),SKUs!$E$2:$E$10001)), 0),"")</f>
        <v/>
      </c>
      <c r="E75" s="16" t="str">
        <f>_xlfn.XLOOKUP(F75,dd_item!$B$2:$B$105,dd_item!$C$2:$C$105,"",0)</f>
        <v/>
      </c>
      <c r="F75" s="16"/>
      <c r="G75" s="16" cm="1">
        <f t="array" ref="G75">IFERROR(_xlfn.XLOOKUP(1, (SKUs!$J$2:$J$10001=accsry_unmerged!F75)*IF(H75&lt;&gt;"",(SKUs!$L$2:$L$10001=accsry_unmerged!H75),1)*(SKUs!$K$2:$K$10001=I75),SKUs!$C$2:$C$10001),"")</f>
        <v>0</v>
      </c>
      <c r="H75" s="33" cm="1">
        <f t="array" ref="H75">IFERROR(_xlfn.XLOOKUP(1, (dd_accsryclr!$C$2:$C$1000=accsry_unmerged!F75)*(dd_accsryclr!$B$2:$B$1000=accsry_unmerged!J75),dd_accsryclr!$A$2:$A$1000),"")</f>
        <v>0</v>
      </c>
      <c r="I75" s="16">
        <f>_xlfn.XLOOKUP(C75,'Project Details'!$C$17:$C$66,'Project Details'!$E$17:$E$66,"",0)</f>
        <v>0</v>
      </c>
      <c r="J75" s="16">
        <f>_xlfn.XLOOKUP(C75,'Project Details'!$C$17:$C$66,'Project Details'!$H$17:$H$66,"",0)</f>
        <v>0</v>
      </c>
      <c r="K75" s="33" t="str">
        <f>IF(AND(_xlfn.XLOOKUP(C75,'Project Details'!$C$17:$C$66,'Project Details'!$L$17:$L$66,"",0)&gt;550, F75="Spring-L27cm"),"",SUBSTITUTE(_xlfn.XLOOKUP(G75,SKUs!$C$2:$C$10001,SKUs!$F$2:$F$10001,"",0), " Accessories",""))</f>
        <v/>
      </c>
      <c r="L75" s="33">
        <f>_xlfn.XLOOKUP(C75,'Project Details'!$C$17:$C$66,'Project Details'!$D$17:$D$66,"",0)</f>
        <v>0</v>
      </c>
      <c r="M75" s="43"/>
    </row>
    <row r="76" spans="1:13" x14ac:dyDescent="0.25">
      <c r="A76" s="43"/>
      <c r="B76" s="43"/>
      <c r="C76" s="35">
        <f t="shared" si="0"/>
        <v>2</v>
      </c>
      <c r="D76" s="35" t="str" cm="1">
        <f t="array" ref="D76">IFERROR(ROUNDUP(_xlfn.IFS(F76="Aluminum Track", _xlfn.XLOOKUP(C76, dd_accsrycalc!$A$2:$A$51, dd_accsrycalc!$B$2:$B$51, "",0), F76="10 x 2 1/2 S (Flat)", _xlfn.XLOOKUP(C76, dd_accsrycalc!$A$2:$A$51, dd_accsrycalc!$C$2:$C$51, "",0), F76="Tox6", _xlfn.XLOOKUP(C76, dd_accsrycalc!$A$2:$A$51, dd_accsrycalc!$D$2:$D$51, "",0), F76="Cover Cap", _xlfn.XLOOKUP(C76, dd_accsrycalc!$A$2:$A$51, dd_accsrycalc!$E$2:$E$51, "",0), F76="Drainage Cover", _xlfn.XLOOKUP(C76, dd_accsrycalc!$A$2:$A$51, dd_accsrycalc!$F$2:$F$51, "",0),AND( F76="Double Adhesive Tape", I76="Roll-up Screen"), _xlfn.XLOOKUP(C76, calc_rusacc!$C$15:$C$65, calc_rusacc!$AD$15:$AD$65, "",0),AND( F76="Sealant", I76="Roll-up Screen"), _xlfn.XLOOKUP(C76, calc_rusacc!$C$15:$C$65, calc_rusacc!$AF$15:$AF$65, "",0),  AND( F76="Main Chain", I76="Accordion Screen"), _xlfn.XLOOKUP(C76, calc_rusacc!$C$15:$C$65, calc_rusacc!$BF$15:$BF$65, "",0), AND( F76="Sealant", I76="Accordion Screen"), _xlfn.XLOOKUP(C76, calc_rusacc!$C$15:$C$65, calc_rusacc!$BJ$15:$BJ$65, "",0),  F76="Sealant", _xlfn.XLOOKUP(C76, dd_accsrycalc!$A$2:$A$51, dd_accsrycalc!$G$2:$G$51, "",0),  F76&lt;&gt;"",L76*_xlfn.XLOOKUP(1, (SKUs!$C$2:$C$10001=G76)*(SKUs!$K$2:$K$10001=I76),SKUs!$E$2:$E$10001)), 0),"")</f>
        <v/>
      </c>
      <c r="E76" s="35" t="str">
        <f>_xlfn.XLOOKUP(F76,dd_item!$B$2:$B$105,dd_item!$C$2:$C$105,"",0)</f>
        <v/>
      </c>
      <c r="F76" s="35"/>
      <c r="G76" s="35" cm="1">
        <f t="array" ref="G76">IFERROR(_xlfn.XLOOKUP(1, (SKUs!$J$2:$J$10001=accsry_unmerged!F76)*IF(H76&lt;&gt;"",(SKUs!$L$2:$L$10001=accsry_unmerged!H76),1)*(SKUs!$K$2:$K$10001=I76),SKUs!$C$2:$C$10001),"")</f>
        <v>0</v>
      </c>
      <c r="H76" s="36" cm="1">
        <f t="array" ref="H76">IFERROR(_xlfn.XLOOKUP(1, (dd_accsryclr!$C$2:$C$1000=accsry_unmerged!F76)*(dd_accsryclr!$B$2:$B$1000=accsry_unmerged!J76),dd_accsryclr!$A$2:$A$1000),"")</f>
        <v>0</v>
      </c>
      <c r="I76" s="35">
        <f>_xlfn.XLOOKUP(C76,'Project Details'!$C$17:$C$66,'Project Details'!$E$17:$E$66,"",0)</f>
        <v>0</v>
      </c>
      <c r="J76" s="35">
        <f>_xlfn.XLOOKUP(C76,'Project Details'!$C$17:$C$66,'Project Details'!$H$17:$H$66,"",0)</f>
        <v>0</v>
      </c>
      <c r="K76" s="36" t="str">
        <f>IF(AND(_xlfn.XLOOKUP(C76,'Project Details'!$C$17:$C$66,'Project Details'!$L$17:$L$66,"",0)&gt;550, F76="Spring-L27cm"),"",SUBSTITUTE(_xlfn.XLOOKUP(G76,SKUs!$C$2:$C$10001,SKUs!$F$2:$F$10001,"",0), " Accessories",""))</f>
        <v/>
      </c>
      <c r="L76" s="36">
        <f>_xlfn.XLOOKUP(C76,'Project Details'!$C$17:$C$66,'Project Details'!$D$17:$D$66,"",0)</f>
        <v>0</v>
      </c>
      <c r="M76" s="43"/>
    </row>
    <row r="77" spans="1:13" x14ac:dyDescent="0.25">
      <c r="A77" s="43"/>
      <c r="B77" s="43"/>
      <c r="C77" s="16">
        <f t="shared" si="0"/>
        <v>2</v>
      </c>
      <c r="D77" s="16" t="str" cm="1">
        <f t="array" ref="D77">IFERROR(ROUNDUP(_xlfn.IFS(F77="Aluminum Track", _xlfn.XLOOKUP(C77, dd_accsrycalc!$A$2:$A$51, dd_accsrycalc!$B$2:$B$51, "",0), F77="10 x 2 1/2 S (Flat)", _xlfn.XLOOKUP(C77, dd_accsrycalc!$A$2:$A$51, dd_accsrycalc!$C$2:$C$51, "",0), F77="Tox6", _xlfn.XLOOKUP(C77, dd_accsrycalc!$A$2:$A$51, dd_accsrycalc!$D$2:$D$51, "",0), F77="Cover Cap", _xlfn.XLOOKUP(C77, dd_accsrycalc!$A$2:$A$51, dd_accsrycalc!$E$2:$E$51, "",0), F77="Drainage Cover", _xlfn.XLOOKUP(C77, dd_accsrycalc!$A$2:$A$51, dd_accsrycalc!$F$2:$F$51, "",0),AND( F77="Double Adhesive Tape", I77="Roll-up Screen"), _xlfn.XLOOKUP(C77, calc_rusacc!$C$15:$C$65, calc_rusacc!$AD$15:$AD$65, "",0),AND( F77="Sealant", I77="Roll-up Screen"), _xlfn.XLOOKUP(C77, calc_rusacc!$C$15:$C$65, calc_rusacc!$AF$15:$AF$65, "",0),  AND( F77="Main Chain", I77="Accordion Screen"), _xlfn.XLOOKUP(C77, calc_rusacc!$C$15:$C$65, calc_rusacc!$BF$15:$BF$65, "",0), AND( F77="Sealant", I77="Accordion Screen"), _xlfn.XLOOKUP(C77, calc_rusacc!$C$15:$C$65, calc_rusacc!$BJ$15:$BJ$65, "",0),  F77="Sealant", _xlfn.XLOOKUP(C77, dd_accsrycalc!$A$2:$A$51, dd_accsrycalc!$G$2:$G$51, "",0),  F77&lt;&gt;"",L77*_xlfn.XLOOKUP(1, (SKUs!$C$2:$C$10001=G77)*(SKUs!$K$2:$K$10001=I77),SKUs!$E$2:$E$10001)), 0),"")</f>
        <v/>
      </c>
      <c r="E77" s="16" t="str">
        <f>_xlfn.XLOOKUP(F77,dd_item!$B$2:$B$105,dd_item!$C$2:$C$105,"",0)</f>
        <v/>
      </c>
      <c r="F77" s="16"/>
      <c r="G77" s="16" cm="1">
        <f t="array" ref="G77">IFERROR(_xlfn.XLOOKUP(1, (SKUs!$J$2:$J$10001=accsry_unmerged!F77)*IF(H77&lt;&gt;"",(SKUs!$L$2:$L$10001=accsry_unmerged!H77),1)*(SKUs!$K$2:$K$10001=I77),SKUs!$C$2:$C$10001),"")</f>
        <v>0</v>
      </c>
      <c r="H77" s="33" cm="1">
        <f t="array" ref="H77">IFERROR(_xlfn.XLOOKUP(1, (dd_accsryclr!$C$2:$C$1000=accsry_unmerged!F77)*(dd_accsryclr!$B$2:$B$1000=accsry_unmerged!J77),dd_accsryclr!$A$2:$A$1000),"")</f>
        <v>0</v>
      </c>
      <c r="I77" s="16">
        <f>_xlfn.XLOOKUP(C77,'Project Details'!$C$17:$C$66,'Project Details'!$E$17:$E$66,"",0)</f>
        <v>0</v>
      </c>
      <c r="J77" s="16">
        <f>_xlfn.XLOOKUP(C77,'Project Details'!$C$17:$C$66,'Project Details'!$H$17:$H$66,"",0)</f>
        <v>0</v>
      </c>
      <c r="K77" s="33" t="str">
        <f>IF(AND(_xlfn.XLOOKUP(C77,'Project Details'!$C$17:$C$66,'Project Details'!$L$17:$L$66,"",0)&gt;550, F77="Spring-L27cm"),"",SUBSTITUTE(_xlfn.XLOOKUP(G77,SKUs!$C$2:$C$10001,SKUs!$F$2:$F$10001,"",0), " Accessories",""))</f>
        <v/>
      </c>
      <c r="L77" s="33">
        <f>_xlfn.XLOOKUP(C77,'Project Details'!$C$17:$C$66,'Project Details'!$D$17:$D$66,"",0)</f>
        <v>0</v>
      </c>
      <c r="M77" s="43"/>
    </row>
    <row r="78" spans="1:13" x14ac:dyDescent="0.25">
      <c r="A78" s="43"/>
      <c r="B78" s="43"/>
      <c r="C78" s="35">
        <f t="shared" si="0"/>
        <v>2</v>
      </c>
      <c r="D78" s="35" t="str" cm="1">
        <f t="array" ref="D78">IFERROR(ROUNDUP(_xlfn.IFS(F78="Aluminum Track", _xlfn.XLOOKUP(C78, dd_accsrycalc!$A$2:$A$51, dd_accsrycalc!$B$2:$B$51, "",0), F78="10 x 2 1/2 S (Flat)", _xlfn.XLOOKUP(C78, dd_accsrycalc!$A$2:$A$51, dd_accsrycalc!$C$2:$C$51, "",0), F78="Tox6", _xlfn.XLOOKUP(C78, dd_accsrycalc!$A$2:$A$51, dd_accsrycalc!$D$2:$D$51, "",0), F78="Cover Cap", _xlfn.XLOOKUP(C78, dd_accsrycalc!$A$2:$A$51, dd_accsrycalc!$E$2:$E$51, "",0), F78="Drainage Cover", _xlfn.XLOOKUP(C78, dd_accsrycalc!$A$2:$A$51, dd_accsrycalc!$F$2:$F$51, "",0),AND( F78="Double Adhesive Tape", I78="Roll-up Screen"), _xlfn.XLOOKUP(C78, calc_rusacc!$C$15:$C$65, calc_rusacc!$AD$15:$AD$65, "",0),AND( F78="Sealant", I78="Roll-up Screen"), _xlfn.XLOOKUP(C78, calc_rusacc!$C$15:$C$65, calc_rusacc!$AF$15:$AF$65, "",0),  AND( F78="Main Chain", I78="Accordion Screen"), _xlfn.XLOOKUP(C78, calc_rusacc!$C$15:$C$65, calc_rusacc!$BF$15:$BF$65, "",0), AND( F78="Sealant", I78="Accordion Screen"), _xlfn.XLOOKUP(C78, calc_rusacc!$C$15:$C$65, calc_rusacc!$BJ$15:$BJ$65, "",0),  F78="Sealant", _xlfn.XLOOKUP(C78, dd_accsrycalc!$A$2:$A$51, dd_accsrycalc!$G$2:$G$51, "",0),  F78&lt;&gt;"",L78*_xlfn.XLOOKUP(1, (SKUs!$C$2:$C$10001=G78)*(SKUs!$K$2:$K$10001=I78),SKUs!$E$2:$E$10001)), 0),"")</f>
        <v/>
      </c>
      <c r="E78" s="35" t="str">
        <f>_xlfn.XLOOKUP(F78,dd_item!$B$2:$B$105,dd_item!$C$2:$C$105,"",0)</f>
        <v/>
      </c>
      <c r="F78" s="35"/>
      <c r="G78" s="35" cm="1">
        <f t="array" ref="G78">IFERROR(_xlfn.XLOOKUP(1, (SKUs!$J$2:$J$10001=accsry_unmerged!F78)*IF(H78&lt;&gt;"",(SKUs!$L$2:$L$10001=accsry_unmerged!H78),1)*(SKUs!$K$2:$K$10001=I78),SKUs!$C$2:$C$10001),"")</f>
        <v>0</v>
      </c>
      <c r="H78" s="36" cm="1">
        <f t="array" ref="H78">IFERROR(_xlfn.XLOOKUP(1, (dd_accsryclr!$C$2:$C$1000=accsry_unmerged!F78)*(dd_accsryclr!$B$2:$B$1000=accsry_unmerged!J78),dd_accsryclr!$A$2:$A$1000),"")</f>
        <v>0</v>
      </c>
      <c r="I78" s="35">
        <f>_xlfn.XLOOKUP(C78,'Project Details'!$C$17:$C$66,'Project Details'!$E$17:$E$66,"",0)</f>
        <v>0</v>
      </c>
      <c r="J78" s="35">
        <f>_xlfn.XLOOKUP(C78,'Project Details'!$C$17:$C$66,'Project Details'!$H$17:$H$66,"",0)</f>
        <v>0</v>
      </c>
      <c r="K78" s="36" t="str">
        <f>IF(AND(_xlfn.XLOOKUP(C78,'Project Details'!$C$17:$C$66,'Project Details'!$L$17:$L$66,"",0)&gt;550, F78="Spring-L27cm"),"",SUBSTITUTE(_xlfn.XLOOKUP(G78,SKUs!$C$2:$C$10001,SKUs!$F$2:$F$10001,"",0), " Accessories",""))</f>
        <v/>
      </c>
      <c r="L78" s="36">
        <f>_xlfn.XLOOKUP(C78,'Project Details'!$C$17:$C$66,'Project Details'!$D$17:$D$66,"",0)</f>
        <v>0</v>
      </c>
      <c r="M78" s="43"/>
    </row>
    <row r="79" spans="1:13" x14ac:dyDescent="0.25">
      <c r="A79" s="43"/>
      <c r="B79" s="43"/>
      <c r="C79" s="16">
        <f t="shared" si="0"/>
        <v>2</v>
      </c>
      <c r="D79" s="16" t="str" cm="1">
        <f t="array" ref="D79">IFERROR(ROUNDUP(_xlfn.IFS(F79="Aluminum Track", _xlfn.XLOOKUP(C79, dd_accsrycalc!$A$2:$A$51, dd_accsrycalc!$B$2:$B$51, "",0), F79="10 x 2 1/2 S (Flat)", _xlfn.XLOOKUP(C79, dd_accsrycalc!$A$2:$A$51, dd_accsrycalc!$C$2:$C$51, "",0), F79="Tox6", _xlfn.XLOOKUP(C79, dd_accsrycalc!$A$2:$A$51, dd_accsrycalc!$D$2:$D$51, "",0), F79="Cover Cap", _xlfn.XLOOKUP(C79, dd_accsrycalc!$A$2:$A$51, dd_accsrycalc!$E$2:$E$51, "",0), F79="Drainage Cover", _xlfn.XLOOKUP(C79, dd_accsrycalc!$A$2:$A$51, dd_accsrycalc!$F$2:$F$51, "",0),AND( F79="Double Adhesive Tape", I79="Roll-up Screen"), _xlfn.XLOOKUP(C79, calc_rusacc!$C$15:$C$65, calc_rusacc!$AD$15:$AD$65, "",0),AND( F79="Sealant", I79="Roll-up Screen"), _xlfn.XLOOKUP(C79, calc_rusacc!$C$15:$C$65, calc_rusacc!$AF$15:$AF$65, "",0),  AND( F79="Main Chain", I79="Accordion Screen"), _xlfn.XLOOKUP(C79, calc_rusacc!$C$15:$C$65, calc_rusacc!$BF$15:$BF$65, "",0), AND( F79="Sealant", I79="Accordion Screen"), _xlfn.XLOOKUP(C79, calc_rusacc!$C$15:$C$65, calc_rusacc!$BJ$15:$BJ$65, "",0),  F79="Sealant", _xlfn.XLOOKUP(C79, dd_accsrycalc!$A$2:$A$51, dd_accsrycalc!$G$2:$G$51, "",0),  F79&lt;&gt;"",L79*_xlfn.XLOOKUP(1, (SKUs!$C$2:$C$10001=G79)*(SKUs!$K$2:$K$10001=I79),SKUs!$E$2:$E$10001)), 0),"")</f>
        <v/>
      </c>
      <c r="E79" s="16" t="str">
        <f>_xlfn.XLOOKUP(F79,dd_item!$B$2:$B$105,dd_item!$C$2:$C$105,"",0)</f>
        <v/>
      </c>
      <c r="F79" s="16"/>
      <c r="G79" s="16" cm="1">
        <f t="array" ref="G79">IFERROR(_xlfn.XLOOKUP(1, (SKUs!$J$2:$J$10001=accsry_unmerged!F79)*IF(H79&lt;&gt;"",(SKUs!$L$2:$L$10001=accsry_unmerged!H79),1)*(SKUs!$K$2:$K$10001=I79),SKUs!$C$2:$C$10001),"")</f>
        <v>0</v>
      </c>
      <c r="H79" s="33" cm="1">
        <f t="array" ref="H79">IFERROR(_xlfn.XLOOKUP(1, (dd_accsryclr!$C$2:$C$1000=accsry_unmerged!F79)*(dd_accsryclr!$B$2:$B$1000=accsry_unmerged!J79),dd_accsryclr!$A$2:$A$1000),"")</f>
        <v>0</v>
      </c>
      <c r="I79" s="16">
        <f>_xlfn.XLOOKUP(C79,'Project Details'!$C$17:$C$66,'Project Details'!$E$17:$E$66,"",0)</f>
        <v>0</v>
      </c>
      <c r="J79" s="16">
        <f>_xlfn.XLOOKUP(C79,'Project Details'!$C$17:$C$66,'Project Details'!$H$17:$H$66,"",0)</f>
        <v>0</v>
      </c>
      <c r="K79" s="33" t="str">
        <f>IF(AND(_xlfn.XLOOKUP(C79,'Project Details'!$C$17:$C$66,'Project Details'!$L$17:$L$66,"",0)&gt;550, F79="Spring-L27cm"),"",SUBSTITUTE(_xlfn.XLOOKUP(G79,SKUs!$C$2:$C$10001,SKUs!$F$2:$F$10001,"",0), " Accessories",""))</f>
        <v/>
      </c>
      <c r="L79" s="33">
        <f>_xlfn.XLOOKUP(C79,'Project Details'!$C$17:$C$66,'Project Details'!$D$17:$D$66,"",0)</f>
        <v>0</v>
      </c>
      <c r="M79" s="43"/>
    </row>
    <row r="80" spans="1:13" x14ac:dyDescent="0.25">
      <c r="A80" s="43"/>
      <c r="B80" s="43"/>
      <c r="C80" s="35">
        <f t="shared" si="0"/>
        <v>2</v>
      </c>
      <c r="D80" s="35" t="str" cm="1">
        <f t="array" ref="D80">IFERROR(ROUNDUP(_xlfn.IFS(F80="Aluminum Track", _xlfn.XLOOKUP(C80, dd_accsrycalc!$A$2:$A$51, dd_accsrycalc!$B$2:$B$51, "",0), F80="10 x 2 1/2 S (Flat)", _xlfn.XLOOKUP(C80, dd_accsrycalc!$A$2:$A$51, dd_accsrycalc!$C$2:$C$51, "",0), F80="Tox6", _xlfn.XLOOKUP(C80, dd_accsrycalc!$A$2:$A$51, dd_accsrycalc!$D$2:$D$51, "",0), F80="Cover Cap", _xlfn.XLOOKUP(C80, dd_accsrycalc!$A$2:$A$51, dd_accsrycalc!$E$2:$E$51, "",0), F80="Drainage Cover", _xlfn.XLOOKUP(C80, dd_accsrycalc!$A$2:$A$51, dd_accsrycalc!$F$2:$F$51, "",0),AND( F80="Double Adhesive Tape", I80="Roll-up Screen"), _xlfn.XLOOKUP(C80, calc_rusacc!$C$15:$C$65, calc_rusacc!$AD$15:$AD$65, "",0),AND( F80="Sealant", I80="Roll-up Screen"), _xlfn.XLOOKUP(C80, calc_rusacc!$C$15:$C$65, calc_rusacc!$AF$15:$AF$65, "",0),  AND( F80="Main Chain", I80="Accordion Screen"), _xlfn.XLOOKUP(C80, calc_rusacc!$C$15:$C$65, calc_rusacc!$BF$15:$BF$65, "",0), AND( F80="Sealant", I80="Accordion Screen"), _xlfn.XLOOKUP(C80, calc_rusacc!$C$15:$C$65, calc_rusacc!$BJ$15:$BJ$65, "",0),  F80="Sealant", _xlfn.XLOOKUP(C80, dd_accsrycalc!$A$2:$A$51, dd_accsrycalc!$G$2:$G$51, "",0),  F80&lt;&gt;"",L80*_xlfn.XLOOKUP(1, (SKUs!$C$2:$C$10001=G80)*(SKUs!$K$2:$K$10001=I80),SKUs!$E$2:$E$10001)), 0),"")</f>
        <v/>
      </c>
      <c r="E80" s="35" t="str">
        <f>_xlfn.XLOOKUP(F80,dd_item!$B$2:$B$105,dd_item!$C$2:$C$105,"",0)</f>
        <v/>
      </c>
      <c r="F80" s="35"/>
      <c r="G80" s="35" cm="1">
        <f t="array" ref="G80">IFERROR(_xlfn.XLOOKUP(1, (SKUs!$J$2:$J$10001=accsry_unmerged!F80)*IF(H80&lt;&gt;"",(SKUs!$L$2:$L$10001=accsry_unmerged!H80),1)*(SKUs!$K$2:$K$10001=I80),SKUs!$C$2:$C$10001),"")</f>
        <v>0</v>
      </c>
      <c r="H80" s="36" cm="1">
        <f t="array" ref="H80">IFERROR(_xlfn.XLOOKUP(1, (dd_accsryclr!$C$2:$C$1000=accsry_unmerged!F80)*(dd_accsryclr!$B$2:$B$1000=accsry_unmerged!J80),dd_accsryclr!$A$2:$A$1000),"")</f>
        <v>0</v>
      </c>
      <c r="I80" s="35">
        <f>_xlfn.XLOOKUP(C80,'Project Details'!$C$17:$C$66,'Project Details'!$E$17:$E$66,"",0)</f>
        <v>0</v>
      </c>
      <c r="J80" s="35">
        <f>_xlfn.XLOOKUP(C80,'Project Details'!$C$17:$C$66,'Project Details'!$H$17:$H$66,"",0)</f>
        <v>0</v>
      </c>
      <c r="K80" s="36" t="str">
        <f>IF(AND(_xlfn.XLOOKUP(C80,'Project Details'!$C$17:$C$66,'Project Details'!$L$17:$L$66,"",0)&gt;550, F80="Spring-L27cm"),"",SUBSTITUTE(_xlfn.XLOOKUP(G80,SKUs!$C$2:$C$10001,SKUs!$F$2:$F$10001,"",0), " Accessories",""))</f>
        <v/>
      </c>
      <c r="L80" s="36">
        <f>_xlfn.XLOOKUP(C80,'Project Details'!$C$17:$C$66,'Project Details'!$D$17:$D$66,"",0)</f>
        <v>0</v>
      </c>
      <c r="M80" s="43"/>
    </row>
    <row r="81" spans="1:13" x14ac:dyDescent="0.25">
      <c r="A81" s="43"/>
      <c r="B81" s="43"/>
      <c r="C81" s="16">
        <f t="shared" si="0"/>
        <v>2</v>
      </c>
      <c r="D81" s="16" t="str" cm="1">
        <f t="array" ref="D81">IFERROR(ROUNDUP(_xlfn.IFS(F81="Aluminum Track", _xlfn.XLOOKUP(C81, dd_accsrycalc!$A$2:$A$51, dd_accsrycalc!$B$2:$B$51, "",0), F81="10 x 2 1/2 S (Flat)", _xlfn.XLOOKUP(C81, dd_accsrycalc!$A$2:$A$51, dd_accsrycalc!$C$2:$C$51, "",0), F81="Tox6", _xlfn.XLOOKUP(C81, dd_accsrycalc!$A$2:$A$51, dd_accsrycalc!$D$2:$D$51, "",0), F81="Cover Cap", _xlfn.XLOOKUP(C81, dd_accsrycalc!$A$2:$A$51, dd_accsrycalc!$E$2:$E$51, "",0), F81="Drainage Cover", _xlfn.XLOOKUP(C81, dd_accsrycalc!$A$2:$A$51, dd_accsrycalc!$F$2:$F$51, "",0),AND( F81="Double Adhesive Tape", I81="Roll-up Screen"), _xlfn.XLOOKUP(C81, calc_rusacc!$C$15:$C$65, calc_rusacc!$AD$15:$AD$65, "",0),AND( F81="Sealant", I81="Roll-up Screen"), _xlfn.XLOOKUP(C81, calc_rusacc!$C$15:$C$65, calc_rusacc!$AF$15:$AF$65, "",0),  AND( F81="Main Chain", I81="Accordion Screen"), _xlfn.XLOOKUP(C81, calc_rusacc!$C$15:$C$65, calc_rusacc!$BF$15:$BF$65, "",0), AND( F81="Sealant", I81="Accordion Screen"), _xlfn.XLOOKUP(C81, calc_rusacc!$C$15:$C$65, calc_rusacc!$BJ$15:$BJ$65, "",0),  F81="Sealant", _xlfn.XLOOKUP(C81, dd_accsrycalc!$A$2:$A$51, dd_accsrycalc!$G$2:$G$51, "",0),  F81&lt;&gt;"",L81*_xlfn.XLOOKUP(1, (SKUs!$C$2:$C$10001=G81)*(SKUs!$K$2:$K$10001=I81),SKUs!$E$2:$E$10001)), 0),"")</f>
        <v/>
      </c>
      <c r="E81" s="16" t="str">
        <f>_xlfn.XLOOKUP(F81,dd_item!$B$2:$B$105,dd_item!$C$2:$C$105,"",0)</f>
        <v/>
      </c>
      <c r="F81" s="16"/>
      <c r="G81" s="16" cm="1">
        <f t="array" ref="G81">IFERROR(_xlfn.XLOOKUP(1, (SKUs!$J$2:$J$10001=accsry_unmerged!F81)*IF(H81&lt;&gt;"",(SKUs!$L$2:$L$10001=accsry_unmerged!H81),1)*(SKUs!$K$2:$K$10001=I81),SKUs!$C$2:$C$10001),"")</f>
        <v>0</v>
      </c>
      <c r="H81" s="33" cm="1">
        <f t="array" ref="H81">IFERROR(_xlfn.XLOOKUP(1, (dd_accsryclr!$C$2:$C$1000=accsry_unmerged!F81)*(dd_accsryclr!$B$2:$B$1000=accsry_unmerged!J81),dd_accsryclr!$A$2:$A$1000),"")</f>
        <v>0</v>
      </c>
      <c r="I81" s="16">
        <f>_xlfn.XLOOKUP(C81,'Project Details'!$C$17:$C$66,'Project Details'!$E$17:$E$66,"",0)</f>
        <v>0</v>
      </c>
      <c r="J81" s="16">
        <f>_xlfn.XLOOKUP(C81,'Project Details'!$C$17:$C$66,'Project Details'!$H$17:$H$66,"",0)</f>
        <v>0</v>
      </c>
      <c r="K81" s="33" t="str">
        <f>IF(AND(_xlfn.XLOOKUP(C81,'Project Details'!$C$17:$C$66,'Project Details'!$L$17:$L$66,"",0)&gt;550, F81="Spring-L27cm"),"",SUBSTITUTE(_xlfn.XLOOKUP(G81,SKUs!$C$2:$C$10001,SKUs!$F$2:$F$10001,"",0), " Accessories",""))</f>
        <v/>
      </c>
      <c r="L81" s="33">
        <f>_xlfn.XLOOKUP(C81,'Project Details'!$C$17:$C$66,'Project Details'!$D$17:$D$66,"",0)</f>
        <v>0</v>
      </c>
      <c r="M81" s="43"/>
    </row>
    <row r="82" spans="1:13" x14ac:dyDescent="0.25">
      <c r="A82" s="43"/>
      <c r="B82" s="43"/>
      <c r="C82" s="35">
        <f t="shared" si="0"/>
        <v>2</v>
      </c>
      <c r="D82" s="35" t="str" cm="1">
        <f t="array" ref="D82">IFERROR(ROUNDUP(_xlfn.IFS(F82="Aluminum Track", _xlfn.XLOOKUP(C82, dd_accsrycalc!$A$2:$A$51, dd_accsrycalc!$B$2:$B$51, "",0), F82="10 x 2 1/2 S (Flat)", _xlfn.XLOOKUP(C82, dd_accsrycalc!$A$2:$A$51, dd_accsrycalc!$C$2:$C$51, "",0), F82="Tox6", _xlfn.XLOOKUP(C82, dd_accsrycalc!$A$2:$A$51, dd_accsrycalc!$D$2:$D$51, "",0), F82="Cover Cap", _xlfn.XLOOKUP(C82, dd_accsrycalc!$A$2:$A$51, dd_accsrycalc!$E$2:$E$51, "",0), F82="Drainage Cover", _xlfn.XLOOKUP(C82, dd_accsrycalc!$A$2:$A$51, dd_accsrycalc!$F$2:$F$51, "",0),AND( F82="Double Adhesive Tape", I82="Roll-up Screen"), _xlfn.XLOOKUP(C82, calc_rusacc!$C$15:$C$65, calc_rusacc!$AD$15:$AD$65, "",0),AND( F82="Sealant", I82="Roll-up Screen"), _xlfn.XLOOKUP(C82, calc_rusacc!$C$15:$C$65, calc_rusacc!$AF$15:$AF$65, "",0),  AND( F82="Main Chain", I82="Accordion Screen"), _xlfn.XLOOKUP(C82, calc_rusacc!$C$15:$C$65, calc_rusacc!$BF$15:$BF$65, "",0), AND( F82="Sealant", I82="Accordion Screen"), _xlfn.XLOOKUP(C82, calc_rusacc!$C$15:$C$65, calc_rusacc!$BJ$15:$BJ$65, "",0),  F82="Sealant", _xlfn.XLOOKUP(C82, dd_accsrycalc!$A$2:$A$51, dd_accsrycalc!$G$2:$G$51, "",0),  F82&lt;&gt;"",L82*_xlfn.XLOOKUP(1, (SKUs!$C$2:$C$10001=G82)*(SKUs!$K$2:$K$10001=I82),SKUs!$E$2:$E$10001)), 0),"")</f>
        <v/>
      </c>
      <c r="E82" s="35" t="str">
        <f>_xlfn.XLOOKUP(F82,dd_item!$B$2:$B$105,dd_item!$C$2:$C$105,"",0)</f>
        <v/>
      </c>
      <c r="F82" s="35"/>
      <c r="G82" s="35" cm="1">
        <f t="array" ref="G82">IFERROR(_xlfn.XLOOKUP(1, (SKUs!$J$2:$J$10001=accsry_unmerged!F82)*IF(H82&lt;&gt;"",(SKUs!$L$2:$L$10001=accsry_unmerged!H82),1)*(SKUs!$K$2:$K$10001=I82),SKUs!$C$2:$C$10001),"")</f>
        <v>0</v>
      </c>
      <c r="H82" s="36" cm="1">
        <f t="array" ref="H82">IFERROR(_xlfn.XLOOKUP(1, (dd_accsryclr!$C$2:$C$1000=accsry_unmerged!F82)*(dd_accsryclr!$B$2:$B$1000=accsry_unmerged!J82),dd_accsryclr!$A$2:$A$1000),"")</f>
        <v>0</v>
      </c>
      <c r="I82" s="35">
        <f>_xlfn.XLOOKUP(C82,'Project Details'!$C$17:$C$66,'Project Details'!$E$17:$E$66,"",0)</f>
        <v>0</v>
      </c>
      <c r="J82" s="35">
        <f>_xlfn.XLOOKUP(C82,'Project Details'!$C$17:$C$66,'Project Details'!$H$17:$H$66,"",0)</f>
        <v>0</v>
      </c>
      <c r="K82" s="36" t="str">
        <f>IF(AND(_xlfn.XLOOKUP(C82,'Project Details'!$C$17:$C$66,'Project Details'!$L$17:$L$66,"",0)&gt;550, F82="Spring-L27cm"),"",SUBSTITUTE(_xlfn.XLOOKUP(G82,SKUs!$C$2:$C$10001,SKUs!$F$2:$F$10001,"",0), " Accessories",""))</f>
        <v/>
      </c>
      <c r="L82" s="36">
        <f>_xlfn.XLOOKUP(C82,'Project Details'!$C$17:$C$66,'Project Details'!$D$17:$D$66,"",0)</f>
        <v>0</v>
      </c>
      <c r="M82" s="43"/>
    </row>
    <row r="83" spans="1:13" x14ac:dyDescent="0.25">
      <c r="A83" s="43"/>
      <c r="B83" s="43"/>
      <c r="C83" s="16">
        <f t="shared" si="0"/>
        <v>2</v>
      </c>
      <c r="D83" s="16" t="str" cm="1">
        <f t="array" ref="D83">IFERROR(ROUNDUP(_xlfn.IFS(F83="Aluminum Track", _xlfn.XLOOKUP(C83, dd_accsrycalc!$A$2:$A$51, dd_accsrycalc!$B$2:$B$51, "",0), F83="10 x 2 1/2 S (Flat)", _xlfn.XLOOKUP(C83, dd_accsrycalc!$A$2:$A$51, dd_accsrycalc!$C$2:$C$51, "",0), F83="Tox6", _xlfn.XLOOKUP(C83, dd_accsrycalc!$A$2:$A$51, dd_accsrycalc!$D$2:$D$51, "",0), F83="Cover Cap", _xlfn.XLOOKUP(C83, dd_accsrycalc!$A$2:$A$51, dd_accsrycalc!$E$2:$E$51, "",0), F83="Drainage Cover", _xlfn.XLOOKUP(C83, dd_accsrycalc!$A$2:$A$51, dd_accsrycalc!$F$2:$F$51, "",0),AND( F83="Double Adhesive Tape", I83="Roll-up Screen"), _xlfn.XLOOKUP(C83, calc_rusacc!$C$15:$C$65, calc_rusacc!$AD$15:$AD$65, "",0),AND( F83="Sealant", I83="Roll-up Screen"), _xlfn.XLOOKUP(C83, calc_rusacc!$C$15:$C$65, calc_rusacc!$AF$15:$AF$65, "",0),  AND( F83="Main Chain", I83="Accordion Screen"), _xlfn.XLOOKUP(C83, calc_rusacc!$C$15:$C$65, calc_rusacc!$BF$15:$BF$65, "",0), AND( F83="Sealant", I83="Accordion Screen"), _xlfn.XLOOKUP(C83, calc_rusacc!$C$15:$C$65, calc_rusacc!$BJ$15:$BJ$65, "",0),  F83="Sealant", _xlfn.XLOOKUP(C83, dd_accsrycalc!$A$2:$A$51, dd_accsrycalc!$G$2:$G$51, "",0),  F83&lt;&gt;"",L83*_xlfn.XLOOKUP(1, (SKUs!$C$2:$C$10001=G83)*(SKUs!$K$2:$K$10001=I83),SKUs!$E$2:$E$10001)), 0),"")</f>
        <v/>
      </c>
      <c r="E83" s="16" t="str">
        <f>_xlfn.XLOOKUP(F83,dd_item!$B$2:$B$105,dd_item!$C$2:$C$105,"",0)</f>
        <v/>
      </c>
      <c r="F83" s="16"/>
      <c r="G83" s="16" cm="1">
        <f t="array" ref="G83">IFERROR(_xlfn.XLOOKUP(1, (SKUs!$J$2:$J$10001=accsry_unmerged!F83)*IF(H83&lt;&gt;"",(SKUs!$L$2:$L$10001=accsry_unmerged!H83),1)*(SKUs!$K$2:$K$10001=I83),SKUs!$C$2:$C$10001),"")</f>
        <v>0</v>
      </c>
      <c r="H83" s="33" cm="1">
        <f t="array" ref="H83">IFERROR(_xlfn.XLOOKUP(1, (dd_accsryclr!$C$2:$C$1000=accsry_unmerged!F83)*(dd_accsryclr!$B$2:$B$1000=accsry_unmerged!J83),dd_accsryclr!$A$2:$A$1000),"")</f>
        <v>0</v>
      </c>
      <c r="I83" s="16">
        <f>_xlfn.XLOOKUP(C83,'Project Details'!$C$17:$C$66,'Project Details'!$E$17:$E$66,"",0)</f>
        <v>0</v>
      </c>
      <c r="J83" s="16">
        <f>_xlfn.XLOOKUP(C83,'Project Details'!$C$17:$C$66,'Project Details'!$H$17:$H$66,"",0)</f>
        <v>0</v>
      </c>
      <c r="K83" s="33" t="str">
        <f>IF(AND(_xlfn.XLOOKUP(C83,'Project Details'!$C$17:$C$66,'Project Details'!$L$17:$L$66,"",0)&gt;550, F83="Spring-L27cm"),"",SUBSTITUTE(_xlfn.XLOOKUP(G83,SKUs!$C$2:$C$10001,SKUs!$F$2:$F$10001,"",0), " Accessories",""))</f>
        <v/>
      </c>
      <c r="L83" s="33">
        <f>_xlfn.XLOOKUP(C83,'Project Details'!$C$17:$C$66,'Project Details'!$D$17:$D$66,"",0)</f>
        <v>0</v>
      </c>
      <c r="M83" s="43"/>
    </row>
    <row r="84" spans="1:13" ht="13.5" customHeight="1" x14ac:dyDescent="0.25">
      <c r="A84" s="43"/>
      <c r="B84" s="43"/>
      <c r="C84" s="35">
        <f t="shared" si="0"/>
        <v>2</v>
      </c>
      <c r="D84" s="35" t="str" cm="1">
        <f t="array" ref="D84">IFERROR(ROUNDUP(_xlfn.IFS(F84="Aluminum Track", _xlfn.XLOOKUP(C84, dd_accsrycalc!$A$2:$A$51, dd_accsrycalc!$B$2:$B$51, "",0), F84="10 x 2 1/2 S (Flat)", _xlfn.XLOOKUP(C84, dd_accsrycalc!$A$2:$A$51, dd_accsrycalc!$C$2:$C$51, "",0), F84="Tox6", _xlfn.XLOOKUP(C84, dd_accsrycalc!$A$2:$A$51, dd_accsrycalc!$D$2:$D$51, "",0), F84="Cover Cap", _xlfn.XLOOKUP(C84, dd_accsrycalc!$A$2:$A$51, dd_accsrycalc!$E$2:$E$51, "",0), F84="Drainage Cover", _xlfn.XLOOKUP(C84, dd_accsrycalc!$A$2:$A$51, dd_accsrycalc!$F$2:$F$51, "",0),AND( F84="Double Adhesive Tape", I84="Roll-up Screen"), _xlfn.XLOOKUP(C84, calc_rusacc!$C$15:$C$65, calc_rusacc!$AD$15:$AD$65, "",0),AND( F84="Sealant", I84="Roll-up Screen"), _xlfn.XLOOKUP(C84, calc_rusacc!$C$15:$C$65, calc_rusacc!$AF$15:$AF$65, "",0),  AND( F84="Main Chain", I84="Accordion Screen"), _xlfn.XLOOKUP(C84, calc_rusacc!$C$15:$C$65, calc_rusacc!$BF$15:$BF$65, "",0), AND( F84="Sealant", I84="Accordion Screen"), _xlfn.XLOOKUP(C84, calc_rusacc!$C$15:$C$65, calc_rusacc!$BJ$15:$BJ$65, "",0),  F84="Sealant", _xlfn.XLOOKUP(C84, dd_accsrycalc!$A$2:$A$51, dd_accsrycalc!$G$2:$G$51, "",0),  F84&lt;&gt;"",L84*_xlfn.XLOOKUP(1, (SKUs!$C$2:$C$10001=G84)*(SKUs!$K$2:$K$10001=I84),SKUs!$E$2:$E$10001)), 0),"")</f>
        <v/>
      </c>
      <c r="E84" s="35" t="str">
        <f>_xlfn.XLOOKUP(F84,dd_item!$B$2:$B$105,dd_item!$C$2:$C$105,"",0)</f>
        <v/>
      </c>
      <c r="F84" s="35"/>
      <c r="G84" s="35" cm="1">
        <f t="array" ref="G84">IFERROR(_xlfn.XLOOKUP(1, (SKUs!$J$2:$J$10001=accsry_unmerged!F84)*IF(H84&lt;&gt;"",(SKUs!$L$2:$L$10001=accsry_unmerged!H84),1)*(SKUs!$K$2:$K$10001=I84),SKUs!$C$2:$C$10001),"")</f>
        <v>0</v>
      </c>
      <c r="H84" s="36" cm="1">
        <f t="array" ref="H84">IFERROR(_xlfn.XLOOKUP(1, (dd_accsryclr!$C$2:$C$1000=accsry_unmerged!F84)*(dd_accsryclr!$B$2:$B$1000=accsry_unmerged!J84),dd_accsryclr!$A$2:$A$1000),"")</f>
        <v>0</v>
      </c>
      <c r="I84" s="35">
        <f>_xlfn.XLOOKUP(C84,'Project Details'!$C$17:$C$66,'Project Details'!$E$17:$E$66,"",0)</f>
        <v>0</v>
      </c>
      <c r="J84" s="35">
        <f>_xlfn.XLOOKUP(C84,'Project Details'!$C$17:$C$66,'Project Details'!$H$17:$H$66,"",0)</f>
        <v>0</v>
      </c>
      <c r="K84" s="36" t="str">
        <f>IF(AND(_xlfn.XLOOKUP(C84,'Project Details'!$C$17:$C$66,'Project Details'!$L$17:$L$66,"",0)&gt;550, F84="Spring-L27cm"),"",SUBSTITUTE(_xlfn.XLOOKUP(G84,SKUs!$C$2:$C$10001,SKUs!$F$2:$F$10001,"",0), " Accessories",""))</f>
        <v/>
      </c>
      <c r="L84" s="36">
        <f>_xlfn.XLOOKUP(C84,'Project Details'!$C$17:$C$66,'Project Details'!$D$17:$D$66,"",0)</f>
        <v>0</v>
      </c>
      <c r="M84" s="43"/>
    </row>
    <row r="85" spans="1:13" ht="13.5" customHeight="1" x14ac:dyDescent="0.25">
      <c r="A85" s="43"/>
      <c r="B85" s="43"/>
      <c r="C85" s="16">
        <f t="shared" si="0"/>
        <v>2</v>
      </c>
      <c r="D85" s="16" t="str" cm="1">
        <f t="array" ref="D85">IFERROR(ROUNDUP(_xlfn.IFS(F85="Aluminum Track", _xlfn.XLOOKUP(C85, dd_accsrycalc!$A$2:$A$51, dd_accsrycalc!$B$2:$B$51, "",0), F85="10 x 2 1/2 S (Flat)", _xlfn.XLOOKUP(C85, dd_accsrycalc!$A$2:$A$51, dd_accsrycalc!$C$2:$C$51, "",0), F85="Tox6", _xlfn.XLOOKUP(C85, dd_accsrycalc!$A$2:$A$51, dd_accsrycalc!$D$2:$D$51, "",0), F85="Cover Cap", _xlfn.XLOOKUP(C85, dd_accsrycalc!$A$2:$A$51, dd_accsrycalc!$E$2:$E$51, "",0), F85="Drainage Cover", _xlfn.XLOOKUP(C85, dd_accsrycalc!$A$2:$A$51, dd_accsrycalc!$F$2:$F$51, "",0),AND( F85="Double Adhesive Tape", I85="Roll-up Screen"), _xlfn.XLOOKUP(C85, calc_rusacc!$C$15:$C$65, calc_rusacc!$AD$15:$AD$65, "",0),AND( F85="Sealant", I85="Roll-up Screen"), _xlfn.XLOOKUP(C85, calc_rusacc!$C$15:$C$65, calc_rusacc!$AF$15:$AF$65, "",0),  AND( F85="Main Chain", I85="Accordion Screen"), _xlfn.XLOOKUP(C85, calc_rusacc!$C$15:$C$65, calc_rusacc!$BF$15:$BF$65, "",0), AND( F85="Sealant", I85="Accordion Screen"), _xlfn.XLOOKUP(C85, calc_rusacc!$C$15:$C$65, calc_rusacc!$BJ$15:$BJ$65, "",0),  F85="Sealant", _xlfn.XLOOKUP(C85, dd_accsrycalc!$A$2:$A$51, dd_accsrycalc!$G$2:$G$51, "",0),  F85&lt;&gt;"",L85*_xlfn.XLOOKUP(1, (SKUs!$C$2:$C$10001=G85)*(SKUs!$K$2:$K$10001=I85),SKUs!$E$2:$E$10001)), 0),"")</f>
        <v/>
      </c>
      <c r="E85" s="16" t="str">
        <f>_xlfn.XLOOKUP(F85,dd_item!$B$2:$B$105,dd_item!$C$2:$C$105,"",0)</f>
        <v/>
      </c>
      <c r="F85" s="16"/>
      <c r="G85" s="16" cm="1">
        <f t="array" ref="G85">IFERROR(_xlfn.XLOOKUP(1, (SKUs!$J$2:$J$10001=accsry_unmerged!F85)*IF(H85&lt;&gt;"",(SKUs!$L$2:$L$10001=accsry_unmerged!H85),1)*(SKUs!$K$2:$K$10001=I85),SKUs!$C$2:$C$10001),"")</f>
        <v>0</v>
      </c>
      <c r="H85" s="33" cm="1">
        <f t="array" ref="H85">IFERROR(_xlfn.XLOOKUP(1, (dd_accsryclr!$C$2:$C$1000=accsry_unmerged!F85)*(dd_accsryclr!$B$2:$B$1000=accsry_unmerged!J85),dd_accsryclr!$A$2:$A$1000),"")</f>
        <v>0</v>
      </c>
      <c r="I85" s="16">
        <f>_xlfn.XLOOKUP(C85,'Project Details'!$C$17:$C$66,'Project Details'!$E$17:$E$66,"",0)</f>
        <v>0</v>
      </c>
      <c r="J85" s="16">
        <f>_xlfn.XLOOKUP(C85,'Project Details'!$C$17:$C$66,'Project Details'!$H$17:$H$66,"",0)</f>
        <v>0</v>
      </c>
      <c r="K85" s="33" t="str">
        <f>IF(AND(_xlfn.XLOOKUP(C85,'Project Details'!$C$17:$C$66,'Project Details'!$L$17:$L$66,"",0)&gt;550, F85="Spring-L27cm"),"",SUBSTITUTE(_xlfn.XLOOKUP(G85,SKUs!$C$2:$C$10001,SKUs!$F$2:$F$10001,"",0), " Accessories",""))</f>
        <v/>
      </c>
      <c r="L85" s="33">
        <f>_xlfn.XLOOKUP(C85,'Project Details'!$C$17:$C$66,'Project Details'!$D$17:$D$66,"",0)</f>
        <v>0</v>
      </c>
      <c r="M85" s="43"/>
    </row>
    <row r="86" spans="1:13" ht="13.5" customHeight="1" x14ac:dyDescent="0.25">
      <c r="A86" s="43"/>
      <c r="B86" s="43"/>
      <c r="C86" s="35">
        <f t="shared" si="0"/>
        <v>2</v>
      </c>
      <c r="D86" s="35" t="str" cm="1">
        <f t="array" ref="D86">IFERROR(ROUNDUP(_xlfn.IFS(F86="Aluminum Track", _xlfn.XLOOKUP(C86, dd_accsrycalc!$A$2:$A$51, dd_accsrycalc!$B$2:$B$51, "",0), F86="10 x 2 1/2 S (Flat)", _xlfn.XLOOKUP(C86, dd_accsrycalc!$A$2:$A$51, dd_accsrycalc!$C$2:$C$51, "",0), F86="Tox6", _xlfn.XLOOKUP(C86, dd_accsrycalc!$A$2:$A$51, dd_accsrycalc!$D$2:$D$51, "",0), F86="Cover Cap", _xlfn.XLOOKUP(C86, dd_accsrycalc!$A$2:$A$51, dd_accsrycalc!$E$2:$E$51, "",0), F86="Drainage Cover", _xlfn.XLOOKUP(C86, dd_accsrycalc!$A$2:$A$51, dd_accsrycalc!$F$2:$F$51, "",0),AND( F86="Double Adhesive Tape", I86="Roll-up Screen"), _xlfn.XLOOKUP(C86, calc_rusacc!$C$15:$C$65, calc_rusacc!$AD$15:$AD$65, "",0),AND( F86="Sealant", I86="Roll-up Screen"), _xlfn.XLOOKUP(C86, calc_rusacc!$C$15:$C$65, calc_rusacc!$AF$15:$AF$65, "",0),  AND( F86="Main Chain", I86="Accordion Screen"), _xlfn.XLOOKUP(C86, calc_rusacc!$C$15:$C$65, calc_rusacc!$BF$15:$BF$65, "",0), AND( F86="Sealant", I86="Accordion Screen"), _xlfn.XLOOKUP(C86, calc_rusacc!$C$15:$C$65, calc_rusacc!$BJ$15:$BJ$65, "",0),  F86="Sealant", _xlfn.XLOOKUP(C86, dd_accsrycalc!$A$2:$A$51, dd_accsrycalc!$G$2:$G$51, "",0),  F86&lt;&gt;"",L86*_xlfn.XLOOKUP(1, (SKUs!$C$2:$C$10001=G86)*(SKUs!$K$2:$K$10001=I86),SKUs!$E$2:$E$10001)), 0),"")</f>
        <v/>
      </c>
      <c r="E86" s="35" t="str">
        <f>_xlfn.XLOOKUP(F86,dd_item!$B$2:$B$105,dd_item!$C$2:$C$105,"",0)</f>
        <v/>
      </c>
      <c r="F86" s="35"/>
      <c r="G86" s="35" cm="1">
        <f t="array" ref="G86">IFERROR(_xlfn.XLOOKUP(1, (SKUs!$J$2:$J$10001=accsry_unmerged!F86)*IF(H86&lt;&gt;"",(SKUs!$L$2:$L$10001=accsry_unmerged!H86),1)*(SKUs!$K$2:$K$10001=I86),SKUs!$C$2:$C$10001),"")</f>
        <v>0</v>
      </c>
      <c r="H86" s="36" cm="1">
        <f t="array" ref="H86">IFERROR(_xlfn.XLOOKUP(1, (dd_accsryclr!$C$2:$C$1000=accsry_unmerged!F86)*(dd_accsryclr!$B$2:$B$1000=accsry_unmerged!J86),dd_accsryclr!$A$2:$A$1000),"")</f>
        <v>0</v>
      </c>
      <c r="I86" s="35">
        <f>_xlfn.XLOOKUP(C86,'Project Details'!$C$17:$C$66,'Project Details'!$E$17:$E$66,"",0)</f>
        <v>0</v>
      </c>
      <c r="J86" s="35">
        <f>_xlfn.XLOOKUP(C86,'Project Details'!$C$17:$C$66,'Project Details'!$H$17:$H$66,"",0)</f>
        <v>0</v>
      </c>
      <c r="K86" s="36" t="str">
        <f>IF(AND(_xlfn.XLOOKUP(C86,'Project Details'!$C$17:$C$66,'Project Details'!$L$17:$L$66,"",0)&gt;550, F86="Spring-L27cm"),"",SUBSTITUTE(_xlfn.XLOOKUP(G86,SKUs!$C$2:$C$10001,SKUs!$F$2:$F$10001,"",0), " Accessories",""))</f>
        <v/>
      </c>
      <c r="L86" s="36">
        <f>_xlfn.XLOOKUP(C86,'Project Details'!$C$17:$C$66,'Project Details'!$D$17:$D$66,"",0)</f>
        <v>0</v>
      </c>
      <c r="M86" s="43"/>
    </row>
    <row r="87" spans="1:13" ht="13.5" customHeight="1" x14ac:dyDescent="0.25">
      <c r="A87" s="43"/>
      <c r="B87" s="43"/>
      <c r="C87" s="16">
        <f t="shared" si="0"/>
        <v>2</v>
      </c>
      <c r="D87" s="16" t="str" cm="1">
        <f t="array" ref="D87">IFERROR(ROUNDUP(_xlfn.IFS(F87="Aluminum Track", _xlfn.XLOOKUP(C87, dd_accsrycalc!$A$2:$A$51, dd_accsrycalc!$B$2:$B$51, "",0), F87="10 x 2 1/2 S (Flat)", _xlfn.XLOOKUP(C87, dd_accsrycalc!$A$2:$A$51, dd_accsrycalc!$C$2:$C$51, "",0), F87="Tox6", _xlfn.XLOOKUP(C87, dd_accsrycalc!$A$2:$A$51, dd_accsrycalc!$D$2:$D$51, "",0), F87="Cover Cap", _xlfn.XLOOKUP(C87, dd_accsrycalc!$A$2:$A$51, dd_accsrycalc!$E$2:$E$51, "",0), F87="Drainage Cover", _xlfn.XLOOKUP(C87, dd_accsrycalc!$A$2:$A$51, dd_accsrycalc!$F$2:$F$51, "",0),AND( F87="Double Adhesive Tape", I87="Roll-up Screen"), _xlfn.XLOOKUP(C87, calc_rusacc!$C$15:$C$65, calc_rusacc!$AD$15:$AD$65, "",0),AND( F87="Sealant", I87="Roll-up Screen"), _xlfn.XLOOKUP(C87, calc_rusacc!$C$15:$C$65, calc_rusacc!$AF$15:$AF$65, "",0),  AND( F87="Main Chain", I87="Accordion Screen"), _xlfn.XLOOKUP(C87, calc_rusacc!$C$15:$C$65, calc_rusacc!$BF$15:$BF$65, "",0), AND( F87="Sealant", I87="Accordion Screen"), _xlfn.XLOOKUP(C87, calc_rusacc!$C$15:$C$65, calc_rusacc!$BJ$15:$BJ$65, "",0),  F87="Sealant", _xlfn.XLOOKUP(C87, dd_accsrycalc!$A$2:$A$51, dd_accsrycalc!$G$2:$G$51, "",0),  F87&lt;&gt;"",L87*_xlfn.XLOOKUP(1, (SKUs!$C$2:$C$10001=G87)*(SKUs!$K$2:$K$10001=I87),SKUs!$E$2:$E$10001)), 0),"")</f>
        <v/>
      </c>
      <c r="E87" s="16" t="str">
        <f>_xlfn.XLOOKUP(F87,dd_item!$B$2:$B$105,dd_item!$C$2:$C$105,"",0)</f>
        <v/>
      </c>
      <c r="F87" s="16"/>
      <c r="G87" s="16" cm="1">
        <f t="array" ref="G87">IFERROR(_xlfn.XLOOKUP(1, (SKUs!$J$2:$J$10001=accsry_unmerged!F87)*IF(H87&lt;&gt;"",(SKUs!$L$2:$L$10001=accsry_unmerged!H87),1)*(SKUs!$K$2:$K$10001=I87),SKUs!$C$2:$C$10001),"")</f>
        <v>0</v>
      </c>
      <c r="H87" s="33" cm="1">
        <f t="array" ref="H87">IFERROR(_xlfn.XLOOKUP(1, (dd_accsryclr!$C$2:$C$1000=accsry_unmerged!F87)*(dd_accsryclr!$B$2:$B$1000=accsry_unmerged!J87),dd_accsryclr!$A$2:$A$1000),"")</f>
        <v>0</v>
      </c>
      <c r="I87" s="16">
        <f>_xlfn.XLOOKUP(C87,'Project Details'!$C$17:$C$66,'Project Details'!$E$17:$E$66,"",0)</f>
        <v>0</v>
      </c>
      <c r="J87" s="16">
        <f>_xlfn.XLOOKUP(C87,'Project Details'!$C$17:$C$66,'Project Details'!$H$17:$H$66,"",0)</f>
        <v>0</v>
      </c>
      <c r="K87" s="33" t="str">
        <f>IF(AND(_xlfn.XLOOKUP(C87,'Project Details'!$C$17:$C$66,'Project Details'!$L$17:$L$66,"",0)&gt;550, F87="Spring-L27cm"),"",SUBSTITUTE(_xlfn.XLOOKUP(G87,SKUs!$C$2:$C$10001,SKUs!$F$2:$F$10001,"",0), " Accessories",""))</f>
        <v/>
      </c>
      <c r="L87" s="33">
        <f>_xlfn.XLOOKUP(C87,'Project Details'!$C$17:$C$66,'Project Details'!$D$17:$D$66,"",0)</f>
        <v>0</v>
      </c>
      <c r="M87" s="43"/>
    </row>
    <row r="88" spans="1:13" ht="13.5" customHeight="1" x14ac:dyDescent="0.25">
      <c r="A88" s="43"/>
      <c r="B88" s="43"/>
      <c r="C88" s="35">
        <f t="shared" si="0"/>
        <v>2</v>
      </c>
      <c r="D88" s="35" t="str" cm="1">
        <f t="array" ref="D88">IFERROR(ROUNDUP(_xlfn.IFS(F88="Aluminum Track", _xlfn.XLOOKUP(C88, dd_accsrycalc!$A$2:$A$51, dd_accsrycalc!$B$2:$B$51, "",0), F88="10 x 2 1/2 S (Flat)", _xlfn.XLOOKUP(C88, dd_accsrycalc!$A$2:$A$51, dd_accsrycalc!$C$2:$C$51, "",0), F88="Tox6", _xlfn.XLOOKUP(C88, dd_accsrycalc!$A$2:$A$51, dd_accsrycalc!$D$2:$D$51, "",0), F88="Cover Cap", _xlfn.XLOOKUP(C88, dd_accsrycalc!$A$2:$A$51, dd_accsrycalc!$E$2:$E$51, "",0), F88="Drainage Cover", _xlfn.XLOOKUP(C88, dd_accsrycalc!$A$2:$A$51, dd_accsrycalc!$F$2:$F$51, "",0),AND( F88="Double Adhesive Tape", I88="Roll-up Screen"), _xlfn.XLOOKUP(C88, calc_rusacc!$C$15:$C$65, calc_rusacc!$AD$15:$AD$65, "",0),AND( F88="Sealant", I88="Roll-up Screen"), _xlfn.XLOOKUP(C88, calc_rusacc!$C$15:$C$65, calc_rusacc!$AF$15:$AF$65, "",0),  AND( F88="Main Chain", I88="Accordion Screen"), _xlfn.XLOOKUP(C88, calc_rusacc!$C$15:$C$65, calc_rusacc!$BF$15:$BF$65, "",0), AND( F88="Sealant", I88="Accordion Screen"), _xlfn.XLOOKUP(C88, calc_rusacc!$C$15:$C$65, calc_rusacc!$BJ$15:$BJ$65, "",0),  F88="Sealant", _xlfn.XLOOKUP(C88, dd_accsrycalc!$A$2:$A$51, dd_accsrycalc!$G$2:$G$51, "",0),  F88&lt;&gt;"",L88*_xlfn.XLOOKUP(1, (SKUs!$C$2:$C$10001=G88)*(SKUs!$K$2:$K$10001=I88),SKUs!$E$2:$E$10001)), 0),"")</f>
        <v/>
      </c>
      <c r="E88" s="35" t="str">
        <f>_xlfn.XLOOKUP(F88,dd_item!$B$2:$B$105,dd_item!$C$2:$C$105,"",0)</f>
        <v/>
      </c>
      <c r="F88" s="35"/>
      <c r="G88" s="35" cm="1">
        <f t="array" ref="G88">IFERROR(_xlfn.XLOOKUP(1, (SKUs!$J$2:$J$10001=accsry_unmerged!F88)*IF(H88&lt;&gt;"",(SKUs!$L$2:$L$10001=accsry_unmerged!H88),1)*(SKUs!$K$2:$K$10001=I88),SKUs!$C$2:$C$10001),"")</f>
        <v>0</v>
      </c>
      <c r="H88" s="36" cm="1">
        <f t="array" ref="H88">IFERROR(_xlfn.XLOOKUP(1, (dd_accsryclr!$C$2:$C$1000=accsry_unmerged!F88)*(dd_accsryclr!$B$2:$B$1000=accsry_unmerged!J88),dd_accsryclr!$A$2:$A$1000),"")</f>
        <v>0</v>
      </c>
      <c r="I88" s="35">
        <f>_xlfn.XLOOKUP(C88,'Project Details'!$C$17:$C$66,'Project Details'!$E$17:$E$66,"",0)</f>
        <v>0</v>
      </c>
      <c r="J88" s="35">
        <f>_xlfn.XLOOKUP(C88,'Project Details'!$C$17:$C$66,'Project Details'!$H$17:$H$66,"",0)</f>
        <v>0</v>
      </c>
      <c r="K88" s="36" t="str">
        <f>IF(AND(_xlfn.XLOOKUP(C88,'Project Details'!$C$17:$C$66,'Project Details'!$L$17:$L$66,"",0)&gt;550, F88="Spring-L27cm"),"",SUBSTITUTE(_xlfn.XLOOKUP(G88,SKUs!$C$2:$C$10001,SKUs!$F$2:$F$10001,"",0), " Accessories",""))</f>
        <v/>
      </c>
      <c r="L88" s="36">
        <f>_xlfn.XLOOKUP(C88,'Project Details'!$C$17:$C$66,'Project Details'!$D$17:$D$66,"",0)</f>
        <v>0</v>
      </c>
      <c r="M88" s="43"/>
    </row>
    <row r="89" spans="1:13" ht="13.5" customHeight="1" x14ac:dyDescent="0.25">
      <c r="A89" s="43"/>
      <c r="B89" s="43"/>
      <c r="C89" s="16">
        <f t="shared" si="0"/>
        <v>2</v>
      </c>
      <c r="D89" s="16" t="str" cm="1">
        <f t="array" ref="D89">IFERROR(ROUNDUP(_xlfn.IFS(F89="Aluminum Track", _xlfn.XLOOKUP(C89, dd_accsrycalc!$A$2:$A$51, dd_accsrycalc!$B$2:$B$51, "",0), F89="10 x 2 1/2 S (Flat)", _xlfn.XLOOKUP(C89, dd_accsrycalc!$A$2:$A$51, dd_accsrycalc!$C$2:$C$51, "",0), F89="Tox6", _xlfn.XLOOKUP(C89, dd_accsrycalc!$A$2:$A$51, dd_accsrycalc!$D$2:$D$51, "",0), F89="Cover Cap", _xlfn.XLOOKUP(C89, dd_accsrycalc!$A$2:$A$51, dd_accsrycalc!$E$2:$E$51, "",0), F89="Drainage Cover", _xlfn.XLOOKUP(C89, dd_accsrycalc!$A$2:$A$51, dd_accsrycalc!$F$2:$F$51, "",0),AND( F89="Double Adhesive Tape", I89="Roll-up Screen"), _xlfn.XLOOKUP(C89, calc_rusacc!$C$15:$C$65, calc_rusacc!$AD$15:$AD$65, "",0),AND( F89="Sealant", I89="Roll-up Screen"), _xlfn.XLOOKUP(C89, calc_rusacc!$C$15:$C$65, calc_rusacc!$AF$15:$AF$65, "",0),  AND( F89="Main Chain", I89="Accordion Screen"), _xlfn.XLOOKUP(C89, calc_rusacc!$C$15:$C$65, calc_rusacc!$BF$15:$BF$65, "",0), AND( F89="Sealant", I89="Accordion Screen"), _xlfn.XLOOKUP(C89, calc_rusacc!$C$15:$C$65, calc_rusacc!$BJ$15:$BJ$65, "",0),  F89="Sealant", _xlfn.XLOOKUP(C89, dd_accsrycalc!$A$2:$A$51, dd_accsrycalc!$G$2:$G$51, "",0),  F89&lt;&gt;"",L89*_xlfn.XLOOKUP(1, (SKUs!$C$2:$C$10001=G89)*(SKUs!$K$2:$K$10001=I89),SKUs!$E$2:$E$10001)), 0),"")</f>
        <v/>
      </c>
      <c r="E89" s="16" t="str">
        <f>_xlfn.XLOOKUP(F89,dd_item!$B$2:$B$105,dd_item!$C$2:$C$105,"",0)</f>
        <v/>
      </c>
      <c r="F89" s="16"/>
      <c r="G89" s="16" cm="1">
        <f t="array" ref="G89">IFERROR(_xlfn.XLOOKUP(1, (SKUs!$J$2:$J$10001=accsry_unmerged!F89)*IF(H89&lt;&gt;"",(SKUs!$L$2:$L$10001=accsry_unmerged!H89),1)*(SKUs!$K$2:$K$10001=I89),SKUs!$C$2:$C$10001),"")</f>
        <v>0</v>
      </c>
      <c r="H89" s="33" cm="1">
        <f t="array" ref="H89">IFERROR(_xlfn.XLOOKUP(1, (dd_accsryclr!$C$2:$C$1000=accsry_unmerged!F89)*(dd_accsryclr!$B$2:$B$1000=accsry_unmerged!J89),dd_accsryclr!$A$2:$A$1000),"")</f>
        <v>0</v>
      </c>
      <c r="I89" s="16">
        <f>_xlfn.XLOOKUP(C89,'Project Details'!$C$17:$C$66,'Project Details'!$E$17:$E$66,"",0)</f>
        <v>0</v>
      </c>
      <c r="J89" s="16">
        <f>_xlfn.XLOOKUP(C89,'Project Details'!$C$17:$C$66,'Project Details'!$H$17:$H$66,"",0)</f>
        <v>0</v>
      </c>
      <c r="K89" s="33" t="str">
        <f>IF(AND(_xlfn.XLOOKUP(C89,'Project Details'!$C$17:$C$66,'Project Details'!$L$17:$L$66,"",0)&gt;550, F89="Spring-L27cm"),"",SUBSTITUTE(_xlfn.XLOOKUP(G89,SKUs!$C$2:$C$10001,SKUs!$F$2:$F$10001,"",0), " Accessories",""))</f>
        <v/>
      </c>
      <c r="L89" s="33">
        <f>_xlfn.XLOOKUP(C89,'Project Details'!$C$17:$C$66,'Project Details'!$D$17:$D$66,"",0)</f>
        <v>0</v>
      </c>
      <c r="M89" s="43"/>
    </row>
    <row r="90" spans="1:13" ht="13.5" customHeight="1" x14ac:dyDescent="0.25">
      <c r="A90" s="43"/>
      <c r="B90" s="43"/>
      <c r="C90" s="35">
        <f t="shared" si="0"/>
        <v>2</v>
      </c>
      <c r="D90" s="35" t="str" cm="1">
        <f t="array" ref="D90">IFERROR(ROUNDUP(_xlfn.IFS(F90="Aluminum Track", _xlfn.XLOOKUP(C90, dd_accsrycalc!$A$2:$A$51, dd_accsrycalc!$B$2:$B$51, "",0), F90="10 x 2 1/2 S (Flat)", _xlfn.XLOOKUP(C90, dd_accsrycalc!$A$2:$A$51, dd_accsrycalc!$C$2:$C$51, "",0), F90="Tox6", _xlfn.XLOOKUP(C90, dd_accsrycalc!$A$2:$A$51, dd_accsrycalc!$D$2:$D$51, "",0), F90="Cover Cap", _xlfn.XLOOKUP(C90, dd_accsrycalc!$A$2:$A$51, dd_accsrycalc!$E$2:$E$51, "",0), F90="Drainage Cover", _xlfn.XLOOKUP(C90, dd_accsrycalc!$A$2:$A$51, dd_accsrycalc!$F$2:$F$51, "",0),AND( F90="Double Adhesive Tape", I90="Roll-up Screen"), _xlfn.XLOOKUP(C90, calc_rusacc!$C$15:$C$65, calc_rusacc!$AD$15:$AD$65, "",0),AND( F90="Sealant", I90="Roll-up Screen"), _xlfn.XLOOKUP(C90, calc_rusacc!$C$15:$C$65, calc_rusacc!$AF$15:$AF$65, "",0),  AND( F90="Main Chain", I90="Accordion Screen"), _xlfn.XLOOKUP(C90, calc_rusacc!$C$15:$C$65, calc_rusacc!$BF$15:$BF$65, "",0), AND( F90="Sealant", I90="Accordion Screen"), _xlfn.XLOOKUP(C90, calc_rusacc!$C$15:$C$65, calc_rusacc!$BJ$15:$BJ$65, "",0),  F90="Sealant", _xlfn.XLOOKUP(C90, dd_accsrycalc!$A$2:$A$51, dd_accsrycalc!$G$2:$G$51, "",0),  F90&lt;&gt;"",L90*_xlfn.XLOOKUP(1, (SKUs!$C$2:$C$10001=G90)*(SKUs!$K$2:$K$10001=I90),SKUs!$E$2:$E$10001)), 0),"")</f>
        <v/>
      </c>
      <c r="E90" s="35" t="str">
        <f>_xlfn.XLOOKUP(F90,dd_item!$B$2:$B$105,dd_item!$C$2:$C$105,"",0)</f>
        <v/>
      </c>
      <c r="F90" s="35"/>
      <c r="G90" s="35" cm="1">
        <f t="array" ref="G90">IFERROR(_xlfn.XLOOKUP(1, (SKUs!$J$2:$J$10001=accsry_unmerged!F90)*IF(H90&lt;&gt;"",(SKUs!$L$2:$L$10001=accsry_unmerged!H90),1)*(SKUs!$K$2:$K$10001=I90),SKUs!$C$2:$C$10001),"")</f>
        <v>0</v>
      </c>
      <c r="H90" s="36" cm="1">
        <f t="array" ref="H90">IFERROR(_xlfn.XLOOKUP(1, (dd_accsryclr!$C$2:$C$1000=accsry_unmerged!F90)*(dd_accsryclr!$B$2:$B$1000=accsry_unmerged!J90),dd_accsryclr!$A$2:$A$1000),"")</f>
        <v>0</v>
      </c>
      <c r="I90" s="35">
        <f>_xlfn.XLOOKUP(C90,'Project Details'!$C$17:$C$66,'Project Details'!$E$17:$E$66,"",0)</f>
        <v>0</v>
      </c>
      <c r="J90" s="35">
        <f>_xlfn.XLOOKUP(C90,'Project Details'!$C$17:$C$66,'Project Details'!$H$17:$H$66,"",0)</f>
        <v>0</v>
      </c>
      <c r="K90" s="36" t="str">
        <f>IF(AND(_xlfn.XLOOKUP(C90,'Project Details'!$C$17:$C$66,'Project Details'!$L$17:$L$66,"",0)&gt;550, F90="Spring-L27cm"),"",SUBSTITUTE(_xlfn.XLOOKUP(G90,SKUs!$C$2:$C$10001,SKUs!$F$2:$F$10001,"",0), " Accessories",""))</f>
        <v/>
      </c>
      <c r="L90" s="36">
        <f>_xlfn.XLOOKUP(C90,'Project Details'!$C$17:$C$66,'Project Details'!$D$17:$D$66,"",0)</f>
        <v>0</v>
      </c>
      <c r="M90" s="43"/>
    </row>
    <row r="91" spans="1:13" ht="13.5" customHeight="1" x14ac:dyDescent="0.25">
      <c r="A91" s="43"/>
      <c r="B91" s="43"/>
      <c r="C91" s="16">
        <f t="shared" si="0"/>
        <v>2</v>
      </c>
      <c r="D91" s="16" t="str" cm="1">
        <f t="array" ref="D91">IFERROR(ROUNDUP(_xlfn.IFS(F91="Aluminum Track", _xlfn.XLOOKUP(C91, dd_accsrycalc!$A$2:$A$51, dd_accsrycalc!$B$2:$B$51, "",0), F91="10 x 2 1/2 S (Flat)", _xlfn.XLOOKUP(C91, dd_accsrycalc!$A$2:$A$51, dd_accsrycalc!$C$2:$C$51, "",0), F91="Tox6", _xlfn.XLOOKUP(C91, dd_accsrycalc!$A$2:$A$51, dd_accsrycalc!$D$2:$D$51, "",0), F91="Cover Cap", _xlfn.XLOOKUP(C91, dd_accsrycalc!$A$2:$A$51, dd_accsrycalc!$E$2:$E$51, "",0), F91="Drainage Cover", _xlfn.XLOOKUP(C91, dd_accsrycalc!$A$2:$A$51, dd_accsrycalc!$F$2:$F$51, "",0),AND( F91="Double Adhesive Tape", I91="Roll-up Screen"), _xlfn.XLOOKUP(C91, calc_rusacc!$C$15:$C$65, calc_rusacc!$AD$15:$AD$65, "",0),AND( F91="Sealant", I91="Roll-up Screen"), _xlfn.XLOOKUP(C91, calc_rusacc!$C$15:$C$65, calc_rusacc!$AF$15:$AF$65, "",0),  AND( F91="Main Chain", I91="Accordion Screen"), _xlfn.XLOOKUP(C91, calc_rusacc!$C$15:$C$65, calc_rusacc!$BF$15:$BF$65, "",0), AND( F91="Sealant", I91="Accordion Screen"), _xlfn.XLOOKUP(C91, calc_rusacc!$C$15:$C$65, calc_rusacc!$BJ$15:$BJ$65, "",0),  F91="Sealant", _xlfn.XLOOKUP(C91, dd_accsrycalc!$A$2:$A$51, dd_accsrycalc!$G$2:$G$51, "",0),  F91&lt;&gt;"",L91*_xlfn.XLOOKUP(1, (SKUs!$C$2:$C$10001=G91)*(SKUs!$K$2:$K$10001=I91),SKUs!$E$2:$E$10001)), 0),"")</f>
        <v/>
      </c>
      <c r="E91" s="16" t="str">
        <f>_xlfn.XLOOKUP(F91,dd_item!$B$2:$B$105,dd_item!$C$2:$C$105,"",0)</f>
        <v/>
      </c>
      <c r="F91" s="16"/>
      <c r="G91" s="16" cm="1">
        <f t="array" ref="G91">IFERROR(_xlfn.XLOOKUP(1, (SKUs!$J$2:$J$10001=accsry_unmerged!F91)*IF(H91&lt;&gt;"",(SKUs!$L$2:$L$10001=accsry_unmerged!H91),1)*(SKUs!$K$2:$K$10001=I91),SKUs!$C$2:$C$10001),"")</f>
        <v>0</v>
      </c>
      <c r="H91" s="33" cm="1">
        <f t="array" ref="H91">IFERROR(_xlfn.XLOOKUP(1, (dd_accsryclr!$C$2:$C$1000=accsry_unmerged!F91)*(dd_accsryclr!$B$2:$B$1000=accsry_unmerged!J91),dd_accsryclr!$A$2:$A$1000),"")</f>
        <v>0</v>
      </c>
      <c r="I91" s="16">
        <f>_xlfn.XLOOKUP(C91,'Project Details'!$C$17:$C$66,'Project Details'!$E$17:$E$66,"",0)</f>
        <v>0</v>
      </c>
      <c r="J91" s="16">
        <f>_xlfn.XLOOKUP(C91,'Project Details'!$C$17:$C$66,'Project Details'!$H$17:$H$66,"",0)</f>
        <v>0</v>
      </c>
      <c r="K91" s="33" t="str">
        <f>IF(AND(_xlfn.XLOOKUP(C91,'Project Details'!$C$17:$C$66,'Project Details'!$L$17:$L$66,"",0)&gt;550, F91="Spring-L27cm"),"",SUBSTITUTE(_xlfn.XLOOKUP(G91,SKUs!$C$2:$C$10001,SKUs!$F$2:$F$10001,"",0), " Accessories",""))</f>
        <v/>
      </c>
      <c r="L91" s="33">
        <f>_xlfn.XLOOKUP(C91,'Project Details'!$C$17:$C$66,'Project Details'!$D$17:$D$66,"",0)</f>
        <v>0</v>
      </c>
      <c r="M91" s="43"/>
    </row>
    <row r="92" spans="1:13" ht="13.5" customHeight="1" x14ac:dyDescent="0.25">
      <c r="A92" s="43"/>
      <c r="B92" s="43"/>
      <c r="C92" s="35">
        <f t="shared" si="0"/>
        <v>2</v>
      </c>
      <c r="D92" s="35" t="str" cm="1">
        <f t="array" ref="D92">IFERROR(ROUNDUP(_xlfn.IFS(F92="Aluminum Track", _xlfn.XLOOKUP(C92, dd_accsrycalc!$A$2:$A$51, dd_accsrycalc!$B$2:$B$51, "",0), F92="10 x 2 1/2 S (Flat)", _xlfn.XLOOKUP(C92, dd_accsrycalc!$A$2:$A$51, dd_accsrycalc!$C$2:$C$51, "",0), F92="Tox6", _xlfn.XLOOKUP(C92, dd_accsrycalc!$A$2:$A$51, dd_accsrycalc!$D$2:$D$51, "",0), F92="Cover Cap", _xlfn.XLOOKUP(C92, dd_accsrycalc!$A$2:$A$51, dd_accsrycalc!$E$2:$E$51, "",0), F92="Drainage Cover", _xlfn.XLOOKUP(C92, dd_accsrycalc!$A$2:$A$51, dd_accsrycalc!$F$2:$F$51, "",0),AND( F92="Double Adhesive Tape", I92="Roll-up Screen"), _xlfn.XLOOKUP(C92, calc_rusacc!$C$15:$C$65, calc_rusacc!$AD$15:$AD$65, "",0),AND( F92="Sealant", I92="Roll-up Screen"), _xlfn.XLOOKUP(C92, calc_rusacc!$C$15:$C$65, calc_rusacc!$AF$15:$AF$65, "",0),  AND( F92="Main Chain", I92="Accordion Screen"), _xlfn.XLOOKUP(C92, calc_rusacc!$C$15:$C$65, calc_rusacc!$BF$15:$BF$65, "",0), AND( F92="Sealant", I92="Accordion Screen"), _xlfn.XLOOKUP(C92, calc_rusacc!$C$15:$C$65, calc_rusacc!$BJ$15:$BJ$65, "",0),  F92="Sealant", _xlfn.XLOOKUP(C92, dd_accsrycalc!$A$2:$A$51, dd_accsrycalc!$G$2:$G$51, "",0),  F92&lt;&gt;"",L92*_xlfn.XLOOKUP(1, (SKUs!$C$2:$C$10001=G92)*(SKUs!$K$2:$K$10001=I92),SKUs!$E$2:$E$10001)), 0),"")</f>
        <v/>
      </c>
      <c r="E92" s="35" t="str">
        <f>_xlfn.XLOOKUP(F92,dd_item!$B$2:$B$105,dd_item!$C$2:$C$105,"",0)</f>
        <v/>
      </c>
      <c r="F92" s="35"/>
      <c r="G92" s="35" cm="1">
        <f t="array" ref="G92">IFERROR(_xlfn.XLOOKUP(1, (SKUs!$J$2:$J$10001=accsry_unmerged!F92)*IF(H92&lt;&gt;"",(SKUs!$L$2:$L$10001=accsry_unmerged!H92),1)*(SKUs!$K$2:$K$10001=I92),SKUs!$C$2:$C$10001),"")</f>
        <v>0</v>
      </c>
      <c r="H92" s="36" cm="1">
        <f t="array" ref="H92">IFERROR(_xlfn.XLOOKUP(1, (dd_accsryclr!$C$2:$C$1000=accsry_unmerged!F92)*(dd_accsryclr!$B$2:$B$1000=accsry_unmerged!J92),dd_accsryclr!$A$2:$A$1000),"")</f>
        <v>0</v>
      </c>
      <c r="I92" s="35">
        <f>_xlfn.XLOOKUP(C92,'Project Details'!$C$17:$C$66,'Project Details'!$E$17:$E$66,"",0)</f>
        <v>0</v>
      </c>
      <c r="J92" s="35">
        <f>_xlfn.XLOOKUP(C92,'Project Details'!$C$17:$C$66,'Project Details'!$H$17:$H$66,"",0)</f>
        <v>0</v>
      </c>
      <c r="K92" s="36" t="str">
        <f>IF(AND(_xlfn.XLOOKUP(C92,'Project Details'!$C$17:$C$66,'Project Details'!$L$17:$L$66,"",0)&gt;550, F92="Spring-L27cm"),"",SUBSTITUTE(_xlfn.XLOOKUP(G92,SKUs!$C$2:$C$10001,SKUs!$F$2:$F$10001,"",0), " Accessories",""))</f>
        <v/>
      </c>
      <c r="L92" s="36">
        <f>_xlfn.XLOOKUP(C92,'Project Details'!$C$17:$C$66,'Project Details'!$D$17:$D$66,"",0)</f>
        <v>0</v>
      </c>
      <c r="M92" s="43"/>
    </row>
    <row r="93" spans="1:13" ht="13.5" customHeight="1" x14ac:dyDescent="0.25">
      <c r="A93" s="43"/>
      <c r="B93" s="43"/>
      <c r="C93" s="16">
        <f t="shared" si="0"/>
        <v>2</v>
      </c>
      <c r="D93" s="16" t="str" cm="1">
        <f t="array" ref="D93">IFERROR(ROUNDUP(_xlfn.IFS(F93="Aluminum Track", _xlfn.XLOOKUP(C93, dd_accsrycalc!$A$2:$A$51, dd_accsrycalc!$B$2:$B$51, "",0), F93="10 x 2 1/2 S (Flat)", _xlfn.XLOOKUP(C93, dd_accsrycalc!$A$2:$A$51, dd_accsrycalc!$C$2:$C$51, "",0), F93="Tox6", _xlfn.XLOOKUP(C93, dd_accsrycalc!$A$2:$A$51, dd_accsrycalc!$D$2:$D$51, "",0), F93="Cover Cap", _xlfn.XLOOKUP(C93, dd_accsrycalc!$A$2:$A$51, dd_accsrycalc!$E$2:$E$51, "",0), F93="Drainage Cover", _xlfn.XLOOKUP(C93, dd_accsrycalc!$A$2:$A$51, dd_accsrycalc!$F$2:$F$51, "",0),AND( F93="Double Adhesive Tape", I93="Roll-up Screen"), _xlfn.XLOOKUP(C93, calc_rusacc!$C$15:$C$65, calc_rusacc!$AD$15:$AD$65, "",0),AND( F93="Sealant", I93="Roll-up Screen"), _xlfn.XLOOKUP(C93, calc_rusacc!$C$15:$C$65, calc_rusacc!$AF$15:$AF$65, "",0),  AND( F93="Main Chain", I93="Accordion Screen"), _xlfn.XLOOKUP(C93, calc_rusacc!$C$15:$C$65, calc_rusacc!$BF$15:$BF$65, "",0), AND( F93="Sealant", I93="Accordion Screen"), _xlfn.XLOOKUP(C93, calc_rusacc!$C$15:$C$65, calc_rusacc!$BJ$15:$BJ$65, "",0),  F93="Sealant", _xlfn.XLOOKUP(C93, dd_accsrycalc!$A$2:$A$51, dd_accsrycalc!$G$2:$G$51, "",0),  F93&lt;&gt;"",L93*_xlfn.XLOOKUP(1, (SKUs!$C$2:$C$10001=G93)*(SKUs!$K$2:$K$10001=I93),SKUs!$E$2:$E$10001)), 0),"")</f>
        <v/>
      </c>
      <c r="E93" s="16" t="str">
        <f>_xlfn.XLOOKUP(F93,dd_item!$B$2:$B$105,dd_item!$C$2:$C$105,"",0)</f>
        <v/>
      </c>
      <c r="F93" s="16"/>
      <c r="G93" s="16" cm="1">
        <f t="array" ref="G93">IFERROR(_xlfn.XLOOKUP(1, (SKUs!$J$2:$J$10001=accsry_unmerged!F93)*IF(H93&lt;&gt;"",(SKUs!$L$2:$L$10001=accsry_unmerged!H93),1)*(SKUs!$K$2:$K$10001=I93),SKUs!$C$2:$C$10001),"")</f>
        <v>0</v>
      </c>
      <c r="H93" s="33" cm="1">
        <f t="array" ref="H93">IFERROR(_xlfn.XLOOKUP(1, (dd_accsryclr!$C$2:$C$1000=accsry_unmerged!F93)*(dd_accsryclr!$B$2:$B$1000=accsry_unmerged!J93),dd_accsryclr!$A$2:$A$1000),"")</f>
        <v>0</v>
      </c>
      <c r="I93" s="16">
        <f>_xlfn.XLOOKUP(C93,'Project Details'!$C$17:$C$66,'Project Details'!$E$17:$E$66,"",0)</f>
        <v>0</v>
      </c>
      <c r="J93" s="16">
        <f>_xlfn.XLOOKUP(C93,'Project Details'!$C$17:$C$66,'Project Details'!$H$17:$H$66,"",0)</f>
        <v>0</v>
      </c>
      <c r="K93" s="33" t="str">
        <f>IF(AND(_xlfn.XLOOKUP(C93,'Project Details'!$C$17:$C$66,'Project Details'!$L$17:$L$66,"",0)&gt;550, F93="Spring-L27cm"),"",SUBSTITUTE(_xlfn.XLOOKUP(G93,SKUs!$C$2:$C$10001,SKUs!$F$2:$F$10001,"",0), " Accessories",""))</f>
        <v/>
      </c>
      <c r="L93" s="33">
        <f>_xlfn.XLOOKUP(C93,'Project Details'!$C$17:$C$66,'Project Details'!$D$17:$D$66,"",0)</f>
        <v>0</v>
      </c>
      <c r="M93" s="43"/>
    </row>
    <row r="94" spans="1:13" ht="13.5" customHeight="1" x14ac:dyDescent="0.25">
      <c r="A94" s="43"/>
      <c r="B94" s="43"/>
      <c r="C94" s="35">
        <f t="shared" si="0"/>
        <v>2</v>
      </c>
      <c r="D94" s="35" t="str" cm="1">
        <f t="array" ref="D94">IFERROR(ROUNDUP(_xlfn.IFS(F94="Aluminum Track", _xlfn.XLOOKUP(C94, dd_accsrycalc!$A$2:$A$51, dd_accsrycalc!$B$2:$B$51, "",0), F94="10 x 2 1/2 S (Flat)", _xlfn.XLOOKUP(C94, dd_accsrycalc!$A$2:$A$51, dd_accsrycalc!$C$2:$C$51, "",0), F94="Tox6", _xlfn.XLOOKUP(C94, dd_accsrycalc!$A$2:$A$51, dd_accsrycalc!$D$2:$D$51, "",0), F94="Cover Cap", _xlfn.XLOOKUP(C94, dd_accsrycalc!$A$2:$A$51, dd_accsrycalc!$E$2:$E$51, "",0), F94="Drainage Cover", _xlfn.XLOOKUP(C94, dd_accsrycalc!$A$2:$A$51, dd_accsrycalc!$F$2:$F$51, "",0),AND( F94="Double Adhesive Tape", I94="Roll-up Screen"), _xlfn.XLOOKUP(C94, calc_rusacc!$C$15:$C$65, calc_rusacc!$AD$15:$AD$65, "",0),AND( F94="Sealant", I94="Roll-up Screen"), _xlfn.XLOOKUP(C94, calc_rusacc!$C$15:$C$65, calc_rusacc!$AF$15:$AF$65, "",0),  AND( F94="Main Chain", I94="Accordion Screen"), _xlfn.XLOOKUP(C94, calc_rusacc!$C$15:$C$65, calc_rusacc!$BF$15:$BF$65, "",0), AND( F94="Sealant", I94="Accordion Screen"), _xlfn.XLOOKUP(C94, calc_rusacc!$C$15:$C$65, calc_rusacc!$BJ$15:$BJ$65, "",0),  F94="Sealant", _xlfn.XLOOKUP(C94, dd_accsrycalc!$A$2:$A$51, dd_accsrycalc!$G$2:$G$51, "",0),  F94&lt;&gt;"",L94*_xlfn.XLOOKUP(1, (SKUs!$C$2:$C$10001=G94)*(SKUs!$K$2:$K$10001=I94),SKUs!$E$2:$E$10001)), 0),"")</f>
        <v/>
      </c>
      <c r="E94" s="35" t="str">
        <f>_xlfn.XLOOKUP(F94,dd_item!$B$2:$B$105,dd_item!$C$2:$C$105,"",0)</f>
        <v/>
      </c>
      <c r="F94" s="35"/>
      <c r="G94" s="35" cm="1">
        <f t="array" ref="G94">IFERROR(_xlfn.XLOOKUP(1, (SKUs!$J$2:$J$10001=accsry_unmerged!F94)*IF(H94&lt;&gt;"",(SKUs!$L$2:$L$10001=accsry_unmerged!H94),1)*(SKUs!$K$2:$K$10001=I94),SKUs!$C$2:$C$10001),"")</f>
        <v>0</v>
      </c>
      <c r="H94" s="36" cm="1">
        <f t="array" ref="H94">IFERROR(_xlfn.XLOOKUP(1, (dd_accsryclr!$C$2:$C$1000=accsry_unmerged!F94)*(dd_accsryclr!$B$2:$B$1000=accsry_unmerged!J94),dd_accsryclr!$A$2:$A$1000),"")</f>
        <v>0</v>
      </c>
      <c r="I94" s="35">
        <f>_xlfn.XLOOKUP(C94,'Project Details'!$C$17:$C$66,'Project Details'!$E$17:$E$66,"",0)</f>
        <v>0</v>
      </c>
      <c r="J94" s="35">
        <f>_xlfn.XLOOKUP(C94,'Project Details'!$C$17:$C$66,'Project Details'!$H$17:$H$66,"",0)</f>
        <v>0</v>
      </c>
      <c r="K94" s="36" t="str">
        <f>IF(AND(_xlfn.XLOOKUP(C94,'Project Details'!$C$17:$C$66,'Project Details'!$L$17:$L$66,"",0)&gt;550, F94="Spring-L27cm"),"",SUBSTITUTE(_xlfn.XLOOKUP(G94,SKUs!$C$2:$C$10001,SKUs!$F$2:$F$10001,"",0), " Accessories",""))</f>
        <v/>
      </c>
      <c r="L94" s="36">
        <f>_xlfn.XLOOKUP(C94,'Project Details'!$C$17:$C$66,'Project Details'!$D$17:$D$66,"",0)</f>
        <v>0</v>
      </c>
      <c r="M94" s="43"/>
    </row>
    <row r="95" spans="1:13" ht="13.5" customHeight="1" outlineLevel="1" x14ac:dyDescent="0.25">
      <c r="A95" s="43"/>
      <c r="B95" s="43"/>
      <c r="C95" s="16">
        <f t="shared" si="0"/>
        <v>2</v>
      </c>
      <c r="D95" s="16" t="str" cm="1">
        <f t="array" ref="D95">IFERROR(ROUNDUP(_xlfn.IFS(F95="Aluminum Track", _xlfn.XLOOKUP(C95, dd_accsrycalc!$A$2:$A$51, dd_accsrycalc!$B$2:$B$51, "",0), F95="10 x 2 1/2 S (Flat)", _xlfn.XLOOKUP(C95, dd_accsrycalc!$A$2:$A$51, dd_accsrycalc!$C$2:$C$51, "",0), F95="Tox6", _xlfn.XLOOKUP(C95, dd_accsrycalc!$A$2:$A$51, dd_accsrycalc!$D$2:$D$51, "",0), F95="Cover Cap", _xlfn.XLOOKUP(C95, dd_accsrycalc!$A$2:$A$51, dd_accsrycalc!$E$2:$E$51, "",0), F95="Drainage Cover", _xlfn.XLOOKUP(C95, dd_accsrycalc!$A$2:$A$51, dd_accsrycalc!$F$2:$F$51, "",0),AND( F95="Double Adhesive Tape", I95="Roll-up Screen"), _xlfn.XLOOKUP(C95, calc_rusacc!$C$15:$C$65, calc_rusacc!$AD$15:$AD$65, "",0),AND( F95="Sealant", I95="Roll-up Screen"), _xlfn.XLOOKUP(C95, calc_rusacc!$C$15:$C$65, calc_rusacc!$AF$15:$AF$65, "",0),  AND( F95="Main Chain", I95="Accordion Screen"), _xlfn.XLOOKUP(C95, calc_rusacc!$C$15:$C$65, calc_rusacc!$BF$15:$BF$65, "",0), AND( F95="Sealant", I95="Accordion Screen"), _xlfn.XLOOKUP(C95, calc_rusacc!$C$15:$C$65, calc_rusacc!$BJ$15:$BJ$65, "",0),  F95="Sealant", _xlfn.XLOOKUP(C95, dd_accsrycalc!$A$2:$A$51, dd_accsrycalc!$G$2:$G$51, "",0),  F95&lt;&gt;"",L95*_xlfn.XLOOKUP(1, (SKUs!$C$2:$C$10001=G95)*(SKUs!$K$2:$K$10001=I95),SKUs!$E$2:$E$10001)), 0),"")</f>
        <v/>
      </c>
      <c r="E95" s="16" t="str">
        <f>_xlfn.XLOOKUP(F95,dd_item!$B$2:$B$105,dd_item!$C$2:$C$105,"",0)</f>
        <v/>
      </c>
      <c r="F95" s="16"/>
      <c r="G95" s="16" cm="1">
        <f t="array" ref="G95">IFERROR(_xlfn.XLOOKUP(1, (SKUs!$J$2:$J$10001=accsry_unmerged!F95)*IF(H95&lt;&gt;"",(SKUs!$L$2:$L$10001=accsry_unmerged!H95),1)*(SKUs!$K$2:$K$10001=I95),SKUs!$C$2:$C$10001),"")</f>
        <v>0</v>
      </c>
      <c r="H95" s="33" cm="1">
        <f t="array" ref="H95">IFERROR(_xlfn.XLOOKUP(1, (dd_accsryclr!$C$2:$C$1000=accsry_unmerged!F95)*(dd_accsryclr!$B$2:$B$1000=accsry_unmerged!J95),dd_accsryclr!$A$2:$A$1000),"")</f>
        <v>0</v>
      </c>
      <c r="I95" s="16">
        <f>_xlfn.XLOOKUP(C95,'Project Details'!$C$17:$C$66,'Project Details'!$E$17:$E$66,"",0)</f>
        <v>0</v>
      </c>
      <c r="J95" s="16">
        <f>_xlfn.XLOOKUP(C95,'Project Details'!$C$17:$C$66,'Project Details'!$H$17:$H$66,"",0)</f>
        <v>0</v>
      </c>
      <c r="K95" s="33" t="str">
        <f>IF(AND(_xlfn.XLOOKUP(C95,'Project Details'!$C$17:$C$66,'Project Details'!$L$17:$L$66,"",0)&gt;550, F95="Spring-L27cm"),"",SUBSTITUTE(_xlfn.XLOOKUP(G95,SKUs!$C$2:$C$10001,SKUs!$F$2:$F$10001,"",0), " Accessories",""))</f>
        <v/>
      </c>
      <c r="L95" s="33">
        <f>_xlfn.XLOOKUP(C95,'Project Details'!$C$17:$C$66,'Project Details'!$D$17:$D$66,"",0)</f>
        <v>0</v>
      </c>
      <c r="M95" s="43"/>
    </row>
    <row r="96" spans="1:13" ht="13.5" customHeight="1" outlineLevel="1" x14ac:dyDescent="0.25">
      <c r="A96" s="43"/>
      <c r="B96" s="43"/>
      <c r="C96" s="35">
        <f t="shared" si="0"/>
        <v>2</v>
      </c>
      <c r="D96" s="35" t="str" cm="1">
        <f t="array" ref="D96">IFERROR(ROUNDUP(_xlfn.IFS(F96="Aluminum Track", _xlfn.XLOOKUP(C96, dd_accsrycalc!$A$2:$A$51, dd_accsrycalc!$B$2:$B$51, "",0), F96="10 x 2 1/2 S (Flat)", _xlfn.XLOOKUP(C96, dd_accsrycalc!$A$2:$A$51, dd_accsrycalc!$C$2:$C$51, "",0), F96="Tox6", _xlfn.XLOOKUP(C96, dd_accsrycalc!$A$2:$A$51, dd_accsrycalc!$D$2:$D$51, "",0), F96="Cover Cap", _xlfn.XLOOKUP(C96, dd_accsrycalc!$A$2:$A$51, dd_accsrycalc!$E$2:$E$51, "",0), F96="Drainage Cover", _xlfn.XLOOKUP(C96, dd_accsrycalc!$A$2:$A$51, dd_accsrycalc!$F$2:$F$51, "",0),AND( F96="Double Adhesive Tape", I96="Roll-up Screen"), _xlfn.XLOOKUP(C96, calc_rusacc!$C$15:$C$65, calc_rusacc!$AD$15:$AD$65, "",0),AND( F96="Sealant", I96="Roll-up Screen"), _xlfn.XLOOKUP(C96, calc_rusacc!$C$15:$C$65, calc_rusacc!$AF$15:$AF$65, "",0),  AND( F96="Main Chain", I96="Accordion Screen"), _xlfn.XLOOKUP(C96, calc_rusacc!$C$15:$C$65, calc_rusacc!$BF$15:$BF$65, "",0), AND( F96="Sealant", I96="Accordion Screen"), _xlfn.XLOOKUP(C96, calc_rusacc!$C$15:$C$65, calc_rusacc!$BJ$15:$BJ$65, "",0),  F96="Sealant", _xlfn.XLOOKUP(C96, dd_accsrycalc!$A$2:$A$51, dd_accsrycalc!$G$2:$G$51, "",0),  F96&lt;&gt;"",L96*_xlfn.XLOOKUP(1, (SKUs!$C$2:$C$10001=G96)*(SKUs!$K$2:$K$10001=I96),SKUs!$E$2:$E$10001)), 0),"")</f>
        <v/>
      </c>
      <c r="E96" s="35" t="str">
        <f>_xlfn.XLOOKUP(F96,dd_item!$B$2:$B$105,dd_item!$C$2:$C$105,"",0)</f>
        <v/>
      </c>
      <c r="F96" s="35"/>
      <c r="G96" s="35" cm="1">
        <f t="array" ref="G96">IFERROR(_xlfn.XLOOKUP(1, (SKUs!$J$2:$J$10001=accsry_unmerged!F96)*IF(H96&lt;&gt;"",(SKUs!$L$2:$L$10001=accsry_unmerged!H96),1)*(SKUs!$K$2:$K$10001=I96),SKUs!$C$2:$C$10001),"")</f>
        <v>0</v>
      </c>
      <c r="H96" s="36" cm="1">
        <f t="array" ref="H96">IFERROR(_xlfn.XLOOKUP(1, (dd_accsryclr!$C$2:$C$1000=accsry_unmerged!F96)*(dd_accsryclr!$B$2:$B$1000=accsry_unmerged!J96),dd_accsryclr!$A$2:$A$1000),"")</f>
        <v>0</v>
      </c>
      <c r="I96" s="35">
        <f>_xlfn.XLOOKUP(C96,'Project Details'!$C$17:$C$66,'Project Details'!$E$17:$E$66,"",0)</f>
        <v>0</v>
      </c>
      <c r="J96" s="35">
        <f>_xlfn.XLOOKUP(C96,'Project Details'!$C$17:$C$66,'Project Details'!$H$17:$H$66,"",0)</f>
        <v>0</v>
      </c>
      <c r="K96" s="36" t="str">
        <f>IF(AND(_xlfn.XLOOKUP(C96,'Project Details'!$C$17:$C$66,'Project Details'!$L$17:$L$66,"",0)&gt;550, F96="Spring-L27cm"),"",SUBSTITUTE(_xlfn.XLOOKUP(G96,SKUs!$C$2:$C$10001,SKUs!$F$2:$F$10001,"",0), " Accessories",""))</f>
        <v/>
      </c>
      <c r="L96" s="36">
        <f>_xlfn.XLOOKUP(C96,'Project Details'!$C$17:$C$66,'Project Details'!$D$17:$D$66,"",0)</f>
        <v>0</v>
      </c>
      <c r="M96" s="43"/>
    </row>
    <row r="97" spans="1:13" ht="13.5" customHeight="1" outlineLevel="1" x14ac:dyDescent="0.25">
      <c r="A97" s="43"/>
      <c r="B97" s="43"/>
      <c r="C97" s="16">
        <f t="shared" si="0"/>
        <v>2</v>
      </c>
      <c r="D97" s="16" t="str" cm="1">
        <f t="array" ref="D97">IFERROR(ROUNDUP(_xlfn.IFS(F97="Aluminum Track", _xlfn.XLOOKUP(C97, dd_accsrycalc!$A$2:$A$51, dd_accsrycalc!$B$2:$B$51, "",0), F97="10 x 2 1/2 S (Flat)", _xlfn.XLOOKUP(C97, dd_accsrycalc!$A$2:$A$51, dd_accsrycalc!$C$2:$C$51, "",0), F97="Tox6", _xlfn.XLOOKUP(C97, dd_accsrycalc!$A$2:$A$51, dd_accsrycalc!$D$2:$D$51, "",0), F97="Cover Cap", _xlfn.XLOOKUP(C97, dd_accsrycalc!$A$2:$A$51, dd_accsrycalc!$E$2:$E$51, "",0), F97="Drainage Cover", _xlfn.XLOOKUP(C97, dd_accsrycalc!$A$2:$A$51, dd_accsrycalc!$F$2:$F$51, "",0),AND( F97="Double Adhesive Tape", I97="Roll-up Screen"), _xlfn.XLOOKUP(C97, calc_rusacc!$C$15:$C$65, calc_rusacc!$AD$15:$AD$65, "",0),AND( F97="Sealant", I97="Roll-up Screen"), _xlfn.XLOOKUP(C97, calc_rusacc!$C$15:$C$65, calc_rusacc!$AF$15:$AF$65, "",0),  AND( F97="Main Chain", I97="Accordion Screen"), _xlfn.XLOOKUP(C97, calc_rusacc!$C$15:$C$65, calc_rusacc!$BF$15:$BF$65, "",0), AND( F97="Sealant", I97="Accordion Screen"), _xlfn.XLOOKUP(C97, calc_rusacc!$C$15:$C$65, calc_rusacc!$BJ$15:$BJ$65, "",0),  F97="Sealant", _xlfn.XLOOKUP(C97, dd_accsrycalc!$A$2:$A$51, dd_accsrycalc!$G$2:$G$51, "",0),  F97&lt;&gt;"",L97*_xlfn.XLOOKUP(1, (SKUs!$C$2:$C$10001=G97)*(SKUs!$K$2:$K$10001=I97),SKUs!$E$2:$E$10001)), 0),"")</f>
        <v/>
      </c>
      <c r="E97" s="16" t="str">
        <f>_xlfn.XLOOKUP(F97,dd_item!$B$2:$B$105,dd_item!$C$2:$C$105,"",0)</f>
        <v/>
      </c>
      <c r="F97" s="16"/>
      <c r="G97" s="16" cm="1">
        <f t="array" ref="G97">IFERROR(_xlfn.XLOOKUP(1, (SKUs!$J$2:$J$10001=accsry_unmerged!F97)*IF(H97&lt;&gt;"",(SKUs!$L$2:$L$10001=accsry_unmerged!H97),1)*(SKUs!$K$2:$K$10001=I97),SKUs!$C$2:$C$10001),"")</f>
        <v>0</v>
      </c>
      <c r="H97" s="33" cm="1">
        <f t="array" ref="H97">IFERROR(_xlfn.XLOOKUP(1, (dd_accsryclr!$C$2:$C$1000=accsry_unmerged!F97)*(dd_accsryclr!$B$2:$B$1000=accsry_unmerged!J97),dd_accsryclr!$A$2:$A$1000),"")</f>
        <v>0</v>
      </c>
      <c r="I97" s="16">
        <f>_xlfn.XLOOKUP(C97,'Project Details'!$C$17:$C$66,'Project Details'!$E$17:$E$66,"",0)</f>
        <v>0</v>
      </c>
      <c r="J97" s="16">
        <f>_xlfn.XLOOKUP(C97,'Project Details'!$C$17:$C$66,'Project Details'!$H$17:$H$66,"",0)</f>
        <v>0</v>
      </c>
      <c r="K97" s="33" t="str">
        <f>IF(AND(_xlfn.XLOOKUP(C97,'Project Details'!$C$17:$C$66,'Project Details'!$L$17:$L$66,"",0)&gt;550, F97="Spring-L27cm"),"",SUBSTITUTE(_xlfn.XLOOKUP(G97,SKUs!$C$2:$C$10001,SKUs!$F$2:$F$10001,"",0), " Accessories",""))</f>
        <v/>
      </c>
      <c r="L97" s="33">
        <f>_xlfn.XLOOKUP(C97,'Project Details'!$C$17:$C$66,'Project Details'!$D$17:$D$66,"",0)</f>
        <v>0</v>
      </c>
      <c r="M97" s="43"/>
    </row>
    <row r="98" spans="1:13" ht="13.5" customHeight="1" outlineLevel="1" x14ac:dyDescent="0.25">
      <c r="A98" s="43"/>
      <c r="B98" s="43"/>
      <c r="C98" s="35">
        <f t="shared" si="0"/>
        <v>2</v>
      </c>
      <c r="D98" s="35" t="str" cm="1">
        <f t="array" ref="D98">IFERROR(ROUNDUP(_xlfn.IFS(F98="Aluminum Track", _xlfn.XLOOKUP(C98, dd_accsrycalc!$A$2:$A$51, dd_accsrycalc!$B$2:$B$51, "",0), F98="10 x 2 1/2 S (Flat)", _xlfn.XLOOKUP(C98, dd_accsrycalc!$A$2:$A$51, dd_accsrycalc!$C$2:$C$51, "",0), F98="Tox6", _xlfn.XLOOKUP(C98, dd_accsrycalc!$A$2:$A$51, dd_accsrycalc!$D$2:$D$51, "",0), F98="Cover Cap", _xlfn.XLOOKUP(C98, dd_accsrycalc!$A$2:$A$51, dd_accsrycalc!$E$2:$E$51, "",0), F98="Drainage Cover", _xlfn.XLOOKUP(C98, dd_accsrycalc!$A$2:$A$51, dd_accsrycalc!$F$2:$F$51, "",0),AND( F98="Double Adhesive Tape", I98="Roll-up Screen"), _xlfn.XLOOKUP(C98, calc_rusacc!$C$15:$C$65, calc_rusacc!$AD$15:$AD$65, "",0),AND( F98="Sealant", I98="Roll-up Screen"), _xlfn.XLOOKUP(C98, calc_rusacc!$C$15:$C$65, calc_rusacc!$AF$15:$AF$65, "",0),  AND( F98="Main Chain", I98="Accordion Screen"), _xlfn.XLOOKUP(C98, calc_rusacc!$C$15:$C$65, calc_rusacc!$BF$15:$BF$65, "",0), AND( F98="Sealant", I98="Accordion Screen"), _xlfn.XLOOKUP(C98, calc_rusacc!$C$15:$C$65, calc_rusacc!$BJ$15:$BJ$65, "",0),  F98="Sealant", _xlfn.XLOOKUP(C98, dd_accsrycalc!$A$2:$A$51, dd_accsrycalc!$G$2:$G$51, "",0),  F98&lt;&gt;"",L98*_xlfn.XLOOKUP(1, (SKUs!$C$2:$C$10001=G98)*(SKUs!$K$2:$K$10001=I98),SKUs!$E$2:$E$10001)), 0),"")</f>
        <v/>
      </c>
      <c r="E98" s="35" t="str">
        <f>_xlfn.XLOOKUP(F98,dd_item!$B$2:$B$105,dd_item!$C$2:$C$105,"",0)</f>
        <v/>
      </c>
      <c r="F98" s="35"/>
      <c r="G98" s="35" cm="1">
        <f t="array" ref="G98">IFERROR(_xlfn.XLOOKUP(1, (SKUs!$J$2:$J$10001=accsry_unmerged!F98)*IF(H98&lt;&gt;"",(SKUs!$L$2:$L$10001=accsry_unmerged!H98),1)*(SKUs!$K$2:$K$10001=I98),SKUs!$C$2:$C$10001),"")</f>
        <v>0</v>
      </c>
      <c r="H98" s="36" cm="1">
        <f t="array" ref="H98">IFERROR(_xlfn.XLOOKUP(1, (dd_accsryclr!$C$2:$C$1000=accsry_unmerged!F98)*(dd_accsryclr!$B$2:$B$1000=accsry_unmerged!J98),dd_accsryclr!$A$2:$A$1000),"")</f>
        <v>0</v>
      </c>
      <c r="I98" s="35">
        <f>_xlfn.XLOOKUP(C98,'Project Details'!$C$17:$C$66,'Project Details'!$E$17:$E$66,"",0)</f>
        <v>0</v>
      </c>
      <c r="J98" s="35">
        <f>_xlfn.XLOOKUP(C98,'Project Details'!$C$17:$C$66,'Project Details'!$H$17:$H$66,"",0)</f>
        <v>0</v>
      </c>
      <c r="K98" s="36" t="str">
        <f>IF(AND(_xlfn.XLOOKUP(C98,'Project Details'!$C$17:$C$66,'Project Details'!$L$17:$L$66,"",0)&gt;550, F98="Spring-L27cm"),"",SUBSTITUTE(_xlfn.XLOOKUP(G98,SKUs!$C$2:$C$10001,SKUs!$F$2:$F$10001,"",0), " Accessories",""))</f>
        <v/>
      </c>
      <c r="L98" s="36">
        <f>_xlfn.XLOOKUP(C98,'Project Details'!$C$17:$C$66,'Project Details'!$D$17:$D$66,"",0)</f>
        <v>0</v>
      </c>
      <c r="M98" s="43"/>
    </row>
    <row r="99" spans="1:13" ht="13.5" customHeight="1" outlineLevel="1" x14ac:dyDescent="0.25">
      <c r="A99" s="43"/>
      <c r="B99" s="43"/>
      <c r="C99" s="16">
        <f t="shared" si="0"/>
        <v>2</v>
      </c>
      <c r="D99" s="16" t="str" cm="1">
        <f t="array" ref="D99">IFERROR(ROUNDUP(_xlfn.IFS(F99="Aluminum Track", _xlfn.XLOOKUP(C99, dd_accsrycalc!$A$2:$A$51, dd_accsrycalc!$B$2:$B$51, "",0), F99="10 x 2 1/2 S (Flat)", _xlfn.XLOOKUP(C99, dd_accsrycalc!$A$2:$A$51, dd_accsrycalc!$C$2:$C$51, "",0), F99="Tox6", _xlfn.XLOOKUP(C99, dd_accsrycalc!$A$2:$A$51, dd_accsrycalc!$D$2:$D$51, "",0), F99="Cover Cap", _xlfn.XLOOKUP(C99, dd_accsrycalc!$A$2:$A$51, dd_accsrycalc!$E$2:$E$51, "",0), F99="Drainage Cover", _xlfn.XLOOKUP(C99, dd_accsrycalc!$A$2:$A$51, dd_accsrycalc!$F$2:$F$51, "",0),AND( F99="Double Adhesive Tape", I99="Roll-up Screen"), _xlfn.XLOOKUP(C99, calc_rusacc!$C$15:$C$65, calc_rusacc!$AD$15:$AD$65, "",0),AND( F99="Sealant", I99="Roll-up Screen"), _xlfn.XLOOKUP(C99, calc_rusacc!$C$15:$C$65, calc_rusacc!$AF$15:$AF$65, "",0),  AND( F99="Main Chain", I99="Accordion Screen"), _xlfn.XLOOKUP(C99, calc_rusacc!$C$15:$C$65, calc_rusacc!$BF$15:$BF$65, "",0), AND( F99="Sealant", I99="Accordion Screen"), _xlfn.XLOOKUP(C99, calc_rusacc!$C$15:$C$65, calc_rusacc!$BJ$15:$BJ$65, "",0),  F99="Sealant", _xlfn.XLOOKUP(C99, dd_accsrycalc!$A$2:$A$51, dd_accsrycalc!$G$2:$G$51, "",0),  F99&lt;&gt;"",L99*_xlfn.XLOOKUP(1, (SKUs!$C$2:$C$10001=G99)*(SKUs!$K$2:$K$10001=I99),SKUs!$E$2:$E$10001)), 0),"")</f>
        <v/>
      </c>
      <c r="E99" s="16" t="str">
        <f>_xlfn.XLOOKUP(F99,dd_item!$B$2:$B$105,dd_item!$C$2:$C$105,"",0)</f>
        <v/>
      </c>
      <c r="F99" s="16"/>
      <c r="G99" s="16" cm="1">
        <f t="array" ref="G99">IFERROR(_xlfn.XLOOKUP(1, (SKUs!$J$2:$J$10001=accsry_unmerged!F99)*IF(H99&lt;&gt;"",(SKUs!$L$2:$L$10001=accsry_unmerged!H99),1)*(SKUs!$K$2:$K$10001=I99),SKUs!$C$2:$C$10001),"")</f>
        <v>0</v>
      </c>
      <c r="H99" s="33" cm="1">
        <f t="array" ref="H99">IFERROR(_xlfn.XLOOKUP(1, (dd_accsryclr!$C$2:$C$1000=accsry_unmerged!F99)*(dd_accsryclr!$B$2:$B$1000=accsry_unmerged!J99),dd_accsryclr!$A$2:$A$1000),"")</f>
        <v>0</v>
      </c>
      <c r="I99" s="16">
        <f>_xlfn.XLOOKUP(C99,'Project Details'!$C$17:$C$66,'Project Details'!$E$17:$E$66,"",0)</f>
        <v>0</v>
      </c>
      <c r="J99" s="16">
        <f>_xlfn.XLOOKUP(C99,'Project Details'!$C$17:$C$66,'Project Details'!$H$17:$H$66,"",0)</f>
        <v>0</v>
      </c>
      <c r="K99" s="33" t="str">
        <f>IF(AND(_xlfn.XLOOKUP(C99,'Project Details'!$C$17:$C$66,'Project Details'!$L$17:$L$66,"",0)&gt;550, F99="Spring-L27cm"),"",SUBSTITUTE(_xlfn.XLOOKUP(G99,SKUs!$C$2:$C$10001,SKUs!$F$2:$F$10001,"",0), " Accessories",""))</f>
        <v/>
      </c>
      <c r="L99" s="33">
        <f>_xlfn.XLOOKUP(C99,'Project Details'!$C$17:$C$66,'Project Details'!$D$17:$D$66,"",0)</f>
        <v>0</v>
      </c>
      <c r="M99" s="43"/>
    </row>
    <row r="100" spans="1:13" ht="13.5" customHeight="1" outlineLevel="1" x14ac:dyDescent="0.25">
      <c r="A100" s="43"/>
      <c r="B100" s="43"/>
      <c r="C100" s="35">
        <f t="shared" si="0"/>
        <v>2</v>
      </c>
      <c r="D100" s="35" t="str" cm="1">
        <f t="array" ref="D100">IFERROR(ROUNDUP(_xlfn.IFS(F100="Aluminum Track", _xlfn.XLOOKUP(C100, dd_accsrycalc!$A$2:$A$51, dd_accsrycalc!$B$2:$B$51, "",0), F100="10 x 2 1/2 S (Flat)", _xlfn.XLOOKUP(C100, dd_accsrycalc!$A$2:$A$51, dd_accsrycalc!$C$2:$C$51, "",0), F100="Tox6", _xlfn.XLOOKUP(C100, dd_accsrycalc!$A$2:$A$51, dd_accsrycalc!$D$2:$D$51, "",0), F100="Cover Cap", _xlfn.XLOOKUP(C100, dd_accsrycalc!$A$2:$A$51, dd_accsrycalc!$E$2:$E$51, "",0), F100="Drainage Cover", _xlfn.XLOOKUP(C100, dd_accsrycalc!$A$2:$A$51, dd_accsrycalc!$F$2:$F$51, "",0),AND( F100="Double Adhesive Tape", I100="Roll-up Screen"), _xlfn.XLOOKUP(C100, calc_rusacc!$C$15:$C$65, calc_rusacc!$AD$15:$AD$65, "",0),AND( F100="Sealant", I100="Roll-up Screen"), _xlfn.XLOOKUP(C100, calc_rusacc!$C$15:$C$65, calc_rusacc!$AF$15:$AF$65, "",0),  AND( F100="Main Chain", I100="Accordion Screen"), _xlfn.XLOOKUP(C100, calc_rusacc!$C$15:$C$65, calc_rusacc!$BF$15:$BF$65, "",0), AND( F100="Sealant", I100="Accordion Screen"), _xlfn.XLOOKUP(C100, calc_rusacc!$C$15:$C$65, calc_rusacc!$BJ$15:$BJ$65, "",0),  F100="Sealant", _xlfn.XLOOKUP(C100, dd_accsrycalc!$A$2:$A$51, dd_accsrycalc!$G$2:$G$51, "",0),  F100&lt;&gt;"",L100*_xlfn.XLOOKUP(1, (SKUs!$C$2:$C$10001=G100)*(SKUs!$K$2:$K$10001=I100),SKUs!$E$2:$E$10001)), 0),"")</f>
        <v/>
      </c>
      <c r="E100" s="35" t="str">
        <f>_xlfn.XLOOKUP(F100,dd_item!$B$2:$B$105,dd_item!$C$2:$C$105,"",0)</f>
        <v/>
      </c>
      <c r="F100" s="35"/>
      <c r="G100" s="35" cm="1">
        <f t="array" ref="G100">IFERROR(_xlfn.XLOOKUP(1, (SKUs!$J$2:$J$10001=accsry_unmerged!F100)*IF(H100&lt;&gt;"",(SKUs!$L$2:$L$10001=accsry_unmerged!H100),1)*(SKUs!$K$2:$K$10001=I100),SKUs!$C$2:$C$10001),"")</f>
        <v>0</v>
      </c>
      <c r="H100" s="36" cm="1">
        <f t="array" ref="H100">IFERROR(_xlfn.XLOOKUP(1, (dd_accsryclr!$C$2:$C$1000=accsry_unmerged!F100)*(dd_accsryclr!$B$2:$B$1000=accsry_unmerged!J100),dd_accsryclr!$A$2:$A$1000),"")</f>
        <v>0</v>
      </c>
      <c r="I100" s="35">
        <f>_xlfn.XLOOKUP(C100,'Project Details'!$C$17:$C$66,'Project Details'!$E$17:$E$66,"",0)</f>
        <v>0</v>
      </c>
      <c r="J100" s="35">
        <f>_xlfn.XLOOKUP(C100,'Project Details'!$C$17:$C$66,'Project Details'!$H$17:$H$66,"",0)</f>
        <v>0</v>
      </c>
      <c r="K100" s="36" t="str">
        <f>IF(AND(_xlfn.XLOOKUP(C100,'Project Details'!$C$17:$C$66,'Project Details'!$L$17:$L$66,"",0)&gt;550, F100="Spring-L27cm"),"",SUBSTITUTE(_xlfn.XLOOKUP(G100,SKUs!$C$2:$C$10001,SKUs!$F$2:$F$10001,"",0), " Accessories",""))</f>
        <v/>
      </c>
      <c r="L100" s="36">
        <f>_xlfn.XLOOKUP(C100,'Project Details'!$C$17:$C$66,'Project Details'!$D$17:$D$66,"",0)</f>
        <v>0</v>
      </c>
      <c r="M100" s="43"/>
    </row>
    <row r="101" spans="1:13" ht="13.5" customHeight="1" outlineLevel="1" x14ac:dyDescent="0.25">
      <c r="A101" s="43"/>
      <c r="B101" s="43"/>
      <c r="C101" s="16">
        <f t="shared" si="0"/>
        <v>2</v>
      </c>
      <c r="D101" s="16" t="str" cm="1">
        <f t="array" ref="D101">IFERROR(ROUNDUP(_xlfn.IFS(F101="Aluminum Track", _xlfn.XLOOKUP(C101, dd_accsrycalc!$A$2:$A$51, dd_accsrycalc!$B$2:$B$51, "",0), F101="10 x 2 1/2 S (Flat)", _xlfn.XLOOKUP(C101, dd_accsrycalc!$A$2:$A$51, dd_accsrycalc!$C$2:$C$51, "",0), F101="Tox6", _xlfn.XLOOKUP(C101, dd_accsrycalc!$A$2:$A$51, dd_accsrycalc!$D$2:$D$51, "",0), F101="Cover Cap", _xlfn.XLOOKUP(C101, dd_accsrycalc!$A$2:$A$51, dd_accsrycalc!$E$2:$E$51, "",0), F101="Drainage Cover", _xlfn.XLOOKUP(C101, dd_accsrycalc!$A$2:$A$51, dd_accsrycalc!$F$2:$F$51, "",0),AND( F101="Double Adhesive Tape", I101="Roll-up Screen"), _xlfn.XLOOKUP(C101, calc_rusacc!$C$15:$C$65, calc_rusacc!$AD$15:$AD$65, "",0),AND( F101="Sealant", I101="Roll-up Screen"), _xlfn.XLOOKUP(C101, calc_rusacc!$C$15:$C$65, calc_rusacc!$AF$15:$AF$65, "",0),  AND( F101="Main Chain", I101="Accordion Screen"), _xlfn.XLOOKUP(C101, calc_rusacc!$C$15:$C$65, calc_rusacc!$BF$15:$BF$65, "",0), AND( F101="Sealant", I101="Accordion Screen"), _xlfn.XLOOKUP(C101, calc_rusacc!$C$15:$C$65, calc_rusacc!$BJ$15:$BJ$65, "",0),  F101="Sealant", _xlfn.XLOOKUP(C101, dd_accsrycalc!$A$2:$A$51, dd_accsrycalc!$G$2:$G$51, "",0),  F101&lt;&gt;"",L101*_xlfn.XLOOKUP(1, (SKUs!$C$2:$C$10001=G101)*(SKUs!$K$2:$K$10001=I101),SKUs!$E$2:$E$10001)), 0),"")</f>
        <v/>
      </c>
      <c r="E101" s="16" t="str">
        <f>_xlfn.XLOOKUP(F101,dd_item!$B$2:$B$105,dd_item!$C$2:$C$105,"",0)</f>
        <v/>
      </c>
      <c r="F101" s="16"/>
      <c r="G101" s="16" cm="1">
        <f t="array" ref="G101">IFERROR(_xlfn.XLOOKUP(1, (SKUs!$J$2:$J$10001=accsry_unmerged!F101)*IF(H101&lt;&gt;"",(SKUs!$L$2:$L$10001=accsry_unmerged!H101),1)*(SKUs!$K$2:$K$10001=I101),SKUs!$C$2:$C$10001),"")</f>
        <v>0</v>
      </c>
      <c r="H101" s="33" cm="1">
        <f t="array" ref="H101">IFERROR(_xlfn.XLOOKUP(1, (dd_accsryclr!$C$2:$C$1000=accsry_unmerged!F101)*(dd_accsryclr!$B$2:$B$1000=accsry_unmerged!J101),dd_accsryclr!$A$2:$A$1000),"")</f>
        <v>0</v>
      </c>
      <c r="I101" s="16">
        <f>_xlfn.XLOOKUP(C101,'Project Details'!$C$17:$C$66,'Project Details'!$E$17:$E$66,"",0)</f>
        <v>0</v>
      </c>
      <c r="J101" s="16">
        <f>_xlfn.XLOOKUP(C101,'Project Details'!$C$17:$C$66,'Project Details'!$H$17:$H$66,"",0)</f>
        <v>0</v>
      </c>
      <c r="K101" s="33" t="str">
        <f>IF(AND(_xlfn.XLOOKUP(C101,'Project Details'!$C$17:$C$66,'Project Details'!$L$17:$L$66,"",0)&gt;550, F101="Spring-L27cm"),"",SUBSTITUTE(_xlfn.XLOOKUP(G101,SKUs!$C$2:$C$10001,SKUs!$F$2:$F$10001,"",0), " Accessories",""))</f>
        <v/>
      </c>
      <c r="L101" s="33">
        <f>_xlfn.XLOOKUP(C101,'Project Details'!$C$17:$C$66,'Project Details'!$D$17:$D$66,"",0)</f>
        <v>0</v>
      </c>
      <c r="M101" s="43"/>
    </row>
    <row r="102" spans="1:13" ht="13.5" customHeight="1" outlineLevel="1" x14ac:dyDescent="0.25">
      <c r="A102" s="43"/>
      <c r="B102" s="43"/>
      <c r="C102" s="35">
        <f t="shared" si="0"/>
        <v>2</v>
      </c>
      <c r="D102" s="35" t="str" cm="1">
        <f t="array" ref="D102">IFERROR(ROUNDUP(_xlfn.IFS(F102="Aluminum Track", _xlfn.XLOOKUP(C102, dd_accsrycalc!$A$2:$A$51, dd_accsrycalc!$B$2:$B$51, "",0), F102="10 x 2 1/2 S (Flat)", _xlfn.XLOOKUP(C102, dd_accsrycalc!$A$2:$A$51, dd_accsrycalc!$C$2:$C$51, "",0), F102="Tox6", _xlfn.XLOOKUP(C102, dd_accsrycalc!$A$2:$A$51, dd_accsrycalc!$D$2:$D$51, "",0), F102="Cover Cap", _xlfn.XLOOKUP(C102, dd_accsrycalc!$A$2:$A$51, dd_accsrycalc!$E$2:$E$51, "",0), F102="Drainage Cover", _xlfn.XLOOKUP(C102, dd_accsrycalc!$A$2:$A$51, dd_accsrycalc!$F$2:$F$51, "",0),AND( F102="Double Adhesive Tape", I102="Roll-up Screen"), _xlfn.XLOOKUP(C102, calc_rusacc!$C$15:$C$65, calc_rusacc!$AD$15:$AD$65, "",0),AND( F102="Sealant", I102="Roll-up Screen"), _xlfn.XLOOKUP(C102, calc_rusacc!$C$15:$C$65, calc_rusacc!$AF$15:$AF$65, "",0),  AND( F102="Main Chain", I102="Accordion Screen"), _xlfn.XLOOKUP(C102, calc_rusacc!$C$15:$C$65, calc_rusacc!$BF$15:$BF$65, "",0), AND( F102="Sealant", I102="Accordion Screen"), _xlfn.XLOOKUP(C102, calc_rusacc!$C$15:$C$65, calc_rusacc!$BJ$15:$BJ$65, "",0),  F102="Sealant", _xlfn.XLOOKUP(C102, dd_accsrycalc!$A$2:$A$51, dd_accsrycalc!$G$2:$G$51, "",0),  F102&lt;&gt;"",L102*_xlfn.XLOOKUP(1, (SKUs!$C$2:$C$10001=G102)*(SKUs!$K$2:$K$10001=I102),SKUs!$E$2:$E$10001)), 0),"")</f>
        <v/>
      </c>
      <c r="E102" s="35" t="str">
        <f>_xlfn.XLOOKUP(F102,dd_item!$B$2:$B$105,dd_item!$C$2:$C$105,"",0)</f>
        <v/>
      </c>
      <c r="F102" s="35"/>
      <c r="G102" s="35" cm="1">
        <f t="array" ref="G102">IFERROR(_xlfn.XLOOKUP(1, (SKUs!$J$2:$J$10001=accsry_unmerged!F102)*IF(H102&lt;&gt;"",(SKUs!$L$2:$L$10001=accsry_unmerged!H102),1)*(SKUs!$K$2:$K$10001=I102),SKUs!$C$2:$C$10001),"")</f>
        <v>0</v>
      </c>
      <c r="H102" s="36" cm="1">
        <f t="array" ref="H102">IFERROR(_xlfn.XLOOKUP(1, (dd_accsryclr!$C$2:$C$1000=accsry_unmerged!F102)*(dd_accsryclr!$B$2:$B$1000=accsry_unmerged!J102),dd_accsryclr!$A$2:$A$1000),"")</f>
        <v>0</v>
      </c>
      <c r="I102" s="35">
        <f>_xlfn.XLOOKUP(C102,'Project Details'!$C$17:$C$66,'Project Details'!$E$17:$E$66,"",0)</f>
        <v>0</v>
      </c>
      <c r="J102" s="35">
        <f>_xlfn.XLOOKUP(C102,'Project Details'!$C$17:$C$66,'Project Details'!$H$17:$H$66,"",0)</f>
        <v>0</v>
      </c>
      <c r="K102" s="36" t="str">
        <f>IF(AND(_xlfn.XLOOKUP(C102,'Project Details'!$C$17:$C$66,'Project Details'!$L$17:$L$66,"",0)&gt;550, F102="Spring-L27cm"),"",SUBSTITUTE(_xlfn.XLOOKUP(G102,SKUs!$C$2:$C$10001,SKUs!$F$2:$F$10001,"",0), " Accessories",""))</f>
        <v/>
      </c>
      <c r="L102" s="36">
        <f>_xlfn.XLOOKUP(C102,'Project Details'!$C$17:$C$66,'Project Details'!$D$17:$D$66,"",0)</f>
        <v>0</v>
      </c>
      <c r="M102" s="43"/>
    </row>
    <row r="103" spans="1:13" ht="13.5" customHeight="1" outlineLevel="1" x14ac:dyDescent="0.25">
      <c r="A103" s="43"/>
      <c r="B103" s="43"/>
      <c r="C103" s="16">
        <f t="shared" si="0"/>
        <v>2</v>
      </c>
      <c r="D103" s="16" t="str" cm="1">
        <f t="array" ref="D103">IFERROR(ROUNDUP(_xlfn.IFS(F103="Aluminum Track", _xlfn.XLOOKUP(C103, dd_accsrycalc!$A$2:$A$51, dd_accsrycalc!$B$2:$B$51, "",0), F103="10 x 2 1/2 S (Flat)", _xlfn.XLOOKUP(C103, dd_accsrycalc!$A$2:$A$51, dd_accsrycalc!$C$2:$C$51, "",0), F103="Tox6", _xlfn.XLOOKUP(C103, dd_accsrycalc!$A$2:$A$51, dd_accsrycalc!$D$2:$D$51, "",0), F103="Cover Cap", _xlfn.XLOOKUP(C103, dd_accsrycalc!$A$2:$A$51, dd_accsrycalc!$E$2:$E$51, "",0), F103="Drainage Cover", _xlfn.XLOOKUP(C103, dd_accsrycalc!$A$2:$A$51, dd_accsrycalc!$F$2:$F$51, "",0),AND( F103="Double Adhesive Tape", I103="Roll-up Screen"), _xlfn.XLOOKUP(C103, calc_rusacc!$C$15:$C$65, calc_rusacc!$AD$15:$AD$65, "",0),AND( F103="Sealant", I103="Roll-up Screen"), _xlfn.XLOOKUP(C103, calc_rusacc!$C$15:$C$65, calc_rusacc!$AF$15:$AF$65, "",0),  AND( F103="Main Chain", I103="Accordion Screen"), _xlfn.XLOOKUP(C103, calc_rusacc!$C$15:$C$65, calc_rusacc!$BF$15:$BF$65, "",0), AND( F103="Sealant", I103="Accordion Screen"), _xlfn.XLOOKUP(C103, calc_rusacc!$C$15:$C$65, calc_rusacc!$BJ$15:$BJ$65, "",0),  F103="Sealant", _xlfn.XLOOKUP(C103, dd_accsrycalc!$A$2:$A$51, dd_accsrycalc!$G$2:$G$51, "",0),  F103&lt;&gt;"",L103*_xlfn.XLOOKUP(1, (SKUs!$C$2:$C$10001=G103)*(SKUs!$K$2:$K$10001=I103),SKUs!$E$2:$E$10001)), 0),"")</f>
        <v/>
      </c>
      <c r="E103" s="16" t="str">
        <f>_xlfn.XLOOKUP(F103,dd_item!$B$2:$B$105,dd_item!$C$2:$C$105,"",0)</f>
        <v/>
      </c>
      <c r="F103" s="16"/>
      <c r="G103" s="16" cm="1">
        <f t="array" ref="G103">IFERROR(_xlfn.XLOOKUP(1, (SKUs!$J$2:$J$10001=accsry_unmerged!F103)*IF(H103&lt;&gt;"",(SKUs!$L$2:$L$10001=accsry_unmerged!H103),1)*(SKUs!$K$2:$K$10001=I103),SKUs!$C$2:$C$10001),"")</f>
        <v>0</v>
      </c>
      <c r="H103" s="33" cm="1">
        <f t="array" ref="H103">IFERROR(_xlfn.XLOOKUP(1, (dd_accsryclr!$C$2:$C$1000=accsry_unmerged!F103)*(dd_accsryclr!$B$2:$B$1000=accsry_unmerged!J103),dd_accsryclr!$A$2:$A$1000),"")</f>
        <v>0</v>
      </c>
      <c r="I103" s="16">
        <f>_xlfn.XLOOKUP(C103,'Project Details'!$C$17:$C$66,'Project Details'!$E$17:$E$66,"",0)</f>
        <v>0</v>
      </c>
      <c r="J103" s="16">
        <f>_xlfn.XLOOKUP(C103,'Project Details'!$C$17:$C$66,'Project Details'!$H$17:$H$66,"",0)</f>
        <v>0</v>
      </c>
      <c r="K103" s="33" t="str">
        <f>IF(AND(_xlfn.XLOOKUP(C103,'Project Details'!$C$17:$C$66,'Project Details'!$L$17:$L$66,"",0)&gt;550, F103="Spring-L27cm"),"",SUBSTITUTE(_xlfn.XLOOKUP(G103,SKUs!$C$2:$C$10001,SKUs!$F$2:$F$10001,"",0), " Accessories",""))</f>
        <v/>
      </c>
      <c r="L103" s="33">
        <f>_xlfn.XLOOKUP(C103,'Project Details'!$C$17:$C$66,'Project Details'!$D$17:$D$66,"",0)</f>
        <v>0</v>
      </c>
      <c r="M103" s="43"/>
    </row>
    <row r="104" spans="1:13" ht="13.5" customHeight="1" outlineLevel="1" x14ac:dyDescent="0.25">
      <c r="A104" s="43"/>
      <c r="B104" s="43"/>
      <c r="C104" s="35">
        <f t="shared" si="0"/>
        <v>2</v>
      </c>
      <c r="D104" s="35" t="str" cm="1">
        <f t="array" ref="D104">IFERROR(ROUNDUP(_xlfn.IFS(F104="Aluminum Track", _xlfn.XLOOKUP(C104, dd_accsrycalc!$A$2:$A$51, dd_accsrycalc!$B$2:$B$51, "",0), F104="10 x 2 1/2 S (Flat)", _xlfn.XLOOKUP(C104, dd_accsrycalc!$A$2:$A$51, dd_accsrycalc!$C$2:$C$51, "",0), F104="Tox6", _xlfn.XLOOKUP(C104, dd_accsrycalc!$A$2:$A$51, dd_accsrycalc!$D$2:$D$51, "",0), F104="Cover Cap", _xlfn.XLOOKUP(C104, dd_accsrycalc!$A$2:$A$51, dd_accsrycalc!$E$2:$E$51, "",0), F104="Drainage Cover", _xlfn.XLOOKUP(C104, dd_accsrycalc!$A$2:$A$51, dd_accsrycalc!$F$2:$F$51, "",0),AND( F104="Double Adhesive Tape", I104="Roll-up Screen"), _xlfn.XLOOKUP(C104, calc_rusacc!$C$15:$C$65, calc_rusacc!$AD$15:$AD$65, "",0),AND( F104="Sealant", I104="Roll-up Screen"), _xlfn.XLOOKUP(C104, calc_rusacc!$C$15:$C$65, calc_rusacc!$AF$15:$AF$65, "",0),  AND( F104="Main Chain", I104="Accordion Screen"), _xlfn.XLOOKUP(C104, calc_rusacc!$C$15:$C$65, calc_rusacc!$BF$15:$BF$65, "",0), AND( F104="Sealant", I104="Accordion Screen"), _xlfn.XLOOKUP(C104, calc_rusacc!$C$15:$C$65, calc_rusacc!$BJ$15:$BJ$65, "",0),  F104="Sealant", _xlfn.XLOOKUP(C104, dd_accsrycalc!$A$2:$A$51, dd_accsrycalc!$G$2:$G$51, "",0),  F104&lt;&gt;"",L104*_xlfn.XLOOKUP(1, (SKUs!$C$2:$C$10001=G104)*(SKUs!$K$2:$K$10001=I104),SKUs!$E$2:$E$10001)), 0),"")</f>
        <v/>
      </c>
      <c r="E104" s="35" t="str">
        <f>_xlfn.XLOOKUP(F104,dd_item!$B$2:$B$105,dd_item!$C$2:$C$105,"",0)</f>
        <v/>
      </c>
      <c r="F104" s="35"/>
      <c r="G104" s="35" cm="1">
        <f t="array" ref="G104">IFERROR(_xlfn.XLOOKUP(1, (SKUs!$J$2:$J$10001=accsry_unmerged!F104)*IF(H104&lt;&gt;"",(SKUs!$L$2:$L$10001=accsry_unmerged!H104),1)*(SKUs!$K$2:$K$10001=I104),SKUs!$C$2:$C$10001),"")</f>
        <v>0</v>
      </c>
      <c r="H104" s="36" cm="1">
        <f t="array" ref="H104">IFERROR(_xlfn.XLOOKUP(1, (dd_accsryclr!$C$2:$C$1000=accsry_unmerged!F104)*(dd_accsryclr!$B$2:$B$1000=accsry_unmerged!J104),dd_accsryclr!$A$2:$A$1000),"")</f>
        <v>0</v>
      </c>
      <c r="I104" s="35">
        <f>_xlfn.XLOOKUP(C104,'Project Details'!$C$17:$C$66,'Project Details'!$E$17:$E$66,"",0)</f>
        <v>0</v>
      </c>
      <c r="J104" s="35">
        <f>_xlfn.XLOOKUP(C104,'Project Details'!$C$17:$C$66,'Project Details'!$H$17:$H$66,"",0)</f>
        <v>0</v>
      </c>
      <c r="K104" s="36" t="str">
        <f>IF(AND(_xlfn.XLOOKUP(C104,'Project Details'!$C$17:$C$66,'Project Details'!$L$17:$L$66,"",0)&gt;550, F104="Spring-L27cm"),"",SUBSTITUTE(_xlfn.XLOOKUP(G104,SKUs!$C$2:$C$10001,SKUs!$F$2:$F$10001,"",0), " Accessories",""))</f>
        <v/>
      </c>
      <c r="L104" s="36">
        <f>_xlfn.XLOOKUP(C104,'Project Details'!$C$17:$C$66,'Project Details'!$D$17:$D$66,"",0)</f>
        <v>0</v>
      </c>
      <c r="M104" s="43"/>
    </row>
    <row r="105" spans="1:13" ht="13.5" customHeight="1" outlineLevel="1" collapsed="1" x14ac:dyDescent="0.25">
      <c r="A105" s="43"/>
      <c r="B105" s="43"/>
      <c r="C105" s="16">
        <f t="shared" si="0"/>
        <v>2</v>
      </c>
      <c r="D105" s="16" t="str" cm="1">
        <f t="array" ref="D105">IFERROR(ROUNDUP(_xlfn.IFS(F105="Aluminum Track", _xlfn.XLOOKUP(C105, dd_accsrycalc!$A$2:$A$51, dd_accsrycalc!$B$2:$B$51, "",0), F105="10 x 2 1/2 S (Flat)", _xlfn.XLOOKUP(C105, dd_accsrycalc!$A$2:$A$51, dd_accsrycalc!$C$2:$C$51, "",0), F105="Tox6", _xlfn.XLOOKUP(C105, dd_accsrycalc!$A$2:$A$51, dd_accsrycalc!$D$2:$D$51, "",0), F105="Cover Cap", _xlfn.XLOOKUP(C105, dd_accsrycalc!$A$2:$A$51, dd_accsrycalc!$E$2:$E$51, "",0), F105="Drainage Cover", _xlfn.XLOOKUP(C105, dd_accsrycalc!$A$2:$A$51, dd_accsrycalc!$F$2:$F$51, "",0),AND( F105="Double Adhesive Tape", I105="Roll-up Screen"), _xlfn.XLOOKUP(C105, calc_rusacc!$C$15:$C$65, calc_rusacc!$AD$15:$AD$65, "",0),AND( F105="Sealant", I105="Roll-up Screen"), _xlfn.XLOOKUP(C105, calc_rusacc!$C$15:$C$65, calc_rusacc!$AF$15:$AF$65, "",0),  AND( F105="Main Chain", I105="Accordion Screen"), _xlfn.XLOOKUP(C105, calc_rusacc!$C$15:$C$65, calc_rusacc!$BF$15:$BF$65, "",0), AND( F105="Sealant", I105="Accordion Screen"), _xlfn.XLOOKUP(C105, calc_rusacc!$C$15:$C$65, calc_rusacc!$BJ$15:$BJ$65, "",0),  F105="Sealant", _xlfn.XLOOKUP(C105, dd_accsrycalc!$A$2:$A$51, dd_accsrycalc!$G$2:$G$51, "",0),  F105&lt;&gt;"",L105*_xlfn.XLOOKUP(1, (SKUs!$C$2:$C$10001=G105)*(SKUs!$K$2:$K$10001=I105),SKUs!$E$2:$E$10001)), 0),"")</f>
        <v/>
      </c>
      <c r="E105" s="16" t="str">
        <f>_xlfn.XLOOKUP(F105,dd_item!$B$2:$B$105,dd_item!$C$2:$C$105,"",0)</f>
        <v/>
      </c>
      <c r="F105" s="16"/>
      <c r="G105" s="16" cm="1">
        <f t="array" ref="G105">IFERROR(_xlfn.XLOOKUP(1, (SKUs!$J$2:$J$10001=accsry_unmerged!F105)*IF(H105&lt;&gt;"",(SKUs!$L$2:$L$10001=accsry_unmerged!H105),1)*(SKUs!$K$2:$K$10001=I105),SKUs!$C$2:$C$10001),"")</f>
        <v>0</v>
      </c>
      <c r="H105" s="33" cm="1">
        <f t="array" ref="H105">IFERROR(_xlfn.XLOOKUP(1, (dd_accsryclr!$C$2:$C$1000=accsry_unmerged!F105)*(dd_accsryclr!$B$2:$B$1000=accsry_unmerged!J105),dd_accsryclr!$A$2:$A$1000),"")</f>
        <v>0</v>
      </c>
      <c r="I105" s="16">
        <f>_xlfn.XLOOKUP(C105,'Project Details'!$C$17:$C$66,'Project Details'!$E$17:$E$66,"",0)</f>
        <v>0</v>
      </c>
      <c r="J105" s="16">
        <f>_xlfn.XLOOKUP(C105,'Project Details'!$C$17:$C$66,'Project Details'!$H$17:$H$66,"",0)</f>
        <v>0</v>
      </c>
      <c r="K105" s="33" t="str">
        <f>IF(AND(_xlfn.XLOOKUP(C105,'Project Details'!$C$17:$C$66,'Project Details'!$L$17:$L$66,"",0)&gt;550, F105="Spring-L27cm"),"",SUBSTITUTE(_xlfn.XLOOKUP(G105,SKUs!$C$2:$C$10001,SKUs!$F$2:$F$10001,"",0), " Accessories",""))</f>
        <v/>
      </c>
      <c r="L105" s="33">
        <f>_xlfn.XLOOKUP(C105,'Project Details'!$C$17:$C$66,'Project Details'!$D$17:$D$66,"",0)</f>
        <v>0</v>
      </c>
      <c r="M105" s="43"/>
    </row>
    <row r="106" spans="1:13" ht="13.5" customHeight="1" outlineLevel="1" x14ac:dyDescent="0.25">
      <c r="A106" s="43"/>
      <c r="B106" s="43"/>
      <c r="C106" s="35">
        <f t="shared" si="0"/>
        <v>2</v>
      </c>
      <c r="D106" s="35" t="str" cm="1">
        <f t="array" ref="D106">IFERROR(ROUNDUP(_xlfn.IFS(F106="Aluminum Track", _xlfn.XLOOKUP(C106, dd_accsrycalc!$A$2:$A$51, dd_accsrycalc!$B$2:$B$51, "",0), F106="10 x 2 1/2 S (Flat)", _xlfn.XLOOKUP(C106, dd_accsrycalc!$A$2:$A$51, dd_accsrycalc!$C$2:$C$51, "",0), F106="Tox6", _xlfn.XLOOKUP(C106, dd_accsrycalc!$A$2:$A$51, dd_accsrycalc!$D$2:$D$51, "",0), F106="Cover Cap", _xlfn.XLOOKUP(C106, dd_accsrycalc!$A$2:$A$51, dd_accsrycalc!$E$2:$E$51, "",0), F106="Drainage Cover", _xlfn.XLOOKUP(C106, dd_accsrycalc!$A$2:$A$51, dd_accsrycalc!$F$2:$F$51, "",0),AND( F106="Double Adhesive Tape", I106="Roll-up Screen"), _xlfn.XLOOKUP(C106, calc_rusacc!$C$15:$C$65, calc_rusacc!$AD$15:$AD$65, "",0),AND( F106="Sealant", I106="Roll-up Screen"), _xlfn.XLOOKUP(C106, calc_rusacc!$C$15:$C$65, calc_rusacc!$AF$15:$AF$65, "",0),  AND( F106="Main Chain", I106="Accordion Screen"), _xlfn.XLOOKUP(C106, calc_rusacc!$C$15:$C$65, calc_rusacc!$BF$15:$BF$65, "",0), AND( F106="Sealant", I106="Accordion Screen"), _xlfn.XLOOKUP(C106, calc_rusacc!$C$15:$C$65, calc_rusacc!$BJ$15:$BJ$65, "",0),  F106="Sealant", _xlfn.XLOOKUP(C106, dd_accsrycalc!$A$2:$A$51, dd_accsrycalc!$G$2:$G$51, "",0),  F106&lt;&gt;"",L106*_xlfn.XLOOKUP(1, (SKUs!$C$2:$C$10001=G106)*(SKUs!$K$2:$K$10001=I106),SKUs!$E$2:$E$10001)), 0),"")</f>
        <v/>
      </c>
      <c r="E106" s="35" t="str">
        <f>_xlfn.XLOOKUP(F106,dd_item!$B$2:$B$105,dd_item!$C$2:$C$105,"",0)</f>
        <v/>
      </c>
      <c r="F106" s="35"/>
      <c r="G106" s="35" cm="1">
        <f t="array" ref="G106">IFERROR(_xlfn.XLOOKUP(1, (SKUs!$J$2:$J$10001=accsry_unmerged!F106)*IF(H106&lt;&gt;"",(SKUs!$L$2:$L$10001=accsry_unmerged!H106),1)*(SKUs!$K$2:$K$10001=I106),SKUs!$C$2:$C$10001),"")</f>
        <v>0</v>
      </c>
      <c r="H106" s="36" cm="1">
        <f t="array" ref="H106">IFERROR(_xlfn.XLOOKUP(1, (dd_accsryclr!$C$2:$C$1000=accsry_unmerged!F106)*(dd_accsryclr!$B$2:$B$1000=accsry_unmerged!J106),dd_accsryclr!$A$2:$A$1000),"")</f>
        <v>0</v>
      </c>
      <c r="I106" s="35">
        <f>_xlfn.XLOOKUP(C106,'Project Details'!$C$17:$C$66,'Project Details'!$E$17:$E$66,"",0)</f>
        <v>0</v>
      </c>
      <c r="J106" s="35">
        <f>_xlfn.XLOOKUP(C106,'Project Details'!$C$17:$C$66,'Project Details'!$H$17:$H$66,"",0)</f>
        <v>0</v>
      </c>
      <c r="K106" s="36" t="str">
        <f>IF(AND(_xlfn.XLOOKUP(C106,'Project Details'!$C$17:$C$66,'Project Details'!$L$17:$L$66,"",0)&gt;550, F106="Spring-L27cm"),"",SUBSTITUTE(_xlfn.XLOOKUP(G106,SKUs!$C$2:$C$10001,SKUs!$F$2:$F$10001,"",0), " Accessories",""))</f>
        <v/>
      </c>
      <c r="L106" s="36">
        <f>_xlfn.XLOOKUP(C106,'Project Details'!$C$17:$C$66,'Project Details'!$D$17:$D$66,"",0)</f>
        <v>0</v>
      </c>
      <c r="M106" s="43"/>
    </row>
    <row r="107" spans="1:13" ht="13.5" customHeight="1" outlineLevel="1" x14ac:dyDescent="0.25">
      <c r="A107" s="43"/>
      <c r="B107" s="43"/>
      <c r="C107" s="16">
        <f t="shared" si="0"/>
        <v>2</v>
      </c>
      <c r="D107" s="16" t="str" cm="1">
        <f t="array" ref="D107">IFERROR(ROUNDUP(_xlfn.IFS(F107="Aluminum Track", _xlfn.XLOOKUP(C107, dd_accsrycalc!$A$2:$A$51, dd_accsrycalc!$B$2:$B$51, "",0), F107="10 x 2 1/2 S (Flat)", _xlfn.XLOOKUP(C107, dd_accsrycalc!$A$2:$A$51, dd_accsrycalc!$C$2:$C$51, "",0), F107="Tox6", _xlfn.XLOOKUP(C107, dd_accsrycalc!$A$2:$A$51, dd_accsrycalc!$D$2:$D$51, "",0), F107="Cover Cap", _xlfn.XLOOKUP(C107, dd_accsrycalc!$A$2:$A$51, dd_accsrycalc!$E$2:$E$51, "",0), F107="Drainage Cover", _xlfn.XLOOKUP(C107, dd_accsrycalc!$A$2:$A$51, dd_accsrycalc!$F$2:$F$51, "",0),AND( F107="Double Adhesive Tape", I107="Roll-up Screen"), _xlfn.XLOOKUP(C107, calc_rusacc!$C$15:$C$65, calc_rusacc!$AD$15:$AD$65, "",0),AND( F107="Sealant", I107="Roll-up Screen"), _xlfn.XLOOKUP(C107, calc_rusacc!$C$15:$C$65, calc_rusacc!$AF$15:$AF$65, "",0),  AND( F107="Main Chain", I107="Accordion Screen"), _xlfn.XLOOKUP(C107, calc_rusacc!$C$15:$C$65, calc_rusacc!$BF$15:$BF$65, "",0), AND( F107="Sealant", I107="Accordion Screen"), _xlfn.XLOOKUP(C107, calc_rusacc!$C$15:$C$65, calc_rusacc!$BJ$15:$BJ$65, "",0),  F107="Sealant", _xlfn.XLOOKUP(C107, dd_accsrycalc!$A$2:$A$51, dd_accsrycalc!$G$2:$G$51, "",0),  F107&lt;&gt;"",L107*_xlfn.XLOOKUP(1, (SKUs!$C$2:$C$10001=G107)*(SKUs!$K$2:$K$10001=I107),SKUs!$E$2:$E$10001)), 0),"")</f>
        <v/>
      </c>
      <c r="E107" s="16" t="str">
        <f>_xlfn.XLOOKUP(F107,dd_item!$B$2:$B$105,dd_item!$C$2:$C$105,"",0)</f>
        <v/>
      </c>
      <c r="F107" s="16"/>
      <c r="G107" s="16" cm="1">
        <f t="array" ref="G107">IFERROR(_xlfn.XLOOKUP(1, (SKUs!$J$2:$J$10001=accsry_unmerged!F107)*IF(H107&lt;&gt;"",(SKUs!$L$2:$L$10001=accsry_unmerged!H107),1)*(SKUs!$K$2:$K$10001=I107),SKUs!$C$2:$C$10001),"")</f>
        <v>0</v>
      </c>
      <c r="H107" s="33" cm="1">
        <f t="array" ref="H107">IFERROR(_xlfn.XLOOKUP(1, (dd_accsryclr!$C$2:$C$1000=accsry_unmerged!F107)*(dd_accsryclr!$B$2:$B$1000=accsry_unmerged!J107),dd_accsryclr!$A$2:$A$1000),"")</f>
        <v>0</v>
      </c>
      <c r="I107" s="16">
        <f>_xlfn.XLOOKUP(C107,'Project Details'!$C$17:$C$66,'Project Details'!$E$17:$E$66,"",0)</f>
        <v>0</v>
      </c>
      <c r="J107" s="16">
        <f>_xlfn.XLOOKUP(C107,'Project Details'!$C$17:$C$66,'Project Details'!$H$17:$H$66,"",0)</f>
        <v>0</v>
      </c>
      <c r="K107" s="33" t="str">
        <f>IF(AND(_xlfn.XLOOKUP(C107,'Project Details'!$C$17:$C$66,'Project Details'!$L$17:$L$66,"",0)&gt;550, F107="Spring-L27cm"),"",SUBSTITUTE(_xlfn.XLOOKUP(G107,SKUs!$C$2:$C$10001,SKUs!$F$2:$F$10001,"",0), " Accessories",""))</f>
        <v/>
      </c>
      <c r="L107" s="33">
        <f>_xlfn.XLOOKUP(C107,'Project Details'!$C$17:$C$66,'Project Details'!$D$17:$D$66,"",0)</f>
        <v>0</v>
      </c>
      <c r="M107" s="43"/>
    </row>
    <row r="108" spans="1:13" ht="13.5" customHeight="1" outlineLevel="1" x14ac:dyDescent="0.25">
      <c r="A108" s="43"/>
      <c r="B108" s="43"/>
      <c r="C108" s="35">
        <f t="shared" si="0"/>
        <v>2</v>
      </c>
      <c r="D108" s="35" t="str" cm="1">
        <f t="array" ref="D108">IFERROR(ROUNDUP(_xlfn.IFS(F108="Aluminum Track", _xlfn.XLOOKUP(C108, dd_accsrycalc!$A$2:$A$51, dd_accsrycalc!$B$2:$B$51, "",0), F108="10 x 2 1/2 S (Flat)", _xlfn.XLOOKUP(C108, dd_accsrycalc!$A$2:$A$51, dd_accsrycalc!$C$2:$C$51, "",0), F108="Tox6", _xlfn.XLOOKUP(C108, dd_accsrycalc!$A$2:$A$51, dd_accsrycalc!$D$2:$D$51, "",0), F108="Cover Cap", _xlfn.XLOOKUP(C108, dd_accsrycalc!$A$2:$A$51, dd_accsrycalc!$E$2:$E$51, "",0), F108="Drainage Cover", _xlfn.XLOOKUP(C108, dd_accsrycalc!$A$2:$A$51, dd_accsrycalc!$F$2:$F$51, "",0),AND( F108="Double Adhesive Tape", I108="Roll-up Screen"), _xlfn.XLOOKUP(C108, calc_rusacc!$C$15:$C$65, calc_rusacc!$AD$15:$AD$65, "",0),AND( F108="Sealant", I108="Roll-up Screen"), _xlfn.XLOOKUP(C108, calc_rusacc!$C$15:$C$65, calc_rusacc!$AF$15:$AF$65, "",0),  AND( F108="Main Chain", I108="Accordion Screen"), _xlfn.XLOOKUP(C108, calc_rusacc!$C$15:$C$65, calc_rusacc!$BF$15:$BF$65, "",0), AND( F108="Sealant", I108="Accordion Screen"), _xlfn.XLOOKUP(C108, calc_rusacc!$C$15:$C$65, calc_rusacc!$BJ$15:$BJ$65, "",0),  F108="Sealant", _xlfn.XLOOKUP(C108, dd_accsrycalc!$A$2:$A$51, dd_accsrycalc!$G$2:$G$51, "",0),  F108&lt;&gt;"",L108*_xlfn.XLOOKUP(1, (SKUs!$C$2:$C$10001=G108)*(SKUs!$K$2:$K$10001=I108),SKUs!$E$2:$E$10001)), 0),"")</f>
        <v/>
      </c>
      <c r="E108" s="35" t="str">
        <f>_xlfn.XLOOKUP(F108,dd_item!$B$2:$B$105,dd_item!$C$2:$C$105,"",0)</f>
        <v/>
      </c>
      <c r="F108" s="35"/>
      <c r="G108" s="35" cm="1">
        <f t="array" ref="G108">IFERROR(_xlfn.XLOOKUP(1, (SKUs!$J$2:$J$10001=accsry_unmerged!F108)*IF(H108&lt;&gt;"",(SKUs!$L$2:$L$10001=accsry_unmerged!H108),1)*(SKUs!$K$2:$K$10001=I108),SKUs!$C$2:$C$10001),"")</f>
        <v>0</v>
      </c>
      <c r="H108" s="36" cm="1">
        <f t="array" ref="H108">IFERROR(_xlfn.XLOOKUP(1, (dd_accsryclr!$C$2:$C$1000=accsry_unmerged!F108)*(dd_accsryclr!$B$2:$B$1000=accsry_unmerged!J108),dd_accsryclr!$A$2:$A$1000),"")</f>
        <v>0</v>
      </c>
      <c r="I108" s="35">
        <f>_xlfn.XLOOKUP(C108,'Project Details'!$C$17:$C$66,'Project Details'!$E$17:$E$66,"",0)</f>
        <v>0</v>
      </c>
      <c r="J108" s="35">
        <f>_xlfn.XLOOKUP(C108,'Project Details'!$C$17:$C$66,'Project Details'!$H$17:$H$66,"",0)</f>
        <v>0</v>
      </c>
      <c r="K108" s="36" t="str">
        <f>IF(AND(_xlfn.XLOOKUP(C108,'Project Details'!$C$17:$C$66,'Project Details'!$L$17:$L$66,"",0)&gt;550, F108="Spring-L27cm"),"",SUBSTITUTE(_xlfn.XLOOKUP(G108,SKUs!$C$2:$C$10001,SKUs!$F$2:$F$10001,"",0), " Accessories",""))</f>
        <v/>
      </c>
      <c r="L108" s="36">
        <f>_xlfn.XLOOKUP(C108,'Project Details'!$C$17:$C$66,'Project Details'!$D$17:$D$66,"",0)</f>
        <v>0</v>
      </c>
      <c r="M108" s="43"/>
    </row>
    <row r="109" spans="1:13" ht="13.5" customHeight="1" outlineLevel="1" x14ac:dyDescent="0.25">
      <c r="A109" s="43"/>
      <c r="B109" s="43"/>
      <c r="C109" s="16">
        <f t="shared" si="0"/>
        <v>2</v>
      </c>
      <c r="D109" s="16" t="str" cm="1">
        <f t="array" ref="D109">IFERROR(ROUNDUP(_xlfn.IFS(F109="Aluminum Track", _xlfn.XLOOKUP(C109, dd_accsrycalc!$A$2:$A$51, dd_accsrycalc!$B$2:$B$51, "",0), F109="10 x 2 1/2 S (Flat)", _xlfn.XLOOKUP(C109, dd_accsrycalc!$A$2:$A$51, dd_accsrycalc!$C$2:$C$51, "",0), F109="Tox6", _xlfn.XLOOKUP(C109, dd_accsrycalc!$A$2:$A$51, dd_accsrycalc!$D$2:$D$51, "",0), F109="Cover Cap", _xlfn.XLOOKUP(C109, dd_accsrycalc!$A$2:$A$51, dd_accsrycalc!$E$2:$E$51, "",0), F109="Drainage Cover", _xlfn.XLOOKUP(C109, dd_accsrycalc!$A$2:$A$51, dd_accsrycalc!$F$2:$F$51, "",0),AND( F109="Double Adhesive Tape", I109="Roll-up Screen"), _xlfn.XLOOKUP(C109, calc_rusacc!$C$15:$C$65, calc_rusacc!$AD$15:$AD$65, "",0),AND( F109="Sealant", I109="Roll-up Screen"), _xlfn.XLOOKUP(C109, calc_rusacc!$C$15:$C$65, calc_rusacc!$AF$15:$AF$65, "",0),  AND( F109="Main Chain", I109="Accordion Screen"), _xlfn.XLOOKUP(C109, calc_rusacc!$C$15:$C$65, calc_rusacc!$BF$15:$BF$65, "",0), AND( F109="Sealant", I109="Accordion Screen"), _xlfn.XLOOKUP(C109, calc_rusacc!$C$15:$C$65, calc_rusacc!$BJ$15:$BJ$65, "",0),  F109="Sealant", _xlfn.XLOOKUP(C109, dd_accsrycalc!$A$2:$A$51, dd_accsrycalc!$G$2:$G$51, "",0),  F109&lt;&gt;"",L109*_xlfn.XLOOKUP(1, (SKUs!$C$2:$C$10001=G109)*(SKUs!$K$2:$K$10001=I109),SKUs!$E$2:$E$10001)), 0),"")</f>
        <v/>
      </c>
      <c r="E109" s="16" t="str">
        <f>_xlfn.XLOOKUP(F109,dd_item!$B$2:$B$105,dd_item!$C$2:$C$105,"",0)</f>
        <v/>
      </c>
      <c r="F109" s="16"/>
      <c r="G109" s="16" cm="1">
        <f t="array" ref="G109">IFERROR(_xlfn.XLOOKUP(1, (SKUs!$J$2:$J$10001=accsry_unmerged!F109)*IF(H109&lt;&gt;"",(SKUs!$L$2:$L$10001=accsry_unmerged!H109),1)*(SKUs!$K$2:$K$10001=I109),SKUs!$C$2:$C$10001),"")</f>
        <v>0</v>
      </c>
      <c r="H109" s="33" cm="1">
        <f t="array" ref="H109">IFERROR(_xlfn.XLOOKUP(1, (dd_accsryclr!$C$2:$C$1000=accsry_unmerged!F109)*(dd_accsryclr!$B$2:$B$1000=accsry_unmerged!J109),dd_accsryclr!$A$2:$A$1000),"")</f>
        <v>0</v>
      </c>
      <c r="I109" s="16">
        <f>_xlfn.XLOOKUP(C109,'Project Details'!$C$17:$C$66,'Project Details'!$E$17:$E$66,"",0)</f>
        <v>0</v>
      </c>
      <c r="J109" s="16">
        <f>_xlfn.XLOOKUP(C109,'Project Details'!$C$17:$C$66,'Project Details'!$H$17:$H$66,"",0)</f>
        <v>0</v>
      </c>
      <c r="K109" s="33" t="str">
        <f>IF(AND(_xlfn.XLOOKUP(C109,'Project Details'!$C$17:$C$66,'Project Details'!$L$17:$L$66,"",0)&gt;550, F109="Spring-L27cm"),"",SUBSTITUTE(_xlfn.XLOOKUP(G109,SKUs!$C$2:$C$10001,SKUs!$F$2:$F$10001,"",0), " Accessories",""))</f>
        <v/>
      </c>
      <c r="L109" s="33">
        <f>_xlfn.XLOOKUP(C109,'Project Details'!$C$17:$C$66,'Project Details'!$D$17:$D$66,"",0)</f>
        <v>0</v>
      </c>
      <c r="M109" s="43"/>
    </row>
    <row r="110" spans="1:13" ht="13.5" customHeight="1" outlineLevel="1" x14ac:dyDescent="0.25">
      <c r="A110" s="43"/>
      <c r="B110" s="43"/>
      <c r="C110" s="35">
        <f t="shared" si="0"/>
        <v>2</v>
      </c>
      <c r="D110" s="35" t="str" cm="1">
        <f t="array" ref="D110">IFERROR(ROUNDUP(_xlfn.IFS(F110="Aluminum Track", _xlfn.XLOOKUP(C110, dd_accsrycalc!$A$2:$A$51, dd_accsrycalc!$B$2:$B$51, "",0), F110="10 x 2 1/2 S (Flat)", _xlfn.XLOOKUP(C110, dd_accsrycalc!$A$2:$A$51, dd_accsrycalc!$C$2:$C$51, "",0), F110="Tox6", _xlfn.XLOOKUP(C110, dd_accsrycalc!$A$2:$A$51, dd_accsrycalc!$D$2:$D$51, "",0), F110="Cover Cap", _xlfn.XLOOKUP(C110, dd_accsrycalc!$A$2:$A$51, dd_accsrycalc!$E$2:$E$51, "",0), F110="Drainage Cover", _xlfn.XLOOKUP(C110, dd_accsrycalc!$A$2:$A$51, dd_accsrycalc!$F$2:$F$51, "",0),AND( F110="Double Adhesive Tape", I110="Roll-up Screen"), _xlfn.XLOOKUP(C110, calc_rusacc!$C$15:$C$65, calc_rusacc!$AD$15:$AD$65, "",0),AND( F110="Sealant", I110="Roll-up Screen"), _xlfn.XLOOKUP(C110, calc_rusacc!$C$15:$C$65, calc_rusacc!$AF$15:$AF$65, "",0),  AND( F110="Main Chain", I110="Accordion Screen"), _xlfn.XLOOKUP(C110, calc_rusacc!$C$15:$C$65, calc_rusacc!$BF$15:$BF$65, "",0), AND( F110="Sealant", I110="Accordion Screen"), _xlfn.XLOOKUP(C110, calc_rusacc!$C$15:$C$65, calc_rusacc!$BJ$15:$BJ$65, "",0),  F110="Sealant", _xlfn.XLOOKUP(C110, dd_accsrycalc!$A$2:$A$51, dd_accsrycalc!$G$2:$G$51, "",0),  F110&lt;&gt;"",L110*_xlfn.XLOOKUP(1, (SKUs!$C$2:$C$10001=G110)*(SKUs!$K$2:$K$10001=I110),SKUs!$E$2:$E$10001)), 0),"")</f>
        <v/>
      </c>
      <c r="E110" s="35" t="str">
        <f>_xlfn.XLOOKUP(F110,dd_item!$B$2:$B$105,dd_item!$C$2:$C$105,"",0)</f>
        <v/>
      </c>
      <c r="F110" s="35"/>
      <c r="G110" s="35" cm="1">
        <f t="array" ref="G110">IFERROR(_xlfn.XLOOKUP(1, (SKUs!$J$2:$J$10001=accsry_unmerged!F110)*IF(H110&lt;&gt;"",(SKUs!$L$2:$L$10001=accsry_unmerged!H110),1)*(SKUs!$K$2:$K$10001=I110),SKUs!$C$2:$C$10001),"")</f>
        <v>0</v>
      </c>
      <c r="H110" s="36" cm="1">
        <f t="array" ref="H110">IFERROR(_xlfn.XLOOKUP(1, (dd_accsryclr!$C$2:$C$1000=accsry_unmerged!F110)*(dd_accsryclr!$B$2:$B$1000=accsry_unmerged!J110),dd_accsryclr!$A$2:$A$1000),"")</f>
        <v>0</v>
      </c>
      <c r="I110" s="35">
        <f>_xlfn.XLOOKUP(C110,'Project Details'!$C$17:$C$66,'Project Details'!$E$17:$E$66,"",0)</f>
        <v>0</v>
      </c>
      <c r="J110" s="35">
        <f>_xlfn.XLOOKUP(C110,'Project Details'!$C$17:$C$66,'Project Details'!$H$17:$H$66,"",0)</f>
        <v>0</v>
      </c>
      <c r="K110" s="36" t="str">
        <f>IF(AND(_xlfn.XLOOKUP(C110,'Project Details'!$C$17:$C$66,'Project Details'!$L$17:$L$66,"",0)&gt;550, F110="Spring-L27cm"),"",SUBSTITUTE(_xlfn.XLOOKUP(G110,SKUs!$C$2:$C$10001,SKUs!$F$2:$F$10001,"",0), " Accessories",""))</f>
        <v/>
      </c>
      <c r="L110" s="36">
        <f>_xlfn.XLOOKUP(C110,'Project Details'!$C$17:$C$66,'Project Details'!$D$17:$D$66,"",0)</f>
        <v>0</v>
      </c>
      <c r="M110" s="43"/>
    </row>
    <row r="111" spans="1:13" ht="13.5" customHeight="1" outlineLevel="1" x14ac:dyDescent="0.25">
      <c r="A111" s="43"/>
      <c r="B111" s="43"/>
      <c r="C111" s="16">
        <f t="shared" si="0"/>
        <v>2</v>
      </c>
      <c r="D111" s="16" t="str" cm="1">
        <f t="array" ref="D111">IFERROR(ROUNDUP(_xlfn.IFS(F111="Aluminum Track", _xlfn.XLOOKUP(C111, dd_accsrycalc!$A$2:$A$51, dd_accsrycalc!$B$2:$B$51, "",0), F111="10 x 2 1/2 S (Flat)", _xlfn.XLOOKUP(C111, dd_accsrycalc!$A$2:$A$51, dd_accsrycalc!$C$2:$C$51, "",0), F111="Tox6", _xlfn.XLOOKUP(C111, dd_accsrycalc!$A$2:$A$51, dd_accsrycalc!$D$2:$D$51, "",0), F111="Cover Cap", _xlfn.XLOOKUP(C111, dd_accsrycalc!$A$2:$A$51, dd_accsrycalc!$E$2:$E$51, "",0), F111="Drainage Cover", _xlfn.XLOOKUP(C111, dd_accsrycalc!$A$2:$A$51, dd_accsrycalc!$F$2:$F$51, "",0),AND( F111="Double Adhesive Tape", I111="Roll-up Screen"), _xlfn.XLOOKUP(C111, calc_rusacc!$C$15:$C$65, calc_rusacc!$AD$15:$AD$65, "",0),AND( F111="Sealant", I111="Roll-up Screen"), _xlfn.XLOOKUP(C111, calc_rusacc!$C$15:$C$65, calc_rusacc!$AF$15:$AF$65, "",0),  AND( F111="Main Chain", I111="Accordion Screen"), _xlfn.XLOOKUP(C111, calc_rusacc!$C$15:$C$65, calc_rusacc!$BF$15:$BF$65, "",0), AND( F111="Sealant", I111="Accordion Screen"), _xlfn.XLOOKUP(C111, calc_rusacc!$C$15:$C$65, calc_rusacc!$BJ$15:$BJ$65, "",0),  F111="Sealant", _xlfn.XLOOKUP(C111, dd_accsrycalc!$A$2:$A$51, dd_accsrycalc!$G$2:$G$51, "",0),  F111&lt;&gt;"",L111*_xlfn.XLOOKUP(1, (SKUs!$C$2:$C$10001=G111)*(SKUs!$K$2:$K$10001=I111),SKUs!$E$2:$E$10001)), 0),"")</f>
        <v/>
      </c>
      <c r="E111" s="16" t="str">
        <f>_xlfn.XLOOKUP(F111,dd_item!$B$2:$B$105,dd_item!$C$2:$C$105,"",0)</f>
        <v/>
      </c>
      <c r="F111" s="16"/>
      <c r="G111" s="16" cm="1">
        <f t="array" ref="G111">IFERROR(_xlfn.XLOOKUP(1, (SKUs!$J$2:$J$10001=accsry_unmerged!F111)*IF(H111&lt;&gt;"",(SKUs!$L$2:$L$10001=accsry_unmerged!H111),1)*(SKUs!$K$2:$K$10001=I111),SKUs!$C$2:$C$10001),"")</f>
        <v>0</v>
      </c>
      <c r="H111" s="33" cm="1">
        <f t="array" ref="H111">IFERROR(_xlfn.XLOOKUP(1, (dd_accsryclr!$C$2:$C$1000=accsry_unmerged!F111)*(dd_accsryclr!$B$2:$B$1000=accsry_unmerged!J111),dd_accsryclr!$A$2:$A$1000),"")</f>
        <v>0</v>
      </c>
      <c r="I111" s="16">
        <f>_xlfn.XLOOKUP(C111,'Project Details'!$C$17:$C$66,'Project Details'!$E$17:$E$66,"",0)</f>
        <v>0</v>
      </c>
      <c r="J111" s="16">
        <f>_xlfn.XLOOKUP(C111,'Project Details'!$C$17:$C$66,'Project Details'!$H$17:$H$66,"",0)</f>
        <v>0</v>
      </c>
      <c r="K111" s="33" t="str">
        <f>IF(AND(_xlfn.XLOOKUP(C111,'Project Details'!$C$17:$C$66,'Project Details'!$L$17:$L$66,"",0)&gt;550, F111="Spring-L27cm"),"",SUBSTITUTE(_xlfn.XLOOKUP(G111,SKUs!$C$2:$C$10001,SKUs!$F$2:$F$10001,"",0), " Accessories",""))</f>
        <v/>
      </c>
      <c r="L111" s="33">
        <f>_xlfn.XLOOKUP(C111,'Project Details'!$C$17:$C$66,'Project Details'!$D$17:$D$66,"",0)</f>
        <v>0</v>
      </c>
      <c r="M111" s="43"/>
    </row>
    <row r="112" spans="1:13" ht="13.5" customHeight="1" outlineLevel="1" x14ac:dyDescent="0.25">
      <c r="A112" s="43"/>
      <c r="B112" s="43"/>
      <c r="C112" s="35">
        <f t="shared" si="0"/>
        <v>2</v>
      </c>
      <c r="D112" s="35" t="str" cm="1">
        <f t="array" ref="D112">IFERROR(ROUNDUP(_xlfn.IFS(F112="Aluminum Track", _xlfn.XLOOKUP(C112, dd_accsrycalc!$A$2:$A$51, dd_accsrycalc!$B$2:$B$51, "",0), F112="10 x 2 1/2 S (Flat)", _xlfn.XLOOKUP(C112, dd_accsrycalc!$A$2:$A$51, dd_accsrycalc!$C$2:$C$51, "",0), F112="Tox6", _xlfn.XLOOKUP(C112, dd_accsrycalc!$A$2:$A$51, dd_accsrycalc!$D$2:$D$51, "",0), F112="Cover Cap", _xlfn.XLOOKUP(C112, dd_accsrycalc!$A$2:$A$51, dd_accsrycalc!$E$2:$E$51, "",0), F112="Drainage Cover", _xlfn.XLOOKUP(C112, dd_accsrycalc!$A$2:$A$51, dd_accsrycalc!$F$2:$F$51, "",0),AND( F112="Double Adhesive Tape", I112="Roll-up Screen"), _xlfn.XLOOKUP(C112, calc_rusacc!$C$15:$C$65, calc_rusacc!$AD$15:$AD$65, "",0),AND( F112="Sealant", I112="Roll-up Screen"), _xlfn.XLOOKUP(C112, calc_rusacc!$C$15:$C$65, calc_rusacc!$AF$15:$AF$65, "",0),  AND( F112="Main Chain", I112="Accordion Screen"), _xlfn.XLOOKUP(C112, calc_rusacc!$C$15:$C$65, calc_rusacc!$BF$15:$BF$65, "",0), AND( F112="Sealant", I112="Accordion Screen"), _xlfn.XLOOKUP(C112, calc_rusacc!$C$15:$C$65, calc_rusacc!$BJ$15:$BJ$65, "",0),  F112="Sealant", _xlfn.XLOOKUP(C112, dd_accsrycalc!$A$2:$A$51, dd_accsrycalc!$G$2:$G$51, "",0),  F112&lt;&gt;"",L112*_xlfn.XLOOKUP(1, (SKUs!$C$2:$C$10001=G112)*(SKUs!$K$2:$K$10001=I112),SKUs!$E$2:$E$10001)), 0),"")</f>
        <v/>
      </c>
      <c r="E112" s="35" t="str">
        <f>_xlfn.XLOOKUP(F112,dd_item!$B$2:$B$105,dd_item!$C$2:$C$105,"",0)</f>
        <v/>
      </c>
      <c r="F112" s="35"/>
      <c r="G112" s="35" cm="1">
        <f t="array" ref="G112">IFERROR(_xlfn.XLOOKUP(1, (SKUs!$J$2:$J$10001=accsry_unmerged!F112)*IF(H112&lt;&gt;"",(SKUs!$L$2:$L$10001=accsry_unmerged!H112),1)*(SKUs!$K$2:$K$10001=I112),SKUs!$C$2:$C$10001),"")</f>
        <v>0</v>
      </c>
      <c r="H112" s="36" cm="1">
        <f t="array" ref="H112">IFERROR(_xlfn.XLOOKUP(1, (dd_accsryclr!$C$2:$C$1000=accsry_unmerged!F112)*(dd_accsryclr!$B$2:$B$1000=accsry_unmerged!J112),dd_accsryclr!$A$2:$A$1000),"")</f>
        <v>0</v>
      </c>
      <c r="I112" s="35">
        <f>_xlfn.XLOOKUP(C112,'Project Details'!$C$17:$C$66,'Project Details'!$E$17:$E$66,"",0)</f>
        <v>0</v>
      </c>
      <c r="J112" s="35">
        <f>_xlfn.XLOOKUP(C112,'Project Details'!$C$17:$C$66,'Project Details'!$H$17:$H$66,"",0)</f>
        <v>0</v>
      </c>
      <c r="K112" s="36" t="str">
        <f>IF(AND(_xlfn.XLOOKUP(C112,'Project Details'!$C$17:$C$66,'Project Details'!$L$17:$L$66,"",0)&gt;550, F112="Spring-L27cm"),"",SUBSTITUTE(_xlfn.XLOOKUP(G112,SKUs!$C$2:$C$10001,SKUs!$F$2:$F$10001,"",0), " Accessories",""))</f>
        <v/>
      </c>
      <c r="L112" s="36">
        <f>_xlfn.XLOOKUP(C112,'Project Details'!$C$17:$C$66,'Project Details'!$D$17:$D$66,"",0)</f>
        <v>0</v>
      </c>
      <c r="M112" s="43"/>
    </row>
    <row r="113" spans="1:13" ht="13.5" customHeight="1" outlineLevel="1" x14ac:dyDescent="0.25">
      <c r="A113" s="43"/>
      <c r="B113" s="43"/>
      <c r="C113" s="16">
        <f t="shared" si="0"/>
        <v>2</v>
      </c>
      <c r="D113" s="16" t="str" cm="1">
        <f t="array" ref="D113">IFERROR(ROUNDUP(_xlfn.IFS(F113="Aluminum Track", _xlfn.XLOOKUP(C113, dd_accsrycalc!$A$2:$A$51, dd_accsrycalc!$B$2:$B$51, "",0), F113="10 x 2 1/2 S (Flat)", _xlfn.XLOOKUP(C113, dd_accsrycalc!$A$2:$A$51, dd_accsrycalc!$C$2:$C$51, "",0), F113="Tox6", _xlfn.XLOOKUP(C113, dd_accsrycalc!$A$2:$A$51, dd_accsrycalc!$D$2:$D$51, "",0), F113="Cover Cap", _xlfn.XLOOKUP(C113, dd_accsrycalc!$A$2:$A$51, dd_accsrycalc!$E$2:$E$51, "",0), F113="Drainage Cover", _xlfn.XLOOKUP(C113, dd_accsrycalc!$A$2:$A$51, dd_accsrycalc!$F$2:$F$51, "",0),AND( F113="Double Adhesive Tape", I113="Roll-up Screen"), _xlfn.XLOOKUP(C113, calc_rusacc!$C$15:$C$65, calc_rusacc!$AD$15:$AD$65, "",0),AND( F113="Sealant", I113="Roll-up Screen"), _xlfn.XLOOKUP(C113, calc_rusacc!$C$15:$C$65, calc_rusacc!$AF$15:$AF$65, "",0),  AND( F113="Main Chain", I113="Accordion Screen"), _xlfn.XLOOKUP(C113, calc_rusacc!$C$15:$C$65, calc_rusacc!$BF$15:$BF$65, "",0), AND( F113="Sealant", I113="Accordion Screen"), _xlfn.XLOOKUP(C113, calc_rusacc!$C$15:$C$65, calc_rusacc!$BJ$15:$BJ$65, "",0),  F113="Sealant", _xlfn.XLOOKUP(C113, dd_accsrycalc!$A$2:$A$51, dd_accsrycalc!$G$2:$G$51, "",0),  F113&lt;&gt;"",L113*_xlfn.XLOOKUP(1, (SKUs!$C$2:$C$10001=G113)*(SKUs!$K$2:$K$10001=I113),SKUs!$E$2:$E$10001)), 0),"")</f>
        <v/>
      </c>
      <c r="E113" s="16" t="str">
        <f>_xlfn.XLOOKUP(F113,dd_item!$B$2:$B$105,dd_item!$C$2:$C$105,"",0)</f>
        <v/>
      </c>
      <c r="F113" s="16"/>
      <c r="G113" s="16" cm="1">
        <f t="array" ref="G113">IFERROR(_xlfn.XLOOKUP(1, (SKUs!$J$2:$J$10001=accsry_unmerged!F113)*IF(H113&lt;&gt;"",(SKUs!$L$2:$L$10001=accsry_unmerged!H113),1)*(SKUs!$K$2:$K$10001=I113),SKUs!$C$2:$C$10001),"")</f>
        <v>0</v>
      </c>
      <c r="H113" s="33" cm="1">
        <f t="array" ref="H113">IFERROR(_xlfn.XLOOKUP(1, (dd_accsryclr!$C$2:$C$1000=accsry_unmerged!F113)*(dd_accsryclr!$B$2:$B$1000=accsry_unmerged!J113),dd_accsryclr!$A$2:$A$1000),"")</f>
        <v>0</v>
      </c>
      <c r="I113" s="16">
        <f>_xlfn.XLOOKUP(C113,'Project Details'!$C$17:$C$66,'Project Details'!$E$17:$E$66,"",0)</f>
        <v>0</v>
      </c>
      <c r="J113" s="16">
        <f>_xlfn.XLOOKUP(C113,'Project Details'!$C$17:$C$66,'Project Details'!$H$17:$H$66,"",0)</f>
        <v>0</v>
      </c>
      <c r="K113" s="33" t="str">
        <f>IF(AND(_xlfn.XLOOKUP(C113,'Project Details'!$C$17:$C$66,'Project Details'!$L$17:$L$66,"",0)&gt;550, F113="Spring-L27cm"),"",SUBSTITUTE(_xlfn.XLOOKUP(G113,SKUs!$C$2:$C$10001,SKUs!$F$2:$F$10001,"",0), " Accessories",""))</f>
        <v/>
      </c>
      <c r="L113" s="33">
        <f>_xlfn.XLOOKUP(C113,'Project Details'!$C$17:$C$66,'Project Details'!$D$17:$D$66,"",0)</f>
        <v>0</v>
      </c>
      <c r="M113" s="43"/>
    </row>
    <row r="114" spans="1:13" x14ac:dyDescent="0.25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</row>
    <row r="115" spans="1:13" x14ac:dyDescent="0.25">
      <c r="A115" s="43"/>
      <c r="B115" s="43"/>
      <c r="C115" s="16">
        <f>C113+1</f>
        <v>3</v>
      </c>
      <c r="D115" s="48" cm="1">
        <f t="array" ref="D115">IFERROR(ROUNDUP(_xlfn.IFS(F115="Aluminum Track", _xlfn.XLOOKUP(C115, dd_accsrycalc!$A$2:$A$51, dd_accsrycalc!$B$2:$B$51, "",0), F115="10 x 2 1/2 S (Flat)", _xlfn.XLOOKUP(C115, dd_accsrycalc!$A$2:$A$51, dd_accsrycalc!$C$2:$C$51, "",0), F115="Tox6", _xlfn.XLOOKUP(C115, dd_accsrycalc!$A$2:$A$51, dd_accsrycalc!$D$2:$D$51, "",0), F115="Cover Cap", _xlfn.XLOOKUP(C115, dd_accsrycalc!$A$2:$A$51, dd_accsrycalc!$E$2:$E$51, "",0), F115="Drainage Cover", _xlfn.XLOOKUP(C115, dd_accsrycalc!$A$2:$A$51, dd_accsrycalc!$F$2:$F$51, "",0),AND( F115="Double Adhesive Tape", I115="Roll-up Screen"), _xlfn.XLOOKUP(C115, calc_rusacc!$C$15:$C$65, calc_rusacc!$AD$15:$AD$65, "",0),AND( F115="Sealant", I115="Roll-up Screen"), _xlfn.XLOOKUP(C115, calc_rusacc!$C$15:$C$65, calc_rusacc!$AF$15:$AF$65, "",0),  AND( F115="Main Chain", I115="Accordion Screen"), _xlfn.XLOOKUP(C115, calc_rusacc!$C$15:$C$65, calc_rusacc!$BF$15:$BF$65, "",0), AND( F115="Sealant", I115="Accordion Screen"), _xlfn.XLOOKUP(C115, calc_rusacc!$C$15:$C$65, calc_rusacc!$BJ$15:$BJ$65, "",0),  F115="Sealant", _xlfn.XLOOKUP(C115, dd_accsrycalc!$A$2:$A$51, dd_accsrycalc!$G$2:$G$51, "",0),  F115&lt;&gt;"",L115*_xlfn.XLOOKUP(1, (SKUs!$C$2:$C$10001=G115)*(SKUs!$K$2:$K$10001=I115),SKUs!$E$2:$E$10001)), 0),"")</f>
        <v>0</v>
      </c>
      <c r="E115" s="48" t="str">
        <f>_xlfn.XLOOKUP(F115,dd_item!$B$2:$B$105,dd_item!$C$2:$C$105,"",0)</f>
        <v/>
      </c>
      <c r="F115" s="48" cm="1">
        <f t="array" ref="F115">IFERROR(_xlfn.UNIQUE(_xlfn._xlws.FILTER(SKUs!$J$2:$J$10001, (SKUs!$F$2:$F$10001&lt;&gt;"Cutting List") * (SKUs!$A$2:$A$10001=_xlfn.XLOOKUP(_xlfn.XLOOKUP(C115,'Project Details'!$C$17:$C$66,'Project Details'!$E$17:$E$66,"",0), dd_design_raw!$A$2:$A$101,dd_design_raw!$C$2:$C$101,"",0)))), "")</f>
        <v>0</v>
      </c>
      <c r="G115" s="16" cm="1">
        <f t="array" ref="G115">IFERROR(_xlfn.XLOOKUP(1, (SKUs!$J$2:$J$10001=accsry_unmerged!F115)*IF(H115&lt;&gt;"",(SKUs!$L$2:$L$10001=accsry_unmerged!H115),1)*(SKUs!$K$2:$K$10001=I115),SKUs!$C$2:$C$10001),"")</f>
        <v>0</v>
      </c>
      <c r="H115" s="16" cm="1">
        <f t="array" ref="H115">IFERROR(_xlfn.XLOOKUP(1, (dd_accsryclr!$C$2:$C$1000=accsry_unmerged!F115)*(dd_accsryclr!$B$2:$B$1000=accsry_unmerged!J115),dd_accsryclr!$A$2:$A$1000),"")</f>
        <v>0</v>
      </c>
      <c r="I115" s="16">
        <f>_xlfn.XLOOKUP(C115,'Project Details'!$C$17:$C$66,'Project Details'!$E$17:$E$66,"",0)</f>
        <v>0</v>
      </c>
      <c r="J115" s="16">
        <f>_xlfn.XLOOKUP(C115,'Project Details'!$C$17:$C$66,'Project Details'!$H$17:$H$66,"",0)</f>
        <v>0</v>
      </c>
      <c r="K115" s="16" t="str">
        <f>IF(AND(_xlfn.XLOOKUP(C115,'Project Details'!$C$17:$C$66,'Project Details'!$L$17:$L$66,"",0)&gt;550, F115="Spring-L27cm"),"",SUBSTITUTE(_xlfn.XLOOKUP(G115,SKUs!$C$2:$C$10001,SKUs!$F$2:$F$10001,"",0), " Accessories",""))</f>
        <v/>
      </c>
      <c r="L115" s="16">
        <f>_xlfn.XLOOKUP(C115,'Project Details'!$C$17:$C$66,'Project Details'!$D$17:$D$66,"",0)</f>
        <v>0</v>
      </c>
      <c r="M115" s="43"/>
    </row>
    <row r="116" spans="1:13" x14ac:dyDescent="0.25">
      <c r="A116" s="43"/>
      <c r="B116" s="43"/>
      <c r="C116" s="35">
        <f>C115</f>
        <v>3</v>
      </c>
      <c r="D116" s="35" t="str" cm="1">
        <f t="array" ref="D116">IFERROR(ROUNDUP(_xlfn.IFS(F116="Aluminum Track", _xlfn.XLOOKUP(C116, dd_accsrycalc!$A$2:$A$51, dd_accsrycalc!$B$2:$B$51, "",0), F116="10 x 2 1/2 S (Flat)", _xlfn.XLOOKUP(C116, dd_accsrycalc!$A$2:$A$51, dd_accsrycalc!$C$2:$C$51, "",0), F116="Tox6", _xlfn.XLOOKUP(C116, dd_accsrycalc!$A$2:$A$51, dd_accsrycalc!$D$2:$D$51, "",0), F116="Cover Cap", _xlfn.XLOOKUP(C116, dd_accsrycalc!$A$2:$A$51, dd_accsrycalc!$E$2:$E$51, "",0), F116="Drainage Cover", _xlfn.XLOOKUP(C116, dd_accsrycalc!$A$2:$A$51, dd_accsrycalc!$F$2:$F$51, "",0),AND( F116="Double Adhesive Tape", I116="Roll-up Screen"), _xlfn.XLOOKUP(C116, calc_rusacc!$C$15:$C$65, calc_rusacc!$AD$15:$AD$65, "",0),AND( F116="Sealant", I116="Roll-up Screen"), _xlfn.XLOOKUP(C116, calc_rusacc!$C$15:$C$65, calc_rusacc!$AF$15:$AF$65, "",0),  AND( F116="Main Chain", I116="Accordion Screen"), _xlfn.XLOOKUP(C116, calc_rusacc!$C$15:$C$65, calc_rusacc!$BF$15:$BF$65, "",0), AND( F116="Sealant", I116="Accordion Screen"), _xlfn.XLOOKUP(C116, calc_rusacc!$C$15:$C$65, calc_rusacc!$BJ$15:$BJ$65, "",0),  F116="Sealant", _xlfn.XLOOKUP(C116, dd_accsrycalc!$A$2:$A$51, dd_accsrycalc!$G$2:$G$51, "",0),  F116&lt;&gt;"",L116*_xlfn.XLOOKUP(1, (SKUs!$C$2:$C$10001=G116)*(SKUs!$K$2:$K$10001=I116),SKUs!$E$2:$E$10001)), 0),"")</f>
        <v/>
      </c>
      <c r="E116" s="35" t="str">
        <f>_xlfn.XLOOKUP(F116,dd_item!$B$2:$B$105,dd_item!$C$2:$C$105,"",0)</f>
        <v/>
      </c>
      <c r="F116" s="35"/>
      <c r="G116" s="35" cm="1">
        <f t="array" ref="G116">IFERROR(_xlfn.XLOOKUP(1, (SKUs!$J$2:$J$10001=accsry_unmerged!F116)*IF(H116&lt;&gt;"",(SKUs!$L$2:$L$10001=accsry_unmerged!H116),1)*(SKUs!$K$2:$K$10001=I116),SKUs!$C$2:$C$10001),"")</f>
        <v>0</v>
      </c>
      <c r="H116" s="36" cm="1">
        <f t="array" ref="H116">IFERROR(_xlfn.XLOOKUP(1, (dd_accsryclr!$C$2:$C$1000=accsry_unmerged!F116)*(dd_accsryclr!$B$2:$B$1000=accsry_unmerged!J116),dd_accsryclr!$A$2:$A$1000),"")</f>
        <v>0</v>
      </c>
      <c r="I116" s="35">
        <f>_xlfn.XLOOKUP(C116,'Project Details'!$C$17:$C$66,'Project Details'!$E$17:$E$66,"",0)</f>
        <v>0</v>
      </c>
      <c r="J116" s="35">
        <f>_xlfn.XLOOKUP(C116,'Project Details'!$C$17:$C$66,'Project Details'!$H$17:$H$66,"",0)</f>
        <v>0</v>
      </c>
      <c r="K116" s="36" t="str">
        <f>IF(AND(_xlfn.XLOOKUP(C116,'Project Details'!$C$17:$C$66,'Project Details'!$L$17:$L$66,"",0)&gt;550, F116="Spring-L27cm"),"",SUBSTITUTE(_xlfn.XLOOKUP(G116,SKUs!$C$2:$C$10001,SKUs!$F$2:$F$10001,"",0), " Accessories",""))</f>
        <v/>
      </c>
      <c r="L116" s="36">
        <f>_xlfn.XLOOKUP(C116,'Project Details'!$C$17:$C$66,'Project Details'!$D$17:$D$66,"",0)</f>
        <v>0</v>
      </c>
      <c r="M116" s="43"/>
    </row>
    <row r="117" spans="1:13" x14ac:dyDescent="0.25">
      <c r="A117" s="43"/>
      <c r="B117" s="43"/>
      <c r="C117" s="16">
        <f t="shared" ref="C117:C163" si="1">C116</f>
        <v>3</v>
      </c>
      <c r="D117" s="16" t="str" cm="1">
        <f t="array" ref="D117">IFERROR(ROUNDUP(_xlfn.IFS(F117="Aluminum Track", _xlfn.XLOOKUP(C117, dd_accsrycalc!$A$2:$A$51, dd_accsrycalc!$B$2:$B$51, "",0), F117="10 x 2 1/2 S (Flat)", _xlfn.XLOOKUP(C117, dd_accsrycalc!$A$2:$A$51, dd_accsrycalc!$C$2:$C$51, "",0), F117="Tox6", _xlfn.XLOOKUP(C117, dd_accsrycalc!$A$2:$A$51, dd_accsrycalc!$D$2:$D$51, "",0), F117="Cover Cap", _xlfn.XLOOKUP(C117, dd_accsrycalc!$A$2:$A$51, dd_accsrycalc!$E$2:$E$51, "",0), F117="Drainage Cover", _xlfn.XLOOKUP(C117, dd_accsrycalc!$A$2:$A$51, dd_accsrycalc!$F$2:$F$51, "",0),AND( F117="Double Adhesive Tape", I117="Roll-up Screen"), _xlfn.XLOOKUP(C117, calc_rusacc!$C$15:$C$65, calc_rusacc!$AD$15:$AD$65, "",0),AND( F117="Sealant", I117="Roll-up Screen"), _xlfn.XLOOKUP(C117, calc_rusacc!$C$15:$C$65, calc_rusacc!$AF$15:$AF$65, "",0),  AND( F117="Main Chain", I117="Accordion Screen"), _xlfn.XLOOKUP(C117, calc_rusacc!$C$15:$C$65, calc_rusacc!$BF$15:$BF$65, "",0), AND( F117="Sealant", I117="Accordion Screen"), _xlfn.XLOOKUP(C117, calc_rusacc!$C$15:$C$65, calc_rusacc!$BJ$15:$BJ$65, "",0),  F117="Sealant", _xlfn.XLOOKUP(C117, dd_accsrycalc!$A$2:$A$51, dd_accsrycalc!$G$2:$G$51, "",0),  F117&lt;&gt;"",L117*_xlfn.XLOOKUP(1, (SKUs!$C$2:$C$10001=G117)*(SKUs!$K$2:$K$10001=I117),SKUs!$E$2:$E$10001)), 0),"")</f>
        <v/>
      </c>
      <c r="E117" s="16" t="str">
        <f>_xlfn.XLOOKUP(F117,dd_item!$B$2:$B$105,dd_item!$C$2:$C$105,"",0)</f>
        <v/>
      </c>
      <c r="F117" s="16"/>
      <c r="G117" s="16" cm="1">
        <f t="array" ref="G117">IFERROR(_xlfn.XLOOKUP(1, (SKUs!$J$2:$J$10001=accsry_unmerged!F117)*IF(H117&lt;&gt;"",(SKUs!$L$2:$L$10001=accsry_unmerged!H117),1)*(SKUs!$K$2:$K$10001=I117),SKUs!$C$2:$C$10001),"")</f>
        <v>0</v>
      </c>
      <c r="H117" s="33" cm="1">
        <f t="array" ref="H117">IFERROR(_xlfn.XLOOKUP(1, (dd_accsryclr!$C$2:$C$1000=accsry_unmerged!F117)*(dd_accsryclr!$B$2:$B$1000=accsry_unmerged!J117),dd_accsryclr!$A$2:$A$1000),"")</f>
        <v>0</v>
      </c>
      <c r="I117" s="16">
        <f>_xlfn.XLOOKUP(C117,'Project Details'!$C$17:$C$66,'Project Details'!$E$17:$E$66,"",0)</f>
        <v>0</v>
      </c>
      <c r="J117" s="16">
        <f>_xlfn.XLOOKUP(C117,'Project Details'!$C$17:$C$66,'Project Details'!$H$17:$H$66,"",0)</f>
        <v>0</v>
      </c>
      <c r="K117" s="33" t="str">
        <f>IF(AND(_xlfn.XLOOKUP(C117,'Project Details'!$C$17:$C$66,'Project Details'!$L$17:$L$66,"",0)&gt;550, F117="Spring-L27cm"),"",SUBSTITUTE(_xlfn.XLOOKUP(G117,SKUs!$C$2:$C$10001,SKUs!$F$2:$F$10001,"",0), " Accessories",""))</f>
        <v/>
      </c>
      <c r="L117" s="33">
        <f>_xlfn.XLOOKUP(C117,'Project Details'!$C$17:$C$66,'Project Details'!$D$17:$D$66,"",0)</f>
        <v>0</v>
      </c>
      <c r="M117" s="43"/>
    </row>
    <row r="118" spans="1:13" x14ac:dyDescent="0.25">
      <c r="A118" s="43"/>
      <c r="B118" s="43"/>
      <c r="C118" s="35">
        <f t="shared" si="1"/>
        <v>3</v>
      </c>
      <c r="D118" s="35" t="str" cm="1">
        <f t="array" ref="D118">IFERROR(ROUNDUP(_xlfn.IFS(F118="Aluminum Track", _xlfn.XLOOKUP(C118, dd_accsrycalc!$A$2:$A$51, dd_accsrycalc!$B$2:$B$51, "",0), F118="10 x 2 1/2 S (Flat)", _xlfn.XLOOKUP(C118, dd_accsrycalc!$A$2:$A$51, dd_accsrycalc!$C$2:$C$51, "",0), F118="Tox6", _xlfn.XLOOKUP(C118, dd_accsrycalc!$A$2:$A$51, dd_accsrycalc!$D$2:$D$51, "",0), F118="Cover Cap", _xlfn.XLOOKUP(C118, dd_accsrycalc!$A$2:$A$51, dd_accsrycalc!$E$2:$E$51, "",0), F118="Drainage Cover", _xlfn.XLOOKUP(C118, dd_accsrycalc!$A$2:$A$51, dd_accsrycalc!$F$2:$F$51, "",0),AND( F118="Double Adhesive Tape", I118="Roll-up Screen"), _xlfn.XLOOKUP(C118, calc_rusacc!$C$15:$C$65, calc_rusacc!$AD$15:$AD$65, "",0),AND( F118="Sealant", I118="Roll-up Screen"), _xlfn.XLOOKUP(C118, calc_rusacc!$C$15:$C$65, calc_rusacc!$AF$15:$AF$65, "",0),  AND( F118="Main Chain", I118="Accordion Screen"), _xlfn.XLOOKUP(C118, calc_rusacc!$C$15:$C$65, calc_rusacc!$BF$15:$BF$65, "",0), AND( F118="Sealant", I118="Accordion Screen"), _xlfn.XLOOKUP(C118, calc_rusacc!$C$15:$C$65, calc_rusacc!$BJ$15:$BJ$65, "",0),  F118="Sealant", _xlfn.XLOOKUP(C118, dd_accsrycalc!$A$2:$A$51, dd_accsrycalc!$G$2:$G$51, "",0),  F118&lt;&gt;"",L118*_xlfn.XLOOKUP(1, (SKUs!$C$2:$C$10001=G118)*(SKUs!$K$2:$K$10001=I118),SKUs!$E$2:$E$10001)), 0),"")</f>
        <v/>
      </c>
      <c r="E118" s="35" t="str">
        <f>_xlfn.XLOOKUP(F118,dd_item!$B$2:$B$105,dd_item!$C$2:$C$105,"",0)</f>
        <v/>
      </c>
      <c r="F118" s="35"/>
      <c r="G118" s="35" cm="1">
        <f t="array" ref="G118">IFERROR(_xlfn.XLOOKUP(1, (SKUs!$J$2:$J$10001=accsry_unmerged!F118)*IF(H118&lt;&gt;"",(SKUs!$L$2:$L$10001=accsry_unmerged!H118),1)*(SKUs!$K$2:$K$10001=I118),SKUs!$C$2:$C$10001),"")</f>
        <v>0</v>
      </c>
      <c r="H118" s="36" cm="1">
        <f t="array" ref="H118">IFERROR(_xlfn.XLOOKUP(1, (dd_accsryclr!$C$2:$C$1000=accsry_unmerged!F118)*(dd_accsryclr!$B$2:$B$1000=accsry_unmerged!J118),dd_accsryclr!$A$2:$A$1000),"")</f>
        <v>0</v>
      </c>
      <c r="I118" s="35">
        <f>_xlfn.XLOOKUP(C118,'Project Details'!$C$17:$C$66,'Project Details'!$E$17:$E$66,"",0)</f>
        <v>0</v>
      </c>
      <c r="J118" s="35">
        <f>_xlfn.XLOOKUP(C118,'Project Details'!$C$17:$C$66,'Project Details'!$H$17:$H$66,"",0)</f>
        <v>0</v>
      </c>
      <c r="K118" s="36" t="str">
        <f>IF(AND(_xlfn.XLOOKUP(C118,'Project Details'!$C$17:$C$66,'Project Details'!$L$17:$L$66,"",0)&gt;550, F118="Spring-L27cm"),"",SUBSTITUTE(_xlfn.XLOOKUP(G118,SKUs!$C$2:$C$10001,SKUs!$F$2:$F$10001,"",0), " Accessories",""))</f>
        <v/>
      </c>
      <c r="L118" s="36">
        <f>_xlfn.XLOOKUP(C118,'Project Details'!$C$17:$C$66,'Project Details'!$D$17:$D$66,"",0)</f>
        <v>0</v>
      </c>
      <c r="M118" s="43"/>
    </row>
    <row r="119" spans="1:13" x14ac:dyDescent="0.25">
      <c r="A119" s="43"/>
      <c r="B119" s="43"/>
      <c r="C119" s="16">
        <f t="shared" si="1"/>
        <v>3</v>
      </c>
      <c r="D119" s="16" t="str" cm="1">
        <f t="array" ref="D119">IFERROR(ROUNDUP(_xlfn.IFS(F119="Aluminum Track", _xlfn.XLOOKUP(C119, dd_accsrycalc!$A$2:$A$51, dd_accsrycalc!$B$2:$B$51, "",0), F119="10 x 2 1/2 S (Flat)", _xlfn.XLOOKUP(C119, dd_accsrycalc!$A$2:$A$51, dd_accsrycalc!$C$2:$C$51, "",0), F119="Tox6", _xlfn.XLOOKUP(C119, dd_accsrycalc!$A$2:$A$51, dd_accsrycalc!$D$2:$D$51, "",0), F119="Cover Cap", _xlfn.XLOOKUP(C119, dd_accsrycalc!$A$2:$A$51, dd_accsrycalc!$E$2:$E$51, "",0), F119="Drainage Cover", _xlfn.XLOOKUP(C119, dd_accsrycalc!$A$2:$A$51, dd_accsrycalc!$F$2:$F$51, "",0),AND( F119="Double Adhesive Tape", I119="Roll-up Screen"), _xlfn.XLOOKUP(C119, calc_rusacc!$C$15:$C$65, calc_rusacc!$AD$15:$AD$65, "",0),AND( F119="Sealant", I119="Roll-up Screen"), _xlfn.XLOOKUP(C119, calc_rusacc!$C$15:$C$65, calc_rusacc!$AF$15:$AF$65, "",0),  AND( F119="Main Chain", I119="Accordion Screen"), _xlfn.XLOOKUP(C119, calc_rusacc!$C$15:$C$65, calc_rusacc!$BF$15:$BF$65, "",0), AND( F119="Sealant", I119="Accordion Screen"), _xlfn.XLOOKUP(C119, calc_rusacc!$C$15:$C$65, calc_rusacc!$BJ$15:$BJ$65, "",0),  F119="Sealant", _xlfn.XLOOKUP(C119, dd_accsrycalc!$A$2:$A$51, dd_accsrycalc!$G$2:$G$51, "",0),  F119&lt;&gt;"",L119*_xlfn.XLOOKUP(1, (SKUs!$C$2:$C$10001=G119)*(SKUs!$K$2:$K$10001=I119),SKUs!$E$2:$E$10001)), 0),"")</f>
        <v/>
      </c>
      <c r="E119" s="16" t="str">
        <f>_xlfn.XLOOKUP(F119,dd_item!$B$2:$B$105,dd_item!$C$2:$C$105,"",0)</f>
        <v/>
      </c>
      <c r="F119" s="16"/>
      <c r="G119" s="16" cm="1">
        <f t="array" ref="G119">IFERROR(_xlfn.XLOOKUP(1, (SKUs!$J$2:$J$10001=accsry_unmerged!F119)*IF(H119&lt;&gt;"",(SKUs!$L$2:$L$10001=accsry_unmerged!H119),1)*(SKUs!$K$2:$K$10001=I119),SKUs!$C$2:$C$10001),"")</f>
        <v>0</v>
      </c>
      <c r="H119" s="33" cm="1">
        <f t="array" ref="H119">IFERROR(_xlfn.XLOOKUP(1, (dd_accsryclr!$C$2:$C$1000=accsry_unmerged!F119)*(dd_accsryclr!$B$2:$B$1000=accsry_unmerged!J119),dd_accsryclr!$A$2:$A$1000),"")</f>
        <v>0</v>
      </c>
      <c r="I119" s="16">
        <f>_xlfn.XLOOKUP(C119,'Project Details'!$C$17:$C$66,'Project Details'!$E$17:$E$66,"",0)</f>
        <v>0</v>
      </c>
      <c r="J119" s="16">
        <f>_xlfn.XLOOKUP(C119,'Project Details'!$C$17:$C$66,'Project Details'!$H$17:$H$66,"",0)</f>
        <v>0</v>
      </c>
      <c r="K119" s="33" t="str">
        <f>IF(AND(_xlfn.XLOOKUP(C119,'Project Details'!$C$17:$C$66,'Project Details'!$L$17:$L$66,"",0)&gt;550, F119="Spring-L27cm"),"",SUBSTITUTE(_xlfn.XLOOKUP(G119,SKUs!$C$2:$C$10001,SKUs!$F$2:$F$10001,"",0), " Accessories",""))</f>
        <v/>
      </c>
      <c r="L119" s="33">
        <f>_xlfn.XLOOKUP(C119,'Project Details'!$C$17:$C$66,'Project Details'!$D$17:$D$66,"",0)</f>
        <v>0</v>
      </c>
      <c r="M119" s="43"/>
    </row>
    <row r="120" spans="1:13" x14ac:dyDescent="0.25">
      <c r="A120" s="43"/>
      <c r="B120" s="43"/>
      <c r="C120" s="35">
        <f t="shared" si="1"/>
        <v>3</v>
      </c>
      <c r="D120" s="35" t="str" cm="1">
        <f t="array" ref="D120">IFERROR(ROUNDUP(_xlfn.IFS(F120="Aluminum Track", _xlfn.XLOOKUP(C120, dd_accsrycalc!$A$2:$A$51, dd_accsrycalc!$B$2:$B$51, "",0), F120="10 x 2 1/2 S (Flat)", _xlfn.XLOOKUP(C120, dd_accsrycalc!$A$2:$A$51, dd_accsrycalc!$C$2:$C$51, "",0), F120="Tox6", _xlfn.XLOOKUP(C120, dd_accsrycalc!$A$2:$A$51, dd_accsrycalc!$D$2:$D$51, "",0), F120="Cover Cap", _xlfn.XLOOKUP(C120, dd_accsrycalc!$A$2:$A$51, dd_accsrycalc!$E$2:$E$51, "",0), F120="Drainage Cover", _xlfn.XLOOKUP(C120, dd_accsrycalc!$A$2:$A$51, dd_accsrycalc!$F$2:$F$51, "",0),AND( F120="Double Adhesive Tape", I120="Roll-up Screen"), _xlfn.XLOOKUP(C120, calc_rusacc!$C$15:$C$65, calc_rusacc!$AD$15:$AD$65, "",0),AND( F120="Sealant", I120="Roll-up Screen"), _xlfn.XLOOKUP(C120, calc_rusacc!$C$15:$C$65, calc_rusacc!$AF$15:$AF$65, "",0),  AND( F120="Main Chain", I120="Accordion Screen"), _xlfn.XLOOKUP(C120, calc_rusacc!$C$15:$C$65, calc_rusacc!$BF$15:$BF$65, "",0), AND( F120="Sealant", I120="Accordion Screen"), _xlfn.XLOOKUP(C120, calc_rusacc!$C$15:$C$65, calc_rusacc!$BJ$15:$BJ$65, "",0),  F120="Sealant", _xlfn.XLOOKUP(C120, dd_accsrycalc!$A$2:$A$51, dd_accsrycalc!$G$2:$G$51, "",0),  F120&lt;&gt;"",L120*_xlfn.XLOOKUP(1, (SKUs!$C$2:$C$10001=G120)*(SKUs!$K$2:$K$10001=I120),SKUs!$E$2:$E$10001)), 0),"")</f>
        <v/>
      </c>
      <c r="E120" s="35" t="str">
        <f>_xlfn.XLOOKUP(F120,dd_item!$B$2:$B$105,dd_item!$C$2:$C$105,"",0)</f>
        <v/>
      </c>
      <c r="F120" s="35"/>
      <c r="G120" s="35" cm="1">
        <f t="array" ref="G120">IFERROR(_xlfn.XLOOKUP(1, (SKUs!$J$2:$J$10001=accsry_unmerged!F120)*IF(H120&lt;&gt;"",(SKUs!$L$2:$L$10001=accsry_unmerged!H120),1)*(SKUs!$K$2:$K$10001=I120),SKUs!$C$2:$C$10001),"")</f>
        <v>0</v>
      </c>
      <c r="H120" s="36" cm="1">
        <f t="array" ref="H120">IFERROR(_xlfn.XLOOKUP(1, (dd_accsryclr!$C$2:$C$1000=accsry_unmerged!F120)*(dd_accsryclr!$B$2:$B$1000=accsry_unmerged!J120),dd_accsryclr!$A$2:$A$1000),"")</f>
        <v>0</v>
      </c>
      <c r="I120" s="35">
        <f>_xlfn.XLOOKUP(C120,'Project Details'!$C$17:$C$66,'Project Details'!$E$17:$E$66,"",0)</f>
        <v>0</v>
      </c>
      <c r="J120" s="35">
        <f>_xlfn.XLOOKUP(C120,'Project Details'!$C$17:$C$66,'Project Details'!$H$17:$H$66,"",0)</f>
        <v>0</v>
      </c>
      <c r="K120" s="36" t="str">
        <f>IF(AND(_xlfn.XLOOKUP(C120,'Project Details'!$C$17:$C$66,'Project Details'!$L$17:$L$66,"",0)&gt;550, F120="Spring-L27cm"),"",SUBSTITUTE(_xlfn.XLOOKUP(G120,SKUs!$C$2:$C$10001,SKUs!$F$2:$F$10001,"",0), " Accessories",""))</f>
        <v/>
      </c>
      <c r="L120" s="36">
        <f>_xlfn.XLOOKUP(C120,'Project Details'!$C$17:$C$66,'Project Details'!$D$17:$D$66,"",0)</f>
        <v>0</v>
      </c>
      <c r="M120" s="43"/>
    </row>
    <row r="121" spans="1:13" x14ac:dyDescent="0.25">
      <c r="A121" s="43"/>
      <c r="B121" s="43"/>
      <c r="C121" s="16">
        <f t="shared" si="1"/>
        <v>3</v>
      </c>
      <c r="D121" s="16" t="str" cm="1">
        <f t="array" ref="D121">IFERROR(ROUNDUP(_xlfn.IFS(F121="Aluminum Track", _xlfn.XLOOKUP(C121, dd_accsrycalc!$A$2:$A$51, dd_accsrycalc!$B$2:$B$51, "",0), F121="10 x 2 1/2 S (Flat)", _xlfn.XLOOKUP(C121, dd_accsrycalc!$A$2:$A$51, dd_accsrycalc!$C$2:$C$51, "",0), F121="Tox6", _xlfn.XLOOKUP(C121, dd_accsrycalc!$A$2:$A$51, dd_accsrycalc!$D$2:$D$51, "",0), F121="Cover Cap", _xlfn.XLOOKUP(C121, dd_accsrycalc!$A$2:$A$51, dd_accsrycalc!$E$2:$E$51, "",0), F121="Drainage Cover", _xlfn.XLOOKUP(C121, dd_accsrycalc!$A$2:$A$51, dd_accsrycalc!$F$2:$F$51, "",0),AND( F121="Double Adhesive Tape", I121="Roll-up Screen"), _xlfn.XLOOKUP(C121, calc_rusacc!$C$15:$C$65, calc_rusacc!$AD$15:$AD$65, "",0),AND( F121="Sealant", I121="Roll-up Screen"), _xlfn.XLOOKUP(C121, calc_rusacc!$C$15:$C$65, calc_rusacc!$AF$15:$AF$65, "",0),  AND( F121="Main Chain", I121="Accordion Screen"), _xlfn.XLOOKUP(C121, calc_rusacc!$C$15:$C$65, calc_rusacc!$BF$15:$BF$65, "",0), AND( F121="Sealant", I121="Accordion Screen"), _xlfn.XLOOKUP(C121, calc_rusacc!$C$15:$C$65, calc_rusacc!$BJ$15:$BJ$65, "",0),  F121="Sealant", _xlfn.XLOOKUP(C121, dd_accsrycalc!$A$2:$A$51, dd_accsrycalc!$G$2:$G$51, "",0),  F121&lt;&gt;"",L121*_xlfn.XLOOKUP(1, (SKUs!$C$2:$C$10001=G121)*(SKUs!$K$2:$K$10001=I121),SKUs!$E$2:$E$10001)), 0),"")</f>
        <v/>
      </c>
      <c r="E121" s="16" t="str">
        <f>_xlfn.XLOOKUP(F121,dd_item!$B$2:$B$105,dd_item!$C$2:$C$105,"",0)</f>
        <v/>
      </c>
      <c r="F121" s="16"/>
      <c r="G121" s="16" cm="1">
        <f t="array" ref="G121">IFERROR(_xlfn.XLOOKUP(1, (SKUs!$J$2:$J$10001=accsry_unmerged!F121)*IF(H121&lt;&gt;"",(SKUs!$L$2:$L$10001=accsry_unmerged!H121),1)*(SKUs!$K$2:$K$10001=I121),SKUs!$C$2:$C$10001),"")</f>
        <v>0</v>
      </c>
      <c r="H121" s="33" cm="1">
        <f t="array" ref="H121">IFERROR(_xlfn.XLOOKUP(1, (dd_accsryclr!$C$2:$C$1000=accsry_unmerged!F121)*(dd_accsryclr!$B$2:$B$1000=accsry_unmerged!J121),dd_accsryclr!$A$2:$A$1000),"")</f>
        <v>0</v>
      </c>
      <c r="I121" s="16">
        <f>_xlfn.XLOOKUP(C121,'Project Details'!$C$17:$C$66,'Project Details'!$E$17:$E$66,"",0)</f>
        <v>0</v>
      </c>
      <c r="J121" s="16">
        <f>_xlfn.XLOOKUP(C121,'Project Details'!$C$17:$C$66,'Project Details'!$H$17:$H$66,"",0)</f>
        <v>0</v>
      </c>
      <c r="K121" s="33" t="str">
        <f>IF(AND(_xlfn.XLOOKUP(C121,'Project Details'!$C$17:$C$66,'Project Details'!$L$17:$L$66,"",0)&gt;550, F121="Spring-L27cm"),"",SUBSTITUTE(_xlfn.XLOOKUP(G121,SKUs!$C$2:$C$10001,SKUs!$F$2:$F$10001,"",0), " Accessories",""))</f>
        <v/>
      </c>
      <c r="L121" s="33">
        <f>_xlfn.XLOOKUP(C121,'Project Details'!$C$17:$C$66,'Project Details'!$D$17:$D$66,"",0)</f>
        <v>0</v>
      </c>
      <c r="M121" s="43"/>
    </row>
    <row r="122" spans="1:13" x14ac:dyDescent="0.25">
      <c r="A122" s="43"/>
      <c r="B122" s="43"/>
      <c r="C122" s="35">
        <f t="shared" si="1"/>
        <v>3</v>
      </c>
      <c r="D122" s="35" t="str" cm="1">
        <f t="array" ref="D122">IFERROR(ROUNDUP(_xlfn.IFS(F122="Aluminum Track", _xlfn.XLOOKUP(C122, dd_accsrycalc!$A$2:$A$51, dd_accsrycalc!$B$2:$B$51, "",0), F122="10 x 2 1/2 S (Flat)", _xlfn.XLOOKUP(C122, dd_accsrycalc!$A$2:$A$51, dd_accsrycalc!$C$2:$C$51, "",0), F122="Tox6", _xlfn.XLOOKUP(C122, dd_accsrycalc!$A$2:$A$51, dd_accsrycalc!$D$2:$D$51, "",0), F122="Cover Cap", _xlfn.XLOOKUP(C122, dd_accsrycalc!$A$2:$A$51, dd_accsrycalc!$E$2:$E$51, "",0), F122="Drainage Cover", _xlfn.XLOOKUP(C122, dd_accsrycalc!$A$2:$A$51, dd_accsrycalc!$F$2:$F$51, "",0),AND( F122="Double Adhesive Tape", I122="Roll-up Screen"), _xlfn.XLOOKUP(C122, calc_rusacc!$C$15:$C$65, calc_rusacc!$AD$15:$AD$65, "",0),AND( F122="Sealant", I122="Roll-up Screen"), _xlfn.XLOOKUP(C122, calc_rusacc!$C$15:$C$65, calc_rusacc!$AF$15:$AF$65, "",0),  AND( F122="Main Chain", I122="Accordion Screen"), _xlfn.XLOOKUP(C122, calc_rusacc!$C$15:$C$65, calc_rusacc!$BF$15:$BF$65, "",0), AND( F122="Sealant", I122="Accordion Screen"), _xlfn.XLOOKUP(C122, calc_rusacc!$C$15:$C$65, calc_rusacc!$BJ$15:$BJ$65, "",0),  F122="Sealant", _xlfn.XLOOKUP(C122, dd_accsrycalc!$A$2:$A$51, dd_accsrycalc!$G$2:$G$51, "",0),  F122&lt;&gt;"",L122*_xlfn.XLOOKUP(1, (SKUs!$C$2:$C$10001=G122)*(SKUs!$K$2:$K$10001=I122),SKUs!$E$2:$E$10001)), 0),"")</f>
        <v/>
      </c>
      <c r="E122" s="35" t="str">
        <f>_xlfn.XLOOKUP(F122,dd_item!$B$2:$B$105,dd_item!$C$2:$C$105,"",0)</f>
        <v/>
      </c>
      <c r="F122" s="35"/>
      <c r="G122" s="35" cm="1">
        <f t="array" ref="G122">IFERROR(_xlfn.XLOOKUP(1, (SKUs!$J$2:$J$10001=accsry_unmerged!F122)*IF(H122&lt;&gt;"",(SKUs!$L$2:$L$10001=accsry_unmerged!H122),1)*(SKUs!$K$2:$K$10001=I122),SKUs!$C$2:$C$10001),"")</f>
        <v>0</v>
      </c>
      <c r="H122" s="36" cm="1">
        <f t="array" ref="H122">IFERROR(_xlfn.XLOOKUP(1, (dd_accsryclr!$C$2:$C$1000=accsry_unmerged!F122)*(dd_accsryclr!$B$2:$B$1000=accsry_unmerged!J122),dd_accsryclr!$A$2:$A$1000),"")</f>
        <v>0</v>
      </c>
      <c r="I122" s="35">
        <f>_xlfn.XLOOKUP(C122,'Project Details'!$C$17:$C$66,'Project Details'!$E$17:$E$66,"",0)</f>
        <v>0</v>
      </c>
      <c r="J122" s="35">
        <f>_xlfn.XLOOKUP(C122,'Project Details'!$C$17:$C$66,'Project Details'!$H$17:$H$66,"",0)</f>
        <v>0</v>
      </c>
      <c r="K122" s="36" t="str">
        <f>IF(AND(_xlfn.XLOOKUP(C122,'Project Details'!$C$17:$C$66,'Project Details'!$L$17:$L$66,"",0)&gt;550, F122="Spring-L27cm"),"",SUBSTITUTE(_xlfn.XLOOKUP(G122,SKUs!$C$2:$C$10001,SKUs!$F$2:$F$10001,"",0), " Accessories",""))</f>
        <v/>
      </c>
      <c r="L122" s="36">
        <f>_xlfn.XLOOKUP(C122,'Project Details'!$C$17:$C$66,'Project Details'!$D$17:$D$66,"",0)</f>
        <v>0</v>
      </c>
      <c r="M122" s="43"/>
    </row>
    <row r="123" spans="1:13" x14ac:dyDescent="0.25">
      <c r="A123" s="43"/>
      <c r="B123" s="43"/>
      <c r="C123" s="16">
        <f t="shared" si="1"/>
        <v>3</v>
      </c>
      <c r="D123" s="16" t="str" cm="1">
        <f t="array" ref="D123">IFERROR(ROUNDUP(_xlfn.IFS(F123="Aluminum Track", _xlfn.XLOOKUP(C123, dd_accsrycalc!$A$2:$A$51, dd_accsrycalc!$B$2:$B$51, "",0), F123="10 x 2 1/2 S (Flat)", _xlfn.XLOOKUP(C123, dd_accsrycalc!$A$2:$A$51, dd_accsrycalc!$C$2:$C$51, "",0), F123="Tox6", _xlfn.XLOOKUP(C123, dd_accsrycalc!$A$2:$A$51, dd_accsrycalc!$D$2:$D$51, "",0), F123="Cover Cap", _xlfn.XLOOKUP(C123, dd_accsrycalc!$A$2:$A$51, dd_accsrycalc!$E$2:$E$51, "",0), F123="Drainage Cover", _xlfn.XLOOKUP(C123, dd_accsrycalc!$A$2:$A$51, dd_accsrycalc!$F$2:$F$51, "",0),AND( F123="Double Adhesive Tape", I123="Roll-up Screen"), _xlfn.XLOOKUP(C123, calc_rusacc!$C$15:$C$65, calc_rusacc!$AD$15:$AD$65, "",0),AND( F123="Sealant", I123="Roll-up Screen"), _xlfn.XLOOKUP(C123, calc_rusacc!$C$15:$C$65, calc_rusacc!$AF$15:$AF$65, "",0),  AND( F123="Main Chain", I123="Accordion Screen"), _xlfn.XLOOKUP(C123, calc_rusacc!$C$15:$C$65, calc_rusacc!$BF$15:$BF$65, "",0), AND( F123="Sealant", I123="Accordion Screen"), _xlfn.XLOOKUP(C123, calc_rusacc!$C$15:$C$65, calc_rusacc!$BJ$15:$BJ$65, "",0),  F123="Sealant", _xlfn.XLOOKUP(C123, dd_accsrycalc!$A$2:$A$51, dd_accsrycalc!$G$2:$G$51, "",0),  F123&lt;&gt;"",L123*_xlfn.XLOOKUP(1, (SKUs!$C$2:$C$10001=G123)*(SKUs!$K$2:$K$10001=I123),SKUs!$E$2:$E$10001)), 0),"")</f>
        <v/>
      </c>
      <c r="E123" s="16" t="str">
        <f>_xlfn.XLOOKUP(F123,dd_item!$B$2:$B$105,dd_item!$C$2:$C$105,"",0)</f>
        <v/>
      </c>
      <c r="F123" s="16"/>
      <c r="G123" s="16" cm="1">
        <f t="array" ref="G123">IFERROR(_xlfn.XLOOKUP(1, (SKUs!$J$2:$J$10001=accsry_unmerged!F123)*IF(H123&lt;&gt;"",(SKUs!$L$2:$L$10001=accsry_unmerged!H123),1)*(SKUs!$K$2:$K$10001=I123),SKUs!$C$2:$C$10001),"")</f>
        <v>0</v>
      </c>
      <c r="H123" s="33" cm="1">
        <f t="array" ref="H123">IFERROR(_xlfn.XLOOKUP(1, (dd_accsryclr!$C$2:$C$1000=accsry_unmerged!F123)*(dd_accsryclr!$B$2:$B$1000=accsry_unmerged!J123),dd_accsryclr!$A$2:$A$1000),"")</f>
        <v>0</v>
      </c>
      <c r="I123" s="16">
        <f>_xlfn.XLOOKUP(C123,'Project Details'!$C$17:$C$66,'Project Details'!$E$17:$E$66,"",0)</f>
        <v>0</v>
      </c>
      <c r="J123" s="16">
        <f>_xlfn.XLOOKUP(C123,'Project Details'!$C$17:$C$66,'Project Details'!$H$17:$H$66,"",0)</f>
        <v>0</v>
      </c>
      <c r="K123" s="33" t="str">
        <f>IF(AND(_xlfn.XLOOKUP(C123,'Project Details'!$C$17:$C$66,'Project Details'!$L$17:$L$66,"",0)&gt;550, F123="Spring-L27cm"),"",SUBSTITUTE(_xlfn.XLOOKUP(G123,SKUs!$C$2:$C$10001,SKUs!$F$2:$F$10001,"",0), " Accessories",""))</f>
        <v/>
      </c>
      <c r="L123" s="33">
        <f>_xlfn.XLOOKUP(C123,'Project Details'!$C$17:$C$66,'Project Details'!$D$17:$D$66,"",0)</f>
        <v>0</v>
      </c>
      <c r="M123" s="43"/>
    </row>
    <row r="124" spans="1:13" x14ac:dyDescent="0.25">
      <c r="A124" s="43"/>
      <c r="B124" s="43"/>
      <c r="C124" s="35">
        <f t="shared" si="1"/>
        <v>3</v>
      </c>
      <c r="D124" s="35" t="str" cm="1">
        <f t="array" ref="D124">IFERROR(ROUNDUP(_xlfn.IFS(F124="Aluminum Track", _xlfn.XLOOKUP(C124, dd_accsrycalc!$A$2:$A$51, dd_accsrycalc!$B$2:$B$51, "",0), F124="10 x 2 1/2 S (Flat)", _xlfn.XLOOKUP(C124, dd_accsrycalc!$A$2:$A$51, dd_accsrycalc!$C$2:$C$51, "",0), F124="Tox6", _xlfn.XLOOKUP(C124, dd_accsrycalc!$A$2:$A$51, dd_accsrycalc!$D$2:$D$51, "",0), F124="Cover Cap", _xlfn.XLOOKUP(C124, dd_accsrycalc!$A$2:$A$51, dd_accsrycalc!$E$2:$E$51, "",0), F124="Drainage Cover", _xlfn.XLOOKUP(C124, dd_accsrycalc!$A$2:$A$51, dd_accsrycalc!$F$2:$F$51, "",0),AND( F124="Double Adhesive Tape", I124="Roll-up Screen"), _xlfn.XLOOKUP(C124, calc_rusacc!$C$15:$C$65, calc_rusacc!$AD$15:$AD$65, "",0),AND( F124="Sealant", I124="Roll-up Screen"), _xlfn.XLOOKUP(C124, calc_rusacc!$C$15:$C$65, calc_rusacc!$AF$15:$AF$65, "",0),  AND( F124="Main Chain", I124="Accordion Screen"), _xlfn.XLOOKUP(C124, calc_rusacc!$C$15:$C$65, calc_rusacc!$BF$15:$BF$65, "",0), AND( F124="Sealant", I124="Accordion Screen"), _xlfn.XLOOKUP(C124, calc_rusacc!$C$15:$C$65, calc_rusacc!$BJ$15:$BJ$65, "",0),  F124="Sealant", _xlfn.XLOOKUP(C124, dd_accsrycalc!$A$2:$A$51, dd_accsrycalc!$G$2:$G$51, "",0),  F124&lt;&gt;"",L124*_xlfn.XLOOKUP(1, (SKUs!$C$2:$C$10001=G124)*(SKUs!$K$2:$K$10001=I124),SKUs!$E$2:$E$10001)), 0),"")</f>
        <v/>
      </c>
      <c r="E124" s="35" t="str">
        <f>_xlfn.XLOOKUP(F124,dd_item!$B$2:$B$105,dd_item!$C$2:$C$105,"",0)</f>
        <v/>
      </c>
      <c r="F124" s="35"/>
      <c r="G124" s="35" cm="1">
        <f t="array" ref="G124">IFERROR(_xlfn.XLOOKUP(1, (SKUs!$J$2:$J$10001=accsry_unmerged!F124)*IF(H124&lt;&gt;"",(SKUs!$L$2:$L$10001=accsry_unmerged!H124),1)*(SKUs!$K$2:$K$10001=I124),SKUs!$C$2:$C$10001),"")</f>
        <v>0</v>
      </c>
      <c r="H124" s="36" cm="1">
        <f t="array" ref="H124">IFERROR(_xlfn.XLOOKUP(1, (dd_accsryclr!$C$2:$C$1000=accsry_unmerged!F124)*(dd_accsryclr!$B$2:$B$1000=accsry_unmerged!J124),dd_accsryclr!$A$2:$A$1000),"")</f>
        <v>0</v>
      </c>
      <c r="I124" s="35">
        <f>_xlfn.XLOOKUP(C124,'Project Details'!$C$17:$C$66,'Project Details'!$E$17:$E$66,"",0)</f>
        <v>0</v>
      </c>
      <c r="J124" s="35">
        <f>_xlfn.XLOOKUP(C124,'Project Details'!$C$17:$C$66,'Project Details'!$H$17:$H$66,"",0)</f>
        <v>0</v>
      </c>
      <c r="K124" s="36" t="str">
        <f>IF(AND(_xlfn.XLOOKUP(C124,'Project Details'!$C$17:$C$66,'Project Details'!$L$17:$L$66,"",0)&gt;550, F124="Spring-L27cm"),"",SUBSTITUTE(_xlfn.XLOOKUP(G124,SKUs!$C$2:$C$10001,SKUs!$F$2:$F$10001,"",0), " Accessories",""))</f>
        <v/>
      </c>
      <c r="L124" s="36">
        <f>_xlfn.XLOOKUP(C124,'Project Details'!$C$17:$C$66,'Project Details'!$D$17:$D$66,"",0)</f>
        <v>0</v>
      </c>
      <c r="M124" s="43"/>
    </row>
    <row r="125" spans="1:13" x14ac:dyDescent="0.25">
      <c r="A125" s="43"/>
      <c r="B125" s="43"/>
      <c r="C125" s="16">
        <f t="shared" si="1"/>
        <v>3</v>
      </c>
      <c r="D125" s="16" t="str" cm="1">
        <f t="array" ref="D125">IFERROR(ROUNDUP(_xlfn.IFS(F125="Aluminum Track", _xlfn.XLOOKUP(C125, dd_accsrycalc!$A$2:$A$51, dd_accsrycalc!$B$2:$B$51, "",0), F125="10 x 2 1/2 S (Flat)", _xlfn.XLOOKUP(C125, dd_accsrycalc!$A$2:$A$51, dd_accsrycalc!$C$2:$C$51, "",0), F125="Tox6", _xlfn.XLOOKUP(C125, dd_accsrycalc!$A$2:$A$51, dd_accsrycalc!$D$2:$D$51, "",0), F125="Cover Cap", _xlfn.XLOOKUP(C125, dd_accsrycalc!$A$2:$A$51, dd_accsrycalc!$E$2:$E$51, "",0), F125="Drainage Cover", _xlfn.XLOOKUP(C125, dd_accsrycalc!$A$2:$A$51, dd_accsrycalc!$F$2:$F$51, "",0),AND( F125="Double Adhesive Tape", I125="Roll-up Screen"), _xlfn.XLOOKUP(C125, calc_rusacc!$C$15:$C$65, calc_rusacc!$AD$15:$AD$65, "",0),AND( F125="Sealant", I125="Roll-up Screen"), _xlfn.XLOOKUP(C125, calc_rusacc!$C$15:$C$65, calc_rusacc!$AF$15:$AF$65, "",0),  AND( F125="Main Chain", I125="Accordion Screen"), _xlfn.XLOOKUP(C125, calc_rusacc!$C$15:$C$65, calc_rusacc!$BF$15:$BF$65, "",0), AND( F125="Sealant", I125="Accordion Screen"), _xlfn.XLOOKUP(C125, calc_rusacc!$C$15:$C$65, calc_rusacc!$BJ$15:$BJ$65, "",0),  F125="Sealant", _xlfn.XLOOKUP(C125, dd_accsrycalc!$A$2:$A$51, dd_accsrycalc!$G$2:$G$51, "",0),  F125&lt;&gt;"",L125*_xlfn.XLOOKUP(1, (SKUs!$C$2:$C$10001=G125)*(SKUs!$K$2:$K$10001=I125),SKUs!$E$2:$E$10001)), 0),"")</f>
        <v/>
      </c>
      <c r="E125" s="16" t="str">
        <f>_xlfn.XLOOKUP(F125,dd_item!$B$2:$B$105,dd_item!$C$2:$C$105,"",0)</f>
        <v/>
      </c>
      <c r="F125" s="16"/>
      <c r="G125" s="16" cm="1">
        <f t="array" ref="G125">IFERROR(_xlfn.XLOOKUP(1, (SKUs!$J$2:$J$10001=accsry_unmerged!F125)*IF(H125&lt;&gt;"",(SKUs!$L$2:$L$10001=accsry_unmerged!H125),1)*(SKUs!$K$2:$K$10001=I125),SKUs!$C$2:$C$10001),"")</f>
        <v>0</v>
      </c>
      <c r="H125" s="33" cm="1">
        <f t="array" ref="H125">IFERROR(_xlfn.XLOOKUP(1, (dd_accsryclr!$C$2:$C$1000=accsry_unmerged!F125)*(dd_accsryclr!$B$2:$B$1000=accsry_unmerged!J125),dd_accsryclr!$A$2:$A$1000),"")</f>
        <v>0</v>
      </c>
      <c r="I125" s="16">
        <f>_xlfn.XLOOKUP(C125,'Project Details'!$C$17:$C$66,'Project Details'!$E$17:$E$66,"",0)</f>
        <v>0</v>
      </c>
      <c r="J125" s="16">
        <f>_xlfn.XLOOKUP(C125,'Project Details'!$C$17:$C$66,'Project Details'!$H$17:$H$66,"",0)</f>
        <v>0</v>
      </c>
      <c r="K125" s="33" t="str">
        <f>IF(AND(_xlfn.XLOOKUP(C125,'Project Details'!$C$17:$C$66,'Project Details'!$L$17:$L$66,"",0)&gt;550, F125="Spring-L27cm"),"",SUBSTITUTE(_xlfn.XLOOKUP(G125,SKUs!$C$2:$C$10001,SKUs!$F$2:$F$10001,"",0), " Accessories",""))</f>
        <v/>
      </c>
      <c r="L125" s="33">
        <f>_xlfn.XLOOKUP(C125,'Project Details'!$C$17:$C$66,'Project Details'!$D$17:$D$66,"",0)</f>
        <v>0</v>
      </c>
      <c r="M125" s="43"/>
    </row>
    <row r="126" spans="1:13" x14ac:dyDescent="0.25">
      <c r="A126" s="43"/>
      <c r="B126" s="43"/>
      <c r="C126" s="35">
        <f t="shared" si="1"/>
        <v>3</v>
      </c>
      <c r="D126" s="35" t="str" cm="1">
        <f t="array" ref="D126">IFERROR(ROUNDUP(_xlfn.IFS(F126="Aluminum Track", _xlfn.XLOOKUP(C126, dd_accsrycalc!$A$2:$A$51, dd_accsrycalc!$B$2:$B$51, "",0), F126="10 x 2 1/2 S (Flat)", _xlfn.XLOOKUP(C126, dd_accsrycalc!$A$2:$A$51, dd_accsrycalc!$C$2:$C$51, "",0), F126="Tox6", _xlfn.XLOOKUP(C126, dd_accsrycalc!$A$2:$A$51, dd_accsrycalc!$D$2:$D$51, "",0), F126="Cover Cap", _xlfn.XLOOKUP(C126, dd_accsrycalc!$A$2:$A$51, dd_accsrycalc!$E$2:$E$51, "",0), F126="Drainage Cover", _xlfn.XLOOKUP(C126, dd_accsrycalc!$A$2:$A$51, dd_accsrycalc!$F$2:$F$51, "",0),AND( F126="Double Adhesive Tape", I126="Roll-up Screen"), _xlfn.XLOOKUP(C126, calc_rusacc!$C$15:$C$65, calc_rusacc!$AD$15:$AD$65, "",0),AND( F126="Sealant", I126="Roll-up Screen"), _xlfn.XLOOKUP(C126, calc_rusacc!$C$15:$C$65, calc_rusacc!$AF$15:$AF$65, "",0),  AND( F126="Main Chain", I126="Accordion Screen"), _xlfn.XLOOKUP(C126, calc_rusacc!$C$15:$C$65, calc_rusacc!$BF$15:$BF$65, "",0), AND( F126="Sealant", I126="Accordion Screen"), _xlfn.XLOOKUP(C126, calc_rusacc!$C$15:$C$65, calc_rusacc!$BJ$15:$BJ$65, "",0),  F126="Sealant", _xlfn.XLOOKUP(C126, dd_accsrycalc!$A$2:$A$51, dd_accsrycalc!$G$2:$G$51, "",0),  F126&lt;&gt;"",L126*_xlfn.XLOOKUP(1, (SKUs!$C$2:$C$10001=G126)*(SKUs!$K$2:$K$10001=I126),SKUs!$E$2:$E$10001)), 0),"")</f>
        <v/>
      </c>
      <c r="E126" s="35" t="str">
        <f>_xlfn.XLOOKUP(F126,dd_item!$B$2:$B$105,dd_item!$C$2:$C$105,"",0)</f>
        <v/>
      </c>
      <c r="F126" s="35"/>
      <c r="G126" s="35" cm="1">
        <f t="array" ref="G126">IFERROR(_xlfn.XLOOKUP(1, (SKUs!$J$2:$J$10001=accsry_unmerged!F126)*IF(H126&lt;&gt;"",(SKUs!$L$2:$L$10001=accsry_unmerged!H126),1)*(SKUs!$K$2:$K$10001=I126),SKUs!$C$2:$C$10001),"")</f>
        <v>0</v>
      </c>
      <c r="H126" s="36" cm="1">
        <f t="array" ref="H126">IFERROR(_xlfn.XLOOKUP(1, (dd_accsryclr!$C$2:$C$1000=accsry_unmerged!F126)*(dd_accsryclr!$B$2:$B$1000=accsry_unmerged!J126),dd_accsryclr!$A$2:$A$1000),"")</f>
        <v>0</v>
      </c>
      <c r="I126" s="35">
        <f>_xlfn.XLOOKUP(C126,'Project Details'!$C$17:$C$66,'Project Details'!$E$17:$E$66,"",0)</f>
        <v>0</v>
      </c>
      <c r="J126" s="35">
        <f>_xlfn.XLOOKUP(C126,'Project Details'!$C$17:$C$66,'Project Details'!$H$17:$H$66,"",0)</f>
        <v>0</v>
      </c>
      <c r="K126" s="36" t="str">
        <f>IF(AND(_xlfn.XLOOKUP(C126,'Project Details'!$C$17:$C$66,'Project Details'!$L$17:$L$66,"",0)&gt;550, F126="Spring-L27cm"),"",SUBSTITUTE(_xlfn.XLOOKUP(G126,SKUs!$C$2:$C$10001,SKUs!$F$2:$F$10001,"",0), " Accessories",""))</f>
        <v/>
      </c>
      <c r="L126" s="36">
        <f>_xlfn.XLOOKUP(C126,'Project Details'!$C$17:$C$66,'Project Details'!$D$17:$D$66,"",0)</f>
        <v>0</v>
      </c>
      <c r="M126" s="43"/>
    </row>
    <row r="127" spans="1:13" x14ac:dyDescent="0.25">
      <c r="A127" s="43"/>
      <c r="B127" s="43"/>
      <c r="C127" s="16">
        <f t="shared" si="1"/>
        <v>3</v>
      </c>
      <c r="D127" s="16" t="str" cm="1">
        <f t="array" ref="D127">IFERROR(ROUNDUP(_xlfn.IFS(F127="Aluminum Track", _xlfn.XLOOKUP(C127, dd_accsrycalc!$A$2:$A$51, dd_accsrycalc!$B$2:$B$51, "",0), F127="10 x 2 1/2 S (Flat)", _xlfn.XLOOKUP(C127, dd_accsrycalc!$A$2:$A$51, dd_accsrycalc!$C$2:$C$51, "",0), F127="Tox6", _xlfn.XLOOKUP(C127, dd_accsrycalc!$A$2:$A$51, dd_accsrycalc!$D$2:$D$51, "",0), F127="Cover Cap", _xlfn.XLOOKUP(C127, dd_accsrycalc!$A$2:$A$51, dd_accsrycalc!$E$2:$E$51, "",0), F127="Drainage Cover", _xlfn.XLOOKUP(C127, dd_accsrycalc!$A$2:$A$51, dd_accsrycalc!$F$2:$F$51, "",0),AND( F127="Double Adhesive Tape", I127="Roll-up Screen"), _xlfn.XLOOKUP(C127, calc_rusacc!$C$15:$C$65, calc_rusacc!$AD$15:$AD$65, "",0),AND( F127="Sealant", I127="Roll-up Screen"), _xlfn.XLOOKUP(C127, calc_rusacc!$C$15:$C$65, calc_rusacc!$AF$15:$AF$65, "",0),  AND( F127="Main Chain", I127="Accordion Screen"), _xlfn.XLOOKUP(C127, calc_rusacc!$C$15:$C$65, calc_rusacc!$BF$15:$BF$65, "",0), AND( F127="Sealant", I127="Accordion Screen"), _xlfn.XLOOKUP(C127, calc_rusacc!$C$15:$C$65, calc_rusacc!$BJ$15:$BJ$65, "",0),  F127="Sealant", _xlfn.XLOOKUP(C127, dd_accsrycalc!$A$2:$A$51, dd_accsrycalc!$G$2:$G$51, "",0),  F127&lt;&gt;"",L127*_xlfn.XLOOKUP(1, (SKUs!$C$2:$C$10001=G127)*(SKUs!$K$2:$K$10001=I127),SKUs!$E$2:$E$10001)), 0),"")</f>
        <v/>
      </c>
      <c r="E127" s="16" t="str">
        <f>_xlfn.XLOOKUP(F127,dd_item!$B$2:$B$105,dd_item!$C$2:$C$105,"",0)</f>
        <v/>
      </c>
      <c r="F127" s="16"/>
      <c r="G127" s="16" cm="1">
        <f t="array" ref="G127">IFERROR(_xlfn.XLOOKUP(1, (SKUs!$J$2:$J$10001=accsry_unmerged!F127)*IF(H127&lt;&gt;"",(SKUs!$L$2:$L$10001=accsry_unmerged!H127),1)*(SKUs!$K$2:$K$10001=I127),SKUs!$C$2:$C$10001),"")</f>
        <v>0</v>
      </c>
      <c r="H127" s="33" cm="1">
        <f t="array" ref="H127">IFERROR(_xlfn.XLOOKUP(1, (dd_accsryclr!$C$2:$C$1000=accsry_unmerged!F127)*(dd_accsryclr!$B$2:$B$1000=accsry_unmerged!J127),dd_accsryclr!$A$2:$A$1000),"")</f>
        <v>0</v>
      </c>
      <c r="I127" s="16">
        <f>_xlfn.XLOOKUP(C127,'Project Details'!$C$17:$C$66,'Project Details'!$E$17:$E$66,"",0)</f>
        <v>0</v>
      </c>
      <c r="J127" s="16">
        <f>_xlfn.XLOOKUP(C127,'Project Details'!$C$17:$C$66,'Project Details'!$H$17:$H$66,"",0)</f>
        <v>0</v>
      </c>
      <c r="K127" s="33" t="str">
        <f>IF(AND(_xlfn.XLOOKUP(C127,'Project Details'!$C$17:$C$66,'Project Details'!$L$17:$L$66,"",0)&gt;550, F127="Spring-L27cm"),"",SUBSTITUTE(_xlfn.XLOOKUP(G127,SKUs!$C$2:$C$10001,SKUs!$F$2:$F$10001,"",0), " Accessories",""))</f>
        <v/>
      </c>
      <c r="L127" s="33">
        <f>_xlfn.XLOOKUP(C127,'Project Details'!$C$17:$C$66,'Project Details'!$D$17:$D$66,"",0)</f>
        <v>0</v>
      </c>
      <c r="M127" s="43"/>
    </row>
    <row r="128" spans="1:13" x14ac:dyDescent="0.25">
      <c r="A128" s="43"/>
      <c r="B128" s="43"/>
      <c r="C128" s="35">
        <f t="shared" si="1"/>
        <v>3</v>
      </c>
      <c r="D128" s="35" t="str" cm="1">
        <f t="array" ref="D128">IFERROR(ROUNDUP(_xlfn.IFS(F128="Aluminum Track", _xlfn.XLOOKUP(C128, dd_accsrycalc!$A$2:$A$51, dd_accsrycalc!$B$2:$B$51, "",0), F128="10 x 2 1/2 S (Flat)", _xlfn.XLOOKUP(C128, dd_accsrycalc!$A$2:$A$51, dd_accsrycalc!$C$2:$C$51, "",0), F128="Tox6", _xlfn.XLOOKUP(C128, dd_accsrycalc!$A$2:$A$51, dd_accsrycalc!$D$2:$D$51, "",0), F128="Cover Cap", _xlfn.XLOOKUP(C128, dd_accsrycalc!$A$2:$A$51, dd_accsrycalc!$E$2:$E$51, "",0), F128="Drainage Cover", _xlfn.XLOOKUP(C128, dd_accsrycalc!$A$2:$A$51, dd_accsrycalc!$F$2:$F$51, "",0),AND( F128="Double Adhesive Tape", I128="Roll-up Screen"), _xlfn.XLOOKUP(C128, calc_rusacc!$C$15:$C$65, calc_rusacc!$AD$15:$AD$65, "",0),AND( F128="Sealant", I128="Roll-up Screen"), _xlfn.XLOOKUP(C128, calc_rusacc!$C$15:$C$65, calc_rusacc!$AF$15:$AF$65, "",0),  AND( F128="Main Chain", I128="Accordion Screen"), _xlfn.XLOOKUP(C128, calc_rusacc!$C$15:$C$65, calc_rusacc!$BF$15:$BF$65, "",0), AND( F128="Sealant", I128="Accordion Screen"), _xlfn.XLOOKUP(C128, calc_rusacc!$C$15:$C$65, calc_rusacc!$BJ$15:$BJ$65, "",0),  F128="Sealant", _xlfn.XLOOKUP(C128, dd_accsrycalc!$A$2:$A$51, dd_accsrycalc!$G$2:$G$51, "",0),  F128&lt;&gt;"",L128*_xlfn.XLOOKUP(1, (SKUs!$C$2:$C$10001=G128)*(SKUs!$K$2:$K$10001=I128),SKUs!$E$2:$E$10001)), 0),"")</f>
        <v/>
      </c>
      <c r="E128" s="35" t="str">
        <f>_xlfn.XLOOKUP(F128,dd_item!$B$2:$B$105,dd_item!$C$2:$C$105,"",0)</f>
        <v/>
      </c>
      <c r="F128" s="35"/>
      <c r="G128" s="35" cm="1">
        <f t="array" ref="G128">IFERROR(_xlfn.XLOOKUP(1, (SKUs!$J$2:$J$10001=accsry_unmerged!F128)*IF(H128&lt;&gt;"",(SKUs!$L$2:$L$10001=accsry_unmerged!H128),1)*(SKUs!$K$2:$K$10001=I128),SKUs!$C$2:$C$10001),"")</f>
        <v>0</v>
      </c>
      <c r="H128" s="36" cm="1">
        <f t="array" ref="H128">IFERROR(_xlfn.XLOOKUP(1, (dd_accsryclr!$C$2:$C$1000=accsry_unmerged!F128)*(dd_accsryclr!$B$2:$B$1000=accsry_unmerged!J128),dd_accsryclr!$A$2:$A$1000),"")</f>
        <v>0</v>
      </c>
      <c r="I128" s="35">
        <f>_xlfn.XLOOKUP(C128,'Project Details'!$C$17:$C$66,'Project Details'!$E$17:$E$66,"",0)</f>
        <v>0</v>
      </c>
      <c r="J128" s="35">
        <f>_xlfn.XLOOKUP(C128,'Project Details'!$C$17:$C$66,'Project Details'!$H$17:$H$66,"",0)</f>
        <v>0</v>
      </c>
      <c r="K128" s="36" t="str">
        <f>IF(AND(_xlfn.XLOOKUP(C128,'Project Details'!$C$17:$C$66,'Project Details'!$L$17:$L$66,"",0)&gt;550, F128="Spring-L27cm"),"",SUBSTITUTE(_xlfn.XLOOKUP(G128,SKUs!$C$2:$C$10001,SKUs!$F$2:$F$10001,"",0), " Accessories",""))</f>
        <v/>
      </c>
      <c r="L128" s="36">
        <f>_xlfn.XLOOKUP(C128,'Project Details'!$C$17:$C$66,'Project Details'!$D$17:$D$66,"",0)</f>
        <v>0</v>
      </c>
      <c r="M128" s="43"/>
    </row>
    <row r="129" spans="1:13" x14ac:dyDescent="0.25">
      <c r="A129" s="43"/>
      <c r="B129" s="43"/>
      <c r="C129" s="16">
        <f t="shared" si="1"/>
        <v>3</v>
      </c>
      <c r="D129" s="16" t="str" cm="1">
        <f t="array" ref="D129">IFERROR(ROUNDUP(_xlfn.IFS(F129="Aluminum Track", _xlfn.XLOOKUP(C129, dd_accsrycalc!$A$2:$A$51, dd_accsrycalc!$B$2:$B$51, "",0), F129="10 x 2 1/2 S (Flat)", _xlfn.XLOOKUP(C129, dd_accsrycalc!$A$2:$A$51, dd_accsrycalc!$C$2:$C$51, "",0), F129="Tox6", _xlfn.XLOOKUP(C129, dd_accsrycalc!$A$2:$A$51, dd_accsrycalc!$D$2:$D$51, "",0), F129="Cover Cap", _xlfn.XLOOKUP(C129, dd_accsrycalc!$A$2:$A$51, dd_accsrycalc!$E$2:$E$51, "",0), F129="Drainage Cover", _xlfn.XLOOKUP(C129, dd_accsrycalc!$A$2:$A$51, dd_accsrycalc!$F$2:$F$51, "",0),AND( F129="Double Adhesive Tape", I129="Roll-up Screen"), _xlfn.XLOOKUP(C129, calc_rusacc!$C$15:$C$65, calc_rusacc!$AD$15:$AD$65, "",0),AND( F129="Sealant", I129="Roll-up Screen"), _xlfn.XLOOKUP(C129, calc_rusacc!$C$15:$C$65, calc_rusacc!$AF$15:$AF$65, "",0),  AND( F129="Main Chain", I129="Accordion Screen"), _xlfn.XLOOKUP(C129, calc_rusacc!$C$15:$C$65, calc_rusacc!$BF$15:$BF$65, "",0), AND( F129="Sealant", I129="Accordion Screen"), _xlfn.XLOOKUP(C129, calc_rusacc!$C$15:$C$65, calc_rusacc!$BJ$15:$BJ$65, "",0),  F129="Sealant", _xlfn.XLOOKUP(C129, dd_accsrycalc!$A$2:$A$51, dd_accsrycalc!$G$2:$G$51, "",0),  F129&lt;&gt;"",L129*_xlfn.XLOOKUP(1, (SKUs!$C$2:$C$10001=G129)*(SKUs!$K$2:$K$10001=I129),SKUs!$E$2:$E$10001)), 0),"")</f>
        <v/>
      </c>
      <c r="E129" s="16" t="str">
        <f>_xlfn.XLOOKUP(F129,dd_item!$B$2:$B$105,dd_item!$C$2:$C$105,"",0)</f>
        <v/>
      </c>
      <c r="F129" s="16"/>
      <c r="G129" s="16" cm="1">
        <f t="array" ref="G129">IFERROR(_xlfn.XLOOKUP(1, (SKUs!$J$2:$J$10001=accsry_unmerged!F129)*IF(H129&lt;&gt;"",(SKUs!$L$2:$L$10001=accsry_unmerged!H129),1)*(SKUs!$K$2:$K$10001=I129),SKUs!$C$2:$C$10001),"")</f>
        <v>0</v>
      </c>
      <c r="H129" s="33" cm="1">
        <f t="array" ref="H129">IFERROR(_xlfn.XLOOKUP(1, (dd_accsryclr!$C$2:$C$1000=accsry_unmerged!F129)*(dd_accsryclr!$B$2:$B$1000=accsry_unmerged!J129),dd_accsryclr!$A$2:$A$1000),"")</f>
        <v>0</v>
      </c>
      <c r="I129" s="16">
        <f>_xlfn.XLOOKUP(C129,'Project Details'!$C$17:$C$66,'Project Details'!$E$17:$E$66,"",0)</f>
        <v>0</v>
      </c>
      <c r="J129" s="16">
        <f>_xlfn.XLOOKUP(C129,'Project Details'!$C$17:$C$66,'Project Details'!$H$17:$H$66,"",0)</f>
        <v>0</v>
      </c>
      <c r="K129" s="33" t="str">
        <f>IF(AND(_xlfn.XLOOKUP(C129,'Project Details'!$C$17:$C$66,'Project Details'!$L$17:$L$66,"",0)&gt;550, F129="Spring-L27cm"),"",SUBSTITUTE(_xlfn.XLOOKUP(G129,SKUs!$C$2:$C$10001,SKUs!$F$2:$F$10001,"",0), " Accessories",""))</f>
        <v/>
      </c>
      <c r="L129" s="33">
        <f>_xlfn.XLOOKUP(C129,'Project Details'!$C$17:$C$66,'Project Details'!$D$17:$D$66,"",0)</f>
        <v>0</v>
      </c>
      <c r="M129" s="43"/>
    </row>
    <row r="130" spans="1:13" x14ac:dyDescent="0.25">
      <c r="A130" s="43"/>
      <c r="B130" s="43"/>
      <c r="C130" s="35">
        <f t="shared" si="1"/>
        <v>3</v>
      </c>
      <c r="D130" s="35" t="str" cm="1">
        <f t="array" ref="D130">IFERROR(ROUNDUP(_xlfn.IFS(F130="Aluminum Track", _xlfn.XLOOKUP(C130, dd_accsrycalc!$A$2:$A$51, dd_accsrycalc!$B$2:$B$51, "",0), F130="10 x 2 1/2 S (Flat)", _xlfn.XLOOKUP(C130, dd_accsrycalc!$A$2:$A$51, dd_accsrycalc!$C$2:$C$51, "",0), F130="Tox6", _xlfn.XLOOKUP(C130, dd_accsrycalc!$A$2:$A$51, dd_accsrycalc!$D$2:$D$51, "",0), F130="Cover Cap", _xlfn.XLOOKUP(C130, dd_accsrycalc!$A$2:$A$51, dd_accsrycalc!$E$2:$E$51, "",0), F130="Drainage Cover", _xlfn.XLOOKUP(C130, dd_accsrycalc!$A$2:$A$51, dd_accsrycalc!$F$2:$F$51, "",0),AND( F130="Double Adhesive Tape", I130="Roll-up Screen"), _xlfn.XLOOKUP(C130, calc_rusacc!$C$15:$C$65, calc_rusacc!$AD$15:$AD$65, "",0),AND( F130="Sealant", I130="Roll-up Screen"), _xlfn.XLOOKUP(C130, calc_rusacc!$C$15:$C$65, calc_rusacc!$AF$15:$AF$65, "",0),  AND( F130="Main Chain", I130="Accordion Screen"), _xlfn.XLOOKUP(C130, calc_rusacc!$C$15:$C$65, calc_rusacc!$BF$15:$BF$65, "",0), AND( F130="Sealant", I130="Accordion Screen"), _xlfn.XLOOKUP(C130, calc_rusacc!$C$15:$C$65, calc_rusacc!$BJ$15:$BJ$65, "",0),  F130="Sealant", _xlfn.XLOOKUP(C130, dd_accsrycalc!$A$2:$A$51, dd_accsrycalc!$G$2:$G$51, "",0),  F130&lt;&gt;"",L130*_xlfn.XLOOKUP(1, (SKUs!$C$2:$C$10001=G130)*(SKUs!$K$2:$K$10001=I130),SKUs!$E$2:$E$10001)), 0),"")</f>
        <v/>
      </c>
      <c r="E130" s="35" t="str">
        <f>_xlfn.XLOOKUP(F130,dd_item!$B$2:$B$105,dd_item!$C$2:$C$105,"",0)</f>
        <v/>
      </c>
      <c r="F130" s="35"/>
      <c r="G130" s="35" cm="1">
        <f t="array" ref="G130">IFERROR(_xlfn.XLOOKUP(1, (SKUs!$J$2:$J$10001=accsry_unmerged!F130)*IF(H130&lt;&gt;"",(SKUs!$L$2:$L$10001=accsry_unmerged!H130),1)*(SKUs!$K$2:$K$10001=I130),SKUs!$C$2:$C$10001),"")</f>
        <v>0</v>
      </c>
      <c r="H130" s="36" cm="1">
        <f t="array" ref="H130">IFERROR(_xlfn.XLOOKUP(1, (dd_accsryclr!$C$2:$C$1000=accsry_unmerged!F130)*(dd_accsryclr!$B$2:$B$1000=accsry_unmerged!J130),dd_accsryclr!$A$2:$A$1000),"")</f>
        <v>0</v>
      </c>
      <c r="I130" s="35">
        <f>_xlfn.XLOOKUP(C130,'Project Details'!$C$17:$C$66,'Project Details'!$E$17:$E$66,"",0)</f>
        <v>0</v>
      </c>
      <c r="J130" s="35">
        <f>_xlfn.XLOOKUP(C130,'Project Details'!$C$17:$C$66,'Project Details'!$H$17:$H$66,"",0)</f>
        <v>0</v>
      </c>
      <c r="K130" s="36" t="str">
        <f>IF(AND(_xlfn.XLOOKUP(C130,'Project Details'!$C$17:$C$66,'Project Details'!$L$17:$L$66,"",0)&gt;550, F130="Spring-L27cm"),"",SUBSTITUTE(_xlfn.XLOOKUP(G130,SKUs!$C$2:$C$10001,SKUs!$F$2:$F$10001,"",0), " Accessories",""))</f>
        <v/>
      </c>
      <c r="L130" s="36">
        <f>_xlfn.XLOOKUP(C130,'Project Details'!$C$17:$C$66,'Project Details'!$D$17:$D$66,"",0)</f>
        <v>0</v>
      </c>
      <c r="M130" s="43"/>
    </row>
    <row r="131" spans="1:13" x14ac:dyDescent="0.25">
      <c r="A131" s="43"/>
      <c r="B131" s="43"/>
      <c r="C131" s="16">
        <f t="shared" si="1"/>
        <v>3</v>
      </c>
      <c r="D131" s="16" t="str" cm="1">
        <f t="array" ref="D131">IFERROR(ROUNDUP(_xlfn.IFS(F131="Aluminum Track", _xlfn.XLOOKUP(C131, dd_accsrycalc!$A$2:$A$51, dd_accsrycalc!$B$2:$B$51, "",0), F131="10 x 2 1/2 S (Flat)", _xlfn.XLOOKUP(C131, dd_accsrycalc!$A$2:$A$51, dd_accsrycalc!$C$2:$C$51, "",0), F131="Tox6", _xlfn.XLOOKUP(C131, dd_accsrycalc!$A$2:$A$51, dd_accsrycalc!$D$2:$D$51, "",0), F131="Cover Cap", _xlfn.XLOOKUP(C131, dd_accsrycalc!$A$2:$A$51, dd_accsrycalc!$E$2:$E$51, "",0), F131="Drainage Cover", _xlfn.XLOOKUP(C131, dd_accsrycalc!$A$2:$A$51, dd_accsrycalc!$F$2:$F$51, "",0),AND( F131="Double Adhesive Tape", I131="Roll-up Screen"), _xlfn.XLOOKUP(C131, calc_rusacc!$C$15:$C$65, calc_rusacc!$AD$15:$AD$65, "",0),AND( F131="Sealant", I131="Roll-up Screen"), _xlfn.XLOOKUP(C131, calc_rusacc!$C$15:$C$65, calc_rusacc!$AF$15:$AF$65, "",0),  AND( F131="Main Chain", I131="Accordion Screen"), _xlfn.XLOOKUP(C131, calc_rusacc!$C$15:$C$65, calc_rusacc!$BF$15:$BF$65, "",0), AND( F131="Sealant", I131="Accordion Screen"), _xlfn.XLOOKUP(C131, calc_rusacc!$C$15:$C$65, calc_rusacc!$BJ$15:$BJ$65, "",0),  F131="Sealant", _xlfn.XLOOKUP(C131, dd_accsrycalc!$A$2:$A$51, dd_accsrycalc!$G$2:$G$51, "",0),  F131&lt;&gt;"",L131*_xlfn.XLOOKUP(1, (SKUs!$C$2:$C$10001=G131)*(SKUs!$K$2:$K$10001=I131),SKUs!$E$2:$E$10001)), 0),"")</f>
        <v/>
      </c>
      <c r="E131" s="16" t="str">
        <f>_xlfn.XLOOKUP(F131,dd_item!$B$2:$B$105,dd_item!$C$2:$C$105,"",0)</f>
        <v/>
      </c>
      <c r="F131" s="16"/>
      <c r="G131" s="16" cm="1">
        <f t="array" ref="G131">IFERROR(_xlfn.XLOOKUP(1, (SKUs!$J$2:$J$10001=accsry_unmerged!F131)*IF(H131&lt;&gt;"",(SKUs!$L$2:$L$10001=accsry_unmerged!H131),1)*(SKUs!$K$2:$K$10001=I131),SKUs!$C$2:$C$10001),"")</f>
        <v>0</v>
      </c>
      <c r="H131" s="33" cm="1">
        <f t="array" ref="H131">IFERROR(_xlfn.XLOOKUP(1, (dd_accsryclr!$C$2:$C$1000=accsry_unmerged!F131)*(dd_accsryclr!$B$2:$B$1000=accsry_unmerged!J131),dd_accsryclr!$A$2:$A$1000),"")</f>
        <v>0</v>
      </c>
      <c r="I131" s="16">
        <f>_xlfn.XLOOKUP(C131,'Project Details'!$C$17:$C$66,'Project Details'!$E$17:$E$66,"",0)</f>
        <v>0</v>
      </c>
      <c r="J131" s="16">
        <f>_xlfn.XLOOKUP(C131,'Project Details'!$C$17:$C$66,'Project Details'!$H$17:$H$66,"",0)</f>
        <v>0</v>
      </c>
      <c r="K131" s="33" t="str">
        <f>IF(AND(_xlfn.XLOOKUP(C131,'Project Details'!$C$17:$C$66,'Project Details'!$L$17:$L$66,"",0)&gt;550, F131="Spring-L27cm"),"",SUBSTITUTE(_xlfn.XLOOKUP(G131,SKUs!$C$2:$C$10001,SKUs!$F$2:$F$10001,"",0), " Accessories",""))</f>
        <v/>
      </c>
      <c r="L131" s="33">
        <f>_xlfn.XLOOKUP(C131,'Project Details'!$C$17:$C$66,'Project Details'!$D$17:$D$66,"",0)</f>
        <v>0</v>
      </c>
      <c r="M131" s="43"/>
    </row>
    <row r="132" spans="1:13" x14ac:dyDescent="0.25">
      <c r="A132" s="43"/>
      <c r="B132" s="43"/>
      <c r="C132" s="35">
        <f t="shared" si="1"/>
        <v>3</v>
      </c>
      <c r="D132" s="35" t="str" cm="1">
        <f t="array" ref="D132">IFERROR(ROUNDUP(_xlfn.IFS(F132="Aluminum Track", _xlfn.XLOOKUP(C132, dd_accsrycalc!$A$2:$A$51, dd_accsrycalc!$B$2:$B$51, "",0), F132="10 x 2 1/2 S (Flat)", _xlfn.XLOOKUP(C132, dd_accsrycalc!$A$2:$A$51, dd_accsrycalc!$C$2:$C$51, "",0), F132="Tox6", _xlfn.XLOOKUP(C132, dd_accsrycalc!$A$2:$A$51, dd_accsrycalc!$D$2:$D$51, "",0), F132="Cover Cap", _xlfn.XLOOKUP(C132, dd_accsrycalc!$A$2:$A$51, dd_accsrycalc!$E$2:$E$51, "",0), F132="Drainage Cover", _xlfn.XLOOKUP(C132, dd_accsrycalc!$A$2:$A$51, dd_accsrycalc!$F$2:$F$51, "",0),AND( F132="Double Adhesive Tape", I132="Roll-up Screen"), _xlfn.XLOOKUP(C132, calc_rusacc!$C$15:$C$65, calc_rusacc!$AD$15:$AD$65, "",0),AND( F132="Sealant", I132="Roll-up Screen"), _xlfn.XLOOKUP(C132, calc_rusacc!$C$15:$C$65, calc_rusacc!$AF$15:$AF$65, "",0),  AND( F132="Main Chain", I132="Accordion Screen"), _xlfn.XLOOKUP(C132, calc_rusacc!$C$15:$C$65, calc_rusacc!$BF$15:$BF$65, "",0), AND( F132="Sealant", I132="Accordion Screen"), _xlfn.XLOOKUP(C132, calc_rusacc!$C$15:$C$65, calc_rusacc!$BJ$15:$BJ$65, "",0),  F132="Sealant", _xlfn.XLOOKUP(C132, dd_accsrycalc!$A$2:$A$51, dd_accsrycalc!$G$2:$G$51, "",0),  F132&lt;&gt;"",L132*_xlfn.XLOOKUP(1, (SKUs!$C$2:$C$10001=G132)*(SKUs!$K$2:$K$10001=I132),SKUs!$E$2:$E$10001)), 0),"")</f>
        <v/>
      </c>
      <c r="E132" s="35" t="str">
        <f>_xlfn.XLOOKUP(F132,dd_item!$B$2:$B$105,dd_item!$C$2:$C$105,"",0)</f>
        <v/>
      </c>
      <c r="F132" s="35"/>
      <c r="G132" s="35" cm="1">
        <f t="array" ref="G132">IFERROR(_xlfn.XLOOKUP(1, (SKUs!$J$2:$J$10001=accsry_unmerged!F132)*IF(H132&lt;&gt;"",(SKUs!$L$2:$L$10001=accsry_unmerged!H132),1)*(SKUs!$K$2:$K$10001=I132),SKUs!$C$2:$C$10001),"")</f>
        <v>0</v>
      </c>
      <c r="H132" s="36" cm="1">
        <f t="array" ref="H132">IFERROR(_xlfn.XLOOKUP(1, (dd_accsryclr!$C$2:$C$1000=accsry_unmerged!F132)*(dd_accsryclr!$B$2:$B$1000=accsry_unmerged!J132),dd_accsryclr!$A$2:$A$1000),"")</f>
        <v>0</v>
      </c>
      <c r="I132" s="35">
        <f>_xlfn.XLOOKUP(C132,'Project Details'!$C$17:$C$66,'Project Details'!$E$17:$E$66,"",0)</f>
        <v>0</v>
      </c>
      <c r="J132" s="35">
        <f>_xlfn.XLOOKUP(C132,'Project Details'!$C$17:$C$66,'Project Details'!$H$17:$H$66,"",0)</f>
        <v>0</v>
      </c>
      <c r="K132" s="36" t="str">
        <f>IF(AND(_xlfn.XLOOKUP(C132,'Project Details'!$C$17:$C$66,'Project Details'!$L$17:$L$66,"",0)&gt;550, F132="Spring-L27cm"),"",SUBSTITUTE(_xlfn.XLOOKUP(G132,SKUs!$C$2:$C$10001,SKUs!$F$2:$F$10001,"",0), " Accessories",""))</f>
        <v/>
      </c>
      <c r="L132" s="36">
        <f>_xlfn.XLOOKUP(C132,'Project Details'!$C$17:$C$66,'Project Details'!$D$17:$D$66,"",0)</f>
        <v>0</v>
      </c>
      <c r="M132" s="43"/>
    </row>
    <row r="133" spans="1:13" x14ac:dyDescent="0.25">
      <c r="A133" s="43"/>
      <c r="B133" s="43"/>
      <c r="C133" s="16">
        <f t="shared" si="1"/>
        <v>3</v>
      </c>
      <c r="D133" s="16" t="str" cm="1">
        <f t="array" ref="D133">IFERROR(ROUNDUP(_xlfn.IFS(F133="Aluminum Track", _xlfn.XLOOKUP(C133, dd_accsrycalc!$A$2:$A$51, dd_accsrycalc!$B$2:$B$51, "",0), F133="10 x 2 1/2 S (Flat)", _xlfn.XLOOKUP(C133, dd_accsrycalc!$A$2:$A$51, dd_accsrycalc!$C$2:$C$51, "",0), F133="Tox6", _xlfn.XLOOKUP(C133, dd_accsrycalc!$A$2:$A$51, dd_accsrycalc!$D$2:$D$51, "",0), F133="Cover Cap", _xlfn.XLOOKUP(C133, dd_accsrycalc!$A$2:$A$51, dd_accsrycalc!$E$2:$E$51, "",0), F133="Drainage Cover", _xlfn.XLOOKUP(C133, dd_accsrycalc!$A$2:$A$51, dd_accsrycalc!$F$2:$F$51, "",0),AND( F133="Double Adhesive Tape", I133="Roll-up Screen"), _xlfn.XLOOKUP(C133, calc_rusacc!$C$15:$C$65, calc_rusacc!$AD$15:$AD$65, "",0),AND( F133="Sealant", I133="Roll-up Screen"), _xlfn.XLOOKUP(C133, calc_rusacc!$C$15:$C$65, calc_rusacc!$AF$15:$AF$65, "",0),  AND( F133="Main Chain", I133="Accordion Screen"), _xlfn.XLOOKUP(C133, calc_rusacc!$C$15:$C$65, calc_rusacc!$BF$15:$BF$65, "",0), AND( F133="Sealant", I133="Accordion Screen"), _xlfn.XLOOKUP(C133, calc_rusacc!$C$15:$C$65, calc_rusacc!$BJ$15:$BJ$65, "",0),  F133="Sealant", _xlfn.XLOOKUP(C133, dd_accsrycalc!$A$2:$A$51, dd_accsrycalc!$G$2:$G$51, "",0),  F133&lt;&gt;"",L133*_xlfn.XLOOKUP(1, (SKUs!$C$2:$C$10001=G133)*(SKUs!$K$2:$K$10001=I133),SKUs!$E$2:$E$10001)), 0),"")</f>
        <v/>
      </c>
      <c r="E133" s="16" t="str">
        <f>_xlfn.XLOOKUP(F133,dd_item!$B$2:$B$105,dd_item!$C$2:$C$105,"",0)</f>
        <v/>
      </c>
      <c r="F133" s="16"/>
      <c r="G133" s="16" cm="1">
        <f t="array" ref="G133">IFERROR(_xlfn.XLOOKUP(1, (SKUs!$J$2:$J$10001=accsry_unmerged!F133)*IF(H133&lt;&gt;"",(SKUs!$L$2:$L$10001=accsry_unmerged!H133),1)*(SKUs!$K$2:$K$10001=I133),SKUs!$C$2:$C$10001),"")</f>
        <v>0</v>
      </c>
      <c r="H133" s="33" cm="1">
        <f t="array" ref="H133">IFERROR(_xlfn.XLOOKUP(1, (dd_accsryclr!$C$2:$C$1000=accsry_unmerged!F133)*(dd_accsryclr!$B$2:$B$1000=accsry_unmerged!J133),dd_accsryclr!$A$2:$A$1000),"")</f>
        <v>0</v>
      </c>
      <c r="I133" s="16">
        <f>_xlfn.XLOOKUP(C133,'Project Details'!$C$17:$C$66,'Project Details'!$E$17:$E$66,"",0)</f>
        <v>0</v>
      </c>
      <c r="J133" s="16">
        <f>_xlfn.XLOOKUP(C133,'Project Details'!$C$17:$C$66,'Project Details'!$H$17:$H$66,"",0)</f>
        <v>0</v>
      </c>
      <c r="K133" s="33" t="str">
        <f>IF(AND(_xlfn.XLOOKUP(C133,'Project Details'!$C$17:$C$66,'Project Details'!$L$17:$L$66,"",0)&gt;550, F133="Spring-L27cm"),"",SUBSTITUTE(_xlfn.XLOOKUP(G133,SKUs!$C$2:$C$10001,SKUs!$F$2:$F$10001,"",0), " Accessories",""))</f>
        <v/>
      </c>
      <c r="L133" s="33">
        <f>_xlfn.XLOOKUP(C133,'Project Details'!$C$17:$C$66,'Project Details'!$D$17:$D$66,"",0)</f>
        <v>0</v>
      </c>
      <c r="M133" s="43"/>
    </row>
    <row r="134" spans="1:13" ht="13.5" customHeight="1" x14ac:dyDescent="0.25">
      <c r="A134" s="43"/>
      <c r="B134" s="43"/>
      <c r="C134" s="35">
        <f t="shared" si="1"/>
        <v>3</v>
      </c>
      <c r="D134" s="35" t="str" cm="1">
        <f t="array" ref="D134">IFERROR(ROUNDUP(_xlfn.IFS(F134="Aluminum Track", _xlfn.XLOOKUP(C134, dd_accsrycalc!$A$2:$A$51, dd_accsrycalc!$B$2:$B$51, "",0), F134="10 x 2 1/2 S (Flat)", _xlfn.XLOOKUP(C134, dd_accsrycalc!$A$2:$A$51, dd_accsrycalc!$C$2:$C$51, "",0), F134="Tox6", _xlfn.XLOOKUP(C134, dd_accsrycalc!$A$2:$A$51, dd_accsrycalc!$D$2:$D$51, "",0), F134="Cover Cap", _xlfn.XLOOKUP(C134, dd_accsrycalc!$A$2:$A$51, dd_accsrycalc!$E$2:$E$51, "",0), F134="Drainage Cover", _xlfn.XLOOKUP(C134, dd_accsrycalc!$A$2:$A$51, dd_accsrycalc!$F$2:$F$51, "",0),AND( F134="Double Adhesive Tape", I134="Roll-up Screen"), _xlfn.XLOOKUP(C134, calc_rusacc!$C$15:$C$65, calc_rusacc!$AD$15:$AD$65, "",0),AND( F134="Sealant", I134="Roll-up Screen"), _xlfn.XLOOKUP(C134, calc_rusacc!$C$15:$C$65, calc_rusacc!$AF$15:$AF$65, "",0),  AND( F134="Main Chain", I134="Accordion Screen"), _xlfn.XLOOKUP(C134, calc_rusacc!$C$15:$C$65, calc_rusacc!$BF$15:$BF$65, "",0), AND( F134="Sealant", I134="Accordion Screen"), _xlfn.XLOOKUP(C134, calc_rusacc!$C$15:$C$65, calc_rusacc!$BJ$15:$BJ$65, "",0),  F134="Sealant", _xlfn.XLOOKUP(C134, dd_accsrycalc!$A$2:$A$51, dd_accsrycalc!$G$2:$G$51, "",0),  F134&lt;&gt;"",L134*_xlfn.XLOOKUP(1, (SKUs!$C$2:$C$10001=G134)*(SKUs!$K$2:$K$10001=I134),SKUs!$E$2:$E$10001)), 0),"")</f>
        <v/>
      </c>
      <c r="E134" s="35" t="str">
        <f>_xlfn.XLOOKUP(F134,dd_item!$B$2:$B$105,dd_item!$C$2:$C$105,"",0)</f>
        <v/>
      </c>
      <c r="F134" s="35"/>
      <c r="G134" s="35" cm="1">
        <f t="array" ref="G134">IFERROR(_xlfn.XLOOKUP(1, (SKUs!$J$2:$J$10001=accsry_unmerged!F134)*IF(H134&lt;&gt;"",(SKUs!$L$2:$L$10001=accsry_unmerged!H134),1)*(SKUs!$K$2:$K$10001=I134),SKUs!$C$2:$C$10001),"")</f>
        <v>0</v>
      </c>
      <c r="H134" s="36" cm="1">
        <f t="array" ref="H134">IFERROR(_xlfn.XLOOKUP(1, (dd_accsryclr!$C$2:$C$1000=accsry_unmerged!F134)*(dd_accsryclr!$B$2:$B$1000=accsry_unmerged!J134),dd_accsryclr!$A$2:$A$1000),"")</f>
        <v>0</v>
      </c>
      <c r="I134" s="35">
        <f>_xlfn.XLOOKUP(C134,'Project Details'!$C$17:$C$66,'Project Details'!$E$17:$E$66,"",0)</f>
        <v>0</v>
      </c>
      <c r="J134" s="35">
        <f>_xlfn.XLOOKUP(C134,'Project Details'!$C$17:$C$66,'Project Details'!$H$17:$H$66,"",0)</f>
        <v>0</v>
      </c>
      <c r="K134" s="36" t="str">
        <f>IF(AND(_xlfn.XLOOKUP(C134,'Project Details'!$C$17:$C$66,'Project Details'!$L$17:$L$66,"",0)&gt;550, F134="Spring-L27cm"),"",SUBSTITUTE(_xlfn.XLOOKUP(G134,SKUs!$C$2:$C$10001,SKUs!$F$2:$F$10001,"",0), " Accessories",""))</f>
        <v/>
      </c>
      <c r="L134" s="36">
        <f>_xlfn.XLOOKUP(C134,'Project Details'!$C$17:$C$66,'Project Details'!$D$17:$D$66,"",0)</f>
        <v>0</v>
      </c>
      <c r="M134" s="43"/>
    </row>
    <row r="135" spans="1:13" ht="13.5" customHeight="1" x14ac:dyDescent="0.25">
      <c r="A135" s="43"/>
      <c r="B135" s="43"/>
      <c r="C135" s="16">
        <f t="shared" si="1"/>
        <v>3</v>
      </c>
      <c r="D135" s="16" t="str" cm="1">
        <f t="array" ref="D135">IFERROR(ROUNDUP(_xlfn.IFS(F135="Aluminum Track", _xlfn.XLOOKUP(C135, dd_accsrycalc!$A$2:$A$51, dd_accsrycalc!$B$2:$B$51, "",0), F135="10 x 2 1/2 S (Flat)", _xlfn.XLOOKUP(C135, dd_accsrycalc!$A$2:$A$51, dd_accsrycalc!$C$2:$C$51, "",0), F135="Tox6", _xlfn.XLOOKUP(C135, dd_accsrycalc!$A$2:$A$51, dd_accsrycalc!$D$2:$D$51, "",0), F135="Cover Cap", _xlfn.XLOOKUP(C135, dd_accsrycalc!$A$2:$A$51, dd_accsrycalc!$E$2:$E$51, "",0), F135="Drainage Cover", _xlfn.XLOOKUP(C135, dd_accsrycalc!$A$2:$A$51, dd_accsrycalc!$F$2:$F$51, "",0),AND( F135="Double Adhesive Tape", I135="Roll-up Screen"), _xlfn.XLOOKUP(C135, calc_rusacc!$C$15:$C$65, calc_rusacc!$AD$15:$AD$65, "",0),AND( F135="Sealant", I135="Roll-up Screen"), _xlfn.XLOOKUP(C135, calc_rusacc!$C$15:$C$65, calc_rusacc!$AF$15:$AF$65, "",0),  AND( F135="Main Chain", I135="Accordion Screen"), _xlfn.XLOOKUP(C135, calc_rusacc!$C$15:$C$65, calc_rusacc!$BF$15:$BF$65, "",0), AND( F135="Sealant", I135="Accordion Screen"), _xlfn.XLOOKUP(C135, calc_rusacc!$C$15:$C$65, calc_rusacc!$BJ$15:$BJ$65, "",0),  F135="Sealant", _xlfn.XLOOKUP(C135, dd_accsrycalc!$A$2:$A$51, dd_accsrycalc!$G$2:$G$51, "",0),  F135&lt;&gt;"",L135*_xlfn.XLOOKUP(1, (SKUs!$C$2:$C$10001=G135)*(SKUs!$K$2:$K$10001=I135),SKUs!$E$2:$E$10001)), 0),"")</f>
        <v/>
      </c>
      <c r="E135" s="16" t="str">
        <f>_xlfn.XLOOKUP(F135,dd_item!$B$2:$B$105,dd_item!$C$2:$C$105,"",0)</f>
        <v/>
      </c>
      <c r="F135" s="16"/>
      <c r="G135" s="16" cm="1">
        <f t="array" ref="G135">IFERROR(_xlfn.XLOOKUP(1, (SKUs!$J$2:$J$10001=accsry_unmerged!F135)*IF(H135&lt;&gt;"",(SKUs!$L$2:$L$10001=accsry_unmerged!H135),1)*(SKUs!$K$2:$K$10001=I135),SKUs!$C$2:$C$10001),"")</f>
        <v>0</v>
      </c>
      <c r="H135" s="33" cm="1">
        <f t="array" ref="H135">IFERROR(_xlfn.XLOOKUP(1, (dd_accsryclr!$C$2:$C$1000=accsry_unmerged!F135)*(dd_accsryclr!$B$2:$B$1000=accsry_unmerged!J135),dd_accsryclr!$A$2:$A$1000),"")</f>
        <v>0</v>
      </c>
      <c r="I135" s="16">
        <f>_xlfn.XLOOKUP(C135,'Project Details'!$C$17:$C$66,'Project Details'!$E$17:$E$66,"",0)</f>
        <v>0</v>
      </c>
      <c r="J135" s="16">
        <f>_xlfn.XLOOKUP(C135,'Project Details'!$C$17:$C$66,'Project Details'!$H$17:$H$66,"",0)</f>
        <v>0</v>
      </c>
      <c r="K135" s="33" t="str">
        <f>IF(AND(_xlfn.XLOOKUP(C135,'Project Details'!$C$17:$C$66,'Project Details'!$L$17:$L$66,"",0)&gt;550, F135="Spring-L27cm"),"",SUBSTITUTE(_xlfn.XLOOKUP(G135,SKUs!$C$2:$C$10001,SKUs!$F$2:$F$10001,"",0), " Accessories",""))</f>
        <v/>
      </c>
      <c r="L135" s="33">
        <f>_xlfn.XLOOKUP(C135,'Project Details'!$C$17:$C$66,'Project Details'!$D$17:$D$66,"",0)</f>
        <v>0</v>
      </c>
      <c r="M135" s="43"/>
    </row>
    <row r="136" spans="1:13" ht="13.5" customHeight="1" x14ac:dyDescent="0.25">
      <c r="A136" s="43"/>
      <c r="B136" s="43"/>
      <c r="C136" s="35">
        <f t="shared" si="1"/>
        <v>3</v>
      </c>
      <c r="D136" s="35" t="str" cm="1">
        <f t="array" ref="D136">IFERROR(ROUNDUP(_xlfn.IFS(F136="Aluminum Track", _xlfn.XLOOKUP(C136, dd_accsrycalc!$A$2:$A$51, dd_accsrycalc!$B$2:$B$51, "",0), F136="10 x 2 1/2 S (Flat)", _xlfn.XLOOKUP(C136, dd_accsrycalc!$A$2:$A$51, dd_accsrycalc!$C$2:$C$51, "",0), F136="Tox6", _xlfn.XLOOKUP(C136, dd_accsrycalc!$A$2:$A$51, dd_accsrycalc!$D$2:$D$51, "",0), F136="Cover Cap", _xlfn.XLOOKUP(C136, dd_accsrycalc!$A$2:$A$51, dd_accsrycalc!$E$2:$E$51, "",0), F136="Drainage Cover", _xlfn.XLOOKUP(C136, dd_accsrycalc!$A$2:$A$51, dd_accsrycalc!$F$2:$F$51, "",0),AND( F136="Double Adhesive Tape", I136="Roll-up Screen"), _xlfn.XLOOKUP(C136, calc_rusacc!$C$15:$C$65, calc_rusacc!$AD$15:$AD$65, "",0),AND( F136="Sealant", I136="Roll-up Screen"), _xlfn.XLOOKUP(C136, calc_rusacc!$C$15:$C$65, calc_rusacc!$AF$15:$AF$65, "",0),  AND( F136="Main Chain", I136="Accordion Screen"), _xlfn.XLOOKUP(C136, calc_rusacc!$C$15:$C$65, calc_rusacc!$BF$15:$BF$65, "",0), AND( F136="Sealant", I136="Accordion Screen"), _xlfn.XLOOKUP(C136, calc_rusacc!$C$15:$C$65, calc_rusacc!$BJ$15:$BJ$65, "",0),  F136="Sealant", _xlfn.XLOOKUP(C136, dd_accsrycalc!$A$2:$A$51, dd_accsrycalc!$G$2:$G$51, "",0),  F136&lt;&gt;"",L136*_xlfn.XLOOKUP(1, (SKUs!$C$2:$C$10001=G136)*(SKUs!$K$2:$K$10001=I136),SKUs!$E$2:$E$10001)), 0),"")</f>
        <v/>
      </c>
      <c r="E136" s="35" t="str">
        <f>_xlfn.XLOOKUP(F136,dd_item!$B$2:$B$105,dd_item!$C$2:$C$105,"",0)</f>
        <v/>
      </c>
      <c r="F136" s="35"/>
      <c r="G136" s="35" cm="1">
        <f t="array" ref="G136">IFERROR(_xlfn.XLOOKUP(1, (SKUs!$J$2:$J$10001=accsry_unmerged!F136)*IF(H136&lt;&gt;"",(SKUs!$L$2:$L$10001=accsry_unmerged!H136),1)*(SKUs!$K$2:$K$10001=I136),SKUs!$C$2:$C$10001),"")</f>
        <v>0</v>
      </c>
      <c r="H136" s="36" cm="1">
        <f t="array" ref="H136">IFERROR(_xlfn.XLOOKUP(1, (dd_accsryclr!$C$2:$C$1000=accsry_unmerged!F136)*(dd_accsryclr!$B$2:$B$1000=accsry_unmerged!J136),dd_accsryclr!$A$2:$A$1000),"")</f>
        <v>0</v>
      </c>
      <c r="I136" s="35">
        <f>_xlfn.XLOOKUP(C136,'Project Details'!$C$17:$C$66,'Project Details'!$E$17:$E$66,"",0)</f>
        <v>0</v>
      </c>
      <c r="J136" s="35">
        <f>_xlfn.XLOOKUP(C136,'Project Details'!$C$17:$C$66,'Project Details'!$H$17:$H$66,"",0)</f>
        <v>0</v>
      </c>
      <c r="K136" s="36" t="str">
        <f>IF(AND(_xlfn.XLOOKUP(C136,'Project Details'!$C$17:$C$66,'Project Details'!$L$17:$L$66,"",0)&gt;550, F136="Spring-L27cm"),"",SUBSTITUTE(_xlfn.XLOOKUP(G136,SKUs!$C$2:$C$10001,SKUs!$F$2:$F$10001,"",0), " Accessories",""))</f>
        <v/>
      </c>
      <c r="L136" s="36">
        <f>_xlfn.XLOOKUP(C136,'Project Details'!$C$17:$C$66,'Project Details'!$D$17:$D$66,"",0)</f>
        <v>0</v>
      </c>
      <c r="M136" s="43"/>
    </row>
    <row r="137" spans="1:13" ht="13.5" customHeight="1" x14ac:dyDescent="0.25">
      <c r="A137" s="43"/>
      <c r="B137" s="43"/>
      <c r="C137" s="16">
        <f t="shared" si="1"/>
        <v>3</v>
      </c>
      <c r="D137" s="16" t="str" cm="1">
        <f t="array" ref="D137">IFERROR(ROUNDUP(_xlfn.IFS(F137="Aluminum Track", _xlfn.XLOOKUP(C137, dd_accsrycalc!$A$2:$A$51, dd_accsrycalc!$B$2:$B$51, "",0), F137="10 x 2 1/2 S (Flat)", _xlfn.XLOOKUP(C137, dd_accsrycalc!$A$2:$A$51, dd_accsrycalc!$C$2:$C$51, "",0), F137="Tox6", _xlfn.XLOOKUP(C137, dd_accsrycalc!$A$2:$A$51, dd_accsrycalc!$D$2:$D$51, "",0), F137="Cover Cap", _xlfn.XLOOKUP(C137, dd_accsrycalc!$A$2:$A$51, dd_accsrycalc!$E$2:$E$51, "",0), F137="Drainage Cover", _xlfn.XLOOKUP(C137, dd_accsrycalc!$A$2:$A$51, dd_accsrycalc!$F$2:$F$51, "",0),AND( F137="Double Adhesive Tape", I137="Roll-up Screen"), _xlfn.XLOOKUP(C137, calc_rusacc!$C$15:$C$65, calc_rusacc!$AD$15:$AD$65, "",0),AND( F137="Sealant", I137="Roll-up Screen"), _xlfn.XLOOKUP(C137, calc_rusacc!$C$15:$C$65, calc_rusacc!$AF$15:$AF$65, "",0),  AND( F137="Main Chain", I137="Accordion Screen"), _xlfn.XLOOKUP(C137, calc_rusacc!$C$15:$C$65, calc_rusacc!$BF$15:$BF$65, "",0), AND( F137="Sealant", I137="Accordion Screen"), _xlfn.XLOOKUP(C137, calc_rusacc!$C$15:$C$65, calc_rusacc!$BJ$15:$BJ$65, "",0),  F137="Sealant", _xlfn.XLOOKUP(C137, dd_accsrycalc!$A$2:$A$51, dd_accsrycalc!$G$2:$G$51, "",0),  F137&lt;&gt;"",L137*_xlfn.XLOOKUP(1, (SKUs!$C$2:$C$10001=G137)*(SKUs!$K$2:$K$10001=I137),SKUs!$E$2:$E$10001)), 0),"")</f>
        <v/>
      </c>
      <c r="E137" s="16" t="str">
        <f>_xlfn.XLOOKUP(F137,dd_item!$B$2:$B$105,dd_item!$C$2:$C$105,"",0)</f>
        <v/>
      </c>
      <c r="F137" s="16"/>
      <c r="G137" s="16" cm="1">
        <f t="array" ref="G137">IFERROR(_xlfn.XLOOKUP(1, (SKUs!$J$2:$J$10001=accsry_unmerged!F137)*IF(H137&lt;&gt;"",(SKUs!$L$2:$L$10001=accsry_unmerged!H137),1)*(SKUs!$K$2:$K$10001=I137),SKUs!$C$2:$C$10001),"")</f>
        <v>0</v>
      </c>
      <c r="H137" s="33" cm="1">
        <f t="array" ref="H137">IFERROR(_xlfn.XLOOKUP(1, (dd_accsryclr!$C$2:$C$1000=accsry_unmerged!F137)*(dd_accsryclr!$B$2:$B$1000=accsry_unmerged!J137),dd_accsryclr!$A$2:$A$1000),"")</f>
        <v>0</v>
      </c>
      <c r="I137" s="16">
        <f>_xlfn.XLOOKUP(C137,'Project Details'!$C$17:$C$66,'Project Details'!$E$17:$E$66,"",0)</f>
        <v>0</v>
      </c>
      <c r="J137" s="16">
        <f>_xlfn.XLOOKUP(C137,'Project Details'!$C$17:$C$66,'Project Details'!$H$17:$H$66,"",0)</f>
        <v>0</v>
      </c>
      <c r="K137" s="33" t="str">
        <f>IF(AND(_xlfn.XLOOKUP(C137,'Project Details'!$C$17:$C$66,'Project Details'!$L$17:$L$66,"",0)&gt;550, F137="Spring-L27cm"),"",SUBSTITUTE(_xlfn.XLOOKUP(G137,SKUs!$C$2:$C$10001,SKUs!$F$2:$F$10001,"",0), " Accessories",""))</f>
        <v/>
      </c>
      <c r="L137" s="33">
        <f>_xlfn.XLOOKUP(C137,'Project Details'!$C$17:$C$66,'Project Details'!$D$17:$D$66,"",0)</f>
        <v>0</v>
      </c>
      <c r="M137" s="43"/>
    </row>
    <row r="138" spans="1:13" ht="13.5" customHeight="1" x14ac:dyDescent="0.25">
      <c r="A138" s="43"/>
      <c r="B138" s="43"/>
      <c r="C138" s="35">
        <f t="shared" si="1"/>
        <v>3</v>
      </c>
      <c r="D138" s="35" t="str" cm="1">
        <f t="array" ref="D138">IFERROR(ROUNDUP(_xlfn.IFS(F138="Aluminum Track", _xlfn.XLOOKUP(C138, dd_accsrycalc!$A$2:$A$51, dd_accsrycalc!$B$2:$B$51, "",0), F138="10 x 2 1/2 S (Flat)", _xlfn.XLOOKUP(C138, dd_accsrycalc!$A$2:$A$51, dd_accsrycalc!$C$2:$C$51, "",0), F138="Tox6", _xlfn.XLOOKUP(C138, dd_accsrycalc!$A$2:$A$51, dd_accsrycalc!$D$2:$D$51, "",0), F138="Cover Cap", _xlfn.XLOOKUP(C138, dd_accsrycalc!$A$2:$A$51, dd_accsrycalc!$E$2:$E$51, "",0), F138="Drainage Cover", _xlfn.XLOOKUP(C138, dd_accsrycalc!$A$2:$A$51, dd_accsrycalc!$F$2:$F$51, "",0),AND( F138="Double Adhesive Tape", I138="Roll-up Screen"), _xlfn.XLOOKUP(C138, calc_rusacc!$C$15:$C$65, calc_rusacc!$AD$15:$AD$65, "",0),AND( F138="Sealant", I138="Roll-up Screen"), _xlfn.XLOOKUP(C138, calc_rusacc!$C$15:$C$65, calc_rusacc!$AF$15:$AF$65, "",0),  AND( F138="Main Chain", I138="Accordion Screen"), _xlfn.XLOOKUP(C138, calc_rusacc!$C$15:$C$65, calc_rusacc!$BF$15:$BF$65, "",0), AND( F138="Sealant", I138="Accordion Screen"), _xlfn.XLOOKUP(C138, calc_rusacc!$C$15:$C$65, calc_rusacc!$BJ$15:$BJ$65, "",0),  F138="Sealant", _xlfn.XLOOKUP(C138, dd_accsrycalc!$A$2:$A$51, dd_accsrycalc!$G$2:$G$51, "",0),  F138&lt;&gt;"",L138*_xlfn.XLOOKUP(1, (SKUs!$C$2:$C$10001=G138)*(SKUs!$K$2:$K$10001=I138),SKUs!$E$2:$E$10001)), 0),"")</f>
        <v/>
      </c>
      <c r="E138" s="35" t="str">
        <f>_xlfn.XLOOKUP(F138,dd_item!$B$2:$B$105,dd_item!$C$2:$C$105,"",0)</f>
        <v/>
      </c>
      <c r="F138" s="35"/>
      <c r="G138" s="35" cm="1">
        <f t="array" ref="G138">IFERROR(_xlfn.XLOOKUP(1, (SKUs!$J$2:$J$10001=accsry_unmerged!F138)*IF(H138&lt;&gt;"",(SKUs!$L$2:$L$10001=accsry_unmerged!H138),1)*(SKUs!$K$2:$K$10001=I138),SKUs!$C$2:$C$10001),"")</f>
        <v>0</v>
      </c>
      <c r="H138" s="36" cm="1">
        <f t="array" ref="H138">IFERROR(_xlfn.XLOOKUP(1, (dd_accsryclr!$C$2:$C$1000=accsry_unmerged!F138)*(dd_accsryclr!$B$2:$B$1000=accsry_unmerged!J138),dd_accsryclr!$A$2:$A$1000),"")</f>
        <v>0</v>
      </c>
      <c r="I138" s="35">
        <f>_xlfn.XLOOKUP(C138,'Project Details'!$C$17:$C$66,'Project Details'!$E$17:$E$66,"",0)</f>
        <v>0</v>
      </c>
      <c r="J138" s="35">
        <f>_xlfn.XLOOKUP(C138,'Project Details'!$C$17:$C$66,'Project Details'!$H$17:$H$66,"",0)</f>
        <v>0</v>
      </c>
      <c r="K138" s="36" t="str">
        <f>IF(AND(_xlfn.XLOOKUP(C138,'Project Details'!$C$17:$C$66,'Project Details'!$L$17:$L$66,"",0)&gt;550, F138="Spring-L27cm"),"",SUBSTITUTE(_xlfn.XLOOKUP(G138,SKUs!$C$2:$C$10001,SKUs!$F$2:$F$10001,"",0), " Accessories",""))</f>
        <v/>
      </c>
      <c r="L138" s="36">
        <f>_xlfn.XLOOKUP(C138,'Project Details'!$C$17:$C$66,'Project Details'!$D$17:$D$66,"",0)</f>
        <v>0</v>
      </c>
      <c r="M138" s="43"/>
    </row>
    <row r="139" spans="1:13" ht="13.5" customHeight="1" x14ac:dyDescent="0.25">
      <c r="A139" s="43"/>
      <c r="B139" s="43"/>
      <c r="C139" s="16">
        <f t="shared" si="1"/>
        <v>3</v>
      </c>
      <c r="D139" s="16" t="str" cm="1">
        <f t="array" ref="D139">IFERROR(ROUNDUP(_xlfn.IFS(F139="Aluminum Track", _xlfn.XLOOKUP(C139, dd_accsrycalc!$A$2:$A$51, dd_accsrycalc!$B$2:$B$51, "",0), F139="10 x 2 1/2 S (Flat)", _xlfn.XLOOKUP(C139, dd_accsrycalc!$A$2:$A$51, dd_accsrycalc!$C$2:$C$51, "",0), F139="Tox6", _xlfn.XLOOKUP(C139, dd_accsrycalc!$A$2:$A$51, dd_accsrycalc!$D$2:$D$51, "",0), F139="Cover Cap", _xlfn.XLOOKUP(C139, dd_accsrycalc!$A$2:$A$51, dd_accsrycalc!$E$2:$E$51, "",0), F139="Drainage Cover", _xlfn.XLOOKUP(C139, dd_accsrycalc!$A$2:$A$51, dd_accsrycalc!$F$2:$F$51, "",0),AND( F139="Double Adhesive Tape", I139="Roll-up Screen"), _xlfn.XLOOKUP(C139, calc_rusacc!$C$15:$C$65, calc_rusacc!$AD$15:$AD$65, "",0),AND( F139="Sealant", I139="Roll-up Screen"), _xlfn.XLOOKUP(C139, calc_rusacc!$C$15:$C$65, calc_rusacc!$AF$15:$AF$65, "",0),  AND( F139="Main Chain", I139="Accordion Screen"), _xlfn.XLOOKUP(C139, calc_rusacc!$C$15:$C$65, calc_rusacc!$BF$15:$BF$65, "",0), AND( F139="Sealant", I139="Accordion Screen"), _xlfn.XLOOKUP(C139, calc_rusacc!$C$15:$C$65, calc_rusacc!$BJ$15:$BJ$65, "",0),  F139="Sealant", _xlfn.XLOOKUP(C139, dd_accsrycalc!$A$2:$A$51, dd_accsrycalc!$G$2:$G$51, "",0),  F139&lt;&gt;"",L139*_xlfn.XLOOKUP(1, (SKUs!$C$2:$C$10001=G139)*(SKUs!$K$2:$K$10001=I139),SKUs!$E$2:$E$10001)), 0),"")</f>
        <v/>
      </c>
      <c r="E139" s="16" t="str">
        <f>_xlfn.XLOOKUP(F139,dd_item!$B$2:$B$105,dd_item!$C$2:$C$105,"",0)</f>
        <v/>
      </c>
      <c r="F139" s="16"/>
      <c r="G139" s="16" cm="1">
        <f t="array" ref="G139">IFERROR(_xlfn.XLOOKUP(1, (SKUs!$J$2:$J$10001=accsry_unmerged!F139)*IF(H139&lt;&gt;"",(SKUs!$L$2:$L$10001=accsry_unmerged!H139),1)*(SKUs!$K$2:$K$10001=I139),SKUs!$C$2:$C$10001),"")</f>
        <v>0</v>
      </c>
      <c r="H139" s="33" cm="1">
        <f t="array" ref="H139">IFERROR(_xlfn.XLOOKUP(1, (dd_accsryclr!$C$2:$C$1000=accsry_unmerged!F139)*(dd_accsryclr!$B$2:$B$1000=accsry_unmerged!J139),dd_accsryclr!$A$2:$A$1000),"")</f>
        <v>0</v>
      </c>
      <c r="I139" s="16">
        <f>_xlfn.XLOOKUP(C139,'Project Details'!$C$17:$C$66,'Project Details'!$E$17:$E$66,"",0)</f>
        <v>0</v>
      </c>
      <c r="J139" s="16">
        <f>_xlfn.XLOOKUP(C139,'Project Details'!$C$17:$C$66,'Project Details'!$H$17:$H$66,"",0)</f>
        <v>0</v>
      </c>
      <c r="K139" s="33" t="str">
        <f>IF(AND(_xlfn.XLOOKUP(C139,'Project Details'!$C$17:$C$66,'Project Details'!$L$17:$L$66,"",0)&gt;550, F139="Spring-L27cm"),"",SUBSTITUTE(_xlfn.XLOOKUP(G139,SKUs!$C$2:$C$10001,SKUs!$F$2:$F$10001,"",0), " Accessories",""))</f>
        <v/>
      </c>
      <c r="L139" s="33">
        <f>_xlfn.XLOOKUP(C139,'Project Details'!$C$17:$C$66,'Project Details'!$D$17:$D$66,"",0)</f>
        <v>0</v>
      </c>
      <c r="M139" s="43"/>
    </row>
    <row r="140" spans="1:13" ht="13.5" customHeight="1" x14ac:dyDescent="0.25">
      <c r="A140" s="43"/>
      <c r="B140" s="43"/>
      <c r="C140" s="35">
        <f t="shared" si="1"/>
        <v>3</v>
      </c>
      <c r="D140" s="35" t="str" cm="1">
        <f t="array" ref="D140">IFERROR(ROUNDUP(_xlfn.IFS(F140="Aluminum Track", _xlfn.XLOOKUP(C140, dd_accsrycalc!$A$2:$A$51, dd_accsrycalc!$B$2:$B$51, "",0), F140="10 x 2 1/2 S (Flat)", _xlfn.XLOOKUP(C140, dd_accsrycalc!$A$2:$A$51, dd_accsrycalc!$C$2:$C$51, "",0), F140="Tox6", _xlfn.XLOOKUP(C140, dd_accsrycalc!$A$2:$A$51, dd_accsrycalc!$D$2:$D$51, "",0), F140="Cover Cap", _xlfn.XLOOKUP(C140, dd_accsrycalc!$A$2:$A$51, dd_accsrycalc!$E$2:$E$51, "",0), F140="Drainage Cover", _xlfn.XLOOKUP(C140, dd_accsrycalc!$A$2:$A$51, dd_accsrycalc!$F$2:$F$51, "",0),AND( F140="Double Adhesive Tape", I140="Roll-up Screen"), _xlfn.XLOOKUP(C140, calc_rusacc!$C$15:$C$65, calc_rusacc!$AD$15:$AD$65, "",0),AND( F140="Sealant", I140="Roll-up Screen"), _xlfn.XLOOKUP(C140, calc_rusacc!$C$15:$C$65, calc_rusacc!$AF$15:$AF$65, "",0),  AND( F140="Main Chain", I140="Accordion Screen"), _xlfn.XLOOKUP(C140, calc_rusacc!$C$15:$C$65, calc_rusacc!$BF$15:$BF$65, "",0), AND( F140="Sealant", I140="Accordion Screen"), _xlfn.XLOOKUP(C140, calc_rusacc!$C$15:$C$65, calc_rusacc!$BJ$15:$BJ$65, "",0),  F140="Sealant", _xlfn.XLOOKUP(C140, dd_accsrycalc!$A$2:$A$51, dd_accsrycalc!$G$2:$G$51, "",0),  F140&lt;&gt;"",L140*_xlfn.XLOOKUP(1, (SKUs!$C$2:$C$10001=G140)*(SKUs!$K$2:$K$10001=I140),SKUs!$E$2:$E$10001)), 0),"")</f>
        <v/>
      </c>
      <c r="E140" s="35" t="str">
        <f>_xlfn.XLOOKUP(F140,dd_item!$B$2:$B$105,dd_item!$C$2:$C$105,"",0)</f>
        <v/>
      </c>
      <c r="F140" s="35"/>
      <c r="G140" s="35" cm="1">
        <f t="array" ref="G140">IFERROR(_xlfn.XLOOKUP(1, (SKUs!$J$2:$J$10001=accsry_unmerged!F140)*IF(H140&lt;&gt;"",(SKUs!$L$2:$L$10001=accsry_unmerged!H140),1)*(SKUs!$K$2:$K$10001=I140),SKUs!$C$2:$C$10001),"")</f>
        <v>0</v>
      </c>
      <c r="H140" s="36" cm="1">
        <f t="array" ref="H140">IFERROR(_xlfn.XLOOKUP(1, (dd_accsryclr!$C$2:$C$1000=accsry_unmerged!F140)*(dd_accsryclr!$B$2:$B$1000=accsry_unmerged!J140),dd_accsryclr!$A$2:$A$1000),"")</f>
        <v>0</v>
      </c>
      <c r="I140" s="35">
        <f>_xlfn.XLOOKUP(C140,'Project Details'!$C$17:$C$66,'Project Details'!$E$17:$E$66,"",0)</f>
        <v>0</v>
      </c>
      <c r="J140" s="35">
        <f>_xlfn.XLOOKUP(C140,'Project Details'!$C$17:$C$66,'Project Details'!$H$17:$H$66,"",0)</f>
        <v>0</v>
      </c>
      <c r="K140" s="36" t="str">
        <f>IF(AND(_xlfn.XLOOKUP(C140,'Project Details'!$C$17:$C$66,'Project Details'!$L$17:$L$66,"",0)&gt;550, F140="Spring-L27cm"),"",SUBSTITUTE(_xlfn.XLOOKUP(G140,SKUs!$C$2:$C$10001,SKUs!$F$2:$F$10001,"",0), " Accessories",""))</f>
        <v/>
      </c>
      <c r="L140" s="36">
        <f>_xlfn.XLOOKUP(C140,'Project Details'!$C$17:$C$66,'Project Details'!$D$17:$D$66,"",0)</f>
        <v>0</v>
      </c>
      <c r="M140" s="43"/>
    </row>
    <row r="141" spans="1:13" ht="13.5" customHeight="1" x14ac:dyDescent="0.25">
      <c r="A141" s="43"/>
      <c r="B141" s="43"/>
      <c r="C141" s="16">
        <f t="shared" si="1"/>
        <v>3</v>
      </c>
      <c r="D141" s="16" t="str" cm="1">
        <f t="array" ref="D141">IFERROR(ROUNDUP(_xlfn.IFS(F141="Aluminum Track", _xlfn.XLOOKUP(C141, dd_accsrycalc!$A$2:$A$51, dd_accsrycalc!$B$2:$B$51, "",0), F141="10 x 2 1/2 S (Flat)", _xlfn.XLOOKUP(C141, dd_accsrycalc!$A$2:$A$51, dd_accsrycalc!$C$2:$C$51, "",0), F141="Tox6", _xlfn.XLOOKUP(C141, dd_accsrycalc!$A$2:$A$51, dd_accsrycalc!$D$2:$D$51, "",0), F141="Cover Cap", _xlfn.XLOOKUP(C141, dd_accsrycalc!$A$2:$A$51, dd_accsrycalc!$E$2:$E$51, "",0), F141="Drainage Cover", _xlfn.XLOOKUP(C141, dd_accsrycalc!$A$2:$A$51, dd_accsrycalc!$F$2:$F$51, "",0),AND( F141="Double Adhesive Tape", I141="Roll-up Screen"), _xlfn.XLOOKUP(C141, calc_rusacc!$C$15:$C$65, calc_rusacc!$AD$15:$AD$65, "",0),AND( F141="Sealant", I141="Roll-up Screen"), _xlfn.XLOOKUP(C141, calc_rusacc!$C$15:$C$65, calc_rusacc!$AF$15:$AF$65, "",0),  AND( F141="Main Chain", I141="Accordion Screen"), _xlfn.XLOOKUP(C141, calc_rusacc!$C$15:$C$65, calc_rusacc!$BF$15:$BF$65, "",0), AND( F141="Sealant", I141="Accordion Screen"), _xlfn.XLOOKUP(C141, calc_rusacc!$C$15:$C$65, calc_rusacc!$BJ$15:$BJ$65, "",0),  F141="Sealant", _xlfn.XLOOKUP(C141, dd_accsrycalc!$A$2:$A$51, dd_accsrycalc!$G$2:$G$51, "",0),  F141&lt;&gt;"",L141*_xlfn.XLOOKUP(1, (SKUs!$C$2:$C$10001=G141)*(SKUs!$K$2:$K$10001=I141),SKUs!$E$2:$E$10001)), 0),"")</f>
        <v/>
      </c>
      <c r="E141" s="16" t="str">
        <f>_xlfn.XLOOKUP(F141,dd_item!$B$2:$B$105,dd_item!$C$2:$C$105,"",0)</f>
        <v/>
      </c>
      <c r="F141" s="16"/>
      <c r="G141" s="16" cm="1">
        <f t="array" ref="G141">IFERROR(_xlfn.XLOOKUP(1, (SKUs!$J$2:$J$10001=accsry_unmerged!F141)*IF(H141&lt;&gt;"",(SKUs!$L$2:$L$10001=accsry_unmerged!H141),1)*(SKUs!$K$2:$K$10001=I141),SKUs!$C$2:$C$10001),"")</f>
        <v>0</v>
      </c>
      <c r="H141" s="33" cm="1">
        <f t="array" ref="H141">IFERROR(_xlfn.XLOOKUP(1, (dd_accsryclr!$C$2:$C$1000=accsry_unmerged!F141)*(dd_accsryclr!$B$2:$B$1000=accsry_unmerged!J141),dd_accsryclr!$A$2:$A$1000),"")</f>
        <v>0</v>
      </c>
      <c r="I141" s="16">
        <f>_xlfn.XLOOKUP(C141,'Project Details'!$C$17:$C$66,'Project Details'!$E$17:$E$66,"",0)</f>
        <v>0</v>
      </c>
      <c r="J141" s="16">
        <f>_xlfn.XLOOKUP(C141,'Project Details'!$C$17:$C$66,'Project Details'!$H$17:$H$66,"",0)</f>
        <v>0</v>
      </c>
      <c r="K141" s="33" t="str">
        <f>IF(AND(_xlfn.XLOOKUP(C141,'Project Details'!$C$17:$C$66,'Project Details'!$L$17:$L$66,"",0)&gt;550, F141="Spring-L27cm"),"",SUBSTITUTE(_xlfn.XLOOKUP(G141,SKUs!$C$2:$C$10001,SKUs!$F$2:$F$10001,"",0), " Accessories",""))</f>
        <v/>
      </c>
      <c r="L141" s="33">
        <f>_xlfn.XLOOKUP(C141,'Project Details'!$C$17:$C$66,'Project Details'!$D$17:$D$66,"",0)</f>
        <v>0</v>
      </c>
      <c r="M141" s="43"/>
    </row>
    <row r="142" spans="1:13" ht="13.5" customHeight="1" x14ac:dyDescent="0.25">
      <c r="A142" s="43"/>
      <c r="B142" s="43"/>
      <c r="C142" s="35">
        <f t="shared" si="1"/>
        <v>3</v>
      </c>
      <c r="D142" s="35" t="str" cm="1">
        <f t="array" ref="D142">IFERROR(ROUNDUP(_xlfn.IFS(F142="Aluminum Track", _xlfn.XLOOKUP(C142, dd_accsrycalc!$A$2:$A$51, dd_accsrycalc!$B$2:$B$51, "",0), F142="10 x 2 1/2 S (Flat)", _xlfn.XLOOKUP(C142, dd_accsrycalc!$A$2:$A$51, dd_accsrycalc!$C$2:$C$51, "",0), F142="Tox6", _xlfn.XLOOKUP(C142, dd_accsrycalc!$A$2:$A$51, dd_accsrycalc!$D$2:$D$51, "",0), F142="Cover Cap", _xlfn.XLOOKUP(C142, dd_accsrycalc!$A$2:$A$51, dd_accsrycalc!$E$2:$E$51, "",0), F142="Drainage Cover", _xlfn.XLOOKUP(C142, dd_accsrycalc!$A$2:$A$51, dd_accsrycalc!$F$2:$F$51, "",0),AND( F142="Double Adhesive Tape", I142="Roll-up Screen"), _xlfn.XLOOKUP(C142, calc_rusacc!$C$15:$C$65, calc_rusacc!$AD$15:$AD$65, "",0),AND( F142="Sealant", I142="Roll-up Screen"), _xlfn.XLOOKUP(C142, calc_rusacc!$C$15:$C$65, calc_rusacc!$AF$15:$AF$65, "",0),  AND( F142="Main Chain", I142="Accordion Screen"), _xlfn.XLOOKUP(C142, calc_rusacc!$C$15:$C$65, calc_rusacc!$BF$15:$BF$65, "",0), AND( F142="Sealant", I142="Accordion Screen"), _xlfn.XLOOKUP(C142, calc_rusacc!$C$15:$C$65, calc_rusacc!$BJ$15:$BJ$65, "",0),  F142="Sealant", _xlfn.XLOOKUP(C142, dd_accsrycalc!$A$2:$A$51, dd_accsrycalc!$G$2:$G$51, "",0),  F142&lt;&gt;"",L142*_xlfn.XLOOKUP(1, (SKUs!$C$2:$C$10001=G142)*(SKUs!$K$2:$K$10001=I142),SKUs!$E$2:$E$10001)), 0),"")</f>
        <v/>
      </c>
      <c r="E142" s="35" t="str">
        <f>_xlfn.XLOOKUP(F142,dd_item!$B$2:$B$105,dd_item!$C$2:$C$105,"",0)</f>
        <v/>
      </c>
      <c r="F142" s="35"/>
      <c r="G142" s="35" cm="1">
        <f t="array" ref="G142">IFERROR(_xlfn.XLOOKUP(1, (SKUs!$J$2:$J$10001=accsry_unmerged!F142)*IF(H142&lt;&gt;"",(SKUs!$L$2:$L$10001=accsry_unmerged!H142),1)*(SKUs!$K$2:$K$10001=I142),SKUs!$C$2:$C$10001),"")</f>
        <v>0</v>
      </c>
      <c r="H142" s="36" cm="1">
        <f t="array" ref="H142">IFERROR(_xlfn.XLOOKUP(1, (dd_accsryclr!$C$2:$C$1000=accsry_unmerged!F142)*(dd_accsryclr!$B$2:$B$1000=accsry_unmerged!J142),dd_accsryclr!$A$2:$A$1000),"")</f>
        <v>0</v>
      </c>
      <c r="I142" s="35">
        <f>_xlfn.XLOOKUP(C142,'Project Details'!$C$17:$C$66,'Project Details'!$E$17:$E$66,"",0)</f>
        <v>0</v>
      </c>
      <c r="J142" s="35">
        <f>_xlfn.XLOOKUP(C142,'Project Details'!$C$17:$C$66,'Project Details'!$H$17:$H$66,"",0)</f>
        <v>0</v>
      </c>
      <c r="K142" s="36" t="str">
        <f>IF(AND(_xlfn.XLOOKUP(C142,'Project Details'!$C$17:$C$66,'Project Details'!$L$17:$L$66,"",0)&gt;550, F142="Spring-L27cm"),"",SUBSTITUTE(_xlfn.XLOOKUP(G142,SKUs!$C$2:$C$10001,SKUs!$F$2:$F$10001,"",0), " Accessories",""))</f>
        <v/>
      </c>
      <c r="L142" s="36">
        <f>_xlfn.XLOOKUP(C142,'Project Details'!$C$17:$C$66,'Project Details'!$D$17:$D$66,"",0)</f>
        <v>0</v>
      </c>
      <c r="M142" s="43"/>
    </row>
    <row r="143" spans="1:13" ht="13.5" customHeight="1" x14ac:dyDescent="0.25">
      <c r="A143" s="43"/>
      <c r="B143" s="43"/>
      <c r="C143" s="16">
        <f t="shared" si="1"/>
        <v>3</v>
      </c>
      <c r="D143" s="16" t="str" cm="1">
        <f t="array" ref="D143">IFERROR(ROUNDUP(_xlfn.IFS(F143="Aluminum Track", _xlfn.XLOOKUP(C143, dd_accsrycalc!$A$2:$A$51, dd_accsrycalc!$B$2:$B$51, "",0), F143="10 x 2 1/2 S (Flat)", _xlfn.XLOOKUP(C143, dd_accsrycalc!$A$2:$A$51, dd_accsrycalc!$C$2:$C$51, "",0), F143="Tox6", _xlfn.XLOOKUP(C143, dd_accsrycalc!$A$2:$A$51, dd_accsrycalc!$D$2:$D$51, "",0), F143="Cover Cap", _xlfn.XLOOKUP(C143, dd_accsrycalc!$A$2:$A$51, dd_accsrycalc!$E$2:$E$51, "",0), F143="Drainage Cover", _xlfn.XLOOKUP(C143, dd_accsrycalc!$A$2:$A$51, dd_accsrycalc!$F$2:$F$51, "",0),AND( F143="Double Adhesive Tape", I143="Roll-up Screen"), _xlfn.XLOOKUP(C143, calc_rusacc!$C$15:$C$65, calc_rusacc!$AD$15:$AD$65, "",0),AND( F143="Sealant", I143="Roll-up Screen"), _xlfn.XLOOKUP(C143, calc_rusacc!$C$15:$C$65, calc_rusacc!$AF$15:$AF$65, "",0),  AND( F143="Main Chain", I143="Accordion Screen"), _xlfn.XLOOKUP(C143, calc_rusacc!$C$15:$C$65, calc_rusacc!$BF$15:$BF$65, "",0), AND( F143="Sealant", I143="Accordion Screen"), _xlfn.XLOOKUP(C143, calc_rusacc!$C$15:$C$65, calc_rusacc!$BJ$15:$BJ$65, "",0),  F143="Sealant", _xlfn.XLOOKUP(C143, dd_accsrycalc!$A$2:$A$51, dd_accsrycalc!$G$2:$G$51, "",0),  F143&lt;&gt;"",L143*_xlfn.XLOOKUP(1, (SKUs!$C$2:$C$10001=G143)*(SKUs!$K$2:$K$10001=I143),SKUs!$E$2:$E$10001)), 0),"")</f>
        <v/>
      </c>
      <c r="E143" s="16" t="str">
        <f>_xlfn.XLOOKUP(F143,dd_item!$B$2:$B$105,dd_item!$C$2:$C$105,"",0)</f>
        <v/>
      </c>
      <c r="F143" s="16"/>
      <c r="G143" s="16" cm="1">
        <f t="array" ref="G143">IFERROR(_xlfn.XLOOKUP(1, (SKUs!$J$2:$J$10001=accsry_unmerged!F143)*IF(H143&lt;&gt;"",(SKUs!$L$2:$L$10001=accsry_unmerged!H143),1)*(SKUs!$K$2:$K$10001=I143),SKUs!$C$2:$C$10001),"")</f>
        <v>0</v>
      </c>
      <c r="H143" s="33" cm="1">
        <f t="array" ref="H143">IFERROR(_xlfn.XLOOKUP(1, (dd_accsryclr!$C$2:$C$1000=accsry_unmerged!F143)*(dd_accsryclr!$B$2:$B$1000=accsry_unmerged!J143),dd_accsryclr!$A$2:$A$1000),"")</f>
        <v>0</v>
      </c>
      <c r="I143" s="16">
        <f>_xlfn.XLOOKUP(C143,'Project Details'!$C$17:$C$66,'Project Details'!$E$17:$E$66,"",0)</f>
        <v>0</v>
      </c>
      <c r="J143" s="16">
        <f>_xlfn.XLOOKUP(C143,'Project Details'!$C$17:$C$66,'Project Details'!$H$17:$H$66,"",0)</f>
        <v>0</v>
      </c>
      <c r="K143" s="33" t="str">
        <f>IF(AND(_xlfn.XLOOKUP(C143,'Project Details'!$C$17:$C$66,'Project Details'!$L$17:$L$66,"",0)&gt;550, F143="Spring-L27cm"),"",SUBSTITUTE(_xlfn.XLOOKUP(G143,SKUs!$C$2:$C$10001,SKUs!$F$2:$F$10001,"",0), " Accessories",""))</f>
        <v/>
      </c>
      <c r="L143" s="33">
        <f>_xlfn.XLOOKUP(C143,'Project Details'!$C$17:$C$66,'Project Details'!$D$17:$D$66,"",0)</f>
        <v>0</v>
      </c>
      <c r="M143" s="43"/>
    </row>
    <row r="144" spans="1:13" ht="13.5" customHeight="1" x14ac:dyDescent="0.25">
      <c r="A144" s="43"/>
      <c r="B144" s="43"/>
      <c r="C144" s="35">
        <f t="shared" si="1"/>
        <v>3</v>
      </c>
      <c r="D144" s="35" t="str" cm="1">
        <f t="array" ref="D144">IFERROR(ROUNDUP(_xlfn.IFS(F144="Aluminum Track", _xlfn.XLOOKUP(C144, dd_accsrycalc!$A$2:$A$51, dd_accsrycalc!$B$2:$B$51, "",0), F144="10 x 2 1/2 S (Flat)", _xlfn.XLOOKUP(C144, dd_accsrycalc!$A$2:$A$51, dd_accsrycalc!$C$2:$C$51, "",0), F144="Tox6", _xlfn.XLOOKUP(C144, dd_accsrycalc!$A$2:$A$51, dd_accsrycalc!$D$2:$D$51, "",0), F144="Cover Cap", _xlfn.XLOOKUP(C144, dd_accsrycalc!$A$2:$A$51, dd_accsrycalc!$E$2:$E$51, "",0), F144="Drainage Cover", _xlfn.XLOOKUP(C144, dd_accsrycalc!$A$2:$A$51, dd_accsrycalc!$F$2:$F$51, "",0),AND( F144="Double Adhesive Tape", I144="Roll-up Screen"), _xlfn.XLOOKUP(C144, calc_rusacc!$C$15:$C$65, calc_rusacc!$AD$15:$AD$65, "",0),AND( F144="Sealant", I144="Roll-up Screen"), _xlfn.XLOOKUP(C144, calc_rusacc!$C$15:$C$65, calc_rusacc!$AF$15:$AF$65, "",0),  AND( F144="Main Chain", I144="Accordion Screen"), _xlfn.XLOOKUP(C144, calc_rusacc!$C$15:$C$65, calc_rusacc!$BF$15:$BF$65, "",0), AND( F144="Sealant", I144="Accordion Screen"), _xlfn.XLOOKUP(C144, calc_rusacc!$C$15:$C$65, calc_rusacc!$BJ$15:$BJ$65, "",0),  F144="Sealant", _xlfn.XLOOKUP(C144, dd_accsrycalc!$A$2:$A$51, dd_accsrycalc!$G$2:$G$51, "",0),  F144&lt;&gt;"",L144*_xlfn.XLOOKUP(1, (SKUs!$C$2:$C$10001=G144)*(SKUs!$K$2:$K$10001=I144),SKUs!$E$2:$E$10001)), 0),"")</f>
        <v/>
      </c>
      <c r="E144" s="35" t="str">
        <f>_xlfn.XLOOKUP(F144,dd_item!$B$2:$B$105,dd_item!$C$2:$C$105,"",0)</f>
        <v/>
      </c>
      <c r="F144" s="35"/>
      <c r="G144" s="35" cm="1">
        <f t="array" ref="G144">IFERROR(_xlfn.XLOOKUP(1, (SKUs!$J$2:$J$10001=accsry_unmerged!F144)*IF(H144&lt;&gt;"",(SKUs!$L$2:$L$10001=accsry_unmerged!H144),1)*(SKUs!$K$2:$K$10001=I144),SKUs!$C$2:$C$10001),"")</f>
        <v>0</v>
      </c>
      <c r="H144" s="36" cm="1">
        <f t="array" ref="H144">IFERROR(_xlfn.XLOOKUP(1, (dd_accsryclr!$C$2:$C$1000=accsry_unmerged!F144)*(dd_accsryclr!$B$2:$B$1000=accsry_unmerged!J144),dd_accsryclr!$A$2:$A$1000),"")</f>
        <v>0</v>
      </c>
      <c r="I144" s="35">
        <f>_xlfn.XLOOKUP(C144,'Project Details'!$C$17:$C$66,'Project Details'!$E$17:$E$66,"",0)</f>
        <v>0</v>
      </c>
      <c r="J144" s="35">
        <f>_xlfn.XLOOKUP(C144,'Project Details'!$C$17:$C$66,'Project Details'!$H$17:$H$66,"",0)</f>
        <v>0</v>
      </c>
      <c r="K144" s="36" t="str">
        <f>IF(AND(_xlfn.XLOOKUP(C144,'Project Details'!$C$17:$C$66,'Project Details'!$L$17:$L$66,"",0)&gt;550, F144="Spring-L27cm"),"",SUBSTITUTE(_xlfn.XLOOKUP(G144,SKUs!$C$2:$C$10001,SKUs!$F$2:$F$10001,"",0), " Accessories",""))</f>
        <v/>
      </c>
      <c r="L144" s="36">
        <f>_xlfn.XLOOKUP(C144,'Project Details'!$C$17:$C$66,'Project Details'!$D$17:$D$66,"",0)</f>
        <v>0</v>
      </c>
      <c r="M144" s="43"/>
    </row>
    <row r="145" spans="1:13" ht="13.5" customHeight="1" outlineLevel="1" x14ac:dyDescent="0.25">
      <c r="A145" s="43"/>
      <c r="B145" s="43"/>
      <c r="C145" s="16">
        <f t="shared" si="1"/>
        <v>3</v>
      </c>
      <c r="D145" s="16" t="str" cm="1">
        <f t="array" ref="D145">IFERROR(ROUNDUP(_xlfn.IFS(F145="Aluminum Track", _xlfn.XLOOKUP(C145, dd_accsrycalc!$A$2:$A$51, dd_accsrycalc!$B$2:$B$51, "",0), F145="10 x 2 1/2 S (Flat)", _xlfn.XLOOKUP(C145, dd_accsrycalc!$A$2:$A$51, dd_accsrycalc!$C$2:$C$51, "",0), F145="Tox6", _xlfn.XLOOKUP(C145, dd_accsrycalc!$A$2:$A$51, dd_accsrycalc!$D$2:$D$51, "",0), F145="Cover Cap", _xlfn.XLOOKUP(C145, dd_accsrycalc!$A$2:$A$51, dd_accsrycalc!$E$2:$E$51, "",0), F145="Drainage Cover", _xlfn.XLOOKUP(C145, dd_accsrycalc!$A$2:$A$51, dd_accsrycalc!$F$2:$F$51, "",0),AND( F145="Double Adhesive Tape", I145="Roll-up Screen"), _xlfn.XLOOKUP(C145, calc_rusacc!$C$15:$C$65, calc_rusacc!$AD$15:$AD$65, "",0),AND( F145="Sealant", I145="Roll-up Screen"), _xlfn.XLOOKUP(C145, calc_rusacc!$C$15:$C$65, calc_rusacc!$AF$15:$AF$65, "",0),  AND( F145="Main Chain", I145="Accordion Screen"), _xlfn.XLOOKUP(C145, calc_rusacc!$C$15:$C$65, calc_rusacc!$BF$15:$BF$65, "",0), AND( F145="Sealant", I145="Accordion Screen"), _xlfn.XLOOKUP(C145, calc_rusacc!$C$15:$C$65, calc_rusacc!$BJ$15:$BJ$65, "",0),  F145="Sealant", _xlfn.XLOOKUP(C145, dd_accsrycalc!$A$2:$A$51, dd_accsrycalc!$G$2:$G$51, "",0),  F145&lt;&gt;"",L145*_xlfn.XLOOKUP(1, (SKUs!$C$2:$C$10001=G145)*(SKUs!$K$2:$K$10001=I145),SKUs!$E$2:$E$10001)), 0),"")</f>
        <v/>
      </c>
      <c r="E145" s="16" t="str">
        <f>_xlfn.XLOOKUP(F145,dd_item!$B$2:$B$105,dd_item!$C$2:$C$105,"",0)</f>
        <v/>
      </c>
      <c r="F145" s="16"/>
      <c r="G145" s="16" cm="1">
        <f t="array" ref="G145">IFERROR(_xlfn.XLOOKUP(1, (SKUs!$J$2:$J$10001=accsry_unmerged!F145)*IF(H145&lt;&gt;"",(SKUs!$L$2:$L$10001=accsry_unmerged!H145),1)*(SKUs!$K$2:$K$10001=I145),SKUs!$C$2:$C$10001),"")</f>
        <v>0</v>
      </c>
      <c r="H145" s="33" cm="1">
        <f t="array" ref="H145">IFERROR(_xlfn.XLOOKUP(1, (dd_accsryclr!$C$2:$C$1000=accsry_unmerged!F145)*(dd_accsryclr!$B$2:$B$1000=accsry_unmerged!J145),dd_accsryclr!$A$2:$A$1000),"")</f>
        <v>0</v>
      </c>
      <c r="I145" s="16">
        <f>_xlfn.XLOOKUP(C145,'Project Details'!$C$17:$C$66,'Project Details'!$E$17:$E$66,"",0)</f>
        <v>0</v>
      </c>
      <c r="J145" s="16">
        <f>_xlfn.XLOOKUP(C145,'Project Details'!$C$17:$C$66,'Project Details'!$H$17:$H$66,"",0)</f>
        <v>0</v>
      </c>
      <c r="K145" s="33" t="str">
        <f>IF(AND(_xlfn.XLOOKUP(C145,'Project Details'!$C$17:$C$66,'Project Details'!$L$17:$L$66,"",0)&gt;550, F145="Spring-L27cm"),"",SUBSTITUTE(_xlfn.XLOOKUP(G145,SKUs!$C$2:$C$10001,SKUs!$F$2:$F$10001,"",0), " Accessories",""))</f>
        <v/>
      </c>
      <c r="L145" s="33">
        <f>_xlfn.XLOOKUP(C145,'Project Details'!$C$17:$C$66,'Project Details'!$D$17:$D$66,"",0)</f>
        <v>0</v>
      </c>
      <c r="M145" s="43"/>
    </row>
    <row r="146" spans="1:13" ht="13.5" customHeight="1" outlineLevel="1" x14ac:dyDescent="0.25">
      <c r="A146" s="43"/>
      <c r="B146" s="43"/>
      <c r="C146" s="35">
        <f t="shared" si="1"/>
        <v>3</v>
      </c>
      <c r="D146" s="35" t="str" cm="1">
        <f t="array" ref="D146">IFERROR(ROUNDUP(_xlfn.IFS(F146="Aluminum Track", _xlfn.XLOOKUP(C146, dd_accsrycalc!$A$2:$A$51, dd_accsrycalc!$B$2:$B$51, "",0), F146="10 x 2 1/2 S (Flat)", _xlfn.XLOOKUP(C146, dd_accsrycalc!$A$2:$A$51, dd_accsrycalc!$C$2:$C$51, "",0), F146="Tox6", _xlfn.XLOOKUP(C146, dd_accsrycalc!$A$2:$A$51, dd_accsrycalc!$D$2:$D$51, "",0), F146="Cover Cap", _xlfn.XLOOKUP(C146, dd_accsrycalc!$A$2:$A$51, dd_accsrycalc!$E$2:$E$51, "",0), F146="Drainage Cover", _xlfn.XLOOKUP(C146, dd_accsrycalc!$A$2:$A$51, dd_accsrycalc!$F$2:$F$51, "",0),AND( F146="Double Adhesive Tape", I146="Roll-up Screen"), _xlfn.XLOOKUP(C146, calc_rusacc!$C$15:$C$65, calc_rusacc!$AD$15:$AD$65, "",0),AND( F146="Sealant", I146="Roll-up Screen"), _xlfn.XLOOKUP(C146, calc_rusacc!$C$15:$C$65, calc_rusacc!$AF$15:$AF$65, "",0),  AND( F146="Main Chain", I146="Accordion Screen"), _xlfn.XLOOKUP(C146, calc_rusacc!$C$15:$C$65, calc_rusacc!$BF$15:$BF$65, "",0), AND( F146="Sealant", I146="Accordion Screen"), _xlfn.XLOOKUP(C146, calc_rusacc!$C$15:$C$65, calc_rusacc!$BJ$15:$BJ$65, "",0),  F146="Sealant", _xlfn.XLOOKUP(C146, dd_accsrycalc!$A$2:$A$51, dd_accsrycalc!$G$2:$G$51, "",0),  F146&lt;&gt;"",L146*_xlfn.XLOOKUP(1, (SKUs!$C$2:$C$10001=G146)*(SKUs!$K$2:$K$10001=I146),SKUs!$E$2:$E$10001)), 0),"")</f>
        <v/>
      </c>
      <c r="E146" s="35" t="str">
        <f>_xlfn.XLOOKUP(F146,dd_item!$B$2:$B$105,dd_item!$C$2:$C$105,"",0)</f>
        <v/>
      </c>
      <c r="F146" s="35"/>
      <c r="G146" s="35" cm="1">
        <f t="array" ref="G146">IFERROR(_xlfn.XLOOKUP(1, (SKUs!$J$2:$J$10001=accsry_unmerged!F146)*IF(H146&lt;&gt;"",(SKUs!$L$2:$L$10001=accsry_unmerged!H146),1)*(SKUs!$K$2:$K$10001=I146),SKUs!$C$2:$C$10001),"")</f>
        <v>0</v>
      </c>
      <c r="H146" s="36" cm="1">
        <f t="array" ref="H146">IFERROR(_xlfn.XLOOKUP(1, (dd_accsryclr!$C$2:$C$1000=accsry_unmerged!F146)*(dd_accsryclr!$B$2:$B$1000=accsry_unmerged!J146),dd_accsryclr!$A$2:$A$1000),"")</f>
        <v>0</v>
      </c>
      <c r="I146" s="35">
        <f>_xlfn.XLOOKUP(C146,'Project Details'!$C$17:$C$66,'Project Details'!$E$17:$E$66,"",0)</f>
        <v>0</v>
      </c>
      <c r="J146" s="35">
        <f>_xlfn.XLOOKUP(C146,'Project Details'!$C$17:$C$66,'Project Details'!$H$17:$H$66,"",0)</f>
        <v>0</v>
      </c>
      <c r="K146" s="36" t="str">
        <f>IF(AND(_xlfn.XLOOKUP(C146,'Project Details'!$C$17:$C$66,'Project Details'!$L$17:$L$66,"",0)&gt;550, F146="Spring-L27cm"),"",SUBSTITUTE(_xlfn.XLOOKUP(G146,SKUs!$C$2:$C$10001,SKUs!$F$2:$F$10001,"",0), " Accessories",""))</f>
        <v/>
      </c>
      <c r="L146" s="36">
        <f>_xlfn.XLOOKUP(C146,'Project Details'!$C$17:$C$66,'Project Details'!$D$17:$D$66,"",0)</f>
        <v>0</v>
      </c>
      <c r="M146" s="43"/>
    </row>
    <row r="147" spans="1:13" ht="13.5" customHeight="1" outlineLevel="1" x14ac:dyDescent="0.25">
      <c r="A147" s="43"/>
      <c r="B147" s="43"/>
      <c r="C147" s="16">
        <f t="shared" si="1"/>
        <v>3</v>
      </c>
      <c r="D147" s="16" t="str" cm="1">
        <f t="array" ref="D147">IFERROR(ROUNDUP(_xlfn.IFS(F147="Aluminum Track", _xlfn.XLOOKUP(C147, dd_accsrycalc!$A$2:$A$51, dd_accsrycalc!$B$2:$B$51, "",0), F147="10 x 2 1/2 S (Flat)", _xlfn.XLOOKUP(C147, dd_accsrycalc!$A$2:$A$51, dd_accsrycalc!$C$2:$C$51, "",0), F147="Tox6", _xlfn.XLOOKUP(C147, dd_accsrycalc!$A$2:$A$51, dd_accsrycalc!$D$2:$D$51, "",0), F147="Cover Cap", _xlfn.XLOOKUP(C147, dd_accsrycalc!$A$2:$A$51, dd_accsrycalc!$E$2:$E$51, "",0), F147="Drainage Cover", _xlfn.XLOOKUP(C147, dd_accsrycalc!$A$2:$A$51, dd_accsrycalc!$F$2:$F$51, "",0),AND( F147="Double Adhesive Tape", I147="Roll-up Screen"), _xlfn.XLOOKUP(C147, calc_rusacc!$C$15:$C$65, calc_rusacc!$AD$15:$AD$65, "",0),AND( F147="Sealant", I147="Roll-up Screen"), _xlfn.XLOOKUP(C147, calc_rusacc!$C$15:$C$65, calc_rusacc!$AF$15:$AF$65, "",0),  AND( F147="Main Chain", I147="Accordion Screen"), _xlfn.XLOOKUP(C147, calc_rusacc!$C$15:$C$65, calc_rusacc!$BF$15:$BF$65, "",0), AND( F147="Sealant", I147="Accordion Screen"), _xlfn.XLOOKUP(C147, calc_rusacc!$C$15:$C$65, calc_rusacc!$BJ$15:$BJ$65, "",0),  F147="Sealant", _xlfn.XLOOKUP(C147, dd_accsrycalc!$A$2:$A$51, dd_accsrycalc!$G$2:$G$51, "",0),  F147&lt;&gt;"",L147*_xlfn.XLOOKUP(1, (SKUs!$C$2:$C$10001=G147)*(SKUs!$K$2:$K$10001=I147),SKUs!$E$2:$E$10001)), 0),"")</f>
        <v/>
      </c>
      <c r="E147" s="16" t="str">
        <f>_xlfn.XLOOKUP(F147,dd_item!$B$2:$B$105,dd_item!$C$2:$C$105,"",0)</f>
        <v/>
      </c>
      <c r="F147" s="16"/>
      <c r="G147" s="16" cm="1">
        <f t="array" ref="G147">IFERROR(_xlfn.XLOOKUP(1, (SKUs!$J$2:$J$10001=accsry_unmerged!F147)*IF(H147&lt;&gt;"",(SKUs!$L$2:$L$10001=accsry_unmerged!H147),1)*(SKUs!$K$2:$K$10001=I147),SKUs!$C$2:$C$10001),"")</f>
        <v>0</v>
      </c>
      <c r="H147" s="33" cm="1">
        <f t="array" ref="H147">IFERROR(_xlfn.XLOOKUP(1, (dd_accsryclr!$C$2:$C$1000=accsry_unmerged!F147)*(dd_accsryclr!$B$2:$B$1000=accsry_unmerged!J147),dd_accsryclr!$A$2:$A$1000),"")</f>
        <v>0</v>
      </c>
      <c r="I147" s="16">
        <f>_xlfn.XLOOKUP(C147,'Project Details'!$C$17:$C$66,'Project Details'!$E$17:$E$66,"",0)</f>
        <v>0</v>
      </c>
      <c r="J147" s="16">
        <f>_xlfn.XLOOKUP(C147,'Project Details'!$C$17:$C$66,'Project Details'!$H$17:$H$66,"",0)</f>
        <v>0</v>
      </c>
      <c r="K147" s="33" t="str">
        <f>IF(AND(_xlfn.XLOOKUP(C147,'Project Details'!$C$17:$C$66,'Project Details'!$L$17:$L$66,"",0)&gt;550, F147="Spring-L27cm"),"",SUBSTITUTE(_xlfn.XLOOKUP(G147,SKUs!$C$2:$C$10001,SKUs!$F$2:$F$10001,"",0), " Accessories",""))</f>
        <v/>
      </c>
      <c r="L147" s="33">
        <f>_xlfn.XLOOKUP(C147,'Project Details'!$C$17:$C$66,'Project Details'!$D$17:$D$66,"",0)</f>
        <v>0</v>
      </c>
      <c r="M147" s="43"/>
    </row>
    <row r="148" spans="1:13" ht="13.5" customHeight="1" outlineLevel="1" x14ac:dyDescent="0.25">
      <c r="A148" s="43"/>
      <c r="B148" s="43"/>
      <c r="C148" s="35">
        <f t="shared" si="1"/>
        <v>3</v>
      </c>
      <c r="D148" s="35" t="str" cm="1">
        <f t="array" ref="D148">IFERROR(ROUNDUP(_xlfn.IFS(F148="Aluminum Track", _xlfn.XLOOKUP(C148, dd_accsrycalc!$A$2:$A$51, dd_accsrycalc!$B$2:$B$51, "",0), F148="10 x 2 1/2 S (Flat)", _xlfn.XLOOKUP(C148, dd_accsrycalc!$A$2:$A$51, dd_accsrycalc!$C$2:$C$51, "",0), F148="Tox6", _xlfn.XLOOKUP(C148, dd_accsrycalc!$A$2:$A$51, dd_accsrycalc!$D$2:$D$51, "",0), F148="Cover Cap", _xlfn.XLOOKUP(C148, dd_accsrycalc!$A$2:$A$51, dd_accsrycalc!$E$2:$E$51, "",0), F148="Drainage Cover", _xlfn.XLOOKUP(C148, dd_accsrycalc!$A$2:$A$51, dd_accsrycalc!$F$2:$F$51, "",0),AND( F148="Double Adhesive Tape", I148="Roll-up Screen"), _xlfn.XLOOKUP(C148, calc_rusacc!$C$15:$C$65, calc_rusacc!$AD$15:$AD$65, "",0),AND( F148="Sealant", I148="Roll-up Screen"), _xlfn.XLOOKUP(C148, calc_rusacc!$C$15:$C$65, calc_rusacc!$AF$15:$AF$65, "",0),  AND( F148="Main Chain", I148="Accordion Screen"), _xlfn.XLOOKUP(C148, calc_rusacc!$C$15:$C$65, calc_rusacc!$BF$15:$BF$65, "",0), AND( F148="Sealant", I148="Accordion Screen"), _xlfn.XLOOKUP(C148, calc_rusacc!$C$15:$C$65, calc_rusacc!$BJ$15:$BJ$65, "",0),  F148="Sealant", _xlfn.XLOOKUP(C148, dd_accsrycalc!$A$2:$A$51, dd_accsrycalc!$G$2:$G$51, "",0),  F148&lt;&gt;"",L148*_xlfn.XLOOKUP(1, (SKUs!$C$2:$C$10001=G148)*(SKUs!$K$2:$K$10001=I148),SKUs!$E$2:$E$10001)), 0),"")</f>
        <v/>
      </c>
      <c r="E148" s="35" t="str">
        <f>_xlfn.XLOOKUP(F148,dd_item!$B$2:$B$105,dd_item!$C$2:$C$105,"",0)</f>
        <v/>
      </c>
      <c r="F148" s="35"/>
      <c r="G148" s="35" cm="1">
        <f t="array" ref="G148">IFERROR(_xlfn.XLOOKUP(1, (SKUs!$J$2:$J$10001=accsry_unmerged!F148)*IF(H148&lt;&gt;"",(SKUs!$L$2:$L$10001=accsry_unmerged!H148),1)*(SKUs!$K$2:$K$10001=I148),SKUs!$C$2:$C$10001),"")</f>
        <v>0</v>
      </c>
      <c r="H148" s="36" cm="1">
        <f t="array" ref="H148">IFERROR(_xlfn.XLOOKUP(1, (dd_accsryclr!$C$2:$C$1000=accsry_unmerged!F148)*(dd_accsryclr!$B$2:$B$1000=accsry_unmerged!J148),dd_accsryclr!$A$2:$A$1000),"")</f>
        <v>0</v>
      </c>
      <c r="I148" s="35">
        <f>_xlfn.XLOOKUP(C148,'Project Details'!$C$17:$C$66,'Project Details'!$E$17:$E$66,"",0)</f>
        <v>0</v>
      </c>
      <c r="J148" s="35">
        <f>_xlfn.XLOOKUP(C148,'Project Details'!$C$17:$C$66,'Project Details'!$H$17:$H$66,"",0)</f>
        <v>0</v>
      </c>
      <c r="K148" s="36" t="str">
        <f>IF(AND(_xlfn.XLOOKUP(C148,'Project Details'!$C$17:$C$66,'Project Details'!$L$17:$L$66,"",0)&gt;550, F148="Spring-L27cm"),"",SUBSTITUTE(_xlfn.XLOOKUP(G148,SKUs!$C$2:$C$10001,SKUs!$F$2:$F$10001,"",0), " Accessories",""))</f>
        <v/>
      </c>
      <c r="L148" s="36">
        <f>_xlfn.XLOOKUP(C148,'Project Details'!$C$17:$C$66,'Project Details'!$D$17:$D$66,"",0)</f>
        <v>0</v>
      </c>
      <c r="M148" s="43"/>
    </row>
    <row r="149" spans="1:13" ht="13.5" customHeight="1" outlineLevel="1" x14ac:dyDescent="0.25">
      <c r="A149" s="43"/>
      <c r="B149" s="43"/>
      <c r="C149" s="16">
        <f t="shared" si="1"/>
        <v>3</v>
      </c>
      <c r="D149" s="16" t="str" cm="1">
        <f t="array" ref="D149">IFERROR(ROUNDUP(_xlfn.IFS(F149="Aluminum Track", _xlfn.XLOOKUP(C149, dd_accsrycalc!$A$2:$A$51, dd_accsrycalc!$B$2:$B$51, "",0), F149="10 x 2 1/2 S (Flat)", _xlfn.XLOOKUP(C149, dd_accsrycalc!$A$2:$A$51, dd_accsrycalc!$C$2:$C$51, "",0), F149="Tox6", _xlfn.XLOOKUP(C149, dd_accsrycalc!$A$2:$A$51, dd_accsrycalc!$D$2:$D$51, "",0), F149="Cover Cap", _xlfn.XLOOKUP(C149, dd_accsrycalc!$A$2:$A$51, dd_accsrycalc!$E$2:$E$51, "",0), F149="Drainage Cover", _xlfn.XLOOKUP(C149, dd_accsrycalc!$A$2:$A$51, dd_accsrycalc!$F$2:$F$51, "",0),AND( F149="Double Adhesive Tape", I149="Roll-up Screen"), _xlfn.XLOOKUP(C149, calc_rusacc!$C$15:$C$65, calc_rusacc!$AD$15:$AD$65, "",0),AND( F149="Sealant", I149="Roll-up Screen"), _xlfn.XLOOKUP(C149, calc_rusacc!$C$15:$C$65, calc_rusacc!$AF$15:$AF$65, "",0),  AND( F149="Main Chain", I149="Accordion Screen"), _xlfn.XLOOKUP(C149, calc_rusacc!$C$15:$C$65, calc_rusacc!$BF$15:$BF$65, "",0), AND( F149="Sealant", I149="Accordion Screen"), _xlfn.XLOOKUP(C149, calc_rusacc!$C$15:$C$65, calc_rusacc!$BJ$15:$BJ$65, "",0),  F149="Sealant", _xlfn.XLOOKUP(C149, dd_accsrycalc!$A$2:$A$51, dd_accsrycalc!$G$2:$G$51, "",0),  F149&lt;&gt;"",L149*_xlfn.XLOOKUP(1, (SKUs!$C$2:$C$10001=G149)*(SKUs!$K$2:$K$10001=I149),SKUs!$E$2:$E$10001)), 0),"")</f>
        <v/>
      </c>
      <c r="E149" s="16" t="str">
        <f>_xlfn.XLOOKUP(F149,dd_item!$B$2:$B$105,dd_item!$C$2:$C$105,"",0)</f>
        <v/>
      </c>
      <c r="F149" s="16"/>
      <c r="G149" s="16" cm="1">
        <f t="array" ref="G149">IFERROR(_xlfn.XLOOKUP(1, (SKUs!$J$2:$J$10001=accsry_unmerged!F149)*IF(H149&lt;&gt;"",(SKUs!$L$2:$L$10001=accsry_unmerged!H149),1)*(SKUs!$K$2:$K$10001=I149),SKUs!$C$2:$C$10001),"")</f>
        <v>0</v>
      </c>
      <c r="H149" s="33" cm="1">
        <f t="array" ref="H149">IFERROR(_xlfn.XLOOKUP(1, (dd_accsryclr!$C$2:$C$1000=accsry_unmerged!F149)*(dd_accsryclr!$B$2:$B$1000=accsry_unmerged!J149),dd_accsryclr!$A$2:$A$1000),"")</f>
        <v>0</v>
      </c>
      <c r="I149" s="16">
        <f>_xlfn.XLOOKUP(C149,'Project Details'!$C$17:$C$66,'Project Details'!$E$17:$E$66,"",0)</f>
        <v>0</v>
      </c>
      <c r="J149" s="16">
        <f>_xlfn.XLOOKUP(C149,'Project Details'!$C$17:$C$66,'Project Details'!$H$17:$H$66,"",0)</f>
        <v>0</v>
      </c>
      <c r="K149" s="33" t="str">
        <f>IF(AND(_xlfn.XLOOKUP(C149,'Project Details'!$C$17:$C$66,'Project Details'!$L$17:$L$66,"",0)&gt;550, F149="Spring-L27cm"),"",SUBSTITUTE(_xlfn.XLOOKUP(G149,SKUs!$C$2:$C$10001,SKUs!$F$2:$F$10001,"",0), " Accessories",""))</f>
        <v/>
      </c>
      <c r="L149" s="33">
        <f>_xlfn.XLOOKUP(C149,'Project Details'!$C$17:$C$66,'Project Details'!$D$17:$D$66,"",0)</f>
        <v>0</v>
      </c>
      <c r="M149" s="43"/>
    </row>
    <row r="150" spans="1:13" ht="13.5" customHeight="1" outlineLevel="1" x14ac:dyDescent="0.25">
      <c r="A150" s="43"/>
      <c r="B150" s="43"/>
      <c r="C150" s="35">
        <f t="shared" si="1"/>
        <v>3</v>
      </c>
      <c r="D150" s="35" t="str" cm="1">
        <f t="array" ref="D150">IFERROR(ROUNDUP(_xlfn.IFS(F150="Aluminum Track", _xlfn.XLOOKUP(C150, dd_accsrycalc!$A$2:$A$51, dd_accsrycalc!$B$2:$B$51, "",0), F150="10 x 2 1/2 S (Flat)", _xlfn.XLOOKUP(C150, dd_accsrycalc!$A$2:$A$51, dd_accsrycalc!$C$2:$C$51, "",0), F150="Tox6", _xlfn.XLOOKUP(C150, dd_accsrycalc!$A$2:$A$51, dd_accsrycalc!$D$2:$D$51, "",0), F150="Cover Cap", _xlfn.XLOOKUP(C150, dd_accsrycalc!$A$2:$A$51, dd_accsrycalc!$E$2:$E$51, "",0), F150="Drainage Cover", _xlfn.XLOOKUP(C150, dd_accsrycalc!$A$2:$A$51, dd_accsrycalc!$F$2:$F$51, "",0),AND( F150="Double Adhesive Tape", I150="Roll-up Screen"), _xlfn.XLOOKUP(C150, calc_rusacc!$C$15:$C$65, calc_rusacc!$AD$15:$AD$65, "",0),AND( F150="Sealant", I150="Roll-up Screen"), _xlfn.XLOOKUP(C150, calc_rusacc!$C$15:$C$65, calc_rusacc!$AF$15:$AF$65, "",0),  AND( F150="Main Chain", I150="Accordion Screen"), _xlfn.XLOOKUP(C150, calc_rusacc!$C$15:$C$65, calc_rusacc!$BF$15:$BF$65, "",0), AND( F150="Sealant", I150="Accordion Screen"), _xlfn.XLOOKUP(C150, calc_rusacc!$C$15:$C$65, calc_rusacc!$BJ$15:$BJ$65, "",0),  F150="Sealant", _xlfn.XLOOKUP(C150, dd_accsrycalc!$A$2:$A$51, dd_accsrycalc!$G$2:$G$51, "",0),  F150&lt;&gt;"",L150*_xlfn.XLOOKUP(1, (SKUs!$C$2:$C$10001=G150)*(SKUs!$K$2:$K$10001=I150),SKUs!$E$2:$E$10001)), 0),"")</f>
        <v/>
      </c>
      <c r="E150" s="35" t="str">
        <f>_xlfn.XLOOKUP(F150,dd_item!$B$2:$B$105,dd_item!$C$2:$C$105,"",0)</f>
        <v/>
      </c>
      <c r="F150" s="35"/>
      <c r="G150" s="35" cm="1">
        <f t="array" ref="G150">IFERROR(_xlfn.XLOOKUP(1, (SKUs!$J$2:$J$10001=accsry_unmerged!F150)*IF(H150&lt;&gt;"",(SKUs!$L$2:$L$10001=accsry_unmerged!H150),1)*(SKUs!$K$2:$K$10001=I150),SKUs!$C$2:$C$10001),"")</f>
        <v>0</v>
      </c>
      <c r="H150" s="36" cm="1">
        <f t="array" ref="H150">IFERROR(_xlfn.XLOOKUP(1, (dd_accsryclr!$C$2:$C$1000=accsry_unmerged!F150)*(dd_accsryclr!$B$2:$B$1000=accsry_unmerged!J150),dd_accsryclr!$A$2:$A$1000),"")</f>
        <v>0</v>
      </c>
      <c r="I150" s="35">
        <f>_xlfn.XLOOKUP(C150,'Project Details'!$C$17:$C$66,'Project Details'!$E$17:$E$66,"",0)</f>
        <v>0</v>
      </c>
      <c r="J150" s="35">
        <f>_xlfn.XLOOKUP(C150,'Project Details'!$C$17:$C$66,'Project Details'!$H$17:$H$66,"",0)</f>
        <v>0</v>
      </c>
      <c r="K150" s="36" t="str">
        <f>IF(AND(_xlfn.XLOOKUP(C150,'Project Details'!$C$17:$C$66,'Project Details'!$L$17:$L$66,"",0)&gt;550, F150="Spring-L27cm"),"",SUBSTITUTE(_xlfn.XLOOKUP(G150,SKUs!$C$2:$C$10001,SKUs!$F$2:$F$10001,"",0), " Accessories",""))</f>
        <v/>
      </c>
      <c r="L150" s="36">
        <f>_xlfn.XLOOKUP(C150,'Project Details'!$C$17:$C$66,'Project Details'!$D$17:$D$66,"",0)</f>
        <v>0</v>
      </c>
      <c r="M150" s="43"/>
    </row>
    <row r="151" spans="1:13" ht="13.5" customHeight="1" outlineLevel="1" x14ac:dyDescent="0.25">
      <c r="A151" s="43"/>
      <c r="B151" s="43"/>
      <c r="C151" s="16">
        <f t="shared" si="1"/>
        <v>3</v>
      </c>
      <c r="D151" s="16" t="str" cm="1">
        <f t="array" ref="D151">IFERROR(ROUNDUP(_xlfn.IFS(F151="Aluminum Track", _xlfn.XLOOKUP(C151, dd_accsrycalc!$A$2:$A$51, dd_accsrycalc!$B$2:$B$51, "",0), F151="10 x 2 1/2 S (Flat)", _xlfn.XLOOKUP(C151, dd_accsrycalc!$A$2:$A$51, dd_accsrycalc!$C$2:$C$51, "",0), F151="Tox6", _xlfn.XLOOKUP(C151, dd_accsrycalc!$A$2:$A$51, dd_accsrycalc!$D$2:$D$51, "",0), F151="Cover Cap", _xlfn.XLOOKUP(C151, dd_accsrycalc!$A$2:$A$51, dd_accsrycalc!$E$2:$E$51, "",0), F151="Drainage Cover", _xlfn.XLOOKUP(C151, dd_accsrycalc!$A$2:$A$51, dd_accsrycalc!$F$2:$F$51, "",0),AND( F151="Double Adhesive Tape", I151="Roll-up Screen"), _xlfn.XLOOKUP(C151, calc_rusacc!$C$15:$C$65, calc_rusacc!$AD$15:$AD$65, "",0),AND( F151="Sealant", I151="Roll-up Screen"), _xlfn.XLOOKUP(C151, calc_rusacc!$C$15:$C$65, calc_rusacc!$AF$15:$AF$65, "",0),  AND( F151="Main Chain", I151="Accordion Screen"), _xlfn.XLOOKUP(C151, calc_rusacc!$C$15:$C$65, calc_rusacc!$BF$15:$BF$65, "",0), AND( F151="Sealant", I151="Accordion Screen"), _xlfn.XLOOKUP(C151, calc_rusacc!$C$15:$C$65, calc_rusacc!$BJ$15:$BJ$65, "",0),  F151="Sealant", _xlfn.XLOOKUP(C151, dd_accsrycalc!$A$2:$A$51, dd_accsrycalc!$G$2:$G$51, "",0),  F151&lt;&gt;"",L151*_xlfn.XLOOKUP(1, (SKUs!$C$2:$C$10001=G151)*(SKUs!$K$2:$K$10001=I151),SKUs!$E$2:$E$10001)), 0),"")</f>
        <v/>
      </c>
      <c r="E151" s="16" t="str">
        <f>_xlfn.XLOOKUP(F151,dd_item!$B$2:$B$105,dd_item!$C$2:$C$105,"",0)</f>
        <v/>
      </c>
      <c r="F151" s="16"/>
      <c r="G151" s="16" cm="1">
        <f t="array" ref="G151">IFERROR(_xlfn.XLOOKUP(1, (SKUs!$J$2:$J$10001=accsry_unmerged!F151)*IF(H151&lt;&gt;"",(SKUs!$L$2:$L$10001=accsry_unmerged!H151),1)*(SKUs!$K$2:$K$10001=I151),SKUs!$C$2:$C$10001),"")</f>
        <v>0</v>
      </c>
      <c r="H151" s="33" cm="1">
        <f t="array" ref="H151">IFERROR(_xlfn.XLOOKUP(1, (dd_accsryclr!$C$2:$C$1000=accsry_unmerged!F151)*(dd_accsryclr!$B$2:$B$1000=accsry_unmerged!J151),dd_accsryclr!$A$2:$A$1000),"")</f>
        <v>0</v>
      </c>
      <c r="I151" s="16">
        <f>_xlfn.XLOOKUP(C151,'Project Details'!$C$17:$C$66,'Project Details'!$E$17:$E$66,"",0)</f>
        <v>0</v>
      </c>
      <c r="J151" s="16">
        <f>_xlfn.XLOOKUP(C151,'Project Details'!$C$17:$C$66,'Project Details'!$H$17:$H$66,"",0)</f>
        <v>0</v>
      </c>
      <c r="K151" s="33" t="str">
        <f>IF(AND(_xlfn.XLOOKUP(C151,'Project Details'!$C$17:$C$66,'Project Details'!$L$17:$L$66,"",0)&gt;550, F151="Spring-L27cm"),"",SUBSTITUTE(_xlfn.XLOOKUP(G151,SKUs!$C$2:$C$10001,SKUs!$F$2:$F$10001,"",0), " Accessories",""))</f>
        <v/>
      </c>
      <c r="L151" s="33">
        <f>_xlfn.XLOOKUP(C151,'Project Details'!$C$17:$C$66,'Project Details'!$D$17:$D$66,"",0)</f>
        <v>0</v>
      </c>
      <c r="M151" s="43"/>
    </row>
    <row r="152" spans="1:13" ht="13.5" customHeight="1" outlineLevel="1" x14ac:dyDescent="0.25">
      <c r="A152" s="43"/>
      <c r="B152" s="43"/>
      <c r="C152" s="35">
        <f t="shared" si="1"/>
        <v>3</v>
      </c>
      <c r="D152" s="35" t="str" cm="1">
        <f t="array" ref="D152">IFERROR(ROUNDUP(_xlfn.IFS(F152="Aluminum Track", _xlfn.XLOOKUP(C152, dd_accsrycalc!$A$2:$A$51, dd_accsrycalc!$B$2:$B$51, "",0), F152="10 x 2 1/2 S (Flat)", _xlfn.XLOOKUP(C152, dd_accsrycalc!$A$2:$A$51, dd_accsrycalc!$C$2:$C$51, "",0), F152="Tox6", _xlfn.XLOOKUP(C152, dd_accsrycalc!$A$2:$A$51, dd_accsrycalc!$D$2:$D$51, "",0), F152="Cover Cap", _xlfn.XLOOKUP(C152, dd_accsrycalc!$A$2:$A$51, dd_accsrycalc!$E$2:$E$51, "",0), F152="Drainage Cover", _xlfn.XLOOKUP(C152, dd_accsrycalc!$A$2:$A$51, dd_accsrycalc!$F$2:$F$51, "",0),AND( F152="Double Adhesive Tape", I152="Roll-up Screen"), _xlfn.XLOOKUP(C152, calc_rusacc!$C$15:$C$65, calc_rusacc!$AD$15:$AD$65, "",0),AND( F152="Sealant", I152="Roll-up Screen"), _xlfn.XLOOKUP(C152, calc_rusacc!$C$15:$C$65, calc_rusacc!$AF$15:$AF$65, "",0),  AND( F152="Main Chain", I152="Accordion Screen"), _xlfn.XLOOKUP(C152, calc_rusacc!$C$15:$C$65, calc_rusacc!$BF$15:$BF$65, "",0), AND( F152="Sealant", I152="Accordion Screen"), _xlfn.XLOOKUP(C152, calc_rusacc!$C$15:$C$65, calc_rusacc!$BJ$15:$BJ$65, "",0),  F152="Sealant", _xlfn.XLOOKUP(C152, dd_accsrycalc!$A$2:$A$51, dd_accsrycalc!$G$2:$G$51, "",0),  F152&lt;&gt;"",L152*_xlfn.XLOOKUP(1, (SKUs!$C$2:$C$10001=G152)*(SKUs!$K$2:$K$10001=I152),SKUs!$E$2:$E$10001)), 0),"")</f>
        <v/>
      </c>
      <c r="E152" s="35" t="str">
        <f>_xlfn.XLOOKUP(F152,dd_item!$B$2:$B$105,dd_item!$C$2:$C$105,"",0)</f>
        <v/>
      </c>
      <c r="F152" s="35"/>
      <c r="G152" s="35" cm="1">
        <f t="array" ref="G152">IFERROR(_xlfn.XLOOKUP(1, (SKUs!$J$2:$J$10001=accsry_unmerged!F152)*IF(H152&lt;&gt;"",(SKUs!$L$2:$L$10001=accsry_unmerged!H152),1)*(SKUs!$K$2:$K$10001=I152),SKUs!$C$2:$C$10001),"")</f>
        <v>0</v>
      </c>
      <c r="H152" s="36" cm="1">
        <f t="array" ref="H152">IFERROR(_xlfn.XLOOKUP(1, (dd_accsryclr!$C$2:$C$1000=accsry_unmerged!F152)*(dd_accsryclr!$B$2:$B$1000=accsry_unmerged!J152),dd_accsryclr!$A$2:$A$1000),"")</f>
        <v>0</v>
      </c>
      <c r="I152" s="35">
        <f>_xlfn.XLOOKUP(C152,'Project Details'!$C$17:$C$66,'Project Details'!$E$17:$E$66,"",0)</f>
        <v>0</v>
      </c>
      <c r="J152" s="35">
        <f>_xlfn.XLOOKUP(C152,'Project Details'!$C$17:$C$66,'Project Details'!$H$17:$H$66,"",0)</f>
        <v>0</v>
      </c>
      <c r="K152" s="36" t="str">
        <f>IF(AND(_xlfn.XLOOKUP(C152,'Project Details'!$C$17:$C$66,'Project Details'!$L$17:$L$66,"",0)&gt;550, F152="Spring-L27cm"),"",SUBSTITUTE(_xlfn.XLOOKUP(G152,SKUs!$C$2:$C$10001,SKUs!$F$2:$F$10001,"",0), " Accessories",""))</f>
        <v/>
      </c>
      <c r="L152" s="36">
        <f>_xlfn.XLOOKUP(C152,'Project Details'!$C$17:$C$66,'Project Details'!$D$17:$D$66,"",0)</f>
        <v>0</v>
      </c>
      <c r="M152" s="43"/>
    </row>
    <row r="153" spans="1:13" ht="13.5" customHeight="1" outlineLevel="1" x14ac:dyDescent="0.25">
      <c r="A153" s="43"/>
      <c r="B153" s="43"/>
      <c r="C153" s="16">
        <f t="shared" si="1"/>
        <v>3</v>
      </c>
      <c r="D153" s="16" t="str" cm="1">
        <f t="array" ref="D153">IFERROR(ROUNDUP(_xlfn.IFS(F153="Aluminum Track", _xlfn.XLOOKUP(C153, dd_accsrycalc!$A$2:$A$51, dd_accsrycalc!$B$2:$B$51, "",0), F153="10 x 2 1/2 S (Flat)", _xlfn.XLOOKUP(C153, dd_accsrycalc!$A$2:$A$51, dd_accsrycalc!$C$2:$C$51, "",0), F153="Tox6", _xlfn.XLOOKUP(C153, dd_accsrycalc!$A$2:$A$51, dd_accsrycalc!$D$2:$D$51, "",0), F153="Cover Cap", _xlfn.XLOOKUP(C153, dd_accsrycalc!$A$2:$A$51, dd_accsrycalc!$E$2:$E$51, "",0), F153="Drainage Cover", _xlfn.XLOOKUP(C153, dd_accsrycalc!$A$2:$A$51, dd_accsrycalc!$F$2:$F$51, "",0),AND( F153="Double Adhesive Tape", I153="Roll-up Screen"), _xlfn.XLOOKUP(C153, calc_rusacc!$C$15:$C$65, calc_rusacc!$AD$15:$AD$65, "",0),AND( F153="Sealant", I153="Roll-up Screen"), _xlfn.XLOOKUP(C153, calc_rusacc!$C$15:$C$65, calc_rusacc!$AF$15:$AF$65, "",0),  AND( F153="Main Chain", I153="Accordion Screen"), _xlfn.XLOOKUP(C153, calc_rusacc!$C$15:$C$65, calc_rusacc!$BF$15:$BF$65, "",0), AND( F153="Sealant", I153="Accordion Screen"), _xlfn.XLOOKUP(C153, calc_rusacc!$C$15:$C$65, calc_rusacc!$BJ$15:$BJ$65, "",0),  F153="Sealant", _xlfn.XLOOKUP(C153, dd_accsrycalc!$A$2:$A$51, dd_accsrycalc!$G$2:$G$51, "",0),  F153&lt;&gt;"",L153*_xlfn.XLOOKUP(1, (SKUs!$C$2:$C$10001=G153)*(SKUs!$K$2:$K$10001=I153),SKUs!$E$2:$E$10001)), 0),"")</f>
        <v/>
      </c>
      <c r="E153" s="16" t="str">
        <f>_xlfn.XLOOKUP(F153,dd_item!$B$2:$B$105,dd_item!$C$2:$C$105,"",0)</f>
        <v/>
      </c>
      <c r="F153" s="16"/>
      <c r="G153" s="16" cm="1">
        <f t="array" ref="G153">IFERROR(_xlfn.XLOOKUP(1, (SKUs!$J$2:$J$10001=accsry_unmerged!F153)*IF(H153&lt;&gt;"",(SKUs!$L$2:$L$10001=accsry_unmerged!H153),1)*(SKUs!$K$2:$K$10001=I153),SKUs!$C$2:$C$10001),"")</f>
        <v>0</v>
      </c>
      <c r="H153" s="33" cm="1">
        <f t="array" ref="H153">IFERROR(_xlfn.XLOOKUP(1, (dd_accsryclr!$C$2:$C$1000=accsry_unmerged!F153)*(dd_accsryclr!$B$2:$B$1000=accsry_unmerged!J153),dd_accsryclr!$A$2:$A$1000),"")</f>
        <v>0</v>
      </c>
      <c r="I153" s="16">
        <f>_xlfn.XLOOKUP(C153,'Project Details'!$C$17:$C$66,'Project Details'!$E$17:$E$66,"",0)</f>
        <v>0</v>
      </c>
      <c r="J153" s="16">
        <f>_xlfn.XLOOKUP(C153,'Project Details'!$C$17:$C$66,'Project Details'!$H$17:$H$66,"",0)</f>
        <v>0</v>
      </c>
      <c r="K153" s="33" t="str">
        <f>IF(AND(_xlfn.XLOOKUP(C153,'Project Details'!$C$17:$C$66,'Project Details'!$L$17:$L$66,"",0)&gt;550, F153="Spring-L27cm"),"",SUBSTITUTE(_xlfn.XLOOKUP(G153,SKUs!$C$2:$C$10001,SKUs!$F$2:$F$10001,"",0), " Accessories",""))</f>
        <v/>
      </c>
      <c r="L153" s="33">
        <f>_xlfn.XLOOKUP(C153,'Project Details'!$C$17:$C$66,'Project Details'!$D$17:$D$66,"",0)</f>
        <v>0</v>
      </c>
      <c r="M153" s="43"/>
    </row>
    <row r="154" spans="1:13" ht="13.5" customHeight="1" outlineLevel="1" x14ac:dyDescent="0.25">
      <c r="A154" s="43"/>
      <c r="B154" s="43"/>
      <c r="C154" s="35">
        <f t="shared" si="1"/>
        <v>3</v>
      </c>
      <c r="D154" s="35" t="str" cm="1">
        <f t="array" ref="D154">IFERROR(ROUNDUP(_xlfn.IFS(F154="Aluminum Track", _xlfn.XLOOKUP(C154, dd_accsrycalc!$A$2:$A$51, dd_accsrycalc!$B$2:$B$51, "",0), F154="10 x 2 1/2 S (Flat)", _xlfn.XLOOKUP(C154, dd_accsrycalc!$A$2:$A$51, dd_accsrycalc!$C$2:$C$51, "",0), F154="Tox6", _xlfn.XLOOKUP(C154, dd_accsrycalc!$A$2:$A$51, dd_accsrycalc!$D$2:$D$51, "",0), F154="Cover Cap", _xlfn.XLOOKUP(C154, dd_accsrycalc!$A$2:$A$51, dd_accsrycalc!$E$2:$E$51, "",0), F154="Drainage Cover", _xlfn.XLOOKUP(C154, dd_accsrycalc!$A$2:$A$51, dd_accsrycalc!$F$2:$F$51, "",0),AND( F154="Double Adhesive Tape", I154="Roll-up Screen"), _xlfn.XLOOKUP(C154, calc_rusacc!$C$15:$C$65, calc_rusacc!$AD$15:$AD$65, "",0),AND( F154="Sealant", I154="Roll-up Screen"), _xlfn.XLOOKUP(C154, calc_rusacc!$C$15:$C$65, calc_rusacc!$AF$15:$AF$65, "",0),  AND( F154="Main Chain", I154="Accordion Screen"), _xlfn.XLOOKUP(C154, calc_rusacc!$C$15:$C$65, calc_rusacc!$BF$15:$BF$65, "",0), AND( F154="Sealant", I154="Accordion Screen"), _xlfn.XLOOKUP(C154, calc_rusacc!$C$15:$C$65, calc_rusacc!$BJ$15:$BJ$65, "",0),  F154="Sealant", _xlfn.XLOOKUP(C154, dd_accsrycalc!$A$2:$A$51, dd_accsrycalc!$G$2:$G$51, "",0),  F154&lt;&gt;"",L154*_xlfn.XLOOKUP(1, (SKUs!$C$2:$C$10001=G154)*(SKUs!$K$2:$K$10001=I154),SKUs!$E$2:$E$10001)), 0),"")</f>
        <v/>
      </c>
      <c r="E154" s="35" t="str">
        <f>_xlfn.XLOOKUP(F154,dd_item!$B$2:$B$105,dd_item!$C$2:$C$105,"",0)</f>
        <v/>
      </c>
      <c r="F154" s="35"/>
      <c r="G154" s="35" cm="1">
        <f t="array" ref="G154">IFERROR(_xlfn.XLOOKUP(1, (SKUs!$J$2:$J$10001=accsry_unmerged!F154)*IF(H154&lt;&gt;"",(SKUs!$L$2:$L$10001=accsry_unmerged!H154),1)*(SKUs!$K$2:$K$10001=I154),SKUs!$C$2:$C$10001),"")</f>
        <v>0</v>
      </c>
      <c r="H154" s="36" cm="1">
        <f t="array" ref="H154">IFERROR(_xlfn.XLOOKUP(1, (dd_accsryclr!$C$2:$C$1000=accsry_unmerged!F154)*(dd_accsryclr!$B$2:$B$1000=accsry_unmerged!J154),dd_accsryclr!$A$2:$A$1000),"")</f>
        <v>0</v>
      </c>
      <c r="I154" s="35">
        <f>_xlfn.XLOOKUP(C154,'Project Details'!$C$17:$C$66,'Project Details'!$E$17:$E$66,"",0)</f>
        <v>0</v>
      </c>
      <c r="J154" s="35">
        <f>_xlfn.XLOOKUP(C154,'Project Details'!$C$17:$C$66,'Project Details'!$H$17:$H$66,"",0)</f>
        <v>0</v>
      </c>
      <c r="K154" s="36" t="str">
        <f>IF(AND(_xlfn.XLOOKUP(C154,'Project Details'!$C$17:$C$66,'Project Details'!$L$17:$L$66,"",0)&gt;550, F154="Spring-L27cm"),"",SUBSTITUTE(_xlfn.XLOOKUP(G154,SKUs!$C$2:$C$10001,SKUs!$F$2:$F$10001,"",0), " Accessories",""))</f>
        <v/>
      </c>
      <c r="L154" s="36">
        <f>_xlfn.XLOOKUP(C154,'Project Details'!$C$17:$C$66,'Project Details'!$D$17:$D$66,"",0)</f>
        <v>0</v>
      </c>
      <c r="M154" s="43"/>
    </row>
    <row r="155" spans="1:13" ht="13.5" customHeight="1" outlineLevel="1" collapsed="1" x14ac:dyDescent="0.25">
      <c r="A155" s="43"/>
      <c r="B155" s="43"/>
      <c r="C155" s="16">
        <f t="shared" si="1"/>
        <v>3</v>
      </c>
      <c r="D155" s="16" t="str" cm="1">
        <f t="array" ref="D155">IFERROR(ROUNDUP(_xlfn.IFS(F155="Aluminum Track", _xlfn.XLOOKUP(C155, dd_accsrycalc!$A$2:$A$51, dd_accsrycalc!$B$2:$B$51, "",0), F155="10 x 2 1/2 S (Flat)", _xlfn.XLOOKUP(C155, dd_accsrycalc!$A$2:$A$51, dd_accsrycalc!$C$2:$C$51, "",0), F155="Tox6", _xlfn.XLOOKUP(C155, dd_accsrycalc!$A$2:$A$51, dd_accsrycalc!$D$2:$D$51, "",0), F155="Cover Cap", _xlfn.XLOOKUP(C155, dd_accsrycalc!$A$2:$A$51, dd_accsrycalc!$E$2:$E$51, "",0), F155="Drainage Cover", _xlfn.XLOOKUP(C155, dd_accsrycalc!$A$2:$A$51, dd_accsrycalc!$F$2:$F$51, "",0),AND( F155="Double Adhesive Tape", I155="Roll-up Screen"), _xlfn.XLOOKUP(C155, calc_rusacc!$C$15:$C$65, calc_rusacc!$AD$15:$AD$65, "",0),AND( F155="Sealant", I155="Roll-up Screen"), _xlfn.XLOOKUP(C155, calc_rusacc!$C$15:$C$65, calc_rusacc!$AF$15:$AF$65, "",0),  AND( F155="Main Chain", I155="Accordion Screen"), _xlfn.XLOOKUP(C155, calc_rusacc!$C$15:$C$65, calc_rusacc!$BF$15:$BF$65, "",0), AND( F155="Sealant", I155="Accordion Screen"), _xlfn.XLOOKUP(C155, calc_rusacc!$C$15:$C$65, calc_rusacc!$BJ$15:$BJ$65, "",0),  F155="Sealant", _xlfn.XLOOKUP(C155, dd_accsrycalc!$A$2:$A$51, dd_accsrycalc!$G$2:$G$51, "",0),  F155&lt;&gt;"",L155*_xlfn.XLOOKUP(1, (SKUs!$C$2:$C$10001=G155)*(SKUs!$K$2:$K$10001=I155),SKUs!$E$2:$E$10001)), 0),"")</f>
        <v/>
      </c>
      <c r="E155" s="16" t="str">
        <f>_xlfn.XLOOKUP(F155,dd_item!$B$2:$B$105,dd_item!$C$2:$C$105,"",0)</f>
        <v/>
      </c>
      <c r="F155" s="16"/>
      <c r="G155" s="16" cm="1">
        <f t="array" ref="G155">IFERROR(_xlfn.XLOOKUP(1, (SKUs!$J$2:$J$10001=accsry_unmerged!F155)*IF(H155&lt;&gt;"",(SKUs!$L$2:$L$10001=accsry_unmerged!H155),1)*(SKUs!$K$2:$K$10001=I155),SKUs!$C$2:$C$10001),"")</f>
        <v>0</v>
      </c>
      <c r="H155" s="33" cm="1">
        <f t="array" ref="H155">IFERROR(_xlfn.XLOOKUP(1, (dd_accsryclr!$C$2:$C$1000=accsry_unmerged!F155)*(dd_accsryclr!$B$2:$B$1000=accsry_unmerged!J155),dd_accsryclr!$A$2:$A$1000),"")</f>
        <v>0</v>
      </c>
      <c r="I155" s="16">
        <f>_xlfn.XLOOKUP(C155,'Project Details'!$C$17:$C$66,'Project Details'!$E$17:$E$66,"",0)</f>
        <v>0</v>
      </c>
      <c r="J155" s="16">
        <f>_xlfn.XLOOKUP(C155,'Project Details'!$C$17:$C$66,'Project Details'!$H$17:$H$66,"",0)</f>
        <v>0</v>
      </c>
      <c r="K155" s="33" t="str">
        <f>IF(AND(_xlfn.XLOOKUP(C155,'Project Details'!$C$17:$C$66,'Project Details'!$L$17:$L$66,"",0)&gt;550, F155="Spring-L27cm"),"",SUBSTITUTE(_xlfn.XLOOKUP(G155,SKUs!$C$2:$C$10001,SKUs!$F$2:$F$10001,"",0), " Accessories",""))</f>
        <v/>
      </c>
      <c r="L155" s="33">
        <f>_xlfn.XLOOKUP(C155,'Project Details'!$C$17:$C$66,'Project Details'!$D$17:$D$66,"",0)</f>
        <v>0</v>
      </c>
      <c r="M155" s="43"/>
    </row>
    <row r="156" spans="1:13" ht="13.5" customHeight="1" outlineLevel="1" x14ac:dyDescent="0.25">
      <c r="A156" s="43"/>
      <c r="B156" s="43"/>
      <c r="C156" s="35">
        <f t="shared" si="1"/>
        <v>3</v>
      </c>
      <c r="D156" s="35" t="str" cm="1">
        <f t="array" ref="D156">IFERROR(ROUNDUP(_xlfn.IFS(F156="Aluminum Track", _xlfn.XLOOKUP(C156, dd_accsrycalc!$A$2:$A$51, dd_accsrycalc!$B$2:$B$51, "",0), F156="10 x 2 1/2 S (Flat)", _xlfn.XLOOKUP(C156, dd_accsrycalc!$A$2:$A$51, dd_accsrycalc!$C$2:$C$51, "",0), F156="Tox6", _xlfn.XLOOKUP(C156, dd_accsrycalc!$A$2:$A$51, dd_accsrycalc!$D$2:$D$51, "",0), F156="Cover Cap", _xlfn.XLOOKUP(C156, dd_accsrycalc!$A$2:$A$51, dd_accsrycalc!$E$2:$E$51, "",0), F156="Drainage Cover", _xlfn.XLOOKUP(C156, dd_accsrycalc!$A$2:$A$51, dd_accsrycalc!$F$2:$F$51, "",0),AND( F156="Double Adhesive Tape", I156="Roll-up Screen"), _xlfn.XLOOKUP(C156, calc_rusacc!$C$15:$C$65, calc_rusacc!$AD$15:$AD$65, "",0),AND( F156="Sealant", I156="Roll-up Screen"), _xlfn.XLOOKUP(C156, calc_rusacc!$C$15:$C$65, calc_rusacc!$AF$15:$AF$65, "",0),  AND( F156="Main Chain", I156="Accordion Screen"), _xlfn.XLOOKUP(C156, calc_rusacc!$C$15:$C$65, calc_rusacc!$BF$15:$BF$65, "",0), AND( F156="Sealant", I156="Accordion Screen"), _xlfn.XLOOKUP(C156, calc_rusacc!$C$15:$C$65, calc_rusacc!$BJ$15:$BJ$65, "",0),  F156="Sealant", _xlfn.XLOOKUP(C156, dd_accsrycalc!$A$2:$A$51, dd_accsrycalc!$G$2:$G$51, "",0),  F156&lt;&gt;"",L156*_xlfn.XLOOKUP(1, (SKUs!$C$2:$C$10001=G156)*(SKUs!$K$2:$K$10001=I156),SKUs!$E$2:$E$10001)), 0),"")</f>
        <v/>
      </c>
      <c r="E156" s="35" t="str">
        <f>_xlfn.XLOOKUP(F156,dd_item!$B$2:$B$105,dd_item!$C$2:$C$105,"",0)</f>
        <v/>
      </c>
      <c r="F156" s="35"/>
      <c r="G156" s="35" cm="1">
        <f t="array" ref="G156">IFERROR(_xlfn.XLOOKUP(1, (SKUs!$J$2:$J$10001=accsry_unmerged!F156)*IF(H156&lt;&gt;"",(SKUs!$L$2:$L$10001=accsry_unmerged!H156),1)*(SKUs!$K$2:$K$10001=I156),SKUs!$C$2:$C$10001),"")</f>
        <v>0</v>
      </c>
      <c r="H156" s="36" cm="1">
        <f t="array" ref="H156">IFERROR(_xlfn.XLOOKUP(1, (dd_accsryclr!$C$2:$C$1000=accsry_unmerged!F156)*(dd_accsryclr!$B$2:$B$1000=accsry_unmerged!J156),dd_accsryclr!$A$2:$A$1000),"")</f>
        <v>0</v>
      </c>
      <c r="I156" s="35">
        <f>_xlfn.XLOOKUP(C156,'Project Details'!$C$17:$C$66,'Project Details'!$E$17:$E$66,"",0)</f>
        <v>0</v>
      </c>
      <c r="J156" s="35">
        <f>_xlfn.XLOOKUP(C156,'Project Details'!$C$17:$C$66,'Project Details'!$H$17:$H$66,"",0)</f>
        <v>0</v>
      </c>
      <c r="K156" s="36" t="str">
        <f>IF(AND(_xlfn.XLOOKUP(C156,'Project Details'!$C$17:$C$66,'Project Details'!$L$17:$L$66,"",0)&gt;550, F156="Spring-L27cm"),"",SUBSTITUTE(_xlfn.XLOOKUP(G156,SKUs!$C$2:$C$10001,SKUs!$F$2:$F$10001,"",0), " Accessories",""))</f>
        <v/>
      </c>
      <c r="L156" s="36">
        <f>_xlfn.XLOOKUP(C156,'Project Details'!$C$17:$C$66,'Project Details'!$D$17:$D$66,"",0)</f>
        <v>0</v>
      </c>
      <c r="M156" s="43"/>
    </row>
    <row r="157" spans="1:13" ht="13.5" customHeight="1" outlineLevel="1" x14ac:dyDescent="0.25">
      <c r="A157" s="43"/>
      <c r="B157" s="43"/>
      <c r="C157" s="16">
        <f t="shared" si="1"/>
        <v>3</v>
      </c>
      <c r="D157" s="16" t="str" cm="1">
        <f t="array" ref="D157">IFERROR(ROUNDUP(_xlfn.IFS(F157="Aluminum Track", _xlfn.XLOOKUP(C157, dd_accsrycalc!$A$2:$A$51, dd_accsrycalc!$B$2:$B$51, "",0), F157="10 x 2 1/2 S (Flat)", _xlfn.XLOOKUP(C157, dd_accsrycalc!$A$2:$A$51, dd_accsrycalc!$C$2:$C$51, "",0), F157="Tox6", _xlfn.XLOOKUP(C157, dd_accsrycalc!$A$2:$A$51, dd_accsrycalc!$D$2:$D$51, "",0), F157="Cover Cap", _xlfn.XLOOKUP(C157, dd_accsrycalc!$A$2:$A$51, dd_accsrycalc!$E$2:$E$51, "",0), F157="Drainage Cover", _xlfn.XLOOKUP(C157, dd_accsrycalc!$A$2:$A$51, dd_accsrycalc!$F$2:$F$51, "",0),AND( F157="Double Adhesive Tape", I157="Roll-up Screen"), _xlfn.XLOOKUP(C157, calc_rusacc!$C$15:$C$65, calc_rusacc!$AD$15:$AD$65, "",0),AND( F157="Sealant", I157="Roll-up Screen"), _xlfn.XLOOKUP(C157, calc_rusacc!$C$15:$C$65, calc_rusacc!$AF$15:$AF$65, "",0),  AND( F157="Main Chain", I157="Accordion Screen"), _xlfn.XLOOKUP(C157, calc_rusacc!$C$15:$C$65, calc_rusacc!$BF$15:$BF$65, "",0), AND( F157="Sealant", I157="Accordion Screen"), _xlfn.XLOOKUP(C157, calc_rusacc!$C$15:$C$65, calc_rusacc!$BJ$15:$BJ$65, "",0),  F157="Sealant", _xlfn.XLOOKUP(C157, dd_accsrycalc!$A$2:$A$51, dd_accsrycalc!$G$2:$G$51, "",0),  F157&lt;&gt;"",L157*_xlfn.XLOOKUP(1, (SKUs!$C$2:$C$10001=G157)*(SKUs!$K$2:$K$10001=I157),SKUs!$E$2:$E$10001)), 0),"")</f>
        <v/>
      </c>
      <c r="E157" s="16" t="str">
        <f>_xlfn.XLOOKUP(F157,dd_item!$B$2:$B$105,dd_item!$C$2:$C$105,"",0)</f>
        <v/>
      </c>
      <c r="F157" s="16"/>
      <c r="G157" s="16" cm="1">
        <f t="array" ref="G157">IFERROR(_xlfn.XLOOKUP(1, (SKUs!$J$2:$J$10001=accsry_unmerged!F157)*IF(H157&lt;&gt;"",(SKUs!$L$2:$L$10001=accsry_unmerged!H157),1)*(SKUs!$K$2:$K$10001=I157),SKUs!$C$2:$C$10001),"")</f>
        <v>0</v>
      </c>
      <c r="H157" s="33" cm="1">
        <f t="array" ref="H157">IFERROR(_xlfn.XLOOKUP(1, (dd_accsryclr!$C$2:$C$1000=accsry_unmerged!F157)*(dd_accsryclr!$B$2:$B$1000=accsry_unmerged!J157),dd_accsryclr!$A$2:$A$1000),"")</f>
        <v>0</v>
      </c>
      <c r="I157" s="16">
        <f>_xlfn.XLOOKUP(C157,'Project Details'!$C$17:$C$66,'Project Details'!$E$17:$E$66,"",0)</f>
        <v>0</v>
      </c>
      <c r="J157" s="16">
        <f>_xlfn.XLOOKUP(C157,'Project Details'!$C$17:$C$66,'Project Details'!$H$17:$H$66,"",0)</f>
        <v>0</v>
      </c>
      <c r="K157" s="33" t="str">
        <f>IF(AND(_xlfn.XLOOKUP(C157,'Project Details'!$C$17:$C$66,'Project Details'!$L$17:$L$66,"",0)&gt;550, F157="Spring-L27cm"),"",SUBSTITUTE(_xlfn.XLOOKUP(G157,SKUs!$C$2:$C$10001,SKUs!$F$2:$F$10001,"",0), " Accessories",""))</f>
        <v/>
      </c>
      <c r="L157" s="33">
        <f>_xlfn.XLOOKUP(C157,'Project Details'!$C$17:$C$66,'Project Details'!$D$17:$D$66,"",0)</f>
        <v>0</v>
      </c>
      <c r="M157" s="43"/>
    </row>
    <row r="158" spans="1:13" ht="13.5" customHeight="1" outlineLevel="1" x14ac:dyDescent="0.25">
      <c r="A158" s="43"/>
      <c r="B158" s="43"/>
      <c r="C158" s="35">
        <f t="shared" si="1"/>
        <v>3</v>
      </c>
      <c r="D158" s="35" t="str" cm="1">
        <f t="array" ref="D158">IFERROR(ROUNDUP(_xlfn.IFS(F158="Aluminum Track", _xlfn.XLOOKUP(C158, dd_accsrycalc!$A$2:$A$51, dd_accsrycalc!$B$2:$B$51, "",0), F158="10 x 2 1/2 S (Flat)", _xlfn.XLOOKUP(C158, dd_accsrycalc!$A$2:$A$51, dd_accsrycalc!$C$2:$C$51, "",0), F158="Tox6", _xlfn.XLOOKUP(C158, dd_accsrycalc!$A$2:$A$51, dd_accsrycalc!$D$2:$D$51, "",0), F158="Cover Cap", _xlfn.XLOOKUP(C158, dd_accsrycalc!$A$2:$A$51, dd_accsrycalc!$E$2:$E$51, "",0), F158="Drainage Cover", _xlfn.XLOOKUP(C158, dd_accsrycalc!$A$2:$A$51, dd_accsrycalc!$F$2:$F$51, "",0),AND( F158="Double Adhesive Tape", I158="Roll-up Screen"), _xlfn.XLOOKUP(C158, calc_rusacc!$C$15:$C$65, calc_rusacc!$AD$15:$AD$65, "",0),AND( F158="Sealant", I158="Roll-up Screen"), _xlfn.XLOOKUP(C158, calc_rusacc!$C$15:$C$65, calc_rusacc!$AF$15:$AF$65, "",0),  AND( F158="Main Chain", I158="Accordion Screen"), _xlfn.XLOOKUP(C158, calc_rusacc!$C$15:$C$65, calc_rusacc!$BF$15:$BF$65, "",0), AND( F158="Sealant", I158="Accordion Screen"), _xlfn.XLOOKUP(C158, calc_rusacc!$C$15:$C$65, calc_rusacc!$BJ$15:$BJ$65, "",0),  F158="Sealant", _xlfn.XLOOKUP(C158, dd_accsrycalc!$A$2:$A$51, dd_accsrycalc!$G$2:$G$51, "",0),  F158&lt;&gt;"",L158*_xlfn.XLOOKUP(1, (SKUs!$C$2:$C$10001=G158)*(SKUs!$K$2:$K$10001=I158),SKUs!$E$2:$E$10001)), 0),"")</f>
        <v/>
      </c>
      <c r="E158" s="35" t="str">
        <f>_xlfn.XLOOKUP(F158,dd_item!$B$2:$B$105,dd_item!$C$2:$C$105,"",0)</f>
        <v/>
      </c>
      <c r="F158" s="35"/>
      <c r="G158" s="35" cm="1">
        <f t="array" ref="G158">IFERROR(_xlfn.XLOOKUP(1, (SKUs!$J$2:$J$10001=accsry_unmerged!F158)*IF(H158&lt;&gt;"",(SKUs!$L$2:$L$10001=accsry_unmerged!H158),1)*(SKUs!$K$2:$K$10001=I158),SKUs!$C$2:$C$10001),"")</f>
        <v>0</v>
      </c>
      <c r="H158" s="36" cm="1">
        <f t="array" ref="H158">IFERROR(_xlfn.XLOOKUP(1, (dd_accsryclr!$C$2:$C$1000=accsry_unmerged!F158)*(dd_accsryclr!$B$2:$B$1000=accsry_unmerged!J158),dd_accsryclr!$A$2:$A$1000),"")</f>
        <v>0</v>
      </c>
      <c r="I158" s="35">
        <f>_xlfn.XLOOKUP(C158,'Project Details'!$C$17:$C$66,'Project Details'!$E$17:$E$66,"",0)</f>
        <v>0</v>
      </c>
      <c r="J158" s="35">
        <f>_xlfn.XLOOKUP(C158,'Project Details'!$C$17:$C$66,'Project Details'!$H$17:$H$66,"",0)</f>
        <v>0</v>
      </c>
      <c r="K158" s="36" t="str">
        <f>IF(AND(_xlfn.XLOOKUP(C158,'Project Details'!$C$17:$C$66,'Project Details'!$L$17:$L$66,"",0)&gt;550, F158="Spring-L27cm"),"",SUBSTITUTE(_xlfn.XLOOKUP(G158,SKUs!$C$2:$C$10001,SKUs!$F$2:$F$10001,"",0), " Accessories",""))</f>
        <v/>
      </c>
      <c r="L158" s="36">
        <f>_xlfn.XLOOKUP(C158,'Project Details'!$C$17:$C$66,'Project Details'!$D$17:$D$66,"",0)</f>
        <v>0</v>
      </c>
      <c r="M158" s="43"/>
    </row>
    <row r="159" spans="1:13" ht="13.5" customHeight="1" outlineLevel="1" x14ac:dyDescent="0.25">
      <c r="A159" s="43"/>
      <c r="B159" s="43"/>
      <c r="C159" s="16">
        <f t="shared" si="1"/>
        <v>3</v>
      </c>
      <c r="D159" s="16" t="str" cm="1">
        <f t="array" ref="D159">IFERROR(ROUNDUP(_xlfn.IFS(F159="Aluminum Track", _xlfn.XLOOKUP(C159, dd_accsrycalc!$A$2:$A$51, dd_accsrycalc!$B$2:$B$51, "",0), F159="10 x 2 1/2 S (Flat)", _xlfn.XLOOKUP(C159, dd_accsrycalc!$A$2:$A$51, dd_accsrycalc!$C$2:$C$51, "",0), F159="Tox6", _xlfn.XLOOKUP(C159, dd_accsrycalc!$A$2:$A$51, dd_accsrycalc!$D$2:$D$51, "",0), F159="Cover Cap", _xlfn.XLOOKUP(C159, dd_accsrycalc!$A$2:$A$51, dd_accsrycalc!$E$2:$E$51, "",0), F159="Drainage Cover", _xlfn.XLOOKUP(C159, dd_accsrycalc!$A$2:$A$51, dd_accsrycalc!$F$2:$F$51, "",0),AND( F159="Double Adhesive Tape", I159="Roll-up Screen"), _xlfn.XLOOKUP(C159, calc_rusacc!$C$15:$C$65, calc_rusacc!$AD$15:$AD$65, "",0),AND( F159="Sealant", I159="Roll-up Screen"), _xlfn.XLOOKUP(C159, calc_rusacc!$C$15:$C$65, calc_rusacc!$AF$15:$AF$65, "",0),  AND( F159="Main Chain", I159="Accordion Screen"), _xlfn.XLOOKUP(C159, calc_rusacc!$C$15:$C$65, calc_rusacc!$BF$15:$BF$65, "",0), AND( F159="Sealant", I159="Accordion Screen"), _xlfn.XLOOKUP(C159, calc_rusacc!$C$15:$C$65, calc_rusacc!$BJ$15:$BJ$65, "",0),  F159="Sealant", _xlfn.XLOOKUP(C159, dd_accsrycalc!$A$2:$A$51, dd_accsrycalc!$G$2:$G$51, "",0),  F159&lt;&gt;"",L159*_xlfn.XLOOKUP(1, (SKUs!$C$2:$C$10001=G159)*(SKUs!$K$2:$K$10001=I159),SKUs!$E$2:$E$10001)), 0),"")</f>
        <v/>
      </c>
      <c r="E159" s="16" t="str">
        <f>_xlfn.XLOOKUP(F159,dd_item!$B$2:$B$105,dd_item!$C$2:$C$105,"",0)</f>
        <v/>
      </c>
      <c r="F159" s="16"/>
      <c r="G159" s="16" cm="1">
        <f t="array" ref="G159">IFERROR(_xlfn.XLOOKUP(1, (SKUs!$J$2:$J$10001=accsry_unmerged!F159)*IF(H159&lt;&gt;"",(SKUs!$L$2:$L$10001=accsry_unmerged!H159),1)*(SKUs!$K$2:$K$10001=I159),SKUs!$C$2:$C$10001),"")</f>
        <v>0</v>
      </c>
      <c r="H159" s="33" cm="1">
        <f t="array" ref="H159">IFERROR(_xlfn.XLOOKUP(1, (dd_accsryclr!$C$2:$C$1000=accsry_unmerged!F159)*(dd_accsryclr!$B$2:$B$1000=accsry_unmerged!J159),dd_accsryclr!$A$2:$A$1000),"")</f>
        <v>0</v>
      </c>
      <c r="I159" s="16">
        <f>_xlfn.XLOOKUP(C159,'Project Details'!$C$17:$C$66,'Project Details'!$E$17:$E$66,"",0)</f>
        <v>0</v>
      </c>
      <c r="J159" s="16">
        <f>_xlfn.XLOOKUP(C159,'Project Details'!$C$17:$C$66,'Project Details'!$H$17:$H$66,"",0)</f>
        <v>0</v>
      </c>
      <c r="K159" s="33" t="str">
        <f>IF(AND(_xlfn.XLOOKUP(C159,'Project Details'!$C$17:$C$66,'Project Details'!$L$17:$L$66,"",0)&gt;550, F159="Spring-L27cm"),"",SUBSTITUTE(_xlfn.XLOOKUP(G159,SKUs!$C$2:$C$10001,SKUs!$F$2:$F$10001,"",0), " Accessories",""))</f>
        <v/>
      </c>
      <c r="L159" s="33">
        <f>_xlfn.XLOOKUP(C159,'Project Details'!$C$17:$C$66,'Project Details'!$D$17:$D$66,"",0)</f>
        <v>0</v>
      </c>
      <c r="M159" s="43"/>
    </row>
    <row r="160" spans="1:13" ht="13.5" customHeight="1" outlineLevel="1" x14ac:dyDescent="0.25">
      <c r="A160" s="43"/>
      <c r="B160" s="43"/>
      <c r="C160" s="35">
        <f t="shared" si="1"/>
        <v>3</v>
      </c>
      <c r="D160" s="35" t="str" cm="1">
        <f t="array" ref="D160">IFERROR(ROUNDUP(_xlfn.IFS(F160="Aluminum Track", _xlfn.XLOOKUP(C160, dd_accsrycalc!$A$2:$A$51, dd_accsrycalc!$B$2:$B$51, "",0), F160="10 x 2 1/2 S (Flat)", _xlfn.XLOOKUP(C160, dd_accsrycalc!$A$2:$A$51, dd_accsrycalc!$C$2:$C$51, "",0), F160="Tox6", _xlfn.XLOOKUP(C160, dd_accsrycalc!$A$2:$A$51, dd_accsrycalc!$D$2:$D$51, "",0), F160="Cover Cap", _xlfn.XLOOKUP(C160, dd_accsrycalc!$A$2:$A$51, dd_accsrycalc!$E$2:$E$51, "",0), F160="Drainage Cover", _xlfn.XLOOKUP(C160, dd_accsrycalc!$A$2:$A$51, dd_accsrycalc!$F$2:$F$51, "",0),AND( F160="Double Adhesive Tape", I160="Roll-up Screen"), _xlfn.XLOOKUP(C160, calc_rusacc!$C$15:$C$65, calc_rusacc!$AD$15:$AD$65, "",0),AND( F160="Sealant", I160="Roll-up Screen"), _xlfn.XLOOKUP(C160, calc_rusacc!$C$15:$C$65, calc_rusacc!$AF$15:$AF$65, "",0),  AND( F160="Main Chain", I160="Accordion Screen"), _xlfn.XLOOKUP(C160, calc_rusacc!$C$15:$C$65, calc_rusacc!$BF$15:$BF$65, "",0), AND( F160="Sealant", I160="Accordion Screen"), _xlfn.XLOOKUP(C160, calc_rusacc!$C$15:$C$65, calc_rusacc!$BJ$15:$BJ$65, "",0),  F160="Sealant", _xlfn.XLOOKUP(C160, dd_accsrycalc!$A$2:$A$51, dd_accsrycalc!$G$2:$G$51, "",0),  F160&lt;&gt;"",L160*_xlfn.XLOOKUP(1, (SKUs!$C$2:$C$10001=G160)*(SKUs!$K$2:$K$10001=I160),SKUs!$E$2:$E$10001)), 0),"")</f>
        <v/>
      </c>
      <c r="E160" s="35" t="str">
        <f>_xlfn.XLOOKUP(F160,dd_item!$B$2:$B$105,dd_item!$C$2:$C$105,"",0)</f>
        <v/>
      </c>
      <c r="F160" s="35"/>
      <c r="G160" s="35" cm="1">
        <f t="array" ref="G160">IFERROR(_xlfn.XLOOKUP(1, (SKUs!$J$2:$J$10001=accsry_unmerged!F160)*IF(H160&lt;&gt;"",(SKUs!$L$2:$L$10001=accsry_unmerged!H160),1)*(SKUs!$K$2:$K$10001=I160),SKUs!$C$2:$C$10001),"")</f>
        <v>0</v>
      </c>
      <c r="H160" s="36" cm="1">
        <f t="array" ref="H160">IFERROR(_xlfn.XLOOKUP(1, (dd_accsryclr!$C$2:$C$1000=accsry_unmerged!F160)*(dd_accsryclr!$B$2:$B$1000=accsry_unmerged!J160),dd_accsryclr!$A$2:$A$1000),"")</f>
        <v>0</v>
      </c>
      <c r="I160" s="35">
        <f>_xlfn.XLOOKUP(C160,'Project Details'!$C$17:$C$66,'Project Details'!$E$17:$E$66,"",0)</f>
        <v>0</v>
      </c>
      <c r="J160" s="35">
        <f>_xlfn.XLOOKUP(C160,'Project Details'!$C$17:$C$66,'Project Details'!$H$17:$H$66,"",0)</f>
        <v>0</v>
      </c>
      <c r="K160" s="36" t="str">
        <f>IF(AND(_xlfn.XLOOKUP(C160,'Project Details'!$C$17:$C$66,'Project Details'!$L$17:$L$66,"",0)&gt;550, F160="Spring-L27cm"),"",SUBSTITUTE(_xlfn.XLOOKUP(G160,SKUs!$C$2:$C$10001,SKUs!$F$2:$F$10001,"",0), " Accessories",""))</f>
        <v/>
      </c>
      <c r="L160" s="36">
        <f>_xlfn.XLOOKUP(C160,'Project Details'!$C$17:$C$66,'Project Details'!$D$17:$D$66,"",0)</f>
        <v>0</v>
      </c>
      <c r="M160" s="43"/>
    </row>
    <row r="161" spans="1:13" ht="13.5" customHeight="1" outlineLevel="1" x14ac:dyDescent="0.25">
      <c r="A161" s="43"/>
      <c r="B161" s="43"/>
      <c r="C161" s="16">
        <f t="shared" si="1"/>
        <v>3</v>
      </c>
      <c r="D161" s="16" t="str" cm="1">
        <f t="array" ref="D161">IFERROR(ROUNDUP(_xlfn.IFS(F161="Aluminum Track", _xlfn.XLOOKUP(C161, dd_accsrycalc!$A$2:$A$51, dd_accsrycalc!$B$2:$B$51, "",0), F161="10 x 2 1/2 S (Flat)", _xlfn.XLOOKUP(C161, dd_accsrycalc!$A$2:$A$51, dd_accsrycalc!$C$2:$C$51, "",0), F161="Tox6", _xlfn.XLOOKUP(C161, dd_accsrycalc!$A$2:$A$51, dd_accsrycalc!$D$2:$D$51, "",0), F161="Cover Cap", _xlfn.XLOOKUP(C161, dd_accsrycalc!$A$2:$A$51, dd_accsrycalc!$E$2:$E$51, "",0), F161="Drainage Cover", _xlfn.XLOOKUP(C161, dd_accsrycalc!$A$2:$A$51, dd_accsrycalc!$F$2:$F$51, "",0),AND( F161="Double Adhesive Tape", I161="Roll-up Screen"), _xlfn.XLOOKUP(C161, calc_rusacc!$C$15:$C$65, calc_rusacc!$AD$15:$AD$65, "",0),AND( F161="Sealant", I161="Roll-up Screen"), _xlfn.XLOOKUP(C161, calc_rusacc!$C$15:$C$65, calc_rusacc!$AF$15:$AF$65, "",0),  AND( F161="Main Chain", I161="Accordion Screen"), _xlfn.XLOOKUP(C161, calc_rusacc!$C$15:$C$65, calc_rusacc!$BF$15:$BF$65, "",0), AND( F161="Sealant", I161="Accordion Screen"), _xlfn.XLOOKUP(C161, calc_rusacc!$C$15:$C$65, calc_rusacc!$BJ$15:$BJ$65, "",0),  F161="Sealant", _xlfn.XLOOKUP(C161, dd_accsrycalc!$A$2:$A$51, dd_accsrycalc!$G$2:$G$51, "",0),  F161&lt;&gt;"",L161*_xlfn.XLOOKUP(1, (SKUs!$C$2:$C$10001=G161)*(SKUs!$K$2:$K$10001=I161),SKUs!$E$2:$E$10001)), 0),"")</f>
        <v/>
      </c>
      <c r="E161" s="16" t="str">
        <f>_xlfn.XLOOKUP(F161,dd_item!$B$2:$B$105,dd_item!$C$2:$C$105,"",0)</f>
        <v/>
      </c>
      <c r="F161" s="16"/>
      <c r="G161" s="16" cm="1">
        <f t="array" ref="G161">IFERROR(_xlfn.XLOOKUP(1, (SKUs!$J$2:$J$10001=accsry_unmerged!F161)*IF(H161&lt;&gt;"",(SKUs!$L$2:$L$10001=accsry_unmerged!H161),1)*(SKUs!$K$2:$K$10001=I161),SKUs!$C$2:$C$10001),"")</f>
        <v>0</v>
      </c>
      <c r="H161" s="33" cm="1">
        <f t="array" ref="H161">IFERROR(_xlfn.XLOOKUP(1, (dd_accsryclr!$C$2:$C$1000=accsry_unmerged!F161)*(dd_accsryclr!$B$2:$B$1000=accsry_unmerged!J161),dd_accsryclr!$A$2:$A$1000),"")</f>
        <v>0</v>
      </c>
      <c r="I161" s="16">
        <f>_xlfn.XLOOKUP(C161,'Project Details'!$C$17:$C$66,'Project Details'!$E$17:$E$66,"",0)</f>
        <v>0</v>
      </c>
      <c r="J161" s="16">
        <f>_xlfn.XLOOKUP(C161,'Project Details'!$C$17:$C$66,'Project Details'!$H$17:$H$66,"",0)</f>
        <v>0</v>
      </c>
      <c r="K161" s="33" t="str">
        <f>IF(AND(_xlfn.XLOOKUP(C161,'Project Details'!$C$17:$C$66,'Project Details'!$L$17:$L$66,"",0)&gt;550, F161="Spring-L27cm"),"",SUBSTITUTE(_xlfn.XLOOKUP(G161,SKUs!$C$2:$C$10001,SKUs!$F$2:$F$10001,"",0), " Accessories",""))</f>
        <v/>
      </c>
      <c r="L161" s="33">
        <f>_xlfn.XLOOKUP(C161,'Project Details'!$C$17:$C$66,'Project Details'!$D$17:$D$66,"",0)</f>
        <v>0</v>
      </c>
      <c r="M161" s="43"/>
    </row>
    <row r="162" spans="1:13" ht="13.5" customHeight="1" outlineLevel="1" x14ac:dyDescent="0.25">
      <c r="A162" s="43"/>
      <c r="B162" s="43"/>
      <c r="C162" s="35">
        <f t="shared" si="1"/>
        <v>3</v>
      </c>
      <c r="D162" s="35" t="str" cm="1">
        <f t="array" ref="D162">IFERROR(ROUNDUP(_xlfn.IFS(F162="Aluminum Track", _xlfn.XLOOKUP(C162, dd_accsrycalc!$A$2:$A$51, dd_accsrycalc!$B$2:$B$51, "",0), F162="10 x 2 1/2 S (Flat)", _xlfn.XLOOKUP(C162, dd_accsrycalc!$A$2:$A$51, dd_accsrycalc!$C$2:$C$51, "",0), F162="Tox6", _xlfn.XLOOKUP(C162, dd_accsrycalc!$A$2:$A$51, dd_accsrycalc!$D$2:$D$51, "",0), F162="Cover Cap", _xlfn.XLOOKUP(C162, dd_accsrycalc!$A$2:$A$51, dd_accsrycalc!$E$2:$E$51, "",0), F162="Drainage Cover", _xlfn.XLOOKUP(C162, dd_accsrycalc!$A$2:$A$51, dd_accsrycalc!$F$2:$F$51, "",0),AND( F162="Double Adhesive Tape", I162="Roll-up Screen"), _xlfn.XLOOKUP(C162, calc_rusacc!$C$15:$C$65, calc_rusacc!$AD$15:$AD$65, "",0),AND( F162="Sealant", I162="Roll-up Screen"), _xlfn.XLOOKUP(C162, calc_rusacc!$C$15:$C$65, calc_rusacc!$AF$15:$AF$65, "",0),  AND( F162="Main Chain", I162="Accordion Screen"), _xlfn.XLOOKUP(C162, calc_rusacc!$C$15:$C$65, calc_rusacc!$BF$15:$BF$65, "",0), AND( F162="Sealant", I162="Accordion Screen"), _xlfn.XLOOKUP(C162, calc_rusacc!$C$15:$C$65, calc_rusacc!$BJ$15:$BJ$65, "",0),  F162="Sealant", _xlfn.XLOOKUP(C162, dd_accsrycalc!$A$2:$A$51, dd_accsrycalc!$G$2:$G$51, "",0),  F162&lt;&gt;"",L162*_xlfn.XLOOKUP(1, (SKUs!$C$2:$C$10001=G162)*(SKUs!$K$2:$K$10001=I162),SKUs!$E$2:$E$10001)), 0),"")</f>
        <v/>
      </c>
      <c r="E162" s="35" t="str">
        <f>_xlfn.XLOOKUP(F162,dd_item!$B$2:$B$105,dd_item!$C$2:$C$105,"",0)</f>
        <v/>
      </c>
      <c r="F162" s="35"/>
      <c r="G162" s="35" cm="1">
        <f t="array" ref="G162">IFERROR(_xlfn.XLOOKUP(1, (SKUs!$J$2:$J$10001=accsry_unmerged!F162)*IF(H162&lt;&gt;"",(SKUs!$L$2:$L$10001=accsry_unmerged!H162),1)*(SKUs!$K$2:$K$10001=I162),SKUs!$C$2:$C$10001),"")</f>
        <v>0</v>
      </c>
      <c r="H162" s="36" cm="1">
        <f t="array" ref="H162">IFERROR(_xlfn.XLOOKUP(1, (dd_accsryclr!$C$2:$C$1000=accsry_unmerged!F162)*(dd_accsryclr!$B$2:$B$1000=accsry_unmerged!J162),dd_accsryclr!$A$2:$A$1000),"")</f>
        <v>0</v>
      </c>
      <c r="I162" s="35">
        <f>_xlfn.XLOOKUP(C162,'Project Details'!$C$17:$C$66,'Project Details'!$E$17:$E$66,"",0)</f>
        <v>0</v>
      </c>
      <c r="J162" s="35">
        <f>_xlfn.XLOOKUP(C162,'Project Details'!$C$17:$C$66,'Project Details'!$H$17:$H$66,"",0)</f>
        <v>0</v>
      </c>
      <c r="K162" s="36" t="str">
        <f>IF(AND(_xlfn.XLOOKUP(C162,'Project Details'!$C$17:$C$66,'Project Details'!$L$17:$L$66,"",0)&gt;550, F162="Spring-L27cm"),"",SUBSTITUTE(_xlfn.XLOOKUP(G162,SKUs!$C$2:$C$10001,SKUs!$F$2:$F$10001,"",0), " Accessories",""))</f>
        <v/>
      </c>
      <c r="L162" s="36">
        <f>_xlfn.XLOOKUP(C162,'Project Details'!$C$17:$C$66,'Project Details'!$D$17:$D$66,"",0)</f>
        <v>0</v>
      </c>
      <c r="M162" s="43"/>
    </row>
    <row r="163" spans="1:13" ht="13.5" customHeight="1" outlineLevel="1" x14ac:dyDescent="0.25">
      <c r="A163" s="43"/>
      <c r="B163" s="43"/>
      <c r="C163" s="16">
        <f t="shared" si="1"/>
        <v>3</v>
      </c>
      <c r="D163" s="16" t="str" cm="1">
        <f t="array" ref="D163">IFERROR(ROUNDUP(_xlfn.IFS(F163="Aluminum Track", _xlfn.XLOOKUP(C163, dd_accsrycalc!$A$2:$A$51, dd_accsrycalc!$B$2:$B$51, "",0), F163="10 x 2 1/2 S (Flat)", _xlfn.XLOOKUP(C163, dd_accsrycalc!$A$2:$A$51, dd_accsrycalc!$C$2:$C$51, "",0), F163="Tox6", _xlfn.XLOOKUP(C163, dd_accsrycalc!$A$2:$A$51, dd_accsrycalc!$D$2:$D$51, "",0), F163="Cover Cap", _xlfn.XLOOKUP(C163, dd_accsrycalc!$A$2:$A$51, dd_accsrycalc!$E$2:$E$51, "",0), F163="Drainage Cover", _xlfn.XLOOKUP(C163, dd_accsrycalc!$A$2:$A$51, dd_accsrycalc!$F$2:$F$51, "",0),AND( F163="Double Adhesive Tape", I163="Roll-up Screen"), _xlfn.XLOOKUP(C163, calc_rusacc!$C$15:$C$65, calc_rusacc!$AD$15:$AD$65, "",0),AND( F163="Sealant", I163="Roll-up Screen"), _xlfn.XLOOKUP(C163, calc_rusacc!$C$15:$C$65, calc_rusacc!$AF$15:$AF$65, "",0),  AND( F163="Main Chain", I163="Accordion Screen"), _xlfn.XLOOKUP(C163, calc_rusacc!$C$15:$C$65, calc_rusacc!$BF$15:$BF$65, "",0), AND( F163="Sealant", I163="Accordion Screen"), _xlfn.XLOOKUP(C163, calc_rusacc!$C$15:$C$65, calc_rusacc!$BJ$15:$BJ$65, "",0),  F163="Sealant", _xlfn.XLOOKUP(C163, dd_accsrycalc!$A$2:$A$51, dd_accsrycalc!$G$2:$G$51, "",0),  F163&lt;&gt;"",L163*_xlfn.XLOOKUP(1, (SKUs!$C$2:$C$10001=G163)*(SKUs!$K$2:$K$10001=I163),SKUs!$E$2:$E$10001)), 0),"")</f>
        <v/>
      </c>
      <c r="E163" s="16" t="str">
        <f>_xlfn.XLOOKUP(F163,dd_item!$B$2:$B$105,dd_item!$C$2:$C$105,"",0)</f>
        <v/>
      </c>
      <c r="F163" s="16"/>
      <c r="G163" s="16" cm="1">
        <f t="array" ref="G163">IFERROR(_xlfn.XLOOKUP(1, (SKUs!$J$2:$J$10001=accsry_unmerged!F163)*IF(H163&lt;&gt;"",(SKUs!$L$2:$L$10001=accsry_unmerged!H163),1)*(SKUs!$K$2:$K$10001=I163),SKUs!$C$2:$C$10001),"")</f>
        <v>0</v>
      </c>
      <c r="H163" s="33" cm="1">
        <f t="array" ref="H163">IFERROR(_xlfn.XLOOKUP(1, (dd_accsryclr!$C$2:$C$1000=accsry_unmerged!F163)*(dd_accsryclr!$B$2:$B$1000=accsry_unmerged!J163),dd_accsryclr!$A$2:$A$1000),"")</f>
        <v>0</v>
      </c>
      <c r="I163" s="16">
        <f>_xlfn.XLOOKUP(C163,'Project Details'!$C$17:$C$66,'Project Details'!$E$17:$E$66,"",0)</f>
        <v>0</v>
      </c>
      <c r="J163" s="16">
        <f>_xlfn.XLOOKUP(C163,'Project Details'!$C$17:$C$66,'Project Details'!$H$17:$H$66,"",0)</f>
        <v>0</v>
      </c>
      <c r="K163" s="33" t="str">
        <f>IF(AND(_xlfn.XLOOKUP(C163,'Project Details'!$C$17:$C$66,'Project Details'!$L$17:$L$66,"",0)&gt;550, F163="Spring-L27cm"),"",SUBSTITUTE(_xlfn.XLOOKUP(G163,SKUs!$C$2:$C$10001,SKUs!$F$2:$F$10001,"",0), " Accessories",""))</f>
        <v/>
      </c>
      <c r="L163" s="33">
        <f>_xlfn.XLOOKUP(C163,'Project Details'!$C$17:$C$66,'Project Details'!$D$17:$D$66,"",0)</f>
        <v>0</v>
      </c>
      <c r="M163" s="43"/>
    </row>
    <row r="164" spans="1:13" x14ac:dyDescent="0.25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</row>
    <row r="165" spans="1:13" x14ac:dyDescent="0.25">
      <c r="A165" s="43"/>
      <c r="B165" s="43"/>
      <c r="C165" s="16">
        <f>C163+1</f>
        <v>4</v>
      </c>
      <c r="D165" s="48" cm="1">
        <f t="array" ref="D165">IFERROR(ROUNDUP(_xlfn.IFS(F165="Aluminum Track", _xlfn.XLOOKUP(C165, dd_accsrycalc!$A$2:$A$51, dd_accsrycalc!$B$2:$B$51, "",0), F165="10 x 2 1/2 S (Flat)", _xlfn.XLOOKUP(C165, dd_accsrycalc!$A$2:$A$51, dd_accsrycalc!$C$2:$C$51, "",0), F165="Tox6", _xlfn.XLOOKUP(C165, dd_accsrycalc!$A$2:$A$51, dd_accsrycalc!$D$2:$D$51, "",0), F165="Cover Cap", _xlfn.XLOOKUP(C165, dd_accsrycalc!$A$2:$A$51, dd_accsrycalc!$E$2:$E$51, "",0), F165="Drainage Cover", _xlfn.XLOOKUP(C165, dd_accsrycalc!$A$2:$A$51, dd_accsrycalc!$F$2:$F$51, "",0),AND( F165="Double Adhesive Tape", I165="Roll-up Screen"), _xlfn.XLOOKUP(C165, calc_rusacc!$C$15:$C$65, calc_rusacc!$AD$15:$AD$65, "",0),AND( F165="Sealant", I165="Roll-up Screen"), _xlfn.XLOOKUP(C165, calc_rusacc!$C$15:$C$65, calc_rusacc!$AF$15:$AF$65, "",0),  AND( F165="Main Chain", I165="Accordion Screen"), _xlfn.XLOOKUP(C165, calc_rusacc!$C$15:$C$65, calc_rusacc!$BF$15:$BF$65, "",0), AND( F165="Sealant", I165="Accordion Screen"), _xlfn.XLOOKUP(C165, calc_rusacc!$C$15:$C$65, calc_rusacc!$BJ$15:$BJ$65, "",0),  F165="Sealant", _xlfn.XLOOKUP(C165, dd_accsrycalc!$A$2:$A$51, dd_accsrycalc!$G$2:$G$51, "",0),  F165&lt;&gt;"",L165*_xlfn.XLOOKUP(1, (SKUs!$C$2:$C$10001=G165)*(SKUs!$K$2:$K$10001=I165),SKUs!$E$2:$E$10001)), 0),"")</f>
        <v>0</v>
      </c>
      <c r="E165" s="48" t="str">
        <f>_xlfn.XLOOKUP(F165,dd_item!$B$2:$B$105,dd_item!$C$2:$C$105,"",0)</f>
        <v/>
      </c>
      <c r="F165" s="48" cm="1">
        <f t="array" ref="F165">IFERROR(_xlfn.UNIQUE(_xlfn._xlws.FILTER(SKUs!$J$2:$J$10001, (SKUs!$F$2:$F$10001&lt;&gt;"Cutting List") * (SKUs!$A$2:$A$10001=_xlfn.XLOOKUP(_xlfn.XLOOKUP(C165,'Project Details'!$C$17:$C$66,'Project Details'!$E$17:$E$66,"",0), dd_design_raw!$A$2:$A$101,dd_design_raw!$C$2:$C$101,"",0)))), "")</f>
        <v>0</v>
      </c>
      <c r="G165" s="16" cm="1">
        <f t="array" ref="G165">IFERROR(_xlfn.XLOOKUP(1, (SKUs!$J$2:$J$10001=accsry_unmerged!F165)*IF(H165&lt;&gt;"",(SKUs!$L$2:$L$10001=accsry_unmerged!H165),1)*(SKUs!$K$2:$K$10001=I165),SKUs!$C$2:$C$10001),"")</f>
        <v>0</v>
      </c>
      <c r="H165" s="16" cm="1">
        <f t="array" ref="H165">IFERROR(_xlfn.XLOOKUP(1, (dd_accsryclr!$C$2:$C$1000=accsry_unmerged!F165)*(dd_accsryclr!$B$2:$B$1000=accsry_unmerged!J165),dd_accsryclr!$A$2:$A$1000),"")</f>
        <v>0</v>
      </c>
      <c r="I165" s="16">
        <f>_xlfn.XLOOKUP(C165,'Project Details'!$C$17:$C$66,'Project Details'!$E$17:$E$66,"",0)</f>
        <v>0</v>
      </c>
      <c r="J165" s="16">
        <f>_xlfn.XLOOKUP(C165,'Project Details'!$C$17:$C$66,'Project Details'!$H$17:$H$66,"",0)</f>
        <v>0</v>
      </c>
      <c r="K165" s="16" t="str">
        <f>IF(AND(_xlfn.XLOOKUP(C165,'Project Details'!$C$17:$C$66,'Project Details'!$L$17:$L$66,"",0)&gt;550, F165="Spring-L27cm"),"",SUBSTITUTE(_xlfn.XLOOKUP(G165,SKUs!$C$2:$C$10001,SKUs!$F$2:$F$10001,"",0), " Accessories",""))</f>
        <v/>
      </c>
      <c r="L165" s="16">
        <f>_xlfn.XLOOKUP(C165,'Project Details'!$C$17:$C$66,'Project Details'!$D$17:$D$66,"",0)</f>
        <v>0</v>
      </c>
      <c r="M165" s="43"/>
    </row>
    <row r="166" spans="1:13" x14ac:dyDescent="0.25">
      <c r="A166" s="43"/>
      <c r="B166" s="43"/>
      <c r="C166" s="35">
        <f>C165</f>
        <v>4</v>
      </c>
      <c r="D166" s="35" t="str" cm="1">
        <f t="array" ref="D166">IFERROR(ROUNDUP(_xlfn.IFS(F166="Aluminum Track", _xlfn.XLOOKUP(C166, dd_accsrycalc!$A$2:$A$51, dd_accsrycalc!$B$2:$B$51, "",0), F166="10 x 2 1/2 S (Flat)", _xlfn.XLOOKUP(C166, dd_accsrycalc!$A$2:$A$51, dd_accsrycalc!$C$2:$C$51, "",0), F166="Tox6", _xlfn.XLOOKUP(C166, dd_accsrycalc!$A$2:$A$51, dd_accsrycalc!$D$2:$D$51, "",0), F166="Cover Cap", _xlfn.XLOOKUP(C166, dd_accsrycalc!$A$2:$A$51, dd_accsrycalc!$E$2:$E$51, "",0), F166="Drainage Cover", _xlfn.XLOOKUP(C166, dd_accsrycalc!$A$2:$A$51, dd_accsrycalc!$F$2:$F$51, "",0),AND( F166="Double Adhesive Tape", I166="Roll-up Screen"), _xlfn.XLOOKUP(C166, calc_rusacc!$C$15:$C$65, calc_rusacc!$AD$15:$AD$65, "",0),AND( F166="Sealant", I166="Roll-up Screen"), _xlfn.XLOOKUP(C166, calc_rusacc!$C$15:$C$65, calc_rusacc!$AF$15:$AF$65, "",0),  AND( F166="Main Chain", I166="Accordion Screen"), _xlfn.XLOOKUP(C166, calc_rusacc!$C$15:$C$65, calc_rusacc!$BF$15:$BF$65, "",0), AND( F166="Sealant", I166="Accordion Screen"), _xlfn.XLOOKUP(C166, calc_rusacc!$C$15:$C$65, calc_rusacc!$BJ$15:$BJ$65, "",0),  F166="Sealant", _xlfn.XLOOKUP(C166, dd_accsrycalc!$A$2:$A$51, dd_accsrycalc!$G$2:$G$51, "",0),  F166&lt;&gt;"",L166*_xlfn.XLOOKUP(1, (SKUs!$C$2:$C$10001=G166)*(SKUs!$K$2:$K$10001=I166),SKUs!$E$2:$E$10001)), 0),"")</f>
        <v/>
      </c>
      <c r="E166" s="35" t="str">
        <f>_xlfn.XLOOKUP(F166,dd_item!$B$2:$B$105,dd_item!$C$2:$C$105,"",0)</f>
        <v/>
      </c>
      <c r="F166" s="35"/>
      <c r="G166" s="35" cm="1">
        <f t="array" ref="G166">IFERROR(_xlfn.XLOOKUP(1, (SKUs!$J$2:$J$10001=accsry_unmerged!F166)*IF(H166&lt;&gt;"",(SKUs!$L$2:$L$10001=accsry_unmerged!H166),1)*(SKUs!$K$2:$K$10001=I166),SKUs!$C$2:$C$10001),"")</f>
        <v>0</v>
      </c>
      <c r="H166" s="36" cm="1">
        <f t="array" ref="H166">IFERROR(_xlfn.XLOOKUP(1, (dd_accsryclr!$C$2:$C$1000=accsry_unmerged!F166)*(dd_accsryclr!$B$2:$B$1000=accsry_unmerged!J166),dd_accsryclr!$A$2:$A$1000),"")</f>
        <v>0</v>
      </c>
      <c r="I166" s="35">
        <f>_xlfn.XLOOKUP(C166,'Project Details'!$C$17:$C$66,'Project Details'!$E$17:$E$66,"",0)</f>
        <v>0</v>
      </c>
      <c r="J166" s="35">
        <f>_xlfn.XLOOKUP(C166,'Project Details'!$C$17:$C$66,'Project Details'!$H$17:$H$66,"",0)</f>
        <v>0</v>
      </c>
      <c r="K166" s="36" t="str">
        <f>IF(AND(_xlfn.XLOOKUP(C166,'Project Details'!$C$17:$C$66,'Project Details'!$L$17:$L$66,"",0)&gt;550, F166="Spring-L27cm"),"",SUBSTITUTE(_xlfn.XLOOKUP(G166,SKUs!$C$2:$C$10001,SKUs!$F$2:$F$10001,"",0), " Accessories",""))</f>
        <v/>
      </c>
      <c r="L166" s="36">
        <f>_xlfn.XLOOKUP(C166,'Project Details'!$C$17:$C$66,'Project Details'!$D$17:$D$66,"",0)</f>
        <v>0</v>
      </c>
      <c r="M166" s="43"/>
    </row>
    <row r="167" spans="1:13" x14ac:dyDescent="0.25">
      <c r="A167" s="43"/>
      <c r="B167" s="43"/>
      <c r="C167" s="16">
        <f t="shared" ref="C167:C213" si="2">C166</f>
        <v>4</v>
      </c>
      <c r="D167" s="16" t="str" cm="1">
        <f t="array" ref="D167">IFERROR(ROUNDUP(_xlfn.IFS(F167="Aluminum Track", _xlfn.XLOOKUP(C167, dd_accsrycalc!$A$2:$A$51, dd_accsrycalc!$B$2:$B$51, "",0), F167="10 x 2 1/2 S (Flat)", _xlfn.XLOOKUP(C167, dd_accsrycalc!$A$2:$A$51, dd_accsrycalc!$C$2:$C$51, "",0), F167="Tox6", _xlfn.XLOOKUP(C167, dd_accsrycalc!$A$2:$A$51, dd_accsrycalc!$D$2:$D$51, "",0), F167="Cover Cap", _xlfn.XLOOKUP(C167, dd_accsrycalc!$A$2:$A$51, dd_accsrycalc!$E$2:$E$51, "",0), F167="Drainage Cover", _xlfn.XLOOKUP(C167, dd_accsrycalc!$A$2:$A$51, dd_accsrycalc!$F$2:$F$51, "",0),AND( F167="Double Adhesive Tape", I167="Roll-up Screen"), _xlfn.XLOOKUP(C167, calc_rusacc!$C$15:$C$65, calc_rusacc!$AD$15:$AD$65, "",0),AND( F167="Sealant", I167="Roll-up Screen"), _xlfn.XLOOKUP(C167, calc_rusacc!$C$15:$C$65, calc_rusacc!$AF$15:$AF$65, "",0),  AND( F167="Main Chain", I167="Accordion Screen"), _xlfn.XLOOKUP(C167, calc_rusacc!$C$15:$C$65, calc_rusacc!$BF$15:$BF$65, "",0), AND( F167="Sealant", I167="Accordion Screen"), _xlfn.XLOOKUP(C167, calc_rusacc!$C$15:$C$65, calc_rusacc!$BJ$15:$BJ$65, "",0),  F167="Sealant", _xlfn.XLOOKUP(C167, dd_accsrycalc!$A$2:$A$51, dd_accsrycalc!$G$2:$G$51, "",0),  F167&lt;&gt;"",L167*_xlfn.XLOOKUP(1, (SKUs!$C$2:$C$10001=G167)*(SKUs!$K$2:$K$10001=I167),SKUs!$E$2:$E$10001)), 0),"")</f>
        <v/>
      </c>
      <c r="E167" s="16" t="str">
        <f>_xlfn.XLOOKUP(F167,dd_item!$B$2:$B$105,dd_item!$C$2:$C$105,"",0)</f>
        <v/>
      </c>
      <c r="F167" s="16"/>
      <c r="G167" s="16" cm="1">
        <f t="array" ref="G167">IFERROR(_xlfn.XLOOKUP(1, (SKUs!$J$2:$J$10001=accsry_unmerged!F167)*IF(H167&lt;&gt;"",(SKUs!$L$2:$L$10001=accsry_unmerged!H167),1)*(SKUs!$K$2:$K$10001=I167),SKUs!$C$2:$C$10001),"")</f>
        <v>0</v>
      </c>
      <c r="H167" s="33" cm="1">
        <f t="array" ref="H167">IFERROR(_xlfn.XLOOKUP(1, (dd_accsryclr!$C$2:$C$1000=accsry_unmerged!F167)*(dd_accsryclr!$B$2:$B$1000=accsry_unmerged!J167),dd_accsryclr!$A$2:$A$1000),"")</f>
        <v>0</v>
      </c>
      <c r="I167" s="16">
        <f>_xlfn.XLOOKUP(C167,'Project Details'!$C$17:$C$66,'Project Details'!$E$17:$E$66,"",0)</f>
        <v>0</v>
      </c>
      <c r="J167" s="16">
        <f>_xlfn.XLOOKUP(C167,'Project Details'!$C$17:$C$66,'Project Details'!$H$17:$H$66,"",0)</f>
        <v>0</v>
      </c>
      <c r="K167" s="33" t="str">
        <f>IF(AND(_xlfn.XLOOKUP(C167,'Project Details'!$C$17:$C$66,'Project Details'!$L$17:$L$66,"",0)&gt;550, F167="Spring-L27cm"),"",SUBSTITUTE(_xlfn.XLOOKUP(G167,SKUs!$C$2:$C$10001,SKUs!$F$2:$F$10001,"",0), " Accessories",""))</f>
        <v/>
      </c>
      <c r="L167" s="33">
        <f>_xlfn.XLOOKUP(C167,'Project Details'!$C$17:$C$66,'Project Details'!$D$17:$D$66,"",0)</f>
        <v>0</v>
      </c>
      <c r="M167" s="43"/>
    </row>
    <row r="168" spans="1:13" x14ac:dyDescent="0.25">
      <c r="A168" s="43"/>
      <c r="B168" s="43"/>
      <c r="C168" s="35">
        <f t="shared" si="2"/>
        <v>4</v>
      </c>
      <c r="D168" s="35" t="str" cm="1">
        <f t="array" ref="D168">IFERROR(ROUNDUP(_xlfn.IFS(F168="Aluminum Track", _xlfn.XLOOKUP(C168, dd_accsrycalc!$A$2:$A$51, dd_accsrycalc!$B$2:$B$51, "",0), F168="10 x 2 1/2 S (Flat)", _xlfn.XLOOKUP(C168, dd_accsrycalc!$A$2:$A$51, dd_accsrycalc!$C$2:$C$51, "",0), F168="Tox6", _xlfn.XLOOKUP(C168, dd_accsrycalc!$A$2:$A$51, dd_accsrycalc!$D$2:$D$51, "",0), F168="Cover Cap", _xlfn.XLOOKUP(C168, dd_accsrycalc!$A$2:$A$51, dd_accsrycalc!$E$2:$E$51, "",0), F168="Drainage Cover", _xlfn.XLOOKUP(C168, dd_accsrycalc!$A$2:$A$51, dd_accsrycalc!$F$2:$F$51, "",0),AND( F168="Double Adhesive Tape", I168="Roll-up Screen"), _xlfn.XLOOKUP(C168, calc_rusacc!$C$15:$C$65, calc_rusacc!$AD$15:$AD$65, "",0),AND( F168="Sealant", I168="Roll-up Screen"), _xlfn.XLOOKUP(C168, calc_rusacc!$C$15:$C$65, calc_rusacc!$AF$15:$AF$65, "",0),  AND( F168="Main Chain", I168="Accordion Screen"), _xlfn.XLOOKUP(C168, calc_rusacc!$C$15:$C$65, calc_rusacc!$BF$15:$BF$65, "",0), AND( F168="Sealant", I168="Accordion Screen"), _xlfn.XLOOKUP(C168, calc_rusacc!$C$15:$C$65, calc_rusacc!$BJ$15:$BJ$65, "",0),  F168="Sealant", _xlfn.XLOOKUP(C168, dd_accsrycalc!$A$2:$A$51, dd_accsrycalc!$G$2:$G$51, "",0),  F168&lt;&gt;"",L168*_xlfn.XLOOKUP(1, (SKUs!$C$2:$C$10001=G168)*(SKUs!$K$2:$K$10001=I168),SKUs!$E$2:$E$10001)), 0),"")</f>
        <v/>
      </c>
      <c r="E168" s="35" t="str">
        <f>_xlfn.XLOOKUP(F168,dd_item!$B$2:$B$105,dd_item!$C$2:$C$105,"",0)</f>
        <v/>
      </c>
      <c r="F168" s="35"/>
      <c r="G168" s="35" cm="1">
        <f t="array" ref="G168">IFERROR(_xlfn.XLOOKUP(1, (SKUs!$J$2:$J$10001=accsry_unmerged!F168)*IF(H168&lt;&gt;"",(SKUs!$L$2:$L$10001=accsry_unmerged!H168),1)*(SKUs!$K$2:$K$10001=I168),SKUs!$C$2:$C$10001),"")</f>
        <v>0</v>
      </c>
      <c r="H168" s="36" cm="1">
        <f t="array" ref="H168">IFERROR(_xlfn.XLOOKUP(1, (dd_accsryclr!$C$2:$C$1000=accsry_unmerged!F168)*(dd_accsryclr!$B$2:$B$1000=accsry_unmerged!J168),dd_accsryclr!$A$2:$A$1000),"")</f>
        <v>0</v>
      </c>
      <c r="I168" s="35">
        <f>_xlfn.XLOOKUP(C168,'Project Details'!$C$17:$C$66,'Project Details'!$E$17:$E$66,"",0)</f>
        <v>0</v>
      </c>
      <c r="J168" s="35">
        <f>_xlfn.XLOOKUP(C168,'Project Details'!$C$17:$C$66,'Project Details'!$H$17:$H$66,"",0)</f>
        <v>0</v>
      </c>
      <c r="K168" s="36" t="str">
        <f>IF(AND(_xlfn.XLOOKUP(C168,'Project Details'!$C$17:$C$66,'Project Details'!$L$17:$L$66,"",0)&gt;550, F168="Spring-L27cm"),"",SUBSTITUTE(_xlfn.XLOOKUP(G168,SKUs!$C$2:$C$10001,SKUs!$F$2:$F$10001,"",0), " Accessories",""))</f>
        <v/>
      </c>
      <c r="L168" s="36">
        <f>_xlfn.XLOOKUP(C168,'Project Details'!$C$17:$C$66,'Project Details'!$D$17:$D$66,"",0)</f>
        <v>0</v>
      </c>
      <c r="M168" s="43"/>
    </row>
    <row r="169" spans="1:13" x14ac:dyDescent="0.25">
      <c r="A169" s="43"/>
      <c r="B169" s="43"/>
      <c r="C169" s="16">
        <f t="shared" si="2"/>
        <v>4</v>
      </c>
      <c r="D169" s="16" t="str" cm="1">
        <f t="array" ref="D169">IFERROR(ROUNDUP(_xlfn.IFS(F169="Aluminum Track", _xlfn.XLOOKUP(C169, dd_accsrycalc!$A$2:$A$51, dd_accsrycalc!$B$2:$B$51, "",0), F169="10 x 2 1/2 S (Flat)", _xlfn.XLOOKUP(C169, dd_accsrycalc!$A$2:$A$51, dd_accsrycalc!$C$2:$C$51, "",0), F169="Tox6", _xlfn.XLOOKUP(C169, dd_accsrycalc!$A$2:$A$51, dd_accsrycalc!$D$2:$D$51, "",0), F169="Cover Cap", _xlfn.XLOOKUP(C169, dd_accsrycalc!$A$2:$A$51, dd_accsrycalc!$E$2:$E$51, "",0), F169="Drainage Cover", _xlfn.XLOOKUP(C169, dd_accsrycalc!$A$2:$A$51, dd_accsrycalc!$F$2:$F$51, "",0),AND( F169="Double Adhesive Tape", I169="Roll-up Screen"), _xlfn.XLOOKUP(C169, calc_rusacc!$C$15:$C$65, calc_rusacc!$AD$15:$AD$65, "",0),AND( F169="Sealant", I169="Roll-up Screen"), _xlfn.XLOOKUP(C169, calc_rusacc!$C$15:$C$65, calc_rusacc!$AF$15:$AF$65, "",0),  AND( F169="Main Chain", I169="Accordion Screen"), _xlfn.XLOOKUP(C169, calc_rusacc!$C$15:$C$65, calc_rusacc!$BF$15:$BF$65, "",0), AND( F169="Sealant", I169="Accordion Screen"), _xlfn.XLOOKUP(C169, calc_rusacc!$C$15:$C$65, calc_rusacc!$BJ$15:$BJ$65, "",0),  F169="Sealant", _xlfn.XLOOKUP(C169, dd_accsrycalc!$A$2:$A$51, dd_accsrycalc!$G$2:$G$51, "",0),  F169&lt;&gt;"",L169*_xlfn.XLOOKUP(1, (SKUs!$C$2:$C$10001=G169)*(SKUs!$K$2:$K$10001=I169),SKUs!$E$2:$E$10001)), 0),"")</f>
        <v/>
      </c>
      <c r="E169" s="16" t="str">
        <f>_xlfn.XLOOKUP(F169,dd_item!$B$2:$B$105,dd_item!$C$2:$C$105,"",0)</f>
        <v/>
      </c>
      <c r="F169" s="16"/>
      <c r="G169" s="16" cm="1">
        <f t="array" ref="G169">IFERROR(_xlfn.XLOOKUP(1, (SKUs!$J$2:$J$10001=accsry_unmerged!F169)*IF(H169&lt;&gt;"",(SKUs!$L$2:$L$10001=accsry_unmerged!H169),1)*(SKUs!$K$2:$K$10001=I169),SKUs!$C$2:$C$10001),"")</f>
        <v>0</v>
      </c>
      <c r="H169" s="33" cm="1">
        <f t="array" ref="H169">IFERROR(_xlfn.XLOOKUP(1, (dd_accsryclr!$C$2:$C$1000=accsry_unmerged!F169)*(dd_accsryclr!$B$2:$B$1000=accsry_unmerged!J169),dd_accsryclr!$A$2:$A$1000),"")</f>
        <v>0</v>
      </c>
      <c r="I169" s="16">
        <f>_xlfn.XLOOKUP(C169,'Project Details'!$C$17:$C$66,'Project Details'!$E$17:$E$66,"",0)</f>
        <v>0</v>
      </c>
      <c r="J169" s="16">
        <f>_xlfn.XLOOKUP(C169,'Project Details'!$C$17:$C$66,'Project Details'!$H$17:$H$66,"",0)</f>
        <v>0</v>
      </c>
      <c r="K169" s="33" t="str">
        <f>IF(AND(_xlfn.XLOOKUP(C169,'Project Details'!$C$17:$C$66,'Project Details'!$L$17:$L$66,"",0)&gt;550, F169="Spring-L27cm"),"",SUBSTITUTE(_xlfn.XLOOKUP(G169,SKUs!$C$2:$C$10001,SKUs!$F$2:$F$10001,"",0), " Accessories",""))</f>
        <v/>
      </c>
      <c r="L169" s="33">
        <f>_xlfn.XLOOKUP(C169,'Project Details'!$C$17:$C$66,'Project Details'!$D$17:$D$66,"",0)</f>
        <v>0</v>
      </c>
      <c r="M169" s="43"/>
    </row>
    <row r="170" spans="1:13" x14ac:dyDescent="0.25">
      <c r="A170" s="43"/>
      <c r="B170" s="43"/>
      <c r="C170" s="35">
        <f t="shared" si="2"/>
        <v>4</v>
      </c>
      <c r="D170" s="35" t="str" cm="1">
        <f t="array" ref="D170">IFERROR(ROUNDUP(_xlfn.IFS(F170="Aluminum Track", _xlfn.XLOOKUP(C170, dd_accsrycalc!$A$2:$A$51, dd_accsrycalc!$B$2:$B$51, "",0), F170="10 x 2 1/2 S (Flat)", _xlfn.XLOOKUP(C170, dd_accsrycalc!$A$2:$A$51, dd_accsrycalc!$C$2:$C$51, "",0), F170="Tox6", _xlfn.XLOOKUP(C170, dd_accsrycalc!$A$2:$A$51, dd_accsrycalc!$D$2:$D$51, "",0), F170="Cover Cap", _xlfn.XLOOKUP(C170, dd_accsrycalc!$A$2:$A$51, dd_accsrycalc!$E$2:$E$51, "",0), F170="Drainage Cover", _xlfn.XLOOKUP(C170, dd_accsrycalc!$A$2:$A$51, dd_accsrycalc!$F$2:$F$51, "",0),AND( F170="Double Adhesive Tape", I170="Roll-up Screen"), _xlfn.XLOOKUP(C170, calc_rusacc!$C$15:$C$65, calc_rusacc!$AD$15:$AD$65, "",0),AND( F170="Sealant", I170="Roll-up Screen"), _xlfn.XLOOKUP(C170, calc_rusacc!$C$15:$C$65, calc_rusacc!$AF$15:$AF$65, "",0),  AND( F170="Main Chain", I170="Accordion Screen"), _xlfn.XLOOKUP(C170, calc_rusacc!$C$15:$C$65, calc_rusacc!$BF$15:$BF$65, "",0), AND( F170="Sealant", I170="Accordion Screen"), _xlfn.XLOOKUP(C170, calc_rusacc!$C$15:$C$65, calc_rusacc!$BJ$15:$BJ$65, "",0),  F170="Sealant", _xlfn.XLOOKUP(C170, dd_accsrycalc!$A$2:$A$51, dd_accsrycalc!$G$2:$G$51, "",0),  F170&lt;&gt;"",L170*_xlfn.XLOOKUP(1, (SKUs!$C$2:$C$10001=G170)*(SKUs!$K$2:$K$10001=I170),SKUs!$E$2:$E$10001)), 0),"")</f>
        <v/>
      </c>
      <c r="E170" s="35" t="str">
        <f>_xlfn.XLOOKUP(F170,dd_item!$B$2:$B$105,dd_item!$C$2:$C$105,"",0)</f>
        <v/>
      </c>
      <c r="F170" s="35"/>
      <c r="G170" s="35" cm="1">
        <f t="array" ref="G170">IFERROR(_xlfn.XLOOKUP(1, (SKUs!$J$2:$J$10001=accsry_unmerged!F170)*IF(H170&lt;&gt;"",(SKUs!$L$2:$L$10001=accsry_unmerged!H170),1)*(SKUs!$K$2:$K$10001=I170),SKUs!$C$2:$C$10001),"")</f>
        <v>0</v>
      </c>
      <c r="H170" s="36" cm="1">
        <f t="array" ref="H170">IFERROR(_xlfn.XLOOKUP(1, (dd_accsryclr!$C$2:$C$1000=accsry_unmerged!F170)*(dd_accsryclr!$B$2:$B$1000=accsry_unmerged!J170),dd_accsryclr!$A$2:$A$1000),"")</f>
        <v>0</v>
      </c>
      <c r="I170" s="35">
        <f>_xlfn.XLOOKUP(C170,'Project Details'!$C$17:$C$66,'Project Details'!$E$17:$E$66,"",0)</f>
        <v>0</v>
      </c>
      <c r="J170" s="35">
        <f>_xlfn.XLOOKUP(C170,'Project Details'!$C$17:$C$66,'Project Details'!$H$17:$H$66,"",0)</f>
        <v>0</v>
      </c>
      <c r="K170" s="36" t="str">
        <f>IF(AND(_xlfn.XLOOKUP(C170,'Project Details'!$C$17:$C$66,'Project Details'!$L$17:$L$66,"",0)&gt;550, F170="Spring-L27cm"),"",SUBSTITUTE(_xlfn.XLOOKUP(G170,SKUs!$C$2:$C$10001,SKUs!$F$2:$F$10001,"",0), " Accessories",""))</f>
        <v/>
      </c>
      <c r="L170" s="36">
        <f>_xlfn.XLOOKUP(C170,'Project Details'!$C$17:$C$66,'Project Details'!$D$17:$D$66,"",0)</f>
        <v>0</v>
      </c>
      <c r="M170" s="43"/>
    </row>
    <row r="171" spans="1:13" x14ac:dyDescent="0.25">
      <c r="A171" s="43"/>
      <c r="B171" s="43"/>
      <c r="C171" s="16">
        <f t="shared" si="2"/>
        <v>4</v>
      </c>
      <c r="D171" s="16" t="str" cm="1">
        <f t="array" ref="D171">IFERROR(ROUNDUP(_xlfn.IFS(F171="Aluminum Track", _xlfn.XLOOKUP(C171, dd_accsrycalc!$A$2:$A$51, dd_accsrycalc!$B$2:$B$51, "",0), F171="10 x 2 1/2 S (Flat)", _xlfn.XLOOKUP(C171, dd_accsrycalc!$A$2:$A$51, dd_accsrycalc!$C$2:$C$51, "",0), F171="Tox6", _xlfn.XLOOKUP(C171, dd_accsrycalc!$A$2:$A$51, dd_accsrycalc!$D$2:$D$51, "",0), F171="Cover Cap", _xlfn.XLOOKUP(C171, dd_accsrycalc!$A$2:$A$51, dd_accsrycalc!$E$2:$E$51, "",0), F171="Drainage Cover", _xlfn.XLOOKUP(C171, dd_accsrycalc!$A$2:$A$51, dd_accsrycalc!$F$2:$F$51, "",0),AND( F171="Double Adhesive Tape", I171="Roll-up Screen"), _xlfn.XLOOKUP(C171, calc_rusacc!$C$15:$C$65, calc_rusacc!$AD$15:$AD$65, "",0),AND( F171="Sealant", I171="Roll-up Screen"), _xlfn.XLOOKUP(C171, calc_rusacc!$C$15:$C$65, calc_rusacc!$AF$15:$AF$65, "",0),  AND( F171="Main Chain", I171="Accordion Screen"), _xlfn.XLOOKUP(C171, calc_rusacc!$C$15:$C$65, calc_rusacc!$BF$15:$BF$65, "",0), AND( F171="Sealant", I171="Accordion Screen"), _xlfn.XLOOKUP(C171, calc_rusacc!$C$15:$C$65, calc_rusacc!$BJ$15:$BJ$65, "",0),  F171="Sealant", _xlfn.XLOOKUP(C171, dd_accsrycalc!$A$2:$A$51, dd_accsrycalc!$G$2:$G$51, "",0),  F171&lt;&gt;"",L171*_xlfn.XLOOKUP(1, (SKUs!$C$2:$C$10001=G171)*(SKUs!$K$2:$K$10001=I171),SKUs!$E$2:$E$10001)), 0),"")</f>
        <v/>
      </c>
      <c r="E171" s="16" t="str">
        <f>_xlfn.XLOOKUP(F171,dd_item!$B$2:$B$105,dd_item!$C$2:$C$105,"",0)</f>
        <v/>
      </c>
      <c r="F171" s="16"/>
      <c r="G171" s="16" cm="1">
        <f t="array" ref="G171">IFERROR(_xlfn.XLOOKUP(1, (SKUs!$J$2:$J$10001=accsry_unmerged!F171)*IF(H171&lt;&gt;"",(SKUs!$L$2:$L$10001=accsry_unmerged!H171),1)*(SKUs!$K$2:$K$10001=I171),SKUs!$C$2:$C$10001),"")</f>
        <v>0</v>
      </c>
      <c r="H171" s="33" cm="1">
        <f t="array" ref="H171">IFERROR(_xlfn.XLOOKUP(1, (dd_accsryclr!$C$2:$C$1000=accsry_unmerged!F171)*(dd_accsryclr!$B$2:$B$1000=accsry_unmerged!J171),dd_accsryclr!$A$2:$A$1000),"")</f>
        <v>0</v>
      </c>
      <c r="I171" s="16">
        <f>_xlfn.XLOOKUP(C171,'Project Details'!$C$17:$C$66,'Project Details'!$E$17:$E$66,"",0)</f>
        <v>0</v>
      </c>
      <c r="J171" s="16">
        <f>_xlfn.XLOOKUP(C171,'Project Details'!$C$17:$C$66,'Project Details'!$H$17:$H$66,"",0)</f>
        <v>0</v>
      </c>
      <c r="K171" s="33" t="str">
        <f>IF(AND(_xlfn.XLOOKUP(C171,'Project Details'!$C$17:$C$66,'Project Details'!$L$17:$L$66,"",0)&gt;550, F171="Spring-L27cm"),"",SUBSTITUTE(_xlfn.XLOOKUP(G171,SKUs!$C$2:$C$10001,SKUs!$F$2:$F$10001,"",0), " Accessories",""))</f>
        <v/>
      </c>
      <c r="L171" s="33">
        <f>_xlfn.XLOOKUP(C171,'Project Details'!$C$17:$C$66,'Project Details'!$D$17:$D$66,"",0)</f>
        <v>0</v>
      </c>
      <c r="M171" s="43"/>
    </row>
    <row r="172" spans="1:13" x14ac:dyDescent="0.25">
      <c r="A172" s="43"/>
      <c r="B172" s="43"/>
      <c r="C172" s="35">
        <f t="shared" si="2"/>
        <v>4</v>
      </c>
      <c r="D172" s="35" t="str" cm="1">
        <f t="array" ref="D172">IFERROR(ROUNDUP(_xlfn.IFS(F172="Aluminum Track", _xlfn.XLOOKUP(C172, dd_accsrycalc!$A$2:$A$51, dd_accsrycalc!$B$2:$B$51, "",0), F172="10 x 2 1/2 S (Flat)", _xlfn.XLOOKUP(C172, dd_accsrycalc!$A$2:$A$51, dd_accsrycalc!$C$2:$C$51, "",0), F172="Tox6", _xlfn.XLOOKUP(C172, dd_accsrycalc!$A$2:$A$51, dd_accsrycalc!$D$2:$D$51, "",0), F172="Cover Cap", _xlfn.XLOOKUP(C172, dd_accsrycalc!$A$2:$A$51, dd_accsrycalc!$E$2:$E$51, "",0), F172="Drainage Cover", _xlfn.XLOOKUP(C172, dd_accsrycalc!$A$2:$A$51, dd_accsrycalc!$F$2:$F$51, "",0),AND( F172="Double Adhesive Tape", I172="Roll-up Screen"), _xlfn.XLOOKUP(C172, calc_rusacc!$C$15:$C$65, calc_rusacc!$AD$15:$AD$65, "",0),AND( F172="Sealant", I172="Roll-up Screen"), _xlfn.XLOOKUP(C172, calc_rusacc!$C$15:$C$65, calc_rusacc!$AF$15:$AF$65, "",0),  AND( F172="Main Chain", I172="Accordion Screen"), _xlfn.XLOOKUP(C172, calc_rusacc!$C$15:$C$65, calc_rusacc!$BF$15:$BF$65, "",0), AND( F172="Sealant", I172="Accordion Screen"), _xlfn.XLOOKUP(C172, calc_rusacc!$C$15:$C$65, calc_rusacc!$BJ$15:$BJ$65, "",0),  F172="Sealant", _xlfn.XLOOKUP(C172, dd_accsrycalc!$A$2:$A$51, dd_accsrycalc!$G$2:$G$51, "",0),  F172&lt;&gt;"",L172*_xlfn.XLOOKUP(1, (SKUs!$C$2:$C$10001=G172)*(SKUs!$K$2:$K$10001=I172),SKUs!$E$2:$E$10001)), 0),"")</f>
        <v/>
      </c>
      <c r="E172" s="35" t="str">
        <f>_xlfn.XLOOKUP(F172,dd_item!$B$2:$B$105,dd_item!$C$2:$C$105,"",0)</f>
        <v/>
      </c>
      <c r="F172" s="35"/>
      <c r="G172" s="35" cm="1">
        <f t="array" ref="G172">IFERROR(_xlfn.XLOOKUP(1, (SKUs!$J$2:$J$10001=accsry_unmerged!F172)*IF(H172&lt;&gt;"",(SKUs!$L$2:$L$10001=accsry_unmerged!H172),1)*(SKUs!$K$2:$K$10001=I172),SKUs!$C$2:$C$10001),"")</f>
        <v>0</v>
      </c>
      <c r="H172" s="36" cm="1">
        <f t="array" ref="H172">IFERROR(_xlfn.XLOOKUP(1, (dd_accsryclr!$C$2:$C$1000=accsry_unmerged!F172)*(dd_accsryclr!$B$2:$B$1000=accsry_unmerged!J172),dd_accsryclr!$A$2:$A$1000),"")</f>
        <v>0</v>
      </c>
      <c r="I172" s="35">
        <f>_xlfn.XLOOKUP(C172,'Project Details'!$C$17:$C$66,'Project Details'!$E$17:$E$66,"",0)</f>
        <v>0</v>
      </c>
      <c r="J172" s="35">
        <f>_xlfn.XLOOKUP(C172,'Project Details'!$C$17:$C$66,'Project Details'!$H$17:$H$66,"",0)</f>
        <v>0</v>
      </c>
      <c r="K172" s="36" t="str">
        <f>IF(AND(_xlfn.XLOOKUP(C172,'Project Details'!$C$17:$C$66,'Project Details'!$L$17:$L$66,"",0)&gt;550, F172="Spring-L27cm"),"",SUBSTITUTE(_xlfn.XLOOKUP(G172,SKUs!$C$2:$C$10001,SKUs!$F$2:$F$10001,"",0), " Accessories",""))</f>
        <v/>
      </c>
      <c r="L172" s="36">
        <f>_xlfn.XLOOKUP(C172,'Project Details'!$C$17:$C$66,'Project Details'!$D$17:$D$66,"",0)</f>
        <v>0</v>
      </c>
      <c r="M172" s="43"/>
    </row>
    <row r="173" spans="1:13" x14ac:dyDescent="0.25">
      <c r="A173" s="43"/>
      <c r="B173" s="43"/>
      <c r="C173" s="16">
        <f t="shared" si="2"/>
        <v>4</v>
      </c>
      <c r="D173" s="16" t="str" cm="1">
        <f t="array" ref="D173">IFERROR(ROUNDUP(_xlfn.IFS(F173="Aluminum Track", _xlfn.XLOOKUP(C173, dd_accsrycalc!$A$2:$A$51, dd_accsrycalc!$B$2:$B$51, "",0), F173="10 x 2 1/2 S (Flat)", _xlfn.XLOOKUP(C173, dd_accsrycalc!$A$2:$A$51, dd_accsrycalc!$C$2:$C$51, "",0), F173="Tox6", _xlfn.XLOOKUP(C173, dd_accsrycalc!$A$2:$A$51, dd_accsrycalc!$D$2:$D$51, "",0), F173="Cover Cap", _xlfn.XLOOKUP(C173, dd_accsrycalc!$A$2:$A$51, dd_accsrycalc!$E$2:$E$51, "",0), F173="Drainage Cover", _xlfn.XLOOKUP(C173, dd_accsrycalc!$A$2:$A$51, dd_accsrycalc!$F$2:$F$51, "",0),AND( F173="Double Adhesive Tape", I173="Roll-up Screen"), _xlfn.XLOOKUP(C173, calc_rusacc!$C$15:$C$65, calc_rusacc!$AD$15:$AD$65, "",0),AND( F173="Sealant", I173="Roll-up Screen"), _xlfn.XLOOKUP(C173, calc_rusacc!$C$15:$C$65, calc_rusacc!$AF$15:$AF$65, "",0),  AND( F173="Main Chain", I173="Accordion Screen"), _xlfn.XLOOKUP(C173, calc_rusacc!$C$15:$C$65, calc_rusacc!$BF$15:$BF$65, "",0), AND( F173="Sealant", I173="Accordion Screen"), _xlfn.XLOOKUP(C173, calc_rusacc!$C$15:$C$65, calc_rusacc!$BJ$15:$BJ$65, "",0),  F173="Sealant", _xlfn.XLOOKUP(C173, dd_accsrycalc!$A$2:$A$51, dd_accsrycalc!$G$2:$G$51, "",0),  F173&lt;&gt;"",L173*_xlfn.XLOOKUP(1, (SKUs!$C$2:$C$10001=G173)*(SKUs!$K$2:$K$10001=I173),SKUs!$E$2:$E$10001)), 0),"")</f>
        <v/>
      </c>
      <c r="E173" s="16" t="str">
        <f>_xlfn.XLOOKUP(F173,dd_item!$B$2:$B$105,dd_item!$C$2:$C$105,"",0)</f>
        <v/>
      </c>
      <c r="F173" s="16"/>
      <c r="G173" s="16" cm="1">
        <f t="array" ref="G173">IFERROR(_xlfn.XLOOKUP(1, (SKUs!$J$2:$J$10001=accsry_unmerged!F173)*IF(H173&lt;&gt;"",(SKUs!$L$2:$L$10001=accsry_unmerged!H173),1)*(SKUs!$K$2:$K$10001=I173),SKUs!$C$2:$C$10001),"")</f>
        <v>0</v>
      </c>
      <c r="H173" s="33" cm="1">
        <f t="array" ref="H173">IFERROR(_xlfn.XLOOKUP(1, (dd_accsryclr!$C$2:$C$1000=accsry_unmerged!F173)*(dd_accsryclr!$B$2:$B$1000=accsry_unmerged!J173),dd_accsryclr!$A$2:$A$1000),"")</f>
        <v>0</v>
      </c>
      <c r="I173" s="16">
        <f>_xlfn.XLOOKUP(C173,'Project Details'!$C$17:$C$66,'Project Details'!$E$17:$E$66,"",0)</f>
        <v>0</v>
      </c>
      <c r="J173" s="16">
        <f>_xlfn.XLOOKUP(C173,'Project Details'!$C$17:$C$66,'Project Details'!$H$17:$H$66,"",0)</f>
        <v>0</v>
      </c>
      <c r="K173" s="33" t="str">
        <f>IF(AND(_xlfn.XLOOKUP(C173,'Project Details'!$C$17:$C$66,'Project Details'!$L$17:$L$66,"",0)&gt;550, F173="Spring-L27cm"),"",SUBSTITUTE(_xlfn.XLOOKUP(G173,SKUs!$C$2:$C$10001,SKUs!$F$2:$F$10001,"",0), " Accessories",""))</f>
        <v/>
      </c>
      <c r="L173" s="33">
        <f>_xlfn.XLOOKUP(C173,'Project Details'!$C$17:$C$66,'Project Details'!$D$17:$D$66,"",0)</f>
        <v>0</v>
      </c>
      <c r="M173" s="43"/>
    </row>
    <row r="174" spans="1:13" x14ac:dyDescent="0.25">
      <c r="A174" s="43"/>
      <c r="B174" s="43"/>
      <c r="C174" s="35">
        <f t="shared" si="2"/>
        <v>4</v>
      </c>
      <c r="D174" s="35" t="str" cm="1">
        <f t="array" ref="D174">IFERROR(ROUNDUP(_xlfn.IFS(F174="Aluminum Track", _xlfn.XLOOKUP(C174, dd_accsrycalc!$A$2:$A$51, dd_accsrycalc!$B$2:$B$51, "",0), F174="10 x 2 1/2 S (Flat)", _xlfn.XLOOKUP(C174, dd_accsrycalc!$A$2:$A$51, dd_accsrycalc!$C$2:$C$51, "",0), F174="Tox6", _xlfn.XLOOKUP(C174, dd_accsrycalc!$A$2:$A$51, dd_accsrycalc!$D$2:$D$51, "",0), F174="Cover Cap", _xlfn.XLOOKUP(C174, dd_accsrycalc!$A$2:$A$51, dd_accsrycalc!$E$2:$E$51, "",0), F174="Drainage Cover", _xlfn.XLOOKUP(C174, dd_accsrycalc!$A$2:$A$51, dd_accsrycalc!$F$2:$F$51, "",0),AND( F174="Double Adhesive Tape", I174="Roll-up Screen"), _xlfn.XLOOKUP(C174, calc_rusacc!$C$15:$C$65, calc_rusacc!$AD$15:$AD$65, "",0),AND( F174="Sealant", I174="Roll-up Screen"), _xlfn.XLOOKUP(C174, calc_rusacc!$C$15:$C$65, calc_rusacc!$AF$15:$AF$65, "",0),  AND( F174="Main Chain", I174="Accordion Screen"), _xlfn.XLOOKUP(C174, calc_rusacc!$C$15:$C$65, calc_rusacc!$BF$15:$BF$65, "",0), AND( F174="Sealant", I174="Accordion Screen"), _xlfn.XLOOKUP(C174, calc_rusacc!$C$15:$C$65, calc_rusacc!$BJ$15:$BJ$65, "",0),  F174="Sealant", _xlfn.XLOOKUP(C174, dd_accsrycalc!$A$2:$A$51, dd_accsrycalc!$G$2:$G$51, "",0),  F174&lt;&gt;"",L174*_xlfn.XLOOKUP(1, (SKUs!$C$2:$C$10001=G174)*(SKUs!$K$2:$K$10001=I174),SKUs!$E$2:$E$10001)), 0),"")</f>
        <v/>
      </c>
      <c r="E174" s="35" t="str">
        <f>_xlfn.XLOOKUP(F174,dd_item!$B$2:$B$105,dd_item!$C$2:$C$105,"",0)</f>
        <v/>
      </c>
      <c r="F174" s="35"/>
      <c r="G174" s="35" cm="1">
        <f t="array" ref="G174">IFERROR(_xlfn.XLOOKUP(1, (SKUs!$J$2:$J$10001=accsry_unmerged!F174)*IF(H174&lt;&gt;"",(SKUs!$L$2:$L$10001=accsry_unmerged!H174),1)*(SKUs!$K$2:$K$10001=I174),SKUs!$C$2:$C$10001),"")</f>
        <v>0</v>
      </c>
      <c r="H174" s="36" cm="1">
        <f t="array" ref="H174">IFERROR(_xlfn.XLOOKUP(1, (dd_accsryclr!$C$2:$C$1000=accsry_unmerged!F174)*(dd_accsryclr!$B$2:$B$1000=accsry_unmerged!J174),dd_accsryclr!$A$2:$A$1000),"")</f>
        <v>0</v>
      </c>
      <c r="I174" s="35">
        <f>_xlfn.XLOOKUP(C174,'Project Details'!$C$17:$C$66,'Project Details'!$E$17:$E$66,"",0)</f>
        <v>0</v>
      </c>
      <c r="J174" s="35">
        <f>_xlfn.XLOOKUP(C174,'Project Details'!$C$17:$C$66,'Project Details'!$H$17:$H$66,"",0)</f>
        <v>0</v>
      </c>
      <c r="K174" s="36" t="str">
        <f>IF(AND(_xlfn.XLOOKUP(C174,'Project Details'!$C$17:$C$66,'Project Details'!$L$17:$L$66,"",0)&gt;550, F174="Spring-L27cm"),"",SUBSTITUTE(_xlfn.XLOOKUP(G174,SKUs!$C$2:$C$10001,SKUs!$F$2:$F$10001,"",0), " Accessories",""))</f>
        <v/>
      </c>
      <c r="L174" s="36">
        <f>_xlfn.XLOOKUP(C174,'Project Details'!$C$17:$C$66,'Project Details'!$D$17:$D$66,"",0)</f>
        <v>0</v>
      </c>
      <c r="M174" s="43"/>
    </row>
    <row r="175" spans="1:13" x14ac:dyDescent="0.25">
      <c r="A175" s="43"/>
      <c r="B175" s="43"/>
      <c r="C175" s="16">
        <f t="shared" si="2"/>
        <v>4</v>
      </c>
      <c r="D175" s="16" t="str" cm="1">
        <f t="array" ref="D175">IFERROR(ROUNDUP(_xlfn.IFS(F175="Aluminum Track", _xlfn.XLOOKUP(C175, dd_accsrycalc!$A$2:$A$51, dd_accsrycalc!$B$2:$B$51, "",0), F175="10 x 2 1/2 S (Flat)", _xlfn.XLOOKUP(C175, dd_accsrycalc!$A$2:$A$51, dd_accsrycalc!$C$2:$C$51, "",0), F175="Tox6", _xlfn.XLOOKUP(C175, dd_accsrycalc!$A$2:$A$51, dd_accsrycalc!$D$2:$D$51, "",0), F175="Cover Cap", _xlfn.XLOOKUP(C175, dd_accsrycalc!$A$2:$A$51, dd_accsrycalc!$E$2:$E$51, "",0), F175="Drainage Cover", _xlfn.XLOOKUP(C175, dd_accsrycalc!$A$2:$A$51, dd_accsrycalc!$F$2:$F$51, "",0),AND( F175="Double Adhesive Tape", I175="Roll-up Screen"), _xlfn.XLOOKUP(C175, calc_rusacc!$C$15:$C$65, calc_rusacc!$AD$15:$AD$65, "",0),AND( F175="Sealant", I175="Roll-up Screen"), _xlfn.XLOOKUP(C175, calc_rusacc!$C$15:$C$65, calc_rusacc!$AF$15:$AF$65, "",0),  AND( F175="Main Chain", I175="Accordion Screen"), _xlfn.XLOOKUP(C175, calc_rusacc!$C$15:$C$65, calc_rusacc!$BF$15:$BF$65, "",0), AND( F175="Sealant", I175="Accordion Screen"), _xlfn.XLOOKUP(C175, calc_rusacc!$C$15:$C$65, calc_rusacc!$BJ$15:$BJ$65, "",0),  F175="Sealant", _xlfn.XLOOKUP(C175, dd_accsrycalc!$A$2:$A$51, dd_accsrycalc!$G$2:$G$51, "",0),  F175&lt;&gt;"",L175*_xlfn.XLOOKUP(1, (SKUs!$C$2:$C$10001=G175)*(SKUs!$K$2:$K$10001=I175),SKUs!$E$2:$E$10001)), 0),"")</f>
        <v/>
      </c>
      <c r="E175" s="16" t="str">
        <f>_xlfn.XLOOKUP(F175,dd_item!$B$2:$B$105,dd_item!$C$2:$C$105,"",0)</f>
        <v/>
      </c>
      <c r="F175" s="16"/>
      <c r="G175" s="16" cm="1">
        <f t="array" ref="G175">IFERROR(_xlfn.XLOOKUP(1, (SKUs!$J$2:$J$10001=accsry_unmerged!F175)*IF(H175&lt;&gt;"",(SKUs!$L$2:$L$10001=accsry_unmerged!H175),1)*(SKUs!$K$2:$K$10001=I175),SKUs!$C$2:$C$10001),"")</f>
        <v>0</v>
      </c>
      <c r="H175" s="33" cm="1">
        <f t="array" ref="H175">IFERROR(_xlfn.XLOOKUP(1, (dd_accsryclr!$C$2:$C$1000=accsry_unmerged!F175)*(dd_accsryclr!$B$2:$B$1000=accsry_unmerged!J175),dd_accsryclr!$A$2:$A$1000),"")</f>
        <v>0</v>
      </c>
      <c r="I175" s="16">
        <f>_xlfn.XLOOKUP(C175,'Project Details'!$C$17:$C$66,'Project Details'!$E$17:$E$66,"",0)</f>
        <v>0</v>
      </c>
      <c r="J175" s="16">
        <f>_xlfn.XLOOKUP(C175,'Project Details'!$C$17:$C$66,'Project Details'!$H$17:$H$66,"",0)</f>
        <v>0</v>
      </c>
      <c r="K175" s="33" t="str">
        <f>IF(AND(_xlfn.XLOOKUP(C175,'Project Details'!$C$17:$C$66,'Project Details'!$L$17:$L$66,"",0)&gt;550, F175="Spring-L27cm"),"",SUBSTITUTE(_xlfn.XLOOKUP(G175,SKUs!$C$2:$C$10001,SKUs!$F$2:$F$10001,"",0), " Accessories",""))</f>
        <v/>
      </c>
      <c r="L175" s="33">
        <f>_xlfn.XLOOKUP(C175,'Project Details'!$C$17:$C$66,'Project Details'!$D$17:$D$66,"",0)</f>
        <v>0</v>
      </c>
      <c r="M175" s="43"/>
    </row>
    <row r="176" spans="1:13" x14ac:dyDescent="0.25">
      <c r="A176" s="43"/>
      <c r="B176" s="43"/>
      <c r="C176" s="35">
        <f t="shared" si="2"/>
        <v>4</v>
      </c>
      <c r="D176" s="35" t="str" cm="1">
        <f t="array" ref="D176">IFERROR(ROUNDUP(_xlfn.IFS(F176="Aluminum Track", _xlfn.XLOOKUP(C176, dd_accsrycalc!$A$2:$A$51, dd_accsrycalc!$B$2:$B$51, "",0), F176="10 x 2 1/2 S (Flat)", _xlfn.XLOOKUP(C176, dd_accsrycalc!$A$2:$A$51, dd_accsrycalc!$C$2:$C$51, "",0), F176="Tox6", _xlfn.XLOOKUP(C176, dd_accsrycalc!$A$2:$A$51, dd_accsrycalc!$D$2:$D$51, "",0), F176="Cover Cap", _xlfn.XLOOKUP(C176, dd_accsrycalc!$A$2:$A$51, dd_accsrycalc!$E$2:$E$51, "",0), F176="Drainage Cover", _xlfn.XLOOKUP(C176, dd_accsrycalc!$A$2:$A$51, dd_accsrycalc!$F$2:$F$51, "",0),AND( F176="Double Adhesive Tape", I176="Roll-up Screen"), _xlfn.XLOOKUP(C176, calc_rusacc!$C$15:$C$65, calc_rusacc!$AD$15:$AD$65, "",0),AND( F176="Sealant", I176="Roll-up Screen"), _xlfn.XLOOKUP(C176, calc_rusacc!$C$15:$C$65, calc_rusacc!$AF$15:$AF$65, "",0),  AND( F176="Main Chain", I176="Accordion Screen"), _xlfn.XLOOKUP(C176, calc_rusacc!$C$15:$C$65, calc_rusacc!$BF$15:$BF$65, "",0), AND( F176="Sealant", I176="Accordion Screen"), _xlfn.XLOOKUP(C176, calc_rusacc!$C$15:$C$65, calc_rusacc!$BJ$15:$BJ$65, "",0),  F176="Sealant", _xlfn.XLOOKUP(C176, dd_accsrycalc!$A$2:$A$51, dd_accsrycalc!$G$2:$G$51, "",0),  F176&lt;&gt;"",L176*_xlfn.XLOOKUP(1, (SKUs!$C$2:$C$10001=G176)*(SKUs!$K$2:$K$10001=I176),SKUs!$E$2:$E$10001)), 0),"")</f>
        <v/>
      </c>
      <c r="E176" s="35" t="str">
        <f>_xlfn.XLOOKUP(F176,dd_item!$B$2:$B$105,dd_item!$C$2:$C$105,"",0)</f>
        <v/>
      </c>
      <c r="F176" s="35"/>
      <c r="G176" s="35" cm="1">
        <f t="array" ref="G176">IFERROR(_xlfn.XLOOKUP(1, (SKUs!$J$2:$J$10001=accsry_unmerged!F176)*IF(H176&lt;&gt;"",(SKUs!$L$2:$L$10001=accsry_unmerged!H176),1)*(SKUs!$K$2:$K$10001=I176),SKUs!$C$2:$C$10001),"")</f>
        <v>0</v>
      </c>
      <c r="H176" s="36" cm="1">
        <f t="array" ref="H176">IFERROR(_xlfn.XLOOKUP(1, (dd_accsryclr!$C$2:$C$1000=accsry_unmerged!F176)*(dd_accsryclr!$B$2:$B$1000=accsry_unmerged!J176),dd_accsryclr!$A$2:$A$1000),"")</f>
        <v>0</v>
      </c>
      <c r="I176" s="35">
        <f>_xlfn.XLOOKUP(C176,'Project Details'!$C$17:$C$66,'Project Details'!$E$17:$E$66,"",0)</f>
        <v>0</v>
      </c>
      <c r="J176" s="35">
        <f>_xlfn.XLOOKUP(C176,'Project Details'!$C$17:$C$66,'Project Details'!$H$17:$H$66,"",0)</f>
        <v>0</v>
      </c>
      <c r="K176" s="36" t="str">
        <f>IF(AND(_xlfn.XLOOKUP(C176,'Project Details'!$C$17:$C$66,'Project Details'!$L$17:$L$66,"",0)&gt;550, F176="Spring-L27cm"),"",SUBSTITUTE(_xlfn.XLOOKUP(G176,SKUs!$C$2:$C$10001,SKUs!$F$2:$F$10001,"",0), " Accessories",""))</f>
        <v/>
      </c>
      <c r="L176" s="36">
        <f>_xlfn.XLOOKUP(C176,'Project Details'!$C$17:$C$66,'Project Details'!$D$17:$D$66,"",0)</f>
        <v>0</v>
      </c>
      <c r="M176" s="43"/>
    </row>
    <row r="177" spans="1:13" x14ac:dyDescent="0.25">
      <c r="A177" s="43"/>
      <c r="B177" s="43"/>
      <c r="C177" s="16">
        <f t="shared" si="2"/>
        <v>4</v>
      </c>
      <c r="D177" s="16" t="str" cm="1">
        <f t="array" ref="D177">IFERROR(ROUNDUP(_xlfn.IFS(F177="Aluminum Track", _xlfn.XLOOKUP(C177, dd_accsrycalc!$A$2:$A$51, dd_accsrycalc!$B$2:$B$51, "",0), F177="10 x 2 1/2 S (Flat)", _xlfn.XLOOKUP(C177, dd_accsrycalc!$A$2:$A$51, dd_accsrycalc!$C$2:$C$51, "",0), F177="Tox6", _xlfn.XLOOKUP(C177, dd_accsrycalc!$A$2:$A$51, dd_accsrycalc!$D$2:$D$51, "",0), F177="Cover Cap", _xlfn.XLOOKUP(C177, dd_accsrycalc!$A$2:$A$51, dd_accsrycalc!$E$2:$E$51, "",0), F177="Drainage Cover", _xlfn.XLOOKUP(C177, dd_accsrycalc!$A$2:$A$51, dd_accsrycalc!$F$2:$F$51, "",0),AND( F177="Double Adhesive Tape", I177="Roll-up Screen"), _xlfn.XLOOKUP(C177, calc_rusacc!$C$15:$C$65, calc_rusacc!$AD$15:$AD$65, "",0),AND( F177="Sealant", I177="Roll-up Screen"), _xlfn.XLOOKUP(C177, calc_rusacc!$C$15:$C$65, calc_rusacc!$AF$15:$AF$65, "",0),  AND( F177="Main Chain", I177="Accordion Screen"), _xlfn.XLOOKUP(C177, calc_rusacc!$C$15:$C$65, calc_rusacc!$BF$15:$BF$65, "",0), AND( F177="Sealant", I177="Accordion Screen"), _xlfn.XLOOKUP(C177, calc_rusacc!$C$15:$C$65, calc_rusacc!$BJ$15:$BJ$65, "",0),  F177="Sealant", _xlfn.XLOOKUP(C177, dd_accsrycalc!$A$2:$A$51, dd_accsrycalc!$G$2:$G$51, "",0),  F177&lt;&gt;"",L177*_xlfn.XLOOKUP(1, (SKUs!$C$2:$C$10001=G177)*(SKUs!$K$2:$K$10001=I177),SKUs!$E$2:$E$10001)), 0),"")</f>
        <v/>
      </c>
      <c r="E177" s="16" t="str">
        <f>_xlfn.XLOOKUP(F177,dd_item!$B$2:$B$105,dd_item!$C$2:$C$105,"",0)</f>
        <v/>
      </c>
      <c r="F177" s="16"/>
      <c r="G177" s="16" cm="1">
        <f t="array" ref="G177">IFERROR(_xlfn.XLOOKUP(1, (SKUs!$J$2:$J$10001=accsry_unmerged!F177)*IF(H177&lt;&gt;"",(SKUs!$L$2:$L$10001=accsry_unmerged!H177),1)*(SKUs!$K$2:$K$10001=I177),SKUs!$C$2:$C$10001),"")</f>
        <v>0</v>
      </c>
      <c r="H177" s="33" cm="1">
        <f t="array" ref="H177">IFERROR(_xlfn.XLOOKUP(1, (dd_accsryclr!$C$2:$C$1000=accsry_unmerged!F177)*(dd_accsryclr!$B$2:$B$1000=accsry_unmerged!J177),dd_accsryclr!$A$2:$A$1000),"")</f>
        <v>0</v>
      </c>
      <c r="I177" s="16">
        <f>_xlfn.XLOOKUP(C177,'Project Details'!$C$17:$C$66,'Project Details'!$E$17:$E$66,"",0)</f>
        <v>0</v>
      </c>
      <c r="J177" s="16">
        <f>_xlfn.XLOOKUP(C177,'Project Details'!$C$17:$C$66,'Project Details'!$H$17:$H$66,"",0)</f>
        <v>0</v>
      </c>
      <c r="K177" s="33" t="str">
        <f>IF(AND(_xlfn.XLOOKUP(C177,'Project Details'!$C$17:$C$66,'Project Details'!$L$17:$L$66,"",0)&gt;550, F177="Spring-L27cm"),"",SUBSTITUTE(_xlfn.XLOOKUP(G177,SKUs!$C$2:$C$10001,SKUs!$F$2:$F$10001,"",0), " Accessories",""))</f>
        <v/>
      </c>
      <c r="L177" s="33">
        <f>_xlfn.XLOOKUP(C177,'Project Details'!$C$17:$C$66,'Project Details'!$D$17:$D$66,"",0)</f>
        <v>0</v>
      </c>
      <c r="M177" s="43"/>
    </row>
    <row r="178" spans="1:13" x14ac:dyDescent="0.25">
      <c r="A178" s="43"/>
      <c r="B178" s="43"/>
      <c r="C178" s="35">
        <f t="shared" si="2"/>
        <v>4</v>
      </c>
      <c r="D178" s="35" t="str" cm="1">
        <f t="array" ref="D178">IFERROR(ROUNDUP(_xlfn.IFS(F178="Aluminum Track", _xlfn.XLOOKUP(C178, dd_accsrycalc!$A$2:$A$51, dd_accsrycalc!$B$2:$B$51, "",0), F178="10 x 2 1/2 S (Flat)", _xlfn.XLOOKUP(C178, dd_accsrycalc!$A$2:$A$51, dd_accsrycalc!$C$2:$C$51, "",0), F178="Tox6", _xlfn.XLOOKUP(C178, dd_accsrycalc!$A$2:$A$51, dd_accsrycalc!$D$2:$D$51, "",0), F178="Cover Cap", _xlfn.XLOOKUP(C178, dd_accsrycalc!$A$2:$A$51, dd_accsrycalc!$E$2:$E$51, "",0), F178="Drainage Cover", _xlfn.XLOOKUP(C178, dd_accsrycalc!$A$2:$A$51, dd_accsrycalc!$F$2:$F$51, "",0),AND( F178="Double Adhesive Tape", I178="Roll-up Screen"), _xlfn.XLOOKUP(C178, calc_rusacc!$C$15:$C$65, calc_rusacc!$AD$15:$AD$65, "",0),AND( F178="Sealant", I178="Roll-up Screen"), _xlfn.XLOOKUP(C178, calc_rusacc!$C$15:$C$65, calc_rusacc!$AF$15:$AF$65, "",0),  AND( F178="Main Chain", I178="Accordion Screen"), _xlfn.XLOOKUP(C178, calc_rusacc!$C$15:$C$65, calc_rusacc!$BF$15:$BF$65, "",0), AND( F178="Sealant", I178="Accordion Screen"), _xlfn.XLOOKUP(C178, calc_rusacc!$C$15:$C$65, calc_rusacc!$BJ$15:$BJ$65, "",0),  F178="Sealant", _xlfn.XLOOKUP(C178, dd_accsrycalc!$A$2:$A$51, dd_accsrycalc!$G$2:$G$51, "",0),  F178&lt;&gt;"",L178*_xlfn.XLOOKUP(1, (SKUs!$C$2:$C$10001=G178)*(SKUs!$K$2:$K$10001=I178),SKUs!$E$2:$E$10001)), 0),"")</f>
        <v/>
      </c>
      <c r="E178" s="35" t="str">
        <f>_xlfn.XLOOKUP(F178,dd_item!$B$2:$B$105,dd_item!$C$2:$C$105,"",0)</f>
        <v/>
      </c>
      <c r="F178" s="35"/>
      <c r="G178" s="35" cm="1">
        <f t="array" ref="G178">IFERROR(_xlfn.XLOOKUP(1, (SKUs!$J$2:$J$10001=accsry_unmerged!F178)*IF(H178&lt;&gt;"",(SKUs!$L$2:$L$10001=accsry_unmerged!H178),1)*(SKUs!$K$2:$K$10001=I178),SKUs!$C$2:$C$10001),"")</f>
        <v>0</v>
      </c>
      <c r="H178" s="36" cm="1">
        <f t="array" ref="H178">IFERROR(_xlfn.XLOOKUP(1, (dd_accsryclr!$C$2:$C$1000=accsry_unmerged!F178)*(dd_accsryclr!$B$2:$B$1000=accsry_unmerged!J178),dd_accsryclr!$A$2:$A$1000),"")</f>
        <v>0</v>
      </c>
      <c r="I178" s="35">
        <f>_xlfn.XLOOKUP(C178,'Project Details'!$C$17:$C$66,'Project Details'!$E$17:$E$66,"",0)</f>
        <v>0</v>
      </c>
      <c r="J178" s="35">
        <f>_xlfn.XLOOKUP(C178,'Project Details'!$C$17:$C$66,'Project Details'!$H$17:$H$66,"",0)</f>
        <v>0</v>
      </c>
      <c r="K178" s="36" t="str">
        <f>IF(AND(_xlfn.XLOOKUP(C178,'Project Details'!$C$17:$C$66,'Project Details'!$L$17:$L$66,"",0)&gt;550, F178="Spring-L27cm"),"",SUBSTITUTE(_xlfn.XLOOKUP(G178,SKUs!$C$2:$C$10001,SKUs!$F$2:$F$10001,"",0), " Accessories",""))</f>
        <v/>
      </c>
      <c r="L178" s="36">
        <f>_xlfn.XLOOKUP(C178,'Project Details'!$C$17:$C$66,'Project Details'!$D$17:$D$66,"",0)</f>
        <v>0</v>
      </c>
      <c r="M178" s="43"/>
    </row>
    <row r="179" spans="1:13" x14ac:dyDescent="0.25">
      <c r="A179" s="43"/>
      <c r="B179" s="43"/>
      <c r="C179" s="16">
        <f t="shared" si="2"/>
        <v>4</v>
      </c>
      <c r="D179" s="16" t="str" cm="1">
        <f t="array" ref="D179">IFERROR(ROUNDUP(_xlfn.IFS(F179="Aluminum Track", _xlfn.XLOOKUP(C179, dd_accsrycalc!$A$2:$A$51, dd_accsrycalc!$B$2:$B$51, "",0), F179="10 x 2 1/2 S (Flat)", _xlfn.XLOOKUP(C179, dd_accsrycalc!$A$2:$A$51, dd_accsrycalc!$C$2:$C$51, "",0), F179="Tox6", _xlfn.XLOOKUP(C179, dd_accsrycalc!$A$2:$A$51, dd_accsrycalc!$D$2:$D$51, "",0), F179="Cover Cap", _xlfn.XLOOKUP(C179, dd_accsrycalc!$A$2:$A$51, dd_accsrycalc!$E$2:$E$51, "",0), F179="Drainage Cover", _xlfn.XLOOKUP(C179, dd_accsrycalc!$A$2:$A$51, dd_accsrycalc!$F$2:$F$51, "",0),AND( F179="Double Adhesive Tape", I179="Roll-up Screen"), _xlfn.XLOOKUP(C179, calc_rusacc!$C$15:$C$65, calc_rusacc!$AD$15:$AD$65, "",0),AND( F179="Sealant", I179="Roll-up Screen"), _xlfn.XLOOKUP(C179, calc_rusacc!$C$15:$C$65, calc_rusacc!$AF$15:$AF$65, "",0),  AND( F179="Main Chain", I179="Accordion Screen"), _xlfn.XLOOKUP(C179, calc_rusacc!$C$15:$C$65, calc_rusacc!$BF$15:$BF$65, "",0), AND( F179="Sealant", I179="Accordion Screen"), _xlfn.XLOOKUP(C179, calc_rusacc!$C$15:$C$65, calc_rusacc!$BJ$15:$BJ$65, "",0),  F179="Sealant", _xlfn.XLOOKUP(C179, dd_accsrycalc!$A$2:$A$51, dd_accsrycalc!$G$2:$G$51, "",0),  F179&lt;&gt;"",L179*_xlfn.XLOOKUP(1, (SKUs!$C$2:$C$10001=G179)*(SKUs!$K$2:$K$10001=I179),SKUs!$E$2:$E$10001)), 0),"")</f>
        <v/>
      </c>
      <c r="E179" s="16" t="str">
        <f>_xlfn.XLOOKUP(F179,dd_item!$B$2:$B$105,dd_item!$C$2:$C$105,"",0)</f>
        <v/>
      </c>
      <c r="F179" s="16"/>
      <c r="G179" s="16" cm="1">
        <f t="array" ref="G179">IFERROR(_xlfn.XLOOKUP(1, (SKUs!$J$2:$J$10001=accsry_unmerged!F179)*IF(H179&lt;&gt;"",(SKUs!$L$2:$L$10001=accsry_unmerged!H179),1)*(SKUs!$K$2:$K$10001=I179),SKUs!$C$2:$C$10001),"")</f>
        <v>0</v>
      </c>
      <c r="H179" s="33" cm="1">
        <f t="array" ref="H179">IFERROR(_xlfn.XLOOKUP(1, (dd_accsryclr!$C$2:$C$1000=accsry_unmerged!F179)*(dd_accsryclr!$B$2:$B$1000=accsry_unmerged!J179),dd_accsryclr!$A$2:$A$1000),"")</f>
        <v>0</v>
      </c>
      <c r="I179" s="16">
        <f>_xlfn.XLOOKUP(C179,'Project Details'!$C$17:$C$66,'Project Details'!$E$17:$E$66,"",0)</f>
        <v>0</v>
      </c>
      <c r="J179" s="16">
        <f>_xlfn.XLOOKUP(C179,'Project Details'!$C$17:$C$66,'Project Details'!$H$17:$H$66,"",0)</f>
        <v>0</v>
      </c>
      <c r="K179" s="33" t="str">
        <f>IF(AND(_xlfn.XLOOKUP(C179,'Project Details'!$C$17:$C$66,'Project Details'!$L$17:$L$66,"",0)&gt;550, F179="Spring-L27cm"),"",SUBSTITUTE(_xlfn.XLOOKUP(G179,SKUs!$C$2:$C$10001,SKUs!$F$2:$F$10001,"",0), " Accessories",""))</f>
        <v/>
      </c>
      <c r="L179" s="33">
        <f>_xlfn.XLOOKUP(C179,'Project Details'!$C$17:$C$66,'Project Details'!$D$17:$D$66,"",0)</f>
        <v>0</v>
      </c>
      <c r="M179" s="43"/>
    </row>
    <row r="180" spans="1:13" x14ac:dyDescent="0.25">
      <c r="A180" s="43"/>
      <c r="B180" s="43"/>
      <c r="C180" s="35">
        <f t="shared" si="2"/>
        <v>4</v>
      </c>
      <c r="D180" s="35" t="str" cm="1">
        <f t="array" ref="D180">IFERROR(ROUNDUP(_xlfn.IFS(F180="Aluminum Track", _xlfn.XLOOKUP(C180, dd_accsrycalc!$A$2:$A$51, dd_accsrycalc!$B$2:$B$51, "",0), F180="10 x 2 1/2 S (Flat)", _xlfn.XLOOKUP(C180, dd_accsrycalc!$A$2:$A$51, dd_accsrycalc!$C$2:$C$51, "",0), F180="Tox6", _xlfn.XLOOKUP(C180, dd_accsrycalc!$A$2:$A$51, dd_accsrycalc!$D$2:$D$51, "",0), F180="Cover Cap", _xlfn.XLOOKUP(C180, dd_accsrycalc!$A$2:$A$51, dd_accsrycalc!$E$2:$E$51, "",0), F180="Drainage Cover", _xlfn.XLOOKUP(C180, dd_accsrycalc!$A$2:$A$51, dd_accsrycalc!$F$2:$F$51, "",0),AND( F180="Double Adhesive Tape", I180="Roll-up Screen"), _xlfn.XLOOKUP(C180, calc_rusacc!$C$15:$C$65, calc_rusacc!$AD$15:$AD$65, "",0),AND( F180="Sealant", I180="Roll-up Screen"), _xlfn.XLOOKUP(C180, calc_rusacc!$C$15:$C$65, calc_rusacc!$AF$15:$AF$65, "",0),  AND( F180="Main Chain", I180="Accordion Screen"), _xlfn.XLOOKUP(C180, calc_rusacc!$C$15:$C$65, calc_rusacc!$BF$15:$BF$65, "",0), AND( F180="Sealant", I180="Accordion Screen"), _xlfn.XLOOKUP(C180, calc_rusacc!$C$15:$C$65, calc_rusacc!$BJ$15:$BJ$65, "",0),  F180="Sealant", _xlfn.XLOOKUP(C180, dd_accsrycalc!$A$2:$A$51, dd_accsrycalc!$G$2:$G$51, "",0),  F180&lt;&gt;"",L180*_xlfn.XLOOKUP(1, (SKUs!$C$2:$C$10001=G180)*(SKUs!$K$2:$K$10001=I180),SKUs!$E$2:$E$10001)), 0),"")</f>
        <v/>
      </c>
      <c r="E180" s="35" t="str">
        <f>_xlfn.XLOOKUP(F180,dd_item!$B$2:$B$105,dd_item!$C$2:$C$105,"",0)</f>
        <v/>
      </c>
      <c r="F180" s="35"/>
      <c r="G180" s="35" cm="1">
        <f t="array" ref="G180">IFERROR(_xlfn.XLOOKUP(1, (SKUs!$J$2:$J$10001=accsry_unmerged!F180)*IF(H180&lt;&gt;"",(SKUs!$L$2:$L$10001=accsry_unmerged!H180),1)*(SKUs!$K$2:$K$10001=I180),SKUs!$C$2:$C$10001),"")</f>
        <v>0</v>
      </c>
      <c r="H180" s="36" cm="1">
        <f t="array" ref="H180">IFERROR(_xlfn.XLOOKUP(1, (dd_accsryclr!$C$2:$C$1000=accsry_unmerged!F180)*(dd_accsryclr!$B$2:$B$1000=accsry_unmerged!J180),dd_accsryclr!$A$2:$A$1000),"")</f>
        <v>0</v>
      </c>
      <c r="I180" s="35">
        <f>_xlfn.XLOOKUP(C180,'Project Details'!$C$17:$C$66,'Project Details'!$E$17:$E$66,"",0)</f>
        <v>0</v>
      </c>
      <c r="J180" s="35">
        <f>_xlfn.XLOOKUP(C180,'Project Details'!$C$17:$C$66,'Project Details'!$H$17:$H$66,"",0)</f>
        <v>0</v>
      </c>
      <c r="K180" s="36" t="str">
        <f>IF(AND(_xlfn.XLOOKUP(C180,'Project Details'!$C$17:$C$66,'Project Details'!$L$17:$L$66,"",0)&gt;550, F180="Spring-L27cm"),"",SUBSTITUTE(_xlfn.XLOOKUP(G180,SKUs!$C$2:$C$10001,SKUs!$F$2:$F$10001,"",0), " Accessories",""))</f>
        <v/>
      </c>
      <c r="L180" s="36">
        <f>_xlfn.XLOOKUP(C180,'Project Details'!$C$17:$C$66,'Project Details'!$D$17:$D$66,"",0)</f>
        <v>0</v>
      </c>
      <c r="M180" s="43"/>
    </row>
    <row r="181" spans="1:13" x14ac:dyDescent="0.25">
      <c r="A181" s="43"/>
      <c r="B181" s="43"/>
      <c r="C181" s="16">
        <f t="shared" si="2"/>
        <v>4</v>
      </c>
      <c r="D181" s="16" t="str" cm="1">
        <f t="array" ref="D181">IFERROR(ROUNDUP(_xlfn.IFS(F181="Aluminum Track", _xlfn.XLOOKUP(C181, dd_accsrycalc!$A$2:$A$51, dd_accsrycalc!$B$2:$B$51, "",0), F181="10 x 2 1/2 S (Flat)", _xlfn.XLOOKUP(C181, dd_accsrycalc!$A$2:$A$51, dd_accsrycalc!$C$2:$C$51, "",0), F181="Tox6", _xlfn.XLOOKUP(C181, dd_accsrycalc!$A$2:$A$51, dd_accsrycalc!$D$2:$D$51, "",0), F181="Cover Cap", _xlfn.XLOOKUP(C181, dd_accsrycalc!$A$2:$A$51, dd_accsrycalc!$E$2:$E$51, "",0), F181="Drainage Cover", _xlfn.XLOOKUP(C181, dd_accsrycalc!$A$2:$A$51, dd_accsrycalc!$F$2:$F$51, "",0),AND( F181="Double Adhesive Tape", I181="Roll-up Screen"), _xlfn.XLOOKUP(C181, calc_rusacc!$C$15:$C$65, calc_rusacc!$AD$15:$AD$65, "",0),AND( F181="Sealant", I181="Roll-up Screen"), _xlfn.XLOOKUP(C181, calc_rusacc!$C$15:$C$65, calc_rusacc!$AF$15:$AF$65, "",0),  AND( F181="Main Chain", I181="Accordion Screen"), _xlfn.XLOOKUP(C181, calc_rusacc!$C$15:$C$65, calc_rusacc!$BF$15:$BF$65, "",0), AND( F181="Sealant", I181="Accordion Screen"), _xlfn.XLOOKUP(C181, calc_rusacc!$C$15:$C$65, calc_rusacc!$BJ$15:$BJ$65, "",0),  F181="Sealant", _xlfn.XLOOKUP(C181, dd_accsrycalc!$A$2:$A$51, dd_accsrycalc!$G$2:$G$51, "",0),  F181&lt;&gt;"",L181*_xlfn.XLOOKUP(1, (SKUs!$C$2:$C$10001=G181)*(SKUs!$K$2:$K$10001=I181),SKUs!$E$2:$E$10001)), 0),"")</f>
        <v/>
      </c>
      <c r="E181" s="16" t="str">
        <f>_xlfn.XLOOKUP(F181,dd_item!$B$2:$B$105,dd_item!$C$2:$C$105,"",0)</f>
        <v/>
      </c>
      <c r="F181" s="16"/>
      <c r="G181" s="16" cm="1">
        <f t="array" ref="G181">IFERROR(_xlfn.XLOOKUP(1, (SKUs!$J$2:$J$10001=accsry_unmerged!F181)*IF(H181&lt;&gt;"",(SKUs!$L$2:$L$10001=accsry_unmerged!H181),1)*(SKUs!$K$2:$K$10001=I181),SKUs!$C$2:$C$10001),"")</f>
        <v>0</v>
      </c>
      <c r="H181" s="33" cm="1">
        <f t="array" ref="H181">IFERROR(_xlfn.XLOOKUP(1, (dd_accsryclr!$C$2:$C$1000=accsry_unmerged!F181)*(dd_accsryclr!$B$2:$B$1000=accsry_unmerged!J181),dd_accsryclr!$A$2:$A$1000),"")</f>
        <v>0</v>
      </c>
      <c r="I181" s="16">
        <f>_xlfn.XLOOKUP(C181,'Project Details'!$C$17:$C$66,'Project Details'!$E$17:$E$66,"",0)</f>
        <v>0</v>
      </c>
      <c r="J181" s="16">
        <f>_xlfn.XLOOKUP(C181,'Project Details'!$C$17:$C$66,'Project Details'!$H$17:$H$66,"",0)</f>
        <v>0</v>
      </c>
      <c r="K181" s="33" t="str">
        <f>IF(AND(_xlfn.XLOOKUP(C181,'Project Details'!$C$17:$C$66,'Project Details'!$L$17:$L$66,"",0)&gt;550, F181="Spring-L27cm"),"",SUBSTITUTE(_xlfn.XLOOKUP(G181,SKUs!$C$2:$C$10001,SKUs!$F$2:$F$10001,"",0), " Accessories",""))</f>
        <v/>
      </c>
      <c r="L181" s="33">
        <f>_xlfn.XLOOKUP(C181,'Project Details'!$C$17:$C$66,'Project Details'!$D$17:$D$66,"",0)</f>
        <v>0</v>
      </c>
      <c r="M181" s="43"/>
    </row>
    <row r="182" spans="1:13" x14ac:dyDescent="0.25">
      <c r="A182" s="43"/>
      <c r="B182" s="43"/>
      <c r="C182" s="35">
        <f t="shared" si="2"/>
        <v>4</v>
      </c>
      <c r="D182" s="35" t="str" cm="1">
        <f t="array" ref="D182">IFERROR(ROUNDUP(_xlfn.IFS(F182="Aluminum Track", _xlfn.XLOOKUP(C182, dd_accsrycalc!$A$2:$A$51, dd_accsrycalc!$B$2:$B$51, "",0), F182="10 x 2 1/2 S (Flat)", _xlfn.XLOOKUP(C182, dd_accsrycalc!$A$2:$A$51, dd_accsrycalc!$C$2:$C$51, "",0), F182="Tox6", _xlfn.XLOOKUP(C182, dd_accsrycalc!$A$2:$A$51, dd_accsrycalc!$D$2:$D$51, "",0), F182="Cover Cap", _xlfn.XLOOKUP(C182, dd_accsrycalc!$A$2:$A$51, dd_accsrycalc!$E$2:$E$51, "",0), F182="Drainage Cover", _xlfn.XLOOKUP(C182, dd_accsrycalc!$A$2:$A$51, dd_accsrycalc!$F$2:$F$51, "",0),AND( F182="Double Adhesive Tape", I182="Roll-up Screen"), _xlfn.XLOOKUP(C182, calc_rusacc!$C$15:$C$65, calc_rusacc!$AD$15:$AD$65, "",0),AND( F182="Sealant", I182="Roll-up Screen"), _xlfn.XLOOKUP(C182, calc_rusacc!$C$15:$C$65, calc_rusacc!$AF$15:$AF$65, "",0),  AND( F182="Main Chain", I182="Accordion Screen"), _xlfn.XLOOKUP(C182, calc_rusacc!$C$15:$C$65, calc_rusacc!$BF$15:$BF$65, "",0), AND( F182="Sealant", I182="Accordion Screen"), _xlfn.XLOOKUP(C182, calc_rusacc!$C$15:$C$65, calc_rusacc!$BJ$15:$BJ$65, "",0),  F182="Sealant", _xlfn.XLOOKUP(C182, dd_accsrycalc!$A$2:$A$51, dd_accsrycalc!$G$2:$G$51, "",0),  F182&lt;&gt;"",L182*_xlfn.XLOOKUP(1, (SKUs!$C$2:$C$10001=G182)*(SKUs!$K$2:$K$10001=I182),SKUs!$E$2:$E$10001)), 0),"")</f>
        <v/>
      </c>
      <c r="E182" s="35" t="str">
        <f>_xlfn.XLOOKUP(F182,dd_item!$B$2:$B$105,dd_item!$C$2:$C$105,"",0)</f>
        <v/>
      </c>
      <c r="F182" s="35"/>
      <c r="G182" s="35" cm="1">
        <f t="array" ref="G182">IFERROR(_xlfn.XLOOKUP(1, (SKUs!$J$2:$J$10001=accsry_unmerged!F182)*IF(H182&lt;&gt;"",(SKUs!$L$2:$L$10001=accsry_unmerged!H182),1)*(SKUs!$K$2:$K$10001=I182),SKUs!$C$2:$C$10001),"")</f>
        <v>0</v>
      </c>
      <c r="H182" s="36" cm="1">
        <f t="array" ref="H182">IFERROR(_xlfn.XLOOKUP(1, (dd_accsryclr!$C$2:$C$1000=accsry_unmerged!F182)*(dd_accsryclr!$B$2:$B$1000=accsry_unmerged!J182),dd_accsryclr!$A$2:$A$1000),"")</f>
        <v>0</v>
      </c>
      <c r="I182" s="35">
        <f>_xlfn.XLOOKUP(C182,'Project Details'!$C$17:$C$66,'Project Details'!$E$17:$E$66,"",0)</f>
        <v>0</v>
      </c>
      <c r="J182" s="35">
        <f>_xlfn.XLOOKUP(C182,'Project Details'!$C$17:$C$66,'Project Details'!$H$17:$H$66,"",0)</f>
        <v>0</v>
      </c>
      <c r="K182" s="36" t="str">
        <f>IF(AND(_xlfn.XLOOKUP(C182,'Project Details'!$C$17:$C$66,'Project Details'!$L$17:$L$66,"",0)&gt;550, F182="Spring-L27cm"),"",SUBSTITUTE(_xlfn.XLOOKUP(G182,SKUs!$C$2:$C$10001,SKUs!$F$2:$F$10001,"",0), " Accessories",""))</f>
        <v/>
      </c>
      <c r="L182" s="36">
        <f>_xlfn.XLOOKUP(C182,'Project Details'!$C$17:$C$66,'Project Details'!$D$17:$D$66,"",0)</f>
        <v>0</v>
      </c>
      <c r="M182" s="43"/>
    </row>
    <row r="183" spans="1:13" x14ac:dyDescent="0.25">
      <c r="A183" s="43"/>
      <c r="B183" s="43"/>
      <c r="C183" s="16">
        <f t="shared" si="2"/>
        <v>4</v>
      </c>
      <c r="D183" s="16" t="str" cm="1">
        <f t="array" ref="D183">IFERROR(ROUNDUP(_xlfn.IFS(F183="Aluminum Track", _xlfn.XLOOKUP(C183, dd_accsrycalc!$A$2:$A$51, dd_accsrycalc!$B$2:$B$51, "",0), F183="10 x 2 1/2 S (Flat)", _xlfn.XLOOKUP(C183, dd_accsrycalc!$A$2:$A$51, dd_accsrycalc!$C$2:$C$51, "",0), F183="Tox6", _xlfn.XLOOKUP(C183, dd_accsrycalc!$A$2:$A$51, dd_accsrycalc!$D$2:$D$51, "",0), F183="Cover Cap", _xlfn.XLOOKUP(C183, dd_accsrycalc!$A$2:$A$51, dd_accsrycalc!$E$2:$E$51, "",0), F183="Drainage Cover", _xlfn.XLOOKUP(C183, dd_accsrycalc!$A$2:$A$51, dd_accsrycalc!$F$2:$F$51, "",0),AND( F183="Double Adhesive Tape", I183="Roll-up Screen"), _xlfn.XLOOKUP(C183, calc_rusacc!$C$15:$C$65, calc_rusacc!$AD$15:$AD$65, "",0),AND( F183="Sealant", I183="Roll-up Screen"), _xlfn.XLOOKUP(C183, calc_rusacc!$C$15:$C$65, calc_rusacc!$AF$15:$AF$65, "",0),  AND( F183="Main Chain", I183="Accordion Screen"), _xlfn.XLOOKUP(C183, calc_rusacc!$C$15:$C$65, calc_rusacc!$BF$15:$BF$65, "",0), AND( F183="Sealant", I183="Accordion Screen"), _xlfn.XLOOKUP(C183, calc_rusacc!$C$15:$C$65, calc_rusacc!$BJ$15:$BJ$65, "",0),  F183="Sealant", _xlfn.XLOOKUP(C183, dd_accsrycalc!$A$2:$A$51, dd_accsrycalc!$G$2:$G$51, "",0),  F183&lt;&gt;"",L183*_xlfn.XLOOKUP(1, (SKUs!$C$2:$C$10001=G183)*(SKUs!$K$2:$K$10001=I183),SKUs!$E$2:$E$10001)), 0),"")</f>
        <v/>
      </c>
      <c r="E183" s="16" t="str">
        <f>_xlfn.XLOOKUP(F183,dd_item!$B$2:$B$105,dd_item!$C$2:$C$105,"",0)</f>
        <v/>
      </c>
      <c r="F183" s="16"/>
      <c r="G183" s="16" cm="1">
        <f t="array" ref="G183">IFERROR(_xlfn.XLOOKUP(1, (SKUs!$J$2:$J$10001=accsry_unmerged!F183)*IF(H183&lt;&gt;"",(SKUs!$L$2:$L$10001=accsry_unmerged!H183),1)*(SKUs!$K$2:$K$10001=I183),SKUs!$C$2:$C$10001),"")</f>
        <v>0</v>
      </c>
      <c r="H183" s="33" cm="1">
        <f t="array" ref="H183">IFERROR(_xlfn.XLOOKUP(1, (dd_accsryclr!$C$2:$C$1000=accsry_unmerged!F183)*(dd_accsryclr!$B$2:$B$1000=accsry_unmerged!J183),dd_accsryclr!$A$2:$A$1000),"")</f>
        <v>0</v>
      </c>
      <c r="I183" s="16">
        <f>_xlfn.XLOOKUP(C183,'Project Details'!$C$17:$C$66,'Project Details'!$E$17:$E$66,"",0)</f>
        <v>0</v>
      </c>
      <c r="J183" s="16">
        <f>_xlfn.XLOOKUP(C183,'Project Details'!$C$17:$C$66,'Project Details'!$H$17:$H$66,"",0)</f>
        <v>0</v>
      </c>
      <c r="K183" s="33" t="str">
        <f>IF(AND(_xlfn.XLOOKUP(C183,'Project Details'!$C$17:$C$66,'Project Details'!$L$17:$L$66,"",0)&gt;550, F183="Spring-L27cm"),"",SUBSTITUTE(_xlfn.XLOOKUP(G183,SKUs!$C$2:$C$10001,SKUs!$F$2:$F$10001,"",0), " Accessories",""))</f>
        <v/>
      </c>
      <c r="L183" s="33">
        <f>_xlfn.XLOOKUP(C183,'Project Details'!$C$17:$C$66,'Project Details'!$D$17:$D$66,"",0)</f>
        <v>0</v>
      </c>
      <c r="M183" s="43"/>
    </row>
    <row r="184" spans="1:13" ht="13.5" customHeight="1" x14ac:dyDescent="0.25">
      <c r="A184" s="43"/>
      <c r="B184" s="43"/>
      <c r="C184" s="35">
        <f t="shared" si="2"/>
        <v>4</v>
      </c>
      <c r="D184" s="35" t="str" cm="1">
        <f t="array" ref="D184">IFERROR(ROUNDUP(_xlfn.IFS(F184="Aluminum Track", _xlfn.XLOOKUP(C184, dd_accsrycalc!$A$2:$A$51, dd_accsrycalc!$B$2:$B$51, "",0), F184="10 x 2 1/2 S (Flat)", _xlfn.XLOOKUP(C184, dd_accsrycalc!$A$2:$A$51, dd_accsrycalc!$C$2:$C$51, "",0), F184="Tox6", _xlfn.XLOOKUP(C184, dd_accsrycalc!$A$2:$A$51, dd_accsrycalc!$D$2:$D$51, "",0), F184="Cover Cap", _xlfn.XLOOKUP(C184, dd_accsrycalc!$A$2:$A$51, dd_accsrycalc!$E$2:$E$51, "",0), F184="Drainage Cover", _xlfn.XLOOKUP(C184, dd_accsrycalc!$A$2:$A$51, dd_accsrycalc!$F$2:$F$51, "",0),AND( F184="Double Adhesive Tape", I184="Roll-up Screen"), _xlfn.XLOOKUP(C184, calc_rusacc!$C$15:$C$65, calc_rusacc!$AD$15:$AD$65, "",0),AND( F184="Sealant", I184="Roll-up Screen"), _xlfn.XLOOKUP(C184, calc_rusacc!$C$15:$C$65, calc_rusacc!$AF$15:$AF$65, "",0),  AND( F184="Main Chain", I184="Accordion Screen"), _xlfn.XLOOKUP(C184, calc_rusacc!$C$15:$C$65, calc_rusacc!$BF$15:$BF$65, "",0), AND( F184="Sealant", I184="Accordion Screen"), _xlfn.XLOOKUP(C184, calc_rusacc!$C$15:$C$65, calc_rusacc!$BJ$15:$BJ$65, "",0),  F184="Sealant", _xlfn.XLOOKUP(C184, dd_accsrycalc!$A$2:$A$51, dd_accsrycalc!$G$2:$G$51, "",0),  F184&lt;&gt;"",L184*_xlfn.XLOOKUP(1, (SKUs!$C$2:$C$10001=G184)*(SKUs!$K$2:$K$10001=I184),SKUs!$E$2:$E$10001)), 0),"")</f>
        <v/>
      </c>
      <c r="E184" s="35" t="str">
        <f>_xlfn.XLOOKUP(F184,dd_item!$B$2:$B$105,dd_item!$C$2:$C$105,"",0)</f>
        <v/>
      </c>
      <c r="F184" s="35"/>
      <c r="G184" s="35" cm="1">
        <f t="array" ref="G184">IFERROR(_xlfn.XLOOKUP(1, (SKUs!$J$2:$J$10001=accsry_unmerged!F184)*IF(H184&lt;&gt;"",(SKUs!$L$2:$L$10001=accsry_unmerged!H184),1)*(SKUs!$K$2:$K$10001=I184),SKUs!$C$2:$C$10001),"")</f>
        <v>0</v>
      </c>
      <c r="H184" s="36" cm="1">
        <f t="array" ref="H184">IFERROR(_xlfn.XLOOKUP(1, (dd_accsryclr!$C$2:$C$1000=accsry_unmerged!F184)*(dd_accsryclr!$B$2:$B$1000=accsry_unmerged!J184),dd_accsryclr!$A$2:$A$1000),"")</f>
        <v>0</v>
      </c>
      <c r="I184" s="35">
        <f>_xlfn.XLOOKUP(C184,'Project Details'!$C$17:$C$66,'Project Details'!$E$17:$E$66,"",0)</f>
        <v>0</v>
      </c>
      <c r="J184" s="35">
        <f>_xlfn.XLOOKUP(C184,'Project Details'!$C$17:$C$66,'Project Details'!$H$17:$H$66,"",0)</f>
        <v>0</v>
      </c>
      <c r="K184" s="36" t="str">
        <f>IF(AND(_xlfn.XLOOKUP(C184,'Project Details'!$C$17:$C$66,'Project Details'!$L$17:$L$66,"",0)&gt;550, F184="Spring-L27cm"),"",SUBSTITUTE(_xlfn.XLOOKUP(G184,SKUs!$C$2:$C$10001,SKUs!$F$2:$F$10001,"",0), " Accessories",""))</f>
        <v/>
      </c>
      <c r="L184" s="36">
        <f>_xlfn.XLOOKUP(C184,'Project Details'!$C$17:$C$66,'Project Details'!$D$17:$D$66,"",0)</f>
        <v>0</v>
      </c>
      <c r="M184" s="43"/>
    </row>
    <row r="185" spans="1:13" ht="13.5" customHeight="1" x14ac:dyDescent="0.25">
      <c r="A185" s="43"/>
      <c r="B185" s="43"/>
      <c r="C185" s="16">
        <f t="shared" si="2"/>
        <v>4</v>
      </c>
      <c r="D185" s="16" t="str" cm="1">
        <f t="array" ref="D185">IFERROR(ROUNDUP(_xlfn.IFS(F185="Aluminum Track", _xlfn.XLOOKUP(C185, dd_accsrycalc!$A$2:$A$51, dd_accsrycalc!$B$2:$B$51, "",0), F185="10 x 2 1/2 S (Flat)", _xlfn.XLOOKUP(C185, dd_accsrycalc!$A$2:$A$51, dd_accsrycalc!$C$2:$C$51, "",0), F185="Tox6", _xlfn.XLOOKUP(C185, dd_accsrycalc!$A$2:$A$51, dd_accsrycalc!$D$2:$D$51, "",0), F185="Cover Cap", _xlfn.XLOOKUP(C185, dd_accsrycalc!$A$2:$A$51, dd_accsrycalc!$E$2:$E$51, "",0), F185="Drainage Cover", _xlfn.XLOOKUP(C185, dd_accsrycalc!$A$2:$A$51, dd_accsrycalc!$F$2:$F$51, "",0),AND( F185="Double Adhesive Tape", I185="Roll-up Screen"), _xlfn.XLOOKUP(C185, calc_rusacc!$C$15:$C$65, calc_rusacc!$AD$15:$AD$65, "",0),AND( F185="Sealant", I185="Roll-up Screen"), _xlfn.XLOOKUP(C185, calc_rusacc!$C$15:$C$65, calc_rusacc!$AF$15:$AF$65, "",0),  AND( F185="Main Chain", I185="Accordion Screen"), _xlfn.XLOOKUP(C185, calc_rusacc!$C$15:$C$65, calc_rusacc!$BF$15:$BF$65, "",0), AND( F185="Sealant", I185="Accordion Screen"), _xlfn.XLOOKUP(C185, calc_rusacc!$C$15:$C$65, calc_rusacc!$BJ$15:$BJ$65, "",0),  F185="Sealant", _xlfn.XLOOKUP(C185, dd_accsrycalc!$A$2:$A$51, dd_accsrycalc!$G$2:$G$51, "",0),  F185&lt;&gt;"",L185*_xlfn.XLOOKUP(1, (SKUs!$C$2:$C$10001=G185)*(SKUs!$K$2:$K$10001=I185),SKUs!$E$2:$E$10001)), 0),"")</f>
        <v/>
      </c>
      <c r="E185" s="16" t="str">
        <f>_xlfn.XLOOKUP(F185,dd_item!$B$2:$B$105,dd_item!$C$2:$C$105,"",0)</f>
        <v/>
      </c>
      <c r="F185" s="16"/>
      <c r="G185" s="16" cm="1">
        <f t="array" ref="G185">IFERROR(_xlfn.XLOOKUP(1, (SKUs!$J$2:$J$10001=accsry_unmerged!F185)*IF(H185&lt;&gt;"",(SKUs!$L$2:$L$10001=accsry_unmerged!H185),1)*(SKUs!$K$2:$K$10001=I185),SKUs!$C$2:$C$10001),"")</f>
        <v>0</v>
      </c>
      <c r="H185" s="33" cm="1">
        <f t="array" ref="H185">IFERROR(_xlfn.XLOOKUP(1, (dd_accsryclr!$C$2:$C$1000=accsry_unmerged!F185)*(dd_accsryclr!$B$2:$B$1000=accsry_unmerged!J185),dd_accsryclr!$A$2:$A$1000),"")</f>
        <v>0</v>
      </c>
      <c r="I185" s="16">
        <f>_xlfn.XLOOKUP(C185,'Project Details'!$C$17:$C$66,'Project Details'!$E$17:$E$66,"",0)</f>
        <v>0</v>
      </c>
      <c r="J185" s="16">
        <f>_xlfn.XLOOKUP(C185,'Project Details'!$C$17:$C$66,'Project Details'!$H$17:$H$66,"",0)</f>
        <v>0</v>
      </c>
      <c r="K185" s="33" t="str">
        <f>IF(AND(_xlfn.XLOOKUP(C185,'Project Details'!$C$17:$C$66,'Project Details'!$L$17:$L$66,"",0)&gt;550, F185="Spring-L27cm"),"",SUBSTITUTE(_xlfn.XLOOKUP(G185,SKUs!$C$2:$C$10001,SKUs!$F$2:$F$10001,"",0), " Accessories",""))</f>
        <v/>
      </c>
      <c r="L185" s="33">
        <f>_xlfn.XLOOKUP(C185,'Project Details'!$C$17:$C$66,'Project Details'!$D$17:$D$66,"",0)</f>
        <v>0</v>
      </c>
      <c r="M185" s="43"/>
    </row>
    <row r="186" spans="1:13" ht="13.5" customHeight="1" x14ac:dyDescent="0.25">
      <c r="A186" s="43"/>
      <c r="B186" s="43"/>
      <c r="C186" s="35">
        <f t="shared" si="2"/>
        <v>4</v>
      </c>
      <c r="D186" s="35" t="str" cm="1">
        <f t="array" ref="D186">IFERROR(ROUNDUP(_xlfn.IFS(F186="Aluminum Track", _xlfn.XLOOKUP(C186, dd_accsrycalc!$A$2:$A$51, dd_accsrycalc!$B$2:$B$51, "",0), F186="10 x 2 1/2 S (Flat)", _xlfn.XLOOKUP(C186, dd_accsrycalc!$A$2:$A$51, dd_accsrycalc!$C$2:$C$51, "",0), F186="Tox6", _xlfn.XLOOKUP(C186, dd_accsrycalc!$A$2:$A$51, dd_accsrycalc!$D$2:$D$51, "",0), F186="Cover Cap", _xlfn.XLOOKUP(C186, dd_accsrycalc!$A$2:$A$51, dd_accsrycalc!$E$2:$E$51, "",0), F186="Drainage Cover", _xlfn.XLOOKUP(C186, dd_accsrycalc!$A$2:$A$51, dd_accsrycalc!$F$2:$F$51, "",0),AND( F186="Double Adhesive Tape", I186="Roll-up Screen"), _xlfn.XLOOKUP(C186, calc_rusacc!$C$15:$C$65, calc_rusacc!$AD$15:$AD$65, "",0),AND( F186="Sealant", I186="Roll-up Screen"), _xlfn.XLOOKUP(C186, calc_rusacc!$C$15:$C$65, calc_rusacc!$AF$15:$AF$65, "",0),  AND( F186="Main Chain", I186="Accordion Screen"), _xlfn.XLOOKUP(C186, calc_rusacc!$C$15:$C$65, calc_rusacc!$BF$15:$BF$65, "",0), AND( F186="Sealant", I186="Accordion Screen"), _xlfn.XLOOKUP(C186, calc_rusacc!$C$15:$C$65, calc_rusacc!$BJ$15:$BJ$65, "",0),  F186="Sealant", _xlfn.XLOOKUP(C186, dd_accsrycalc!$A$2:$A$51, dd_accsrycalc!$G$2:$G$51, "",0),  F186&lt;&gt;"",L186*_xlfn.XLOOKUP(1, (SKUs!$C$2:$C$10001=G186)*(SKUs!$K$2:$K$10001=I186),SKUs!$E$2:$E$10001)), 0),"")</f>
        <v/>
      </c>
      <c r="E186" s="35" t="str">
        <f>_xlfn.XLOOKUP(F186,dd_item!$B$2:$B$105,dd_item!$C$2:$C$105,"",0)</f>
        <v/>
      </c>
      <c r="F186" s="35"/>
      <c r="G186" s="35" cm="1">
        <f t="array" ref="G186">IFERROR(_xlfn.XLOOKUP(1, (SKUs!$J$2:$J$10001=accsry_unmerged!F186)*IF(H186&lt;&gt;"",(SKUs!$L$2:$L$10001=accsry_unmerged!H186),1)*(SKUs!$K$2:$K$10001=I186),SKUs!$C$2:$C$10001),"")</f>
        <v>0</v>
      </c>
      <c r="H186" s="36" cm="1">
        <f t="array" ref="H186">IFERROR(_xlfn.XLOOKUP(1, (dd_accsryclr!$C$2:$C$1000=accsry_unmerged!F186)*(dd_accsryclr!$B$2:$B$1000=accsry_unmerged!J186),dd_accsryclr!$A$2:$A$1000),"")</f>
        <v>0</v>
      </c>
      <c r="I186" s="35">
        <f>_xlfn.XLOOKUP(C186,'Project Details'!$C$17:$C$66,'Project Details'!$E$17:$E$66,"",0)</f>
        <v>0</v>
      </c>
      <c r="J186" s="35">
        <f>_xlfn.XLOOKUP(C186,'Project Details'!$C$17:$C$66,'Project Details'!$H$17:$H$66,"",0)</f>
        <v>0</v>
      </c>
      <c r="K186" s="36" t="str">
        <f>IF(AND(_xlfn.XLOOKUP(C186,'Project Details'!$C$17:$C$66,'Project Details'!$L$17:$L$66,"",0)&gt;550, F186="Spring-L27cm"),"",SUBSTITUTE(_xlfn.XLOOKUP(G186,SKUs!$C$2:$C$10001,SKUs!$F$2:$F$10001,"",0), " Accessories",""))</f>
        <v/>
      </c>
      <c r="L186" s="36">
        <f>_xlfn.XLOOKUP(C186,'Project Details'!$C$17:$C$66,'Project Details'!$D$17:$D$66,"",0)</f>
        <v>0</v>
      </c>
      <c r="M186" s="43"/>
    </row>
    <row r="187" spans="1:13" ht="13.5" customHeight="1" x14ac:dyDescent="0.25">
      <c r="A187" s="43"/>
      <c r="B187" s="43"/>
      <c r="C187" s="16">
        <f t="shared" si="2"/>
        <v>4</v>
      </c>
      <c r="D187" s="16" t="str" cm="1">
        <f t="array" ref="D187">IFERROR(ROUNDUP(_xlfn.IFS(F187="Aluminum Track", _xlfn.XLOOKUP(C187, dd_accsrycalc!$A$2:$A$51, dd_accsrycalc!$B$2:$B$51, "",0), F187="10 x 2 1/2 S (Flat)", _xlfn.XLOOKUP(C187, dd_accsrycalc!$A$2:$A$51, dd_accsrycalc!$C$2:$C$51, "",0), F187="Tox6", _xlfn.XLOOKUP(C187, dd_accsrycalc!$A$2:$A$51, dd_accsrycalc!$D$2:$D$51, "",0), F187="Cover Cap", _xlfn.XLOOKUP(C187, dd_accsrycalc!$A$2:$A$51, dd_accsrycalc!$E$2:$E$51, "",0), F187="Drainage Cover", _xlfn.XLOOKUP(C187, dd_accsrycalc!$A$2:$A$51, dd_accsrycalc!$F$2:$F$51, "",0),AND( F187="Double Adhesive Tape", I187="Roll-up Screen"), _xlfn.XLOOKUP(C187, calc_rusacc!$C$15:$C$65, calc_rusacc!$AD$15:$AD$65, "",0),AND( F187="Sealant", I187="Roll-up Screen"), _xlfn.XLOOKUP(C187, calc_rusacc!$C$15:$C$65, calc_rusacc!$AF$15:$AF$65, "",0),  AND( F187="Main Chain", I187="Accordion Screen"), _xlfn.XLOOKUP(C187, calc_rusacc!$C$15:$C$65, calc_rusacc!$BF$15:$BF$65, "",0), AND( F187="Sealant", I187="Accordion Screen"), _xlfn.XLOOKUP(C187, calc_rusacc!$C$15:$C$65, calc_rusacc!$BJ$15:$BJ$65, "",0),  F187="Sealant", _xlfn.XLOOKUP(C187, dd_accsrycalc!$A$2:$A$51, dd_accsrycalc!$G$2:$G$51, "",0),  F187&lt;&gt;"",L187*_xlfn.XLOOKUP(1, (SKUs!$C$2:$C$10001=G187)*(SKUs!$K$2:$K$10001=I187),SKUs!$E$2:$E$10001)), 0),"")</f>
        <v/>
      </c>
      <c r="E187" s="16" t="str">
        <f>_xlfn.XLOOKUP(F187,dd_item!$B$2:$B$105,dd_item!$C$2:$C$105,"",0)</f>
        <v/>
      </c>
      <c r="F187" s="16"/>
      <c r="G187" s="16" cm="1">
        <f t="array" ref="G187">IFERROR(_xlfn.XLOOKUP(1, (SKUs!$J$2:$J$10001=accsry_unmerged!F187)*IF(H187&lt;&gt;"",(SKUs!$L$2:$L$10001=accsry_unmerged!H187),1)*(SKUs!$K$2:$K$10001=I187),SKUs!$C$2:$C$10001),"")</f>
        <v>0</v>
      </c>
      <c r="H187" s="33" cm="1">
        <f t="array" ref="H187">IFERROR(_xlfn.XLOOKUP(1, (dd_accsryclr!$C$2:$C$1000=accsry_unmerged!F187)*(dd_accsryclr!$B$2:$B$1000=accsry_unmerged!J187),dd_accsryclr!$A$2:$A$1000),"")</f>
        <v>0</v>
      </c>
      <c r="I187" s="16">
        <f>_xlfn.XLOOKUP(C187,'Project Details'!$C$17:$C$66,'Project Details'!$E$17:$E$66,"",0)</f>
        <v>0</v>
      </c>
      <c r="J187" s="16">
        <f>_xlfn.XLOOKUP(C187,'Project Details'!$C$17:$C$66,'Project Details'!$H$17:$H$66,"",0)</f>
        <v>0</v>
      </c>
      <c r="K187" s="33" t="str">
        <f>IF(AND(_xlfn.XLOOKUP(C187,'Project Details'!$C$17:$C$66,'Project Details'!$L$17:$L$66,"",0)&gt;550, F187="Spring-L27cm"),"",SUBSTITUTE(_xlfn.XLOOKUP(G187,SKUs!$C$2:$C$10001,SKUs!$F$2:$F$10001,"",0), " Accessories",""))</f>
        <v/>
      </c>
      <c r="L187" s="33">
        <f>_xlfn.XLOOKUP(C187,'Project Details'!$C$17:$C$66,'Project Details'!$D$17:$D$66,"",0)</f>
        <v>0</v>
      </c>
      <c r="M187" s="43"/>
    </row>
    <row r="188" spans="1:13" ht="13.5" customHeight="1" x14ac:dyDescent="0.25">
      <c r="A188" s="43"/>
      <c r="B188" s="43"/>
      <c r="C188" s="35">
        <f t="shared" si="2"/>
        <v>4</v>
      </c>
      <c r="D188" s="35" t="str" cm="1">
        <f t="array" ref="D188">IFERROR(ROUNDUP(_xlfn.IFS(F188="Aluminum Track", _xlfn.XLOOKUP(C188, dd_accsrycalc!$A$2:$A$51, dd_accsrycalc!$B$2:$B$51, "",0), F188="10 x 2 1/2 S (Flat)", _xlfn.XLOOKUP(C188, dd_accsrycalc!$A$2:$A$51, dd_accsrycalc!$C$2:$C$51, "",0), F188="Tox6", _xlfn.XLOOKUP(C188, dd_accsrycalc!$A$2:$A$51, dd_accsrycalc!$D$2:$D$51, "",0), F188="Cover Cap", _xlfn.XLOOKUP(C188, dd_accsrycalc!$A$2:$A$51, dd_accsrycalc!$E$2:$E$51, "",0), F188="Drainage Cover", _xlfn.XLOOKUP(C188, dd_accsrycalc!$A$2:$A$51, dd_accsrycalc!$F$2:$F$51, "",0),AND( F188="Double Adhesive Tape", I188="Roll-up Screen"), _xlfn.XLOOKUP(C188, calc_rusacc!$C$15:$C$65, calc_rusacc!$AD$15:$AD$65, "",0),AND( F188="Sealant", I188="Roll-up Screen"), _xlfn.XLOOKUP(C188, calc_rusacc!$C$15:$C$65, calc_rusacc!$AF$15:$AF$65, "",0),  AND( F188="Main Chain", I188="Accordion Screen"), _xlfn.XLOOKUP(C188, calc_rusacc!$C$15:$C$65, calc_rusacc!$BF$15:$BF$65, "",0), AND( F188="Sealant", I188="Accordion Screen"), _xlfn.XLOOKUP(C188, calc_rusacc!$C$15:$C$65, calc_rusacc!$BJ$15:$BJ$65, "",0),  F188="Sealant", _xlfn.XLOOKUP(C188, dd_accsrycalc!$A$2:$A$51, dd_accsrycalc!$G$2:$G$51, "",0),  F188&lt;&gt;"",L188*_xlfn.XLOOKUP(1, (SKUs!$C$2:$C$10001=G188)*(SKUs!$K$2:$K$10001=I188),SKUs!$E$2:$E$10001)), 0),"")</f>
        <v/>
      </c>
      <c r="E188" s="35" t="str">
        <f>_xlfn.XLOOKUP(F188,dd_item!$B$2:$B$105,dd_item!$C$2:$C$105,"",0)</f>
        <v/>
      </c>
      <c r="F188" s="35"/>
      <c r="G188" s="35" cm="1">
        <f t="array" ref="G188">IFERROR(_xlfn.XLOOKUP(1, (SKUs!$J$2:$J$10001=accsry_unmerged!F188)*IF(H188&lt;&gt;"",(SKUs!$L$2:$L$10001=accsry_unmerged!H188),1)*(SKUs!$K$2:$K$10001=I188),SKUs!$C$2:$C$10001),"")</f>
        <v>0</v>
      </c>
      <c r="H188" s="36" cm="1">
        <f t="array" ref="H188">IFERROR(_xlfn.XLOOKUP(1, (dd_accsryclr!$C$2:$C$1000=accsry_unmerged!F188)*(dd_accsryclr!$B$2:$B$1000=accsry_unmerged!J188),dd_accsryclr!$A$2:$A$1000),"")</f>
        <v>0</v>
      </c>
      <c r="I188" s="35">
        <f>_xlfn.XLOOKUP(C188,'Project Details'!$C$17:$C$66,'Project Details'!$E$17:$E$66,"",0)</f>
        <v>0</v>
      </c>
      <c r="J188" s="35">
        <f>_xlfn.XLOOKUP(C188,'Project Details'!$C$17:$C$66,'Project Details'!$H$17:$H$66,"",0)</f>
        <v>0</v>
      </c>
      <c r="K188" s="36" t="str">
        <f>IF(AND(_xlfn.XLOOKUP(C188,'Project Details'!$C$17:$C$66,'Project Details'!$L$17:$L$66,"",0)&gt;550, F188="Spring-L27cm"),"",SUBSTITUTE(_xlfn.XLOOKUP(G188,SKUs!$C$2:$C$10001,SKUs!$F$2:$F$10001,"",0), " Accessories",""))</f>
        <v/>
      </c>
      <c r="L188" s="36">
        <f>_xlfn.XLOOKUP(C188,'Project Details'!$C$17:$C$66,'Project Details'!$D$17:$D$66,"",0)</f>
        <v>0</v>
      </c>
      <c r="M188" s="43"/>
    </row>
    <row r="189" spans="1:13" ht="13.5" customHeight="1" x14ac:dyDescent="0.25">
      <c r="A189" s="43"/>
      <c r="B189" s="43"/>
      <c r="C189" s="16">
        <f t="shared" si="2"/>
        <v>4</v>
      </c>
      <c r="D189" s="16" t="str" cm="1">
        <f t="array" ref="D189">IFERROR(ROUNDUP(_xlfn.IFS(F189="Aluminum Track", _xlfn.XLOOKUP(C189, dd_accsrycalc!$A$2:$A$51, dd_accsrycalc!$B$2:$B$51, "",0), F189="10 x 2 1/2 S (Flat)", _xlfn.XLOOKUP(C189, dd_accsrycalc!$A$2:$A$51, dd_accsrycalc!$C$2:$C$51, "",0), F189="Tox6", _xlfn.XLOOKUP(C189, dd_accsrycalc!$A$2:$A$51, dd_accsrycalc!$D$2:$D$51, "",0), F189="Cover Cap", _xlfn.XLOOKUP(C189, dd_accsrycalc!$A$2:$A$51, dd_accsrycalc!$E$2:$E$51, "",0), F189="Drainage Cover", _xlfn.XLOOKUP(C189, dd_accsrycalc!$A$2:$A$51, dd_accsrycalc!$F$2:$F$51, "",0),AND( F189="Double Adhesive Tape", I189="Roll-up Screen"), _xlfn.XLOOKUP(C189, calc_rusacc!$C$15:$C$65, calc_rusacc!$AD$15:$AD$65, "",0),AND( F189="Sealant", I189="Roll-up Screen"), _xlfn.XLOOKUP(C189, calc_rusacc!$C$15:$C$65, calc_rusacc!$AF$15:$AF$65, "",0),  AND( F189="Main Chain", I189="Accordion Screen"), _xlfn.XLOOKUP(C189, calc_rusacc!$C$15:$C$65, calc_rusacc!$BF$15:$BF$65, "",0), AND( F189="Sealant", I189="Accordion Screen"), _xlfn.XLOOKUP(C189, calc_rusacc!$C$15:$C$65, calc_rusacc!$BJ$15:$BJ$65, "",0),  F189="Sealant", _xlfn.XLOOKUP(C189, dd_accsrycalc!$A$2:$A$51, dd_accsrycalc!$G$2:$G$51, "",0),  F189&lt;&gt;"",L189*_xlfn.XLOOKUP(1, (SKUs!$C$2:$C$10001=G189)*(SKUs!$K$2:$K$10001=I189),SKUs!$E$2:$E$10001)), 0),"")</f>
        <v/>
      </c>
      <c r="E189" s="16" t="str">
        <f>_xlfn.XLOOKUP(F189,dd_item!$B$2:$B$105,dd_item!$C$2:$C$105,"",0)</f>
        <v/>
      </c>
      <c r="F189" s="16"/>
      <c r="G189" s="16" cm="1">
        <f t="array" ref="G189">IFERROR(_xlfn.XLOOKUP(1, (SKUs!$J$2:$J$10001=accsry_unmerged!F189)*IF(H189&lt;&gt;"",(SKUs!$L$2:$L$10001=accsry_unmerged!H189),1)*(SKUs!$K$2:$K$10001=I189),SKUs!$C$2:$C$10001),"")</f>
        <v>0</v>
      </c>
      <c r="H189" s="33" cm="1">
        <f t="array" ref="H189">IFERROR(_xlfn.XLOOKUP(1, (dd_accsryclr!$C$2:$C$1000=accsry_unmerged!F189)*(dd_accsryclr!$B$2:$B$1000=accsry_unmerged!J189),dd_accsryclr!$A$2:$A$1000),"")</f>
        <v>0</v>
      </c>
      <c r="I189" s="16">
        <f>_xlfn.XLOOKUP(C189,'Project Details'!$C$17:$C$66,'Project Details'!$E$17:$E$66,"",0)</f>
        <v>0</v>
      </c>
      <c r="J189" s="16">
        <f>_xlfn.XLOOKUP(C189,'Project Details'!$C$17:$C$66,'Project Details'!$H$17:$H$66,"",0)</f>
        <v>0</v>
      </c>
      <c r="K189" s="33" t="str">
        <f>IF(AND(_xlfn.XLOOKUP(C189,'Project Details'!$C$17:$C$66,'Project Details'!$L$17:$L$66,"",0)&gt;550, F189="Spring-L27cm"),"",SUBSTITUTE(_xlfn.XLOOKUP(G189,SKUs!$C$2:$C$10001,SKUs!$F$2:$F$10001,"",0), " Accessories",""))</f>
        <v/>
      </c>
      <c r="L189" s="33">
        <f>_xlfn.XLOOKUP(C189,'Project Details'!$C$17:$C$66,'Project Details'!$D$17:$D$66,"",0)</f>
        <v>0</v>
      </c>
      <c r="M189" s="43"/>
    </row>
    <row r="190" spans="1:13" ht="13.5" customHeight="1" x14ac:dyDescent="0.25">
      <c r="A190" s="43"/>
      <c r="B190" s="43"/>
      <c r="C190" s="35">
        <f t="shared" si="2"/>
        <v>4</v>
      </c>
      <c r="D190" s="35" t="str" cm="1">
        <f t="array" ref="D190">IFERROR(ROUNDUP(_xlfn.IFS(F190="Aluminum Track", _xlfn.XLOOKUP(C190, dd_accsrycalc!$A$2:$A$51, dd_accsrycalc!$B$2:$B$51, "",0), F190="10 x 2 1/2 S (Flat)", _xlfn.XLOOKUP(C190, dd_accsrycalc!$A$2:$A$51, dd_accsrycalc!$C$2:$C$51, "",0), F190="Tox6", _xlfn.XLOOKUP(C190, dd_accsrycalc!$A$2:$A$51, dd_accsrycalc!$D$2:$D$51, "",0), F190="Cover Cap", _xlfn.XLOOKUP(C190, dd_accsrycalc!$A$2:$A$51, dd_accsrycalc!$E$2:$E$51, "",0), F190="Drainage Cover", _xlfn.XLOOKUP(C190, dd_accsrycalc!$A$2:$A$51, dd_accsrycalc!$F$2:$F$51, "",0),AND( F190="Double Adhesive Tape", I190="Roll-up Screen"), _xlfn.XLOOKUP(C190, calc_rusacc!$C$15:$C$65, calc_rusacc!$AD$15:$AD$65, "",0),AND( F190="Sealant", I190="Roll-up Screen"), _xlfn.XLOOKUP(C190, calc_rusacc!$C$15:$C$65, calc_rusacc!$AF$15:$AF$65, "",0),  AND( F190="Main Chain", I190="Accordion Screen"), _xlfn.XLOOKUP(C190, calc_rusacc!$C$15:$C$65, calc_rusacc!$BF$15:$BF$65, "",0), AND( F190="Sealant", I190="Accordion Screen"), _xlfn.XLOOKUP(C190, calc_rusacc!$C$15:$C$65, calc_rusacc!$BJ$15:$BJ$65, "",0),  F190="Sealant", _xlfn.XLOOKUP(C190, dd_accsrycalc!$A$2:$A$51, dd_accsrycalc!$G$2:$G$51, "",0),  F190&lt;&gt;"",L190*_xlfn.XLOOKUP(1, (SKUs!$C$2:$C$10001=G190)*(SKUs!$K$2:$K$10001=I190),SKUs!$E$2:$E$10001)), 0),"")</f>
        <v/>
      </c>
      <c r="E190" s="35" t="str">
        <f>_xlfn.XLOOKUP(F190,dd_item!$B$2:$B$105,dd_item!$C$2:$C$105,"",0)</f>
        <v/>
      </c>
      <c r="F190" s="35"/>
      <c r="G190" s="35" cm="1">
        <f t="array" ref="G190">IFERROR(_xlfn.XLOOKUP(1, (SKUs!$J$2:$J$10001=accsry_unmerged!F190)*IF(H190&lt;&gt;"",(SKUs!$L$2:$L$10001=accsry_unmerged!H190),1)*(SKUs!$K$2:$K$10001=I190),SKUs!$C$2:$C$10001),"")</f>
        <v>0</v>
      </c>
      <c r="H190" s="36" cm="1">
        <f t="array" ref="H190">IFERROR(_xlfn.XLOOKUP(1, (dd_accsryclr!$C$2:$C$1000=accsry_unmerged!F190)*(dd_accsryclr!$B$2:$B$1000=accsry_unmerged!J190),dd_accsryclr!$A$2:$A$1000),"")</f>
        <v>0</v>
      </c>
      <c r="I190" s="35">
        <f>_xlfn.XLOOKUP(C190,'Project Details'!$C$17:$C$66,'Project Details'!$E$17:$E$66,"",0)</f>
        <v>0</v>
      </c>
      <c r="J190" s="35">
        <f>_xlfn.XLOOKUP(C190,'Project Details'!$C$17:$C$66,'Project Details'!$H$17:$H$66,"",0)</f>
        <v>0</v>
      </c>
      <c r="K190" s="36" t="str">
        <f>IF(AND(_xlfn.XLOOKUP(C190,'Project Details'!$C$17:$C$66,'Project Details'!$L$17:$L$66,"",0)&gt;550, F190="Spring-L27cm"),"",SUBSTITUTE(_xlfn.XLOOKUP(G190,SKUs!$C$2:$C$10001,SKUs!$F$2:$F$10001,"",0), " Accessories",""))</f>
        <v/>
      </c>
      <c r="L190" s="36">
        <f>_xlfn.XLOOKUP(C190,'Project Details'!$C$17:$C$66,'Project Details'!$D$17:$D$66,"",0)</f>
        <v>0</v>
      </c>
      <c r="M190" s="43"/>
    </row>
    <row r="191" spans="1:13" ht="13.5" customHeight="1" x14ac:dyDescent="0.25">
      <c r="A191" s="43"/>
      <c r="B191" s="43"/>
      <c r="C191" s="16">
        <f t="shared" si="2"/>
        <v>4</v>
      </c>
      <c r="D191" s="16" t="str" cm="1">
        <f t="array" ref="D191">IFERROR(ROUNDUP(_xlfn.IFS(F191="Aluminum Track", _xlfn.XLOOKUP(C191, dd_accsrycalc!$A$2:$A$51, dd_accsrycalc!$B$2:$B$51, "",0), F191="10 x 2 1/2 S (Flat)", _xlfn.XLOOKUP(C191, dd_accsrycalc!$A$2:$A$51, dd_accsrycalc!$C$2:$C$51, "",0), F191="Tox6", _xlfn.XLOOKUP(C191, dd_accsrycalc!$A$2:$A$51, dd_accsrycalc!$D$2:$D$51, "",0), F191="Cover Cap", _xlfn.XLOOKUP(C191, dd_accsrycalc!$A$2:$A$51, dd_accsrycalc!$E$2:$E$51, "",0), F191="Drainage Cover", _xlfn.XLOOKUP(C191, dd_accsrycalc!$A$2:$A$51, dd_accsrycalc!$F$2:$F$51, "",0),AND( F191="Double Adhesive Tape", I191="Roll-up Screen"), _xlfn.XLOOKUP(C191, calc_rusacc!$C$15:$C$65, calc_rusacc!$AD$15:$AD$65, "",0),AND( F191="Sealant", I191="Roll-up Screen"), _xlfn.XLOOKUP(C191, calc_rusacc!$C$15:$C$65, calc_rusacc!$AF$15:$AF$65, "",0),  AND( F191="Main Chain", I191="Accordion Screen"), _xlfn.XLOOKUP(C191, calc_rusacc!$C$15:$C$65, calc_rusacc!$BF$15:$BF$65, "",0), AND( F191="Sealant", I191="Accordion Screen"), _xlfn.XLOOKUP(C191, calc_rusacc!$C$15:$C$65, calc_rusacc!$BJ$15:$BJ$65, "",0),  F191="Sealant", _xlfn.XLOOKUP(C191, dd_accsrycalc!$A$2:$A$51, dd_accsrycalc!$G$2:$G$51, "",0),  F191&lt;&gt;"",L191*_xlfn.XLOOKUP(1, (SKUs!$C$2:$C$10001=G191)*(SKUs!$K$2:$K$10001=I191),SKUs!$E$2:$E$10001)), 0),"")</f>
        <v/>
      </c>
      <c r="E191" s="16" t="str">
        <f>_xlfn.XLOOKUP(F191,dd_item!$B$2:$B$105,dd_item!$C$2:$C$105,"",0)</f>
        <v/>
      </c>
      <c r="F191" s="16"/>
      <c r="G191" s="16" cm="1">
        <f t="array" ref="G191">IFERROR(_xlfn.XLOOKUP(1, (SKUs!$J$2:$J$10001=accsry_unmerged!F191)*IF(H191&lt;&gt;"",(SKUs!$L$2:$L$10001=accsry_unmerged!H191),1)*(SKUs!$K$2:$K$10001=I191),SKUs!$C$2:$C$10001),"")</f>
        <v>0</v>
      </c>
      <c r="H191" s="33" cm="1">
        <f t="array" ref="H191">IFERROR(_xlfn.XLOOKUP(1, (dd_accsryclr!$C$2:$C$1000=accsry_unmerged!F191)*(dd_accsryclr!$B$2:$B$1000=accsry_unmerged!J191),dd_accsryclr!$A$2:$A$1000),"")</f>
        <v>0</v>
      </c>
      <c r="I191" s="16">
        <f>_xlfn.XLOOKUP(C191,'Project Details'!$C$17:$C$66,'Project Details'!$E$17:$E$66,"",0)</f>
        <v>0</v>
      </c>
      <c r="J191" s="16">
        <f>_xlfn.XLOOKUP(C191,'Project Details'!$C$17:$C$66,'Project Details'!$H$17:$H$66,"",0)</f>
        <v>0</v>
      </c>
      <c r="K191" s="33" t="str">
        <f>IF(AND(_xlfn.XLOOKUP(C191,'Project Details'!$C$17:$C$66,'Project Details'!$L$17:$L$66,"",0)&gt;550, F191="Spring-L27cm"),"",SUBSTITUTE(_xlfn.XLOOKUP(G191,SKUs!$C$2:$C$10001,SKUs!$F$2:$F$10001,"",0), " Accessories",""))</f>
        <v/>
      </c>
      <c r="L191" s="33">
        <f>_xlfn.XLOOKUP(C191,'Project Details'!$C$17:$C$66,'Project Details'!$D$17:$D$66,"",0)</f>
        <v>0</v>
      </c>
      <c r="M191" s="43"/>
    </row>
    <row r="192" spans="1:13" ht="13.5" customHeight="1" x14ac:dyDescent="0.25">
      <c r="A192" s="43"/>
      <c r="B192" s="43"/>
      <c r="C192" s="35">
        <f t="shared" si="2"/>
        <v>4</v>
      </c>
      <c r="D192" s="35" t="str" cm="1">
        <f t="array" ref="D192">IFERROR(ROUNDUP(_xlfn.IFS(F192="Aluminum Track", _xlfn.XLOOKUP(C192, dd_accsrycalc!$A$2:$A$51, dd_accsrycalc!$B$2:$B$51, "",0), F192="10 x 2 1/2 S (Flat)", _xlfn.XLOOKUP(C192, dd_accsrycalc!$A$2:$A$51, dd_accsrycalc!$C$2:$C$51, "",0), F192="Tox6", _xlfn.XLOOKUP(C192, dd_accsrycalc!$A$2:$A$51, dd_accsrycalc!$D$2:$D$51, "",0), F192="Cover Cap", _xlfn.XLOOKUP(C192, dd_accsrycalc!$A$2:$A$51, dd_accsrycalc!$E$2:$E$51, "",0), F192="Drainage Cover", _xlfn.XLOOKUP(C192, dd_accsrycalc!$A$2:$A$51, dd_accsrycalc!$F$2:$F$51, "",0),AND( F192="Double Adhesive Tape", I192="Roll-up Screen"), _xlfn.XLOOKUP(C192, calc_rusacc!$C$15:$C$65, calc_rusacc!$AD$15:$AD$65, "",0),AND( F192="Sealant", I192="Roll-up Screen"), _xlfn.XLOOKUP(C192, calc_rusacc!$C$15:$C$65, calc_rusacc!$AF$15:$AF$65, "",0),  AND( F192="Main Chain", I192="Accordion Screen"), _xlfn.XLOOKUP(C192, calc_rusacc!$C$15:$C$65, calc_rusacc!$BF$15:$BF$65, "",0), AND( F192="Sealant", I192="Accordion Screen"), _xlfn.XLOOKUP(C192, calc_rusacc!$C$15:$C$65, calc_rusacc!$BJ$15:$BJ$65, "",0),  F192="Sealant", _xlfn.XLOOKUP(C192, dd_accsrycalc!$A$2:$A$51, dd_accsrycalc!$G$2:$G$51, "",0),  F192&lt;&gt;"",L192*_xlfn.XLOOKUP(1, (SKUs!$C$2:$C$10001=G192)*(SKUs!$K$2:$K$10001=I192),SKUs!$E$2:$E$10001)), 0),"")</f>
        <v/>
      </c>
      <c r="E192" s="35" t="str">
        <f>_xlfn.XLOOKUP(F192,dd_item!$B$2:$B$105,dd_item!$C$2:$C$105,"",0)</f>
        <v/>
      </c>
      <c r="F192" s="35"/>
      <c r="G192" s="35" cm="1">
        <f t="array" ref="G192">IFERROR(_xlfn.XLOOKUP(1, (SKUs!$J$2:$J$10001=accsry_unmerged!F192)*IF(H192&lt;&gt;"",(SKUs!$L$2:$L$10001=accsry_unmerged!H192),1)*(SKUs!$K$2:$K$10001=I192),SKUs!$C$2:$C$10001),"")</f>
        <v>0</v>
      </c>
      <c r="H192" s="36" cm="1">
        <f t="array" ref="H192">IFERROR(_xlfn.XLOOKUP(1, (dd_accsryclr!$C$2:$C$1000=accsry_unmerged!F192)*(dd_accsryclr!$B$2:$B$1000=accsry_unmerged!J192),dd_accsryclr!$A$2:$A$1000),"")</f>
        <v>0</v>
      </c>
      <c r="I192" s="35">
        <f>_xlfn.XLOOKUP(C192,'Project Details'!$C$17:$C$66,'Project Details'!$E$17:$E$66,"",0)</f>
        <v>0</v>
      </c>
      <c r="J192" s="35">
        <f>_xlfn.XLOOKUP(C192,'Project Details'!$C$17:$C$66,'Project Details'!$H$17:$H$66,"",0)</f>
        <v>0</v>
      </c>
      <c r="K192" s="36" t="str">
        <f>IF(AND(_xlfn.XLOOKUP(C192,'Project Details'!$C$17:$C$66,'Project Details'!$L$17:$L$66,"",0)&gt;550, F192="Spring-L27cm"),"",SUBSTITUTE(_xlfn.XLOOKUP(G192,SKUs!$C$2:$C$10001,SKUs!$F$2:$F$10001,"",0), " Accessories",""))</f>
        <v/>
      </c>
      <c r="L192" s="36">
        <f>_xlfn.XLOOKUP(C192,'Project Details'!$C$17:$C$66,'Project Details'!$D$17:$D$66,"",0)</f>
        <v>0</v>
      </c>
      <c r="M192" s="43"/>
    </row>
    <row r="193" spans="1:13" ht="13.5" customHeight="1" x14ac:dyDescent="0.25">
      <c r="A193" s="43"/>
      <c r="B193" s="43"/>
      <c r="C193" s="16">
        <f t="shared" si="2"/>
        <v>4</v>
      </c>
      <c r="D193" s="16" t="str" cm="1">
        <f t="array" ref="D193">IFERROR(ROUNDUP(_xlfn.IFS(F193="Aluminum Track", _xlfn.XLOOKUP(C193, dd_accsrycalc!$A$2:$A$51, dd_accsrycalc!$B$2:$B$51, "",0), F193="10 x 2 1/2 S (Flat)", _xlfn.XLOOKUP(C193, dd_accsrycalc!$A$2:$A$51, dd_accsrycalc!$C$2:$C$51, "",0), F193="Tox6", _xlfn.XLOOKUP(C193, dd_accsrycalc!$A$2:$A$51, dd_accsrycalc!$D$2:$D$51, "",0), F193="Cover Cap", _xlfn.XLOOKUP(C193, dd_accsrycalc!$A$2:$A$51, dd_accsrycalc!$E$2:$E$51, "",0), F193="Drainage Cover", _xlfn.XLOOKUP(C193, dd_accsrycalc!$A$2:$A$51, dd_accsrycalc!$F$2:$F$51, "",0),AND( F193="Double Adhesive Tape", I193="Roll-up Screen"), _xlfn.XLOOKUP(C193, calc_rusacc!$C$15:$C$65, calc_rusacc!$AD$15:$AD$65, "",0),AND( F193="Sealant", I193="Roll-up Screen"), _xlfn.XLOOKUP(C193, calc_rusacc!$C$15:$C$65, calc_rusacc!$AF$15:$AF$65, "",0),  AND( F193="Main Chain", I193="Accordion Screen"), _xlfn.XLOOKUP(C193, calc_rusacc!$C$15:$C$65, calc_rusacc!$BF$15:$BF$65, "",0), AND( F193="Sealant", I193="Accordion Screen"), _xlfn.XLOOKUP(C193, calc_rusacc!$C$15:$C$65, calc_rusacc!$BJ$15:$BJ$65, "",0),  F193="Sealant", _xlfn.XLOOKUP(C193, dd_accsrycalc!$A$2:$A$51, dd_accsrycalc!$G$2:$G$51, "",0),  F193&lt;&gt;"",L193*_xlfn.XLOOKUP(1, (SKUs!$C$2:$C$10001=G193)*(SKUs!$K$2:$K$10001=I193),SKUs!$E$2:$E$10001)), 0),"")</f>
        <v/>
      </c>
      <c r="E193" s="16" t="str">
        <f>_xlfn.XLOOKUP(F193,dd_item!$B$2:$B$105,dd_item!$C$2:$C$105,"",0)</f>
        <v/>
      </c>
      <c r="F193" s="16"/>
      <c r="G193" s="16" cm="1">
        <f t="array" ref="G193">IFERROR(_xlfn.XLOOKUP(1, (SKUs!$J$2:$J$10001=accsry_unmerged!F193)*IF(H193&lt;&gt;"",(SKUs!$L$2:$L$10001=accsry_unmerged!H193),1)*(SKUs!$K$2:$K$10001=I193),SKUs!$C$2:$C$10001),"")</f>
        <v>0</v>
      </c>
      <c r="H193" s="33" cm="1">
        <f t="array" ref="H193">IFERROR(_xlfn.XLOOKUP(1, (dd_accsryclr!$C$2:$C$1000=accsry_unmerged!F193)*(dd_accsryclr!$B$2:$B$1000=accsry_unmerged!J193),dd_accsryclr!$A$2:$A$1000),"")</f>
        <v>0</v>
      </c>
      <c r="I193" s="16">
        <f>_xlfn.XLOOKUP(C193,'Project Details'!$C$17:$C$66,'Project Details'!$E$17:$E$66,"",0)</f>
        <v>0</v>
      </c>
      <c r="J193" s="16">
        <f>_xlfn.XLOOKUP(C193,'Project Details'!$C$17:$C$66,'Project Details'!$H$17:$H$66,"",0)</f>
        <v>0</v>
      </c>
      <c r="K193" s="33" t="str">
        <f>IF(AND(_xlfn.XLOOKUP(C193,'Project Details'!$C$17:$C$66,'Project Details'!$L$17:$L$66,"",0)&gt;550, F193="Spring-L27cm"),"",SUBSTITUTE(_xlfn.XLOOKUP(G193,SKUs!$C$2:$C$10001,SKUs!$F$2:$F$10001,"",0), " Accessories",""))</f>
        <v/>
      </c>
      <c r="L193" s="33">
        <f>_xlfn.XLOOKUP(C193,'Project Details'!$C$17:$C$66,'Project Details'!$D$17:$D$66,"",0)</f>
        <v>0</v>
      </c>
      <c r="M193" s="43"/>
    </row>
    <row r="194" spans="1:13" ht="13.5" customHeight="1" x14ac:dyDescent="0.25">
      <c r="A194" s="43"/>
      <c r="B194" s="43"/>
      <c r="C194" s="35">
        <f t="shared" si="2"/>
        <v>4</v>
      </c>
      <c r="D194" s="35" t="str" cm="1">
        <f t="array" ref="D194">IFERROR(ROUNDUP(_xlfn.IFS(F194="Aluminum Track", _xlfn.XLOOKUP(C194, dd_accsrycalc!$A$2:$A$51, dd_accsrycalc!$B$2:$B$51, "",0), F194="10 x 2 1/2 S (Flat)", _xlfn.XLOOKUP(C194, dd_accsrycalc!$A$2:$A$51, dd_accsrycalc!$C$2:$C$51, "",0), F194="Tox6", _xlfn.XLOOKUP(C194, dd_accsrycalc!$A$2:$A$51, dd_accsrycalc!$D$2:$D$51, "",0), F194="Cover Cap", _xlfn.XLOOKUP(C194, dd_accsrycalc!$A$2:$A$51, dd_accsrycalc!$E$2:$E$51, "",0), F194="Drainage Cover", _xlfn.XLOOKUP(C194, dd_accsrycalc!$A$2:$A$51, dd_accsrycalc!$F$2:$F$51, "",0),AND( F194="Double Adhesive Tape", I194="Roll-up Screen"), _xlfn.XLOOKUP(C194, calc_rusacc!$C$15:$C$65, calc_rusacc!$AD$15:$AD$65, "",0),AND( F194="Sealant", I194="Roll-up Screen"), _xlfn.XLOOKUP(C194, calc_rusacc!$C$15:$C$65, calc_rusacc!$AF$15:$AF$65, "",0),  AND( F194="Main Chain", I194="Accordion Screen"), _xlfn.XLOOKUP(C194, calc_rusacc!$C$15:$C$65, calc_rusacc!$BF$15:$BF$65, "",0), AND( F194="Sealant", I194="Accordion Screen"), _xlfn.XLOOKUP(C194, calc_rusacc!$C$15:$C$65, calc_rusacc!$BJ$15:$BJ$65, "",0),  F194="Sealant", _xlfn.XLOOKUP(C194, dd_accsrycalc!$A$2:$A$51, dd_accsrycalc!$G$2:$G$51, "",0),  F194&lt;&gt;"",L194*_xlfn.XLOOKUP(1, (SKUs!$C$2:$C$10001=G194)*(SKUs!$K$2:$K$10001=I194),SKUs!$E$2:$E$10001)), 0),"")</f>
        <v/>
      </c>
      <c r="E194" s="35" t="str">
        <f>_xlfn.XLOOKUP(F194,dd_item!$B$2:$B$105,dd_item!$C$2:$C$105,"",0)</f>
        <v/>
      </c>
      <c r="F194" s="35"/>
      <c r="G194" s="35" cm="1">
        <f t="array" ref="G194">IFERROR(_xlfn.XLOOKUP(1, (SKUs!$J$2:$J$10001=accsry_unmerged!F194)*IF(H194&lt;&gt;"",(SKUs!$L$2:$L$10001=accsry_unmerged!H194),1)*(SKUs!$K$2:$K$10001=I194),SKUs!$C$2:$C$10001),"")</f>
        <v>0</v>
      </c>
      <c r="H194" s="36" cm="1">
        <f t="array" ref="H194">IFERROR(_xlfn.XLOOKUP(1, (dd_accsryclr!$C$2:$C$1000=accsry_unmerged!F194)*(dd_accsryclr!$B$2:$B$1000=accsry_unmerged!J194),dd_accsryclr!$A$2:$A$1000),"")</f>
        <v>0</v>
      </c>
      <c r="I194" s="35">
        <f>_xlfn.XLOOKUP(C194,'Project Details'!$C$17:$C$66,'Project Details'!$E$17:$E$66,"",0)</f>
        <v>0</v>
      </c>
      <c r="J194" s="35">
        <f>_xlfn.XLOOKUP(C194,'Project Details'!$C$17:$C$66,'Project Details'!$H$17:$H$66,"",0)</f>
        <v>0</v>
      </c>
      <c r="K194" s="36" t="str">
        <f>IF(AND(_xlfn.XLOOKUP(C194,'Project Details'!$C$17:$C$66,'Project Details'!$L$17:$L$66,"",0)&gt;550, F194="Spring-L27cm"),"",SUBSTITUTE(_xlfn.XLOOKUP(G194,SKUs!$C$2:$C$10001,SKUs!$F$2:$F$10001,"",0), " Accessories",""))</f>
        <v/>
      </c>
      <c r="L194" s="36">
        <f>_xlfn.XLOOKUP(C194,'Project Details'!$C$17:$C$66,'Project Details'!$D$17:$D$66,"",0)</f>
        <v>0</v>
      </c>
      <c r="M194" s="43"/>
    </row>
    <row r="195" spans="1:13" ht="13.5" customHeight="1" outlineLevel="1" x14ac:dyDescent="0.25">
      <c r="A195" s="43"/>
      <c r="B195" s="43"/>
      <c r="C195" s="16">
        <f t="shared" si="2"/>
        <v>4</v>
      </c>
      <c r="D195" s="16" t="str" cm="1">
        <f t="array" ref="D195">IFERROR(ROUNDUP(_xlfn.IFS(F195="Aluminum Track", _xlfn.XLOOKUP(C195, dd_accsrycalc!$A$2:$A$51, dd_accsrycalc!$B$2:$B$51, "",0), F195="10 x 2 1/2 S (Flat)", _xlfn.XLOOKUP(C195, dd_accsrycalc!$A$2:$A$51, dd_accsrycalc!$C$2:$C$51, "",0), F195="Tox6", _xlfn.XLOOKUP(C195, dd_accsrycalc!$A$2:$A$51, dd_accsrycalc!$D$2:$D$51, "",0), F195="Cover Cap", _xlfn.XLOOKUP(C195, dd_accsrycalc!$A$2:$A$51, dd_accsrycalc!$E$2:$E$51, "",0), F195="Drainage Cover", _xlfn.XLOOKUP(C195, dd_accsrycalc!$A$2:$A$51, dd_accsrycalc!$F$2:$F$51, "",0),AND( F195="Double Adhesive Tape", I195="Roll-up Screen"), _xlfn.XLOOKUP(C195, calc_rusacc!$C$15:$C$65, calc_rusacc!$AD$15:$AD$65, "",0),AND( F195="Sealant", I195="Roll-up Screen"), _xlfn.XLOOKUP(C195, calc_rusacc!$C$15:$C$65, calc_rusacc!$AF$15:$AF$65, "",0),  AND( F195="Main Chain", I195="Accordion Screen"), _xlfn.XLOOKUP(C195, calc_rusacc!$C$15:$C$65, calc_rusacc!$BF$15:$BF$65, "",0), AND( F195="Sealant", I195="Accordion Screen"), _xlfn.XLOOKUP(C195, calc_rusacc!$C$15:$C$65, calc_rusacc!$BJ$15:$BJ$65, "",0),  F195="Sealant", _xlfn.XLOOKUP(C195, dd_accsrycalc!$A$2:$A$51, dd_accsrycalc!$G$2:$G$51, "",0),  F195&lt;&gt;"",L195*_xlfn.XLOOKUP(1, (SKUs!$C$2:$C$10001=G195)*(SKUs!$K$2:$K$10001=I195),SKUs!$E$2:$E$10001)), 0),"")</f>
        <v/>
      </c>
      <c r="E195" s="16" t="str">
        <f>_xlfn.XLOOKUP(F195,dd_item!$B$2:$B$105,dd_item!$C$2:$C$105,"",0)</f>
        <v/>
      </c>
      <c r="F195" s="16"/>
      <c r="G195" s="16" cm="1">
        <f t="array" ref="G195">IFERROR(_xlfn.XLOOKUP(1, (SKUs!$J$2:$J$10001=accsry_unmerged!F195)*IF(H195&lt;&gt;"",(SKUs!$L$2:$L$10001=accsry_unmerged!H195),1)*(SKUs!$K$2:$K$10001=I195),SKUs!$C$2:$C$10001),"")</f>
        <v>0</v>
      </c>
      <c r="H195" s="33" cm="1">
        <f t="array" ref="H195">IFERROR(_xlfn.XLOOKUP(1, (dd_accsryclr!$C$2:$C$1000=accsry_unmerged!F195)*(dd_accsryclr!$B$2:$B$1000=accsry_unmerged!J195),dd_accsryclr!$A$2:$A$1000),"")</f>
        <v>0</v>
      </c>
      <c r="I195" s="16">
        <f>_xlfn.XLOOKUP(C195,'Project Details'!$C$17:$C$66,'Project Details'!$E$17:$E$66,"",0)</f>
        <v>0</v>
      </c>
      <c r="J195" s="16">
        <f>_xlfn.XLOOKUP(C195,'Project Details'!$C$17:$C$66,'Project Details'!$H$17:$H$66,"",0)</f>
        <v>0</v>
      </c>
      <c r="K195" s="33" t="str">
        <f>IF(AND(_xlfn.XLOOKUP(C195,'Project Details'!$C$17:$C$66,'Project Details'!$L$17:$L$66,"",0)&gt;550, F195="Spring-L27cm"),"",SUBSTITUTE(_xlfn.XLOOKUP(G195,SKUs!$C$2:$C$10001,SKUs!$F$2:$F$10001,"",0), " Accessories",""))</f>
        <v/>
      </c>
      <c r="L195" s="33">
        <f>_xlfn.XLOOKUP(C195,'Project Details'!$C$17:$C$66,'Project Details'!$D$17:$D$66,"",0)</f>
        <v>0</v>
      </c>
      <c r="M195" s="43"/>
    </row>
    <row r="196" spans="1:13" ht="13.5" customHeight="1" outlineLevel="1" x14ac:dyDescent="0.25">
      <c r="A196" s="43"/>
      <c r="B196" s="43"/>
      <c r="C196" s="35">
        <f t="shared" si="2"/>
        <v>4</v>
      </c>
      <c r="D196" s="35" t="str" cm="1">
        <f t="array" ref="D196">IFERROR(ROUNDUP(_xlfn.IFS(F196="Aluminum Track", _xlfn.XLOOKUP(C196, dd_accsrycalc!$A$2:$A$51, dd_accsrycalc!$B$2:$B$51, "",0), F196="10 x 2 1/2 S (Flat)", _xlfn.XLOOKUP(C196, dd_accsrycalc!$A$2:$A$51, dd_accsrycalc!$C$2:$C$51, "",0), F196="Tox6", _xlfn.XLOOKUP(C196, dd_accsrycalc!$A$2:$A$51, dd_accsrycalc!$D$2:$D$51, "",0), F196="Cover Cap", _xlfn.XLOOKUP(C196, dd_accsrycalc!$A$2:$A$51, dd_accsrycalc!$E$2:$E$51, "",0), F196="Drainage Cover", _xlfn.XLOOKUP(C196, dd_accsrycalc!$A$2:$A$51, dd_accsrycalc!$F$2:$F$51, "",0),AND( F196="Double Adhesive Tape", I196="Roll-up Screen"), _xlfn.XLOOKUP(C196, calc_rusacc!$C$15:$C$65, calc_rusacc!$AD$15:$AD$65, "",0),AND( F196="Sealant", I196="Roll-up Screen"), _xlfn.XLOOKUP(C196, calc_rusacc!$C$15:$C$65, calc_rusacc!$AF$15:$AF$65, "",0),  AND( F196="Main Chain", I196="Accordion Screen"), _xlfn.XLOOKUP(C196, calc_rusacc!$C$15:$C$65, calc_rusacc!$BF$15:$BF$65, "",0), AND( F196="Sealant", I196="Accordion Screen"), _xlfn.XLOOKUP(C196, calc_rusacc!$C$15:$C$65, calc_rusacc!$BJ$15:$BJ$65, "",0),  F196="Sealant", _xlfn.XLOOKUP(C196, dd_accsrycalc!$A$2:$A$51, dd_accsrycalc!$G$2:$G$51, "",0),  F196&lt;&gt;"",L196*_xlfn.XLOOKUP(1, (SKUs!$C$2:$C$10001=G196)*(SKUs!$K$2:$K$10001=I196),SKUs!$E$2:$E$10001)), 0),"")</f>
        <v/>
      </c>
      <c r="E196" s="35" t="str">
        <f>_xlfn.XLOOKUP(F196,dd_item!$B$2:$B$105,dd_item!$C$2:$C$105,"",0)</f>
        <v/>
      </c>
      <c r="F196" s="35"/>
      <c r="G196" s="35" cm="1">
        <f t="array" ref="G196">IFERROR(_xlfn.XLOOKUP(1, (SKUs!$J$2:$J$10001=accsry_unmerged!F196)*IF(H196&lt;&gt;"",(SKUs!$L$2:$L$10001=accsry_unmerged!H196),1)*(SKUs!$K$2:$K$10001=I196),SKUs!$C$2:$C$10001),"")</f>
        <v>0</v>
      </c>
      <c r="H196" s="36" cm="1">
        <f t="array" ref="H196">IFERROR(_xlfn.XLOOKUP(1, (dd_accsryclr!$C$2:$C$1000=accsry_unmerged!F196)*(dd_accsryclr!$B$2:$B$1000=accsry_unmerged!J196),dd_accsryclr!$A$2:$A$1000),"")</f>
        <v>0</v>
      </c>
      <c r="I196" s="35">
        <f>_xlfn.XLOOKUP(C196,'Project Details'!$C$17:$C$66,'Project Details'!$E$17:$E$66,"",0)</f>
        <v>0</v>
      </c>
      <c r="J196" s="35">
        <f>_xlfn.XLOOKUP(C196,'Project Details'!$C$17:$C$66,'Project Details'!$H$17:$H$66,"",0)</f>
        <v>0</v>
      </c>
      <c r="K196" s="36" t="str">
        <f>IF(AND(_xlfn.XLOOKUP(C196,'Project Details'!$C$17:$C$66,'Project Details'!$L$17:$L$66,"",0)&gt;550, F196="Spring-L27cm"),"",SUBSTITUTE(_xlfn.XLOOKUP(G196,SKUs!$C$2:$C$10001,SKUs!$F$2:$F$10001,"",0), " Accessories",""))</f>
        <v/>
      </c>
      <c r="L196" s="36">
        <f>_xlfn.XLOOKUP(C196,'Project Details'!$C$17:$C$66,'Project Details'!$D$17:$D$66,"",0)</f>
        <v>0</v>
      </c>
      <c r="M196" s="43"/>
    </row>
    <row r="197" spans="1:13" ht="13.5" customHeight="1" outlineLevel="1" x14ac:dyDescent="0.25">
      <c r="A197" s="43"/>
      <c r="B197" s="43"/>
      <c r="C197" s="16">
        <f t="shared" si="2"/>
        <v>4</v>
      </c>
      <c r="D197" s="16" t="str" cm="1">
        <f t="array" ref="D197">IFERROR(ROUNDUP(_xlfn.IFS(F197="Aluminum Track", _xlfn.XLOOKUP(C197, dd_accsrycalc!$A$2:$A$51, dd_accsrycalc!$B$2:$B$51, "",0), F197="10 x 2 1/2 S (Flat)", _xlfn.XLOOKUP(C197, dd_accsrycalc!$A$2:$A$51, dd_accsrycalc!$C$2:$C$51, "",0), F197="Tox6", _xlfn.XLOOKUP(C197, dd_accsrycalc!$A$2:$A$51, dd_accsrycalc!$D$2:$D$51, "",0), F197="Cover Cap", _xlfn.XLOOKUP(C197, dd_accsrycalc!$A$2:$A$51, dd_accsrycalc!$E$2:$E$51, "",0), F197="Drainage Cover", _xlfn.XLOOKUP(C197, dd_accsrycalc!$A$2:$A$51, dd_accsrycalc!$F$2:$F$51, "",0),AND( F197="Double Adhesive Tape", I197="Roll-up Screen"), _xlfn.XLOOKUP(C197, calc_rusacc!$C$15:$C$65, calc_rusacc!$AD$15:$AD$65, "",0),AND( F197="Sealant", I197="Roll-up Screen"), _xlfn.XLOOKUP(C197, calc_rusacc!$C$15:$C$65, calc_rusacc!$AF$15:$AF$65, "",0),  AND( F197="Main Chain", I197="Accordion Screen"), _xlfn.XLOOKUP(C197, calc_rusacc!$C$15:$C$65, calc_rusacc!$BF$15:$BF$65, "",0), AND( F197="Sealant", I197="Accordion Screen"), _xlfn.XLOOKUP(C197, calc_rusacc!$C$15:$C$65, calc_rusacc!$BJ$15:$BJ$65, "",0),  F197="Sealant", _xlfn.XLOOKUP(C197, dd_accsrycalc!$A$2:$A$51, dd_accsrycalc!$G$2:$G$51, "",0),  F197&lt;&gt;"",L197*_xlfn.XLOOKUP(1, (SKUs!$C$2:$C$10001=G197)*(SKUs!$K$2:$K$10001=I197),SKUs!$E$2:$E$10001)), 0),"")</f>
        <v/>
      </c>
      <c r="E197" s="16" t="str">
        <f>_xlfn.XLOOKUP(F197,dd_item!$B$2:$B$105,dd_item!$C$2:$C$105,"",0)</f>
        <v/>
      </c>
      <c r="F197" s="16"/>
      <c r="G197" s="16" cm="1">
        <f t="array" ref="G197">IFERROR(_xlfn.XLOOKUP(1, (SKUs!$J$2:$J$10001=accsry_unmerged!F197)*IF(H197&lt;&gt;"",(SKUs!$L$2:$L$10001=accsry_unmerged!H197),1)*(SKUs!$K$2:$K$10001=I197),SKUs!$C$2:$C$10001),"")</f>
        <v>0</v>
      </c>
      <c r="H197" s="33" cm="1">
        <f t="array" ref="H197">IFERROR(_xlfn.XLOOKUP(1, (dd_accsryclr!$C$2:$C$1000=accsry_unmerged!F197)*(dd_accsryclr!$B$2:$B$1000=accsry_unmerged!J197),dd_accsryclr!$A$2:$A$1000),"")</f>
        <v>0</v>
      </c>
      <c r="I197" s="16">
        <f>_xlfn.XLOOKUP(C197,'Project Details'!$C$17:$C$66,'Project Details'!$E$17:$E$66,"",0)</f>
        <v>0</v>
      </c>
      <c r="J197" s="16">
        <f>_xlfn.XLOOKUP(C197,'Project Details'!$C$17:$C$66,'Project Details'!$H$17:$H$66,"",0)</f>
        <v>0</v>
      </c>
      <c r="K197" s="33" t="str">
        <f>IF(AND(_xlfn.XLOOKUP(C197,'Project Details'!$C$17:$C$66,'Project Details'!$L$17:$L$66,"",0)&gt;550, F197="Spring-L27cm"),"",SUBSTITUTE(_xlfn.XLOOKUP(G197,SKUs!$C$2:$C$10001,SKUs!$F$2:$F$10001,"",0), " Accessories",""))</f>
        <v/>
      </c>
      <c r="L197" s="33">
        <f>_xlfn.XLOOKUP(C197,'Project Details'!$C$17:$C$66,'Project Details'!$D$17:$D$66,"",0)</f>
        <v>0</v>
      </c>
      <c r="M197" s="43"/>
    </row>
    <row r="198" spans="1:13" ht="13.5" customHeight="1" outlineLevel="1" x14ac:dyDescent="0.25">
      <c r="A198" s="43"/>
      <c r="B198" s="43"/>
      <c r="C198" s="35">
        <f t="shared" si="2"/>
        <v>4</v>
      </c>
      <c r="D198" s="35" t="str" cm="1">
        <f t="array" ref="D198">IFERROR(ROUNDUP(_xlfn.IFS(F198="Aluminum Track", _xlfn.XLOOKUP(C198, dd_accsrycalc!$A$2:$A$51, dd_accsrycalc!$B$2:$B$51, "",0), F198="10 x 2 1/2 S (Flat)", _xlfn.XLOOKUP(C198, dd_accsrycalc!$A$2:$A$51, dd_accsrycalc!$C$2:$C$51, "",0), F198="Tox6", _xlfn.XLOOKUP(C198, dd_accsrycalc!$A$2:$A$51, dd_accsrycalc!$D$2:$D$51, "",0), F198="Cover Cap", _xlfn.XLOOKUP(C198, dd_accsrycalc!$A$2:$A$51, dd_accsrycalc!$E$2:$E$51, "",0), F198="Drainage Cover", _xlfn.XLOOKUP(C198, dd_accsrycalc!$A$2:$A$51, dd_accsrycalc!$F$2:$F$51, "",0),AND( F198="Double Adhesive Tape", I198="Roll-up Screen"), _xlfn.XLOOKUP(C198, calc_rusacc!$C$15:$C$65, calc_rusacc!$AD$15:$AD$65, "",0),AND( F198="Sealant", I198="Roll-up Screen"), _xlfn.XLOOKUP(C198, calc_rusacc!$C$15:$C$65, calc_rusacc!$AF$15:$AF$65, "",0),  AND( F198="Main Chain", I198="Accordion Screen"), _xlfn.XLOOKUP(C198, calc_rusacc!$C$15:$C$65, calc_rusacc!$BF$15:$BF$65, "",0), AND( F198="Sealant", I198="Accordion Screen"), _xlfn.XLOOKUP(C198, calc_rusacc!$C$15:$C$65, calc_rusacc!$BJ$15:$BJ$65, "",0),  F198="Sealant", _xlfn.XLOOKUP(C198, dd_accsrycalc!$A$2:$A$51, dd_accsrycalc!$G$2:$G$51, "",0),  F198&lt;&gt;"",L198*_xlfn.XLOOKUP(1, (SKUs!$C$2:$C$10001=G198)*(SKUs!$K$2:$K$10001=I198),SKUs!$E$2:$E$10001)), 0),"")</f>
        <v/>
      </c>
      <c r="E198" s="35" t="str">
        <f>_xlfn.XLOOKUP(F198,dd_item!$B$2:$B$105,dd_item!$C$2:$C$105,"",0)</f>
        <v/>
      </c>
      <c r="F198" s="35"/>
      <c r="G198" s="35" cm="1">
        <f t="array" ref="G198">IFERROR(_xlfn.XLOOKUP(1, (SKUs!$J$2:$J$10001=accsry_unmerged!F198)*IF(H198&lt;&gt;"",(SKUs!$L$2:$L$10001=accsry_unmerged!H198),1)*(SKUs!$K$2:$K$10001=I198),SKUs!$C$2:$C$10001),"")</f>
        <v>0</v>
      </c>
      <c r="H198" s="36" cm="1">
        <f t="array" ref="H198">IFERROR(_xlfn.XLOOKUP(1, (dd_accsryclr!$C$2:$C$1000=accsry_unmerged!F198)*(dd_accsryclr!$B$2:$B$1000=accsry_unmerged!J198),dd_accsryclr!$A$2:$A$1000),"")</f>
        <v>0</v>
      </c>
      <c r="I198" s="35">
        <f>_xlfn.XLOOKUP(C198,'Project Details'!$C$17:$C$66,'Project Details'!$E$17:$E$66,"",0)</f>
        <v>0</v>
      </c>
      <c r="J198" s="35">
        <f>_xlfn.XLOOKUP(C198,'Project Details'!$C$17:$C$66,'Project Details'!$H$17:$H$66,"",0)</f>
        <v>0</v>
      </c>
      <c r="K198" s="36" t="str">
        <f>IF(AND(_xlfn.XLOOKUP(C198,'Project Details'!$C$17:$C$66,'Project Details'!$L$17:$L$66,"",0)&gt;550, F198="Spring-L27cm"),"",SUBSTITUTE(_xlfn.XLOOKUP(G198,SKUs!$C$2:$C$10001,SKUs!$F$2:$F$10001,"",0), " Accessories",""))</f>
        <v/>
      </c>
      <c r="L198" s="36">
        <f>_xlfn.XLOOKUP(C198,'Project Details'!$C$17:$C$66,'Project Details'!$D$17:$D$66,"",0)</f>
        <v>0</v>
      </c>
      <c r="M198" s="43"/>
    </row>
    <row r="199" spans="1:13" ht="13.5" customHeight="1" outlineLevel="1" x14ac:dyDescent="0.25">
      <c r="A199" s="43"/>
      <c r="B199" s="43"/>
      <c r="C199" s="16">
        <f t="shared" si="2"/>
        <v>4</v>
      </c>
      <c r="D199" s="16" t="str" cm="1">
        <f t="array" ref="D199">IFERROR(ROUNDUP(_xlfn.IFS(F199="Aluminum Track", _xlfn.XLOOKUP(C199, dd_accsrycalc!$A$2:$A$51, dd_accsrycalc!$B$2:$B$51, "",0), F199="10 x 2 1/2 S (Flat)", _xlfn.XLOOKUP(C199, dd_accsrycalc!$A$2:$A$51, dd_accsrycalc!$C$2:$C$51, "",0), F199="Tox6", _xlfn.XLOOKUP(C199, dd_accsrycalc!$A$2:$A$51, dd_accsrycalc!$D$2:$D$51, "",0), F199="Cover Cap", _xlfn.XLOOKUP(C199, dd_accsrycalc!$A$2:$A$51, dd_accsrycalc!$E$2:$E$51, "",0), F199="Drainage Cover", _xlfn.XLOOKUP(C199, dd_accsrycalc!$A$2:$A$51, dd_accsrycalc!$F$2:$F$51, "",0),AND( F199="Double Adhesive Tape", I199="Roll-up Screen"), _xlfn.XLOOKUP(C199, calc_rusacc!$C$15:$C$65, calc_rusacc!$AD$15:$AD$65, "",0),AND( F199="Sealant", I199="Roll-up Screen"), _xlfn.XLOOKUP(C199, calc_rusacc!$C$15:$C$65, calc_rusacc!$AF$15:$AF$65, "",0),  AND( F199="Main Chain", I199="Accordion Screen"), _xlfn.XLOOKUP(C199, calc_rusacc!$C$15:$C$65, calc_rusacc!$BF$15:$BF$65, "",0), AND( F199="Sealant", I199="Accordion Screen"), _xlfn.XLOOKUP(C199, calc_rusacc!$C$15:$C$65, calc_rusacc!$BJ$15:$BJ$65, "",0),  F199="Sealant", _xlfn.XLOOKUP(C199, dd_accsrycalc!$A$2:$A$51, dd_accsrycalc!$G$2:$G$51, "",0),  F199&lt;&gt;"",L199*_xlfn.XLOOKUP(1, (SKUs!$C$2:$C$10001=G199)*(SKUs!$K$2:$K$10001=I199),SKUs!$E$2:$E$10001)), 0),"")</f>
        <v/>
      </c>
      <c r="E199" s="16" t="str">
        <f>_xlfn.XLOOKUP(F199,dd_item!$B$2:$B$105,dd_item!$C$2:$C$105,"",0)</f>
        <v/>
      </c>
      <c r="F199" s="16"/>
      <c r="G199" s="16" cm="1">
        <f t="array" ref="G199">IFERROR(_xlfn.XLOOKUP(1, (SKUs!$J$2:$J$10001=accsry_unmerged!F199)*IF(H199&lt;&gt;"",(SKUs!$L$2:$L$10001=accsry_unmerged!H199),1)*(SKUs!$K$2:$K$10001=I199),SKUs!$C$2:$C$10001),"")</f>
        <v>0</v>
      </c>
      <c r="H199" s="33" cm="1">
        <f t="array" ref="H199">IFERROR(_xlfn.XLOOKUP(1, (dd_accsryclr!$C$2:$C$1000=accsry_unmerged!F199)*(dd_accsryclr!$B$2:$B$1000=accsry_unmerged!J199),dd_accsryclr!$A$2:$A$1000),"")</f>
        <v>0</v>
      </c>
      <c r="I199" s="16">
        <f>_xlfn.XLOOKUP(C199,'Project Details'!$C$17:$C$66,'Project Details'!$E$17:$E$66,"",0)</f>
        <v>0</v>
      </c>
      <c r="J199" s="16">
        <f>_xlfn.XLOOKUP(C199,'Project Details'!$C$17:$C$66,'Project Details'!$H$17:$H$66,"",0)</f>
        <v>0</v>
      </c>
      <c r="K199" s="33" t="str">
        <f>IF(AND(_xlfn.XLOOKUP(C199,'Project Details'!$C$17:$C$66,'Project Details'!$L$17:$L$66,"",0)&gt;550, F199="Spring-L27cm"),"",SUBSTITUTE(_xlfn.XLOOKUP(G199,SKUs!$C$2:$C$10001,SKUs!$F$2:$F$10001,"",0), " Accessories",""))</f>
        <v/>
      </c>
      <c r="L199" s="33">
        <f>_xlfn.XLOOKUP(C199,'Project Details'!$C$17:$C$66,'Project Details'!$D$17:$D$66,"",0)</f>
        <v>0</v>
      </c>
      <c r="M199" s="43"/>
    </row>
    <row r="200" spans="1:13" ht="13.5" customHeight="1" outlineLevel="1" x14ac:dyDescent="0.25">
      <c r="A200" s="43"/>
      <c r="B200" s="43"/>
      <c r="C200" s="35">
        <f t="shared" si="2"/>
        <v>4</v>
      </c>
      <c r="D200" s="35" t="str" cm="1">
        <f t="array" ref="D200">IFERROR(ROUNDUP(_xlfn.IFS(F200="Aluminum Track", _xlfn.XLOOKUP(C200, dd_accsrycalc!$A$2:$A$51, dd_accsrycalc!$B$2:$B$51, "",0), F200="10 x 2 1/2 S (Flat)", _xlfn.XLOOKUP(C200, dd_accsrycalc!$A$2:$A$51, dd_accsrycalc!$C$2:$C$51, "",0), F200="Tox6", _xlfn.XLOOKUP(C200, dd_accsrycalc!$A$2:$A$51, dd_accsrycalc!$D$2:$D$51, "",0), F200="Cover Cap", _xlfn.XLOOKUP(C200, dd_accsrycalc!$A$2:$A$51, dd_accsrycalc!$E$2:$E$51, "",0), F200="Drainage Cover", _xlfn.XLOOKUP(C200, dd_accsrycalc!$A$2:$A$51, dd_accsrycalc!$F$2:$F$51, "",0),AND( F200="Double Adhesive Tape", I200="Roll-up Screen"), _xlfn.XLOOKUP(C200, calc_rusacc!$C$15:$C$65, calc_rusacc!$AD$15:$AD$65, "",0),AND( F200="Sealant", I200="Roll-up Screen"), _xlfn.XLOOKUP(C200, calc_rusacc!$C$15:$C$65, calc_rusacc!$AF$15:$AF$65, "",0),  AND( F200="Main Chain", I200="Accordion Screen"), _xlfn.XLOOKUP(C200, calc_rusacc!$C$15:$C$65, calc_rusacc!$BF$15:$BF$65, "",0), AND( F200="Sealant", I200="Accordion Screen"), _xlfn.XLOOKUP(C200, calc_rusacc!$C$15:$C$65, calc_rusacc!$BJ$15:$BJ$65, "",0),  F200="Sealant", _xlfn.XLOOKUP(C200, dd_accsrycalc!$A$2:$A$51, dd_accsrycalc!$G$2:$G$51, "",0),  F200&lt;&gt;"",L200*_xlfn.XLOOKUP(1, (SKUs!$C$2:$C$10001=G200)*(SKUs!$K$2:$K$10001=I200),SKUs!$E$2:$E$10001)), 0),"")</f>
        <v/>
      </c>
      <c r="E200" s="35" t="str">
        <f>_xlfn.XLOOKUP(F200,dd_item!$B$2:$B$105,dd_item!$C$2:$C$105,"",0)</f>
        <v/>
      </c>
      <c r="F200" s="35"/>
      <c r="G200" s="35" cm="1">
        <f t="array" ref="G200">IFERROR(_xlfn.XLOOKUP(1, (SKUs!$J$2:$J$10001=accsry_unmerged!F200)*IF(H200&lt;&gt;"",(SKUs!$L$2:$L$10001=accsry_unmerged!H200),1)*(SKUs!$K$2:$K$10001=I200),SKUs!$C$2:$C$10001),"")</f>
        <v>0</v>
      </c>
      <c r="H200" s="36" cm="1">
        <f t="array" ref="H200">IFERROR(_xlfn.XLOOKUP(1, (dd_accsryclr!$C$2:$C$1000=accsry_unmerged!F200)*(dd_accsryclr!$B$2:$B$1000=accsry_unmerged!J200),dd_accsryclr!$A$2:$A$1000),"")</f>
        <v>0</v>
      </c>
      <c r="I200" s="35">
        <f>_xlfn.XLOOKUP(C200,'Project Details'!$C$17:$C$66,'Project Details'!$E$17:$E$66,"",0)</f>
        <v>0</v>
      </c>
      <c r="J200" s="35">
        <f>_xlfn.XLOOKUP(C200,'Project Details'!$C$17:$C$66,'Project Details'!$H$17:$H$66,"",0)</f>
        <v>0</v>
      </c>
      <c r="K200" s="36" t="str">
        <f>IF(AND(_xlfn.XLOOKUP(C200,'Project Details'!$C$17:$C$66,'Project Details'!$L$17:$L$66,"",0)&gt;550, F200="Spring-L27cm"),"",SUBSTITUTE(_xlfn.XLOOKUP(G200,SKUs!$C$2:$C$10001,SKUs!$F$2:$F$10001,"",0), " Accessories",""))</f>
        <v/>
      </c>
      <c r="L200" s="36">
        <f>_xlfn.XLOOKUP(C200,'Project Details'!$C$17:$C$66,'Project Details'!$D$17:$D$66,"",0)</f>
        <v>0</v>
      </c>
      <c r="M200" s="43"/>
    </row>
    <row r="201" spans="1:13" ht="13.5" customHeight="1" outlineLevel="1" x14ac:dyDescent="0.25">
      <c r="A201" s="43"/>
      <c r="B201" s="43"/>
      <c r="C201" s="16">
        <f t="shared" si="2"/>
        <v>4</v>
      </c>
      <c r="D201" s="16" t="str" cm="1">
        <f t="array" ref="D201">IFERROR(ROUNDUP(_xlfn.IFS(F201="Aluminum Track", _xlfn.XLOOKUP(C201, dd_accsrycalc!$A$2:$A$51, dd_accsrycalc!$B$2:$B$51, "",0), F201="10 x 2 1/2 S (Flat)", _xlfn.XLOOKUP(C201, dd_accsrycalc!$A$2:$A$51, dd_accsrycalc!$C$2:$C$51, "",0), F201="Tox6", _xlfn.XLOOKUP(C201, dd_accsrycalc!$A$2:$A$51, dd_accsrycalc!$D$2:$D$51, "",0), F201="Cover Cap", _xlfn.XLOOKUP(C201, dd_accsrycalc!$A$2:$A$51, dd_accsrycalc!$E$2:$E$51, "",0), F201="Drainage Cover", _xlfn.XLOOKUP(C201, dd_accsrycalc!$A$2:$A$51, dd_accsrycalc!$F$2:$F$51, "",0),AND( F201="Double Adhesive Tape", I201="Roll-up Screen"), _xlfn.XLOOKUP(C201, calc_rusacc!$C$15:$C$65, calc_rusacc!$AD$15:$AD$65, "",0),AND( F201="Sealant", I201="Roll-up Screen"), _xlfn.XLOOKUP(C201, calc_rusacc!$C$15:$C$65, calc_rusacc!$AF$15:$AF$65, "",0),  AND( F201="Main Chain", I201="Accordion Screen"), _xlfn.XLOOKUP(C201, calc_rusacc!$C$15:$C$65, calc_rusacc!$BF$15:$BF$65, "",0), AND( F201="Sealant", I201="Accordion Screen"), _xlfn.XLOOKUP(C201, calc_rusacc!$C$15:$C$65, calc_rusacc!$BJ$15:$BJ$65, "",0),  F201="Sealant", _xlfn.XLOOKUP(C201, dd_accsrycalc!$A$2:$A$51, dd_accsrycalc!$G$2:$G$51, "",0),  F201&lt;&gt;"",L201*_xlfn.XLOOKUP(1, (SKUs!$C$2:$C$10001=G201)*(SKUs!$K$2:$K$10001=I201),SKUs!$E$2:$E$10001)), 0),"")</f>
        <v/>
      </c>
      <c r="E201" s="16" t="str">
        <f>_xlfn.XLOOKUP(F201,dd_item!$B$2:$B$105,dd_item!$C$2:$C$105,"",0)</f>
        <v/>
      </c>
      <c r="F201" s="16"/>
      <c r="G201" s="16" cm="1">
        <f t="array" ref="G201">IFERROR(_xlfn.XLOOKUP(1, (SKUs!$J$2:$J$10001=accsry_unmerged!F201)*IF(H201&lt;&gt;"",(SKUs!$L$2:$L$10001=accsry_unmerged!H201),1)*(SKUs!$K$2:$K$10001=I201),SKUs!$C$2:$C$10001),"")</f>
        <v>0</v>
      </c>
      <c r="H201" s="33" cm="1">
        <f t="array" ref="H201">IFERROR(_xlfn.XLOOKUP(1, (dd_accsryclr!$C$2:$C$1000=accsry_unmerged!F201)*(dd_accsryclr!$B$2:$B$1000=accsry_unmerged!J201),dd_accsryclr!$A$2:$A$1000),"")</f>
        <v>0</v>
      </c>
      <c r="I201" s="16">
        <f>_xlfn.XLOOKUP(C201,'Project Details'!$C$17:$C$66,'Project Details'!$E$17:$E$66,"",0)</f>
        <v>0</v>
      </c>
      <c r="J201" s="16">
        <f>_xlfn.XLOOKUP(C201,'Project Details'!$C$17:$C$66,'Project Details'!$H$17:$H$66,"",0)</f>
        <v>0</v>
      </c>
      <c r="K201" s="33" t="str">
        <f>IF(AND(_xlfn.XLOOKUP(C201,'Project Details'!$C$17:$C$66,'Project Details'!$L$17:$L$66,"",0)&gt;550, F201="Spring-L27cm"),"",SUBSTITUTE(_xlfn.XLOOKUP(G201,SKUs!$C$2:$C$10001,SKUs!$F$2:$F$10001,"",0), " Accessories",""))</f>
        <v/>
      </c>
      <c r="L201" s="33">
        <f>_xlfn.XLOOKUP(C201,'Project Details'!$C$17:$C$66,'Project Details'!$D$17:$D$66,"",0)</f>
        <v>0</v>
      </c>
      <c r="M201" s="43"/>
    </row>
    <row r="202" spans="1:13" ht="13.5" customHeight="1" outlineLevel="1" x14ac:dyDescent="0.25">
      <c r="A202" s="43"/>
      <c r="B202" s="43"/>
      <c r="C202" s="35">
        <f t="shared" si="2"/>
        <v>4</v>
      </c>
      <c r="D202" s="35" t="str" cm="1">
        <f t="array" ref="D202">IFERROR(ROUNDUP(_xlfn.IFS(F202="Aluminum Track", _xlfn.XLOOKUP(C202, dd_accsrycalc!$A$2:$A$51, dd_accsrycalc!$B$2:$B$51, "",0), F202="10 x 2 1/2 S (Flat)", _xlfn.XLOOKUP(C202, dd_accsrycalc!$A$2:$A$51, dd_accsrycalc!$C$2:$C$51, "",0), F202="Tox6", _xlfn.XLOOKUP(C202, dd_accsrycalc!$A$2:$A$51, dd_accsrycalc!$D$2:$D$51, "",0), F202="Cover Cap", _xlfn.XLOOKUP(C202, dd_accsrycalc!$A$2:$A$51, dd_accsrycalc!$E$2:$E$51, "",0), F202="Drainage Cover", _xlfn.XLOOKUP(C202, dd_accsrycalc!$A$2:$A$51, dd_accsrycalc!$F$2:$F$51, "",0),AND( F202="Double Adhesive Tape", I202="Roll-up Screen"), _xlfn.XLOOKUP(C202, calc_rusacc!$C$15:$C$65, calc_rusacc!$AD$15:$AD$65, "",0),AND( F202="Sealant", I202="Roll-up Screen"), _xlfn.XLOOKUP(C202, calc_rusacc!$C$15:$C$65, calc_rusacc!$AF$15:$AF$65, "",0),  AND( F202="Main Chain", I202="Accordion Screen"), _xlfn.XLOOKUP(C202, calc_rusacc!$C$15:$C$65, calc_rusacc!$BF$15:$BF$65, "",0), AND( F202="Sealant", I202="Accordion Screen"), _xlfn.XLOOKUP(C202, calc_rusacc!$C$15:$C$65, calc_rusacc!$BJ$15:$BJ$65, "",0),  F202="Sealant", _xlfn.XLOOKUP(C202, dd_accsrycalc!$A$2:$A$51, dd_accsrycalc!$G$2:$G$51, "",0),  F202&lt;&gt;"",L202*_xlfn.XLOOKUP(1, (SKUs!$C$2:$C$10001=G202)*(SKUs!$K$2:$K$10001=I202),SKUs!$E$2:$E$10001)), 0),"")</f>
        <v/>
      </c>
      <c r="E202" s="35" t="str">
        <f>_xlfn.XLOOKUP(F202,dd_item!$B$2:$B$105,dd_item!$C$2:$C$105,"",0)</f>
        <v/>
      </c>
      <c r="F202" s="35"/>
      <c r="G202" s="35" cm="1">
        <f t="array" ref="G202">IFERROR(_xlfn.XLOOKUP(1, (SKUs!$J$2:$J$10001=accsry_unmerged!F202)*IF(H202&lt;&gt;"",(SKUs!$L$2:$L$10001=accsry_unmerged!H202),1)*(SKUs!$K$2:$K$10001=I202),SKUs!$C$2:$C$10001),"")</f>
        <v>0</v>
      </c>
      <c r="H202" s="36" cm="1">
        <f t="array" ref="H202">IFERROR(_xlfn.XLOOKUP(1, (dd_accsryclr!$C$2:$C$1000=accsry_unmerged!F202)*(dd_accsryclr!$B$2:$B$1000=accsry_unmerged!J202),dd_accsryclr!$A$2:$A$1000),"")</f>
        <v>0</v>
      </c>
      <c r="I202" s="35">
        <f>_xlfn.XLOOKUP(C202,'Project Details'!$C$17:$C$66,'Project Details'!$E$17:$E$66,"",0)</f>
        <v>0</v>
      </c>
      <c r="J202" s="35">
        <f>_xlfn.XLOOKUP(C202,'Project Details'!$C$17:$C$66,'Project Details'!$H$17:$H$66,"",0)</f>
        <v>0</v>
      </c>
      <c r="K202" s="36" t="str">
        <f>IF(AND(_xlfn.XLOOKUP(C202,'Project Details'!$C$17:$C$66,'Project Details'!$L$17:$L$66,"",0)&gt;550, F202="Spring-L27cm"),"",SUBSTITUTE(_xlfn.XLOOKUP(G202,SKUs!$C$2:$C$10001,SKUs!$F$2:$F$10001,"",0), " Accessories",""))</f>
        <v/>
      </c>
      <c r="L202" s="36">
        <f>_xlfn.XLOOKUP(C202,'Project Details'!$C$17:$C$66,'Project Details'!$D$17:$D$66,"",0)</f>
        <v>0</v>
      </c>
      <c r="M202" s="43"/>
    </row>
    <row r="203" spans="1:13" ht="13.5" customHeight="1" outlineLevel="1" x14ac:dyDescent="0.25">
      <c r="A203" s="43"/>
      <c r="B203" s="43"/>
      <c r="C203" s="16">
        <f t="shared" si="2"/>
        <v>4</v>
      </c>
      <c r="D203" s="16" t="str" cm="1">
        <f t="array" ref="D203">IFERROR(ROUNDUP(_xlfn.IFS(F203="Aluminum Track", _xlfn.XLOOKUP(C203, dd_accsrycalc!$A$2:$A$51, dd_accsrycalc!$B$2:$B$51, "",0), F203="10 x 2 1/2 S (Flat)", _xlfn.XLOOKUP(C203, dd_accsrycalc!$A$2:$A$51, dd_accsrycalc!$C$2:$C$51, "",0), F203="Tox6", _xlfn.XLOOKUP(C203, dd_accsrycalc!$A$2:$A$51, dd_accsrycalc!$D$2:$D$51, "",0), F203="Cover Cap", _xlfn.XLOOKUP(C203, dd_accsrycalc!$A$2:$A$51, dd_accsrycalc!$E$2:$E$51, "",0), F203="Drainage Cover", _xlfn.XLOOKUP(C203, dd_accsrycalc!$A$2:$A$51, dd_accsrycalc!$F$2:$F$51, "",0),AND( F203="Double Adhesive Tape", I203="Roll-up Screen"), _xlfn.XLOOKUP(C203, calc_rusacc!$C$15:$C$65, calc_rusacc!$AD$15:$AD$65, "",0),AND( F203="Sealant", I203="Roll-up Screen"), _xlfn.XLOOKUP(C203, calc_rusacc!$C$15:$C$65, calc_rusacc!$AF$15:$AF$65, "",0),  AND( F203="Main Chain", I203="Accordion Screen"), _xlfn.XLOOKUP(C203, calc_rusacc!$C$15:$C$65, calc_rusacc!$BF$15:$BF$65, "",0), AND( F203="Sealant", I203="Accordion Screen"), _xlfn.XLOOKUP(C203, calc_rusacc!$C$15:$C$65, calc_rusacc!$BJ$15:$BJ$65, "",0),  F203="Sealant", _xlfn.XLOOKUP(C203, dd_accsrycalc!$A$2:$A$51, dd_accsrycalc!$G$2:$G$51, "",0),  F203&lt;&gt;"",L203*_xlfn.XLOOKUP(1, (SKUs!$C$2:$C$10001=G203)*(SKUs!$K$2:$K$10001=I203),SKUs!$E$2:$E$10001)), 0),"")</f>
        <v/>
      </c>
      <c r="E203" s="16" t="str">
        <f>_xlfn.XLOOKUP(F203,dd_item!$B$2:$B$105,dd_item!$C$2:$C$105,"",0)</f>
        <v/>
      </c>
      <c r="F203" s="16"/>
      <c r="G203" s="16" cm="1">
        <f t="array" ref="G203">IFERROR(_xlfn.XLOOKUP(1, (SKUs!$J$2:$J$10001=accsry_unmerged!F203)*IF(H203&lt;&gt;"",(SKUs!$L$2:$L$10001=accsry_unmerged!H203),1)*(SKUs!$K$2:$K$10001=I203),SKUs!$C$2:$C$10001),"")</f>
        <v>0</v>
      </c>
      <c r="H203" s="33" cm="1">
        <f t="array" ref="H203">IFERROR(_xlfn.XLOOKUP(1, (dd_accsryclr!$C$2:$C$1000=accsry_unmerged!F203)*(dd_accsryclr!$B$2:$B$1000=accsry_unmerged!J203),dd_accsryclr!$A$2:$A$1000),"")</f>
        <v>0</v>
      </c>
      <c r="I203" s="16">
        <f>_xlfn.XLOOKUP(C203,'Project Details'!$C$17:$C$66,'Project Details'!$E$17:$E$66,"",0)</f>
        <v>0</v>
      </c>
      <c r="J203" s="16">
        <f>_xlfn.XLOOKUP(C203,'Project Details'!$C$17:$C$66,'Project Details'!$H$17:$H$66,"",0)</f>
        <v>0</v>
      </c>
      <c r="K203" s="33" t="str">
        <f>IF(AND(_xlfn.XLOOKUP(C203,'Project Details'!$C$17:$C$66,'Project Details'!$L$17:$L$66,"",0)&gt;550, F203="Spring-L27cm"),"",SUBSTITUTE(_xlfn.XLOOKUP(G203,SKUs!$C$2:$C$10001,SKUs!$F$2:$F$10001,"",0), " Accessories",""))</f>
        <v/>
      </c>
      <c r="L203" s="33">
        <f>_xlfn.XLOOKUP(C203,'Project Details'!$C$17:$C$66,'Project Details'!$D$17:$D$66,"",0)</f>
        <v>0</v>
      </c>
      <c r="M203" s="43"/>
    </row>
    <row r="204" spans="1:13" ht="13.5" customHeight="1" outlineLevel="1" x14ac:dyDescent="0.25">
      <c r="A204" s="43"/>
      <c r="B204" s="43"/>
      <c r="C204" s="35">
        <f t="shared" si="2"/>
        <v>4</v>
      </c>
      <c r="D204" s="35" t="str" cm="1">
        <f t="array" ref="D204">IFERROR(ROUNDUP(_xlfn.IFS(F204="Aluminum Track", _xlfn.XLOOKUP(C204, dd_accsrycalc!$A$2:$A$51, dd_accsrycalc!$B$2:$B$51, "",0), F204="10 x 2 1/2 S (Flat)", _xlfn.XLOOKUP(C204, dd_accsrycalc!$A$2:$A$51, dd_accsrycalc!$C$2:$C$51, "",0), F204="Tox6", _xlfn.XLOOKUP(C204, dd_accsrycalc!$A$2:$A$51, dd_accsrycalc!$D$2:$D$51, "",0), F204="Cover Cap", _xlfn.XLOOKUP(C204, dd_accsrycalc!$A$2:$A$51, dd_accsrycalc!$E$2:$E$51, "",0), F204="Drainage Cover", _xlfn.XLOOKUP(C204, dd_accsrycalc!$A$2:$A$51, dd_accsrycalc!$F$2:$F$51, "",0),AND( F204="Double Adhesive Tape", I204="Roll-up Screen"), _xlfn.XLOOKUP(C204, calc_rusacc!$C$15:$C$65, calc_rusacc!$AD$15:$AD$65, "",0),AND( F204="Sealant", I204="Roll-up Screen"), _xlfn.XLOOKUP(C204, calc_rusacc!$C$15:$C$65, calc_rusacc!$AF$15:$AF$65, "",0),  AND( F204="Main Chain", I204="Accordion Screen"), _xlfn.XLOOKUP(C204, calc_rusacc!$C$15:$C$65, calc_rusacc!$BF$15:$BF$65, "",0), AND( F204="Sealant", I204="Accordion Screen"), _xlfn.XLOOKUP(C204, calc_rusacc!$C$15:$C$65, calc_rusacc!$BJ$15:$BJ$65, "",0),  F204="Sealant", _xlfn.XLOOKUP(C204, dd_accsrycalc!$A$2:$A$51, dd_accsrycalc!$G$2:$G$51, "",0),  F204&lt;&gt;"",L204*_xlfn.XLOOKUP(1, (SKUs!$C$2:$C$10001=G204)*(SKUs!$K$2:$K$10001=I204),SKUs!$E$2:$E$10001)), 0),"")</f>
        <v/>
      </c>
      <c r="E204" s="35" t="str">
        <f>_xlfn.XLOOKUP(F204,dd_item!$B$2:$B$105,dd_item!$C$2:$C$105,"",0)</f>
        <v/>
      </c>
      <c r="F204" s="35"/>
      <c r="G204" s="35" cm="1">
        <f t="array" ref="G204">IFERROR(_xlfn.XLOOKUP(1, (SKUs!$J$2:$J$10001=accsry_unmerged!F204)*IF(H204&lt;&gt;"",(SKUs!$L$2:$L$10001=accsry_unmerged!H204),1)*(SKUs!$K$2:$K$10001=I204),SKUs!$C$2:$C$10001),"")</f>
        <v>0</v>
      </c>
      <c r="H204" s="36" cm="1">
        <f t="array" ref="H204">IFERROR(_xlfn.XLOOKUP(1, (dd_accsryclr!$C$2:$C$1000=accsry_unmerged!F204)*(dd_accsryclr!$B$2:$B$1000=accsry_unmerged!J204),dd_accsryclr!$A$2:$A$1000),"")</f>
        <v>0</v>
      </c>
      <c r="I204" s="35">
        <f>_xlfn.XLOOKUP(C204,'Project Details'!$C$17:$C$66,'Project Details'!$E$17:$E$66,"",0)</f>
        <v>0</v>
      </c>
      <c r="J204" s="35">
        <f>_xlfn.XLOOKUP(C204,'Project Details'!$C$17:$C$66,'Project Details'!$H$17:$H$66,"",0)</f>
        <v>0</v>
      </c>
      <c r="K204" s="36" t="str">
        <f>IF(AND(_xlfn.XLOOKUP(C204,'Project Details'!$C$17:$C$66,'Project Details'!$L$17:$L$66,"",0)&gt;550, F204="Spring-L27cm"),"",SUBSTITUTE(_xlfn.XLOOKUP(G204,SKUs!$C$2:$C$10001,SKUs!$F$2:$F$10001,"",0), " Accessories",""))</f>
        <v/>
      </c>
      <c r="L204" s="36">
        <f>_xlfn.XLOOKUP(C204,'Project Details'!$C$17:$C$66,'Project Details'!$D$17:$D$66,"",0)</f>
        <v>0</v>
      </c>
      <c r="M204" s="43"/>
    </row>
    <row r="205" spans="1:13" ht="13.5" customHeight="1" outlineLevel="1" collapsed="1" x14ac:dyDescent="0.25">
      <c r="A205" s="43"/>
      <c r="B205" s="43"/>
      <c r="C205" s="16">
        <f t="shared" si="2"/>
        <v>4</v>
      </c>
      <c r="D205" s="16" t="str" cm="1">
        <f t="array" ref="D205">IFERROR(ROUNDUP(_xlfn.IFS(F205="Aluminum Track", _xlfn.XLOOKUP(C205, dd_accsrycalc!$A$2:$A$51, dd_accsrycalc!$B$2:$B$51, "",0), F205="10 x 2 1/2 S (Flat)", _xlfn.XLOOKUP(C205, dd_accsrycalc!$A$2:$A$51, dd_accsrycalc!$C$2:$C$51, "",0), F205="Tox6", _xlfn.XLOOKUP(C205, dd_accsrycalc!$A$2:$A$51, dd_accsrycalc!$D$2:$D$51, "",0), F205="Cover Cap", _xlfn.XLOOKUP(C205, dd_accsrycalc!$A$2:$A$51, dd_accsrycalc!$E$2:$E$51, "",0), F205="Drainage Cover", _xlfn.XLOOKUP(C205, dd_accsrycalc!$A$2:$A$51, dd_accsrycalc!$F$2:$F$51, "",0),AND( F205="Double Adhesive Tape", I205="Roll-up Screen"), _xlfn.XLOOKUP(C205, calc_rusacc!$C$15:$C$65, calc_rusacc!$AD$15:$AD$65, "",0),AND( F205="Sealant", I205="Roll-up Screen"), _xlfn.XLOOKUP(C205, calc_rusacc!$C$15:$C$65, calc_rusacc!$AF$15:$AF$65, "",0),  AND( F205="Main Chain", I205="Accordion Screen"), _xlfn.XLOOKUP(C205, calc_rusacc!$C$15:$C$65, calc_rusacc!$BF$15:$BF$65, "",0), AND( F205="Sealant", I205="Accordion Screen"), _xlfn.XLOOKUP(C205, calc_rusacc!$C$15:$C$65, calc_rusacc!$BJ$15:$BJ$65, "",0),  F205="Sealant", _xlfn.XLOOKUP(C205, dd_accsrycalc!$A$2:$A$51, dd_accsrycalc!$G$2:$G$51, "",0),  F205&lt;&gt;"",L205*_xlfn.XLOOKUP(1, (SKUs!$C$2:$C$10001=G205)*(SKUs!$K$2:$K$10001=I205),SKUs!$E$2:$E$10001)), 0),"")</f>
        <v/>
      </c>
      <c r="E205" s="16" t="str">
        <f>_xlfn.XLOOKUP(F205,dd_item!$B$2:$B$105,dd_item!$C$2:$C$105,"",0)</f>
        <v/>
      </c>
      <c r="F205" s="16"/>
      <c r="G205" s="16" cm="1">
        <f t="array" ref="G205">IFERROR(_xlfn.XLOOKUP(1, (SKUs!$J$2:$J$10001=accsry_unmerged!F205)*IF(H205&lt;&gt;"",(SKUs!$L$2:$L$10001=accsry_unmerged!H205),1)*(SKUs!$K$2:$K$10001=I205),SKUs!$C$2:$C$10001),"")</f>
        <v>0</v>
      </c>
      <c r="H205" s="33" cm="1">
        <f t="array" ref="H205">IFERROR(_xlfn.XLOOKUP(1, (dd_accsryclr!$C$2:$C$1000=accsry_unmerged!F205)*(dd_accsryclr!$B$2:$B$1000=accsry_unmerged!J205),dd_accsryclr!$A$2:$A$1000),"")</f>
        <v>0</v>
      </c>
      <c r="I205" s="16">
        <f>_xlfn.XLOOKUP(C205,'Project Details'!$C$17:$C$66,'Project Details'!$E$17:$E$66,"",0)</f>
        <v>0</v>
      </c>
      <c r="J205" s="16">
        <f>_xlfn.XLOOKUP(C205,'Project Details'!$C$17:$C$66,'Project Details'!$H$17:$H$66,"",0)</f>
        <v>0</v>
      </c>
      <c r="K205" s="33" t="str">
        <f>IF(AND(_xlfn.XLOOKUP(C205,'Project Details'!$C$17:$C$66,'Project Details'!$L$17:$L$66,"",0)&gt;550, F205="Spring-L27cm"),"",SUBSTITUTE(_xlfn.XLOOKUP(G205,SKUs!$C$2:$C$10001,SKUs!$F$2:$F$10001,"",0), " Accessories",""))</f>
        <v/>
      </c>
      <c r="L205" s="33">
        <f>_xlfn.XLOOKUP(C205,'Project Details'!$C$17:$C$66,'Project Details'!$D$17:$D$66,"",0)</f>
        <v>0</v>
      </c>
      <c r="M205" s="43"/>
    </row>
    <row r="206" spans="1:13" ht="13.5" customHeight="1" outlineLevel="1" x14ac:dyDescent="0.25">
      <c r="A206" s="43"/>
      <c r="B206" s="43"/>
      <c r="C206" s="35">
        <f t="shared" si="2"/>
        <v>4</v>
      </c>
      <c r="D206" s="35" t="str" cm="1">
        <f t="array" ref="D206">IFERROR(ROUNDUP(_xlfn.IFS(F206="Aluminum Track", _xlfn.XLOOKUP(C206, dd_accsrycalc!$A$2:$A$51, dd_accsrycalc!$B$2:$B$51, "",0), F206="10 x 2 1/2 S (Flat)", _xlfn.XLOOKUP(C206, dd_accsrycalc!$A$2:$A$51, dd_accsrycalc!$C$2:$C$51, "",0), F206="Tox6", _xlfn.XLOOKUP(C206, dd_accsrycalc!$A$2:$A$51, dd_accsrycalc!$D$2:$D$51, "",0), F206="Cover Cap", _xlfn.XLOOKUP(C206, dd_accsrycalc!$A$2:$A$51, dd_accsrycalc!$E$2:$E$51, "",0), F206="Drainage Cover", _xlfn.XLOOKUP(C206, dd_accsrycalc!$A$2:$A$51, dd_accsrycalc!$F$2:$F$51, "",0),AND( F206="Double Adhesive Tape", I206="Roll-up Screen"), _xlfn.XLOOKUP(C206, calc_rusacc!$C$15:$C$65, calc_rusacc!$AD$15:$AD$65, "",0),AND( F206="Sealant", I206="Roll-up Screen"), _xlfn.XLOOKUP(C206, calc_rusacc!$C$15:$C$65, calc_rusacc!$AF$15:$AF$65, "",0),  AND( F206="Main Chain", I206="Accordion Screen"), _xlfn.XLOOKUP(C206, calc_rusacc!$C$15:$C$65, calc_rusacc!$BF$15:$BF$65, "",0), AND( F206="Sealant", I206="Accordion Screen"), _xlfn.XLOOKUP(C206, calc_rusacc!$C$15:$C$65, calc_rusacc!$BJ$15:$BJ$65, "",0),  F206="Sealant", _xlfn.XLOOKUP(C206, dd_accsrycalc!$A$2:$A$51, dd_accsrycalc!$G$2:$G$51, "",0),  F206&lt;&gt;"",L206*_xlfn.XLOOKUP(1, (SKUs!$C$2:$C$10001=G206)*(SKUs!$K$2:$K$10001=I206),SKUs!$E$2:$E$10001)), 0),"")</f>
        <v/>
      </c>
      <c r="E206" s="35" t="str">
        <f>_xlfn.XLOOKUP(F206,dd_item!$B$2:$B$105,dd_item!$C$2:$C$105,"",0)</f>
        <v/>
      </c>
      <c r="F206" s="35"/>
      <c r="G206" s="35" cm="1">
        <f t="array" ref="G206">IFERROR(_xlfn.XLOOKUP(1, (SKUs!$J$2:$J$10001=accsry_unmerged!F206)*IF(H206&lt;&gt;"",(SKUs!$L$2:$L$10001=accsry_unmerged!H206),1)*(SKUs!$K$2:$K$10001=I206),SKUs!$C$2:$C$10001),"")</f>
        <v>0</v>
      </c>
      <c r="H206" s="36" cm="1">
        <f t="array" ref="H206">IFERROR(_xlfn.XLOOKUP(1, (dd_accsryclr!$C$2:$C$1000=accsry_unmerged!F206)*(dd_accsryclr!$B$2:$B$1000=accsry_unmerged!J206),dd_accsryclr!$A$2:$A$1000),"")</f>
        <v>0</v>
      </c>
      <c r="I206" s="35">
        <f>_xlfn.XLOOKUP(C206,'Project Details'!$C$17:$C$66,'Project Details'!$E$17:$E$66,"",0)</f>
        <v>0</v>
      </c>
      <c r="J206" s="35">
        <f>_xlfn.XLOOKUP(C206,'Project Details'!$C$17:$C$66,'Project Details'!$H$17:$H$66,"",0)</f>
        <v>0</v>
      </c>
      <c r="K206" s="36" t="str">
        <f>IF(AND(_xlfn.XLOOKUP(C206,'Project Details'!$C$17:$C$66,'Project Details'!$L$17:$L$66,"",0)&gt;550, F206="Spring-L27cm"),"",SUBSTITUTE(_xlfn.XLOOKUP(G206,SKUs!$C$2:$C$10001,SKUs!$F$2:$F$10001,"",0), " Accessories",""))</f>
        <v/>
      </c>
      <c r="L206" s="36">
        <f>_xlfn.XLOOKUP(C206,'Project Details'!$C$17:$C$66,'Project Details'!$D$17:$D$66,"",0)</f>
        <v>0</v>
      </c>
      <c r="M206" s="43"/>
    </row>
    <row r="207" spans="1:13" ht="13.5" customHeight="1" outlineLevel="1" x14ac:dyDescent="0.25">
      <c r="A207" s="43"/>
      <c r="B207" s="43"/>
      <c r="C207" s="16">
        <f t="shared" si="2"/>
        <v>4</v>
      </c>
      <c r="D207" s="16" t="str" cm="1">
        <f t="array" ref="D207">IFERROR(ROUNDUP(_xlfn.IFS(F207="Aluminum Track", _xlfn.XLOOKUP(C207, dd_accsrycalc!$A$2:$A$51, dd_accsrycalc!$B$2:$B$51, "",0), F207="10 x 2 1/2 S (Flat)", _xlfn.XLOOKUP(C207, dd_accsrycalc!$A$2:$A$51, dd_accsrycalc!$C$2:$C$51, "",0), F207="Tox6", _xlfn.XLOOKUP(C207, dd_accsrycalc!$A$2:$A$51, dd_accsrycalc!$D$2:$D$51, "",0), F207="Cover Cap", _xlfn.XLOOKUP(C207, dd_accsrycalc!$A$2:$A$51, dd_accsrycalc!$E$2:$E$51, "",0), F207="Drainage Cover", _xlfn.XLOOKUP(C207, dd_accsrycalc!$A$2:$A$51, dd_accsrycalc!$F$2:$F$51, "",0),AND( F207="Double Adhesive Tape", I207="Roll-up Screen"), _xlfn.XLOOKUP(C207, calc_rusacc!$C$15:$C$65, calc_rusacc!$AD$15:$AD$65, "",0),AND( F207="Sealant", I207="Roll-up Screen"), _xlfn.XLOOKUP(C207, calc_rusacc!$C$15:$C$65, calc_rusacc!$AF$15:$AF$65, "",0),  AND( F207="Main Chain", I207="Accordion Screen"), _xlfn.XLOOKUP(C207, calc_rusacc!$C$15:$C$65, calc_rusacc!$BF$15:$BF$65, "",0), AND( F207="Sealant", I207="Accordion Screen"), _xlfn.XLOOKUP(C207, calc_rusacc!$C$15:$C$65, calc_rusacc!$BJ$15:$BJ$65, "",0),  F207="Sealant", _xlfn.XLOOKUP(C207, dd_accsrycalc!$A$2:$A$51, dd_accsrycalc!$G$2:$G$51, "",0),  F207&lt;&gt;"",L207*_xlfn.XLOOKUP(1, (SKUs!$C$2:$C$10001=G207)*(SKUs!$K$2:$K$10001=I207),SKUs!$E$2:$E$10001)), 0),"")</f>
        <v/>
      </c>
      <c r="E207" s="16" t="str">
        <f>_xlfn.XLOOKUP(F207,dd_item!$B$2:$B$105,dd_item!$C$2:$C$105,"",0)</f>
        <v/>
      </c>
      <c r="F207" s="16"/>
      <c r="G207" s="16" cm="1">
        <f t="array" ref="G207">IFERROR(_xlfn.XLOOKUP(1, (SKUs!$J$2:$J$10001=accsry_unmerged!F207)*IF(H207&lt;&gt;"",(SKUs!$L$2:$L$10001=accsry_unmerged!H207),1)*(SKUs!$K$2:$K$10001=I207),SKUs!$C$2:$C$10001),"")</f>
        <v>0</v>
      </c>
      <c r="H207" s="33" cm="1">
        <f t="array" ref="H207">IFERROR(_xlfn.XLOOKUP(1, (dd_accsryclr!$C$2:$C$1000=accsry_unmerged!F207)*(dd_accsryclr!$B$2:$B$1000=accsry_unmerged!J207),dd_accsryclr!$A$2:$A$1000),"")</f>
        <v>0</v>
      </c>
      <c r="I207" s="16">
        <f>_xlfn.XLOOKUP(C207,'Project Details'!$C$17:$C$66,'Project Details'!$E$17:$E$66,"",0)</f>
        <v>0</v>
      </c>
      <c r="J207" s="16">
        <f>_xlfn.XLOOKUP(C207,'Project Details'!$C$17:$C$66,'Project Details'!$H$17:$H$66,"",0)</f>
        <v>0</v>
      </c>
      <c r="K207" s="33" t="str">
        <f>IF(AND(_xlfn.XLOOKUP(C207,'Project Details'!$C$17:$C$66,'Project Details'!$L$17:$L$66,"",0)&gt;550, F207="Spring-L27cm"),"",SUBSTITUTE(_xlfn.XLOOKUP(G207,SKUs!$C$2:$C$10001,SKUs!$F$2:$F$10001,"",0), " Accessories",""))</f>
        <v/>
      </c>
      <c r="L207" s="33">
        <f>_xlfn.XLOOKUP(C207,'Project Details'!$C$17:$C$66,'Project Details'!$D$17:$D$66,"",0)</f>
        <v>0</v>
      </c>
      <c r="M207" s="43"/>
    </row>
    <row r="208" spans="1:13" ht="13.5" customHeight="1" outlineLevel="1" x14ac:dyDescent="0.25">
      <c r="A208" s="43"/>
      <c r="B208" s="43"/>
      <c r="C208" s="35">
        <f t="shared" si="2"/>
        <v>4</v>
      </c>
      <c r="D208" s="35" t="str" cm="1">
        <f t="array" ref="D208">IFERROR(ROUNDUP(_xlfn.IFS(F208="Aluminum Track", _xlfn.XLOOKUP(C208, dd_accsrycalc!$A$2:$A$51, dd_accsrycalc!$B$2:$B$51, "",0), F208="10 x 2 1/2 S (Flat)", _xlfn.XLOOKUP(C208, dd_accsrycalc!$A$2:$A$51, dd_accsrycalc!$C$2:$C$51, "",0), F208="Tox6", _xlfn.XLOOKUP(C208, dd_accsrycalc!$A$2:$A$51, dd_accsrycalc!$D$2:$D$51, "",0), F208="Cover Cap", _xlfn.XLOOKUP(C208, dd_accsrycalc!$A$2:$A$51, dd_accsrycalc!$E$2:$E$51, "",0), F208="Drainage Cover", _xlfn.XLOOKUP(C208, dd_accsrycalc!$A$2:$A$51, dd_accsrycalc!$F$2:$F$51, "",0),AND( F208="Double Adhesive Tape", I208="Roll-up Screen"), _xlfn.XLOOKUP(C208, calc_rusacc!$C$15:$C$65, calc_rusacc!$AD$15:$AD$65, "",0),AND( F208="Sealant", I208="Roll-up Screen"), _xlfn.XLOOKUP(C208, calc_rusacc!$C$15:$C$65, calc_rusacc!$AF$15:$AF$65, "",0),  AND( F208="Main Chain", I208="Accordion Screen"), _xlfn.XLOOKUP(C208, calc_rusacc!$C$15:$C$65, calc_rusacc!$BF$15:$BF$65, "",0), AND( F208="Sealant", I208="Accordion Screen"), _xlfn.XLOOKUP(C208, calc_rusacc!$C$15:$C$65, calc_rusacc!$BJ$15:$BJ$65, "",0),  F208="Sealant", _xlfn.XLOOKUP(C208, dd_accsrycalc!$A$2:$A$51, dd_accsrycalc!$G$2:$G$51, "",0),  F208&lt;&gt;"",L208*_xlfn.XLOOKUP(1, (SKUs!$C$2:$C$10001=G208)*(SKUs!$K$2:$K$10001=I208),SKUs!$E$2:$E$10001)), 0),"")</f>
        <v/>
      </c>
      <c r="E208" s="35" t="str">
        <f>_xlfn.XLOOKUP(F208,dd_item!$B$2:$B$105,dd_item!$C$2:$C$105,"",0)</f>
        <v/>
      </c>
      <c r="F208" s="35"/>
      <c r="G208" s="35" cm="1">
        <f t="array" ref="G208">IFERROR(_xlfn.XLOOKUP(1, (SKUs!$J$2:$J$10001=accsry_unmerged!F208)*IF(H208&lt;&gt;"",(SKUs!$L$2:$L$10001=accsry_unmerged!H208),1)*(SKUs!$K$2:$K$10001=I208),SKUs!$C$2:$C$10001),"")</f>
        <v>0</v>
      </c>
      <c r="H208" s="36" cm="1">
        <f t="array" ref="H208">IFERROR(_xlfn.XLOOKUP(1, (dd_accsryclr!$C$2:$C$1000=accsry_unmerged!F208)*(dd_accsryclr!$B$2:$B$1000=accsry_unmerged!J208),dd_accsryclr!$A$2:$A$1000),"")</f>
        <v>0</v>
      </c>
      <c r="I208" s="35">
        <f>_xlfn.XLOOKUP(C208,'Project Details'!$C$17:$C$66,'Project Details'!$E$17:$E$66,"",0)</f>
        <v>0</v>
      </c>
      <c r="J208" s="35">
        <f>_xlfn.XLOOKUP(C208,'Project Details'!$C$17:$C$66,'Project Details'!$H$17:$H$66,"",0)</f>
        <v>0</v>
      </c>
      <c r="K208" s="36" t="str">
        <f>IF(AND(_xlfn.XLOOKUP(C208,'Project Details'!$C$17:$C$66,'Project Details'!$L$17:$L$66,"",0)&gt;550, F208="Spring-L27cm"),"",SUBSTITUTE(_xlfn.XLOOKUP(G208,SKUs!$C$2:$C$10001,SKUs!$F$2:$F$10001,"",0), " Accessories",""))</f>
        <v/>
      </c>
      <c r="L208" s="36">
        <f>_xlfn.XLOOKUP(C208,'Project Details'!$C$17:$C$66,'Project Details'!$D$17:$D$66,"",0)</f>
        <v>0</v>
      </c>
      <c r="M208" s="43"/>
    </row>
    <row r="209" spans="1:13" ht="13.5" customHeight="1" outlineLevel="1" x14ac:dyDescent="0.25">
      <c r="A209" s="43"/>
      <c r="B209" s="43"/>
      <c r="C209" s="16">
        <f t="shared" si="2"/>
        <v>4</v>
      </c>
      <c r="D209" s="16" t="str" cm="1">
        <f t="array" ref="D209">IFERROR(ROUNDUP(_xlfn.IFS(F209="Aluminum Track", _xlfn.XLOOKUP(C209, dd_accsrycalc!$A$2:$A$51, dd_accsrycalc!$B$2:$B$51, "",0), F209="10 x 2 1/2 S (Flat)", _xlfn.XLOOKUP(C209, dd_accsrycalc!$A$2:$A$51, dd_accsrycalc!$C$2:$C$51, "",0), F209="Tox6", _xlfn.XLOOKUP(C209, dd_accsrycalc!$A$2:$A$51, dd_accsrycalc!$D$2:$D$51, "",0), F209="Cover Cap", _xlfn.XLOOKUP(C209, dd_accsrycalc!$A$2:$A$51, dd_accsrycalc!$E$2:$E$51, "",0), F209="Drainage Cover", _xlfn.XLOOKUP(C209, dd_accsrycalc!$A$2:$A$51, dd_accsrycalc!$F$2:$F$51, "",0),AND( F209="Double Adhesive Tape", I209="Roll-up Screen"), _xlfn.XLOOKUP(C209, calc_rusacc!$C$15:$C$65, calc_rusacc!$AD$15:$AD$65, "",0),AND( F209="Sealant", I209="Roll-up Screen"), _xlfn.XLOOKUP(C209, calc_rusacc!$C$15:$C$65, calc_rusacc!$AF$15:$AF$65, "",0),  AND( F209="Main Chain", I209="Accordion Screen"), _xlfn.XLOOKUP(C209, calc_rusacc!$C$15:$C$65, calc_rusacc!$BF$15:$BF$65, "",0), AND( F209="Sealant", I209="Accordion Screen"), _xlfn.XLOOKUP(C209, calc_rusacc!$C$15:$C$65, calc_rusacc!$BJ$15:$BJ$65, "",0),  F209="Sealant", _xlfn.XLOOKUP(C209, dd_accsrycalc!$A$2:$A$51, dd_accsrycalc!$G$2:$G$51, "",0),  F209&lt;&gt;"",L209*_xlfn.XLOOKUP(1, (SKUs!$C$2:$C$10001=G209)*(SKUs!$K$2:$K$10001=I209),SKUs!$E$2:$E$10001)), 0),"")</f>
        <v/>
      </c>
      <c r="E209" s="16" t="str">
        <f>_xlfn.XLOOKUP(F209,dd_item!$B$2:$B$105,dd_item!$C$2:$C$105,"",0)</f>
        <v/>
      </c>
      <c r="F209" s="16"/>
      <c r="G209" s="16" cm="1">
        <f t="array" ref="G209">IFERROR(_xlfn.XLOOKUP(1, (SKUs!$J$2:$J$10001=accsry_unmerged!F209)*IF(H209&lt;&gt;"",(SKUs!$L$2:$L$10001=accsry_unmerged!H209),1)*(SKUs!$K$2:$K$10001=I209),SKUs!$C$2:$C$10001),"")</f>
        <v>0</v>
      </c>
      <c r="H209" s="33" cm="1">
        <f t="array" ref="H209">IFERROR(_xlfn.XLOOKUP(1, (dd_accsryclr!$C$2:$C$1000=accsry_unmerged!F209)*(dd_accsryclr!$B$2:$B$1000=accsry_unmerged!J209),dd_accsryclr!$A$2:$A$1000),"")</f>
        <v>0</v>
      </c>
      <c r="I209" s="16">
        <f>_xlfn.XLOOKUP(C209,'Project Details'!$C$17:$C$66,'Project Details'!$E$17:$E$66,"",0)</f>
        <v>0</v>
      </c>
      <c r="J209" s="16">
        <f>_xlfn.XLOOKUP(C209,'Project Details'!$C$17:$C$66,'Project Details'!$H$17:$H$66,"",0)</f>
        <v>0</v>
      </c>
      <c r="K209" s="33" t="str">
        <f>IF(AND(_xlfn.XLOOKUP(C209,'Project Details'!$C$17:$C$66,'Project Details'!$L$17:$L$66,"",0)&gt;550, F209="Spring-L27cm"),"",SUBSTITUTE(_xlfn.XLOOKUP(G209,SKUs!$C$2:$C$10001,SKUs!$F$2:$F$10001,"",0), " Accessories",""))</f>
        <v/>
      </c>
      <c r="L209" s="33">
        <f>_xlfn.XLOOKUP(C209,'Project Details'!$C$17:$C$66,'Project Details'!$D$17:$D$66,"",0)</f>
        <v>0</v>
      </c>
      <c r="M209" s="43"/>
    </row>
    <row r="210" spans="1:13" ht="13.5" customHeight="1" outlineLevel="1" x14ac:dyDescent="0.25">
      <c r="A210" s="43"/>
      <c r="B210" s="43"/>
      <c r="C210" s="35">
        <f t="shared" si="2"/>
        <v>4</v>
      </c>
      <c r="D210" s="35" t="str" cm="1">
        <f t="array" ref="D210">IFERROR(ROUNDUP(_xlfn.IFS(F210="Aluminum Track", _xlfn.XLOOKUP(C210, dd_accsrycalc!$A$2:$A$51, dd_accsrycalc!$B$2:$B$51, "",0), F210="10 x 2 1/2 S (Flat)", _xlfn.XLOOKUP(C210, dd_accsrycalc!$A$2:$A$51, dd_accsrycalc!$C$2:$C$51, "",0), F210="Tox6", _xlfn.XLOOKUP(C210, dd_accsrycalc!$A$2:$A$51, dd_accsrycalc!$D$2:$D$51, "",0), F210="Cover Cap", _xlfn.XLOOKUP(C210, dd_accsrycalc!$A$2:$A$51, dd_accsrycalc!$E$2:$E$51, "",0), F210="Drainage Cover", _xlfn.XLOOKUP(C210, dd_accsrycalc!$A$2:$A$51, dd_accsrycalc!$F$2:$F$51, "",0),AND( F210="Double Adhesive Tape", I210="Roll-up Screen"), _xlfn.XLOOKUP(C210, calc_rusacc!$C$15:$C$65, calc_rusacc!$AD$15:$AD$65, "",0),AND( F210="Sealant", I210="Roll-up Screen"), _xlfn.XLOOKUP(C210, calc_rusacc!$C$15:$C$65, calc_rusacc!$AF$15:$AF$65, "",0),  AND( F210="Main Chain", I210="Accordion Screen"), _xlfn.XLOOKUP(C210, calc_rusacc!$C$15:$C$65, calc_rusacc!$BF$15:$BF$65, "",0), AND( F210="Sealant", I210="Accordion Screen"), _xlfn.XLOOKUP(C210, calc_rusacc!$C$15:$C$65, calc_rusacc!$BJ$15:$BJ$65, "",0),  F210="Sealant", _xlfn.XLOOKUP(C210, dd_accsrycalc!$A$2:$A$51, dd_accsrycalc!$G$2:$G$51, "",0),  F210&lt;&gt;"",L210*_xlfn.XLOOKUP(1, (SKUs!$C$2:$C$10001=G210)*(SKUs!$K$2:$K$10001=I210),SKUs!$E$2:$E$10001)), 0),"")</f>
        <v/>
      </c>
      <c r="E210" s="35" t="str">
        <f>_xlfn.XLOOKUP(F210,dd_item!$B$2:$B$105,dd_item!$C$2:$C$105,"",0)</f>
        <v/>
      </c>
      <c r="F210" s="35"/>
      <c r="G210" s="35" cm="1">
        <f t="array" ref="G210">IFERROR(_xlfn.XLOOKUP(1, (SKUs!$J$2:$J$10001=accsry_unmerged!F210)*IF(H210&lt;&gt;"",(SKUs!$L$2:$L$10001=accsry_unmerged!H210),1)*(SKUs!$K$2:$K$10001=I210),SKUs!$C$2:$C$10001),"")</f>
        <v>0</v>
      </c>
      <c r="H210" s="36" cm="1">
        <f t="array" ref="H210">IFERROR(_xlfn.XLOOKUP(1, (dd_accsryclr!$C$2:$C$1000=accsry_unmerged!F210)*(dd_accsryclr!$B$2:$B$1000=accsry_unmerged!J210),dd_accsryclr!$A$2:$A$1000),"")</f>
        <v>0</v>
      </c>
      <c r="I210" s="35">
        <f>_xlfn.XLOOKUP(C210,'Project Details'!$C$17:$C$66,'Project Details'!$E$17:$E$66,"",0)</f>
        <v>0</v>
      </c>
      <c r="J210" s="35">
        <f>_xlfn.XLOOKUP(C210,'Project Details'!$C$17:$C$66,'Project Details'!$H$17:$H$66,"",0)</f>
        <v>0</v>
      </c>
      <c r="K210" s="36" t="str">
        <f>IF(AND(_xlfn.XLOOKUP(C210,'Project Details'!$C$17:$C$66,'Project Details'!$L$17:$L$66,"",0)&gt;550, F210="Spring-L27cm"),"",SUBSTITUTE(_xlfn.XLOOKUP(G210,SKUs!$C$2:$C$10001,SKUs!$F$2:$F$10001,"",0), " Accessories",""))</f>
        <v/>
      </c>
      <c r="L210" s="36">
        <f>_xlfn.XLOOKUP(C210,'Project Details'!$C$17:$C$66,'Project Details'!$D$17:$D$66,"",0)</f>
        <v>0</v>
      </c>
      <c r="M210" s="43"/>
    </row>
    <row r="211" spans="1:13" ht="13.5" customHeight="1" outlineLevel="1" x14ac:dyDescent="0.25">
      <c r="A211" s="43"/>
      <c r="B211" s="43"/>
      <c r="C211" s="16">
        <f t="shared" si="2"/>
        <v>4</v>
      </c>
      <c r="D211" s="16" t="str" cm="1">
        <f t="array" ref="D211">IFERROR(ROUNDUP(_xlfn.IFS(F211="Aluminum Track", _xlfn.XLOOKUP(C211, dd_accsrycalc!$A$2:$A$51, dd_accsrycalc!$B$2:$B$51, "",0), F211="10 x 2 1/2 S (Flat)", _xlfn.XLOOKUP(C211, dd_accsrycalc!$A$2:$A$51, dd_accsrycalc!$C$2:$C$51, "",0), F211="Tox6", _xlfn.XLOOKUP(C211, dd_accsrycalc!$A$2:$A$51, dd_accsrycalc!$D$2:$D$51, "",0), F211="Cover Cap", _xlfn.XLOOKUP(C211, dd_accsrycalc!$A$2:$A$51, dd_accsrycalc!$E$2:$E$51, "",0), F211="Drainage Cover", _xlfn.XLOOKUP(C211, dd_accsrycalc!$A$2:$A$51, dd_accsrycalc!$F$2:$F$51, "",0),AND( F211="Double Adhesive Tape", I211="Roll-up Screen"), _xlfn.XLOOKUP(C211, calc_rusacc!$C$15:$C$65, calc_rusacc!$AD$15:$AD$65, "",0),AND( F211="Sealant", I211="Roll-up Screen"), _xlfn.XLOOKUP(C211, calc_rusacc!$C$15:$C$65, calc_rusacc!$AF$15:$AF$65, "",0),  AND( F211="Main Chain", I211="Accordion Screen"), _xlfn.XLOOKUP(C211, calc_rusacc!$C$15:$C$65, calc_rusacc!$BF$15:$BF$65, "",0), AND( F211="Sealant", I211="Accordion Screen"), _xlfn.XLOOKUP(C211, calc_rusacc!$C$15:$C$65, calc_rusacc!$BJ$15:$BJ$65, "",0),  F211="Sealant", _xlfn.XLOOKUP(C211, dd_accsrycalc!$A$2:$A$51, dd_accsrycalc!$G$2:$G$51, "",0),  F211&lt;&gt;"",L211*_xlfn.XLOOKUP(1, (SKUs!$C$2:$C$10001=G211)*(SKUs!$K$2:$K$10001=I211),SKUs!$E$2:$E$10001)), 0),"")</f>
        <v/>
      </c>
      <c r="E211" s="16" t="str">
        <f>_xlfn.XLOOKUP(F211,dd_item!$B$2:$B$105,dd_item!$C$2:$C$105,"",0)</f>
        <v/>
      </c>
      <c r="F211" s="16"/>
      <c r="G211" s="16" cm="1">
        <f t="array" ref="G211">IFERROR(_xlfn.XLOOKUP(1, (SKUs!$J$2:$J$10001=accsry_unmerged!F211)*IF(H211&lt;&gt;"",(SKUs!$L$2:$L$10001=accsry_unmerged!H211),1)*(SKUs!$K$2:$K$10001=I211),SKUs!$C$2:$C$10001),"")</f>
        <v>0</v>
      </c>
      <c r="H211" s="33" cm="1">
        <f t="array" ref="H211">IFERROR(_xlfn.XLOOKUP(1, (dd_accsryclr!$C$2:$C$1000=accsry_unmerged!F211)*(dd_accsryclr!$B$2:$B$1000=accsry_unmerged!J211),dd_accsryclr!$A$2:$A$1000),"")</f>
        <v>0</v>
      </c>
      <c r="I211" s="16">
        <f>_xlfn.XLOOKUP(C211,'Project Details'!$C$17:$C$66,'Project Details'!$E$17:$E$66,"",0)</f>
        <v>0</v>
      </c>
      <c r="J211" s="16">
        <f>_xlfn.XLOOKUP(C211,'Project Details'!$C$17:$C$66,'Project Details'!$H$17:$H$66,"",0)</f>
        <v>0</v>
      </c>
      <c r="K211" s="33" t="str">
        <f>IF(AND(_xlfn.XLOOKUP(C211,'Project Details'!$C$17:$C$66,'Project Details'!$L$17:$L$66,"",0)&gt;550, F211="Spring-L27cm"),"",SUBSTITUTE(_xlfn.XLOOKUP(G211,SKUs!$C$2:$C$10001,SKUs!$F$2:$F$10001,"",0), " Accessories",""))</f>
        <v/>
      </c>
      <c r="L211" s="33">
        <f>_xlfn.XLOOKUP(C211,'Project Details'!$C$17:$C$66,'Project Details'!$D$17:$D$66,"",0)</f>
        <v>0</v>
      </c>
      <c r="M211" s="43"/>
    </row>
    <row r="212" spans="1:13" ht="13.5" customHeight="1" outlineLevel="1" x14ac:dyDescent="0.25">
      <c r="A212" s="43"/>
      <c r="B212" s="43"/>
      <c r="C212" s="35">
        <f t="shared" si="2"/>
        <v>4</v>
      </c>
      <c r="D212" s="35" t="str" cm="1">
        <f t="array" ref="D212">IFERROR(ROUNDUP(_xlfn.IFS(F212="Aluminum Track", _xlfn.XLOOKUP(C212, dd_accsrycalc!$A$2:$A$51, dd_accsrycalc!$B$2:$B$51, "",0), F212="10 x 2 1/2 S (Flat)", _xlfn.XLOOKUP(C212, dd_accsrycalc!$A$2:$A$51, dd_accsrycalc!$C$2:$C$51, "",0), F212="Tox6", _xlfn.XLOOKUP(C212, dd_accsrycalc!$A$2:$A$51, dd_accsrycalc!$D$2:$D$51, "",0), F212="Cover Cap", _xlfn.XLOOKUP(C212, dd_accsrycalc!$A$2:$A$51, dd_accsrycalc!$E$2:$E$51, "",0), F212="Drainage Cover", _xlfn.XLOOKUP(C212, dd_accsrycalc!$A$2:$A$51, dd_accsrycalc!$F$2:$F$51, "",0),AND( F212="Double Adhesive Tape", I212="Roll-up Screen"), _xlfn.XLOOKUP(C212, calc_rusacc!$C$15:$C$65, calc_rusacc!$AD$15:$AD$65, "",0),AND( F212="Sealant", I212="Roll-up Screen"), _xlfn.XLOOKUP(C212, calc_rusacc!$C$15:$C$65, calc_rusacc!$AF$15:$AF$65, "",0),  AND( F212="Main Chain", I212="Accordion Screen"), _xlfn.XLOOKUP(C212, calc_rusacc!$C$15:$C$65, calc_rusacc!$BF$15:$BF$65, "",0), AND( F212="Sealant", I212="Accordion Screen"), _xlfn.XLOOKUP(C212, calc_rusacc!$C$15:$C$65, calc_rusacc!$BJ$15:$BJ$65, "",0),  F212="Sealant", _xlfn.XLOOKUP(C212, dd_accsrycalc!$A$2:$A$51, dd_accsrycalc!$G$2:$G$51, "",0),  F212&lt;&gt;"",L212*_xlfn.XLOOKUP(1, (SKUs!$C$2:$C$10001=G212)*(SKUs!$K$2:$K$10001=I212),SKUs!$E$2:$E$10001)), 0),"")</f>
        <v/>
      </c>
      <c r="E212" s="35" t="str">
        <f>_xlfn.XLOOKUP(F212,dd_item!$B$2:$B$105,dd_item!$C$2:$C$105,"",0)</f>
        <v/>
      </c>
      <c r="F212" s="35"/>
      <c r="G212" s="35" cm="1">
        <f t="array" ref="G212">IFERROR(_xlfn.XLOOKUP(1, (SKUs!$J$2:$J$10001=accsry_unmerged!F212)*IF(H212&lt;&gt;"",(SKUs!$L$2:$L$10001=accsry_unmerged!H212),1)*(SKUs!$K$2:$K$10001=I212),SKUs!$C$2:$C$10001),"")</f>
        <v>0</v>
      </c>
      <c r="H212" s="36" cm="1">
        <f t="array" ref="H212">IFERROR(_xlfn.XLOOKUP(1, (dd_accsryclr!$C$2:$C$1000=accsry_unmerged!F212)*(dd_accsryclr!$B$2:$B$1000=accsry_unmerged!J212),dd_accsryclr!$A$2:$A$1000),"")</f>
        <v>0</v>
      </c>
      <c r="I212" s="35">
        <f>_xlfn.XLOOKUP(C212,'Project Details'!$C$17:$C$66,'Project Details'!$E$17:$E$66,"",0)</f>
        <v>0</v>
      </c>
      <c r="J212" s="35">
        <f>_xlfn.XLOOKUP(C212,'Project Details'!$C$17:$C$66,'Project Details'!$H$17:$H$66,"",0)</f>
        <v>0</v>
      </c>
      <c r="K212" s="36" t="str">
        <f>IF(AND(_xlfn.XLOOKUP(C212,'Project Details'!$C$17:$C$66,'Project Details'!$L$17:$L$66,"",0)&gt;550, F212="Spring-L27cm"),"",SUBSTITUTE(_xlfn.XLOOKUP(G212,SKUs!$C$2:$C$10001,SKUs!$F$2:$F$10001,"",0), " Accessories",""))</f>
        <v/>
      </c>
      <c r="L212" s="36">
        <f>_xlfn.XLOOKUP(C212,'Project Details'!$C$17:$C$66,'Project Details'!$D$17:$D$66,"",0)</f>
        <v>0</v>
      </c>
      <c r="M212" s="43"/>
    </row>
    <row r="213" spans="1:13" ht="13.5" customHeight="1" outlineLevel="1" x14ac:dyDescent="0.25">
      <c r="A213" s="43"/>
      <c r="B213" s="43"/>
      <c r="C213" s="16">
        <f t="shared" si="2"/>
        <v>4</v>
      </c>
      <c r="D213" s="16" t="str" cm="1">
        <f t="array" ref="D213">IFERROR(ROUNDUP(_xlfn.IFS(F213="Aluminum Track", _xlfn.XLOOKUP(C213, dd_accsrycalc!$A$2:$A$51, dd_accsrycalc!$B$2:$B$51, "",0), F213="10 x 2 1/2 S (Flat)", _xlfn.XLOOKUP(C213, dd_accsrycalc!$A$2:$A$51, dd_accsrycalc!$C$2:$C$51, "",0), F213="Tox6", _xlfn.XLOOKUP(C213, dd_accsrycalc!$A$2:$A$51, dd_accsrycalc!$D$2:$D$51, "",0), F213="Cover Cap", _xlfn.XLOOKUP(C213, dd_accsrycalc!$A$2:$A$51, dd_accsrycalc!$E$2:$E$51, "",0), F213="Drainage Cover", _xlfn.XLOOKUP(C213, dd_accsrycalc!$A$2:$A$51, dd_accsrycalc!$F$2:$F$51, "",0),AND( F213="Double Adhesive Tape", I213="Roll-up Screen"), _xlfn.XLOOKUP(C213, calc_rusacc!$C$15:$C$65, calc_rusacc!$AD$15:$AD$65, "",0),AND( F213="Sealant", I213="Roll-up Screen"), _xlfn.XLOOKUP(C213, calc_rusacc!$C$15:$C$65, calc_rusacc!$AF$15:$AF$65, "",0),  AND( F213="Main Chain", I213="Accordion Screen"), _xlfn.XLOOKUP(C213, calc_rusacc!$C$15:$C$65, calc_rusacc!$BF$15:$BF$65, "",0), AND( F213="Sealant", I213="Accordion Screen"), _xlfn.XLOOKUP(C213, calc_rusacc!$C$15:$C$65, calc_rusacc!$BJ$15:$BJ$65, "",0),  F213="Sealant", _xlfn.XLOOKUP(C213, dd_accsrycalc!$A$2:$A$51, dd_accsrycalc!$G$2:$G$51, "",0),  F213&lt;&gt;"",L213*_xlfn.XLOOKUP(1, (SKUs!$C$2:$C$10001=G213)*(SKUs!$K$2:$K$10001=I213),SKUs!$E$2:$E$10001)), 0),"")</f>
        <v/>
      </c>
      <c r="E213" s="16" t="str">
        <f>_xlfn.XLOOKUP(F213,dd_item!$B$2:$B$105,dd_item!$C$2:$C$105,"",0)</f>
        <v/>
      </c>
      <c r="F213" s="16"/>
      <c r="G213" s="16" cm="1">
        <f t="array" ref="G213">IFERROR(_xlfn.XLOOKUP(1, (SKUs!$J$2:$J$10001=accsry_unmerged!F213)*IF(H213&lt;&gt;"",(SKUs!$L$2:$L$10001=accsry_unmerged!H213),1)*(SKUs!$K$2:$K$10001=I213),SKUs!$C$2:$C$10001),"")</f>
        <v>0</v>
      </c>
      <c r="H213" s="33" cm="1">
        <f t="array" ref="H213">IFERROR(_xlfn.XLOOKUP(1, (dd_accsryclr!$C$2:$C$1000=accsry_unmerged!F213)*(dd_accsryclr!$B$2:$B$1000=accsry_unmerged!J213),dd_accsryclr!$A$2:$A$1000),"")</f>
        <v>0</v>
      </c>
      <c r="I213" s="16">
        <f>_xlfn.XLOOKUP(C213,'Project Details'!$C$17:$C$66,'Project Details'!$E$17:$E$66,"",0)</f>
        <v>0</v>
      </c>
      <c r="J213" s="16">
        <f>_xlfn.XLOOKUP(C213,'Project Details'!$C$17:$C$66,'Project Details'!$H$17:$H$66,"",0)</f>
        <v>0</v>
      </c>
      <c r="K213" s="33" t="str">
        <f>IF(AND(_xlfn.XLOOKUP(C213,'Project Details'!$C$17:$C$66,'Project Details'!$L$17:$L$66,"",0)&gt;550, F213="Spring-L27cm"),"",SUBSTITUTE(_xlfn.XLOOKUP(G213,SKUs!$C$2:$C$10001,SKUs!$F$2:$F$10001,"",0), " Accessories",""))</f>
        <v/>
      </c>
      <c r="L213" s="33">
        <f>_xlfn.XLOOKUP(C213,'Project Details'!$C$17:$C$66,'Project Details'!$D$17:$D$66,"",0)</f>
        <v>0</v>
      </c>
      <c r="M213" s="43"/>
    </row>
    <row r="214" spans="1:13" x14ac:dyDescent="0.25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</row>
    <row r="215" spans="1:13" x14ac:dyDescent="0.25">
      <c r="A215" s="43"/>
      <c r="B215" s="43"/>
      <c r="C215" s="16">
        <f>C213+1</f>
        <v>5</v>
      </c>
      <c r="D215" s="48" cm="1">
        <f t="array" ref="D215">IFERROR(ROUNDUP(_xlfn.IFS(F215="Aluminum Track", _xlfn.XLOOKUP(C215, dd_accsrycalc!$A$2:$A$51, dd_accsrycalc!$B$2:$B$51, "",0), F215="10 x 2 1/2 S (Flat)", _xlfn.XLOOKUP(C215, dd_accsrycalc!$A$2:$A$51, dd_accsrycalc!$C$2:$C$51, "",0), F215="Tox6", _xlfn.XLOOKUP(C215, dd_accsrycalc!$A$2:$A$51, dd_accsrycalc!$D$2:$D$51, "",0), F215="Cover Cap", _xlfn.XLOOKUP(C215, dd_accsrycalc!$A$2:$A$51, dd_accsrycalc!$E$2:$E$51, "",0), F215="Drainage Cover", _xlfn.XLOOKUP(C215, dd_accsrycalc!$A$2:$A$51, dd_accsrycalc!$F$2:$F$51, "",0),AND( F215="Double Adhesive Tape", I215="Roll-up Screen"), _xlfn.XLOOKUP(C215, calc_rusacc!$C$15:$C$65, calc_rusacc!$AD$15:$AD$65, "",0),AND( F215="Sealant", I215="Roll-up Screen"), _xlfn.XLOOKUP(C215, calc_rusacc!$C$15:$C$65, calc_rusacc!$AF$15:$AF$65, "",0),  AND( F215="Main Chain", I215="Accordion Screen"), _xlfn.XLOOKUP(C215, calc_rusacc!$C$15:$C$65, calc_rusacc!$BF$15:$BF$65, "",0), AND( F215="Sealant", I215="Accordion Screen"), _xlfn.XLOOKUP(C215, calc_rusacc!$C$15:$C$65, calc_rusacc!$BJ$15:$BJ$65, "",0),  F215="Sealant", _xlfn.XLOOKUP(C215, dd_accsrycalc!$A$2:$A$51, dd_accsrycalc!$G$2:$G$51, "",0),  F215&lt;&gt;"",L215*_xlfn.XLOOKUP(1, (SKUs!$C$2:$C$10001=G215)*(SKUs!$K$2:$K$10001=I215),SKUs!$E$2:$E$10001)), 0),"")</f>
        <v>0</v>
      </c>
      <c r="E215" s="48" t="str">
        <f>_xlfn.XLOOKUP(F215,dd_item!$B$2:$B$105,dd_item!$C$2:$C$105,"",0)</f>
        <v/>
      </c>
      <c r="F215" s="48" cm="1">
        <f t="array" ref="F215">IFERROR(_xlfn.UNIQUE(_xlfn._xlws.FILTER(SKUs!$J$2:$J$10001, (SKUs!$F$2:$F$10001&lt;&gt;"Cutting List") * (SKUs!$A$2:$A$10001=_xlfn.XLOOKUP(_xlfn.XLOOKUP(C215,'Project Details'!$C$17:$C$66,'Project Details'!$E$17:$E$66,"",0), dd_design_raw!$A$2:$A$101,dd_design_raw!$C$2:$C$101,"",0)))), "")</f>
        <v>0</v>
      </c>
      <c r="G215" s="16" cm="1">
        <f t="array" ref="G215">IFERROR(_xlfn.XLOOKUP(1, (SKUs!$J$2:$J$10001=accsry_unmerged!F215)*IF(H215&lt;&gt;"",(SKUs!$L$2:$L$10001=accsry_unmerged!H215),1)*(SKUs!$K$2:$K$10001=I215),SKUs!$C$2:$C$10001),"")</f>
        <v>0</v>
      </c>
      <c r="H215" s="16" cm="1">
        <f t="array" ref="H215">IFERROR(_xlfn.XLOOKUP(1, (dd_accsryclr!$C$2:$C$1000=accsry_unmerged!F215)*(dd_accsryclr!$B$2:$B$1000=accsry_unmerged!J215),dd_accsryclr!$A$2:$A$1000),"")</f>
        <v>0</v>
      </c>
      <c r="I215" s="16">
        <f>_xlfn.XLOOKUP(C215,'Project Details'!$C$17:$C$66,'Project Details'!$E$17:$E$66,"",0)</f>
        <v>0</v>
      </c>
      <c r="J215" s="16">
        <f>_xlfn.XLOOKUP(C215,'Project Details'!$C$17:$C$66,'Project Details'!$H$17:$H$66,"",0)</f>
        <v>0</v>
      </c>
      <c r="K215" s="16" t="str">
        <f>IF(AND(_xlfn.XLOOKUP(C215,'Project Details'!$C$17:$C$66,'Project Details'!$L$17:$L$66,"",0)&gt;550, F215="Spring-L27cm"),"",SUBSTITUTE(_xlfn.XLOOKUP(G215,SKUs!$C$2:$C$10001,SKUs!$F$2:$F$10001,"",0), " Accessories",""))</f>
        <v/>
      </c>
      <c r="L215" s="16">
        <f>_xlfn.XLOOKUP(C215,'Project Details'!$C$17:$C$66,'Project Details'!$D$17:$D$66,"",0)</f>
        <v>0</v>
      </c>
      <c r="M215" s="43"/>
    </row>
    <row r="216" spans="1:13" x14ac:dyDescent="0.25">
      <c r="A216" s="43"/>
      <c r="B216" s="43"/>
      <c r="C216" s="35">
        <f>C215</f>
        <v>5</v>
      </c>
      <c r="D216" s="35" t="str" cm="1">
        <f t="array" ref="D216">IFERROR(ROUNDUP(_xlfn.IFS(F216="Aluminum Track", _xlfn.XLOOKUP(C216, dd_accsrycalc!$A$2:$A$51, dd_accsrycalc!$B$2:$B$51, "",0), F216="10 x 2 1/2 S (Flat)", _xlfn.XLOOKUP(C216, dd_accsrycalc!$A$2:$A$51, dd_accsrycalc!$C$2:$C$51, "",0), F216="Tox6", _xlfn.XLOOKUP(C216, dd_accsrycalc!$A$2:$A$51, dd_accsrycalc!$D$2:$D$51, "",0), F216="Cover Cap", _xlfn.XLOOKUP(C216, dd_accsrycalc!$A$2:$A$51, dd_accsrycalc!$E$2:$E$51, "",0), F216="Drainage Cover", _xlfn.XLOOKUP(C216, dd_accsrycalc!$A$2:$A$51, dd_accsrycalc!$F$2:$F$51, "",0),AND( F216="Double Adhesive Tape", I216="Roll-up Screen"), _xlfn.XLOOKUP(C216, calc_rusacc!$C$15:$C$65, calc_rusacc!$AD$15:$AD$65, "",0),AND( F216="Sealant", I216="Roll-up Screen"), _xlfn.XLOOKUP(C216, calc_rusacc!$C$15:$C$65, calc_rusacc!$AF$15:$AF$65, "",0),  AND( F216="Main Chain", I216="Accordion Screen"), _xlfn.XLOOKUP(C216, calc_rusacc!$C$15:$C$65, calc_rusacc!$BF$15:$BF$65, "",0), AND( F216="Sealant", I216="Accordion Screen"), _xlfn.XLOOKUP(C216, calc_rusacc!$C$15:$C$65, calc_rusacc!$BJ$15:$BJ$65, "",0),  F216="Sealant", _xlfn.XLOOKUP(C216, dd_accsrycalc!$A$2:$A$51, dd_accsrycalc!$G$2:$G$51, "",0),  F216&lt;&gt;"",L216*_xlfn.XLOOKUP(1, (SKUs!$C$2:$C$10001=G216)*(SKUs!$K$2:$K$10001=I216),SKUs!$E$2:$E$10001)), 0),"")</f>
        <v/>
      </c>
      <c r="E216" s="35" t="str">
        <f>_xlfn.XLOOKUP(F216,dd_item!$B$2:$B$105,dd_item!$C$2:$C$105,"",0)</f>
        <v/>
      </c>
      <c r="F216" s="35"/>
      <c r="G216" s="35" cm="1">
        <f t="array" ref="G216">IFERROR(_xlfn.XLOOKUP(1, (SKUs!$J$2:$J$10001=accsry_unmerged!F216)*IF(H216&lt;&gt;"",(SKUs!$L$2:$L$10001=accsry_unmerged!H216),1)*(SKUs!$K$2:$K$10001=I216),SKUs!$C$2:$C$10001),"")</f>
        <v>0</v>
      </c>
      <c r="H216" s="36" cm="1">
        <f t="array" ref="H216">IFERROR(_xlfn.XLOOKUP(1, (dd_accsryclr!$C$2:$C$1000=accsry_unmerged!F216)*(dd_accsryclr!$B$2:$B$1000=accsry_unmerged!J216),dd_accsryclr!$A$2:$A$1000),"")</f>
        <v>0</v>
      </c>
      <c r="I216" s="35">
        <f>_xlfn.XLOOKUP(C216,'Project Details'!$C$17:$C$66,'Project Details'!$E$17:$E$66,"",0)</f>
        <v>0</v>
      </c>
      <c r="J216" s="35">
        <f>_xlfn.XLOOKUP(C216,'Project Details'!$C$17:$C$66,'Project Details'!$H$17:$H$66,"",0)</f>
        <v>0</v>
      </c>
      <c r="K216" s="36" t="str">
        <f>IF(AND(_xlfn.XLOOKUP(C216,'Project Details'!$C$17:$C$66,'Project Details'!$L$17:$L$66,"",0)&gt;550, F216="Spring-L27cm"),"",SUBSTITUTE(_xlfn.XLOOKUP(G216,SKUs!$C$2:$C$10001,SKUs!$F$2:$F$10001,"",0), " Accessories",""))</f>
        <v/>
      </c>
      <c r="L216" s="36">
        <f>_xlfn.XLOOKUP(C216,'Project Details'!$C$17:$C$66,'Project Details'!$D$17:$D$66,"",0)</f>
        <v>0</v>
      </c>
      <c r="M216" s="43"/>
    </row>
    <row r="217" spans="1:13" x14ac:dyDescent="0.25">
      <c r="A217" s="43"/>
      <c r="B217" s="43"/>
      <c r="C217" s="16">
        <f t="shared" ref="C217:C263" si="3">C216</f>
        <v>5</v>
      </c>
      <c r="D217" s="16" t="str" cm="1">
        <f t="array" ref="D217">IFERROR(ROUNDUP(_xlfn.IFS(F217="Aluminum Track", _xlfn.XLOOKUP(C217, dd_accsrycalc!$A$2:$A$51, dd_accsrycalc!$B$2:$B$51, "",0), F217="10 x 2 1/2 S (Flat)", _xlfn.XLOOKUP(C217, dd_accsrycalc!$A$2:$A$51, dd_accsrycalc!$C$2:$C$51, "",0), F217="Tox6", _xlfn.XLOOKUP(C217, dd_accsrycalc!$A$2:$A$51, dd_accsrycalc!$D$2:$D$51, "",0), F217="Cover Cap", _xlfn.XLOOKUP(C217, dd_accsrycalc!$A$2:$A$51, dd_accsrycalc!$E$2:$E$51, "",0), F217="Drainage Cover", _xlfn.XLOOKUP(C217, dd_accsrycalc!$A$2:$A$51, dd_accsrycalc!$F$2:$F$51, "",0),AND( F217="Double Adhesive Tape", I217="Roll-up Screen"), _xlfn.XLOOKUP(C217, calc_rusacc!$C$15:$C$65, calc_rusacc!$AD$15:$AD$65, "",0),AND( F217="Sealant", I217="Roll-up Screen"), _xlfn.XLOOKUP(C217, calc_rusacc!$C$15:$C$65, calc_rusacc!$AF$15:$AF$65, "",0),  AND( F217="Main Chain", I217="Accordion Screen"), _xlfn.XLOOKUP(C217, calc_rusacc!$C$15:$C$65, calc_rusacc!$BF$15:$BF$65, "",0), AND( F217="Sealant", I217="Accordion Screen"), _xlfn.XLOOKUP(C217, calc_rusacc!$C$15:$C$65, calc_rusacc!$BJ$15:$BJ$65, "",0),  F217="Sealant", _xlfn.XLOOKUP(C217, dd_accsrycalc!$A$2:$A$51, dd_accsrycalc!$G$2:$G$51, "",0),  F217&lt;&gt;"",L217*_xlfn.XLOOKUP(1, (SKUs!$C$2:$C$10001=G217)*(SKUs!$K$2:$K$10001=I217),SKUs!$E$2:$E$10001)), 0),"")</f>
        <v/>
      </c>
      <c r="E217" s="16" t="str">
        <f>_xlfn.XLOOKUP(F217,dd_item!$B$2:$B$105,dd_item!$C$2:$C$105,"",0)</f>
        <v/>
      </c>
      <c r="F217" s="16"/>
      <c r="G217" s="16" cm="1">
        <f t="array" ref="G217">IFERROR(_xlfn.XLOOKUP(1, (SKUs!$J$2:$J$10001=accsry_unmerged!F217)*IF(H217&lt;&gt;"",(SKUs!$L$2:$L$10001=accsry_unmerged!H217),1)*(SKUs!$K$2:$K$10001=I217),SKUs!$C$2:$C$10001),"")</f>
        <v>0</v>
      </c>
      <c r="H217" s="33" cm="1">
        <f t="array" ref="H217">IFERROR(_xlfn.XLOOKUP(1, (dd_accsryclr!$C$2:$C$1000=accsry_unmerged!F217)*(dd_accsryclr!$B$2:$B$1000=accsry_unmerged!J217),dd_accsryclr!$A$2:$A$1000),"")</f>
        <v>0</v>
      </c>
      <c r="I217" s="16">
        <f>_xlfn.XLOOKUP(C217,'Project Details'!$C$17:$C$66,'Project Details'!$E$17:$E$66,"",0)</f>
        <v>0</v>
      </c>
      <c r="J217" s="16">
        <f>_xlfn.XLOOKUP(C217,'Project Details'!$C$17:$C$66,'Project Details'!$H$17:$H$66,"",0)</f>
        <v>0</v>
      </c>
      <c r="K217" s="33" t="str">
        <f>IF(AND(_xlfn.XLOOKUP(C217,'Project Details'!$C$17:$C$66,'Project Details'!$L$17:$L$66,"",0)&gt;550, F217="Spring-L27cm"),"",SUBSTITUTE(_xlfn.XLOOKUP(G217,SKUs!$C$2:$C$10001,SKUs!$F$2:$F$10001,"",0), " Accessories",""))</f>
        <v/>
      </c>
      <c r="L217" s="33">
        <f>_xlfn.XLOOKUP(C217,'Project Details'!$C$17:$C$66,'Project Details'!$D$17:$D$66,"",0)</f>
        <v>0</v>
      </c>
      <c r="M217" s="43"/>
    </row>
    <row r="218" spans="1:13" x14ac:dyDescent="0.25">
      <c r="A218" s="43"/>
      <c r="B218" s="43"/>
      <c r="C218" s="35">
        <f t="shared" si="3"/>
        <v>5</v>
      </c>
      <c r="D218" s="35" t="str" cm="1">
        <f t="array" ref="D218">IFERROR(ROUNDUP(_xlfn.IFS(F218="Aluminum Track", _xlfn.XLOOKUP(C218, dd_accsrycalc!$A$2:$A$51, dd_accsrycalc!$B$2:$B$51, "",0), F218="10 x 2 1/2 S (Flat)", _xlfn.XLOOKUP(C218, dd_accsrycalc!$A$2:$A$51, dd_accsrycalc!$C$2:$C$51, "",0), F218="Tox6", _xlfn.XLOOKUP(C218, dd_accsrycalc!$A$2:$A$51, dd_accsrycalc!$D$2:$D$51, "",0), F218="Cover Cap", _xlfn.XLOOKUP(C218, dd_accsrycalc!$A$2:$A$51, dd_accsrycalc!$E$2:$E$51, "",0), F218="Drainage Cover", _xlfn.XLOOKUP(C218, dd_accsrycalc!$A$2:$A$51, dd_accsrycalc!$F$2:$F$51, "",0),AND( F218="Double Adhesive Tape", I218="Roll-up Screen"), _xlfn.XLOOKUP(C218, calc_rusacc!$C$15:$C$65, calc_rusacc!$AD$15:$AD$65, "",0),AND( F218="Sealant", I218="Roll-up Screen"), _xlfn.XLOOKUP(C218, calc_rusacc!$C$15:$C$65, calc_rusacc!$AF$15:$AF$65, "",0),  AND( F218="Main Chain", I218="Accordion Screen"), _xlfn.XLOOKUP(C218, calc_rusacc!$C$15:$C$65, calc_rusacc!$BF$15:$BF$65, "",0), AND( F218="Sealant", I218="Accordion Screen"), _xlfn.XLOOKUP(C218, calc_rusacc!$C$15:$C$65, calc_rusacc!$BJ$15:$BJ$65, "",0),  F218="Sealant", _xlfn.XLOOKUP(C218, dd_accsrycalc!$A$2:$A$51, dd_accsrycalc!$G$2:$G$51, "",0),  F218&lt;&gt;"",L218*_xlfn.XLOOKUP(1, (SKUs!$C$2:$C$10001=G218)*(SKUs!$K$2:$K$10001=I218),SKUs!$E$2:$E$10001)), 0),"")</f>
        <v/>
      </c>
      <c r="E218" s="35" t="str">
        <f>_xlfn.XLOOKUP(F218,dd_item!$B$2:$B$105,dd_item!$C$2:$C$105,"",0)</f>
        <v/>
      </c>
      <c r="F218" s="35"/>
      <c r="G218" s="35" cm="1">
        <f t="array" ref="G218">IFERROR(_xlfn.XLOOKUP(1, (SKUs!$J$2:$J$10001=accsry_unmerged!F218)*IF(H218&lt;&gt;"",(SKUs!$L$2:$L$10001=accsry_unmerged!H218),1)*(SKUs!$K$2:$K$10001=I218),SKUs!$C$2:$C$10001),"")</f>
        <v>0</v>
      </c>
      <c r="H218" s="36" cm="1">
        <f t="array" ref="H218">IFERROR(_xlfn.XLOOKUP(1, (dd_accsryclr!$C$2:$C$1000=accsry_unmerged!F218)*(dd_accsryclr!$B$2:$B$1000=accsry_unmerged!J218),dd_accsryclr!$A$2:$A$1000),"")</f>
        <v>0</v>
      </c>
      <c r="I218" s="35">
        <f>_xlfn.XLOOKUP(C218,'Project Details'!$C$17:$C$66,'Project Details'!$E$17:$E$66,"",0)</f>
        <v>0</v>
      </c>
      <c r="J218" s="35">
        <f>_xlfn.XLOOKUP(C218,'Project Details'!$C$17:$C$66,'Project Details'!$H$17:$H$66,"",0)</f>
        <v>0</v>
      </c>
      <c r="K218" s="36" t="str">
        <f>IF(AND(_xlfn.XLOOKUP(C218,'Project Details'!$C$17:$C$66,'Project Details'!$L$17:$L$66,"",0)&gt;550, F218="Spring-L27cm"),"",SUBSTITUTE(_xlfn.XLOOKUP(G218,SKUs!$C$2:$C$10001,SKUs!$F$2:$F$10001,"",0), " Accessories",""))</f>
        <v/>
      </c>
      <c r="L218" s="36">
        <f>_xlfn.XLOOKUP(C218,'Project Details'!$C$17:$C$66,'Project Details'!$D$17:$D$66,"",0)</f>
        <v>0</v>
      </c>
      <c r="M218" s="43"/>
    </row>
    <row r="219" spans="1:13" x14ac:dyDescent="0.25">
      <c r="A219" s="43"/>
      <c r="B219" s="43"/>
      <c r="C219" s="16">
        <f t="shared" si="3"/>
        <v>5</v>
      </c>
      <c r="D219" s="16" t="str" cm="1">
        <f t="array" ref="D219">IFERROR(ROUNDUP(_xlfn.IFS(F219="Aluminum Track", _xlfn.XLOOKUP(C219, dd_accsrycalc!$A$2:$A$51, dd_accsrycalc!$B$2:$B$51, "",0), F219="10 x 2 1/2 S (Flat)", _xlfn.XLOOKUP(C219, dd_accsrycalc!$A$2:$A$51, dd_accsrycalc!$C$2:$C$51, "",0), F219="Tox6", _xlfn.XLOOKUP(C219, dd_accsrycalc!$A$2:$A$51, dd_accsrycalc!$D$2:$D$51, "",0), F219="Cover Cap", _xlfn.XLOOKUP(C219, dd_accsrycalc!$A$2:$A$51, dd_accsrycalc!$E$2:$E$51, "",0), F219="Drainage Cover", _xlfn.XLOOKUP(C219, dd_accsrycalc!$A$2:$A$51, dd_accsrycalc!$F$2:$F$51, "",0),AND( F219="Double Adhesive Tape", I219="Roll-up Screen"), _xlfn.XLOOKUP(C219, calc_rusacc!$C$15:$C$65, calc_rusacc!$AD$15:$AD$65, "",0),AND( F219="Sealant", I219="Roll-up Screen"), _xlfn.XLOOKUP(C219, calc_rusacc!$C$15:$C$65, calc_rusacc!$AF$15:$AF$65, "",0),  AND( F219="Main Chain", I219="Accordion Screen"), _xlfn.XLOOKUP(C219, calc_rusacc!$C$15:$C$65, calc_rusacc!$BF$15:$BF$65, "",0), AND( F219="Sealant", I219="Accordion Screen"), _xlfn.XLOOKUP(C219, calc_rusacc!$C$15:$C$65, calc_rusacc!$BJ$15:$BJ$65, "",0),  F219="Sealant", _xlfn.XLOOKUP(C219, dd_accsrycalc!$A$2:$A$51, dd_accsrycalc!$G$2:$G$51, "",0),  F219&lt;&gt;"",L219*_xlfn.XLOOKUP(1, (SKUs!$C$2:$C$10001=G219)*(SKUs!$K$2:$K$10001=I219),SKUs!$E$2:$E$10001)), 0),"")</f>
        <v/>
      </c>
      <c r="E219" s="16" t="str">
        <f>_xlfn.XLOOKUP(F219,dd_item!$B$2:$B$105,dd_item!$C$2:$C$105,"",0)</f>
        <v/>
      </c>
      <c r="F219" s="16"/>
      <c r="G219" s="16" cm="1">
        <f t="array" ref="G219">IFERROR(_xlfn.XLOOKUP(1, (SKUs!$J$2:$J$10001=accsry_unmerged!F219)*IF(H219&lt;&gt;"",(SKUs!$L$2:$L$10001=accsry_unmerged!H219),1)*(SKUs!$K$2:$K$10001=I219),SKUs!$C$2:$C$10001),"")</f>
        <v>0</v>
      </c>
      <c r="H219" s="33" cm="1">
        <f t="array" ref="H219">IFERROR(_xlfn.XLOOKUP(1, (dd_accsryclr!$C$2:$C$1000=accsry_unmerged!F219)*(dd_accsryclr!$B$2:$B$1000=accsry_unmerged!J219),dd_accsryclr!$A$2:$A$1000),"")</f>
        <v>0</v>
      </c>
      <c r="I219" s="16">
        <f>_xlfn.XLOOKUP(C219,'Project Details'!$C$17:$C$66,'Project Details'!$E$17:$E$66,"",0)</f>
        <v>0</v>
      </c>
      <c r="J219" s="16">
        <f>_xlfn.XLOOKUP(C219,'Project Details'!$C$17:$C$66,'Project Details'!$H$17:$H$66,"",0)</f>
        <v>0</v>
      </c>
      <c r="K219" s="33" t="str">
        <f>IF(AND(_xlfn.XLOOKUP(C219,'Project Details'!$C$17:$C$66,'Project Details'!$L$17:$L$66,"",0)&gt;550, F219="Spring-L27cm"),"",SUBSTITUTE(_xlfn.XLOOKUP(G219,SKUs!$C$2:$C$10001,SKUs!$F$2:$F$10001,"",0), " Accessories",""))</f>
        <v/>
      </c>
      <c r="L219" s="33">
        <f>_xlfn.XLOOKUP(C219,'Project Details'!$C$17:$C$66,'Project Details'!$D$17:$D$66,"",0)</f>
        <v>0</v>
      </c>
      <c r="M219" s="43"/>
    </row>
    <row r="220" spans="1:13" x14ac:dyDescent="0.25">
      <c r="A220" s="43"/>
      <c r="B220" s="43"/>
      <c r="C220" s="35">
        <f t="shared" si="3"/>
        <v>5</v>
      </c>
      <c r="D220" s="35" t="str" cm="1">
        <f t="array" ref="D220">IFERROR(ROUNDUP(_xlfn.IFS(F220="Aluminum Track", _xlfn.XLOOKUP(C220, dd_accsrycalc!$A$2:$A$51, dd_accsrycalc!$B$2:$B$51, "",0), F220="10 x 2 1/2 S (Flat)", _xlfn.XLOOKUP(C220, dd_accsrycalc!$A$2:$A$51, dd_accsrycalc!$C$2:$C$51, "",0), F220="Tox6", _xlfn.XLOOKUP(C220, dd_accsrycalc!$A$2:$A$51, dd_accsrycalc!$D$2:$D$51, "",0), F220="Cover Cap", _xlfn.XLOOKUP(C220, dd_accsrycalc!$A$2:$A$51, dd_accsrycalc!$E$2:$E$51, "",0), F220="Drainage Cover", _xlfn.XLOOKUP(C220, dd_accsrycalc!$A$2:$A$51, dd_accsrycalc!$F$2:$F$51, "",0),AND( F220="Double Adhesive Tape", I220="Roll-up Screen"), _xlfn.XLOOKUP(C220, calc_rusacc!$C$15:$C$65, calc_rusacc!$AD$15:$AD$65, "",0),AND( F220="Sealant", I220="Roll-up Screen"), _xlfn.XLOOKUP(C220, calc_rusacc!$C$15:$C$65, calc_rusacc!$AF$15:$AF$65, "",0),  AND( F220="Main Chain", I220="Accordion Screen"), _xlfn.XLOOKUP(C220, calc_rusacc!$C$15:$C$65, calc_rusacc!$BF$15:$BF$65, "",0), AND( F220="Sealant", I220="Accordion Screen"), _xlfn.XLOOKUP(C220, calc_rusacc!$C$15:$C$65, calc_rusacc!$BJ$15:$BJ$65, "",0),  F220="Sealant", _xlfn.XLOOKUP(C220, dd_accsrycalc!$A$2:$A$51, dd_accsrycalc!$G$2:$G$51, "",0),  F220&lt;&gt;"",L220*_xlfn.XLOOKUP(1, (SKUs!$C$2:$C$10001=G220)*(SKUs!$K$2:$K$10001=I220),SKUs!$E$2:$E$10001)), 0),"")</f>
        <v/>
      </c>
      <c r="E220" s="35" t="str">
        <f>_xlfn.XLOOKUP(F220,dd_item!$B$2:$B$105,dd_item!$C$2:$C$105,"",0)</f>
        <v/>
      </c>
      <c r="F220" s="35"/>
      <c r="G220" s="35" cm="1">
        <f t="array" ref="G220">IFERROR(_xlfn.XLOOKUP(1, (SKUs!$J$2:$J$10001=accsry_unmerged!F220)*IF(H220&lt;&gt;"",(SKUs!$L$2:$L$10001=accsry_unmerged!H220),1)*(SKUs!$K$2:$K$10001=I220),SKUs!$C$2:$C$10001),"")</f>
        <v>0</v>
      </c>
      <c r="H220" s="36" cm="1">
        <f t="array" ref="H220">IFERROR(_xlfn.XLOOKUP(1, (dd_accsryclr!$C$2:$C$1000=accsry_unmerged!F220)*(dd_accsryclr!$B$2:$B$1000=accsry_unmerged!J220),dd_accsryclr!$A$2:$A$1000),"")</f>
        <v>0</v>
      </c>
      <c r="I220" s="35">
        <f>_xlfn.XLOOKUP(C220,'Project Details'!$C$17:$C$66,'Project Details'!$E$17:$E$66,"",0)</f>
        <v>0</v>
      </c>
      <c r="J220" s="35">
        <f>_xlfn.XLOOKUP(C220,'Project Details'!$C$17:$C$66,'Project Details'!$H$17:$H$66,"",0)</f>
        <v>0</v>
      </c>
      <c r="K220" s="36" t="str">
        <f>IF(AND(_xlfn.XLOOKUP(C220,'Project Details'!$C$17:$C$66,'Project Details'!$L$17:$L$66,"",0)&gt;550, F220="Spring-L27cm"),"",SUBSTITUTE(_xlfn.XLOOKUP(G220,SKUs!$C$2:$C$10001,SKUs!$F$2:$F$10001,"",0), " Accessories",""))</f>
        <v/>
      </c>
      <c r="L220" s="36">
        <f>_xlfn.XLOOKUP(C220,'Project Details'!$C$17:$C$66,'Project Details'!$D$17:$D$66,"",0)</f>
        <v>0</v>
      </c>
      <c r="M220" s="43"/>
    </row>
    <row r="221" spans="1:13" x14ac:dyDescent="0.25">
      <c r="A221" s="43"/>
      <c r="B221" s="43"/>
      <c r="C221" s="16">
        <f t="shared" si="3"/>
        <v>5</v>
      </c>
      <c r="D221" s="16" t="str" cm="1">
        <f t="array" ref="D221">IFERROR(ROUNDUP(_xlfn.IFS(F221="Aluminum Track", _xlfn.XLOOKUP(C221, dd_accsrycalc!$A$2:$A$51, dd_accsrycalc!$B$2:$B$51, "",0), F221="10 x 2 1/2 S (Flat)", _xlfn.XLOOKUP(C221, dd_accsrycalc!$A$2:$A$51, dd_accsrycalc!$C$2:$C$51, "",0), F221="Tox6", _xlfn.XLOOKUP(C221, dd_accsrycalc!$A$2:$A$51, dd_accsrycalc!$D$2:$D$51, "",0), F221="Cover Cap", _xlfn.XLOOKUP(C221, dd_accsrycalc!$A$2:$A$51, dd_accsrycalc!$E$2:$E$51, "",0), F221="Drainage Cover", _xlfn.XLOOKUP(C221, dd_accsrycalc!$A$2:$A$51, dd_accsrycalc!$F$2:$F$51, "",0),AND( F221="Double Adhesive Tape", I221="Roll-up Screen"), _xlfn.XLOOKUP(C221, calc_rusacc!$C$15:$C$65, calc_rusacc!$AD$15:$AD$65, "",0),AND( F221="Sealant", I221="Roll-up Screen"), _xlfn.XLOOKUP(C221, calc_rusacc!$C$15:$C$65, calc_rusacc!$AF$15:$AF$65, "",0),  AND( F221="Main Chain", I221="Accordion Screen"), _xlfn.XLOOKUP(C221, calc_rusacc!$C$15:$C$65, calc_rusacc!$BF$15:$BF$65, "",0), AND( F221="Sealant", I221="Accordion Screen"), _xlfn.XLOOKUP(C221, calc_rusacc!$C$15:$C$65, calc_rusacc!$BJ$15:$BJ$65, "",0),  F221="Sealant", _xlfn.XLOOKUP(C221, dd_accsrycalc!$A$2:$A$51, dd_accsrycalc!$G$2:$G$51, "",0),  F221&lt;&gt;"",L221*_xlfn.XLOOKUP(1, (SKUs!$C$2:$C$10001=G221)*(SKUs!$K$2:$K$10001=I221),SKUs!$E$2:$E$10001)), 0),"")</f>
        <v/>
      </c>
      <c r="E221" s="16" t="str">
        <f>_xlfn.XLOOKUP(F221,dd_item!$B$2:$B$105,dd_item!$C$2:$C$105,"",0)</f>
        <v/>
      </c>
      <c r="F221" s="16"/>
      <c r="G221" s="16" cm="1">
        <f t="array" ref="G221">IFERROR(_xlfn.XLOOKUP(1, (SKUs!$J$2:$J$10001=accsry_unmerged!F221)*IF(H221&lt;&gt;"",(SKUs!$L$2:$L$10001=accsry_unmerged!H221),1)*(SKUs!$K$2:$K$10001=I221),SKUs!$C$2:$C$10001),"")</f>
        <v>0</v>
      </c>
      <c r="H221" s="33" cm="1">
        <f t="array" ref="H221">IFERROR(_xlfn.XLOOKUP(1, (dd_accsryclr!$C$2:$C$1000=accsry_unmerged!F221)*(dd_accsryclr!$B$2:$B$1000=accsry_unmerged!J221),dd_accsryclr!$A$2:$A$1000),"")</f>
        <v>0</v>
      </c>
      <c r="I221" s="16">
        <f>_xlfn.XLOOKUP(C221,'Project Details'!$C$17:$C$66,'Project Details'!$E$17:$E$66,"",0)</f>
        <v>0</v>
      </c>
      <c r="J221" s="16">
        <f>_xlfn.XLOOKUP(C221,'Project Details'!$C$17:$C$66,'Project Details'!$H$17:$H$66,"",0)</f>
        <v>0</v>
      </c>
      <c r="K221" s="33" t="str">
        <f>IF(AND(_xlfn.XLOOKUP(C221,'Project Details'!$C$17:$C$66,'Project Details'!$L$17:$L$66,"",0)&gt;550, F221="Spring-L27cm"),"",SUBSTITUTE(_xlfn.XLOOKUP(G221,SKUs!$C$2:$C$10001,SKUs!$F$2:$F$10001,"",0), " Accessories",""))</f>
        <v/>
      </c>
      <c r="L221" s="33">
        <f>_xlfn.XLOOKUP(C221,'Project Details'!$C$17:$C$66,'Project Details'!$D$17:$D$66,"",0)</f>
        <v>0</v>
      </c>
      <c r="M221" s="43"/>
    </row>
    <row r="222" spans="1:13" x14ac:dyDescent="0.25">
      <c r="A222" s="43"/>
      <c r="B222" s="43"/>
      <c r="C222" s="35">
        <f t="shared" si="3"/>
        <v>5</v>
      </c>
      <c r="D222" s="35" t="str" cm="1">
        <f t="array" ref="D222">IFERROR(ROUNDUP(_xlfn.IFS(F222="Aluminum Track", _xlfn.XLOOKUP(C222, dd_accsrycalc!$A$2:$A$51, dd_accsrycalc!$B$2:$B$51, "",0), F222="10 x 2 1/2 S (Flat)", _xlfn.XLOOKUP(C222, dd_accsrycalc!$A$2:$A$51, dd_accsrycalc!$C$2:$C$51, "",0), F222="Tox6", _xlfn.XLOOKUP(C222, dd_accsrycalc!$A$2:$A$51, dd_accsrycalc!$D$2:$D$51, "",0), F222="Cover Cap", _xlfn.XLOOKUP(C222, dd_accsrycalc!$A$2:$A$51, dd_accsrycalc!$E$2:$E$51, "",0), F222="Drainage Cover", _xlfn.XLOOKUP(C222, dd_accsrycalc!$A$2:$A$51, dd_accsrycalc!$F$2:$F$51, "",0),AND( F222="Double Adhesive Tape", I222="Roll-up Screen"), _xlfn.XLOOKUP(C222, calc_rusacc!$C$15:$C$65, calc_rusacc!$AD$15:$AD$65, "",0),AND( F222="Sealant", I222="Roll-up Screen"), _xlfn.XLOOKUP(C222, calc_rusacc!$C$15:$C$65, calc_rusacc!$AF$15:$AF$65, "",0),  AND( F222="Main Chain", I222="Accordion Screen"), _xlfn.XLOOKUP(C222, calc_rusacc!$C$15:$C$65, calc_rusacc!$BF$15:$BF$65, "",0), AND( F222="Sealant", I222="Accordion Screen"), _xlfn.XLOOKUP(C222, calc_rusacc!$C$15:$C$65, calc_rusacc!$BJ$15:$BJ$65, "",0),  F222="Sealant", _xlfn.XLOOKUP(C222, dd_accsrycalc!$A$2:$A$51, dd_accsrycalc!$G$2:$G$51, "",0),  F222&lt;&gt;"",L222*_xlfn.XLOOKUP(1, (SKUs!$C$2:$C$10001=G222)*(SKUs!$K$2:$K$10001=I222),SKUs!$E$2:$E$10001)), 0),"")</f>
        <v/>
      </c>
      <c r="E222" s="35" t="str">
        <f>_xlfn.XLOOKUP(F222,dd_item!$B$2:$B$105,dd_item!$C$2:$C$105,"",0)</f>
        <v/>
      </c>
      <c r="F222" s="35"/>
      <c r="G222" s="35" cm="1">
        <f t="array" ref="G222">IFERROR(_xlfn.XLOOKUP(1, (SKUs!$J$2:$J$10001=accsry_unmerged!F222)*IF(H222&lt;&gt;"",(SKUs!$L$2:$L$10001=accsry_unmerged!H222),1)*(SKUs!$K$2:$K$10001=I222),SKUs!$C$2:$C$10001),"")</f>
        <v>0</v>
      </c>
      <c r="H222" s="36" cm="1">
        <f t="array" ref="H222">IFERROR(_xlfn.XLOOKUP(1, (dd_accsryclr!$C$2:$C$1000=accsry_unmerged!F222)*(dd_accsryclr!$B$2:$B$1000=accsry_unmerged!J222),dd_accsryclr!$A$2:$A$1000),"")</f>
        <v>0</v>
      </c>
      <c r="I222" s="35">
        <f>_xlfn.XLOOKUP(C222,'Project Details'!$C$17:$C$66,'Project Details'!$E$17:$E$66,"",0)</f>
        <v>0</v>
      </c>
      <c r="J222" s="35">
        <f>_xlfn.XLOOKUP(C222,'Project Details'!$C$17:$C$66,'Project Details'!$H$17:$H$66,"",0)</f>
        <v>0</v>
      </c>
      <c r="K222" s="36" t="str">
        <f>IF(AND(_xlfn.XLOOKUP(C222,'Project Details'!$C$17:$C$66,'Project Details'!$L$17:$L$66,"",0)&gt;550, F222="Spring-L27cm"),"",SUBSTITUTE(_xlfn.XLOOKUP(G222,SKUs!$C$2:$C$10001,SKUs!$F$2:$F$10001,"",0), " Accessories",""))</f>
        <v/>
      </c>
      <c r="L222" s="36">
        <f>_xlfn.XLOOKUP(C222,'Project Details'!$C$17:$C$66,'Project Details'!$D$17:$D$66,"",0)</f>
        <v>0</v>
      </c>
      <c r="M222" s="43"/>
    </row>
    <row r="223" spans="1:13" x14ac:dyDescent="0.25">
      <c r="A223" s="43"/>
      <c r="B223" s="43"/>
      <c r="C223" s="16">
        <f t="shared" si="3"/>
        <v>5</v>
      </c>
      <c r="D223" s="16" t="str" cm="1">
        <f t="array" ref="D223">IFERROR(ROUNDUP(_xlfn.IFS(F223="Aluminum Track", _xlfn.XLOOKUP(C223, dd_accsrycalc!$A$2:$A$51, dd_accsrycalc!$B$2:$B$51, "",0), F223="10 x 2 1/2 S (Flat)", _xlfn.XLOOKUP(C223, dd_accsrycalc!$A$2:$A$51, dd_accsrycalc!$C$2:$C$51, "",0), F223="Tox6", _xlfn.XLOOKUP(C223, dd_accsrycalc!$A$2:$A$51, dd_accsrycalc!$D$2:$D$51, "",0), F223="Cover Cap", _xlfn.XLOOKUP(C223, dd_accsrycalc!$A$2:$A$51, dd_accsrycalc!$E$2:$E$51, "",0), F223="Drainage Cover", _xlfn.XLOOKUP(C223, dd_accsrycalc!$A$2:$A$51, dd_accsrycalc!$F$2:$F$51, "",0),AND( F223="Double Adhesive Tape", I223="Roll-up Screen"), _xlfn.XLOOKUP(C223, calc_rusacc!$C$15:$C$65, calc_rusacc!$AD$15:$AD$65, "",0),AND( F223="Sealant", I223="Roll-up Screen"), _xlfn.XLOOKUP(C223, calc_rusacc!$C$15:$C$65, calc_rusacc!$AF$15:$AF$65, "",0),  AND( F223="Main Chain", I223="Accordion Screen"), _xlfn.XLOOKUP(C223, calc_rusacc!$C$15:$C$65, calc_rusacc!$BF$15:$BF$65, "",0), AND( F223="Sealant", I223="Accordion Screen"), _xlfn.XLOOKUP(C223, calc_rusacc!$C$15:$C$65, calc_rusacc!$BJ$15:$BJ$65, "",0),  F223="Sealant", _xlfn.XLOOKUP(C223, dd_accsrycalc!$A$2:$A$51, dd_accsrycalc!$G$2:$G$51, "",0),  F223&lt;&gt;"",L223*_xlfn.XLOOKUP(1, (SKUs!$C$2:$C$10001=G223)*(SKUs!$K$2:$K$10001=I223),SKUs!$E$2:$E$10001)), 0),"")</f>
        <v/>
      </c>
      <c r="E223" s="16" t="str">
        <f>_xlfn.XLOOKUP(F223,dd_item!$B$2:$B$105,dd_item!$C$2:$C$105,"",0)</f>
        <v/>
      </c>
      <c r="F223" s="16"/>
      <c r="G223" s="16" cm="1">
        <f t="array" ref="G223">IFERROR(_xlfn.XLOOKUP(1, (SKUs!$J$2:$J$10001=accsry_unmerged!F223)*IF(H223&lt;&gt;"",(SKUs!$L$2:$L$10001=accsry_unmerged!H223),1)*(SKUs!$K$2:$K$10001=I223),SKUs!$C$2:$C$10001),"")</f>
        <v>0</v>
      </c>
      <c r="H223" s="33" cm="1">
        <f t="array" ref="H223">IFERROR(_xlfn.XLOOKUP(1, (dd_accsryclr!$C$2:$C$1000=accsry_unmerged!F223)*(dd_accsryclr!$B$2:$B$1000=accsry_unmerged!J223),dd_accsryclr!$A$2:$A$1000),"")</f>
        <v>0</v>
      </c>
      <c r="I223" s="16">
        <f>_xlfn.XLOOKUP(C223,'Project Details'!$C$17:$C$66,'Project Details'!$E$17:$E$66,"",0)</f>
        <v>0</v>
      </c>
      <c r="J223" s="16">
        <f>_xlfn.XLOOKUP(C223,'Project Details'!$C$17:$C$66,'Project Details'!$H$17:$H$66,"",0)</f>
        <v>0</v>
      </c>
      <c r="K223" s="33" t="str">
        <f>IF(AND(_xlfn.XLOOKUP(C223,'Project Details'!$C$17:$C$66,'Project Details'!$L$17:$L$66,"",0)&gt;550, F223="Spring-L27cm"),"",SUBSTITUTE(_xlfn.XLOOKUP(G223,SKUs!$C$2:$C$10001,SKUs!$F$2:$F$10001,"",0), " Accessories",""))</f>
        <v/>
      </c>
      <c r="L223" s="33">
        <f>_xlfn.XLOOKUP(C223,'Project Details'!$C$17:$C$66,'Project Details'!$D$17:$D$66,"",0)</f>
        <v>0</v>
      </c>
      <c r="M223" s="43"/>
    </row>
    <row r="224" spans="1:13" x14ac:dyDescent="0.25">
      <c r="A224" s="43"/>
      <c r="B224" s="43"/>
      <c r="C224" s="35">
        <f t="shared" si="3"/>
        <v>5</v>
      </c>
      <c r="D224" s="35" t="str" cm="1">
        <f t="array" ref="D224">IFERROR(ROUNDUP(_xlfn.IFS(F224="Aluminum Track", _xlfn.XLOOKUP(C224, dd_accsrycalc!$A$2:$A$51, dd_accsrycalc!$B$2:$B$51, "",0), F224="10 x 2 1/2 S (Flat)", _xlfn.XLOOKUP(C224, dd_accsrycalc!$A$2:$A$51, dd_accsrycalc!$C$2:$C$51, "",0), F224="Tox6", _xlfn.XLOOKUP(C224, dd_accsrycalc!$A$2:$A$51, dd_accsrycalc!$D$2:$D$51, "",0), F224="Cover Cap", _xlfn.XLOOKUP(C224, dd_accsrycalc!$A$2:$A$51, dd_accsrycalc!$E$2:$E$51, "",0), F224="Drainage Cover", _xlfn.XLOOKUP(C224, dd_accsrycalc!$A$2:$A$51, dd_accsrycalc!$F$2:$F$51, "",0),AND( F224="Double Adhesive Tape", I224="Roll-up Screen"), _xlfn.XLOOKUP(C224, calc_rusacc!$C$15:$C$65, calc_rusacc!$AD$15:$AD$65, "",0),AND( F224="Sealant", I224="Roll-up Screen"), _xlfn.XLOOKUP(C224, calc_rusacc!$C$15:$C$65, calc_rusacc!$AF$15:$AF$65, "",0),  AND( F224="Main Chain", I224="Accordion Screen"), _xlfn.XLOOKUP(C224, calc_rusacc!$C$15:$C$65, calc_rusacc!$BF$15:$BF$65, "",0), AND( F224="Sealant", I224="Accordion Screen"), _xlfn.XLOOKUP(C224, calc_rusacc!$C$15:$C$65, calc_rusacc!$BJ$15:$BJ$65, "",0),  F224="Sealant", _xlfn.XLOOKUP(C224, dd_accsrycalc!$A$2:$A$51, dd_accsrycalc!$G$2:$G$51, "",0),  F224&lt;&gt;"",L224*_xlfn.XLOOKUP(1, (SKUs!$C$2:$C$10001=G224)*(SKUs!$K$2:$K$10001=I224),SKUs!$E$2:$E$10001)), 0),"")</f>
        <v/>
      </c>
      <c r="E224" s="35" t="str">
        <f>_xlfn.XLOOKUP(F224,dd_item!$B$2:$B$105,dd_item!$C$2:$C$105,"",0)</f>
        <v/>
      </c>
      <c r="F224" s="35"/>
      <c r="G224" s="35" cm="1">
        <f t="array" ref="G224">IFERROR(_xlfn.XLOOKUP(1, (SKUs!$J$2:$J$10001=accsry_unmerged!F224)*IF(H224&lt;&gt;"",(SKUs!$L$2:$L$10001=accsry_unmerged!H224),1)*(SKUs!$K$2:$K$10001=I224),SKUs!$C$2:$C$10001),"")</f>
        <v>0</v>
      </c>
      <c r="H224" s="36" cm="1">
        <f t="array" ref="H224">IFERROR(_xlfn.XLOOKUP(1, (dd_accsryclr!$C$2:$C$1000=accsry_unmerged!F224)*(dd_accsryclr!$B$2:$B$1000=accsry_unmerged!J224),dd_accsryclr!$A$2:$A$1000),"")</f>
        <v>0</v>
      </c>
      <c r="I224" s="35">
        <f>_xlfn.XLOOKUP(C224,'Project Details'!$C$17:$C$66,'Project Details'!$E$17:$E$66,"",0)</f>
        <v>0</v>
      </c>
      <c r="J224" s="35">
        <f>_xlfn.XLOOKUP(C224,'Project Details'!$C$17:$C$66,'Project Details'!$H$17:$H$66,"",0)</f>
        <v>0</v>
      </c>
      <c r="K224" s="36" t="str">
        <f>IF(AND(_xlfn.XLOOKUP(C224,'Project Details'!$C$17:$C$66,'Project Details'!$L$17:$L$66,"",0)&gt;550, F224="Spring-L27cm"),"",SUBSTITUTE(_xlfn.XLOOKUP(G224,SKUs!$C$2:$C$10001,SKUs!$F$2:$F$10001,"",0), " Accessories",""))</f>
        <v/>
      </c>
      <c r="L224" s="36">
        <f>_xlfn.XLOOKUP(C224,'Project Details'!$C$17:$C$66,'Project Details'!$D$17:$D$66,"",0)</f>
        <v>0</v>
      </c>
      <c r="M224" s="43"/>
    </row>
    <row r="225" spans="1:13" x14ac:dyDescent="0.25">
      <c r="A225" s="43"/>
      <c r="B225" s="43"/>
      <c r="C225" s="16">
        <f t="shared" si="3"/>
        <v>5</v>
      </c>
      <c r="D225" s="16" t="str" cm="1">
        <f t="array" ref="D225">IFERROR(ROUNDUP(_xlfn.IFS(F225="Aluminum Track", _xlfn.XLOOKUP(C225, dd_accsrycalc!$A$2:$A$51, dd_accsrycalc!$B$2:$B$51, "",0), F225="10 x 2 1/2 S (Flat)", _xlfn.XLOOKUP(C225, dd_accsrycalc!$A$2:$A$51, dd_accsrycalc!$C$2:$C$51, "",0), F225="Tox6", _xlfn.XLOOKUP(C225, dd_accsrycalc!$A$2:$A$51, dd_accsrycalc!$D$2:$D$51, "",0), F225="Cover Cap", _xlfn.XLOOKUP(C225, dd_accsrycalc!$A$2:$A$51, dd_accsrycalc!$E$2:$E$51, "",0), F225="Drainage Cover", _xlfn.XLOOKUP(C225, dd_accsrycalc!$A$2:$A$51, dd_accsrycalc!$F$2:$F$51, "",0),AND( F225="Double Adhesive Tape", I225="Roll-up Screen"), _xlfn.XLOOKUP(C225, calc_rusacc!$C$15:$C$65, calc_rusacc!$AD$15:$AD$65, "",0),AND( F225="Sealant", I225="Roll-up Screen"), _xlfn.XLOOKUP(C225, calc_rusacc!$C$15:$C$65, calc_rusacc!$AF$15:$AF$65, "",0),  AND( F225="Main Chain", I225="Accordion Screen"), _xlfn.XLOOKUP(C225, calc_rusacc!$C$15:$C$65, calc_rusacc!$BF$15:$BF$65, "",0), AND( F225="Sealant", I225="Accordion Screen"), _xlfn.XLOOKUP(C225, calc_rusacc!$C$15:$C$65, calc_rusacc!$BJ$15:$BJ$65, "",0),  F225="Sealant", _xlfn.XLOOKUP(C225, dd_accsrycalc!$A$2:$A$51, dd_accsrycalc!$G$2:$G$51, "",0),  F225&lt;&gt;"",L225*_xlfn.XLOOKUP(1, (SKUs!$C$2:$C$10001=G225)*(SKUs!$K$2:$K$10001=I225),SKUs!$E$2:$E$10001)), 0),"")</f>
        <v/>
      </c>
      <c r="E225" s="16" t="str">
        <f>_xlfn.XLOOKUP(F225,dd_item!$B$2:$B$105,dd_item!$C$2:$C$105,"",0)</f>
        <v/>
      </c>
      <c r="F225" s="16"/>
      <c r="G225" s="16" cm="1">
        <f t="array" ref="G225">IFERROR(_xlfn.XLOOKUP(1, (SKUs!$J$2:$J$10001=accsry_unmerged!F225)*IF(H225&lt;&gt;"",(SKUs!$L$2:$L$10001=accsry_unmerged!H225),1)*(SKUs!$K$2:$K$10001=I225),SKUs!$C$2:$C$10001),"")</f>
        <v>0</v>
      </c>
      <c r="H225" s="33" cm="1">
        <f t="array" ref="H225">IFERROR(_xlfn.XLOOKUP(1, (dd_accsryclr!$C$2:$C$1000=accsry_unmerged!F225)*(dd_accsryclr!$B$2:$B$1000=accsry_unmerged!J225),dd_accsryclr!$A$2:$A$1000),"")</f>
        <v>0</v>
      </c>
      <c r="I225" s="16">
        <f>_xlfn.XLOOKUP(C225,'Project Details'!$C$17:$C$66,'Project Details'!$E$17:$E$66,"",0)</f>
        <v>0</v>
      </c>
      <c r="J225" s="16">
        <f>_xlfn.XLOOKUP(C225,'Project Details'!$C$17:$C$66,'Project Details'!$H$17:$H$66,"",0)</f>
        <v>0</v>
      </c>
      <c r="K225" s="33" t="str">
        <f>IF(AND(_xlfn.XLOOKUP(C225,'Project Details'!$C$17:$C$66,'Project Details'!$L$17:$L$66,"",0)&gt;550, F225="Spring-L27cm"),"",SUBSTITUTE(_xlfn.XLOOKUP(G225,SKUs!$C$2:$C$10001,SKUs!$F$2:$F$10001,"",0), " Accessories",""))</f>
        <v/>
      </c>
      <c r="L225" s="33">
        <f>_xlfn.XLOOKUP(C225,'Project Details'!$C$17:$C$66,'Project Details'!$D$17:$D$66,"",0)</f>
        <v>0</v>
      </c>
      <c r="M225" s="43"/>
    </row>
    <row r="226" spans="1:13" x14ac:dyDescent="0.25">
      <c r="A226" s="43"/>
      <c r="B226" s="43"/>
      <c r="C226" s="35">
        <f t="shared" si="3"/>
        <v>5</v>
      </c>
      <c r="D226" s="35" t="str" cm="1">
        <f t="array" ref="D226">IFERROR(ROUNDUP(_xlfn.IFS(F226="Aluminum Track", _xlfn.XLOOKUP(C226, dd_accsrycalc!$A$2:$A$51, dd_accsrycalc!$B$2:$B$51, "",0), F226="10 x 2 1/2 S (Flat)", _xlfn.XLOOKUP(C226, dd_accsrycalc!$A$2:$A$51, dd_accsrycalc!$C$2:$C$51, "",0), F226="Tox6", _xlfn.XLOOKUP(C226, dd_accsrycalc!$A$2:$A$51, dd_accsrycalc!$D$2:$D$51, "",0), F226="Cover Cap", _xlfn.XLOOKUP(C226, dd_accsrycalc!$A$2:$A$51, dd_accsrycalc!$E$2:$E$51, "",0), F226="Drainage Cover", _xlfn.XLOOKUP(C226, dd_accsrycalc!$A$2:$A$51, dd_accsrycalc!$F$2:$F$51, "",0),AND( F226="Double Adhesive Tape", I226="Roll-up Screen"), _xlfn.XLOOKUP(C226, calc_rusacc!$C$15:$C$65, calc_rusacc!$AD$15:$AD$65, "",0),AND( F226="Sealant", I226="Roll-up Screen"), _xlfn.XLOOKUP(C226, calc_rusacc!$C$15:$C$65, calc_rusacc!$AF$15:$AF$65, "",0),  AND( F226="Main Chain", I226="Accordion Screen"), _xlfn.XLOOKUP(C226, calc_rusacc!$C$15:$C$65, calc_rusacc!$BF$15:$BF$65, "",0), AND( F226="Sealant", I226="Accordion Screen"), _xlfn.XLOOKUP(C226, calc_rusacc!$C$15:$C$65, calc_rusacc!$BJ$15:$BJ$65, "",0),  F226="Sealant", _xlfn.XLOOKUP(C226, dd_accsrycalc!$A$2:$A$51, dd_accsrycalc!$G$2:$G$51, "",0),  F226&lt;&gt;"",L226*_xlfn.XLOOKUP(1, (SKUs!$C$2:$C$10001=G226)*(SKUs!$K$2:$K$10001=I226),SKUs!$E$2:$E$10001)), 0),"")</f>
        <v/>
      </c>
      <c r="E226" s="35" t="str">
        <f>_xlfn.XLOOKUP(F226,dd_item!$B$2:$B$105,dd_item!$C$2:$C$105,"",0)</f>
        <v/>
      </c>
      <c r="F226" s="35"/>
      <c r="G226" s="35" cm="1">
        <f t="array" ref="G226">IFERROR(_xlfn.XLOOKUP(1, (SKUs!$J$2:$J$10001=accsry_unmerged!F226)*IF(H226&lt;&gt;"",(SKUs!$L$2:$L$10001=accsry_unmerged!H226),1)*(SKUs!$K$2:$K$10001=I226),SKUs!$C$2:$C$10001),"")</f>
        <v>0</v>
      </c>
      <c r="H226" s="36" cm="1">
        <f t="array" ref="H226">IFERROR(_xlfn.XLOOKUP(1, (dd_accsryclr!$C$2:$C$1000=accsry_unmerged!F226)*(dd_accsryclr!$B$2:$B$1000=accsry_unmerged!J226),dd_accsryclr!$A$2:$A$1000),"")</f>
        <v>0</v>
      </c>
      <c r="I226" s="35">
        <f>_xlfn.XLOOKUP(C226,'Project Details'!$C$17:$C$66,'Project Details'!$E$17:$E$66,"",0)</f>
        <v>0</v>
      </c>
      <c r="J226" s="35">
        <f>_xlfn.XLOOKUP(C226,'Project Details'!$C$17:$C$66,'Project Details'!$H$17:$H$66,"",0)</f>
        <v>0</v>
      </c>
      <c r="K226" s="36" t="str">
        <f>IF(AND(_xlfn.XLOOKUP(C226,'Project Details'!$C$17:$C$66,'Project Details'!$L$17:$L$66,"",0)&gt;550, F226="Spring-L27cm"),"",SUBSTITUTE(_xlfn.XLOOKUP(G226,SKUs!$C$2:$C$10001,SKUs!$F$2:$F$10001,"",0), " Accessories",""))</f>
        <v/>
      </c>
      <c r="L226" s="36">
        <f>_xlfn.XLOOKUP(C226,'Project Details'!$C$17:$C$66,'Project Details'!$D$17:$D$66,"",0)</f>
        <v>0</v>
      </c>
      <c r="M226" s="43"/>
    </row>
    <row r="227" spans="1:13" x14ac:dyDescent="0.25">
      <c r="A227" s="43"/>
      <c r="B227" s="43"/>
      <c r="C227" s="16">
        <f t="shared" si="3"/>
        <v>5</v>
      </c>
      <c r="D227" s="16" t="str" cm="1">
        <f t="array" ref="D227">IFERROR(ROUNDUP(_xlfn.IFS(F227="Aluminum Track", _xlfn.XLOOKUP(C227, dd_accsrycalc!$A$2:$A$51, dd_accsrycalc!$B$2:$B$51, "",0), F227="10 x 2 1/2 S (Flat)", _xlfn.XLOOKUP(C227, dd_accsrycalc!$A$2:$A$51, dd_accsrycalc!$C$2:$C$51, "",0), F227="Tox6", _xlfn.XLOOKUP(C227, dd_accsrycalc!$A$2:$A$51, dd_accsrycalc!$D$2:$D$51, "",0), F227="Cover Cap", _xlfn.XLOOKUP(C227, dd_accsrycalc!$A$2:$A$51, dd_accsrycalc!$E$2:$E$51, "",0), F227="Drainage Cover", _xlfn.XLOOKUP(C227, dd_accsrycalc!$A$2:$A$51, dd_accsrycalc!$F$2:$F$51, "",0),AND( F227="Double Adhesive Tape", I227="Roll-up Screen"), _xlfn.XLOOKUP(C227, calc_rusacc!$C$15:$C$65, calc_rusacc!$AD$15:$AD$65, "",0),AND( F227="Sealant", I227="Roll-up Screen"), _xlfn.XLOOKUP(C227, calc_rusacc!$C$15:$C$65, calc_rusacc!$AF$15:$AF$65, "",0),  AND( F227="Main Chain", I227="Accordion Screen"), _xlfn.XLOOKUP(C227, calc_rusacc!$C$15:$C$65, calc_rusacc!$BF$15:$BF$65, "",0), AND( F227="Sealant", I227="Accordion Screen"), _xlfn.XLOOKUP(C227, calc_rusacc!$C$15:$C$65, calc_rusacc!$BJ$15:$BJ$65, "",0),  F227="Sealant", _xlfn.XLOOKUP(C227, dd_accsrycalc!$A$2:$A$51, dd_accsrycalc!$G$2:$G$51, "",0),  F227&lt;&gt;"",L227*_xlfn.XLOOKUP(1, (SKUs!$C$2:$C$10001=G227)*(SKUs!$K$2:$K$10001=I227),SKUs!$E$2:$E$10001)), 0),"")</f>
        <v/>
      </c>
      <c r="E227" s="16" t="str">
        <f>_xlfn.XLOOKUP(F227,dd_item!$B$2:$B$105,dd_item!$C$2:$C$105,"",0)</f>
        <v/>
      </c>
      <c r="F227" s="16"/>
      <c r="G227" s="16" cm="1">
        <f t="array" ref="G227">IFERROR(_xlfn.XLOOKUP(1, (SKUs!$J$2:$J$10001=accsry_unmerged!F227)*IF(H227&lt;&gt;"",(SKUs!$L$2:$L$10001=accsry_unmerged!H227),1)*(SKUs!$K$2:$K$10001=I227),SKUs!$C$2:$C$10001),"")</f>
        <v>0</v>
      </c>
      <c r="H227" s="33" cm="1">
        <f t="array" ref="H227">IFERROR(_xlfn.XLOOKUP(1, (dd_accsryclr!$C$2:$C$1000=accsry_unmerged!F227)*(dd_accsryclr!$B$2:$B$1000=accsry_unmerged!J227),dd_accsryclr!$A$2:$A$1000),"")</f>
        <v>0</v>
      </c>
      <c r="I227" s="16">
        <f>_xlfn.XLOOKUP(C227,'Project Details'!$C$17:$C$66,'Project Details'!$E$17:$E$66,"",0)</f>
        <v>0</v>
      </c>
      <c r="J227" s="16">
        <f>_xlfn.XLOOKUP(C227,'Project Details'!$C$17:$C$66,'Project Details'!$H$17:$H$66,"",0)</f>
        <v>0</v>
      </c>
      <c r="K227" s="33" t="str">
        <f>IF(AND(_xlfn.XLOOKUP(C227,'Project Details'!$C$17:$C$66,'Project Details'!$L$17:$L$66,"",0)&gt;550, F227="Spring-L27cm"),"",SUBSTITUTE(_xlfn.XLOOKUP(G227,SKUs!$C$2:$C$10001,SKUs!$F$2:$F$10001,"",0), " Accessories",""))</f>
        <v/>
      </c>
      <c r="L227" s="33">
        <f>_xlfn.XLOOKUP(C227,'Project Details'!$C$17:$C$66,'Project Details'!$D$17:$D$66,"",0)</f>
        <v>0</v>
      </c>
      <c r="M227" s="43"/>
    </row>
    <row r="228" spans="1:13" x14ac:dyDescent="0.25">
      <c r="A228" s="43"/>
      <c r="B228" s="43"/>
      <c r="C228" s="35">
        <f t="shared" si="3"/>
        <v>5</v>
      </c>
      <c r="D228" s="35" t="str" cm="1">
        <f t="array" ref="D228">IFERROR(ROUNDUP(_xlfn.IFS(F228="Aluminum Track", _xlfn.XLOOKUP(C228, dd_accsrycalc!$A$2:$A$51, dd_accsrycalc!$B$2:$B$51, "",0), F228="10 x 2 1/2 S (Flat)", _xlfn.XLOOKUP(C228, dd_accsrycalc!$A$2:$A$51, dd_accsrycalc!$C$2:$C$51, "",0), F228="Tox6", _xlfn.XLOOKUP(C228, dd_accsrycalc!$A$2:$A$51, dd_accsrycalc!$D$2:$D$51, "",0), F228="Cover Cap", _xlfn.XLOOKUP(C228, dd_accsrycalc!$A$2:$A$51, dd_accsrycalc!$E$2:$E$51, "",0), F228="Drainage Cover", _xlfn.XLOOKUP(C228, dd_accsrycalc!$A$2:$A$51, dd_accsrycalc!$F$2:$F$51, "",0),AND( F228="Double Adhesive Tape", I228="Roll-up Screen"), _xlfn.XLOOKUP(C228, calc_rusacc!$C$15:$C$65, calc_rusacc!$AD$15:$AD$65, "",0),AND( F228="Sealant", I228="Roll-up Screen"), _xlfn.XLOOKUP(C228, calc_rusacc!$C$15:$C$65, calc_rusacc!$AF$15:$AF$65, "",0),  AND( F228="Main Chain", I228="Accordion Screen"), _xlfn.XLOOKUP(C228, calc_rusacc!$C$15:$C$65, calc_rusacc!$BF$15:$BF$65, "",0), AND( F228="Sealant", I228="Accordion Screen"), _xlfn.XLOOKUP(C228, calc_rusacc!$C$15:$C$65, calc_rusacc!$BJ$15:$BJ$65, "",0),  F228="Sealant", _xlfn.XLOOKUP(C228, dd_accsrycalc!$A$2:$A$51, dd_accsrycalc!$G$2:$G$51, "",0),  F228&lt;&gt;"",L228*_xlfn.XLOOKUP(1, (SKUs!$C$2:$C$10001=G228)*(SKUs!$K$2:$K$10001=I228),SKUs!$E$2:$E$10001)), 0),"")</f>
        <v/>
      </c>
      <c r="E228" s="35" t="str">
        <f>_xlfn.XLOOKUP(F228,dd_item!$B$2:$B$105,dd_item!$C$2:$C$105,"",0)</f>
        <v/>
      </c>
      <c r="F228" s="35"/>
      <c r="G228" s="35" cm="1">
        <f t="array" ref="G228">IFERROR(_xlfn.XLOOKUP(1, (SKUs!$J$2:$J$10001=accsry_unmerged!F228)*IF(H228&lt;&gt;"",(SKUs!$L$2:$L$10001=accsry_unmerged!H228),1)*(SKUs!$K$2:$K$10001=I228),SKUs!$C$2:$C$10001),"")</f>
        <v>0</v>
      </c>
      <c r="H228" s="36" cm="1">
        <f t="array" ref="H228">IFERROR(_xlfn.XLOOKUP(1, (dd_accsryclr!$C$2:$C$1000=accsry_unmerged!F228)*(dd_accsryclr!$B$2:$B$1000=accsry_unmerged!J228),dd_accsryclr!$A$2:$A$1000),"")</f>
        <v>0</v>
      </c>
      <c r="I228" s="35">
        <f>_xlfn.XLOOKUP(C228,'Project Details'!$C$17:$C$66,'Project Details'!$E$17:$E$66,"",0)</f>
        <v>0</v>
      </c>
      <c r="J228" s="35">
        <f>_xlfn.XLOOKUP(C228,'Project Details'!$C$17:$C$66,'Project Details'!$H$17:$H$66,"",0)</f>
        <v>0</v>
      </c>
      <c r="K228" s="36" t="str">
        <f>IF(AND(_xlfn.XLOOKUP(C228,'Project Details'!$C$17:$C$66,'Project Details'!$L$17:$L$66,"",0)&gt;550, F228="Spring-L27cm"),"",SUBSTITUTE(_xlfn.XLOOKUP(G228,SKUs!$C$2:$C$10001,SKUs!$F$2:$F$10001,"",0), " Accessories",""))</f>
        <v/>
      </c>
      <c r="L228" s="36">
        <f>_xlfn.XLOOKUP(C228,'Project Details'!$C$17:$C$66,'Project Details'!$D$17:$D$66,"",0)</f>
        <v>0</v>
      </c>
      <c r="M228" s="43"/>
    </row>
    <row r="229" spans="1:13" x14ac:dyDescent="0.25">
      <c r="A229" s="43"/>
      <c r="B229" s="43"/>
      <c r="C229" s="16">
        <f t="shared" si="3"/>
        <v>5</v>
      </c>
      <c r="D229" s="16" t="str" cm="1">
        <f t="array" ref="D229">IFERROR(ROUNDUP(_xlfn.IFS(F229="Aluminum Track", _xlfn.XLOOKUP(C229, dd_accsrycalc!$A$2:$A$51, dd_accsrycalc!$B$2:$B$51, "",0), F229="10 x 2 1/2 S (Flat)", _xlfn.XLOOKUP(C229, dd_accsrycalc!$A$2:$A$51, dd_accsrycalc!$C$2:$C$51, "",0), F229="Tox6", _xlfn.XLOOKUP(C229, dd_accsrycalc!$A$2:$A$51, dd_accsrycalc!$D$2:$D$51, "",0), F229="Cover Cap", _xlfn.XLOOKUP(C229, dd_accsrycalc!$A$2:$A$51, dd_accsrycalc!$E$2:$E$51, "",0), F229="Drainage Cover", _xlfn.XLOOKUP(C229, dd_accsrycalc!$A$2:$A$51, dd_accsrycalc!$F$2:$F$51, "",0),AND( F229="Double Adhesive Tape", I229="Roll-up Screen"), _xlfn.XLOOKUP(C229, calc_rusacc!$C$15:$C$65, calc_rusacc!$AD$15:$AD$65, "",0),AND( F229="Sealant", I229="Roll-up Screen"), _xlfn.XLOOKUP(C229, calc_rusacc!$C$15:$C$65, calc_rusacc!$AF$15:$AF$65, "",0),  AND( F229="Main Chain", I229="Accordion Screen"), _xlfn.XLOOKUP(C229, calc_rusacc!$C$15:$C$65, calc_rusacc!$BF$15:$BF$65, "",0), AND( F229="Sealant", I229="Accordion Screen"), _xlfn.XLOOKUP(C229, calc_rusacc!$C$15:$C$65, calc_rusacc!$BJ$15:$BJ$65, "",0),  F229="Sealant", _xlfn.XLOOKUP(C229, dd_accsrycalc!$A$2:$A$51, dd_accsrycalc!$G$2:$G$51, "",0),  F229&lt;&gt;"",L229*_xlfn.XLOOKUP(1, (SKUs!$C$2:$C$10001=G229)*(SKUs!$K$2:$K$10001=I229),SKUs!$E$2:$E$10001)), 0),"")</f>
        <v/>
      </c>
      <c r="E229" s="16" t="str">
        <f>_xlfn.XLOOKUP(F229,dd_item!$B$2:$B$105,dd_item!$C$2:$C$105,"",0)</f>
        <v/>
      </c>
      <c r="F229" s="16"/>
      <c r="G229" s="16" cm="1">
        <f t="array" ref="G229">IFERROR(_xlfn.XLOOKUP(1, (SKUs!$J$2:$J$10001=accsry_unmerged!F229)*IF(H229&lt;&gt;"",(SKUs!$L$2:$L$10001=accsry_unmerged!H229),1)*(SKUs!$K$2:$K$10001=I229),SKUs!$C$2:$C$10001),"")</f>
        <v>0</v>
      </c>
      <c r="H229" s="33" cm="1">
        <f t="array" ref="H229">IFERROR(_xlfn.XLOOKUP(1, (dd_accsryclr!$C$2:$C$1000=accsry_unmerged!F229)*(dd_accsryclr!$B$2:$B$1000=accsry_unmerged!J229),dd_accsryclr!$A$2:$A$1000),"")</f>
        <v>0</v>
      </c>
      <c r="I229" s="16">
        <f>_xlfn.XLOOKUP(C229,'Project Details'!$C$17:$C$66,'Project Details'!$E$17:$E$66,"",0)</f>
        <v>0</v>
      </c>
      <c r="J229" s="16">
        <f>_xlfn.XLOOKUP(C229,'Project Details'!$C$17:$C$66,'Project Details'!$H$17:$H$66,"",0)</f>
        <v>0</v>
      </c>
      <c r="K229" s="33" t="str">
        <f>IF(AND(_xlfn.XLOOKUP(C229,'Project Details'!$C$17:$C$66,'Project Details'!$L$17:$L$66,"",0)&gt;550, F229="Spring-L27cm"),"",SUBSTITUTE(_xlfn.XLOOKUP(G229,SKUs!$C$2:$C$10001,SKUs!$F$2:$F$10001,"",0), " Accessories",""))</f>
        <v/>
      </c>
      <c r="L229" s="33">
        <f>_xlfn.XLOOKUP(C229,'Project Details'!$C$17:$C$66,'Project Details'!$D$17:$D$66,"",0)</f>
        <v>0</v>
      </c>
      <c r="M229" s="43"/>
    </row>
    <row r="230" spans="1:13" x14ac:dyDescent="0.25">
      <c r="A230" s="43"/>
      <c r="B230" s="43"/>
      <c r="C230" s="35">
        <f t="shared" si="3"/>
        <v>5</v>
      </c>
      <c r="D230" s="35" t="str" cm="1">
        <f t="array" ref="D230">IFERROR(ROUNDUP(_xlfn.IFS(F230="Aluminum Track", _xlfn.XLOOKUP(C230, dd_accsrycalc!$A$2:$A$51, dd_accsrycalc!$B$2:$B$51, "",0), F230="10 x 2 1/2 S (Flat)", _xlfn.XLOOKUP(C230, dd_accsrycalc!$A$2:$A$51, dd_accsrycalc!$C$2:$C$51, "",0), F230="Tox6", _xlfn.XLOOKUP(C230, dd_accsrycalc!$A$2:$A$51, dd_accsrycalc!$D$2:$D$51, "",0), F230="Cover Cap", _xlfn.XLOOKUP(C230, dd_accsrycalc!$A$2:$A$51, dd_accsrycalc!$E$2:$E$51, "",0), F230="Drainage Cover", _xlfn.XLOOKUP(C230, dd_accsrycalc!$A$2:$A$51, dd_accsrycalc!$F$2:$F$51, "",0),AND( F230="Double Adhesive Tape", I230="Roll-up Screen"), _xlfn.XLOOKUP(C230, calc_rusacc!$C$15:$C$65, calc_rusacc!$AD$15:$AD$65, "",0),AND( F230="Sealant", I230="Roll-up Screen"), _xlfn.XLOOKUP(C230, calc_rusacc!$C$15:$C$65, calc_rusacc!$AF$15:$AF$65, "",0),  AND( F230="Main Chain", I230="Accordion Screen"), _xlfn.XLOOKUP(C230, calc_rusacc!$C$15:$C$65, calc_rusacc!$BF$15:$BF$65, "",0), AND( F230="Sealant", I230="Accordion Screen"), _xlfn.XLOOKUP(C230, calc_rusacc!$C$15:$C$65, calc_rusacc!$BJ$15:$BJ$65, "",0),  F230="Sealant", _xlfn.XLOOKUP(C230, dd_accsrycalc!$A$2:$A$51, dd_accsrycalc!$G$2:$G$51, "",0),  F230&lt;&gt;"",L230*_xlfn.XLOOKUP(1, (SKUs!$C$2:$C$10001=G230)*(SKUs!$K$2:$K$10001=I230),SKUs!$E$2:$E$10001)), 0),"")</f>
        <v/>
      </c>
      <c r="E230" s="35" t="str">
        <f>_xlfn.XLOOKUP(F230,dd_item!$B$2:$B$105,dd_item!$C$2:$C$105,"",0)</f>
        <v/>
      </c>
      <c r="F230" s="35"/>
      <c r="G230" s="35" cm="1">
        <f t="array" ref="G230">IFERROR(_xlfn.XLOOKUP(1, (SKUs!$J$2:$J$10001=accsry_unmerged!F230)*IF(H230&lt;&gt;"",(SKUs!$L$2:$L$10001=accsry_unmerged!H230),1)*(SKUs!$K$2:$K$10001=I230),SKUs!$C$2:$C$10001),"")</f>
        <v>0</v>
      </c>
      <c r="H230" s="36" cm="1">
        <f t="array" ref="H230">IFERROR(_xlfn.XLOOKUP(1, (dd_accsryclr!$C$2:$C$1000=accsry_unmerged!F230)*(dd_accsryclr!$B$2:$B$1000=accsry_unmerged!J230),dd_accsryclr!$A$2:$A$1000),"")</f>
        <v>0</v>
      </c>
      <c r="I230" s="35">
        <f>_xlfn.XLOOKUP(C230,'Project Details'!$C$17:$C$66,'Project Details'!$E$17:$E$66,"",0)</f>
        <v>0</v>
      </c>
      <c r="J230" s="35">
        <f>_xlfn.XLOOKUP(C230,'Project Details'!$C$17:$C$66,'Project Details'!$H$17:$H$66,"",0)</f>
        <v>0</v>
      </c>
      <c r="K230" s="36" t="str">
        <f>IF(AND(_xlfn.XLOOKUP(C230,'Project Details'!$C$17:$C$66,'Project Details'!$L$17:$L$66,"",0)&gt;550, F230="Spring-L27cm"),"",SUBSTITUTE(_xlfn.XLOOKUP(G230,SKUs!$C$2:$C$10001,SKUs!$F$2:$F$10001,"",0), " Accessories",""))</f>
        <v/>
      </c>
      <c r="L230" s="36">
        <f>_xlfn.XLOOKUP(C230,'Project Details'!$C$17:$C$66,'Project Details'!$D$17:$D$66,"",0)</f>
        <v>0</v>
      </c>
      <c r="M230" s="43"/>
    </row>
    <row r="231" spans="1:13" x14ac:dyDescent="0.25">
      <c r="A231" s="43"/>
      <c r="B231" s="43"/>
      <c r="C231" s="16">
        <f t="shared" si="3"/>
        <v>5</v>
      </c>
      <c r="D231" s="16" t="str" cm="1">
        <f t="array" ref="D231">IFERROR(ROUNDUP(_xlfn.IFS(F231="Aluminum Track", _xlfn.XLOOKUP(C231, dd_accsrycalc!$A$2:$A$51, dd_accsrycalc!$B$2:$B$51, "",0), F231="10 x 2 1/2 S (Flat)", _xlfn.XLOOKUP(C231, dd_accsrycalc!$A$2:$A$51, dd_accsrycalc!$C$2:$C$51, "",0), F231="Tox6", _xlfn.XLOOKUP(C231, dd_accsrycalc!$A$2:$A$51, dd_accsrycalc!$D$2:$D$51, "",0), F231="Cover Cap", _xlfn.XLOOKUP(C231, dd_accsrycalc!$A$2:$A$51, dd_accsrycalc!$E$2:$E$51, "",0), F231="Drainage Cover", _xlfn.XLOOKUP(C231, dd_accsrycalc!$A$2:$A$51, dd_accsrycalc!$F$2:$F$51, "",0),AND( F231="Double Adhesive Tape", I231="Roll-up Screen"), _xlfn.XLOOKUP(C231, calc_rusacc!$C$15:$C$65, calc_rusacc!$AD$15:$AD$65, "",0),AND( F231="Sealant", I231="Roll-up Screen"), _xlfn.XLOOKUP(C231, calc_rusacc!$C$15:$C$65, calc_rusacc!$AF$15:$AF$65, "",0),  AND( F231="Main Chain", I231="Accordion Screen"), _xlfn.XLOOKUP(C231, calc_rusacc!$C$15:$C$65, calc_rusacc!$BF$15:$BF$65, "",0), AND( F231="Sealant", I231="Accordion Screen"), _xlfn.XLOOKUP(C231, calc_rusacc!$C$15:$C$65, calc_rusacc!$BJ$15:$BJ$65, "",0),  F231="Sealant", _xlfn.XLOOKUP(C231, dd_accsrycalc!$A$2:$A$51, dd_accsrycalc!$G$2:$G$51, "",0),  F231&lt;&gt;"",L231*_xlfn.XLOOKUP(1, (SKUs!$C$2:$C$10001=G231)*(SKUs!$K$2:$K$10001=I231),SKUs!$E$2:$E$10001)), 0),"")</f>
        <v/>
      </c>
      <c r="E231" s="16" t="str">
        <f>_xlfn.XLOOKUP(F231,dd_item!$B$2:$B$105,dd_item!$C$2:$C$105,"",0)</f>
        <v/>
      </c>
      <c r="F231" s="16"/>
      <c r="G231" s="16" cm="1">
        <f t="array" ref="G231">IFERROR(_xlfn.XLOOKUP(1, (SKUs!$J$2:$J$10001=accsry_unmerged!F231)*IF(H231&lt;&gt;"",(SKUs!$L$2:$L$10001=accsry_unmerged!H231),1)*(SKUs!$K$2:$K$10001=I231),SKUs!$C$2:$C$10001),"")</f>
        <v>0</v>
      </c>
      <c r="H231" s="33" cm="1">
        <f t="array" ref="H231">IFERROR(_xlfn.XLOOKUP(1, (dd_accsryclr!$C$2:$C$1000=accsry_unmerged!F231)*(dd_accsryclr!$B$2:$B$1000=accsry_unmerged!J231),dd_accsryclr!$A$2:$A$1000),"")</f>
        <v>0</v>
      </c>
      <c r="I231" s="16">
        <f>_xlfn.XLOOKUP(C231,'Project Details'!$C$17:$C$66,'Project Details'!$E$17:$E$66,"",0)</f>
        <v>0</v>
      </c>
      <c r="J231" s="16">
        <f>_xlfn.XLOOKUP(C231,'Project Details'!$C$17:$C$66,'Project Details'!$H$17:$H$66,"",0)</f>
        <v>0</v>
      </c>
      <c r="K231" s="33" t="str">
        <f>IF(AND(_xlfn.XLOOKUP(C231,'Project Details'!$C$17:$C$66,'Project Details'!$L$17:$L$66,"",0)&gt;550, F231="Spring-L27cm"),"",SUBSTITUTE(_xlfn.XLOOKUP(G231,SKUs!$C$2:$C$10001,SKUs!$F$2:$F$10001,"",0), " Accessories",""))</f>
        <v/>
      </c>
      <c r="L231" s="33">
        <f>_xlfn.XLOOKUP(C231,'Project Details'!$C$17:$C$66,'Project Details'!$D$17:$D$66,"",0)</f>
        <v>0</v>
      </c>
      <c r="M231" s="43"/>
    </row>
    <row r="232" spans="1:13" x14ac:dyDescent="0.25">
      <c r="A232" s="43"/>
      <c r="B232" s="43"/>
      <c r="C232" s="35">
        <f t="shared" si="3"/>
        <v>5</v>
      </c>
      <c r="D232" s="35" t="str" cm="1">
        <f t="array" ref="D232">IFERROR(ROUNDUP(_xlfn.IFS(F232="Aluminum Track", _xlfn.XLOOKUP(C232, dd_accsrycalc!$A$2:$A$51, dd_accsrycalc!$B$2:$B$51, "",0), F232="10 x 2 1/2 S (Flat)", _xlfn.XLOOKUP(C232, dd_accsrycalc!$A$2:$A$51, dd_accsrycalc!$C$2:$C$51, "",0), F232="Tox6", _xlfn.XLOOKUP(C232, dd_accsrycalc!$A$2:$A$51, dd_accsrycalc!$D$2:$D$51, "",0), F232="Cover Cap", _xlfn.XLOOKUP(C232, dd_accsrycalc!$A$2:$A$51, dd_accsrycalc!$E$2:$E$51, "",0), F232="Drainage Cover", _xlfn.XLOOKUP(C232, dd_accsrycalc!$A$2:$A$51, dd_accsrycalc!$F$2:$F$51, "",0),AND( F232="Double Adhesive Tape", I232="Roll-up Screen"), _xlfn.XLOOKUP(C232, calc_rusacc!$C$15:$C$65, calc_rusacc!$AD$15:$AD$65, "",0),AND( F232="Sealant", I232="Roll-up Screen"), _xlfn.XLOOKUP(C232, calc_rusacc!$C$15:$C$65, calc_rusacc!$AF$15:$AF$65, "",0),  AND( F232="Main Chain", I232="Accordion Screen"), _xlfn.XLOOKUP(C232, calc_rusacc!$C$15:$C$65, calc_rusacc!$BF$15:$BF$65, "",0), AND( F232="Sealant", I232="Accordion Screen"), _xlfn.XLOOKUP(C232, calc_rusacc!$C$15:$C$65, calc_rusacc!$BJ$15:$BJ$65, "",0),  F232="Sealant", _xlfn.XLOOKUP(C232, dd_accsrycalc!$A$2:$A$51, dd_accsrycalc!$G$2:$G$51, "",0),  F232&lt;&gt;"",L232*_xlfn.XLOOKUP(1, (SKUs!$C$2:$C$10001=G232)*(SKUs!$K$2:$K$10001=I232),SKUs!$E$2:$E$10001)), 0),"")</f>
        <v/>
      </c>
      <c r="E232" s="35" t="str">
        <f>_xlfn.XLOOKUP(F232,dd_item!$B$2:$B$105,dd_item!$C$2:$C$105,"",0)</f>
        <v/>
      </c>
      <c r="F232" s="35"/>
      <c r="G232" s="35" cm="1">
        <f t="array" ref="G232">IFERROR(_xlfn.XLOOKUP(1, (SKUs!$J$2:$J$10001=accsry_unmerged!F232)*IF(H232&lt;&gt;"",(SKUs!$L$2:$L$10001=accsry_unmerged!H232),1)*(SKUs!$K$2:$K$10001=I232),SKUs!$C$2:$C$10001),"")</f>
        <v>0</v>
      </c>
      <c r="H232" s="36" cm="1">
        <f t="array" ref="H232">IFERROR(_xlfn.XLOOKUP(1, (dd_accsryclr!$C$2:$C$1000=accsry_unmerged!F232)*(dd_accsryclr!$B$2:$B$1000=accsry_unmerged!J232),dd_accsryclr!$A$2:$A$1000),"")</f>
        <v>0</v>
      </c>
      <c r="I232" s="35">
        <f>_xlfn.XLOOKUP(C232,'Project Details'!$C$17:$C$66,'Project Details'!$E$17:$E$66,"",0)</f>
        <v>0</v>
      </c>
      <c r="J232" s="35">
        <f>_xlfn.XLOOKUP(C232,'Project Details'!$C$17:$C$66,'Project Details'!$H$17:$H$66,"",0)</f>
        <v>0</v>
      </c>
      <c r="K232" s="36" t="str">
        <f>IF(AND(_xlfn.XLOOKUP(C232,'Project Details'!$C$17:$C$66,'Project Details'!$L$17:$L$66,"",0)&gt;550, F232="Spring-L27cm"),"",SUBSTITUTE(_xlfn.XLOOKUP(G232,SKUs!$C$2:$C$10001,SKUs!$F$2:$F$10001,"",0), " Accessories",""))</f>
        <v/>
      </c>
      <c r="L232" s="36">
        <f>_xlfn.XLOOKUP(C232,'Project Details'!$C$17:$C$66,'Project Details'!$D$17:$D$66,"",0)</f>
        <v>0</v>
      </c>
      <c r="M232" s="43"/>
    </row>
    <row r="233" spans="1:13" x14ac:dyDescent="0.25">
      <c r="A233" s="43"/>
      <c r="B233" s="43"/>
      <c r="C233" s="16">
        <f t="shared" si="3"/>
        <v>5</v>
      </c>
      <c r="D233" s="16" t="str" cm="1">
        <f t="array" ref="D233">IFERROR(ROUNDUP(_xlfn.IFS(F233="Aluminum Track", _xlfn.XLOOKUP(C233, dd_accsrycalc!$A$2:$A$51, dd_accsrycalc!$B$2:$B$51, "",0), F233="10 x 2 1/2 S (Flat)", _xlfn.XLOOKUP(C233, dd_accsrycalc!$A$2:$A$51, dd_accsrycalc!$C$2:$C$51, "",0), F233="Tox6", _xlfn.XLOOKUP(C233, dd_accsrycalc!$A$2:$A$51, dd_accsrycalc!$D$2:$D$51, "",0), F233="Cover Cap", _xlfn.XLOOKUP(C233, dd_accsrycalc!$A$2:$A$51, dd_accsrycalc!$E$2:$E$51, "",0), F233="Drainage Cover", _xlfn.XLOOKUP(C233, dd_accsrycalc!$A$2:$A$51, dd_accsrycalc!$F$2:$F$51, "",0),AND( F233="Double Adhesive Tape", I233="Roll-up Screen"), _xlfn.XLOOKUP(C233, calc_rusacc!$C$15:$C$65, calc_rusacc!$AD$15:$AD$65, "",0),AND( F233="Sealant", I233="Roll-up Screen"), _xlfn.XLOOKUP(C233, calc_rusacc!$C$15:$C$65, calc_rusacc!$AF$15:$AF$65, "",0),  AND( F233="Main Chain", I233="Accordion Screen"), _xlfn.XLOOKUP(C233, calc_rusacc!$C$15:$C$65, calc_rusacc!$BF$15:$BF$65, "",0), AND( F233="Sealant", I233="Accordion Screen"), _xlfn.XLOOKUP(C233, calc_rusacc!$C$15:$C$65, calc_rusacc!$BJ$15:$BJ$65, "",0),  F233="Sealant", _xlfn.XLOOKUP(C233, dd_accsrycalc!$A$2:$A$51, dd_accsrycalc!$G$2:$G$51, "",0),  F233&lt;&gt;"",L233*_xlfn.XLOOKUP(1, (SKUs!$C$2:$C$10001=G233)*(SKUs!$K$2:$K$10001=I233),SKUs!$E$2:$E$10001)), 0),"")</f>
        <v/>
      </c>
      <c r="E233" s="16" t="str">
        <f>_xlfn.XLOOKUP(F233,dd_item!$B$2:$B$105,dd_item!$C$2:$C$105,"",0)</f>
        <v/>
      </c>
      <c r="F233" s="16"/>
      <c r="G233" s="16" cm="1">
        <f t="array" ref="G233">IFERROR(_xlfn.XLOOKUP(1, (SKUs!$J$2:$J$10001=accsry_unmerged!F233)*IF(H233&lt;&gt;"",(SKUs!$L$2:$L$10001=accsry_unmerged!H233),1)*(SKUs!$K$2:$K$10001=I233),SKUs!$C$2:$C$10001),"")</f>
        <v>0</v>
      </c>
      <c r="H233" s="33" cm="1">
        <f t="array" ref="H233">IFERROR(_xlfn.XLOOKUP(1, (dd_accsryclr!$C$2:$C$1000=accsry_unmerged!F233)*(dd_accsryclr!$B$2:$B$1000=accsry_unmerged!J233),dd_accsryclr!$A$2:$A$1000),"")</f>
        <v>0</v>
      </c>
      <c r="I233" s="16">
        <f>_xlfn.XLOOKUP(C233,'Project Details'!$C$17:$C$66,'Project Details'!$E$17:$E$66,"",0)</f>
        <v>0</v>
      </c>
      <c r="J233" s="16">
        <f>_xlfn.XLOOKUP(C233,'Project Details'!$C$17:$C$66,'Project Details'!$H$17:$H$66,"",0)</f>
        <v>0</v>
      </c>
      <c r="K233" s="33" t="str">
        <f>IF(AND(_xlfn.XLOOKUP(C233,'Project Details'!$C$17:$C$66,'Project Details'!$L$17:$L$66,"",0)&gt;550, F233="Spring-L27cm"),"",SUBSTITUTE(_xlfn.XLOOKUP(G233,SKUs!$C$2:$C$10001,SKUs!$F$2:$F$10001,"",0), " Accessories",""))</f>
        <v/>
      </c>
      <c r="L233" s="33">
        <f>_xlfn.XLOOKUP(C233,'Project Details'!$C$17:$C$66,'Project Details'!$D$17:$D$66,"",0)</f>
        <v>0</v>
      </c>
      <c r="M233" s="43"/>
    </row>
    <row r="234" spans="1:13" ht="13.5" customHeight="1" x14ac:dyDescent="0.25">
      <c r="A234" s="43"/>
      <c r="B234" s="43"/>
      <c r="C234" s="35">
        <f t="shared" si="3"/>
        <v>5</v>
      </c>
      <c r="D234" s="35" t="str" cm="1">
        <f t="array" ref="D234">IFERROR(ROUNDUP(_xlfn.IFS(F234="Aluminum Track", _xlfn.XLOOKUP(C234, dd_accsrycalc!$A$2:$A$51, dd_accsrycalc!$B$2:$B$51, "",0), F234="10 x 2 1/2 S (Flat)", _xlfn.XLOOKUP(C234, dd_accsrycalc!$A$2:$A$51, dd_accsrycalc!$C$2:$C$51, "",0), F234="Tox6", _xlfn.XLOOKUP(C234, dd_accsrycalc!$A$2:$A$51, dd_accsrycalc!$D$2:$D$51, "",0), F234="Cover Cap", _xlfn.XLOOKUP(C234, dd_accsrycalc!$A$2:$A$51, dd_accsrycalc!$E$2:$E$51, "",0), F234="Drainage Cover", _xlfn.XLOOKUP(C234, dd_accsrycalc!$A$2:$A$51, dd_accsrycalc!$F$2:$F$51, "",0),AND( F234="Double Adhesive Tape", I234="Roll-up Screen"), _xlfn.XLOOKUP(C234, calc_rusacc!$C$15:$C$65, calc_rusacc!$AD$15:$AD$65, "",0),AND( F234="Sealant", I234="Roll-up Screen"), _xlfn.XLOOKUP(C234, calc_rusacc!$C$15:$C$65, calc_rusacc!$AF$15:$AF$65, "",0),  AND( F234="Main Chain", I234="Accordion Screen"), _xlfn.XLOOKUP(C234, calc_rusacc!$C$15:$C$65, calc_rusacc!$BF$15:$BF$65, "",0), AND( F234="Sealant", I234="Accordion Screen"), _xlfn.XLOOKUP(C234, calc_rusacc!$C$15:$C$65, calc_rusacc!$BJ$15:$BJ$65, "",0),  F234="Sealant", _xlfn.XLOOKUP(C234, dd_accsrycalc!$A$2:$A$51, dd_accsrycalc!$G$2:$G$51, "",0),  F234&lt;&gt;"",L234*_xlfn.XLOOKUP(1, (SKUs!$C$2:$C$10001=G234)*(SKUs!$K$2:$K$10001=I234),SKUs!$E$2:$E$10001)), 0),"")</f>
        <v/>
      </c>
      <c r="E234" s="35" t="str">
        <f>_xlfn.XLOOKUP(F234,dd_item!$B$2:$B$105,dd_item!$C$2:$C$105,"",0)</f>
        <v/>
      </c>
      <c r="F234" s="35"/>
      <c r="G234" s="35" cm="1">
        <f t="array" ref="G234">IFERROR(_xlfn.XLOOKUP(1, (SKUs!$J$2:$J$10001=accsry_unmerged!F234)*IF(H234&lt;&gt;"",(SKUs!$L$2:$L$10001=accsry_unmerged!H234),1)*(SKUs!$K$2:$K$10001=I234),SKUs!$C$2:$C$10001),"")</f>
        <v>0</v>
      </c>
      <c r="H234" s="36" cm="1">
        <f t="array" ref="H234">IFERROR(_xlfn.XLOOKUP(1, (dd_accsryclr!$C$2:$C$1000=accsry_unmerged!F234)*(dd_accsryclr!$B$2:$B$1000=accsry_unmerged!J234),dd_accsryclr!$A$2:$A$1000),"")</f>
        <v>0</v>
      </c>
      <c r="I234" s="35">
        <f>_xlfn.XLOOKUP(C234,'Project Details'!$C$17:$C$66,'Project Details'!$E$17:$E$66,"",0)</f>
        <v>0</v>
      </c>
      <c r="J234" s="35">
        <f>_xlfn.XLOOKUP(C234,'Project Details'!$C$17:$C$66,'Project Details'!$H$17:$H$66,"",0)</f>
        <v>0</v>
      </c>
      <c r="K234" s="36" t="str">
        <f>IF(AND(_xlfn.XLOOKUP(C234,'Project Details'!$C$17:$C$66,'Project Details'!$L$17:$L$66,"",0)&gt;550, F234="Spring-L27cm"),"",SUBSTITUTE(_xlfn.XLOOKUP(G234,SKUs!$C$2:$C$10001,SKUs!$F$2:$F$10001,"",0), " Accessories",""))</f>
        <v/>
      </c>
      <c r="L234" s="36">
        <f>_xlfn.XLOOKUP(C234,'Project Details'!$C$17:$C$66,'Project Details'!$D$17:$D$66,"",0)</f>
        <v>0</v>
      </c>
      <c r="M234" s="43"/>
    </row>
    <row r="235" spans="1:13" ht="13.5" customHeight="1" x14ac:dyDescent="0.25">
      <c r="A235" s="43"/>
      <c r="B235" s="43"/>
      <c r="C235" s="16">
        <f t="shared" si="3"/>
        <v>5</v>
      </c>
      <c r="D235" s="16" t="str" cm="1">
        <f t="array" ref="D235">IFERROR(ROUNDUP(_xlfn.IFS(F235="Aluminum Track", _xlfn.XLOOKUP(C235, dd_accsrycalc!$A$2:$A$51, dd_accsrycalc!$B$2:$B$51, "",0), F235="10 x 2 1/2 S (Flat)", _xlfn.XLOOKUP(C235, dd_accsrycalc!$A$2:$A$51, dd_accsrycalc!$C$2:$C$51, "",0), F235="Tox6", _xlfn.XLOOKUP(C235, dd_accsrycalc!$A$2:$A$51, dd_accsrycalc!$D$2:$D$51, "",0), F235="Cover Cap", _xlfn.XLOOKUP(C235, dd_accsrycalc!$A$2:$A$51, dd_accsrycalc!$E$2:$E$51, "",0), F235="Drainage Cover", _xlfn.XLOOKUP(C235, dd_accsrycalc!$A$2:$A$51, dd_accsrycalc!$F$2:$F$51, "",0),AND( F235="Double Adhesive Tape", I235="Roll-up Screen"), _xlfn.XLOOKUP(C235, calc_rusacc!$C$15:$C$65, calc_rusacc!$AD$15:$AD$65, "",0),AND( F235="Sealant", I235="Roll-up Screen"), _xlfn.XLOOKUP(C235, calc_rusacc!$C$15:$C$65, calc_rusacc!$AF$15:$AF$65, "",0),  AND( F235="Main Chain", I235="Accordion Screen"), _xlfn.XLOOKUP(C235, calc_rusacc!$C$15:$C$65, calc_rusacc!$BF$15:$BF$65, "",0), AND( F235="Sealant", I235="Accordion Screen"), _xlfn.XLOOKUP(C235, calc_rusacc!$C$15:$C$65, calc_rusacc!$BJ$15:$BJ$65, "",0),  F235="Sealant", _xlfn.XLOOKUP(C235, dd_accsrycalc!$A$2:$A$51, dd_accsrycalc!$G$2:$G$51, "",0),  F235&lt;&gt;"",L235*_xlfn.XLOOKUP(1, (SKUs!$C$2:$C$10001=G235)*(SKUs!$K$2:$K$10001=I235),SKUs!$E$2:$E$10001)), 0),"")</f>
        <v/>
      </c>
      <c r="E235" s="16" t="str">
        <f>_xlfn.XLOOKUP(F235,dd_item!$B$2:$B$105,dd_item!$C$2:$C$105,"",0)</f>
        <v/>
      </c>
      <c r="F235" s="16"/>
      <c r="G235" s="16" cm="1">
        <f t="array" ref="G235">IFERROR(_xlfn.XLOOKUP(1, (SKUs!$J$2:$J$10001=accsry_unmerged!F235)*IF(H235&lt;&gt;"",(SKUs!$L$2:$L$10001=accsry_unmerged!H235),1)*(SKUs!$K$2:$K$10001=I235),SKUs!$C$2:$C$10001),"")</f>
        <v>0</v>
      </c>
      <c r="H235" s="33" cm="1">
        <f t="array" ref="H235">IFERROR(_xlfn.XLOOKUP(1, (dd_accsryclr!$C$2:$C$1000=accsry_unmerged!F235)*(dd_accsryclr!$B$2:$B$1000=accsry_unmerged!J235),dd_accsryclr!$A$2:$A$1000),"")</f>
        <v>0</v>
      </c>
      <c r="I235" s="16">
        <f>_xlfn.XLOOKUP(C235,'Project Details'!$C$17:$C$66,'Project Details'!$E$17:$E$66,"",0)</f>
        <v>0</v>
      </c>
      <c r="J235" s="16">
        <f>_xlfn.XLOOKUP(C235,'Project Details'!$C$17:$C$66,'Project Details'!$H$17:$H$66,"",0)</f>
        <v>0</v>
      </c>
      <c r="K235" s="33" t="str">
        <f>IF(AND(_xlfn.XLOOKUP(C235,'Project Details'!$C$17:$C$66,'Project Details'!$L$17:$L$66,"",0)&gt;550, F235="Spring-L27cm"),"",SUBSTITUTE(_xlfn.XLOOKUP(G235,SKUs!$C$2:$C$10001,SKUs!$F$2:$F$10001,"",0), " Accessories",""))</f>
        <v/>
      </c>
      <c r="L235" s="33">
        <f>_xlfn.XLOOKUP(C235,'Project Details'!$C$17:$C$66,'Project Details'!$D$17:$D$66,"",0)</f>
        <v>0</v>
      </c>
      <c r="M235" s="43"/>
    </row>
    <row r="236" spans="1:13" ht="13.5" customHeight="1" x14ac:dyDescent="0.25">
      <c r="A236" s="43"/>
      <c r="B236" s="43"/>
      <c r="C236" s="35">
        <f t="shared" si="3"/>
        <v>5</v>
      </c>
      <c r="D236" s="35" t="str" cm="1">
        <f t="array" ref="D236">IFERROR(ROUNDUP(_xlfn.IFS(F236="Aluminum Track", _xlfn.XLOOKUP(C236, dd_accsrycalc!$A$2:$A$51, dd_accsrycalc!$B$2:$B$51, "",0), F236="10 x 2 1/2 S (Flat)", _xlfn.XLOOKUP(C236, dd_accsrycalc!$A$2:$A$51, dd_accsrycalc!$C$2:$C$51, "",0), F236="Tox6", _xlfn.XLOOKUP(C236, dd_accsrycalc!$A$2:$A$51, dd_accsrycalc!$D$2:$D$51, "",0), F236="Cover Cap", _xlfn.XLOOKUP(C236, dd_accsrycalc!$A$2:$A$51, dd_accsrycalc!$E$2:$E$51, "",0), F236="Drainage Cover", _xlfn.XLOOKUP(C236, dd_accsrycalc!$A$2:$A$51, dd_accsrycalc!$F$2:$F$51, "",0),AND( F236="Double Adhesive Tape", I236="Roll-up Screen"), _xlfn.XLOOKUP(C236, calc_rusacc!$C$15:$C$65, calc_rusacc!$AD$15:$AD$65, "",0),AND( F236="Sealant", I236="Roll-up Screen"), _xlfn.XLOOKUP(C236, calc_rusacc!$C$15:$C$65, calc_rusacc!$AF$15:$AF$65, "",0),  AND( F236="Main Chain", I236="Accordion Screen"), _xlfn.XLOOKUP(C236, calc_rusacc!$C$15:$C$65, calc_rusacc!$BF$15:$BF$65, "",0), AND( F236="Sealant", I236="Accordion Screen"), _xlfn.XLOOKUP(C236, calc_rusacc!$C$15:$C$65, calc_rusacc!$BJ$15:$BJ$65, "",0),  F236="Sealant", _xlfn.XLOOKUP(C236, dd_accsrycalc!$A$2:$A$51, dd_accsrycalc!$G$2:$G$51, "",0),  F236&lt;&gt;"",L236*_xlfn.XLOOKUP(1, (SKUs!$C$2:$C$10001=G236)*(SKUs!$K$2:$K$10001=I236),SKUs!$E$2:$E$10001)), 0),"")</f>
        <v/>
      </c>
      <c r="E236" s="35" t="str">
        <f>_xlfn.XLOOKUP(F236,dd_item!$B$2:$B$105,dd_item!$C$2:$C$105,"",0)</f>
        <v/>
      </c>
      <c r="F236" s="35"/>
      <c r="G236" s="35" cm="1">
        <f t="array" ref="G236">IFERROR(_xlfn.XLOOKUP(1, (SKUs!$J$2:$J$10001=accsry_unmerged!F236)*IF(H236&lt;&gt;"",(SKUs!$L$2:$L$10001=accsry_unmerged!H236),1)*(SKUs!$K$2:$K$10001=I236),SKUs!$C$2:$C$10001),"")</f>
        <v>0</v>
      </c>
      <c r="H236" s="36" cm="1">
        <f t="array" ref="H236">IFERROR(_xlfn.XLOOKUP(1, (dd_accsryclr!$C$2:$C$1000=accsry_unmerged!F236)*(dd_accsryclr!$B$2:$B$1000=accsry_unmerged!J236),dd_accsryclr!$A$2:$A$1000),"")</f>
        <v>0</v>
      </c>
      <c r="I236" s="35">
        <f>_xlfn.XLOOKUP(C236,'Project Details'!$C$17:$C$66,'Project Details'!$E$17:$E$66,"",0)</f>
        <v>0</v>
      </c>
      <c r="J236" s="35">
        <f>_xlfn.XLOOKUP(C236,'Project Details'!$C$17:$C$66,'Project Details'!$H$17:$H$66,"",0)</f>
        <v>0</v>
      </c>
      <c r="K236" s="36" t="str">
        <f>IF(AND(_xlfn.XLOOKUP(C236,'Project Details'!$C$17:$C$66,'Project Details'!$L$17:$L$66,"",0)&gt;550, F236="Spring-L27cm"),"",SUBSTITUTE(_xlfn.XLOOKUP(G236,SKUs!$C$2:$C$10001,SKUs!$F$2:$F$10001,"",0), " Accessories",""))</f>
        <v/>
      </c>
      <c r="L236" s="36">
        <f>_xlfn.XLOOKUP(C236,'Project Details'!$C$17:$C$66,'Project Details'!$D$17:$D$66,"",0)</f>
        <v>0</v>
      </c>
      <c r="M236" s="43"/>
    </row>
    <row r="237" spans="1:13" ht="13.5" customHeight="1" x14ac:dyDescent="0.25">
      <c r="A237" s="43"/>
      <c r="B237" s="43"/>
      <c r="C237" s="16">
        <f t="shared" si="3"/>
        <v>5</v>
      </c>
      <c r="D237" s="16" t="str" cm="1">
        <f t="array" ref="D237">IFERROR(ROUNDUP(_xlfn.IFS(F237="Aluminum Track", _xlfn.XLOOKUP(C237, dd_accsrycalc!$A$2:$A$51, dd_accsrycalc!$B$2:$B$51, "",0), F237="10 x 2 1/2 S (Flat)", _xlfn.XLOOKUP(C237, dd_accsrycalc!$A$2:$A$51, dd_accsrycalc!$C$2:$C$51, "",0), F237="Tox6", _xlfn.XLOOKUP(C237, dd_accsrycalc!$A$2:$A$51, dd_accsrycalc!$D$2:$D$51, "",0), F237="Cover Cap", _xlfn.XLOOKUP(C237, dd_accsrycalc!$A$2:$A$51, dd_accsrycalc!$E$2:$E$51, "",0), F237="Drainage Cover", _xlfn.XLOOKUP(C237, dd_accsrycalc!$A$2:$A$51, dd_accsrycalc!$F$2:$F$51, "",0),AND( F237="Double Adhesive Tape", I237="Roll-up Screen"), _xlfn.XLOOKUP(C237, calc_rusacc!$C$15:$C$65, calc_rusacc!$AD$15:$AD$65, "",0),AND( F237="Sealant", I237="Roll-up Screen"), _xlfn.XLOOKUP(C237, calc_rusacc!$C$15:$C$65, calc_rusacc!$AF$15:$AF$65, "",0),  AND( F237="Main Chain", I237="Accordion Screen"), _xlfn.XLOOKUP(C237, calc_rusacc!$C$15:$C$65, calc_rusacc!$BF$15:$BF$65, "",0), AND( F237="Sealant", I237="Accordion Screen"), _xlfn.XLOOKUP(C237, calc_rusacc!$C$15:$C$65, calc_rusacc!$BJ$15:$BJ$65, "",0),  F237="Sealant", _xlfn.XLOOKUP(C237, dd_accsrycalc!$A$2:$A$51, dd_accsrycalc!$G$2:$G$51, "",0),  F237&lt;&gt;"",L237*_xlfn.XLOOKUP(1, (SKUs!$C$2:$C$10001=G237)*(SKUs!$K$2:$K$10001=I237),SKUs!$E$2:$E$10001)), 0),"")</f>
        <v/>
      </c>
      <c r="E237" s="16" t="str">
        <f>_xlfn.XLOOKUP(F237,dd_item!$B$2:$B$105,dd_item!$C$2:$C$105,"",0)</f>
        <v/>
      </c>
      <c r="F237" s="16"/>
      <c r="G237" s="16" cm="1">
        <f t="array" ref="G237">IFERROR(_xlfn.XLOOKUP(1, (SKUs!$J$2:$J$10001=accsry_unmerged!F237)*IF(H237&lt;&gt;"",(SKUs!$L$2:$L$10001=accsry_unmerged!H237),1)*(SKUs!$K$2:$K$10001=I237),SKUs!$C$2:$C$10001),"")</f>
        <v>0</v>
      </c>
      <c r="H237" s="33" cm="1">
        <f t="array" ref="H237">IFERROR(_xlfn.XLOOKUP(1, (dd_accsryclr!$C$2:$C$1000=accsry_unmerged!F237)*(dd_accsryclr!$B$2:$B$1000=accsry_unmerged!J237),dd_accsryclr!$A$2:$A$1000),"")</f>
        <v>0</v>
      </c>
      <c r="I237" s="16">
        <f>_xlfn.XLOOKUP(C237,'Project Details'!$C$17:$C$66,'Project Details'!$E$17:$E$66,"",0)</f>
        <v>0</v>
      </c>
      <c r="J237" s="16">
        <f>_xlfn.XLOOKUP(C237,'Project Details'!$C$17:$C$66,'Project Details'!$H$17:$H$66,"",0)</f>
        <v>0</v>
      </c>
      <c r="K237" s="33" t="str">
        <f>IF(AND(_xlfn.XLOOKUP(C237,'Project Details'!$C$17:$C$66,'Project Details'!$L$17:$L$66,"",0)&gt;550, F237="Spring-L27cm"),"",SUBSTITUTE(_xlfn.XLOOKUP(G237,SKUs!$C$2:$C$10001,SKUs!$F$2:$F$10001,"",0), " Accessories",""))</f>
        <v/>
      </c>
      <c r="L237" s="33">
        <f>_xlfn.XLOOKUP(C237,'Project Details'!$C$17:$C$66,'Project Details'!$D$17:$D$66,"",0)</f>
        <v>0</v>
      </c>
      <c r="M237" s="43"/>
    </row>
    <row r="238" spans="1:13" ht="13.5" customHeight="1" x14ac:dyDescent="0.25">
      <c r="A238" s="43"/>
      <c r="B238" s="43"/>
      <c r="C238" s="35">
        <f t="shared" si="3"/>
        <v>5</v>
      </c>
      <c r="D238" s="35" t="str" cm="1">
        <f t="array" ref="D238">IFERROR(ROUNDUP(_xlfn.IFS(F238="Aluminum Track", _xlfn.XLOOKUP(C238, dd_accsrycalc!$A$2:$A$51, dd_accsrycalc!$B$2:$B$51, "",0), F238="10 x 2 1/2 S (Flat)", _xlfn.XLOOKUP(C238, dd_accsrycalc!$A$2:$A$51, dd_accsrycalc!$C$2:$C$51, "",0), F238="Tox6", _xlfn.XLOOKUP(C238, dd_accsrycalc!$A$2:$A$51, dd_accsrycalc!$D$2:$D$51, "",0), F238="Cover Cap", _xlfn.XLOOKUP(C238, dd_accsrycalc!$A$2:$A$51, dd_accsrycalc!$E$2:$E$51, "",0), F238="Drainage Cover", _xlfn.XLOOKUP(C238, dd_accsrycalc!$A$2:$A$51, dd_accsrycalc!$F$2:$F$51, "",0),AND( F238="Double Adhesive Tape", I238="Roll-up Screen"), _xlfn.XLOOKUP(C238, calc_rusacc!$C$15:$C$65, calc_rusacc!$AD$15:$AD$65, "",0),AND( F238="Sealant", I238="Roll-up Screen"), _xlfn.XLOOKUP(C238, calc_rusacc!$C$15:$C$65, calc_rusacc!$AF$15:$AF$65, "",0),  AND( F238="Main Chain", I238="Accordion Screen"), _xlfn.XLOOKUP(C238, calc_rusacc!$C$15:$C$65, calc_rusacc!$BF$15:$BF$65, "",0), AND( F238="Sealant", I238="Accordion Screen"), _xlfn.XLOOKUP(C238, calc_rusacc!$C$15:$C$65, calc_rusacc!$BJ$15:$BJ$65, "",0),  F238="Sealant", _xlfn.XLOOKUP(C238, dd_accsrycalc!$A$2:$A$51, dd_accsrycalc!$G$2:$G$51, "",0),  F238&lt;&gt;"",L238*_xlfn.XLOOKUP(1, (SKUs!$C$2:$C$10001=G238)*(SKUs!$K$2:$K$10001=I238),SKUs!$E$2:$E$10001)), 0),"")</f>
        <v/>
      </c>
      <c r="E238" s="35" t="str">
        <f>_xlfn.XLOOKUP(F238,dd_item!$B$2:$B$105,dd_item!$C$2:$C$105,"",0)</f>
        <v/>
      </c>
      <c r="F238" s="35"/>
      <c r="G238" s="35" cm="1">
        <f t="array" ref="G238">IFERROR(_xlfn.XLOOKUP(1, (SKUs!$J$2:$J$10001=accsry_unmerged!F238)*IF(H238&lt;&gt;"",(SKUs!$L$2:$L$10001=accsry_unmerged!H238),1)*(SKUs!$K$2:$K$10001=I238),SKUs!$C$2:$C$10001),"")</f>
        <v>0</v>
      </c>
      <c r="H238" s="36" cm="1">
        <f t="array" ref="H238">IFERROR(_xlfn.XLOOKUP(1, (dd_accsryclr!$C$2:$C$1000=accsry_unmerged!F238)*(dd_accsryclr!$B$2:$B$1000=accsry_unmerged!J238),dd_accsryclr!$A$2:$A$1000),"")</f>
        <v>0</v>
      </c>
      <c r="I238" s="35">
        <f>_xlfn.XLOOKUP(C238,'Project Details'!$C$17:$C$66,'Project Details'!$E$17:$E$66,"",0)</f>
        <v>0</v>
      </c>
      <c r="J238" s="35">
        <f>_xlfn.XLOOKUP(C238,'Project Details'!$C$17:$C$66,'Project Details'!$H$17:$H$66,"",0)</f>
        <v>0</v>
      </c>
      <c r="K238" s="36" t="str">
        <f>IF(AND(_xlfn.XLOOKUP(C238,'Project Details'!$C$17:$C$66,'Project Details'!$L$17:$L$66,"",0)&gt;550, F238="Spring-L27cm"),"",SUBSTITUTE(_xlfn.XLOOKUP(G238,SKUs!$C$2:$C$10001,SKUs!$F$2:$F$10001,"",0), " Accessories",""))</f>
        <v/>
      </c>
      <c r="L238" s="36">
        <f>_xlfn.XLOOKUP(C238,'Project Details'!$C$17:$C$66,'Project Details'!$D$17:$D$66,"",0)</f>
        <v>0</v>
      </c>
      <c r="M238" s="43"/>
    </row>
    <row r="239" spans="1:13" ht="13.5" customHeight="1" x14ac:dyDescent="0.25">
      <c r="A239" s="43"/>
      <c r="B239" s="43"/>
      <c r="C239" s="16">
        <f t="shared" si="3"/>
        <v>5</v>
      </c>
      <c r="D239" s="16" t="str" cm="1">
        <f t="array" ref="D239">IFERROR(ROUNDUP(_xlfn.IFS(F239="Aluminum Track", _xlfn.XLOOKUP(C239, dd_accsrycalc!$A$2:$A$51, dd_accsrycalc!$B$2:$B$51, "",0), F239="10 x 2 1/2 S (Flat)", _xlfn.XLOOKUP(C239, dd_accsrycalc!$A$2:$A$51, dd_accsrycalc!$C$2:$C$51, "",0), F239="Tox6", _xlfn.XLOOKUP(C239, dd_accsrycalc!$A$2:$A$51, dd_accsrycalc!$D$2:$D$51, "",0), F239="Cover Cap", _xlfn.XLOOKUP(C239, dd_accsrycalc!$A$2:$A$51, dd_accsrycalc!$E$2:$E$51, "",0), F239="Drainage Cover", _xlfn.XLOOKUP(C239, dd_accsrycalc!$A$2:$A$51, dd_accsrycalc!$F$2:$F$51, "",0),AND( F239="Double Adhesive Tape", I239="Roll-up Screen"), _xlfn.XLOOKUP(C239, calc_rusacc!$C$15:$C$65, calc_rusacc!$AD$15:$AD$65, "",0),AND( F239="Sealant", I239="Roll-up Screen"), _xlfn.XLOOKUP(C239, calc_rusacc!$C$15:$C$65, calc_rusacc!$AF$15:$AF$65, "",0),  AND( F239="Main Chain", I239="Accordion Screen"), _xlfn.XLOOKUP(C239, calc_rusacc!$C$15:$C$65, calc_rusacc!$BF$15:$BF$65, "",0), AND( F239="Sealant", I239="Accordion Screen"), _xlfn.XLOOKUP(C239, calc_rusacc!$C$15:$C$65, calc_rusacc!$BJ$15:$BJ$65, "",0),  F239="Sealant", _xlfn.XLOOKUP(C239, dd_accsrycalc!$A$2:$A$51, dd_accsrycalc!$G$2:$G$51, "",0),  F239&lt;&gt;"",L239*_xlfn.XLOOKUP(1, (SKUs!$C$2:$C$10001=G239)*(SKUs!$K$2:$K$10001=I239),SKUs!$E$2:$E$10001)), 0),"")</f>
        <v/>
      </c>
      <c r="E239" s="16" t="str">
        <f>_xlfn.XLOOKUP(F239,dd_item!$B$2:$B$105,dd_item!$C$2:$C$105,"",0)</f>
        <v/>
      </c>
      <c r="F239" s="16"/>
      <c r="G239" s="16" cm="1">
        <f t="array" ref="G239">IFERROR(_xlfn.XLOOKUP(1, (SKUs!$J$2:$J$10001=accsry_unmerged!F239)*IF(H239&lt;&gt;"",(SKUs!$L$2:$L$10001=accsry_unmerged!H239),1)*(SKUs!$K$2:$K$10001=I239),SKUs!$C$2:$C$10001),"")</f>
        <v>0</v>
      </c>
      <c r="H239" s="33" cm="1">
        <f t="array" ref="H239">IFERROR(_xlfn.XLOOKUP(1, (dd_accsryclr!$C$2:$C$1000=accsry_unmerged!F239)*(dd_accsryclr!$B$2:$B$1000=accsry_unmerged!J239),dd_accsryclr!$A$2:$A$1000),"")</f>
        <v>0</v>
      </c>
      <c r="I239" s="16">
        <f>_xlfn.XLOOKUP(C239,'Project Details'!$C$17:$C$66,'Project Details'!$E$17:$E$66,"",0)</f>
        <v>0</v>
      </c>
      <c r="J239" s="16">
        <f>_xlfn.XLOOKUP(C239,'Project Details'!$C$17:$C$66,'Project Details'!$H$17:$H$66,"",0)</f>
        <v>0</v>
      </c>
      <c r="K239" s="33" t="str">
        <f>IF(AND(_xlfn.XLOOKUP(C239,'Project Details'!$C$17:$C$66,'Project Details'!$L$17:$L$66,"",0)&gt;550, F239="Spring-L27cm"),"",SUBSTITUTE(_xlfn.XLOOKUP(G239,SKUs!$C$2:$C$10001,SKUs!$F$2:$F$10001,"",0), " Accessories",""))</f>
        <v/>
      </c>
      <c r="L239" s="33">
        <f>_xlfn.XLOOKUP(C239,'Project Details'!$C$17:$C$66,'Project Details'!$D$17:$D$66,"",0)</f>
        <v>0</v>
      </c>
      <c r="M239" s="43"/>
    </row>
    <row r="240" spans="1:13" ht="13.5" customHeight="1" x14ac:dyDescent="0.25">
      <c r="A240" s="43"/>
      <c r="B240" s="43"/>
      <c r="C240" s="35">
        <f t="shared" si="3"/>
        <v>5</v>
      </c>
      <c r="D240" s="35" t="str" cm="1">
        <f t="array" ref="D240">IFERROR(ROUNDUP(_xlfn.IFS(F240="Aluminum Track", _xlfn.XLOOKUP(C240, dd_accsrycalc!$A$2:$A$51, dd_accsrycalc!$B$2:$B$51, "",0), F240="10 x 2 1/2 S (Flat)", _xlfn.XLOOKUP(C240, dd_accsrycalc!$A$2:$A$51, dd_accsrycalc!$C$2:$C$51, "",0), F240="Tox6", _xlfn.XLOOKUP(C240, dd_accsrycalc!$A$2:$A$51, dd_accsrycalc!$D$2:$D$51, "",0), F240="Cover Cap", _xlfn.XLOOKUP(C240, dd_accsrycalc!$A$2:$A$51, dd_accsrycalc!$E$2:$E$51, "",0), F240="Drainage Cover", _xlfn.XLOOKUP(C240, dd_accsrycalc!$A$2:$A$51, dd_accsrycalc!$F$2:$F$51, "",0),AND( F240="Double Adhesive Tape", I240="Roll-up Screen"), _xlfn.XLOOKUP(C240, calc_rusacc!$C$15:$C$65, calc_rusacc!$AD$15:$AD$65, "",0),AND( F240="Sealant", I240="Roll-up Screen"), _xlfn.XLOOKUP(C240, calc_rusacc!$C$15:$C$65, calc_rusacc!$AF$15:$AF$65, "",0),  AND( F240="Main Chain", I240="Accordion Screen"), _xlfn.XLOOKUP(C240, calc_rusacc!$C$15:$C$65, calc_rusacc!$BF$15:$BF$65, "",0), AND( F240="Sealant", I240="Accordion Screen"), _xlfn.XLOOKUP(C240, calc_rusacc!$C$15:$C$65, calc_rusacc!$BJ$15:$BJ$65, "",0),  F240="Sealant", _xlfn.XLOOKUP(C240, dd_accsrycalc!$A$2:$A$51, dd_accsrycalc!$G$2:$G$51, "",0),  F240&lt;&gt;"",L240*_xlfn.XLOOKUP(1, (SKUs!$C$2:$C$10001=G240)*(SKUs!$K$2:$K$10001=I240),SKUs!$E$2:$E$10001)), 0),"")</f>
        <v/>
      </c>
      <c r="E240" s="35" t="str">
        <f>_xlfn.XLOOKUP(F240,dd_item!$B$2:$B$105,dd_item!$C$2:$C$105,"",0)</f>
        <v/>
      </c>
      <c r="F240" s="35"/>
      <c r="G240" s="35" cm="1">
        <f t="array" ref="G240">IFERROR(_xlfn.XLOOKUP(1, (SKUs!$J$2:$J$10001=accsry_unmerged!F240)*IF(H240&lt;&gt;"",(SKUs!$L$2:$L$10001=accsry_unmerged!H240),1)*(SKUs!$K$2:$K$10001=I240),SKUs!$C$2:$C$10001),"")</f>
        <v>0</v>
      </c>
      <c r="H240" s="36" cm="1">
        <f t="array" ref="H240">IFERROR(_xlfn.XLOOKUP(1, (dd_accsryclr!$C$2:$C$1000=accsry_unmerged!F240)*(dd_accsryclr!$B$2:$B$1000=accsry_unmerged!J240),dd_accsryclr!$A$2:$A$1000),"")</f>
        <v>0</v>
      </c>
      <c r="I240" s="35">
        <f>_xlfn.XLOOKUP(C240,'Project Details'!$C$17:$C$66,'Project Details'!$E$17:$E$66,"",0)</f>
        <v>0</v>
      </c>
      <c r="J240" s="35">
        <f>_xlfn.XLOOKUP(C240,'Project Details'!$C$17:$C$66,'Project Details'!$H$17:$H$66,"",0)</f>
        <v>0</v>
      </c>
      <c r="K240" s="36" t="str">
        <f>IF(AND(_xlfn.XLOOKUP(C240,'Project Details'!$C$17:$C$66,'Project Details'!$L$17:$L$66,"",0)&gt;550, F240="Spring-L27cm"),"",SUBSTITUTE(_xlfn.XLOOKUP(G240,SKUs!$C$2:$C$10001,SKUs!$F$2:$F$10001,"",0), " Accessories",""))</f>
        <v/>
      </c>
      <c r="L240" s="36">
        <f>_xlfn.XLOOKUP(C240,'Project Details'!$C$17:$C$66,'Project Details'!$D$17:$D$66,"",0)</f>
        <v>0</v>
      </c>
      <c r="M240" s="43"/>
    </row>
    <row r="241" spans="1:13" ht="13.5" customHeight="1" x14ac:dyDescent="0.25">
      <c r="A241" s="43"/>
      <c r="B241" s="43"/>
      <c r="C241" s="16">
        <f t="shared" si="3"/>
        <v>5</v>
      </c>
      <c r="D241" s="16" t="str" cm="1">
        <f t="array" ref="D241">IFERROR(ROUNDUP(_xlfn.IFS(F241="Aluminum Track", _xlfn.XLOOKUP(C241, dd_accsrycalc!$A$2:$A$51, dd_accsrycalc!$B$2:$B$51, "",0), F241="10 x 2 1/2 S (Flat)", _xlfn.XLOOKUP(C241, dd_accsrycalc!$A$2:$A$51, dd_accsrycalc!$C$2:$C$51, "",0), F241="Tox6", _xlfn.XLOOKUP(C241, dd_accsrycalc!$A$2:$A$51, dd_accsrycalc!$D$2:$D$51, "",0), F241="Cover Cap", _xlfn.XLOOKUP(C241, dd_accsrycalc!$A$2:$A$51, dd_accsrycalc!$E$2:$E$51, "",0), F241="Drainage Cover", _xlfn.XLOOKUP(C241, dd_accsrycalc!$A$2:$A$51, dd_accsrycalc!$F$2:$F$51, "",0),AND( F241="Double Adhesive Tape", I241="Roll-up Screen"), _xlfn.XLOOKUP(C241, calc_rusacc!$C$15:$C$65, calc_rusacc!$AD$15:$AD$65, "",0),AND( F241="Sealant", I241="Roll-up Screen"), _xlfn.XLOOKUP(C241, calc_rusacc!$C$15:$C$65, calc_rusacc!$AF$15:$AF$65, "",0),  AND( F241="Main Chain", I241="Accordion Screen"), _xlfn.XLOOKUP(C241, calc_rusacc!$C$15:$C$65, calc_rusacc!$BF$15:$BF$65, "",0), AND( F241="Sealant", I241="Accordion Screen"), _xlfn.XLOOKUP(C241, calc_rusacc!$C$15:$C$65, calc_rusacc!$BJ$15:$BJ$65, "",0),  F241="Sealant", _xlfn.XLOOKUP(C241, dd_accsrycalc!$A$2:$A$51, dd_accsrycalc!$G$2:$G$51, "",0),  F241&lt;&gt;"",L241*_xlfn.XLOOKUP(1, (SKUs!$C$2:$C$10001=G241)*(SKUs!$K$2:$K$10001=I241),SKUs!$E$2:$E$10001)), 0),"")</f>
        <v/>
      </c>
      <c r="E241" s="16" t="str">
        <f>_xlfn.XLOOKUP(F241,dd_item!$B$2:$B$105,dd_item!$C$2:$C$105,"",0)</f>
        <v/>
      </c>
      <c r="F241" s="16"/>
      <c r="G241" s="16" cm="1">
        <f t="array" ref="G241">IFERROR(_xlfn.XLOOKUP(1, (SKUs!$J$2:$J$10001=accsry_unmerged!F241)*IF(H241&lt;&gt;"",(SKUs!$L$2:$L$10001=accsry_unmerged!H241),1)*(SKUs!$K$2:$K$10001=I241),SKUs!$C$2:$C$10001),"")</f>
        <v>0</v>
      </c>
      <c r="H241" s="33" cm="1">
        <f t="array" ref="H241">IFERROR(_xlfn.XLOOKUP(1, (dd_accsryclr!$C$2:$C$1000=accsry_unmerged!F241)*(dd_accsryclr!$B$2:$B$1000=accsry_unmerged!J241),dd_accsryclr!$A$2:$A$1000),"")</f>
        <v>0</v>
      </c>
      <c r="I241" s="16">
        <f>_xlfn.XLOOKUP(C241,'Project Details'!$C$17:$C$66,'Project Details'!$E$17:$E$66,"",0)</f>
        <v>0</v>
      </c>
      <c r="J241" s="16">
        <f>_xlfn.XLOOKUP(C241,'Project Details'!$C$17:$C$66,'Project Details'!$H$17:$H$66,"",0)</f>
        <v>0</v>
      </c>
      <c r="K241" s="33" t="str">
        <f>IF(AND(_xlfn.XLOOKUP(C241,'Project Details'!$C$17:$C$66,'Project Details'!$L$17:$L$66,"",0)&gt;550, F241="Spring-L27cm"),"",SUBSTITUTE(_xlfn.XLOOKUP(G241,SKUs!$C$2:$C$10001,SKUs!$F$2:$F$10001,"",0), " Accessories",""))</f>
        <v/>
      </c>
      <c r="L241" s="33">
        <f>_xlfn.XLOOKUP(C241,'Project Details'!$C$17:$C$66,'Project Details'!$D$17:$D$66,"",0)</f>
        <v>0</v>
      </c>
      <c r="M241" s="43"/>
    </row>
    <row r="242" spans="1:13" ht="13.5" customHeight="1" x14ac:dyDescent="0.25">
      <c r="A242" s="43"/>
      <c r="B242" s="43"/>
      <c r="C242" s="35">
        <f t="shared" si="3"/>
        <v>5</v>
      </c>
      <c r="D242" s="35" t="str" cm="1">
        <f t="array" ref="D242">IFERROR(ROUNDUP(_xlfn.IFS(F242="Aluminum Track", _xlfn.XLOOKUP(C242, dd_accsrycalc!$A$2:$A$51, dd_accsrycalc!$B$2:$B$51, "",0), F242="10 x 2 1/2 S (Flat)", _xlfn.XLOOKUP(C242, dd_accsrycalc!$A$2:$A$51, dd_accsrycalc!$C$2:$C$51, "",0), F242="Tox6", _xlfn.XLOOKUP(C242, dd_accsrycalc!$A$2:$A$51, dd_accsrycalc!$D$2:$D$51, "",0), F242="Cover Cap", _xlfn.XLOOKUP(C242, dd_accsrycalc!$A$2:$A$51, dd_accsrycalc!$E$2:$E$51, "",0), F242="Drainage Cover", _xlfn.XLOOKUP(C242, dd_accsrycalc!$A$2:$A$51, dd_accsrycalc!$F$2:$F$51, "",0),AND( F242="Double Adhesive Tape", I242="Roll-up Screen"), _xlfn.XLOOKUP(C242, calc_rusacc!$C$15:$C$65, calc_rusacc!$AD$15:$AD$65, "",0),AND( F242="Sealant", I242="Roll-up Screen"), _xlfn.XLOOKUP(C242, calc_rusacc!$C$15:$C$65, calc_rusacc!$AF$15:$AF$65, "",0),  AND( F242="Main Chain", I242="Accordion Screen"), _xlfn.XLOOKUP(C242, calc_rusacc!$C$15:$C$65, calc_rusacc!$BF$15:$BF$65, "",0), AND( F242="Sealant", I242="Accordion Screen"), _xlfn.XLOOKUP(C242, calc_rusacc!$C$15:$C$65, calc_rusacc!$BJ$15:$BJ$65, "",0),  F242="Sealant", _xlfn.XLOOKUP(C242, dd_accsrycalc!$A$2:$A$51, dd_accsrycalc!$G$2:$G$51, "",0),  F242&lt;&gt;"",L242*_xlfn.XLOOKUP(1, (SKUs!$C$2:$C$10001=G242)*(SKUs!$K$2:$K$10001=I242),SKUs!$E$2:$E$10001)), 0),"")</f>
        <v/>
      </c>
      <c r="E242" s="35" t="str">
        <f>_xlfn.XLOOKUP(F242,dd_item!$B$2:$B$105,dd_item!$C$2:$C$105,"",0)</f>
        <v/>
      </c>
      <c r="F242" s="35"/>
      <c r="G242" s="35" cm="1">
        <f t="array" ref="G242">IFERROR(_xlfn.XLOOKUP(1, (SKUs!$J$2:$J$10001=accsry_unmerged!F242)*IF(H242&lt;&gt;"",(SKUs!$L$2:$L$10001=accsry_unmerged!H242),1)*(SKUs!$K$2:$K$10001=I242),SKUs!$C$2:$C$10001),"")</f>
        <v>0</v>
      </c>
      <c r="H242" s="36" cm="1">
        <f t="array" ref="H242">IFERROR(_xlfn.XLOOKUP(1, (dd_accsryclr!$C$2:$C$1000=accsry_unmerged!F242)*(dd_accsryclr!$B$2:$B$1000=accsry_unmerged!J242),dd_accsryclr!$A$2:$A$1000),"")</f>
        <v>0</v>
      </c>
      <c r="I242" s="35">
        <f>_xlfn.XLOOKUP(C242,'Project Details'!$C$17:$C$66,'Project Details'!$E$17:$E$66,"",0)</f>
        <v>0</v>
      </c>
      <c r="J242" s="35">
        <f>_xlfn.XLOOKUP(C242,'Project Details'!$C$17:$C$66,'Project Details'!$H$17:$H$66,"",0)</f>
        <v>0</v>
      </c>
      <c r="K242" s="36" t="str">
        <f>IF(AND(_xlfn.XLOOKUP(C242,'Project Details'!$C$17:$C$66,'Project Details'!$L$17:$L$66,"",0)&gt;550, F242="Spring-L27cm"),"",SUBSTITUTE(_xlfn.XLOOKUP(G242,SKUs!$C$2:$C$10001,SKUs!$F$2:$F$10001,"",0), " Accessories",""))</f>
        <v/>
      </c>
      <c r="L242" s="36">
        <f>_xlfn.XLOOKUP(C242,'Project Details'!$C$17:$C$66,'Project Details'!$D$17:$D$66,"",0)</f>
        <v>0</v>
      </c>
      <c r="M242" s="43"/>
    </row>
    <row r="243" spans="1:13" ht="13.5" customHeight="1" x14ac:dyDescent="0.25">
      <c r="A243" s="43"/>
      <c r="B243" s="43"/>
      <c r="C243" s="16">
        <f t="shared" si="3"/>
        <v>5</v>
      </c>
      <c r="D243" s="16" t="str" cm="1">
        <f t="array" ref="D243">IFERROR(ROUNDUP(_xlfn.IFS(F243="Aluminum Track", _xlfn.XLOOKUP(C243, dd_accsrycalc!$A$2:$A$51, dd_accsrycalc!$B$2:$B$51, "",0), F243="10 x 2 1/2 S (Flat)", _xlfn.XLOOKUP(C243, dd_accsrycalc!$A$2:$A$51, dd_accsrycalc!$C$2:$C$51, "",0), F243="Tox6", _xlfn.XLOOKUP(C243, dd_accsrycalc!$A$2:$A$51, dd_accsrycalc!$D$2:$D$51, "",0), F243="Cover Cap", _xlfn.XLOOKUP(C243, dd_accsrycalc!$A$2:$A$51, dd_accsrycalc!$E$2:$E$51, "",0), F243="Drainage Cover", _xlfn.XLOOKUP(C243, dd_accsrycalc!$A$2:$A$51, dd_accsrycalc!$F$2:$F$51, "",0),AND( F243="Double Adhesive Tape", I243="Roll-up Screen"), _xlfn.XLOOKUP(C243, calc_rusacc!$C$15:$C$65, calc_rusacc!$AD$15:$AD$65, "",0),AND( F243="Sealant", I243="Roll-up Screen"), _xlfn.XLOOKUP(C243, calc_rusacc!$C$15:$C$65, calc_rusacc!$AF$15:$AF$65, "",0),  AND( F243="Main Chain", I243="Accordion Screen"), _xlfn.XLOOKUP(C243, calc_rusacc!$C$15:$C$65, calc_rusacc!$BF$15:$BF$65, "",0), AND( F243="Sealant", I243="Accordion Screen"), _xlfn.XLOOKUP(C243, calc_rusacc!$C$15:$C$65, calc_rusacc!$BJ$15:$BJ$65, "",0),  F243="Sealant", _xlfn.XLOOKUP(C243, dd_accsrycalc!$A$2:$A$51, dd_accsrycalc!$G$2:$G$51, "",0),  F243&lt;&gt;"",L243*_xlfn.XLOOKUP(1, (SKUs!$C$2:$C$10001=G243)*(SKUs!$K$2:$K$10001=I243),SKUs!$E$2:$E$10001)), 0),"")</f>
        <v/>
      </c>
      <c r="E243" s="16" t="str">
        <f>_xlfn.XLOOKUP(F243,dd_item!$B$2:$B$105,dd_item!$C$2:$C$105,"",0)</f>
        <v/>
      </c>
      <c r="F243" s="16"/>
      <c r="G243" s="16" cm="1">
        <f t="array" ref="G243">IFERROR(_xlfn.XLOOKUP(1, (SKUs!$J$2:$J$10001=accsry_unmerged!F243)*IF(H243&lt;&gt;"",(SKUs!$L$2:$L$10001=accsry_unmerged!H243),1)*(SKUs!$K$2:$K$10001=I243),SKUs!$C$2:$C$10001),"")</f>
        <v>0</v>
      </c>
      <c r="H243" s="33" cm="1">
        <f t="array" ref="H243">IFERROR(_xlfn.XLOOKUP(1, (dd_accsryclr!$C$2:$C$1000=accsry_unmerged!F243)*(dd_accsryclr!$B$2:$B$1000=accsry_unmerged!J243),dd_accsryclr!$A$2:$A$1000),"")</f>
        <v>0</v>
      </c>
      <c r="I243" s="16">
        <f>_xlfn.XLOOKUP(C243,'Project Details'!$C$17:$C$66,'Project Details'!$E$17:$E$66,"",0)</f>
        <v>0</v>
      </c>
      <c r="J243" s="16">
        <f>_xlfn.XLOOKUP(C243,'Project Details'!$C$17:$C$66,'Project Details'!$H$17:$H$66,"",0)</f>
        <v>0</v>
      </c>
      <c r="K243" s="33" t="str">
        <f>IF(AND(_xlfn.XLOOKUP(C243,'Project Details'!$C$17:$C$66,'Project Details'!$L$17:$L$66,"",0)&gt;550, F243="Spring-L27cm"),"",SUBSTITUTE(_xlfn.XLOOKUP(G243,SKUs!$C$2:$C$10001,SKUs!$F$2:$F$10001,"",0), " Accessories",""))</f>
        <v/>
      </c>
      <c r="L243" s="33">
        <f>_xlfn.XLOOKUP(C243,'Project Details'!$C$17:$C$66,'Project Details'!$D$17:$D$66,"",0)</f>
        <v>0</v>
      </c>
      <c r="M243" s="43"/>
    </row>
    <row r="244" spans="1:13" ht="13.5" customHeight="1" x14ac:dyDescent="0.25">
      <c r="A244" s="43"/>
      <c r="B244" s="43"/>
      <c r="C244" s="35">
        <f t="shared" si="3"/>
        <v>5</v>
      </c>
      <c r="D244" s="35" t="str" cm="1">
        <f t="array" ref="D244">IFERROR(ROUNDUP(_xlfn.IFS(F244="Aluminum Track", _xlfn.XLOOKUP(C244, dd_accsrycalc!$A$2:$A$51, dd_accsrycalc!$B$2:$B$51, "",0), F244="10 x 2 1/2 S (Flat)", _xlfn.XLOOKUP(C244, dd_accsrycalc!$A$2:$A$51, dd_accsrycalc!$C$2:$C$51, "",0), F244="Tox6", _xlfn.XLOOKUP(C244, dd_accsrycalc!$A$2:$A$51, dd_accsrycalc!$D$2:$D$51, "",0), F244="Cover Cap", _xlfn.XLOOKUP(C244, dd_accsrycalc!$A$2:$A$51, dd_accsrycalc!$E$2:$E$51, "",0), F244="Drainage Cover", _xlfn.XLOOKUP(C244, dd_accsrycalc!$A$2:$A$51, dd_accsrycalc!$F$2:$F$51, "",0),AND( F244="Double Adhesive Tape", I244="Roll-up Screen"), _xlfn.XLOOKUP(C244, calc_rusacc!$C$15:$C$65, calc_rusacc!$AD$15:$AD$65, "",0),AND( F244="Sealant", I244="Roll-up Screen"), _xlfn.XLOOKUP(C244, calc_rusacc!$C$15:$C$65, calc_rusacc!$AF$15:$AF$65, "",0),  AND( F244="Main Chain", I244="Accordion Screen"), _xlfn.XLOOKUP(C244, calc_rusacc!$C$15:$C$65, calc_rusacc!$BF$15:$BF$65, "",0), AND( F244="Sealant", I244="Accordion Screen"), _xlfn.XLOOKUP(C244, calc_rusacc!$C$15:$C$65, calc_rusacc!$BJ$15:$BJ$65, "",0),  F244="Sealant", _xlfn.XLOOKUP(C244, dd_accsrycalc!$A$2:$A$51, dd_accsrycalc!$G$2:$G$51, "",0),  F244&lt;&gt;"",L244*_xlfn.XLOOKUP(1, (SKUs!$C$2:$C$10001=G244)*(SKUs!$K$2:$K$10001=I244),SKUs!$E$2:$E$10001)), 0),"")</f>
        <v/>
      </c>
      <c r="E244" s="35" t="str">
        <f>_xlfn.XLOOKUP(F244,dd_item!$B$2:$B$105,dd_item!$C$2:$C$105,"",0)</f>
        <v/>
      </c>
      <c r="F244" s="35"/>
      <c r="G244" s="35" cm="1">
        <f t="array" ref="G244">IFERROR(_xlfn.XLOOKUP(1, (SKUs!$J$2:$J$10001=accsry_unmerged!F244)*IF(H244&lt;&gt;"",(SKUs!$L$2:$L$10001=accsry_unmerged!H244),1)*(SKUs!$K$2:$K$10001=I244),SKUs!$C$2:$C$10001),"")</f>
        <v>0</v>
      </c>
      <c r="H244" s="36" cm="1">
        <f t="array" ref="H244">IFERROR(_xlfn.XLOOKUP(1, (dd_accsryclr!$C$2:$C$1000=accsry_unmerged!F244)*(dd_accsryclr!$B$2:$B$1000=accsry_unmerged!J244),dd_accsryclr!$A$2:$A$1000),"")</f>
        <v>0</v>
      </c>
      <c r="I244" s="35">
        <f>_xlfn.XLOOKUP(C244,'Project Details'!$C$17:$C$66,'Project Details'!$E$17:$E$66,"",0)</f>
        <v>0</v>
      </c>
      <c r="J244" s="35">
        <f>_xlfn.XLOOKUP(C244,'Project Details'!$C$17:$C$66,'Project Details'!$H$17:$H$66,"",0)</f>
        <v>0</v>
      </c>
      <c r="K244" s="36" t="str">
        <f>IF(AND(_xlfn.XLOOKUP(C244,'Project Details'!$C$17:$C$66,'Project Details'!$L$17:$L$66,"",0)&gt;550, F244="Spring-L27cm"),"",SUBSTITUTE(_xlfn.XLOOKUP(G244,SKUs!$C$2:$C$10001,SKUs!$F$2:$F$10001,"",0), " Accessories",""))</f>
        <v/>
      </c>
      <c r="L244" s="36">
        <f>_xlfn.XLOOKUP(C244,'Project Details'!$C$17:$C$66,'Project Details'!$D$17:$D$66,"",0)</f>
        <v>0</v>
      </c>
      <c r="M244" s="43"/>
    </row>
    <row r="245" spans="1:13" ht="13.5" customHeight="1" outlineLevel="1" x14ac:dyDescent="0.25">
      <c r="A245" s="43"/>
      <c r="B245" s="43"/>
      <c r="C245" s="16">
        <f t="shared" si="3"/>
        <v>5</v>
      </c>
      <c r="D245" s="16" t="str" cm="1">
        <f t="array" ref="D245">IFERROR(ROUNDUP(_xlfn.IFS(F245="Aluminum Track", _xlfn.XLOOKUP(C245, dd_accsrycalc!$A$2:$A$51, dd_accsrycalc!$B$2:$B$51, "",0), F245="10 x 2 1/2 S (Flat)", _xlfn.XLOOKUP(C245, dd_accsrycalc!$A$2:$A$51, dd_accsrycalc!$C$2:$C$51, "",0), F245="Tox6", _xlfn.XLOOKUP(C245, dd_accsrycalc!$A$2:$A$51, dd_accsrycalc!$D$2:$D$51, "",0), F245="Cover Cap", _xlfn.XLOOKUP(C245, dd_accsrycalc!$A$2:$A$51, dd_accsrycalc!$E$2:$E$51, "",0), F245="Drainage Cover", _xlfn.XLOOKUP(C245, dd_accsrycalc!$A$2:$A$51, dd_accsrycalc!$F$2:$F$51, "",0),AND( F245="Double Adhesive Tape", I245="Roll-up Screen"), _xlfn.XLOOKUP(C245, calc_rusacc!$C$15:$C$65, calc_rusacc!$AD$15:$AD$65, "",0),AND( F245="Sealant", I245="Roll-up Screen"), _xlfn.XLOOKUP(C245, calc_rusacc!$C$15:$C$65, calc_rusacc!$AF$15:$AF$65, "",0),  AND( F245="Main Chain", I245="Accordion Screen"), _xlfn.XLOOKUP(C245, calc_rusacc!$C$15:$C$65, calc_rusacc!$BF$15:$BF$65, "",0), AND( F245="Sealant", I245="Accordion Screen"), _xlfn.XLOOKUP(C245, calc_rusacc!$C$15:$C$65, calc_rusacc!$BJ$15:$BJ$65, "",0),  F245="Sealant", _xlfn.XLOOKUP(C245, dd_accsrycalc!$A$2:$A$51, dd_accsrycalc!$G$2:$G$51, "",0),  F245&lt;&gt;"",L245*_xlfn.XLOOKUP(1, (SKUs!$C$2:$C$10001=G245)*(SKUs!$K$2:$K$10001=I245),SKUs!$E$2:$E$10001)), 0),"")</f>
        <v/>
      </c>
      <c r="E245" s="16" t="str">
        <f>_xlfn.XLOOKUP(F245,dd_item!$B$2:$B$105,dd_item!$C$2:$C$105,"",0)</f>
        <v/>
      </c>
      <c r="F245" s="16"/>
      <c r="G245" s="16" cm="1">
        <f t="array" ref="G245">IFERROR(_xlfn.XLOOKUP(1, (SKUs!$J$2:$J$10001=accsry_unmerged!F245)*IF(H245&lt;&gt;"",(SKUs!$L$2:$L$10001=accsry_unmerged!H245),1)*(SKUs!$K$2:$K$10001=I245),SKUs!$C$2:$C$10001),"")</f>
        <v>0</v>
      </c>
      <c r="H245" s="33" cm="1">
        <f t="array" ref="H245">IFERROR(_xlfn.XLOOKUP(1, (dd_accsryclr!$C$2:$C$1000=accsry_unmerged!F245)*(dd_accsryclr!$B$2:$B$1000=accsry_unmerged!J245),dd_accsryclr!$A$2:$A$1000),"")</f>
        <v>0</v>
      </c>
      <c r="I245" s="16">
        <f>_xlfn.XLOOKUP(C245,'Project Details'!$C$17:$C$66,'Project Details'!$E$17:$E$66,"",0)</f>
        <v>0</v>
      </c>
      <c r="J245" s="16">
        <f>_xlfn.XLOOKUP(C245,'Project Details'!$C$17:$C$66,'Project Details'!$H$17:$H$66,"",0)</f>
        <v>0</v>
      </c>
      <c r="K245" s="33" t="str">
        <f>IF(AND(_xlfn.XLOOKUP(C245,'Project Details'!$C$17:$C$66,'Project Details'!$L$17:$L$66,"",0)&gt;550, F245="Spring-L27cm"),"",SUBSTITUTE(_xlfn.XLOOKUP(G245,SKUs!$C$2:$C$10001,SKUs!$F$2:$F$10001,"",0), " Accessories",""))</f>
        <v/>
      </c>
      <c r="L245" s="33">
        <f>_xlfn.XLOOKUP(C245,'Project Details'!$C$17:$C$66,'Project Details'!$D$17:$D$66,"",0)</f>
        <v>0</v>
      </c>
      <c r="M245" s="43"/>
    </row>
    <row r="246" spans="1:13" ht="13.5" customHeight="1" outlineLevel="1" x14ac:dyDescent="0.25">
      <c r="A246" s="43"/>
      <c r="B246" s="43"/>
      <c r="C246" s="35">
        <f t="shared" si="3"/>
        <v>5</v>
      </c>
      <c r="D246" s="35" t="str" cm="1">
        <f t="array" ref="D246">IFERROR(ROUNDUP(_xlfn.IFS(F246="Aluminum Track", _xlfn.XLOOKUP(C246, dd_accsrycalc!$A$2:$A$51, dd_accsrycalc!$B$2:$B$51, "",0), F246="10 x 2 1/2 S (Flat)", _xlfn.XLOOKUP(C246, dd_accsrycalc!$A$2:$A$51, dd_accsrycalc!$C$2:$C$51, "",0), F246="Tox6", _xlfn.XLOOKUP(C246, dd_accsrycalc!$A$2:$A$51, dd_accsrycalc!$D$2:$D$51, "",0), F246="Cover Cap", _xlfn.XLOOKUP(C246, dd_accsrycalc!$A$2:$A$51, dd_accsrycalc!$E$2:$E$51, "",0), F246="Drainage Cover", _xlfn.XLOOKUP(C246, dd_accsrycalc!$A$2:$A$51, dd_accsrycalc!$F$2:$F$51, "",0),AND( F246="Double Adhesive Tape", I246="Roll-up Screen"), _xlfn.XLOOKUP(C246, calc_rusacc!$C$15:$C$65, calc_rusacc!$AD$15:$AD$65, "",0),AND( F246="Sealant", I246="Roll-up Screen"), _xlfn.XLOOKUP(C246, calc_rusacc!$C$15:$C$65, calc_rusacc!$AF$15:$AF$65, "",0),  AND( F246="Main Chain", I246="Accordion Screen"), _xlfn.XLOOKUP(C246, calc_rusacc!$C$15:$C$65, calc_rusacc!$BF$15:$BF$65, "",0), AND( F246="Sealant", I246="Accordion Screen"), _xlfn.XLOOKUP(C246, calc_rusacc!$C$15:$C$65, calc_rusacc!$BJ$15:$BJ$65, "",0),  F246="Sealant", _xlfn.XLOOKUP(C246, dd_accsrycalc!$A$2:$A$51, dd_accsrycalc!$G$2:$G$51, "",0),  F246&lt;&gt;"",L246*_xlfn.XLOOKUP(1, (SKUs!$C$2:$C$10001=G246)*(SKUs!$K$2:$K$10001=I246),SKUs!$E$2:$E$10001)), 0),"")</f>
        <v/>
      </c>
      <c r="E246" s="35" t="str">
        <f>_xlfn.XLOOKUP(F246,dd_item!$B$2:$B$105,dd_item!$C$2:$C$105,"",0)</f>
        <v/>
      </c>
      <c r="F246" s="35"/>
      <c r="G246" s="35" cm="1">
        <f t="array" ref="G246">IFERROR(_xlfn.XLOOKUP(1, (SKUs!$J$2:$J$10001=accsry_unmerged!F246)*IF(H246&lt;&gt;"",(SKUs!$L$2:$L$10001=accsry_unmerged!H246),1)*(SKUs!$K$2:$K$10001=I246),SKUs!$C$2:$C$10001),"")</f>
        <v>0</v>
      </c>
      <c r="H246" s="36" cm="1">
        <f t="array" ref="H246">IFERROR(_xlfn.XLOOKUP(1, (dd_accsryclr!$C$2:$C$1000=accsry_unmerged!F246)*(dd_accsryclr!$B$2:$B$1000=accsry_unmerged!J246),dd_accsryclr!$A$2:$A$1000),"")</f>
        <v>0</v>
      </c>
      <c r="I246" s="35">
        <f>_xlfn.XLOOKUP(C246,'Project Details'!$C$17:$C$66,'Project Details'!$E$17:$E$66,"",0)</f>
        <v>0</v>
      </c>
      <c r="J246" s="35">
        <f>_xlfn.XLOOKUP(C246,'Project Details'!$C$17:$C$66,'Project Details'!$H$17:$H$66,"",0)</f>
        <v>0</v>
      </c>
      <c r="K246" s="36" t="str">
        <f>IF(AND(_xlfn.XLOOKUP(C246,'Project Details'!$C$17:$C$66,'Project Details'!$L$17:$L$66,"",0)&gt;550, F246="Spring-L27cm"),"",SUBSTITUTE(_xlfn.XLOOKUP(G246,SKUs!$C$2:$C$10001,SKUs!$F$2:$F$10001,"",0), " Accessories",""))</f>
        <v/>
      </c>
      <c r="L246" s="36">
        <f>_xlfn.XLOOKUP(C246,'Project Details'!$C$17:$C$66,'Project Details'!$D$17:$D$66,"",0)</f>
        <v>0</v>
      </c>
      <c r="M246" s="43"/>
    </row>
    <row r="247" spans="1:13" ht="13.5" customHeight="1" outlineLevel="1" x14ac:dyDescent="0.25">
      <c r="A247" s="43"/>
      <c r="B247" s="43"/>
      <c r="C247" s="16">
        <f t="shared" si="3"/>
        <v>5</v>
      </c>
      <c r="D247" s="16" t="str" cm="1">
        <f t="array" ref="D247">IFERROR(ROUNDUP(_xlfn.IFS(F247="Aluminum Track", _xlfn.XLOOKUP(C247, dd_accsrycalc!$A$2:$A$51, dd_accsrycalc!$B$2:$B$51, "",0), F247="10 x 2 1/2 S (Flat)", _xlfn.XLOOKUP(C247, dd_accsrycalc!$A$2:$A$51, dd_accsrycalc!$C$2:$C$51, "",0), F247="Tox6", _xlfn.XLOOKUP(C247, dd_accsrycalc!$A$2:$A$51, dd_accsrycalc!$D$2:$D$51, "",0), F247="Cover Cap", _xlfn.XLOOKUP(C247, dd_accsrycalc!$A$2:$A$51, dd_accsrycalc!$E$2:$E$51, "",0), F247="Drainage Cover", _xlfn.XLOOKUP(C247, dd_accsrycalc!$A$2:$A$51, dd_accsrycalc!$F$2:$F$51, "",0),AND( F247="Double Adhesive Tape", I247="Roll-up Screen"), _xlfn.XLOOKUP(C247, calc_rusacc!$C$15:$C$65, calc_rusacc!$AD$15:$AD$65, "",0),AND( F247="Sealant", I247="Roll-up Screen"), _xlfn.XLOOKUP(C247, calc_rusacc!$C$15:$C$65, calc_rusacc!$AF$15:$AF$65, "",0),  AND( F247="Main Chain", I247="Accordion Screen"), _xlfn.XLOOKUP(C247, calc_rusacc!$C$15:$C$65, calc_rusacc!$BF$15:$BF$65, "",0), AND( F247="Sealant", I247="Accordion Screen"), _xlfn.XLOOKUP(C247, calc_rusacc!$C$15:$C$65, calc_rusacc!$BJ$15:$BJ$65, "",0),  F247="Sealant", _xlfn.XLOOKUP(C247, dd_accsrycalc!$A$2:$A$51, dd_accsrycalc!$G$2:$G$51, "",0),  F247&lt;&gt;"",L247*_xlfn.XLOOKUP(1, (SKUs!$C$2:$C$10001=G247)*(SKUs!$K$2:$K$10001=I247),SKUs!$E$2:$E$10001)), 0),"")</f>
        <v/>
      </c>
      <c r="E247" s="16" t="str">
        <f>_xlfn.XLOOKUP(F247,dd_item!$B$2:$B$105,dd_item!$C$2:$C$105,"",0)</f>
        <v/>
      </c>
      <c r="F247" s="16"/>
      <c r="G247" s="16" cm="1">
        <f t="array" ref="G247">IFERROR(_xlfn.XLOOKUP(1, (SKUs!$J$2:$J$10001=accsry_unmerged!F247)*IF(H247&lt;&gt;"",(SKUs!$L$2:$L$10001=accsry_unmerged!H247),1)*(SKUs!$K$2:$K$10001=I247),SKUs!$C$2:$C$10001),"")</f>
        <v>0</v>
      </c>
      <c r="H247" s="33" cm="1">
        <f t="array" ref="H247">IFERROR(_xlfn.XLOOKUP(1, (dd_accsryclr!$C$2:$C$1000=accsry_unmerged!F247)*(dd_accsryclr!$B$2:$B$1000=accsry_unmerged!J247),dd_accsryclr!$A$2:$A$1000),"")</f>
        <v>0</v>
      </c>
      <c r="I247" s="16">
        <f>_xlfn.XLOOKUP(C247,'Project Details'!$C$17:$C$66,'Project Details'!$E$17:$E$66,"",0)</f>
        <v>0</v>
      </c>
      <c r="J247" s="16">
        <f>_xlfn.XLOOKUP(C247,'Project Details'!$C$17:$C$66,'Project Details'!$H$17:$H$66,"",0)</f>
        <v>0</v>
      </c>
      <c r="K247" s="33" t="str">
        <f>IF(AND(_xlfn.XLOOKUP(C247,'Project Details'!$C$17:$C$66,'Project Details'!$L$17:$L$66,"",0)&gt;550, F247="Spring-L27cm"),"",SUBSTITUTE(_xlfn.XLOOKUP(G247,SKUs!$C$2:$C$10001,SKUs!$F$2:$F$10001,"",0), " Accessories",""))</f>
        <v/>
      </c>
      <c r="L247" s="33">
        <f>_xlfn.XLOOKUP(C247,'Project Details'!$C$17:$C$66,'Project Details'!$D$17:$D$66,"",0)</f>
        <v>0</v>
      </c>
      <c r="M247" s="43"/>
    </row>
    <row r="248" spans="1:13" ht="13.5" customHeight="1" outlineLevel="1" x14ac:dyDescent="0.25">
      <c r="A248" s="43"/>
      <c r="B248" s="43"/>
      <c r="C248" s="35">
        <f t="shared" si="3"/>
        <v>5</v>
      </c>
      <c r="D248" s="35" t="str" cm="1">
        <f t="array" ref="D248">IFERROR(ROUNDUP(_xlfn.IFS(F248="Aluminum Track", _xlfn.XLOOKUP(C248, dd_accsrycalc!$A$2:$A$51, dd_accsrycalc!$B$2:$B$51, "",0), F248="10 x 2 1/2 S (Flat)", _xlfn.XLOOKUP(C248, dd_accsrycalc!$A$2:$A$51, dd_accsrycalc!$C$2:$C$51, "",0), F248="Tox6", _xlfn.XLOOKUP(C248, dd_accsrycalc!$A$2:$A$51, dd_accsrycalc!$D$2:$D$51, "",0), F248="Cover Cap", _xlfn.XLOOKUP(C248, dd_accsrycalc!$A$2:$A$51, dd_accsrycalc!$E$2:$E$51, "",0), F248="Drainage Cover", _xlfn.XLOOKUP(C248, dd_accsrycalc!$A$2:$A$51, dd_accsrycalc!$F$2:$F$51, "",0),AND( F248="Double Adhesive Tape", I248="Roll-up Screen"), _xlfn.XLOOKUP(C248, calc_rusacc!$C$15:$C$65, calc_rusacc!$AD$15:$AD$65, "",0),AND( F248="Sealant", I248="Roll-up Screen"), _xlfn.XLOOKUP(C248, calc_rusacc!$C$15:$C$65, calc_rusacc!$AF$15:$AF$65, "",0),  AND( F248="Main Chain", I248="Accordion Screen"), _xlfn.XLOOKUP(C248, calc_rusacc!$C$15:$C$65, calc_rusacc!$BF$15:$BF$65, "",0), AND( F248="Sealant", I248="Accordion Screen"), _xlfn.XLOOKUP(C248, calc_rusacc!$C$15:$C$65, calc_rusacc!$BJ$15:$BJ$65, "",0),  F248="Sealant", _xlfn.XLOOKUP(C248, dd_accsrycalc!$A$2:$A$51, dd_accsrycalc!$G$2:$G$51, "",0),  F248&lt;&gt;"",L248*_xlfn.XLOOKUP(1, (SKUs!$C$2:$C$10001=G248)*(SKUs!$K$2:$K$10001=I248),SKUs!$E$2:$E$10001)), 0),"")</f>
        <v/>
      </c>
      <c r="E248" s="35" t="str">
        <f>_xlfn.XLOOKUP(F248,dd_item!$B$2:$B$105,dd_item!$C$2:$C$105,"",0)</f>
        <v/>
      </c>
      <c r="F248" s="35"/>
      <c r="G248" s="35" cm="1">
        <f t="array" ref="G248">IFERROR(_xlfn.XLOOKUP(1, (SKUs!$J$2:$J$10001=accsry_unmerged!F248)*IF(H248&lt;&gt;"",(SKUs!$L$2:$L$10001=accsry_unmerged!H248),1)*(SKUs!$K$2:$K$10001=I248),SKUs!$C$2:$C$10001),"")</f>
        <v>0</v>
      </c>
      <c r="H248" s="36" cm="1">
        <f t="array" ref="H248">IFERROR(_xlfn.XLOOKUP(1, (dd_accsryclr!$C$2:$C$1000=accsry_unmerged!F248)*(dd_accsryclr!$B$2:$B$1000=accsry_unmerged!J248),dd_accsryclr!$A$2:$A$1000),"")</f>
        <v>0</v>
      </c>
      <c r="I248" s="35">
        <f>_xlfn.XLOOKUP(C248,'Project Details'!$C$17:$C$66,'Project Details'!$E$17:$E$66,"",0)</f>
        <v>0</v>
      </c>
      <c r="J248" s="35">
        <f>_xlfn.XLOOKUP(C248,'Project Details'!$C$17:$C$66,'Project Details'!$H$17:$H$66,"",0)</f>
        <v>0</v>
      </c>
      <c r="K248" s="36" t="str">
        <f>IF(AND(_xlfn.XLOOKUP(C248,'Project Details'!$C$17:$C$66,'Project Details'!$L$17:$L$66,"",0)&gt;550, F248="Spring-L27cm"),"",SUBSTITUTE(_xlfn.XLOOKUP(G248,SKUs!$C$2:$C$10001,SKUs!$F$2:$F$10001,"",0), " Accessories",""))</f>
        <v/>
      </c>
      <c r="L248" s="36">
        <f>_xlfn.XLOOKUP(C248,'Project Details'!$C$17:$C$66,'Project Details'!$D$17:$D$66,"",0)</f>
        <v>0</v>
      </c>
      <c r="M248" s="43"/>
    </row>
    <row r="249" spans="1:13" ht="13.5" customHeight="1" outlineLevel="1" x14ac:dyDescent="0.25">
      <c r="A249" s="43"/>
      <c r="B249" s="43"/>
      <c r="C249" s="16">
        <f t="shared" si="3"/>
        <v>5</v>
      </c>
      <c r="D249" s="16" t="str" cm="1">
        <f t="array" ref="D249">IFERROR(ROUNDUP(_xlfn.IFS(F249="Aluminum Track", _xlfn.XLOOKUP(C249, dd_accsrycalc!$A$2:$A$51, dd_accsrycalc!$B$2:$B$51, "",0), F249="10 x 2 1/2 S (Flat)", _xlfn.XLOOKUP(C249, dd_accsrycalc!$A$2:$A$51, dd_accsrycalc!$C$2:$C$51, "",0), F249="Tox6", _xlfn.XLOOKUP(C249, dd_accsrycalc!$A$2:$A$51, dd_accsrycalc!$D$2:$D$51, "",0), F249="Cover Cap", _xlfn.XLOOKUP(C249, dd_accsrycalc!$A$2:$A$51, dd_accsrycalc!$E$2:$E$51, "",0), F249="Drainage Cover", _xlfn.XLOOKUP(C249, dd_accsrycalc!$A$2:$A$51, dd_accsrycalc!$F$2:$F$51, "",0),AND( F249="Double Adhesive Tape", I249="Roll-up Screen"), _xlfn.XLOOKUP(C249, calc_rusacc!$C$15:$C$65, calc_rusacc!$AD$15:$AD$65, "",0),AND( F249="Sealant", I249="Roll-up Screen"), _xlfn.XLOOKUP(C249, calc_rusacc!$C$15:$C$65, calc_rusacc!$AF$15:$AF$65, "",0),  AND( F249="Main Chain", I249="Accordion Screen"), _xlfn.XLOOKUP(C249, calc_rusacc!$C$15:$C$65, calc_rusacc!$BF$15:$BF$65, "",0), AND( F249="Sealant", I249="Accordion Screen"), _xlfn.XLOOKUP(C249, calc_rusacc!$C$15:$C$65, calc_rusacc!$BJ$15:$BJ$65, "",0),  F249="Sealant", _xlfn.XLOOKUP(C249, dd_accsrycalc!$A$2:$A$51, dd_accsrycalc!$G$2:$G$51, "",0),  F249&lt;&gt;"",L249*_xlfn.XLOOKUP(1, (SKUs!$C$2:$C$10001=G249)*(SKUs!$K$2:$K$10001=I249),SKUs!$E$2:$E$10001)), 0),"")</f>
        <v/>
      </c>
      <c r="E249" s="16" t="str">
        <f>_xlfn.XLOOKUP(F249,dd_item!$B$2:$B$105,dd_item!$C$2:$C$105,"",0)</f>
        <v/>
      </c>
      <c r="F249" s="16"/>
      <c r="G249" s="16" cm="1">
        <f t="array" ref="G249">IFERROR(_xlfn.XLOOKUP(1, (SKUs!$J$2:$J$10001=accsry_unmerged!F249)*IF(H249&lt;&gt;"",(SKUs!$L$2:$L$10001=accsry_unmerged!H249),1)*(SKUs!$K$2:$K$10001=I249),SKUs!$C$2:$C$10001),"")</f>
        <v>0</v>
      </c>
      <c r="H249" s="33" cm="1">
        <f t="array" ref="H249">IFERROR(_xlfn.XLOOKUP(1, (dd_accsryclr!$C$2:$C$1000=accsry_unmerged!F249)*(dd_accsryclr!$B$2:$B$1000=accsry_unmerged!J249),dd_accsryclr!$A$2:$A$1000),"")</f>
        <v>0</v>
      </c>
      <c r="I249" s="16">
        <f>_xlfn.XLOOKUP(C249,'Project Details'!$C$17:$C$66,'Project Details'!$E$17:$E$66,"",0)</f>
        <v>0</v>
      </c>
      <c r="J249" s="16">
        <f>_xlfn.XLOOKUP(C249,'Project Details'!$C$17:$C$66,'Project Details'!$H$17:$H$66,"",0)</f>
        <v>0</v>
      </c>
      <c r="K249" s="33" t="str">
        <f>IF(AND(_xlfn.XLOOKUP(C249,'Project Details'!$C$17:$C$66,'Project Details'!$L$17:$L$66,"",0)&gt;550, F249="Spring-L27cm"),"",SUBSTITUTE(_xlfn.XLOOKUP(G249,SKUs!$C$2:$C$10001,SKUs!$F$2:$F$10001,"",0), " Accessories",""))</f>
        <v/>
      </c>
      <c r="L249" s="33">
        <f>_xlfn.XLOOKUP(C249,'Project Details'!$C$17:$C$66,'Project Details'!$D$17:$D$66,"",0)</f>
        <v>0</v>
      </c>
      <c r="M249" s="43"/>
    </row>
    <row r="250" spans="1:13" ht="13.5" customHeight="1" outlineLevel="1" x14ac:dyDescent="0.25">
      <c r="A250" s="43"/>
      <c r="B250" s="43"/>
      <c r="C250" s="35">
        <f t="shared" si="3"/>
        <v>5</v>
      </c>
      <c r="D250" s="35" t="str" cm="1">
        <f t="array" ref="D250">IFERROR(ROUNDUP(_xlfn.IFS(F250="Aluminum Track", _xlfn.XLOOKUP(C250, dd_accsrycalc!$A$2:$A$51, dd_accsrycalc!$B$2:$B$51, "",0), F250="10 x 2 1/2 S (Flat)", _xlfn.XLOOKUP(C250, dd_accsrycalc!$A$2:$A$51, dd_accsrycalc!$C$2:$C$51, "",0), F250="Tox6", _xlfn.XLOOKUP(C250, dd_accsrycalc!$A$2:$A$51, dd_accsrycalc!$D$2:$D$51, "",0), F250="Cover Cap", _xlfn.XLOOKUP(C250, dd_accsrycalc!$A$2:$A$51, dd_accsrycalc!$E$2:$E$51, "",0), F250="Drainage Cover", _xlfn.XLOOKUP(C250, dd_accsrycalc!$A$2:$A$51, dd_accsrycalc!$F$2:$F$51, "",0),AND( F250="Double Adhesive Tape", I250="Roll-up Screen"), _xlfn.XLOOKUP(C250, calc_rusacc!$C$15:$C$65, calc_rusacc!$AD$15:$AD$65, "",0),AND( F250="Sealant", I250="Roll-up Screen"), _xlfn.XLOOKUP(C250, calc_rusacc!$C$15:$C$65, calc_rusacc!$AF$15:$AF$65, "",0),  AND( F250="Main Chain", I250="Accordion Screen"), _xlfn.XLOOKUP(C250, calc_rusacc!$C$15:$C$65, calc_rusacc!$BF$15:$BF$65, "",0), AND( F250="Sealant", I250="Accordion Screen"), _xlfn.XLOOKUP(C250, calc_rusacc!$C$15:$C$65, calc_rusacc!$BJ$15:$BJ$65, "",0),  F250="Sealant", _xlfn.XLOOKUP(C250, dd_accsrycalc!$A$2:$A$51, dd_accsrycalc!$G$2:$G$51, "",0),  F250&lt;&gt;"",L250*_xlfn.XLOOKUP(1, (SKUs!$C$2:$C$10001=G250)*(SKUs!$K$2:$K$10001=I250),SKUs!$E$2:$E$10001)), 0),"")</f>
        <v/>
      </c>
      <c r="E250" s="35" t="str">
        <f>_xlfn.XLOOKUP(F250,dd_item!$B$2:$B$105,dd_item!$C$2:$C$105,"",0)</f>
        <v/>
      </c>
      <c r="F250" s="35"/>
      <c r="G250" s="35" cm="1">
        <f t="array" ref="G250">IFERROR(_xlfn.XLOOKUP(1, (SKUs!$J$2:$J$10001=accsry_unmerged!F250)*IF(H250&lt;&gt;"",(SKUs!$L$2:$L$10001=accsry_unmerged!H250),1)*(SKUs!$K$2:$K$10001=I250),SKUs!$C$2:$C$10001),"")</f>
        <v>0</v>
      </c>
      <c r="H250" s="36" cm="1">
        <f t="array" ref="H250">IFERROR(_xlfn.XLOOKUP(1, (dd_accsryclr!$C$2:$C$1000=accsry_unmerged!F250)*(dd_accsryclr!$B$2:$B$1000=accsry_unmerged!J250),dd_accsryclr!$A$2:$A$1000),"")</f>
        <v>0</v>
      </c>
      <c r="I250" s="35">
        <f>_xlfn.XLOOKUP(C250,'Project Details'!$C$17:$C$66,'Project Details'!$E$17:$E$66,"",0)</f>
        <v>0</v>
      </c>
      <c r="J250" s="35">
        <f>_xlfn.XLOOKUP(C250,'Project Details'!$C$17:$C$66,'Project Details'!$H$17:$H$66,"",0)</f>
        <v>0</v>
      </c>
      <c r="K250" s="36" t="str">
        <f>IF(AND(_xlfn.XLOOKUP(C250,'Project Details'!$C$17:$C$66,'Project Details'!$L$17:$L$66,"",0)&gt;550, F250="Spring-L27cm"),"",SUBSTITUTE(_xlfn.XLOOKUP(G250,SKUs!$C$2:$C$10001,SKUs!$F$2:$F$10001,"",0), " Accessories",""))</f>
        <v/>
      </c>
      <c r="L250" s="36">
        <f>_xlfn.XLOOKUP(C250,'Project Details'!$C$17:$C$66,'Project Details'!$D$17:$D$66,"",0)</f>
        <v>0</v>
      </c>
      <c r="M250" s="43"/>
    </row>
    <row r="251" spans="1:13" ht="13.5" customHeight="1" outlineLevel="1" x14ac:dyDescent="0.25">
      <c r="A251" s="43"/>
      <c r="B251" s="43"/>
      <c r="C251" s="16">
        <f t="shared" si="3"/>
        <v>5</v>
      </c>
      <c r="D251" s="16" t="str" cm="1">
        <f t="array" ref="D251">IFERROR(ROUNDUP(_xlfn.IFS(F251="Aluminum Track", _xlfn.XLOOKUP(C251, dd_accsrycalc!$A$2:$A$51, dd_accsrycalc!$B$2:$B$51, "",0), F251="10 x 2 1/2 S (Flat)", _xlfn.XLOOKUP(C251, dd_accsrycalc!$A$2:$A$51, dd_accsrycalc!$C$2:$C$51, "",0), F251="Tox6", _xlfn.XLOOKUP(C251, dd_accsrycalc!$A$2:$A$51, dd_accsrycalc!$D$2:$D$51, "",0), F251="Cover Cap", _xlfn.XLOOKUP(C251, dd_accsrycalc!$A$2:$A$51, dd_accsrycalc!$E$2:$E$51, "",0), F251="Drainage Cover", _xlfn.XLOOKUP(C251, dd_accsrycalc!$A$2:$A$51, dd_accsrycalc!$F$2:$F$51, "",0),AND( F251="Double Adhesive Tape", I251="Roll-up Screen"), _xlfn.XLOOKUP(C251, calc_rusacc!$C$15:$C$65, calc_rusacc!$AD$15:$AD$65, "",0),AND( F251="Sealant", I251="Roll-up Screen"), _xlfn.XLOOKUP(C251, calc_rusacc!$C$15:$C$65, calc_rusacc!$AF$15:$AF$65, "",0),  AND( F251="Main Chain", I251="Accordion Screen"), _xlfn.XLOOKUP(C251, calc_rusacc!$C$15:$C$65, calc_rusacc!$BF$15:$BF$65, "",0), AND( F251="Sealant", I251="Accordion Screen"), _xlfn.XLOOKUP(C251, calc_rusacc!$C$15:$C$65, calc_rusacc!$BJ$15:$BJ$65, "",0),  F251="Sealant", _xlfn.XLOOKUP(C251, dd_accsrycalc!$A$2:$A$51, dd_accsrycalc!$G$2:$G$51, "",0),  F251&lt;&gt;"",L251*_xlfn.XLOOKUP(1, (SKUs!$C$2:$C$10001=G251)*(SKUs!$K$2:$K$10001=I251),SKUs!$E$2:$E$10001)), 0),"")</f>
        <v/>
      </c>
      <c r="E251" s="16" t="str">
        <f>_xlfn.XLOOKUP(F251,dd_item!$B$2:$B$105,dd_item!$C$2:$C$105,"",0)</f>
        <v/>
      </c>
      <c r="F251" s="16"/>
      <c r="G251" s="16" cm="1">
        <f t="array" ref="G251">IFERROR(_xlfn.XLOOKUP(1, (SKUs!$J$2:$J$10001=accsry_unmerged!F251)*IF(H251&lt;&gt;"",(SKUs!$L$2:$L$10001=accsry_unmerged!H251),1)*(SKUs!$K$2:$K$10001=I251),SKUs!$C$2:$C$10001),"")</f>
        <v>0</v>
      </c>
      <c r="H251" s="33" cm="1">
        <f t="array" ref="H251">IFERROR(_xlfn.XLOOKUP(1, (dd_accsryclr!$C$2:$C$1000=accsry_unmerged!F251)*(dd_accsryclr!$B$2:$B$1000=accsry_unmerged!J251),dd_accsryclr!$A$2:$A$1000),"")</f>
        <v>0</v>
      </c>
      <c r="I251" s="16">
        <f>_xlfn.XLOOKUP(C251,'Project Details'!$C$17:$C$66,'Project Details'!$E$17:$E$66,"",0)</f>
        <v>0</v>
      </c>
      <c r="J251" s="16">
        <f>_xlfn.XLOOKUP(C251,'Project Details'!$C$17:$C$66,'Project Details'!$H$17:$H$66,"",0)</f>
        <v>0</v>
      </c>
      <c r="K251" s="33" t="str">
        <f>IF(AND(_xlfn.XLOOKUP(C251,'Project Details'!$C$17:$C$66,'Project Details'!$L$17:$L$66,"",0)&gt;550, F251="Spring-L27cm"),"",SUBSTITUTE(_xlfn.XLOOKUP(G251,SKUs!$C$2:$C$10001,SKUs!$F$2:$F$10001,"",0), " Accessories",""))</f>
        <v/>
      </c>
      <c r="L251" s="33">
        <f>_xlfn.XLOOKUP(C251,'Project Details'!$C$17:$C$66,'Project Details'!$D$17:$D$66,"",0)</f>
        <v>0</v>
      </c>
      <c r="M251" s="43"/>
    </row>
    <row r="252" spans="1:13" ht="13.5" customHeight="1" outlineLevel="1" x14ac:dyDescent="0.25">
      <c r="A252" s="43"/>
      <c r="B252" s="43"/>
      <c r="C252" s="35">
        <f t="shared" si="3"/>
        <v>5</v>
      </c>
      <c r="D252" s="35" t="str" cm="1">
        <f t="array" ref="D252">IFERROR(ROUNDUP(_xlfn.IFS(F252="Aluminum Track", _xlfn.XLOOKUP(C252, dd_accsrycalc!$A$2:$A$51, dd_accsrycalc!$B$2:$B$51, "",0), F252="10 x 2 1/2 S (Flat)", _xlfn.XLOOKUP(C252, dd_accsrycalc!$A$2:$A$51, dd_accsrycalc!$C$2:$C$51, "",0), F252="Tox6", _xlfn.XLOOKUP(C252, dd_accsrycalc!$A$2:$A$51, dd_accsrycalc!$D$2:$D$51, "",0), F252="Cover Cap", _xlfn.XLOOKUP(C252, dd_accsrycalc!$A$2:$A$51, dd_accsrycalc!$E$2:$E$51, "",0), F252="Drainage Cover", _xlfn.XLOOKUP(C252, dd_accsrycalc!$A$2:$A$51, dd_accsrycalc!$F$2:$F$51, "",0),AND( F252="Double Adhesive Tape", I252="Roll-up Screen"), _xlfn.XLOOKUP(C252, calc_rusacc!$C$15:$C$65, calc_rusacc!$AD$15:$AD$65, "",0),AND( F252="Sealant", I252="Roll-up Screen"), _xlfn.XLOOKUP(C252, calc_rusacc!$C$15:$C$65, calc_rusacc!$AF$15:$AF$65, "",0),  AND( F252="Main Chain", I252="Accordion Screen"), _xlfn.XLOOKUP(C252, calc_rusacc!$C$15:$C$65, calc_rusacc!$BF$15:$BF$65, "",0), AND( F252="Sealant", I252="Accordion Screen"), _xlfn.XLOOKUP(C252, calc_rusacc!$C$15:$C$65, calc_rusacc!$BJ$15:$BJ$65, "",0),  F252="Sealant", _xlfn.XLOOKUP(C252, dd_accsrycalc!$A$2:$A$51, dd_accsrycalc!$G$2:$G$51, "",0),  F252&lt;&gt;"",L252*_xlfn.XLOOKUP(1, (SKUs!$C$2:$C$10001=G252)*(SKUs!$K$2:$K$10001=I252),SKUs!$E$2:$E$10001)), 0),"")</f>
        <v/>
      </c>
      <c r="E252" s="35" t="str">
        <f>_xlfn.XLOOKUP(F252,dd_item!$B$2:$B$105,dd_item!$C$2:$C$105,"",0)</f>
        <v/>
      </c>
      <c r="F252" s="35"/>
      <c r="G252" s="35" cm="1">
        <f t="array" ref="G252">IFERROR(_xlfn.XLOOKUP(1, (SKUs!$J$2:$J$10001=accsry_unmerged!F252)*IF(H252&lt;&gt;"",(SKUs!$L$2:$L$10001=accsry_unmerged!H252),1)*(SKUs!$K$2:$K$10001=I252),SKUs!$C$2:$C$10001),"")</f>
        <v>0</v>
      </c>
      <c r="H252" s="36" cm="1">
        <f t="array" ref="H252">IFERROR(_xlfn.XLOOKUP(1, (dd_accsryclr!$C$2:$C$1000=accsry_unmerged!F252)*(dd_accsryclr!$B$2:$B$1000=accsry_unmerged!J252),dd_accsryclr!$A$2:$A$1000),"")</f>
        <v>0</v>
      </c>
      <c r="I252" s="35">
        <f>_xlfn.XLOOKUP(C252,'Project Details'!$C$17:$C$66,'Project Details'!$E$17:$E$66,"",0)</f>
        <v>0</v>
      </c>
      <c r="J252" s="35">
        <f>_xlfn.XLOOKUP(C252,'Project Details'!$C$17:$C$66,'Project Details'!$H$17:$H$66,"",0)</f>
        <v>0</v>
      </c>
      <c r="K252" s="36" t="str">
        <f>IF(AND(_xlfn.XLOOKUP(C252,'Project Details'!$C$17:$C$66,'Project Details'!$L$17:$L$66,"",0)&gt;550, F252="Spring-L27cm"),"",SUBSTITUTE(_xlfn.XLOOKUP(G252,SKUs!$C$2:$C$10001,SKUs!$F$2:$F$10001,"",0), " Accessories",""))</f>
        <v/>
      </c>
      <c r="L252" s="36">
        <f>_xlfn.XLOOKUP(C252,'Project Details'!$C$17:$C$66,'Project Details'!$D$17:$D$66,"",0)</f>
        <v>0</v>
      </c>
      <c r="M252" s="43"/>
    </row>
    <row r="253" spans="1:13" ht="13.5" customHeight="1" outlineLevel="1" x14ac:dyDescent="0.25">
      <c r="A253" s="43"/>
      <c r="B253" s="43"/>
      <c r="C253" s="16">
        <f t="shared" si="3"/>
        <v>5</v>
      </c>
      <c r="D253" s="16" t="str" cm="1">
        <f t="array" ref="D253">IFERROR(ROUNDUP(_xlfn.IFS(F253="Aluminum Track", _xlfn.XLOOKUP(C253, dd_accsrycalc!$A$2:$A$51, dd_accsrycalc!$B$2:$B$51, "",0), F253="10 x 2 1/2 S (Flat)", _xlfn.XLOOKUP(C253, dd_accsrycalc!$A$2:$A$51, dd_accsrycalc!$C$2:$C$51, "",0), F253="Tox6", _xlfn.XLOOKUP(C253, dd_accsrycalc!$A$2:$A$51, dd_accsrycalc!$D$2:$D$51, "",0), F253="Cover Cap", _xlfn.XLOOKUP(C253, dd_accsrycalc!$A$2:$A$51, dd_accsrycalc!$E$2:$E$51, "",0), F253="Drainage Cover", _xlfn.XLOOKUP(C253, dd_accsrycalc!$A$2:$A$51, dd_accsrycalc!$F$2:$F$51, "",0),AND( F253="Double Adhesive Tape", I253="Roll-up Screen"), _xlfn.XLOOKUP(C253, calc_rusacc!$C$15:$C$65, calc_rusacc!$AD$15:$AD$65, "",0),AND( F253="Sealant", I253="Roll-up Screen"), _xlfn.XLOOKUP(C253, calc_rusacc!$C$15:$C$65, calc_rusacc!$AF$15:$AF$65, "",0),  AND( F253="Main Chain", I253="Accordion Screen"), _xlfn.XLOOKUP(C253, calc_rusacc!$C$15:$C$65, calc_rusacc!$BF$15:$BF$65, "",0), AND( F253="Sealant", I253="Accordion Screen"), _xlfn.XLOOKUP(C253, calc_rusacc!$C$15:$C$65, calc_rusacc!$BJ$15:$BJ$65, "",0),  F253="Sealant", _xlfn.XLOOKUP(C253, dd_accsrycalc!$A$2:$A$51, dd_accsrycalc!$G$2:$G$51, "",0),  F253&lt;&gt;"",L253*_xlfn.XLOOKUP(1, (SKUs!$C$2:$C$10001=G253)*(SKUs!$K$2:$K$10001=I253),SKUs!$E$2:$E$10001)), 0),"")</f>
        <v/>
      </c>
      <c r="E253" s="16" t="str">
        <f>_xlfn.XLOOKUP(F253,dd_item!$B$2:$B$105,dd_item!$C$2:$C$105,"",0)</f>
        <v/>
      </c>
      <c r="F253" s="16"/>
      <c r="G253" s="16" cm="1">
        <f t="array" ref="G253">IFERROR(_xlfn.XLOOKUP(1, (SKUs!$J$2:$J$10001=accsry_unmerged!F253)*IF(H253&lt;&gt;"",(SKUs!$L$2:$L$10001=accsry_unmerged!H253),1)*(SKUs!$K$2:$K$10001=I253),SKUs!$C$2:$C$10001),"")</f>
        <v>0</v>
      </c>
      <c r="H253" s="33" cm="1">
        <f t="array" ref="H253">IFERROR(_xlfn.XLOOKUP(1, (dd_accsryclr!$C$2:$C$1000=accsry_unmerged!F253)*(dd_accsryclr!$B$2:$B$1000=accsry_unmerged!J253),dd_accsryclr!$A$2:$A$1000),"")</f>
        <v>0</v>
      </c>
      <c r="I253" s="16">
        <f>_xlfn.XLOOKUP(C253,'Project Details'!$C$17:$C$66,'Project Details'!$E$17:$E$66,"",0)</f>
        <v>0</v>
      </c>
      <c r="J253" s="16">
        <f>_xlfn.XLOOKUP(C253,'Project Details'!$C$17:$C$66,'Project Details'!$H$17:$H$66,"",0)</f>
        <v>0</v>
      </c>
      <c r="K253" s="33" t="str">
        <f>IF(AND(_xlfn.XLOOKUP(C253,'Project Details'!$C$17:$C$66,'Project Details'!$L$17:$L$66,"",0)&gt;550, F253="Spring-L27cm"),"",SUBSTITUTE(_xlfn.XLOOKUP(G253,SKUs!$C$2:$C$10001,SKUs!$F$2:$F$10001,"",0), " Accessories",""))</f>
        <v/>
      </c>
      <c r="L253" s="33">
        <f>_xlfn.XLOOKUP(C253,'Project Details'!$C$17:$C$66,'Project Details'!$D$17:$D$66,"",0)</f>
        <v>0</v>
      </c>
      <c r="M253" s="43"/>
    </row>
    <row r="254" spans="1:13" ht="13.5" customHeight="1" outlineLevel="1" x14ac:dyDescent="0.25">
      <c r="A254" s="43"/>
      <c r="B254" s="43"/>
      <c r="C254" s="35">
        <f t="shared" si="3"/>
        <v>5</v>
      </c>
      <c r="D254" s="35" t="str" cm="1">
        <f t="array" ref="D254">IFERROR(ROUNDUP(_xlfn.IFS(F254="Aluminum Track", _xlfn.XLOOKUP(C254, dd_accsrycalc!$A$2:$A$51, dd_accsrycalc!$B$2:$B$51, "",0), F254="10 x 2 1/2 S (Flat)", _xlfn.XLOOKUP(C254, dd_accsrycalc!$A$2:$A$51, dd_accsrycalc!$C$2:$C$51, "",0), F254="Tox6", _xlfn.XLOOKUP(C254, dd_accsrycalc!$A$2:$A$51, dd_accsrycalc!$D$2:$D$51, "",0), F254="Cover Cap", _xlfn.XLOOKUP(C254, dd_accsrycalc!$A$2:$A$51, dd_accsrycalc!$E$2:$E$51, "",0), F254="Drainage Cover", _xlfn.XLOOKUP(C254, dd_accsrycalc!$A$2:$A$51, dd_accsrycalc!$F$2:$F$51, "",0),AND( F254="Double Adhesive Tape", I254="Roll-up Screen"), _xlfn.XLOOKUP(C254, calc_rusacc!$C$15:$C$65, calc_rusacc!$AD$15:$AD$65, "",0),AND( F254="Sealant", I254="Roll-up Screen"), _xlfn.XLOOKUP(C254, calc_rusacc!$C$15:$C$65, calc_rusacc!$AF$15:$AF$65, "",0),  AND( F254="Main Chain", I254="Accordion Screen"), _xlfn.XLOOKUP(C254, calc_rusacc!$C$15:$C$65, calc_rusacc!$BF$15:$BF$65, "",0), AND( F254="Sealant", I254="Accordion Screen"), _xlfn.XLOOKUP(C254, calc_rusacc!$C$15:$C$65, calc_rusacc!$BJ$15:$BJ$65, "",0),  F254="Sealant", _xlfn.XLOOKUP(C254, dd_accsrycalc!$A$2:$A$51, dd_accsrycalc!$G$2:$G$51, "",0),  F254&lt;&gt;"",L254*_xlfn.XLOOKUP(1, (SKUs!$C$2:$C$10001=G254)*(SKUs!$K$2:$K$10001=I254),SKUs!$E$2:$E$10001)), 0),"")</f>
        <v/>
      </c>
      <c r="E254" s="35" t="str">
        <f>_xlfn.XLOOKUP(F254,dd_item!$B$2:$B$105,dd_item!$C$2:$C$105,"",0)</f>
        <v/>
      </c>
      <c r="F254" s="35"/>
      <c r="G254" s="35" cm="1">
        <f t="array" ref="G254">IFERROR(_xlfn.XLOOKUP(1, (SKUs!$J$2:$J$10001=accsry_unmerged!F254)*IF(H254&lt;&gt;"",(SKUs!$L$2:$L$10001=accsry_unmerged!H254),1)*(SKUs!$K$2:$K$10001=I254),SKUs!$C$2:$C$10001),"")</f>
        <v>0</v>
      </c>
      <c r="H254" s="36" cm="1">
        <f t="array" ref="H254">IFERROR(_xlfn.XLOOKUP(1, (dd_accsryclr!$C$2:$C$1000=accsry_unmerged!F254)*(dd_accsryclr!$B$2:$B$1000=accsry_unmerged!J254),dd_accsryclr!$A$2:$A$1000),"")</f>
        <v>0</v>
      </c>
      <c r="I254" s="35">
        <f>_xlfn.XLOOKUP(C254,'Project Details'!$C$17:$C$66,'Project Details'!$E$17:$E$66,"",0)</f>
        <v>0</v>
      </c>
      <c r="J254" s="35">
        <f>_xlfn.XLOOKUP(C254,'Project Details'!$C$17:$C$66,'Project Details'!$H$17:$H$66,"",0)</f>
        <v>0</v>
      </c>
      <c r="K254" s="36" t="str">
        <f>IF(AND(_xlfn.XLOOKUP(C254,'Project Details'!$C$17:$C$66,'Project Details'!$L$17:$L$66,"",0)&gt;550, F254="Spring-L27cm"),"",SUBSTITUTE(_xlfn.XLOOKUP(G254,SKUs!$C$2:$C$10001,SKUs!$F$2:$F$10001,"",0), " Accessories",""))</f>
        <v/>
      </c>
      <c r="L254" s="36">
        <f>_xlfn.XLOOKUP(C254,'Project Details'!$C$17:$C$66,'Project Details'!$D$17:$D$66,"",0)</f>
        <v>0</v>
      </c>
      <c r="M254" s="43"/>
    </row>
    <row r="255" spans="1:13" ht="13.5" customHeight="1" outlineLevel="1" collapsed="1" x14ac:dyDescent="0.25">
      <c r="A255" s="43"/>
      <c r="B255" s="43"/>
      <c r="C255" s="16">
        <f t="shared" si="3"/>
        <v>5</v>
      </c>
      <c r="D255" s="16" t="str" cm="1">
        <f t="array" ref="D255">IFERROR(ROUNDUP(_xlfn.IFS(F255="Aluminum Track", _xlfn.XLOOKUP(C255, dd_accsrycalc!$A$2:$A$51, dd_accsrycalc!$B$2:$B$51, "",0), F255="10 x 2 1/2 S (Flat)", _xlfn.XLOOKUP(C255, dd_accsrycalc!$A$2:$A$51, dd_accsrycalc!$C$2:$C$51, "",0), F255="Tox6", _xlfn.XLOOKUP(C255, dd_accsrycalc!$A$2:$A$51, dd_accsrycalc!$D$2:$D$51, "",0), F255="Cover Cap", _xlfn.XLOOKUP(C255, dd_accsrycalc!$A$2:$A$51, dd_accsrycalc!$E$2:$E$51, "",0), F255="Drainage Cover", _xlfn.XLOOKUP(C255, dd_accsrycalc!$A$2:$A$51, dd_accsrycalc!$F$2:$F$51, "",0),AND( F255="Double Adhesive Tape", I255="Roll-up Screen"), _xlfn.XLOOKUP(C255, calc_rusacc!$C$15:$C$65, calc_rusacc!$AD$15:$AD$65, "",0),AND( F255="Sealant", I255="Roll-up Screen"), _xlfn.XLOOKUP(C255, calc_rusacc!$C$15:$C$65, calc_rusacc!$AF$15:$AF$65, "",0),  AND( F255="Main Chain", I255="Accordion Screen"), _xlfn.XLOOKUP(C255, calc_rusacc!$C$15:$C$65, calc_rusacc!$BF$15:$BF$65, "",0), AND( F255="Sealant", I255="Accordion Screen"), _xlfn.XLOOKUP(C255, calc_rusacc!$C$15:$C$65, calc_rusacc!$BJ$15:$BJ$65, "",0),  F255="Sealant", _xlfn.XLOOKUP(C255, dd_accsrycalc!$A$2:$A$51, dd_accsrycalc!$G$2:$G$51, "",0),  F255&lt;&gt;"",L255*_xlfn.XLOOKUP(1, (SKUs!$C$2:$C$10001=G255)*(SKUs!$K$2:$K$10001=I255),SKUs!$E$2:$E$10001)), 0),"")</f>
        <v/>
      </c>
      <c r="E255" s="16" t="str">
        <f>_xlfn.XLOOKUP(F255,dd_item!$B$2:$B$105,dd_item!$C$2:$C$105,"",0)</f>
        <v/>
      </c>
      <c r="F255" s="16"/>
      <c r="G255" s="16" cm="1">
        <f t="array" ref="G255">IFERROR(_xlfn.XLOOKUP(1, (SKUs!$J$2:$J$10001=accsry_unmerged!F255)*IF(H255&lt;&gt;"",(SKUs!$L$2:$L$10001=accsry_unmerged!H255),1)*(SKUs!$K$2:$K$10001=I255),SKUs!$C$2:$C$10001),"")</f>
        <v>0</v>
      </c>
      <c r="H255" s="33" cm="1">
        <f t="array" ref="H255">IFERROR(_xlfn.XLOOKUP(1, (dd_accsryclr!$C$2:$C$1000=accsry_unmerged!F255)*(dd_accsryclr!$B$2:$B$1000=accsry_unmerged!J255),dd_accsryclr!$A$2:$A$1000),"")</f>
        <v>0</v>
      </c>
      <c r="I255" s="16">
        <f>_xlfn.XLOOKUP(C255,'Project Details'!$C$17:$C$66,'Project Details'!$E$17:$E$66,"",0)</f>
        <v>0</v>
      </c>
      <c r="J255" s="16">
        <f>_xlfn.XLOOKUP(C255,'Project Details'!$C$17:$C$66,'Project Details'!$H$17:$H$66,"",0)</f>
        <v>0</v>
      </c>
      <c r="K255" s="33" t="str">
        <f>IF(AND(_xlfn.XLOOKUP(C255,'Project Details'!$C$17:$C$66,'Project Details'!$L$17:$L$66,"",0)&gt;550, F255="Spring-L27cm"),"",SUBSTITUTE(_xlfn.XLOOKUP(G255,SKUs!$C$2:$C$10001,SKUs!$F$2:$F$10001,"",0), " Accessories",""))</f>
        <v/>
      </c>
      <c r="L255" s="33">
        <f>_xlfn.XLOOKUP(C255,'Project Details'!$C$17:$C$66,'Project Details'!$D$17:$D$66,"",0)</f>
        <v>0</v>
      </c>
      <c r="M255" s="43"/>
    </row>
    <row r="256" spans="1:13" ht="13.5" customHeight="1" outlineLevel="1" x14ac:dyDescent="0.25">
      <c r="A256" s="43"/>
      <c r="B256" s="43"/>
      <c r="C256" s="35">
        <f t="shared" si="3"/>
        <v>5</v>
      </c>
      <c r="D256" s="35" t="str" cm="1">
        <f t="array" ref="D256">IFERROR(ROUNDUP(_xlfn.IFS(F256="Aluminum Track", _xlfn.XLOOKUP(C256, dd_accsrycalc!$A$2:$A$51, dd_accsrycalc!$B$2:$B$51, "",0), F256="10 x 2 1/2 S (Flat)", _xlfn.XLOOKUP(C256, dd_accsrycalc!$A$2:$A$51, dd_accsrycalc!$C$2:$C$51, "",0), F256="Tox6", _xlfn.XLOOKUP(C256, dd_accsrycalc!$A$2:$A$51, dd_accsrycalc!$D$2:$D$51, "",0), F256="Cover Cap", _xlfn.XLOOKUP(C256, dd_accsrycalc!$A$2:$A$51, dd_accsrycalc!$E$2:$E$51, "",0), F256="Drainage Cover", _xlfn.XLOOKUP(C256, dd_accsrycalc!$A$2:$A$51, dd_accsrycalc!$F$2:$F$51, "",0),AND( F256="Double Adhesive Tape", I256="Roll-up Screen"), _xlfn.XLOOKUP(C256, calc_rusacc!$C$15:$C$65, calc_rusacc!$AD$15:$AD$65, "",0),AND( F256="Sealant", I256="Roll-up Screen"), _xlfn.XLOOKUP(C256, calc_rusacc!$C$15:$C$65, calc_rusacc!$AF$15:$AF$65, "",0),  AND( F256="Main Chain", I256="Accordion Screen"), _xlfn.XLOOKUP(C256, calc_rusacc!$C$15:$C$65, calc_rusacc!$BF$15:$BF$65, "",0), AND( F256="Sealant", I256="Accordion Screen"), _xlfn.XLOOKUP(C256, calc_rusacc!$C$15:$C$65, calc_rusacc!$BJ$15:$BJ$65, "",0),  F256="Sealant", _xlfn.XLOOKUP(C256, dd_accsrycalc!$A$2:$A$51, dd_accsrycalc!$G$2:$G$51, "",0),  F256&lt;&gt;"",L256*_xlfn.XLOOKUP(1, (SKUs!$C$2:$C$10001=G256)*(SKUs!$K$2:$K$10001=I256),SKUs!$E$2:$E$10001)), 0),"")</f>
        <v/>
      </c>
      <c r="E256" s="35" t="str">
        <f>_xlfn.XLOOKUP(F256,dd_item!$B$2:$B$105,dd_item!$C$2:$C$105,"",0)</f>
        <v/>
      </c>
      <c r="F256" s="35"/>
      <c r="G256" s="35" cm="1">
        <f t="array" ref="G256">IFERROR(_xlfn.XLOOKUP(1, (SKUs!$J$2:$J$10001=accsry_unmerged!F256)*IF(H256&lt;&gt;"",(SKUs!$L$2:$L$10001=accsry_unmerged!H256),1)*(SKUs!$K$2:$K$10001=I256),SKUs!$C$2:$C$10001),"")</f>
        <v>0</v>
      </c>
      <c r="H256" s="36" cm="1">
        <f t="array" ref="H256">IFERROR(_xlfn.XLOOKUP(1, (dd_accsryclr!$C$2:$C$1000=accsry_unmerged!F256)*(dd_accsryclr!$B$2:$B$1000=accsry_unmerged!J256),dd_accsryclr!$A$2:$A$1000),"")</f>
        <v>0</v>
      </c>
      <c r="I256" s="35">
        <f>_xlfn.XLOOKUP(C256,'Project Details'!$C$17:$C$66,'Project Details'!$E$17:$E$66,"",0)</f>
        <v>0</v>
      </c>
      <c r="J256" s="35">
        <f>_xlfn.XLOOKUP(C256,'Project Details'!$C$17:$C$66,'Project Details'!$H$17:$H$66,"",0)</f>
        <v>0</v>
      </c>
      <c r="K256" s="36" t="str">
        <f>IF(AND(_xlfn.XLOOKUP(C256,'Project Details'!$C$17:$C$66,'Project Details'!$L$17:$L$66,"",0)&gt;550, F256="Spring-L27cm"),"",SUBSTITUTE(_xlfn.XLOOKUP(G256,SKUs!$C$2:$C$10001,SKUs!$F$2:$F$10001,"",0), " Accessories",""))</f>
        <v/>
      </c>
      <c r="L256" s="36">
        <f>_xlfn.XLOOKUP(C256,'Project Details'!$C$17:$C$66,'Project Details'!$D$17:$D$66,"",0)</f>
        <v>0</v>
      </c>
      <c r="M256" s="43"/>
    </row>
    <row r="257" spans="1:13" ht="13.5" customHeight="1" outlineLevel="1" x14ac:dyDescent="0.25">
      <c r="A257" s="43"/>
      <c r="B257" s="43"/>
      <c r="C257" s="16">
        <f t="shared" si="3"/>
        <v>5</v>
      </c>
      <c r="D257" s="16" t="str" cm="1">
        <f t="array" ref="D257">IFERROR(ROUNDUP(_xlfn.IFS(F257="Aluminum Track", _xlfn.XLOOKUP(C257, dd_accsrycalc!$A$2:$A$51, dd_accsrycalc!$B$2:$B$51, "",0), F257="10 x 2 1/2 S (Flat)", _xlfn.XLOOKUP(C257, dd_accsrycalc!$A$2:$A$51, dd_accsrycalc!$C$2:$C$51, "",0), F257="Tox6", _xlfn.XLOOKUP(C257, dd_accsrycalc!$A$2:$A$51, dd_accsrycalc!$D$2:$D$51, "",0), F257="Cover Cap", _xlfn.XLOOKUP(C257, dd_accsrycalc!$A$2:$A$51, dd_accsrycalc!$E$2:$E$51, "",0), F257="Drainage Cover", _xlfn.XLOOKUP(C257, dd_accsrycalc!$A$2:$A$51, dd_accsrycalc!$F$2:$F$51, "",0),AND( F257="Double Adhesive Tape", I257="Roll-up Screen"), _xlfn.XLOOKUP(C257, calc_rusacc!$C$15:$C$65, calc_rusacc!$AD$15:$AD$65, "",0),AND( F257="Sealant", I257="Roll-up Screen"), _xlfn.XLOOKUP(C257, calc_rusacc!$C$15:$C$65, calc_rusacc!$AF$15:$AF$65, "",0),  AND( F257="Main Chain", I257="Accordion Screen"), _xlfn.XLOOKUP(C257, calc_rusacc!$C$15:$C$65, calc_rusacc!$BF$15:$BF$65, "",0), AND( F257="Sealant", I257="Accordion Screen"), _xlfn.XLOOKUP(C257, calc_rusacc!$C$15:$C$65, calc_rusacc!$BJ$15:$BJ$65, "",0),  F257="Sealant", _xlfn.XLOOKUP(C257, dd_accsrycalc!$A$2:$A$51, dd_accsrycalc!$G$2:$G$51, "",0),  F257&lt;&gt;"",L257*_xlfn.XLOOKUP(1, (SKUs!$C$2:$C$10001=G257)*(SKUs!$K$2:$K$10001=I257),SKUs!$E$2:$E$10001)), 0),"")</f>
        <v/>
      </c>
      <c r="E257" s="16" t="str">
        <f>_xlfn.XLOOKUP(F257,dd_item!$B$2:$B$105,dd_item!$C$2:$C$105,"",0)</f>
        <v/>
      </c>
      <c r="F257" s="16"/>
      <c r="G257" s="16" cm="1">
        <f t="array" ref="G257">IFERROR(_xlfn.XLOOKUP(1, (SKUs!$J$2:$J$10001=accsry_unmerged!F257)*IF(H257&lt;&gt;"",(SKUs!$L$2:$L$10001=accsry_unmerged!H257),1)*(SKUs!$K$2:$K$10001=I257),SKUs!$C$2:$C$10001),"")</f>
        <v>0</v>
      </c>
      <c r="H257" s="33" cm="1">
        <f t="array" ref="H257">IFERROR(_xlfn.XLOOKUP(1, (dd_accsryclr!$C$2:$C$1000=accsry_unmerged!F257)*(dd_accsryclr!$B$2:$B$1000=accsry_unmerged!J257),dd_accsryclr!$A$2:$A$1000),"")</f>
        <v>0</v>
      </c>
      <c r="I257" s="16">
        <f>_xlfn.XLOOKUP(C257,'Project Details'!$C$17:$C$66,'Project Details'!$E$17:$E$66,"",0)</f>
        <v>0</v>
      </c>
      <c r="J257" s="16">
        <f>_xlfn.XLOOKUP(C257,'Project Details'!$C$17:$C$66,'Project Details'!$H$17:$H$66,"",0)</f>
        <v>0</v>
      </c>
      <c r="K257" s="33" t="str">
        <f>IF(AND(_xlfn.XLOOKUP(C257,'Project Details'!$C$17:$C$66,'Project Details'!$L$17:$L$66,"",0)&gt;550, F257="Spring-L27cm"),"",SUBSTITUTE(_xlfn.XLOOKUP(G257,SKUs!$C$2:$C$10001,SKUs!$F$2:$F$10001,"",0), " Accessories",""))</f>
        <v/>
      </c>
      <c r="L257" s="33">
        <f>_xlfn.XLOOKUP(C257,'Project Details'!$C$17:$C$66,'Project Details'!$D$17:$D$66,"",0)</f>
        <v>0</v>
      </c>
      <c r="M257" s="43"/>
    </row>
    <row r="258" spans="1:13" ht="13.5" customHeight="1" outlineLevel="1" x14ac:dyDescent="0.25">
      <c r="A258" s="43"/>
      <c r="B258" s="43"/>
      <c r="C258" s="35">
        <f t="shared" si="3"/>
        <v>5</v>
      </c>
      <c r="D258" s="35" t="str" cm="1">
        <f t="array" ref="D258">IFERROR(ROUNDUP(_xlfn.IFS(F258="Aluminum Track", _xlfn.XLOOKUP(C258, dd_accsrycalc!$A$2:$A$51, dd_accsrycalc!$B$2:$B$51, "",0), F258="10 x 2 1/2 S (Flat)", _xlfn.XLOOKUP(C258, dd_accsrycalc!$A$2:$A$51, dd_accsrycalc!$C$2:$C$51, "",0), F258="Tox6", _xlfn.XLOOKUP(C258, dd_accsrycalc!$A$2:$A$51, dd_accsrycalc!$D$2:$D$51, "",0), F258="Cover Cap", _xlfn.XLOOKUP(C258, dd_accsrycalc!$A$2:$A$51, dd_accsrycalc!$E$2:$E$51, "",0), F258="Drainage Cover", _xlfn.XLOOKUP(C258, dd_accsrycalc!$A$2:$A$51, dd_accsrycalc!$F$2:$F$51, "",0),AND( F258="Double Adhesive Tape", I258="Roll-up Screen"), _xlfn.XLOOKUP(C258, calc_rusacc!$C$15:$C$65, calc_rusacc!$AD$15:$AD$65, "",0),AND( F258="Sealant", I258="Roll-up Screen"), _xlfn.XLOOKUP(C258, calc_rusacc!$C$15:$C$65, calc_rusacc!$AF$15:$AF$65, "",0),  AND( F258="Main Chain", I258="Accordion Screen"), _xlfn.XLOOKUP(C258, calc_rusacc!$C$15:$C$65, calc_rusacc!$BF$15:$BF$65, "",0), AND( F258="Sealant", I258="Accordion Screen"), _xlfn.XLOOKUP(C258, calc_rusacc!$C$15:$C$65, calc_rusacc!$BJ$15:$BJ$65, "",0),  F258="Sealant", _xlfn.XLOOKUP(C258, dd_accsrycalc!$A$2:$A$51, dd_accsrycalc!$G$2:$G$51, "",0),  F258&lt;&gt;"",L258*_xlfn.XLOOKUP(1, (SKUs!$C$2:$C$10001=G258)*(SKUs!$K$2:$K$10001=I258),SKUs!$E$2:$E$10001)), 0),"")</f>
        <v/>
      </c>
      <c r="E258" s="35" t="str">
        <f>_xlfn.XLOOKUP(F258,dd_item!$B$2:$B$105,dd_item!$C$2:$C$105,"",0)</f>
        <v/>
      </c>
      <c r="F258" s="35"/>
      <c r="G258" s="35" cm="1">
        <f t="array" ref="G258">IFERROR(_xlfn.XLOOKUP(1, (SKUs!$J$2:$J$10001=accsry_unmerged!F258)*IF(H258&lt;&gt;"",(SKUs!$L$2:$L$10001=accsry_unmerged!H258),1)*(SKUs!$K$2:$K$10001=I258),SKUs!$C$2:$C$10001),"")</f>
        <v>0</v>
      </c>
      <c r="H258" s="36" cm="1">
        <f t="array" ref="H258">IFERROR(_xlfn.XLOOKUP(1, (dd_accsryclr!$C$2:$C$1000=accsry_unmerged!F258)*(dd_accsryclr!$B$2:$B$1000=accsry_unmerged!J258),dd_accsryclr!$A$2:$A$1000),"")</f>
        <v>0</v>
      </c>
      <c r="I258" s="35">
        <f>_xlfn.XLOOKUP(C258,'Project Details'!$C$17:$C$66,'Project Details'!$E$17:$E$66,"",0)</f>
        <v>0</v>
      </c>
      <c r="J258" s="35">
        <f>_xlfn.XLOOKUP(C258,'Project Details'!$C$17:$C$66,'Project Details'!$H$17:$H$66,"",0)</f>
        <v>0</v>
      </c>
      <c r="K258" s="36" t="str">
        <f>IF(AND(_xlfn.XLOOKUP(C258,'Project Details'!$C$17:$C$66,'Project Details'!$L$17:$L$66,"",0)&gt;550, F258="Spring-L27cm"),"",SUBSTITUTE(_xlfn.XLOOKUP(G258,SKUs!$C$2:$C$10001,SKUs!$F$2:$F$10001,"",0), " Accessories",""))</f>
        <v/>
      </c>
      <c r="L258" s="36">
        <f>_xlfn.XLOOKUP(C258,'Project Details'!$C$17:$C$66,'Project Details'!$D$17:$D$66,"",0)</f>
        <v>0</v>
      </c>
      <c r="M258" s="43"/>
    </row>
    <row r="259" spans="1:13" ht="13.5" customHeight="1" outlineLevel="1" x14ac:dyDescent="0.25">
      <c r="A259" s="43"/>
      <c r="B259" s="43"/>
      <c r="C259" s="16">
        <f t="shared" si="3"/>
        <v>5</v>
      </c>
      <c r="D259" s="16" t="str" cm="1">
        <f t="array" ref="D259">IFERROR(ROUNDUP(_xlfn.IFS(F259="Aluminum Track", _xlfn.XLOOKUP(C259, dd_accsrycalc!$A$2:$A$51, dd_accsrycalc!$B$2:$B$51, "",0), F259="10 x 2 1/2 S (Flat)", _xlfn.XLOOKUP(C259, dd_accsrycalc!$A$2:$A$51, dd_accsrycalc!$C$2:$C$51, "",0), F259="Tox6", _xlfn.XLOOKUP(C259, dd_accsrycalc!$A$2:$A$51, dd_accsrycalc!$D$2:$D$51, "",0), F259="Cover Cap", _xlfn.XLOOKUP(C259, dd_accsrycalc!$A$2:$A$51, dd_accsrycalc!$E$2:$E$51, "",0), F259="Drainage Cover", _xlfn.XLOOKUP(C259, dd_accsrycalc!$A$2:$A$51, dd_accsrycalc!$F$2:$F$51, "",0),AND( F259="Double Adhesive Tape", I259="Roll-up Screen"), _xlfn.XLOOKUP(C259, calc_rusacc!$C$15:$C$65, calc_rusacc!$AD$15:$AD$65, "",0),AND( F259="Sealant", I259="Roll-up Screen"), _xlfn.XLOOKUP(C259, calc_rusacc!$C$15:$C$65, calc_rusacc!$AF$15:$AF$65, "",0),  AND( F259="Main Chain", I259="Accordion Screen"), _xlfn.XLOOKUP(C259, calc_rusacc!$C$15:$C$65, calc_rusacc!$BF$15:$BF$65, "",0), AND( F259="Sealant", I259="Accordion Screen"), _xlfn.XLOOKUP(C259, calc_rusacc!$C$15:$C$65, calc_rusacc!$BJ$15:$BJ$65, "",0),  F259="Sealant", _xlfn.XLOOKUP(C259, dd_accsrycalc!$A$2:$A$51, dd_accsrycalc!$G$2:$G$51, "",0),  F259&lt;&gt;"",L259*_xlfn.XLOOKUP(1, (SKUs!$C$2:$C$10001=G259)*(SKUs!$K$2:$K$10001=I259),SKUs!$E$2:$E$10001)), 0),"")</f>
        <v/>
      </c>
      <c r="E259" s="16" t="str">
        <f>_xlfn.XLOOKUP(F259,dd_item!$B$2:$B$105,dd_item!$C$2:$C$105,"",0)</f>
        <v/>
      </c>
      <c r="F259" s="16"/>
      <c r="G259" s="16" cm="1">
        <f t="array" ref="G259">IFERROR(_xlfn.XLOOKUP(1, (SKUs!$J$2:$J$10001=accsry_unmerged!F259)*IF(H259&lt;&gt;"",(SKUs!$L$2:$L$10001=accsry_unmerged!H259),1)*(SKUs!$K$2:$K$10001=I259),SKUs!$C$2:$C$10001),"")</f>
        <v>0</v>
      </c>
      <c r="H259" s="33" cm="1">
        <f t="array" ref="H259">IFERROR(_xlfn.XLOOKUP(1, (dd_accsryclr!$C$2:$C$1000=accsry_unmerged!F259)*(dd_accsryclr!$B$2:$B$1000=accsry_unmerged!J259),dd_accsryclr!$A$2:$A$1000),"")</f>
        <v>0</v>
      </c>
      <c r="I259" s="16">
        <f>_xlfn.XLOOKUP(C259,'Project Details'!$C$17:$C$66,'Project Details'!$E$17:$E$66,"",0)</f>
        <v>0</v>
      </c>
      <c r="J259" s="16">
        <f>_xlfn.XLOOKUP(C259,'Project Details'!$C$17:$C$66,'Project Details'!$H$17:$H$66,"",0)</f>
        <v>0</v>
      </c>
      <c r="K259" s="33" t="str">
        <f>IF(AND(_xlfn.XLOOKUP(C259,'Project Details'!$C$17:$C$66,'Project Details'!$L$17:$L$66,"",0)&gt;550, F259="Spring-L27cm"),"",SUBSTITUTE(_xlfn.XLOOKUP(G259,SKUs!$C$2:$C$10001,SKUs!$F$2:$F$10001,"",0), " Accessories",""))</f>
        <v/>
      </c>
      <c r="L259" s="33">
        <f>_xlfn.XLOOKUP(C259,'Project Details'!$C$17:$C$66,'Project Details'!$D$17:$D$66,"",0)</f>
        <v>0</v>
      </c>
      <c r="M259" s="43"/>
    </row>
    <row r="260" spans="1:13" ht="13.5" customHeight="1" outlineLevel="1" x14ac:dyDescent="0.25">
      <c r="A260" s="43"/>
      <c r="B260" s="43"/>
      <c r="C260" s="35">
        <f t="shared" si="3"/>
        <v>5</v>
      </c>
      <c r="D260" s="35" t="str" cm="1">
        <f t="array" ref="D260">IFERROR(ROUNDUP(_xlfn.IFS(F260="Aluminum Track", _xlfn.XLOOKUP(C260, dd_accsrycalc!$A$2:$A$51, dd_accsrycalc!$B$2:$B$51, "",0), F260="10 x 2 1/2 S (Flat)", _xlfn.XLOOKUP(C260, dd_accsrycalc!$A$2:$A$51, dd_accsrycalc!$C$2:$C$51, "",0), F260="Tox6", _xlfn.XLOOKUP(C260, dd_accsrycalc!$A$2:$A$51, dd_accsrycalc!$D$2:$D$51, "",0), F260="Cover Cap", _xlfn.XLOOKUP(C260, dd_accsrycalc!$A$2:$A$51, dd_accsrycalc!$E$2:$E$51, "",0), F260="Drainage Cover", _xlfn.XLOOKUP(C260, dd_accsrycalc!$A$2:$A$51, dd_accsrycalc!$F$2:$F$51, "",0),AND( F260="Double Adhesive Tape", I260="Roll-up Screen"), _xlfn.XLOOKUP(C260, calc_rusacc!$C$15:$C$65, calc_rusacc!$AD$15:$AD$65, "",0),AND( F260="Sealant", I260="Roll-up Screen"), _xlfn.XLOOKUP(C260, calc_rusacc!$C$15:$C$65, calc_rusacc!$AF$15:$AF$65, "",0),  AND( F260="Main Chain", I260="Accordion Screen"), _xlfn.XLOOKUP(C260, calc_rusacc!$C$15:$C$65, calc_rusacc!$BF$15:$BF$65, "",0), AND( F260="Sealant", I260="Accordion Screen"), _xlfn.XLOOKUP(C260, calc_rusacc!$C$15:$C$65, calc_rusacc!$BJ$15:$BJ$65, "",0),  F260="Sealant", _xlfn.XLOOKUP(C260, dd_accsrycalc!$A$2:$A$51, dd_accsrycalc!$G$2:$G$51, "",0),  F260&lt;&gt;"",L260*_xlfn.XLOOKUP(1, (SKUs!$C$2:$C$10001=G260)*(SKUs!$K$2:$K$10001=I260),SKUs!$E$2:$E$10001)), 0),"")</f>
        <v/>
      </c>
      <c r="E260" s="35" t="str">
        <f>_xlfn.XLOOKUP(F260,dd_item!$B$2:$B$105,dd_item!$C$2:$C$105,"",0)</f>
        <v/>
      </c>
      <c r="F260" s="35"/>
      <c r="G260" s="35" cm="1">
        <f t="array" ref="G260">IFERROR(_xlfn.XLOOKUP(1, (SKUs!$J$2:$J$10001=accsry_unmerged!F260)*IF(H260&lt;&gt;"",(SKUs!$L$2:$L$10001=accsry_unmerged!H260),1)*(SKUs!$K$2:$K$10001=I260),SKUs!$C$2:$C$10001),"")</f>
        <v>0</v>
      </c>
      <c r="H260" s="36" cm="1">
        <f t="array" ref="H260">IFERROR(_xlfn.XLOOKUP(1, (dd_accsryclr!$C$2:$C$1000=accsry_unmerged!F260)*(dd_accsryclr!$B$2:$B$1000=accsry_unmerged!J260),dd_accsryclr!$A$2:$A$1000),"")</f>
        <v>0</v>
      </c>
      <c r="I260" s="35">
        <f>_xlfn.XLOOKUP(C260,'Project Details'!$C$17:$C$66,'Project Details'!$E$17:$E$66,"",0)</f>
        <v>0</v>
      </c>
      <c r="J260" s="35">
        <f>_xlfn.XLOOKUP(C260,'Project Details'!$C$17:$C$66,'Project Details'!$H$17:$H$66,"",0)</f>
        <v>0</v>
      </c>
      <c r="K260" s="36" t="str">
        <f>IF(AND(_xlfn.XLOOKUP(C260,'Project Details'!$C$17:$C$66,'Project Details'!$L$17:$L$66,"",0)&gt;550, F260="Spring-L27cm"),"",SUBSTITUTE(_xlfn.XLOOKUP(G260,SKUs!$C$2:$C$10001,SKUs!$F$2:$F$10001,"",0), " Accessories",""))</f>
        <v/>
      </c>
      <c r="L260" s="36">
        <f>_xlfn.XLOOKUP(C260,'Project Details'!$C$17:$C$66,'Project Details'!$D$17:$D$66,"",0)</f>
        <v>0</v>
      </c>
      <c r="M260" s="43"/>
    </row>
    <row r="261" spans="1:13" ht="13.5" customHeight="1" outlineLevel="1" x14ac:dyDescent="0.25">
      <c r="A261" s="43"/>
      <c r="B261" s="43"/>
      <c r="C261" s="16">
        <f t="shared" si="3"/>
        <v>5</v>
      </c>
      <c r="D261" s="16" t="str" cm="1">
        <f t="array" ref="D261">IFERROR(ROUNDUP(_xlfn.IFS(F261="Aluminum Track", _xlfn.XLOOKUP(C261, dd_accsrycalc!$A$2:$A$51, dd_accsrycalc!$B$2:$B$51, "",0), F261="10 x 2 1/2 S (Flat)", _xlfn.XLOOKUP(C261, dd_accsrycalc!$A$2:$A$51, dd_accsrycalc!$C$2:$C$51, "",0), F261="Tox6", _xlfn.XLOOKUP(C261, dd_accsrycalc!$A$2:$A$51, dd_accsrycalc!$D$2:$D$51, "",0), F261="Cover Cap", _xlfn.XLOOKUP(C261, dd_accsrycalc!$A$2:$A$51, dd_accsrycalc!$E$2:$E$51, "",0), F261="Drainage Cover", _xlfn.XLOOKUP(C261, dd_accsrycalc!$A$2:$A$51, dd_accsrycalc!$F$2:$F$51, "",0),AND( F261="Double Adhesive Tape", I261="Roll-up Screen"), _xlfn.XLOOKUP(C261, calc_rusacc!$C$15:$C$65, calc_rusacc!$AD$15:$AD$65, "",0),AND( F261="Sealant", I261="Roll-up Screen"), _xlfn.XLOOKUP(C261, calc_rusacc!$C$15:$C$65, calc_rusacc!$AF$15:$AF$65, "",0),  AND( F261="Main Chain", I261="Accordion Screen"), _xlfn.XLOOKUP(C261, calc_rusacc!$C$15:$C$65, calc_rusacc!$BF$15:$BF$65, "",0), AND( F261="Sealant", I261="Accordion Screen"), _xlfn.XLOOKUP(C261, calc_rusacc!$C$15:$C$65, calc_rusacc!$BJ$15:$BJ$65, "",0),  F261="Sealant", _xlfn.XLOOKUP(C261, dd_accsrycalc!$A$2:$A$51, dd_accsrycalc!$G$2:$G$51, "",0),  F261&lt;&gt;"",L261*_xlfn.XLOOKUP(1, (SKUs!$C$2:$C$10001=G261)*(SKUs!$K$2:$K$10001=I261),SKUs!$E$2:$E$10001)), 0),"")</f>
        <v/>
      </c>
      <c r="E261" s="16" t="str">
        <f>_xlfn.XLOOKUP(F261,dd_item!$B$2:$B$105,dd_item!$C$2:$C$105,"",0)</f>
        <v/>
      </c>
      <c r="F261" s="16"/>
      <c r="G261" s="16" cm="1">
        <f t="array" ref="G261">IFERROR(_xlfn.XLOOKUP(1, (SKUs!$J$2:$J$10001=accsry_unmerged!F261)*IF(H261&lt;&gt;"",(SKUs!$L$2:$L$10001=accsry_unmerged!H261),1)*(SKUs!$K$2:$K$10001=I261),SKUs!$C$2:$C$10001),"")</f>
        <v>0</v>
      </c>
      <c r="H261" s="33" cm="1">
        <f t="array" ref="H261">IFERROR(_xlfn.XLOOKUP(1, (dd_accsryclr!$C$2:$C$1000=accsry_unmerged!F261)*(dd_accsryclr!$B$2:$B$1000=accsry_unmerged!J261),dd_accsryclr!$A$2:$A$1000),"")</f>
        <v>0</v>
      </c>
      <c r="I261" s="16">
        <f>_xlfn.XLOOKUP(C261,'Project Details'!$C$17:$C$66,'Project Details'!$E$17:$E$66,"",0)</f>
        <v>0</v>
      </c>
      <c r="J261" s="16">
        <f>_xlfn.XLOOKUP(C261,'Project Details'!$C$17:$C$66,'Project Details'!$H$17:$H$66,"",0)</f>
        <v>0</v>
      </c>
      <c r="K261" s="33" t="str">
        <f>IF(AND(_xlfn.XLOOKUP(C261,'Project Details'!$C$17:$C$66,'Project Details'!$L$17:$L$66,"",0)&gt;550, F261="Spring-L27cm"),"",SUBSTITUTE(_xlfn.XLOOKUP(G261,SKUs!$C$2:$C$10001,SKUs!$F$2:$F$10001,"",0), " Accessories",""))</f>
        <v/>
      </c>
      <c r="L261" s="33">
        <f>_xlfn.XLOOKUP(C261,'Project Details'!$C$17:$C$66,'Project Details'!$D$17:$D$66,"",0)</f>
        <v>0</v>
      </c>
      <c r="M261" s="43"/>
    </row>
    <row r="262" spans="1:13" ht="13.5" customHeight="1" outlineLevel="1" x14ac:dyDescent="0.25">
      <c r="A262" s="43"/>
      <c r="B262" s="43"/>
      <c r="C262" s="35">
        <f t="shared" si="3"/>
        <v>5</v>
      </c>
      <c r="D262" s="35" t="str" cm="1">
        <f t="array" ref="D262">IFERROR(ROUNDUP(_xlfn.IFS(F262="Aluminum Track", _xlfn.XLOOKUP(C262, dd_accsrycalc!$A$2:$A$51, dd_accsrycalc!$B$2:$B$51, "",0), F262="10 x 2 1/2 S (Flat)", _xlfn.XLOOKUP(C262, dd_accsrycalc!$A$2:$A$51, dd_accsrycalc!$C$2:$C$51, "",0), F262="Tox6", _xlfn.XLOOKUP(C262, dd_accsrycalc!$A$2:$A$51, dd_accsrycalc!$D$2:$D$51, "",0), F262="Cover Cap", _xlfn.XLOOKUP(C262, dd_accsrycalc!$A$2:$A$51, dd_accsrycalc!$E$2:$E$51, "",0), F262="Drainage Cover", _xlfn.XLOOKUP(C262, dd_accsrycalc!$A$2:$A$51, dd_accsrycalc!$F$2:$F$51, "",0),AND( F262="Double Adhesive Tape", I262="Roll-up Screen"), _xlfn.XLOOKUP(C262, calc_rusacc!$C$15:$C$65, calc_rusacc!$AD$15:$AD$65, "",0),AND( F262="Sealant", I262="Roll-up Screen"), _xlfn.XLOOKUP(C262, calc_rusacc!$C$15:$C$65, calc_rusacc!$AF$15:$AF$65, "",0),  AND( F262="Main Chain", I262="Accordion Screen"), _xlfn.XLOOKUP(C262, calc_rusacc!$C$15:$C$65, calc_rusacc!$BF$15:$BF$65, "",0), AND( F262="Sealant", I262="Accordion Screen"), _xlfn.XLOOKUP(C262, calc_rusacc!$C$15:$C$65, calc_rusacc!$BJ$15:$BJ$65, "",0),  F262="Sealant", _xlfn.XLOOKUP(C262, dd_accsrycalc!$A$2:$A$51, dd_accsrycalc!$G$2:$G$51, "",0),  F262&lt;&gt;"",L262*_xlfn.XLOOKUP(1, (SKUs!$C$2:$C$10001=G262)*(SKUs!$K$2:$K$10001=I262),SKUs!$E$2:$E$10001)), 0),"")</f>
        <v/>
      </c>
      <c r="E262" s="35" t="str">
        <f>_xlfn.XLOOKUP(F262,dd_item!$B$2:$B$105,dd_item!$C$2:$C$105,"",0)</f>
        <v/>
      </c>
      <c r="F262" s="35"/>
      <c r="G262" s="35" cm="1">
        <f t="array" ref="G262">IFERROR(_xlfn.XLOOKUP(1, (SKUs!$J$2:$J$10001=accsry_unmerged!F262)*IF(H262&lt;&gt;"",(SKUs!$L$2:$L$10001=accsry_unmerged!H262),1)*(SKUs!$K$2:$K$10001=I262),SKUs!$C$2:$C$10001),"")</f>
        <v>0</v>
      </c>
      <c r="H262" s="36" cm="1">
        <f t="array" ref="H262">IFERROR(_xlfn.XLOOKUP(1, (dd_accsryclr!$C$2:$C$1000=accsry_unmerged!F262)*(dd_accsryclr!$B$2:$B$1000=accsry_unmerged!J262),dd_accsryclr!$A$2:$A$1000),"")</f>
        <v>0</v>
      </c>
      <c r="I262" s="35">
        <f>_xlfn.XLOOKUP(C262,'Project Details'!$C$17:$C$66,'Project Details'!$E$17:$E$66,"",0)</f>
        <v>0</v>
      </c>
      <c r="J262" s="35">
        <f>_xlfn.XLOOKUP(C262,'Project Details'!$C$17:$C$66,'Project Details'!$H$17:$H$66,"",0)</f>
        <v>0</v>
      </c>
      <c r="K262" s="36" t="str">
        <f>IF(AND(_xlfn.XLOOKUP(C262,'Project Details'!$C$17:$C$66,'Project Details'!$L$17:$L$66,"",0)&gt;550, F262="Spring-L27cm"),"",SUBSTITUTE(_xlfn.XLOOKUP(G262,SKUs!$C$2:$C$10001,SKUs!$F$2:$F$10001,"",0), " Accessories",""))</f>
        <v/>
      </c>
      <c r="L262" s="36">
        <f>_xlfn.XLOOKUP(C262,'Project Details'!$C$17:$C$66,'Project Details'!$D$17:$D$66,"",0)</f>
        <v>0</v>
      </c>
      <c r="M262" s="43"/>
    </row>
    <row r="263" spans="1:13" ht="13.5" customHeight="1" outlineLevel="1" x14ac:dyDescent="0.25">
      <c r="A263" s="43"/>
      <c r="B263" s="43"/>
      <c r="C263" s="16">
        <f t="shared" si="3"/>
        <v>5</v>
      </c>
      <c r="D263" s="16" t="str" cm="1">
        <f t="array" ref="D263">IFERROR(ROUNDUP(_xlfn.IFS(F263="Aluminum Track", _xlfn.XLOOKUP(C263, dd_accsrycalc!$A$2:$A$51, dd_accsrycalc!$B$2:$B$51, "",0), F263="10 x 2 1/2 S (Flat)", _xlfn.XLOOKUP(C263, dd_accsrycalc!$A$2:$A$51, dd_accsrycalc!$C$2:$C$51, "",0), F263="Tox6", _xlfn.XLOOKUP(C263, dd_accsrycalc!$A$2:$A$51, dd_accsrycalc!$D$2:$D$51, "",0), F263="Cover Cap", _xlfn.XLOOKUP(C263, dd_accsrycalc!$A$2:$A$51, dd_accsrycalc!$E$2:$E$51, "",0), F263="Drainage Cover", _xlfn.XLOOKUP(C263, dd_accsrycalc!$A$2:$A$51, dd_accsrycalc!$F$2:$F$51, "",0),AND( F263="Double Adhesive Tape", I263="Roll-up Screen"), _xlfn.XLOOKUP(C263, calc_rusacc!$C$15:$C$65, calc_rusacc!$AD$15:$AD$65, "",0),AND( F263="Sealant", I263="Roll-up Screen"), _xlfn.XLOOKUP(C263, calc_rusacc!$C$15:$C$65, calc_rusacc!$AF$15:$AF$65, "",0),  AND( F263="Main Chain", I263="Accordion Screen"), _xlfn.XLOOKUP(C263, calc_rusacc!$C$15:$C$65, calc_rusacc!$BF$15:$BF$65, "",0), AND( F263="Sealant", I263="Accordion Screen"), _xlfn.XLOOKUP(C263, calc_rusacc!$C$15:$C$65, calc_rusacc!$BJ$15:$BJ$65, "",0),  F263="Sealant", _xlfn.XLOOKUP(C263, dd_accsrycalc!$A$2:$A$51, dd_accsrycalc!$G$2:$G$51, "",0),  F263&lt;&gt;"",L263*_xlfn.XLOOKUP(1, (SKUs!$C$2:$C$10001=G263)*(SKUs!$K$2:$K$10001=I263),SKUs!$E$2:$E$10001)), 0),"")</f>
        <v/>
      </c>
      <c r="E263" s="16" t="str">
        <f>_xlfn.XLOOKUP(F263,dd_item!$B$2:$B$105,dd_item!$C$2:$C$105,"",0)</f>
        <v/>
      </c>
      <c r="F263" s="16"/>
      <c r="G263" s="16" cm="1">
        <f t="array" ref="G263">IFERROR(_xlfn.XLOOKUP(1, (SKUs!$J$2:$J$10001=accsry_unmerged!F263)*IF(H263&lt;&gt;"",(SKUs!$L$2:$L$10001=accsry_unmerged!H263),1)*(SKUs!$K$2:$K$10001=I263),SKUs!$C$2:$C$10001),"")</f>
        <v>0</v>
      </c>
      <c r="H263" s="33" cm="1">
        <f t="array" ref="H263">IFERROR(_xlfn.XLOOKUP(1, (dd_accsryclr!$C$2:$C$1000=accsry_unmerged!F263)*(dd_accsryclr!$B$2:$B$1000=accsry_unmerged!J263),dd_accsryclr!$A$2:$A$1000),"")</f>
        <v>0</v>
      </c>
      <c r="I263" s="16">
        <f>_xlfn.XLOOKUP(C263,'Project Details'!$C$17:$C$66,'Project Details'!$E$17:$E$66,"",0)</f>
        <v>0</v>
      </c>
      <c r="J263" s="16">
        <f>_xlfn.XLOOKUP(C263,'Project Details'!$C$17:$C$66,'Project Details'!$H$17:$H$66,"",0)</f>
        <v>0</v>
      </c>
      <c r="K263" s="33" t="str">
        <f>IF(AND(_xlfn.XLOOKUP(C263,'Project Details'!$C$17:$C$66,'Project Details'!$L$17:$L$66,"",0)&gt;550, F263="Spring-L27cm"),"",SUBSTITUTE(_xlfn.XLOOKUP(G263,SKUs!$C$2:$C$10001,SKUs!$F$2:$F$10001,"",0), " Accessories",""))</f>
        <v/>
      </c>
      <c r="L263" s="33">
        <f>_xlfn.XLOOKUP(C263,'Project Details'!$C$17:$C$66,'Project Details'!$D$17:$D$66,"",0)</f>
        <v>0</v>
      </c>
      <c r="M263" s="43"/>
    </row>
    <row r="264" spans="1:13" x14ac:dyDescent="0.25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</row>
    <row r="265" spans="1:13" x14ac:dyDescent="0.25">
      <c r="A265" s="43"/>
      <c r="B265" s="43"/>
      <c r="C265" s="16">
        <f>C263+1</f>
        <v>6</v>
      </c>
      <c r="D265" s="48" cm="1">
        <f t="array" ref="D265">IFERROR(ROUNDUP(_xlfn.IFS(F265="Aluminum Track", _xlfn.XLOOKUP(C265, dd_accsrycalc!$A$2:$A$51, dd_accsrycalc!$B$2:$B$51, "",0), F265="10 x 2 1/2 S (Flat)", _xlfn.XLOOKUP(C265, dd_accsrycalc!$A$2:$A$51, dd_accsrycalc!$C$2:$C$51, "",0), F265="Tox6", _xlfn.XLOOKUP(C265, dd_accsrycalc!$A$2:$A$51, dd_accsrycalc!$D$2:$D$51, "",0), F265="Cover Cap", _xlfn.XLOOKUP(C265, dd_accsrycalc!$A$2:$A$51, dd_accsrycalc!$E$2:$E$51, "",0), F265="Drainage Cover", _xlfn.XLOOKUP(C265, dd_accsrycalc!$A$2:$A$51, dd_accsrycalc!$F$2:$F$51, "",0),AND( F265="Double Adhesive Tape", I265="Roll-up Screen"), _xlfn.XLOOKUP(C265, calc_rusacc!$C$15:$C$65, calc_rusacc!$AD$15:$AD$65, "",0),AND( F265="Sealant", I265="Roll-up Screen"), _xlfn.XLOOKUP(C265, calc_rusacc!$C$15:$C$65, calc_rusacc!$AF$15:$AF$65, "",0),  AND( F265="Main Chain", I265="Accordion Screen"), _xlfn.XLOOKUP(C265, calc_rusacc!$C$15:$C$65, calc_rusacc!$BF$15:$BF$65, "",0), AND( F265="Sealant", I265="Accordion Screen"), _xlfn.XLOOKUP(C265, calc_rusacc!$C$15:$C$65, calc_rusacc!$BJ$15:$BJ$65, "",0),  F265="Sealant", _xlfn.XLOOKUP(C265, dd_accsrycalc!$A$2:$A$51, dd_accsrycalc!$G$2:$G$51, "",0),  F265&lt;&gt;"",L265*_xlfn.XLOOKUP(1, (SKUs!$C$2:$C$10001=G265)*(SKUs!$K$2:$K$10001=I265),SKUs!$E$2:$E$10001)), 0),"")</f>
        <v>0</v>
      </c>
      <c r="E265" s="48" t="str">
        <f>_xlfn.XLOOKUP(F265,dd_item!$B$2:$B$105,dd_item!$C$2:$C$105,"",0)</f>
        <v/>
      </c>
      <c r="F265" s="48" cm="1">
        <f t="array" ref="F265">IFERROR(_xlfn.UNIQUE(_xlfn._xlws.FILTER(SKUs!$J$2:$J$10001, (SKUs!$F$2:$F$10001&lt;&gt;"Cutting List") * (SKUs!$A$2:$A$10001=_xlfn.XLOOKUP(_xlfn.XLOOKUP(C265,'Project Details'!$C$17:$C$66,'Project Details'!$E$17:$E$66,"",0), dd_design_raw!$A$2:$A$101,dd_design_raw!$C$2:$C$101,"",0)))), "")</f>
        <v>0</v>
      </c>
      <c r="G265" s="16" cm="1">
        <f t="array" ref="G265">IFERROR(_xlfn.XLOOKUP(1, (SKUs!$J$2:$J$10001=accsry_unmerged!F265)*IF(H265&lt;&gt;"",(SKUs!$L$2:$L$10001=accsry_unmerged!H265),1)*(SKUs!$K$2:$K$10001=I265),SKUs!$C$2:$C$10001),"")</f>
        <v>0</v>
      </c>
      <c r="H265" s="16" cm="1">
        <f t="array" ref="H265">IFERROR(_xlfn.XLOOKUP(1, (dd_accsryclr!$C$2:$C$1000=accsry_unmerged!F265)*(dd_accsryclr!$B$2:$B$1000=accsry_unmerged!J265),dd_accsryclr!$A$2:$A$1000),"")</f>
        <v>0</v>
      </c>
      <c r="I265" s="16">
        <f>_xlfn.XLOOKUP(C265,'Project Details'!$C$17:$C$66,'Project Details'!$E$17:$E$66,"",0)</f>
        <v>0</v>
      </c>
      <c r="J265" s="16">
        <f>_xlfn.XLOOKUP(C265,'Project Details'!$C$17:$C$66,'Project Details'!$H$17:$H$66,"",0)</f>
        <v>0</v>
      </c>
      <c r="K265" s="16" t="str">
        <f>IF(AND(_xlfn.XLOOKUP(C265,'Project Details'!$C$17:$C$66,'Project Details'!$L$17:$L$66,"",0)&gt;550, F265="Spring-L27cm"),"",SUBSTITUTE(_xlfn.XLOOKUP(G265,SKUs!$C$2:$C$10001,SKUs!$F$2:$F$10001,"",0), " Accessories",""))</f>
        <v/>
      </c>
      <c r="L265" s="16">
        <f>_xlfn.XLOOKUP(C265,'Project Details'!$C$17:$C$66,'Project Details'!$D$17:$D$66,"",0)</f>
        <v>0</v>
      </c>
      <c r="M265" s="43"/>
    </row>
    <row r="266" spans="1:13" x14ac:dyDescent="0.25">
      <c r="A266" s="43"/>
      <c r="B266" s="43"/>
      <c r="C266" s="35">
        <f>C265</f>
        <v>6</v>
      </c>
      <c r="D266" s="35" t="str" cm="1">
        <f t="array" ref="D266">IFERROR(ROUNDUP(_xlfn.IFS(F266="Aluminum Track", _xlfn.XLOOKUP(C266, dd_accsrycalc!$A$2:$A$51, dd_accsrycalc!$B$2:$B$51, "",0), F266="10 x 2 1/2 S (Flat)", _xlfn.XLOOKUP(C266, dd_accsrycalc!$A$2:$A$51, dd_accsrycalc!$C$2:$C$51, "",0), F266="Tox6", _xlfn.XLOOKUP(C266, dd_accsrycalc!$A$2:$A$51, dd_accsrycalc!$D$2:$D$51, "",0), F266="Cover Cap", _xlfn.XLOOKUP(C266, dd_accsrycalc!$A$2:$A$51, dd_accsrycalc!$E$2:$E$51, "",0), F266="Drainage Cover", _xlfn.XLOOKUP(C266, dd_accsrycalc!$A$2:$A$51, dd_accsrycalc!$F$2:$F$51, "",0),AND( F266="Double Adhesive Tape", I266="Roll-up Screen"), _xlfn.XLOOKUP(C266, calc_rusacc!$C$15:$C$65, calc_rusacc!$AD$15:$AD$65, "",0),AND( F266="Sealant", I266="Roll-up Screen"), _xlfn.XLOOKUP(C266, calc_rusacc!$C$15:$C$65, calc_rusacc!$AF$15:$AF$65, "",0),  AND( F266="Main Chain", I266="Accordion Screen"), _xlfn.XLOOKUP(C266, calc_rusacc!$C$15:$C$65, calc_rusacc!$BF$15:$BF$65, "",0), AND( F266="Sealant", I266="Accordion Screen"), _xlfn.XLOOKUP(C266, calc_rusacc!$C$15:$C$65, calc_rusacc!$BJ$15:$BJ$65, "",0),  F266="Sealant", _xlfn.XLOOKUP(C266, dd_accsrycalc!$A$2:$A$51, dd_accsrycalc!$G$2:$G$51, "",0),  F266&lt;&gt;"",L266*_xlfn.XLOOKUP(1, (SKUs!$C$2:$C$10001=G266)*(SKUs!$K$2:$K$10001=I266),SKUs!$E$2:$E$10001)), 0),"")</f>
        <v/>
      </c>
      <c r="E266" s="35" t="str">
        <f>_xlfn.XLOOKUP(F266,dd_item!$B$2:$B$105,dd_item!$C$2:$C$105,"",0)</f>
        <v/>
      </c>
      <c r="F266" s="35"/>
      <c r="G266" s="35" cm="1">
        <f t="array" ref="G266">IFERROR(_xlfn.XLOOKUP(1, (SKUs!$J$2:$J$10001=accsry_unmerged!F266)*IF(H266&lt;&gt;"",(SKUs!$L$2:$L$10001=accsry_unmerged!H266),1)*(SKUs!$K$2:$K$10001=I266),SKUs!$C$2:$C$10001),"")</f>
        <v>0</v>
      </c>
      <c r="H266" s="36" cm="1">
        <f t="array" ref="H266">IFERROR(_xlfn.XLOOKUP(1, (dd_accsryclr!$C$2:$C$1000=accsry_unmerged!F266)*(dd_accsryclr!$B$2:$B$1000=accsry_unmerged!J266),dd_accsryclr!$A$2:$A$1000),"")</f>
        <v>0</v>
      </c>
      <c r="I266" s="35">
        <f>_xlfn.XLOOKUP(C266,'Project Details'!$C$17:$C$66,'Project Details'!$E$17:$E$66,"",0)</f>
        <v>0</v>
      </c>
      <c r="J266" s="35">
        <f>_xlfn.XLOOKUP(C266,'Project Details'!$C$17:$C$66,'Project Details'!$H$17:$H$66,"",0)</f>
        <v>0</v>
      </c>
      <c r="K266" s="36" t="str">
        <f>IF(AND(_xlfn.XLOOKUP(C266,'Project Details'!$C$17:$C$66,'Project Details'!$L$17:$L$66,"",0)&gt;550, F266="Spring-L27cm"),"",SUBSTITUTE(_xlfn.XLOOKUP(G266,SKUs!$C$2:$C$10001,SKUs!$F$2:$F$10001,"",0), " Accessories",""))</f>
        <v/>
      </c>
      <c r="L266" s="36">
        <f>_xlfn.XLOOKUP(C266,'Project Details'!$C$17:$C$66,'Project Details'!$D$17:$D$66,"",0)</f>
        <v>0</v>
      </c>
      <c r="M266" s="43"/>
    </row>
    <row r="267" spans="1:13" x14ac:dyDescent="0.25">
      <c r="A267" s="43"/>
      <c r="B267" s="43"/>
      <c r="C267" s="16">
        <f t="shared" ref="C267:C313" si="4">C266</f>
        <v>6</v>
      </c>
      <c r="D267" s="16" t="str" cm="1">
        <f t="array" ref="D267">IFERROR(ROUNDUP(_xlfn.IFS(F267="Aluminum Track", _xlfn.XLOOKUP(C267, dd_accsrycalc!$A$2:$A$51, dd_accsrycalc!$B$2:$B$51, "",0), F267="10 x 2 1/2 S (Flat)", _xlfn.XLOOKUP(C267, dd_accsrycalc!$A$2:$A$51, dd_accsrycalc!$C$2:$C$51, "",0), F267="Tox6", _xlfn.XLOOKUP(C267, dd_accsrycalc!$A$2:$A$51, dd_accsrycalc!$D$2:$D$51, "",0), F267="Cover Cap", _xlfn.XLOOKUP(C267, dd_accsrycalc!$A$2:$A$51, dd_accsrycalc!$E$2:$E$51, "",0), F267="Drainage Cover", _xlfn.XLOOKUP(C267, dd_accsrycalc!$A$2:$A$51, dd_accsrycalc!$F$2:$F$51, "",0),AND( F267="Double Adhesive Tape", I267="Roll-up Screen"), _xlfn.XLOOKUP(C267, calc_rusacc!$C$15:$C$65, calc_rusacc!$AD$15:$AD$65, "",0),AND( F267="Sealant", I267="Roll-up Screen"), _xlfn.XLOOKUP(C267, calc_rusacc!$C$15:$C$65, calc_rusacc!$AF$15:$AF$65, "",0),  AND( F267="Main Chain", I267="Accordion Screen"), _xlfn.XLOOKUP(C267, calc_rusacc!$C$15:$C$65, calc_rusacc!$BF$15:$BF$65, "",0), AND( F267="Sealant", I267="Accordion Screen"), _xlfn.XLOOKUP(C267, calc_rusacc!$C$15:$C$65, calc_rusacc!$BJ$15:$BJ$65, "",0),  F267="Sealant", _xlfn.XLOOKUP(C267, dd_accsrycalc!$A$2:$A$51, dd_accsrycalc!$G$2:$G$51, "",0),  F267&lt;&gt;"",L267*_xlfn.XLOOKUP(1, (SKUs!$C$2:$C$10001=G267)*(SKUs!$K$2:$K$10001=I267),SKUs!$E$2:$E$10001)), 0),"")</f>
        <v/>
      </c>
      <c r="E267" s="16" t="str">
        <f>_xlfn.XLOOKUP(F267,dd_item!$B$2:$B$105,dd_item!$C$2:$C$105,"",0)</f>
        <v/>
      </c>
      <c r="F267" s="16"/>
      <c r="G267" s="16" cm="1">
        <f t="array" ref="G267">IFERROR(_xlfn.XLOOKUP(1, (SKUs!$J$2:$J$10001=accsry_unmerged!F267)*IF(H267&lt;&gt;"",(SKUs!$L$2:$L$10001=accsry_unmerged!H267),1)*(SKUs!$K$2:$K$10001=I267),SKUs!$C$2:$C$10001),"")</f>
        <v>0</v>
      </c>
      <c r="H267" s="33" cm="1">
        <f t="array" ref="H267">IFERROR(_xlfn.XLOOKUP(1, (dd_accsryclr!$C$2:$C$1000=accsry_unmerged!F267)*(dd_accsryclr!$B$2:$B$1000=accsry_unmerged!J267),dd_accsryclr!$A$2:$A$1000),"")</f>
        <v>0</v>
      </c>
      <c r="I267" s="16">
        <f>_xlfn.XLOOKUP(C267,'Project Details'!$C$17:$C$66,'Project Details'!$E$17:$E$66,"",0)</f>
        <v>0</v>
      </c>
      <c r="J267" s="16">
        <f>_xlfn.XLOOKUP(C267,'Project Details'!$C$17:$C$66,'Project Details'!$H$17:$H$66,"",0)</f>
        <v>0</v>
      </c>
      <c r="K267" s="33" t="str">
        <f>IF(AND(_xlfn.XLOOKUP(C267,'Project Details'!$C$17:$C$66,'Project Details'!$L$17:$L$66,"",0)&gt;550, F267="Spring-L27cm"),"",SUBSTITUTE(_xlfn.XLOOKUP(G267,SKUs!$C$2:$C$10001,SKUs!$F$2:$F$10001,"",0), " Accessories",""))</f>
        <v/>
      </c>
      <c r="L267" s="33">
        <f>_xlfn.XLOOKUP(C267,'Project Details'!$C$17:$C$66,'Project Details'!$D$17:$D$66,"",0)</f>
        <v>0</v>
      </c>
      <c r="M267" s="43"/>
    </row>
    <row r="268" spans="1:13" x14ac:dyDescent="0.25">
      <c r="A268" s="43"/>
      <c r="B268" s="43"/>
      <c r="C268" s="35">
        <f t="shared" si="4"/>
        <v>6</v>
      </c>
      <c r="D268" s="35" t="str" cm="1">
        <f t="array" ref="D268">IFERROR(ROUNDUP(_xlfn.IFS(F268="Aluminum Track", _xlfn.XLOOKUP(C268, dd_accsrycalc!$A$2:$A$51, dd_accsrycalc!$B$2:$B$51, "",0), F268="10 x 2 1/2 S (Flat)", _xlfn.XLOOKUP(C268, dd_accsrycalc!$A$2:$A$51, dd_accsrycalc!$C$2:$C$51, "",0), F268="Tox6", _xlfn.XLOOKUP(C268, dd_accsrycalc!$A$2:$A$51, dd_accsrycalc!$D$2:$D$51, "",0), F268="Cover Cap", _xlfn.XLOOKUP(C268, dd_accsrycalc!$A$2:$A$51, dd_accsrycalc!$E$2:$E$51, "",0), F268="Drainage Cover", _xlfn.XLOOKUP(C268, dd_accsrycalc!$A$2:$A$51, dd_accsrycalc!$F$2:$F$51, "",0),AND( F268="Double Adhesive Tape", I268="Roll-up Screen"), _xlfn.XLOOKUP(C268, calc_rusacc!$C$15:$C$65, calc_rusacc!$AD$15:$AD$65, "",0),AND( F268="Sealant", I268="Roll-up Screen"), _xlfn.XLOOKUP(C268, calc_rusacc!$C$15:$C$65, calc_rusacc!$AF$15:$AF$65, "",0),  AND( F268="Main Chain", I268="Accordion Screen"), _xlfn.XLOOKUP(C268, calc_rusacc!$C$15:$C$65, calc_rusacc!$BF$15:$BF$65, "",0), AND( F268="Sealant", I268="Accordion Screen"), _xlfn.XLOOKUP(C268, calc_rusacc!$C$15:$C$65, calc_rusacc!$BJ$15:$BJ$65, "",0),  F268="Sealant", _xlfn.XLOOKUP(C268, dd_accsrycalc!$A$2:$A$51, dd_accsrycalc!$G$2:$G$51, "",0),  F268&lt;&gt;"",L268*_xlfn.XLOOKUP(1, (SKUs!$C$2:$C$10001=G268)*(SKUs!$K$2:$K$10001=I268),SKUs!$E$2:$E$10001)), 0),"")</f>
        <v/>
      </c>
      <c r="E268" s="35" t="str">
        <f>_xlfn.XLOOKUP(F268,dd_item!$B$2:$B$105,dd_item!$C$2:$C$105,"",0)</f>
        <v/>
      </c>
      <c r="F268" s="35"/>
      <c r="G268" s="35" cm="1">
        <f t="array" ref="G268">IFERROR(_xlfn.XLOOKUP(1, (SKUs!$J$2:$J$10001=accsry_unmerged!F268)*IF(H268&lt;&gt;"",(SKUs!$L$2:$L$10001=accsry_unmerged!H268),1)*(SKUs!$K$2:$K$10001=I268),SKUs!$C$2:$C$10001),"")</f>
        <v>0</v>
      </c>
      <c r="H268" s="36" cm="1">
        <f t="array" ref="H268">IFERROR(_xlfn.XLOOKUP(1, (dd_accsryclr!$C$2:$C$1000=accsry_unmerged!F268)*(dd_accsryclr!$B$2:$B$1000=accsry_unmerged!J268),dd_accsryclr!$A$2:$A$1000),"")</f>
        <v>0</v>
      </c>
      <c r="I268" s="35">
        <f>_xlfn.XLOOKUP(C268,'Project Details'!$C$17:$C$66,'Project Details'!$E$17:$E$66,"",0)</f>
        <v>0</v>
      </c>
      <c r="J268" s="35">
        <f>_xlfn.XLOOKUP(C268,'Project Details'!$C$17:$C$66,'Project Details'!$H$17:$H$66,"",0)</f>
        <v>0</v>
      </c>
      <c r="K268" s="36" t="str">
        <f>IF(AND(_xlfn.XLOOKUP(C268,'Project Details'!$C$17:$C$66,'Project Details'!$L$17:$L$66,"",0)&gt;550, F268="Spring-L27cm"),"",SUBSTITUTE(_xlfn.XLOOKUP(G268,SKUs!$C$2:$C$10001,SKUs!$F$2:$F$10001,"",0), " Accessories",""))</f>
        <v/>
      </c>
      <c r="L268" s="36">
        <f>_xlfn.XLOOKUP(C268,'Project Details'!$C$17:$C$66,'Project Details'!$D$17:$D$66,"",0)</f>
        <v>0</v>
      </c>
      <c r="M268" s="43"/>
    </row>
    <row r="269" spans="1:13" x14ac:dyDescent="0.25">
      <c r="A269" s="43"/>
      <c r="B269" s="43"/>
      <c r="C269" s="16">
        <f t="shared" si="4"/>
        <v>6</v>
      </c>
      <c r="D269" s="16" t="str" cm="1">
        <f t="array" ref="D269">IFERROR(ROUNDUP(_xlfn.IFS(F269="Aluminum Track", _xlfn.XLOOKUP(C269, dd_accsrycalc!$A$2:$A$51, dd_accsrycalc!$B$2:$B$51, "",0), F269="10 x 2 1/2 S (Flat)", _xlfn.XLOOKUP(C269, dd_accsrycalc!$A$2:$A$51, dd_accsrycalc!$C$2:$C$51, "",0), F269="Tox6", _xlfn.XLOOKUP(C269, dd_accsrycalc!$A$2:$A$51, dd_accsrycalc!$D$2:$D$51, "",0), F269="Cover Cap", _xlfn.XLOOKUP(C269, dd_accsrycalc!$A$2:$A$51, dd_accsrycalc!$E$2:$E$51, "",0), F269="Drainage Cover", _xlfn.XLOOKUP(C269, dd_accsrycalc!$A$2:$A$51, dd_accsrycalc!$F$2:$F$51, "",0),AND( F269="Double Adhesive Tape", I269="Roll-up Screen"), _xlfn.XLOOKUP(C269, calc_rusacc!$C$15:$C$65, calc_rusacc!$AD$15:$AD$65, "",0),AND( F269="Sealant", I269="Roll-up Screen"), _xlfn.XLOOKUP(C269, calc_rusacc!$C$15:$C$65, calc_rusacc!$AF$15:$AF$65, "",0),  AND( F269="Main Chain", I269="Accordion Screen"), _xlfn.XLOOKUP(C269, calc_rusacc!$C$15:$C$65, calc_rusacc!$BF$15:$BF$65, "",0), AND( F269="Sealant", I269="Accordion Screen"), _xlfn.XLOOKUP(C269, calc_rusacc!$C$15:$C$65, calc_rusacc!$BJ$15:$BJ$65, "",0),  F269="Sealant", _xlfn.XLOOKUP(C269, dd_accsrycalc!$A$2:$A$51, dd_accsrycalc!$G$2:$G$51, "",0),  F269&lt;&gt;"",L269*_xlfn.XLOOKUP(1, (SKUs!$C$2:$C$10001=G269)*(SKUs!$K$2:$K$10001=I269),SKUs!$E$2:$E$10001)), 0),"")</f>
        <v/>
      </c>
      <c r="E269" s="16" t="str">
        <f>_xlfn.XLOOKUP(F269,dd_item!$B$2:$B$105,dd_item!$C$2:$C$105,"",0)</f>
        <v/>
      </c>
      <c r="F269" s="16"/>
      <c r="G269" s="16" cm="1">
        <f t="array" ref="G269">IFERROR(_xlfn.XLOOKUP(1, (SKUs!$J$2:$J$10001=accsry_unmerged!F269)*IF(H269&lt;&gt;"",(SKUs!$L$2:$L$10001=accsry_unmerged!H269),1)*(SKUs!$K$2:$K$10001=I269),SKUs!$C$2:$C$10001),"")</f>
        <v>0</v>
      </c>
      <c r="H269" s="33" cm="1">
        <f t="array" ref="H269">IFERROR(_xlfn.XLOOKUP(1, (dd_accsryclr!$C$2:$C$1000=accsry_unmerged!F269)*(dd_accsryclr!$B$2:$B$1000=accsry_unmerged!J269),dd_accsryclr!$A$2:$A$1000),"")</f>
        <v>0</v>
      </c>
      <c r="I269" s="16">
        <f>_xlfn.XLOOKUP(C269,'Project Details'!$C$17:$C$66,'Project Details'!$E$17:$E$66,"",0)</f>
        <v>0</v>
      </c>
      <c r="J269" s="16">
        <f>_xlfn.XLOOKUP(C269,'Project Details'!$C$17:$C$66,'Project Details'!$H$17:$H$66,"",0)</f>
        <v>0</v>
      </c>
      <c r="K269" s="33" t="str">
        <f>IF(AND(_xlfn.XLOOKUP(C269,'Project Details'!$C$17:$C$66,'Project Details'!$L$17:$L$66,"",0)&gt;550, F269="Spring-L27cm"),"",SUBSTITUTE(_xlfn.XLOOKUP(G269,SKUs!$C$2:$C$10001,SKUs!$F$2:$F$10001,"",0), " Accessories",""))</f>
        <v/>
      </c>
      <c r="L269" s="33">
        <f>_xlfn.XLOOKUP(C269,'Project Details'!$C$17:$C$66,'Project Details'!$D$17:$D$66,"",0)</f>
        <v>0</v>
      </c>
      <c r="M269" s="43"/>
    </row>
    <row r="270" spans="1:13" x14ac:dyDescent="0.25">
      <c r="A270" s="43"/>
      <c r="B270" s="43"/>
      <c r="C270" s="35">
        <f t="shared" si="4"/>
        <v>6</v>
      </c>
      <c r="D270" s="35" t="str" cm="1">
        <f t="array" ref="D270">IFERROR(ROUNDUP(_xlfn.IFS(F270="Aluminum Track", _xlfn.XLOOKUP(C270, dd_accsrycalc!$A$2:$A$51, dd_accsrycalc!$B$2:$B$51, "",0), F270="10 x 2 1/2 S (Flat)", _xlfn.XLOOKUP(C270, dd_accsrycalc!$A$2:$A$51, dd_accsrycalc!$C$2:$C$51, "",0), F270="Tox6", _xlfn.XLOOKUP(C270, dd_accsrycalc!$A$2:$A$51, dd_accsrycalc!$D$2:$D$51, "",0), F270="Cover Cap", _xlfn.XLOOKUP(C270, dd_accsrycalc!$A$2:$A$51, dd_accsrycalc!$E$2:$E$51, "",0), F270="Drainage Cover", _xlfn.XLOOKUP(C270, dd_accsrycalc!$A$2:$A$51, dd_accsrycalc!$F$2:$F$51, "",0),AND( F270="Double Adhesive Tape", I270="Roll-up Screen"), _xlfn.XLOOKUP(C270, calc_rusacc!$C$15:$C$65, calc_rusacc!$AD$15:$AD$65, "",0),AND( F270="Sealant", I270="Roll-up Screen"), _xlfn.XLOOKUP(C270, calc_rusacc!$C$15:$C$65, calc_rusacc!$AF$15:$AF$65, "",0),  AND( F270="Main Chain", I270="Accordion Screen"), _xlfn.XLOOKUP(C270, calc_rusacc!$C$15:$C$65, calc_rusacc!$BF$15:$BF$65, "",0), AND( F270="Sealant", I270="Accordion Screen"), _xlfn.XLOOKUP(C270, calc_rusacc!$C$15:$C$65, calc_rusacc!$BJ$15:$BJ$65, "",0),  F270="Sealant", _xlfn.XLOOKUP(C270, dd_accsrycalc!$A$2:$A$51, dd_accsrycalc!$G$2:$G$51, "",0),  F270&lt;&gt;"",L270*_xlfn.XLOOKUP(1, (SKUs!$C$2:$C$10001=G270)*(SKUs!$K$2:$K$10001=I270),SKUs!$E$2:$E$10001)), 0),"")</f>
        <v/>
      </c>
      <c r="E270" s="35" t="str">
        <f>_xlfn.XLOOKUP(F270,dd_item!$B$2:$B$105,dd_item!$C$2:$C$105,"",0)</f>
        <v/>
      </c>
      <c r="F270" s="35"/>
      <c r="G270" s="35" cm="1">
        <f t="array" ref="G270">IFERROR(_xlfn.XLOOKUP(1, (SKUs!$J$2:$J$10001=accsry_unmerged!F270)*IF(H270&lt;&gt;"",(SKUs!$L$2:$L$10001=accsry_unmerged!H270),1)*(SKUs!$K$2:$K$10001=I270),SKUs!$C$2:$C$10001),"")</f>
        <v>0</v>
      </c>
      <c r="H270" s="36" cm="1">
        <f t="array" ref="H270">IFERROR(_xlfn.XLOOKUP(1, (dd_accsryclr!$C$2:$C$1000=accsry_unmerged!F270)*(dd_accsryclr!$B$2:$B$1000=accsry_unmerged!J270),dd_accsryclr!$A$2:$A$1000),"")</f>
        <v>0</v>
      </c>
      <c r="I270" s="35">
        <f>_xlfn.XLOOKUP(C270,'Project Details'!$C$17:$C$66,'Project Details'!$E$17:$E$66,"",0)</f>
        <v>0</v>
      </c>
      <c r="J270" s="35">
        <f>_xlfn.XLOOKUP(C270,'Project Details'!$C$17:$C$66,'Project Details'!$H$17:$H$66,"",0)</f>
        <v>0</v>
      </c>
      <c r="K270" s="36" t="str">
        <f>IF(AND(_xlfn.XLOOKUP(C270,'Project Details'!$C$17:$C$66,'Project Details'!$L$17:$L$66,"",0)&gt;550, F270="Spring-L27cm"),"",SUBSTITUTE(_xlfn.XLOOKUP(G270,SKUs!$C$2:$C$10001,SKUs!$F$2:$F$10001,"",0), " Accessories",""))</f>
        <v/>
      </c>
      <c r="L270" s="36">
        <f>_xlfn.XLOOKUP(C270,'Project Details'!$C$17:$C$66,'Project Details'!$D$17:$D$66,"",0)</f>
        <v>0</v>
      </c>
      <c r="M270" s="43"/>
    </row>
    <row r="271" spans="1:13" x14ac:dyDescent="0.25">
      <c r="A271" s="43"/>
      <c r="B271" s="43"/>
      <c r="C271" s="16">
        <f t="shared" si="4"/>
        <v>6</v>
      </c>
      <c r="D271" s="16" t="str" cm="1">
        <f t="array" ref="D271">IFERROR(ROUNDUP(_xlfn.IFS(F271="Aluminum Track", _xlfn.XLOOKUP(C271, dd_accsrycalc!$A$2:$A$51, dd_accsrycalc!$B$2:$B$51, "",0), F271="10 x 2 1/2 S (Flat)", _xlfn.XLOOKUP(C271, dd_accsrycalc!$A$2:$A$51, dd_accsrycalc!$C$2:$C$51, "",0), F271="Tox6", _xlfn.XLOOKUP(C271, dd_accsrycalc!$A$2:$A$51, dd_accsrycalc!$D$2:$D$51, "",0), F271="Cover Cap", _xlfn.XLOOKUP(C271, dd_accsrycalc!$A$2:$A$51, dd_accsrycalc!$E$2:$E$51, "",0), F271="Drainage Cover", _xlfn.XLOOKUP(C271, dd_accsrycalc!$A$2:$A$51, dd_accsrycalc!$F$2:$F$51, "",0),AND( F271="Double Adhesive Tape", I271="Roll-up Screen"), _xlfn.XLOOKUP(C271, calc_rusacc!$C$15:$C$65, calc_rusacc!$AD$15:$AD$65, "",0),AND( F271="Sealant", I271="Roll-up Screen"), _xlfn.XLOOKUP(C271, calc_rusacc!$C$15:$C$65, calc_rusacc!$AF$15:$AF$65, "",0),  AND( F271="Main Chain", I271="Accordion Screen"), _xlfn.XLOOKUP(C271, calc_rusacc!$C$15:$C$65, calc_rusacc!$BF$15:$BF$65, "",0), AND( F271="Sealant", I271="Accordion Screen"), _xlfn.XLOOKUP(C271, calc_rusacc!$C$15:$C$65, calc_rusacc!$BJ$15:$BJ$65, "",0),  F271="Sealant", _xlfn.XLOOKUP(C271, dd_accsrycalc!$A$2:$A$51, dd_accsrycalc!$G$2:$G$51, "",0),  F271&lt;&gt;"",L271*_xlfn.XLOOKUP(1, (SKUs!$C$2:$C$10001=G271)*(SKUs!$K$2:$K$10001=I271),SKUs!$E$2:$E$10001)), 0),"")</f>
        <v/>
      </c>
      <c r="E271" s="16" t="str">
        <f>_xlfn.XLOOKUP(F271,dd_item!$B$2:$B$105,dd_item!$C$2:$C$105,"",0)</f>
        <v/>
      </c>
      <c r="F271" s="16"/>
      <c r="G271" s="16" cm="1">
        <f t="array" ref="G271">IFERROR(_xlfn.XLOOKUP(1, (SKUs!$J$2:$J$10001=accsry_unmerged!F271)*IF(H271&lt;&gt;"",(SKUs!$L$2:$L$10001=accsry_unmerged!H271),1)*(SKUs!$K$2:$K$10001=I271),SKUs!$C$2:$C$10001),"")</f>
        <v>0</v>
      </c>
      <c r="H271" s="33" cm="1">
        <f t="array" ref="H271">IFERROR(_xlfn.XLOOKUP(1, (dd_accsryclr!$C$2:$C$1000=accsry_unmerged!F271)*(dd_accsryclr!$B$2:$B$1000=accsry_unmerged!J271),dd_accsryclr!$A$2:$A$1000),"")</f>
        <v>0</v>
      </c>
      <c r="I271" s="16">
        <f>_xlfn.XLOOKUP(C271,'Project Details'!$C$17:$C$66,'Project Details'!$E$17:$E$66,"",0)</f>
        <v>0</v>
      </c>
      <c r="J271" s="16">
        <f>_xlfn.XLOOKUP(C271,'Project Details'!$C$17:$C$66,'Project Details'!$H$17:$H$66,"",0)</f>
        <v>0</v>
      </c>
      <c r="K271" s="33" t="str">
        <f>IF(AND(_xlfn.XLOOKUP(C271,'Project Details'!$C$17:$C$66,'Project Details'!$L$17:$L$66,"",0)&gt;550, F271="Spring-L27cm"),"",SUBSTITUTE(_xlfn.XLOOKUP(G271,SKUs!$C$2:$C$10001,SKUs!$F$2:$F$10001,"",0), " Accessories",""))</f>
        <v/>
      </c>
      <c r="L271" s="33">
        <f>_xlfn.XLOOKUP(C271,'Project Details'!$C$17:$C$66,'Project Details'!$D$17:$D$66,"",0)</f>
        <v>0</v>
      </c>
      <c r="M271" s="43"/>
    </row>
    <row r="272" spans="1:13" x14ac:dyDescent="0.25">
      <c r="A272" s="43"/>
      <c r="B272" s="43"/>
      <c r="C272" s="35">
        <f t="shared" si="4"/>
        <v>6</v>
      </c>
      <c r="D272" s="35" t="str" cm="1">
        <f t="array" ref="D272">IFERROR(ROUNDUP(_xlfn.IFS(F272="Aluminum Track", _xlfn.XLOOKUP(C272, dd_accsrycalc!$A$2:$A$51, dd_accsrycalc!$B$2:$B$51, "",0), F272="10 x 2 1/2 S (Flat)", _xlfn.XLOOKUP(C272, dd_accsrycalc!$A$2:$A$51, dd_accsrycalc!$C$2:$C$51, "",0), F272="Tox6", _xlfn.XLOOKUP(C272, dd_accsrycalc!$A$2:$A$51, dd_accsrycalc!$D$2:$D$51, "",0), F272="Cover Cap", _xlfn.XLOOKUP(C272, dd_accsrycalc!$A$2:$A$51, dd_accsrycalc!$E$2:$E$51, "",0), F272="Drainage Cover", _xlfn.XLOOKUP(C272, dd_accsrycalc!$A$2:$A$51, dd_accsrycalc!$F$2:$F$51, "",0),AND( F272="Double Adhesive Tape", I272="Roll-up Screen"), _xlfn.XLOOKUP(C272, calc_rusacc!$C$15:$C$65, calc_rusacc!$AD$15:$AD$65, "",0),AND( F272="Sealant", I272="Roll-up Screen"), _xlfn.XLOOKUP(C272, calc_rusacc!$C$15:$C$65, calc_rusacc!$AF$15:$AF$65, "",0),  AND( F272="Main Chain", I272="Accordion Screen"), _xlfn.XLOOKUP(C272, calc_rusacc!$C$15:$C$65, calc_rusacc!$BF$15:$BF$65, "",0), AND( F272="Sealant", I272="Accordion Screen"), _xlfn.XLOOKUP(C272, calc_rusacc!$C$15:$C$65, calc_rusacc!$BJ$15:$BJ$65, "",0),  F272="Sealant", _xlfn.XLOOKUP(C272, dd_accsrycalc!$A$2:$A$51, dd_accsrycalc!$G$2:$G$51, "",0),  F272&lt;&gt;"",L272*_xlfn.XLOOKUP(1, (SKUs!$C$2:$C$10001=G272)*(SKUs!$K$2:$K$10001=I272),SKUs!$E$2:$E$10001)), 0),"")</f>
        <v/>
      </c>
      <c r="E272" s="35" t="str">
        <f>_xlfn.XLOOKUP(F272,dd_item!$B$2:$B$105,dd_item!$C$2:$C$105,"",0)</f>
        <v/>
      </c>
      <c r="F272" s="35"/>
      <c r="G272" s="35" cm="1">
        <f t="array" ref="G272">IFERROR(_xlfn.XLOOKUP(1, (SKUs!$J$2:$J$10001=accsry_unmerged!F272)*IF(H272&lt;&gt;"",(SKUs!$L$2:$L$10001=accsry_unmerged!H272),1)*(SKUs!$K$2:$K$10001=I272),SKUs!$C$2:$C$10001),"")</f>
        <v>0</v>
      </c>
      <c r="H272" s="36" cm="1">
        <f t="array" ref="H272">IFERROR(_xlfn.XLOOKUP(1, (dd_accsryclr!$C$2:$C$1000=accsry_unmerged!F272)*(dd_accsryclr!$B$2:$B$1000=accsry_unmerged!J272),dd_accsryclr!$A$2:$A$1000),"")</f>
        <v>0</v>
      </c>
      <c r="I272" s="35">
        <f>_xlfn.XLOOKUP(C272,'Project Details'!$C$17:$C$66,'Project Details'!$E$17:$E$66,"",0)</f>
        <v>0</v>
      </c>
      <c r="J272" s="35">
        <f>_xlfn.XLOOKUP(C272,'Project Details'!$C$17:$C$66,'Project Details'!$H$17:$H$66,"",0)</f>
        <v>0</v>
      </c>
      <c r="K272" s="36" t="str">
        <f>IF(AND(_xlfn.XLOOKUP(C272,'Project Details'!$C$17:$C$66,'Project Details'!$L$17:$L$66,"",0)&gt;550, F272="Spring-L27cm"),"",SUBSTITUTE(_xlfn.XLOOKUP(G272,SKUs!$C$2:$C$10001,SKUs!$F$2:$F$10001,"",0), " Accessories",""))</f>
        <v/>
      </c>
      <c r="L272" s="36">
        <f>_xlfn.XLOOKUP(C272,'Project Details'!$C$17:$C$66,'Project Details'!$D$17:$D$66,"",0)</f>
        <v>0</v>
      </c>
      <c r="M272" s="43"/>
    </row>
    <row r="273" spans="1:13" x14ac:dyDescent="0.25">
      <c r="A273" s="43"/>
      <c r="B273" s="43"/>
      <c r="C273" s="16">
        <f t="shared" si="4"/>
        <v>6</v>
      </c>
      <c r="D273" s="16" t="str" cm="1">
        <f t="array" ref="D273">IFERROR(ROUNDUP(_xlfn.IFS(F273="Aluminum Track", _xlfn.XLOOKUP(C273, dd_accsrycalc!$A$2:$A$51, dd_accsrycalc!$B$2:$B$51, "",0), F273="10 x 2 1/2 S (Flat)", _xlfn.XLOOKUP(C273, dd_accsrycalc!$A$2:$A$51, dd_accsrycalc!$C$2:$C$51, "",0), F273="Tox6", _xlfn.XLOOKUP(C273, dd_accsrycalc!$A$2:$A$51, dd_accsrycalc!$D$2:$D$51, "",0), F273="Cover Cap", _xlfn.XLOOKUP(C273, dd_accsrycalc!$A$2:$A$51, dd_accsrycalc!$E$2:$E$51, "",0), F273="Drainage Cover", _xlfn.XLOOKUP(C273, dd_accsrycalc!$A$2:$A$51, dd_accsrycalc!$F$2:$F$51, "",0),AND( F273="Double Adhesive Tape", I273="Roll-up Screen"), _xlfn.XLOOKUP(C273, calc_rusacc!$C$15:$C$65, calc_rusacc!$AD$15:$AD$65, "",0),AND( F273="Sealant", I273="Roll-up Screen"), _xlfn.XLOOKUP(C273, calc_rusacc!$C$15:$C$65, calc_rusacc!$AF$15:$AF$65, "",0),  AND( F273="Main Chain", I273="Accordion Screen"), _xlfn.XLOOKUP(C273, calc_rusacc!$C$15:$C$65, calc_rusacc!$BF$15:$BF$65, "",0), AND( F273="Sealant", I273="Accordion Screen"), _xlfn.XLOOKUP(C273, calc_rusacc!$C$15:$C$65, calc_rusacc!$BJ$15:$BJ$65, "",0),  F273="Sealant", _xlfn.XLOOKUP(C273, dd_accsrycalc!$A$2:$A$51, dd_accsrycalc!$G$2:$G$51, "",0),  F273&lt;&gt;"",L273*_xlfn.XLOOKUP(1, (SKUs!$C$2:$C$10001=G273)*(SKUs!$K$2:$K$10001=I273),SKUs!$E$2:$E$10001)), 0),"")</f>
        <v/>
      </c>
      <c r="E273" s="16" t="str">
        <f>_xlfn.XLOOKUP(F273,dd_item!$B$2:$B$105,dd_item!$C$2:$C$105,"",0)</f>
        <v/>
      </c>
      <c r="F273" s="16"/>
      <c r="G273" s="16" cm="1">
        <f t="array" ref="G273">IFERROR(_xlfn.XLOOKUP(1, (SKUs!$J$2:$J$10001=accsry_unmerged!F273)*IF(H273&lt;&gt;"",(SKUs!$L$2:$L$10001=accsry_unmerged!H273),1)*(SKUs!$K$2:$K$10001=I273),SKUs!$C$2:$C$10001),"")</f>
        <v>0</v>
      </c>
      <c r="H273" s="33" cm="1">
        <f t="array" ref="H273">IFERROR(_xlfn.XLOOKUP(1, (dd_accsryclr!$C$2:$C$1000=accsry_unmerged!F273)*(dd_accsryclr!$B$2:$B$1000=accsry_unmerged!J273),dd_accsryclr!$A$2:$A$1000),"")</f>
        <v>0</v>
      </c>
      <c r="I273" s="16">
        <f>_xlfn.XLOOKUP(C273,'Project Details'!$C$17:$C$66,'Project Details'!$E$17:$E$66,"",0)</f>
        <v>0</v>
      </c>
      <c r="J273" s="16">
        <f>_xlfn.XLOOKUP(C273,'Project Details'!$C$17:$C$66,'Project Details'!$H$17:$H$66,"",0)</f>
        <v>0</v>
      </c>
      <c r="K273" s="33" t="str">
        <f>IF(AND(_xlfn.XLOOKUP(C273,'Project Details'!$C$17:$C$66,'Project Details'!$L$17:$L$66,"",0)&gt;550, F273="Spring-L27cm"),"",SUBSTITUTE(_xlfn.XLOOKUP(G273,SKUs!$C$2:$C$10001,SKUs!$F$2:$F$10001,"",0), " Accessories",""))</f>
        <v/>
      </c>
      <c r="L273" s="33">
        <f>_xlfn.XLOOKUP(C273,'Project Details'!$C$17:$C$66,'Project Details'!$D$17:$D$66,"",0)</f>
        <v>0</v>
      </c>
      <c r="M273" s="43"/>
    </row>
    <row r="274" spans="1:13" x14ac:dyDescent="0.25">
      <c r="A274" s="43"/>
      <c r="B274" s="43"/>
      <c r="C274" s="35">
        <f t="shared" si="4"/>
        <v>6</v>
      </c>
      <c r="D274" s="35" t="str" cm="1">
        <f t="array" ref="D274">IFERROR(ROUNDUP(_xlfn.IFS(F274="Aluminum Track", _xlfn.XLOOKUP(C274, dd_accsrycalc!$A$2:$A$51, dd_accsrycalc!$B$2:$B$51, "",0), F274="10 x 2 1/2 S (Flat)", _xlfn.XLOOKUP(C274, dd_accsrycalc!$A$2:$A$51, dd_accsrycalc!$C$2:$C$51, "",0), F274="Tox6", _xlfn.XLOOKUP(C274, dd_accsrycalc!$A$2:$A$51, dd_accsrycalc!$D$2:$D$51, "",0), F274="Cover Cap", _xlfn.XLOOKUP(C274, dd_accsrycalc!$A$2:$A$51, dd_accsrycalc!$E$2:$E$51, "",0), F274="Drainage Cover", _xlfn.XLOOKUP(C274, dd_accsrycalc!$A$2:$A$51, dd_accsrycalc!$F$2:$F$51, "",0),AND( F274="Double Adhesive Tape", I274="Roll-up Screen"), _xlfn.XLOOKUP(C274, calc_rusacc!$C$15:$C$65, calc_rusacc!$AD$15:$AD$65, "",0),AND( F274="Sealant", I274="Roll-up Screen"), _xlfn.XLOOKUP(C274, calc_rusacc!$C$15:$C$65, calc_rusacc!$AF$15:$AF$65, "",0),  AND( F274="Main Chain", I274="Accordion Screen"), _xlfn.XLOOKUP(C274, calc_rusacc!$C$15:$C$65, calc_rusacc!$BF$15:$BF$65, "",0), AND( F274="Sealant", I274="Accordion Screen"), _xlfn.XLOOKUP(C274, calc_rusacc!$C$15:$C$65, calc_rusacc!$BJ$15:$BJ$65, "",0),  F274="Sealant", _xlfn.XLOOKUP(C274, dd_accsrycalc!$A$2:$A$51, dd_accsrycalc!$G$2:$G$51, "",0),  F274&lt;&gt;"",L274*_xlfn.XLOOKUP(1, (SKUs!$C$2:$C$10001=G274)*(SKUs!$K$2:$K$10001=I274),SKUs!$E$2:$E$10001)), 0),"")</f>
        <v/>
      </c>
      <c r="E274" s="35" t="str">
        <f>_xlfn.XLOOKUP(F274,dd_item!$B$2:$B$105,dd_item!$C$2:$C$105,"",0)</f>
        <v/>
      </c>
      <c r="F274" s="35"/>
      <c r="G274" s="35" cm="1">
        <f t="array" ref="G274">IFERROR(_xlfn.XLOOKUP(1, (SKUs!$J$2:$J$10001=accsry_unmerged!F274)*IF(H274&lt;&gt;"",(SKUs!$L$2:$L$10001=accsry_unmerged!H274),1)*(SKUs!$K$2:$K$10001=I274),SKUs!$C$2:$C$10001),"")</f>
        <v>0</v>
      </c>
      <c r="H274" s="36" cm="1">
        <f t="array" ref="H274">IFERROR(_xlfn.XLOOKUP(1, (dd_accsryclr!$C$2:$C$1000=accsry_unmerged!F274)*(dd_accsryclr!$B$2:$B$1000=accsry_unmerged!J274),dd_accsryclr!$A$2:$A$1000),"")</f>
        <v>0</v>
      </c>
      <c r="I274" s="35">
        <f>_xlfn.XLOOKUP(C274,'Project Details'!$C$17:$C$66,'Project Details'!$E$17:$E$66,"",0)</f>
        <v>0</v>
      </c>
      <c r="J274" s="35">
        <f>_xlfn.XLOOKUP(C274,'Project Details'!$C$17:$C$66,'Project Details'!$H$17:$H$66,"",0)</f>
        <v>0</v>
      </c>
      <c r="K274" s="36" t="str">
        <f>IF(AND(_xlfn.XLOOKUP(C274,'Project Details'!$C$17:$C$66,'Project Details'!$L$17:$L$66,"",0)&gt;550, F274="Spring-L27cm"),"",SUBSTITUTE(_xlfn.XLOOKUP(G274,SKUs!$C$2:$C$10001,SKUs!$F$2:$F$10001,"",0), " Accessories",""))</f>
        <v/>
      </c>
      <c r="L274" s="36">
        <f>_xlfn.XLOOKUP(C274,'Project Details'!$C$17:$C$66,'Project Details'!$D$17:$D$66,"",0)</f>
        <v>0</v>
      </c>
      <c r="M274" s="43"/>
    </row>
    <row r="275" spans="1:13" x14ac:dyDescent="0.25">
      <c r="A275" s="43"/>
      <c r="B275" s="43"/>
      <c r="C275" s="16">
        <f t="shared" si="4"/>
        <v>6</v>
      </c>
      <c r="D275" s="16" t="str" cm="1">
        <f t="array" ref="D275">IFERROR(ROUNDUP(_xlfn.IFS(F275="Aluminum Track", _xlfn.XLOOKUP(C275, dd_accsrycalc!$A$2:$A$51, dd_accsrycalc!$B$2:$B$51, "",0), F275="10 x 2 1/2 S (Flat)", _xlfn.XLOOKUP(C275, dd_accsrycalc!$A$2:$A$51, dd_accsrycalc!$C$2:$C$51, "",0), F275="Tox6", _xlfn.XLOOKUP(C275, dd_accsrycalc!$A$2:$A$51, dd_accsrycalc!$D$2:$D$51, "",0), F275="Cover Cap", _xlfn.XLOOKUP(C275, dd_accsrycalc!$A$2:$A$51, dd_accsrycalc!$E$2:$E$51, "",0), F275="Drainage Cover", _xlfn.XLOOKUP(C275, dd_accsrycalc!$A$2:$A$51, dd_accsrycalc!$F$2:$F$51, "",0),AND( F275="Double Adhesive Tape", I275="Roll-up Screen"), _xlfn.XLOOKUP(C275, calc_rusacc!$C$15:$C$65, calc_rusacc!$AD$15:$AD$65, "",0),AND( F275="Sealant", I275="Roll-up Screen"), _xlfn.XLOOKUP(C275, calc_rusacc!$C$15:$C$65, calc_rusacc!$AF$15:$AF$65, "",0),  AND( F275="Main Chain", I275="Accordion Screen"), _xlfn.XLOOKUP(C275, calc_rusacc!$C$15:$C$65, calc_rusacc!$BF$15:$BF$65, "",0), AND( F275="Sealant", I275="Accordion Screen"), _xlfn.XLOOKUP(C275, calc_rusacc!$C$15:$C$65, calc_rusacc!$BJ$15:$BJ$65, "",0),  F275="Sealant", _xlfn.XLOOKUP(C275, dd_accsrycalc!$A$2:$A$51, dd_accsrycalc!$G$2:$G$51, "",0),  F275&lt;&gt;"",L275*_xlfn.XLOOKUP(1, (SKUs!$C$2:$C$10001=G275)*(SKUs!$K$2:$K$10001=I275),SKUs!$E$2:$E$10001)), 0),"")</f>
        <v/>
      </c>
      <c r="E275" s="16" t="str">
        <f>_xlfn.XLOOKUP(F275,dd_item!$B$2:$B$105,dd_item!$C$2:$C$105,"",0)</f>
        <v/>
      </c>
      <c r="F275" s="16"/>
      <c r="G275" s="16" cm="1">
        <f t="array" ref="G275">IFERROR(_xlfn.XLOOKUP(1, (SKUs!$J$2:$J$10001=accsry_unmerged!F275)*IF(H275&lt;&gt;"",(SKUs!$L$2:$L$10001=accsry_unmerged!H275),1)*(SKUs!$K$2:$K$10001=I275),SKUs!$C$2:$C$10001),"")</f>
        <v>0</v>
      </c>
      <c r="H275" s="33" cm="1">
        <f t="array" ref="H275">IFERROR(_xlfn.XLOOKUP(1, (dd_accsryclr!$C$2:$C$1000=accsry_unmerged!F275)*(dd_accsryclr!$B$2:$B$1000=accsry_unmerged!J275),dd_accsryclr!$A$2:$A$1000),"")</f>
        <v>0</v>
      </c>
      <c r="I275" s="16">
        <f>_xlfn.XLOOKUP(C275,'Project Details'!$C$17:$C$66,'Project Details'!$E$17:$E$66,"",0)</f>
        <v>0</v>
      </c>
      <c r="J275" s="16">
        <f>_xlfn.XLOOKUP(C275,'Project Details'!$C$17:$C$66,'Project Details'!$H$17:$H$66,"",0)</f>
        <v>0</v>
      </c>
      <c r="K275" s="33" t="str">
        <f>IF(AND(_xlfn.XLOOKUP(C275,'Project Details'!$C$17:$C$66,'Project Details'!$L$17:$L$66,"",0)&gt;550, F275="Spring-L27cm"),"",SUBSTITUTE(_xlfn.XLOOKUP(G275,SKUs!$C$2:$C$10001,SKUs!$F$2:$F$10001,"",0), " Accessories",""))</f>
        <v/>
      </c>
      <c r="L275" s="33">
        <f>_xlfn.XLOOKUP(C275,'Project Details'!$C$17:$C$66,'Project Details'!$D$17:$D$66,"",0)</f>
        <v>0</v>
      </c>
      <c r="M275" s="43"/>
    </row>
    <row r="276" spans="1:13" x14ac:dyDescent="0.25">
      <c r="A276" s="43"/>
      <c r="B276" s="43"/>
      <c r="C276" s="35">
        <f t="shared" si="4"/>
        <v>6</v>
      </c>
      <c r="D276" s="35" t="str" cm="1">
        <f t="array" ref="D276">IFERROR(ROUNDUP(_xlfn.IFS(F276="Aluminum Track", _xlfn.XLOOKUP(C276, dd_accsrycalc!$A$2:$A$51, dd_accsrycalc!$B$2:$B$51, "",0), F276="10 x 2 1/2 S (Flat)", _xlfn.XLOOKUP(C276, dd_accsrycalc!$A$2:$A$51, dd_accsrycalc!$C$2:$C$51, "",0), F276="Tox6", _xlfn.XLOOKUP(C276, dd_accsrycalc!$A$2:$A$51, dd_accsrycalc!$D$2:$D$51, "",0), F276="Cover Cap", _xlfn.XLOOKUP(C276, dd_accsrycalc!$A$2:$A$51, dd_accsrycalc!$E$2:$E$51, "",0), F276="Drainage Cover", _xlfn.XLOOKUP(C276, dd_accsrycalc!$A$2:$A$51, dd_accsrycalc!$F$2:$F$51, "",0),AND( F276="Double Adhesive Tape", I276="Roll-up Screen"), _xlfn.XLOOKUP(C276, calc_rusacc!$C$15:$C$65, calc_rusacc!$AD$15:$AD$65, "",0),AND( F276="Sealant", I276="Roll-up Screen"), _xlfn.XLOOKUP(C276, calc_rusacc!$C$15:$C$65, calc_rusacc!$AF$15:$AF$65, "",0),  AND( F276="Main Chain", I276="Accordion Screen"), _xlfn.XLOOKUP(C276, calc_rusacc!$C$15:$C$65, calc_rusacc!$BF$15:$BF$65, "",0), AND( F276="Sealant", I276="Accordion Screen"), _xlfn.XLOOKUP(C276, calc_rusacc!$C$15:$C$65, calc_rusacc!$BJ$15:$BJ$65, "",0),  F276="Sealant", _xlfn.XLOOKUP(C276, dd_accsrycalc!$A$2:$A$51, dd_accsrycalc!$G$2:$G$51, "",0),  F276&lt;&gt;"",L276*_xlfn.XLOOKUP(1, (SKUs!$C$2:$C$10001=G276)*(SKUs!$K$2:$K$10001=I276),SKUs!$E$2:$E$10001)), 0),"")</f>
        <v/>
      </c>
      <c r="E276" s="35" t="str">
        <f>_xlfn.XLOOKUP(F276,dd_item!$B$2:$B$105,dd_item!$C$2:$C$105,"",0)</f>
        <v/>
      </c>
      <c r="F276" s="35"/>
      <c r="G276" s="35" cm="1">
        <f t="array" ref="G276">IFERROR(_xlfn.XLOOKUP(1, (SKUs!$J$2:$J$10001=accsry_unmerged!F276)*IF(H276&lt;&gt;"",(SKUs!$L$2:$L$10001=accsry_unmerged!H276),1)*(SKUs!$K$2:$K$10001=I276),SKUs!$C$2:$C$10001),"")</f>
        <v>0</v>
      </c>
      <c r="H276" s="36" cm="1">
        <f t="array" ref="H276">IFERROR(_xlfn.XLOOKUP(1, (dd_accsryclr!$C$2:$C$1000=accsry_unmerged!F276)*(dd_accsryclr!$B$2:$B$1000=accsry_unmerged!J276),dd_accsryclr!$A$2:$A$1000),"")</f>
        <v>0</v>
      </c>
      <c r="I276" s="35">
        <f>_xlfn.XLOOKUP(C276,'Project Details'!$C$17:$C$66,'Project Details'!$E$17:$E$66,"",0)</f>
        <v>0</v>
      </c>
      <c r="J276" s="35">
        <f>_xlfn.XLOOKUP(C276,'Project Details'!$C$17:$C$66,'Project Details'!$H$17:$H$66,"",0)</f>
        <v>0</v>
      </c>
      <c r="K276" s="36" t="str">
        <f>IF(AND(_xlfn.XLOOKUP(C276,'Project Details'!$C$17:$C$66,'Project Details'!$L$17:$L$66,"",0)&gt;550, F276="Spring-L27cm"),"",SUBSTITUTE(_xlfn.XLOOKUP(G276,SKUs!$C$2:$C$10001,SKUs!$F$2:$F$10001,"",0), " Accessories",""))</f>
        <v/>
      </c>
      <c r="L276" s="36">
        <f>_xlfn.XLOOKUP(C276,'Project Details'!$C$17:$C$66,'Project Details'!$D$17:$D$66,"",0)</f>
        <v>0</v>
      </c>
      <c r="M276" s="43"/>
    </row>
    <row r="277" spans="1:13" x14ac:dyDescent="0.25">
      <c r="A277" s="43"/>
      <c r="B277" s="43"/>
      <c r="C277" s="16">
        <f t="shared" si="4"/>
        <v>6</v>
      </c>
      <c r="D277" s="16" t="str" cm="1">
        <f t="array" ref="D277">IFERROR(ROUNDUP(_xlfn.IFS(F277="Aluminum Track", _xlfn.XLOOKUP(C277, dd_accsrycalc!$A$2:$A$51, dd_accsrycalc!$B$2:$B$51, "",0), F277="10 x 2 1/2 S (Flat)", _xlfn.XLOOKUP(C277, dd_accsrycalc!$A$2:$A$51, dd_accsrycalc!$C$2:$C$51, "",0), F277="Tox6", _xlfn.XLOOKUP(C277, dd_accsrycalc!$A$2:$A$51, dd_accsrycalc!$D$2:$D$51, "",0), F277="Cover Cap", _xlfn.XLOOKUP(C277, dd_accsrycalc!$A$2:$A$51, dd_accsrycalc!$E$2:$E$51, "",0), F277="Drainage Cover", _xlfn.XLOOKUP(C277, dd_accsrycalc!$A$2:$A$51, dd_accsrycalc!$F$2:$F$51, "",0),AND( F277="Double Adhesive Tape", I277="Roll-up Screen"), _xlfn.XLOOKUP(C277, calc_rusacc!$C$15:$C$65, calc_rusacc!$AD$15:$AD$65, "",0),AND( F277="Sealant", I277="Roll-up Screen"), _xlfn.XLOOKUP(C277, calc_rusacc!$C$15:$C$65, calc_rusacc!$AF$15:$AF$65, "",0),  AND( F277="Main Chain", I277="Accordion Screen"), _xlfn.XLOOKUP(C277, calc_rusacc!$C$15:$C$65, calc_rusacc!$BF$15:$BF$65, "",0), AND( F277="Sealant", I277="Accordion Screen"), _xlfn.XLOOKUP(C277, calc_rusacc!$C$15:$C$65, calc_rusacc!$BJ$15:$BJ$65, "",0),  F277="Sealant", _xlfn.XLOOKUP(C277, dd_accsrycalc!$A$2:$A$51, dd_accsrycalc!$G$2:$G$51, "",0),  F277&lt;&gt;"",L277*_xlfn.XLOOKUP(1, (SKUs!$C$2:$C$10001=G277)*(SKUs!$K$2:$K$10001=I277),SKUs!$E$2:$E$10001)), 0),"")</f>
        <v/>
      </c>
      <c r="E277" s="16" t="str">
        <f>_xlfn.XLOOKUP(F277,dd_item!$B$2:$B$105,dd_item!$C$2:$C$105,"",0)</f>
        <v/>
      </c>
      <c r="F277" s="16"/>
      <c r="G277" s="16" cm="1">
        <f t="array" ref="G277">IFERROR(_xlfn.XLOOKUP(1, (SKUs!$J$2:$J$10001=accsry_unmerged!F277)*IF(H277&lt;&gt;"",(SKUs!$L$2:$L$10001=accsry_unmerged!H277),1)*(SKUs!$K$2:$K$10001=I277),SKUs!$C$2:$C$10001),"")</f>
        <v>0</v>
      </c>
      <c r="H277" s="33" cm="1">
        <f t="array" ref="H277">IFERROR(_xlfn.XLOOKUP(1, (dd_accsryclr!$C$2:$C$1000=accsry_unmerged!F277)*(dd_accsryclr!$B$2:$B$1000=accsry_unmerged!J277),dd_accsryclr!$A$2:$A$1000),"")</f>
        <v>0</v>
      </c>
      <c r="I277" s="16">
        <f>_xlfn.XLOOKUP(C277,'Project Details'!$C$17:$C$66,'Project Details'!$E$17:$E$66,"",0)</f>
        <v>0</v>
      </c>
      <c r="J277" s="16">
        <f>_xlfn.XLOOKUP(C277,'Project Details'!$C$17:$C$66,'Project Details'!$H$17:$H$66,"",0)</f>
        <v>0</v>
      </c>
      <c r="K277" s="33" t="str">
        <f>IF(AND(_xlfn.XLOOKUP(C277,'Project Details'!$C$17:$C$66,'Project Details'!$L$17:$L$66,"",0)&gt;550, F277="Spring-L27cm"),"",SUBSTITUTE(_xlfn.XLOOKUP(G277,SKUs!$C$2:$C$10001,SKUs!$F$2:$F$10001,"",0), " Accessories",""))</f>
        <v/>
      </c>
      <c r="L277" s="33">
        <f>_xlfn.XLOOKUP(C277,'Project Details'!$C$17:$C$66,'Project Details'!$D$17:$D$66,"",0)</f>
        <v>0</v>
      </c>
      <c r="M277" s="43"/>
    </row>
    <row r="278" spans="1:13" x14ac:dyDescent="0.25">
      <c r="A278" s="43"/>
      <c r="B278" s="43"/>
      <c r="C278" s="35">
        <f t="shared" si="4"/>
        <v>6</v>
      </c>
      <c r="D278" s="35" t="str" cm="1">
        <f t="array" ref="D278">IFERROR(ROUNDUP(_xlfn.IFS(F278="Aluminum Track", _xlfn.XLOOKUP(C278, dd_accsrycalc!$A$2:$A$51, dd_accsrycalc!$B$2:$B$51, "",0), F278="10 x 2 1/2 S (Flat)", _xlfn.XLOOKUP(C278, dd_accsrycalc!$A$2:$A$51, dd_accsrycalc!$C$2:$C$51, "",0), F278="Tox6", _xlfn.XLOOKUP(C278, dd_accsrycalc!$A$2:$A$51, dd_accsrycalc!$D$2:$D$51, "",0), F278="Cover Cap", _xlfn.XLOOKUP(C278, dd_accsrycalc!$A$2:$A$51, dd_accsrycalc!$E$2:$E$51, "",0), F278="Drainage Cover", _xlfn.XLOOKUP(C278, dd_accsrycalc!$A$2:$A$51, dd_accsrycalc!$F$2:$F$51, "",0),AND( F278="Double Adhesive Tape", I278="Roll-up Screen"), _xlfn.XLOOKUP(C278, calc_rusacc!$C$15:$C$65, calc_rusacc!$AD$15:$AD$65, "",0),AND( F278="Sealant", I278="Roll-up Screen"), _xlfn.XLOOKUP(C278, calc_rusacc!$C$15:$C$65, calc_rusacc!$AF$15:$AF$65, "",0),  AND( F278="Main Chain", I278="Accordion Screen"), _xlfn.XLOOKUP(C278, calc_rusacc!$C$15:$C$65, calc_rusacc!$BF$15:$BF$65, "",0), AND( F278="Sealant", I278="Accordion Screen"), _xlfn.XLOOKUP(C278, calc_rusacc!$C$15:$C$65, calc_rusacc!$BJ$15:$BJ$65, "",0),  F278="Sealant", _xlfn.XLOOKUP(C278, dd_accsrycalc!$A$2:$A$51, dd_accsrycalc!$G$2:$G$51, "",0),  F278&lt;&gt;"",L278*_xlfn.XLOOKUP(1, (SKUs!$C$2:$C$10001=G278)*(SKUs!$K$2:$K$10001=I278),SKUs!$E$2:$E$10001)), 0),"")</f>
        <v/>
      </c>
      <c r="E278" s="35" t="str">
        <f>_xlfn.XLOOKUP(F278,dd_item!$B$2:$B$105,dd_item!$C$2:$C$105,"",0)</f>
        <v/>
      </c>
      <c r="F278" s="35"/>
      <c r="G278" s="35" cm="1">
        <f t="array" ref="G278">IFERROR(_xlfn.XLOOKUP(1, (SKUs!$J$2:$J$10001=accsry_unmerged!F278)*IF(H278&lt;&gt;"",(SKUs!$L$2:$L$10001=accsry_unmerged!H278),1)*(SKUs!$K$2:$K$10001=I278),SKUs!$C$2:$C$10001),"")</f>
        <v>0</v>
      </c>
      <c r="H278" s="36" cm="1">
        <f t="array" ref="H278">IFERROR(_xlfn.XLOOKUP(1, (dd_accsryclr!$C$2:$C$1000=accsry_unmerged!F278)*(dd_accsryclr!$B$2:$B$1000=accsry_unmerged!J278),dd_accsryclr!$A$2:$A$1000),"")</f>
        <v>0</v>
      </c>
      <c r="I278" s="35">
        <f>_xlfn.XLOOKUP(C278,'Project Details'!$C$17:$C$66,'Project Details'!$E$17:$E$66,"",0)</f>
        <v>0</v>
      </c>
      <c r="J278" s="35">
        <f>_xlfn.XLOOKUP(C278,'Project Details'!$C$17:$C$66,'Project Details'!$H$17:$H$66,"",0)</f>
        <v>0</v>
      </c>
      <c r="K278" s="36" t="str">
        <f>IF(AND(_xlfn.XLOOKUP(C278,'Project Details'!$C$17:$C$66,'Project Details'!$L$17:$L$66,"",0)&gt;550, F278="Spring-L27cm"),"",SUBSTITUTE(_xlfn.XLOOKUP(G278,SKUs!$C$2:$C$10001,SKUs!$F$2:$F$10001,"",0), " Accessories",""))</f>
        <v/>
      </c>
      <c r="L278" s="36">
        <f>_xlfn.XLOOKUP(C278,'Project Details'!$C$17:$C$66,'Project Details'!$D$17:$D$66,"",0)</f>
        <v>0</v>
      </c>
      <c r="M278" s="43"/>
    </row>
    <row r="279" spans="1:13" x14ac:dyDescent="0.25">
      <c r="A279" s="43"/>
      <c r="B279" s="43"/>
      <c r="C279" s="16">
        <f t="shared" si="4"/>
        <v>6</v>
      </c>
      <c r="D279" s="16" t="str" cm="1">
        <f t="array" ref="D279">IFERROR(ROUNDUP(_xlfn.IFS(F279="Aluminum Track", _xlfn.XLOOKUP(C279, dd_accsrycalc!$A$2:$A$51, dd_accsrycalc!$B$2:$B$51, "",0), F279="10 x 2 1/2 S (Flat)", _xlfn.XLOOKUP(C279, dd_accsrycalc!$A$2:$A$51, dd_accsrycalc!$C$2:$C$51, "",0), F279="Tox6", _xlfn.XLOOKUP(C279, dd_accsrycalc!$A$2:$A$51, dd_accsrycalc!$D$2:$D$51, "",0), F279="Cover Cap", _xlfn.XLOOKUP(C279, dd_accsrycalc!$A$2:$A$51, dd_accsrycalc!$E$2:$E$51, "",0), F279="Drainage Cover", _xlfn.XLOOKUP(C279, dd_accsrycalc!$A$2:$A$51, dd_accsrycalc!$F$2:$F$51, "",0),AND( F279="Double Adhesive Tape", I279="Roll-up Screen"), _xlfn.XLOOKUP(C279, calc_rusacc!$C$15:$C$65, calc_rusacc!$AD$15:$AD$65, "",0),AND( F279="Sealant", I279="Roll-up Screen"), _xlfn.XLOOKUP(C279, calc_rusacc!$C$15:$C$65, calc_rusacc!$AF$15:$AF$65, "",0),  AND( F279="Main Chain", I279="Accordion Screen"), _xlfn.XLOOKUP(C279, calc_rusacc!$C$15:$C$65, calc_rusacc!$BF$15:$BF$65, "",0), AND( F279="Sealant", I279="Accordion Screen"), _xlfn.XLOOKUP(C279, calc_rusacc!$C$15:$C$65, calc_rusacc!$BJ$15:$BJ$65, "",0),  F279="Sealant", _xlfn.XLOOKUP(C279, dd_accsrycalc!$A$2:$A$51, dd_accsrycalc!$G$2:$G$51, "",0),  F279&lt;&gt;"",L279*_xlfn.XLOOKUP(1, (SKUs!$C$2:$C$10001=G279)*(SKUs!$K$2:$K$10001=I279),SKUs!$E$2:$E$10001)), 0),"")</f>
        <v/>
      </c>
      <c r="E279" s="16" t="str">
        <f>_xlfn.XLOOKUP(F279,dd_item!$B$2:$B$105,dd_item!$C$2:$C$105,"",0)</f>
        <v/>
      </c>
      <c r="F279" s="16"/>
      <c r="G279" s="16" cm="1">
        <f t="array" ref="G279">IFERROR(_xlfn.XLOOKUP(1, (SKUs!$J$2:$J$10001=accsry_unmerged!F279)*IF(H279&lt;&gt;"",(SKUs!$L$2:$L$10001=accsry_unmerged!H279),1)*(SKUs!$K$2:$K$10001=I279),SKUs!$C$2:$C$10001),"")</f>
        <v>0</v>
      </c>
      <c r="H279" s="33" cm="1">
        <f t="array" ref="H279">IFERROR(_xlfn.XLOOKUP(1, (dd_accsryclr!$C$2:$C$1000=accsry_unmerged!F279)*(dd_accsryclr!$B$2:$B$1000=accsry_unmerged!J279),dd_accsryclr!$A$2:$A$1000),"")</f>
        <v>0</v>
      </c>
      <c r="I279" s="16">
        <f>_xlfn.XLOOKUP(C279,'Project Details'!$C$17:$C$66,'Project Details'!$E$17:$E$66,"",0)</f>
        <v>0</v>
      </c>
      <c r="J279" s="16">
        <f>_xlfn.XLOOKUP(C279,'Project Details'!$C$17:$C$66,'Project Details'!$H$17:$H$66,"",0)</f>
        <v>0</v>
      </c>
      <c r="K279" s="33" t="str">
        <f>IF(AND(_xlfn.XLOOKUP(C279,'Project Details'!$C$17:$C$66,'Project Details'!$L$17:$L$66,"",0)&gt;550, F279="Spring-L27cm"),"",SUBSTITUTE(_xlfn.XLOOKUP(G279,SKUs!$C$2:$C$10001,SKUs!$F$2:$F$10001,"",0), " Accessories",""))</f>
        <v/>
      </c>
      <c r="L279" s="33">
        <f>_xlfn.XLOOKUP(C279,'Project Details'!$C$17:$C$66,'Project Details'!$D$17:$D$66,"",0)</f>
        <v>0</v>
      </c>
      <c r="M279" s="43"/>
    </row>
    <row r="280" spans="1:13" x14ac:dyDescent="0.25">
      <c r="A280" s="43"/>
      <c r="B280" s="43"/>
      <c r="C280" s="35">
        <f t="shared" si="4"/>
        <v>6</v>
      </c>
      <c r="D280" s="35" t="str" cm="1">
        <f t="array" ref="D280">IFERROR(ROUNDUP(_xlfn.IFS(F280="Aluminum Track", _xlfn.XLOOKUP(C280, dd_accsrycalc!$A$2:$A$51, dd_accsrycalc!$B$2:$B$51, "",0), F280="10 x 2 1/2 S (Flat)", _xlfn.XLOOKUP(C280, dd_accsrycalc!$A$2:$A$51, dd_accsrycalc!$C$2:$C$51, "",0), F280="Tox6", _xlfn.XLOOKUP(C280, dd_accsrycalc!$A$2:$A$51, dd_accsrycalc!$D$2:$D$51, "",0), F280="Cover Cap", _xlfn.XLOOKUP(C280, dd_accsrycalc!$A$2:$A$51, dd_accsrycalc!$E$2:$E$51, "",0), F280="Drainage Cover", _xlfn.XLOOKUP(C280, dd_accsrycalc!$A$2:$A$51, dd_accsrycalc!$F$2:$F$51, "",0),AND( F280="Double Adhesive Tape", I280="Roll-up Screen"), _xlfn.XLOOKUP(C280, calc_rusacc!$C$15:$C$65, calc_rusacc!$AD$15:$AD$65, "",0),AND( F280="Sealant", I280="Roll-up Screen"), _xlfn.XLOOKUP(C280, calc_rusacc!$C$15:$C$65, calc_rusacc!$AF$15:$AF$65, "",0),  AND( F280="Main Chain", I280="Accordion Screen"), _xlfn.XLOOKUP(C280, calc_rusacc!$C$15:$C$65, calc_rusacc!$BF$15:$BF$65, "",0), AND( F280="Sealant", I280="Accordion Screen"), _xlfn.XLOOKUP(C280, calc_rusacc!$C$15:$C$65, calc_rusacc!$BJ$15:$BJ$65, "",0),  F280="Sealant", _xlfn.XLOOKUP(C280, dd_accsrycalc!$A$2:$A$51, dd_accsrycalc!$G$2:$G$51, "",0),  F280&lt;&gt;"",L280*_xlfn.XLOOKUP(1, (SKUs!$C$2:$C$10001=G280)*(SKUs!$K$2:$K$10001=I280),SKUs!$E$2:$E$10001)), 0),"")</f>
        <v/>
      </c>
      <c r="E280" s="35" t="str">
        <f>_xlfn.XLOOKUP(F280,dd_item!$B$2:$B$105,dd_item!$C$2:$C$105,"",0)</f>
        <v/>
      </c>
      <c r="F280" s="35"/>
      <c r="G280" s="35" cm="1">
        <f t="array" ref="G280">IFERROR(_xlfn.XLOOKUP(1, (SKUs!$J$2:$J$10001=accsry_unmerged!F280)*IF(H280&lt;&gt;"",(SKUs!$L$2:$L$10001=accsry_unmerged!H280),1)*(SKUs!$K$2:$K$10001=I280),SKUs!$C$2:$C$10001),"")</f>
        <v>0</v>
      </c>
      <c r="H280" s="36" cm="1">
        <f t="array" ref="H280">IFERROR(_xlfn.XLOOKUP(1, (dd_accsryclr!$C$2:$C$1000=accsry_unmerged!F280)*(dd_accsryclr!$B$2:$B$1000=accsry_unmerged!J280),dd_accsryclr!$A$2:$A$1000),"")</f>
        <v>0</v>
      </c>
      <c r="I280" s="35">
        <f>_xlfn.XLOOKUP(C280,'Project Details'!$C$17:$C$66,'Project Details'!$E$17:$E$66,"",0)</f>
        <v>0</v>
      </c>
      <c r="J280" s="35">
        <f>_xlfn.XLOOKUP(C280,'Project Details'!$C$17:$C$66,'Project Details'!$H$17:$H$66,"",0)</f>
        <v>0</v>
      </c>
      <c r="K280" s="36" t="str">
        <f>IF(AND(_xlfn.XLOOKUP(C280,'Project Details'!$C$17:$C$66,'Project Details'!$L$17:$L$66,"",0)&gt;550, F280="Spring-L27cm"),"",SUBSTITUTE(_xlfn.XLOOKUP(G280,SKUs!$C$2:$C$10001,SKUs!$F$2:$F$10001,"",0), " Accessories",""))</f>
        <v/>
      </c>
      <c r="L280" s="36">
        <f>_xlfn.XLOOKUP(C280,'Project Details'!$C$17:$C$66,'Project Details'!$D$17:$D$66,"",0)</f>
        <v>0</v>
      </c>
      <c r="M280" s="43"/>
    </row>
    <row r="281" spans="1:13" x14ac:dyDescent="0.25">
      <c r="A281" s="43"/>
      <c r="B281" s="43"/>
      <c r="C281" s="16">
        <f t="shared" si="4"/>
        <v>6</v>
      </c>
      <c r="D281" s="16" t="str" cm="1">
        <f t="array" ref="D281">IFERROR(ROUNDUP(_xlfn.IFS(F281="Aluminum Track", _xlfn.XLOOKUP(C281, dd_accsrycalc!$A$2:$A$51, dd_accsrycalc!$B$2:$B$51, "",0), F281="10 x 2 1/2 S (Flat)", _xlfn.XLOOKUP(C281, dd_accsrycalc!$A$2:$A$51, dd_accsrycalc!$C$2:$C$51, "",0), F281="Tox6", _xlfn.XLOOKUP(C281, dd_accsrycalc!$A$2:$A$51, dd_accsrycalc!$D$2:$D$51, "",0), F281="Cover Cap", _xlfn.XLOOKUP(C281, dd_accsrycalc!$A$2:$A$51, dd_accsrycalc!$E$2:$E$51, "",0), F281="Drainage Cover", _xlfn.XLOOKUP(C281, dd_accsrycalc!$A$2:$A$51, dd_accsrycalc!$F$2:$F$51, "",0),AND( F281="Double Adhesive Tape", I281="Roll-up Screen"), _xlfn.XLOOKUP(C281, calc_rusacc!$C$15:$C$65, calc_rusacc!$AD$15:$AD$65, "",0),AND( F281="Sealant", I281="Roll-up Screen"), _xlfn.XLOOKUP(C281, calc_rusacc!$C$15:$C$65, calc_rusacc!$AF$15:$AF$65, "",0),  AND( F281="Main Chain", I281="Accordion Screen"), _xlfn.XLOOKUP(C281, calc_rusacc!$C$15:$C$65, calc_rusacc!$BF$15:$BF$65, "",0), AND( F281="Sealant", I281="Accordion Screen"), _xlfn.XLOOKUP(C281, calc_rusacc!$C$15:$C$65, calc_rusacc!$BJ$15:$BJ$65, "",0),  F281="Sealant", _xlfn.XLOOKUP(C281, dd_accsrycalc!$A$2:$A$51, dd_accsrycalc!$G$2:$G$51, "",0),  F281&lt;&gt;"",L281*_xlfn.XLOOKUP(1, (SKUs!$C$2:$C$10001=G281)*(SKUs!$K$2:$K$10001=I281),SKUs!$E$2:$E$10001)), 0),"")</f>
        <v/>
      </c>
      <c r="E281" s="16" t="str">
        <f>_xlfn.XLOOKUP(F281,dd_item!$B$2:$B$105,dd_item!$C$2:$C$105,"",0)</f>
        <v/>
      </c>
      <c r="F281" s="16"/>
      <c r="G281" s="16" cm="1">
        <f t="array" ref="G281">IFERROR(_xlfn.XLOOKUP(1, (SKUs!$J$2:$J$10001=accsry_unmerged!F281)*IF(H281&lt;&gt;"",(SKUs!$L$2:$L$10001=accsry_unmerged!H281),1)*(SKUs!$K$2:$K$10001=I281),SKUs!$C$2:$C$10001),"")</f>
        <v>0</v>
      </c>
      <c r="H281" s="33" cm="1">
        <f t="array" ref="H281">IFERROR(_xlfn.XLOOKUP(1, (dd_accsryclr!$C$2:$C$1000=accsry_unmerged!F281)*(dd_accsryclr!$B$2:$B$1000=accsry_unmerged!J281),dd_accsryclr!$A$2:$A$1000),"")</f>
        <v>0</v>
      </c>
      <c r="I281" s="16">
        <f>_xlfn.XLOOKUP(C281,'Project Details'!$C$17:$C$66,'Project Details'!$E$17:$E$66,"",0)</f>
        <v>0</v>
      </c>
      <c r="J281" s="16">
        <f>_xlfn.XLOOKUP(C281,'Project Details'!$C$17:$C$66,'Project Details'!$H$17:$H$66,"",0)</f>
        <v>0</v>
      </c>
      <c r="K281" s="33" t="str">
        <f>IF(AND(_xlfn.XLOOKUP(C281,'Project Details'!$C$17:$C$66,'Project Details'!$L$17:$L$66,"",0)&gt;550, F281="Spring-L27cm"),"",SUBSTITUTE(_xlfn.XLOOKUP(G281,SKUs!$C$2:$C$10001,SKUs!$F$2:$F$10001,"",0), " Accessories",""))</f>
        <v/>
      </c>
      <c r="L281" s="33">
        <f>_xlfn.XLOOKUP(C281,'Project Details'!$C$17:$C$66,'Project Details'!$D$17:$D$66,"",0)</f>
        <v>0</v>
      </c>
      <c r="M281" s="43"/>
    </row>
    <row r="282" spans="1:13" x14ac:dyDescent="0.25">
      <c r="A282" s="43"/>
      <c r="B282" s="43"/>
      <c r="C282" s="35">
        <f t="shared" si="4"/>
        <v>6</v>
      </c>
      <c r="D282" s="35" t="str" cm="1">
        <f t="array" ref="D282">IFERROR(ROUNDUP(_xlfn.IFS(F282="Aluminum Track", _xlfn.XLOOKUP(C282, dd_accsrycalc!$A$2:$A$51, dd_accsrycalc!$B$2:$B$51, "",0), F282="10 x 2 1/2 S (Flat)", _xlfn.XLOOKUP(C282, dd_accsrycalc!$A$2:$A$51, dd_accsrycalc!$C$2:$C$51, "",0), F282="Tox6", _xlfn.XLOOKUP(C282, dd_accsrycalc!$A$2:$A$51, dd_accsrycalc!$D$2:$D$51, "",0), F282="Cover Cap", _xlfn.XLOOKUP(C282, dd_accsrycalc!$A$2:$A$51, dd_accsrycalc!$E$2:$E$51, "",0), F282="Drainage Cover", _xlfn.XLOOKUP(C282, dd_accsrycalc!$A$2:$A$51, dd_accsrycalc!$F$2:$F$51, "",0),AND( F282="Double Adhesive Tape", I282="Roll-up Screen"), _xlfn.XLOOKUP(C282, calc_rusacc!$C$15:$C$65, calc_rusacc!$AD$15:$AD$65, "",0),AND( F282="Sealant", I282="Roll-up Screen"), _xlfn.XLOOKUP(C282, calc_rusacc!$C$15:$C$65, calc_rusacc!$AF$15:$AF$65, "",0),  AND( F282="Main Chain", I282="Accordion Screen"), _xlfn.XLOOKUP(C282, calc_rusacc!$C$15:$C$65, calc_rusacc!$BF$15:$BF$65, "",0), AND( F282="Sealant", I282="Accordion Screen"), _xlfn.XLOOKUP(C282, calc_rusacc!$C$15:$C$65, calc_rusacc!$BJ$15:$BJ$65, "",0),  F282="Sealant", _xlfn.XLOOKUP(C282, dd_accsrycalc!$A$2:$A$51, dd_accsrycalc!$G$2:$G$51, "",0),  F282&lt;&gt;"",L282*_xlfn.XLOOKUP(1, (SKUs!$C$2:$C$10001=G282)*(SKUs!$K$2:$K$10001=I282),SKUs!$E$2:$E$10001)), 0),"")</f>
        <v/>
      </c>
      <c r="E282" s="35" t="str">
        <f>_xlfn.XLOOKUP(F282,dd_item!$B$2:$B$105,dd_item!$C$2:$C$105,"",0)</f>
        <v/>
      </c>
      <c r="F282" s="35"/>
      <c r="G282" s="35" cm="1">
        <f t="array" ref="G282">IFERROR(_xlfn.XLOOKUP(1, (SKUs!$J$2:$J$10001=accsry_unmerged!F282)*IF(H282&lt;&gt;"",(SKUs!$L$2:$L$10001=accsry_unmerged!H282),1)*(SKUs!$K$2:$K$10001=I282),SKUs!$C$2:$C$10001),"")</f>
        <v>0</v>
      </c>
      <c r="H282" s="36" cm="1">
        <f t="array" ref="H282">IFERROR(_xlfn.XLOOKUP(1, (dd_accsryclr!$C$2:$C$1000=accsry_unmerged!F282)*(dd_accsryclr!$B$2:$B$1000=accsry_unmerged!J282),dd_accsryclr!$A$2:$A$1000),"")</f>
        <v>0</v>
      </c>
      <c r="I282" s="35">
        <f>_xlfn.XLOOKUP(C282,'Project Details'!$C$17:$C$66,'Project Details'!$E$17:$E$66,"",0)</f>
        <v>0</v>
      </c>
      <c r="J282" s="35">
        <f>_xlfn.XLOOKUP(C282,'Project Details'!$C$17:$C$66,'Project Details'!$H$17:$H$66,"",0)</f>
        <v>0</v>
      </c>
      <c r="K282" s="36" t="str">
        <f>IF(AND(_xlfn.XLOOKUP(C282,'Project Details'!$C$17:$C$66,'Project Details'!$L$17:$L$66,"",0)&gt;550, F282="Spring-L27cm"),"",SUBSTITUTE(_xlfn.XLOOKUP(G282,SKUs!$C$2:$C$10001,SKUs!$F$2:$F$10001,"",0), " Accessories",""))</f>
        <v/>
      </c>
      <c r="L282" s="36">
        <f>_xlfn.XLOOKUP(C282,'Project Details'!$C$17:$C$66,'Project Details'!$D$17:$D$66,"",0)</f>
        <v>0</v>
      </c>
      <c r="M282" s="43"/>
    </row>
    <row r="283" spans="1:13" x14ac:dyDescent="0.25">
      <c r="A283" s="43"/>
      <c r="B283" s="43"/>
      <c r="C283" s="16">
        <f t="shared" si="4"/>
        <v>6</v>
      </c>
      <c r="D283" s="16" t="str" cm="1">
        <f t="array" ref="D283">IFERROR(ROUNDUP(_xlfn.IFS(F283="Aluminum Track", _xlfn.XLOOKUP(C283, dd_accsrycalc!$A$2:$A$51, dd_accsrycalc!$B$2:$B$51, "",0), F283="10 x 2 1/2 S (Flat)", _xlfn.XLOOKUP(C283, dd_accsrycalc!$A$2:$A$51, dd_accsrycalc!$C$2:$C$51, "",0), F283="Tox6", _xlfn.XLOOKUP(C283, dd_accsrycalc!$A$2:$A$51, dd_accsrycalc!$D$2:$D$51, "",0), F283="Cover Cap", _xlfn.XLOOKUP(C283, dd_accsrycalc!$A$2:$A$51, dd_accsrycalc!$E$2:$E$51, "",0), F283="Drainage Cover", _xlfn.XLOOKUP(C283, dd_accsrycalc!$A$2:$A$51, dd_accsrycalc!$F$2:$F$51, "",0),AND( F283="Double Adhesive Tape", I283="Roll-up Screen"), _xlfn.XLOOKUP(C283, calc_rusacc!$C$15:$C$65, calc_rusacc!$AD$15:$AD$65, "",0),AND( F283="Sealant", I283="Roll-up Screen"), _xlfn.XLOOKUP(C283, calc_rusacc!$C$15:$C$65, calc_rusacc!$AF$15:$AF$65, "",0),  AND( F283="Main Chain", I283="Accordion Screen"), _xlfn.XLOOKUP(C283, calc_rusacc!$C$15:$C$65, calc_rusacc!$BF$15:$BF$65, "",0), AND( F283="Sealant", I283="Accordion Screen"), _xlfn.XLOOKUP(C283, calc_rusacc!$C$15:$C$65, calc_rusacc!$BJ$15:$BJ$65, "",0),  F283="Sealant", _xlfn.XLOOKUP(C283, dd_accsrycalc!$A$2:$A$51, dd_accsrycalc!$G$2:$G$51, "",0),  F283&lt;&gt;"",L283*_xlfn.XLOOKUP(1, (SKUs!$C$2:$C$10001=G283)*(SKUs!$K$2:$K$10001=I283),SKUs!$E$2:$E$10001)), 0),"")</f>
        <v/>
      </c>
      <c r="E283" s="16" t="str">
        <f>_xlfn.XLOOKUP(F283,dd_item!$B$2:$B$105,dd_item!$C$2:$C$105,"",0)</f>
        <v/>
      </c>
      <c r="F283" s="16"/>
      <c r="G283" s="16" cm="1">
        <f t="array" ref="G283">IFERROR(_xlfn.XLOOKUP(1, (SKUs!$J$2:$J$10001=accsry_unmerged!F283)*IF(H283&lt;&gt;"",(SKUs!$L$2:$L$10001=accsry_unmerged!H283),1)*(SKUs!$K$2:$K$10001=I283),SKUs!$C$2:$C$10001),"")</f>
        <v>0</v>
      </c>
      <c r="H283" s="33" cm="1">
        <f t="array" ref="H283">IFERROR(_xlfn.XLOOKUP(1, (dd_accsryclr!$C$2:$C$1000=accsry_unmerged!F283)*(dd_accsryclr!$B$2:$B$1000=accsry_unmerged!J283),dd_accsryclr!$A$2:$A$1000),"")</f>
        <v>0</v>
      </c>
      <c r="I283" s="16">
        <f>_xlfn.XLOOKUP(C283,'Project Details'!$C$17:$C$66,'Project Details'!$E$17:$E$66,"",0)</f>
        <v>0</v>
      </c>
      <c r="J283" s="16">
        <f>_xlfn.XLOOKUP(C283,'Project Details'!$C$17:$C$66,'Project Details'!$H$17:$H$66,"",0)</f>
        <v>0</v>
      </c>
      <c r="K283" s="33" t="str">
        <f>IF(AND(_xlfn.XLOOKUP(C283,'Project Details'!$C$17:$C$66,'Project Details'!$L$17:$L$66,"",0)&gt;550, F283="Spring-L27cm"),"",SUBSTITUTE(_xlfn.XLOOKUP(G283,SKUs!$C$2:$C$10001,SKUs!$F$2:$F$10001,"",0), " Accessories",""))</f>
        <v/>
      </c>
      <c r="L283" s="33">
        <f>_xlfn.XLOOKUP(C283,'Project Details'!$C$17:$C$66,'Project Details'!$D$17:$D$66,"",0)</f>
        <v>0</v>
      </c>
      <c r="M283" s="43"/>
    </row>
    <row r="284" spans="1:13" ht="13.5" customHeight="1" x14ac:dyDescent="0.25">
      <c r="A284" s="43"/>
      <c r="B284" s="43"/>
      <c r="C284" s="35">
        <f t="shared" si="4"/>
        <v>6</v>
      </c>
      <c r="D284" s="35" t="str" cm="1">
        <f t="array" ref="D284">IFERROR(ROUNDUP(_xlfn.IFS(F284="Aluminum Track", _xlfn.XLOOKUP(C284, dd_accsrycalc!$A$2:$A$51, dd_accsrycalc!$B$2:$B$51, "",0), F284="10 x 2 1/2 S (Flat)", _xlfn.XLOOKUP(C284, dd_accsrycalc!$A$2:$A$51, dd_accsrycalc!$C$2:$C$51, "",0), F284="Tox6", _xlfn.XLOOKUP(C284, dd_accsrycalc!$A$2:$A$51, dd_accsrycalc!$D$2:$D$51, "",0), F284="Cover Cap", _xlfn.XLOOKUP(C284, dd_accsrycalc!$A$2:$A$51, dd_accsrycalc!$E$2:$E$51, "",0), F284="Drainage Cover", _xlfn.XLOOKUP(C284, dd_accsrycalc!$A$2:$A$51, dd_accsrycalc!$F$2:$F$51, "",0),AND( F284="Double Adhesive Tape", I284="Roll-up Screen"), _xlfn.XLOOKUP(C284, calc_rusacc!$C$15:$C$65, calc_rusacc!$AD$15:$AD$65, "",0),AND( F284="Sealant", I284="Roll-up Screen"), _xlfn.XLOOKUP(C284, calc_rusacc!$C$15:$C$65, calc_rusacc!$AF$15:$AF$65, "",0),  AND( F284="Main Chain", I284="Accordion Screen"), _xlfn.XLOOKUP(C284, calc_rusacc!$C$15:$C$65, calc_rusacc!$BF$15:$BF$65, "",0), AND( F284="Sealant", I284="Accordion Screen"), _xlfn.XLOOKUP(C284, calc_rusacc!$C$15:$C$65, calc_rusacc!$BJ$15:$BJ$65, "",0),  F284="Sealant", _xlfn.XLOOKUP(C284, dd_accsrycalc!$A$2:$A$51, dd_accsrycalc!$G$2:$G$51, "",0),  F284&lt;&gt;"",L284*_xlfn.XLOOKUP(1, (SKUs!$C$2:$C$10001=G284)*(SKUs!$K$2:$K$10001=I284),SKUs!$E$2:$E$10001)), 0),"")</f>
        <v/>
      </c>
      <c r="E284" s="35" t="str">
        <f>_xlfn.XLOOKUP(F284,dd_item!$B$2:$B$105,dd_item!$C$2:$C$105,"",0)</f>
        <v/>
      </c>
      <c r="F284" s="35"/>
      <c r="G284" s="35" cm="1">
        <f t="array" ref="G284">IFERROR(_xlfn.XLOOKUP(1, (SKUs!$J$2:$J$10001=accsry_unmerged!F284)*IF(H284&lt;&gt;"",(SKUs!$L$2:$L$10001=accsry_unmerged!H284),1)*(SKUs!$K$2:$K$10001=I284),SKUs!$C$2:$C$10001),"")</f>
        <v>0</v>
      </c>
      <c r="H284" s="36" cm="1">
        <f t="array" ref="H284">IFERROR(_xlfn.XLOOKUP(1, (dd_accsryclr!$C$2:$C$1000=accsry_unmerged!F284)*(dd_accsryclr!$B$2:$B$1000=accsry_unmerged!J284),dd_accsryclr!$A$2:$A$1000),"")</f>
        <v>0</v>
      </c>
      <c r="I284" s="35">
        <f>_xlfn.XLOOKUP(C284,'Project Details'!$C$17:$C$66,'Project Details'!$E$17:$E$66,"",0)</f>
        <v>0</v>
      </c>
      <c r="J284" s="35">
        <f>_xlfn.XLOOKUP(C284,'Project Details'!$C$17:$C$66,'Project Details'!$H$17:$H$66,"",0)</f>
        <v>0</v>
      </c>
      <c r="K284" s="36" t="str">
        <f>IF(AND(_xlfn.XLOOKUP(C284,'Project Details'!$C$17:$C$66,'Project Details'!$L$17:$L$66,"",0)&gt;550, F284="Spring-L27cm"),"",SUBSTITUTE(_xlfn.XLOOKUP(G284,SKUs!$C$2:$C$10001,SKUs!$F$2:$F$10001,"",0), " Accessories",""))</f>
        <v/>
      </c>
      <c r="L284" s="36">
        <f>_xlfn.XLOOKUP(C284,'Project Details'!$C$17:$C$66,'Project Details'!$D$17:$D$66,"",0)</f>
        <v>0</v>
      </c>
      <c r="M284" s="43"/>
    </row>
    <row r="285" spans="1:13" ht="13.5" customHeight="1" x14ac:dyDescent="0.25">
      <c r="A285" s="43"/>
      <c r="B285" s="43"/>
      <c r="C285" s="16">
        <f t="shared" si="4"/>
        <v>6</v>
      </c>
      <c r="D285" s="16" t="str" cm="1">
        <f t="array" ref="D285">IFERROR(ROUNDUP(_xlfn.IFS(F285="Aluminum Track", _xlfn.XLOOKUP(C285, dd_accsrycalc!$A$2:$A$51, dd_accsrycalc!$B$2:$B$51, "",0), F285="10 x 2 1/2 S (Flat)", _xlfn.XLOOKUP(C285, dd_accsrycalc!$A$2:$A$51, dd_accsrycalc!$C$2:$C$51, "",0), F285="Tox6", _xlfn.XLOOKUP(C285, dd_accsrycalc!$A$2:$A$51, dd_accsrycalc!$D$2:$D$51, "",0), F285="Cover Cap", _xlfn.XLOOKUP(C285, dd_accsrycalc!$A$2:$A$51, dd_accsrycalc!$E$2:$E$51, "",0), F285="Drainage Cover", _xlfn.XLOOKUP(C285, dd_accsrycalc!$A$2:$A$51, dd_accsrycalc!$F$2:$F$51, "",0),AND( F285="Double Adhesive Tape", I285="Roll-up Screen"), _xlfn.XLOOKUP(C285, calc_rusacc!$C$15:$C$65, calc_rusacc!$AD$15:$AD$65, "",0),AND( F285="Sealant", I285="Roll-up Screen"), _xlfn.XLOOKUP(C285, calc_rusacc!$C$15:$C$65, calc_rusacc!$AF$15:$AF$65, "",0),  AND( F285="Main Chain", I285="Accordion Screen"), _xlfn.XLOOKUP(C285, calc_rusacc!$C$15:$C$65, calc_rusacc!$BF$15:$BF$65, "",0), AND( F285="Sealant", I285="Accordion Screen"), _xlfn.XLOOKUP(C285, calc_rusacc!$C$15:$C$65, calc_rusacc!$BJ$15:$BJ$65, "",0),  F285="Sealant", _xlfn.XLOOKUP(C285, dd_accsrycalc!$A$2:$A$51, dd_accsrycalc!$G$2:$G$51, "",0),  F285&lt;&gt;"",L285*_xlfn.XLOOKUP(1, (SKUs!$C$2:$C$10001=G285)*(SKUs!$K$2:$K$10001=I285),SKUs!$E$2:$E$10001)), 0),"")</f>
        <v/>
      </c>
      <c r="E285" s="16" t="str">
        <f>_xlfn.XLOOKUP(F285,dd_item!$B$2:$B$105,dd_item!$C$2:$C$105,"",0)</f>
        <v/>
      </c>
      <c r="F285" s="16"/>
      <c r="G285" s="16" cm="1">
        <f t="array" ref="G285">IFERROR(_xlfn.XLOOKUP(1, (SKUs!$J$2:$J$10001=accsry_unmerged!F285)*IF(H285&lt;&gt;"",(SKUs!$L$2:$L$10001=accsry_unmerged!H285),1)*(SKUs!$K$2:$K$10001=I285),SKUs!$C$2:$C$10001),"")</f>
        <v>0</v>
      </c>
      <c r="H285" s="33" cm="1">
        <f t="array" ref="H285">IFERROR(_xlfn.XLOOKUP(1, (dd_accsryclr!$C$2:$C$1000=accsry_unmerged!F285)*(dd_accsryclr!$B$2:$B$1000=accsry_unmerged!J285),dd_accsryclr!$A$2:$A$1000),"")</f>
        <v>0</v>
      </c>
      <c r="I285" s="16">
        <f>_xlfn.XLOOKUP(C285,'Project Details'!$C$17:$C$66,'Project Details'!$E$17:$E$66,"",0)</f>
        <v>0</v>
      </c>
      <c r="J285" s="16">
        <f>_xlfn.XLOOKUP(C285,'Project Details'!$C$17:$C$66,'Project Details'!$H$17:$H$66,"",0)</f>
        <v>0</v>
      </c>
      <c r="K285" s="33" t="str">
        <f>IF(AND(_xlfn.XLOOKUP(C285,'Project Details'!$C$17:$C$66,'Project Details'!$L$17:$L$66,"",0)&gt;550, F285="Spring-L27cm"),"",SUBSTITUTE(_xlfn.XLOOKUP(G285,SKUs!$C$2:$C$10001,SKUs!$F$2:$F$10001,"",0), " Accessories",""))</f>
        <v/>
      </c>
      <c r="L285" s="33">
        <f>_xlfn.XLOOKUP(C285,'Project Details'!$C$17:$C$66,'Project Details'!$D$17:$D$66,"",0)</f>
        <v>0</v>
      </c>
      <c r="M285" s="43"/>
    </row>
    <row r="286" spans="1:13" ht="13.5" customHeight="1" x14ac:dyDescent="0.25">
      <c r="A286" s="43"/>
      <c r="B286" s="43"/>
      <c r="C286" s="35">
        <f t="shared" si="4"/>
        <v>6</v>
      </c>
      <c r="D286" s="35" t="str" cm="1">
        <f t="array" ref="D286">IFERROR(ROUNDUP(_xlfn.IFS(F286="Aluminum Track", _xlfn.XLOOKUP(C286, dd_accsrycalc!$A$2:$A$51, dd_accsrycalc!$B$2:$B$51, "",0), F286="10 x 2 1/2 S (Flat)", _xlfn.XLOOKUP(C286, dd_accsrycalc!$A$2:$A$51, dd_accsrycalc!$C$2:$C$51, "",0), F286="Tox6", _xlfn.XLOOKUP(C286, dd_accsrycalc!$A$2:$A$51, dd_accsrycalc!$D$2:$D$51, "",0), F286="Cover Cap", _xlfn.XLOOKUP(C286, dd_accsrycalc!$A$2:$A$51, dd_accsrycalc!$E$2:$E$51, "",0), F286="Drainage Cover", _xlfn.XLOOKUP(C286, dd_accsrycalc!$A$2:$A$51, dd_accsrycalc!$F$2:$F$51, "",0),AND( F286="Double Adhesive Tape", I286="Roll-up Screen"), _xlfn.XLOOKUP(C286, calc_rusacc!$C$15:$C$65, calc_rusacc!$AD$15:$AD$65, "",0),AND( F286="Sealant", I286="Roll-up Screen"), _xlfn.XLOOKUP(C286, calc_rusacc!$C$15:$C$65, calc_rusacc!$AF$15:$AF$65, "",0),  AND( F286="Main Chain", I286="Accordion Screen"), _xlfn.XLOOKUP(C286, calc_rusacc!$C$15:$C$65, calc_rusacc!$BF$15:$BF$65, "",0), AND( F286="Sealant", I286="Accordion Screen"), _xlfn.XLOOKUP(C286, calc_rusacc!$C$15:$C$65, calc_rusacc!$BJ$15:$BJ$65, "",0),  F286="Sealant", _xlfn.XLOOKUP(C286, dd_accsrycalc!$A$2:$A$51, dd_accsrycalc!$G$2:$G$51, "",0),  F286&lt;&gt;"",L286*_xlfn.XLOOKUP(1, (SKUs!$C$2:$C$10001=G286)*(SKUs!$K$2:$K$10001=I286),SKUs!$E$2:$E$10001)), 0),"")</f>
        <v/>
      </c>
      <c r="E286" s="35" t="str">
        <f>_xlfn.XLOOKUP(F286,dd_item!$B$2:$B$105,dd_item!$C$2:$C$105,"",0)</f>
        <v/>
      </c>
      <c r="F286" s="35"/>
      <c r="G286" s="35" cm="1">
        <f t="array" ref="G286">IFERROR(_xlfn.XLOOKUP(1, (SKUs!$J$2:$J$10001=accsry_unmerged!F286)*IF(H286&lt;&gt;"",(SKUs!$L$2:$L$10001=accsry_unmerged!H286),1)*(SKUs!$K$2:$K$10001=I286),SKUs!$C$2:$C$10001),"")</f>
        <v>0</v>
      </c>
      <c r="H286" s="36" cm="1">
        <f t="array" ref="H286">IFERROR(_xlfn.XLOOKUP(1, (dd_accsryclr!$C$2:$C$1000=accsry_unmerged!F286)*(dd_accsryclr!$B$2:$B$1000=accsry_unmerged!J286),dd_accsryclr!$A$2:$A$1000),"")</f>
        <v>0</v>
      </c>
      <c r="I286" s="35">
        <f>_xlfn.XLOOKUP(C286,'Project Details'!$C$17:$C$66,'Project Details'!$E$17:$E$66,"",0)</f>
        <v>0</v>
      </c>
      <c r="J286" s="35">
        <f>_xlfn.XLOOKUP(C286,'Project Details'!$C$17:$C$66,'Project Details'!$H$17:$H$66,"",0)</f>
        <v>0</v>
      </c>
      <c r="K286" s="36" t="str">
        <f>IF(AND(_xlfn.XLOOKUP(C286,'Project Details'!$C$17:$C$66,'Project Details'!$L$17:$L$66,"",0)&gt;550, F286="Spring-L27cm"),"",SUBSTITUTE(_xlfn.XLOOKUP(G286,SKUs!$C$2:$C$10001,SKUs!$F$2:$F$10001,"",0), " Accessories",""))</f>
        <v/>
      </c>
      <c r="L286" s="36">
        <f>_xlfn.XLOOKUP(C286,'Project Details'!$C$17:$C$66,'Project Details'!$D$17:$D$66,"",0)</f>
        <v>0</v>
      </c>
      <c r="M286" s="43"/>
    </row>
    <row r="287" spans="1:13" ht="13.5" customHeight="1" x14ac:dyDescent="0.25">
      <c r="A287" s="43"/>
      <c r="B287" s="43"/>
      <c r="C287" s="16">
        <f t="shared" si="4"/>
        <v>6</v>
      </c>
      <c r="D287" s="16" t="str" cm="1">
        <f t="array" ref="D287">IFERROR(ROUNDUP(_xlfn.IFS(F287="Aluminum Track", _xlfn.XLOOKUP(C287, dd_accsrycalc!$A$2:$A$51, dd_accsrycalc!$B$2:$B$51, "",0), F287="10 x 2 1/2 S (Flat)", _xlfn.XLOOKUP(C287, dd_accsrycalc!$A$2:$A$51, dd_accsrycalc!$C$2:$C$51, "",0), F287="Tox6", _xlfn.XLOOKUP(C287, dd_accsrycalc!$A$2:$A$51, dd_accsrycalc!$D$2:$D$51, "",0), F287="Cover Cap", _xlfn.XLOOKUP(C287, dd_accsrycalc!$A$2:$A$51, dd_accsrycalc!$E$2:$E$51, "",0), F287="Drainage Cover", _xlfn.XLOOKUP(C287, dd_accsrycalc!$A$2:$A$51, dd_accsrycalc!$F$2:$F$51, "",0),AND( F287="Double Adhesive Tape", I287="Roll-up Screen"), _xlfn.XLOOKUP(C287, calc_rusacc!$C$15:$C$65, calc_rusacc!$AD$15:$AD$65, "",0),AND( F287="Sealant", I287="Roll-up Screen"), _xlfn.XLOOKUP(C287, calc_rusacc!$C$15:$C$65, calc_rusacc!$AF$15:$AF$65, "",0),  AND( F287="Main Chain", I287="Accordion Screen"), _xlfn.XLOOKUP(C287, calc_rusacc!$C$15:$C$65, calc_rusacc!$BF$15:$BF$65, "",0), AND( F287="Sealant", I287="Accordion Screen"), _xlfn.XLOOKUP(C287, calc_rusacc!$C$15:$C$65, calc_rusacc!$BJ$15:$BJ$65, "",0),  F287="Sealant", _xlfn.XLOOKUP(C287, dd_accsrycalc!$A$2:$A$51, dd_accsrycalc!$G$2:$G$51, "",0),  F287&lt;&gt;"",L287*_xlfn.XLOOKUP(1, (SKUs!$C$2:$C$10001=G287)*(SKUs!$K$2:$K$10001=I287),SKUs!$E$2:$E$10001)), 0),"")</f>
        <v/>
      </c>
      <c r="E287" s="16" t="str">
        <f>_xlfn.XLOOKUP(F287,dd_item!$B$2:$B$105,dd_item!$C$2:$C$105,"",0)</f>
        <v/>
      </c>
      <c r="F287" s="16"/>
      <c r="G287" s="16" cm="1">
        <f t="array" ref="G287">IFERROR(_xlfn.XLOOKUP(1, (SKUs!$J$2:$J$10001=accsry_unmerged!F287)*IF(H287&lt;&gt;"",(SKUs!$L$2:$L$10001=accsry_unmerged!H287),1)*(SKUs!$K$2:$K$10001=I287),SKUs!$C$2:$C$10001),"")</f>
        <v>0</v>
      </c>
      <c r="H287" s="33" cm="1">
        <f t="array" ref="H287">IFERROR(_xlfn.XLOOKUP(1, (dd_accsryclr!$C$2:$C$1000=accsry_unmerged!F287)*(dd_accsryclr!$B$2:$B$1000=accsry_unmerged!J287),dd_accsryclr!$A$2:$A$1000),"")</f>
        <v>0</v>
      </c>
      <c r="I287" s="16">
        <f>_xlfn.XLOOKUP(C287,'Project Details'!$C$17:$C$66,'Project Details'!$E$17:$E$66,"",0)</f>
        <v>0</v>
      </c>
      <c r="J287" s="16">
        <f>_xlfn.XLOOKUP(C287,'Project Details'!$C$17:$C$66,'Project Details'!$H$17:$H$66,"",0)</f>
        <v>0</v>
      </c>
      <c r="K287" s="33" t="str">
        <f>IF(AND(_xlfn.XLOOKUP(C287,'Project Details'!$C$17:$C$66,'Project Details'!$L$17:$L$66,"",0)&gt;550, F287="Spring-L27cm"),"",SUBSTITUTE(_xlfn.XLOOKUP(G287,SKUs!$C$2:$C$10001,SKUs!$F$2:$F$10001,"",0), " Accessories",""))</f>
        <v/>
      </c>
      <c r="L287" s="33">
        <f>_xlfn.XLOOKUP(C287,'Project Details'!$C$17:$C$66,'Project Details'!$D$17:$D$66,"",0)</f>
        <v>0</v>
      </c>
      <c r="M287" s="43"/>
    </row>
    <row r="288" spans="1:13" ht="13.5" customHeight="1" x14ac:dyDescent="0.25">
      <c r="A288" s="43"/>
      <c r="B288" s="43"/>
      <c r="C288" s="35">
        <f t="shared" si="4"/>
        <v>6</v>
      </c>
      <c r="D288" s="35" t="str" cm="1">
        <f t="array" ref="D288">IFERROR(ROUNDUP(_xlfn.IFS(F288="Aluminum Track", _xlfn.XLOOKUP(C288, dd_accsrycalc!$A$2:$A$51, dd_accsrycalc!$B$2:$B$51, "",0), F288="10 x 2 1/2 S (Flat)", _xlfn.XLOOKUP(C288, dd_accsrycalc!$A$2:$A$51, dd_accsrycalc!$C$2:$C$51, "",0), F288="Tox6", _xlfn.XLOOKUP(C288, dd_accsrycalc!$A$2:$A$51, dd_accsrycalc!$D$2:$D$51, "",0), F288="Cover Cap", _xlfn.XLOOKUP(C288, dd_accsrycalc!$A$2:$A$51, dd_accsrycalc!$E$2:$E$51, "",0), F288="Drainage Cover", _xlfn.XLOOKUP(C288, dd_accsrycalc!$A$2:$A$51, dd_accsrycalc!$F$2:$F$51, "",0),AND( F288="Double Adhesive Tape", I288="Roll-up Screen"), _xlfn.XLOOKUP(C288, calc_rusacc!$C$15:$C$65, calc_rusacc!$AD$15:$AD$65, "",0),AND( F288="Sealant", I288="Roll-up Screen"), _xlfn.XLOOKUP(C288, calc_rusacc!$C$15:$C$65, calc_rusacc!$AF$15:$AF$65, "",0),  AND( F288="Main Chain", I288="Accordion Screen"), _xlfn.XLOOKUP(C288, calc_rusacc!$C$15:$C$65, calc_rusacc!$BF$15:$BF$65, "",0), AND( F288="Sealant", I288="Accordion Screen"), _xlfn.XLOOKUP(C288, calc_rusacc!$C$15:$C$65, calc_rusacc!$BJ$15:$BJ$65, "",0),  F288="Sealant", _xlfn.XLOOKUP(C288, dd_accsrycalc!$A$2:$A$51, dd_accsrycalc!$G$2:$G$51, "",0),  F288&lt;&gt;"",L288*_xlfn.XLOOKUP(1, (SKUs!$C$2:$C$10001=G288)*(SKUs!$K$2:$K$10001=I288),SKUs!$E$2:$E$10001)), 0),"")</f>
        <v/>
      </c>
      <c r="E288" s="35" t="str">
        <f>_xlfn.XLOOKUP(F288,dd_item!$B$2:$B$105,dd_item!$C$2:$C$105,"",0)</f>
        <v/>
      </c>
      <c r="F288" s="35"/>
      <c r="G288" s="35" cm="1">
        <f t="array" ref="G288">IFERROR(_xlfn.XLOOKUP(1, (SKUs!$J$2:$J$10001=accsry_unmerged!F288)*IF(H288&lt;&gt;"",(SKUs!$L$2:$L$10001=accsry_unmerged!H288),1)*(SKUs!$K$2:$K$10001=I288),SKUs!$C$2:$C$10001),"")</f>
        <v>0</v>
      </c>
      <c r="H288" s="36" cm="1">
        <f t="array" ref="H288">IFERROR(_xlfn.XLOOKUP(1, (dd_accsryclr!$C$2:$C$1000=accsry_unmerged!F288)*(dd_accsryclr!$B$2:$B$1000=accsry_unmerged!J288),dd_accsryclr!$A$2:$A$1000),"")</f>
        <v>0</v>
      </c>
      <c r="I288" s="35">
        <f>_xlfn.XLOOKUP(C288,'Project Details'!$C$17:$C$66,'Project Details'!$E$17:$E$66,"",0)</f>
        <v>0</v>
      </c>
      <c r="J288" s="35">
        <f>_xlfn.XLOOKUP(C288,'Project Details'!$C$17:$C$66,'Project Details'!$H$17:$H$66,"",0)</f>
        <v>0</v>
      </c>
      <c r="K288" s="36" t="str">
        <f>IF(AND(_xlfn.XLOOKUP(C288,'Project Details'!$C$17:$C$66,'Project Details'!$L$17:$L$66,"",0)&gt;550, F288="Spring-L27cm"),"",SUBSTITUTE(_xlfn.XLOOKUP(G288,SKUs!$C$2:$C$10001,SKUs!$F$2:$F$10001,"",0), " Accessories",""))</f>
        <v/>
      </c>
      <c r="L288" s="36">
        <f>_xlfn.XLOOKUP(C288,'Project Details'!$C$17:$C$66,'Project Details'!$D$17:$D$66,"",0)</f>
        <v>0</v>
      </c>
      <c r="M288" s="43"/>
    </row>
    <row r="289" spans="1:13" ht="13.5" customHeight="1" x14ac:dyDescent="0.25">
      <c r="A289" s="43"/>
      <c r="B289" s="43"/>
      <c r="C289" s="16">
        <f t="shared" si="4"/>
        <v>6</v>
      </c>
      <c r="D289" s="16" t="str" cm="1">
        <f t="array" ref="D289">IFERROR(ROUNDUP(_xlfn.IFS(F289="Aluminum Track", _xlfn.XLOOKUP(C289, dd_accsrycalc!$A$2:$A$51, dd_accsrycalc!$B$2:$B$51, "",0), F289="10 x 2 1/2 S (Flat)", _xlfn.XLOOKUP(C289, dd_accsrycalc!$A$2:$A$51, dd_accsrycalc!$C$2:$C$51, "",0), F289="Tox6", _xlfn.XLOOKUP(C289, dd_accsrycalc!$A$2:$A$51, dd_accsrycalc!$D$2:$D$51, "",0), F289="Cover Cap", _xlfn.XLOOKUP(C289, dd_accsrycalc!$A$2:$A$51, dd_accsrycalc!$E$2:$E$51, "",0), F289="Drainage Cover", _xlfn.XLOOKUP(C289, dd_accsrycalc!$A$2:$A$51, dd_accsrycalc!$F$2:$F$51, "",0),AND( F289="Double Adhesive Tape", I289="Roll-up Screen"), _xlfn.XLOOKUP(C289, calc_rusacc!$C$15:$C$65, calc_rusacc!$AD$15:$AD$65, "",0),AND( F289="Sealant", I289="Roll-up Screen"), _xlfn.XLOOKUP(C289, calc_rusacc!$C$15:$C$65, calc_rusacc!$AF$15:$AF$65, "",0),  AND( F289="Main Chain", I289="Accordion Screen"), _xlfn.XLOOKUP(C289, calc_rusacc!$C$15:$C$65, calc_rusacc!$BF$15:$BF$65, "",0), AND( F289="Sealant", I289="Accordion Screen"), _xlfn.XLOOKUP(C289, calc_rusacc!$C$15:$C$65, calc_rusacc!$BJ$15:$BJ$65, "",0),  F289="Sealant", _xlfn.XLOOKUP(C289, dd_accsrycalc!$A$2:$A$51, dd_accsrycalc!$G$2:$G$51, "",0),  F289&lt;&gt;"",L289*_xlfn.XLOOKUP(1, (SKUs!$C$2:$C$10001=G289)*(SKUs!$K$2:$K$10001=I289),SKUs!$E$2:$E$10001)), 0),"")</f>
        <v/>
      </c>
      <c r="E289" s="16" t="str">
        <f>_xlfn.XLOOKUP(F289,dd_item!$B$2:$B$105,dd_item!$C$2:$C$105,"",0)</f>
        <v/>
      </c>
      <c r="F289" s="16"/>
      <c r="G289" s="16" cm="1">
        <f t="array" ref="G289">IFERROR(_xlfn.XLOOKUP(1, (SKUs!$J$2:$J$10001=accsry_unmerged!F289)*IF(H289&lt;&gt;"",(SKUs!$L$2:$L$10001=accsry_unmerged!H289),1)*(SKUs!$K$2:$K$10001=I289),SKUs!$C$2:$C$10001),"")</f>
        <v>0</v>
      </c>
      <c r="H289" s="33" cm="1">
        <f t="array" ref="H289">IFERROR(_xlfn.XLOOKUP(1, (dd_accsryclr!$C$2:$C$1000=accsry_unmerged!F289)*(dd_accsryclr!$B$2:$B$1000=accsry_unmerged!J289),dd_accsryclr!$A$2:$A$1000),"")</f>
        <v>0</v>
      </c>
      <c r="I289" s="16">
        <f>_xlfn.XLOOKUP(C289,'Project Details'!$C$17:$C$66,'Project Details'!$E$17:$E$66,"",0)</f>
        <v>0</v>
      </c>
      <c r="J289" s="16">
        <f>_xlfn.XLOOKUP(C289,'Project Details'!$C$17:$C$66,'Project Details'!$H$17:$H$66,"",0)</f>
        <v>0</v>
      </c>
      <c r="K289" s="33" t="str">
        <f>IF(AND(_xlfn.XLOOKUP(C289,'Project Details'!$C$17:$C$66,'Project Details'!$L$17:$L$66,"",0)&gt;550, F289="Spring-L27cm"),"",SUBSTITUTE(_xlfn.XLOOKUP(G289,SKUs!$C$2:$C$10001,SKUs!$F$2:$F$10001,"",0), " Accessories",""))</f>
        <v/>
      </c>
      <c r="L289" s="33">
        <f>_xlfn.XLOOKUP(C289,'Project Details'!$C$17:$C$66,'Project Details'!$D$17:$D$66,"",0)</f>
        <v>0</v>
      </c>
      <c r="M289" s="43"/>
    </row>
    <row r="290" spans="1:13" ht="13.5" customHeight="1" x14ac:dyDescent="0.25">
      <c r="A290" s="43"/>
      <c r="B290" s="43"/>
      <c r="C290" s="35">
        <f t="shared" si="4"/>
        <v>6</v>
      </c>
      <c r="D290" s="35" t="str" cm="1">
        <f t="array" ref="D290">IFERROR(ROUNDUP(_xlfn.IFS(F290="Aluminum Track", _xlfn.XLOOKUP(C290, dd_accsrycalc!$A$2:$A$51, dd_accsrycalc!$B$2:$B$51, "",0), F290="10 x 2 1/2 S (Flat)", _xlfn.XLOOKUP(C290, dd_accsrycalc!$A$2:$A$51, dd_accsrycalc!$C$2:$C$51, "",0), F290="Tox6", _xlfn.XLOOKUP(C290, dd_accsrycalc!$A$2:$A$51, dd_accsrycalc!$D$2:$D$51, "",0), F290="Cover Cap", _xlfn.XLOOKUP(C290, dd_accsrycalc!$A$2:$A$51, dd_accsrycalc!$E$2:$E$51, "",0), F290="Drainage Cover", _xlfn.XLOOKUP(C290, dd_accsrycalc!$A$2:$A$51, dd_accsrycalc!$F$2:$F$51, "",0),AND( F290="Double Adhesive Tape", I290="Roll-up Screen"), _xlfn.XLOOKUP(C290, calc_rusacc!$C$15:$C$65, calc_rusacc!$AD$15:$AD$65, "",0),AND( F290="Sealant", I290="Roll-up Screen"), _xlfn.XLOOKUP(C290, calc_rusacc!$C$15:$C$65, calc_rusacc!$AF$15:$AF$65, "",0),  AND( F290="Main Chain", I290="Accordion Screen"), _xlfn.XLOOKUP(C290, calc_rusacc!$C$15:$C$65, calc_rusacc!$BF$15:$BF$65, "",0), AND( F290="Sealant", I290="Accordion Screen"), _xlfn.XLOOKUP(C290, calc_rusacc!$C$15:$C$65, calc_rusacc!$BJ$15:$BJ$65, "",0),  F290="Sealant", _xlfn.XLOOKUP(C290, dd_accsrycalc!$A$2:$A$51, dd_accsrycalc!$G$2:$G$51, "",0),  F290&lt;&gt;"",L290*_xlfn.XLOOKUP(1, (SKUs!$C$2:$C$10001=G290)*(SKUs!$K$2:$K$10001=I290),SKUs!$E$2:$E$10001)), 0),"")</f>
        <v/>
      </c>
      <c r="E290" s="35" t="str">
        <f>_xlfn.XLOOKUP(F290,dd_item!$B$2:$B$105,dd_item!$C$2:$C$105,"",0)</f>
        <v/>
      </c>
      <c r="F290" s="35"/>
      <c r="G290" s="35" cm="1">
        <f t="array" ref="G290">IFERROR(_xlfn.XLOOKUP(1, (SKUs!$J$2:$J$10001=accsry_unmerged!F290)*IF(H290&lt;&gt;"",(SKUs!$L$2:$L$10001=accsry_unmerged!H290),1)*(SKUs!$K$2:$K$10001=I290),SKUs!$C$2:$C$10001),"")</f>
        <v>0</v>
      </c>
      <c r="H290" s="36" cm="1">
        <f t="array" ref="H290">IFERROR(_xlfn.XLOOKUP(1, (dd_accsryclr!$C$2:$C$1000=accsry_unmerged!F290)*(dd_accsryclr!$B$2:$B$1000=accsry_unmerged!J290),dd_accsryclr!$A$2:$A$1000),"")</f>
        <v>0</v>
      </c>
      <c r="I290" s="35">
        <f>_xlfn.XLOOKUP(C290,'Project Details'!$C$17:$C$66,'Project Details'!$E$17:$E$66,"",0)</f>
        <v>0</v>
      </c>
      <c r="J290" s="35">
        <f>_xlfn.XLOOKUP(C290,'Project Details'!$C$17:$C$66,'Project Details'!$H$17:$H$66,"",0)</f>
        <v>0</v>
      </c>
      <c r="K290" s="36" t="str">
        <f>IF(AND(_xlfn.XLOOKUP(C290,'Project Details'!$C$17:$C$66,'Project Details'!$L$17:$L$66,"",0)&gt;550, F290="Spring-L27cm"),"",SUBSTITUTE(_xlfn.XLOOKUP(G290,SKUs!$C$2:$C$10001,SKUs!$F$2:$F$10001,"",0), " Accessories",""))</f>
        <v/>
      </c>
      <c r="L290" s="36">
        <f>_xlfn.XLOOKUP(C290,'Project Details'!$C$17:$C$66,'Project Details'!$D$17:$D$66,"",0)</f>
        <v>0</v>
      </c>
      <c r="M290" s="43"/>
    </row>
    <row r="291" spans="1:13" ht="13.5" customHeight="1" x14ac:dyDescent="0.25">
      <c r="A291" s="43"/>
      <c r="B291" s="43"/>
      <c r="C291" s="16">
        <f t="shared" si="4"/>
        <v>6</v>
      </c>
      <c r="D291" s="16" t="str" cm="1">
        <f t="array" ref="D291">IFERROR(ROUNDUP(_xlfn.IFS(F291="Aluminum Track", _xlfn.XLOOKUP(C291, dd_accsrycalc!$A$2:$A$51, dd_accsrycalc!$B$2:$B$51, "",0), F291="10 x 2 1/2 S (Flat)", _xlfn.XLOOKUP(C291, dd_accsrycalc!$A$2:$A$51, dd_accsrycalc!$C$2:$C$51, "",0), F291="Tox6", _xlfn.XLOOKUP(C291, dd_accsrycalc!$A$2:$A$51, dd_accsrycalc!$D$2:$D$51, "",0), F291="Cover Cap", _xlfn.XLOOKUP(C291, dd_accsrycalc!$A$2:$A$51, dd_accsrycalc!$E$2:$E$51, "",0), F291="Drainage Cover", _xlfn.XLOOKUP(C291, dd_accsrycalc!$A$2:$A$51, dd_accsrycalc!$F$2:$F$51, "",0),AND( F291="Double Adhesive Tape", I291="Roll-up Screen"), _xlfn.XLOOKUP(C291, calc_rusacc!$C$15:$C$65, calc_rusacc!$AD$15:$AD$65, "",0),AND( F291="Sealant", I291="Roll-up Screen"), _xlfn.XLOOKUP(C291, calc_rusacc!$C$15:$C$65, calc_rusacc!$AF$15:$AF$65, "",0),  AND( F291="Main Chain", I291="Accordion Screen"), _xlfn.XLOOKUP(C291, calc_rusacc!$C$15:$C$65, calc_rusacc!$BF$15:$BF$65, "",0), AND( F291="Sealant", I291="Accordion Screen"), _xlfn.XLOOKUP(C291, calc_rusacc!$C$15:$C$65, calc_rusacc!$BJ$15:$BJ$65, "",0),  F291="Sealant", _xlfn.XLOOKUP(C291, dd_accsrycalc!$A$2:$A$51, dd_accsrycalc!$G$2:$G$51, "",0),  F291&lt;&gt;"",L291*_xlfn.XLOOKUP(1, (SKUs!$C$2:$C$10001=G291)*(SKUs!$K$2:$K$10001=I291),SKUs!$E$2:$E$10001)), 0),"")</f>
        <v/>
      </c>
      <c r="E291" s="16" t="str">
        <f>_xlfn.XLOOKUP(F291,dd_item!$B$2:$B$105,dd_item!$C$2:$C$105,"",0)</f>
        <v/>
      </c>
      <c r="F291" s="16"/>
      <c r="G291" s="16" cm="1">
        <f t="array" ref="G291">IFERROR(_xlfn.XLOOKUP(1, (SKUs!$J$2:$J$10001=accsry_unmerged!F291)*IF(H291&lt;&gt;"",(SKUs!$L$2:$L$10001=accsry_unmerged!H291),1)*(SKUs!$K$2:$K$10001=I291),SKUs!$C$2:$C$10001),"")</f>
        <v>0</v>
      </c>
      <c r="H291" s="33" cm="1">
        <f t="array" ref="H291">IFERROR(_xlfn.XLOOKUP(1, (dd_accsryclr!$C$2:$C$1000=accsry_unmerged!F291)*(dd_accsryclr!$B$2:$B$1000=accsry_unmerged!J291),dd_accsryclr!$A$2:$A$1000),"")</f>
        <v>0</v>
      </c>
      <c r="I291" s="16">
        <f>_xlfn.XLOOKUP(C291,'Project Details'!$C$17:$C$66,'Project Details'!$E$17:$E$66,"",0)</f>
        <v>0</v>
      </c>
      <c r="J291" s="16">
        <f>_xlfn.XLOOKUP(C291,'Project Details'!$C$17:$C$66,'Project Details'!$H$17:$H$66,"",0)</f>
        <v>0</v>
      </c>
      <c r="K291" s="33" t="str">
        <f>IF(AND(_xlfn.XLOOKUP(C291,'Project Details'!$C$17:$C$66,'Project Details'!$L$17:$L$66,"",0)&gt;550, F291="Spring-L27cm"),"",SUBSTITUTE(_xlfn.XLOOKUP(G291,SKUs!$C$2:$C$10001,SKUs!$F$2:$F$10001,"",0), " Accessories",""))</f>
        <v/>
      </c>
      <c r="L291" s="33">
        <f>_xlfn.XLOOKUP(C291,'Project Details'!$C$17:$C$66,'Project Details'!$D$17:$D$66,"",0)</f>
        <v>0</v>
      </c>
      <c r="M291" s="43"/>
    </row>
    <row r="292" spans="1:13" ht="13.5" customHeight="1" x14ac:dyDescent="0.25">
      <c r="A292" s="43"/>
      <c r="B292" s="43"/>
      <c r="C292" s="35">
        <f t="shared" si="4"/>
        <v>6</v>
      </c>
      <c r="D292" s="35" t="str" cm="1">
        <f t="array" ref="D292">IFERROR(ROUNDUP(_xlfn.IFS(F292="Aluminum Track", _xlfn.XLOOKUP(C292, dd_accsrycalc!$A$2:$A$51, dd_accsrycalc!$B$2:$B$51, "",0), F292="10 x 2 1/2 S (Flat)", _xlfn.XLOOKUP(C292, dd_accsrycalc!$A$2:$A$51, dd_accsrycalc!$C$2:$C$51, "",0), F292="Tox6", _xlfn.XLOOKUP(C292, dd_accsrycalc!$A$2:$A$51, dd_accsrycalc!$D$2:$D$51, "",0), F292="Cover Cap", _xlfn.XLOOKUP(C292, dd_accsrycalc!$A$2:$A$51, dd_accsrycalc!$E$2:$E$51, "",0), F292="Drainage Cover", _xlfn.XLOOKUP(C292, dd_accsrycalc!$A$2:$A$51, dd_accsrycalc!$F$2:$F$51, "",0),AND( F292="Double Adhesive Tape", I292="Roll-up Screen"), _xlfn.XLOOKUP(C292, calc_rusacc!$C$15:$C$65, calc_rusacc!$AD$15:$AD$65, "",0),AND( F292="Sealant", I292="Roll-up Screen"), _xlfn.XLOOKUP(C292, calc_rusacc!$C$15:$C$65, calc_rusacc!$AF$15:$AF$65, "",0),  AND( F292="Main Chain", I292="Accordion Screen"), _xlfn.XLOOKUP(C292, calc_rusacc!$C$15:$C$65, calc_rusacc!$BF$15:$BF$65, "",0), AND( F292="Sealant", I292="Accordion Screen"), _xlfn.XLOOKUP(C292, calc_rusacc!$C$15:$C$65, calc_rusacc!$BJ$15:$BJ$65, "",0),  F292="Sealant", _xlfn.XLOOKUP(C292, dd_accsrycalc!$A$2:$A$51, dd_accsrycalc!$G$2:$G$51, "",0),  F292&lt;&gt;"",L292*_xlfn.XLOOKUP(1, (SKUs!$C$2:$C$10001=G292)*(SKUs!$K$2:$K$10001=I292),SKUs!$E$2:$E$10001)), 0),"")</f>
        <v/>
      </c>
      <c r="E292" s="35" t="str">
        <f>_xlfn.XLOOKUP(F292,dd_item!$B$2:$B$105,dd_item!$C$2:$C$105,"",0)</f>
        <v/>
      </c>
      <c r="F292" s="35"/>
      <c r="G292" s="35" cm="1">
        <f t="array" ref="G292">IFERROR(_xlfn.XLOOKUP(1, (SKUs!$J$2:$J$10001=accsry_unmerged!F292)*IF(H292&lt;&gt;"",(SKUs!$L$2:$L$10001=accsry_unmerged!H292),1)*(SKUs!$K$2:$K$10001=I292),SKUs!$C$2:$C$10001),"")</f>
        <v>0</v>
      </c>
      <c r="H292" s="36" cm="1">
        <f t="array" ref="H292">IFERROR(_xlfn.XLOOKUP(1, (dd_accsryclr!$C$2:$C$1000=accsry_unmerged!F292)*(dd_accsryclr!$B$2:$B$1000=accsry_unmerged!J292),dd_accsryclr!$A$2:$A$1000),"")</f>
        <v>0</v>
      </c>
      <c r="I292" s="35">
        <f>_xlfn.XLOOKUP(C292,'Project Details'!$C$17:$C$66,'Project Details'!$E$17:$E$66,"",0)</f>
        <v>0</v>
      </c>
      <c r="J292" s="35">
        <f>_xlfn.XLOOKUP(C292,'Project Details'!$C$17:$C$66,'Project Details'!$H$17:$H$66,"",0)</f>
        <v>0</v>
      </c>
      <c r="K292" s="36" t="str">
        <f>IF(AND(_xlfn.XLOOKUP(C292,'Project Details'!$C$17:$C$66,'Project Details'!$L$17:$L$66,"",0)&gt;550, F292="Spring-L27cm"),"",SUBSTITUTE(_xlfn.XLOOKUP(G292,SKUs!$C$2:$C$10001,SKUs!$F$2:$F$10001,"",0), " Accessories",""))</f>
        <v/>
      </c>
      <c r="L292" s="36">
        <f>_xlfn.XLOOKUP(C292,'Project Details'!$C$17:$C$66,'Project Details'!$D$17:$D$66,"",0)</f>
        <v>0</v>
      </c>
      <c r="M292" s="43"/>
    </row>
    <row r="293" spans="1:13" ht="13.5" customHeight="1" x14ac:dyDescent="0.25">
      <c r="A293" s="43"/>
      <c r="B293" s="43"/>
      <c r="C293" s="16">
        <f t="shared" si="4"/>
        <v>6</v>
      </c>
      <c r="D293" s="16" t="str" cm="1">
        <f t="array" ref="D293">IFERROR(ROUNDUP(_xlfn.IFS(F293="Aluminum Track", _xlfn.XLOOKUP(C293, dd_accsrycalc!$A$2:$A$51, dd_accsrycalc!$B$2:$B$51, "",0), F293="10 x 2 1/2 S (Flat)", _xlfn.XLOOKUP(C293, dd_accsrycalc!$A$2:$A$51, dd_accsrycalc!$C$2:$C$51, "",0), F293="Tox6", _xlfn.XLOOKUP(C293, dd_accsrycalc!$A$2:$A$51, dd_accsrycalc!$D$2:$D$51, "",0), F293="Cover Cap", _xlfn.XLOOKUP(C293, dd_accsrycalc!$A$2:$A$51, dd_accsrycalc!$E$2:$E$51, "",0), F293="Drainage Cover", _xlfn.XLOOKUP(C293, dd_accsrycalc!$A$2:$A$51, dd_accsrycalc!$F$2:$F$51, "",0),AND( F293="Double Adhesive Tape", I293="Roll-up Screen"), _xlfn.XLOOKUP(C293, calc_rusacc!$C$15:$C$65, calc_rusacc!$AD$15:$AD$65, "",0),AND( F293="Sealant", I293="Roll-up Screen"), _xlfn.XLOOKUP(C293, calc_rusacc!$C$15:$C$65, calc_rusacc!$AF$15:$AF$65, "",0),  AND( F293="Main Chain", I293="Accordion Screen"), _xlfn.XLOOKUP(C293, calc_rusacc!$C$15:$C$65, calc_rusacc!$BF$15:$BF$65, "",0), AND( F293="Sealant", I293="Accordion Screen"), _xlfn.XLOOKUP(C293, calc_rusacc!$C$15:$C$65, calc_rusacc!$BJ$15:$BJ$65, "",0),  F293="Sealant", _xlfn.XLOOKUP(C293, dd_accsrycalc!$A$2:$A$51, dd_accsrycalc!$G$2:$G$51, "",0),  F293&lt;&gt;"",L293*_xlfn.XLOOKUP(1, (SKUs!$C$2:$C$10001=G293)*(SKUs!$K$2:$K$10001=I293),SKUs!$E$2:$E$10001)), 0),"")</f>
        <v/>
      </c>
      <c r="E293" s="16" t="str">
        <f>_xlfn.XLOOKUP(F293,dd_item!$B$2:$B$105,dd_item!$C$2:$C$105,"",0)</f>
        <v/>
      </c>
      <c r="F293" s="16"/>
      <c r="G293" s="16" cm="1">
        <f t="array" ref="G293">IFERROR(_xlfn.XLOOKUP(1, (SKUs!$J$2:$J$10001=accsry_unmerged!F293)*IF(H293&lt;&gt;"",(SKUs!$L$2:$L$10001=accsry_unmerged!H293),1)*(SKUs!$K$2:$K$10001=I293),SKUs!$C$2:$C$10001),"")</f>
        <v>0</v>
      </c>
      <c r="H293" s="33" cm="1">
        <f t="array" ref="H293">IFERROR(_xlfn.XLOOKUP(1, (dd_accsryclr!$C$2:$C$1000=accsry_unmerged!F293)*(dd_accsryclr!$B$2:$B$1000=accsry_unmerged!J293),dd_accsryclr!$A$2:$A$1000),"")</f>
        <v>0</v>
      </c>
      <c r="I293" s="16">
        <f>_xlfn.XLOOKUP(C293,'Project Details'!$C$17:$C$66,'Project Details'!$E$17:$E$66,"",0)</f>
        <v>0</v>
      </c>
      <c r="J293" s="16">
        <f>_xlfn.XLOOKUP(C293,'Project Details'!$C$17:$C$66,'Project Details'!$H$17:$H$66,"",0)</f>
        <v>0</v>
      </c>
      <c r="K293" s="33" t="str">
        <f>IF(AND(_xlfn.XLOOKUP(C293,'Project Details'!$C$17:$C$66,'Project Details'!$L$17:$L$66,"",0)&gt;550, F293="Spring-L27cm"),"",SUBSTITUTE(_xlfn.XLOOKUP(G293,SKUs!$C$2:$C$10001,SKUs!$F$2:$F$10001,"",0), " Accessories",""))</f>
        <v/>
      </c>
      <c r="L293" s="33">
        <f>_xlfn.XLOOKUP(C293,'Project Details'!$C$17:$C$66,'Project Details'!$D$17:$D$66,"",0)</f>
        <v>0</v>
      </c>
      <c r="M293" s="43"/>
    </row>
    <row r="294" spans="1:13" ht="13.5" customHeight="1" x14ac:dyDescent="0.25">
      <c r="A294" s="43"/>
      <c r="B294" s="43"/>
      <c r="C294" s="35">
        <f t="shared" si="4"/>
        <v>6</v>
      </c>
      <c r="D294" s="35" t="str" cm="1">
        <f t="array" ref="D294">IFERROR(ROUNDUP(_xlfn.IFS(F294="Aluminum Track", _xlfn.XLOOKUP(C294, dd_accsrycalc!$A$2:$A$51, dd_accsrycalc!$B$2:$B$51, "",0), F294="10 x 2 1/2 S (Flat)", _xlfn.XLOOKUP(C294, dd_accsrycalc!$A$2:$A$51, dd_accsrycalc!$C$2:$C$51, "",0), F294="Tox6", _xlfn.XLOOKUP(C294, dd_accsrycalc!$A$2:$A$51, dd_accsrycalc!$D$2:$D$51, "",0), F294="Cover Cap", _xlfn.XLOOKUP(C294, dd_accsrycalc!$A$2:$A$51, dd_accsrycalc!$E$2:$E$51, "",0), F294="Drainage Cover", _xlfn.XLOOKUP(C294, dd_accsrycalc!$A$2:$A$51, dd_accsrycalc!$F$2:$F$51, "",0),AND( F294="Double Adhesive Tape", I294="Roll-up Screen"), _xlfn.XLOOKUP(C294, calc_rusacc!$C$15:$C$65, calc_rusacc!$AD$15:$AD$65, "",0),AND( F294="Sealant", I294="Roll-up Screen"), _xlfn.XLOOKUP(C294, calc_rusacc!$C$15:$C$65, calc_rusacc!$AF$15:$AF$65, "",0),  AND( F294="Main Chain", I294="Accordion Screen"), _xlfn.XLOOKUP(C294, calc_rusacc!$C$15:$C$65, calc_rusacc!$BF$15:$BF$65, "",0), AND( F294="Sealant", I294="Accordion Screen"), _xlfn.XLOOKUP(C294, calc_rusacc!$C$15:$C$65, calc_rusacc!$BJ$15:$BJ$65, "",0),  F294="Sealant", _xlfn.XLOOKUP(C294, dd_accsrycalc!$A$2:$A$51, dd_accsrycalc!$G$2:$G$51, "",0),  F294&lt;&gt;"",L294*_xlfn.XLOOKUP(1, (SKUs!$C$2:$C$10001=G294)*(SKUs!$K$2:$K$10001=I294),SKUs!$E$2:$E$10001)), 0),"")</f>
        <v/>
      </c>
      <c r="E294" s="35" t="str">
        <f>_xlfn.XLOOKUP(F294,dd_item!$B$2:$B$105,dd_item!$C$2:$C$105,"",0)</f>
        <v/>
      </c>
      <c r="F294" s="35"/>
      <c r="G294" s="35" cm="1">
        <f t="array" ref="G294">IFERROR(_xlfn.XLOOKUP(1, (SKUs!$J$2:$J$10001=accsry_unmerged!F294)*IF(H294&lt;&gt;"",(SKUs!$L$2:$L$10001=accsry_unmerged!H294),1)*(SKUs!$K$2:$K$10001=I294),SKUs!$C$2:$C$10001),"")</f>
        <v>0</v>
      </c>
      <c r="H294" s="36" cm="1">
        <f t="array" ref="H294">IFERROR(_xlfn.XLOOKUP(1, (dd_accsryclr!$C$2:$C$1000=accsry_unmerged!F294)*(dd_accsryclr!$B$2:$B$1000=accsry_unmerged!J294),dd_accsryclr!$A$2:$A$1000),"")</f>
        <v>0</v>
      </c>
      <c r="I294" s="35">
        <f>_xlfn.XLOOKUP(C294,'Project Details'!$C$17:$C$66,'Project Details'!$E$17:$E$66,"",0)</f>
        <v>0</v>
      </c>
      <c r="J294" s="35">
        <f>_xlfn.XLOOKUP(C294,'Project Details'!$C$17:$C$66,'Project Details'!$H$17:$H$66,"",0)</f>
        <v>0</v>
      </c>
      <c r="K294" s="36" t="str">
        <f>IF(AND(_xlfn.XLOOKUP(C294,'Project Details'!$C$17:$C$66,'Project Details'!$L$17:$L$66,"",0)&gt;550, F294="Spring-L27cm"),"",SUBSTITUTE(_xlfn.XLOOKUP(G294,SKUs!$C$2:$C$10001,SKUs!$F$2:$F$10001,"",0), " Accessories",""))</f>
        <v/>
      </c>
      <c r="L294" s="36">
        <f>_xlfn.XLOOKUP(C294,'Project Details'!$C$17:$C$66,'Project Details'!$D$17:$D$66,"",0)</f>
        <v>0</v>
      </c>
      <c r="M294" s="43"/>
    </row>
    <row r="295" spans="1:13" ht="13.5" customHeight="1" outlineLevel="1" x14ac:dyDescent="0.25">
      <c r="A295" s="43"/>
      <c r="B295" s="43"/>
      <c r="C295" s="16">
        <f t="shared" si="4"/>
        <v>6</v>
      </c>
      <c r="D295" s="16" t="str" cm="1">
        <f t="array" ref="D295">IFERROR(ROUNDUP(_xlfn.IFS(F295="Aluminum Track", _xlfn.XLOOKUP(C295, dd_accsrycalc!$A$2:$A$51, dd_accsrycalc!$B$2:$B$51, "",0), F295="10 x 2 1/2 S (Flat)", _xlfn.XLOOKUP(C295, dd_accsrycalc!$A$2:$A$51, dd_accsrycalc!$C$2:$C$51, "",0), F295="Tox6", _xlfn.XLOOKUP(C295, dd_accsrycalc!$A$2:$A$51, dd_accsrycalc!$D$2:$D$51, "",0), F295="Cover Cap", _xlfn.XLOOKUP(C295, dd_accsrycalc!$A$2:$A$51, dd_accsrycalc!$E$2:$E$51, "",0), F295="Drainage Cover", _xlfn.XLOOKUP(C295, dd_accsrycalc!$A$2:$A$51, dd_accsrycalc!$F$2:$F$51, "",0),AND( F295="Double Adhesive Tape", I295="Roll-up Screen"), _xlfn.XLOOKUP(C295, calc_rusacc!$C$15:$C$65, calc_rusacc!$AD$15:$AD$65, "",0),AND( F295="Sealant", I295="Roll-up Screen"), _xlfn.XLOOKUP(C295, calc_rusacc!$C$15:$C$65, calc_rusacc!$AF$15:$AF$65, "",0),  AND( F295="Main Chain", I295="Accordion Screen"), _xlfn.XLOOKUP(C295, calc_rusacc!$C$15:$C$65, calc_rusacc!$BF$15:$BF$65, "",0), AND( F295="Sealant", I295="Accordion Screen"), _xlfn.XLOOKUP(C295, calc_rusacc!$C$15:$C$65, calc_rusacc!$BJ$15:$BJ$65, "",0),  F295="Sealant", _xlfn.XLOOKUP(C295, dd_accsrycalc!$A$2:$A$51, dd_accsrycalc!$G$2:$G$51, "",0),  F295&lt;&gt;"",L295*_xlfn.XLOOKUP(1, (SKUs!$C$2:$C$10001=G295)*(SKUs!$K$2:$K$10001=I295),SKUs!$E$2:$E$10001)), 0),"")</f>
        <v/>
      </c>
      <c r="E295" s="16" t="str">
        <f>_xlfn.XLOOKUP(F295,dd_item!$B$2:$B$105,dd_item!$C$2:$C$105,"",0)</f>
        <v/>
      </c>
      <c r="F295" s="16"/>
      <c r="G295" s="16" cm="1">
        <f t="array" ref="G295">IFERROR(_xlfn.XLOOKUP(1, (SKUs!$J$2:$J$10001=accsry_unmerged!F295)*IF(H295&lt;&gt;"",(SKUs!$L$2:$L$10001=accsry_unmerged!H295),1)*(SKUs!$K$2:$K$10001=I295),SKUs!$C$2:$C$10001),"")</f>
        <v>0</v>
      </c>
      <c r="H295" s="33" cm="1">
        <f t="array" ref="H295">IFERROR(_xlfn.XLOOKUP(1, (dd_accsryclr!$C$2:$C$1000=accsry_unmerged!F295)*(dd_accsryclr!$B$2:$B$1000=accsry_unmerged!J295),dd_accsryclr!$A$2:$A$1000),"")</f>
        <v>0</v>
      </c>
      <c r="I295" s="16">
        <f>_xlfn.XLOOKUP(C295,'Project Details'!$C$17:$C$66,'Project Details'!$E$17:$E$66,"",0)</f>
        <v>0</v>
      </c>
      <c r="J295" s="16">
        <f>_xlfn.XLOOKUP(C295,'Project Details'!$C$17:$C$66,'Project Details'!$H$17:$H$66,"",0)</f>
        <v>0</v>
      </c>
      <c r="K295" s="33" t="str">
        <f>IF(AND(_xlfn.XLOOKUP(C295,'Project Details'!$C$17:$C$66,'Project Details'!$L$17:$L$66,"",0)&gt;550, F295="Spring-L27cm"),"",SUBSTITUTE(_xlfn.XLOOKUP(G295,SKUs!$C$2:$C$10001,SKUs!$F$2:$F$10001,"",0), " Accessories",""))</f>
        <v/>
      </c>
      <c r="L295" s="33">
        <f>_xlfn.XLOOKUP(C295,'Project Details'!$C$17:$C$66,'Project Details'!$D$17:$D$66,"",0)</f>
        <v>0</v>
      </c>
      <c r="M295" s="43"/>
    </row>
    <row r="296" spans="1:13" ht="13.5" customHeight="1" outlineLevel="1" x14ac:dyDescent="0.25">
      <c r="A296" s="43"/>
      <c r="B296" s="43"/>
      <c r="C296" s="35">
        <f t="shared" si="4"/>
        <v>6</v>
      </c>
      <c r="D296" s="35" t="str" cm="1">
        <f t="array" ref="D296">IFERROR(ROUNDUP(_xlfn.IFS(F296="Aluminum Track", _xlfn.XLOOKUP(C296, dd_accsrycalc!$A$2:$A$51, dd_accsrycalc!$B$2:$B$51, "",0), F296="10 x 2 1/2 S (Flat)", _xlfn.XLOOKUP(C296, dd_accsrycalc!$A$2:$A$51, dd_accsrycalc!$C$2:$C$51, "",0), F296="Tox6", _xlfn.XLOOKUP(C296, dd_accsrycalc!$A$2:$A$51, dd_accsrycalc!$D$2:$D$51, "",0), F296="Cover Cap", _xlfn.XLOOKUP(C296, dd_accsrycalc!$A$2:$A$51, dd_accsrycalc!$E$2:$E$51, "",0), F296="Drainage Cover", _xlfn.XLOOKUP(C296, dd_accsrycalc!$A$2:$A$51, dd_accsrycalc!$F$2:$F$51, "",0),AND( F296="Double Adhesive Tape", I296="Roll-up Screen"), _xlfn.XLOOKUP(C296, calc_rusacc!$C$15:$C$65, calc_rusacc!$AD$15:$AD$65, "",0),AND( F296="Sealant", I296="Roll-up Screen"), _xlfn.XLOOKUP(C296, calc_rusacc!$C$15:$C$65, calc_rusacc!$AF$15:$AF$65, "",0),  AND( F296="Main Chain", I296="Accordion Screen"), _xlfn.XLOOKUP(C296, calc_rusacc!$C$15:$C$65, calc_rusacc!$BF$15:$BF$65, "",0), AND( F296="Sealant", I296="Accordion Screen"), _xlfn.XLOOKUP(C296, calc_rusacc!$C$15:$C$65, calc_rusacc!$BJ$15:$BJ$65, "",0),  F296="Sealant", _xlfn.XLOOKUP(C296, dd_accsrycalc!$A$2:$A$51, dd_accsrycalc!$G$2:$G$51, "",0),  F296&lt;&gt;"",L296*_xlfn.XLOOKUP(1, (SKUs!$C$2:$C$10001=G296)*(SKUs!$K$2:$K$10001=I296),SKUs!$E$2:$E$10001)), 0),"")</f>
        <v/>
      </c>
      <c r="E296" s="35" t="str">
        <f>_xlfn.XLOOKUP(F296,dd_item!$B$2:$B$105,dd_item!$C$2:$C$105,"",0)</f>
        <v/>
      </c>
      <c r="F296" s="35"/>
      <c r="G296" s="35" cm="1">
        <f t="array" ref="G296">IFERROR(_xlfn.XLOOKUP(1, (SKUs!$J$2:$J$10001=accsry_unmerged!F296)*IF(H296&lt;&gt;"",(SKUs!$L$2:$L$10001=accsry_unmerged!H296),1)*(SKUs!$K$2:$K$10001=I296),SKUs!$C$2:$C$10001),"")</f>
        <v>0</v>
      </c>
      <c r="H296" s="36" cm="1">
        <f t="array" ref="H296">IFERROR(_xlfn.XLOOKUP(1, (dd_accsryclr!$C$2:$C$1000=accsry_unmerged!F296)*(dd_accsryclr!$B$2:$B$1000=accsry_unmerged!J296),dd_accsryclr!$A$2:$A$1000),"")</f>
        <v>0</v>
      </c>
      <c r="I296" s="35">
        <f>_xlfn.XLOOKUP(C296,'Project Details'!$C$17:$C$66,'Project Details'!$E$17:$E$66,"",0)</f>
        <v>0</v>
      </c>
      <c r="J296" s="35">
        <f>_xlfn.XLOOKUP(C296,'Project Details'!$C$17:$C$66,'Project Details'!$H$17:$H$66,"",0)</f>
        <v>0</v>
      </c>
      <c r="K296" s="36" t="str">
        <f>IF(AND(_xlfn.XLOOKUP(C296,'Project Details'!$C$17:$C$66,'Project Details'!$L$17:$L$66,"",0)&gt;550, F296="Spring-L27cm"),"",SUBSTITUTE(_xlfn.XLOOKUP(G296,SKUs!$C$2:$C$10001,SKUs!$F$2:$F$10001,"",0), " Accessories",""))</f>
        <v/>
      </c>
      <c r="L296" s="36">
        <f>_xlfn.XLOOKUP(C296,'Project Details'!$C$17:$C$66,'Project Details'!$D$17:$D$66,"",0)</f>
        <v>0</v>
      </c>
      <c r="M296" s="43"/>
    </row>
    <row r="297" spans="1:13" ht="13.5" customHeight="1" outlineLevel="1" x14ac:dyDescent="0.25">
      <c r="A297" s="43"/>
      <c r="B297" s="43"/>
      <c r="C297" s="16">
        <f t="shared" si="4"/>
        <v>6</v>
      </c>
      <c r="D297" s="16" t="str" cm="1">
        <f t="array" ref="D297">IFERROR(ROUNDUP(_xlfn.IFS(F297="Aluminum Track", _xlfn.XLOOKUP(C297, dd_accsrycalc!$A$2:$A$51, dd_accsrycalc!$B$2:$B$51, "",0), F297="10 x 2 1/2 S (Flat)", _xlfn.XLOOKUP(C297, dd_accsrycalc!$A$2:$A$51, dd_accsrycalc!$C$2:$C$51, "",0), F297="Tox6", _xlfn.XLOOKUP(C297, dd_accsrycalc!$A$2:$A$51, dd_accsrycalc!$D$2:$D$51, "",0), F297="Cover Cap", _xlfn.XLOOKUP(C297, dd_accsrycalc!$A$2:$A$51, dd_accsrycalc!$E$2:$E$51, "",0), F297="Drainage Cover", _xlfn.XLOOKUP(C297, dd_accsrycalc!$A$2:$A$51, dd_accsrycalc!$F$2:$F$51, "",0),AND( F297="Double Adhesive Tape", I297="Roll-up Screen"), _xlfn.XLOOKUP(C297, calc_rusacc!$C$15:$C$65, calc_rusacc!$AD$15:$AD$65, "",0),AND( F297="Sealant", I297="Roll-up Screen"), _xlfn.XLOOKUP(C297, calc_rusacc!$C$15:$C$65, calc_rusacc!$AF$15:$AF$65, "",0),  AND( F297="Main Chain", I297="Accordion Screen"), _xlfn.XLOOKUP(C297, calc_rusacc!$C$15:$C$65, calc_rusacc!$BF$15:$BF$65, "",0), AND( F297="Sealant", I297="Accordion Screen"), _xlfn.XLOOKUP(C297, calc_rusacc!$C$15:$C$65, calc_rusacc!$BJ$15:$BJ$65, "",0),  F297="Sealant", _xlfn.XLOOKUP(C297, dd_accsrycalc!$A$2:$A$51, dd_accsrycalc!$G$2:$G$51, "",0),  F297&lt;&gt;"",L297*_xlfn.XLOOKUP(1, (SKUs!$C$2:$C$10001=G297)*(SKUs!$K$2:$K$10001=I297),SKUs!$E$2:$E$10001)), 0),"")</f>
        <v/>
      </c>
      <c r="E297" s="16" t="str">
        <f>_xlfn.XLOOKUP(F297,dd_item!$B$2:$B$105,dd_item!$C$2:$C$105,"",0)</f>
        <v/>
      </c>
      <c r="F297" s="16"/>
      <c r="G297" s="16" cm="1">
        <f t="array" ref="G297">IFERROR(_xlfn.XLOOKUP(1, (SKUs!$J$2:$J$10001=accsry_unmerged!F297)*IF(H297&lt;&gt;"",(SKUs!$L$2:$L$10001=accsry_unmerged!H297),1)*(SKUs!$K$2:$K$10001=I297),SKUs!$C$2:$C$10001),"")</f>
        <v>0</v>
      </c>
      <c r="H297" s="33" cm="1">
        <f t="array" ref="H297">IFERROR(_xlfn.XLOOKUP(1, (dd_accsryclr!$C$2:$C$1000=accsry_unmerged!F297)*(dd_accsryclr!$B$2:$B$1000=accsry_unmerged!J297),dd_accsryclr!$A$2:$A$1000),"")</f>
        <v>0</v>
      </c>
      <c r="I297" s="16">
        <f>_xlfn.XLOOKUP(C297,'Project Details'!$C$17:$C$66,'Project Details'!$E$17:$E$66,"",0)</f>
        <v>0</v>
      </c>
      <c r="J297" s="16">
        <f>_xlfn.XLOOKUP(C297,'Project Details'!$C$17:$C$66,'Project Details'!$H$17:$H$66,"",0)</f>
        <v>0</v>
      </c>
      <c r="K297" s="33" t="str">
        <f>IF(AND(_xlfn.XLOOKUP(C297,'Project Details'!$C$17:$C$66,'Project Details'!$L$17:$L$66,"",0)&gt;550, F297="Spring-L27cm"),"",SUBSTITUTE(_xlfn.XLOOKUP(G297,SKUs!$C$2:$C$10001,SKUs!$F$2:$F$10001,"",0), " Accessories",""))</f>
        <v/>
      </c>
      <c r="L297" s="33">
        <f>_xlfn.XLOOKUP(C297,'Project Details'!$C$17:$C$66,'Project Details'!$D$17:$D$66,"",0)</f>
        <v>0</v>
      </c>
      <c r="M297" s="43"/>
    </row>
    <row r="298" spans="1:13" ht="13.5" customHeight="1" outlineLevel="1" x14ac:dyDescent="0.25">
      <c r="A298" s="43"/>
      <c r="B298" s="43"/>
      <c r="C298" s="35">
        <f t="shared" si="4"/>
        <v>6</v>
      </c>
      <c r="D298" s="35" t="str" cm="1">
        <f t="array" ref="D298">IFERROR(ROUNDUP(_xlfn.IFS(F298="Aluminum Track", _xlfn.XLOOKUP(C298, dd_accsrycalc!$A$2:$A$51, dd_accsrycalc!$B$2:$B$51, "",0), F298="10 x 2 1/2 S (Flat)", _xlfn.XLOOKUP(C298, dd_accsrycalc!$A$2:$A$51, dd_accsrycalc!$C$2:$C$51, "",0), F298="Tox6", _xlfn.XLOOKUP(C298, dd_accsrycalc!$A$2:$A$51, dd_accsrycalc!$D$2:$D$51, "",0), F298="Cover Cap", _xlfn.XLOOKUP(C298, dd_accsrycalc!$A$2:$A$51, dd_accsrycalc!$E$2:$E$51, "",0), F298="Drainage Cover", _xlfn.XLOOKUP(C298, dd_accsrycalc!$A$2:$A$51, dd_accsrycalc!$F$2:$F$51, "",0),AND( F298="Double Adhesive Tape", I298="Roll-up Screen"), _xlfn.XLOOKUP(C298, calc_rusacc!$C$15:$C$65, calc_rusacc!$AD$15:$AD$65, "",0),AND( F298="Sealant", I298="Roll-up Screen"), _xlfn.XLOOKUP(C298, calc_rusacc!$C$15:$C$65, calc_rusacc!$AF$15:$AF$65, "",0),  AND( F298="Main Chain", I298="Accordion Screen"), _xlfn.XLOOKUP(C298, calc_rusacc!$C$15:$C$65, calc_rusacc!$BF$15:$BF$65, "",0), AND( F298="Sealant", I298="Accordion Screen"), _xlfn.XLOOKUP(C298, calc_rusacc!$C$15:$C$65, calc_rusacc!$BJ$15:$BJ$65, "",0),  F298="Sealant", _xlfn.XLOOKUP(C298, dd_accsrycalc!$A$2:$A$51, dd_accsrycalc!$G$2:$G$51, "",0),  F298&lt;&gt;"",L298*_xlfn.XLOOKUP(1, (SKUs!$C$2:$C$10001=G298)*(SKUs!$K$2:$K$10001=I298),SKUs!$E$2:$E$10001)), 0),"")</f>
        <v/>
      </c>
      <c r="E298" s="35" t="str">
        <f>_xlfn.XLOOKUP(F298,dd_item!$B$2:$B$105,dd_item!$C$2:$C$105,"",0)</f>
        <v/>
      </c>
      <c r="F298" s="35"/>
      <c r="G298" s="35" cm="1">
        <f t="array" ref="G298">IFERROR(_xlfn.XLOOKUP(1, (SKUs!$J$2:$J$10001=accsry_unmerged!F298)*IF(H298&lt;&gt;"",(SKUs!$L$2:$L$10001=accsry_unmerged!H298),1)*(SKUs!$K$2:$K$10001=I298),SKUs!$C$2:$C$10001),"")</f>
        <v>0</v>
      </c>
      <c r="H298" s="36" cm="1">
        <f t="array" ref="H298">IFERROR(_xlfn.XLOOKUP(1, (dd_accsryclr!$C$2:$C$1000=accsry_unmerged!F298)*(dd_accsryclr!$B$2:$B$1000=accsry_unmerged!J298),dd_accsryclr!$A$2:$A$1000),"")</f>
        <v>0</v>
      </c>
      <c r="I298" s="35">
        <f>_xlfn.XLOOKUP(C298,'Project Details'!$C$17:$C$66,'Project Details'!$E$17:$E$66,"",0)</f>
        <v>0</v>
      </c>
      <c r="J298" s="35">
        <f>_xlfn.XLOOKUP(C298,'Project Details'!$C$17:$C$66,'Project Details'!$H$17:$H$66,"",0)</f>
        <v>0</v>
      </c>
      <c r="K298" s="36" t="str">
        <f>IF(AND(_xlfn.XLOOKUP(C298,'Project Details'!$C$17:$C$66,'Project Details'!$L$17:$L$66,"",0)&gt;550, F298="Spring-L27cm"),"",SUBSTITUTE(_xlfn.XLOOKUP(G298,SKUs!$C$2:$C$10001,SKUs!$F$2:$F$10001,"",0), " Accessories",""))</f>
        <v/>
      </c>
      <c r="L298" s="36">
        <f>_xlfn.XLOOKUP(C298,'Project Details'!$C$17:$C$66,'Project Details'!$D$17:$D$66,"",0)</f>
        <v>0</v>
      </c>
      <c r="M298" s="43"/>
    </row>
    <row r="299" spans="1:13" ht="13.5" customHeight="1" outlineLevel="1" x14ac:dyDescent="0.25">
      <c r="A299" s="43"/>
      <c r="B299" s="43"/>
      <c r="C299" s="16">
        <f t="shared" si="4"/>
        <v>6</v>
      </c>
      <c r="D299" s="16" t="str" cm="1">
        <f t="array" ref="D299">IFERROR(ROUNDUP(_xlfn.IFS(F299="Aluminum Track", _xlfn.XLOOKUP(C299, dd_accsrycalc!$A$2:$A$51, dd_accsrycalc!$B$2:$B$51, "",0), F299="10 x 2 1/2 S (Flat)", _xlfn.XLOOKUP(C299, dd_accsrycalc!$A$2:$A$51, dd_accsrycalc!$C$2:$C$51, "",0), F299="Tox6", _xlfn.XLOOKUP(C299, dd_accsrycalc!$A$2:$A$51, dd_accsrycalc!$D$2:$D$51, "",0), F299="Cover Cap", _xlfn.XLOOKUP(C299, dd_accsrycalc!$A$2:$A$51, dd_accsrycalc!$E$2:$E$51, "",0), F299="Drainage Cover", _xlfn.XLOOKUP(C299, dd_accsrycalc!$A$2:$A$51, dd_accsrycalc!$F$2:$F$51, "",0),AND( F299="Double Adhesive Tape", I299="Roll-up Screen"), _xlfn.XLOOKUP(C299, calc_rusacc!$C$15:$C$65, calc_rusacc!$AD$15:$AD$65, "",0),AND( F299="Sealant", I299="Roll-up Screen"), _xlfn.XLOOKUP(C299, calc_rusacc!$C$15:$C$65, calc_rusacc!$AF$15:$AF$65, "",0),  AND( F299="Main Chain", I299="Accordion Screen"), _xlfn.XLOOKUP(C299, calc_rusacc!$C$15:$C$65, calc_rusacc!$BF$15:$BF$65, "",0), AND( F299="Sealant", I299="Accordion Screen"), _xlfn.XLOOKUP(C299, calc_rusacc!$C$15:$C$65, calc_rusacc!$BJ$15:$BJ$65, "",0),  F299="Sealant", _xlfn.XLOOKUP(C299, dd_accsrycalc!$A$2:$A$51, dd_accsrycalc!$G$2:$G$51, "",0),  F299&lt;&gt;"",L299*_xlfn.XLOOKUP(1, (SKUs!$C$2:$C$10001=G299)*(SKUs!$K$2:$K$10001=I299),SKUs!$E$2:$E$10001)), 0),"")</f>
        <v/>
      </c>
      <c r="E299" s="16" t="str">
        <f>_xlfn.XLOOKUP(F299,dd_item!$B$2:$B$105,dd_item!$C$2:$C$105,"",0)</f>
        <v/>
      </c>
      <c r="F299" s="16"/>
      <c r="G299" s="16" cm="1">
        <f t="array" ref="G299">IFERROR(_xlfn.XLOOKUP(1, (SKUs!$J$2:$J$10001=accsry_unmerged!F299)*IF(H299&lt;&gt;"",(SKUs!$L$2:$L$10001=accsry_unmerged!H299),1)*(SKUs!$K$2:$K$10001=I299),SKUs!$C$2:$C$10001),"")</f>
        <v>0</v>
      </c>
      <c r="H299" s="33" cm="1">
        <f t="array" ref="H299">IFERROR(_xlfn.XLOOKUP(1, (dd_accsryclr!$C$2:$C$1000=accsry_unmerged!F299)*(dd_accsryclr!$B$2:$B$1000=accsry_unmerged!J299),dd_accsryclr!$A$2:$A$1000),"")</f>
        <v>0</v>
      </c>
      <c r="I299" s="16">
        <f>_xlfn.XLOOKUP(C299,'Project Details'!$C$17:$C$66,'Project Details'!$E$17:$E$66,"",0)</f>
        <v>0</v>
      </c>
      <c r="J299" s="16">
        <f>_xlfn.XLOOKUP(C299,'Project Details'!$C$17:$C$66,'Project Details'!$H$17:$H$66,"",0)</f>
        <v>0</v>
      </c>
      <c r="K299" s="33" t="str">
        <f>IF(AND(_xlfn.XLOOKUP(C299,'Project Details'!$C$17:$C$66,'Project Details'!$L$17:$L$66,"",0)&gt;550, F299="Spring-L27cm"),"",SUBSTITUTE(_xlfn.XLOOKUP(G299,SKUs!$C$2:$C$10001,SKUs!$F$2:$F$10001,"",0), " Accessories",""))</f>
        <v/>
      </c>
      <c r="L299" s="33">
        <f>_xlfn.XLOOKUP(C299,'Project Details'!$C$17:$C$66,'Project Details'!$D$17:$D$66,"",0)</f>
        <v>0</v>
      </c>
      <c r="M299" s="43"/>
    </row>
    <row r="300" spans="1:13" ht="13.5" customHeight="1" outlineLevel="1" x14ac:dyDescent="0.25">
      <c r="A300" s="43"/>
      <c r="B300" s="43"/>
      <c r="C300" s="35">
        <f t="shared" si="4"/>
        <v>6</v>
      </c>
      <c r="D300" s="35" t="str" cm="1">
        <f t="array" ref="D300">IFERROR(ROUNDUP(_xlfn.IFS(F300="Aluminum Track", _xlfn.XLOOKUP(C300, dd_accsrycalc!$A$2:$A$51, dd_accsrycalc!$B$2:$B$51, "",0), F300="10 x 2 1/2 S (Flat)", _xlfn.XLOOKUP(C300, dd_accsrycalc!$A$2:$A$51, dd_accsrycalc!$C$2:$C$51, "",0), F300="Tox6", _xlfn.XLOOKUP(C300, dd_accsrycalc!$A$2:$A$51, dd_accsrycalc!$D$2:$D$51, "",0), F300="Cover Cap", _xlfn.XLOOKUP(C300, dd_accsrycalc!$A$2:$A$51, dd_accsrycalc!$E$2:$E$51, "",0), F300="Drainage Cover", _xlfn.XLOOKUP(C300, dd_accsrycalc!$A$2:$A$51, dd_accsrycalc!$F$2:$F$51, "",0),AND( F300="Double Adhesive Tape", I300="Roll-up Screen"), _xlfn.XLOOKUP(C300, calc_rusacc!$C$15:$C$65, calc_rusacc!$AD$15:$AD$65, "",0),AND( F300="Sealant", I300="Roll-up Screen"), _xlfn.XLOOKUP(C300, calc_rusacc!$C$15:$C$65, calc_rusacc!$AF$15:$AF$65, "",0),  AND( F300="Main Chain", I300="Accordion Screen"), _xlfn.XLOOKUP(C300, calc_rusacc!$C$15:$C$65, calc_rusacc!$BF$15:$BF$65, "",0), AND( F300="Sealant", I300="Accordion Screen"), _xlfn.XLOOKUP(C300, calc_rusacc!$C$15:$C$65, calc_rusacc!$BJ$15:$BJ$65, "",0),  F300="Sealant", _xlfn.XLOOKUP(C300, dd_accsrycalc!$A$2:$A$51, dd_accsrycalc!$G$2:$G$51, "",0),  F300&lt;&gt;"",L300*_xlfn.XLOOKUP(1, (SKUs!$C$2:$C$10001=G300)*(SKUs!$K$2:$K$10001=I300),SKUs!$E$2:$E$10001)), 0),"")</f>
        <v/>
      </c>
      <c r="E300" s="35" t="str">
        <f>_xlfn.XLOOKUP(F300,dd_item!$B$2:$B$105,dd_item!$C$2:$C$105,"",0)</f>
        <v/>
      </c>
      <c r="F300" s="35"/>
      <c r="G300" s="35" cm="1">
        <f t="array" ref="G300">IFERROR(_xlfn.XLOOKUP(1, (SKUs!$J$2:$J$10001=accsry_unmerged!F300)*IF(H300&lt;&gt;"",(SKUs!$L$2:$L$10001=accsry_unmerged!H300),1)*(SKUs!$K$2:$K$10001=I300),SKUs!$C$2:$C$10001),"")</f>
        <v>0</v>
      </c>
      <c r="H300" s="36" cm="1">
        <f t="array" ref="H300">IFERROR(_xlfn.XLOOKUP(1, (dd_accsryclr!$C$2:$C$1000=accsry_unmerged!F300)*(dd_accsryclr!$B$2:$B$1000=accsry_unmerged!J300),dd_accsryclr!$A$2:$A$1000),"")</f>
        <v>0</v>
      </c>
      <c r="I300" s="35">
        <f>_xlfn.XLOOKUP(C300,'Project Details'!$C$17:$C$66,'Project Details'!$E$17:$E$66,"",0)</f>
        <v>0</v>
      </c>
      <c r="J300" s="35">
        <f>_xlfn.XLOOKUP(C300,'Project Details'!$C$17:$C$66,'Project Details'!$H$17:$H$66,"",0)</f>
        <v>0</v>
      </c>
      <c r="K300" s="36" t="str">
        <f>IF(AND(_xlfn.XLOOKUP(C300,'Project Details'!$C$17:$C$66,'Project Details'!$L$17:$L$66,"",0)&gt;550, F300="Spring-L27cm"),"",SUBSTITUTE(_xlfn.XLOOKUP(G300,SKUs!$C$2:$C$10001,SKUs!$F$2:$F$10001,"",0), " Accessories",""))</f>
        <v/>
      </c>
      <c r="L300" s="36">
        <f>_xlfn.XLOOKUP(C300,'Project Details'!$C$17:$C$66,'Project Details'!$D$17:$D$66,"",0)</f>
        <v>0</v>
      </c>
      <c r="M300" s="43"/>
    </row>
    <row r="301" spans="1:13" ht="13.5" customHeight="1" outlineLevel="1" x14ac:dyDescent="0.25">
      <c r="A301" s="43"/>
      <c r="B301" s="43"/>
      <c r="C301" s="16">
        <f t="shared" si="4"/>
        <v>6</v>
      </c>
      <c r="D301" s="16" t="str" cm="1">
        <f t="array" ref="D301">IFERROR(ROUNDUP(_xlfn.IFS(F301="Aluminum Track", _xlfn.XLOOKUP(C301, dd_accsrycalc!$A$2:$A$51, dd_accsrycalc!$B$2:$B$51, "",0), F301="10 x 2 1/2 S (Flat)", _xlfn.XLOOKUP(C301, dd_accsrycalc!$A$2:$A$51, dd_accsrycalc!$C$2:$C$51, "",0), F301="Tox6", _xlfn.XLOOKUP(C301, dd_accsrycalc!$A$2:$A$51, dd_accsrycalc!$D$2:$D$51, "",0), F301="Cover Cap", _xlfn.XLOOKUP(C301, dd_accsrycalc!$A$2:$A$51, dd_accsrycalc!$E$2:$E$51, "",0), F301="Drainage Cover", _xlfn.XLOOKUP(C301, dd_accsrycalc!$A$2:$A$51, dd_accsrycalc!$F$2:$F$51, "",0),AND( F301="Double Adhesive Tape", I301="Roll-up Screen"), _xlfn.XLOOKUP(C301, calc_rusacc!$C$15:$C$65, calc_rusacc!$AD$15:$AD$65, "",0),AND( F301="Sealant", I301="Roll-up Screen"), _xlfn.XLOOKUP(C301, calc_rusacc!$C$15:$C$65, calc_rusacc!$AF$15:$AF$65, "",0),  AND( F301="Main Chain", I301="Accordion Screen"), _xlfn.XLOOKUP(C301, calc_rusacc!$C$15:$C$65, calc_rusacc!$BF$15:$BF$65, "",0), AND( F301="Sealant", I301="Accordion Screen"), _xlfn.XLOOKUP(C301, calc_rusacc!$C$15:$C$65, calc_rusacc!$BJ$15:$BJ$65, "",0),  F301="Sealant", _xlfn.XLOOKUP(C301, dd_accsrycalc!$A$2:$A$51, dd_accsrycalc!$G$2:$G$51, "",0),  F301&lt;&gt;"",L301*_xlfn.XLOOKUP(1, (SKUs!$C$2:$C$10001=G301)*(SKUs!$K$2:$K$10001=I301),SKUs!$E$2:$E$10001)), 0),"")</f>
        <v/>
      </c>
      <c r="E301" s="16" t="str">
        <f>_xlfn.XLOOKUP(F301,dd_item!$B$2:$B$105,dd_item!$C$2:$C$105,"",0)</f>
        <v/>
      </c>
      <c r="F301" s="16"/>
      <c r="G301" s="16" cm="1">
        <f t="array" ref="G301">IFERROR(_xlfn.XLOOKUP(1, (SKUs!$J$2:$J$10001=accsry_unmerged!F301)*IF(H301&lt;&gt;"",(SKUs!$L$2:$L$10001=accsry_unmerged!H301),1)*(SKUs!$K$2:$K$10001=I301),SKUs!$C$2:$C$10001),"")</f>
        <v>0</v>
      </c>
      <c r="H301" s="33" cm="1">
        <f t="array" ref="H301">IFERROR(_xlfn.XLOOKUP(1, (dd_accsryclr!$C$2:$C$1000=accsry_unmerged!F301)*(dd_accsryclr!$B$2:$B$1000=accsry_unmerged!J301),dd_accsryclr!$A$2:$A$1000),"")</f>
        <v>0</v>
      </c>
      <c r="I301" s="16">
        <f>_xlfn.XLOOKUP(C301,'Project Details'!$C$17:$C$66,'Project Details'!$E$17:$E$66,"",0)</f>
        <v>0</v>
      </c>
      <c r="J301" s="16">
        <f>_xlfn.XLOOKUP(C301,'Project Details'!$C$17:$C$66,'Project Details'!$H$17:$H$66,"",0)</f>
        <v>0</v>
      </c>
      <c r="K301" s="33" t="str">
        <f>IF(AND(_xlfn.XLOOKUP(C301,'Project Details'!$C$17:$C$66,'Project Details'!$L$17:$L$66,"",0)&gt;550, F301="Spring-L27cm"),"",SUBSTITUTE(_xlfn.XLOOKUP(G301,SKUs!$C$2:$C$10001,SKUs!$F$2:$F$10001,"",0), " Accessories",""))</f>
        <v/>
      </c>
      <c r="L301" s="33">
        <f>_xlfn.XLOOKUP(C301,'Project Details'!$C$17:$C$66,'Project Details'!$D$17:$D$66,"",0)</f>
        <v>0</v>
      </c>
      <c r="M301" s="43"/>
    </row>
    <row r="302" spans="1:13" ht="13.5" customHeight="1" outlineLevel="1" x14ac:dyDescent="0.25">
      <c r="A302" s="43"/>
      <c r="B302" s="43"/>
      <c r="C302" s="35">
        <f t="shared" si="4"/>
        <v>6</v>
      </c>
      <c r="D302" s="35" t="str" cm="1">
        <f t="array" ref="D302">IFERROR(ROUNDUP(_xlfn.IFS(F302="Aluminum Track", _xlfn.XLOOKUP(C302, dd_accsrycalc!$A$2:$A$51, dd_accsrycalc!$B$2:$B$51, "",0), F302="10 x 2 1/2 S (Flat)", _xlfn.XLOOKUP(C302, dd_accsrycalc!$A$2:$A$51, dd_accsrycalc!$C$2:$C$51, "",0), F302="Tox6", _xlfn.XLOOKUP(C302, dd_accsrycalc!$A$2:$A$51, dd_accsrycalc!$D$2:$D$51, "",0), F302="Cover Cap", _xlfn.XLOOKUP(C302, dd_accsrycalc!$A$2:$A$51, dd_accsrycalc!$E$2:$E$51, "",0), F302="Drainage Cover", _xlfn.XLOOKUP(C302, dd_accsrycalc!$A$2:$A$51, dd_accsrycalc!$F$2:$F$51, "",0),AND( F302="Double Adhesive Tape", I302="Roll-up Screen"), _xlfn.XLOOKUP(C302, calc_rusacc!$C$15:$C$65, calc_rusacc!$AD$15:$AD$65, "",0),AND( F302="Sealant", I302="Roll-up Screen"), _xlfn.XLOOKUP(C302, calc_rusacc!$C$15:$C$65, calc_rusacc!$AF$15:$AF$65, "",0),  AND( F302="Main Chain", I302="Accordion Screen"), _xlfn.XLOOKUP(C302, calc_rusacc!$C$15:$C$65, calc_rusacc!$BF$15:$BF$65, "",0), AND( F302="Sealant", I302="Accordion Screen"), _xlfn.XLOOKUP(C302, calc_rusacc!$C$15:$C$65, calc_rusacc!$BJ$15:$BJ$65, "",0),  F302="Sealant", _xlfn.XLOOKUP(C302, dd_accsrycalc!$A$2:$A$51, dd_accsrycalc!$G$2:$G$51, "",0),  F302&lt;&gt;"",L302*_xlfn.XLOOKUP(1, (SKUs!$C$2:$C$10001=G302)*(SKUs!$K$2:$K$10001=I302),SKUs!$E$2:$E$10001)), 0),"")</f>
        <v/>
      </c>
      <c r="E302" s="35" t="str">
        <f>_xlfn.XLOOKUP(F302,dd_item!$B$2:$B$105,dd_item!$C$2:$C$105,"",0)</f>
        <v/>
      </c>
      <c r="F302" s="35"/>
      <c r="G302" s="35" cm="1">
        <f t="array" ref="G302">IFERROR(_xlfn.XLOOKUP(1, (SKUs!$J$2:$J$10001=accsry_unmerged!F302)*IF(H302&lt;&gt;"",(SKUs!$L$2:$L$10001=accsry_unmerged!H302),1)*(SKUs!$K$2:$K$10001=I302),SKUs!$C$2:$C$10001),"")</f>
        <v>0</v>
      </c>
      <c r="H302" s="36" cm="1">
        <f t="array" ref="H302">IFERROR(_xlfn.XLOOKUP(1, (dd_accsryclr!$C$2:$C$1000=accsry_unmerged!F302)*(dd_accsryclr!$B$2:$B$1000=accsry_unmerged!J302),dd_accsryclr!$A$2:$A$1000),"")</f>
        <v>0</v>
      </c>
      <c r="I302" s="35">
        <f>_xlfn.XLOOKUP(C302,'Project Details'!$C$17:$C$66,'Project Details'!$E$17:$E$66,"",0)</f>
        <v>0</v>
      </c>
      <c r="J302" s="35">
        <f>_xlfn.XLOOKUP(C302,'Project Details'!$C$17:$C$66,'Project Details'!$H$17:$H$66,"",0)</f>
        <v>0</v>
      </c>
      <c r="K302" s="36" t="str">
        <f>IF(AND(_xlfn.XLOOKUP(C302,'Project Details'!$C$17:$C$66,'Project Details'!$L$17:$L$66,"",0)&gt;550, F302="Spring-L27cm"),"",SUBSTITUTE(_xlfn.XLOOKUP(G302,SKUs!$C$2:$C$10001,SKUs!$F$2:$F$10001,"",0), " Accessories",""))</f>
        <v/>
      </c>
      <c r="L302" s="36">
        <f>_xlfn.XLOOKUP(C302,'Project Details'!$C$17:$C$66,'Project Details'!$D$17:$D$66,"",0)</f>
        <v>0</v>
      </c>
      <c r="M302" s="43"/>
    </row>
    <row r="303" spans="1:13" ht="13.5" customHeight="1" outlineLevel="1" x14ac:dyDescent="0.25">
      <c r="A303" s="43"/>
      <c r="B303" s="43"/>
      <c r="C303" s="16">
        <f t="shared" si="4"/>
        <v>6</v>
      </c>
      <c r="D303" s="16" t="str" cm="1">
        <f t="array" ref="D303">IFERROR(ROUNDUP(_xlfn.IFS(F303="Aluminum Track", _xlfn.XLOOKUP(C303, dd_accsrycalc!$A$2:$A$51, dd_accsrycalc!$B$2:$B$51, "",0), F303="10 x 2 1/2 S (Flat)", _xlfn.XLOOKUP(C303, dd_accsrycalc!$A$2:$A$51, dd_accsrycalc!$C$2:$C$51, "",0), F303="Tox6", _xlfn.XLOOKUP(C303, dd_accsrycalc!$A$2:$A$51, dd_accsrycalc!$D$2:$D$51, "",0), F303="Cover Cap", _xlfn.XLOOKUP(C303, dd_accsrycalc!$A$2:$A$51, dd_accsrycalc!$E$2:$E$51, "",0), F303="Drainage Cover", _xlfn.XLOOKUP(C303, dd_accsrycalc!$A$2:$A$51, dd_accsrycalc!$F$2:$F$51, "",0),AND( F303="Double Adhesive Tape", I303="Roll-up Screen"), _xlfn.XLOOKUP(C303, calc_rusacc!$C$15:$C$65, calc_rusacc!$AD$15:$AD$65, "",0),AND( F303="Sealant", I303="Roll-up Screen"), _xlfn.XLOOKUP(C303, calc_rusacc!$C$15:$C$65, calc_rusacc!$AF$15:$AF$65, "",0),  AND( F303="Main Chain", I303="Accordion Screen"), _xlfn.XLOOKUP(C303, calc_rusacc!$C$15:$C$65, calc_rusacc!$BF$15:$BF$65, "",0), AND( F303="Sealant", I303="Accordion Screen"), _xlfn.XLOOKUP(C303, calc_rusacc!$C$15:$C$65, calc_rusacc!$BJ$15:$BJ$65, "",0),  F303="Sealant", _xlfn.XLOOKUP(C303, dd_accsrycalc!$A$2:$A$51, dd_accsrycalc!$G$2:$G$51, "",0),  F303&lt;&gt;"",L303*_xlfn.XLOOKUP(1, (SKUs!$C$2:$C$10001=G303)*(SKUs!$K$2:$K$10001=I303),SKUs!$E$2:$E$10001)), 0),"")</f>
        <v/>
      </c>
      <c r="E303" s="16" t="str">
        <f>_xlfn.XLOOKUP(F303,dd_item!$B$2:$B$105,dd_item!$C$2:$C$105,"",0)</f>
        <v/>
      </c>
      <c r="F303" s="16"/>
      <c r="G303" s="16" cm="1">
        <f t="array" ref="G303">IFERROR(_xlfn.XLOOKUP(1, (SKUs!$J$2:$J$10001=accsry_unmerged!F303)*IF(H303&lt;&gt;"",(SKUs!$L$2:$L$10001=accsry_unmerged!H303),1)*(SKUs!$K$2:$K$10001=I303),SKUs!$C$2:$C$10001),"")</f>
        <v>0</v>
      </c>
      <c r="H303" s="33" cm="1">
        <f t="array" ref="H303">IFERROR(_xlfn.XLOOKUP(1, (dd_accsryclr!$C$2:$C$1000=accsry_unmerged!F303)*(dd_accsryclr!$B$2:$B$1000=accsry_unmerged!J303),dd_accsryclr!$A$2:$A$1000),"")</f>
        <v>0</v>
      </c>
      <c r="I303" s="16">
        <f>_xlfn.XLOOKUP(C303,'Project Details'!$C$17:$C$66,'Project Details'!$E$17:$E$66,"",0)</f>
        <v>0</v>
      </c>
      <c r="J303" s="16">
        <f>_xlfn.XLOOKUP(C303,'Project Details'!$C$17:$C$66,'Project Details'!$H$17:$H$66,"",0)</f>
        <v>0</v>
      </c>
      <c r="K303" s="33" t="str">
        <f>IF(AND(_xlfn.XLOOKUP(C303,'Project Details'!$C$17:$C$66,'Project Details'!$L$17:$L$66,"",0)&gt;550, F303="Spring-L27cm"),"",SUBSTITUTE(_xlfn.XLOOKUP(G303,SKUs!$C$2:$C$10001,SKUs!$F$2:$F$10001,"",0), " Accessories",""))</f>
        <v/>
      </c>
      <c r="L303" s="33">
        <f>_xlfn.XLOOKUP(C303,'Project Details'!$C$17:$C$66,'Project Details'!$D$17:$D$66,"",0)</f>
        <v>0</v>
      </c>
      <c r="M303" s="43"/>
    </row>
    <row r="304" spans="1:13" ht="13.5" customHeight="1" outlineLevel="1" x14ac:dyDescent="0.25">
      <c r="A304" s="43"/>
      <c r="B304" s="43"/>
      <c r="C304" s="35">
        <f t="shared" si="4"/>
        <v>6</v>
      </c>
      <c r="D304" s="35" t="str" cm="1">
        <f t="array" ref="D304">IFERROR(ROUNDUP(_xlfn.IFS(F304="Aluminum Track", _xlfn.XLOOKUP(C304, dd_accsrycalc!$A$2:$A$51, dd_accsrycalc!$B$2:$B$51, "",0), F304="10 x 2 1/2 S (Flat)", _xlfn.XLOOKUP(C304, dd_accsrycalc!$A$2:$A$51, dd_accsrycalc!$C$2:$C$51, "",0), F304="Tox6", _xlfn.XLOOKUP(C304, dd_accsrycalc!$A$2:$A$51, dd_accsrycalc!$D$2:$D$51, "",0), F304="Cover Cap", _xlfn.XLOOKUP(C304, dd_accsrycalc!$A$2:$A$51, dd_accsrycalc!$E$2:$E$51, "",0), F304="Drainage Cover", _xlfn.XLOOKUP(C304, dd_accsrycalc!$A$2:$A$51, dd_accsrycalc!$F$2:$F$51, "",0),AND( F304="Double Adhesive Tape", I304="Roll-up Screen"), _xlfn.XLOOKUP(C304, calc_rusacc!$C$15:$C$65, calc_rusacc!$AD$15:$AD$65, "",0),AND( F304="Sealant", I304="Roll-up Screen"), _xlfn.XLOOKUP(C304, calc_rusacc!$C$15:$C$65, calc_rusacc!$AF$15:$AF$65, "",0),  AND( F304="Main Chain", I304="Accordion Screen"), _xlfn.XLOOKUP(C304, calc_rusacc!$C$15:$C$65, calc_rusacc!$BF$15:$BF$65, "",0), AND( F304="Sealant", I304="Accordion Screen"), _xlfn.XLOOKUP(C304, calc_rusacc!$C$15:$C$65, calc_rusacc!$BJ$15:$BJ$65, "",0),  F304="Sealant", _xlfn.XLOOKUP(C304, dd_accsrycalc!$A$2:$A$51, dd_accsrycalc!$G$2:$G$51, "",0),  F304&lt;&gt;"",L304*_xlfn.XLOOKUP(1, (SKUs!$C$2:$C$10001=G304)*(SKUs!$K$2:$K$10001=I304),SKUs!$E$2:$E$10001)), 0),"")</f>
        <v/>
      </c>
      <c r="E304" s="35" t="str">
        <f>_xlfn.XLOOKUP(F304,dd_item!$B$2:$B$105,dd_item!$C$2:$C$105,"",0)</f>
        <v/>
      </c>
      <c r="F304" s="35"/>
      <c r="G304" s="35" cm="1">
        <f t="array" ref="G304">IFERROR(_xlfn.XLOOKUP(1, (SKUs!$J$2:$J$10001=accsry_unmerged!F304)*IF(H304&lt;&gt;"",(SKUs!$L$2:$L$10001=accsry_unmerged!H304),1)*(SKUs!$K$2:$K$10001=I304),SKUs!$C$2:$C$10001),"")</f>
        <v>0</v>
      </c>
      <c r="H304" s="36" cm="1">
        <f t="array" ref="H304">IFERROR(_xlfn.XLOOKUP(1, (dd_accsryclr!$C$2:$C$1000=accsry_unmerged!F304)*(dd_accsryclr!$B$2:$B$1000=accsry_unmerged!J304),dd_accsryclr!$A$2:$A$1000),"")</f>
        <v>0</v>
      </c>
      <c r="I304" s="35">
        <f>_xlfn.XLOOKUP(C304,'Project Details'!$C$17:$C$66,'Project Details'!$E$17:$E$66,"",0)</f>
        <v>0</v>
      </c>
      <c r="J304" s="35">
        <f>_xlfn.XLOOKUP(C304,'Project Details'!$C$17:$C$66,'Project Details'!$H$17:$H$66,"",0)</f>
        <v>0</v>
      </c>
      <c r="K304" s="36" t="str">
        <f>IF(AND(_xlfn.XLOOKUP(C304,'Project Details'!$C$17:$C$66,'Project Details'!$L$17:$L$66,"",0)&gt;550, F304="Spring-L27cm"),"",SUBSTITUTE(_xlfn.XLOOKUP(G304,SKUs!$C$2:$C$10001,SKUs!$F$2:$F$10001,"",0), " Accessories",""))</f>
        <v/>
      </c>
      <c r="L304" s="36">
        <f>_xlfn.XLOOKUP(C304,'Project Details'!$C$17:$C$66,'Project Details'!$D$17:$D$66,"",0)</f>
        <v>0</v>
      </c>
      <c r="M304" s="43"/>
    </row>
    <row r="305" spans="1:13" ht="13.5" customHeight="1" outlineLevel="1" collapsed="1" x14ac:dyDescent="0.25">
      <c r="A305" s="43"/>
      <c r="B305" s="43"/>
      <c r="C305" s="16">
        <f t="shared" si="4"/>
        <v>6</v>
      </c>
      <c r="D305" s="16" t="str" cm="1">
        <f t="array" ref="D305">IFERROR(ROUNDUP(_xlfn.IFS(F305="Aluminum Track", _xlfn.XLOOKUP(C305, dd_accsrycalc!$A$2:$A$51, dd_accsrycalc!$B$2:$B$51, "",0), F305="10 x 2 1/2 S (Flat)", _xlfn.XLOOKUP(C305, dd_accsrycalc!$A$2:$A$51, dd_accsrycalc!$C$2:$C$51, "",0), F305="Tox6", _xlfn.XLOOKUP(C305, dd_accsrycalc!$A$2:$A$51, dd_accsrycalc!$D$2:$D$51, "",0), F305="Cover Cap", _xlfn.XLOOKUP(C305, dd_accsrycalc!$A$2:$A$51, dd_accsrycalc!$E$2:$E$51, "",0), F305="Drainage Cover", _xlfn.XLOOKUP(C305, dd_accsrycalc!$A$2:$A$51, dd_accsrycalc!$F$2:$F$51, "",0),AND( F305="Double Adhesive Tape", I305="Roll-up Screen"), _xlfn.XLOOKUP(C305, calc_rusacc!$C$15:$C$65, calc_rusacc!$AD$15:$AD$65, "",0),AND( F305="Sealant", I305="Roll-up Screen"), _xlfn.XLOOKUP(C305, calc_rusacc!$C$15:$C$65, calc_rusacc!$AF$15:$AF$65, "",0),  AND( F305="Main Chain", I305="Accordion Screen"), _xlfn.XLOOKUP(C305, calc_rusacc!$C$15:$C$65, calc_rusacc!$BF$15:$BF$65, "",0), AND( F305="Sealant", I305="Accordion Screen"), _xlfn.XLOOKUP(C305, calc_rusacc!$C$15:$C$65, calc_rusacc!$BJ$15:$BJ$65, "",0),  F305="Sealant", _xlfn.XLOOKUP(C305, dd_accsrycalc!$A$2:$A$51, dd_accsrycalc!$G$2:$G$51, "",0),  F305&lt;&gt;"",L305*_xlfn.XLOOKUP(1, (SKUs!$C$2:$C$10001=G305)*(SKUs!$K$2:$K$10001=I305),SKUs!$E$2:$E$10001)), 0),"")</f>
        <v/>
      </c>
      <c r="E305" s="16" t="str">
        <f>_xlfn.XLOOKUP(F305,dd_item!$B$2:$B$105,dd_item!$C$2:$C$105,"",0)</f>
        <v/>
      </c>
      <c r="F305" s="16"/>
      <c r="G305" s="16" cm="1">
        <f t="array" ref="G305">IFERROR(_xlfn.XLOOKUP(1, (SKUs!$J$2:$J$10001=accsry_unmerged!F305)*IF(H305&lt;&gt;"",(SKUs!$L$2:$L$10001=accsry_unmerged!H305),1)*(SKUs!$K$2:$K$10001=I305),SKUs!$C$2:$C$10001),"")</f>
        <v>0</v>
      </c>
      <c r="H305" s="33" cm="1">
        <f t="array" ref="H305">IFERROR(_xlfn.XLOOKUP(1, (dd_accsryclr!$C$2:$C$1000=accsry_unmerged!F305)*(dd_accsryclr!$B$2:$B$1000=accsry_unmerged!J305),dd_accsryclr!$A$2:$A$1000),"")</f>
        <v>0</v>
      </c>
      <c r="I305" s="16">
        <f>_xlfn.XLOOKUP(C305,'Project Details'!$C$17:$C$66,'Project Details'!$E$17:$E$66,"",0)</f>
        <v>0</v>
      </c>
      <c r="J305" s="16">
        <f>_xlfn.XLOOKUP(C305,'Project Details'!$C$17:$C$66,'Project Details'!$H$17:$H$66,"",0)</f>
        <v>0</v>
      </c>
      <c r="K305" s="33" t="str">
        <f>IF(AND(_xlfn.XLOOKUP(C305,'Project Details'!$C$17:$C$66,'Project Details'!$L$17:$L$66,"",0)&gt;550, F305="Spring-L27cm"),"",SUBSTITUTE(_xlfn.XLOOKUP(G305,SKUs!$C$2:$C$10001,SKUs!$F$2:$F$10001,"",0), " Accessories",""))</f>
        <v/>
      </c>
      <c r="L305" s="33">
        <f>_xlfn.XLOOKUP(C305,'Project Details'!$C$17:$C$66,'Project Details'!$D$17:$D$66,"",0)</f>
        <v>0</v>
      </c>
      <c r="M305" s="43"/>
    </row>
    <row r="306" spans="1:13" ht="13.5" customHeight="1" outlineLevel="1" x14ac:dyDescent="0.25">
      <c r="A306" s="43"/>
      <c r="B306" s="43"/>
      <c r="C306" s="35">
        <f t="shared" si="4"/>
        <v>6</v>
      </c>
      <c r="D306" s="35" t="str" cm="1">
        <f t="array" ref="D306">IFERROR(ROUNDUP(_xlfn.IFS(F306="Aluminum Track", _xlfn.XLOOKUP(C306, dd_accsrycalc!$A$2:$A$51, dd_accsrycalc!$B$2:$B$51, "",0), F306="10 x 2 1/2 S (Flat)", _xlfn.XLOOKUP(C306, dd_accsrycalc!$A$2:$A$51, dd_accsrycalc!$C$2:$C$51, "",0), F306="Tox6", _xlfn.XLOOKUP(C306, dd_accsrycalc!$A$2:$A$51, dd_accsrycalc!$D$2:$D$51, "",0), F306="Cover Cap", _xlfn.XLOOKUP(C306, dd_accsrycalc!$A$2:$A$51, dd_accsrycalc!$E$2:$E$51, "",0), F306="Drainage Cover", _xlfn.XLOOKUP(C306, dd_accsrycalc!$A$2:$A$51, dd_accsrycalc!$F$2:$F$51, "",0),AND( F306="Double Adhesive Tape", I306="Roll-up Screen"), _xlfn.XLOOKUP(C306, calc_rusacc!$C$15:$C$65, calc_rusacc!$AD$15:$AD$65, "",0),AND( F306="Sealant", I306="Roll-up Screen"), _xlfn.XLOOKUP(C306, calc_rusacc!$C$15:$C$65, calc_rusacc!$AF$15:$AF$65, "",0),  AND( F306="Main Chain", I306="Accordion Screen"), _xlfn.XLOOKUP(C306, calc_rusacc!$C$15:$C$65, calc_rusacc!$BF$15:$BF$65, "",0), AND( F306="Sealant", I306="Accordion Screen"), _xlfn.XLOOKUP(C306, calc_rusacc!$C$15:$C$65, calc_rusacc!$BJ$15:$BJ$65, "",0),  F306="Sealant", _xlfn.XLOOKUP(C306, dd_accsrycalc!$A$2:$A$51, dd_accsrycalc!$G$2:$G$51, "",0),  F306&lt;&gt;"",L306*_xlfn.XLOOKUP(1, (SKUs!$C$2:$C$10001=G306)*(SKUs!$K$2:$K$10001=I306),SKUs!$E$2:$E$10001)), 0),"")</f>
        <v/>
      </c>
      <c r="E306" s="35" t="str">
        <f>_xlfn.XLOOKUP(F306,dd_item!$B$2:$B$105,dd_item!$C$2:$C$105,"",0)</f>
        <v/>
      </c>
      <c r="F306" s="35"/>
      <c r="G306" s="35" cm="1">
        <f t="array" ref="G306">IFERROR(_xlfn.XLOOKUP(1, (SKUs!$J$2:$J$10001=accsry_unmerged!F306)*IF(H306&lt;&gt;"",(SKUs!$L$2:$L$10001=accsry_unmerged!H306),1)*(SKUs!$K$2:$K$10001=I306),SKUs!$C$2:$C$10001),"")</f>
        <v>0</v>
      </c>
      <c r="H306" s="36" cm="1">
        <f t="array" ref="H306">IFERROR(_xlfn.XLOOKUP(1, (dd_accsryclr!$C$2:$C$1000=accsry_unmerged!F306)*(dd_accsryclr!$B$2:$B$1000=accsry_unmerged!J306),dd_accsryclr!$A$2:$A$1000),"")</f>
        <v>0</v>
      </c>
      <c r="I306" s="35">
        <f>_xlfn.XLOOKUP(C306,'Project Details'!$C$17:$C$66,'Project Details'!$E$17:$E$66,"",0)</f>
        <v>0</v>
      </c>
      <c r="J306" s="35">
        <f>_xlfn.XLOOKUP(C306,'Project Details'!$C$17:$C$66,'Project Details'!$H$17:$H$66,"",0)</f>
        <v>0</v>
      </c>
      <c r="K306" s="36" t="str">
        <f>IF(AND(_xlfn.XLOOKUP(C306,'Project Details'!$C$17:$C$66,'Project Details'!$L$17:$L$66,"",0)&gt;550, F306="Spring-L27cm"),"",SUBSTITUTE(_xlfn.XLOOKUP(G306,SKUs!$C$2:$C$10001,SKUs!$F$2:$F$10001,"",0), " Accessories",""))</f>
        <v/>
      </c>
      <c r="L306" s="36">
        <f>_xlfn.XLOOKUP(C306,'Project Details'!$C$17:$C$66,'Project Details'!$D$17:$D$66,"",0)</f>
        <v>0</v>
      </c>
      <c r="M306" s="43"/>
    </row>
    <row r="307" spans="1:13" ht="13.5" customHeight="1" outlineLevel="1" x14ac:dyDescent="0.25">
      <c r="A307" s="43"/>
      <c r="B307" s="43"/>
      <c r="C307" s="16">
        <f t="shared" si="4"/>
        <v>6</v>
      </c>
      <c r="D307" s="16" t="str" cm="1">
        <f t="array" ref="D307">IFERROR(ROUNDUP(_xlfn.IFS(F307="Aluminum Track", _xlfn.XLOOKUP(C307, dd_accsrycalc!$A$2:$A$51, dd_accsrycalc!$B$2:$B$51, "",0), F307="10 x 2 1/2 S (Flat)", _xlfn.XLOOKUP(C307, dd_accsrycalc!$A$2:$A$51, dd_accsrycalc!$C$2:$C$51, "",0), F307="Tox6", _xlfn.XLOOKUP(C307, dd_accsrycalc!$A$2:$A$51, dd_accsrycalc!$D$2:$D$51, "",0), F307="Cover Cap", _xlfn.XLOOKUP(C307, dd_accsrycalc!$A$2:$A$51, dd_accsrycalc!$E$2:$E$51, "",0), F307="Drainage Cover", _xlfn.XLOOKUP(C307, dd_accsrycalc!$A$2:$A$51, dd_accsrycalc!$F$2:$F$51, "",0),AND( F307="Double Adhesive Tape", I307="Roll-up Screen"), _xlfn.XLOOKUP(C307, calc_rusacc!$C$15:$C$65, calc_rusacc!$AD$15:$AD$65, "",0),AND( F307="Sealant", I307="Roll-up Screen"), _xlfn.XLOOKUP(C307, calc_rusacc!$C$15:$C$65, calc_rusacc!$AF$15:$AF$65, "",0),  AND( F307="Main Chain", I307="Accordion Screen"), _xlfn.XLOOKUP(C307, calc_rusacc!$C$15:$C$65, calc_rusacc!$BF$15:$BF$65, "",0), AND( F307="Sealant", I307="Accordion Screen"), _xlfn.XLOOKUP(C307, calc_rusacc!$C$15:$C$65, calc_rusacc!$BJ$15:$BJ$65, "",0),  F307="Sealant", _xlfn.XLOOKUP(C307, dd_accsrycalc!$A$2:$A$51, dd_accsrycalc!$G$2:$G$51, "",0),  F307&lt;&gt;"",L307*_xlfn.XLOOKUP(1, (SKUs!$C$2:$C$10001=G307)*(SKUs!$K$2:$K$10001=I307),SKUs!$E$2:$E$10001)), 0),"")</f>
        <v/>
      </c>
      <c r="E307" s="16" t="str">
        <f>_xlfn.XLOOKUP(F307,dd_item!$B$2:$B$105,dd_item!$C$2:$C$105,"",0)</f>
        <v/>
      </c>
      <c r="F307" s="16"/>
      <c r="G307" s="16" cm="1">
        <f t="array" ref="G307">IFERROR(_xlfn.XLOOKUP(1, (SKUs!$J$2:$J$10001=accsry_unmerged!F307)*IF(H307&lt;&gt;"",(SKUs!$L$2:$L$10001=accsry_unmerged!H307),1)*(SKUs!$K$2:$K$10001=I307),SKUs!$C$2:$C$10001),"")</f>
        <v>0</v>
      </c>
      <c r="H307" s="33" cm="1">
        <f t="array" ref="H307">IFERROR(_xlfn.XLOOKUP(1, (dd_accsryclr!$C$2:$C$1000=accsry_unmerged!F307)*(dd_accsryclr!$B$2:$B$1000=accsry_unmerged!J307),dd_accsryclr!$A$2:$A$1000),"")</f>
        <v>0</v>
      </c>
      <c r="I307" s="16">
        <f>_xlfn.XLOOKUP(C307,'Project Details'!$C$17:$C$66,'Project Details'!$E$17:$E$66,"",0)</f>
        <v>0</v>
      </c>
      <c r="J307" s="16">
        <f>_xlfn.XLOOKUP(C307,'Project Details'!$C$17:$C$66,'Project Details'!$H$17:$H$66,"",0)</f>
        <v>0</v>
      </c>
      <c r="K307" s="33" t="str">
        <f>IF(AND(_xlfn.XLOOKUP(C307,'Project Details'!$C$17:$C$66,'Project Details'!$L$17:$L$66,"",0)&gt;550, F307="Spring-L27cm"),"",SUBSTITUTE(_xlfn.XLOOKUP(G307,SKUs!$C$2:$C$10001,SKUs!$F$2:$F$10001,"",0), " Accessories",""))</f>
        <v/>
      </c>
      <c r="L307" s="33">
        <f>_xlfn.XLOOKUP(C307,'Project Details'!$C$17:$C$66,'Project Details'!$D$17:$D$66,"",0)</f>
        <v>0</v>
      </c>
      <c r="M307" s="43"/>
    </row>
    <row r="308" spans="1:13" ht="13.5" customHeight="1" outlineLevel="1" x14ac:dyDescent="0.25">
      <c r="A308" s="43"/>
      <c r="B308" s="43"/>
      <c r="C308" s="35">
        <f t="shared" si="4"/>
        <v>6</v>
      </c>
      <c r="D308" s="35" t="str" cm="1">
        <f t="array" ref="D308">IFERROR(ROUNDUP(_xlfn.IFS(F308="Aluminum Track", _xlfn.XLOOKUP(C308, dd_accsrycalc!$A$2:$A$51, dd_accsrycalc!$B$2:$B$51, "",0), F308="10 x 2 1/2 S (Flat)", _xlfn.XLOOKUP(C308, dd_accsrycalc!$A$2:$A$51, dd_accsrycalc!$C$2:$C$51, "",0), F308="Tox6", _xlfn.XLOOKUP(C308, dd_accsrycalc!$A$2:$A$51, dd_accsrycalc!$D$2:$D$51, "",0), F308="Cover Cap", _xlfn.XLOOKUP(C308, dd_accsrycalc!$A$2:$A$51, dd_accsrycalc!$E$2:$E$51, "",0), F308="Drainage Cover", _xlfn.XLOOKUP(C308, dd_accsrycalc!$A$2:$A$51, dd_accsrycalc!$F$2:$F$51, "",0),AND( F308="Double Adhesive Tape", I308="Roll-up Screen"), _xlfn.XLOOKUP(C308, calc_rusacc!$C$15:$C$65, calc_rusacc!$AD$15:$AD$65, "",0),AND( F308="Sealant", I308="Roll-up Screen"), _xlfn.XLOOKUP(C308, calc_rusacc!$C$15:$C$65, calc_rusacc!$AF$15:$AF$65, "",0),  AND( F308="Main Chain", I308="Accordion Screen"), _xlfn.XLOOKUP(C308, calc_rusacc!$C$15:$C$65, calc_rusacc!$BF$15:$BF$65, "",0), AND( F308="Sealant", I308="Accordion Screen"), _xlfn.XLOOKUP(C308, calc_rusacc!$C$15:$C$65, calc_rusacc!$BJ$15:$BJ$65, "",0),  F308="Sealant", _xlfn.XLOOKUP(C308, dd_accsrycalc!$A$2:$A$51, dd_accsrycalc!$G$2:$G$51, "",0),  F308&lt;&gt;"",L308*_xlfn.XLOOKUP(1, (SKUs!$C$2:$C$10001=G308)*(SKUs!$K$2:$K$10001=I308),SKUs!$E$2:$E$10001)), 0),"")</f>
        <v/>
      </c>
      <c r="E308" s="35" t="str">
        <f>_xlfn.XLOOKUP(F308,dd_item!$B$2:$B$105,dd_item!$C$2:$C$105,"",0)</f>
        <v/>
      </c>
      <c r="F308" s="35"/>
      <c r="G308" s="35" cm="1">
        <f t="array" ref="G308">IFERROR(_xlfn.XLOOKUP(1, (SKUs!$J$2:$J$10001=accsry_unmerged!F308)*IF(H308&lt;&gt;"",(SKUs!$L$2:$L$10001=accsry_unmerged!H308),1)*(SKUs!$K$2:$K$10001=I308),SKUs!$C$2:$C$10001),"")</f>
        <v>0</v>
      </c>
      <c r="H308" s="36" cm="1">
        <f t="array" ref="H308">IFERROR(_xlfn.XLOOKUP(1, (dd_accsryclr!$C$2:$C$1000=accsry_unmerged!F308)*(dd_accsryclr!$B$2:$B$1000=accsry_unmerged!J308),dd_accsryclr!$A$2:$A$1000),"")</f>
        <v>0</v>
      </c>
      <c r="I308" s="35">
        <f>_xlfn.XLOOKUP(C308,'Project Details'!$C$17:$C$66,'Project Details'!$E$17:$E$66,"",0)</f>
        <v>0</v>
      </c>
      <c r="J308" s="35">
        <f>_xlfn.XLOOKUP(C308,'Project Details'!$C$17:$C$66,'Project Details'!$H$17:$H$66,"",0)</f>
        <v>0</v>
      </c>
      <c r="K308" s="36" t="str">
        <f>IF(AND(_xlfn.XLOOKUP(C308,'Project Details'!$C$17:$C$66,'Project Details'!$L$17:$L$66,"",0)&gt;550, F308="Spring-L27cm"),"",SUBSTITUTE(_xlfn.XLOOKUP(G308,SKUs!$C$2:$C$10001,SKUs!$F$2:$F$10001,"",0), " Accessories",""))</f>
        <v/>
      </c>
      <c r="L308" s="36">
        <f>_xlfn.XLOOKUP(C308,'Project Details'!$C$17:$C$66,'Project Details'!$D$17:$D$66,"",0)</f>
        <v>0</v>
      </c>
      <c r="M308" s="43"/>
    </row>
    <row r="309" spans="1:13" ht="13.5" customHeight="1" outlineLevel="1" x14ac:dyDescent="0.25">
      <c r="A309" s="43"/>
      <c r="B309" s="43"/>
      <c r="C309" s="16">
        <f t="shared" si="4"/>
        <v>6</v>
      </c>
      <c r="D309" s="16" t="str" cm="1">
        <f t="array" ref="D309">IFERROR(ROUNDUP(_xlfn.IFS(F309="Aluminum Track", _xlfn.XLOOKUP(C309, dd_accsrycalc!$A$2:$A$51, dd_accsrycalc!$B$2:$B$51, "",0), F309="10 x 2 1/2 S (Flat)", _xlfn.XLOOKUP(C309, dd_accsrycalc!$A$2:$A$51, dd_accsrycalc!$C$2:$C$51, "",0), F309="Tox6", _xlfn.XLOOKUP(C309, dd_accsrycalc!$A$2:$A$51, dd_accsrycalc!$D$2:$D$51, "",0), F309="Cover Cap", _xlfn.XLOOKUP(C309, dd_accsrycalc!$A$2:$A$51, dd_accsrycalc!$E$2:$E$51, "",0), F309="Drainage Cover", _xlfn.XLOOKUP(C309, dd_accsrycalc!$A$2:$A$51, dd_accsrycalc!$F$2:$F$51, "",0),AND( F309="Double Adhesive Tape", I309="Roll-up Screen"), _xlfn.XLOOKUP(C309, calc_rusacc!$C$15:$C$65, calc_rusacc!$AD$15:$AD$65, "",0),AND( F309="Sealant", I309="Roll-up Screen"), _xlfn.XLOOKUP(C309, calc_rusacc!$C$15:$C$65, calc_rusacc!$AF$15:$AF$65, "",0),  AND( F309="Main Chain", I309="Accordion Screen"), _xlfn.XLOOKUP(C309, calc_rusacc!$C$15:$C$65, calc_rusacc!$BF$15:$BF$65, "",0), AND( F309="Sealant", I309="Accordion Screen"), _xlfn.XLOOKUP(C309, calc_rusacc!$C$15:$C$65, calc_rusacc!$BJ$15:$BJ$65, "",0),  F309="Sealant", _xlfn.XLOOKUP(C309, dd_accsrycalc!$A$2:$A$51, dd_accsrycalc!$G$2:$G$51, "",0),  F309&lt;&gt;"",L309*_xlfn.XLOOKUP(1, (SKUs!$C$2:$C$10001=G309)*(SKUs!$K$2:$K$10001=I309),SKUs!$E$2:$E$10001)), 0),"")</f>
        <v/>
      </c>
      <c r="E309" s="16" t="str">
        <f>_xlfn.XLOOKUP(F309,dd_item!$B$2:$B$105,dd_item!$C$2:$C$105,"",0)</f>
        <v/>
      </c>
      <c r="F309" s="16"/>
      <c r="G309" s="16" cm="1">
        <f t="array" ref="G309">IFERROR(_xlfn.XLOOKUP(1, (SKUs!$J$2:$J$10001=accsry_unmerged!F309)*IF(H309&lt;&gt;"",(SKUs!$L$2:$L$10001=accsry_unmerged!H309),1)*(SKUs!$K$2:$K$10001=I309),SKUs!$C$2:$C$10001),"")</f>
        <v>0</v>
      </c>
      <c r="H309" s="33" cm="1">
        <f t="array" ref="H309">IFERROR(_xlfn.XLOOKUP(1, (dd_accsryclr!$C$2:$C$1000=accsry_unmerged!F309)*(dd_accsryclr!$B$2:$B$1000=accsry_unmerged!J309),dd_accsryclr!$A$2:$A$1000),"")</f>
        <v>0</v>
      </c>
      <c r="I309" s="16">
        <f>_xlfn.XLOOKUP(C309,'Project Details'!$C$17:$C$66,'Project Details'!$E$17:$E$66,"",0)</f>
        <v>0</v>
      </c>
      <c r="J309" s="16">
        <f>_xlfn.XLOOKUP(C309,'Project Details'!$C$17:$C$66,'Project Details'!$H$17:$H$66,"",0)</f>
        <v>0</v>
      </c>
      <c r="K309" s="33" t="str">
        <f>IF(AND(_xlfn.XLOOKUP(C309,'Project Details'!$C$17:$C$66,'Project Details'!$L$17:$L$66,"",0)&gt;550, F309="Spring-L27cm"),"",SUBSTITUTE(_xlfn.XLOOKUP(G309,SKUs!$C$2:$C$10001,SKUs!$F$2:$F$10001,"",0), " Accessories",""))</f>
        <v/>
      </c>
      <c r="L309" s="33">
        <f>_xlfn.XLOOKUP(C309,'Project Details'!$C$17:$C$66,'Project Details'!$D$17:$D$66,"",0)</f>
        <v>0</v>
      </c>
      <c r="M309" s="43"/>
    </row>
    <row r="310" spans="1:13" ht="13.5" customHeight="1" outlineLevel="1" x14ac:dyDescent="0.25">
      <c r="A310" s="43"/>
      <c r="B310" s="43"/>
      <c r="C310" s="35">
        <f t="shared" si="4"/>
        <v>6</v>
      </c>
      <c r="D310" s="35" t="str" cm="1">
        <f t="array" ref="D310">IFERROR(ROUNDUP(_xlfn.IFS(F310="Aluminum Track", _xlfn.XLOOKUP(C310, dd_accsrycalc!$A$2:$A$51, dd_accsrycalc!$B$2:$B$51, "",0), F310="10 x 2 1/2 S (Flat)", _xlfn.XLOOKUP(C310, dd_accsrycalc!$A$2:$A$51, dd_accsrycalc!$C$2:$C$51, "",0), F310="Tox6", _xlfn.XLOOKUP(C310, dd_accsrycalc!$A$2:$A$51, dd_accsrycalc!$D$2:$D$51, "",0), F310="Cover Cap", _xlfn.XLOOKUP(C310, dd_accsrycalc!$A$2:$A$51, dd_accsrycalc!$E$2:$E$51, "",0), F310="Drainage Cover", _xlfn.XLOOKUP(C310, dd_accsrycalc!$A$2:$A$51, dd_accsrycalc!$F$2:$F$51, "",0),AND( F310="Double Adhesive Tape", I310="Roll-up Screen"), _xlfn.XLOOKUP(C310, calc_rusacc!$C$15:$C$65, calc_rusacc!$AD$15:$AD$65, "",0),AND( F310="Sealant", I310="Roll-up Screen"), _xlfn.XLOOKUP(C310, calc_rusacc!$C$15:$C$65, calc_rusacc!$AF$15:$AF$65, "",0),  AND( F310="Main Chain", I310="Accordion Screen"), _xlfn.XLOOKUP(C310, calc_rusacc!$C$15:$C$65, calc_rusacc!$BF$15:$BF$65, "",0), AND( F310="Sealant", I310="Accordion Screen"), _xlfn.XLOOKUP(C310, calc_rusacc!$C$15:$C$65, calc_rusacc!$BJ$15:$BJ$65, "",0),  F310="Sealant", _xlfn.XLOOKUP(C310, dd_accsrycalc!$A$2:$A$51, dd_accsrycalc!$G$2:$G$51, "",0),  F310&lt;&gt;"",L310*_xlfn.XLOOKUP(1, (SKUs!$C$2:$C$10001=G310)*(SKUs!$K$2:$K$10001=I310),SKUs!$E$2:$E$10001)), 0),"")</f>
        <v/>
      </c>
      <c r="E310" s="35" t="str">
        <f>_xlfn.XLOOKUP(F310,dd_item!$B$2:$B$105,dd_item!$C$2:$C$105,"",0)</f>
        <v/>
      </c>
      <c r="F310" s="35"/>
      <c r="G310" s="35" cm="1">
        <f t="array" ref="G310">IFERROR(_xlfn.XLOOKUP(1, (SKUs!$J$2:$J$10001=accsry_unmerged!F310)*IF(H310&lt;&gt;"",(SKUs!$L$2:$L$10001=accsry_unmerged!H310),1)*(SKUs!$K$2:$K$10001=I310),SKUs!$C$2:$C$10001),"")</f>
        <v>0</v>
      </c>
      <c r="H310" s="36" cm="1">
        <f t="array" ref="H310">IFERROR(_xlfn.XLOOKUP(1, (dd_accsryclr!$C$2:$C$1000=accsry_unmerged!F310)*(dd_accsryclr!$B$2:$B$1000=accsry_unmerged!J310),dd_accsryclr!$A$2:$A$1000),"")</f>
        <v>0</v>
      </c>
      <c r="I310" s="35">
        <f>_xlfn.XLOOKUP(C310,'Project Details'!$C$17:$C$66,'Project Details'!$E$17:$E$66,"",0)</f>
        <v>0</v>
      </c>
      <c r="J310" s="35">
        <f>_xlfn.XLOOKUP(C310,'Project Details'!$C$17:$C$66,'Project Details'!$H$17:$H$66,"",0)</f>
        <v>0</v>
      </c>
      <c r="K310" s="36" t="str">
        <f>IF(AND(_xlfn.XLOOKUP(C310,'Project Details'!$C$17:$C$66,'Project Details'!$L$17:$L$66,"",0)&gt;550, F310="Spring-L27cm"),"",SUBSTITUTE(_xlfn.XLOOKUP(G310,SKUs!$C$2:$C$10001,SKUs!$F$2:$F$10001,"",0), " Accessories",""))</f>
        <v/>
      </c>
      <c r="L310" s="36">
        <f>_xlfn.XLOOKUP(C310,'Project Details'!$C$17:$C$66,'Project Details'!$D$17:$D$66,"",0)</f>
        <v>0</v>
      </c>
      <c r="M310" s="43"/>
    </row>
    <row r="311" spans="1:13" ht="13.5" customHeight="1" outlineLevel="1" x14ac:dyDescent="0.25">
      <c r="A311" s="43"/>
      <c r="B311" s="43"/>
      <c r="C311" s="16">
        <f t="shared" si="4"/>
        <v>6</v>
      </c>
      <c r="D311" s="16" t="str" cm="1">
        <f t="array" ref="D311">IFERROR(ROUNDUP(_xlfn.IFS(F311="Aluminum Track", _xlfn.XLOOKUP(C311, dd_accsrycalc!$A$2:$A$51, dd_accsrycalc!$B$2:$B$51, "",0), F311="10 x 2 1/2 S (Flat)", _xlfn.XLOOKUP(C311, dd_accsrycalc!$A$2:$A$51, dd_accsrycalc!$C$2:$C$51, "",0), F311="Tox6", _xlfn.XLOOKUP(C311, dd_accsrycalc!$A$2:$A$51, dd_accsrycalc!$D$2:$D$51, "",0), F311="Cover Cap", _xlfn.XLOOKUP(C311, dd_accsrycalc!$A$2:$A$51, dd_accsrycalc!$E$2:$E$51, "",0), F311="Drainage Cover", _xlfn.XLOOKUP(C311, dd_accsrycalc!$A$2:$A$51, dd_accsrycalc!$F$2:$F$51, "",0),AND( F311="Double Adhesive Tape", I311="Roll-up Screen"), _xlfn.XLOOKUP(C311, calc_rusacc!$C$15:$C$65, calc_rusacc!$AD$15:$AD$65, "",0),AND( F311="Sealant", I311="Roll-up Screen"), _xlfn.XLOOKUP(C311, calc_rusacc!$C$15:$C$65, calc_rusacc!$AF$15:$AF$65, "",0),  AND( F311="Main Chain", I311="Accordion Screen"), _xlfn.XLOOKUP(C311, calc_rusacc!$C$15:$C$65, calc_rusacc!$BF$15:$BF$65, "",0), AND( F311="Sealant", I311="Accordion Screen"), _xlfn.XLOOKUP(C311, calc_rusacc!$C$15:$C$65, calc_rusacc!$BJ$15:$BJ$65, "",0),  F311="Sealant", _xlfn.XLOOKUP(C311, dd_accsrycalc!$A$2:$A$51, dd_accsrycalc!$G$2:$G$51, "",0),  F311&lt;&gt;"",L311*_xlfn.XLOOKUP(1, (SKUs!$C$2:$C$10001=G311)*(SKUs!$K$2:$K$10001=I311),SKUs!$E$2:$E$10001)), 0),"")</f>
        <v/>
      </c>
      <c r="E311" s="16" t="str">
        <f>_xlfn.XLOOKUP(F311,dd_item!$B$2:$B$105,dd_item!$C$2:$C$105,"",0)</f>
        <v/>
      </c>
      <c r="F311" s="16"/>
      <c r="G311" s="16" cm="1">
        <f t="array" ref="G311">IFERROR(_xlfn.XLOOKUP(1, (SKUs!$J$2:$J$10001=accsry_unmerged!F311)*IF(H311&lt;&gt;"",(SKUs!$L$2:$L$10001=accsry_unmerged!H311),1)*(SKUs!$K$2:$K$10001=I311),SKUs!$C$2:$C$10001),"")</f>
        <v>0</v>
      </c>
      <c r="H311" s="33" cm="1">
        <f t="array" ref="H311">IFERROR(_xlfn.XLOOKUP(1, (dd_accsryclr!$C$2:$C$1000=accsry_unmerged!F311)*(dd_accsryclr!$B$2:$B$1000=accsry_unmerged!J311),dd_accsryclr!$A$2:$A$1000),"")</f>
        <v>0</v>
      </c>
      <c r="I311" s="16">
        <f>_xlfn.XLOOKUP(C311,'Project Details'!$C$17:$C$66,'Project Details'!$E$17:$E$66,"",0)</f>
        <v>0</v>
      </c>
      <c r="J311" s="16">
        <f>_xlfn.XLOOKUP(C311,'Project Details'!$C$17:$C$66,'Project Details'!$H$17:$H$66,"",0)</f>
        <v>0</v>
      </c>
      <c r="K311" s="33" t="str">
        <f>IF(AND(_xlfn.XLOOKUP(C311,'Project Details'!$C$17:$C$66,'Project Details'!$L$17:$L$66,"",0)&gt;550, F311="Spring-L27cm"),"",SUBSTITUTE(_xlfn.XLOOKUP(G311,SKUs!$C$2:$C$10001,SKUs!$F$2:$F$10001,"",0), " Accessories",""))</f>
        <v/>
      </c>
      <c r="L311" s="33">
        <f>_xlfn.XLOOKUP(C311,'Project Details'!$C$17:$C$66,'Project Details'!$D$17:$D$66,"",0)</f>
        <v>0</v>
      </c>
      <c r="M311" s="43"/>
    </row>
    <row r="312" spans="1:13" ht="13.5" customHeight="1" outlineLevel="1" x14ac:dyDescent="0.25">
      <c r="A312" s="43"/>
      <c r="B312" s="43"/>
      <c r="C312" s="35">
        <f t="shared" si="4"/>
        <v>6</v>
      </c>
      <c r="D312" s="35" t="str" cm="1">
        <f t="array" ref="D312">IFERROR(ROUNDUP(_xlfn.IFS(F312="Aluminum Track", _xlfn.XLOOKUP(C312, dd_accsrycalc!$A$2:$A$51, dd_accsrycalc!$B$2:$B$51, "",0), F312="10 x 2 1/2 S (Flat)", _xlfn.XLOOKUP(C312, dd_accsrycalc!$A$2:$A$51, dd_accsrycalc!$C$2:$C$51, "",0), F312="Tox6", _xlfn.XLOOKUP(C312, dd_accsrycalc!$A$2:$A$51, dd_accsrycalc!$D$2:$D$51, "",0), F312="Cover Cap", _xlfn.XLOOKUP(C312, dd_accsrycalc!$A$2:$A$51, dd_accsrycalc!$E$2:$E$51, "",0), F312="Drainage Cover", _xlfn.XLOOKUP(C312, dd_accsrycalc!$A$2:$A$51, dd_accsrycalc!$F$2:$F$51, "",0),AND( F312="Double Adhesive Tape", I312="Roll-up Screen"), _xlfn.XLOOKUP(C312, calc_rusacc!$C$15:$C$65, calc_rusacc!$AD$15:$AD$65, "",0),AND( F312="Sealant", I312="Roll-up Screen"), _xlfn.XLOOKUP(C312, calc_rusacc!$C$15:$C$65, calc_rusacc!$AF$15:$AF$65, "",0),  AND( F312="Main Chain", I312="Accordion Screen"), _xlfn.XLOOKUP(C312, calc_rusacc!$C$15:$C$65, calc_rusacc!$BF$15:$BF$65, "",0), AND( F312="Sealant", I312="Accordion Screen"), _xlfn.XLOOKUP(C312, calc_rusacc!$C$15:$C$65, calc_rusacc!$BJ$15:$BJ$65, "",0),  F312="Sealant", _xlfn.XLOOKUP(C312, dd_accsrycalc!$A$2:$A$51, dd_accsrycalc!$G$2:$G$51, "",0),  F312&lt;&gt;"",L312*_xlfn.XLOOKUP(1, (SKUs!$C$2:$C$10001=G312)*(SKUs!$K$2:$K$10001=I312),SKUs!$E$2:$E$10001)), 0),"")</f>
        <v/>
      </c>
      <c r="E312" s="35" t="str">
        <f>_xlfn.XLOOKUP(F312,dd_item!$B$2:$B$105,dd_item!$C$2:$C$105,"",0)</f>
        <v/>
      </c>
      <c r="F312" s="35"/>
      <c r="G312" s="35" cm="1">
        <f t="array" ref="G312">IFERROR(_xlfn.XLOOKUP(1, (SKUs!$J$2:$J$10001=accsry_unmerged!F312)*IF(H312&lt;&gt;"",(SKUs!$L$2:$L$10001=accsry_unmerged!H312),1)*(SKUs!$K$2:$K$10001=I312),SKUs!$C$2:$C$10001),"")</f>
        <v>0</v>
      </c>
      <c r="H312" s="36" cm="1">
        <f t="array" ref="H312">IFERROR(_xlfn.XLOOKUP(1, (dd_accsryclr!$C$2:$C$1000=accsry_unmerged!F312)*(dd_accsryclr!$B$2:$B$1000=accsry_unmerged!J312),dd_accsryclr!$A$2:$A$1000),"")</f>
        <v>0</v>
      </c>
      <c r="I312" s="35">
        <f>_xlfn.XLOOKUP(C312,'Project Details'!$C$17:$C$66,'Project Details'!$E$17:$E$66,"",0)</f>
        <v>0</v>
      </c>
      <c r="J312" s="35">
        <f>_xlfn.XLOOKUP(C312,'Project Details'!$C$17:$C$66,'Project Details'!$H$17:$H$66,"",0)</f>
        <v>0</v>
      </c>
      <c r="K312" s="36" t="str">
        <f>IF(AND(_xlfn.XLOOKUP(C312,'Project Details'!$C$17:$C$66,'Project Details'!$L$17:$L$66,"",0)&gt;550, F312="Spring-L27cm"),"",SUBSTITUTE(_xlfn.XLOOKUP(G312,SKUs!$C$2:$C$10001,SKUs!$F$2:$F$10001,"",0), " Accessories",""))</f>
        <v/>
      </c>
      <c r="L312" s="36">
        <f>_xlfn.XLOOKUP(C312,'Project Details'!$C$17:$C$66,'Project Details'!$D$17:$D$66,"",0)</f>
        <v>0</v>
      </c>
      <c r="M312" s="43"/>
    </row>
    <row r="313" spans="1:13" ht="13.5" customHeight="1" outlineLevel="1" x14ac:dyDescent="0.25">
      <c r="A313" s="43"/>
      <c r="B313" s="43"/>
      <c r="C313" s="16">
        <f t="shared" si="4"/>
        <v>6</v>
      </c>
      <c r="D313" s="16" t="str" cm="1">
        <f t="array" ref="D313">IFERROR(ROUNDUP(_xlfn.IFS(F313="Aluminum Track", _xlfn.XLOOKUP(C313, dd_accsrycalc!$A$2:$A$51, dd_accsrycalc!$B$2:$B$51, "",0), F313="10 x 2 1/2 S (Flat)", _xlfn.XLOOKUP(C313, dd_accsrycalc!$A$2:$A$51, dd_accsrycalc!$C$2:$C$51, "",0), F313="Tox6", _xlfn.XLOOKUP(C313, dd_accsrycalc!$A$2:$A$51, dd_accsrycalc!$D$2:$D$51, "",0), F313="Cover Cap", _xlfn.XLOOKUP(C313, dd_accsrycalc!$A$2:$A$51, dd_accsrycalc!$E$2:$E$51, "",0), F313="Drainage Cover", _xlfn.XLOOKUP(C313, dd_accsrycalc!$A$2:$A$51, dd_accsrycalc!$F$2:$F$51, "",0),AND( F313="Double Adhesive Tape", I313="Roll-up Screen"), _xlfn.XLOOKUP(C313, calc_rusacc!$C$15:$C$65, calc_rusacc!$AD$15:$AD$65, "",0),AND( F313="Sealant", I313="Roll-up Screen"), _xlfn.XLOOKUP(C313, calc_rusacc!$C$15:$C$65, calc_rusacc!$AF$15:$AF$65, "",0),  AND( F313="Main Chain", I313="Accordion Screen"), _xlfn.XLOOKUP(C313, calc_rusacc!$C$15:$C$65, calc_rusacc!$BF$15:$BF$65, "",0), AND( F313="Sealant", I313="Accordion Screen"), _xlfn.XLOOKUP(C313, calc_rusacc!$C$15:$C$65, calc_rusacc!$BJ$15:$BJ$65, "",0),  F313="Sealant", _xlfn.XLOOKUP(C313, dd_accsrycalc!$A$2:$A$51, dd_accsrycalc!$G$2:$G$51, "",0),  F313&lt;&gt;"",L313*_xlfn.XLOOKUP(1, (SKUs!$C$2:$C$10001=G313)*(SKUs!$K$2:$K$10001=I313),SKUs!$E$2:$E$10001)), 0),"")</f>
        <v/>
      </c>
      <c r="E313" s="16" t="str">
        <f>_xlfn.XLOOKUP(F313,dd_item!$B$2:$B$105,dd_item!$C$2:$C$105,"",0)</f>
        <v/>
      </c>
      <c r="F313" s="16"/>
      <c r="G313" s="16" cm="1">
        <f t="array" ref="G313">IFERROR(_xlfn.XLOOKUP(1, (SKUs!$J$2:$J$10001=accsry_unmerged!F313)*IF(H313&lt;&gt;"",(SKUs!$L$2:$L$10001=accsry_unmerged!H313),1)*(SKUs!$K$2:$K$10001=I313),SKUs!$C$2:$C$10001),"")</f>
        <v>0</v>
      </c>
      <c r="H313" s="33" cm="1">
        <f t="array" ref="H313">IFERROR(_xlfn.XLOOKUP(1, (dd_accsryclr!$C$2:$C$1000=accsry_unmerged!F313)*(dd_accsryclr!$B$2:$B$1000=accsry_unmerged!J313),dd_accsryclr!$A$2:$A$1000),"")</f>
        <v>0</v>
      </c>
      <c r="I313" s="16">
        <f>_xlfn.XLOOKUP(C313,'Project Details'!$C$17:$C$66,'Project Details'!$E$17:$E$66,"",0)</f>
        <v>0</v>
      </c>
      <c r="J313" s="16">
        <f>_xlfn.XLOOKUP(C313,'Project Details'!$C$17:$C$66,'Project Details'!$H$17:$H$66,"",0)</f>
        <v>0</v>
      </c>
      <c r="K313" s="33" t="str">
        <f>IF(AND(_xlfn.XLOOKUP(C313,'Project Details'!$C$17:$C$66,'Project Details'!$L$17:$L$66,"",0)&gt;550, F313="Spring-L27cm"),"",SUBSTITUTE(_xlfn.XLOOKUP(G313,SKUs!$C$2:$C$10001,SKUs!$F$2:$F$10001,"",0), " Accessories",""))</f>
        <v/>
      </c>
      <c r="L313" s="33">
        <f>_xlfn.XLOOKUP(C313,'Project Details'!$C$17:$C$66,'Project Details'!$D$17:$D$66,"",0)</f>
        <v>0</v>
      </c>
      <c r="M313" s="43"/>
    </row>
    <row r="314" spans="1:13" x14ac:dyDescent="0.25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</row>
    <row r="315" spans="1:13" x14ac:dyDescent="0.25">
      <c r="A315" s="43"/>
      <c r="B315" s="43"/>
      <c r="C315" s="16">
        <f>C313+1</f>
        <v>7</v>
      </c>
      <c r="D315" s="48" cm="1">
        <f t="array" ref="D315">IFERROR(ROUNDUP(_xlfn.IFS(F315="Aluminum Track", _xlfn.XLOOKUP(C315, dd_accsrycalc!$A$2:$A$51, dd_accsrycalc!$B$2:$B$51, "",0), F315="10 x 2 1/2 S (Flat)", _xlfn.XLOOKUP(C315, dd_accsrycalc!$A$2:$A$51, dd_accsrycalc!$C$2:$C$51, "",0), F315="Tox6", _xlfn.XLOOKUP(C315, dd_accsrycalc!$A$2:$A$51, dd_accsrycalc!$D$2:$D$51, "",0), F315="Cover Cap", _xlfn.XLOOKUP(C315, dd_accsrycalc!$A$2:$A$51, dd_accsrycalc!$E$2:$E$51, "",0), F315="Drainage Cover", _xlfn.XLOOKUP(C315, dd_accsrycalc!$A$2:$A$51, dd_accsrycalc!$F$2:$F$51, "",0),AND( F315="Double Adhesive Tape", I315="Roll-up Screen"), _xlfn.XLOOKUP(C315, calc_rusacc!$C$15:$C$65, calc_rusacc!$AD$15:$AD$65, "",0),AND( F315="Sealant", I315="Roll-up Screen"), _xlfn.XLOOKUP(C315, calc_rusacc!$C$15:$C$65, calc_rusacc!$AF$15:$AF$65, "",0),  AND( F315="Main Chain", I315="Accordion Screen"), _xlfn.XLOOKUP(C315, calc_rusacc!$C$15:$C$65, calc_rusacc!$BF$15:$BF$65, "",0), AND( F315="Sealant", I315="Accordion Screen"), _xlfn.XLOOKUP(C315, calc_rusacc!$C$15:$C$65, calc_rusacc!$BJ$15:$BJ$65, "",0),  F315="Sealant", _xlfn.XLOOKUP(C315, dd_accsrycalc!$A$2:$A$51, dd_accsrycalc!$G$2:$G$51, "",0),  F315&lt;&gt;"",L315*_xlfn.XLOOKUP(1, (SKUs!$C$2:$C$10001=G315)*(SKUs!$K$2:$K$10001=I315),SKUs!$E$2:$E$10001)), 0),"")</f>
        <v>0</v>
      </c>
      <c r="E315" s="48" t="str">
        <f>_xlfn.XLOOKUP(F315,dd_item!$B$2:$B$105,dd_item!$C$2:$C$105,"",0)</f>
        <v/>
      </c>
      <c r="F315" s="48" cm="1">
        <f t="array" ref="F315">IFERROR(_xlfn.UNIQUE(_xlfn._xlws.FILTER(SKUs!$J$2:$J$10001, (SKUs!$F$2:$F$10001&lt;&gt;"Cutting List") * (SKUs!$A$2:$A$10001=_xlfn.XLOOKUP(_xlfn.XLOOKUP(C315,'Project Details'!$C$17:$C$66,'Project Details'!$E$17:$E$66,"",0), dd_design_raw!$A$2:$A$101,dd_design_raw!$C$2:$C$101,"",0)))), "")</f>
        <v>0</v>
      </c>
      <c r="G315" s="16" cm="1">
        <f t="array" ref="G315">IFERROR(_xlfn.XLOOKUP(1, (SKUs!$J$2:$J$10001=accsry_unmerged!F315)*IF(H315&lt;&gt;"",(SKUs!$L$2:$L$10001=accsry_unmerged!H315),1)*(SKUs!$K$2:$K$10001=I315),SKUs!$C$2:$C$10001),"")</f>
        <v>0</v>
      </c>
      <c r="H315" s="16" cm="1">
        <f t="array" ref="H315">IFERROR(_xlfn.XLOOKUP(1, (dd_accsryclr!$C$2:$C$1000=accsry_unmerged!F315)*(dd_accsryclr!$B$2:$B$1000=accsry_unmerged!J315),dd_accsryclr!$A$2:$A$1000),"")</f>
        <v>0</v>
      </c>
      <c r="I315" s="16">
        <f>_xlfn.XLOOKUP(C315,'Project Details'!$C$17:$C$66,'Project Details'!$E$17:$E$66,"",0)</f>
        <v>0</v>
      </c>
      <c r="J315" s="16">
        <f>_xlfn.XLOOKUP(C315,'Project Details'!$C$17:$C$66,'Project Details'!$H$17:$H$66,"",0)</f>
        <v>0</v>
      </c>
      <c r="K315" s="16" t="str">
        <f>IF(AND(_xlfn.XLOOKUP(C315,'Project Details'!$C$17:$C$66,'Project Details'!$L$17:$L$66,"",0)&gt;550, F315="Spring-L27cm"),"",SUBSTITUTE(_xlfn.XLOOKUP(G315,SKUs!$C$2:$C$10001,SKUs!$F$2:$F$10001,"",0), " Accessories",""))</f>
        <v/>
      </c>
      <c r="L315" s="16">
        <f>_xlfn.XLOOKUP(C315,'Project Details'!$C$17:$C$66,'Project Details'!$D$17:$D$66,"",0)</f>
        <v>0</v>
      </c>
      <c r="M315" s="43"/>
    </row>
    <row r="316" spans="1:13" x14ac:dyDescent="0.25">
      <c r="A316" s="43"/>
      <c r="B316" s="43"/>
      <c r="C316" s="35">
        <f>C315</f>
        <v>7</v>
      </c>
      <c r="D316" s="35" t="str" cm="1">
        <f t="array" ref="D316">IFERROR(ROUNDUP(_xlfn.IFS(F316="Aluminum Track", _xlfn.XLOOKUP(C316, dd_accsrycalc!$A$2:$A$51, dd_accsrycalc!$B$2:$B$51, "",0), F316="10 x 2 1/2 S (Flat)", _xlfn.XLOOKUP(C316, dd_accsrycalc!$A$2:$A$51, dd_accsrycalc!$C$2:$C$51, "",0), F316="Tox6", _xlfn.XLOOKUP(C316, dd_accsrycalc!$A$2:$A$51, dd_accsrycalc!$D$2:$D$51, "",0), F316="Cover Cap", _xlfn.XLOOKUP(C316, dd_accsrycalc!$A$2:$A$51, dd_accsrycalc!$E$2:$E$51, "",0), F316="Drainage Cover", _xlfn.XLOOKUP(C316, dd_accsrycalc!$A$2:$A$51, dd_accsrycalc!$F$2:$F$51, "",0),AND( F316="Double Adhesive Tape", I316="Roll-up Screen"), _xlfn.XLOOKUP(C316, calc_rusacc!$C$15:$C$65, calc_rusacc!$AD$15:$AD$65, "",0),AND( F316="Sealant", I316="Roll-up Screen"), _xlfn.XLOOKUP(C316, calc_rusacc!$C$15:$C$65, calc_rusacc!$AF$15:$AF$65, "",0),  AND( F316="Main Chain", I316="Accordion Screen"), _xlfn.XLOOKUP(C316, calc_rusacc!$C$15:$C$65, calc_rusacc!$BF$15:$BF$65, "",0), AND( F316="Sealant", I316="Accordion Screen"), _xlfn.XLOOKUP(C316, calc_rusacc!$C$15:$C$65, calc_rusacc!$BJ$15:$BJ$65, "",0),  F316="Sealant", _xlfn.XLOOKUP(C316, dd_accsrycalc!$A$2:$A$51, dd_accsrycalc!$G$2:$G$51, "",0),  F316&lt;&gt;"",L316*_xlfn.XLOOKUP(1, (SKUs!$C$2:$C$10001=G316)*(SKUs!$K$2:$K$10001=I316),SKUs!$E$2:$E$10001)), 0),"")</f>
        <v/>
      </c>
      <c r="E316" s="35" t="str">
        <f>_xlfn.XLOOKUP(F316,dd_item!$B$2:$B$105,dd_item!$C$2:$C$105,"",0)</f>
        <v/>
      </c>
      <c r="F316" s="35"/>
      <c r="G316" s="35" cm="1">
        <f t="array" ref="G316">IFERROR(_xlfn.XLOOKUP(1, (SKUs!$J$2:$J$10001=accsry_unmerged!F316)*IF(H316&lt;&gt;"",(SKUs!$L$2:$L$10001=accsry_unmerged!H316),1)*(SKUs!$K$2:$K$10001=I316),SKUs!$C$2:$C$10001),"")</f>
        <v>0</v>
      </c>
      <c r="H316" s="36" cm="1">
        <f t="array" ref="H316">IFERROR(_xlfn.XLOOKUP(1, (dd_accsryclr!$C$2:$C$1000=accsry_unmerged!F316)*(dd_accsryclr!$B$2:$B$1000=accsry_unmerged!J316),dd_accsryclr!$A$2:$A$1000),"")</f>
        <v>0</v>
      </c>
      <c r="I316" s="35">
        <f>_xlfn.XLOOKUP(C316,'Project Details'!$C$17:$C$66,'Project Details'!$E$17:$E$66,"",0)</f>
        <v>0</v>
      </c>
      <c r="J316" s="35">
        <f>_xlfn.XLOOKUP(C316,'Project Details'!$C$17:$C$66,'Project Details'!$H$17:$H$66,"",0)</f>
        <v>0</v>
      </c>
      <c r="K316" s="36" t="str">
        <f>IF(AND(_xlfn.XLOOKUP(C316,'Project Details'!$C$17:$C$66,'Project Details'!$L$17:$L$66,"",0)&gt;550, F316="Spring-L27cm"),"",SUBSTITUTE(_xlfn.XLOOKUP(G316,SKUs!$C$2:$C$10001,SKUs!$F$2:$F$10001,"",0), " Accessories",""))</f>
        <v/>
      </c>
      <c r="L316" s="36">
        <f>_xlfn.XLOOKUP(C316,'Project Details'!$C$17:$C$66,'Project Details'!$D$17:$D$66,"",0)</f>
        <v>0</v>
      </c>
      <c r="M316" s="43"/>
    </row>
    <row r="317" spans="1:13" x14ac:dyDescent="0.25">
      <c r="A317" s="43"/>
      <c r="B317" s="43"/>
      <c r="C317" s="16">
        <f t="shared" ref="C317:C363" si="5">C316</f>
        <v>7</v>
      </c>
      <c r="D317" s="16" t="str" cm="1">
        <f t="array" ref="D317">IFERROR(ROUNDUP(_xlfn.IFS(F317="Aluminum Track", _xlfn.XLOOKUP(C317, dd_accsrycalc!$A$2:$A$51, dd_accsrycalc!$B$2:$B$51, "",0), F317="10 x 2 1/2 S (Flat)", _xlfn.XLOOKUP(C317, dd_accsrycalc!$A$2:$A$51, dd_accsrycalc!$C$2:$C$51, "",0), F317="Tox6", _xlfn.XLOOKUP(C317, dd_accsrycalc!$A$2:$A$51, dd_accsrycalc!$D$2:$D$51, "",0), F317="Cover Cap", _xlfn.XLOOKUP(C317, dd_accsrycalc!$A$2:$A$51, dd_accsrycalc!$E$2:$E$51, "",0), F317="Drainage Cover", _xlfn.XLOOKUP(C317, dd_accsrycalc!$A$2:$A$51, dd_accsrycalc!$F$2:$F$51, "",0),AND( F317="Double Adhesive Tape", I317="Roll-up Screen"), _xlfn.XLOOKUP(C317, calc_rusacc!$C$15:$C$65, calc_rusacc!$AD$15:$AD$65, "",0),AND( F317="Sealant", I317="Roll-up Screen"), _xlfn.XLOOKUP(C317, calc_rusacc!$C$15:$C$65, calc_rusacc!$AF$15:$AF$65, "",0),  AND( F317="Main Chain", I317="Accordion Screen"), _xlfn.XLOOKUP(C317, calc_rusacc!$C$15:$C$65, calc_rusacc!$BF$15:$BF$65, "",0), AND( F317="Sealant", I317="Accordion Screen"), _xlfn.XLOOKUP(C317, calc_rusacc!$C$15:$C$65, calc_rusacc!$BJ$15:$BJ$65, "",0),  F317="Sealant", _xlfn.XLOOKUP(C317, dd_accsrycalc!$A$2:$A$51, dd_accsrycalc!$G$2:$G$51, "",0),  F317&lt;&gt;"",L317*_xlfn.XLOOKUP(1, (SKUs!$C$2:$C$10001=G317)*(SKUs!$K$2:$K$10001=I317),SKUs!$E$2:$E$10001)), 0),"")</f>
        <v/>
      </c>
      <c r="E317" s="16" t="str">
        <f>_xlfn.XLOOKUP(F317,dd_item!$B$2:$B$105,dd_item!$C$2:$C$105,"",0)</f>
        <v/>
      </c>
      <c r="F317" s="16"/>
      <c r="G317" s="16" cm="1">
        <f t="array" ref="G317">IFERROR(_xlfn.XLOOKUP(1, (SKUs!$J$2:$J$10001=accsry_unmerged!F317)*IF(H317&lt;&gt;"",(SKUs!$L$2:$L$10001=accsry_unmerged!H317),1)*(SKUs!$K$2:$K$10001=I317),SKUs!$C$2:$C$10001),"")</f>
        <v>0</v>
      </c>
      <c r="H317" s="33" cm="1">
        <f t="array" ref="H317">IFERROR(_xlfn.XLOOKUP(1, (dd_accsryclr!$C$2:$C$1000=accsry_unmerged!F317)*(dd_accsryclr!$B$2:$B$1000=accsry_unmerged!J317),dd_accsryclr!$A$2:$A$1000),"")</f>
        <v>0</v>
      </c>
      <c r="I317" s="16">
        <f>_xlfn.XLOOKUP(C317,'Project Details'!$C$17:$C$66,'Project Details'!$E$17:$E$66,"",0)</f>
        <v>0</v>
      </c>
      <c r="J317" s="16">
        <f>_xlfn.XLOOKUP(C317,'Project Details'!$C$17:$C$66,'Project Details'!$H$17:$H$66,"",0)</f>
        <v>0</v>
      </c>
      <c r="K317" s="33" t="str">
        <f>IF(AND(_xlfn.XLOOKUP(C317,'Project Details'!$C$17:$C$66,'Project Details'!$L$17:$L$66,"",0)&gt;550, F317="Spring-L27cm"),"",SUBSTITUTE(_xlfn.XLOOKUP(G317,SKUs!$C$2:$C$10001,SKUs!$F$2:$F$10001,"",0), " Accessories",""))</f>
        <v/>
      </c>
      <c r="L317" s="33">
        <f>_xlfn.XLOOKUP(C317,'Project Details'!$C$17:$C$66,'Project Details'!$D$17:$D$66,"",0)</f>
        <v>0</v>
      </c>
      <c r="M317" s="43"/>
    </row>
    <row r="318" spans="1:13" x14ac:dyDescent="0.25">
      <c r="A318" s="43"/>
      <c r="B318" s="43"/>
      <c r="C318" s="35">
        <f t="shared" si="5"/>
        <v>7</v>
      </c>
      <c r="D318" s="35" t="str" cm="1">
        <f t="array" ref="D318">IFERROR(ROUNDUP(_xlfn.IFS(F318="Aluminum Track", _xlfn.XLOOKUP(C318, dd_accsrycalc!$A$2:$A$51, dd_accsrycalc!$B$2:$B$51, "",0), F318="10 x 2 1/2 S (Flat)", _xlfn.XLOOKUP(C318, dd_accsrycalc!$A$2:$A$51, dd_accsrycalc!$C$2:$C$51, "",0), F318="Tox6", _xlfn.XLOOKUP(C318, dd_accsrycalc!$A$2:$A$51, dd_accsrycalc!$D$2:$D$51, "",0), F318="Cover Cap", _xlfn.XLOOKUP(C318, dd_accsrycalc!$A$2:$A$51, dd_accsrycalc!$E$2:$E$51, "",0), F318="Drainage Cover", _xlfn.XLOOKUP(C318, dd_accsrycalc!$A$2:$A$51, dd_accsrycalc!$F$2:$F$51, "",0),AND( F318="Double Adhesive Tape", I318="Roll-up Screen"), _xlfn.XLOOKUP(C318, calc_rusacc!$C$15:$C$65, calc_rusacc!$AD$15:$AD$65, "",0),AND( F318="Sealant", I318="Roll-up Screen"), _xlfn.XLOOKUP(C318, calc_rusacc!$C$15:$C$65, calc_rusacc!$AF$15:$AF$65, "",0),  AND( F318="Main Chain", I318="Accordion Screen"), _xlfn.XLOOKUP(C318, calc_rusacc!$C$15:$C$65, calc_rusacc!$BF$15:$BF$65, "",0), AND( F318="Sealant", I318="Accordion Screen"), _xlfn.XLOOKUP(C318, calc_rusacc!$C$15:$C$65, calc_rusacc!$BJ$15:$BJ$65, "",0),  F318="Sealant", _xlfn.XLOOKUP(C318, dd_accsrycalc!$A$2:$A$51, dd_accsrycalc!$G$2:$G$51, "",0),  F318&lt;&gt;"",L318*_xlfn.XLOOKUP(1, (SKUs!$C$2:$C$10001=G318)*(SKUs!$K$2:$K$10001=I318),SKUs!$E$2:$E$10001)), 0),"")</f>
        <v/>
      </c>
      <c r="E318" s="35" t="str">
        <f>_xlfn.XLOOKUP(F318,dd_item!$B$2:$B$105,dd_item!$C$2:$C$105,"",0)</f>
        <v/>
      </c>
      <c r="F318" s="35"/>
      <c r="G318" s="35" cm="1">
        <f t="array" ref="G318">IFERROR(_xlfn.XLOOKUP(1, (SKUs!$J$2:$J$10001=accsry_unmerged!F318)*IF(H318&lt;&gt;"",(SKUs!$L$2:$L$10001=accsry_unmerged!H318),1)*(SKUs!$K$2:$K$10001=I318),SKUs!$C$2:$C$10001),"")</f>
        <v>0</v>
      </c>
      <c r="H318" s="36" cm="1">
        <f t="array" ref="H318">IFERROR(_xlfn.XLOOKUP(1, (dd_accsryclr!$C$2:$C$1000=accsry_unmerged!F318)*(dd_accsryclr!$B$2:$B$1000=accsry_unmerged!J318),dd_accsryclr!$A$2:$A$1000),"")</f>
        <v>0</v>
      </c>
      <c r="I318" s="35">
        <f>_xlfn.XLOOKUP(C318,'Project Details'!$C$17:$C$66,'Project Details'!$E$17:$E$66,"",0)</f>
        <v>0</v>
      </c>
      <c r="J318" s="35">
        <f>_xlfn.XLOOKUP(C318,'Project Details'!$C$17:$C$66,'Project Details'!$H$17:$H$66,"",0)</f>
        <v>0</v>
      </c>
      <c r="K318" s="36" t="str">
        <f>IF(AND(_xlfn.XLOOKUP(C318,'Project Details'!$C$17:$C$66,'Project Details'!$L$17:$L$66,"",0)&gt;550, F318="Spring-L27cm"),"",SUBSTITUTE(_xlfn.XLOOKUP(G318,SKUs!$C$2:$C$10001,SKUs!$F$2:$F$10001,"",0), " Accessories",""))</f>
        <v/>
      </c>
      <c r="L318" s="36">
        <f>_xlfn.XLOOKUP(C318,'Project Details'!$C$17:$C$66,'Project Details'!$D$17:$D$66,"",0)</f>
        <v>0</v>
      </c>
      <c r="M318" s="43"/>
    </row>
    <row r="319" spans="1:13" x14ac:dyDescent="0.25">
      <c r="A319" s="43"/>
      <c r="B319" s="43"/>
      <c r="C319" s="16">
        <f t="shared" si="5"/>
        <v>7</v>
      </c>
      <c r="D319" s="16" t="str" cm="1">
        <f t="array" ref="D319">IFERROR(ROUNDUP(_xlfn.IFS(F319="Aluminum Track", _xlfn.XLOOKUP(C319, dd_accsrycalc!$A$2:$A$51, dd_accsrycalc!$B$2:$B$51, "",0), F319="10 x 2 1/2 S (Flat)", _xlfn.XLOOKUP(C319, dd_accsrycalc!$A$2:$A$51, dd_accsrycalc!$C$2:$C$51, "",0), F319="Tox6", _xlfn.XLOOKUP(C319, dd_accsrycalc!$A$2:$A$51, dd_accsrycalc!$D$2:$D$51, "",0), F319="Cover Cap", _xlfn.XLOOKUP(C319, dd_accsrycalc!$A$2:$A$51, dd_accsrycalc!$E$2:$E$51, "",0), F319="Drainage Cover", _xlfn.XLOOKUP(C319, dd_accsrycalc!$A$2:$A$51, dd_accsrycalc!$F$2:$F$51, "",0),AND( F319="Double Adhesive Tape", I319="Roll-up Screen"), _xlfn.XLOOKUP(C319, calc_rusacc!$C$15:$C$65, calc_rusacc!$AD$15:$AD$65, "",0),AND( F319="Sealant", I319="Roll-up Screen"), _xlfn.XLOOKUP(C319, calc_rusacc!$C$15:$C$65, calc_rusacc!$AF$15:$AF$65, "",0),  AND( F319="Main Chain", I319="Accordion Screen"), _xlfn.XLOOKUP(C319, calc_rusacc!$C$15:$C$65, calc_rusacc!$BF$15:$BF$65, "",0), AND( F319="Sealant", I319="Accordion Screen"), _xlfn.XLOOKUP(C319, calc_rusacc!$C$15:$C$65, calc_rusacc!$BJ$15:$BJ$65, "",0),  F319="Sealant", _xlfn.XLOOKUP(C319, dd_accsrycalc!$A$2:$A$51, dd_accsrycalc!$G$2:$G$51, "",0),  F319&lt;&gt;"",L319*_xlfn.XLOOKUP(1, (SKUs!$C$2:$C$10001=G319)*(SKUs!$K$2:$K$10001=I319),SKUs!$E$2:$E$10001)), 0),"")</f>
        <v/>
      </c>
      <c r="E319" s="16" t="str">
        <f>_xlfn.XLOOKUP(F319,dd_item!$B$2:$B$105,dd_item!$C$2:$C$105,"",0)</f>
        <v/>
      </c>
      <c r="F319" s="16"/>
      <c r="G319" s="16" cm="1">
        <f t="array" ref="G319">IFERROR(_xlfn.XLOOKUP(1, (SKUs!$J$2:$J$10001=accsry_unmerged!F319)*IF(H319&lt;&gt;"",(SKUs!$L$2:$L$10001=accsry_unmerged!H319),1)*(SKUs!$K$2:$K$10001=I319),SKUs!$C$2:$C$10001),"")</f>
        <v>0</v>
      </c>
      <c r="H319" s="33" cm="1">
        <f t="array" ref="H319">IFERROR(_xlfn.XLOOKUP(1, (dd_accsryclr!$C$2:$C$1000=accsry_unmerged!F319)*(dd_accsryclr!$B$2:$B$1000=accsry_unmerged!J319),dd_accsryclr!$A$2:$A$1000),"")</f>
        <v>0</v>
      </c>
      <c r="I319" s="16">
        <f>_xlfn.XLOOKUP(C319,'Project Details'!$C$17:$C$66,'Project Details'!$E$17:$E$66,"",0)</f>
        <v>0</v>
      </c>
      <c r="J319" s="16">
        <f>_xlfn.XLOOKUP(C319,'Project Details'!$C$17:$C$66,'Project Details'!$H$17:$H$66,"",0)</f>
        <v>0</v>
      </c>
      <c r="K319" s="33" t="str">
        <f>IF(AND(_xlfn.XLOOKUP(C319,'Project Details'!$C$17:$C$66,'Project Details'!$L$17:$L$66,"",0)&gt;550, F319="Spring-L27cm"),"",SUBSTITUTE(_xlfn.XLOOKUP(G319,SKUs!$C$2:$C$10001,SKUs!$F$2:$F$10001,"",0), " Accessories",""))</f>
        <v/>
      </c>
      <c r="L319" s="33">
        <f>_xlfn.XLOOKUP(C319,'Project Details'!$C$17:$C$66,'Project Details'!$D$17:$D$66,"",0)</f>
        <v>0</v>
      </c>
      <c r="M319" s="43"/>
    </row>
    <row r="320" spans="1:13" x14ac:dyDescent="0.25">
      <c r="A320" s="43"/>
      <c r="B320" s="43"/>
      <c r="C320" s="35">
        <f t="shared" si="5"/>
        <v>7</v>
      </c>
      <c r="D320" s="35" t="str" cm="1">
        <f t="array" ref="D320">IFERROR(ROUNDUP(_xlfn.IFS(F320="Aluminum Track", _xlfn.XLOOKUP(C320, dd_accsrycalc!$A$2:$A$51, dd_accsrycalc!$B$2:$B$51, "",0), F320="10 x 2 1/2 S (Flat)", _xlfn.XLOOKUP(C320, dd_accsrycalc!$A$2:$A$51, dd_accsrycalc!$C$2:$C$51, "",0), F320="Tox6", _xlfn.XLOOKUP(C320, dd_accsrycalc!$A$2:$A$51, dd_accsrycalc!$D$2:$D$51, "",0), F320="Cover Cap", _xlfn.XLOOKUP(C320, dd_accsrycalc!$A$2:$A$51, dd_accsrycalc!$E$2:$E$51, "",0), F320="Drainage Cover", _xlfn.XLOOKUP(C320, dd_accsrycalc!$A$2:$A$51, dd_accsrycalc!$F$2:$F$51, "",0),AND( F320="Double Adhesive Tape", I320="Roll-up Screen"), _xlfn.XLOOKUP(C320, calc_rusacc!$C$15:$C$65, calc_rusacc!$AD$15:$AD$65, "",0),AND( F320="Sealant", I320="Roll-up Screen"), _xlfn.XLOOKUP(C320, calc_rusacc!$C$15:$C$65, calc_rusacc!$AF$15:$AF$65, "",0),  AND( F320="Main Chain", I320="Accordion Screen"), _xlfn.XLOOKUP(C320, calc_rusacc!$C$15:$C$65, calc_rusacc!$BF$15:$BF$65, "",0), AND( F320="Sealant", I320="Accordion Screen"), _xlfn.XLOOKUP(C320, calc_rusacc!$C$15:$C$65, calc_rusacc!$BJ$15:$BJ$65, "",0),  F320="Sealant", _xlfn.XLOOKUP(C320, dd_accsrycalc!$A$2:$A$51, dd_accsrycalc!$G$2:$G$51, "",0),  F320&lt;&gt;"",L320*_xlfn.XLOOKUP(1, (SKUs!$C$2:$C$10001=G320)*(SKUs!$K$2:$K$10001=I320),SKUs!$E$2:$E$10001)), 0),"")</f>
        <v/>
      </c>
      <c r="E320" s="35" t="str">
        <f>_xlfn.XLOOKUP(F320,dd_item!$B$2:$B$105,dd_item!$C$2:$C$105,"",0)</f>
        <v/>
      </c>
      <c r="F320" s="35"/>
      <c r="G320" s="35" cm="1">
        <f t="array" ref="G320">IFERROR(_xlfn.XLOOKUP(1, (SKUs!$J$2:$J$10001=accsry_unmerged!F320)*IF(H320&lt;&gt;"",(SKUs!$L$2:$L$10001=accsry_unmerged!H320),1)*(SKUs!$K$2:$K$10001=I320),SKUs!$C$2:$C$10001),"")</f>
        <v>0</v>
      </c>
      <c r="H320" s="36" cm="1">
        <f t="array" ref="H320">IFERROR(_xlfn.XLOOKUP(1, (dd_accsryclr!$C$2:$C$1000=accsry_unmerged!F320)*(dd_accsryclr!$B$2:$B$1000=accsry_unmerged!J320),dd_accsryclr!$A$2:$A$1000),"")</f>
        <v>0</v>
      </c>
      <c r="I320" s="35">
        <f>_xlfn.XLOOKUP(C320,'Project Details'!$C$17:$C$66,'Project Details'!$E$17:$E$66,"",0)</f>
        <v>0</v>
      </c>
      <c r="J320" s="35">
        <f>_xlfn.XLOOKUP(C320,'Project Details'!$C$17:$C$66,'Project Details'!$H$17:$H$66,"",0)</f>
        <v>0</v>
      </c>
      <c r="K320" s="36" t="str">
        <f>IF(AND(_xlfn.XLOOKUP(C320,'Project Details'!$C$17:$C$66,'Project Details'!$L$17:$L$66,"",0)&gt;550, F320="Spring-L27cm"),"",SUBSTITUTE(_xlfn.XLOOKUP(G320,SKUs!$C$2:$C$10001,SKUs!$F$2:$F$10001,"",0), " Accessories",""))</f>
        <v/>
      </c>
      <c r="L320" s="36">
        <f>_xlfn.XLOOKUP(C320,'Project Details'!$C$17:$C$66,'Project Details'!$D$17:$D$66,"",0)</f>
        <v>0</v>
      </c>
      <c r="M320" s="43"/>
    </row>
    <row r="321" spans="1:13" x14ac:dyDescent="0.25">
      <c r="A321" s="43"/>
      <c r="B321" s="43"/>
      <c r="C321" s="16">
        <f t="shared" si="5"/>
        <v>7</v>
      </c>
      <c r="D321" s="16" t="str" cm="1">
        <f t="array" ref="D321">IFERROR(ROUNDUP(_xlfn.IFS(F321="Aluminum Track", _xlfn.XLOOKUP(C321, dd_accsrycalc!$A$2:$A$51, dd_accsrycalc!$B$2:$B$51, "",0), F321="10 x 2 1/2 S (Flat)", _xlfn.XLOOKUP(C321, dd_accsrycalc!$A$2:$A$51, dd_accsrycalc!$C$2:$C$51, "",0), F321="Tox6", _xlfn.XLOOKUP(C321, dd_accsrycalc!$A$2:$A$51, dd_accsrycalc!$D$2:$D$51, "",0), F321="Cover Cap", _xlfn.XLOOKUP(C321, dd_accsrycalc!$A$2:$A$51, dd_accsrycalc!$E$2:$E$51, "",0), F321="Drainage Cover", _xlfn.XLOOKUP(C321, dd_accsrycalc!$A$2:$A$51, dd_accsrycalc!$F$2:$F$51, "",0),AND( F321="Double Adhesive Tape", I321="Roll-up Screen"), _xlfn.XLOOKUP(C321, calc_rusacc!$C$15:$C$65, calc_rusacc!$AD$15:$AD$65, "",0),AND( F321="Sealant", I321="Roll-up Screen"), _xlfn.XLOOKUP(C321, calc_rusacc!$C$15:$C$65, calc_rusacc!$AF$15:$AF$65, "",0),  AND( F321="Main Chain", I321="Accordion Screen"), _xlfn.XLOOKUP(C321, calc_rusacc!$C$15:$C$65, calc_rusacc!$BF$15:$BF$65, "",0), AND( F321="Sealant", I321="Accordion Screen"), _xlfn.XLOOKUP(C321, calc_rusacc!$C$15:$C$65, calc_rusacc!$BJ$15:$BJ$65, "",0),  F321="Sealant", _xlfn.XLOOKUP(C321, dd_accsrycalc!$A$2:$A$51, dd_accsrycalc!$G$2:$G$51, "",0),  F321&lt;&gt;"",L321*_xlfn.XLOOKUP(1, (SKUs!$C$2:$C$10001=G321)*(SKUs!$K$2:$K$10001=I321),SKUs!$E$2:$E$10001)), 0),"")</f>
        <v/>
      </c>
      <c r="E321" s="16" t="str">
        <f>_xlfn.XLOOKUP(F321,dd_item!$B$2:$B$105,dd_item!$C$2:$C$105,"",0)</f>
        <v/>
      </c>
      <c r="F321" s="16"/>
      <c r="G321" s="16" cm="1">
        <f t="array" ref="G321">IFERROR(_xlfn.XLOOKUP(1, (SKUs!$J$2:$J$10001=accsry_unmerged!F321)*IF(H321&lt;&gt;"",(SKUs!$L$2:$L$10001=accsry_unmerged!H321),1)*(SKUs!$K$2:$K$10001=I321),SKUs!$C$2:$C$10001),"")</f>
        <v>0</v>
      </c>
      <c r="H321" s="33" cm="1">
        <f t="array" ref="H321">IFERROR(_xlfn.XLOOKUP(1, (dd_accsryclr!$C$2:$C$1000=accsry_unmerged!F321)*(dd_accsryclr!$B$2:$B$1000=accsry_unmerged!J321),dd_accsryclr!$A$2:$A$1000),"")</f>
        <v>0</v>
      </c>
      <c r="I321" s="16">
        <f>_xlfn.XLOOKUP(C321,'Project Details'!$C$17:$C$66,'Project Details'!$E$17:$E$66,"",0)</f>
        <v>0</v>
      </c>
      <c r="J321" s="16">
        <f>_xlfn.XLOOKUP(C321,'Project Details'!$C$17:$C$66,'Project Details'!$H$17:$H$66,"",0)</f>
        <v>0</v>
      </c>
      <c r="K321" s="33" t="str">
        <f>IF(AND(_xlfn.XLOOKUP(C321,'Project Details'!$C$17:$C$66,'Project Details'!$L$17:$L$66,"",0)&gt;550, F321="Spring-L27cm"),"",SUBSTITUTE(_xlfn.XLOOKUP(G321,SKUs!$C$2:$C$10001,SKUs!$F$2:$F$10001,"",0), " Accessories",""))</f>
        <v/>
      </c>
      <c r="L321" s="33">
        <f>_xlfn.XLOOKUP(C321,'Project Details'!$C$17:$C$66,'Project Details'!$D$17:$D$66,"",0)</f>
        <v>0</v>
      </c>
      <c r="M321" s="43"/>
    </row>
    <row r="322" spans="1:13" x14ac:dyDescent="0.25">
      <c r="A322" s="43"/>
      <c r="B322" s="43"/>
      <c r="C322" s="35">
        <f t="shared" si="5"/>
        <v>7</v>
      </c>
      <c r="D322" s="35" t="str" cm="1">
        <f t="array" ref="D322">IFERROR(ROUNDUP(_xlfn.IFS(F322="Aluminum Track", _xlfn.XLOOKUP(C322, dd_accsrycalc!$A$2:$A$51, dd_accsrycalc!$B$2:$B$51, "",0), F322="10 x 2 1/2 S (Flat)", _xlfn.XLOOKUP(C322, dd_accsrycalc!$A$2:$A$51, dd_accsrycalc!$C$2:$C$51, "",0), F322="Tox6", _xlfn.XLOOKUP(C322, dd_accsrycalc!$A$2:$A$51, dd_accsrycalc!$D$2:$D$51, "",0), F322="Cover Cap", _xlfn.XLOOKUP(C322, dd_accsrycalc!$A$2:$A$51, dd_accsrycalc!$E$2:$E$51, "",0), F322="Drainage Cover", _xlfn.XLOOKUP(C322, dd_accsrycalc!$A$2:$A$51, dd_accsrycalc!$F$2:$F$51, "",0),AND( F322="Double Adhesive Tape", I322="Roll-up Screen"), _xlfn.XLOOKUP(C322, calc_rusacc!$C$15:$C$65, calc_rusacc!$AD$15:$AD$65, "",0),AND( F322="Sealant", I322="Roll-up Screen"), _xlfn.XLOOKUP(C322, calc_rusacc!$C$15:$C$65, calc_rusacc!$AF$15:$AF$65, "",0),  AND( F322="Main Chain", I322="Accordion Screen"), _xlfn.XLOOKUP(C322, calc_rusacc!$C$15:$C$65, calc_rusacc!$BF$15:$BF$65, "",0), AND( F322="Sealant", I322="Accordion Screen"), _xlfn.XLOOKUP(C322, calc_rusacc!$C$15:$C$65, calc_rusacc!$BJ$15:$BJ$65, "",0),  F322="Sealant", _xlfn.XLOOKUP(C322, dd_accsrycalc!$A$2:$A$51, dd_accsrycalc!$G$2:$G$51, "",0),  F322&lt;&gt;"",L322*_xlfn.XLOOKUP(1, (SKUs!$C$2:$C$10001=G322)*(SKUs!$K$2:$K$10001=I322),SKUs!$E$2:$E$10001)), 0),"")</f>
        <v/>
      </c>
      <c r="E322" s="35" t="str">
        <f>_xlfn.XLOOKUP(F322,dd_item!$B$2:$B$105,dd_item!$C$2:$C$105,"",0)</f>
        <v/>
      </c>
      <c r="F322" s="35"/>
      <c r="G322" s="35" cm="1">
        <f t="array" ref="G322">IFERROR(_xlfn.XLOOKUP(1, (SKUs!$J$2:$J$10001=accsry_unmerged!F322)*IF(H322&lt;&gt;"",(SKUs!$L$2:$L$10001=accsry_unmerged!H322),1)*(SKUs!$K$2:$K$10001=I322),SKUs!$C$2:$C$10001),"")</f>
        <v>0</v>
      </c>
      <c r="H322" s="36" cm="1">
        <f t="array" ref="H322">IFERROR(_xlfn.XLOOKUP(1, (dd_accsryclr!$C$2:$C$1000=accsry_unmerged!F322)*(dd_accsryclr!$B$2:$B$1000=accsry_unmerged!J322),dd_accsryclr!$A$2:$A$1000),"")</f>
        <v>0</v>
      </c>
      <c r="I322" s="35">
        <f>_xlfn.XLOOKUP(C322,'Project Details'!$C$17:$C$66,'Project Details'!$E$17:$E$66,"",0)</f>
        <v>0</v>
      </c>
      <c r="J322" s="35">
        <f>_xlfn.XLOOKUP(C322,'Project Details'!$C$17:$C$66,'Project Details'!$H$17:$H$66,"",0)</f>
        <v>0</v>
      </c>
      <c r="K322" s="36" t="str">
        <f>IF(AND(_xlfn.XLOOKUP(C322,'Project Details'!$C$17:$C$66,'Project Details'!$L$17:$L$66,"",0)&gt;550, F322="Spring-L27cm"),"",SUBSTITUTE(_xlfn.XLOOKUP(G322,SKUs!$C$2:$C$10001,SKUs!$F$2:$F$10001,"",0), " Accessories",""))</f>
        <v/>
      </c>
      <c r="L322" s="36">
        <f>_xlfn.XLOOKUP(C322,'Project Details'!$C$17:$C$66,'Project Details'!$D$17:$D$66,"",0)</f>
        <v>0</v>
      </c>
      <c r="M322" s="43"/>
    </row>
    <row r="323" spans="1:13" x14ac:dyDescent="0.25">
      <c r="A323" s="43"/>
      <c r="B323" s="43"/>
      <c r="C323" s="16">
        <f t="shared" si="5"/>
        <v>7</v>
      </c>
      <c r="D323" s="16" t="str" cm="1">
        <f t="array" ref="D323">IFERROR(ROUNDUP(_xlfn.IFS(F323="Aluminum Track", _xlfn.XLOOKUP(C323, dd_accsrycalc!$A$2:$A$51, dd_accsrycalc!$B$2:$B$51, "",0), F323="10 x 2 1/2 S (Flat)", _xlfn.XLOOKUP(C323, dd_accsrycalc!$A$2:$A$51, dd_accsrycalc!$C$2:$C$51, "",0), F323="Tox6", _xlfn.XLOOKUP(C323, dd_accsrycalc!$A$2:$A$51, dd_accsrycalc!$D$2:$D$51, "",0), F323="Cover Cap", _xlfn.XLOOKUP(C323, dd_accsrycalc!$A$2:$A$51, dd_accsrycalc!$E$2:$E$51, "",0), F323="Drainage Cover", _xlfn.XLOOKUP(C323, dd_accsrycalc!$A$2:$A$51, dd_accsrycalc!$F$2:$F$51, "",0),AND( F323="Double Adhesive Tape", I323="Roll-up Screen"), _xlfn.XLOOKUP(C323, calc_rusacc!$C$15:$C$65, calc_rusacc!$AD$15:$AD$65, "",0),AND( F323="Sealant", I323="Roll-up Screen"), _xlfn.XLOOKUP(C323, calc_rusacc!$C$15:$C$65, calc_rusacc!$AF$15:$AF$65, "",0),  AND( F323="Main Chain", I323="Accordion Screen"), _xlfn.XLOOKUP(C323, calc_rusacc!$C$15:$C$65, calc_rusacc!$BF$15:$BF$65, "",0), AND( F323="Sealant", I323="Accordion Screen"), _xlfn.XLOOKUP(C323, calc_rusacc!$C$15:$C$65, calc_rusacc!$BJ$15:$BJ$65, "",0),  F323="Sealant", _xlfn.XLOOKUP(C323, dd_accsrycalc!$A$2:$A$51, dd_accsrycalc!$G$2:$G$51, "",0),  F323&lt;&gt;"",L323*_xlfn.XLOOKUP(1, (SKUs!$C$2:$C$10001=G323)*(SKUs!$K$2:$K$10001=I323),SKUs!$E$2:$E$10001)), 0),"")</f>
        <v/>
      </c>
      <c r="E323" s="16" t="str">
        <f>_xlfn.XLOOKUP(F323,dd_item!$B$2:$B$105,dd_item!$C$2:$C$105,"",0)</f>
        <v/>
      </c>
      <c r="F323" s="16"/>
      <c r="G323" s="16" cm="1">
        <f t="array" ref="G323">IFERROR(_xlfn.XLOOKUP(1, (SKUs!$J$2:$J$10001=accsry_unmerged!F323)*IF(H323&lt;&gt;"",(SKUs!$L$2:$L$10001=accsry_unmerged!H323),1)*(SKUs!$K$2:$K$10001=I323),SKUs!$C$2:$C$10001),"")</f>
        <v>0</v>
      </c>
      <c r="H323" s="33" cm="1">
        <f t="array" ref="H323">IFERROR(_xlfn.XLOOKUP(1, (dd_accsryclr!$C$2:$C$1000=accsry_unmerged!F323)*(dd_accsryclr!$B$2:$B$1000=accsry_unmerged!J323),dd_accsryclr!$A$2:$A$1000),"")</f>
        <v>0</v>
      </c>
      <c r="I323" s="16">
        <f>_xlfn.XLOOKUP(C323,'Project Details'!$C$17:$C$66,'Project Details'!$E$17:$E$66,"",0)</f>
        <v>0</v>
      </c>
      <c r="J323" s="16">
        <f>_xlfn.XLOOKUP(C323,'Project Details'!$C$17:$C$66,'Project Details'!$H$17:$H$66,"",0)</f>
        <v>0</v>
      </c>
      <c r="K323" s="33" t="str">
        <f>IF(AND(_xlfn.XLOOKUP(C323,'Project Details'!$C$17:$C$66,'Project Details'!$L$17:$L$66,"",0)&gt;550, F323="Spring-L27cm"),"",SUBSTITUTE(_xlfn.XLOOKUP(G323,SKUs!$C$2:$C$10001,SKUs!$F$2:$F$10001,"",0), " Accessories",""))</f>
        <v/>
      </c>
      <c r="L323" s="33">
        <f>_xlfn.XLOOKUP(C323,'Project Details'!$C$17:$C$66,'Project Details'!$D$17:$D$66,"",0)</f>
        <v>0</v>
      </c>
      <c r="M323" s="43"/>
    </row>
    <row r="324" spans="1:13" x14ac:dyDescent="0.25">
      <c r="A324" s="43"/>
      <c r="B324" s="43"/>
      <c r="C324" s="35">
        <f t="shared" si="5"/>
        <v>7</v>
      </c>
      <c r="D324" s="35" t="str" cm="1">
        <f t="array" ref="D324">IFERROR(ROUNDUP(_xlfn.IFS(F324="Aluminum Track", _xlfn.XLOOKUP(C324, dd_accsrycalc!$A$2:$A$51, dd_accsrycalc!$B$2:$B$51, "",0), F324="10 x 2 1/2 S (Flat)", _xlfn.XLOOKUP(C324, dd_accsrycalc!$A$2:$A$51, dd_accsrycalc!$C$2:$C$51, "",0), F324="Tox6", _xlfn.XLOOKUP(C324, dd_accsrycalc!$A$2:$A$51, dd_accsrycalc!$D$2:$D$51, "",0), F324="Cover Cap", _xlfn.XLOOKUP(C324, dd_accsrycalc!$A$2:$A$51, dd_accsrycalc!$E$2:$E$51, "",0), F324="Drainage Cover", _xlfn.XLOOKUP(C324, dd_accsrycalc!$A$2:$A$51, dd_accsrycalc!$F$2:$F$51, "",0),AND( F324="Double Adhesive Tape", I324="Roll-up Screen"), _xlfn.XLOOKUP(C324, calc_rusacc!$C$15:$C$65, calc_rusacc!$AD$15:$AD$65, "",0),AND( F324="Sealant", I324="Roll-up Screen"), _xlfn.XLOOKUP(C324, calc_rusacc!$C$15:$C$65, calc_rusacc!$AF$15:$AF$65, "",0),  AND( F324="Main Chain", I324="Accordion Screen"), _xlfn.XLOOKUP(C324, calc_rusacc!$C$15:$C$65, calc_rusacc!$BF$15:$BF$65, "",0), AND( F324="Sealant", I324="Accordion Screen"), _xlfn.XLOOKUP(C324, calc_rusacc!$C$15:$C$65, calc_rusacc!$BJ$15:$BJ$65, "",0),  F324="Sealant", _xlfn.XLOOKUP(C324, dd_accsrycalc!$A$2:$A$51, dd_accsrycalc!$G$2:$G$51, "",0),  F324&lt;&gt;"",L324*_xlfn.XLOOKUP(1, (SKUs!$C$2:$C$10001=G324)*(SKUs!$K$2:$K$10001=I324),SKUs!$E$2:$E$10001)), 0),"")</f>
        <v/>
      </c>
      <c r="E324" s="35" t="str">
        <f>_xlfn.XLOOKUP(F324,dd_item!$B$2:$B$105,dd_item!$C$2:$C$105,"",0)</f>
        <v/>
      </c>
      <c r="F324" s="35"/>
      <c r="G324" s="35" cm="1">
        <f t="array" ref="G324">IFERROR(_xlfn.XLOOKUP(1, (SKUs!$J$2:$J$10001=accsry_unmerged!F324)*IF(H324&lt;&gt;"",(SKUs!$L$2:$L$10001=accsry_unmerged!H324),1)*(SKUs!$K$2:$K$10001=I324),SKUs!$C$2:$C$10001),"")</f>
        <v>0</v>
      </c>
      <c r="H324" s="36" cm="1">
        <f t="array" ref="H324">IFERROR(_xlfn.XLOOKUP(1, (dd_accsryclr!$C$2:$C$1000=accsry_unmerged!F324)*(dd_accsryclr!$B$2:$B$1000=accsry_unmerged!J324),dd_accsryclr!$A$2:$A$1000),"")</f>
        <v>0</v>
      </c>
      <c r="I324" s="35">
        <f>_xlfn.XLOOKUP(C324,'Project Details'!$C$17:$C$66,'Project Details'!$E$17:$E$66,"",0)</f>
        <v>0</v>
      </c>
      <c r="J324" s="35">
        <f>_xlfn.XLOOKUP(C324,'Project Details'!$C$17:$C$66,'Project Details'!$H$17:$H$66,"",0)</f>
        <v>0</v>
      </c>
      <c r="K324" s="36" t="str">
        <f>IF(AND(_xlfn.XLOOKUP(C324,'Project Details'!$C$17:$C$66,'Project Details'!$L$17:$L$66,"",0)&gt;550, F324="Spring-L27cm"),"",SUBSTITUTE(_xlfn.XLOOKUP(G324,SKUs!$C$2:$C$10001,SKUs!$F$2:$F$10001,"",0), " Accessories",""))</f>
        <v/>
      </c>
      <c r="L324" s="36">
        <f>_xlfn.XLOOKUP(C324,'Project Details'!$C$17:$C$66,'Project Details'!$D$17:$D$66,"",0)</f>
        <v>0</v>
      </c>
      <c r="M324" s="43"/>
    </row>
    <row r="325" spans="1:13" x14ac:dyDescent="0.25">
      <c r="A325" s="43"/>
      <c r="B325" s="43"/>
      <c r="C325" s="16">
        <f t="shared" si="5"/>
        <v>7</v>
      </c>
      <c r="D325" s="16" t="str" cm="1">
        <f t="array" ref="D325">IFERROR(ROUNDUP(_xlfn.IFS(F325="Aluminum Track", _xlfn.XLOOKUP(C325, dd_accsrycalc!$A$2:$A$51, dd_accsrycalc!$B$2:$B$51, "",0), F325="10 x 2 1/2 S (Flat)", _xlfn.XLOOKUP(C325, dd_accsrycalc!$A$2:$A$51, dd_accsrycalc!$C$2:$C$51, "",0), F325="Tox6", _xlfn.XLOOKUP(C325, dd_accsrycalc!$A$2:$A$51, dd_accsrycalc!$D$2:$D$51, "",0), F325="Cover Cap", _xlfn.XLOOKUP(C325, dd_accsrycalc!$A$2:$A$51, dd_accsrycalc!$E$2:$E$51, "",0), F325="Drainage Cover", _xlfn.XLOOKUP(C325, dd_accsrycalc!$A$2:$A$51, dd_accsrycalc!$F$2:$F$51, "",0),AND( F325="Double Adhesive Tape", I325="Roll-up Screen"), _xlfn.XLOOKUP(C325, calc_rusacc!$C$15:$C$65, calc_rusacc!$AD$15:$AD$65, "",0),AND( F325="Sealant", I325="Roll-up Screen"), _xlfn.XLOOKUP(C325, calc_rusacc!$C$15:$C$65, calc_rusacc!$AF$15:$AF$65, "",0),  AND( F325="Main Chain", I325="Accordion Screen"), _xlfn.XLOOKUP(C325, calc_rusacc!$C$15:$C$65, calc_rusacc!$BF$15:$BF$65, "",0), AND( F325="Sealant", I325="Accordion Screen"), _xlfn.XLOOKUP(C325, calc_rusacc!$C$15:$C$65, calc_rusacc!$BJ$15:$BJ$65, "",0),  F325="Sealant", _xlfn.XLOOKUP(C325, dd_accsrycalc!$A$2:$A$51, dd_accsrycalc!$G$2:$G$51, "",0),  F325&lt;&gt;"",L325*_xlfn.XLOOKUP(1, (SKUs!$C$2:$C$10001=G325)*(SKUs!$K$2:$K$10001=I325),SKUs!$E$2:$E$10001)), 0),"")</f>
        <v/>
      </c>
      <c r="E325" s="16" t="str">
        <f>_xlfn.XLOOKUP(F325,dd_item!$B$2:$B$105,dd_item!$C$2:$C$105,"",0)</f>
        <v/>
      </c>
      <c r="F325" s="16"/>
      <c r="G325" s="16" cm="1">
        <f t="array" ref="G325">IFERROR(_xlfn.XLOOKUP(1, (SKUs!$J$2:$J$10001=accsry_unmerged!F325)*IF(H325&lt;&gt;"",(SKUs!$L$2:$L$10001=accsry_unmerged!H325),1)*(SKUs!$K$2:$K$10001=I325),SKUs!$C$2:$C$10001),"")</f>
        <v>0</v>
      </c>
      <c r="H325" s="33" cm="1">
        <f t="array" ref="H325">IFERROR(_xlfn.XLOOKUP(1, (dd_accsryclr!$C$2:$C$1000=accsry_unmerged!F325)*(dd_accsryclr!$B$2:$B$1000=accsry_unmerged!J325),dd_accsryclr!$A$2:$A$1000),"")</f>
        <v>0</v>
      </c>
      <c r="I325" s="16">
        <f>_xlfn.XLOOKUP(C325,'Project Details'!$C$17:$C$66,'Project Details'!$E$17:$E$66,"",0)</f>
        <v>0</v>
      </c>
      <c r="J325" s="16">
        <f>_xlfn.XLOOKUP(C325,'Project Details'!$C$17:$C$66,'Project Details'!$H$17:$H$66,"",0)</f>
        <v>0</v>
      </c>
      <c r="K325" s="33" t="str">
        <f>IF(AND(_xlfn.XLOOKUP(C325,'Project Details'!$C$17:$C$66,'Project Details'!$L$17:$L$66,"",0)&gt;550, F325="Spring-L27cm"),"",SUBSTITUTE(_xlfn.XLOOKUP(G325,SKUs!$C$2:$C$10001,SKUs!$F$2:$F$10001,"",0), " Accessories",""))</f>
        <v/>
      </c>
      <c r="L325" s="33">
        <f>_xlfn.XLOOKUP(C325,'Project Details'!$C$17:$C$66,'Project Details'!$D$17:$D$66,"",0)</f>
        <v>0</v>
      </c>
      <c r="M325" s="43"/>
    </row>
    <row r="326" spans="1:13" x14ac:dyDescent="0.25">
      <c r="A326" s="43"/>
      <c r="B326" s="43"/>
      <c r="C326" s="35">
        <f t="shared" si="5"/>
        <v>7</v>
      </c>
      <c r="D326" s="35" t="str" cm="1">
        <f t="array" ref="D326">IFERROR(ROUNDUP(_xlfn.IFS(F326="Aluminum Track", _xlfn.XLOOKUP(C326, dd_accsrycalc!$A$2:$A$51, dd_accsrycalc!$B$2:$B$51, "",0), F326="10 x 2 1/2 S (Flat)", _xlfn.XLOOKUP(C326, dd_accsrycalc!$A$2:$A$51, dd_accsrycalc!$C$2:$C$51, "",0), F326="Tox6", _xlfn.XLOOKUP(C326, dd_accsrycalc!$A$2:$A$51, dd_accsrycalc!$D$2:$D$51, "",0), F326="Cover Cap", _xlfn.XLOOKUP(C326, dd_accsrycalc!$A$2:$A$51, dd_accsrycalc!$E$2:$E$51, "",0), F326="Drainage Cover", _xlfn.XLOOKUP(C326, dd_accsrycalc!$A$2:$A$51, dd_accsrycalc!$F$2:$F$51, "",0),AND( F326="Double Adhesive Tape", I326="Roll-up Screen"), _xlfn.XLOOKUP(C326, calc_rusacc!$C$15:$C$65, calc_rusacc!$AD$15:$AD$65, "",0),AND( F326="Sealant", I326="Roll-up Screen"), _xlfn.XLOOKUP(C326, calc_rusacc!$C$15:$C$65, calc_rusacc!$AF$15:$AF$65, "",0),  AND( F326="Main Chain", I326="Accordion Screen"), _xlfn.XLOOKUP(C326, calc_rusacc!$C$15:$C$65, calc_rusacc!$BF$15:$BF$65, "",0), AND( F326="Sealant", I326="Accordion Screen"), _xlfn.XLOOKUP(C326, calc_rusacc!$C$15:$C$65, calc_rusacc!$BJ$15:$BJ$65, "",0),  F326="Sealant", _xlfn.XLOOKUP(C326, dd_accsrycalc!$A$2:$A$51, dd_accsrycalc!$G$2:$G$51, "",0),  F326&lt;&gt;"",L326*_xlfn.XLOOKUP(1, (SKUs!$C$2:$C$10001=G326)*(SKUs!$K$2:$K$10001=I326),SKUs!$E$2:$E$10001)), 0),"")</f>
        <v/>
      </c>
      <c r="E326" s="35" t="str">
        <f>_xlfn.XLOOKUP(F326,dd_item!$B$2:$B$105,dd_item!$C$2:$C$105,"",0)</f>
        <v/>
      </c>
      <c r="F326" s="35"/>
      <c r="G326" s="35" cm="1">
        <f t="array" ref="G326">IFERROR(_xlfn.XLOOKUP(1, (SKUs!$J$2:$J$10001=accsry_unmerged!F326)*IF(H326&lt;&gt;"",(SKUs!$L$2:$L$10001=accsry_unmerged!H326),1)*(SKUs!$K$2:$K$10001=I326),SKUs!$C$2:$C$10001),"")</f>
        <v>0</v>
      </c>
      <c r="H326" s="36" cm="1">
        <f t="array" ref="H326">IFERROR(_xlfn.XLOOKUP(1, (dd_accsryclr!$C$2:$C$1000=accsry_unmerged!F326)*(dd_accsryclr!$B$2:$B$1000=accsry_unmerged!J326),dd_accsryclr!$A$2:$A$1000),"")</f>
        <v>0</v>
      </c>
      <c r="I326" s="35">
        <f>_xlfn.XLOOKUP(C326,'Project Details'!$C$17:$C$66,'Project Details'!$E$17:$E$66,"",0)</f>
        <v>0</v>
      </c>
      <c r="J326" s="35">
        <f>_xlfn.XLOOKUP(C326,'Project Details'!$C$17:$C$66,'Project Details'!$H$17:$H$66,"",0)</f>
        <v>0</v>
      </c>
      <c r="K326" s="36" t="str">
        <f>IF(AND(_xlfn.XLOOKUP(C326,'Project Details'!$C$17:$C$66,'Project Details'!$L$17:$L$66,"",0)&gt;550, F326="Spring-L27cm"),"",SUBSTITUTE(_xlfn.XLOOKUP(G326,SKUs!$C$2:$C$10001,SKUs!$F$2:$F$10001,"",0), " Accessories",""))</f>
        <v/>
      </c>
      <c r="L326" s="36">
        <f>_xlfn.XLOOKUP(C326,'Project Details'!$C$17:$C$66,'Project Details'!$D$17:$D$66,"",0)</f>
        <v>0</v>
      </c>
      <c r="M326" s="43"/>
    </row>
    <row r="327" spans="1:13" x14ac:dyDescent="0.25">
      <c r="A327" s="43"/>
      <c r="B327" s="43"/>
      <c r="C327" s="16">
        <f t="shared" si="5"/>
        <v>7</v>
      </c>
      <c r="D327" s="16" t="str" cm="1">
        <f t="array" ref="D327">IFERROR(ROUNDUP(_xlfn.IFS(F327="Aluminum Track", _xlfn.XLOOKUP(C327, dd_accsrycalc!$A$2:$A$51, dd_accsrycalc!$B$2:$B$51, "",0), F327="10 x 2 1/2 S (Flat)", _xlfn.XLOOKUP(C327, dd_accsrycalc!$A$2:$A$51, dd_accsrycalc!$C$2:$C$51, "",0), F327="Tox6", _xlfn.XLOOKUP(C327, dd_accsrycalc!$A$2:$A$51, dd_accsrycalc!$D$2:$D$51, "",0), F327="Cover Cap", _xlfn.XLOOKUP(C327, dd_accsrycalc!$A$2:$A$51, dd_accsrycalc!$E$2:$E$51, "",0), F327="Drainage Cover", _xlfn.XLOOKUP(C327, dd_accsrycalc!$A$2:$A$51, dd_accsrycalc!$F$2:$F$51, "",0),AND( F327="Double Adhesive Tape", I327="Roll-up Screen"), _xlfn.XLOOKUP(C327, calc_rusacc!$C$15:$C$65, calc_rusacc!$AD$15:$AD$65, "",0),AND( F327="Sealant", I327="Roll-up Screen"), _xlfn.XLOOKUP(C327, calc_rusacc!$C$15:$C$65, calc_rusacc!$AF$15:$AF$65, "",0),  AND( F327="Main Chain", I327="Accordion Screen"), _xlfn.XLOOKUP(C327, calc_rusacc!$C$15:$C$65, calc_rusacc!$BF$15:$BF$65, "",0), AND( F327="Sealant", I327="Accordion Screen"), _xlfn.XLOOKUP(C327, calc_rusacc!$C$15:$C$65, calc_rusacc!$BJ$15:$BJ$65, "",0),  F327="Sealant", _xlfn.XLOOKUP(C327, dd_accsrycalc!$A$2:$A$51, dd_accsrycalc!$G$2:$G$51, "",0),  F327&lt;&gt;"",L327*_xlfn.XLOOKUP(1, (SKUs!$C$2:$C$10001=G327)*(SKUs!$K$2:$K$10001=I327),SKUs!$E$2:$E$10001)), 0),"")</f>
        <v/>
      </c>
      <c r="E327" s="16" t="str">
        <f>_xlfn.XLOOKUP(F327,dd_item!$B$2:$B$105,dd_item!$C$2:$C$105,"",0)</f>
        <v/>
      </c>
      <c r="F327" s="16"/>
      <c r="G327" s="16" cm="1">
        <f t="array" ref="G327">IFERROR(_xlfn.XLOOKUP(1, (SKUs!$J$2:$J$10001=accsry_unmerged!F327)*IF(H327&lt;&gt;"",(SKUs!$L$2:$L$10001=accsry_unmerged!H327),1)*(SKUs!$K$2:$K$10001=I327),SKUs!$C$2:$C$10001),"")</f>
        <v>0</v>
      </c>
      <c r="H327" s="33" cm="1">
        <f t="array" ref="H327">IFERROR(_xlfn.XLOOKUP(1, (dd_accsryclr!$C$2:$C$1000=accsry_unmerged!F327)*(dd_accsryclr!$B$2:$B$1000=accsry_unmerged!J327),dd_accsryclr!$A$2:$A$1000),"")</f>
        <v>0</v>
      </c>
      <c r="I327" s="16">
        <f>_xlfn.XLOOKUP(C327,'Project Details'!$C$17:$C$66,'Project Details'!$E$17:$E$66,"",0)</f>
        <v>0</v>
      </c>
      <c r="J327" s="16">
        <f>_xlfn.XLOOKUP(C327,'Project Details'!$C$17:$C$66,'Project Details'!$H$17:$H$66,"",0)</f>
        <v>0</v>
      </c>
      <c r="K327" s="33" t="str">
        <f>IF(AND(_xlfn.XLOOKUP(C327,'Project Details'!$C$17:$C$66,'Project Details'!$L$17:$L$66,"",0)&gt;550, F327="Spring-L27cm"),"",SUBSTITUTE(_xlfn.XLOOKUP(G327,SKUs!$C$2:$C$10001,SKUs!$F$2:$F$10001,"",0), " Accessories",""))</f>
        <v/>
      </c>
      <c r="L327" s="33">
        <f>_xlfn.XLOOKUP(C327,'Project Details'!$C$17:$C$66,'Project Details'!$D$17:$D$66,"",0)</f>
        <v>0</v>
      </c>
      <c r="M327" s="43"/>
    </row>
    <row r="328" spans="1:13" x14ac:dyDescent="0.25">
      <c r="A328" s="43"/>
      <c r="B328" s="43"/>
      <c r="C328" s="35">
        <f t="shared" si="5"/>
        <v>7</v>
      </c>
      <c r="D328" s="35" t="str" cm="1">
        <f t="array" ref="D328">IFERROR(ROUNDUP(_xlfn.IFS(F328="Aluminum Track", _xlfn.XLOOKUP(C328, dd_accsrycalc!$A$2:$A$51, dd_accsrycalc!$B$2:$B$51, "",0), F328="10 x 2 1/2 S (Flat)", _xlfn.XLOOKUP(C328, dd_accsrycalc!$A$2:$A$51, dd_accsrycalc!$C$2:$C$51, "",0), F328="Tox6", _xlfn.XLOOKUP(C328, dd_accsrycalc!$A$2:$A$51, dd_accsrycalc!$D$2:$D$51, "",0), F328="Cover Cap", _xlfn.XLOOKUP(C328, dd_accsrycalc!$A$2:$A$51, dd_accsrycalc!$E$2:$E$51, "",0), F328="Drainage Cover", _xlfn.XLOOKUP(C328, dd_accsrycalc!$A$2:$A$51, dd_accsrycalc!$F$2:$F$51, "",0),AND( F328="Double Adhesive Tape", I328="Roll-up Screen"), _xlfn.XLOOKUP(C328, calc_rusacc!$C$15:$C$65, calc_rusacc!$AD$15:$AD$65, "",0),AND( F328="Sealant", I328="Roll-up Screen"), _xlfn.XLOOKUP(C328, calc_rusacc!$C$15:$C$65, calc_rusacc!$AF$15:$AF$65, "",0),  AND( F328="Main Chain", I328="Accordion Screen"), _xlfn.XLOOKUP(C328, calc_rusacc!$C$15:$C$65, calc_rusacc!$BF$15:$BF$65, "",0), AND( F328="Sealant", I328="Accordion Screen"), _xlfn.XLOOKUP(C328, calc_rusacc!$C$15:$C$65, calc_rusacc!$BJ$15:$BJ$65, "",0),  F328="Sealant", _xlfn.XLOOKUP(C328, dd_accsrycalc!$A$2:$A$51, dd_accsrycalc!$G$2:$G$51, "",0),  F328&lt;&gt;"",L328*_xlfn.XLOOKUP(1, (SKUs!$C$2:$C$10001=G328)*(SKUs!$K$2:$K$10001=I328),SKUs!$E$2:$E$10001)), 0),"")</f>
        <v/>
      </c>
      <c r="E328" s="35" t="str">
        <f>_xlfn.XLOOKUP(F328,dd_item!$B$2:$B$105,dd_item!$C$2:$C$105,"",0)</f>
        <v/>
      </c>
      <c r="F328" s="35"/>
      <c r="G328" s="35" cm="1">
        <f t="array" ref="G328">IFERROR(_xlfn.XLOOKUP(1, (SKUs!$J$2:$J$10001=accsry_unmerged!F328)*IF(H328&lt;&gt;"",(SKUs!$L$2:$L$10001=accsry_unmerged!H328),1)*(SKUs!$K$2:$K$10001=I328),SKUs!$C$2:$C$10001),"")</f>
        <v>0</v>
      </c>
      <c r="H328" s="36" cm="1">
        <f t="array" ref="H328">IFERROR(_xlfn.XLOOKUP(1, (dd_accsryclr!$C$2:$C$1000=accsry_unmerged!F328)*(dd_accsryclr!$B$2:$B$1000=accsry_unmerged!J328),dd_accsryclr!$A$2:$A$1000),"")</f>
        <v>0</v>
      </c>
      <c r="I328" s="35">
        <f>_xlfn.XLOOKUP(C328,'Project Details'!$C$17:$C$66,'Project Details'!$E$17:$E$66,"",0)</f>
        <v>0</v>
      </c>
      <c r="J328" s="35">
        <f>_xlfn.XLOOKUP(C328,'Project Details'!$C$17:$C$66,'Project Details'!$H$17:$H$66,"",0)</f>
        <v>0</v>
      </c>
      <c r="K328" s="36" t="str">
        <f>IF(AND(_xlfn.XLOOKUP(C328,'Project Details'!$C$17:$C$66,'Project Details'!$L$17:$L$66,"",0)&gt;550, F328="Spring-L27cm"),"",SUBSTITUTE(_xlfn.XLOOKUP(G328,SKUs!$C$2:$C$10001,SKUs!$F$2:$F$10001,"",0), " Accessories",""))</f>
        <v/>
      </c>
      <c r="L328" s="36">
        <f>_xlfn.XLOOKUP(C328,'Project Details'!$C$17:$C$66,'Project Details'!$D$17:$D$66,"",0)</f>
        <v>0</v>
      </c>
      <c r="M328" s="43"/>
    </row>
    <row r="329" spans="1:13" x14ac:dyDescent="0.25">
      <c r="A329" s="43"/>
      <c r="B329" s="43"/>
      <c r="C329" s="16">
        <f t="shared" si="5"/>
        <v>7</v>
      </c>
      <c r="D329" s="16" t="str" cm="1">
        <f t="array" ref="D329">IFERROR(ROUNDUP(_xlfn.IFS(F329="Aluminum Track", _xlfn.XLOOKUP(C329, dd_accsrycalc!$A$2:$A$51, dd_accsrycalc!$B$2:$B$51, "",0), F329="10 x 2 1/2 S (Flat)", _xlfn.XLOOKUP(C329, dd_accsrycalc!$A$2:$A$51, dd_accsrycalc!$C$2:$C$51, "",0), F329="Tox6", _xlfn.XLOOKUP(C329, dd_accsrycalc!$A$2:$A$51, dd_accsrycalc!$D$2:$D$51, "",0), F329="Cover Cap", _xlfn.XLOOKUP(C329, dd_accsrycalc!$A$2:$A$51, dd_accsrycalc!$E$2:$E$51, "",0), F329="Drainage Cover", _xlfn.XLOOKUP(C329, dd_accsrycalc!$A$2:$A$51, dd_accsrycalc!$F$2:$F$51, "",0),AND( F329="Double Adhesive Tape", I329="Roll-up Screen"), _xlfn.XLOOKUP(C329, calc_rusacc!$C$15:$C$65, calc_rusacc!$AD$15:$AD$65, "",0),AND( F329="Sealant", I329="Roll-up Screen"), _xlfn.XLOOKUP(C329, calc_rusacc!$C$15:$C$65, calc_rusacc!$AF$15:$AF$65, "",0),  AND( F329="Main Chain", I329="Accordion Screen"), _xlfn.XLOOKUP(C329, calc_rusacc!$C$15:$C$65, calc_rusacc!$BF$15:$BF$65, "",0), AND( F329="Sealant", I329="Accordion Screen"), _xlfn.XLOOKUP(C329, calc_rusacc!$C$15:$C$65, calc_rusacc!$BJ$15:$BJ$65, "",0),  F329="Sealant", _xlfn.XLOOKUP(C329, dd_accsrycalc!$A$2:$A$51, dd_accsrycalc!$G$2:$G$51, "",0),  F329&lt;&gt;"",L329*_xlfn.XLOOKUP(1, (SKUs!$C$2:$C$10001=G329)*(SKUs!$K$2:$K$10001=I329),SKUs!$E$2:$E$10001)), 0),"")</f>
        <v/>
      </c>
      <c r="E329" s="16" t="str">
        <f>_xlfn.XLOOKUP(F329,dd_item!$B$2:$B$105,dd_item!$C$2:$C$105,"",0)</f>
        <v/>
      </c>
      <c r="F329" s="16"/>
      <c r="G329" s="16" cm="1">
        <f t="array" ref="G329">IFERROR(_xlfn.XLOOKUP(1, (SKUs!$J$2:$J$10001=accsry_unmerged!F329)*IF(H329&lt;&gt;"",(SKUs!$L$2:$L$10001=accsry_unmerged!H329),1)*(SKUs!$K$2:$K$10001=I329),SKUs!$C$2:$C$10001),"")</f>
        <v>0</v>
      </c>
      <c r="H329" s="33" cm="1">
        <f t="array" ref="H329">IFERROR(_xlfn.XLOOKUP(1, (dd_accsryclr!$C$2:$C$1000=accsry_unmerged!F329)*(dd_accsryclr!$B$2:$B$1000=accsry_unmerged!J329),dd_accsryclr!$A$2:$A$1000),"")</f>
        <v>0</v>
      </c>
      <c r="I329" s="16">
        <f>_xlfn.XLOOKUP(C329,'Project Details'!$C$17:$C$66,'Project Details'!$E$17:$E$66,"",0)</f>
        <v>0</v>
      </c>
      <c r="J329" s="16">
        <f>_xlfn.XLOOKUP(C329,'Project Details'!$C$17:$C$66,'Project Details'!$H$17:$H$66,"",0)</f>
        <v>0</v>
      </c>
      <c r="K329" s="33" t="str">
        <f>IF(AND(_xlfn.XLOOKUP(C329,'Project Details'!$C$17:$C$66,'Project Details'!$L$17:$L$66,"",0)&gt;550, F329="Spring-L27cm"),"",SUBSTITUTE(_xlfn.XLOOKUP(G329,SKUs!$C$2:$C$10001,SKUs!$F$2:$F$10001,"",0), " Accessories",""))</f>
        <v/>
      </c>
      <c r="L329" s="33">
        <f>_xlfn.XLOOKUP(C329,'Project Details'!$C$17:$C$66,'Project Details'!$D$17:$D$66,"",0)</f>
        <v>0</v>
      </c>
      <c r="M329" s="43"/>
    </row>
    <row r="330" spans="1:13" x14ac:dyDescent="0.25">
      <c r="A330" s="43"/>
      <c r="B330" s="43"/>
      <c r="C330" s="35">
        <f t="shared" si="5"/>
        <v>7</v>
      </c>
      <c r="D330" s="35" t="str" cm="1">
        <f t="array" ref="D330">IFERROR(ROUNDUP(_xlfn.IFS(F330="Aluminum Track", _xlfn.XLOOKUP(C330, dd_accsrycalc!$A$2:$A$51, dd_accsrycalc!$B$2:$B$51, "",0), F330="10 x 2 1/2 S (Flat)", _xlfn.XLOOKUP(C330, dd_accsrycalc!$A$2:$A$51, dd_accsrycalc!$C$2:$C$51, "",0), F330="Tox6", _xlfn.XLOOKUP(C330, dd_accsrycalc!$A$2:$A$51, dd_accsrycalc!$D$2:$D$51, "",0), F330="Cover Cap", _xlfn.XLOOKUP(C330, dd_accsrycalc!$A$2:$A$51, dd_accsrycalc!$E$2:$E$51, "",0), F330="Drainage Cover", _xlfn.XLOOKUP(C330, dd_accsrycalc!$A$2:$A$51, dd_accsrycalc!$F$2:$F$51, "",0),AND( F330="Double Adhesive Tape", I330="Roll-up Screen"), _xlfn.XLOOKUP(C330, calc_rusacc!$C$15:$C$65, calc_rusacc!$AD$15:$AD$65, "",0),AND( F330="Sealant", I330="Roll-up Screen"), _xlfn.XLOOKUP(C330, calc_rusacc!$C$15:$C$65, calc_rusacc!$AF$15:$AF$65, "",0),  AND( F330="Main Chain", I330="Accordion Screen"), _xlfn.XLOOKUP(C330, calc_rusacc!$C$15:$C$65, calc_rusacc!$BF$15:$BF$65, "",0), AND( F330="Sealant", I330="Accordion Screen"), _xlfn.XLOOKUP(C330, calc_rusacc!$C$15:$C$65, calc_rusacc!$BJ$15:$BJ$65, "",0),  F330="Sealant", _xlfn.XLOOKUP(C330, dd_accsrycalc!$A$2:$A$51, dd_accsrycalc!$G$2:$G$51, "",0),  F330&lt;&gt;"",L330*_xlfn.XLOOKUP(1, (SKUs!$C$2:$C$10001=G330)*(SKUs!$K$2:$K$10001=I330),SKUs!$E$2:$E$10001)), 0),"")</f>
        <v/>
      </c>
      <c r="E330" s="35" t="str">
        <f>_xlfn.XLOOKUP(F330,dd_item!$B$2:$B$105,dd_item!$C$2:$C$105,"",0)</f>
        <v/>
      </c>
      <c r="F330" s="35"/>
      <c r="G330" s="35" cm="1">
        <f t="array" ref="G330">IFERROR(_xlfn.XLOOKUP(1, (SKUs!$J$2:$J$10001=accsry_unmerged!F330)*IF(H330&lt;&gt;"",(SKUs!$L$2:$L$10001=accsry_unmerged!H330),1)*(SKUs!$K$2:$K$10001=I330),SKUs!$C$2:$C$10001),"")</f>
        <v>0</v>
      </c>
      <c r="H330" s="36" cm="1">
        <f t="array" ref="H330">IFERROR(_xlfn.XLOOKUP(1, (dd_accsryclr!$C$2:$C$1000=accsry_unmerged!F330)*(dd_accsryclr!$B$2:$B$1000=accsry_unmerged!J330),dd_accsryclr!$A$2:$A$1000),"")</f>
        <v>0</v>
      </c>
      <c r="I330" s="35">
        <f>_xlfn.XLOOKUP(C330,'Project Details'!$C$17:$C$66,'Project Details'!$E$17:$E$66,"",0)</f>
        <v>0</v>
      </c>
      <c r="J330" s="35">
        <f>_xlfn.XLOOKUP(C330,'Project Details'!$C$17:$C$66,'Project Details'!$H$17:$H$66,"",0)</f>
        <v>0</v>
      </c>
      <c r="K330" s="36" t="str">
        <f>IF(AND(_xlfn.XLOOKUP(C330,'Project Details'!$C$17:$C$66,'Project Details'!$L$17:$L$66,"",0)&gt;550, F330="Spring-L27cm"),"",SUBSTITUTE(_xlfn.XLOOKUP(G330,SKUs!$C$2:$C$10001,SKUs!$F$2:$F$10001,"",0), " Accessories",""))</f>
        <v/>
      </c>
      <c r="L330" s="36">
        <f>_xlfn.XLOOKUP(C330,'Project Details'!$C$17:$C$66,'Project Details'!$D$17:$D$66,"",0)</f>
        <v>0</v>
      </c>
      <c r="M330" s="43"/>
    </row>
    <row r="331" spans="1:13" x14ac:dyDescent="0.25">
      <c r="A331" s="43"/>
      <c r="B331" s="43"/>
      <c r="C331" s="16">
        <f t="shared" si="5"/>
        <v>7</v>
      </c>
      <c r="D331" s="16" t="str" cm="1">
        <f t="array" ref="D331">IFERROR(ROUNDUP(_xlfn.IFS(F331="Aluminum Track", _xlfn.XLOOKUP(C331, dd_accsrycalc!$A$2:$A$51, dd_accsrycalc!$B$2:$B$51, "",0), F331="10 x 2 1/2 S (Flat)", _xlfn.XLOOKUP(C331, dd_accsrycalc!$A$2:$A$51, dd_accsrycalc!$C$2:$C$51, "",0), F331="Tox6", _xlfn.XLOOKUP(C331, dd_accsrycalc!$A$2:$A$51, dd_accsrycalc!$D$2:$D$51, "",0), F331="Cover Cap", _xlfn.XLOOKUP(C331, dd_accsrycalc!$A$2:$A$51, dd_accsrycalc!$E$2:$E$51, "",0), F331="Drainage Cover", _xlfn.XLOOKUP(C331, dd_accsrycalc!$A$2:$A$51, dd_accsrycalc!$F$2:$F$51, "",0),AND( F331="Double Adhesive Tape", I331="Roll-up Screen"), _xlfn.XLOOKUP(C331, calc_rusacc!$C$15:$C$65, calc_rusacc!$AD$15:$AD$65, "",0),AND( F331="Sealant", I331="Roll-up Screen"), _xlfn.XLOOKUP(C331, calc_rusacc!$C$15:$C$65, calc_rusacc!$AF$15:$AF$65, "",0),  AND( F331="Main Chain", I331="Accordion Screen"), _xlfn.XLOOKUP(C331, calc_rusacc!$C$15:$C$65, calc_rusacc!$BF$15:$BF$65, "",0), AND( F331="Sealant", I331="Accordion Screen"), _xlfn.XLOOKUP(C331, calc_rusacc!$C$15:$C$65, calc_rusacc!$BJ$15:$BJ$65, "",0),  F331="Sealant", _xlfn.XLOOKUP(C331, dd_accsrycalc!$A$2:$A$51, dd_accsrycalc!$G$2:$G$51, "",0),  F331&lt;&gt;"",L331*_xlfn.XLOOKUP(1, (SKUs!$C$2:$C$10001=G331)*(SKUs!$K$2:$K$10001=I331),SKUs!$E$2:$E$10001)), 0),"")</f>
        <v/>
      </c>
      <c r="E331" s="16" t="str">
        <f>_xlfn.XLOOKUP(F331,dd_item!$B$2:$B$105,dd_item!$C$2:$C$105,"",0)</f>
        <v/>
      </c>
      <c r="F331" s="16"/>
      <c r="G331" s="16" cm="1">
        <f t="array" ref="G331">IFERROR(_xlfn.XLOOKUP(1, (SKUs!$J$2:$J$10001=accsry_unmerged!F331)*IF(H331&lt;&gt;"",(SKUs!$L$2:$L$10001=accsry_unmerged!H331),1)*(SKUs!$K$2:$K$10001=I331),SKUs!$C$2:$C$10001),"")</f>
        <v>0</v>
      </c>
      <c r="H331" s="33" cm="1">
        <f t="array" ref="H331">IFERROR(_xlfn.XLOOKUP(1, (dd_accsryclr!$C$2:$C$1000=accsry_unmerged!F331)*(dd_accsryclr!$B$2:$B$1000=accsry_unmerged!J331),dd_accsryclr!$A$2:$A$1000),"")</f>
        <v>0</v>
      </c>
      <c r="I331" s="16">
        <f>_xlfn.XLOOKUP(C331,'Project Details'!$C$17:$C$66,'Project Details'!$E$17:$E$66,"",0)</f>
        <v>0</v>
      </c>
      <c r="J331" s="16">
        <f>_xlfn.XLOOKUP(C331,'Project Details'!$C$17:$C$66,'Project Details'!$H$17:$H$66,"",0)</f>
        <v>0</v>
      </c>
      <c r="K331" s="33" t="str">
        <f>IF(AND(_xlfn.XLOOKUP(C331,'Project Details'!$C$17:$C$66,'Project Details'!$L$17:$L$66,"",0)&gt;550, F331="Spring-L27cm"),"",SUBSTITUTE(_xlfn.XLOOKUP(G331,SKUs!$C$2:$C$10001,SKUs!$F$2:$F$10001,"",0), " Accessories",""))</f>
        <v/>
      </c>
      <c r="L331" s="33">
        <f>_xlfn.XLOOKUP(C331,'Project Details'!$C$17:$C$66,'Project Details'!$D$17:$D$66,"",0)</f>
        <v>0</v>
      </c>
      <c r="M331" s="43"/>
    </row>
    <row r="332" spans="1:13" x14ac:dyDescent="0.25">
      <c r="A332" s="43"/>
      <c r="B332" s="43"/>
      <c r="C332" s="35">
        <f t="shared" si="5"/>
        <v>7</v>
      </c>
      <c r="D332" s="35" t="str" cm="1">
        <f t="array" ref="D332">IFERROR(ROUNDUP(_xlfn.IFS(F332="Aluminum Track", _xlfn.XLOOKUP(C332, dd_accsrycalc!$A$2:$A$51, dd_accsrycalc!$B$2:$B$51, "",0), F332="10 x 2 1/2 S (Flat)", _xlfn.XLOOKUP(C332, dd_accsrycalc!$A$2:$A$51, dd_accsrycalc!$C$2:$C$51, "",0), F332="Tox6", _xlfn.XLOOKUP(C332, dd_accsrycalc!$A$2:$A$51, dd_accsrycalc!$D$2:$D$51, "",0), F332="Cover Cap", _xlfn.XLOOKUP(C332, dd_accsrycalc!$A$2:$A$51, dd_accsrycalc!$E$2:$E$51, "",0), F332="Drainage Cover", _xlfn.XLOOKUP(C332, dd_accsrycalc!$A$2:$A$51, dd_accsrycalc!$F$2:$F$51, "",0),AND( F332="Double Adhesive Tape", I332="Roll-up Screen"), _xlfn.XLOOKUP(C332, calc_rusacc!$C$15:$C$65, calc_rusacc!$AD$15:$AD$65, "",0),AND( F332="Sealant", I332="Roll-up Screen"), _xlfn.XLOOKUP(C332, calc_rusacc!$C$15:$C$65, calc_rusacc!$AF$15:$AF$65, "",0),  AND( F332="Main Chain", I332="Accordion Screen"), _xlfn.XLOOKUP(C332, calc_rusacc!$C$15:$C$65, calc_rusacc!$BF$15:$BF$65, "",0), AND( F332="Sealant", I332="Accordion Screen"), _xlfn.XLOOKUP(C332, calc_rusacc!$C$15:$C$65, calc_rusacc!$BJ$15:$BJ$65, "",0),  F332="Sealant", _xlfn.XLOOKUP(C332, dd_accsrycalc!$A$2:$A$51, dd_accsrycalc!$G$2:$G$51, "",0),  F332&lt;&gt;"",L332*_xlfn.XLOOKUP(1, (SKUs!$C$2:$C$10001=G332)*(SKUs!$K$2:$K$10001=I332),SKUs!$E$2:$E$10001)), 0),"")</f>
        <v/>
      </c>
      <c r="E332" s="35" t="str">
        <f>_xlfn.XLOOKUP(F332,dd_item!$B$2:$B$105,dd_item!$C$2:$C$105,"",0)</f>
        <v/>
      </c>
      <c r="F332" s="35"/>
      <c r="G332" s="35" cm="1">
        <f t="array" ref="G332">IFERROR(_xlfn.XLOOKUP(1, (SKUs!$J$2:$J$10001=accsry_unmerged!F332)*IF(H332&lt;&gt;"",(SKUs!$L$2:$L$10001=accsry_unmerged!H332),1)*(SKUs!$K$2:$K$10001=I332),SKUs!$C$2:$C$10001),"")</f>
        <v>0</v>
      </c>
      <c r="H332" s="36" cm="1">
        <f t="array" ref="H332">IFERROR(_xlfn.XLOOKUP(1, (dd_accsryclr!$C$2:$C$1000=accsry_unmerged!F332)*(dd_accsryclr!$B$2:$B$1000=accsry_unmerged!J332),dd_accsryclr!$A$2:$A$1000),"")</f>
        <v>0</v>
      </c>
      <c r="I332" s="35">
        <f>_xlfn.XLOOKUP(C332,'Project Details'!$C$17:$C$66,'Project Details'!$E$17:$E$66,"",0)</f>
        <v>0</v>
      </c>
      <c r="J332" s="35">
        <f>_xlfn.XLOOKUP(C332,'Project Details'!$C$17:$C$66,'Project Details'!$H$17:$H$66,"",0)</f>
        <v>0</v>
      </c>
      <c r="K332" s="36" t="str">
        <f>IF(AND(_xlfn.XLOOKUP(C332,'Project Details'!$C$17:$C$66,'Project Details'!$L$17:$L$66,"",0)&gt;550, F332="Spring-L27cm"),"",SUBSTITUTE(_xlfn.XLOOKUP(G332,SKUs!$C$2:$C$10001,SKUs!$F$2:$F$10001,"",0), " Accessories",""))</f>
        <v/>
      </c>
      <c r="L332" s="36">
        <f>_xlfn.XLOOKUP(C332,'Project Details'!$C$17:$C$66,'Project Details'!$D$17:$D$66,"",0)</f>
        <v>0</v>
      </c>
      <c r="M332" s="43"/>
    </row>
    <row r="333" spans="1:13" x14ac:dyDescent="0.25">
      <c r="A333" s="43"/>
      <c r="B333" s="43"/>
      <c r="C333" s="16">
        <f t="shared" si="5"/>
        <v>7</v>
      </c>
      <c r="D333" s="16" t="str" cm="1">
        <f t="array" ref="D333">IFERROR(ROUNDUP(_xlfn.IFS(F333="Aluminum Track", _xlfn.XLOOKUP(C333, dd_accsrycalc!$A$2:$A$51, dd_accsrycalc!$B$2:$B$51, "",0), F333="10 x 2 1/2 S (Flat)", _xlfn.XLOOKUP(C333, dd_accsrycalc!$A$2:$A$51, dd_accsrycalc!$C$2:$C$51, "",0), F333="Tox6", _xlfn.XLOOKUP(C333, dd_accsrycalc!$A$2:$A$51, dd_accsrycalc!$D$2:$D$51, "",0), F333="Cover Cap", _xlfn.XLOOKUP(C333, dd_accsrycalc!$A$2:$A$51, dd_accsrycalc!$E$2:$E$51, "",0), F333="Drainage Cover", _xlfn.XLOOKUP(C333, dd_accsrycalc!$A$2:$A$51, dd_accsrycalc!$F$2:$F$51, "",0),AND( F333="Double Adhesive Tape", I333="Roll-up Screen"), _xlfn.XLOOKUP(C333, calc_rusacc!$C$15:$C$65, calc_rusacc!$AD$15:$AD$65, "",0),AND( F333="Sealant", I333="Roll-up Screen"), _xlfn.XLOOKUP(C333, calc_rusacc!$C$15:$C$65, calc_rusacc!$AF$15:$AF$65, "",0),  AND( F333="Main Chain", I333="Accordion Screen"), _xlfn.XLOOKUP(C333, calc_rusacc!$C$15:$C$65, calc_rusacc!$BF$15:$BF$65, "",0), AND( F333="Sealant", I333="Accordion Screen"), _xlfn.XLOOKUP(C333, calc_rusacc!$C$15:$C$65, calc_rusacc!$BJ$15:$BJ$65, "",0),  F333="Sealant", _xlfn.XLOOKUP(C333, dd_accsrycalc!$A$2:$A$51, dd_accsrycalc!$G$2:$G$51, "",0),  F333&lt;&gt;"",L333*_xlfn.XLOOKUP(1, (SKUs!$C$2:$C$10001=G333)*(SKUs!$K$2:$K$10001=I333),SKUs!$E$2:$E$10001)), 0),"")</f>
        <v/>
      </c>
      <c r="E333" s="16" t="str">
        <f>_xlfn.XLOOKUP(F333,dd_item!$B$2:$B$105,dd_item!$C$2:$C$105,"",0)</f>
        <v/>
      </c>
      <c r="F333" s="16"/>
      <c r="G333" s="16" cm="1">
        <f t="array" ref="G333">IFERROR(_xlfn.XLOOKUP(1, (SKUs!$J$2:$J$10001=accsry_unmerged!F333)*IF(H333&lt;&gt;"",(SKUs!$L$2:$L$10001=accsry_unmerged!H333),1)*(SKUs!$K$2:$K$10001=I333),SKUs!$C$2:$C$10001),"")</f>
        <v>0</v>
      </c>
      <c r="H333" s="33" cm="1">
        <f t="array" ref="H333">IFERROR(_xlfn.XLOOKUP(1, (dd_accsryclr!$C$2:$C$1000=accsry_unmerged!F333)*(dd_accsryclr!$B$2:$B$1000=accsry_unmerged!J333),dd_accsryclr!$A$2:$A$1000),"")</f>
        <v>0</v>
      </c>
      <c r="I333" s="16">
        <f>_xlfn.XLOOKUP(C333,'Project Details'!$C$17:$C$66,'Project Details'!$E$17:$E$66,"",0)</f>
        <v>0</v>
      </c>
      <c r="J333" s="16">
        <f>_xlfn.XLOOKUP(C333,'Project Details'!$C$17:$C$66,'Project Details'!$H$17:$H$66,"",0)</f>
        <v>0</v>
      </c>
      <c r="K333" s="33" t="str">
        <f>IF(AND(_xlfn.XLOOKUP(C333,'Project Details'!$C$17:$C$66,'Project Details'!$L$17:$L$66,"",0)&gt;550, F333="Spring-L27cm"),"",SUBSTITUTE(_xlfn.XLOOKUP(G333,SKUs!$C$2:$C$10001,SKUs!$F$2:$F$10001,"",0), " Accessories",""))</f>
        <v/>
      </c>
      <c r="L333" s="33">
        <f>_xlfn.XLOOKUP(C333,'Project Details'!$C$17:$C$66,'Project Details'!$D$17:$D$66,"",0)</f>
        <v>0</v>
      </c>
      <c r="M333" s="43"/>
    </row>
    <row r="334" spans="1:13" ht="13.5" customHeight="1" x14ac:dyDescent="0.25">
      <c r="A334" s="43"/>
      <c r="B334" s="43"/>
      <c r="C334" s="35">
        <f t="shared" si="5"/>
        <v>7</v>
      </c>
      <c r="D334" s="35" t="str" cm="1">
        <f t="array" ref="D334">IFERROR(ROUNDUP(_xlfn.IFS(F334="Aluminum Track", _xlfn.XLOOKUP(C334, dd_accsrycalc!$A$2:$A$51, dd_accsrycalc!$B$2:$B$51, "",0), F334="10 x 2 1/2 S (Flat)", _xlfn.XLOOKUP(C334, dd_accsrycalc!$A$2:$A$51, dd_accsrycalc!$C$2:$C$51, "",0), F334="Tox6", _xlfn.XLOOKUP(C334, dd_accsrycalc!$A$2:$A$51, dd_accsrycalc!$D$2:$D$51, "",0), F334="Cover Cap", _xlfn.XLOOKUP(C334, dd_accsrycalc!$A$2:$A$51, dd_accsrycalc!$E$2:$E$51, "",0), F334="Drainage Cover", _xlfn.XLOOKUP(C334, dd_accsrycalc!$A$2:$A$51, dd_accsrycalc!$F$2:$F$51, "",0),AND( F334="Double Adhesive Tape", I334="Roll-up Screen"), _xlfn.XLOOKUP(C334, calc_rusacc!$C$15:$C$65, calc_rusacc!$AD$15:$AD$65, "",0),AND( F334="Sealant", I334="Roll-up Screen"), _xlfn.XLOOKUP(C334, calc_rusacc!$C$15:$C$65, calc_rusacc!$AF$15:$AF$65, "",0),  AND( F334="Main Chain", I334="Accordion Screen"), _xlfn.XLOOKUP(C334, calc_rusacc!$C$15:$C$65, calc_rusacc!$BF$15:$BF$65, "",0), AND( F334="Sealant", I334="Accordion Screen"), _xlfn.XLOOKUP(C334, calc_rusacc!$C$15:$C$65, calc_rusacc!$BJ$15:$BJ$65, "",0),  F334="Sealant", _xlfn.XLOOKUP(C334, dd_accsrycalc!$A$2:$A$51, dd_accsrycalc!$G$2:$G$51, "",0),  F334&lt;&gt;"",L334*_xlfn.XLOOKUP(1, (SKUs!$C$2:$C$10001=G334)*(SKUs!$K$2:$K$10001=I334),SKUs!$E$2:$E$10001)), 0),"")</f>
        <v/>
      </c>
      <c r="E334" s="35" t="str">
        <f>_xlfn.XLOOKUP(F334,dd_item!$B$2:$B$105,dd_item!$C$2:$C$105,"",0)</f>
        <v/>
      </c>
      <c r="F334" s="35"/>
      <c r="G334" s="35" cm="1">
        <f t="array" ref="G334">IFERROR(_xlfn.XLOOKUP(1, (SKUs!$J$2:$J$10001=accsry_unmerged!F334)*IF(H334&lt;&gt;"",(SKUs!$L$2:$L$10001=accsry_unmerged!H334),1)*(SKUs!$K$2:$K$10001=I334),SKUs!$C$2:$C$10001),"")</f>
        <v>0</v>
      </c>
      <c r="H334" s="36" cm="1">
        <f t="array" ref="H334">IFERROR(_xlfn.XLOOKUP(1, (dd_accsryclr!$C$2:$C$1000=accsry_unmerged!F334)*(dd_accsryclr!$B$2:$B$1000=accsry_unmerged!J334),dd_accsryclr!$A$2:$A$1000),"")</f>
        <v>0</v>
      </c>
      <c r="I334" s="35">
        <f>_xlfn.XLOOKUP(C334,'Project Details'!$C$17:$C$66,'Project Details'!$E$17:$E$66,"",0)</f>
        <v>0</v>
      </c>
      <c r="J334" s="35">
        <f>_xlfn.XLOOKUP(C334,'Project Details'!$C$17:$C$66,'Project Details'!$H$17:$H$66,"",0)</f>
        <v>0</v>
      </c>
      <c r="K334" s="36" t="str">
        <f>IF(AND(_xlfn.XLOOKUP(C334,'Project Details'!$C$17:$C$66,'Project Details'!$L$17:$L$66,"",0)&gt;550, F334="Spring-L27cm"),"",SUBSTITUTE(_xlfn.XLOOKUP(G334,SKUs!$C$2:$C$10001,SKUs!$F$2:$F$10001,"",0), " Accessories",""))</f>
        <v/>
      </c>
      <c r="L334" s="36">
        <f>_xlfn.XLOOKUP(C334,'Project Details'!$C$17:$C$66,'Project Details'!$D$17:$D$66,"",0)</f>
        <v>0</v>
      </c>
      <c r="M334" s="43"/>
    </row>
    <row r="335" spans="1:13" ht="13.5" customHeight="1" x14ac:dyDescent="0.25">
      <c r="A335" s="43"/>
      <c r="B335" s="43"/>
      <c r="C335" s="16">
        <f t="shared" si="5"/>
        <v>7</v>
      </c>
      <c r="D335" s="16" t="str" cm="1">
        <f t="array" ref="D335">IFERROR(ROUNDUP(_xlfn.IFS(F335="Aluminum Track", _xlfn.XLOOKUP(C335, dd_accsrycalc!$A$2:$A$51, dd_accsrycalc!$B$2:$B$51, "",0), F335="10 x 2 1/2 S (Flat)", _xlfn.XLOOKUP(C335, dd_accsrycalc!$A$2:$A$51, dd_accsrycalc!$C$2:$C$51, "",0), F335="Tox6", _xlfn.XLOOKUP(C335, dd_accsrycalc!$A$2:$A$51, dd_accsrycalc!$D$2:$D$51, "",0), F335="Cover Cap", _xlfn.XLOOKUP(C335, dd_accsrycalc!$A$2:$A$51, dd_accsrycalc!$E$2:$E$51, "",0), F335="Drainage Cover", _xlfn.XLOOKUP(C335, dd_accsrycalc!$A$2:$A$51, dd_accsrycalc!$F$2:$F$51, "",0),AND( F335="Double Adhesive Tape", I335="Roll-up Screen"), _xlfn.XLOOKUP(C335, calc_rusacc!$C$15:$C$65, calc_rusacc!$AD$15:$AD$65, "",0),AND( F335="Sealant", I335="Roll-up Screen"), _xlfn.XLOOKUP(C335, calc_rusacc!$C$15:$C$65, calc_rusacc!$AF$15:$AF$65, "",0),  AND( F335="Main Chain", I335="Accordion Screen"), _xlfn.XLOOKUP(C335, calc_rusacc!$C$15:$C$65, calc_rusacc!$BF$15:$BF$65, "",0), AND( F335="Sealant", I335="Accordion Screen"), _xlfn.XLOOKUP(C335, calc_rusacc!$C$15:$C$65, calc_rusacc!$BJ$15:$BJ$65, "",0),  F335="Sealant", _xlfn.XLOOKUP(C335, dd_accsrycalc!$A$2:$A$51, dd_accsrycalc!$G$2:$G$51, "",0),  F335&lt;&gt;"",L335*_xlfn.XLOOKUP(1, (SKUs!$C$2:$C$10001=G335)*(SKUs!$K$2:$K$10001=I335),SKUs!$E$2:$E$10001)), 0),"")</f>
        <v/>
      </c>
      <c r="E335" s="16" t="str">
        <f>_xlfn.XLOOKUP(F335,dd_item!$B$2:$B$105,dd_item!$C$2:$C$105,"",0)</f>
        <v/>
      </c>
      <c r="F335" s="16"/>
      <c r="G335" s="16" cm="1">
        <f t="array" ref="G335">IFERROR(_xlfn.XLOOKUP(1, (SKUs!$J$2:$J$10001=accsry_unmerged!F335)*IF(H335&lt;&gt;"",(SKUs!$L$2:$L$10001=accsry_unmerged!H335),1)*(SKUs!$K$2:$K$10001=I335),SKUs!$C$2:$C$10001),"")</f>
        <v>0</v>
      </c>
      <c r="H335" s="33" cm="1">
        <f t="array" ref="H335">IFERROR(_xlfn.XLOOKUP(1, (dd_accsryclr!$C$2:$C$1000=accsry_unmerged!F335)*(dd_accsryclr!$B$2:$B$1000=accsry_unmerged!J335),dd_accsryclr!$A$2:$A$1000),"")</f>
        <v>0</v>
      </c>
      <c r="I335" s="16">
        <f>_xlfn.XLOOKUP(C335,'Project Details'!$C$17:$C$66,'Project Details'!$E$17:$E$66,"",0)</f>
        <v>0</v>
      </c>
      <c r="J335" s="16">
        <f>_xlfn.XLOOKUP(C335,'Project Details'!$C$17:$C$66,'Project Details'!$H$17:$H$66,"",0)</f>
        <v>0</v>
      </c>
      <c r="K335" s="33" t="str">
        <f>IF(AND(_xlfn.XLOOKUP(C335,'Project Details'!$C$17:$C$66,'Project Details'!$L$17:$L$66,"",0)&gt;550, F335="Spring-L27cm"),"",SUBSTITUTE(_xlfn.XLOOKUP(G335,SKUs!$C$2:$C$10001,SKUs!$F$2:$F$10001,"",0), " Accessories",""))</f>
        <v/>
      </c>
      <c r="L335" s="33">
        <f>_xlfn.XLOOKUP(C335,'Project Details'!$C$17:$C$66,'Project Details'!$D$17:$D$66,"",0)</f>
        <v>0</v>
      </c>
      <c r="M335" s="43"/>
    </row>
    <row r="336" spans="1:13" ht="13.5" customHeight="1" x14ac:dyDescent="0.25">
      <c r="A336" s="43"/>
      <c r="B336" s="43"/>
      <c r="C336" s="35">
        <f t="shared" si="5"/>
        <v>7</v>
      </c>
      <c r="D336" s="35" t="str" cm="1">
        <f t="array" ref="D336">IFERROR(ROUNDUP(_xlfn.IFS(F336="Aluminum Track", _xlfn.XLOOKUP(C336, dd_accsrycalc!$A$2:$A$51, dd_accsrycalc!$B$2:$B$51, "",0), F336="10 x 2 1/2 S (Flat)", _xlfn.XLOOKUP(C336, dd_accsrycalc!$A$2:$A$51, dd_accsrycalc!$C$2:$C$51, "",0), F336="Tox6", _xlfn.XLOOKUP(C336, dd_accsrycalc!$A$2:$A$51, dd_accsrycalc!$D$2:$D$51, "",0), F336="Cover Cap", _xlfn.XLOOKUP(C336, dd_accsrycalc!$A$2:$A$51, dd_accsrycalc!$E$2:$E$51, "",0), F336="Drainage Cover", _xlfn.XLOOKUP(C336, dd_accsrycalc!$A$2:$A$51, dd_accsrycalc!$F$2:$F$51, "",0),AND( F336="Double Adhesive Tape", I336="Roll-up Screen"), _xlfn.XLOOKUP(C336, calc_rusacc!$C$15:$C$65, calc_rusacc!$AD$15:$AD$65, "",0),AND( F336="Sealant", I336="Roll-up Screen"), _xlfn.XLOOKUP(C336, calc_rusacc!$C$15:$C$65, calc_rusacc!$AF$15:$AF$65, "",0),  AND( F336="Main Chain", I336="Accordion Screen"), _xlfn.XLOOKUP(C336, calc_rusacc!$C$15:$C$65, calc_rusacc!$BF$15:$BF$65, "",0), AND( F336="Sealant", I336="Accordion Screen"), _xlfn.XLOOKUP(C336, calc_rusacc!$C$15:$C$65, calc_rusacc!$BJ$15:$BJ$65, "",0),  F336="Sealant", _xlfn.XLOOKUP(C336, dd_accsrycalc!$A$2:$A$51, dd_accsrycalc!$G$2:$G$51, "",0),  F336&lt;&gt;"",L336*_xlfn.XLOOKUP(1, (SKUs!$C$2:$C$10001=G336)*(SKUs!$K$2:$K$10001=I336),SKUs!$E$2:$E$10001)), 0),"")</f>
        <v/>
      </c>
      <c r="E336" s="35" t="str">
        <f>_xlfn.XLOOKUP(F336,dd_item!$B$2:$B$105,dd_item!$C$2:$C$105,"",0)</f>
        <v/>
      </c>
      <c r="F336" s="35"/>
      <c r="G336" s="35" cm="1">
        <f t="array" ref="G336">IFERROR(_xlfn.XLOOKUP(1, (SKUs!$J$2:$J$10001=accsry_unmerged!F336)*IF(H336&lt;&gt;"",(SKUs!$L$2:$L$10001=accsry_unmerged!H336),1)*(SKUs!$K$2:$K$10001=I336),SKUs!$C$2:$C$10001),"")</f>
        <v>0</v>
      </c>
      <c r="H336" s="36" cm="1">
        <f t="array" ref="H336">IFERROR(_xlfn.XLOOKUP(1, (dd_accsryclr!$C$2:$C$1000=accsry_unmerged!F336)*(dd_accsryclr!$B$2:$B$1000=accsry_unmerged!J336),dd_accsryclr!$A$2:$A$1000),"")</f>
        <v>0</v>
      </c>
      <c r="I336" s="35">
        <f>_xlfn.XLOOKUP(C336,'Project Details'!$C$17:$C$66,'Project Details'!$E$17:$E$66,"",0)</f>
        <v>0</v>
      </c>
      <c r="J336" s="35">
        <f>_xlfn.XLOOKUP(C336,'Project Details'!$C$17:$C$66,'Project Details'!$H$17:$H$66,"",0)</f>
        <v>0</v>
      </c>
      <c r="K336" s="36" t="str">
        <f>IF(AND(_xlfn.XLOOKUP(C336,'Project Details'!$C$17:$C$66,'Project Details'!$L$17:$L$66,"",0)&gt;550, F336="Spring-L27cm"),"",SUBSTITUTE(_xlfn.XLOOKUP(G336,SKUs!$C$2:$C$10001,SKUs!$F$2:$F$10001,"",0), " Accessories",""))</f>
        <v/>
      </c>
      <c r="L336" s="36">
        <f>_xlfn.XLOOKUP(C336,'Project Details'!$C$17:$C$66,'Project Details'!$D$17:$D$66,"",0)</f>
        <v>0</v>
      </c>
      <c r="M336" s="43"/>
    </row>
    <row r="337" spans="1:13" ht="13.5" customHeight="1" x14ac:dyDescent="0.25">
      <c r="A337" s="43"/>
      <c r="B337" s="43"/>
      <c r="C337" s="16">
        <f t="shared" si="5"/>
        <v>7</v>
      </c>
      <c r="D337" s="16" t="str" cm="1">
        <f t="array" ref="D337">IFERROR(ROUNDUP(_xlfn.IFS(F337="Aluminum Track", _xlfn.XLOOKUP(C337, dd_accsrycalc!$A$2:$A$51, dd_accsrycalc!$B$2:$B$51, "",0), F337="10 x 2 1/2 S (Flat)", _xlfn.XLOOKUP(C337, dd_accsrycalc!$A$2:$A$51, dd_accsrycalc!$C$2:$C$51, "",0), F337="Tox6", _xlfn.XLOOKUP(C337, dd_accsrycalc!$A$2:$A$51, dd_accsrycalc!$D$2:$D$51, "",0), F337="Cover Cap", _xlfn.XLOOKUP(C337, dd_accsrycalc!$A$2:$A$51, dd_accsrycalc!$E$2:$E$51, "",0), F337="Drainage Cover", _xlfn.XLOOKUP(C337, dd_accsrycalc!$A$2:$A$51, dd_accsrycalc!$F$2:$F$51, "",0),AND( F337="Double Adhesive Tape", I337="Roll-up Screen"), _xlfn.XLOOKUP(C337, calc_rusacc!$C$15:$C$65, calc_rusacc!$AD$15:$AD$65, "",0),AND( F337="Sealant", I337="Roll-up Screen"), _xlfn.XLOOKUP(C337, calc_rusacc!$C$15:$C$65, calc_rusacc!$AF$15:$AF$65, "",0),  AND( F337="Main Chain", I337="Accordion Screen"), _xlfn.XLOOKUP(C337, calc_rusacc!$C$15:$C$65, calc_rusacc!$BF$15:$BF$65, "",0), AND( F337="Sealant", I337="Accordion Screen"), _xlfn.XLOOKUP(C337, calc_rusacc!$C$15:$C$65, calc_rusacc!$BJ$15:$BJ$65, "",0),  F337="Sealant", _xlfn.XLOOKUP(C337, dd_accsrycalc!$A$2:$A$51, dd_accsrycalc!$G$2:$G$51, "",0),  F337&lt;&gt;"",L337*_xlfn.XLOOKUP(1, (SKUs!$C$2:$C$10001=G337)*(SKUs!$K$2:$K$10001=I337),SKUs!$E$2:$E$10001)), 0),"")</f>
        <v/>
      </c>
      <c r="E337" s="16" t="str">
        <f>_xlfn.XLOOKUP(F337,dd_item!$B$2:$B$105,dd_item!$C$2:$C$105,"",0)</f>
        <v/>
      </c>
      <c r="F337" s="16"/>
      <c r="G337" s="16" cm="1">
        <f t="array" ref="G337">IFERROR(_xlfn.XLOOKUP(1, (SKUs!$J$2:$J$10001=accsry_unmerged!F337)*IF(H337&lt;&gt;"",(SKUs!$L$2:$L$10001=accsry_unmerged!H337),1)*(SKUs!$K$2:$K$10001=I337),SKUs!$C$2:$C$10001),"")</f>
        <v>0</v>
      </c>
      <c r="H337" s="33" cm="1">
        <f t="array" ref="H337">IFERROR(_xlfn.XLOOKUP(1, (dd_accsryclr!$C$2:$C$1000=accsry_unmerged!F337)*(dd_accsryclr!$B$2:$B$1000=accsry_unmerged!J337),dd_accsryclr!$A$2:$A$1000),"")</f>
        <v>0</v>
      </c>
      <c r="I337" s="16">
        <f>_xlfn.XLOOKUP(C337,'Project Details'!$C$17:$C$66,'Project Details'!$E$17:$E$66,"",0)</f>
        <v>0</v>
      </c>
      <c r="J337" s="16">
        <f>_xlfn.XLOOKUP(C337,'Project Details'!$C$17:$C$66,'Project Details'!$H$17:$H$66,"",0)</f>
        <v>0</v>
      </c>
      <c r="K337" s="33" t="str">
        <f>IF(AND(_xlfn.XLOOKUP(C337,'Project Details'!$C$17:$C$66,'Project Details'!$L$17:$L$66,"",0)&gt;550, F337="Spring-L27cm"),"",SUBSTITUTE(_xlfn.XLOOKUP(G337,SKUs!$C$2:$C$10001,SKUs!$F$2:$F$10001,"",0), " Accessories",""))</f>
        <v/>
      </c>
      <c r="L337" s="33">
        <f>_xlfn.XLOOKUP(C337,'Project Details'!$C$17:$C$66,'Project Details'!$D$17:$D$66,"",0)</f>
        <v>0</v>
      </c>
      <c r="M337" s="43"/>
    </row>
    <row r="338" spans="1:13" ht="13.5" customHeight="1" x14ac:dyDescent="0.25">
      <c r="A338" s="43"/>
      <c r="B338" s="43"/>
      <c r="C338" s="35">
        <f t="shared" si="5"/>
        <v>7</v>
      </c>
      <c r="D338" s="35" t="str" cm="1">
        <f t="array" ref="D338">IFERROR(ROUNDUP(_xlfn.IFS(F338="Aluminum Track", _xlfn.XLOOKUP(C338, dd_accsrycalc!$A$2:$A$51, dd_accsrycalc!$B$2:$B$51, "",0), F338="10 x 2 1/2 S (Flat)", _xlfn.XLOOKUP(C338, dd_accsrycalc!$A$2:$A$51, dd_accsrycalc!$C$2:$C$51, "",0), F338="Tox6", _xlfn.XLOOKUP(C338, dd_accsrycalc!$A$2:$A$51, dd_accsrycalc!$D$2:$D$51, "",0), F338="Cover Cap", _xlfn.XLOOKUP(C338, dd_accsrycalc!$A$2:$A$51, dd_accsrycalc!$E$2:$E$51, "",0), F338="Drainage Cover", _xlfn.XLOOKUP(C338, dd_accsrycalc!$A$2:$A$51, dd_accsrycalc!$F$2:$F$51, "",0),AND( F338="Double Adhesive Tape", I338="Roll-up Screen"), _xlfn.XLOOKUP(C338, calc_rusacc!$C$15:$C$65, calc_rusacc!$AD$15:$AD$65, "",0),AND( F338="Sealant", I338="Roll-up Screen"), _xlfn.XLOOKUP(C338, calc_rusacc!$C$15:$C$65, calc_rusacc!$AF$15:$AF$65, "",0),  AND( F338="Main Chain", I338="Accordion Screen"), _xlfn.XLOOKUP(C338, calc_rusacc!$C$15:$C$65, calc_rusacc!$BF$15:$BF$65, "",0), AND( F338="Sealant", I338="Accordion Screen"), _xlfn.XLOOKUP(C338, calc_rusacc!$C$15:$C$65, calc_rusacc!$BJ$15:$BJ$65, "",0),  F338="Sealant", _xlfn.XLOOKUP(C338, dd_accsrycalc!$A$2:$A$51, dd_accsrycalc!$G$2:$G$51, "",0),  F338&lt;&gt;"",L338*_xlfn.XLOOKUP(1, (SKUs!$C$2:$C$10001=G338)*(SKUs!$K$2:$K$10001=I338),SKUs!$E$2:$E$10001)), 0),"")</f>
        <v/>
      </c>
      <c r="E338" s="35" t="str">
        <f>_xlfn.XLOOKUP(F338,dd_item!$B$2:$B$105,dd_item!$C$2:$C$105,"",0)</f>
        <v/>
      </c>
      <c r="F338" s="35"/>
      <c r="G338" s="35" cm="1">
        <f t="array" ref="G338">IFERROR(_xlfn.XLOOKUP(1, (SKUs!$J$2:$J$10001=accsry_unmerged!F338)*IF(H338&lt;&gt;"",(SKUs!$L$2:$L$10001=accsry_unmerged!H338),1)*(SKUs!$K$2:$K$10001=I338),SKUs!$C$2:$C$10001),"")</f>
        <v>0</v>
      </c>
      <c r="H338" s="36" cm="1">
        <f t="array" ref="H338">IFERROR(_xlfn.XLOOKUP(1, (dd_accsryclr!$C$2:$C$1000=accsry_unmerged!F338)*(dd_accsryclr!$B$2:$B$1000=accsry_unmerged!J338),dd_accsryclr!$A$2:$A$1000),"")</f>
        <v>0</v>
      </c>
      <c r="I338" s="35">
        <f>_xlfn.XLOOKUP(C338,'Project Details'!$C$17:$C$66,'Project Details'!$E$17:$E$66,"",0)</f>
        <v>0</v>
      </c>
      <c r="J338" s="35">
        <f>_xlfn.XLOOKUP(C338,'Project Details'!$C$17:$C$66,'Project Details'!$H$17:$H$66,"",0)</f>
        <v>0</v>
      </c>
      <c r="K338" s="36" t="str">
        <f>IF(AND(_xlfn.XLOOKUP(C338,'Project Details'!$C$17:$C$66,'Project Details'!$L$17:$L$66,"",0)&gt;550, F338="Spring-L27cm"),"",SUBSTITUTE(_xlfn.XLOOKUP(G338,SKUs!$C$2:$C$10001,SKUs!$F$2:$F$10001,"",0), " Accessories",""))</f>
        <v/>
      </c>
      <c r="L338" s="36">
        <f>_xlfn.XLOOKUP(C338,'Project Details'!$C$17:$C$66,'Project Details'!$D$17:$D$66,"",0)</f>
        <v>0</v>
      </c>
      <c r="M338" s="43"/>
    </row>
    <row r="339" spans="1:13" ht="13.5" customHeight="1" x14ac:dyDescent="0.25">
      <c r="A339" s="43"/>
      <c r="B339" s="43"/>
      <c r="C339" s="16">
        <f t="shared" si="5"/>
        <v>7</v>
      </c>
      <c r="D339" s="16" t="str" cm="1">
        <f t="array" ref="D339">IFERROR(ROUNDUP(_xlfn.IFS(F339="Aluminum Track", _xlfn.XLOOKUP(C339, dd_accsrycalc!$A$2:$A$51, dd_accsrycalc!$B$2:$B$51, "",0), F339="10 x 2 1/2 S (Flat)", _xlfn.XLOOKUP(C339, dd_accsrycalc!$A$2:$A$51, dd_accsrycalc!$C$2:$C$51, "",0), F339="Tox6", _xlfn.XLOOKUP(C339, dd_accsrycalc!$A$2:$A$51, dd_accsrycalc!$D$2:$D$51, "",0), F339="Cover Cap", _xlfn.XLOOKUP(C339, dd_accsrycalc!$A$2:$A$51, dd_accsrycalc!$E$2:$E$51, "",0), F339="Drainage Cover", _xlfn.XLOOKUP(C339, dd_accsrycalc!$A$2:$A$51, dd_accsrycalc!$F$2:$F$51, "",0),AND( F339="Double Adhesive Tape", I339="Roll-up Screen"), _xlfn.XLOOKUP(C339, calc_rusacc!$C$15:$C$65, calc_rusacc!$AD$15:$AD$65, "",0),AND( F339="Sealant", I339="Roll-up Screen"), _xlfn.XLOOKUP(C339, calc_rusacc!$C$15:$C$65, calc_rusacc!$AF$15:$AF$65, "",0),  AND( F339="Main Chain", I339="Accordion Screen"), _xlfn.XLOOKUP(C339, calc_rusacc!$C$15:$C$65, calc_rusacc!$BF$15:$BF$65, "",0), AND( F339="Sealant", I339="Accordion Screen"), _xlfn.XLOOKUP(C339, calc_rusacc!$C$15:$C$65, calc_rusacc!$BJ$15:$BJ$65, "",0),  F339="Sealant", _xlfn.XLOOKUP(C339, dd_accsrycalc!$A$2:$A$51, dd_accsrycalc!$G$2:$G$51, "",0),  F339&lt;&gt;"",L339*_xlfn.XLOOKUP(1, (SKUs!$C$2:$C$10001=G339)*(SKUs!$K$2:$K$10001=I339),SKUs!$E$2:$E$10001)), 0),"")</f>
        <v/>
      </c>
      <c r="E339" s="16" t="str">
        <f>_xlfn.XLOOKUP(F339,dd_item!$B$2:$B$105,dd_item!$C$2:$C$105,"",0)</f>
        <v/>
      </c>
      <c r="F339" s="16"/>
      <c r="G339" s="16" cm="1">
        <f t="array" ref="G339">IFERROR(_xlfn.XLOOKUP(1, (SKUs!$J$2:$J$10001=accsry_unmerged!F339)*IF(H339&lt;&gt;"",(SKUs!$L$2:$L$10001=accsry_unmerged!H339),1)*(SKUs!$K$2:$K$10001=I339),SKUs!$C$2:$C$10001),"")</f>
        <v>0</v>
      </c>
      <c r="H339" s="33" cm="1">
        <f t="array" ref="H339">IFERROR(_xlfn.XLOOKUP(1, (dd_accsryclr!$C$2:$C$1000=accsry_unmerged!F339)*(dd_accsryclr!$B$2:$B$1000=accsry_unmerged!J339),dd_accsryclr!$A$2:$A$1000),"")</f>
        <v>0</v>
      </c>
      <c r="I339" s="16">
        <f>_xlfn.XLOOKUP(C339,'Project Details'!$C$17:$C$66,'Project Details'!$E$17:$E$66,"",0)</f>
        <v>0</v>
      </c>
      <c r="J339" s="16">
        <f>_xlfn.XLOOKUP(C339,'Project Details'!$C$17:$C$66,'Project Details'!$H$17:$H$66,"",0)</f>
        <v>0</v>
      </c>
      <c r="K339" s="33" t="str">
        <f>IF(AND(_xlfn.XLOOKUP(C339,'Project Details'!$C$17:$C$66,'Project Details'!$L$17:$L$66,"",0)&gt;550, F339="Spring-L27cm"),"",SUBSTITUTE(_xlfn.XLOOKUP(G339,SKUs!$C$2:$C$10001,SKUs!$F$2:$F$10001,"",0), " Accessories",""))</f>
        <v/>
      </c>
      <c r="L339" s="33">
        <f>_xlfn.XLOOKUP(C339,'Project Details'!$C$17:$C$66,'Project Details'!$D$17:$D$66,"",0)</f>
        <v>0</v>
      </c>
      <c r="M339" s="43"/>
    </row>
    <row r="340" spans="1:13" ht="13.5" customHeight="1" x14ac:dyDescent="0.25">
      <c r="A340" s="43"/>
      <c r="B340" s="43"/>
      <c r="C340" s="35">
        <f t="shared" si="5"/>
        <v>7</v>
      </c>
      <c r="D340" s="35" t="str" cm="1">
        <f t="array" ref="D340">IFERROR(ROUNDUP(_xlfn.IFS(F340="Aluminum Track", _xlfn.XLOOKUP(C340, dd_accsrycalc!$A$2:$A$51, dd_accsrycalc!$B$2:$B$51, "",0), F340="10 x 2 1/2 S (Flat)", _xlfn.XLOOKUP(C340, dd_accsrycalc!$A$2:$A$51, dd_accsrycalc!$C$2:$C$51, "",0), F340="Tox6", _xlfn.XLOOKUP(C340, dd_accsrycalc!$A$2:$A$51, dd_accsrycalc!$D$2:$D$51, "",0), F340="Cover Cap", _xlfn.XLOOKUP(C340, dd_accsrycalc!$A$2:$A$51, dd_accsrycalc!$E$2:$E$51, "",0), F340="Drainage Cover", _xlfn.XLOOKUP(C340, dd_accsrycalc!$A$2:$A$51, dd_accsrycalc!$F$2:$F$51, "",0),AND( F340="Double Adhesive Tape", I340="Roll-up Screen"), _xlfn.XLOOKUP(C340, calc_rusacc!$C$15:$C$65, calc_rusacc!$AD$15:$AD$65, "",0),AND( F340="Sealant", I340="Roll-up Screen"), _xlfn.XLOOKUP(C340, calc_rusacc!$C$15:$C$65, calc_rusacc!$AF$15:$AF$65, "",0),  AND( F340="Main Chain", I340="Accordion Screen"), _xlfn.XLOOKUP(C340, calc_rusacc!$C$15:$C$65, calc_rusacc!$BF$15:$BF$65, "",0), AND( F340="Sealant", I340="Accordion Screen"), _xlfn.XLOOKUP(C340, calc_rusacc!$C$15:$C$65, calc_rusacc!$BJ$15:$BJ$65, "",0),  F340="Sealant", _xlfn.XLOOKUP(C340, dd_accsrycalc!$A$2:$A$51, dd_accsrycalc!$G$2:$G$51, "",0),  F340&lt;&gt;"",L340*_xlfn.XLOOKUP(1, (SKUs!$C$2:$C$10001=G340)*(SKUs!$K$2:$K$10001=I340),SKUs!$E$2:$E$10001)), 0),"")</f>
        <v/>
      </c>
      <c r="E340" s="35" t="str">
        <f>_xlfn.XLOOKUP(F340,dd_item!$B$2:$B$105,dd_item!$C$2:$C$105,"",0)</f>
        <v/>
      </c>
      <c r="F340" s="35"/>
      <c r="G340" s="35" cm="1">
        <f t="array" ref="G340">IFERROR(_xlfn.XLOOKUP(1, (SKUs!$J$2:$J$10001=accsry_unmerged!F340)*IF(H340&lt;&gt;"",(SKUs!$L$2:$L$10001=accsry_unmerged!H340),1)*(SKUs!$K$2:$K$10001=I340),SKUs!$C$2:$C$10001),"")</f>
        <v>0</v>
      </c>
      <c r="H340" s="36" cm="1">
        <f t="array" ref="H340">IFERROR(_xlfn.XLOOKUP(1, (dd_accsryclr!$C$2:$C$1000=accsry_unmerged!F340)*(dd_accsryclr!$B$2:$B$1000=accsry_unmerged!J340),dd_accsryclr!$A$2:$A$1000),"")</f>
        <v>0</v>
      </c>
      <c r="I340" s="35">
        <f>_xlfn.XLOOKUP(C340,'Project Details'!$C$17:$C$66,'Project Details'!$E$17:$E$66,"",0)</f>
        <v>0</v>
      </c>
      <c r="J340" s="35">
        <f>_xlfn.XLOOKUP(C340,'Project Details'!$C$17:$C$66,'Project Details'!$H$17:$H$66,"",0)</f>
        <v>0</v>
      </c>
      <c r="K340" s="36" t="str">
        <f>IF(AND(_xlfn.XLOOKUP(C340,'Project Details'!$C$17:$C$66,'Project Details'!$L$17:$L$66,"",0)&gt;550, F340="Spring-L27cm"),"",SUBSTITUTE(_xlfn.XLOOKUP(G340,SKUs!$C$2:$C$10001,SKUs!$F$2:$F$10001,"",0), " Accessories",""))</f>
        <v/>
      </c>
      <c r="L340" s="36">
        <f>_xlfn.XLOOKUP(C340,'Project Details'!$C$17:$C$66,'Project Details'!$D$17:$D$66,"",0)</f>
        <v>0</v>
      </c>
      <c r="M340" s="43"/>
    </row>
    <row r="341" spans="1:13" ht="13.5" customHeight="1" x14ac:dyDescent="0.25">
      <c r="A341" s="43"/>
      <c r="B341" s="43"/>
      <c r="C341" s="16">
        <f t="shared" si="5"/>
        <v>7</v>
      </c>
      <c r="D341" s="16" t="str" cm="1">
        <f t="array" ref="D341">IFERROR(ROUNDUP(_xlfn.IFS(F341="Aluminum Track", _xlfn.XLOOKUP(C341, dd_accsrycalc!$A$2:$A$51, dd_accsrycalc!$B$2:$B$51, "",0), F341="10 x 2 1/2 S (Flat)", _xlfn.XLOOKUP(C341, dd_accsrycalc!$A$2:$A$51, dd_accsrycalc!$C$2:$C$51, "",0), F341="Tox6", _xlfn.XLOOKUP(C341, dd_accsrycalc!$A$2:$A$51, dd_accsrycalc!$D$2:$D$51, "",0), F341="Cover Cap", _xlfn.XLOOKUP(C341, dd_accsrycalc!$A$2:$A$51, dd_accsrycalc!$E$2:$E$51, "",0), F341="Drainage Cover", _xlfn.XLOOKUP(C341, dd_accsrycalc!$A$2:$A$51, dd_accsrycalc!$F$2:$F$51, "",0),AND( F341="Double Adhesive Tape", I341="Roll-up Screen"), _xlfn.XLOOKUP(C341, calc_rusacc!$C$15:$C$65, calc_rusacc!$AD$15:$AD$65, "",0),AND( F341="Sealant", I341="Roll-up Screen"), _xlfn.XLOOKUP(C341, calc_rusacc!$C$15:$C$65, calc_rusacc!$AF$15:$AF$65, "",0),  AND( F341="Main Chain", I341="Accordion Screen"), _xlfn.XLOOKUP(C341, calc_rusacc!$C$15:$C$65, calc_rusacc!$BF$15:$BF$65, "",0), AND( F341="Sealant", I341="Accordion Screen"), _xlfn.XLOOKUP(C341, calc_rusacc!$C$15:$C$65, calc_rusacc!$BJ$15:$BJ$65, "",0),  F341="Sealant", _xlfn.XLOOKUP(C341, dd_accsrycalc!$A$2:$A$51, dd_accsrycalc!$G$2:$G$51, "",0),  F341&lt;&gt;"",L341*_xlfn.XLOOKUP(1, (SKUs!$C$2:$C$10001=G341)*(SKUs!$K$2:$K$10001=I341),SKUs!$E$2:$E$10001)), 0),"")</f>
        <v/>
      </c>
      <c r="E341" s="16" t="str">
        <f>_xlfn.XLOOKUP(F341,dd_item!$B$2:$B$105,dd_item!$C$2:$C$105,"",0)</f>
        <v/>
      </c>
      <c r="F341" s="16"/>
      <c r="G341" s="16" cm="1">
        <f t="array" ref="G341">IFERROR(_xlfn.XLOOKUP(1, (SKUs!$J$2:$J$10001=accsry_unmerged!F341)*IF(H341&lt;&gt;"",(SKUs!$L$2:$L$10001=accsry_unmerged!H341),1)*(SKUs!$K$2:$K$10001=I341),SKUs!$C$2:$C$10001),"")</f>
        <v>0</v>
      </c>
      <c r="H341" s="33" cm="1">
        <f t="array" ref="H341">IFERROR(_xlfn.XLOOKUP(1, (dd_accsryclr!$C$2:$C$1000=accsry_unmerged!F341)*(dd_accsryclr!$B$2:$B$1000=accsry_unmerged!J341),dd_accsryclr!$A$2:$A$1000),"")</f>
        <v>0</v>
      </c>
      <c r="I341" s="16">
        <f>_xlfn.XLOOKUP(C341,'Project Details'!$C$17:$C$66,'Project Details'!$E$17:$E$66,"",0)</f>
        <v>0</v>
      </c>
      <c r="J341" s="16">
        <f>_xlfn.XLOOKUP(C341,'Project Details'!$C$17:$C$66,'Project Details'!$H$17:$H$66,"",0)</f>
        <v>0</v>
      </c>
      <c r="K341" s="33" t="str">
        <f>IF(AND(_xlfn.XLOOKUP(C341,'Project Details'!$C$17:$C$66,'Project Details'!$L$17:$L$66,"",0)&gt;550, F341="Spring-L27cm"),"",SUBSTITUTE(_xlfn.XLOOKUP(G341,SKUs!$C$2:$C$10001,SKUs!$F$2:$F$10001,"",0), " Accessories",""))</f>
        <v/>
      </c>
      <c r="L341" s="33">
        <f>_xlfn.XLOOKUP(C341,'Project Details'!$C$17:$C$66,'Project Details'!$D$17:$D$66,"",0)</f>
        <v>0</v>
      </c>
      <c r="M341" s="43"/>
    </row>
    <row r="342" spans="1:13" ht="13.5" customHeight="1" x14ac:dyDescent="0.25">
      <c r="A342" s="43"/>
      <c r="B342" s="43"/>
      <c r="C342" s="35">
        <f t="shared" si="5"/>
        <v>7</v>
      </c>
      <c r="D342" s="35" t="str" cm="1">
        <f t="array" ref="D342">IFERROR(ROUNDUP(_xlfn.IFS(F342="Aluminum Track", _xlfn.XLOOKUP(C342, dd_accsrycalc!$A$2:$A$51, dd_accsrycalc!$B$2:$B$51, "",0), F342="10 x 2 1/2 S (Flat)", _xlfn.XLOOKUP(C342, dd_accsrycalc!$A$2:$A$51, dd_accsrycalc!$C$2:$C$51, "",0), F342="Tox6", _xlfn.XLOOKUP(C342, dd_accsrycalc!$A$2:$A$51, dd_accsrycalc!$D$2:$D$51, "",0), F342="Cover Cap", _xlfn.XLOOKUP(C342, dd_accsrycalc!$A$2:$A$51, dd_accsrycalc!$E$2:$E$51, "",0), F342="Drainage Cover", _xlfn.XLOOKUP(C342, dd_accsrycalc!$A$2:$A$51, dd_accsrycalc!$F$2:$F$51, "",0),AND( F342="Double Adhesive Tape", I342="Roll-up Screen"), _xlfn.XLOOKUP(C342, calc_rusacc!$C$15:$C$65, calc_rusacc!$AD$15:$AD$65, "",0),AND( F342="Sealant", I342="Roll-up Screen"), _xlfn.XLOOKUP(C342, calc_rusacc!$C$15:$C$65, calc_rusacc!$AF$15:$AF$65, "",0),  AND( F342="Main Chain", I342="Accordion Screen"), _xlfn.XLOOKUP(C342, calc_rusacc!$C$15:$C$65, calc_rusacc!$BF$15:$BF$65, "",0), AND( F342="Sealant", I342="Accordion Screen"), _xlfn.XLOOKUP(C342, calc_rusacc!$C$15:$C$65, calc_rusacc!$BJ$15:$BJ$65, "",0),  F342="Sealant", _xlfn.XLOOKUP(C342, dd_accsrycalc!$A$2:$A$51, dd_accsrycalc!$G$2:$G$51, "",0),  F342&lt;&gt;"",L342*_xlfn.XLOOKUP(1, (SKUs!$C$2:$C$10001=G342)*(SKUs!$K$2:$K$10001=I342),SKUs!$E$2:$E$10001)), 0),"")</f>
        <v/>
      </c>
      <c r="E342" s="35" t="str">
        <f>_xlfn.XLOOKUP(F342,dd_item!$B$2:$B$105,dd_item!$C$2:$C$105,"",0)</f>
        <v/>
      </c>
      <c r="F342" s="35"/>
      <c r="G342" s="35" cm="1">
        <f t="array" ref="G342">IFERROR(_xlfn.XLOOKUP(1, (SKUs!$J$2:$J$10001=accsry_unmerged!F342)*IF(H342&lt;&gt;"",(SKUs!$L$2:$L$10001=accsry_unmerged!H342),1)*(SKUs!$K$2:$K$10001=I342),SKUs!$C$2:$C$10001),"")</f>
        <v>0</v>
      </c>
      <c r="H342" s="36" cm="1">
        <f t="array" ref="H342">IFERROR(_xlfn.XLOOKUP(1, (dd_accsryclr!$C$2:$C$1000=accsry_unmerged!F342)*(dd_accsryclr!$B$2:$B$1000=accsry_unmerged!J342),dd_accsryclr!$A$2:$A$1000),"")</f>
        <v>0</v>
      </c>
      <c r="I342" s="35">
        <f>_xlfn.XLOOKUP(C342,'Project Details'!$C$17:$C$66,'Project Details'!$E$17:$E$66,"",0)</f>
        <v>0</v>
      </c>
      <c r="J342" s="35">
        <f>_xlfn.XLOOKUP(C342,'Project Details'!$C$17:$C$66,'Project Details'!$H$17:$H$66,"",0)</f>
        <v>0</v>
      </c>
      <c r="K342" s="36" t="str">
        <f>IF(AND(_xlfn.XLOOKUP(C342,'Project Details'!$C$17:$C$66,'Project Details'!$L$17:$L$66,"",0)&gt;550, F342="Spring-L27cm"),"",SUBSTITUTE(_xlfn.XLOOKUP(G342,SKUs!$C$2:$C$10001,SKUs!$F$2:$F$10001,"",0), " Accessories",""))</f>
        <v/>
      </c>
      <c r="L342" s="36">
        <f>_xlfn.XLOOKUP(C342,'Project Details'!$C$17:$C$66,'Project Details'!$D$17:$D$66,"",0)</f>
        <v>0</v>
      </c>
      <c r="M342" s="43"/>
    </row>
    <row r="343" spans="1:13" ht="13.5" customHeight="1" x14ac:dyDescent="0.25">
      <c r="A343" s="43"/>
      <c r="B343" s="43"/>
      <c r="C343" s="16">
        <f t="shared" si="5"/>
        <v>7</v>
      </c>
      <c r="D343" s="16" t="str" cm="1">
        <f t="array" ref="D343">IFERROR(ROUNDUP(_xlfn.IFS(F343="Aluminum Track", _xlfn.XLOOKUP(C343, dd_accsrycalc!$A$2:$A$51, dd_accsrycalc!$B$2:$B$51, "",0), F343="10 x 2 1/2 S (Flat)", _xlfn.XLOOKUP(C343, dd_accsrycalc!$A$2:$A$51, dd_accsrycalc!$C$2:$C$51, "",0), F343="Tox6", _xlfn.XLOOKUP(C343, dd_accsrycalc!$A$2:$A$51, dd_accsrycalc!$D$2:$D$51, "",0), F343="Cover Cap", _xlfn.XLOOKUP(C343, dd_accsrycalc!$A$2:$A$51, dd_accsrycalc!$E$2:$E$51, "",0), F343="Drainage Cover", _xlfn.XLOOKUP(C343, dd_accsrycalc!$A$2:$A$51, dd_accsrycalc!$F$2:$F$51, "",0),AND( F343="Double Adhesive Tape", I343="Roll-up Screen"), _xlfn.XLOOKUP(C343, calc_rusacc!$C$15:$C$65, calc_rusacc!$AD$15:$AD$65, "",0),AND( F343="Sealant", I343="Roll-up Screen"), _xlfn.XLOOKUP(C343, calc_rusacc!$C$15:$C$65, calc_rusacc!$AF$15:$AF$65, "",0),  AND( F343="Main Chain", I343="Accordion Screen"), _xlfn.XLOOKUP(C343, calc_rusacc!$C$15:$C$65, calc_rusacc!$BF$15:$BF$65, "",0), AND( F343="Sealant", I343="Accordion Screen"), _xlfn.XLOOKUP(C343, calc_rusacc!$C$15:$C$65, calc_rusacc!$BJ$15:$BJ$65, "",0),  F343="Sealant", _xlfn.XLOOKUP(C343, dd_accsrycalc!$A$2:$A$51, dd_accsrycalc!$G$2:$G$51, "",0),  F343&lt;&gt;"",L343*_xlfn.XLOOKUP(1, (SKUs!$C$2:$C$10001=G343)*(SKUs!$K$2:$K$10001=I343),SKUs!$E$2:$E$10001)), 0),"")</f>
        <v/>
      </c>
      <c r="E343" s="16" t="str">
        <f>_xlfn.XLOOKUP(F343,dd_item!$B$2:$B$105,dd_item!$C$2:$C$105,"",0)</f>
        <v/>
      </c>
      <c r="F343" s="16"/>
      <c r="G343" s="16" cm="1">
        <f t="array" ref="G343">IFERROR(_xlfn.XLOOKUP(1, (SKUs!$J$2:$J$10001=accsry_unmerged!F343)*IF(H343&lt;&gt;"",(SKUs!$L$2:$L$10001=accsry_unmerged!H343),1)*(SKUs!$K$2:$K$10001=I343),SKUs!$C$2:$C$10001),"")</f>
        <v>0</v>
      </c>
      <c r="H343" s="33" cm="1">
        <f t="array" ref="H343">IFERROR(_xlfn.XLOOKUP(1, (dd_accsryclr!$C$2:$C$1000=accsry_unmerged!F343)*(dd_accsryclr!$B$2:$B$1000=accsry_unmerged!J343),dd_accsryclr!$A$2:$A$1000),"")</f>
        <v>0</v>
      </c>
      <c r="I343" s="16">
        <f>_xlfn.XLOOKUP(C343,'Project Details'!$C$17:$C$66,'Project Details'!$E$17:$E$66,"",0)</f>
        <v>0</v>
      </c>
      <c r="J343" s="16">
        <f>_xlfn.XLOOKUP(C343,'Project Details'!$C$17:$C$66,'Project Details'!$H$17:$H$66,"",0)</f>
        <v>0</v>
      </c>
      <c r="K343" s="33" t="str">
        <f>IF(AND(_xlfn.XLOOKUP(C343,'Project Details'!$C$17:$C$66,'Project Details'!$L$17:$L$66,"",0)&gt;550, F343="Spring-L27cm"),"",SUBSTITUTE(_xlfn.XLOOKUP(G343,SKUs!$C$2:$C$10001,SKUs!$F$2:$F$10001,"",0), " Accessories",""))</f>
        <v/>
      </c>
      <c r="L343" s="33">
        <f>_xlfn.XLOOKUP(C343,'Project Details'!$C$17:$C$66,'Project Details'!$D$17:$D$66,"",0)</f>
        <v>0</v>
      </c>
      <c r="M343" s="43"/>
    </row>
    <row r="344" spans="1:13" ht="13.5" customHeight="1" x14ac:dyDescent="0.25">
      <c r="A344" s="43"/>
      <c r="B344" s="43"/>
      <c r="C344" s="35">
        <f t="shared" si="5"/>
        <v>7</v>
      </c>
      <c r="D344" s="35" t="str" cm="1">
        <f t="array" ref="D344">IFERROR(ROUNDUP(_xlfn.IFS(F344="Aluminum Track", _xlfn.XLOOKUP(C344, dd_accsrycalc!$A$2:$A$51, dd_accsrycalc!$B$2:$B$51, "",0), F344="10 x 2 1/2 S (Flat)", _xlfn.XLOOKUP(C344, dd_accsrycalc!$A$2:$A$51, dd_accsrycalc!$C$2:$C$51, "",0), F344="Tox6", _xlfn.XLOOKUP(C344, dd_accsrycalc!$A$2:$A$51, dd_accsrycalc!$D$2:$D$51, "",0), F344="Cover Cap", _xlfn.XLOOKUP(C344, dd_accsrycalc!$A$2:$A$51, dd_accsrycalc!$E$2:$E$51, "",0), F344="Drainage Cover", _xlfn.XLOOKUP(C344, dd_accsrycalc!$A$2:$A$51, dd_accsrycalc!$F$2:$F$51, "",0),AND( F344="Double Adhesive Tape", I344="Roll-up Screen"), _xlfn.XLOOKUP(C344, calc_rusacc!$C$15:$C$65, calc_rusacc!$AD$15:$AD$65, "",0),AND( F344="Sealant", I344="Roll-up Screen"), _xlfn.XLOOKUP(C344, calc_rusacc!$C$15:$C$65, calc_rusacc!$AF$15:$AF$65, "",0),  AND( F344="Main Chain", I344="Accordion Screen"), _xlfn.XLOOKUP(C344, calc_rusacc!$C$15:$C$65, calc_rusacc!$BF$15:$BF$65, "",0), AND( F344="Sealant", I344="Accordion Screen"), _xlfn.XLOOKUP(C344, calc_rusacc!$C$15:$C$65, calc_rusacc!$BJ$15:$BJ$65, "",0),  F344="Sealant", _xlfn.XLOOKUP(C344, dd_accsrycalc!$A$2:$A$51, dd_accsrycalc!$G$2:$G$51, "",0),  F344&lt;&gt;"",L344*_xlfn.XLOOKUP(1, (SKUs!$C$2:$C$10001=G344)*(SKUs!$K$2:$K$10001=I344),SKUs!$E$2:$E$10001)), 0),"")</f>
        <v/>
      </c>
      <c r="E344" s="35" t="str">
        <f>_xlfn.XLOOKUP(F344,dd_item!$B$2:$B$105,dd_item!$C$2:$C$105,"",0)</f>
        <v/>
      </c>
      <c r="F344" s="35"/>
      <c r="G344" s="35" cm="1">
        <f t="array" ref="G344">IFERROR(_xlfn.XLOOKUP(1, (SKUs!$J$2:$J$10001=accsry_unmerged!F344)*IF(H344&lt;&gt;"",(SKUs!$L$2:$L$10001=accsry_unmerged!H344),1)*(SKUs!$K$2:$K$10001=I344),SKUs!$C$2:$C$10001),"")</f>
        <v>0</v>
      </c>
      <c r="H344" s="36" cm="1">
        <f t="array" ref="H344">IFERROR(_xlfn.XLOOKUP(1, (dd_accsryclr!$C$2:$C$1000=accsry_unmerged!F344)*(dd_accsryclr!$B$2:$B$1000=accsry_unmerged!J344),dd_accsryclr!$A$2:$A$1000),"")</f>
        <v>0</v>
      </c>
      <c r="I344" s="35">
        <f>_xlfn.XLOOKUP(C344,'Project Details'!$C$17:$C$66,'Project Details'!$E$17:$E$66,"",0)</f>
        <v>0</v>
      </c>
      <c r="J344" s="35">
        <f>_xlfn.XLOOKUP(C344,'Project Details'!$C$17:$C$66,'Project Details'!$H$17:$H$66,"",0)</f>
        <v>0</v>
      </c>
      <c r="K344" s="36" t="str">
        <f>IF(AND(_xlfn.XLOOKUP(C344,'Project Details'!$C$17:$C$66,'Project Details'!$L$17:$L$66,"",0)&gt;550, F344="Spring-L27cm"),"",SUBSTITUTE(_xlfn.XLOOKUP(G344,SKUs!$C$2:$C$10001,SKUs!$F$2:$F$10001,"",0), " Accessories",""))</f>
        <v/>
      </c>
      <c r="L344" s="36">
        <f>_xlfn.XLOOKUP(C344,'Project Details'!$C$17:$C$66,'Project Details'!$D$17:$D$66,"",0)</f>
        <v>0</v>
      </c>
      <c r="M344" s="43"/>
    </row>
    <row r="345" spans="1:13" ht="13.5" customHeight="1" outlineLevel="1" x14ac:dyDescent="0.25">
      <c r="A345" s="43"/>
      <c r="B345" s="43"/>
      <c r="C345" s="16">
        <f t="shared" si="5"/>
        <v>7</v>
      </c>
      <c r="D345" s="16" t="str" cm="1">
        <f t="array" ref="D345">IFERROR(ROUNDUP(_xlfn.IFS(F345="Aluminum Track", _xlfn.XLOOKUP(C345, dd_accsrycalc!$A$2:$A$51, dd_accsrycalc!$B$2:$B$51, "",0), F345="10 x 2 1/2 S (Flat)", _xlfn.XLOOKUP(C345, dd_accsrycalc!$A$2:$A$51, dd_accsrycalc!$C$2:$C$51, "",0), F345="Tox6", _xlfn.XLOOKUP(C345, dd_accsrycalc!$A$2:$A$51, dd_accsrycalc!$D$2:$D$51, "",0), F345="Cover Cap", _xlfn.XLOOKUP(C345, dd_accsrycalc!$A$2:$A$51, dd_accsrycalc!$E$2:$E$51, "",0), F345="Drainage Cover", _xlfn.XLOOKUP(C345, dd_accsrycalc!$A$2:$A$51, dd_accsrycalc!$F$2:$F$51, "",0),AND( F345="Double Adhesive Tape", I345="Roll-up Screen"), _xlfn.XLOOKUP(C345, calc_rusacc!$C$15:$C$65, calc_rusacc!$AD$15:$AD$65, "",0),AND( F345="Sealant", I345="Roll-up Screen"), _xlfn.XLOOKUP(C345, calc_rusacc!$C$15:$C$65, calc_rusacc!$AF$15:$AF$65, "",0),  AND( F345="Main Chain", I345="Accordion Screen"), _xlfn.XLOOKUP(C345, calc_rusacc!$C$15:$C$65, calc_rusacc!$BF$15:$BF$65, "",0), AND( F345="Sealant", I345="Accordion Screen"), _xlfn.XLOOKUP(C345, calc_rusacc!$C$15:$C$65, calc_rusacc!$BJ$15:$BJ$65, "",0),  F345="Sealant", _xlfn.XLOOKUP(C345, dd_accsrycalc!$A$2:$A$51, dd_accsrycalc!$G$2:$G$51, "",0),  F345&lt;&gt;"",L345*_xlfn.XLOOKUP(1, (SKUs!$C$2:$C$10001=G345)*(SKUs!$K$2:$K$10001=I345),SKUs!$E$2:$E$10001)), 0),"")</f>
        <v/>
      </c>
      <c r="E345" s="16" t="str">
        <f>_xlfn.XLOOKUP(F345,dd_item!$B$2:$B$105,dd_item!$C$2:$C$105,"",0)</f>
        <v/>
      </c>
      <c r="F345" s="16"/>
      <c r="G345" s="16" cm="1">
        <f t="array" ref="G345">IFERROR(_xlfn.XLOOKUP(1, (SKUs!$J$2:$J$10001=accsry_unmerged!F345)*IF(H345&lt;&gt;"",(SKUs!$L$2:$L$10001=accsry_unmerged!H345),1)*(SKUs!$K$2:$K$10001=I345),SKUs!$C$2:$C$10001),"")</f>
        <v>0</v>
      </c>
      <c r="H345" s="33" cm="1">
        <f t="array" ref="H345">IFERROR(_xlfn.XLOOKUP(1, (dd_accsryclr!$C$2:$C$1000=accsry_unmerged!F345)*(dd_accsryclr!$B$2:$B$1000=accsry_unmerged!J345),dd_accsryclr!$A$2:$A$1000),"")</f>
        <v>0</v>
      </c>
      <c r="I345" s="16">
        <f>_xlfn.XLOOKUP(C345,'Project Details'!$C$17:$C$66,'Project Details'!$E$17:$E$66,"",0)</f>
        <v>0</v>
      </c>
      <c r="J345" s="16">
        <f>_xlfn.XLOOKUP(C345,'Project Details'!$C$17:$C$66,'Project Details'!$H$17:$H$66,"",0)</f>
        <v>0</v>
      </c>
      <c r="K345" s="33" t="str">
        <f>IF(AND(_xlfn.XLOOKUP(C345,'Project Details'!$C$17:$C$66,'Project Details'!$L$17:$L$66,"",0)&gt;550, F345="Spring-L27cm"),"",SUBSTITUTE(_xlfn.XLOOKUP(G345,SKUs!$C$2:$C$10001,SKUs!$F$2:$F$10001,"",0), " Accessories",""))</f>
        <v/>
      </c>
      <c r="L345" s="33">
        <f>_xlfn.XLOOKUP(C345,'Project Details'!$C$17:$C$66,'Project Details'!$D$17:$D$66,"",0)</f>
        <v>0</v>
      </c>
      <c r="M345" s="43"/>
    </row>
    <row r="346" spans="1:13" ht="13.5" customHeight="1" outlineLevel="1" x14ac:dyDescent="0.25">
      <c r="A346" s="43"/>
      <c r="B346" s="43"/>
      <c r="C346" s="35">
        <f t="shared" si="5"/>
        <v>7</v>
      </c>
      <c r="D346" s="35" t="str" cm="1">
        <f t="array" ref="D346">IFERROR(ROUNDUP(_xlfn.IFS(F346="Aluminum Track", _xlfn.XLOOKUP(C346, dd_accsrycalc!$A$2:$A$51, dd_accsrycalc!$B$2:$B$51, "",0), F346="10 x 2 1/2 S (Flat)", _xlfn.XLOOKUP(C346, dd_accsrycalc!$A$2:$A$51, dd_accsrycalc!$C$2:$C$51, "",0), F346="Tox6", _xlfn.XLOOKUP(C346, dd_accsrycalc!$A$2:$A$51, dd_accsrycalc!$D$2:$D$51, "",0), F346="Cover Cap", _xlfn.XLOOKUP(C346, dd_accsrycalc!$A$2:$A$51, dd_accsrycalc!$E$2:$E$51, "",0), F346="Drainage Cover", _xlfn.XLOOKUP(C346, dd_accsrycalc!$A$2:$A$51, dd_accsrycalc!$F$2:$F$51, "",0),AND( F346="Double Adhesive Tape", I346="Roll-up Screen"), _xlfn.XLOOKUP(C346, calc_rusacc!$C$15:$C$65, calc_rusacc!$AD$15:$AD$65, "",0),AND( F346="Sealant", I346="Roll-up Screen"), _xlfn.XLOOKUP(C346, calc_rusacc!$C$15:$C$65, calc_rusacc!$AF$15:$AF$65, "",0),  AND( F346="Main Chain", I346="Accordion Screen"), _xlfn.XLOOKUP(C346, calc_rusacc!$C$15:$C$65, calc_rusacc!$BF$15:$BF$65, "",0), AND( F346="Sealant", I346="Accordion Screen"), _xlfn.XLOOKUP(C346, calc_rusacc!$C$15:$C$65, calc_rusacc!$BJ$15:$BJ$65, "",0),  F346="Sealant", _xlfn.XLOOKUP(C346, dd_accsrycalc!$A$2:$A$51, dd_accsrycalc!$G$2:$G$51, "",0),  F346&lt;&gt;"",L346*_xlfn.XLOOKUP(1, (SKUs!$C$2:$C$10001=G346)*(SKUs!$K$2:$K$10001=I346),SKUs!$E$2:$E$10001)), 0),"")</f>
        <v/>
      </c>
      <c r="E346" s="35" t="str">
        <f>_xlfn.XLOOKUP(F346,dd_item!$B$2:$B$105,dd_item!$C$2:$C$105,"",0)</f>
        <v/>
      </c>
      <c r="F346" s="35"/>
      <c r="G346" s="35" cm="1">
        <f t="array" ref="G346">IFERROR(_xlfn.XLOOKUP(1, (SKUs!$J$2:$J$10001=accsry_unmerged!F346)*IF(H346&lt;&gt;"",(SKUs!$L$2:$L$10001=accsry_unmerged!H346),1)*(SKUs!$K$2:$K$10001=I346),SKUs!$C$2:$C$10001),"")</f>
        <v>0</v>
      </c>
      <c r="H346" s="36" cm="1">
        <f t="array" ref="H346">IFERROR(_xlfn.XLOOKUP(1, (dd_accsryclr!$C$2:$C$1000=accsry_unmerged!F346)*(dd_accsryclr!$B$2:$B$1000=accsry_unmerged!J346),dd_accsryclr!$A$2:$A$1000),"")</f>
        <v>0</v>
      </c>
      <c r="I346" s="35">
        <f>_xlfn.XLOOKUP(C346,'Project Details'!$C$17:$C$66,'Project Details'!$E$17:$E$66,"",0)</f>
        <v>0</v>
      </c>
      <c r="J346" s="35">
        <f>_xlfn.XLOOKUP(C346,'Project Details'!$C$17:$C$66,'Project Details'!$H$17:$H$66,"",0)</f>
        <v>0</v>
      </c>
      <c r="K346" s="36" t="str">
        <f>IF(AND(_xlfn.XLOOKUP(C346,'Project Details'!$C$17:$C$66,'Project Details'!$L$17:$L$66,"",0)&gt;550, F346="Spring-L27cm"),"",SUBSTITUTE(_xlfn.XLOOKUP(G346,SKUs!$C$2:$C$10001,SKUs!$F$2:$F$10001,"",0), " Accessories",""))</f>
        <v/>
      </c>
      <c r="L346" s="36">
        <f>_xlfn.XLOOKUP(C346,'Project Details'!$C$17:$C$66,'Project Details'!$D$17:$D$66,"",0)</f>
        <v>0</v>
      </c>
      <c r="M346" s="43"/>
    </row>
    <row r="347" spans="1:13" ht="13.5" customHeight="1" outlineLevel="1" x14ac:dyDescent="0.25">
      <c r="A347" s="43"/>
      <c r="B347" s="43"/>
      <c r="C347" s="16">
        <f t="shared" si="5"/>
        <v>7</v>
      </c>
      <c r="D347" s="16" t="str" cm="1">
        <f t="array" ref="D347">IFERROR(ROUNDUP(_xlfn.IFS(F347="Aluminum Track", _xlfn.XLOOKUP(C347, dd_accsrycalc!$A$2:$A$51, dd_accsrycalc!$B$2:$B$51, "",0), F347="10 x 2 1/2 S (Flat)", _xlfn.XLOOKUP(C347, dd_accsrycalc!$A$2:$A$51, dd_accsrycalc!$C$2:$C$51, "",0), F347="Tox6", _xlfn.XLOOKUP(C347, dd_accsrycalc!$A$2:$A$51, dd_accsrycalc!$D$2:$D$51, "",0), F347="Cover Cap", _xlfn.XLOOKUP(C347, dd_accsrycalc!$A$2:$A$51, dd_accsrycalc!$E$2:$E$51, "",0), F347="Drainage Cover", _xlfn.XLOOKUP(C347, dd_accsrycalc!$A$2:$A$51, dd_accsrycalc!$F$2:$F$51, "",0),AND( F347="Double Adhesive Tape", I347="Roll-up Screen"), _xlfn.XLOOKUP(C347, calc_rusacc!$C$15:$C$65, calc_rusacc!$AD$15:$AD$65, "",0),AND( F347="Sealant", I347="Roll-up Screen"), _xlfn.XLOOKUP(C347, calc_rusacc!$C$15:$C$65, calc_rusacc!$AF$15:$AF$65, "",0),  AND( F347="Main Chain", I347="Accordion Screen"), _xlfn.XLOOKUP(C347, calc_rusacc!$C$15:$C$65, calc_rusacc!$BF$15:$BF$65, "",0), AND( F347="Sealant", I347="Accordion Screen"), _xlfn.XLOOKUP(C347, calc_rusacc!$C$15:$C$65, calc_rusacc!$BJ$15:$BJ$65, "",0),  F347="Sealant", _xlfn.XLOOKUP(C347, dd_accsrycalc!$A$2:$A$51, dd_accsrycalc!$G$2:$G$51, "",0),  F347&lt;&gt;"",L347*_xlfn.XLOOKUP(1, (SKUs!$C$2:$C$10001=G347)*(SKUs!$K$2:$K$10001=I347),SKUs!$E$2:$E$10001)), 0),"")</f>
        <v/>
      </c>
      <c r="E347" s="16" t="str">
        <f>_xlfn.XLOOKUP(F347,dd_item!$B$2:$B$105,dd_item!$C$2:$C$105,"",0)</f>
        <v/>
      </c>
      <c r="F347" s="16"/>
      <c r="G347" s="16" cm="1">
        <f t="array" ref="G347">IFERROR(_xlfn.XLOOKUP(1, (SKUs!$J$2:$J$10001=accsry_unmerged!F347)*IF(H347&lt;&gt;"",(SKUs!$L$2:$L$10001=accsry_unmerged!H347),1)*(SKUs!$K$2:$K$10001=I347),SKUs!$C$2:$C$10001),"")</f>
        <v>0</v>
      </c>
      <c r="H347" s="33" cm="1">
        <f t="array" ref="H347">IFERROR(_xlfn.XLOOKUP(1, (dd_accsryclr!$C$2:$C$1000=accsry_unmerged!F347)*(dd_accsryclr!$B$2:$B$1000=accsry_unmerged!J347),dd_accsryclr!$A$2:$A$1000),"")</f>
        <v>0</v>
      </c>
      <c r="I347" s="16">
        <f>_xlfn.XLOOKUP(C347,'Project Details'!$C$17:$C$66,'Project Details'!$E$17:$E$66,"",0)</f>
        <v>0</v>
      </c>
      <c r="J347" s="16">
        <f>_xlfn.XLOOKUP(C347,'Project Details'!$C$17:$C$66,'Project Details'!$H$17:$H$66,"",0)</f>
        <v>0</v>
      </c>
      <c r="K347" s="33" t="str">
        <f>IF(AND(_xlfn.XLOOKUP(C347,'Project Details'!$C$17:$C$66,'Project Details'!$L$17:$L$66,"",0)&gt;550, F347="Spring-L27cm"),"",SUBSTITUTE(_xlfn.XLOOKUP(G347,SKUs!$C$2:$C$10001,SKUs!$F$2:$F$10001,"",0), " Accessories",""))</f>
        <v/>
      </c>
      <c r="L347" s="33">
        <f>_xlfn.XLOOKUP(C347,'Project Details'!$C$17:$C$66,'Project Details'!$D$17:$D$66,"",0)</f>
        <v>0</v>
      </c>
      <c r="M347" s="43"/>
    </row>
    <row r="348" spans="1:13" ht="13.5" customHeight="1" outlineLevel="1" x14ac:dyDescent="0.25">
      <c r="A348" s="43"/>
      <c r="B348" s="43"/>
      <c r="C348" s="35">
        <f t="shared" si="5"/>
        <v>7</v>
      </c>
      <c r="D348" s="35" t="str" cm="1">
        <f t="array" ref="D348">IFERROR(ROUNDUP(_xlfn.IFS(F348="Aluminum Track", _xlfn.XLOOKUP(C348, dd_accsrycalc!$A$2:$A$51, dd_accsrycalc!$B$2:$B$51, "",0), F348="10 x 2 1/2 S (Flat)", _xlfn.XLOOKUP(C348, dd_accsrycalc!$A$2:$A$51, dd_accsrycalc!$C$2:$C$51, "",0), F348="Tox6", _xlfn.XLOOKUP(C348, dd_accsrycalc!$A$2:$A$51, dd_accsrycalc!$D$2:$D$51, "",0), F348="Cover Cap", _xlfn.XLOOKUP(C348, dd_accsrycalc!$A$2:$A$51, dd_accsrycalc!$E$2:$E$51, "",0), F348="Drainage Cover", _xlfn.XLOOKUP(C348, dd_accsrycalc!$A$2:$A$51, dd_accsrycalc!$F$2:$F$51, "",0),AND( F348="Double Adhesive Tape", I348="Roll-up Screen"), _xlfn.XLOOKUP(C348, calc_rusacc!$C$15:$C$65, calc_rusacc!$AD$15:$AD$65, "",0),AND( F348="Sealant", I348="Roll-up Screen"), _xlfn.XLOOKUP(C348, calc_rusacc!$C$15:$C$65, calc_rusacc!$AF$15:$AF$65, "",0),  AND( F348="Main Chain", I348="Accordion Screen"), _xlfn.XLOOKUP(C348, calc_rusacc!$C$15:$C$65, calc_rusacc!$BF$15:$BF$65, "",0), AND( F348="Sealant", I348="Accordion Screen"), _xlfn.XLOOKUP(C348, calc_rusacc!$C$15:$C$65, calc_rusacc!$BJ$15:$BJ$65, "",0),  F348="Sealant", _xlfn.XLOOKUP(C348, dd_accsrycalc!$A$2:$A$51, dd_accsrycalc!$G$2:$G$51, "",0),  F348&lt;&gt;"",L348*_xlfn.XLOOKUP(1, (SKUs!$C$2:$C$10001=G348)*(SKUs!$K$2:$K$10001=I348),SKUs!$E$2:$E$10001)), 0),"")</f>
        <v/>
      </c>
      <c r="E348" s="35" t="str">
        <f>_xlfn.XLOOKUP(F348,dd_item!$B$2:$B$105,dd_item!$C$2:$C$105,"",0)</f>
        <v/>
      </c>
      <c r="F348" s="35"/>
      <c r="G348" s="35" cm="1">
        <f t="array" ref="G348">IFERROR(_xlfn.XLOOKUP(1, (SKUs!$J$2:$J$10001=accsry_unmerged!F348)*IF(H348&lt;&gt;"",(SKUs!$L$2:$L$10001=accsry_unmerged!H348),1)*(SKUs!$K$2:$K$10001=I348),SKUs!$C$2:$C$10001),"")</f>
        <v>0</v>
      </c>
      <c r="H348" s="36" cm="1">
        <f t="array" ref="H348">IFERROR(_xlfn.XLOOKUP(1, (dd_accsryclr!$C$2:$C$1000=accsry_unmerged!F348)*(dd_accsryclr!$B$2:$B$1000=accsry_unmerged!J348),dd_accsryclr!$A$2:$A$1000),"")</f>
        <v>0</v>
      </c>
      <c r="I348" s="35">
        <f>_xlfn.XLOOKUP(C348,'Project Details'!$C$17:$C$66,'Project Details'!$E$17:$E$66,"",0)</f>
        <v>0</v>
      </c>
      <c r="J348" s="35">
        <f>_xlfn.XLOOKUP(C348,'Project Details'!$C$17:$C$66,'Project Details'!$H$17:$H$66,"",0)</f>
        <v>0</v>
      </c>
      <c r="K348" s="36" t="str">
        <f>IF(AND(_xlfn.XLOOKUP(C348,'Project Details'!$C$17:$C$66,'Project Details'!$L$17:$L$66,"",0)&gt;550, F348="Spring-L27cm"),"",SUBSTITUTE(_xlfn.XLOOKUP(G348,SKUs!$C$2:$C$10001,SKUs!$F$2:$F$10001,"",0), " Accessories",""))</f>
        <v/>
      </c>
      <c r="L348" s="36">
        <f>_xlfn.XLOOKUP(C348,'Project Details'!$C$17:$C$66,'Project Details'!$D$17:$D$66,"",0)</f>
        <v>0</v>
      </c>
      <c r="M348" s="43"/>
    </row>
    <row r="349" spans="1:13" ht="13.5" customHeight="1" outlineLevel="1" x14ac:dyDescent="0.25">
      <c r="A349" s="43"/>
      <c r="B349" s="43"/>
      <c r="C349" s="16">
        <f t="shared" si="5"/>
        <v>7</v>
      </c>
      <c r="D349" s="16" t="str" cm="1">
        <f t="array" ref="D349">IFERROR(ROUNDUP(_xlfn.IFS(F349="Aluminum Track", _xlfn.XLOOKUP(C349, dd_accsrycalc!$A$2:$A$51, dd_accsrycalc!$B$2:$B$51, "",0), F349="10 x 2 1/2 S (Flat)", _xlfn.XLOOKUP(C349, dd_accsrycalc!$A$2:$A$51, dd_accsrycalc!$C$2:$C$51, "",0), F349="Tox6", _xlfn.XLOOKUP(C349, dd_accsrycalc!$A$2:$A$51, dd_accsrycalc!$D$2:$D$51, "",0), F349="Cover Cap", _xlfn.XLOOKUP(C349, dd_accsrycalc!$A$2:$A$51, dd_accsrycalc!$E$2:$E$51, "",0), F349="Drainage Cover", _xlfn.XLOOKUP(C349, dd_accsrycalc!$A$2:$A$51, dd_accsrycalc!$F$2:$F$51, "",0),AND( F349="Double Adhesive Tape", I349="Roll-up Screen"), _xlfn.XLOOKUP(C349, calc_rusacc!$C$15:$C$65, calc_rusacc!$AD$15:$AD$65, "",0),AND( F349="Sealant", I349="Roll-up Screen"), _xlfn.XLOOKUP(C349, calc_rusacc!$C$15:$C$65, calc_rusacc!$AF$15:$AF$65, "",0),  AND( F349="Main Chain", I349="Accordion Screen"), _xlfn.XLOOKUP(C349, calc_rusacc!$C$15:$C$65, calc_rusacc!$BF$15:$BF$65, "",0), AND( F349="Sealant", I349="Accordion Screen"), _xlfn.XLOOKUP(C349, calc_rusacc!$C$15:$C$65, calc_rusacc!$BJ$15:$BJ$65, "",0),  F349="Sealant", _xlfn.XLOOKUP(C349, dd_accsrycalc!$A$2:$A$51, dd_accsrycalc!$G$2:$G$51, "",0),  F349&lt;&gt;"",L349*_xlfn.XLOOKUP(1, (SKUs!$C$2:$C$10001=G349)*(SKUs!$K$2:$K$10001=I349),SKUs!$E$2:$E$10001)), 0),"")</f>
        <v/>
      </c>
      <c r="E349" s="16" t="str">
        <f>_xlfn.XLOOKUP(F349,dd_item!$B$2:$B$105,dd_item!$C$2:$C$105,"",0)</f>
        <v/>
      </c>
      <c r="F349" s="16"/>
      <c r="G349" s="16" cm="1">
        <f t="array" ref="G349">IFERROR(_xlfn.XLOOKUP(1, (SKUs!$J$2:$J$10001=accsry_unmerged!F349)*IF(H349&lt;&gt;"",(SKUs!$L$2:$L$10001=accsry_unmerged!H349),1)*(SKUs!$K$2:$K$10001=I349),SKUs!$C$2:$C$10001),"")</f>
        <v>0</v>
      </c>
      <c r="H349" s="33" cm="1">
        <f t="array" ref="H349">IFERROR(_xlfn.XLOOKUP(1, (dd_accsryclr!$C$2:$C$1000=accsry_unmerged!F349)*(dd_accsryclr!$B$2:$B$1000=accsry_unmerged!J349),dd_accsryclr!$A$2:$A$1000),"")</f>
        <v>0</v>
      </c>
      <c r="I349" s="16">
        <f>_xlfn.XLOOKUP(C349,'Project Details'!$C$17:$C$66,'Project Details'!$E$17:$E$66,"",0)</f>
        <v>0</v>
      </c>
      <c r="J349" s="16">
        <f>_xlfn.XLOOKUP(C349,'Project Details'!$C$17:$C$66,'Project Details'!$H$17:$H$66,"",0)</f>
        <v>0</v>
      </c>
      <c r="K349" s="33" t="str">
        <f>IF(AND(_xlfn.XLOOKUP(C349,'Project Details'!$C$17:$C$66,'Project Details'!$L$17:$L$66,"",0)&gt;550, F349="Spring-L27cm"),"",SUBSTITUTE(_xlfn.XLOOKUP(G349,SKUs!$C$2:$C$10001,SKUs!$F$2:$F$10001,"",0), " Accessories",""))</f>
        <v/>
      </c>
      <c r="L349" s="33">
        <f>_xlfn.XLOOKUP(C349,'Project Details'!$C$17:$C$66,'Project Details'!$D$17:$D$66,"",0)</f>
        <v>0</v>
      </c>
      <c r="M349" s="43"/>
    </row>
    <row r="350" spans="1:13" ht="13.5" customHeight="1" outlineLevel="1" x14ac:dyDescent="0.25">
      <c r="A350" s="43"/>
      <c r="B350" s="43"/>
      <c r="C350" s="35">
        <f t="shared" si="5"/>
        <v>7</v>
      </c>
      <c r="D350" s="35" t="str" cm="1">
        <f t="array" ref="D350">IFERROR(ROUNDUP(_xlfn.IFS(F350="Aluminum Track", _xlfn.XLOOKUP(C350, dd_accsrycalc!$A$2:$A$51, dd_accsrycalc!$B$2:$B$51, "",0), F350="10 x 2 1/2 S (Flat)", _xlfn.XLOOKUP(C350, dd_accsrycalc!$A$2:$A$51, dd_accsrycalc!$C$2:$C$51, "",0), F350="Tox6", _xlfn.XLOOKUP(C350, dd_accsrycalc!$A$2:$A$51, dd_accsrycalc!$D$2:$D$51, "",0), F350="Cover Cap", _xlfn.XLOOKUP(C350, dd_accsrycalc!$A$2:$A$51, dd_accsrycalc!$E$2:$E$51, "",0), F350="Drainage Cover", _xlfn.XLOOKUP(C350, dd_accsrycalc!$A$2:$A$51, dd_accsrycalc!$F$2:$F$51, "",0),AND( F350="Double Adhesive Tape", I350="Roll-up Screen"), _xlfn.XLOOKUP(C350, calc_rusacc!$C$15:$C$65, calc_rusacc!$AD$15:$AD$65, "",0),AND( F350="Sealant", I350="Roll-up Screen"), _xlfn.XLOOKUP(C350, calc_rusacc!$C$15:$C$65, calc_rusacc!$AF$15:$AF$65, "",0),  AND( F350="Main Chain", I350="Accordion Screen"), _xlfn.XLOOKUP(C350, calc_rusacc!$C$15:$C$65, calc_rusacc!$BF$15:$BF$65, "",0), AND( F350="Sealant", I350="Accordion Screen"), _xlfn.XLOOKUP(C350, calc_rusacc!$C$15:$C$65, calc_rusacc!$BJ$15:$BJ$65, "",0),  F350="Sealant", _xlfn.XLOOKUP(C350, dd_accsrycalc!$A$2:$A$51, dd_accsrycalc!$G$2:$G$51, "",0),  F350&lt;&gt;"",L350*_xlfn.XLOOKUP(1, (SKUs!$C$2:$C$10001=G350)*(SKUs!$K$2:$K$10001=I350),SKUs!$E$2:$E$10001)), 0),"")</f>
        <v/>
      </c>
      <c r="E350" s="35" t="str">
        <f>_xlfn.XLOOKUP(F350,dd_item!$B$2:$B$105,dd_item!$C$2:$C$105,"",0)</f>
        <v/>
      </c>
      <c r="F350" s="35"/>
      <c r="G350" s="35" cm="1">
        <f t="array" ref="G350">IFERROR(_xlfn.XLOOKUP(1, (SKUs!$J$2:$J$10001=accsry_unmerged!F350)*IF(H350&lt;&gt;"",(SKUs!$L$2:$L$10001=accsry_unmerged!H350),1)*(SKUs!$K$2:$K$10001=I350),SKUs!$C$2:$C$10001),"")</f>
        <v>0</v>
      </c>
      <c r="H350" s="36" cm="1">
        <f t="array" ref="H350">IFERROR(_xlfn.XLOOKUP(1, (dd_accsryclr!$C$2:$C$1000=accsry_unmerged!F350)*(dd_accsryclr!$B$2:$B$1000=accsry_unmerged!J350),dd_accsryclr!$A$2:$A$1000),"")</f>
        <v>0</v>
      </c>
      <c r="I350" s="35">
        <f>_xlfn.XLOOKUP(C350,'Project Details'!$C$17:$C$66,'Project Details'!$E$17:$E$66,"",0)</f>
        <v>0</v>
      </c>
      <c r="J350" s="35">
        <f>_xlfn.XLOOKUP(C350,'Project Details'!$C$17:$C$66,'Project Details'!$H$17:$H$66,"",0)</f>
        <v>0</v>
      </c>
      <c r="K350" s="36" t="str">
        <f>IF(AND(_xlfn.XLOOKUP(C350,'Project Details'!$C$17:$C$66,'Project Details'!$L$17:$L$66,"",0)&gt;550, F350="Spring-L27cm"),"",SUBSTITUTE(_xlfn.XLOOKUP(G350,SKUs!$C$2:$C$10001,SKUs!$F$2:$F$10001,"",0), " Accessories",""))</f>
        <v/>
      </c>
      <c r="L350" s="36">
        <f>_xlfn.XLOOKUP(C350,'Project Details'!$C$17:$C$66,'Project Details'!$D$17:$D$66,"",0)</f>
        <v>0</v>
      </c>
      <c r="M350" s="43"/>
    </row>
    <row r="351" spans="1:13" ht="13.5" customHeight="1" outlineLevel="1" x14ac:dyDescent="0.25">
      <c r="A351" s="43"/>
      <c r="B351" s="43"/>
      <c r="C351" s="16">
        <f t="shared" si="5"/>
        <v>7</v>
      </c>
      <c r="D351" s="16" t="str" cm="1">
        <f t="array" ref="D351">IFERROR(ROUNDUP(_xlfn.IFS(F351="Aluminum Track", _xlfn.XLOOKUP(C351, dd_accsrycalc!$A$2:$A$51, dd_accsrycalc!$B$2:$B$51, "",0), F351="10 x 2 1/2 S (Flat)", _xlfn.XLOOKUP(C351, dd_accsrycalc!$A$2:$A$51, dd_accsrycalc!$C$2:$C$51, "",0), F351="Tox6", _xlfn.XLOOKUP(C351, dd_accsrycalc!$A$2:$A$51, dd_accsrycalc!$D$2:$D$51, "",0), F351="Cover Cap", _xlfn.XLOOKUP(C351, dd_accsrycalc!$A$2:$A$51, dd_accsrycalc!$E$2:$E$51, "",0), F351="Drainage Cover", _xlfn.XLOOKUP(C351, dd_accsrycalc!$A$2:$A$51, dd_accsrycalc!$F$2:$F$51, "",0),AND( F351="Double Adhesive Tape", I351="Roll-up Screen"), _xlfn.XLOOKUP(C351, calc_rusacc!$C$15:$C$65, calc_rusacc!$AD$15:$AD$65, "",0),AND( F351="Sealant", I351="Roll-up Screen"), _xlfn.XLOOKUP(C351, calc_rusacc!$C$15:$C$65, calc_rusacc!$AF$15:$AF$65, "",0),  AND( F351="Main Chain", I351="Accordion Screen"), _xlfn.XLOOKUP(C351, calc_rusacc!$C$15:$C$65, calc_rusacc!$BF$15:$BF$65, "",0), AND( F351="Sealant", I351="Accordion Screen"), _xlfn.XLOOKUP(C351, calc_rusacc!$C$15:$C$65, calc_rusacc!$BJ$15:$BJ$65, "",0),  F351="Sealant", _xlfn.XLOOKUP(C351, dd_accsrycalc!$A$2:$A$51, dd_accsrycalc!$G$2:$G$51, "",0),  F351&lt;&gt;"",L351*_xlfn.XLOOKUP(1, (SKUs!$C$2:$C$10001=G351)*(SKUs!$K$2:$K$10001=I351),SKUs!$E$2:$E$10001)), 0),"")</f>
        <v/>
      </c>
      <c r="E351" s="16" t="str">
        <f>_xlfn.XLOOKUP(F351,dd_item!$B$2:$B$105,dd_item!$C$2:$C$105,"",0)</f>
        <v/>
      </c>
      <c r="F351" s="16"/>
      <c r="G351" s="16" cm="1">
        <f t="array" ref="G351">IFERROR(_xlfn.XLOOKUP(1, (SKUs!$J$2:$J$10001=accsry_unmerged!F351)*IF(H351&lt;&gt;"",(SKUs!$L$2:$L$10001=accsry_unmerged!H351),1)*(SKUs!$K$2:$K$10001=I351),SKUs!$C$2:$C$10001),"")</f>
        <v>0</v>
      </c>
      <c r="H351" s="33" cm="1">
        <f t="array" ref="H351">IFERROR(_xlfn.XLOOKUP(1, (dd_accsryclr!$C$2:$C$1000=accsry_unmerged!F351)*(dd_accsryclr!$B$2:$B$1000=accsry_unmerged!J351),dd_accsryclr!$A$2:$A$1000),"")</f>
        <v>0</v>
      </c>
      <c r="I351" s="16">
        <f>_xlfn.XLOOKUP(C351,'Project Details'!$C$17:$C$66,'Project Details'!$E$17:$E$66,"",0)</f>
        <v>0</v>
      </c>
      <c r="J351" s="16">
        <f>_xlfn.XLOOKUP(C351,'Project Details'!$C$17:$C$66,'Project Details'!$H$17:$H$66,"",0)</f>
        <v>0</v>
      </c>
      <c r="K351" s="33" t="str">
        <f>IF(AND(_xlfn.XLOOKUP(C351,'Project Details'!$C$17:$C$66,'Project Details'!$L$17:$L$66,"",0)&gt;550, F351="Spring-L27cm"),"",SUBSTITUTE(_xlfn.XLOOKUP(G351,SKUs!$C$2:$C$10001,SKUs!$F$2:$F$10001,"",0), " Accessories",""))</f>
        <v/>
      </c>
      <c r="L351" s="33">
        <f>_xlfn.XLOOKUP(C351,'Project Details'!$C$17:$C$66,'Project Details'!$D$17:$D$66,"",0)</f>
        <v>0</v>
      </c>
      <c r="M351" s="43"/>
    </row>
    <row r="352" spans="1:13" ht="13.5" customHeight="1" outlineLevel="1" x14ac:dyDescent="0.25">
      <c r="A352" s="43"/>
      <c r="B352" s="43"/>
      <c r="C352" s="35">
        <f t="shared" si="5"/>
        <v>7</v>
      </c>
      <c r="D352" s="35" t="str" cm="1">
        <f t="array" ref="D352">IFERROR(ROUNDUP(_xlfn.IFS(F352="Aluminum Track", _xlfn.XLOOKUP(C352, dd_accsrycalc!$A$2:$A$51, dd_accsrycalc!$B$2:$B$51, "",0), F352="10 x 2 1/2 S (Flat)", _xlfn.XLOOKUP(C352, dd_accsrycalc!$A$2:$A$51, dd_accsrycalc!$C$2:$C$51, "",0), F352="Tox6", _xlfn.XLOOKUP(C352, dd_accsrycalc!$A$2:$A$51, dd_accsrycalc!$D$2:$D$51, "",0), F352="Cover Cap", _xlfn.XLOOKUP(C352, dd_accsrycalc!$A$2:$A$51, dd_accsrycalc!$E$2:$E$51, "",0), F352="Drainage Cover", _xlfn.XLOOKUP(C352, dd_accsrycalc!$A$2:$A$51, dd_accsrycalc!$F$2:$F$51, "",0),AND( F352="Double Adhesive Tape", I352="Roll-up Screen"), _xlfn.XLOOKUP(C352, calc_rusacc!$C$15:$C$65, calc_rusacc!$AD$15:$AD$65, "",0),AND( F352="Sealant", I352="Roll-up Screen"), _xlfn.XLOOKUP(C352, calc_rusacc!$C$15:$C$65, calc_rusacc!$AF$15:$AF$65, "",0),  AND( F352="Main Chain", I352="Accordion Screen"), _xlfn.XLOOKUP(C352, calc_rusacc!$C$15:$C$65, calc_rusacc!$BF$15:$BF$65, "",0), AND( F352="Sealant", I352="Accordion Screen"), _xlfn.XLOOKUP(C352, calc_rusacc!$C$15:$C$65, calc_rusacc!$BJ$15:$BJ$65, "",0),  F352="Sealant", _xlfn.XLOOKUP(C352, dd_accsrycalc!$A$2:$A$51, dd_accsrycalc!$G$2:$G$51, "",0),  F352&lt;&gt;"",L352*_xlfn.XLOOKUP(1, (SKUs!$C$2:$C$10001=G352)*(SKUs!$K$2:$K$10001=I352),SKUs!$E$2:$E$10001)), 0),"")</f>
        <v/>
      </c>
      <c r="E352" s="35" t="str">
        <f>_xlfn.XLOOKUP(F352,dd_item!$B$2:$B$105,dd_item!$C$2:$C$105,"",0)</f>
        <v/>
      </c>
      <c r="F352" s="35"/>
      <c r="G352" s="35" cm="1">
        <f t="array" ref="G352">IFERROR(_xlfn.XLOOKUP(1, (SKUs!$J$2:$J$10001=accsry_unmerged!F352)*IF(H352&lt;&gt;"",(SKUs!$L$2:$L$10001=accsry_unmerged!H352),1)*(SKUs!$K$2:$K$10001=I352),SKUs!$C$2:$C$10001),"")</f>
        <v>0</v>
      </c>
      <c r="H352" s="36" cm="1">
        <f t="array" ref="H352">IFERROR(_xlfn.XLOOKUP(1, (dd_accsryclr!$C$2:$C$1000=accsry_unmerged!F352)*(dd_accsryclr!$B$2:$B$1000=accsry_unmerged!J352),dd_accsryclr!$A$2:$A$1000),"")</f>
        <v>0</v>
      </c>
      <c r="I352" s="35">
        <f>_xlfn.XLOOKUP(C352,'Project Details'!$C$17:$C$66,'Project Details'!$E$17:$E$66,"",0)</f>
        <v>0</v>
      </c>
      <c r="J352" s="35">
        <f>_xlfn.XLOOKUP(C352,'Project Details'!$C$17:$C$66,'Project Details'!$H$17:$H$66,"",0)</f>
        <v>0</v>
      </c>
      <c r="K352" s="36" t="str">
        <f>IF(AND(_xlfn.XLOOKUP(C352,'Project Details'!$C$17:$C$66,'Project Details'!$L$17:$L$66,"",0)&gt;550, F352="Spring-L27cm"),"",SUBSTITUTE(_xlfn.XLOOKUP(G352,SKUs!$C$2:$C$10001,SKUs!$F$2:$F$10001,"",0), " Accessories",""))</f>
        <v/>
      </c>
      <c r="L352" s="36">
        <f>_xlfn.XLOOKUP(C352,'Project Details'!$C$17:$C$66,'Project Details'!$D$17:$D$66,"",0)</f>
        <v>0</v>
      </c>
      <c r="M352" s="43"/>
    </row>
    <row r="353" spans="1:13" ht="13.5" customHeight="1" outlineLevel="1" x14ac:dyDescent="0.25">
      <c r="A353" s="43"/>
      <c r="B353" s="43"/>
      <c r="C353" s="16">
        <f t="shared" si="5"/>
        <v>7</v>
      </c>
      <c r="D353" s="16" t="str" cm="1">
        <f t="array" ref="D353">IFERROR(ROUNDUP(_xlfn.IFS(F353="Aluminum Track", _xlfn.XLOOKUP(C353, dd_accsrycalc!$A$2:$A$51, dd_accsrycalc!$B$2:$B$51, "",0), F353="10 x 2 1/2 S (Flat)", _xlfn.XLOOKUP(C353, dd_accsrycalc!$A$2:$A$51, dd_accsrycalc!$C$2:$C$51, "",0), F353="Tox6", _xlfn.XLOOKUP(C353, dd_accsrycalc!$A$2:$A$51, dd_accsrycalc!$D$2:$D$51, "",0), F353="Cover Cap", _xlfn.XLOOKUP(C353, dd_accsrycalc!$A$2:$A$51, dd_accsrycalc!$E$2:$E$51, "",0), F353="Drainage Cover", _xlfn.XLOOKUP(C353, dd_accsrycalc!$A$2:$A$51, dd_accsrycalc!$F$2:$F$51, "",0),AND( F353="Double Adhesive Tape", I353="Roll-up Screen"), _xlfn.XLOOKUP(C353, calc_rusacc!$C$15:$C$65, calc_rusacc!$AD$15:$AD$65, "",0),AND( F353="Sealant", I353="Roll-up Screen"), _xlfn.XLOOKUP(C353, calc_rusacc!$C$15:$C$65, calc_rusacc!$AF$15:$AF$65, "",0),  AND( F353="Main Chain", I353="Accordion Screen"), _xlfn.XLOOKUP(C353, calc_rusacc!$C$15:$C$65, calc_rusacc!$BF$15:$BF$65, "",0), AND( F353="Sealant", I353="Accordion Screen"), _xlfn.XLOOKUP(C353, calc_rusacc!$C$15:$C$65, calc_rusacc!$BJ$15:$BJ$65, "",0),  F353="Sealant", _xlfn.XLOOKUP(C353, dd_accsrycalc!$A$2:$A$51, dd_accsrycalc!$G$2:$G$51, "",0),  F353&lt;&gt;"",L353*_xlfn.XLOOKUP(1, (SKUs!$C$2:$C$10001=G353)*(SKUs!$K$2:$K$10001=I353),SKUs!$E$2:$E$10001)), 0),"")</f>
        <v/>
      </c>
      <c r="E353" s="16" t="str">
        <f>_xlfn.XLOOKUP(F353,dd_item!$B$2:$B$105,dd_item!$C$2:$C$105,"",0)</f>
        <v/>
      </c>
      <c r="F353" s="16"/>
      <c r="G353" s="16" cm="1">
        <f t="array" ref="G353">IFERROR(_xlfn.XLOOKUP(1, (SKUs!$J$2:$J$10001=accsry_unmerged!F353)*IF(H353&lt;&gt;"",(SKUs!$L$2:$L$10001=accsry_unmerged!H353),1)*(SKUs!$K$2:$K$10001=I353),SKUs!$C$2:$C$10001),"")</f>
        <v>0</v>
      </c>
      <c r="H353" s="33" cm="1">
        <f t="array" ref="H353">IFERROR(_xlfn.XLOOKUP(1, (dd_accsryclr!$C$2:$C$1000=accsry_unmerged!F353)*(dd_accsryclr!$B$2:$B$1000=accsry_unmerged!J353),dd_accsryclr!$A$2:$A$1000),"")</f>
        <v>0</v>
      </c>
      <c r="I353" s="16">
        <f>_xlfn.XLOOKUP(C353,'Project Details'!$C$17:$C$66,'Project Details'!$E$17:$E$66,"",0)</f>
        <v>0</v>
      </c>
      <c r="J353" s="16">
        <f>_xlfn.XLOOKUP(C353,'Project Details'!$C$17:$C$66,'Project Details'!$H$17:$H$66,"",0)</f>
        <v>0</v>
      </c>
      <c r="K353" s="33" t="str">
        <f>IF(AND(_xlfn.XLOOKUP(C353,'Project Details'!$C$17:$C$66,'Project Details'!$L$17:$L$66,"",0)&gt;550, F353="Spring-L27cm"),"",SUBSTITUTE(_xlfn.XLOOKUP(G353,SKUs!$C$2:$C$10001,SKUs!$F$2:$F$10001,"",0), " Accessories",""))</f>
        <v/>
      </c>
      <c r="L353" s="33">
        <f>_xlfn.XLOOKUP(C353,'Project Details'!$C$17:$C$66,'Project Details'!$D$17:$D$66,"",0)</f>
        <v>0</v>
      </c>
      <c r="M353" s="43"/>
    </row>
    <row r="354" spans="1:13" ht="13.5" customHeight="1" outlineLevel="1" x14ac:dyDescent="0.25">
      <c r="A354" s="43"/>
      <c r="B354" s="43"/>
      <c r="C354" s="35">
        <f t="shared" si="5"/>
        <v>7</v>
      </c>
      <c r="D354" s="35" t="str" cm="1">
        <f t="array" ref="D354">IFERROR(ROUNDUP(_xlfn.IFS(F354="Aluminum Track", _xlfn.XLOOKUP(C354, dd_accsrycalc!$A$2:$A$51, dd_accsrycalc!$B$2:$B$51, "",0), F354="10 x 2 1/2 S (Flat)", _xlfn.XLOOKUP(C354, dd_accsrycalc!$A$2:$A$51, dd_accsrycalc!$C$2:$C$51, "",0), F354="Tox6", _xlfn.XLOOKUP(C354, dd_accsrycalc!$A$2:$A$51, dd_accsrycalc!$D$2:$D$51, "",0), F354="Cover Cap", _xlfn.XLOOKUP(C354, dd_accsrycalc!$A$2:$A$51, dd_accsrycalc!$E$2:$E$51, "",0), F354="Drainage Cover", _xlfn.XLOOKUP(C354, dd_accsrycalc!$A$2:$A$51, dd_accsrycalc!$F$2:$F$51, "",0),AND( F354="Double Adhesive Tape", I354="Roll-up Screen"), _xlfn.XLOOKUP(C354, calc_rusacc!$C$15:$C$65, calc_rusacc!$AD$15:$AD$65, "",0),AND( F354="Sealant", I354="Roll-up Screen"), _xlfn.XLOOKUP(C354, calc_rusacc!$C$15:$C$65, calc_rusacc!$AF$15:$AF$65, "",0),  AND( F354="Main Chain", I354="Accordion Screen"), _xlfn.XLOOKUP(C354, calc_rusacc!$C$15:$C$65, calc_rusacc!$BF$15:$BF$65, "",0), AND( F354="Sealant", I354="Accordion Screen"), _xlfn.XLOOKUP(C354, calc_rusacc!$C$15:$C$65, calc_rusacc!$BJ$15:$BJ$65, "",0),  F354="Sealant", _xlfn.XLOOKUP(C354, dd_accsrycalc!$A$2:$A$51, dd_accsrycalc!$G$2:$G$51, "",0),  F354&lt;&gt;"",L354*_xlfn.XLOOKUP(1, (SKUs!$C$2:$C$10001=G354)*(SKUs!$K$2:$K$10001=I354),SKUs!$E$2:$E$10001)), 0),"")</f>
        <v/>
      </c>
      <c r="E354" s="35" t="str">
        <f>_xlfn.XLOOKUP(F354,dd_item!$B$2:$B$105,dd_item!$C$2:$C$105,"",0)</f>
        <v/>
      </c>
      <c r="F354" s="35"/>
      <c r="G354" s="35" cm="1">
        <f t="array" ref="G354">IFERROR(_xlfn.XLOOKUP(1, (SKUs!$J$2:$J$10001=accsry_unmerged!F354)*IF(H354&lt;&gt;"",(SKUs!$L$2:$L$10001=accsry_unmerged!H354),1)*(SKUs!$K$2:$K$10001=I354),SKUs!$C$2:$C$10001),"")</f>
        <v>0</v>
      </c>
      <c r="H354" s="36" cm="1">
        <f t="array" ref="H354">IFERROR(_xlfn.XLOOKUP(1, (dd_accsryclr!$C$2:$C$1000=accsry_unmerged!F354)*(dd_accsryclr!$B$2:$B$1000=accsry_unmerged!J354),dd_accsryclr!$A$2:$A$1000),"")</f>
        <v>0</v>
      </c>
      <c r="I354" s="35">
        <f>_xlfn.XLOOKUP(C354,'Project Details'!$C$17:$C$66,'Project Details'!$E$17:$E$66,"",0)</f>
        <v>0</v>
      </c>
      <c r="J354" s="35">
        <f>_xlfn.XLOOKUP(C354,'Project Details'!$C$17:$C$66,'Project Details'!$H$17:$H$66,"",0)</f>
        <v>0</v>
      </c>
      <c r="K354" s="36" t="str">
        <f>IF(AND(_xlfn.XLOOKUP(C354,'Project Details'!$C$17:$C$66,'Project Details'!$L$17:$L$66,"",0)&gt;550, F354="Spring-L27cm"),"",SUBSTITUTE(_xlfn.XLOOKUP(G354,SKUs!$C$2:$C$10001,SKUs!$F$2:$F$10001,"",0), " Accessories",""))</f>
        <v/>
      </c>
      <c r="L354" s="36">
        <f>_xlfn.XLOOKUP(C354,'Project Details'!$C$17:$C$66,'Project Details'!$D$17:$D$66,"",0)</f>
        <v>0</v>
      </c>
      <c r="M354" s="43"/>
    </row>
    <row r="355" spans="1:13" ht="13.5" customHeight="1" outlineLevel="1" collapsed="1" x14ac:dyDescent="0.25">
      <c r="A355" s="43"/>
      <c r="B355" s="43"/>
      <c r="C355" s="16">
        <f t="shared" si="5"/>
        <v>7</v>
      </c>
      <c r="D355" s="16" t="str" cm="1">
        <f t="array" ref="D355">IFERROR(ROUNDUP(_xlfn.IFS(F355="Aluminum Track", _xlfn.XLOOKUP(C355, dd_accsrycalc!$A$2:$A$51, dd_accsrycalc!$B$2:$B$51, "",0), F355="10 x 2 1/2 S (Flat)", _xlfn.XLOOKUP(C355, dd_accsrycalc!$A$2:$A$51, dd_accsrycalc!$C$2:$C$51, "",0), F355="Tox6", _xlfn.XLOOKUP(C355, dd_accsrycalc!$A$2:$A$51, dd_accsrycalc!$D$2:$D$51, "",0), F355="Cover Cap", _xlfn.XLOOKUP(C355, dd_accsrycalc!$A$2:$A$51, dd_accsrycalc!$E$2:$E$51, "",0), F355="Drainage Cover", _xlfn.XLOOKUP(C355, dd_accsrycalc!$A$2:$A$51, dd_accsrycalc!$F$2:$F$51, "",0),AND( F355="Double Adhesive Tape", I355="Roll-up Screen"), _xlfn.XLOOKUP(C355, calc_rusacc!$C$15:$C$65, calc_rusacc!$AD$15:$AD$65, "",0),AND( F355="Sealant", I355="Roll-up Screen"), _xlfn.XLOOKUP(C355, calc_rusacc!$C$15:$C$65, calc_rusacc!$AF$15:$AF$65, "",0),  AND( F355="Main Chain", I355="Accordion Screen"), _xlfn.XLOOKUP(C355, calc_rusacc!$C$15:$C$65, calc_rusacc!$BF$15:$BF$65, "",0), AND( F355="Sealant", I355="Accordion Screen"), _xlfn.XLOOKUP(C355, calc_rusacc!$C$15:$C$65, calc_rusacc!$BJ$15:$BJ$65, "",0),  F355="Sealant", _xlfn.XLOOKUP(C355, dd_accsrycalc!$A$2:$A$51, dd_accsrycalc!$G$2:$G$51, "",0),  F355&lt;&gt;"",L355*_xlfn.XLOOKUP(1, (SKUs!$C$2:$C$10001=G355)*(SKUs!$K$2:$K$10001=I355),SKUs!$E$2:$E$10001)), 0),"")</f>
        <v/>
      </c>
      <c r="E355" s="16" t="str">
        <f>_xlfn.XLOOKUP(F355,dd_item!$B$2:$B$105,dd_item!$C$2:$C$105,"",0)</f>
        <v/>
      </c>
      <c r="F355" s="16"/>
      <c r="G355" s="16" cm="1">
        <f t="array" ref="G355">IFERROR(_xlfn.XLOOKUP(1, (SKUs!$J$2:$J$10001=accsry_unmerged!F355)*IF(H355&lt;&gt;"",(SKUs!$L$2:$L$10001=accsry_unmerged!H355),1)*(SKUs!$K$2:$K$10001=I355),SKUs!$C$2:$C$10001),"")</f>
        <v>0</v>
      </c>
      <c r="H355" s="33" cm="1">
        <f t="array" ref="H355">IFERROR(_xlfn.XLOOKUP(1, (dd_accsryclr!$C$2:$C$1000=accsry_unmerged!F355)*(dd_accsryclr!$B$2:$B$1000=accsry_unmerged!J355),dd_accsryclr!$A$2:$A$1000),"")</f>
        <v>0</v>
      </c>
      <c r="I355" s="16">
        <f>_xlfn.XLOOKUP(C355,'Project Details'!$C$17:$C$66,'Project Details'!$E$17:$E$66,"",0)</f>
        <v>0</v>
      </c>
      <c r="J355" s="16">
        <f>_xlfn.XLOOKUP(C355,'Project Details'!$C$17:$C$66,'Project Details'!$H$17:$H$66,"",0)</f>
        <v>0</v>
      </c>
      <c r="K355" s="33" t="str">
        <f>IF(AND(_xlfn.XLOOKUP(C355,'Project Details'!$C$17:$C$66,'Project Details'!$L$17:$L$66,"",0)&gt;550, F355="Spring-L27cm"),"",SUBSTITUTE(_xlfn.XLOOKUP(G355,SKUs!$C$2:$C$10001,SKUs!$F$2:$F$10001,"",0), " Accessories",""))</f>
        <v/>
      </c>
      <c r="L355" s="33">
        <f>_xlfn.XLOOKUP(C355,'Project Details'!$C$17:$C$66,'Project Details'!$D$17:$D$66,"",0)</f>
        <v>0</v>
      </c>
      <c r="M355" s="43"/>
    </row>
    <row r="356" spans="1:13" ht="13.5" customHeight="1" outlineLevel="1" x14ac:dyDescent="0.25">
      <c r="A356" s="43"/>
      <c r="B356" s="43"/>
      <c r="C356" s="35">
        <f t="shared" si="5"/>
        <v>7</v>
      </c>
      <c r="D356" s="35" t="str" cm="1">
        <f t="array" ref="D356">IFERROR(ROUNDUP(_xlfn.IFS(F356="Aluminum Track", _xlfn.XLOOKUP(C356, dd_accsrycalc!$A$2:$A$51, dd_accsrycalc!$B$2:$B$51, "",0), F356="10 x 2 1/2 S (Flat)", _xlfn.XLOOKUP(C356, dd_accsrycalc!$A$2:$A$51, dd_accsrycalc!$C$2:$C$51, "",0), F356="Tox6", _xlfn.XLOOKUP(C356, dd_accsrycalc!$A$2:$A$51, dd_accsrycalc!$D$2:$D$51, "",0), F356="Cover Cap", _xlfn.XLOOKUP(C356, dd_accsrycalc!$A$2:$A$51, dd_accsrycalc!$E$2:$E$51, "",0), F356="Drainage Cover", _xlfn.XLOOKUP(C356, dd_accsrycalc!$A$2:$A$51, dd_accsrycalc!$F$2:$F$51, "",0),AND( F356="Double Adhesive Tape", I356="Roll-up Screen"), _xlfn.XLOOKUP(C356, calc_rusacc!$C$15:$C$65, calc_rusacc!$AD$15:$AD$65, "",0),AND( F356="Sealant", I356="Roll-up Screen"), _xlfn.XLOOKUP(C356, calc_rusacc!$C$15:$C$65, calc_rusacc!$AF$15:$AF$65, "",0),  AND( F356="Main Chain", I356="Accordion Screen"), _xlfn.XLOOKUP(C356, calc_rusacc!$C$15:$C$65, calc_rusacc!$BF$15:$BF$65, "",0), AND( F356="Sealant", I356="Accordion Screen"), _xlfn.XLOOKUP(C356, calc_rusacc!$C$15:$C$65, calc_rusacc!$BJ$15:$BJ$65, "",0),  F356="Sealant", _xlfn.XLOOKUP(C356, dd_accsrycalc!$A$2:$A$51, dd_accsrycalc!$G$2:$G$51, "",0),  F356&lt;&gt;"",L356*_xlfn.XLOOKUP(1, (SKUs!$C$2:$C$10001=G356)*(SKUs!$K$2:$K$10001=I356),SKUs!$E$2:$E$10001)), 0),"")</f>
        <v/>
      </c>
      <c r="E356" s="35" t="str">
        <f>_xlfn.XLOOKUP(F356,dd_item!$B$2:$B$105,dd_item!$C$2:$C$105,"",0)</f>
        <v/>
      </c>
      <c r="F356" s="35"/>
      <c r="G356" s="35" cm="1">
        <f t="array" ref="G356">IFERROR(_xlfn.XLOOKUP(1, (SKUs!$J$2:$J$10001=accsry_unmerged!F356)*IF(H356&lt;&gt;"",(SKUs!$L$2:$L$10001=accsry_unmerged!H356),1)*(SKUs!$K$2:$K$10001=I356),SKUs!$C$2:$C$10001),"")</f>
        <v>0</v>
      </c>
      <c r="H356" s="36" cm="1">
        <f t="array" ref="H356">IFERROR(_xlfn.XLOOKUP(1, (dd_accsryclr!$C$2:$C$1000=accsry_unmerged!F356)*(dd_accsryclr!$B$2:$B$1000=accsry_unmerged!J356),dd_accsryclr!$A$2:$A$1000),"")</f>
        <v>0</v>
      </c>
      <c r="I356" s="35">
        <f>_xlfn.XLOOKUP(C356,'Project Details'!$C$17:$C$66,'Project Details'!$E$17:$E$66,"",0)</f>
        <v>0</v>
      </c>
      <c r="J356" s="35">
        <f>_xlfn.XLOOKUP(C356,'Project Details'!$C$17:$C$66,'Project Details'!$H$17:$H$66,"",0)</f>
        <v>0</v>
      </c>
      <c r="K356" s="36" t="str">
        <f>IF(AND(_xlfn.XLOOKUP(C356,'Project Details'!$C$17:$C$66,'Project Details'!$L$17:$L$66,"",0)&gt;550, F356="Spring-L27cm"),"",SUBSTITUTE(_xlfn.XLOOKUP(G356,SKUs!$C$2:$C$10001,SKUs!$F$2:$F$10001,"",0), " Accessories",""))</f>
        <v/>
      </c>
      <c r="L356" s="36">
        <f>_xlfn.XLOOKUP(C356,'Project Details'!$C$17:$C$66,'Project Details'!$D$17:$D$66,"",0)</f>
        <v>0</v>
      </c>
      <c r="M356" s="43"/>
    </row>
    <row r="357" spans="1:13" ht="13.5" customHeight="1" outlineLevel="1" x14ac:dyDescent="0.25">
      <c r="A357" s="43"/>
      <c r="B357" s="43"/>
      <c r="C357" s="16">
        <f t="shared" si="5"/>
        <v>7</v>
      </c>
      <c r="D357" s="16" t="str" cm="1">
        <f t="array" ref="D357">IFERROR(ROUNDUP(_xlfn.IFS(F357="Aluminum Track", _xlfn.XLOOKUP(C357, dd_accsrycalc!$A$2:$A$51, dd_accsrycalc!$B$2:$B$51, "",0), F357="10 x 2 1/2 S (Flat)", _xlfn.XLOOKUP(C357, dd_accsrycalc!$A$2:$A$51, dd_accsrycalc!$C$2:$C$51, "",0), F357="Tox6", _xlfn.XLOOKUP(C357, dd_accsrycalc!$A$2:$A$51, dd_accsrycalc!$D$2:$D$51, "",0), F357="Cover Cap", _xlfn.XLOOKUP(C357, dd_accsrycalc!$A$2:$A$51, dd_accsrycalc!$E$2:$E$51, "",0), F357="Drainage Cover", _xlfn.XLOOKUP(C357, dd_accsrycalc!$A$2:$A$51, dd_accsrycalc!$F$2:$F$51, "",0),AND( F357="Double Adhesive Tape", I357="Roll-up Screen"), _xlfn.XLOOKUP(C357, calc_rusacc!$C$15:$C$65, calc_rusacc!$AD$15:$AD$65, "",0),AND( F357="Sealant", I357="Roll-up Screen"), _xlfn.XLOOKUP(C357, calc_rusacc!$C$15:$C$65, calc_rusacc!$AF$15:$AF$65, "",0),  AND( F357="Main Chain", I357="Accordion Screen"), _xlfn.XLOOKUP(C357, calc_rusacc!$C$15:$C$65, calc_rusacc!$BF$15:$BF$65, "",0), AND( F357="Sealant", I357="Accordion Screen"), _xlfn.XLOOKUP(C357, calc_rusacc!$C$15:$C$65, calc_rusacc!$BJ$15:$BJ$65, "",0),  F357="Sealant", _xlfn.XLOOKUP(C357, dd_accsrycalc!$A$2:$A$51, dd_accsrycalc!$G$2:$G$51, "",0),  F357&lt;&gt;"",L357*_xlfn.XLOOKUP(1, (SKUs!$C$2:$C$10001=G357)*(SKUs!$K$2:$K$10001=I357),SKUs!$E$2:$E$10001)), 0),"")</f>
        <v/>
      </c>
      <c r="E357" s="16" t="str">
        <f>_xlfn.XLOOKUP(F357,dd_item!$B$2:$B$105,dd_item!$C$2:$C$105,"",0)</f>
        <v/>
      </c>
      <c r="F357" s="16"/>
      <c r="G357" s="16" cm="1">
        <f t="array" ref="G357">IFERROR(_xlfn.XLOOKUP(1, (SKUs!$J$2:$J$10001=accsry_unmerged!F357)*IF(H357&lt;&gt;"",(SKUs!$L$2:$L$10001=accsry_unmerged!H357),1)*(SKUs!$K$2:$K$10001=I357),SKUs!$C$2:$C$10001),"")</f>
        <v>0</v>
      </c>
      <c r="H357" s="33" cm="1">
        <f t="array" ref="H357">IFERROR(_xlfn.XLOOKUP(1, (dd_accsryclr!$C$2:$C$1000=accsry_unmerged!F357)*(dd_accsryclr!$B$2:$B$1000=accsry_unmerged!J357),dd_accsryclr!$A$2:$A$1000),"")</f>
        <v>0</v>
      </c>
      <c r="I357" s="16">
        <f>_xlfn.XLOOKUP(C357,'Project Details'!$C$17:$C$66,'Project Details'!$E$17:$E$66,"",0)</f>
        <v>0</v>
      </c>
      <c r="J357" s="16">
        <f>_xlfn.XLOOKUP(C357,'Project Details'!$C$17:$C$66,'Project Details'!$H$17:$H$66,"",0)</f>
        <v>0</v>
      </c>
      <c r="K357" s="33" t="str">
        <f>IF(AND(_xlfn.XLOOKUP(C357,'Project Details'!$C$17:$C$66,'Project Details'!$L$17:$L$66,"",0)&gt;550, F357="Spring-L27cm"),"",SUBSTITUTE(_xlfn.XLOOKUP(G357,SKUs!$C$2:$C$10001,SKUs!$F$2:$F$10001,"",0), " Accessories",""))</f>
        <v/>
      </c>
      <c r="L357" s="33">
        <f>_xlfn.XLOOKUP(C357,'Project Details'!$C$17:$C$66,'Project Details'!$D$17:$D$66,"",0)</f>
        <v>0</v>
      </c>
      <c r="M357" s="43"/>
    </row>
    <row r="358" spans="1:13" ht="13.5" customHeight="1" outlineLevel="1" x14ac:dyDescent="0.25">
      <c r="A358" s="43"/>
      <c r="B358" s="43"/>
      <c r="C358" s="35">
        <f t="shared" si="5"/>
        <v>7</v>
      </c>
      <c r="D358" s="35" t="str" cm="1">
        <f t="array" ref="D358">IFERROR(ROUNDUP(_xlfn.IFS(F358="Aluminum Track", _xlfn.XLOOKUP(C358, dd_accsrycalc!$A$2:$A$51, dd_accsrycalc!$B$2:$B$51, "",0), F358="10 x 2 1/2 S (Flat)", _xlfn.XLOOKUP(C358, dd_accsrycalc!$A$2:$A$51, dd_accsrycalc!$C$2:$C$51, "",0), F358="Tox6", _xlfn.XLOOKUP(C358, dd_accsrycalc!$A$2:$A$51, dd_accsrycalc!$D$2:$D$51, "",0), F358="Cover Cap", _xlfn.XLOOKUP(C358, dd_accsrycalc!$A$2:$A$51, dd_accsrycalc!$E$2:$E$51, "",0), F358="Drainage Cover", _xlfn.XLOOKUP(C358, dd_accsrycalc!$A$2:$A$51, dd_accsrycalc!$F$2:$F$51, "",0),AND( F358="Double Adhesive Tape", I358="Roll-up Screen"), _xlfn.XLOOKUP(C358, calc_rusacc!$C$15:$C$65, calc_rusacc!$AD$15:$AD$65, "",0),AND( F358="Sealant", I358="Roll-up Screen"), _xlfn.XLOOKUP(C358, calc_rusacc!$C$15:$C$65, calc_rusacc!$AF$15:$AF$65, "",0),  AND( F358="Main Chain", I358="Accordion Screen"), _xlfn.XLOOKUP(C358, calc_rusacc!$C$15:$C$65, calc_rusacc!$BF$15:$BF$65, "",0), AND( F358="Sealant", I358="Accordion Screen"), _xlfn.XLOOKUP(C358, calc_rusacc!$C$15:$C$65, calc_rusacc!$BJ$15:$BJ$65, "",0),  F358="Sealant", _xlfn.XLOOKUP(C358, dd_accsrycalc!$A$2:$A$51, dd_accsrycalc!$G$2:$G$51, "",0),  F358&lt;&gt;"",L358*_xlfn.XLOOKUP(1, (SKUs!$C$2:$C$10001=G358)*(SKUs!$K$2:$K$10001=I358),SKUs!$E$2:$E$10001)), 0),"")</f>
        <v/>
      </c>
      <c r="E358" s="35" t="str">
        <f>_xlfn.XLOOKUP(F358,dd_item!$B$2:$B$105,dd_item!$C$2:$C$105,"",0)</f>
        <v/>
      </c>
      <c r="F358" s="35"/>
      <c r="G358" s="35" cm="1">
        <f t="array" ref="G358">IFERROR(_xlfn.XLOOKUP(1, (SKUs!$J$2:$J$10001=accsry_unmerged!F358)*IF(H358&lt;&gt;"",(SKUs!$L$2:$L$10001=accsry_unmerged!H358),1)*(SKUs!$K$2:$K$10001=I358),SKUs!$C$2:$C$10001),"")</f>
        <v>0</v>
      </c>
      <c r="H358" s="36" cm="1">
        <f t="array" ref="H358">IFERROR(_xlfn.XLOOKUP(1, (dd_accsryclr!$C$2:$C$1000=accsry_unmerged!F358)*(dd_accsryclr!$B$2:$B$1000=accsry_unmerged!J358),dd_accsryclr!$A$2:$A$1000),"")</f>
        <v>0</v>
      </c>
      <c r="I358" s="35">
        <f>_xlfn.XLOOKUP(C358,'Project Details'!$C$17:$C$66,'Project Details'!$E$17:$E$66,"",0)</f>
        <v>0</v>
      </c>
      <c r="J358" s="35">
        <f>_xlfn.XLOOKUP(C358,'Project Details'!$C$17:$C$66,'Project Details'!$H$17:$H$66,"",0)</f>
        <v>0</v>
      </c>
      <c r="K358" s="36" t="str">
        <f>IF(AND(_xlfn.XLOOKUP(C358,'Project Details'!$C$17:$C$66,'Project Details'!$L$17:$L$66,"",0)&gt;550, F358="Spring-L27cm"),"",SUBSTITUTE(_xlfn.XLOOKUP(G358,SKUs!$C$2:$C$10001,SKUs!$F$2:$F$10001,"",0), " Accessories",""))</f>
        <v/>
      </c>
      <c r="L358" s="36">
        <f>_xlfn.XLOOKUP(C358,'Project Details'!$C$17:$C$66,'Project Details'!$D$17:$D$66,"",0)</f>
        <v>0</v>
      </c>
      <c r="M358" s="43"/>
    </row>
    <row r="359" spans="1:13" ht="13.5" customHeight="1" outlineLevel="1" x14ac:dyDescent="0.25">
      <c r="A359" s="43"/>
      <c r="B359" s="43"/>
      <c r="C359" s="16">
        <f t="shared" si="5"/>
        <v>7</v>
      </c>
      <c r="D359" s="16" t="str" cm="1">
        <f t="array" ref="D359">IFERROR(ROUNDUP(_xlfn.IFS(F359="Aluminum Track", _xlfn.XLOOKUP(C359, dd_accsrycalc!$A$2:$A$51, dd_accsrycalc!$B$2:$B$51, "",0), F359="10 x 2 1/2 S (Flat)", _xlfn.XLOOKUP(C359, dd_accsrycalc!$A$2:$A$51, dd_accsrycalc!$C$2:$C$51, "",0), F359="Tox6", _xlfn.XLOOKUP(C359, dd_accsrycalc!$A$2:$A$51, dd_accsrycalc!$D$2:$D$51, "",0), F359="Cover Cap", _xlfn.XLOOKUP(C359, dd_accsrycalc!$A$2:$A$51, dd_accsrycalc!$E$2:$E$51, "",0), F359="Drainage Cover", _xlfn.XLOOKUP(C359, dd_accsrycalc!$A$2:$A$51, dd_accsrycalc!$F$2:$F$51, "",0),AND( F359="Double Adhesive Tape", I359="Roll-up Screen"), _xlfn.XLOOKUP(C359, calc_rusacc!$C$15:$C$65, calc_rusacc!$AD$15:$AD$65, "",0),AND( F359="Sealant", I359="Roll-up Screen"), _xlfn.XLOOKUP(C359, calc_rusacc!$C$15:$C$65, calc_rusacc!$AF$15:$AF$65, "",0),  AND( F359="Main Chain", I359="Accordion Screen"), _xlfn.XLOOKUP(C359, calc_rusacc!$C$15:$C$65, calc_rusacc!$BF$15:$BF$65, "",0), AND( F359="Sealant", I359="Accordion Screen"), _xlfn.XLOOKUP(C359, calc_rusacc!$C$15:$C$65, calc_rusacc!$BJ$15:$BJ$65, "",0),  F359="Sealant", _xlfn.XLOOKUP(C359, dd_accsrycalc!$A$2:$A$51, dd_accsrycalc!$G$2:$G$51, "",0),  F359&lt;&gt;"",L359*_xlfn.XLOOKUP(1, (SKUs!$C$2:$C$10001=G359)*(SKUs!$K$2:$K$10001=I359),SKUs!$E$2:$E$10001)), 0),"")</f>
        <v/>
      </c>
      <c r="E359" s="16" t="str">
        <f>_xlfn.XLOOKUP(F359,dd_item!$B$2:$B$105,dd_item!$C$2:$C$105,"",0)</f>
        <v/>
      </c>
      <c r="F359" s="16"/>
      <c r="G359" s="16" cm="1">
        <f t="array" ref="G359">IFERROR(_xlfn.XLOOKUP(1, (SKUs!$J$2:$J$10001=accsry_unmerged!F359)*IF(H359&lt;&gt;"",(SKUs!$L$2:$L$10001=accsry_unmerged!H359),1)*(SKUs!$K$2:$K$10001=I359),SKUs!$C$2:$C$10001),"")</f>
        <v>0</v>
      </c>
      <c r="H359" s="33" cm="1">
        <f t="array" ref="H359">IFERROR(_xlfn.XLOOKUP(1, (dd_accsryclr!$C$2:$C$1000=accsry_unmerged!F359)*(dd_accsryclr!$B$2:$B$1000=accsry_unmerged!J359),dd_accsryclr!$A$2:$A$1000),"")</f>
        <v>0</v>
      </c>
      <c r="I359" s="16">
        <f>_xlfn.XLOOKUP(C359,'Project Details'!$C$17:$C$66,'Project Details'!$E$17:$E$66,"",0)</f>
        <v>0</v>
      </c>
      <c r="J359" s="16">
        <f>_xlfn.XLOOKUP(C359,'Project Details'!$C$17:$C$66,'Project Details'!$H$17:$H$66,"",0)</f>
        <v>0</v>
      </c>
      <c r="K359" s="33" t="str">
        <f>IF(AND(_xlfn.XLOOKUP(C359,'Project Details'!$C$17:$C$66,'Project Details'!$L$17:$L$66,"",0)&gt;550, F359="Spring-L27cm"),"",SUBSTITUTE(_xlfn.XLOOKUP(G359,SKUs!$C$2:$C$10001,SKUs!$F$2:$F$10001,"",0), " Accessories",""))</f>
        <v/>
      </c>
      <c r="L359" s="33">
        <f>_xlfn.XLOOKUP(C359,'Project Details'!$C$17:$C$66,'Project Details'!$D$17:$D$66,"",0)</f>
        <v>0</v>
      </c>
      <c r="M359" s="43"/>
    </row>
    <row r="360" spans="1:13" ht="13.5" customHeight="1" outlineLevel="1" x14ac:dyDescent="0.25">
      <c r="A360" s="43"/>
      <c r="B360" s="43"/>
      <c r="C360" s="35">
        <f t="shared" si="5"/>
        <v>7</v>
      </c>
      <c r="D360" s="35" t="str" cm="1">
        <f t="array" ref="D360">IFERROR(ROUNDUP(_xlfn.IFS(F360="Aluminum Track", _xlfn.XLOOKUP(C360, dd_accsrycalc!$A$2:$A$51, dd_accsrycalc!$B$2:$B$51, "",0), F360="10 x 2 1/2 S (Flat)", _xlfn.XLOOKUP(C360, dd_accsrycalc!$A$2:$A$51, dd_accsrycalc!$C$2:$C$51, "",0), F360="Tox6", _xlfn.XLOOKUP(C360, dd_accsrycalc!$A$2:$A$51, dd_accsrycalc!$D$2:$D$51, "",0), F360="Cover Cap", _xlfn.XLOOKUP(C360, dd_accsrycalc!$A$2:$A$51, dd_accsrycalc!$E$2:$E$51, "",0), F360="Drainage Cover", _xlfn.XLOOKUP(C360, dd_accsrycalc!$A$2:$A$51, dd_accsrycalc!$F$2:$F$51, "",0),AND( F360="Double Adhesive Tape", I360="Roll-up Screen"), _xlfn.XLOOKUP(C360, calc_rusacc!$C$15:$C$65, calc_rusacc!$AD$15:$AD$65, "",0),AND( F360="Sealant", I360="Roll-up Screen"), _xlfn.XLOOKUP(C360, calc_rusacc!$C$15:$C$65, calc_rusacc!$AF$15:$AF$65, "",0),  AND( F360="Main Chain", I360="Accordion Screen"), _xlfn.XLOOKUP(C360, calc_rusacc!$C$15:$C$65, calc_rusacc!$BF$15:$BF$65, "",0), AND( F360="Sealant", I360="Accordion Screen"), _xlfn.XLOOKUP(C360, calc_rusacc!$C$15:$C$65, calc_rusacc!$BJ$15:$BJ$65, "",0),  F360="Sealant", _xlfn.XLOOKUP(C360, dd_accsrycalc!$A$2:$A$51, dd_accsrycalc!$G$2:$G$51, "",0),  F360&lt;&gt;"",L360*_xlfn.XLOOKUP(1, (SKUs!$C$2:$C$10001=G360)*(SKUs!$K$2:$K$10001=I360),SKUs!$E$2:$E$10001)), 0),"")</f>
        <v/>
      </c>
      <c r="E360" s="35" t="str">
        <f>_xlfn.XLOOKUP(F360,dd_item!$B$2:$B$105,dd_item!$C$2:$C$105,"",0)</f>
        <v/>
      </c>
      <c r="F360" s="35"/>
      <c r="G360" s="35" cm="1">
        <f t="array" ref="G360">IFERROR(_xlfn.XLOOKUP(1, (SKUs!$J$2:$J$10001=accsry_unmerged!F360)*IF(H360&lt;&gt;"",(SKUs!$L$2:$L$10001=accsry_unmerged!H360),1)*(SKUs!$K$2:$K$10001=I360),SKUs!$C$2:$C$10001),"")</f>
        <v>0</v>
      </c>
      <c r="H360" s="36" cm="1">
        <f t="array" ref="H360">IFERROR(_xlfn.XLOOKUP(1, (dd_accsryclr!$C$2:$C$1000=accsry_unmerged!F360)*(dd_accsryclr!$B$2:$B$1000=accsry_unmerged!J360),dd_accsryclr!$A$2:$A$1000),"")</f>
        <v>0</v>
      </c>
      <c r="I360" s="35">
        <f>_xlfn.XLOOKUP(C360,'Project Details'!$C$17:$C$66,'Project Details'!$E$17:$E$66,"",0)</f>
        <v>0</v>
      </c>
      <c r="J360" s="35">
        <f>_xlfn.XLOOKUP(C360,'Project Details'!$C$17:$C$66,'Project Details'!$H$17:$H$66,"",0)</f>
        <v>0</v>
      </c>
      <c r="K360" s="36" t="str">
        <f>IF(AND(_xlfn.XLOOKUP(C360,'Project Details'!$C$17:$C$66,'Project Details'!$L$17:$L$66,"",0)&gt;550, F360="Spring-L27cm"),"",SUBSTITUTE(_xlfn.XLOOKUP(G360,SKUs!$C$2:$C$10001,SKUs!$F$2:$F$10001,"",0), " Accessories",""))</f>
        <v/>
      </c>
      <c r="L360" s="36">
        <f>_xlfn.XLOOKUP(C360,'Project Details'!$C$17:$C$66,'Project Details'!$D$17:$D$66,"",0)</f>
        <v>0</v>
      </c>
      <c r="M360" s="43"/>
    </row>
    <row r="361" spans="1:13" ht="13.5" customHeight="1" outlineLevel="1" x14ac:dyDescent="0.25">
      <c r="A361" s="43"/>
      <c r="B361" s="43"/>
      <c r="C361" s="16">
        <f t="shared" si="5"/>
        <v>7</v>
      </c>
      <c r="D361" s="16" t="str" cm="1">
        <f t="array" ref="D361">IFERROR(ROUNDUP(_xlfn.IFS(F361="Aluminum Track", _xlfn.XLOOKUP(C361, dd_accsrycalc!$A$2:$A$51, dd_accsrycalc!$B$2:$B$51, "",0), F361="10 x 2 1/2 S (Flat)", _xlfn.XLOOKUP(C361, dd_accsrycalc!$A$2:$A$51, dd_accsrycalc!$C$2:$C$51, "",0), F361="Tox6", _xlfn.XLOOKUP(C361, dd_accsrycalc!$A$2:$A$51, dd_accsrycalc!$D$2:$D$51, "",0), F361="Cover Cap", _xlfn.XLOOKUP(C361, dd_accsrycalc!$A$2:$A$51, dd_accsrycalc!$E$2:$E$51, "",0), F361="Drainage Cover", _xlfn.XLOOKUP(C361, dd_accsrycalc!$A$2:$A$51, dd_accsrycalc!$F$2:$F$51, "",0),AND( F361="Double Adhesive Tape", I361="Roll-up Screen"), _xlfn.XLOOKUP(C361, calc_rusacc!$C$15:$C$65, calc_rusacc!$AD$15:$AD$65, "",0),AND( F361="Sealant", I361="Roll-up Screen"), _xlfn.XLOOKUP(C361, calc_rusacc!$C$15:$C$65, calc_rusacc!$AF$15:$AF$65, "",0),  AND( F361="Main Chain", I361="Accordion Screen"), _xlfn.XLOOKUP(C361, calc_rusacc!$C$15:$C$65, calc_rusacc!$BF$15:$BF$65, "",0), AND( F361="Sealant", I361="Accordion Screen"), _xlfn.XLOOKUP(C361, calc_rusacc!$C$15:$C$65, calc_rusacc!$BJ$15:$BJ$65, "",0),  F361="Sealant", _xlfn.XLOOKUP(C361, dd_accsrycalc!$A$2:$A$51, dd_accsrycalc!$G$2:$G$51, "",0),  F361&lt;&gt;"",L361*_xlfn.XLOOKUP(1, (SKUs!$C$2:$C$10001=G361)*(SKUs!$K$2:$K$10001=I361),SKUs!$E$2:$E$10001)), 0),"")</f>
        <v/>
      </c>
      <c r="E361" s="16" t="str">
        <f>_xlfn.XLOOKUP(F361,dd_item!$B$2:$B$105,dd_item!$C$2:$C$105,"",0)</f>
        <v/>
      </c>
      <c r="F361" s="16"/>
      <c r="G361" s="16" cm="1">
        <f t="array" ref="G361">IFERROR(_xlfn.XLOOKUP(1, (SKUs!$J$2:$J$10001=accsry_unmerged!F361)*IF(H361&lt;&gt;"",(SKUs!$L$2:$L$10001=accsry_unmerged!H361),1)*(SKUs!$K$2:$K$10001=I361),SKUs!$C$2:$C$10001),"")</f>
        <v>0</v>
      </c>
      <c r="H361" s="33" cm="1">
        <f t="array" ref="H361">IFERROR(_xlfn.XLOOKUP(1, (dd_accsryclr!$C$2:$C$1000=accsry_unmerged!F361)*(dd_accsryclr!$B$2:$B$1000=accsry_unmerged!J361),dd_accsryclr!$A$2:$A$1000),"")</f>
        <v>0</v>
      </c>
      <c r="I361" s="16">
        <f>_xlfn.XLOOKUP(C361,'Project Details'!$C$17:$C$66,'Project Details'!$E$17:$E$66,"",0)</f>
        <v>0</v>
      </c>
      <c r="J361" s="16">
        <f>_xlfn.XLOOKUP(C361,'Project Details'!$C$17:$C$66,'Project Details'!$H$17:$H$66,"",0)</f>
        <v>0</v>
      </c>
      <c r="K361" s="33" t="str">
        <f>IF(AND(_xlfn.XLOOKUP(C361,'Project Details'!$C$17:$C$66,'Project Details'!$L$17:$L$66,"",0)&gt;550, F361="Spring-L27cm"),"",SUBSTITUTE(_xlfn.XLOOKUP(G361,SKUs!$C$2:$C$10001,SKUs!$F$2:$F$10001,"",0), " Accessories",""))</f>
        <v/>
      </c>
      <c r="L361" s="33">
        <f>_xlfn.XLOOKUP(C361,'Project Details'!$C$17:$C$66,'Project Details'!$D$17:$D$66,"",0)</f>
        <v>0</v>
      </c>
      <c r="M361" s="43"/>
    </row>
    <row r="362" spans="1:13" ht="13.5" customHeight="1" outlineLevel="1" x14ac:dyDescent="0.25">
      <c r="A362" s="43"/>
      <c r="B362" s="43"/>
      <c r="C362" s="35">
        <f t="shared" si="5"/>
        <v>7</v>
      </c>
      <c r="D362" s="35" t="str" cm="1">
        <f t="array" ref="D362">IFERROR(ROUNDUP(_xlfn.IFS(F362="Aluminum Track", _xlfn.XLOOKUP(C362, dd_accsrycalc!$A$2:$A$51, dd_accsrycalc!$B$2:$B$51, "",0), F362="10 x 2 1/2 S (Flat)", _xlfn.XLOOKUP(C362, dd_accsrycalc!$A$2:$A$51, dd_accsrycalc!$C$2:$C$51, "",0), F362="Tox6", _xlfn.XLOOKUP(C362, dd_accsrycalc!$A$2:$A$51, dd_accsrycalc!$D$2:$D$51, "",0), F362="Cover Cap", _xlfn.XLOOKUP(C362, dd_accsrycalc!$A$2:$A$51, dd_accsrycalc!$E$2:$E$51, "",0), F362="Drainage Cover", _xlfn.XLOOKUP(C362, dd_accsrycalc!$A$2:$A$51, dd_accsrycalc!$F$2:$F$51, "",0),AND( F362="Double Adhesive Tape", I362="Roll-up Screen"), _xlfn.XLOOKUP(C362, calc_rusacc!$C$15:$C$65, calc_rusacc!$AD$15:$AD$65, "",0),AND( F362="Sealant", I362="Roll-up Screen"), _xlfn.XLOOKUP(C362, calc_rusacc!$C$15:$C$65, calc_rusacc!$AF$15:$AF$65, "",0),  AND( F362="Main Chain", I362="Accordion Screen"), _xlfn.XLOOKUP(C362, calc_rusacc!$C$15:$C$65, calc_rusacc!$BF$15:$BF$65, "",0), AND( F362="Sealant", I362="Accordion Screen"), _xlfn.XLOOKUP(C362, calc_rusacc!$C$15:$C$65, calc_rusacc!$BJ$15:$BJ$65, "",0),  F362="Sealant", _xlfn.XLOOKUP(C362, dd_accsrycalc!$A$2:$A$51, dd_accsrycalc!$G$2:$G$51, "",0),  F362&lt;&gt;"",L362*_xlfn.XLOOKUP(1, (SKUs!$C$2:$C$10001=G362)*(SKUs!$K$2:$K$10001=I362),SKUs!$E$2:$E$10001)), 0),"")</f>
        <v/>
      </c>
      <c r="E362" s="35" t="str">
        <f>_xlfn.XLOOKUP(F362,dd_item!$B$2:$B$105,dd_item!$C$2:$C$105,"",0)</f>
        <v/>
      </c>
      <c r="F362" s="35"/>
      <c r="G362" s="35" cm="1">
        <f t="array" ref="G362">IFERROR(_xlfn.XLOOKUP(1, (SKUs!$J$2:$J$10001=accsry_unmerged!F362)*IF(H362&lt;&gt;"",(SKUs!$L$2:$L$10001=accsry_unmerged!H362),1)*(SKUs!$K$2:$K$10001=I362),SKUs!$C$2:$C$10001),"")</f>
        <v>0</v>
      </c>
      <c r="H362" s="36" cm="1">
        <f t="array" ref="H362">IFERROR(_xlfn.XLOOKUP(1, (dd_accsryclr!$C$2:$C$1000=accsry_unmerged!F362)*(dd_accsryclr!$B$2:$B$1000=accsry_unmerged!J362),dd_accsryclr!$A$2:$A$1000),"")</f>
        <v>0</v>
      </c>
      <c r="I362" s="35">
        <f>_xlfn.XLOOKUP(C362,'Project Details'!$C$17:$C$66,'Project Details'!$E$17:$E$66,"",0)</f>
        <v>0</v>
      </c>
      <c r="J362" s="35">
        <f>_xlfn.XLOOKUP(C362,'Project Details'!$C$17:$C$66,'Project Details'!$H$17:$H$66,"",0)</f>
        <v>0</v>
      </c>
      <c r="K362" s="36" t="str">
        <f>IF(AND(_xlfn.XLOOKUP(C362,'Project Details'!$C$17:$C$66,'Project Details'!$L$17:$L$66,"",0)&gt;550, F362="Spring-L27cm"),"",SUBSTITUTE(_xlfn.XLOOKUP(G362,SKUs!$C$2:$C$10001,SKUs!$F$2:$F$10001,"",0), " Accessories",""))</f>
        <v/>
      </c>
      <c r="L362" s="36">
        <f>_xlfn.XLOOKUP(C362,'Project Details'!$C$17:$C$66,'Project Details'!$D$17:$D$66,"",0)</f>
        <v>0</v>
      </c>
      <c r="M362" s="43"/>
    </row>
    <row r="363" spans="1:13" ht="13.5" customHeight="1" outlineLevel="1" x14ac:dyDescent="0.25">
      <c r="A363" s="43"/>
      <c r="B363" s="43"/>
      <c r="C363" s="16">
        <f t="shared" si="5"/>
        <v>7</v>
      </c>
      <c r="D363" s="16" t="str" cm="1">
        <f t="array" ref="D363">IFERROR(ROUNDUP(_xlfn.IFS(F363="Aluminum Track", _xlfn.XLOOKUP(C363, dd_accsrycalc!$A$2:$A$51, dd_accsrycalc!$B$2:$B$51, "",0), F363="10 x 2 1/2 S (Flat)", _xlfn.XLOOKUP(C363, dd_accsrycalc!$A$2:$A$51, dd_accsrycalc!$C$2:$C$51, "",0), F363="Tox6", _xlfn.XLOOKUP(C363, dd_accsrycalc!$A$2:$A$51, dd_accsrycalc!$D$2:$D$51, "",0), F363="Cover Cap", _xlfn.XLOOKUP(C363, dd_accsrycalc!$A$2:$A$51, dd_accsrycalc!$E$2:$E$51, "",0), F363="Drainage Cover", _xlfn.XLOOKUP(C363, dd_accsrycalc!$A$2:$A$51, dd_accsrycalc!$F$2:$F$51, "",0),AND( F363="Double Adhesive Tape", I363="Roll-up Screen"), _xlfn.XLOOKUP(C363, calc_rusacc!$C$15:$C$65, calc_rusacc!$AD$15:$AD$65, "",0),AND( F363="Sealant", I363="Roll-up Screen"), _xlfn.XLOOKUP(C363, calc_rusacc!$C$15:$C$65, calc_rusacc!$AF$15:$AF$65, "",0),  AND( F363="Main Chain", I363="Accordion Screen"), _xlfn.XLOOKUP(C363, calc_rusacc!$C$15:$C$65, calc_rusacc!$BF$15:$BF$65, "",0), AND( F363="Sealant", I363="Accordion Screen"), _xlfn.XLOOKUP(C363, calc_rusacc!$C$15:$C$65, calc_rusacc!$BJ$15:$BJ$65, "",0),  F363="Sealant", _xlfn.XLOOKUP(C363, dd_accsrycalc!$A$2:$A$51, dd_accsrycalc!$G$2:$G$51, "",0),  F363&lt;&gt;"",L363*_xlfn.XLOOKUP(1, (SKUs!$C$2:$C$10001=G363)*(SKUs!$K$2:$K$10001=I363),SKUs!$E$2:$E$10001)), 0),"")</f>
        <v/>
      </c>
      <c r="E363" s="16" t="str">
        <f>_xlfn.XLOOKUP(F363,dd_item!$B$2:$B$105,dd_item!$C$2:$C$105,"",0)</f>
        <v/>
      </c>
      <c r="F363" s="16"/>
      <c r="G363" s="16" cm="1">
        <f t="array" ref="G363">IFERROR(_xlfn.XLOOKUP(1, (SKUs!$J$2:$J$10001=accsry_unmerged!F363)*IF(H363&lt;&gt;"",(SKUs!$L$2:$L$10001=accsry_unmerged!H363),1)*(SKUs!$K$2:$K$10001=I363),SKUs!$C$2:$C$10001),"")</f>
        <v>0</v>
      </c>
      <c r="H363" s="33" cm="1">
        <f t="array" ref="H363">IFERROR(_xlfn.XLOOKUP(1, (dd_accsryclr!$C$2:$C$1000=accsry_unmerged!F363)*(dd_accsryclr!$B$2:$B$1000=accsry_unmerged!J363),dd_accsryclr!$A$2:$A$1000),"")</f>
        <v>0</v>
      </c>
      <c r="I363" s="16">
        <f>_xlfn.XLOOKUP(C363,'Project Details'!$C$17:$C$66,'Project Details'!$E$17:$E$66,"",0)</f>
        <v>0</v>
      </c>
      <c r="J363" s="16">
        <f>_xlfn.XLOOKUP(C363,'Project Details'!$C$17:$C$66,'Project Details'!$H$17:$H$66,"",0)</f>
        <v>0</v>
      </c>
      <c r="K363" s="33" t="str">
        <f>IF(AND(_xlfn.XLOOKUP(C363,'Project Details'!$C$17:$C$66,'Project Details'!$L$17:$L$66,"",0)&gt;550, F363="Spring-L27cm"),"",SUBSTITUTE(_xlfn.XLOOKUP(G363,SKUs!$C$2:$C$10001,SKUs!$F$2:$F$10001,"",0), " Accessories",""))</f>
        <v/>
      </c>
      <c r="L363" s="33">
        <f>_xlfn.XLOOKUP(C363,'Project Details'!$C$17:$C$66,'Project Details'!$D$17:$D$66,"",0)</f>
        <v>0</v>
      </c>
      <c r="M363" s="43"/>
    </row>
    <row r="364" spans="1:13" x14ac:dyDescent="0.25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</row>
    <row r="365" spans="1:13" x14ac:dyDescent="0.25">
      <c r="A365" s="43"/>
      <c r="B365" s="43"/>
      <c r="C365" s="16">
        <f>C363+1</f>
        <v>8</v>
      </c>
      <c r="D365" s="48" cm="1">
        <f t="array" ref="D365">IFERROR(ROUNDUP(_xlfn.IFS(F365="Aluminum Track", _xlfn.XLOOKUP(C365, dd_accsrycalc!$A$2:$A$51, dd_accsrycalc!$B$2:$B$51, "",0), F365="10 x 2 1/2 S (Flat)", _xlfn.XLOOKUP(C365, dd_accsrycalc!$A$2:$A$51, dd_accsrycalc!$C$2:$C$51, "",0), F365="Tox6", _xlfn.XLOOKUP(C365, dd_accsrycalc!$A$2:$A$51, dd_accsrycalc!$D$2:$D$51, "",0), F365="Cover Cap", _xlfn.XLOOKUP(C365, dd_accsrycalc!$A$2:$A$51, dd_accsrycalc!$E$2:$E$51, "",0), F365="Drainage Cover", _xlfn.XLOOKUP(C365, dd_accsrycalc!$A$2:$A$51, dd_accsrycalc!$F$2:$F$51, "",0),AND( F365="Double Adhesive Tape", I365="Roll-up Screen"), _xlfn.XLOOKUP(C365, calc_rusacc!$C$15:$C$65, calc_rusacc!$AD$15:$AD$65, "",0),AND( F365="Sealant", I365="Roll-up Screen"), _xlfn.XLOOKUP(C365, calc_rusacc!$C$15:$C$65, calc_rusacc!$AF$15:$AF$65, "",0),  AND( F365="Main Chain", I365="Accordion Screen"), _xlfn.XLOOKUP(C365, calc_rusacc!$C$15:$C$65, calc_rusacc!$BF$15:$BF$65, "",0), AND( F365="Sealant", I365="Accordion Screen"), _xlfn.XLOOKUP(C365, calc_rusacc!$C$15:$C$65, calc_rusacc!$BJ$15:$BJ$65, "",0),  F365="Sealant", _xlfn.XLOOKUP(C365, dd_accsrycalc!$A$2:$A$51, dd_accsrycalc!$G$2:$G$51, "",0),  F365&lt;&gt;"",L365*_xlfn.XLOOKUP(1, (SKUs!$C$2:$C$10001=G365)*(SKUs!$K$2:$K$10001=I365),SKUs!$E$2:$E$10001)), 0),"")</f>
        <v>0</v>
      </c>
      <c r="E365" s="48" t="str">
        <f>_xlfn.XLOOKUP(F365,dd_item!$B$2:$B$105,dd_item!$C$2:$C$105,"",0)</f>
        <v/>
      </c>
      <c r="F365" s="48" cm="1">
        <f t="array" ref="F365">IFERROR(_xlfn.UNIQUE(_xlfn._xlws.FILTER(SKUs!$J$2:$J$10001, (SKUs!$F$2:$F$10001&lt;&gt;"Cutting List") * (SKUs!$A$2:$A$10001=_xlfn.XLOOKUP(_xlfn.XLOOKUP(C365,'Project Details'!$C$17:$C$66,'Project Details'!$E$17:$E$66,"",0), dd_design_raw!$A$2:$A$101,dd_design_raw!$C$2:$C$101,"",0)))), "")</f>
        <v>0</v>
      </c>
      <c r="G365" s="16" cm="1">
        <f t="array" ref="G365">IFERROR(_xlfn.XLOOKUP(1, (SKUs!$J$2:$J$10001=accsry_unmerged!F365)*IF(H365&lt;&gt;"",(SKUs!$L$2:$L$10001=accsry_unmerged!H365),1)*(SKUs!$K$2:$K$10001=I365),SKUs!$C$2:$C$10001),"")</f>
        <v>0</v>
      </c>
      <c r="H365" s="16" cm="1">
        <f t="array" ref="H365">IFERROR(_xlfn.XLOOKUP(1, (dd_accsryclr!$C$2:$C$1000=accsry_unmerged!F365)*(dd_accsryclr!$B$2:$B$1000=accsry_unmerged!J365),dd_accsryclr!$A$2:$A$1000),"")</f>
        <v>0</v>
      </c>
      <c r="I365" s="16">
        <f>_xlfn.XLOOKUP(C365,'Project Details'!$C$17:$C$66,'Project Details'!$E$17:$E$66,"",0)</f>
        <v>0</v>
      </c>
      <c r="J365" s="16">
        <f>_xlfn.XLOOKUP(C365,'Project Details'!$C$17:$C$66,'Project Details'!$H$17:$H$66,"",0)</f>
        <v>0</v>
      </c>
      <c r="K365" s="16" t="str">
        <f>IF(AND(_xlfn.XLOOKUP(C365,'Project Details'!$C$17:$C$66,'Project Details'!$L$17:$L$66,"",0)&gt;550, F365="Spring-L27cm"),"",SUBSTITUTE(_xlfn.XLOOKUP(G365,SKUs!$C$2:$C$10001,SKUs!$F$2:$F$10001,"",0), " Accessories",""))</f>
        <v/>
      </c>
      <c r="L365" s="16">
        <f>_xlfn.XLOOKUP(C365,'Project Details'!$C$17:$C$66,'Project Details'!$D$17:$D$66,"",0)</f>
        <v>0</v>
      </c>
      <c r="M365" s="43"/>
    </row>
    <row r="366" spans="1:13" x14ac:dyDescent="0.25">
      <c r="A366" s="43"/>
      <c r="B366" s="43"/>
      <c r="C366" s="35">
        <f>C365</f>
        <v>8</v>
      </c>
      <c r="D366" s="35" t="str" cm="1">
        <f t="array" ref="D366">IFERROR(ROUNDUP(_xlfn.IFS(F366="Aluminum Track", _xlfn.XLOOKUP(C366, dd_accsrycalc!$A$2:$A$51, dd_accsrycalc!$B$2:$B$51, "",0), F366="10 x 2 1/2 S (Flat)", _xlfn.XLOOKUP(C366, dd_accsrycalc!$A$2:$A$51, dd_accsrycalc!$C$2:$C$51, "",0), F366="Tox6", _xlfn.XLOOKUP(C366, dd_accsrycalc!$A$2:$A$51, dd_accsrycalc!$D$2:$D$51, "",0), F366="Cover Cap", _xlfn.XLOOKUP(C366, dd_accsrycalc!$A$2:$A$51, dd_accsrycalc!$E$2:$E$51, "",0), F366="Drainage Cover", _xlfn.XLOOKUP(C366, dd_accsrycalc!$A$2:$A$51, dd_accsrycalc!$F$2:$F$51, "",0),AND( F366="Double Adhesive Tape", I366="Roll-up Screen"), _xlfn.XLOOKUP(C366, calc_rusacc!$C$15:$C$65, calc_rusacc!$AD$15:$AD$65, "",0),AND( F366="Sealant", I366="Roll-up Screen"), _xlfn.XLOOKUP(C366, calc_rusacc!$C$15:$C$65, calc_rusacc!$AF$15:$AF$65, "",0),  AND( F366="Main Chain", I366="Accordion Screen"), _xlfn.XLOOKUP(C366, calc_rusacc!$C$15:$C$65, calc_rusacc!$BF$15:$BF$65, "",0), AND( F366="Sealant", I366="Accordion Screen"), _xlfn.XLOOKUP(C366, calc_rusacc!$C$15:$C$65, calc_rusacc!$BJ$15:$BJ$65, "",0),  F366="Sealant", _xlfn.XLOOKUP(C366, dd_accsrycalc!$A$2:$A$51, dd_accsrycalc!$G$2:$G$51, "",0),  F366&lt;&gt;"",L366*_xlfn.XLOOKUP(1, (SKUs!$C$2:$C$10001=G366)*(SKUs!$K$2:$K$10001=I366),SKUs!$E$2:$E$10001)), 0),"")</f>
        <v/>
      </c>
      <c r="E366" s="35" t="str">
        <f>_xlfn.XLOOKUP(F366,dd_item!$B$2:$B$105,dd_item!$C$2:$C$105,"",0)</f>
        <v/>
      </c>
      <c r="F366" s="35"/>
      <c r="G366" s="35" cm="1">
        <f t="array" ref="G366">IFERROR(_xlfn.XLOOKUP(1, (SKUs!$J$2:$J$10001=accsry_unmerged!F366)*IF(H366&lt;&gt;"",(SKUs!$L$2:$L$10001=accsry_unmerged!H366),1)*(SKUs!$K$2:$K$10001=I366),SKUs!$C$2:$C$10001),"")</f>
        <v>0</v>
      </c>
      <c r="H366" s="36" cm="1">
        <f t="array" ref="H366">IFERROR(_xlfn.XLOOKUP(1, (dd_accsryclr!$C$2:$C$1000=accsry_unmerged!F366)*(dd_accsryclr!$B$2:$B$1000=accsry_unmerged!J366),dd_accsryclr!$A$2:$A$1000),"")</f>
        <v>0</v>
      </c>
      <c r="I366" s="35">
        <f>_xlfn.XLOOKUP(C366,'Project Details'!$C$17:$C$66,'Project Details'!$E$17:$E$66,"",0)</f>
        <v>0</v>
      </c>
      <c r="J366" s="35">
        <f>_xlfn.XLOOKUP(C366,'Project Details'!$C$17:$C$66,'Project Details'!$H$17:$H$66,"",0)</f>
        <v>0</v>
      </c>
      <c r="K366" s="36" t="str">
        <f>IF(AND(_xlfn.XLOOKUP(C366,'Project Details'!$C$17:$C$66,'Project Details'!$L$17:$L$66,"",0)&gt;550, F366="Spring-L27cm"),"",SUBSTITUTE(_xlfn.XLOOKUP(G366,SKUs!$C$2:$C$10001,SKUs!$F$2:$F$10001,"",0), " Accessories",""))</f>
        <v/>
      </c>
      <c r="L366" s="36">
        <f>_xlfn.XLOOKUP(C366,'Project Details'!$C$17:$C$66,'Project Details'!$D$17:$D$66,"",0)</f>
        <v>0</v>
      </c>
      <c r="M366" s="43"/>
    </row>
    <row r="367" spans="1:13" x14ac:dyDescent="0.25">
      <c r="A367" s="43"/>
      <c r="B367" s="43"/>
      <c r="C367" s="16">
        <f t="shared" ref="C367:C413" si="6">C366</f>
        <v>8</v>
      </c>
      <c r="D367" s="16" t="str" cm="1">
        <f t="array" ref="D367">IFERROR(ROUNDUP(_xlfn.IFS(F367="Aluminum Track", _xlfn.XLOOKUP(C367, dd_accsrycalc!$A$2:$A$51, dd_accsrycalc!$B$2:$B$51, "",0), F367="10 x 2 1/2 S (Flat)", _xlfn.XLOOKUP(C367, dd_accsrycalc!$A$2:$A$51, dd_accsrycalc!$C$2:$C$51, "",0), F367="Tox6", _xlfn.XLOOKUP(C367, dd_accsrycalc!$A$2:$A$51, dd_accsrycalc!$D$2:$D$51, "",0), F367="Cover Cap", _xlfn.XLOOKUP(C367, dd_accsrycalc!$A$2:$A$51, dd_accsrycalc!$E$2:$E$51, "",0), F367="Drainage Cover", _xlfn.XLOOKUP(C367, dd_accsrycalc!$A$2:$A$51, dd_accsrycalc!$F$2:$F$51, "",0),AND( F367="Double Adhesive Tape", I367="Roll-up Screen"), _xlfn.XLOOKUP(C367, calc_rusacc!$C$15:$C$65, calc_rusacc!$AD$15:$AD$65, "",0),AND( F367="Sealant", I367="Roll-up Screen"), _xlfn.XLOOKUP(C367, calc_rusacc!$C$15:$C$65, calc_rusacc!$AF$15:$AF$65, "",0),  AND( F367="Main Chain", I367="Accordion Screen"), _xlfn.XLOOKUP(C367, calc_rusacc!$C$15:$C$65, calc_rusacc!$BF$15:$BF$65, "",0), AND( F367="Sealant", I367="Accordion Screen"), _xlfn.XLOOKUP(C367, calc_rusacc!$C$15:$C$65, calc_rusacc!$BJ$15:$BJ$65, "",0),  F367="Sealant", _xlfn.XLOOKUP(C367, dd_accsrycalc!$A$2:$A$51, dd_accsrycalc!$G$2:$G$51, "",0),  F367&lt;&gt;"",L367*_xlfn.XLOOKUP(1, (SKUs!$C$2:$C$10001=G367)*(SKUs!$K$2:$K$10001=I367),SKUs!$E$2:$E$10001)), 0),"")</f>
        <v/>
      </c>
      <c r="E367" s="16" t="str">
        <f>_xlfn.XLOOKUP(F367,dd_item!$B$2:$B$105,dd_item!$C$2:$C$105,"",0)</f>
        <v/>
      </c>
      <c r="F367" s="16"/>
      <c r="G367" s="16" cm="1">
        <f t="array" ref="G367">IFERROR(_xlfn.XLOOKUP(1, (SKUs!$J$2:$J$10001=accsry_unmerged!F367)*IF(H367&lt;&gt;"",(SKUs!$L$2:$L$10001=accsry_unmerged!H367),1)*(SKUs!$K$2:$K$10001=I367),SKUs!$C$2:$C$10001),"")</f>
        <v>0</v>
      </c>
      <c r="H367" s="33" cm="1">
        <f t="array" ref="H367">IFERROR(_xlfn.XLOOKUP(1, (dd_accsryclr!$C$2:$C$1000=accsry_unmerged!F367)*(dd_accsryclr!$B$2:$B$1000=accsry_unmerged!J367),dd_accsryclr!$A$2:$A$1000),"")</f>
        <v>0</v>
      </c>
      <c r="I367" s="16">
        <f>_xlfn.XLOOKUP(C367,'Project Details'!$C$17:$C$66,'Project Details'!$E$17:$E$66,"",0)</f>
        <v>0</v>
      </c>
      <c r="J367" s="16">
        <f>_xlfn.XLOOKUP(C367,'Project Details'!$C$17:$C$66,'Project Details'!$H$17:$H$66,"",0)</f>
        <v>0</v>
      </c>
      <c r="K367" s="33" t="str">
        <f>IF(AND(_xlfn.XLOOKUP(C367,'Project Details'!$C$17:$C$66,'Project Details'!$L$17:$L$66,"",0)&gt;550, F367="Spring-L27cm"),"",SUBSTITUTE(_xlfn.XLOOKUP(G367,SKUs!$C$2:$C$10001,SKUs!$F$2:$F$10001,"",0), " Accessories",""))</f>
        <v/>
      </c>
      <c r="L367" s="33">
        <f>_xlfn.XLOOKUP(C367,'Project Details'!$C$17:$C$66,'Project Details'!$D$17:$D$66,"",0)</f>
        <v>0</v>
      </c>
      <c r="M367" s="43"/>
    </row>
    <row r="368" spans="1:13" x14ac:dyDescent="0.25">
      <c r="A368" s="43"/>
      <c r="B368" s="43"/>
      <c r="C368" s="35">
        <f t="shared" si="6"/>
        <v>8</v>
      </c>
      <c r="D368" s="35" t="str" cm="1">
        <f t="array" ref="D368">IFERROR(ROUNDUP(_xlfn.IFS(F368="Aluminum Track", _xlfn.XLOOKUP(C368, dd_accsrycalc!$A$2:$A$51, dd_accsrycalc!$B$2:$B$51, "",0), F368="10 x 2 1/2 S (Flat)", _xlfn.XLOOKUP(C368, dd_accsrycalc!$A$2:$A$51, dd_accsrycalc!$C$2:$C$51, "",0), F368="Tox6", _xlfn.XLOOKUP(C368, dd_accsrycalc!$A$2:$A$51, dd_accsrycalc!$D$2:$D$51, "",0), F368="Cover Cap", _xlfn.XLOOKUP(C368, dd_accsrycalc!$A$2:$A$51, dd_accsrycalc!$E$2:$E$51, "",0), F368="Drainage Cover", _xlfn.XLOOKUP(C368, dd_accsrycalc!$A$2:$A$51, dd_accsrycalc!$F$2:$F$51, "",0),AND( F368="Double Adhesive Tape", I368="Roll-up Screen"), _xlfn.XLOOKUP(C368, calc_rusacc!$C$15:$C$65, calc_rusacc!$AD$15:$AD$65, "",0),AND( F368="Sealant", I368="Roll-up Screen"), _xlfn.XLOOKUP(C368, calc_rusacc!$C$15:$C$65, calc_rusacc!$AF$15:$AF$65, "",0),  AND( F368="Main Chain", I368="Accordion Screen"), _xlfn.XLOOKUP(C368, calc_rusacc!$C$15:$C$65, calc_rusacc!$BF$15:$BF$65, "",0), AND( F368="Sealant", I368="Accordion Screen"), _xlfn.XLOOKUP(C368, calc_rusacc!$C$15:$C$65, calc_rusacc!$BJ$15:$BJ$65, "",0),  F368="Sealant", _xlfn.XLOOKUP(C368, dd_accsrycalc!$A$2:$A$51, dd_accsrycalc!$G$2:$G$51, "",0),  F368&lt;&gt;"",L368*_xlfn.XLOOKUP(1, (SKUs!$C$2:$C$10001=G368)*(SKUs!$K$2:$K$10001=I368),SKUs!$E$2:$E$10001)), 0),"")</f>
        <v/>
      </c>
      <c r="E368" s="35" t="str">
        <f>_xlfn.XLOOKUP(F368,dd_item!$B$2:$B$105,dd_item!$C$2:$C$105,"",0)</f>
        <v/>
      </c>
      <c r="F368" s="35"/>
      <c r="G368" s="35" cm="1">
        <f t="array" ref="G368">IFERROR(_xlfn.XLOOKUP(1, (SKUs!$J$2:$J$10001=accsry_unmerged!F368)*IF(H368&lt;&gt;"",(SKUs!$L$2:$L$10001=accsry_unmerged!H368),1)*(SKUs!$K$2:$K$10001=I368),SKUs!$C$2:$C$10001),"")</f>
        <v>0</v>
      </c>
      <c r="H368" s="36" cm="1">
        <f t="array" ref="H368">IFERROR(_xlfn.XLOOKUP(1, (dd_accsryclr!$C$2:$C$1000=accsry_unmerged!F368)*(dd_accsryclr!$B$2:$B$1000=accsry_unmerged!J368),dd_accsryclr!$A$2:$A$1000),"")</f>
        <v>0</v>
      </c>
      <c r="I368" s="35">
        <f>_xlfn.XLOOKUP(C368,'Project Details'!$C$17:$C$66,'Project Details'!$E$17:$E$66,"",0)</f>
        <v>0</v>
      </c>
      <c r="J368" s="35">
        <f>_xlfn.XLOOKUP(C368,'Project Details'!$C$17:$C$66,'Project Details'!$H$17:$H$66,"",0)</f>
        <v>0</v>
      </c>
      <c r="K368" s="36" t="str">
        <f>IF(AND(_xlfn.XLOOKUP(C368,'Project Details'!$C$17:$C$66,'Project Details'!$L$17:$L$66,"",0)&gt;550, F368="Spring-L27cm"),"",SUBSTITUTE(_xlfn.XLOOKUP(G368,SKUs!$C$2:$C$10001,SKUs!$F$2:$F$10001,"",0), " Accessories",""))</f>
        <v/>
      </c>
      <c r="L368" s="36">
        <f>_xlfn.XLOOKUP(C368,'Project Details'!$C$17:$C$66,'Project Details'!$D$17:$D$66,"",0)</f>
        <v>0</v>
      </c>
      <c r="M368" s="43"/>
    </row>
    <row r="369" spans="1:13" x14ac:dyDescent="0.25">
      <c r="A369" s="43"/>
      <c r="B369" s="43"/>
      <c r="C369" s="16">
        <f t="shared" si="6"/>
        <v>8</v>
      </c>
      <c r="D369" s="16" t="str" cm="1">
        <f t="array" ref="D369">IFERROR(ROUNDUP(_xlfn.IFS(F369="Aluminum Track", _xlfn.XLOOKUP(C369, dd_accsrycalc!$A$2:$A$51, dd_accsrycalc!$B$2:$B$51, "",0), F369="10 x 2 1/2 S (Flat)", _xlfn.XLOOKUP(C369, dd_accsrycalc!$A$2:$A$51, dd_accsrycalc!$C$2:$C$51, "",0), F369="Tox6", _xlfn.XLOOKUP(C369, dd_accsrycalc!$A$2:$A$51, dd_accsrycalc!$D$2:$D$51, "",0), F369="Cover Cap", _xlfn.XLOOKUP(C369, dd_accsrycalc!$A$2:$A$51, dd_accsrycalc!$E$2:$E$51, "",0), F369="Drainage Cover", _xlfn.XLOOKUP(C369, dd_accsrycalc!$A$2:$A$51, dd_accsrycalc!$F$2:$F$51, "",0),AND( F369="Double Adhesive Tape", I369="Roll-up Screen"), _xlfn.XLOOKUP(C369, calc_rusacc!$C$15:$C$65, calc_rusacc!$AD$15:$AD$65, "",0),AND( F369="Sealant", I369="Roll-up Screen"), _xlfn.XLOOKUP(C369, calc_rusacc!$C$15:$C$65, calc_rusacc!$AF$15:$AF$65, "",0),  AND( F369="Main Chain", I369="Accordion Screen"), _xlfn.XLOOKUP(C369, calc_rusacc!$C$15:$C$65, calc_rusacc!$BF$15:$BF$65, "",0), AND( F369="Sealant", I369="Accordion Screen"), _xlfn.XLOOKUP(C369, calc_rusacc!$C$15:$C$65, calc_rusacc!$BJ$15:$BJ$65, "",0),  F369="Sealant", _xlfn.XLOOKUP(C369, dd_accsrycalc!$A$2:$A$51, dd_accsrycalc!$G$2:$G$51, "",0),  F369&lt;&gt;"",L369*_xlfn.XLOOKUP(1, (SKUs!$C$2:$C$10001=G369)*(SKUs!$K$2:$K$10001=I369),SKUs!$E$2:$E$10001)), 0),"")</f>
        <v/>
      </c>
      <c r="E369" s="16" t="str">
        <f>_xlfn.XLOOKUP(F369,dd_item!$B$2:$B$105,dd_item!$C$2:$C$105,"",0)</f>
        <v/>
      </c>
      <c r="F369" s="16"/>
      <c r="G369" s="16" cm="1">
        <f t="array" ref="G369">IFERROR(_xlfn.XLOOKUP(1, (SKUs!$J$2:$J$10001=accsry_unmerged!F369)*IF(H369&lt;&gt;"",(SKUs!$L$2:$L$10001=accsry_unmerged!H369),1)*(SKUs!$K$2:$K$10001=I369),SKUs!$C$2:$C$10001),"")</f>
        <v>0</v>
      </c>
      <c r="H369" s="33" cm="1">
        <f t="array" ref="H369">IFERROR(_xlfn.XLOOKUP(1, (dd_accsryclr!$C$2:$C$1000=accsry_unmerged!F369)*(dd_accsryclr!$B$2:$B$1000=accsry_unmerged!J369),dd_accsryclr!$A$2:$A$1000),"")</f>
        <v>0</v>
      </c>
      <c r="I369" s="16">
        <f>_xlfn.XLOOKUP(C369,'Project Details'!$C$17:$C$66,'Project Details'!$E$17:$E$66,"",0)</f>
        <v>0</v>
      </c>
      <c r="J369" s="16">
        <f>_xlfn.XLOOKUP(C369,'Project Details'!$C$17:$C$66,'Project Details'!$H$17:$H$66,"",0)</f>
        <v>0</v>
      </c>
      <c r="K369" s="33" t="str">
        <f>IF(AND(_xlfn.XLOOKUP(C369,'Project Details'!$C$17:$C$66,'Project Details'!$L$17:$L$66,"",0)&gt;550, F369="Spring-L27cm"),"",SUBSTITUTE(_xlfn.XLOOKUP(G369,SKUs!$C$2:$C$10001,SKUs!$F$2:$F$10001,"",0), " Accessories",""))</f>
        <v/>
      </c>
      <c r="L369" s="33">
        <f>_xlfn.XLOOKUP(C369,'Project Details'!$C$17:$C$66,'Project Details'!$D$17:$D$66,"",0)</f>
        <v>0</v>
      </c>
      <c r="M369" s="43"/>
    </row>
    <row r="370" spans="1:13" x14ac:dyDescent="0.25">
      <c r="A370" s="43"/>
      <c r="B370" s="43"/>
      <c r="C370" s="35">
        <f t="shared" si="6"/>
        <v>8</v>
      </c>
      <c r="D370" s="35" t="str" cm="1">
        <f t="array" ref="D370">IFERROR(ROUNDUP(_xlfn.IFS(F370="Aluminum Track", _xlfn.XLOOKUP(C370, dd_accsrycalc!$A$2:$A$51, dd_accsrycalc!$B$2:$B$51, "",0), F370="10 x 2 1/2 S (Flat)", _xlfn.XLOOKUP(C370, dd_accsrycalc!$A$2:$A$51, dd_accsrycalc!$C$2:$C$51, "",0), F370="Tox6", _xlfn.XLOOKUP(C370, dd_accsrycalc!$A$2:$A$51, dd_accsrycalc!$D$2:$D$51, "",0), F370="Cover Cap", _xlfn.XLOOKUP(C370, dd_accsrycalc!$A$2:$A$51, dd_accsrycalc!$E$2:$E$51, "",0), F370="Drainage Cover", _xlfn.XLOOKUP(C370, dd_accsrycalc!$A$2:$A$51, dd_accsrycalc!$F$2:$F$51, "",0),AND( F370="Double Adhesive Tape", I370="Roll-up Screen"), _xlfn.XLOOKUP(C370, calc_rusacc!$C$15:$C$65, calc_rusacc!$AD$15:$AD$65, "",0),AND( F370="Sealant", I370="Roll-up Screen"), _xlfn.XLOOKUP(C370, calc_rusacc!$C$15:$C$65, calc_rusacc!$AF$15:$AF$65, "",0),  AND( F370="Main Chain", I370="Accordion Screen"), _xlfn.XLOOKUP(C370, calc_rusacc!$C$15:$C$65, calc_rusacc!$BF$15:$BF$65, "",0), AND( F370="Sealant", I370="Accordion Screen"), _xlfn.XLOOKUP(C370, calc_rusacc!$C$15:$C$65, calc_rusacc!$BJ$15:$BJ$65, "",0),  F370="Sealant", _xlfn.XLOOKUP(C370, dd_accsrycalc!$A$2:$A$51, dd_accsrycalc!$G$2:$G$51, "",0),  F370&lt;&gt;"",L370*_xlfn.XLOOKUP(1, (SKUs!$C$2:$C$10001=G370)*(SKUs!$K$2:$K$10001=I370),SKUs!$E$2:$E$10001)), 0),"")</f>
        <v/>
      </c>
      <c r="E370" s="35" t="str">
        <f>_xlfn.XLOOKUP(F370,dd_item!$B$2:$B$105,dd_item!$C$2:$C$105,"",0)</f>
        <v/>
      </c>
      <c r="F370" s="35"/>
      <c r="G370" s="35" cm="1">
        <f t="array" ref="G370">IFERROR(_xlfn.XLOOKUP(1, (SKUs!$J$2:$J$10001=accsry_unmerged!F370)*IF(H370&lt;&gt;"",(SKUs!$L$2:$L$10001=accsry_unmerged!H370),1)*(SKUs!$K$2:$K$10001=I370),SKUs!$C$2:$C$10001),"")</f>
        <v>0</v>
      </c>
      <c r="H370" s="36" cm="1">
        <f t="array" ref="H370">IFERROR(_xlfn.XLOOKUP(1, (dd_accsryclr!$C$2:$C$1000=accsry_unmerged!F370)*(dd_accsryclr!$B$2:$B$1000=accsry_unmerged!J370),dd_accsryclr!$A$2:$A$1000),"")</f>
        <v>0</v>
      </c>
      <c r="I370" s="35">
        <f>_xlfn.XLOOKUP(C370,'Project Details'!$C$17:$C$66,'Project Details'!$E$17:$E$66,"",0)</f>
        <v>0</v>
      </c>
      <c r="J370" s="35">
        <f>_xlfn.XLOOKUP(C370,'Project Details'!$C$17:$C$66,'Project Details'!$H$17:$H$66,"",0)</f>
        <v>0</v>
      </c>
      <c r="K370" s="36" t="str">
        <f>IF(AND(_xlfn.XLOOKUP(C370,'Project Details'!$C$17:$C$66,'Project Details'!$L$17:$L$66,"",0)&gt;550, F370="Spring-L27cm"),"",SUBSTITUTE(_xlfn.XLOOKUP(G370,SKUs!$C$2:$C$10001,SKUs!$F$2:$F$10001,"",0), " Accessories",""))</f>
        <v/>
      </c>
      <c r="L370" s="36">
        <f>_xlfn.XLOOKUP(C370,'Project Details'!$C$17:$C$66,'Project Details'!$D$17:$D$66,"",0)</f>
        <v>0</v>
      </c>
      <c r="M370" s="43"/>
    </row>
    <row r="371" spans="1:13" x14ac:dyDescent="0.25">
      <c r="A371" s="43"/>
      <c r="B371" s="43"/>
      <c r="C371" s="16">
        <f t="shared" si="6"/>
        <v>8</v>
      </c>
      <c r="D371" s="16" t="str" cm="1">
        <f t="array" ref="D371">IFERROR(ROUNDUP(_xlfn.IFS(F371="Aluminum Track", _xlfn.XLOOKUP(C371, dd_accsrycalc!$A$2:$A$51, dd_accsrycalc!$B$2:$B$51, "",0), F371="10 x 2 1/2 S (Flat)", _xlfn.XLOOKUP(C371, dd_accsrycalc!$A$2:$A$51, dd_accsrycalc!$C$2:$C$51, "",0), F371="Tox6", _xlfn.XLOOKUP(C371, dd_accsrycalc!$A$2:$A$51, dd_accsrycalc!$D$2:$D$51, "",0), F371="Cover Cap", _xlfn.XLOOKUP(C371, dd_accsrycalc!$A$2:$A$51, dd_accsrycalc!$E$2:$E$51, "",0), F371="Drainage Cover", _xlfn.XLOOKUP(C371, dd_accsrycalc!$A$2:$A$51, dd_accsrycalc!$F$2:$F$51, "",0),AND( F371="Double Adhesive Tape", I371="Roll-up Screen"), _xlfn.XLOOKUP(C371, calc_rusacc!$C$15:$C$65, calc_rusacc!$AD$15:$AD$65, "",0),AND( F371="Sealant", I371="Roll-up Screen"), _xlfn.XLOOKUP(C371, calc_rusacc!$C$15:$C$65, calc_rusacc!$AF$15:$AF$65, "",0),  AND( F371="Main Chain", I371="Accordion Screen"), _xlfn.XLOOKUP(C371, calc_rusacc!$C$15:$C$65, calc_rusacc!$BF$15:$BF$65, "",0), AND( F371="Sealant", I371="Accordion Screen"), _xlfn.XLOOKUP(C371, calc_rusacc!$C$15:$C$65, calc_rusacc!$BJ$15:$BJ$65, "",0),  F371="Sealant", _xlfn.XLOOKUP(C371, dd_accsrycalc!$A$2:$A$51, dd_accsrycalc!$G$2:$G$51, "",0),  F371&lt;&gt;"",L371*_xlfn.XLOOKUP(1, (SKUs!$C$2:$C$10001=G371)*(SKUs!$K$2:$K$10001=I371),SKUs!$E$2:$E$10001)), 0),"")</f>
        <v/>
      </c>
      <c r="E371" s="16" t="str">
        <f>_xlfn.XLOOKUP(F371,dd_item!$B$2:$B$105,dd_item!$C$2:$C$105,"",0)</f>
        <v/>
      </c>
      <c r="F371" s="16"/>
      <c r="G371" s="16" cm="1">
        <f t="array" ref="G371">IFERROR(_xlfn.XLOOKUP(1, (SKUs!$J$2:$J$10001=accsry_unmerged!F371)*IF(H371&lt;&gt;"",(SKUs!$L$2:$L$10001=accsry_unmerged!H371),1)*(SKUs!$K$2:$K$10001=I371),SKUs!$C$2:$C$10001),"")</f>
        <v>0</v>
      </c>
      <c r="H371" s="33" cm="1">
        <f t="array" ref="H371">IFERROR(_xlfn.XLOOKUP(1, (dd_accsryclr!$C$2:$C$1000=accsry_unmerged!F371)*(dd_accsryclr!$B$2:$B$1000=accsry_unmerged!J371),dd_accsryclr!$A$2:$A$1000),"")</f>
        <v>0</v>
      </c>
      <c r="I371" s="16">
        <f>_xlfn.XLOOKUP(C371,'Project Details'!$C$17:$C$66,'Project Details'!$E$17:$E$66,"",0)</f>
        <v>0</v>
      </c>
      <c r="J371" s="16">
        <f>_xlfn.XLOOKUP(C371,'Project Details'!$C$17:$C$66,'Project Details'!$H$17:$H$66,"",0)</f>
        <v>0</v>
      </c>
      <c r="K371" s="33" t="str">
        <f>IF(AND(_xlfn.XLOOKUP(C371,'Project Details'!$C$17:$C$66,'Project Details'!$L$17:$L$66,"",0)&gt;550, F371="Spring-L27cm"),"",SUBSTITUTE(_xlfn.XLOOKUP(G371,SKUs!$C$2:$C$10001,SKUs!$F$2:$F$10001,"",0), " Accessories",""))</f>
        <v/>
      </c>
      <c r="L371" s="33">
        <f>_xlfn.XLOOKUP(C371,'Project Details'!$C$17:$C$66,'Project Details'!$D$17:$D$66,"",0)</f>
        <v>0</v>
      </c>
      <c r="M371" s="43"/>
    </row>
    <row r="372" spans="1:13" x14ac:dyDescent="0.25">
      <c r="A372" s="43"/>
      <c r="B372" s="43"/>
      <c r="C372" s="35">
        <f t="shared" si="6"/>
        <v>8</v>
      </c>
      <c r="D372" s="35" t="str" cm="1">
        <f t="array" ref="D372">IFERROR(ROUNDUP(_xlfn.IFS(F372="Aluminum Track", _xlfn.XLOOKUP(C372, dd_accsrycalc!$A$2:$A$51, dd_accsrycalc!$B$2:$B$51, "",0), F372="10 x 2 1/2 S (Flat)", _xlfn.XLOOKUP(C372, dd_accsrycalc!$A$2:$A$51, dd_accsrycalc!$C$2:$C$51, "",0), F372="Tox6", _xlfn.XLOOKUP(C372, dd_accsrycalc!$A$2:$A$51, dd_accsrycalc!$D$2:$D$51, "",0), F372="Cover Cap", _xlfn.XLOOKUP(C372, dd_accsrycalc!$A$2:$A$51, dd_accsrycalc!$E$2:$E$51, "",0), F372="Drainage Cover", _xlfn.XLOOKUP(C372, dd_accsrycalc!$A$2:$A$51, dd_accsrycalc!$F$2:$F$51, "",0),AND( F372="Double Adhesive Tape", I372="Roll-up Screen"), _xlfn.XLOOKUP(C372, calc_rusacc!$C$15:$C$65, calc_rusacc!$AD$15:$AD$65, "",0),AND( F372="Sealant", I372="Roll-up Screen"), _xlfn.XLOOKUP(C372, calc_rusacc!$C$15:$C$65, calc_rusacc!$AF$15:$AF$65, "",0),  AND( F372="Main Chain", I372="Accordion Screen"), _xlfn.XLOOKUP(C372, calc_rusacc!$C$15:$C$65, calc_rusacc!$BF$15:$BF$65, "",0), AND( F372="Sealant", I372="Accordion Screen"), _xlfn.XLOOKUP(C372, calc_rusacc!$C$15:$C$65, calc_rusacc!$BJ$15:$BJ$65, "",0),  F372="Sealant", _xlfn.XLOOKUP(C372, dd_accsrycalc!$A$2:$A$51, dd_accsrycalc!$G$2:$G$51, "",0),  F372&lt;&gt;"",L372*_xlfn.XLOOKUP(1, (SKUs!$C$2:$C$10001=G372)*(SKUs!$K$2:$K$10001=I372),SKUs!$E$2:$E$10001)), 0),"")</f>
        <v/>
      </c>
      <c r="E372" s="35" t="str">
        <f>_xlfn.XLOOKUP(F372,dd_item!$B$2:$B$105,dd_item!$C$2:$C$105,"",0)</f>
        <v/>
      </c>
      <c r="F372" s="35"/>
      <c r="G372" s="35" cm="1">
        <f t="array" ref="G372">IFERROR(_xlfn.XLOOKUP(1, (SKUs!$J$2:$J$10001=accsry_unmerged!F372)*IF(H372&lt;&gt;"",(SKUs!$L$2:$L$10001=accsry_unmerged!H372),1)*(SKUs!$K$2:$K$10001=I372),SKUs!$C$2:$C$10001),"")</f>
        <v>0</v>
      </c>
      <c r="H372" s="36" cm="1">
        <f t="array" ref="H372">IFERROR(_xlfn.XLOOKUP(1, (dd_accsryclr!$C$2:$C$1000=accsry_unmerged!F372)*(dd_accsryclr!$B$2:$B$1000=accsry_unmerged!J372),dd_accsryclr!$A$2:$A$1000),"")</f>
        <v>0</v>
      </c>
      <c r="I372" s="35">
        <f>_xlfn.XLOOKUP(C372,'Project Details'!$C$17:$C$66,'Project Details'!$E$17:$E$66,"",0)</f>
        <v>0</v>
      </c>
      <c r="J372" s="35">
        <f>_xlfn.XLOOKUP(C372,'Project Details'!$C$17:$C$66,'Project Details'!$H$17:$H$66,"",0)</f>
        <v>0</v>
      </c>
      <c r="K372" s="36" t="str">
        <f>IF(AND(_xlfn.XLOOKUP(C372,'Project Details'!$C$17:$C$66,'Project Details'!$L$17:$L$66,"",0)&gt;550, F372="Spring-L27cm"),"",SUBSTITUTE(_xlfn.XLOOKUP(G372,SKUs!$C$2:$C$10001,SKUs!$F$2:$F$10001,"",0), " Accessories",""))</f>
        <v/>
      </c>
      <c r="L372" s="36">
        <f>_xlfn.XLOOKUP(C372,'Project Details'!$C$17:$C$66,'Project Details'!$D$17:$D$66,"",0)</f>
        <v>0</v>
      </c>
      <c r="M372" s="43"/>
    </row>
    <row r="373" spans="1:13" x14ac:dyDescent="0.25">
      <c r="A373" s="43"/>
      <c r="B373" s="43"/>
      <c r="C373" s="16">
        <f t="shared" si="6"/>
        <v>8</v>
      </c>
      <c r="D373" s="16" t="str" cm="1">
        <f t="array" ref="D373">IFERROR(ROUNDUP(_xlfn.IFS(F373="Aluminum Track", _xlfn.XLOOKUP(C373, dd_accsrycalc!$A$2:$A$51, dd_accsrycalc!$B$2:$B$51, "",0), F373="10 x 2 1/2 S (Flat)", _xlfn.XLOOKUP(C373, dd_accsrycalc!$A$2:$A$51, dd_accsrycalc!$C$2:$C$51, "",0), F373="Tox6", _xlfn.XLOOKUP(C373, dd_accsrycalc!$A$2:$A$51, dd_accsrycalc!$D$2:$D$51, "",0), F373="Cover Cap", _xlfn.XLOOKUP(C373, dd_accsrycalc!$A$2:$A$51, dd_accsrycalc!$E$2:$E$51, "",0), F373="Drainage Cover", _xlfn.XLOOKUP(C373, dd_accsrycalc!$A$2:$A$51, dd_accsrycalc!$F$2:$F$51, "",0),AND( F373="Double Adhesive Tape", I373="Roll-up Screen"), _xlfn.XLOOKUP(C373, calc_rusacc!$C$15:$C$65, calc_rusacc!$AD$15:$AD$65, "",0),AND( F373="Sealant", I373="Roll-up Screen"), _xlfn.XLOOKUP(C373, calc_rusacc!$C$15:$C$65, calc_rusacc!$AF$15:$AF$65, "",0),  AND( F373="Main Chain", I373="Accordion Screen"), _xlfn.XLOOKUP(C373, calc_rusacc!$C$15:$C$65, calc_rusacc!$BF$15:$BF$65, "",0), AND( F373="Sealant", I373="Accordion Screen"), _xlfn.XLOOKUP(C373, calc_rusacc!$C$15:$C$65, calc_rusacc!$BJ$15:$BJ$65, "",0),  F373="Sealant", _xlfn.XLOOKUP(C373, dd_accsrycalc!$A$2:$A$51, dd_accsrycalc!$G$2:$G$51, "",0),  F373&lt;&gt;"",L373*_xlfn.XLOOKUP(1, (SKUs!$C$2:$C$10001=G373)*(SKUs!$K$2:$K$10001=I373),SKUs!$E$2:$E$10001)), 0),"")</f>
        <v/>
      </c>
      <c r="E373" s="16" t="str">
        <f>_xlfn.XLOOKUP(F373,dd_item!$B$2:$B$105,dd_item!$C$2:$C$105,"",0)</f>
        <v/>
      </c>
      <c r="F373" s="16"/>
      <c r="G373" s="16" cm="1">
        <f t="array" ref="G373">IFERROR(_xlfn.XLOOKUP(1, (SKUs!$J$2:$J$10001=accsry_unmerged!F373)*IF(H373&lt;&gt;"",(SKUs!$L$2:$L$10001=accsry_unmerged!H373),1)*(SKUs!$K$2:$K$10001=I373),SKUs!$C$2:$C$10001),"")</f>
        <v>0</v>
      </c>
      <c r="H373" s="33" cm="1">
        <f t="array" ref="H373">IFERROR(_xlfn.XLOOKUP(1, (dd_accsryclr!$C$2:$C$1000=accsry_unmerged!F373)*(dd_accsryclr!$B$2:$B$1000=accsry_unmerged!J373),dd_accsryclr!$A$2:$A$1000),"")</f>
        <v>0</v>
      </c>
      <c r="I373" s="16">
        <f>_xlfn.XLOOKUP(C373,'Project Details'!$C$17:$C$66,'Project Details'!$E$17:$E$66,"",0)</f>
        <v>0</v>
      </c>
      <c r="J373" s="16">
        <f>_xlfn.XLOOKUP(C373,'Project Details'!$C$17:$C$66,'Project Details'!$H$17:$H$66,"",0)</f>
        <v>0</v>
      </c>
      <c r="K373" s="33" t="str">
        <f>IF(AND(_xlfn.XLOOKUP(C373,'Project Details'!$C$17:$C$66,'Project Details'!$L$17:$L$66,"",0)&gt;550, F373="Spring-L27cm"),"",SUBSTITUTE(_xlfn.XLOOKUP(G373,SKUs!$C$2:$C$10001,SKUs!$F$2:$F$10001,"",0), " Accessories",""))</f>
        <v/>
      </c>
      <c r="L373" s="33">
        <f>_xlfn.XLOOKUP(C373,'Project Details'!$C$17:$C$66,'Project Details'!$D$17:$D$66,"",0)</f>
        <v>0</v>
      </c>
      <c r="M373" s="43"/>
    </row>
    <row r="374" spans="1:13" x14ac:dyDescent="0.25">
      <c r="A374" s="43"/>
      <c r="B374" s="43"/>
      <c r="C374" s="35">
        <f t="shared" si="6"/>
        <v>8</v>
      </c>
      <c r="D374" s="35" t="str" cm="1">
        <f t="array" ref="D374">IFERROR(ROUNDUP(_xlfn.IFS(F374="Aluminum Track", _xlfn.XLOOKUP(C374, dd_accsrycalc!$A$2:$A$51, dd_accsrycalc!$B$2:$B$51, "",0), F374="10 x 2 1/2 S (Flat)", _xlfn.XLOOKUP(C374, dd_accsrycalc!$A$2:$A$51, dd_accsrycalc!$C$2:$C$51, "",0), F374="Tox6", _xlfn.XLOOKUP(C374, dd_accsrycalc!$A$2:$A$51, dd_accsrycalc!$D$2:$D$51, "",0), F374="Cover Cap", _xlfn.XLOOKUP(C374, dd_accsrycalc!$A$2:$A$51, dd_accsrycalc!$E$2:$E$51, "",0), F374="Drainage Cover", _xlfn.XLOOKUP(C374, dd_accsrycalc!$A$2:$A$51, dd_accsrycalc!$F$2:$F$51, "",0),AND( F374="Double Adhesive Tape", I374="Roll-up Screen"), _xlfn.XLOOKUP(C374, calc_rusacc!$C$15:$C$65, calc_rusacc!$AD$15:$AD$65, "",0),AND( F374="Sealant", I374="Roll-up Screen"), _xlfn.XLOOKUP(C374, calc_rusacc!$C$15:$C$65, calc_rusacc!$AF$15:$AF$65, "",0),  AND( F374="Main Chain", I374="Accordion Screen"), _xlfn.XLOOKUP(C374, calc_rusacc!$C$15:$C$65, calc_rusacc!$BF$15:$BF$65, "",0), AND( F374="Sealant", I374="Accordion Screen"), _xlfn.XLOOKUP(C374, calc_rusacc!$C$15:$C$65, calc_rusacc!$BJ$15:$BJ$65, "",0),  F374="Sealant", _xlfn.XLOOKUP(C374, dd_accsrycalc!$A$2:$A$51, dd_accsrycalc!$G$2:$G$51, "",0),  F374&lt;&gt;"",L374*_xlfn.XLOOKUP(1, (SKUs!$C$2:$C$10001=G374)*(SKUs!$K$2:$K$10001=I374),SKUs!$E$2:$E$10001)), 0),"")</f>
        <v/>
      </c>
      <c r="E374" s="35" t="str">
        <f>_xlfn.XLOOKUP(F374,dd_item!$B$2:$B$105,dd_item!$C$2:$C$105,"",0)</f>
        <v/>
      </c>
      <c r="F374" s="35"/>
      <c r="G374" s="35" cm="1">
        <f t="array" ref="G374">IFERROR(_xlfn.XLOOKUP(1, (SKUs!$J$2:$J$10001=accsry_unmerged!F374)*IF(H374&lt;&gt;"",(SKUs!$L$2:$L$10001=accsry_unmerged!H374),1)*(SKUs!$K$2:$K$10001=I374),SKUs!$C$2:$C$10001),"")</f>
        <v>0</v>
      </c>
      <c r="H374" s="36" cm="1">
        <f t="array" ref="H374">IFERROR(_xlfn.XLOOKUP(1, (dd_accsryclr!$C$2:$C$1000=accsry_unmerged!F374)*(dd_accsryclr!$B$2:$B$1000=accsry_unmerged!J374),dd_accsryclr!$A$2:$A$1000),"")</f>
        <v>0</v>
      </c>
      <c r="I374" s="35">
        <f>_xlfn.XLOOKUP(C374,'Project Details'!$C$17:$C$66,'Project Details'!$E$17:$E$66,"",0)</f>
        <v>0</v>
      </c>
      <c r="J374" s="35">
        <f>_xlfn.XLOOKUP(C374,'Project Details'!$C$17:$C$66,'Project Details'!$H$17:$H$66,"",0)</f>
        <v>0</v>
      </c>
      <c r="K374" s="36" t="str">
        <f>IF(AND(_xlfn.XLOOKUP(C374,'Project Details'!$C$17:$C$66,'Project Details'!$L$17:$L$66,"",0)&gt;550, F374="Spring-L27cm"),"",SUBSTITUTE(_xlfn.XLOOKUP(G374,SKUs!$C$2:$C$10001,SKUs!$F$2:$F$10001,"",0), " Accessories",""))</f>
        <v/>
      </c>
      <c r="L374" s="36">
        <f>_xlfn.XLOOKUP(C374,'Project Details'!$C$17:$C$66,'Project Details'!$D$17:$D$66,"",0)</f>
        <v>0</v>
      </c>
      <c r="M374" s="43"/>
    </row>
    <row r="375" spans="1:13" x14ac:dyDescent="0.25">
      <c r="A375" s="43"/>
      <c r="B375" s="43"/>
      <c r="C375" s="16">
        <f t="shared" si="6"/>
        <v>8</v>
      </c>
      <c r="D375" s="16" t="str" cm="1">
        <f t="array" ref="D375">IFERROR(ROUNDUP(_xlfn.IFS(F375="Aluminum Track", _xlfn.XLOOKUP(C375, dd_accsrycalc!$A$2:$A$51, dd_accsrycalc!$B$2:$B$51, "",0), F375="10 x 2 1/2 S (Flat)", _xlfn.XLOOKUP(C375, dd_accsrycalc!$A$2:$A$51, dd_accsrycalc!$C$2:$C$51, "",0), F375="Tox6", _xlfn.XLOOKUP(C375, dd_accsrycalc!$A$2:$A$51, dd_accsrycalc!$D$2:$D$51, "",0), F375="Cover Cap", _xlfn.XLOOKUP(C375, dd_accsrycalc!$A$2:$A$51, dd_accsrycalc!$E$2:$E$51, "",0), F375="Drainage Cover", _xlfn.XLOOKUP(C375, dd_accsrycalc!$A$2:$A$51, dd_accsrycalc!$F$2:$F$51, "",0),AND( F375="Double Adhesive Tape", I375="Roll-up Screen"), _xlfn.XLOOKUP(C375, calc_rusacc!$C$15:$C$65, calc_rusacc!$AD$15:$AD$65, "",0),AND( F375="Sealant", I375="Roll-up Screen"), _xlfn.XLOOKUP(C375, calc_rusacc!$C$15:$C$65, calc_rusacc!$AF$15:$AF$65, "",0),  AND( F375="Main Chain", I375="Accordion Screen"), _xlfn.XLOOKUP(C375, calc_rusacc!$C$15:$C$65, calc_rusacc!$BF$15:$BF$65, "",0), AND( F375="Sealant", I375="Accordion Screen"), _xlfn.XLOOKUP(C375, calc_rusacc!$C$15:$C$65, calc_rusacc!$BJ$15:$BJ$65, "",0),  F375="Sealant", _xlfn.XLOOKUP(C375, dd_accsrycalc!$A$2:$A$51, dd_accsrycalc!$G$2:$G$51, "",0),  F375&lt;&gt;"",L375*_xlfn.XLOOKUP(1, (SKUs!$C$2:$C$10001=G375)*(SKUs!$K$2:$K$10001=I375),SKUs!$E$2:$E$10001)), 0),"")</f>
        <v/>
      </c>
      <c r="E375" s="16" t="str">
        <f>_xlfn.XLOOKUP(F375,dd_item!$B$2:$B$105,dd_item!$C$2:$C$105,"",0)</f>
        <v/>
      </c>
      <c r="F375" s="16"/>
      <c r="G375" s="16" cm="1">
        <f t="array" ref="G375">IFERROR(_xlfn.XLOOKUP(1, (SKUs!$J$2:$J$10001=accsry_unmerged!F375)*IF(H375&lt;&gt;"",(SKUs!$L$2:$L$10001=accsry_unmerged!H375),1)*(SKUs!$K$2:$K$10001=I375),SKUs!$C$2:$C$10001),"")</f>
        <v>0</v>
      </c>
      <c r="H375" s="33" cm="1">
        <f t="array" ref="H375">IFERROR(_xlfn.XLOOKUP(1, (dd_accsryclr!$C$2:$C$1000=accsry_unmerged!F375)*(dd_accsryclr!$B$2:$B$1000=accsry_unmerged!J375),dd_accsryclr!$A$2:$A$1000),"")</f>
        <v>0</v>
      </c>
      <c r="I375" s="16">
        <f>_xlfn.XLOOKUP(C375,'Project Details'!$C$17:$C$66,'Project Details'!$E$17:$E$66,"",0)</f>
        <v>0</v>
      </c>
      <c r="J375" s="16">
        <f>_xlfn.XLOOKUP(C375,'Project Details'!$C$17:$C$66,'Project Details'!$H$17:$H$66,"",0)</f>
        <v>0</v>
      </c>
      <c r="K375" s="33" t="str">
        <f>IF(AND(_xlfn.XLOOKUP(C375,'Project Details'!$C$17:$C$66,'Project Details'!$L$17:$L$66,"",0)&gt;550, F375="Spring-L27cm"),"",SUBSTITUTE(_xlfn.XLOOKUP(G375,SKUs!$C$2:$C$10001,SKUs!$F$2:$F$10001,"",0), " Accessories",""))</f>
        <v/>
      </c>
      <c r="L375" s="33">
        <f>_xlfn.XLOOKUP(C375,'Project Details'!$C$17:$C$66,'Project Details'!$D$17:$D$66,"",0)</f>
        <v>0</v>
      </c>
      <c r="M375" s="43"/>
    </row>
    <row r="376" spans="1:13" x14ac:dyDescent="0.25">
      <c r="A376" s="43"/>
      <c r="B376" s="43"/>
      <c r="C376" s="35">
        <f t="shared" si="6"/>
        <v>8</v>
      </c>
      <c r="D376" s="35" t="str" cm="1">
        <f t="array" ref="D376">IFERROR(ROUNDUP(_xlfn.IFS(F376="Aluminum Track", _xlfn.XLOOKUP(C376, dd_accsrycalc!$A$2:$A$51, dd_accsrycalc!$B$2:$B$51, "",0), F376="10 x 2 1/2 S (Flat)", _xlfn.XLOOKUP(C376, dd_accsrycalc!$A$2:$A$51, dd_accsrycalc!$C$2:$C$51, "",0), F376="Tox6", _xlfn.XLOOKUP(C376, dd_accsrycalc!$A$2:$A$51, dd_accsrycalc!$D$2:$D$51, "",0), F376="Cover Cap", _xlfn.XLOOKUP(C376, dd_accsrycalc!$A$2:$A$51, dd_accsrycalc!$E$2:$E$51, "",0), F376="Drainage Cover", _xlfn.XLOOKUP(C376, dd_accsrycalc!$A$2:$A$51, dd_accsrycalc!$F$2:$F$51, "",0),AND( F376="Double Adhesive Tape", I376="Roll-up Screen"), _xlfn.XLOOKUP(C376, calc_rusacc!$C$15:$C$65, calc_rusacc!$AD$15:$AD$65, "",0),AND( F376="Sealant", I376="Roll-up Screen"), _xlfn.XLOOKUP(C376, calc_rusacc!$C$15:$C$65, calc_rusacc!$AF$15:$AF$65, "",0),  AND( F376="Main Chain", I376="Accordion Screen"), _xlfn.XLOOKUP(C376, calc_rusacc!$C$15:$C$65, calc_rusacc!$BF$15:$BF$65, "",0), AND( F376="Sealant", I376="Accordion Screen"), _xlfn.XLOOKUP(C376, calc_rusacc!$C$15:$C$65, calc_rusacc!$BJ$15:$BJ$65, "",0),  F376="Sealant", _xlfn.XLOOKUP(C376, dd_accsrycalc!$A$2:$A$51, dd_accsrycalc!$G$2:$G$51, "",0),  F376&lt;&gt;"",L376*_xlfn.XLOOKUP(1, (SKUs!$C$2:$C$10001=G376)*(SKUs!$K$2:$K$10001=I376),SKUs!$E$2:$E$10001)), 0),"")</f>
        <v/>
      </c>
      <c r="E376" s="35" t="str">
        <f>_xlfn.XLOOKUP(F376,dd_item!$B$2:$B$105,dd_item!$C$2:$C$105,"",0)</f>
        <v/>
      </c>
      <c r="F376" s="35"/>
      <c r="G376" s="35" cm="1">
        <f t="array" ref="G376">IFERROR(_xlfn.XLOOKUP(1, (SKUs!$J$2:$J$10001=accsry_unmerged!F376)*IF(H376&lt;&gt;"",(SKUs!$L$2:$L$10001=accsry_unmerged!H376),1)*(SKUs!$K$2:$K$10001=I376),SKUs!$C$2:$C$10001),"")</f>
        <v>0</v>
      </c>
      <c r="H376" s="36" cm="1">
        <f t="array" ref="H376">IFERROR(_xlfn.XLOOKUP(1, (dd_accsryclr!$C$2:$C$1000=accsry_unmerged!F376)*(dd_accsryclr!$B$2:$B$1000=accsry_unmerged!J376),dd_accsryclr!$A$2:$A$1000),"")</f>
        <v>0</v>
      </c>
      <c r="I376" s="35">
        <f>_xlfn.XLOOKUP(C376,'Project Details'!$C$17:$C$66,'Project Details'!$E$17:$E$66,"",0)</f>
        <v>0</v>
      </c>
      <c r="J376" s="35">
        <f>_xlfn.XLOOKUP(C376,'Project Details'!$C$17:$C$66,'Project Details'!$H$17:$H$66,"",0)</f>
        <v>0</v>
      </c>
      <c r="K376" s="36" t="str">
        <f>IF(AND(_xlfn.XLOOKUP(C376,'Project Details'!$C$17:$C$66,'Project Details'!$L$17:$L$66,"",0)&gt;550, F376="Spring-L27cm"),"",SUBSTITUTE(_xlfn.XLOOKUP(G376,SKUs!$C$2:$C$10001,SKUs!$F$2:$F$10001,"",0), " Accessories",""))</f>
        <v/>
      </c>
      <c r="L376" s="36">
        <f>_xlfn.XLOOKUP(C376,'Project Details'!$C$17:$C$66,'Project Details'!$D$17:$D$66,"",0)</f>
        <v>0</v>
      </c>
      <c r="M376" s="43"/>
    </row>
    <row r="377" spans="1:13" x14ac:dyDescent="0.25">
      <c r="A377" s="43"/>
      <c r="B377" s="43"/>
      <c r="C377" s="16">
        <f t="shared" si="6"/>
        <v>8</v>
      </c>
      <c r="D377" s="16" t="str" cm="1">
        <f t="array" ref="D377">IFERROR(ROUNDUP(_xlfn.IFS(F377="Aluminum Track", _xlfn.XLOOKUP(C377, dd_accsrycalc!$A$2:$A$51, dd_accsrycalc!$B$2:$B$51, "",0), F377="10 x 2 1/2 S (Flat)", _xlfn.XLOOKUP(C377, dd_accsrycalc!$A$2:$A$51, dd_accsrycalc!$C$2:$C$51, "",0), F377="Tox6", _xlfn.XLOOKUP(C377, dd_accsrycalc!$A$2:$A$51, dd_accsrycalc!$D$2:$D$51, "",0), F377="Cover Cap", _xlfn.XLOOKUP(C377, dd_accsrycalc!$A$2:$A$51, dd_accsrycalc!$E$2:$E$51, "",0), F377="Drainage Cover", _xlfn.XLOOKUP(C377, dd_accsrycalc!$A$2:$A$51, dd_accsrycalc!$F$2:$F$51, "",0),AND( F377="Double Adhesive Tape", I377="Roll-up Screen"), _xlfn.XLOOKUP(C377, calc_rusacc!$C$15:$C$65, calc_rusacc!$AD$15:$AD$65, "",0),AND( F377="Sealant", I377="Roll-up Screen"), _xlfn.XLOOKUP(C377, calc_rusacc!$C$15:$C$65, calc_rusacc!$AF$15:$AF$65, "",0),  AND( F377="Main Chain", I377="Accordion Screen"), _xlfn.XLOOKUP(C377, calc_rusacc!$C$15:$C$65, calc_rusacc!$BF$15:$BF$65, "",0), AND( F377="Sealant", I377="Accordion Screen"), _xlfn.XLOOKUP(C377, calc_rusacc!$C$15:$C$65, calc_rusacc!$BJ$15:$BJ$65, "",0),  F377="Sealant", _xlfn.XLOOKUP(C377, dd_accsrycalc!$A$2:$A$51, dd_accsrycalc!$G$2:$G$51, "",0),  F377&lt;&gt;"",L377*_xlfn.XLOOKUP(1, (SKUs!$C$2:$C$10001=G377)*(SKUs!$K$2:$K$10001=I377),SKUs!$E$2:$E$10001)), 0),"")</f>
        <v/>
      </c>
      <c r="E377" s="16" t="str">
        <f>_xlfn.XLOOKUP(F377,dd_item!$B$2:$B$105,dd_item!$C$2:$C$105,"",0)</f>
        <v/>
      </c>
      <c r="F377" s="16"/>
      <c r="G377" s="16" cm="1">
        <f t="array" ref="G377">IFERROR(_xlfn.XLOOKUP(1, (SKUs!$J$2:$J$10001=accsry_unmerged!F377)*IF(H377&lt;&gt;"",(SKUs!$L$2:$L$10001=accsry_unmerged!H377),1)*(SKUs!$K$2:$K$10001=I377),SKUs!$C$2:$C$10001),"")</f>
        <v>0</v>
      </c>
      <c r="H377" s="33" cm="1">
        <f t="array" ref="H377">IFERROR(_xlfn.XLOOKUP(1, (dd_accsryclr!$C$2:$C$1000=accsry_unmerged!F377)*(dd_accsryclr!$B$2:$B$1000=accsry_unmerged!J377),dd_accsryclr!$A$2:$A$1000),"")</f>
        <v>0</v>
      </c>
      <c r="I377" s="16">
        <f>_xlfn.XLOOKUP(C377,'Project Details'!$C$17:$C$66,'Project Details'!$E$17:$E$66,"",0)</f>
        <v>0</v>
      </c>
      <c r="J377" s="16">
        <f>_xlfn.XLOOKUP(C377,'Project Details'!$C$17:$C$66,'Project Details'!$H$17:$H$66,"",0)</f>
        <v>0</v>
      </c>
      <c r="K377" s="33" t="str">
        <f>IF(AND(_xlfn.XLOOKUP(C377,'Project Details'!$C$17:$C$66,'Project Details'!$L$17:$L$66,"",0)&gt;550, F377="Spring-L27cm"),"",SUBSTITUTE(_xlfn.XLOOKUP(G377,SKUs!$C$2:$C$10001,SKUs!$F$2:$F$10001,"",0), " Accessories",""))</f>
        <v/>
      </c>
      <c r="L377" s="33">
        <f>_xlfn.XLOOKUP(C377,'Project Details'!$C$17:$C$66,'Project Details'!$D$17:$D$66,"",0)</f>
        <v>0</v>
      </c>
      <c r="M377" s="43"/>
    </row>
    <row r="378" spans="1:13" x14ac:dyDescent="0.25">
      <c r="A378" s="43"/>
      <c r="B378" s="43"/>
      <c r="C378" s="35">
        <f t="shared" si="6"/>
        <v>8</v>
      </c>
      <c r="D378" s="35" t="str" cm="1">
        <f t="array" ref="D378">IFERROR(ROUNDUP(_xlfn.IFS(F378="Aluminum Track", _xlfn.XLOOKUP(C378, dd_accsrycalc!$A$2:$A$51, dd_accsrycalc!$B$2:$B$51, "",0), F378="10 x 2 1/2 S (Flat)", _xlfn.XLOOKUP(C378, dd_accsrycalc!$A$2:$A$51, dd_accsrycalc!$C$2:$C$51, "",0), F378="Tox6", _xlfn.XLOOKUP(C378, dd_accsrycalc!$A$2:$A$51, dd_accsrycalc!$D$2:$D$51, "",0), F378="Cover Cap", _xlfn.XLOOKUP(C378, dd_accsrycalc!$A$2:$A$51, dd_accsrycalc!$E$2:$E$51, "",0), F378="Drainage Cover", _xlfn.XLOOKUP(C378, dd_accsrycalc!$A$2:$A$51, dd_accsrycalc!$F$2:$F$51, "",0),AND( F378="Double Adhesive Tape", I378="Roll-up Screen"), _xlfn.XLOOKUP(C378, calc_rusacc!$C$15:$C$65, calc_rusacc!$AD$15:$AD$65, "",0),AND( F378="Sealant", I378="Roll-up Screen"), _xlfn.XLOOKUP(C378, calc_rusacc!$C$15:$C$65, calc_rusacc!$AF$15:$AF$65, "",0),  AND( F378="Main Chain", I378="Accordion Screen"), _xlfn.XLOOKUP(C378, calc_rusacc!$C$15:$C$65, calc_rusacc!$BF$15:$BF$65, "",0), AND( F378="Sealant", I378="Accordion Screen"), _xlfn.XLOOKUP(C378, calc_rusacc!$C$15:$C$65, calc_rusacc!$BJ$15:$BJ$65, "",0),  F378="Sealant", _xlfn.XLOOKUP(C378, dd_accsrycalc!$A$2:$A$51, dd_accsrycalc!$G$2:$G$51, "",0),  F378&lt;&gt;"",L378*_xlfn.XLOOKUP(1, (SKUs!$C$2:$C$10001=G378)*(SKUs!$K$2:$K$10001=I378),SKUs!$E$2:$E$10001)), 0),"")</f>
        <v/>
      </c>
      <c r="E378" s="35" t="str">
        <f>_xlfn.XLOOKUP(F378,dd_item!$B$2:$B$105,dd_item!$C$2:$C$105,"",0)</f>
        <v/>
      </c>
      <c r="F378" s="35"/>
      <c r="G378" s="35" cm="1">
        <f t="array" ref="G378">IFERROR(_xlfn.XLOOKUP(1, (SKUs!$J$2:$J$10001=accsry_unmerged!F378)*IF(H378&lt;&gt;"",(SKUs!$L$2:$L$10001=accsry_unmerged!H378),1)*(SKUs!$K$2:$K$10001=I378),SKUs!$C$2:$C$10001),"")</f>
        <v>0</v>
      </c>
      <c r="H378" s="36" cm="1">
        <f t="array" ref="H378">IFERROR(_xlfn.XLOOKUP(1, (dd_accsryclr!$C$2:$C$1000=accsry_unmerged!F378)*(dd_accsryclr!$B$2:$B$1000=accsry_unmerged!J378),dd_accsryclr!$A$2:$A$1000),"")</f>
        <v>0</v>
      </c>
      <c r="I378" s="35">
        <f>_xlfn.XLOOKUP(C378,'Project Details'!$C$17:$C$66,'Project Details'!$E$17:$E$66,"",0)</f>
        <v>0</v>
      </c>
      <c r="J378" s="35">
        <f>_xlfn.XLOOKUP(C378,'Project Details'!$C$17:$C$66,'Project Details'!$H$17:$H$66,"",0)</f>
        <v>0</v>
      </c>
      <c r="K378" s="36" t="str">
        <f>IF(AND(_xlfn.XLOOKUP(C378,'Project Details'!$C$17:$C$66,'Project Details'!$L$17:$L$66,"",0)&gt;550, F378="Spring-L27cm"),"",SUBSTITUTE(_xlfn.XLOOKUP(G378,SKUs!$C$2:$C$10001,SKUs!$F$2:$F$10001,"",0), " Accessories",""))</f>
        <v/>
      </c>
      <c r="L378" s="36">
        <f>_xlfn.XLOOKUP(C378,'Project Details'!$C$17:$C$66,'Project Details'!$D$17:$D$66,"",0)</f>
        <v>0</v>
      </c>
      <c r="M378" s="43"/>
    </row>
    <row r="379" spans="1:13" x14ac:dyDescent="0.25">
      <c r="A379" s="43"/>
      <c r="B379" s="43"/>
      <c r="C379" s="16">
        <f t="shared" si="6"/>
        <v>8</v>
      </c>
      <c r="D379" s="16" t="str" cm="1">
        <f t="array" ref="D379">IFERROR(ROUNDUP(_xlfn.IFS(F379="Aluminum Track", _xlfn.XLOOKUP(C379, dd_accsrycalc!$A$2:$A$51, dd_accsrycalc!$B$2:$B$51, "",0), F379="10 x 2 1/2 S (Flat)", _xlfn.XLOOKUP(C379, dd_accsrycalc!$A$2:$A$51, dd_accsrycalc!$C$2:$C$51, "",0), F379="Tox6", _xlfn.XLOOKUP(C379, dd_accsrycalc!$A$2:$A$51, dd_accsrycalc!$D$2:$D$51, "",0), F379="Cover Cap", _xlfn.XLOOKUP(C379, dd_accsrycalc!$A$2:$A$51, dd_accsrycalc!$E$2:$E$51, "",0), F379="Drainage Cover", _xlfn.XLOOKUP(C379, dd_accsrycalc!$A$2:$A$51, dd_accsrycalc!$F$2:$F$51, "",0),AND( F379="Double Adhesive Tape", I379="Roll-up Screen"), _xlfn.XLOOKUP(C379, calc_rusacc!$C$15:$C$65, calc_rusacc!$AD$15:$AD$65, "",0),AND( F379="Sealant", I379="Roll-up Screen"), _xlfn.XLOOKUP(C379, calc_rusacc!$C$15:$C$65, calc_rusacc!$AF$15:$AF$65, "",0),  AND( F379="Main Chain", I379="Accordion Screen"), _xlfn.XLOOKUP(C379, calc_rusacc!$C$15:$C$65, calc_rusacc!$BF$15:$BF$65, "",0), AND( F379="Sealant", I379="Accordion Screen"), _xlfn.XLOOKUP(C379, calc_rusacc!$C$15:$C$65, calc_rusacc!$BJ$15:$BJ$65, "",0),  F379="Sealant", _xlfn.XLOOKUP(C379, dd_accsrycalc!$A$2:$A$51, dd_accsrycalc!$G$2:$G$51, "",0),  F379&lt;&gt;"",L379*_xlfn.XLOOKUP(1, (SKUs!$C$2:$C$10001=G379)*(SKUs!$K$2:$K$10001=I379),SKUs!$E$2:$E$10001)), 0),"")</f>
        <v/>
      </c>
      <c r="E379" s="16" t="str">
        <f>_xlfn.XLOOKUP(F379,dd_item!$B$2:$B$105,dd_item!$C$2:$C$105,"",0)</f>
        <v/>
      </c>
      <c r="F379" s="16"/>
      <c r="G379" s="16" cm="1">
        <f t="array" ref="G379">IFERROR(_xlfn.XLOOKUP(1, (SKUs!$J$2:$J$10001=accsry_unmerged!F379)*IF(H379&lt;&gt;"",(SKUs!$L$2:$L$10001=accsry_unmerged!H379),1)*(SKUs!$K$2:$K$10001=I379),SKUs!$C$2:$C$10001),"")</f>
        <v>0</v>
      </c>
      <c r="H379" s="33" cm="1">
        <f t="array" ref="H379">IFERROR(_xlfn.XLOOKUP(1, (dd_accsryclr!$C$2:$C$1000=accsry_unmerged!F379)*(dd_accsryclr!$B$2:$B$1000=accsry_unmerged!J379),dd_accsryclr!$A$2:$A$1000),"")</f>
        <v>0</v>
      </c>
      <c r="I379" s="16">
        <f>_xlfn.XLOOKUP(C379,'Project Details'!$C$17:$C$66,'Project Details'!$E$17:$E$66,"",0)</f>
        <v>0</v>
      </c>
      <c r="J379" s="16">
        <f>_xlfn.XLOOKUP(C379,'Project Details'!$C$17:$C$66,'Project Details'!$H$17:$H$66,"",0)</f>
        <v>0</v>
      </c>
      <c r="K379" s="33" t="str">
        <f>IF(AND(_xlfn.XLOOKUP(C379,'Project Details'!$C$17:$C$66,'Project Details'!$L$17:$L$66,"",0)&gt;550, F379="Spring-L27cm"),"",SUBSTITUTE(_xlfn.XLOOKUP(G379,SKUs!$C$2:$C$10001,SKUs!$F$2:$F$10001,"",0), " Accessories",""))</f>
        <v/>
      </c>
      <c r="L379" s="33">
        <f>_xlfn.XLOOKUP(C379,'Project Details'!$C$17:$C$66,'Project Details'!$D$17:$D$66,"",0)</f>
        <v>0</v>
      </c>
      <c r="M379" s="43"/>
    </row>
    <row r="380" spans="1:13" x14ac:dyDescent="0.25">
      <c r="A380" s="43"/>
      <c r="B380" s="43"/>
      <c r="C380" s="35">
        <f t="shared" si="6"/>
        <v>8</v>
      </c>
      <c r="D380" s="35" t="str" cm="1">
        <f t="array" ref="D380">IFERROR(ROUNDUP(_xlfn.IFS(F380="Aluminum Track", _xlfn.XLOOKUP(C380, dd_accsrycalc!$A$2:$A$51, dd_accsrycalc!$B$2:$B$51, "",0), F380="10 x 2 1/2 S (Flat)", _xlfn.XLOOKUP(C380, dd_accsrycalc!$A$2:$A$51, dd_accsrycalc!$C$2:$C$51, "",0), F380="Tox6", _xlfn.XLOOKUP(C380, dd_accsrycalc!$A$2:$A$51, dd_accsrycalc!$D$2:$D$51, "",0), F380="Cover Cap", _xlfn.XLOOKUP(C380, dd_accsrycalc!$A$2:$A$51, dd_accsrycalc!$E$2:$E$51, "",0), F380="Drainage Cover", _xlfn.XLOOKUP(C380, dd_accsrycalc!$A$2:$A$51, dd_accsrycalc!$F$2:$F$51, "",0),AND( F380="Double Adhesive Tape", I380="Roll-up Screen"), _xlfn.XLOOKUP(C380, calc_rusacc!$C$15:$C$65, calc_rusacc!$AD$15:$AD$65, "",0),AND( F380="Sealant", I380="Roll-up Screen"), _xlfn.XLOOKUP(C380, calc_rusacc!$C$15:$C$65, calc_rusacc!$AF$15:$AF$65, "",0),  AND( F380="Main Chain", I380="Accordion Screen"), _xlfn.XLOOKUP(C380, calc_rusacc!$C$15:$C$65, calc_rusacc!$BF$15:$BF$65, "",0), AND( F380="Sealant", I380="Accordion Screen"), _xlfn.XLOOKUP(C380, calc_rusacc!$C$15:$C$65, calc_rusacc!$BJ$15:$BJ$65, "",0),  F380="Sealant", _xlfn.XLOOKUP(C380, dd_accsrycalc!$A$2:$A$51, dd_accsrycalc!$G$2:$G$51, "",0),  F380&lt;&gt;"",L380*_xlfn.XLOOKUP(1, (SKUs!$C$2:$C$10001=G380)*(SKUs!$K$2:$K$10001=I380),SKUs!$E$2:$E$10001)), 0),"")</f>
        <v/>
      </c>
      <c r="E380" s="35" t="str">
        <f>_xlfn.XLOOKUP(F380,dd_item!$B$2:$B$105,dd_item!$C$2:$C$105,"",0)</f>
        <v/>
      </c>
      <c r="F380" s="35"/>
      <c r="G380" s="35" cm="1">
        <f t="array" ref="G380">IFERROR(_xlfn.XLOOKUP(1, (SKUs!$J$2:$J$10001=accsry_unmerged!F380)*IF(H380&lt;&gt;"",(SKUs!$L$2:$L$10001=accsry_unmerged!H380),1)*(SKUs!$K$2:$K$10001=I380),SKUs!$C$2:$C$10001),"")</f>
        <v>0</v>
      </c>
      <c r="H380" s="36" cm="1">
        <f t="array" ref="H380">IFERROR(_xlfn.XLOOKUP(1, (dd_accsryclr!$C$2:$C$1000=accsry_unmerged!F380)*(dd_accsryclr!$B$2:$B$1000=accsry_unmerged!J380),dd_accsryclr!$A$2:$A$1000),"")</f>
        <v>0</v>
      </c>
      <c r="I380" s="35">
        <f>_xlfn.XLOOKUP(C380,'Project Details'!$C$17:$C$66,'Project Details'!$E$17:$E$66,"",0)</f>
        <v>0</v>
      </c>
      <c r="J380" s="35">
        <f>_xlfn.XLOOKUP(C380,'Project Details'!$C$17:$C$66,'Project Details'!$H$17:$H$66,"",0)</f>
        <v>0</v>
      </c>
      <c r="K380" s="36" t="str">
        <f>IF(AND(_xlfn.XLOOKUP(C380,'Project Details'!$C$17:$C$66,'Project Details'!$L$17:$L$66,"",0)&gt;550, F380="Spring-L27cm"),"",SUBSTITUTE(_xlfn.XLOOKUP(G380,SKUs!$C$2:$C$10001,SKUs!$F$2:$F$10001,"",0), " Accessories",""))</f>
        <v/>
      </c>
      <c r="L380" s="36">
        <f>_xlfn.XLOOKUP(C380,'Project Details'!$C$17:$C$66,'Project Details'!$D$17:$D$66,"",0)</f>
        <v>0</v>
      </c>
      <c r="M380" s="43"/>
    </row>
    <row r="381" spans="1:13" x14ac:dyDescent="0.25">
      <c r="A381" s="43"/>
      <c r="B381" s="43"/>
      <c r="C381" s="16">
        <f t="shared" si="6"/>
        <v>8</v>
      </c>
      <c r="D381" s="16" t="str" cm="1">
        <f t="array" ref="D381">IFERROR(ROUNDUP(_xlfn.IFS(F381="Aluminum Track", _xlfn.XLOOKUP(C381, dd_accsrycalc!$A$2:$A$51, dd_accsrycalc!$B$2:$B$51, "",0), F381="10 x 2 1/2 S (Flat)", _xlfn.XLOOKUP(C381, dd_accsrycalc!$A$2:$A$51, dd_accsrycalc!$C$2:$C$51, "",0), F381="Tox6", _xlfn.XLOOKUP(C381, dd_accsrycalc!$A$2:$A$51, dd_accsrycalc!$D$2:$D$51, "",0), F381="Cover Cap", _xlfn.XLOOKUP(C381, dd_accsrycalc!$A$2:$A$51, dd_accsrycalc!$E$2:$E$51, "",0), F381="Drainage Cover", _xlfn.XLOOKUP(C381, dd_accsrycalc!$A$2:$A$51, dd_accsrycalc!$F$2:$F$51, "",0),AND( F381="Double Adhesive Tape", I381="Roll-up Screen"), _xlfn.XLOOKUP(C381, calc_rusacc!$C$15:$C$65, calc_rusacc!$AD$15:$AD$65, "",0),AND( F381="Sealant", I381="Roll-up Screen"), _xlfn.XLOOKUP(C381, calc_rusacc!$C$15:$C$65, calc_rusacc!$AF$15:$AF$65, "",0),  AND( F381="Main Chain", I381="Accordion Screen"), _xlfn.XLOOKUP(C381, calc_rusacc!$C$15:$C$65, calc_rusacc!$BF$15:$BF$65, "",0), AND( F381="Sealant", I381="Accordion Screen"), _xlfn.XLOOKUP(C381, calc_rusacc!$C$15:$C$65, calc_rusacc!$BJ$15:$BJ$65, "",0),  F381="Sealant", _xlfn.XLOOKUP(C381, dd_accsrycalc!$A$2:$A$51, dd_accsrycalc!$G$2:$G$51, "",0),  F381&lt;&gt;"",L381*_xlfn.XLOOKUP(1, (SKUs!$C$2:$C$10001=G381)*(SKUs!$K$2:$K$10001=I381),SKUs!$E$2:$E$10001)), 0),"")</f>
        <v/>
      </c>
      <c r="E381" s="16" t="str">
        <f>_xlfn.XLOOKUP(F381,dd_item!$B$2:$B$105,dd_item!$C$2:$C$105,"",0)</f>
        <v/>
      </c>
      <c r="F381" s="16"/>
      <c r="G381" s="16" cm="1">
        <f t="array" ref="G381">IFERROR(_xlfn.XLOOKUP(1, (SKUs!$J$2:$J$10001=accsry_unmerged!F381)*IF(H381&lt;&gt;"",(SKUs!$L$2:$L$10001=accsry_unmerged!H381),1)*(SKUs!$K$2:$K$10001=I381),SKUs!$C$2:$C$10001),"")</f>
        <v>0</v>
      </c>
      <c r="H381" s="33" cm="1">
        <f t="array" ref="H381">IFERROR(_xlfn.XLOOKUP(1, (dd_accsryclr!$C$2:$C$1000=accsry_unmerged!F381)*(dd_accsryclr!$B$2:$B$1000=accsry_unmerged!J381),dd_accsryclr!$A$2:$A$1000),"")</f>
        <v>0</v>
      </c>
      <c r="I381" s="16">
        <f>_xlfn.XLOOKUP(C381,'Project Details'!$C$17:$C$66,'Project Details'!$E$17:$E$66,"",0)</f>
        <v>0</v>
      </c>
      <c r="J381" s="16">
        <f>_xlfn.XLOOKUP(C381,'Project Details'!$C$17:$C$66,'Project Details'!$H$17:$H$66,"",0)</f>
        <v>0</v>
      </c>
      <c r="K381" s="33" t="str">
        <f>IF(AND(_xlfn.XLOOKUP(C381,'Project Details'!$C$17:$C$66,'Project Details'!$L$17:$L$66,"",0)&gt;550, F381="Spring-L27cm"),"",SUBSTITUTE(_xlfn.XLOOKUP(G381,SKUs!$C$2:$C$10001,SKUs!$F$2:$F$10001,"",0), " Accessories",""))</f>
        <v/>
      </c>
      <c r="L381" s="33">
        <f>_xlfn.XLOOKUP(C381,'Project Details'!$C$17:$C$66,'Project Details'!$D$17:$D$66,"",0)</f>
        <v>0</v>
      </c>
      <c r="M381" s="43"/>
    </row>
    <row r="382" spans="1:13" x14ac:dyDescent="0.25">
      <c r="A382" s="43"/>
      <c r="B382" s="43"/>
      <c r="C382" s="35">
        <f t="shared" si="6"/>
        <v>8</v>
      </c>
      <c r="D382" s="35" t="str" cm="1">
        <f t="array" ref="D382">IFERROR(ROUNDUP(_xlfn.IFS(F382="Aluminum Track", _xlfn.XLOOKUP(C382, dd_accsrycalc!$A$2:$A$51, dd_accsrycalc!$B$2:$B$51, "",0), F382="10 x 2 1/2 S (Flat)", _xlfn.XLOOKUP(C382, dd_accsrycalc!$A$2:$A$51, dd_accsrycalc!$C$2:$C$51, "",0), F382="Tox6", _xlfn.XLOOKUP(C382, dd_accsrycalc!$A$2:$A$51, dd_accsrycalc!$D$2:$D$51, "",0), F382="Cover Cap", _xlfn.XLOOKUP(C382, dd_accsrycalc!$A$2:$A$51, dd_accsrycalc!$E$2:$E$51, "",0), F382="Drainage Cover", _xlfn.XLOOKUP(C382, dd_accsrycalc!$A$2:$A$51, dd_accsrycalc!$F$2:$F$51, "",0),AND( F382="Double Adhesive Tape", I382="Roll-up Screen"), _xlfn.XLOOKUP(C382, calc_rusacc!$C$15:$C$65, calc_rusacc!$AD$15:$AD$65, "",0),AND( F382="Sealant", I382="Roll-up Screen"), _xlfn.XLOOKUP(C382, calc_rusacc!$C$15:$C$65, calc_rusacc!$AF$15:$AF$65, "",0),  AND( F382="Main Chain", I382="Accordion Screen"), _xlfn.XLOOKUP(C382, calc_rusacc!$C$15:$C$65, calc_rusacc!$BF$15:$BF$65, "",0), AND( F382="Sealant", I382="Accordion Screen"), _xlfn.XLOOKUP(C382, calc_rusacc!$C$15:$C$65, calc_rusacc!$BJ$15:$BJ$65, "",0),  F382="Sealant", _xlfn.XLOOKUP(C382, dd_accsrycalc!$A$2:$A$51, dd_accsrycalc!$G$2:$G$51, "",0),  F382&lt;&gt;"",L382*_xlfn.XLOOKUP(1, (SKUs!$C$2:$C$10001=G382)*(SKUs!$K$2:$K$10001=I382),SKUs!$E$2:$E$10001)), 0),"")</f>
        <v/>
      </c>
      <c r="E382" s="35" t="str">
        <f>_xlfn.XLOOKUP(F382,dd_item!$B$2:$B$105,dd_item!$C$2:$C$105,"",0)</f>
        <v/>
      </c>
      <c r="F382" s="35"/>
      <c r="G382" s="35" cm="1">
        <f t="array" ref="G382">IFERROR(_xlfn.XLOOKUP(1, (SKUs!$J$2:$J$10001=accsry_unmerged!F382)*IF(H382&lt;&gt;"",(SKUs!$L$2:$L$10001=accsry_unmerged!H382),1)*(SKUs!$K$2:$K$10001=I382),SKUs!$C$2:$C$10001),"")</f>
        <v>0</v>
      </c>
      <c r="H382" s="36" cm="1">
        <f t="array" ref="H382">IFERROR(_xlfn.XLOOKUP(1, (dd_accsryclr!$C$2:$C$1000=accsry_unmerged!F382)*(dd_accsryclr!$B$2:$B$1000=accsry_unmerged!J382),dd_accsryclr!$A$2:$A$1000),"")</f>
        <v>0</v>
      </c>
      <c r="I382" s="35">
        <f>_xlfn.XLOOKUP(C382,'Project Details'!$C$17:$C$66,'Project Details'!$E$17:$E$66,"",0)</f>
        <v>0</v>
      </c>
      <c r="J382" s="35">
        <f>_xlfn.XLOOKUP(C382,'Project Details'!$C$17:$C$66,'Project Details'!$H$17:$H$66,"",0)</f>
        <v>0</v>
      </c>
      <c r="K382" s="36" t="str">
        <f>IF(AND(_xlfn.XLOOKUP(C382,'Project Details'!$C$17:$C$66,'Project Details'!$L$17:$L$66,"",0)&gt;550, F382="Spring-L27cm"),"",SUBSTITUTE(_xlfn.XLOOKUP(G382,SKUs!$C$2:$C$10001,SKUs!$F$2:$F$10001,"",0), " Accessories",""))</f>
        <v/>
      </c>
      <c r="L382" s="36">
        <f>_xlfn.XLOOKUP(C382,'Project Details'!$C$17:$C$66,'Project Details'!$D$17:$D$66,"",0)</f>
        <v>0</v>
      </c>
      <c r="M382" s="43"/>
    </row>
    <row r="383" spans="1:13" x14ac:dyDescent="0.25">
      <c r="A383" s="43"/>
      <c r="B383" s="43"/>
      <c r="C383" s="16">
        <f t="shared" si="6"/>
        <v>8</v>
      </c>
      <c r="D383" s="16" t="str" cm="1">
        <f t="array" ref="D383">IFERROR(ROUNDUP(_xlfn.IFS(F383="Aluminum Track", _xlfn.XLOOKUP(C383, dd_accsrycalc!$A$2:$A$51, dd_accsrycalc!$B$2:$B$51, "",0), F383="10 x 2 1/2 S (Flat)", _xlfn.XLOOKUP(C383, dd_accsrycalc!$A$2:$A$51, dd_accsrycalc!$C$2:$C$51, "",0), F383="Tox6", _xlfn.XLOOKUP(C383, dd_accsrycalc!$A$2:$A$51, dd_accsrycalc!$D$2:$D$51, "",0), F383="Cover Cap", _xlfn.XLOOKUP(C383, dd_accsrycalc!$A$2:$A$51, dd_accsrycalc!$E$2:$E$51, "",0), F383="Drainage Cover", _xlfn.XLOOKUP(C383, dd_accsrycalc!$A$2:$A$51, dd_accsrycalc!$F$2:$F$51, "",0),AND( F383="Double Adhesive Tape", I383="Roll-up Screen"), _xlfn.XLOOKUP(C383, calc_rusacc!$C$15:$C$65, calc_rusacc!$AD$15:$AD$65, "",0),AND( F383="Sealant", I383="Roll-up Screen"), _xlfn.XLOOKUP(C383, calc_rusacc!$C$15:$C$65, calc_rusacc!$AF$15:$AF$65, "",0),  AND( F383="Main Chain", I383="Accordion Screen"), _xlfn.XLOOKUP(C383, calc_rusacc!$C$15:$C$65, calc_rusacc!$BF$15:$BF$65, "",0), AND( F383="Sealant", I383="Accordion Screen"), _xlfn.XLOOKUP(C383, calc_rusacc!$C$15:$C$65, calc_rusacc!$BJ$15:$BJ$65, "",0),  F383="Sealant", _xlfn.XLOOKUP(C383, dd_accsrycalc!$A$2:$A$51, dd_accsrycalc!$G$2:$G$51, "",0),  F383&lt;&gt;"",L383*_xlfn.XLOOKUP(1, (SKUs!$C$2:$C$10001=G383)*(SKUs!$K$2:$K$10001=I383),SKUs!$E$2:$E$10001)), 0),"")</f>
        <v/>
      </c>
      <c r="E383" s="16" t="str">
        <f>_xlfn.XLOOKUP(F383,dd_item!$B$2:$B$105,dd_item!$C$2:$C$105,"",0)</f>
        <v/>
      </c>
      <c r="F383" s="16"/>
      <c r="G383" s="16" cm="1">
        <f t="array" ref="G383">IFERROR(_xlfn.XLOOKUP(1, (SKUs!$J$2:$J$10001=accsry_unmerged!F383)*IF(H383&lt;&gt;"",(SKUs!$L$2:$L$10001=accsry_unmerged!H383),1)*(SKUs!$K$2:$K$10001=I383),SKUs!$C$2:$C$10001),"")</f>
        <v>0</v>
      </c>
      <c r="H383" s="33" cm="1">
        <f t="array" ref="H383">IFERROR(_xlfn.XLOOKUP(1, (dd_accsryclr!$C$2:$C$1000=accsry_unmerged!F383)*(dd_accsryclr!$B$2:$B$1000=accsry_unmerged!J383),dd_accsryclr!$A$2:$A$1000),"")</f>
        <v>0</v>
      </c>
      <c r="I383" s="16">
        <f>_xlfn.XLOOKUP(C383,'Project Details'!$C$17:$C$66,'Project Details'!$E$17:$E$66,"",0)</f>
        <v>0</v>
      </c>
      <c r="J383" s="16">
        <f>_xlfn.XLOOKUP(C383,'Project Details'!$C$17:$C$66,'Project Details'!$H$17:$H$66,"",0)</f>
        <v>0</v>
      </c>
      <c r="K383" s="33" t="str">
        <f>IF(AND(_xlfn.XLOOKUP(C383,'Project Details'!$C$17:$C$66,'Project Details'!$L$17:$L$66,"",0)&gt;550, F383="Spring-L27cm"),"",SUBSTITUTE(_xlfn.XLOOKUP(G383,SKUs!$C$2:$C$10001,SKUs!$F$2:$F$10001,"",0), " Accessories",""))</f>
        <v/>
      </c>
      <c r="L383" s="33">
        <f>_xlfn.XLOOKUP(C383,'Project Details'!$C$17:$C$66,'Project Details'!$D$17:$D$66,"",0)</f>
        <v>0</v>
      </c>
      <c r="M383" s="43"/>
    </row>
    <row r="384" spans="1:13" ht="13.5" customHeight="1" x14ac:dyDescent="0.25">
      <c r="A384" s="43"/>
      <c r="B384" s="43"/>
      <c r="C384" s="35">
        <f t="shared" si="6"/>
        <v>8</v>
      </c>
      <c r="D384" s="35" t="str" cm="1">
        <f t="array" ref="D384">IFERROR(ROUNDUP(_xlfn.IFS(F384="Aluminum Track", _xlfn.XLOOKUP(C384, dd_accsrycalc!$A$2:$A$51, dd_accsrycalc!$B$2:$B$51, "",0), F384="10 x 2 1/2 S (Flat)", _xlfn.XLOOKUP(C384, dd_accsrycalc!$A$2:$A$51, dd_accsrycalc!$C$2:$C$51, "",0), F384="Tox6", _xlfn.XLOOKUP(C384, dd_accsrycalc!$A$2:$A$51, dd_accsrycalc!$D$2:$D$51, "",0), F384="Cover Cap", _xlfn.XLOOKUP(C384, dd_accsrycalc!$A$2:$A$51, dd_accsrycalc!$E$2:$E$51, "",0), F384="Drainage Cover", _xlfn.XLOOKUP(C384, dd_accsrycalc!$A$2:$A$51, dd_accsrycalc!$F$2:$F$51, "",0),AND( F384="Double Adhesive Tape", I384="Roll-up Screen"), _xlfn.XLOOKUP(C384, calc_rusacc!$C$15:$C$65, calc_rusacc!$AD$15:$AD$65, "",0),AND( F384="Sealant", I384="Roll-up Screen"), _xlfn.XLOOKUP(C384, calc_rusacc!$C$15:$C$65, calc_rusacc!$AF$15:$AF$65, "",0),  AND( F384="Main Chain", I384="Accordion Screen"), _xlfn.XLOOKUP(C384, calc_rusacc!$C$15:$C$65, calc_rusacc!$BF$15:$BF$65, "",0), AND( F384="Sealant", I384="Accordion Screen"), _xlfn.XLOOKUP(C384, calc_rusacc!$C$15:$C$65, calc_rusacc!$BJ$15:$BJ$65, "",0),  F384="Sealant", _xlfn.XLOOKUP(C384, dd_accsrycalc!$A$2:$A$51, dd_accsrycalc!$G$2:$G$51, "",0),  F384&lt;&gt;"",L384*_xlfn.XLOOKUP(1, (SKUs!$C$2:$C$10001=G384)*(SKUs!$K$2:$K$10001=I384),SKUs!$E$2:$E$10001)), 0),"")</f>
        <v/>
      </c>
      <c r="E384" s="35" t="str">
        <f>_xlfn.XLOOKUP(F384,dd_item!$B$2:$B$105,dd_item!$C$2:$C$105,"",0)</f>
        <v/>
      </c>
      <c r="F384" s="35"/>
      <c r="G384" s="35" cm="1">
        <f t="array" ref="G384">IFERROR(_xlfn.XLOOKUP(1, (SKUs!$J$2:$J$10001=accsry_unmerged!F384)*IF(H384&lt;&gt;"",(SKUs!$L$2:$L$10001=accsry_unmerged!H384),1)*(SKUs!$K$2:$K$10001=I384),SKUs!$C$2:$C$10001),"")</f>
        <v>0</v>
      </c>
      <c r="H384" s="36" cm="1">
        <f t="array" ref="H384">IFERROR(_xlfn.XLOOKUP(1, (dd_accsryclr!$C$2:$C$1000=accsry_unmerged!F384)*(dd_accsryclr!$B$2:$B$1000=accsry_unmerged!J384),dd_accsryclr!$A$2:$A$1000),"")</f>
        <v>0</v>
      </c>
      <c r="I384" s="35">
        <f>_xlfn.XLOOKUP(C384,'Project Details'!$C$17:$C$66,'Project Details'!$E$17:$E$66,"",0)</f>
        <v>0</v>
      </c>
      <c r="J384" s="35">
        <f>_xlfn.XLOOKUP(C384,'Project Details'!$C$17:$C$66,'Project Details'!$H$17:$H$66,"",0)</f>
        <v>0</v>
      </c>
      <c r="K384" s="36" t="str">
        <f>IF(AND(_xlfn.XLOOKUP(C384,'Project Details'!$C$17:$C$66,'Project Details'!$L$17:$L$66,"",0)&gt;550, F384="Spring-L27cm"),"",SUBSTITUTE(_xlfn.XLOOKUP(G384,SKUs!$C$2:$C$10001,SKUs!$F$2:$F$10001,"",0), " Accessories",""))</f>
        <v/>
      </c>
      <c r="L384" s="36">
        <f>_xlfn.XLOOKUP(C384,'Project Details'!$C$17:$C$66,'Project Details'!$D$17:$D$66,"",0)</f>
        <v>0</v>
      </c>
      <c r="M384" s="43"/>
    </row>
    <row r="385" spans="1:13" ht="13.5" customHeight="1" x14ac:dyDescent="0.25">
      <c r="A385" s="43"/>
      <c r="B385" s="43"/>
      <c r="C385" s="16">
        <f t="shared" si="6"/>
        <v>8</v>
      </c>
      <c r="D385" s="16" t="str" cm="1">
        <f t="array" ref="D385">IFERROR(ROUNDUP(_xlfn.IFS(F385="Aluminum Track", _xlfn.XLOOKUP(C385, dd_accsrycalc!$A$2:$A$51, dd_accsrycalc!$B$2:$B$51, "",0), F385="10 x 2 1/2 S (Flat)", _xlfn.XLOOKUP(C385, dd_accsrycalc!$A$2:$A$51, dd_accsrycalc!$C$2:$C$51, "",0), F385="Tox6", _xlfn.XLOOKUP(C385, dd_accsrycalc!$A$2:$A$51, dd_accsrycalc!$D$2:$D$51, "",0), F385="Cover Cap", _xlfn.XLOOKUP(C385, dd_accsrycalc!$A$2:$A$51, dd_accsrycalc!$E$2:$E$51, "",0), F385="Drainage Cover", _xlfn.XLOOKUP(C385, dd_accsrycalc!$A$2:$A$51, dd_accsrycalc!$F$2:$F$51, "",0),AND( F385="Double Adhesive Tape", I385="Roll-up Screen"), _xlfn.XLOOKUP(C385, calc_rusacc!$C$15:$C$65, calc_rusacc!$AD$15:$AD$65, "",0),AND( F385="Sealant", I385="Roll-up Screen"), _xlfn.XLOOKUP(C385, calc_rusacc!$C$15:$C$65, calc_rusacc!$AF$15:$AF$65, "",0),  AND( F385="Main Chain", I385="Accordion Screen"), _xlfn.XLOOKUP(C385, calc_rusacc!$C$15:$C$65, calc_rusacc!$BF$15:$BF$65, "",0), AND( F385="Sealant", I385="Accordion Screen"), _xlfn.XLOOKUP(C385, calc_rusacc!$C$15:$C$65, calc_rusacc!$BJ$15:$BJ$65, "",0),  F385="Sealant", _xlfn.XLOOKUP(C385, dd_accsrycalc!$A$2:$A$51, dd_accsrycalc!$G$2:$G$51, "",0),  F385&lt;&gt;"",L385*_xlfn.XLOOKUP(1, (SKUs!$C$2:$C$10001=G385)*(SKUs!$K$2:$K$10001=I385),SKUs!$E$2:$E$10001)), 0),"")</f>
        <v/>
      </c>
      <c r="E385" s="16" t="str">
        <f>_xlfn.XLOOKUP(F385,dd_item!$B$2:$B$105,dd_item!$C$2:$C$105,"",0)</f>
        <v/>
      </c>
      <c r="F385" s="16"/>
      <c r="G385" s="16" cm="1">
        <f t="array" ref="G385">IFERROR(_xlfn.XLOOKUP(1, (SKUs!$J$2:$J$10001=accsry_unmerged!F385)*IF(H385&lt;&gt;"",(SKUs!$L$2:$L$10001=accsry_unmerged!H385),1)*(SKUs!$K$2:$K$10001=I385),SKUs!$C$2:$C$10001),"")</f>
        <v>0</v>
      </c>
      <c r="H385" s="33" cm="1">
        <f t="array" ref="H385">IFERROR(_xlfn.XLOOKUP(1, (dd_accsryclr!$C$2:$C$1000=accsry_unmerged!F385)*(dd_accsryclr!$B$2:$B$1000=accsry_unmerged!J385),dd_accsryclr!$A$2:$A$1000),"")</f>
        <v>0</v>
      </c>
      <c r="I385" s="16">
        <f>_xlfn.XLOOKUP(C385,'Project Details'!$C$17:$C$66,'Project Details'!$E$17:$E$66,"",0)</f>
        <v>0</v>
      </c>
      <c r="J385" s="16">
        <f>_xlfn.XLOOKUP(C385,'Project Details'!$C$17:$C$66,'Project Details'!$H$17:$H$66,"",0)</f>
        <v>0</v>
      </c>
      <c r="K385" s="33" t="str">
        <f>IF(AND(_xlfn.XLOOKUP(C385,'Project Details'!$C$17:$C$66,'Project Details'!$L$17:$L$66,"",0)&gt;550, F385="Spring-L27cm"),"",SUBSTITUTE(_xlfn.XLOOKUP(G385,SKUs!$C$2:$C$10001,SKUs!$F$2:$F$10001,"",0), " Accessories",""))</f>
        <v/>
      </c>
      <c r="L385" s="33">
        <f>_xlfn.XLOOKUP(C385,'Project Details'!$C$17:$C$66,'Project Details'!$D$17:$D$66,"",0)</f>
        <v>0</v>
      </c>
      <c r="M385" s="43"/>
    </row>
    <row r="386" spans="1:13" ht="13.5" customHeight="1" x14ac:dyDescent="0.25">
      <c r="A386" s="43"/>
      <c r="B386" s="43"/>
      <c r="C386" s="35">
        <f t="shared" si="6"/>
        <v>8</v>
      </c>
      <c r="D386" s="35" t="str" cm="1">
        <f t="array" ref="D386">IFERROR(ROUNDUP(_xlfn.IFS(F386="Aluminum Track", _xlfn.XLOOKUP(C386, dd_accsrycalc!$A$2:$A$51, dd_accsrycalc!$B$2:$B$51, "",0), F386="10 x 2 1/2 S (Flat)", _xlfn.XLOOKUP(C386, dd_accsrycalc!$A$2:$A$51, dd_accsrycalc!$C$2:$C$51, "",0), F386="Tox6", _xlfn.XLOOKUP(C386, dd_accsrycalc!$A$2:$A$51, dd_accsrycalc!$D$2:$D$51, "",0), F386="Cover Cap", _xlfn.XLOOKUP(C386, dd_accsrycalc!$A$2:$A$51, dd_accsrycalc!$E$2:$E$51, "",0), F386="Drainage Cover", _xlfn.XLOOKUP(C386, dd_accsrycalc!$A$2:$A$51, dd_accsrycalc!$F$2:$F$51, "",0),AND( F386="Double Adhesive Tape", I386="Roll-up Screen"), _xlfn.XLOOKUP(C386, calc_rusacc!$C$15:$C$65, calc_rusacc!$AD$15:$AD$65, "",0),AND( F386="Sealant", I386="Roll-up Screen"), _xlfn.XLOOKUP(C386, calc_rusacc!$C$15:$C$65, calc_rusacc!$AF$15:$AF$65, "",0),  AND( F386="Main Chain", I386="Accordion Screen"), _xlfn.XLOOKUP(C386, calc_rusacc!$C$15:$C$65, calc_rusacc!$BF$15:$BF$65, "",0), AND( F386="Sealant", I386="Accordion Screen"), _xlfn.XLOOKUP(C386, calc_rusacc!$C$15:$C$65, calc_rusacc!$BJ$15:$BJ$65, "",0),  F386="Sealant", _xlfn.XLOOKUP(C386, dd_accsrycalc!$A$2:$A$51, dd_accsrycalc!$G$2:$G$51, "",0),  F386&lt;&gt;"",L386*_xlfn.XLOOKUP(1, (SKUs!$C$2:$C$10001=G386)*(SKUs!$K$2:$K$10001=I386),SKUs!$E$2:$E$10001)), 0),"")</f>
        <v/>
      </c>
      <c r="E386" s="35" t="str">
        <f>_xlfn.XLOOKUP(F386,dd_item!$B$2:$B$105,dd_item!$C$2:$C$105,"",0)</f>
        <v/>
      </c>
      <c r="F386" s="35"/>
      <c r="G386" s="35" cm="1">
        <f t="array" ref="G386">IFERROR(_xlfn.XLOOKUP(1, (SKUs!$J$2:$J$10001=accsry_unmerged!F386)*IF(H386&lt;&gt;"",(SKUs!$L$2:$L$10001=accsry_unmerged!H386),1)*(SKUs!$K$2:$K$10001=I386),SKUs!$C$2:$C$10001),"")</f>
        <v>0</v>
      </c>
      <c r="H386" s="36" cm="1">
        <f t="array" ref="H386">IFERROR(_xlfn.XLOOKUP(1, (dd_accsryclr!$C$2:$C$1000=accsry_unmerged!F386)*(dd_accsryclr!$B$2:$B$1000=accsry_unmerged!J386),dd_accsryclr!$A$2:$A$1000),"")</f>
        <v>0</v>
      </c>
      <c r="I386" s="35">
        <f>_xlfn.XLOOKUP(C386,'Project Details'!$C$17:$C$66,'Project Details'!$E$17:$E$66,"",0)</f>
        <v>0</v>
      </c>
      <c r="J386" s="35">
        <f>_xlfn.XLOOKUP(C386,'Project Details'!$C$17:$C$66,'Project Details'!$H$17:$H$66,"",0)</f>
        <v>0</v>
      </c>
      <c r="K386" s="36" t="str">
        <f>IF(AND(_xlfn.XLOOKUP(C386,'Project Details'!$C$17:$C$66,'Project Details'!$L$17:$L$66,"",0)&gt;550, F386="Spring-L27cm"),"",SUBSTITUTE(_xlfn.XLOOKUP(G386,SKUs!$C$2:$C$10001,SKUs!$F$2:$F$10001,"",0), " Accessories",""))</f>
        <v/>
      </c>
      <c r="L386" s="36">
        <f>_xlfn.XLOOKUP(C386,'Project Details'!$C$17:$C$66,'Project Details'!$D$17:$D$66,"",0)</f>
        <v>0</v>
      </c>
      <c r="M386" s="43"/>
    </row>
    <row r="387" spans="1:13" ht="13.5" customHeight="1" x14ac:dyDescent="0.25">
      <c r="A387" s="43"/>
      <c r="B387" s="43"/>
      <c r="C387" s="16">
        <f t="shared" si="6"/>
        <v>8</v>
      </c>
      <c r="D387" s="16" t="str" cm="1">
        <f t="array" ref="D387">IFERROR(ROUNDUP(_xlfn.IFS(F387="Aluminum Track", _xlfn.XLOOKUP(C387, dd_accsrycalc!$A$2:$A$51, dd_accsrycalc!$B$2:$B$51, "",0), F387="10 x 2 1/2 S (Flat)", _xlfn.XLOOKUP(C387, dd_accsrycalc!$A$2:$A$51, dd_accsrycalc!$C$2:$C$51, "",0), F387="Tox6", _xlfn.XLOOKUP(C387, dd_accsrycalc!$A$2:$A$51, dd_accsrycalc!$D$2:$D$51, "",0), F387="Cover Cap", _xlfn.XLOOKUP(C387, dd_accsrycalc!$A$2:$A$51, dd_accsrycalc!$E$2:$E$51, "",0), F387="Drainage Cover", _xlfn.XLOOKUP(C387, dd_accsrycalc!$A$2:$A$51, dd_accsrycalc!$F$2:$F$51, "",0),AND( F387="Double Adhesive Tape", I387="Roll-up Screen"), _xlfn.XLOOKUP(C387, calc_rusacc!$C$15:$C$65, calc_rusacc!$AD$15:$AD$65, "",0),AND( F387="Sealant", I387="Roll-up Screen"), _xlfn.XLOOKUP(C387, calc_rusacc!$C$15:$C$65, calc_rusacc!$AF$15:$AF$65, "",0),  AND( F387="Main Chain", I387="Accordion Screen"), _xlfn.XLOOKUP(C387, calc_rusacc!$C$15:$C$65, calc_rusacc!$BF$15:$BF$65, "",0), AND( F387="Sealant", I387="Accordion Screen"), _xlfn.XLOOKUP(C387, calc_rusacc!$C$15:$C$65, calc_rusacc!$BJ$15:$BJ$65, "",0),  F387="Sealant", _xlfn.XLOOKUP(C387, dd_accsrycalc!$A$2:$A$51, dd_accsrycalc!$G$2:$G$51, "",0),  F387&lt;&gt;"",L387*_xlfn.XLOOKUP(1, (SKUs!$C$2:$C$10001=G387)*(SKUs!$K$2:$K$10001=I387),SKUs!$E$2:$E$10001)), 0),"")</f>
        <v/>
      </c>
      <c r="E387" s="16" t="str">
        <f>_xlfn.XLOOKUP(F387,dd_item!$B$2:$B$105,dd_item!$C$2:$C$105,"",0)</f>
        <v/>
      </c>
      <c r="F387" s="16"/>
      <c r="G387" s="16" cm="1">
        <f t="array" ref="G387">IFERROR(_xlfn.XLOOKUP(1, (SKUs!$J$2:$J$10001=accsry_unmerged!F387)*IF(H387&lt;&gt;"",(SKUs!$L$2:$L$10001=accsry_unmerged!H387),1)*(SKUs!$K$2:$K$10001=I387),SKUs!$C$2:$C$10001),"")</f>
        <v>0</v>
      </c>
      <c r="H387" s="33" cm="1">
        <f t="array" ref="H387">IFERROR(_xlfn.XLOOKUP(1, (dd_accsryclr!$C$2:$C$1000=accsry_unmerged!F387)*(dd_accsryclr!$B$2:$B$1000=accsry_unmerged!J387),dd_accsryclr!$A$2:$A$1000),"")</f>
        <v>0</v>
      </c>
      <c r="I387" s="16">
        <f>_xlfn.XLOOKUP(C387,'Project Details'!$C$17:$C$66,'Project Details'!$E$17:$E$66,"",0)</f>
        <v>0</v>
      </c>
      <c r="J387" s="16">
        <f>_xlfn.XLOOKUP(C387,'Project Details'!$C$17:$C$66,'Project Details'!$H$17:$H$66,"",0)</f>
        <v>0</v>
      </c>
      <c r="K387" s="33" t="str">
        <f>IF(AND(_xlfn.XLOOKUP(C387,'Project Details'!$C$17:$C$66,'Project Details'!$L$17:$L$66,"",0)&gt;550, F387="Spring-L27cm"),"",SUBSTITUTE(_xlfn.XLOOKUP(G387,SKUs!$C$2:$C$10001,SKUs!$F$2:$F$10001,"",0), " Accessories",""))</f>
        <v/>
      </c>
      <c r="L387" s="33">
        <f>_xlfn.XLOOKUP(C387,'Project Details'!$C$17:$C$66,'Project Details'!$D$17:$D$66,"",0)</f>
        <v>0</v>
      </c>
      <c r="M387" s="43"/>
    </row>
    <row r="388" spans="1:13" ht="13.5" customHeight="1" x14ac:dyDescent="0.25">
      <c r="A388" s="43"/>
      <c r="B388" s="43"/>
      <c r="C388" s="35">
        <f t="shared" si="6"/>
        <v>8</v>
      </c>
      <c r="D388" s="35" t="str" cm="1">
        <f t="array" ref="D388">IFERROR(ROUNDUP(_xlfn.IFS(F388="Aluminum Track", _xlfn.XLOOKUP(C388, dd_accsrycalc!$A$2:$A$51, dd_accsrycalc!$B$2:$B$51, "",0), F388="10 x 2 1/2 S (Flat)", _xlfn.XLOOKUP(C388, dd_accsrycalc!$A$2:$A$51, dd_accsrycalc!$C$2:$C$51, "",0), F388="Tox6", _xlfn.XLOOKUP(C388, dd_accsrycalc!$A$2:$A$51, dd_accsrycalc!$D$2:$D$51, "",0), F388="Cover Cap", _xlfn.XLOOKUP(C388, dd_accsrycalc!$A$2:$A$51, dd_accsrycalc!$E$2:$E$51, "",0), F388="Drainage Cover", _xlfn.XLOOKUP(C388, dd_accsrycalc!$A$2:$A$51, dd_accsrycalc!$F$2:$F$51, "",0),AND( F388="Double Adhesive Tape", I388="Roll-up Screen"), _xlfn.XLOOKUP(C388, calc_rusacc!$C$15:$C$65, calc_rusacc!$AD$15:$AD$65, "",0),AND( F388="Sealant", I388="Roll-up Screen"), _xlfn.XLOOKUP(C388, calc_rusacc!$C$15:$C$65, calc_rusacc!$AF$15:$AF$65, "",0),  AND( F388="Main Chain", I388="Accordion Screen"), _xlfn.XLOOKUP(C388, calc_rusacc!$C$15:$C$65, calc_rusacc!$BF$15:$BF$65, "",0), AND( F388="Sealant", I388="Accordion Screen"), _xlfn.XLOOKUP(C388, calc_rusacc!$C$15:$C$65, calc_rusacc!$BJ$15:$BJ$65, "",0),  F388="Sealant", _xlfn.XLOOKUP(C388, dd_accsrycalc!$A$2:$A$51, dd_accsrycalc!$G$2:$G$51, "",0),  F388&lt;&gt;"",L388*_xlfn.XLOOKUP(1, (SKUs!$C$2:$C$10001=G388)*(SKUs!$K$2:$K$10001=I388),SKUs!$E$2:$E$10001)), 0),"")</f>
        <v/>
      </c>
      <c r="E388" s="35" t="str">
        <f>_xlfn.XLOOKUP(F388,dd_item!$B$2:$B$105,dd_item!$C$2:$C$105,"",0)</f>
        <v/>
      </c>
      <c r="F388" s="35"/>
      <c r="G388" s="35" cm="1">
        <f t="array" ref="G388">IFERROR(_xlfn.XLOOKUP(1, (SKUs!$J$2:$J$10001=accsry_unmerged!F388)*IF(H388&lt;&gt;"",(SKUs!$L$2:$L$10001=accsry_unmerged!H388),1)*(SKUs!$K$2:$K$10001=I388),SKUs!$C$2:$C$10001),"")</f>
        <v>0</v>
      </c>
      <c r="H388" s="36" cm="1">
        <f t="array" ref="H388">IFERROR(_xlfn.XLOOKUP(1, (dd_accsryclr!$C$2:$C$1000=accsry_unmerged!F388)*(dd_accsryclr!$B$2:$B$1000=accsry_unmerged!J388),dd_accsryclr!$A$2:$A$1000),"")</f>
        <v>0</v>
      </c>
      <c r="I388" s="35">
        <f>_xlfn.XLOOKUP(C388,'Project Details'!$C$17:$C$66,'Project Details'!$E$17:$E$66,"",0)</f>
        <v>0</v>
      </c>
      <c r="J388" s="35">
        <f>_xlfn.XLOOKUP(C388,'Project Details'!$C$17:$C$66,'Project Details'!$H$17:$H$66,"",0)</f>
        <v>0</v>
      </c>
      <c r="K388" s="36" t="str">
        <f>IF(AND(_xlfn.XLOOKUP(C388,'Project Details'!$C$17:$C$66,'Project Details'!$L$17:$L$66,"",0)&gt;550, F388="Spring-L27cm"),"",SUBSTITUTE(_xlfn.XLOOKUP(G388,SKUs!$C$2:$C$10001,SKUs!$F$2:$F$10001,"",0), " Accessories",""))</f>
        <v/>
      </c>
      <c r="L388" s="36">
        <f>_xlfn.XLOOKUP(C388,'Project Details'!$C$17:$C$66,'Project Details'!$D$17:$D$66,"",0)</f>
        <v>0</v>
      </c>
      <c r="M388" s="43"/>
    </row>
    <row r="389" spans="1:13" ht="13.5" customHeight="1" x14ac:dyDescent="0.25">
      <c r="A389" s="43"/>
      <c r="B389" s="43"/>
      <c r="C389" s="16">
        <f t="shared" si="6"/>
        <v>8</v>
      </c>
      <c r="D389" s="16" t="str" cm="1">
        <f t="array" ref="D389">IFERROR(ROUNDUP(_xlfn.IFS(F389="Aluminum Track", _xlfn.XLOOKUP(C389, dd_accsrycalc!$A$2:$A$51, dd_accsrycalc!$B$2:$B$51, "",0), F389="10 x 2 1/2 S (Flat)", _xlfn.XLOOKUP(C389, dd_accsrycalc!$A$2:$A$51, dd_accsrycalc!$C$2:$C$51, "",0), F389="Tox6", _xlfn.XLOOKUP(C389, dd_accsrycalc!$A$2:$A$51, dd_accsrycalc!$D$2:$D$51, "",0), F389="Cover Cap", _xlfn.XLOOKUP(C389, dd_accsrycalc!$A$2:$A$51, dd_accsrycalc!$E$2:$E$51, "",0), F389="Drainage Cover", _xlfn.XLOOKUP(C389, dd_accsrycalc!$A$2:$A$51, dd_accsrycalc!$F$2:$F$51, "",0),AND( F389="Double Adhesive Tape", I389="Roll-up Screen"), _xlfn.XLOOKUP(C389, calc_rusacc!$C$15:$C$65, calc_rusacc!$AD$15:$AD$65, "",0),AND( F389="Sealant", I389="Roll-up Screen"), _xlfn.XLOOKUP(C389, calc_rusacc!$C$15:$C$65, calc_rusacc!$AF$15:$AF$65, "",0),  AND( F389="Main Chain", I389="Accordion Screen"), _xlfn.XLOOKUP(C389, calc_rusacc!$C$15:$C$65, calc_rusacc!$BF$15:$BF$65, "",0), AND( F389="Sealant", I389="Accordion Screen"), _xlfn.XLOOKUP(C389, calc_rusacc!$C$15:$C$65, calc_rusacc!$BJ$15:$BJ$65, "",0),  F389="Sealant", _xlfn.XLOOKUP(C389, dd_accsrycalc!$A$2:$A$51, dd_accsrycalc!$G$2:$G$51, "",0),  F389&lt;&gt;"",L389*_xlfn.XLOOKUP(1, (SKUs!$C$2:$C$10001=G389)*(SKUs!$K$2:$K$10001=I389),SKUs!$E$2:$E$10001)), 0),"")</f>
        <v/>
      </c>
      <c r="E389" s="16" t="str">
        <f>_xlfn.XLOOKUP(F389,dd_item!$B$2:$B$105,dd_item!$C$2:$C$105,"",0)</f>
        <v/>
      </c>
      <c r="F389" s="16"/>
      <c r="G389" s="16" cm="1">
        <f t="array" ref="G389">IFERROR(_xlfn.XLOOKUP(1, (SKUs!$J$2:$J$10001=accsry_unmerged!F389)*IF(H389&lt;&gt;"",(SKUs!$L$2:$L$10001=accsry_unmerged!H389),1)*(SKUs!$K$2:$K$10001=I389),SKUs!$C$2:$C$10001),"")</f>
        <v>0</v>
      </c>
      <c r="H389" s="33" cm="1">
        <f t="array" ref="H389">IFERROR(_xlfn.XLOOKUP(1, (dd_accsryclr!$C$2:$C$1000=accsry_unmerged!F389)*(dd_accsryclr!$B$2:$B$1000=accsry_unmerged!J389),dd_accsryclr!$A$2:$A$1000),"")</f>
        <v>0</v>
      </c>
      <c r="I389" s="16">
        <f>_xlfn.XLOOKUP(C389,'Project Details'!$C$17:$C$66,'Project Details'!$E$17:$E$66,"",0)</f>
        <v>0</v>
      </c>
      <c r="J389" s="16">
        <f>_xlfn.XLOOKUP(C389,'Project Details'!$C$17:$C$66,'Project Details'!$H$17:$H$66,"",0)</f>
        <v>0</v>
      </c>
      <c r="K389" s="33" t="str">
        <f>IF(AND(_xlfn.XLOOKUP(C389,'Project Details'!$C$17:$C$66,'Project Details'!$L$17:$L$66,"",0)&gt;550, F389="Spring-L27cm"),"",SUBSTITUTE(_xlfn.XLOOKUP(G389,SKUs!$C$2:$C$10001,SKUs!$F$2:$F$10001,"",0), " Accessories",""))</f>
        <v/>
      </c>
      <c r="L389" s="33">
        <f>_xlfn.XLOOKUP(C389,'Project Details'!$C$17:$C$66,'Project Details'!$D$17:$D$66,"",0)</f>
        <v>0</v>
      </c>
      <c r="M389" s="43"/>
    </row>
    <row r="390" spans="1:13" ht="13.5" customHeight="1" x14ac:dyDescent="0.25">
      <c r="A390" s="43"/>
      <c r="B390" s="43"/>
      <c r="C390" s="35">
        <f t="shared" si="6"/>
        <v>8</v>
      </c>
      <c r="D390" s="35" t="str" cm="1">
        <f t="array" ref="D390">IFERROR(ROUNDUP(_xlfn.IFS(F390="Aluminum Track", _xlfn.XLOOKUP(C390, dd_accsrycalc!$A$2:$A$51, dd_accsrycalc!$B$2:$B$51, "",0), F390="10 x 2 1/2 S (Flat)", _xlfn.XLOOKUP(C390, dd_accsrycalc!$A$2:$A$51, dd_accsrycalc!$C$2:$C$51, "",0), F390="Tox6", _xlfn.XLOOKUP(C390, dd_accsrycalc!$A$2:$A$51, dd_accsrycalc!$D$2:$D$51, "",0), F390="Cover Cap", _xlfn.XLOOKUP(C390, dd_accsrycalc!$A$2:$A$51, dd_accsrycalc!$E$2:$E$51, "",0), F390="Drainage Cover", _xlfn.XLOOKUP(C390, dd_accsrycalc!$A$2:$A$51, dd_accsrycalc!$F$2:$F$51, "",0),AND( F390="Double Adhesive Tape", I390="Roll-up Screen"), _xlfn.XLOOKUP(C390, calc_rusacc!$C$15:$C$65, calc_rusacc!$AD$15:$AD$65, "",0),AND( F390="Sealant", I390="Roll-up Screen"), _xlfn.XLOOKUP(C390, calc_rusacc!$C$15:$C$65, calc_rusacc!$AF$15:$AF$65, "",0),  AND( F390="Main Chain", I390="Accordion Screen"), _xlfn.XLOOKUP(C390, calc_rusacc!$C$15:$C$65, calc_rusacc!$BF$15:$BF$65, "",0), AND( F390="Sealant", I390="Accordion Screen"), _xlfn.XLOOKUP(C390, calc_rusacc!$C$15:$C$65, calc_rusacc!$BJ$15:$BJ$65, "",0),  F390="Sealant", _xlfn.XLOOKUP(C390, dd_accsrycalc!$A$2:$A$51, dd_accsrycalc!$G$2:$G$51, "",0),  F390&lt;&gt;"",L390*_xlfn.XLOOKUP(1, (SKUs!$C$2:$C$10001=G390)*(SKUs!$K$2:$K$10001=I390),SKUs!$E$2:$E$10001)), 0),"")</f>
        <v/>
      </c>
      <c r="E390" s="35" t="str">
        <f>_xlfn.XLOOKUP(F390,dd_item!$B$2:$B$105,dd_item!$C$2:$C$105,"",0)</f>
        <v/>
      </c>
      <c r="F390" s="35"/>
      <c r="G390" s="35" cm="1">
        <f t="array" ref="G390">IFERROR(_xlfn.XLOOKUP(1, (SKUs!$J$2:$J$10001=accsry_unmerged!F390)*IF(H390&lt;&gt;"",(SKUs!$L$2:$L$10001=accsry_unmerged!H390),1)*(SKUs!$K$2:$K$10001=I390),SKUs!$C$2:$C$10001),"")</f>
        <v>0</v>
      </c>
      <c r="H390" s="36" cm="1">
        <f t="array" ref="H390">IFERROR(_xlfn.XLOOKUP(1, (dd_accsryclr!$C$2:$C$1000=accsry_unmerged!F390)*(dd_accsryclr!$B$2:$B$1000=accsry_unmerged!J390),dd_accsryclr!$A$2:$A$1000),"")</f>
        <v>0</v>
      </c>
      <c r="I390" s="35">
        <f>_xlfn.XLOOKUP(C390,'Project Details'!$C$17:$C$66,'Project Details'!$E$17:$E$66,"",0)</f>
        <v>0</v>
      </c>
      <c r="J390" s="35">
        <f>_xlfn.XLOOKUP(C390,'Project Details'!$C$17:$C$66,'Project Details'!$H$17:$H$66,"",0)</f>
        <v>0</v>
      </c>
      <c r="K390" s="36" t="str">
        <f>IF(AND(_xlfn.XLOOKUP(C390,'Project Details'!$C$17:$C$66,'Project Details'!$L$17:$L$66,"",0)&gt;550, F390="Spring-L27cm"),"",SUBSTITUTE(_xlfn.XLOOKUP(G390,SKUs!$C$2:$C$10001,SKUs!$F$2:$F$10001,"",0), " Accessories",""))</f>
        <v/>
      </c>
      <c r="L390" s="36">
        <f>_xlfn.XLOOKUP(C390,'Project Details'!$C$17:$C$66,'Project Details'!$D$17:$D$66,"",0)</f>
        <v>0</v>
      </c>
      <c r="M390" s="43"/>
    </row>
    <row r="391" spans="1:13" ht="13.5" customHeight="1" x14ac:dyDescent="0.25">
      <c r="A391" s="43"/>
      <c r="B391" s="43"/>
      <c r="C391" s="16">
        <f t="shared" si="6"/>
        <v>8</v>
      </c>
      <c r="D391" s="16" t="str" cm="1">
        <f t="array" ref="D391">IFERROR(ROUNDUP(_xlfn.IFS(F391="Aluminum Track", _xlfn.XLOOKUP(C391, dd_accsrycalc!$A$2:$A$51, dd_accsrycalc!$B$2:$B$51, "",0), F391="10 x 2 1/2 S (Flat)", _xlfn.XLOOKUP(C391, dd_accsrycalc!$A$2:$A$51, dd_accsrycalc!$C$2:$C$51, "",0), F391="Tox6", _xlfn.XLOOKUP(C391, dd_accsrycalc!$A$2:$A$51, dd_accsrycalc!$D$2:$D$51, "",0), F391="Cover Cap", _xlfn.XLOOKUP(C391, dd_accsrycalc!$A$2:$A$51, dd_accsrycalc!$E$2:$E$51, "",0), F391="Drainage Cover", _xlfn.XLOOKUP(C391, dd_accsrycalc!$A$2:$A$51, dd_accsrycalc!$F$2:$F$51, "",0),AND( F391="Double Adhesive Tape", I391="Roll-up Screen"), _xlfn.XLOOKUP(C391, calc_rusacc!$C$15:$C$65, calc_rusacc!$AD$15:$AD$65, "",0),AND( F391="Sealant", I391="Roll-up Screen"), _xlfn.XLOOKUP(C391, calc_rusacc!$C$15:$C$65, calc_rusacc!$AF$15:$AF$65, "",0),  AND( F391="Main Chain", I391="Accordion Screen"), _xlfn.XLOOKUP(C391, calc_rusacc!$C$15:$C$65, calc_rusacc!$BF$15:$BF$65, "",0), AND( F391="Sealant", I391="Accordion Screen"), _xlfn.XLOOKUP(C391, calc_rusacc!$C$15:$C$65, calc_rusacc!$BJ$15:$BJ$65, "",0),  F391="Sealant", _xlfn.XLOOKUP(C391, dd_accsrycalc!$A$2:$A$51, dd_accsrycalc!$G$2:$G$51, "",0),  F391&lt;&gt;"",L391*_xlfn.XLOOKUP(1, (SKUs!$C$2:$C$10001=G391)*(SKUs!$K$2:$K$10001=I391),SKUs!$E$2:$E$10001)), 0),"")</f>
        <v/>
      </c>
      <c r="E391" s="16" t="str">
        <f>_xlfn.XLOOKUP(F391,dd_item!$B$2:$B$105,dd_item!$C$2:$C$105,"",0)</f>
        <v/>
      </c>
      <c r="F391" s="16"/>
      <c r="G391" s="16" cm="1">
        <f t="array" ref="G391">IFERROR(_xlfn.XLOOKUP(1, (SKUs!$J$2:$J$10001=accsry_unmerged!F391)*IF(H391&lt;&gt;"",(SKUs!$L$2:$L$10001=accsry_unmerged!H391),1)*(SKUs!$K$2:$K$10001=I391),SKUs!$C$2:$C$10001),"")</f>
        <v>0</v>
      </c>
      <c r="H391" s="33" cm="1">
        <f t="array" ref="H391">IFERROR(_xlfn.XLOOKUP(1, (dd_accsryclr!$C$2:$C$1000=accsry_unmerged!F391)*(dd_accsryclr!$B$2:$B$1000=accsry_unmerged!J391),dd_accsryclr!$A$2:$A$1000),"")</f>
        <v>0</v>
      </c>
      <c r="I391" s="16">
        <f>_xlfn.XLOOKUP(C391,'Project Details'!$C$17:$C$66,'Project Details'!$E$17:$E$66,"",0)</f>
        <v>0</v>
      </c>
      <c r="J391" s="16">
        <f>_xlfn.XLOOKUP(C391,'Project Details'!$C$17:$C$66,'Project Details'!$H$17:$H$66,"",0)</f>
        <v>0</v>
      </c>
      <c r="K391" s="33" t="str">
        <f>IF(AND(_xlfn.XLOOKUP(C391,'Project Details'!$C$17:$C$66,'Project Details'!$L$17:$L$66,"",0)&gt;550, F391="Spring-L27cm"),"",SUBSTITUTE(_xlfn.XLOOKUP(G391,SKUs!$C$2:$C$10001,SKUs!$F$2:$F$10001,"",0), " Accessories",""))</f>
        <v/>
      </c>
      <c r="L391" s="33">
        <f>_xlfn.XLOOKUP(C391,'Project Details'!$C$17:$C$66,'Project Details'!$D$17:$D$66,"",0)</f>
        <v>0</v>
      </c>
      <c r="M391" s="43"/>
    </row>
    <row r="392" spans="1:13" ht="13.5" customHeight="1" x14ac:dyDescent="0.25">
      <c r="A392" s="43"/>
      <c r="B392" s="43"/>
      <c r="C392" s="35">
        <f t="shared" si="6"/>
        <v>8</v>
      </c>
      <c r="D392" s="35" t="str" cm="1">
        <f t="array" ref="D392">IFERROR(ROUNDUP(_xlfn.IFS(F392="Aluminum Track", _xlfn.XLOOKUP(C392, dd_accsrycalc!$A$2:$A$51, dd_accsrycalc!$B$2:$B$51, "",0), F392="10 x 2 1/2 S (Flat)", _xlfn.XLOOKUP(C392, dd_accsrycalc!$A$2:$A$51, dd_accsrycalc!$C$2:$C$51, "",0), F392="Tox6", _xlfn.XLOOKUP(C392, dd_accsrycalc!$A$2:$A$51, dd_accsrycalc!$D$2:$D$51, "",0), F392="Cover Cap", _xlfn.XLOOKUP(C392, dd_accsrycalc!$A$2:$A$51, dd_accsrycalc!$E$2:$E$51, "",0), F392="Drainage Cover", _xlfn.XLOOKUP(C392, dd_accsrycalc!$A$2:$A$51, dd_accsrycalc!$F$2:$F$51, "",0),AND( F392="Double Adhesive Tape", I392="Roll-up Screen"), _xlfn.XLOOKUP(C392, calc_rusacc!$C$15:$C$65, calc_rusacc!$AD$15:$AD$65, "",0),AND( F392="Sealant", I392="Roll-up Screen"), _xlfn.XLOOKUP(C392, calc_rusacc!$C$15:$C$65, calc_rusacc!$AF$15:$AF$65, "",0),  AND( F392="Main Chain", I392="Accordion Screen"), _xlfn.XLOOKUP(C392, calc_rusacc!$C$15:$C$65, calc_rusacc!$BF$15:$BF$65, "",0), AND( F392="Sealant", I392="Accordion Screen"), _xlfn.XLOOKUP(C392, calc_rusacc!$C$15:$C$65, calc_rusacc!$BJ$15:$BJ$65, "",0),  F392="Sealant", _xlfn.XLOOKUP(C392, dd_accsrycalc!$A$2:$A$51, dd_accsrycalc!$G$2:$G$51, "",0),  F392&lt;&gt;"",L392*_xlfn.XLOOKUP(1, (SKUs!$C$2:$C$10001=G392)*(SKUs!$K$2:$K$10001=I392),SKUs!$E$2:$E$10001)), 0),"")</f>
        <v/>
      </c>
      <c r="E392" s="35" t="str">
        <f>_xlfn.XLOOKUP(F392,dd_item!$B$2:$B$105,dd_item!$C$2:$C$105,"",0)</f>
        <v/>
      </c>
      <c r="F392" s="35"/>
      <c r="G392" s="35" cm="1">
        <f t="array" ref="G392">IFERROR(_xlfn.XLOOKUP(1, (SKUs!$J$2:$J$10001=accsry_unmerged!F392)*IF(H392&lt;&gt;"",(SKUs!$L$2:$L$10001=accsry_unmerged!H392),1)*(SKUs!$K$2:$K$10001=I392),SKUs!$C$2:$C$10001),"")</f>
        <v>0</v>
      </c>
      <c r="H392" s="36" cm="1">
        <f t="array" ref="H392">IFERROR(_xlfn.XLOOKUP(1, (dd_accsryclr!$C$2:$C$1000=accsry_unmerged!F392)*(dd_accsryclr!$B$2:$B$1000=accsry_unmerged!J392),dd_accsryclr!$A$2:$A$1000),"")</f>
        <v>0</v>
      </c>
      <c r="I392" s="35">
        <f>_xlfn.XLOOKUP(C392,'Project Details'!$C$17:$C$66,'Project Details'!$E$17:$E$66,"",0)</f>
        <v>0</v>
      </c>
      <c r="J392" s="35">
        <f>_xlfn.XLOOKUP(C392,'Project Details'!$C$17:$C$66,'Project Details'!$H$17:$H$66,"",0)</f>
        <v>0</v>
      </c>
      <c r="K392" s="36" t="str">
        <f>IF(AND(_xlfn.XLOOKUP(C392,'Project Details'!$C$17:$C$66,'Project Details'!$L$17:$L$66,"",0)&gt;550, F392="Spring-L27cm"),"",SUBSTITUTE(_xlfn.XLOOKUP(G392,SKUs!$C$2:$C$10001,SKUs!$F$2:$F$10001,"",0), " Accessories",""))</f>
        <v/>
      </c>
      <c r="L392" s="36">
        <f>_xlfn.XLOOKUP(C392,'Project Details'!$C$17:$C$66,'Project Details'!$D$17:$D$66,"",0)</f>
        <v>0</v>
      </c>
      <c r="M392" s="43"/>
    </row>
    <row r="393" spans="1:13" ht="13.5" customHeight="1" x14ac:dyDescent="0.25">
      <c r="A393" s="43"/>
      <c r="B393" s="43"/>
      <c r="C393" s="16">
        <f t="shared" si="6"/>
        <v>8</v>
      </c>
      <c r="D393" s="16" t="str" cm="1">
        <f t="array" ref="D393">IFERROR(ROUNDUP(_xlfn.IFS(F393="Aluminum Track", _xlfn.XLOOKUP(C393, dd_accsrycalc!$A$2:$A$51, dd_accsrycalc!$B$2:$B$51, "",0), F393="10 x 2 1/2 S (Flat)", _xlfn.XLOOKUP(C393, dd_accsrycalc!$A$2:$A$51, dd_accsrycalc!$C$2:$C$51, "",0), F393="Tox6", _xlfn.XLOOKUP(C393, dd_accsrycalc!$A$2:$A$51, dd_accsrycalc!$D$2:$D$51, "",0), F393="Cover Cap", _xlfn.XLOOKUP(C393, dd_accsrycalc!$A$2:$A$51, dd_accsrycalc!$E$2:$E$51, "",0), F393="Drainage Cover", _xlfn.XLOOKUP(C393, dd_accsrycalc!$A$2:$A$51, dd_accsrycalc!$F$2:$F$51, "",0),AND( F393="Double Adhesive Tape", I393="Roll-up Screen"), _xlfn.XLOOKUP(C393, calc_rusacc!$C$15:$C$65, calc_rusacc!$AD$15:$AD$65, "",0),AND( F393="Sealant", I393="Roll-up Screen"), _xlfn.XLOOKUP(C393, calc_rusacc!$C$15:$C$65, calc_rusacc!$AF$15:$AF$65, "",0),  AND( F393="Main Chain", I393="Accordion Screen"), _xlfn.XLOOKUP(C393, calc_rusacc!$C$15:$C$65, calc_rusacc!$BF$15:$BF$65, "",0), AND( F393="Sealant", I393="Accordion Screen"), _xlfn.XLOOKUP(C393, calc_rusacc!$C$15:$C$65, calc_rusacc!$BJ$15:$BJ$65, "",0),  F393="Sealant", _xlfn.XLOOKUP(C393, dd_accsrycalc!$A$2:$A$51, dd_accsrycalc!$G$2:$G$51, "",0),  F393&lt;&gt;"",L393*_xlfn.XLOOKUP(1, (SKUs!$C$2:$C$10001=G393)*(SKUs!$K$2:$K$10001=I393),SKUs!$E$2:$E$10001)), 0),"")</f>
        <v/>
      </c>
      <c r="E393" s="16" t="str">
        <f>_xlfn.XLOOKUP(F393,dd_item!$B$2:$B$105,dd_item!$C$2:$C$105,"",0)</f>
        <v/>
      </c>
      <c r="F393" s="16"/>
      <c r="G393" s="16" cm="1">
        <f t="array" ref="G393">IFERROR(_xlfn.XLOOKUP(1, (SKUs!$J$2:$J$10001=accsry_unmerged!F393)*IF(H393&lt;&gt;"",(SKUs!$L$2:$L$10001=accsry_unmerged!H393),1)*(SKUs!$K$2:$K$10001=I393),SKUs!$C$2:$C$10001),"")</f>
        <v>0</v>
      </c>
      <c r="H393" s="33" cm="1">
        <f t="array" ref="H393">IFERROR(_xlfn.XLOOKUP(1, (dd_accsryclr!$C$2:$C$1000=accsry_unmerged!F393)*(dd_accsryclr!$B$2:$B$1000=accsry_unmerged!J393),dd_accsryclr!$A$2:$A$1000),"")</f>
        <v>0</v>
      </c>
      <c r="I393" s="16">
        <f>_xlfn.XLOOKUP(C393,'Project Details'!$C$17:$C$66,'Project Details'!$E$17:$E$66,"",0)</f>
        <v>0</v>
      </c>
      <c r="J393" s="16">
        <f>_xlfn.XLOOKUP(C393,'Project Details'!$C$17:$C$66,'Project Details'!$H$17:$H$66,"",0)</f>
        <v>0</v>
      </c>
      <c r="K393" s="33" t="str">
        <f>IF(AND(_xlfn.XLOOKUP(C393,'Project Details'!$C$17:$C$66,'Project Details'!$L$17:$L$66,"",0)&gt;550, F393="Spring-L27cm"),"",SUBSTITUTE(_xlfn.XLOOKUP(G393,SKUs!$C$2:$C$10001,SKUs!$F$2:$F$10001,"",0), " Accessories",""))</f>
        <v/>
      </c>
      <c r="L393" s="33">
        <f>_xlfn.XLOOKUP(C393,'Project Details'!$C$17:$C$66,'Project Details'!$D$17:$D$66,"",0)</f>
        <v>0</v>
      </c>
      <c r="M393" s="43"/>
    </row>
    <row r="394" spans="1:13" ht="13.5" customHeight="1" x14ac:dyDescent="0.25">
      <c r="A394" s="43"/>
      <c r="B394" s="43"/>
      <c r="C394" s="35">
        <f t="shared" si="6"/>
        <v>8</v>
      </c>
      <c r="D394" s="35" t="str" cm="1">
        <f t="array" ref="D394">IFERROR(ROUNDUP(_xlfn.IFS(F394="Aluminum Track", _xlfn.XLOOKUP(C394, dd_accsrycalc!$A$2:$A$51, dd_accsrycalc!$B$2:$B$51, "",0), F394="10 x 2 1/2 S (Flat)", _xlfn.XLOOKUP(C394, dd_accsrycalc!$A$2:$A$51, dd_accsrycalc!$C$2:$C$51, "",0), F394="Tox6", _xlfn.XLOOKUP(C394, dd_accsrycalc!$A$2:$A$51, dd_accsrycalc!$D$2:$D$51, "",0), F394="Cover Cap", _xlfn.XLOOKUP(C394, dd_accsrycalc!$A$2:$A$51, dd_accsrycalc!$E$2:$E$51, "",0), F394="Drainage Cover", _xlfn.XLOOKUP(C394, dd_accsrycalc!$A$2:$A$51, dd_accsrycalc!$F$2:$F$51, "",0),AND( F394="Double Adhesive Tape", I394="Roll-up Screen"), _xlfn.XLOOKUP(C394, calc_rusacc!$C$15:$C$65, calc_rusacc!$AD$15:$AD$65, "",0),AND( F394="Sealant", I394="Roll-up Screen"), _xlfn.XLOOKUP(C394, calc_rusacc!$C$15:$C$65, calc_rusacc!$AF$15:$AF$65, "",0),  AND( F394="Main Chain", I394="Accordion Screen"), _xlfn.XLOOKUP(C394, calc_rusacc!$C$15:$C$65, calc_rusacc!$BF$15:$BF$65, "",0), AND( F394="Sealant", I394="Accordion Screen"), _xlfn.XLOOKUP(C394, calc_rusacc!$C$15:$C$65, calc_rusacc!$BJ$15:$BJ$65, "",0),  F394="Sealant", _xlfn.XLOOKUP(C394, dd_accsrycalc!$A$2:$A$51, dd_accsrycalc!$G$2:$G$51, "",0),  F394&lt;&gt;"",L394*_xlfn.XLOOKUP(1, (SKUs!$C$2:$C$10001=G394)*(SKUs!$K$2:$K$10001=I394),SKUs!$E$2:$E$10001)), 0),"")</f>
        <v/>
      </c>
      <c r="E394" s="35" t="str">
        <f>_xlfn.XLOOKUP(F394,dd_item!$B$2:$B$105,dd_item!$C$2:$C$105,"",0)</f>
        <v/>
      </c>
      <c r="F394" s="35"/>
      <c r="G394" s="35" cm="1">
        <f t="array" ref="G394">IFERROR(_xlfn.XLOOKUP(1, (SKUs!$J$2:$J$10001=accsry_unmerged!F394)*IF(H394&lt;&gt;"",(SKUs!$L$2:$L$10001=accsry_unmerged!H394),1)*(SKUs!$K$2:$K$10001=I394),SKUs!$C$2:$C$10001),"")</f>
        <v>0</v>
      </c>
      <c r="H394" s="36" cm="1">
        <f t="array" ref="H394">IFERROR(_xlfn.XLOOKUP(1, (dd_accsryclr!$C$2:$C$1000=accsry_unmerged!F394)*(dd_accsryclr!$B$2:$B$1000=accsry_unmerged!J394),dd_accsryclr!$A$2:$A$1000),"")</f>
        <v>0</v>
      </c>
      <c r="I394" s="35">
        <f>_xlfn.XLOOKUP(C394,'Project Details'!$C$17:$C$66,'Project Details'!$E$17:$E$66,"",0)</f>
        <v>0</v>
      </c>
      <c r="J394" s="35">
        <f>_xlfn.XLOOKUP(C394,'Project Details'!$C$17:$C$66,'Project Details'!$H$17:$H$66,"",0)</f>
        <v>0</v>
      </c>
      <c r="K394" s="36" t="str">
        <f>IF(AND(_xlfn.XLOOKUP(C394,'Project Details'!$C$17:$C$66,'Project Details'!$L$17:$L$66,"",0)&gt;550, F394="Spring-L27cm"),"",SUBSTITUTE(_xlfn.XLOOKUP(G394,SKUs!$C$2:$C$10001,SKUs!$F$2:$F$10001,"",0), " Accessories",""))</f>
        <v/>
      </c>
      <c r="L394" s="36">
        <f>_xlfn.XLOOKUP(C394,'Project Details'!$C$17:$C$66,'Project Details'!$D$17:$D$66,"",0)</f>
        <v>0</v>
      </c>
      <c r="M394" s="43"/>
    </row>
    <row r="395" spans="1:13" ht="13.5" customHeight="1" outlineLevel="1" x14ac:dyDescent="0.25">
      <c r="A395" s="43"/>
      <c r="B395" s="43"/>
      <c r="C395" s="16">
        <f t="shared" si="6"/>
        <v>8</v>
      </c>
      <c r="D395" s="16" t="str" cm="1">
        <f t="array" ref="D395">IFERROR(ROUNDUP(_xlfn.IFS(F395="Aluminum Track", _xlfn.XLOOKUP(C395, dd_accsrycalc!$A$2:$A$51, dd_accsrycalc!$B$2:$B$51, "",0), F395="10 x 2 1/2 S (Flat)", _xlfn.XLOOKUP(C395, dd_accsrycalc!$A$2:$A$51, dd_accsrycalc!$C$2:$C$51, "",0), F395="Tox6", _xlfn.XLOOKUP(C395, dd_accsrycalc!$A$2:$A$51, dd_accsrycalc!$D$2:$D$51, "",0), F395="Cover Cap", _xlfn.XLOOKUP(C395, dd_accsrycalc!$A$2:$A$51, dd_accsrycalc!$E$2:$E$51, "",0), F395="Drainage Cover", _xlfn.XLOOKUP(C395, dd_accsrycalc!$A$2:$A$51, dd_accsrycalc!$F$2:$F$51, "",0),AND( F395="Double Adhesive Tape", I395="Roll-up Screen"), _xlfn.XLOOKUP(C395, calc_rusacc!$C$15:$C$65, calc_rusacc!$AD$15:$AD$65, "",0),AND( F395="Sealant", I395="Roll-up Screen"), _xlfn.XLOOKUP(C395, calc_rusacc!$C$15:$C$65, calc_rusacc!$AF$15:$AF$65, "",0),  AND( F395="Main Chain", I395="Accordion Screen"), _xlfn.XLOOKUP(C395, calc_rusacc!$C$15:$C$65, calc_rusacc!$BF$15:$BF$65, "",0), AND( F395="Sealant", I395="Accordion Screen"), _xlfn.XLOOKUP(C395, calc_rusacc!$C$15:$C$65, calc_rusacc!$BJ$15:$BJ$65, "",0),  F395="Sealant", _xlfn.XLOOKUP(C395, dd_accsrycalc!$A$2:$A$51, dd_accsrycalc!$G$2:$G$51, "",0),  F395&lt;&gt;"",L395*_xlfn.XLOOKUP(1, (SKUs!$C$2:$C$10001=G395)*(SKUs!$K$2:$K$10001=I395),SKUs!$E$2:$E$10001)), 0),"")</f>
        <v/>
      </c>
      <c r="E395" s="16" t="str">
        <f>_xlfn.XLOOKUP(F395,dd_item!$B$2:$B$105,dd_item!$C$2:$C$105,"",0)</f>
        <v/>
      </c>
      <c r="F395" s="16"/>
      <c r="G395" s="16" cm="1">
        <f t="array" ref="G395">IFERROR(_xlfn.XLOOKUP(1, (SKUs!$J$2:$J$10001=accsry_unmerged!F395)*IF(H395&lt;&gt;"",(SKUs!$L$2:$L$10001=accsry_unmerged!H395),1)*(SKUs!$K$2:$K$10001=I395),SKUs!$C$2:$C$10001),"")</f>
        <v>0</v>
      </c>
      <c r="H395" s="33" cm="1">
        <f t="array" ref="H395">IFERROR(_xlfn.XLOOKUP(1, (dd_accsryclr!$C$2:$C$1000=accsry_unmerged!F395)*(dd_accsryclr!$B$2:$B$1000=accsry_unmerged!J395),dd_accsryclr!$A$2:$A$1000),"")</f>
        <v>0</v>
      </c>
      <c r="I395" s="16">
        <f>_xlfn.XLOOKUP(C395,'Project Details'!$C$17:$C$66,'Project Details'!$E$17:$E$66,"",0)</f>
        <v>0</v>
      </c>
      <c r="J395" s="16">
        <f>_xlfn.XLOOKUP(C395,'Project Details'!$C$17:$C$66,'Project Details'!$H$17:$H$66,"",0)</f>
        <v>0</v>
      </c>
      <c r="K395" s="33" t="str">
        <f>IF(AND(_xlfn.XLOOKUP(C395,'Project Details'!$C$17:$C$66,'Project Details'!$L$17:$L$66,"",0)&gt;550, F395="Spring-L27cm"),"",SUBSTITUTE(_xlfn.XLOOKUP(G395,SKUs!$C$2:$C$10001,SKUs!$F$2:$F$10001,"",0), " Accessories",""))</f>
        <v/>
      </c>
      <c r="L395" s="33">
        <f>_xlfn.XLOOKUP(C395,'Project Details'!$C$17:$C$66,'Project Details'!$D$17:$D$66,"",0)</f>
        <v>0</v>
      </c>
      <c r="M395" s="43"/>
    </row>
    <row r="396" spans="1:13" ht="13.5" customHeight="1" outlineLevel="1" x14ac:dyDescent="0.25">
      <c r="A396" s="43"/>
      <c r="B396" s="43"/>
      <c r="C396" s="35">
        <f t="shared" si="6"/>
        <v>8</v>
      </c>
      <c r="D396" s="35" t="str" cm="1">
        <f t="array" ref="D396">IFERROR(ROUNDUP(_xlfn.IFS(F396="Aluminum Track", _xlfn.XLOOKUP(C396, dd_accsrycalc!$A$2:$A$51, dd_accsrycalc!$B$2:$B$51, "",0), F396="10 x 2 1/2 S (Flat)", _xlfn.XLOOKUP(C396, dd_accsrycalc!$A$2:$A$51, dd_accsrycalc!$C$2:$C$51, "",0), F396="Tox6", _xlfn.XLOOKUP(C396, dd_accsrycalc!$A$2:$A$51, dd_accsrycalc!$D$2:$D$51, "",0), F396="Cover Cap", _xlfn.XLOOKUP(C396, dd_accsrycalc!$A$2:$A$51, dd_accsrycalc!$E$2:$E$51, "",0), F396="Drainage Cover", _xlfn.XLOOKUP(C396, dd_accsrycalc!$A$2:$A$51, dd_accsrycalc!$F$2:$F$51, "",0),AND( F396="Double Adhesive Tape", I396="Roll-up Screen"), _xlfn.XLOOKUP(C396, calc_rusacc!$C$15:$C$65, calc_rusacc!$AD$15:$AD$65, "",0),AND( F396="Sealant", I396="Roll-up Screen"), _xlfn.XLOOKUP(C396, calc_rusacc!$C$15:$C$65, calc_rusacc!$AF$15:$AF$65, "",0),  AND( F396="Main Chain", I396="Accordion Screen"), _xlfn.XLOOKUP(C396, calc_rusacc!$C$15:$C$65, calc_rusacc!$BF$15:$BF$65, "",0), AND( F396="Sealant", I396="Accordion Screen"), _xlfn.XLOOKUP(C396, calc_rusacc!$C$15:$C$65, calc_rusacc!$BJ$15:$BJ$65, "",0),  F396="Sealant", _xlfn.XLOOKUP(C396, dd_accsrycalc!$A$2:$A$51, dd_accsrycalc!$G$2:$G$51, "",0),  F396&lt;&gt;"",L396*_xlfn.XLOOKUP(1, (SKUs!$C$2:$C$10001=G396)*(SKUs!$K$2:$K$10001=I396),SKUs!$E$2:$E$10001)), 0),"")</f>
        <v/>
      </c>
      <c r="E396" s="35" t="str">
        <f>_xlfn.XLOOKUP(F396,dd_item!$B$2:$B$105,dd_item!$C$2:$C$105,"",0)</f>
        <v/>
      </c>
      <c r="F396" s="35"/>
      <c r="G396" s="35" cm="1">
        <f t="array" ref="G396">IFERROR(_xlfn.XLOOKUP(1, (SKUs!$J$2:$J$10001=accsry_unmerged!F396)*IF(H396&lt;&gt;"",(SKUs!$L$2:$L$10001=accsry_unmerged!H396),1)*(SKUs!$K$2:$K$10001=I396),SKUs!$C$2:$C$10001),"")</f>
        <v>0</v>
      </c>
      <c r="H396" s="36" cm="1">
        <f t="array" ref="H396">IFERROR(_xlfn.XLOOKUP(1, (dd_accsryclr!$C$2:$C$1000=accsry_unmerged!F396)*(dd_accsryclr!$B$2:$B$1000=accsry_unmerged!J396),dd_accsryclr!$A$2:$A$1000),"")</f>
        <v>0</v>
      </c>
      <c r="I396" s="35">
        <f>_xlfn.XLOOKUP(C396,'Project Details'!$C$17:$C$66,'Project Details'!$E$17:$E$66,"",0)</f>
        <v>0</v>
      </c>
      <c r="J396" s="35">
        <f>_xlfn.XLOOKUP(C396,'Project Details'!$C$17:$C$66,'Project Details'!$H$17:$H$66,"",0)</f>
        <v>0</v>
      </c>
      <c r="K396" s="36" t="str">
        <f>IF(AND(_xlfn.XLOOKUP(C396,'Project Details'!$C$17:$C$66,'Project Details'!$L$17:$L$66,"",0)&gt;550, F396="Spring-L27cm"),"",SUBSTITUTE(_xlfn.XLOOKUP(G396,SKUs!$C$2:$C$10001,SKUs!$F$2:$F$10001,"",0), " Accessories",""))</f>
        <v/>
      </c>
      <c r="L396" s="36">
        <f>_xlfn.XLOOKUP(C396,'Project Details'!$C$17:$C$66,'Project Details'!$D$17:$D$66,"",0)</f>
        <v>0</v>
      </c>
      <c r="M396" s="43"/>
    </row>
    <row r="397" spans="1:13" ht="13.5" customHeight="1" outlineLevel="1" x14ac:dyDescent="0.25">
      <c r="A397" s="43"/>
      <c r="B397" s="43"/>
      <c r="C397" s="16">
        <f t="shared" si="6"/>
        <v>8</v>
      </c>
      <c r="D397" s="16" t="str" cm="1">
        <f t="array" ref="D397">IFERROR(ROUNDUP(_xlfn.IFS(F397="Aluminum Track", _xlfn.XLOOKUP(C397, dd_accsrycalc!$A$2:$A$51, dd_accsrycalc!$B$2:$B$51, "",0), F397="10 x 2 1/2 S (Flat)", _xlfn.XLOOKUP(C397, dd_accsrycalc!$A$2:$A$51, dd_accsrycalc!$C$2:$C$51, "",0), F397="Tox6", _xlfn.XLOOKUP(C397, dd_accsrycalc!$A$2:$A$51, dd_accsrycalc!$D$2:$D$51, "",0), F397="Cover Cap", _xlfn.XLOOKUP(C397, dd_accsrycalc!$A$2:$A$51, dd_accsrycalc!$E$2:$E$51, "",0), F397="Drainage Cover", _xlfn.XLOOKUP(C397, dd_accsrycalc!$A$2:$A$51, dd_accsrycalc!$F$2:$F$51, "",0),AND( F397="Double Adhesive Tape", I397="Roll-up Screen"), _xlfn.XLOOKUP(C397, calc_rusacc!$C$15:$C$65, calc_rusacc!$AD$15:$AD$65, "",0),AND( F397="Sealant", I397="Roll-up Screen"), _xlfn.XLOOKUP(C397, calc_rusacc!$C$15:$C$65, calc_rusacc!$AF$15:$AF$65, "",0),  AND( F397="Main Chain", I397="Accordion Screen"), _xlfn.XLOOKUP(C397, calc_rusacc!$C$15:$C$65, calc_rusacc!$BF$15:$BF$65, "",0), AND( F397="Sealant", I397="Accordion Screen"), _xlfn.XLOOKUP(C397, calc_rusacc!$C$15:$C$65, calc_rusacc!$BJ$15:$BJ$65, "",0),  F397="Sealant", _xlfn.XLOOKUP(C397, dd_accsrycalc!$A$2:$A$51, dd_accsrycalc!$G$2:$G$51, "",0),  F397&lt;&gt;"",L397*_xlfn.XLOOKUP(1, (SKUs!$C$2:$C$10001=G397)*(SKUs!$K$2:$K$10001=I397),SKUs!$E$2:$E$10001)), 0),"")</f>
        <v/>
      </c>
      <c r="E397" s="16" t="str">
        <f>_xlfn.XLOOKUP(F397,dd_item!$B$2:$B$105,dd_item!$C$2:$C$105,"",0)</f>
        <v/>
      </c>
      <c r="F397" s="16"/>
      <c r="G397" s="16" cm="1">
        <f t="array" ref="G397">IFERROR(_xlfn.XLOOKUP(1, (SKUs!$J$2:$J$10001=accsry_unmerged!F397)*IF(H397&lt;&gt;"",(SKUs!$L$2:$L$10001=accsry_unmerged!H397),1)*(SKUs!$K$2:$K$10001=I397),SKUs!$C$2:$C$10001),"")</f>
        <v>0</v>
      </c>
      <c r="H397" s="33" cm="1">
        <f t="array" ref="H397">IFERROR(_xlfn.XLOOKUP(1, (dd_accsryclr!$C$2:$C$1000=accsry_unmerged!F397)*(dd_accsryclr!$B$2:$B$1000=accsry_unmerged!J397),dd_accsryclr!$A$2:$A$1000),"")</f>
        <v>0</v>
      </c>
      <c r="I397" s="16">
        <f>_xlfn.XLOOKUP(C397,'Project Details'!$C$17:$C$66,'Project Details'!$E$17:$E$66,"",0)</f>
        <v>0</v>
      </c>
      <c r="J397" s="16">
        <f>_xlfn.XLOOKUP(C397,'Project Details'!$C$17:$C$66,'Project Details'!$H$17:$H$66,"",0)</f>
        <v>0</v>
      </c>
      <c r="K397" s="33" t="str">
        <f>IF(AND(_xlfn.XLOOKUP(C397,'Project Details'!$C$17:$C$66,'Project Details'!$L$17:$L$66,"",0)&gt;550, F397="Spring-L27cm"),"",SUBSTITUTE(_xlfn.XLOOKUP(G397,SKUs!$C$2:$C$10001,SKUs!$F$2:$F$10001,"",0), " Accessories",""))</f>
        <v/>
      </c>
      <c r="L397" s="33">
        <f>_xlfn.XLOOKUP(C397,'Project Details'!$C$17:$C$66,'Project Details'!$D$17:$D$66,"",0)</f>
        <v>0</v>
      </c>
      <c r="M397" s="43"/>
    </row>
    <row r="398" spans="1:13" ht="13.5" customHeight="1" outlineLevel="1" x14ac:dyDescent="0.25">
      <c r="A398" s="43"/>
      <c r="B398" s="43"/>
      <c r="C398" s="35">
        <f t="shared" si="6"/>
        <v>8</v>
      </c>
      <c r="D398" s="35" t="str" cm="1">
        <f t="array" ref="D398">IFERROR(ROUNDUP(_xlfn.IFS(F398="Aluminum Track", _xlfn.XLOOKUP(C398, dd_accsrycalc!$A$2:$A$51, dd_accsrycalc!$B$2:$B$51, "",0), F398="10 x 2 1/2 S (Flat)", _xlfn.XLOOKUP(C398, dd_accsrycalc!$A$2:$A$51, dd_accsrycalc!$C$2:$C$51, "",0), F398="Tox6", _xlfn.XLOOKUP(C398, dd_accsrycalc!$A$2:$A$51, dd_accsrycalc!$D$2:$D$51, "",0), F398="Cover Cap", _xlfn.XLOOKUP(C398, dd_accsrycalc!$A$2:$A$51, dd_accsrycalc!$E$2:$E$51, "",0), F398="Drainage Cover", _xlfn.XLOOKUP(C398, dd_accsrycalc!$A$2:$A$51, dd_accsrycalc!$F$2:$F$51, "",0),AND( F398="Double Adhesive Tape", I398="Roll-up Screen"), _xlfn.XLOOKUP(C398, calc_rusacc!$C$15:$C$65, calc_rusacc!$AD$15:$AD$65, "",0),AND( F398="Sealant", I398="Roll-up Screen"), _xlfn.XLOOKUP(C398, calc_rusacc!$C$15:$C$65, calc_rusacc!$AF$15:$AF$65, "",0),  AND( F398="Main Chain", I398="Accordion Screen"), _xlfn.XLOOKUP(C398, calc_rusacc!$C$15:$C$65, calc_rusacc!$BF$15:$BF$65, "",0), AND( F398="Sealant", I398="Accordion Screen"), _xlfn.XLOOKUP(C398, calc_rusacc!$C$15:$C$65, calc_rusacc!$BJ$15:$BJ$65, "",0),  F398="Sealant", _xlfn.XLOOKUP(C398, dd_accsrycalc!$A$2:$A$51, dd_accsrycalc!$G$2:$G$51, "",0),  F398&lt;&gt;"",L398*_xlfn.XLOOKUP(1, (SKUs!$C$2:$C$10001=G398)*(SKUs!$K$2:$K$10001=I398),SKUs!$E$2:$E$10001)), 0),"")</f>
        <v/>
      </c>
      <c r="E398" s="35" t="str">
        <f>_xlfn.XLOOKUP(F398,dd_item!$B$2:$B$105,dd_item!$C$2:$C$105,"",0)</f>
        <v/>
      </c>
      <c r="F398" s="35"/>
      <c r="G398" s="35" cm="1">
        <f t="array" ref="G398">IFERROR(_xlfn.XLOOKUP(1, (SKUs!$J$2:$J$10001=accsry_unmerged!F398)*IF(H398&lt;&gt;"",(SKUs!$L$2:$L$10001=accsry_unmerged!H398),1)*(SKUs!$K$2:$K$10001=I398),SKUs!$C$2:$C$10001),"")</f>
        <v>0</v>
      </c>
      <c r="H398" s="36" cm="1">
        <f t="array" ref="H398">IFERROR(_xlfn.XLOOKUP(1, (dd_accsryclr!$C$2:$C$1000=accsry_unmerged!F398)*(dd_accsryclr!$B$2:$B$1000=accsry_unmerged!J398),dd_accsryclr!$A$2:$A$1000),"")</f>
        <v>0</v>
      </c>
      <c r="I398" s="35">
        <f>_xlfn.XLOOKUP(C398,'Project Details'!$C$17:$C$66,'Project Details'!$E$17:$E$66,"",0)</f>
        <v>0</v>
      </c>
      <c r="J398" s="35">
        <f>_xlfn.XLOOKUP(C398,'Project Details'!$C$17:$C$66,'Project Details'!$H$17:$H$66,"",0)</f>
        <v>0</v>
      </c>
      <c r="K398" s="36" t="str">
        <f>IF(AND(_xlfn.XLOOKUP(C398,'Project Details'!$C$17:$C$66,'Project Details'!$L$17:$L$66,"",0)&gt;550, F398="Spring-L27cm"),"",SUBSTITUTE(_xlfn.XLOOKUP(G398,SKUs!$C$2:$C$10001,SKUs!$F$2:$F$10001,"",0), " Accessories",""))</f>
        <v/>
      </c>
      <c r="L398" s="36">
        <f>_xlfn.XLOOKUP(C398,'Project Details'!$C$17:$C$66,'Project Details'!$D$17:$D$66,"",0)</f>
        <v>0</v>
      </c>
      <c r="M398" s="43"/>
    </row>
    <row r="399" spans="1:13" ht="13.5" customHeight="1" outlineLevel="1" x14ac:dyDescent="0.25">
      <c r="A399" s="43"/>
      <c r="B399" s="43"/>
      <c r="C399" s="16">
        <f t="shared" si="6"/>
        <v>8</v>
      </c>
      <c r="D399" s="16" t="str" cm="1">
        <f t="array" ref="D399">IFERROR(ROUNDUP(_xlfn.IFS(F399="Aluminum Track", _xlfn.XLOOKUP(C399, dd_accsrycalc!$A$2:$A$51, dd_accsrycalc!$B$2:$B$51, "",0), F399="10 x 2 1/2 S (Flat)", _xlfn.XLOOKUP(C399, dd_accsrycalc!$A$2:$A$51, dd_accsrycalc!$C$2:$C$51, "",0), F399="Tox6", _xlfn.XLOOKUP(C399, dd_accsrycalc!$A$2:$A$51, dd_accsrycalc!$D$2:$D$51, "",0), F399="Cover Cap", _xlfn.XLOOKUP(C399, dd_accsrycalc!$A$2:$A$51, dd_accsrycalc!$E$2:$E$51, "",0), F399="Drainage Cover", _xlfn.XLOOKUP(C399, dd_accsrycalc!$A$2:$A$51, dd_accsrycalc!$F$2:$F$51, "",0),AND( F399="Double Adhesive Tape", I399="Roll-up Screen"), _xlfn.XLOOKUP(C399, calc_rusacc!$C$15:$C$65, calc_rusacc!$AD$15:$AD$65, "",0),AND( F399="Sealant", I399="Roll-up Screen"), _xlfn.XLOOKUP(C399, calc_rusacc!$C$15:$C$65, calc_rusacc!$AF$15:$AF$65, "",0),  AND( F399="Main Chain", I399="Accordion Screen"), _xlfn.XLOOKUP(C399, calc_rusacc!$C$15:$C$65, calc_rusacc!$BF$15:$BF$65, "",0), AND( F399="Sealant", I399="Accordion Screen"), _xlfn.XLOOKUP(C399, calc_rusacc!$C$15:$C$65, calc_rusacc!$BJ$15:$BJ$65, "",0),  F399="Sealant", _xlfn.XLOOKUP(C399, dd_accsrycalc!$A$2:$A$51, dd_accsrycalc!$G$2:$G$51, "",0),  F399&lt;&gt;"",L399*_xlfn.XLOOKUP(1, (SKUs!$C$2:$C$10001=G399)*(SKUs!$K$2:$K$10001=I399),SKUs!$E$2:$E$10001)), 0),"")</f>
        <v/>
      </c>
      <c r="E399" s="16" t="str">
        <f>_xlfn.XLOOKUP(F399,dd_item!$B$2:$B$105,dd_item!$C$2:$C$105,"",0)</f>
        <v/>
      </c>
      <c r="F399" s="16"/>
      <c r="G399" s="16" cm="1">
        <f t="array" ref="G399">IFERROR(_xlfn.XLOOKUP(1, (SKUs!$J$2:$J$10001=accsry_unmerged!F399)*IF(H399&lt;&gt;"",(SKUs!$L$2:$L$10001=accsry_unmerged!H399),1)*(SKUs!$K$2:$K$10001=I399),SKUs!$C$2:$C$10001),"")</f>
        <v>0</v>
      </c>
      <c r="H399" s="33" cm="1">
        <f t="array" ref="H399">IFERROR(_xlfn.XLOOKUP(1, (dd_accsryclr!$C$2:$C$1000=accsry_unmerged!F399)*(dd_accsryclr!$B$2:$B$1000=accsry_unmerged!J399),dd_accsryclr!$A$2:$A$1000),"")</f>
        <v>0</v>
      </c>
      <c r="I399" s="16">
        <f>_xlfn.XLOOKUP(C399,'Project Details'!$C$17:$C$66,'Project Details'!$E$17:$E$66,"",0)</f>
        <v>0</v>
      </c>
      <c r="J399" s="16">
        <f>_xlfn.XLOOKUP(C399,'Project Details'!$C$17:$C$66,'Project Details'!$H$17:$H$66,"",0)</f>
        <v>0</v>
      </c>
      <c r="K399" s="33" t="str">
        <f>IF(AND(_xlfn.XLOOKUP(C399,'Project Details'!$C$17:$C$66,'Project Details'!$L$17:$L$66,"",0)&gt;550, F399="Spring-L27cm"),"",SUBSTITUTE(_xlfn.XLOOKUP(G399,SKUs!$C$2:$C$10001,SKUs!$F$2:$F$10001,"",0), " Accessories",""))</f>
        <v/>
      </c>
      <c r="L399" s="33">
        <f>_xlfn.XLOOKUP(C399,'Project Details'!$C$17:$C$66,'Project Details'!$D$17:$D$66,"",0)</f>
        <v>0</v>
      </c>
      <c r="M399" s="43"/>
    </row>
    <row r="400" spans="1:13" ht="13.5" customHeight="1" outlineLevel="1" x14ac:dyDescent="0.25">
      <c r="A400" s="43"/>
      <c r="B400" s="43"/>
      <c r="C400" s="35">
        <f t="shared" si="6"/>
        <v>8</v>
      </c>
      <c r="D400" s="35" t="str" cm="1">
        <f t="array" ref="D400">IFERROR(ROUNDUP(_xlfn.IFS(F400="Aluminum Track", _xlfn.XLOOKUP(C400, dd_accsrycalc!$A$2:$A$51, dd_accsrycalc!$B$2:$B$51, "",0), F400="10 x 2 1/2 S (Flat)", _xlfn.XLOOKUP(C400, dd_accsrycalc!$A$2:$A$51, dd_accsrycalc!$C$2:$C$51, "",0), F400="Tox6", _xlfn.XLOOKUP(C400, dd_accsrycalc!$A$2:$A$51, dd_accsrycalc!$D$2:$D$51, "",0), F400="Cover Cap", _xlfn.XLOOKUP(C400, dd_accsrycalc!$A$2:$A$51, dd_accsrycalc!$E$2:$E$51, "",0), F400="Drainage Cover", _xlfn.XLOOKUP(C400, dd_accsrycalc!$A$2:$A$51, dd_accsrycalc!$F$2:$F$51, "",0),AND( F400="Double Adhesive Tape", I400="Roll-up Screen"), _xlfn.XLOOKUP(C400, calc_rusacc!$C$15:$C$65, calc_rusacc!$AD$15:$AD$65, "",0),AND( F400="Sealant", I400="Roll-up Screen"), _xlfn.XLOOKUP(C400, calc_rusacc!$C$15:$C$65, calc_rusacc!$AF$15:$AF$65, "",0),  AND( F400="Main Chain", I400="Accordion Screen"), _xlfn.XLOOKUP(C400, calc_rusacc!$C$15:$C$65, calc_rusacc!$BF$15:$BF$65, "",0), AND( F400="Sealant", I400="Accordion Screen"), _xlfn.XLOOKUP(C400, calc_rusacc!$C$15:$C$65, calc_rusacc!$BJ$15:$BJ$65, "",0),  F400="Sealant", _xlfn.XLOOKUP(C400, dd_accsrycalc!$A$2:$A$51, dd_accsrycalc!$G$2:$G$51, "",0),  F400&lt;&gt;"",L400*_xlfn.XLOOKUP(1, (SKUs!$C$2:$C$10001=G400)*(SKUs!$K$2:$K$10001=I400),SKUs!$E$2:$E$10001)), 0),"")</f>
        <v/>
      </c>
      <c r="E400" s="35" t="str">
        <f>_xlfn.XLOOKUP(F400,dd_item!$B$2:$B$105,dd_item!$C$2:$C$105,"",0)</f>
        <v/>
      </c>
      <c r="F400" s="35"/>
      <c r="G400" s="35" cm="1">
        <f t="array" ref="G400">IFERROR(_xlfn.XLOOKUP(1, (SKUs!$J$2:$J$10001=accsry_unmerged!F400)*IF(H400&lt;&gt;"",(SKUs!$L$2:$L$10001=accsry_unmerged!H400),1)*(SKUs!$K$2:$K$10001=I400),SKUs!$C$2:$C$10001),"")</f>
        <v>0</v>
      </c>
      <c r="H400" s="36" cm="1">
        <f t="array" ref="H400">IFERROR(_xlfn.XLOOKUP(1, (dd_accsryclr!$C$2:$C$1000=accsry_unmerged!F400)*(dd_accsryclr!$B$2:$B$1000=accsry_unmerged!J400),dd_accsryclr!$A$2:$A$1000),"")</f>
        <v>0</v>
      </c>
      <c r="I400" s="35">
        <f>_xlfn.XLOOKUP(C400,'Project Details'!$C$17:$C$66,'Project Details'!$E$17:$E$66,"",0)</f>
        <v>0</v>
      </c>
      <c r="J400" s="35">
        <f>_xlfn.XLOOKUP(C400,'Project Details'!$C$17:$C$66,'Project Details'!$H$17:$H$66,"",0)</f>
        <v>0</v>
      </c>
      <c r="K400" s="36" t="str">
        <f>IF(AND(_xlfn.XLOOKUP(C400,'Project Details'!$C$17:$C$66,'Project Details'!$L$17:$L$66,"",0)&gt;550, F400="Spring-L27cm"),"",SUBSTITUTE(_xlfn.XLOOKUP(G400,SKUs!$C$2:$C$10001,SKUs!$F$2:$F$10001,"",0), " Accessories",""))</f>
        <v/>
      </c>
      <c r="L400" s="36">
        <f>_xlfn.XLOOKUP(C400,'Project Details'!$C$17:$C$66,'Project Details'!$D$17:$D$66,"",0)</f>
        <v>0</v>
      </c>
      <c r="M400" s="43"/>
    </row>
    <row r="401" spans="1:13" ht="13.5" customHeight="1" outlineLevel="1" x14ac:dyDescent="0.25">
      <c r="A401" s="43"/>
      <c r="B401" s="43"/>
      <c r="C401" s="16">
        <f t="shared" si="6"/>
        <v>8</v>
      </c>
      <c r="D401" s="16" t="str" cm="1">
        <f t="array" ref="D401">IFERROR(ROUNDUP(_xlfn.IFS(F401="Aluminum Track", _xlfn.XLOOKUP(C401, dd_accsrycalc!$A$2:$A$51, dd_accsrycalc!$B$2:$B$51, "",0), F401="10 x 2 1/2 S (Flat)", _xlfn.XLOOKUP(C401, dd_accsrycalc!$A$2:$A$51, dd_accsrycalc!$C$2:$C$51, "",0), F401="Tox6", _xlfn.XLOOKUP(C401, dd_accsrycalc!$A$2:$A$51, dd_accsrycalc!$D$2:$D$51, "",0), F401="Cover Cap", _xlfn.XLOOKUP(C401, dd_accsrycalc!$A$2:$A$51, dd_accsrycalc!$E$2:$E$51, "",0), F401="Drainage Cover", _xlfn.XLOOKUP(C401, dd_accsrycalc!$A$2:$A$51, dd_accsrycalc!$F$2:$F$51, "",0),AND( F401="Double Adhesive Tape", I401="Roll-up Screen"), _xlfn.XLOOKUP(C401, calc_rusacc!$C$15:$C$65, calc_rusacc!$AD$15:$AD$65, "",0),AND( F401="Sealant", I401="Roll-up Screen"), _xlfn.XLOOKUP(C401, calc_rusacc!$C$15:$C$65, calc_rusacc!$AF$15:$AF$65, "",0),  AND( F401="Main Chain", I401="Accordion Screen"), _xlfn.XLOOKUP(C401, calc_rusacc!$C$15:$C$65, calc_rusacc!$BF$15:$BF$65, "",0), AND( F401="Sealant", I401="Accordion Screen"), _xlfn.XLOOKUP(C401, calc_rusacc!$C$15:$C$65, calc_rusacc!$BJ$15:$BJ$65, "",0),  F401="Sealant", _xlfn.XLOOKUP(C401, dd_accsrycalc!$A$2:$A$51, dd_accsrycalc!$G$2:$G$51, "",0),  F401&lt;&gt;"",L401*_xlfn.XLOOKUP(1, (SKUs!$C$2:$C$10001=G401)*(SKUs!$K$2:$K$10001=I401),SKUs!$E$2:$E$10001)), 0),"")</f>
        <v/>
      </c>
      <c r="E401" s="16" t="str">
        <f>_xlfn.XLOOKUP(F401,dd_item!$B$2:$B$105,dd_item!$C$2:$C$105,"",0)</f>
        <v/>
      </c>
      <c r="F401" s="16"/>
      <c r="G401" s="16" cm="1">
        <f t="array" ref="G401">IFERROR(_xlfn.XLOOKUP(1, (SKUs!$J$2:$J$10001=accsry_unmerged!F401)*IF(H401&lt;&gt;"",(SKUs!$L$2:$L$10001=accsry_unmerged!H401),1)*(SKUs!$K$2:$K$10001=I401),SKUs!$C$2:$C$10001),"")</f>
        <v>0</v>
      </c>
      <c r="H401" s="33" cm="1">
        <f t="array" ref="H401">IFERROR(_xlfn.XLOOKUP(1, (dd_accsryclr!$C$2:$C$1000=accsry_unmerged!F401)*(dd_accsryclr!$B$2:$B$1000=accsry_unmerged!J401),dd_accsryclr!$A$2:$A$1000),"")</f>
        <v>0</v>
      </c>
      <c r="I401" s="16">
        <f>_xlfn.XLOOKUP(C401,'Project Details'!$C$17:$C$66,'Project Details'!$E$17:$E$66,"",0)</f>
        <v>0</v>
      </c>
      <c r="J401" s="16">
        <f>_xlfn.XLOOKUP(C401,'Project Details'!$C$17:$C$66,'Project Details'!$H$17:$H$66,"",0)</f>
        <v>0</v>
      </c>
      <c r="K401" s="33" t="str">
        <f>IF(AND(_xlfn.XLOOKUP(C401,'Project Details'!$C$17:$C$66,'Project Details'!$L$17:$L$66,"",0)&gt;550, F401="Spring-L27cm"),"",SUBSTITUTE(_xlfn.XLOOKUP(G401,SKUs!$C$2:$C$10001,SKUs!$F$2:$F$10001,"",0), " Accessories",""))</f>
        <v/>
      </c>
      <c r="L401" s="33">
        <f>_xlfn.XLOOKUP(C401,'Project Details'!$C$17:$C$66,'Project Details'!$D$17:$D$66,"",0)</f>
        <v>0</v>
      </c>
      <c r="M401" s="43"/>
    </row>
    <row r="402" spans="1:13" ht="13.5" customHeight="1" outlineLevel="1" x14ac:dyDescent="0.25">
      <c r="A402" s="43"/>
      <c r="B402" s="43"/>
      <c r="C402" s="35">
        <f t="shared" si="6"/>
        <v>8</v>
      </c>
      <c r="D402" s="35" t="str" cm="1">
        <f t="array" ref="D402">IFERROR(ROUNDUP(_xlfn.IFS(F402="Aluminum Track", _xlfn.XLOOKUP(C402, dd_accsrycalc!$A$2:$A$51, dd_accsrycalc!$B$2:$B$51, "",0), F402="10 x 2 1/2 S (Flat)", _xlfn.XLOOKUP(C402, dd_accsrycalc!$A$2:$A$51, dd_accsrycalc!$C$2:$C$51, "",0), F402="Tox6", _xlfn.XLOOKUP(C402, dd_accsrycalc!$A$2:$A$51, dd_accsrycalc!$D$2:$D$51, "",0), F402="Cover Cap", _xlfn.XLOOKUP(C402, dd_accsrycalc!$A$2:$A$51, dd_accsrycalc!$E$2:$E$51, "",0), F402="Drainage Cover", _xlfn.XLOOKUP(C402, dd_accsrycalc!$A$2:$A$51, dd_accsrycalc!$F$2:$F$51, "",0),AND( F402="Double Adhesive Tape", I402="Roll-up Screen"), _xlfn.XLOOKUP(C402, calc_rusacc!$C$15:$C$65, calc_rusacc!$AD$15:$AD$65, "",0),AND( F402="Sealant", I402="Roll-up Screen"), _xlfn.XLOOKUP(C402, calc_rusacc!$C$15:$C$65, calc_rusacc!$AF$15:$AF$65, "",0),  AND( F402="Main Chain", I402="Accordion Screen"), _xlfn.XLOOKUP(C402, calc_rusacc!$C$15:$C$65, calc_rusacc!$BF$15:$BF$65, "",0), AND( F402="Sealant", I402="Accordion Screen"), _xlfn.XLOOKUP(C402, calc_rusacc!$C$15:$C$65, calc_rusacc!$BJ$15:$BJ$65, "",0),  F402="Sealant", _xlfn.XLOOKUP(C402, dd_accsrycalc!$A$2:$A$51, dd_accsrycalc!$G$2:$G$51, "",0),  F402&lt;&gt;"",L402*_xlfn.XLOOKUP(1, (SKUs!$C$2:$C$10001=G402)*(SKUs!$K$2:$K$10001=I402),SKUs!$E$2:$E$10001)), 0),"")</f>
        <v/>
      </c>
      <c r="E402" s="35" t="str">
        <f>_xlfn.XLOOKUP(F402,dd_item!$B$2:$B$105,dd_item!$C$2:$C$105,"",0)</f>
        <v/>
      </c>
      <c r="F402" s="35"/>
      <c r="G402" s="35" cm="1">
        <f t="array" ref="G402">IFERROR(_xlfn.XLOOKUP(1, (SKUs!$J$2:$J$10001=accsry_unmerged!F402)*IF(H402&lt;&gt;"",(SKUs!$L$2:$L$10001=accsry_unmerged!H402),1)*(SKUs!$K$2:$K$10001=I402),SKUs!$C$2:$C$10001),"")</f>
        <v>0</v>
      </c>
      <c r="H402" s="36" cm="1">
        <f t="array" ref="H402">IFERROR(_xlfn.XLOOKUP(1, (dd_accsryclr!$C$2:$C$1000=accsry_unmerged!F402)*(dd_accsryclr!$B$2:$B$1000=accsry_unmerged!J402),dd_accsryclr!$A$2:$A$1000),"")</f>
        <v>0</v>
      </c>
      <c r="I402" s="35">
        <f>_xlfn.XLOOKUP(C402,'Project Details'!$C$17:$C$66,'Project Details'!$E$17:$E$66,"",0)</f>
        <v>0</v>
      </c>
      <c r="J402" s="35">
        <f>_xlfn.XLOOKUP(C402,'Project Details'!$C$17:$C$66,'Project Details'!$H$17:$H$66,"",0)</f>
        <v>0</v>
      </c>
      <c r="K402" s="36" t="str">
        <f>IF(AND(_xlfn.XLOOKUP(C402,'Project Details'!$C$17:$C$66,'Project Details'!$L$17:$L$66,"",0)&gt;550, F402="Spring-L27cm"),"",SUBSTITUTE(_xlfn.XLOOKUP(G402,SKUs!$C$2:$C$10001,SKUs!$F$2:$F$10001,"",0), " Accessories",""))</f>
        <v/>
      </c>
      <c r="L402" s="36">
        <f>_xlfn.XLOOKUP(C402,'Project Details'!$C$17:$C$66,'Project Details'!$D$17:$D$66,"",0)</f>
        <v>0</v>
      </c>
      <c r="M402" s="43"/>
    </row>
    <row r="403" spans="1:13" ht="13.5" customHeight="1" outlineLevel="1" x14ac:dyDescent="0.25">
      <c r="A403" s="43"/>
      <c r="B403" s="43"/>
      <c r="C403" s="16">
        <f t="shared" si="6"/>
        <v>8</v>
      </c>
      <c r="D403" s="16" t="str" cm="1">
        <f t="array" ref="D403">IFERROR(ROUNDUP(_xlfn.IFS(F403="Aluminum Track", _xlfn.XLOOKUP(C403, dd_accsrycalc!$A$2:$A$51, dd_accsrycalc!$B$2:$B$51, "",0), F403="10 x 2 1/2 S (Flat)", _xlfn.XLOOKUP(C403, dd_accsrycalc!$A$2:$A$51, dd_accsrycalc!$C$2:$C$51, "",0), F403="Tox6", _xlfn.XLOOKUP(C403, dd_accsrycalc!$A$2:$A$51, dd_accsrycalc!$D$2:$D$51, "",0), F403="Cover Cap", _xlfn.XLOOKUP(C403, dd_accsrycalc!$A$2:$A$51, dd_accsrycalc!$E$2:$E$51, "",0), F403="Drainage Cover", _xlfn.XLOOKUP(C403, dd_accsrycalc!$A$2:$A$51, dd_accsrycalc!$F$2:$F$51, "",0),AND( F403="Double Adhesive Tape", I403="Roll-up Screen"), _xlfn.XLOOKUP(C403, calc_rusacc!$C$15:$C$65, calc_rusacc!$AD$15:$AD$65, "",0),AND( F403="Sealant", I403="Roll-up Screen"), _xlfn.XLOOKUP(C403, calc_rusacc!$C$15:$C$65, calc_rusacc!$AF$15:$AF$65, "",0),  AND( F403="Main Chain", I403="Accordion Screen"), _xlfn.XLOOKUP(C403, calc_rusacc!$C$15:$C$65, calc_rusacc!$BF$15:$BF$65, "",0), AND( F403="Sealant", I403="Accordion Screen"), _xlfn.XLOOKUP(C403, calc_rusacc!$C$15:$C$65, calc_rusacc!$BJ$15:$BJ$65, "",0),  F403="Sealant", _xlfn.XLOOKUP(C403, dd_accsrycalc!$A$2:$A$51, dd_accsrycalc!$G$2:$G$51, "",0),  F403&lt;&gt;"",L403*_xlfn.XLOOKUP(1, (SKUs!$C$2:$C$10001=G403)*(SKUs!$K$2:$K$10001=I403),SKUs!$E$2:$E$10001)), 0),"")</f>
        <v/>
      </c>
      <c r="E403" s="16" t="str">
        <f>_xlfn.XLOOKUP(F403,dd_item!$B$2:$B$105,dd_item!$C$2:$C$105,"",0)</f>
        <v/>
      </c>
      <c r="F403" s="16"/>
      <c r="G403" s="16" cm="1">
        <f t="array" ref="G403">IFERROR(_xlfn.XLOOKUP(1, (SKUs!$J$2:$J$10001=accsry_unmerged!F403)*IF(H403&lt;&gt;"",(SKUs!$L$2:$L$10001=accsry_unmerged!H403),1)*(SKUs!$K$2:$K$10001=I403),SKUs!$C$2:$C$10001),"")</f>
        <v>0</v>
      </c>
      <c r="H403" s="33" cm="1">
        <f t="array" ref="H403">IFERROR(_xlfn.XLOOKUP(1, (dd_accsryclr!$C$2:$C$1000=accsry_unmerged!F403)*(dd_accsryclr!$B$2:$B$1000=accsry_unmerged!J403),dd_accsryclr!$A$2:$A$1000),"")</f>
        <v>0</v>
      </c>
      <c r="I403" s="16">
        <f>_xlfn.XLOOKUP(C403,'Project Details'!$C$17:$C$66,'Project Details'!$E$17:$E$66,"",0)</f>
        <v>0</v>
      </c>
      <c r="J403" s="16">
        <f>_xlfn.XLOOKUP(C403,'Project Details'!$C$17:$C$66,'Project Details'!$H$17:$H$66,"",0)</f>
        <v>0</v>
      </c>
      <c r="K403" s="33" t="str">
        <f>IF(AND(_xlfn.XLOOKUP(C403,'Project Details'!$C$17:$C$66,'Project Details'!$L$17:$L$66,"",0)&gt;550, F403="Spring-L27cm"),"",SUBSTITUTE(_xlfn.XLOOKUP(G403,SKUs!$C$2:$C$10001,SKUs!$F$2:$F$10001,"",0), " Accessories",""))</f>
        <v/>
      </c>
      <c r="L403" s="33">
        <f>_xlfn.XLOOKUP(C403,'Project Details'!$C$17:$C$66,'Project Details'!$D$17:$D$66,"",0)</f>
        <v>0</v>
      </c>
      <c r="M403" s="43"/>
    </row>
    <row r="404" spans="1:13" ht="13.5" customHeight="1" outlineLevel="1" x14ac:dyDescent="0.25">
      <c r="A404" s="43"/>
      <c r="B404" s="43"/>
      <c r="C404" s="35">
        <f t="shared" si="6"/>
        <v>8</v>
      </c>
      <c r="D404" s="35" t="str" cm="1">
        <f t="array" ref="D404">IFERROR(ROUNDUP(_xlfn.IFS(F404="Aluminum Track", _xlfn.XLOOKUP(C404, dd_accsrycalc!$A$2:$A$51, dd_accsrycalc!$B$2:$B$51, "",0), F404="10 x 2 1/2 S (Flat)", _xlfn.XLOOKUP(C404, dd_accsrycalc!$A$2:$A$51, dd_accsrycalc!$C$2:$C$51, "",0), F404="Tox6", _xlfn.XLOOKUP(C404, dd_accsrycalc!$A$2:$A$51, dd_accsrycalc!$D$2:$D$51, "",0), F404="Cover Cap", _xlfn.XLOOKUP(C404, dd_accsrycalc!$A$2:$A$51, dd_accsrycalc!$E$2:$E$51, "",0), F404="Drainage Cover", _xlfn.XLOOKUP(C404, dd_accsrycalc!$A$2:$A$51, dd_accsrycalc!$F$2:$F$51, "",0),AND( F404="Double Adhesive Tape", I404="Roll-up Screen"), _xlfn.XLOOKUP(C404, calc_rusacc!$C$15:$C$65, calc_rusacc!$AD$15:$AD$65, "",0),AND( F404="Sealant", I404="Roll-up Screen"), _xlfn.XLOOKUP(C404, calc_rusacc!$C$15:$C$65, calc_rusacc!$AF$15:$AF$65, "",0),  AND( F404="Main Chain", I404="Accordion Screen"), _xlfn.XLOOKUP(C404, calc_rusacc!$C$15:$C$65, calc_rusacc!$BF$15:$BF$65, "",0), AND( F404="Sealant", I404="Accordion Screen"), _xlfn.XLOOKUP(C404, calc_rusacc!$C$15:$C$65, calc_rusacc!$BJ$15:$BJ$65, "",0),  F404="Sealant", _xlfn.XLOOKUP(C404, dd_accsrycalc!$A$2:$A$51, dd_accsrycalc!$G$2:$G$51, "",0),  F404&lt;&gt;"",L404*_xlfn.XLOOKUP(1, (SKUs!$C$2:$C$10001=G404)*(SKUs!$K$2:$K$10001=I404),SKUs!$E$2:$E$10001)), 0),"")</f>
        <v/>
      </c>
      <c r="E404" s="35" t="str">
        <f>_xlfn.XLOOKUP(F404,dd_item!$B$2:$B$105,dd_item!$C$2:$C$105,"",0)</f>
        <v/>
      </c>
      <c r="F404" s="35"/>
      <c r="G404" s="35" cm="1">
        <f t="array" ref="G404">IFERROR(_xlfn.XLOOKUP(1, (SKUs!$J$2:$J$10001=accsry_unmerged!F404)*IF(H404&lt;&gt;"",(SKUs!$L$2:$L$10001=accsry_unmerged!H404),1)*(SKUs!$K$2:$K$10001=I404),SKUs!$C$2:$C$10001),"")</f>
        <v>0</v>
      </c>
      <c r="H404" s="36" cm="1">
        <f t="array" ref="H404">IFERROR(_xlfn.XLOOKUP(1, (dd_accsryclr!$C$2:$C$1000=accsry_unmerged!F404)*(dd_accsryclr!$B$2:$B$1000=accsry_unmerged!J404),dd_accsryclr!$A$2:$A$1000),"")</f>
        <v>0</v>
      </c>
      <c r="I404" s="35">
        <f>_xlfn.XLOOKUP(C404,'Project Details'!$C$17:$C$66,'Project Details'!$E$17:$E$66,"",0)</f>
        <v>0</v>
      </c>
      <c r="J404" s="35">
        <f>_xlfn.XLOOKUP(C404,'Project Details'!$C$17:$C$66,'Project Details'!$H$17:$H$66,"",0)</f>
        <v>0</v>
      </c>
      <c r="K404" s="36" t="str">
        <f>IF(AND(_xlfn.XLOOKUP(C404,'Project Details'!$C$17:$C$66,'Project Details'!$L$17:$L$66,"",0)&gt;550, F404="Spring-L27cm"),"",SUBSTITUTE(_xlfn.XLOOKUP(G404,SKUs!$C$2:$C$10001,SKUs!$F$2:$F$10001,"",0), " Accessories",""))</f>
        <v/>
      </c>
      <c r="L404" s="36">
        <f>_xlfn.XLOOKUP(C404,'Project Details'!$C$17:$C$66,'Project Details'!$D$17:$D$66,"",0)</f>
        <v>0</v>
      </c>
      <c r="M404" s="43"/>
    </row>
    <row r="405" spans="1:13" ht="13.5" customHeight="1" outlineLevel="1" collapsed="1" x14ac:dyDescent="0.25">
      <c r="A405" s="43"/>
      <c r="B405" s="43"/>
      <c r="C405" s="16">
        <f t="shared" si="6"/>
        <v>8</v>
      </c>
      <c r="D405" s="16" t="str" cm="1">
        <f t="array" ref="D405">IFERROR(ROUNDUP(_xlfn.IFS(F405="Aluminum Track", _xlfn.XLOOKUP(C405, dd_accsrycalc!$A$2:$A$51, dd_accsrycalc!$B$2:$B$51, "",0), F405="10 x 2 1/2 S (Flat)", _xlfn.XLOOKUP(C405, dd_accsrycalc!$A$2:$A$51, dd_accsrycalc!$C$2:$C$51, "",0), F405="Tox6", _xlfn.XLOOKUP(C405, dd_accsrycalc!$A$2:$A$51, dd_accsrycalc!$D$2:$D$51, "",0), F405="Cover Cap", _xlfn.XLOOKUP(C405, dd_accsrycalc!$A$2:$A$51, dd_accsrycalc!$E$2:$E$51, "",0), F405="Drainage Cover", _xlfn.XLOOKUP(C405, dd_accsrycalc!$A$2:$A$51, dd_accsrycalc!$F$2:$F$51, "",0),AND( F405="Double Adhesive Tape", I405="Roll-up Screen"), _xlfn.XLOOKUP(C405, calc_rusacc!$C$15:$C$65, calc_rusacc!$AD$15:$AD$65, "",0),AND( F405="Sealant", I405="Roll-up Screen"), _xlfn.XLOOKUP(C405, calc_rusacc!$C$15:$C$65, calc_rusacc!$AF$15:$AF$65, "",0),  AND( F405="Main Chain", I405="Accordion Screen"), _xlfn.XLOOKUP(C405, calc_rusacc!$C$15:$C$65, calc_rusacc!$BF$15:$BF$65, "",0), AND( F405="Sealant", I405="Accordion Screen"), _xlfn.XLOOKUP(C405, calc_rusacc!$C$15:$C$65, calc_rusacc!$BJ$15:$BJ$65, "",0),  F405="Sealant", _xlfn.XLOOKUP(C405, dd_accsrycalc!$A$2:$A$51, dd_accsrycalc!$G$2:$G$51, "",0),  F405&lt;&gt;"",L405*_xlfn.XLOOKUP(1, (SKUs!$C$2:$C$10001=G405)*(SKUs!$K$2:$K$10001=I405),SKUs!$E$2:$E$10001)), 0),"")</f>
        <v/>
      </c>
      <c r="E405" s="16" t="str">
        <f>_xlfn.XLOOKUP(F405,dd_item!$B$2:$B$105,dd_item!$C$2:$C$105,"",0)</f>
        <v/>
      </c>
      <c r="F405" s="16"/>
      <c r="G405" s="16" cm="1">
        <f t="array" ref="G405">IFERROR(_xlfn.XLOOKUP(1, (SKUs!$J$2:$J$10001=accsry_unmerged!F405)*IF(H405&lt;&gt;"",(SKUs!$L$2:$L$10001=accsry_unmerged!H405),1)*(SKUs!$K$2:$K$10001=I405),SKUs!$C$2:$C$10001),"")</f>
        <v>0</v>
      </c>
      <c r="H405" s="33" cm="1">
        <f t="array" ref="H405">IFERROR(_xlfn.XLOOKUP(1, (dd_accsryclr!$C$2:$C$1000=accsry_unmerged!F405)*(dd_accsryclr!$B$2:$B$1000=accsry_unmerged!J405),dd_accsryclr!$A$2:$A$1000),"")</f>
        <v>0</v>
      </c>
      <c r="I405" s="16">
        <f>_xlfn.XLOOKUP(C405,'Project Details'!$C$17:$C$66,'Project Details'!$E$17:$E$66,"",0)</f>
        <v>0</v>
      </c>
      <c r="J405" s="16">
        <f>_xlfn.XLOOKUP(C405,'Project Details'!$C$17:$C$66,'Project Details'!$H$17:$H$66,"",0)</f>
        <v>0</v>
      </c>
      <c r="K405" s="33" t="str">
        <f>IF(AND(_xlfn.XLOOKUP(C405,'Project Details'!$C$17:$C$66,'Project Details'!$L$17:$L$66,"",0)&gt;550, F405="Spring-L27cm"),"",SUBSTITUTE(_xlfn.XLOOKUP(G405,SKUs!$C$2:$C$10001,SKUs!$F$2:$F$10001,"",0), " Accessories",""))</f>
        <v/>
      </c>
      <c r="L405" s="33">
        <f>_xlfn.XLOOKUP(C405,'Project Details'!$C$17:$C$66,'Project Details'!$D$17:$D$66,"",0)</f>
        <v>0</v>
      </c>
      <c r="M405" s="43"/>
    </row>
    <row r="406" spans="1:13" ht="13.5" customHeight="1" outlineLevel="1" x14ac:dyDescent="0.25">
      <c r="A406" s="43"/>
      <c r="B406" s="43"/>
      <c r="C406" s="35">
        <f t="shared" si="6"/>
        <v>8</v>
      </c>
      <c r="D406" s="35" t="str" cm="1">
        <f t="array" ref="D406">IFERROR(ROUNDUP(_xlfn.IFS(F406="Aluminum Track", _xlfn.XLOOKUP(C406, dd_accsrycalc!$A$2:$A$51, dd_accsrycalc!$B$2:$B$51, "",0), F406="10 x 2 1/2 S (Flat)", _xlfn.XLOOKUP(C406, dd_accsrycalc!$A$2:$A$51, dd_accsrycalc!$C$2:$C$51, "",0), F406="Tox6", _xlfn.XLOOKUP(C406, dd_accsrycalc!$A$2:$A$51, dd_accsrycalc!$D$2:$D$51, "",0), F406="Cover Cap", _xlfn.XLOOKUP(C406, dd_accsrycalc!$A$2:$A$51, dd_accsrycalc!$E$2:$E$51, "",0), F406="Drainage Cover", _xlfn.XLOOKUP(C406, dd_accsrycalc!$A$2:$A$51, dd_accsrycalc!$F$2:$F$51, "",0),AND( F406="Double Adhesive Tape", I406="Roll-up Screen"), _xlfn.XLOOKUP(C406, calc_rusacc!$C$15:$C$65, calc_rusacc!$AD$15:$AD$65, "",0),AND( F406="Sealant", I406="Roll-up Screen"), _xlfn.XLOOKUP(C406, calc_rusacc!$C$15:$C$65, calc_rusacc!$AF$15:$AF$65, "",0),  AND( F406="Main Chain", I406="Accordion Screen"), _xlfn.XLOOKUP(C406, calc_rusacc!$C$15:$C$65, calc_rusacc!$BF$15:$BF$65, "",0), AND( F406="Sealant", I406="Accordion Screen"), _xlfn.XLOOKUP(C406, calc_rusacc!$C$15:$C$65, calc_rusacc!$BJ$15:$BJ$65, "",0),  F406="Sealant", _xlfn.XLOOKUP(C406, dd_accsrycalc!$A$2:$A$51, dd_accsrycalc!$G$2:$G$51, "",0),  F406&lt;&gt;"",L406*_xlfn.XLOOKUP(1, (SKUs!$C$2:$C$10001=G406)*(SKUs!$K$2:$K$10001=I406),SKUs!$E$2:$E$10001)), 0),"")</f>
        <v/>
      </c>
      <c r="E406" s="35" t="str">
        <f>_xlfn.XLOOKUP(F406,dd_item!$B$2:$B$105,dd_item!$C$2:$C$105,"",0)</f>
        <v/>
      </c>
      <c r="F406" s="35"/>
      <c r="G406" s="35" cm="1">
        <f t="array" ref="G406">IFERROR(_xlfn.XLOOKUP(1, (SKUs!$J$2:$J$10001=accsry_unmerged!F406)*IF(H406&lt;&gt;"",(SKUs!$L$2:$L$10001=accsry_unmerged!H406),1)*(SKUs!$K$2:$K$10001=I406),SKUs!$C$2:$C$10001),"")</f>
        <v>0</v>
      </c>
      <c r="H406" s="36" cm="1">
        <f t="array" ref="H406">IFERROR(_xlfn.XLOOKUP(1, (dd_accsryclr!$C$2:$C$1000=accsry_unmerged!F406)*(dd_accsryclr!$B$2:$B$1000=accsry_unmerged!J406),dd_accsryclr!$A$2:$A$1000),"")</f>
        <v>0</v>
      </c>
      <c r="I406" s="35">
        <f>_xlfn.XLOOKUP(C406,'Project Details'!$C$17:$C$66,'Project Details'!$E$17:$E$66,"",0)</f>
        <v>0</v>
      </c>
      <c r="J406" s="35">
        <f>_xlfn.XLOOKUP(C406,'Project Details'!$C$17:$C$66,'Project Details'!$H$17:$H$66,"",0)</f>
        <v>0</v>
      </c>
      <c r="K406" s="36" t="str">
        <f>IF(AND(_xlfn.XLOOKUP(C406,'Project Details'!$C$17:$C$66,'Project Details'!$L$17:$L$66,"",0)&gt;550, F406="Spring-L27cm"),"",SUBSTITUTE(_xlfn.XLOOKUP(G406,SKUs!$C$2:$C$10001,SKUs!$F$2:$F$10001,"",0), " Accessories",""))</f>
        <v/>
      </c>
      <c r="L406" s="36">
        <f>_xlfn.XLOOKUP(C406,'Project Details'!$C$17:$C$66,'Project Details'!$D$17:$D$66,"",0)</f>
        <v>0</v>
      </c>
      <c r="M406" s="43"/>
    </row>
    <row r="407" spans="1:13" ht="13.5" customHeight="1" outlineLevel="1" x14ac:dyDescent="0.25">
      <c r="A407" s="43"/>
      <c r="B407" s="43"/>
      <c r="C407" s="16">
        <f t="shared" si="6"/>
        <v>8</v>
      </c>
      <c r="D407" s="16" t="str" cm="1">
        <f t="array" ref="D407">IFERROR(ROUNDUP(_xlfn.IFS(F407="Aluminum Track", _xlfn.XLOOKUP(C407, dd_accsrycalc!$A$2:$A$51, dd_accsrycalc!$B$2:$B$51, "",0), F407="10 x 2 1/2 S (Flat)", _xlfn.XLOOKUP(C407, dd_accsrycalc!$A$2:$A$51, dd_accsrycalc!$C$2:$C$51, "",0), F407="Tox6", _xlfn.XLOOKUP(C407, dd_accsrycalc!$A$2:$A$51, dd_accsrycalc!$D$2:$D$51, "",0), F407="Cover Cap", _xlfn.XLOOKUP(C407, dd_accsrycalc!$A$2:$A$51, dd_accsrycalc!$E$2:$E$51, "",0), F407="Drainage Cover", _xlfn.XLOOKUP(C407, dd_accsrycalc!$A$2:$A$51, dd_accsrycalc!$F$2:$F$51, "",0),AND( F407="Double Adhesive Tape", I407="Roll-up Screen"), _xlfn.XLOOKUP(C407, calc_rusacc!$C$15:$C$65, calc_rusacc!$AD$15:$AD$65, "",0),AND( F407="Sealant", I407="Roll-up Screen"), _xlfn.XLOOKUP(C407, calc_rusacc!$C$15:$C$65, calc_rusacc!$AF$15:$AF$65, "",0),  AND( F407="Main Chain", I407="Accordion Screen"), _xlfn.XLOOKUP(C407, calc_rusacc!$C$15:$C$65, calc_rusacc!$BF$15:$BF$65, "",0), AND( F407="Sealant", I407="Accordion Screen"), _xlfn.XLOOKUP(C407, calc_rusacc!$C$15:$C$65, calc_rusacc!$BJ$15:$BJ$65, "",0),  F407="Sealant", _xlfn.XLOOKUP(C407, dd_accsrycalc!$A$2:$A$51, dd_accsrycalc!$G$2:$G$51, "",0),  F407&lt;&gt;"",L407*_xlfn.XLOOKUP(1, (SKUs!$C$2:$C$10001=G407)*(SKUs!$K$2:$K$10001=I407),SKUs!$E$2:$E$10001)), 0),"")</f>
        <v/>
      </c>
      <c r="E407" s="16" t="str">
        <f>_xlfn.XLOOKUP(F407,dd_item!$B$2:$B$105,dd_item!$C$2:$C$105,"",0)</f>
        <v/>
      </c>
      <c r="F407" s="16"/>
      <c r="G407" s="16" cm="1">
        <f t="array" ref="G407">IFERROR(_xlfn.XLOOKUP(1, (SKUs!$J$2:$J$10001=accsry_unmerged!F407)*IF(H407&lt;&gt;"",(SKUs!$L$2:$L$10001=accsry_unmerged!H407),1)*(SKUs!$K$2:$K$10001=I407),SKUs!$C$2:$C$10001),"")</f>
        <v>0</v>
      </c>
      <c r="H407" s="33" cm="1">
        <f t="array" ref="H407">IFERROR(_xlfn.XLOOKUP(1, (dd_accsryclr!$C$2:$C$1000=accsry_unmerged!F407)*(dd_accsryclr!$B$2:$B$1000=accsry_unmerged!J407),dd_accsryclr!$A$2:$A$1000),"")</f>
        <v>0</v>
      </c>
      <c r="I407" s="16">
        <f>_xlfn.XLOOKUP(C407,'Project Details'!$C$17:$C$66,'Project Details'!$E$17:$E$66,"",0)</f>
        <v>0</v>
      </c>
      <c r="J407" s="16">
        <f>_xlfn.XLOOKUP(C407,'Project Details'!$C$17:$C$66,'Project Details'!$H$17:$H$66,"",0)</f>
        <v>0</v>
      </c>
      <c r="K407" s="33" t="str">
        <f>IF(AND(_xlfn.XLOOKUP(C407,'Project Details'!$C$17:$C$66,'Project Details'!$L$17:$L$66,"",0)&gt;550, F407="Spring-L27cm"),"",SUBSTITUTE(_xlfn.XLOOKUP(G407,SKUs!$C$2:$C$10001,SKUs!$F$2:$F$10001,"",0), " Accessories",""))</f>
        <v/>
      </c>
      <c r="L407" s="33">
        <f>_xlfn.XLOOKUP(C407,'Project Details'!$C$17:$C$66,'Project Details'!$D$17:$D$66,"",0)</f>
        <v>0</v>
      </c>
      <c r="M407" s="43"/>
    </row>
    <row r="408" spans="1:13" ht="13.5" customHeight="1" outlineLevel="1" x14ac:dyDescent="0.25">
      <c r="A408" s="43"/>
      <c r="B408" s="43"/>
      <c r="C408" s="35">
        <f t="shared" si="6"/>
        <v>8</v>
      </c>
      <c r="D408" s="35" t="str" cm="1">
        <f t="array" ref="D408">IFERROR(ROUNDUP(_xlfn.IFS(F408="Aluminum Track", _xlfn.XLOOKUP(C408, dd_accsrycalc!$A$2:$A$51, dd_accsrycalc!$B$2:$B$51, "",0), F408="10 x 2 1/2 S (Flat)", _xlfn.XLOOKUP(C408, dd_accsrycalc!$A$2:$A$51, dd_accsrycalc!$C$2:$C$51, "",0), F408="Tox6", _xlfn.XLOOKUP(C408, dd_accsrycalc!$A$2:$A$51, dd_accsrycalc!$D$2:$D$51, "",0), F408="Cover Cap", _xlfn.XLOOKUP(C408, dd_accsrycalc!$A$2:$A$51, dd_accsrycalc!$E$2:$E$51, "",0), F408="Drainage Cover", _xlfn.XLOOKUP(C408, dd_accsrycalc!$A$2:$A$51, dd_accsrycalc!$F$2:$F$51, "",0),AND( F408="Double Adhesive Tape", I408="Roll-up Screen"), _xlfn.XLOOKUP(C408, calc_rusacc!$C$15:$C$65, calc_rusacc!$AD$15:$AD$65, "",0),AND( F408="Sealant", I408="Roll-up Screen"), _xlfn.XLOOKUP(C408, calc_rusacc!$C$15:$C$65, calc_rusacc!$AF$15:$AF$65, "",0),  AND( F408="Main Chain", I408="Accordion Screen"), _xlfn.XLOOKUP(C408, calc_rusacc!$C$15:$C$65, calc_rusacc!$BF$15:$BF$65, "",0), AND( F408="Sealant", I408="Accordion Screen"), _xlfn.XLOOKUP(C408, calc_rusacc!$C$15:$C$65, calc_rusacc!$BJ$15:$BJ$65, "",0),  F408="Sealant", _xlfn.XLOOKUP(C408, dd_accsrycalc!$A$2:$A$51, dd_accsrycalc!$G$2:$G$51, "",0),  F408&lt;&gt;"",L408*_xlfn.XLOOKUP(1, (SKUs!$C$2:$C$10001=G408)*(SKUs!$K$2:$K$10001=I408),SKUs!$E$2:$E$10001)), 0),"")</f>
        <v/>
      </c>
      <c r="E408" s="35" t="str">
        <f>_xlfn.XLOOKUP(F408,dd_item!$B$2:$B$105,dd_item!$C$2:$C$105,"",0)</f>
        <v/>
      </c>
      <c r="F408" s="35"/>
      <c r="G408" s="35" cm="1">
        <f t="array" ref="G408">IFERROR(_xlfn.XLOOKUP(1, (SKUs!$J$2:$J$10001=accsry_unmerged!F408)*IF(H408&lt;&gt;"",(SKUs!$L$2:$L$10001=accsry_unmerged!H408),1)*(SKUs!$K$2:$K$10001=I408),SKUs!$C$2:$C$10001),"")</f>
        <v>0</v>
      </c>
      <c r="H408" s="36" cm="1">
        <f t="array" ref="H408">IFERROR(_xlfn.XLOOKUP(1, (dd_accsryclr!$C$2:$C$1000=accsry_unmerged!F408)*(dd_accsryclr!$B$2:$B$1000=accsry_unmerged!J408),dd_accsryclr!$A$2:$A$1000),"")</f>
        <v>0</v>
      </c>
      <c r="I408" s="35">
        <f>_xlfn.XLOOKUP(C408,'Project Details'!$C$17:$C$66,'Project Details'!$E$17:$E$66,"",0)</f>
        <v>0</v>
      </c>
      <c r="J408" s="35">
        <f>_xlfn.XLOOKUP(C408,'Project Details'!$C$17:$C$66,'Project Details'!$H$17:$H$66,"",0)</f>
        <v>0</v>
      </c>
      <c r="K408" s="36" t="str">
        <f>IF(AND(_xlfn.XLOOKUP(C408,'Project Details'!$C$17:$C$66,'Project Details'!$L$17:$L$66,"",0)&gt;550, F408="Spring-L27cm"),"",SUBSTITUTE(_xlfn.XLOOKUP(G408,SKUs!$C$2:$C$10001,SKUs!$F$2:$F$10001,"",0), " Accessories",""))</f>
        <v/>
      </c>
      <c r="L408" s="36">
        <f>_xlfn.XLOOKUP(C408,'Project Details'!$C$17:$C$66,'Project Details'!$D$17:$D$66,"",0)</f>
        <v>0</v>
      </c>
      <c r="M408" s="43"/>
    </row>
    <row r="409" spans="1:13" ht="13.5" customHeight="1" outlineLevel="1" x14ac:dyDescent="0.25">
      <c r="A409" s="43"/>
      <c r="B409" s="43"/>
      <c r="C409" s="16">
        <f t="shared" si="6"/>
        <v>8</v>
      </c>
      <c r="D409" s="16" t="str" cm="1">
        <f t="array" ref="D409">IFERROR(ROUNDUP(_xlfn.IFS(F409="Aluminum Track", _xlfn.XLOOKUP(C409, dd_accsrycalc!$A$2:$A$51, dd_accsrycalc!$B$2:$B$51, "",0), F409="10 x 2 1/2 S (Flat)", _xlfn.XLOOKUP(C409, dd_accsrycalc!$A$2:$A$51, dd_accsrycalc!$C$2:$C$51, "",0), F409="Tox6", _xlfn.XLOOKUP(C409, dd_accsrycalc!$A$2:$A$51, dd_accsrycalc!$D$2:$D$51, "",0), F409="Cover Cap", _xlfn.XLOOKUP(C409, dd_accsrycalc!$A$2:$A$51, dd_accsrycalc!$E$2:$E$51, "",0), F409="Drainage Cover", _xlfn.XLOOKUP(C409, dd_accsrycalc!$A$2:$A$51, dd_accsrycalc!$F$2:$F$51, "",0),AND( F409="Double Adhesive Tape", I409="Roll-up Screen"), _xlfn.XLOOKUP(C409, calc_rusacc!$C$15:$C$65, calc_rusacc!$AD$15:$AD$65, "",0),AND( F409="Sealant", I409="Roll-up Screen"), _xlfn.XLOOKUP(C409, calc_rusacc!$C$15:$C$65, calc_rusacc!$AF$15:$AF$65, "",0),  AND( F409="Main Chain", I409="Accordion Screen"), _xlfn.XLOOKUP(C409, calc_rusacc!$C$15:$C$65, calc_rusacc!$BF$15:$BF$65, "",0), AND( F409="Sealant", I409="Accordion Screen"), _xlfn.XLOOKUP(C409, calc_rusacc!$C$15:$C$65, calc_rusacc!$BJ$15:$BJ$65, "",0),  F409="Sealant", _xlfn.XLOOKUP(C409, dd_accsrycalc!$A$2:$A$51, dd_accsrycalc!$G$2:$G$51, "",0),  F409&lt;&gt;"",L409*_xlfn.XLOOKUP(1, (SKUs!$C$2:$C$10001=G409)*(SKUs!$K$2:$K$10001=I409),SKUs!$E$2:$E$10001)), 0),"")</f>
        <v/>
      </c>
      <c r="E409" s="16" t="str">
        <f>_xlfn.XLOOKUP(F409,dd_item!$B$2:$B$105,dd_item!$C$2:$C$105,"",0)</f>
        <v/>
      </c>
      <c r="F409" s="16"/>
      <c r="G409" s="16" cm="1">
        <f t="array" ref="G409">IFERROR(_xlfn.XLOOKUP(1, (SKUs!$J$2:$J$10001=accsry_unmerged!F409)*IF(H409&lt;&gt;"",(SKUs!$L$2:$L$10001=accsry_unmerged!H409),1)*(SKUs!$K$2:$K$10001=I409),SKUs!$C$2:$C$10001),"")</f>
        <v>0</v>
      </c>
      <c r="H409" s="33" cm="1">
        <f t="array" ref="H409">IFERROR(_xlfn.XLOOKUP(1, (dd_accsryclr!$C$2:$C$1000=accsry_unmerged!F409)*(dd_accsryclr!$B$2:$B$1000=accsry_unmerged!J409),dd_accsryclr!$A$2:$A$1000),"")</f>
        <v>0</v>
      </c>
      <c r="I409" s="16">
        <f>_xlfn.XLOOKUP(C409,'Project Details'!$C$17:$C$66,'Project Details'!$E$17:$E$66,"",0)</f>
        <v>0</v>
      </c>
      <c r="J409" s="16">
        <f>_xlfn.XLOOKUP(C409,'Project Details'!$C$17:$C$66,'Project Details'!$H$17:$H$66,"",0)</f>
        <v>0</v>
      </c>
      <c r="K409" s="33" t="str">
        <f>IF(AND(_xlfn.XLOOKUP(C409,'Project Details'!$C$17:$C$66,'Project Details'!$L$17:$L$66,"",0)&gt;550, F409="Spring-L27cm"),"",SUBSTITUTE(_xlfn.XLOOKUP(G409,SKUs!$C$2:$C$10001,SKUs!$F$2:$F$10001,"",0), " Accessories",""))</f>
        <v/>
      </c>
      <c r="L409" s="33">
        <f>_xlfn.XLOOKUP(C409,'Project Details'!$C$17:$C$66,'Project Details'!$D$17:$D$66,"",0)</f>
        <v>0</v>
      </c>
      <c r="M409" s="43"/>
    </row>
    <row r="410" spans="1:13" ht="13.5" customHeight="1" outlineLevel="1" x14ac:dyDescent="0.25">
      <c r="A410" s="43"/>
      <c r="B410" s="43"/>
      <c r="C410" s="35">
        <f t="shared" si="6"/>
        <v>8</v>
      </c>
      <c r="D410" s="35" t="str" cm="1">
        <f t="array" ref="D410">IFERROR(ROUNDUP(_xlfn.IFS(F410="Aluminum Track", _xlfn.XLOOKUP(C410, dd_accsrycalc!$A$2:$A$51, dd_accsrycalc!$B$2:$B$51, "",0), F410="10 x 2 1/2 S (Flat)", _xlfn.XLOOKUP(C410, dd_accsrycalc!$A$2:$A$51, dd_accsrycalc!$C$2:$C$51, "",0), F410="Tox6", _xlfn.XLOOKUP(C410, dd_accsrycalc!$A$2:$A$51, dd_accsrycalc!$D$2:$D$51, "",0), F410="Cover Cap", _xlfn.XLOOKUP(C410, dd_accsrycalc!$A$2:$A$51, dd_accsrycalc!$E$2:$E$51, "",0), F410="Drainage Cover", _xlfn.XLOOKUP(C410, dd_accsrycalc!$A$2:$A$51, dd_accsrycalc!$F$2:$F$51, "",0),AND( F410="Double Adhesive Tape", I410="Roll-up Screen"), _xlfn.XLOOKUP(C410, calc_rusacc!$C$15:$C$65, calc_rusacc!$AD$15:$AD$65, "",0),AND( F410="Sealant", I410="Roll-up Screen"), _xlfn.XLOOKUP(C410, calc_rusacc!$C$15:$C$65, calc_rusacc!$AF$15:$AF$65, "",0),  AND( F410="Main Chain", I410="Accordion Screen"), _xlfn.XLOOKUP(C410, calc_rusacc!$C$15:$C$65, calc_rusacc!$BF$15:$BF$65, "",0), AND( F410="Sealant", I410="Accordion Screen"), _xlfn.XLOOKUP(C410, calc_rusacc!$C$15:$C$65, calc_rusacc!$BJ$15:$BJ$65, "",0),  F410="Sealant", _xlfn.XLOOKUP(C410, dd_accsrycalc!$A$2:$A$51, dd_accsrycalc!$G$2:$G$51, "",0),  F410&lt;&gt;"",L410*_xlfn.XLOOKUP(1, (SKUs!$C$2:$C$10001=G410)*(SKUs!$K$2:$K$10001=I410),SKUs!$E$2:$E$10001)), 0),"")</f>
        <v/>
      </c>
      <c r="E410" s="35" t="str">
        <f>_xlfn.XLOOKUP(F410,dd_item!$B$2:$B$105,dd_item!$C$2:$C$105,"",0)</f>
        <v/>
      </c>
      <c r="F410" s="35"/>
      <c r="G410" s="35" cm="1">
        <f t="array" ref="G410">IFERROR(_xlfn.XLOOKUP(1, (SKUs!$J$2:$J$10001=accsry_unmerged!F410)*IF(H410&lt;&gt;"",(SKUs!$L$2:$L$10001=accsry_unmerged!H410),1)*(SKUs!$K$2:$K$10001=I410),SKUs!$C$2:$C$10001),"")</f>
        <v>0</v>
      </c>
      <c r="H410" s="36" cm="1">
        <f t="array" ref="H410">IFERROR(_xlfn.XLOOKUP(1, (dd_accsryclr!$C$2:$C$1000=accsry_unmerged!F410)*(dd_accsryclr!$B$2:$B$1000=accsry_unmerged!J410),dd_accsryclr!$A$2:$A$1000),"")</f>
        <v>0</v>
      </c>
      <c r="I410" s="35">
        <f>_xlfn.XLOOKUP(C410,'Project Details'!$C$17:$C$66,'Project Details'!$E$17:$E$66,"",0)</f>
        <v>0</v>
      </c>
      <c r="J410" s="35">
        <f>_xlfn.XLOOKUP(C410,'Project Details'!$C$17:$C$66,'Project Details'!$H$17:$H$66,"",0)</f>
        <v>0</v>
      </c>
      <c r="K410" s="36" t="str">
        <f>IF(AND(_xlfn.XLOOKUP(C410,'Project Details'!$C$17:$C$66,'Project Details'!$L$17:$L$66,"",0)&gt;550, F410="Spring-L27cm"),"",SUBSTITUTE(_xlfn.XLOOKUP(G410,SKUs!$C$2:$C$10001,SKUs!$F$2:$F$10001,"",0), " Accessories",""))</f>
        <v/>
      </c>
      <c r="L410" s="36">
        <f>_xlfn.XLOOKUP(C410,'Project Details'!$C$17:$C$66,'Project Details'!$D$17:$D$66,"",0)</f>
        <v>0</v>
      </c>
      <c r="M410" s="43"/>
    </row>
    <row r="411" spans="1:13" ht="13.5" customHeight="1" outlineLevel="1" x14ac:dyDescent="0.25">
      <c r="A411" s="43"/>
      <c r="B411" s="43"/>
      <c r="C411" s="16">
        <f t="shared" si="6"/>
        <v>8</v>
      </c>
      <c r="D411" s="16" t="str" cm="1">
        <f t="array" ref="D411">IFERROR(ROUNDUP(_xlfn.IFS(F411="Aluminum Track", _xlfn.XLOOKUP(C411, dd_accsrycalc!$A$2:$A$51, dd_accsrycalc!$B$2:$B$51, "",0), F411="10 x 2 1/2 S (Flat)", _xlfn.XLOOKUP(C411, dd_accsrycalc!$A$2:$A$51, dd_accsrycalc!$C$2:$C$51, "",0), F411="Tox6", _xlfn.XLOOKUP(C411, dd_accsrycalc!$A$2:$A$51, dd_accsrycalc!$D$2:$D$51, "",0), F411="Cover Cap", _xlfn.XLOOKUP(C411, dd_accsrycalc!$A$2:$A$51, dd_accsrycalc!$E$2:$E$51, "",0), F411="Drainage Cover", _xlfn.XLOOKUP(C411, dd_accsrycalc!$A$2:$A$51, dd_accsrycalc!$F$2:$F$51, "",0),AND( F411="Double Adhesive Tape", I411="Roll-up Screen"), _xlfn.XLOOKUP(C411, calc_rusacc!$C$15:$C$65, calc_rusacc!$AD$15:$AD$65, "",0),AND( F411="Sealant", I411="Roll-up Screen"), _xlfn.XLOOKUP(C411, calc_rusacc!$C$15:$C$65, calc_rusacc!$AF$15:$AF$65, "",0),  AND( F411="Main Chain", I411="Accordion Screen"), _xlfn.XLOOKUP(C411, calc_rusacc!$C$15:$C$65, calc_rusacc!$BF$15:$BF$65, "",0), AND( F411="Sealant", I411="Accordion Screen"), _xlfn.XLOOKUP(C411, calc_rusacc!$C$15:$C$65, calc_rusacc!$BJ$15:$BJ$65, "",0),  F411="Sealant", _xlfn.XLOOKUP(C411, dd_accsrycalc!$A$2:$A$51, dd_accsrycalc!$G$2:$G$51, "",0),  F411&lt;&gt;"",L411*_xlfn.XLOOKUP(1, (SKUs!$C$2:$C$10001=G411)*(SKUs!$K$2:$K$10001=I411),SKUs!$E$2:$E$10001)), 0),"")</f>
        <v/>
      </c>
      <c r="E411" s="16" t="str">
        <f>_xlfn.XLOOKUP(F411,dd_item!$B$2:$B$105,dd_item!$C$2:$C$105,"",0)</f>
        <v/>
      </c>
      <c r="F411" s="16"/>
      <c r="G411" s="16" cm="1">
        <f t="array" ref="G411">IFERROR(_xlfn.XLOOKUP(1, (SKUs!$J$2:$J$10001=accsry_unmerged!F411)*IF(H411&lt;&gt;"",(SKUs!$L$2:$L$10001=accsry_unmerged!H411),1)*(SKUs!$K$2:$K$10001=I411),SKUs!$C$2:$C$10001),"")</f>
        <v>0</v>
      </c>
      <c r="H411" s="33" cm="1">
        <f t="array" ref="H411">IFERROR(_xlfn.XLOOKUP(1, (dd_accsryclr!$C$2:$C$1000=accsry_unmerged!F411)*(dd_accsryclr!$B$2:$B$1000=accsry_unmerged!J411),dd_accsryclr!$A$2:$A$1000),"")</f>
        <v>0</v>
      </c>
      <c r="I411" s="16">
        <f>_xlfn.XLOOKUP(C411,'Project Details'!$C$17:$C$66,'Project Details'!$E$17:$E$66,"",0)</f>
        <v>0</v>
      </c>
      <c r="J411" s="16">
        <f>_xlfn.XLOOKUP(C411,'Project Details'!$C$17:$C$66,'Project Details'!$H$17:$H$66,"",0)</f>
        <v>0</v>
      </c>
      <c r="K411" s="33" t="str">
        <f>IF(AND(_xlfn.XLOOKUP(C411,'Project Details'!$C$17:$C$66,'Project Details'!$L$17:$L$66,"",0)&gt;550, F411="Spring-L27cm"),"",SUBSTITUTE(_xlfn.XLOOKUP(G411,SKUs!$C$2:$C$10001,SKUs!$F$2:$F$10001,"",0), " Accessories",""))</f>
        <v/>
      </c>
      <c r="L411" s="33">
        <f>_xlfn.XLOOKUP(C411,'Project Details'!$C$17:$C$66,'Project Details'!$D$17:$D$66,"",0)</f>
        <v>0</v>
      </c>
      <c r="M411" s="43"/>
    </row>
    <row r="412" spans="1:13" ht="13.5" customHeight="1" outlineLevel="1" x14ac:dyDescent="0.25">
      <c r="A412" s="43"/>
      <c r="B412" s="43"/>
      <c r="C412" s="35">
        <f t="shared" si="6"/>
        <v>8</v>
      </c>
      <c r="D412" s="35" t="str" cm="1">
        <f t="array" ref="D412">IFERROR(ROUNDUP(_xlfn.IFS(F412="Aluminum Track", _xlfn.XLOOKUP(C412, dd_accsrycalc!$A$2:$A$51, dd_accsrycalc!$B$2:$B$51, "",0), F412="10 x 2 1/2 S (Flat)", _xlfn.XLOOKUP(C412, dd_accsrycalc!$A$2:$A$51, dd_accsrycalc!$C$2:$C$51, "",0), F412="Tox6", _xlfn.XLOOKUP(C412, dd_accsrycalc!$A$2:$A$51, dd_accsrycalc!$D$2:$D$51, "",0), F412="Cover Cap", _xlfn.XLOOKUP(C412, dd_accsrycalc!$A$2:$A$51, dd_accsrycalc!$E$2:$E$51, "",0), F412="Drainage Cover", _xlfn.XLOOKUP(C412, dd_accsrycalc!$A$2:$A$51, dd_accsrycalc!$F$2:$F$51, "",0),AND( F412="Double Adhesive Tape", I412="Roll-up Screen"), _xlfn.XLOOKUP(C412, calc_rusacc!$C$15:$C$65, calc_rusacc!$AD$15:$AD$65, "",0),AND( F412="Sealant", I412="Roll-up Screen"), _xlfn.XLOOKUP(C412, calc_rusacc!$C$15:$C$65, calc_rusacc!$AF$15:$AF$65, "",0),  AND( F412="Main Chain", I412="Accordion Screen"), _xlfn.XLOOKUP(C412, calc_rusacc!$C$15:$C$65, calc_rusacc!$BF$15:$BF$65, "",0), AND( F412="Sealant", I412="Accordion Screen"), _xlfn.XLOOKUP(C412, calc_rusacc!$C$15:$C$65, calc_rusacc!$BJ$15:$BJ$65, "",0),  F412="Sealant", _xlfn.XLOOKUP(C412, dd_accsrycalc!$A$2:$A$51, dd_accsrycalc!$G$2:$G$51, "",0),  F412&lt;&gt;"",L412*_xlfn.XLOOKUP(1, (SKUs!$C$2:$C$10001=G412)*(SKUs!$K$2:$K$10001=I412),SKUs!$E$2:$E$10001)), 0),"")</f>
        <v/>
      </c>
      <c r="E412" s="35" t="str">
        <f>_xlfn.XLOOKUP(F412,dd_item!$B$2:$B$105,dd_item!$C$2:$C$105,"",0)</f>
        <v/>
      </c>
      <c r="F412" s="35"/>
      <c r="G412" s="35" cm="1">
        <f t="array" ref="G412">IFERROR(_xlfn.XLOOKUP(1, (SKUs!$J$2:$J$10001=accsry_unmerged!F412)*IF(H412&lt;&gt;"",(SKUs!$L$2:$L$10001=accsry_unmerged!H412),1)*(SKUs!$K$2:$K$10001=I412),SKUs!$C$2:$C$10001),"")</f>
        <v>0</v>
      </c>
      <c r="H412" s="36" cm="1">
        <f t="array" ref="H412">IFERROR(_xlfn.XLOOKUP(1, (dd_accsryclr!$C$2:$C$1000=accsry_unmerged!F412)*(dd_accsryclr!$B$2:$B$1000=accsry_unmerged!J412),dd_accsryclr!$A$2:$A$1000),"")</f>
        <v>0</v>
      </c>
      <c r="I412" s="35">
        <f>_xlfn.XLOOKUP(C412,'Project Details'!$C$17:$C$66,'Project Details'!$E$17:$E$66,"",0)</f>
        <v>0</v>
      </c>
      <c r="J412" s="35">
        <f>_xlfn.XLOOKUP(C412,'Project Details'!$C$17:$C$66,'Project Details'!$H$17:$H$66,"",0)</f>
        <v>0</v>
      </c>
      <c r="K412" s="36" t="str">
        <f>IF(AND(_xlfn.XLOOKUP(C412,'Project Details'!$C$17:$C$66,'Project Details'!$L$17:$L$66,"",0)&gt;550, F412="Spring-L27cm"),"",SUBSTITUTE(_xlfn.XLOOKUP(G412,SKUs!$C$2:$C$10001,SKUs!$F$2:$F$10001,"",0), " Accessories",""))</f>
        <v/>
      </c>
      <c r="L412" s="36">
        <f>_xlfn.XLOOKUP(C412,'Project Details'!$C$17:$C$66,'Project Details'!$D$17:$D$66,"",0)</f>
        <v>0</v>
      </c>
      <c r="M412" s="43"/>
    </row>
    <row r="413" spans="1:13" ht="13.5" customHeight="1" outlineLevel="1" x14ac:dyDescent="0.25">
      <c r="A413" s="43"/>
      <c r="B413" s="43"/>
      <c r="C413" s="16">
        <f t="shared" si="6"/>
        <v>8</v>
      </c>
      <c r="D413" s="16" t="str" cm="1">
        <f t="array" ref="D413">IFERROR(ROUNDUP(_xlfn.IFS(F413="Aluminum Track", _xlfn.XLOOKUP(C413, dd_accsrycalc!$A$2:$A$51, dd_accsrycalc!$B$2:$B$51, "",0), F413="10 x 2 1/2 S (Flat)", _xlfn.XLOOKUP(C413, dd_accsrycalc!$A$2:$A$51, dd_accsrycalc!$C$2:$C$51, "",0), F413="Tox6", _xlfn.XLOOKUP(C413, dd_accsrycalc!$A$2:$A$51, dd_accsrycalc!$D$2:$D$51, "",0), F413="Cover Cap", _xlfn.XLOOKUP(C413, dd_accsrycalc!$A$2:$A$51, dd_accsrycalc!$E$2:$E$51, "",0), F413="Drainage Cover", _xlfn.XLOOKUP(C413, dd_accsrycalc!$A$2:$A$51, dd_accsrycalc!$F$2:$F$51, "",0),AND( F413="Double Adhesive Tape", I413="Roll-up Screen"), _xlfn.XLOOKUP(C413, calc_rusacc!$C$15:$C$65, calc_rusacc!$AD$15:$AD$65, "",0),AND( F413="Sealant", I413="Roll-up Screen"), _xlfn.XLOOKUP(C413, calc_rusacc!$C$15:$C$65, calc_rusacc!$AF$15:$AF$65, "",0),  AND( F413="Main Chain", I413="Accordion Screen"), _xlfn.XLOOKUP(C413, calc_rusacc!$C$15:$C$65, calc_rusacc!$BF$15:$BF$65, "",0), AND( F413="Sealant", I413="Accordion Screen"), _xlfn.XLOOKUP(C413, calc_rusacc!$C$15:$C$65, calc_rusacc!$BJ$15:$BJ$65, "",0),  F413="Sealant", _xlfn.XLOOKUP(C413, dd_accsrycalc!$A$2:$A$51, dd_accsrycalc!$G$2:$G$51, "",0),  F413&lt;&gt;"",L413*_xlfn.XLOOKUP(1, (SKUs!$C$2:$C$10001=G413)*(SKUs!$K$2:$K$10001=I413),SKUs!$E$2:$E$10001)), 0),"")</f>
        <v/>
      </c>
      <c r="E413" s="16" t="str">
        <f>_xlfn.XLOOKUP(F413,dd_item!$B$2:$B$105,dd_item!$C$2:$C$105,"",0)</f>
        <v/>
      </c>
      <c r="F413" s="16"/>
      <c r="G413" s="16" cm="1">
        <f t="array" ref="G413">IFERROR(_xlfn.XLOOKUP(1, (SKUs!$J$2:$J$10001=accsry_unmerged!F413)*IF(H413&lt;&gt;"",(SKUs!$L$2:$L$10001=accsry_unmerged!H413),1)*(SKUs!$K$2:$K$10001=I413),SKUs!$C$2:$C$10001),"")</f>
        <v>0</v>
      </c>
      <c r="H413" s="33" cm="1">
        <f t="array" ref="H413">IFERROR(_xlfn.XLOOKUP(1, (dd_accsryclr!$C$2:$C$1000=accsry_unmerged!F413)*(dd_accsryclr!$B$2:$B$1000=accsry_unmerged!J413),dd_accsryclr!$A$2:$A$1000),"")</f>
        <v>0</v>
      </c>
      <c r="I413" s="16">
        <f>_xlfn.XLOOKUP(C413,'Project Details'!$C$17:$C$66,'Project Details'!$E$17:$E$66,"",0)</f>
        <v>0</v>
      </c>
      <c r="J413" s="16">
        <f>_xlfn.XLOOKUP(C413,'Project Details'!$C$17:$C$66,'Project Details'!$H$17:$H$66,"",0)</f>
        <v>0</v>
      </c>
      <c r="K413" s="33" t="str">
        <f>IF(AND(_xlfn.XLOOKUP(C413,'Project Details'!$C$17:$C$66,'Project Details'!$L$17:$L$66,"",0)&gt;550, F413="Spring-L27cm"),"",SUBSTITUTE(_xlfn.XLOOKUP(G413,SKUs!$C$2:$C$10001,SKUs!$F$2:$F$10001,"",0), " Accessories",""))</f>
        <v/>
      </c>
      <c r="L413" s="33">
        <f>_xlfn.XLOOKUP(C413,'Project Details'!$C$17:$C$66,'Project Details'!$D$17:$D$66,"",0)</f>
        <v>0</v>
      </c>
      <c r="M413" s="43"/>
    </row>
    <row r="414" spans="1:13" x14ac:dyDescent="0.25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</row>
    <row r="415" spans="1:13" x14ac:dyDescent="0.25">
      <c r="A415" s="43"/>
      <c r="B415" s="43"/>
      <c r="C415" s="16">
        <f>C413+1</f>
        <v>9</v>
      </c>
      <c r="D415" s="48" cm="1">
        <f t="array" ref="D415">IFERROR(ROUNDUP(_xlfn.IFS(F415="Aluminum Track", _xlfn.XLOOKUP(C415, dd_accsrycalc!$A$2:$A$51, dd_accsrycalc!$B$2:$B$51, "",0), F415="10 x 2 1/2 S (Flat)", _xlfn.XLOOKUP(C415, dd_accsrycalc!$A$2:$A$51, dd_accsrycalc!$C$2:$C$51, "",0), F415="Tox6", _xlfn.XLOOKUP(C415, dd_accsrycalc!$A$2:$A$51, dd_accsrycalc!$D$2:$D$51, "",0), F415="Cover Cap", _xlfn.XLOOKUP(C415, dd_accsrycalc!$A$2:$A$51, dd_accsrycalc!$E$2:$E$51, "",0), F415="Drainage Cover", _xlfn.XLOOKUP(C415, dd_accsrycalc!$A$2:$A$51, dd_accsrycalc!$F$2:$F$51, "",0),AND( F415="Double Adhesive Tape", I415="Roll-up Screen"), _xlfn.XLOOKUP(C415, calc_rusacc!$C$15:$C$65, calc_rusacc!$AD$15:$AD$65, "",0),AND( F415="Sealant", I415="Roll-up Screen"), _xlfn.XLOOKUP(C415, calc_rusacc!$C$15:$C$65, calc_rusacc!$AF$15:$AF$65, "",0),  AND( F415="Main Chain", I415="Accordion Screen"), _xlfn.XLOOKUP(C415, calc_rusacc!$C$15:$C$65, calc_rusacc!$BF$15:$BF$65, "",0), AND( F415="Sealant", I415="Accordion Screen"), _xlfn.XLOOKUP(C415, calc_rusacc!$C$15:$C$65, calc_rusacc!$BJ$15:$BJ$65, "",0),  F415="Sealant", _xlfn.XLOOKUP(C415, dd_accsrycalc!$A$2:$A$51, dd_accsrycalc!$G$2:$G$51, "",0),  F415&lt;&gt;"",L415*_xlfn.XLOOKUP(1, (SKUs!$C$2:$C$10001=G415)*(SKUs!$K$2:$K$10001=I415),SKUs!$E$2:$E$10001)), 0),"")</f>
        <v>0</v>
      </c>
      <c r="E415" s="48" t="str">
        <f>_xlfn.XLOOKUP(F415,dd_item!$B$2:$B$105,dd_item!$C$2:$C$105,"",0)</f>
        <v/>
      </c>
      <c r="F415" s="48" cm="1">
        <f t="array" ref="F415">IFERROR(_xlfn.UNIQUE(_xlfn._xlws.FILTER(SKUs!$J$2:$J$10001, (SKUs!$F$2:$F$10001&lt;&gt;"Cutting List") * (SKUs!$A$2:$A$10001=_xlfn.XLOOKUP(_xlfn.XLOOKUP(C415,'Project Details'!$C$17:$C$66,'Project Details'!$E$17:$E$66,"",0), dd_design_raw!$A$2:$A$101,dd_design_raw!$C$2:$C$101,"",0)))), "")</f>
        <v>0</v>
      </c>
      <c r="G415" s="16" cm="1">
        <f t="array" ref="G415">IFERROR(_xlfn.XLOOKUP(1, (SKUs!$J$2:$J$10001=accsry_unmerged!F415)*IF(H415&lt;&gt;"",(SKUs!$L$2:$L$10001=accsry_unmerged!H415),1)*(SKUs!$K$2:$K$10001=I415),SKUs!$C$2:$C$10001),"")</f>
        <v>0</v>
      </c>
      <c r="H415" s="16" cm="1">
        <f t="array" ref="H415">IFERROR(_xlfn.XLOOKUP(1, (dd_accsryclr!$C$2:$C$1000=accsry_unmerged!F415)*(dd_accsryclr!$B$2:$B$1000=accsry_unmerged!J415),dd_accsryclr!$A$2:$A$1000),"")</f>
        <v>0</v>
      </c>
      <c r="I415" s="16">
        <f>_xlfn.XLOOKUP(C415,'Project Details'!$C$17:$C$66,'Project Details'!$E$17:$E$66,"",0)</f>
        <v>0</v>
      </c>
      <c r="J415" s="16">
        <f>_xlfn.XLOOKUP(C415,'Project Details'!$C$17:$C$66,'Project Details'!$H$17:$H$66,"",0)</f>
        <v>0</v>
      </c>
      <c r="K415" s="16" t="str">
        <f>IF(AND(_xlfn.XLOOKUP(C415,'Project Details'!$C$17:$C$66,'Project Details'!$L$17:$L$66,"",0)&gt;550, F415="Spring-L27cm"),"",SUBSTITUTE(_xlfn.XLOOKUP(G415,SKUs!$C$2:$C$10001,SKUs!$F$2:$F$10001,"",0), " Accessories",""))</f>
        <v/>
      </c>
      <c r="L415" s="16">
        <f>_xlfn.XLOOKUP(C415,'Project Details'!$C$17:$C$66,'Project Details'!$D$17:$D$66,"",0)</f>
        <v>0</v>
      </c>
      <c r="M415" s="43"/>
    </row>
    <row r="416" spans="1:13" x14ac:dyDescent="0.25">
      <c r="A416" s="43"/>
      <c r="B416" s="43"/>
      <c r="C416" s="35">
        <f>C415</f>
        <v>9</v>
      </c>
      <c r="D416" s="35" t="str" cm="1">
        <f t="array" ref="D416">IFERROR(ROUNDUP(_xlfn.IFS(F416="Aluminum Track", _xlfn.XLOOKUP(C416, dd_accsrycalc!$A$2:$A$51, dd_accsrycalc!$B$2:$B$51, "",0), F416="10 x 2 1/2 S (Flat)", _xlfn.XLOOKUP(C416, dd_accsrycalc!$A$2:$A$51, dd_accsrycalc!$C$2:$C$51, "",0), F416="Tox6", _xlfn.XLOOKUP(C416, dd_accsrycalc!$A$2:$A$51, dd_accsrycalc!$D$2:$D$51, "",0), F416="Cover Cap", _xlfn.XLOOKUP(C416, dd_accsrycalc!$A$2:$A$51, dd_accsrycalc!$E$2:$E$51, "",0), F416="Drainage Cover", _xlfn.XLOOKUP(C416, dd_accsrycalc!$A$2:$A$51, dd_accsrycalc!$F$2:$F$51, "",0),AND( F416="Double Adhesive Tape", I416="Roll-up Screen"), _xlfn.XLOOKUP(C416, calc_rusacc!$C$15:$C$65, calc_rusacc!$AD$15:$AD$65, "",0),AND( F416="Sealant", I416="Roll-up Screen"), _xlfn.XLOOKUP(C416, calc_rusacc!$C$15:$C$65, calc_rusacc!$AF$15:$AF$65, "",0),  AND( F416="Main Chain", I416="Accordion Screen"), _xlfn.XLOOKUP(C416, calc_rusacc!$C$15:$C$65, calc_rusacc!$BF$15:$BF$65, "",0), AND( F416="Sealant", I416="Accordion Screen"), _xlfn.XLOOKUP(C416, calc_rusacc!$C$15:$C$65, calc_rusacc!$BJ$15:$BJ$65, "",0),  F416="Sealant", _xlfn.XLOOKUP(C416, dd_accsrycalc!$A$2:$A$51, dd_accsrycalc!$G$2:$G$51, "",0),  F416&lt;&gt;"",L416*_xlfn.XLOOKUP(1, (SKUs!$C$2:$C$10001=G416)*(SKUs!$K$2:$K$10001=I416),SKUs!$E$2:$E$10001)), 0),"")</f>
        <v/>
      </c>
      <c r="E416" s="35" t="str">
        <f>_xlfn.XLOOKUP(F416,dd_item!$B$2:$B$105,dd_item!$C$2:$C$105,"",0)</f>
        <v/>
      </c>
      <c r="F416" s="35"/>
      <c r="G416" s="35" cm="1">
        <f t="array" ref="G416">IFERROR(_xlfn.XLOOKUP(1, (SKUs!$J$2:$J$10001=accsry_unmerged!F416)*IF(H416&lt;&gt;"",(SKUs!$L$2:$L$10001=accsry_unmerged!H416),1)*(SKUs!$K$2:$K$10001=I416),SKUs!$C$2:$C$10001),"")</f>
        <v>0</v>
      </c>
      <c r="H416" s="36" cm="1">
        <f t="array" ref="H416">IFERROR(_xlfn.XLOOKUP(1, (dd_accsryclr!$C$2:$C$1000=accsry_unmerged!F416)*(dd_accsryclr!$B$2:$B$1000=accsry_unmerged!J416),dd_accsryclr!$A$2:$A$1000),"")</f>
        <v>0</v>
      </c>
      <c r="I416" s="35">
        <f>_xlfn.XLOOKUP(C416,'Project Details'!$C$17:$C$66,'Project Details'!$E$17:$E$66,"",0)</f>
        <v>0</v>
      </c>
      <c r="J416" s="35">
        <f>_xlfn.XLOOKUP(C416,'Project Details'!$C$17:$C$66,'Project Details'!$H$17:$H$66,"",0)</f>
        <v>0</v>
      </c>
      <c r="K416" s="36" t="str">
        <f>IF(AND(_xlfn.XLOOKUP(C416,'Project Details'!$C$17:$C$66,'Project Details'!$L$17:$L$66,"",0)&gt;550, F416="Spring-L27cm"),"",SUBSTITUTE(_xlfn.XLOOKUP(G416,SKUs!$C$2:$C$10001,SKUs!$F$2:$F$10001,"",0), " Accessories",""))</f>
        <v/>
      </c>
      <c r="L416" s="36">
        <f>_xlfn.XLOOKUP(C416,'Project Details'!$C$17:$C$66,'Project Details'!$D$17:$D$66,"",0)</f>
        <v>0</v>
      </c>
      <c r="M416" s="43"/>
    </row>
    <row r="417" spans="1:13" x14ac:dyDescent="0.25">
      <c r="A417" s="43"/>
      <c r="B417" s="43"/>
      <c r="C417" s="16">
        <f t="shared" ref="C417:C463" si="7">C416</f>
        <v>9</v>
      </c>
      <c r="D417" s="16" t="str" cm="1">
        <f t="array" ref="D417">IFERROR(ROUNDUP(_xlfn.IFS(F417="Aluminum Track", _xlfn.XLOOKUP(C417, dd_accsrycalc!$A$2:$A$51, dd_accsrycalc!$B$2:$B$51, "",0), F417="10 x 2 1/2 S (Flat)", _xlfn.XLOOKUP(C417, dd_accsrycalc!$A$2:$A$51, dd_accsrycalc!$C$2:$C$51, "",0), F417="Tox6", _xlfn.XLOOKUP(C417, dd_accsrycalc!$A$2:$A$51, dd_accsrycalc!$D$2:$D$51, "",0), F417="Cover Cap", _xlfn.XLOOKUP(C417, dd_accsrycalc!$A$2:$A$51, dd_accsrycalc!$E$2:$E$51, "",0), F417="Drainage Cover", _xlfn.XLOOKUP(C417, dd_accsrycalc!$A$2:$A$51, dd_accsrycalc!$F$2:$F$51, "",0),AND( F417="Double Adhesive Tape", I417="Roll-up Screen"), _xlfn.XLOOKUP(C417, calc_rusacc!$C$15:$C$65, calc_rusacc!$AD$15:$AD$65, "",0),AND( F417="Sealant", I417="Roll-up Screen"), _xlfn.XLOOKUP(C417, calc_rusacc!$C$15:$C$65, calc_rusacc!$AF$15:$AF$65, "",0),  AND( F417="Main Chain", I417="Accordion Screen"), _xlfn.XLOOKUP(C417, calc_rusacc!$C$15:$C$65, calc_rusacc!$BF$15:$BF$65, "",0), AND( F417="Sealant", I417="Accordion Screen"), _xlfn.XLOOKUP(C417, calc_rusacc!$C$15:$C$65, calc_rusacc!$BJ$15:$BJ$65, "",0),  F417="Sealant", _xlfn.XLOOKUP(C417, dd_accsrycalc!$A$2:$A$51, dd_accsrycalc!$G$2:$G$51, "",0),  F417&lt;&gt;"",L417*_xlfn.XLOOKUP(1, (SKUs!$C$2:$C$10001=G417)*(SKUs!$K$2:$K$10001=I417),SKUs!$E$2:$E$10001)), 0),"")</f>
        <v/>
      </c>
      <c r="E417" s="16" t="str">
        <f>_xlfn.XLOOKUP(F417,dd_item!$B$2:$B$105,dd_item!$C$2:$C$105,"",0)</f>
        <v/>
      </c>
      <c r="F417" s="16"/>
      <c r="G417" s="16" cm="1">
        <f t="array" ref="G417">IFERROR(_xlfn.XLOOKUP(1, (SKUs!$J$2:$J$10001=accsry_unmerged!F417)*IF(H417&lt;&gt;"",(SKUs!$L$2:$L$10001=accsry_unmerged!H417),1)*(SKUs!$K$2:$K$10001=I417),SKUs!$C$2:$C$10001),"")</f>
        <v>0</v>
      </c>
      <c r="H417" s="33" cm="1">
        <f t="array" ref="H417">IFERROR(_xlfn.XLOOKUP(1, (dd_accsryclr!$C$2:$C$1000=accsry_unmerged!F417)*(dd_accsryclr!$B$2:$B$1000=accsry_unmerged!J417),dd_accsryclr!$A$2:$A$1000),"")</f>
        <v>0</v>
      </c>
      <c r="I417" s="16">
        <f>_xlfn.XLOOKUP(C417,'Project Details'!$C$17:$C$66,'Project Details'!$E$17:$E$66,"",0)</f>
        <v>0</v>
      </c>
      <c r="J417" s="16">
        <f>_xlfn.XLOOKUP(C417,'Project Details'!$C$17:$C$66,'Project Details'!$H$17:$H$66,"",0)</f>
        <v>0</v>
      </c>
      <c r="K417" s="33" t="str">
        <f>IF(AND(_xlfn.XLOOKUP(C417,'Project Details'!$C$17:$C$66,'Project Details'!$L$17:$L$66,"",0)&gt;550, F417="Spring-L27cm"),"",SUBSTITUTE(_xlfn.XLOOKUP(G417,SKUs!$C$2:$C$10001,SKUs!$F$2:$F$10001,"",0), " Accessories",""))</f>
        <v/>
      </c>
      <c r="L417" s="33">
        <f>_xlfn.XLOOKUP(C417,'Project Details'!$C$17:$C$66,'Project Details'!$D$17:$D$66,"",0)</f>
        <v>0</v>
      </c>
      <c r="M417" s="43"/>
    </row>
    <row r="418" spans="1:13" x14ac:dyDescent="0.25">
      <c r="A418" s="43"/>
      <c r="B418" s="43"/>
      <c r="C418" s="35">
        <f t="shared" si="7"/>
        <v>9</v>
      </c>
      <c r="D418" s="35" t="str" cm="1">
        <f t="array" ref="D418">IFERROR(ROUNDUP(_xlfn.IFS(F418="Aluminum Track", _xlfn.XLOOKUP(C418, dd_accsrycalc!$A$2:$A$51, dd_accsrycalc!$B$2:$B$51, "",0), F418="10 x 2 1/2 S (Flat)", _xlfn.XLOOKUP(C418, dd_accsrycalc!$A$2:$A$51, dd_accsrycalc!$C$2:$C$51, "",0), F418="Tox6", _xlfn.XLOOKUP(C418, dd_accsrycalc!$A$2:$A$51, dd_accsrycalc!$D$2:$D$51, "",0), F418="Cover Cap", _xlfn.XLOOKUP(C418, dd_accsrycalc!$A$2:$A$51, dd_accsrycalc!$E$2:$E$51, "",0), F418="Drainage Cover", _xlfn.XLOOKUP(C418, dd_accsrycalc!$A$2:$A$51, dd_accsrycalc!$F$2:$F$51, "",0),AND( F418="Double Adhesive Tape", I418="Roll-up Screen"), _xlfn.XLOOKUP(C418, calc_rusacc!$C$15:$C$65, calc_rusacc!$AD$15:$AD$65, "",0),AND( F418="Sealant", I418="Roll-up Screen"), _xlfn.XLOOKUP(C418, calc_rusacc!$C$15:$C$65, calc_rusacc!$AF$15:$AF$65, "",0),  AND( F418="Main Chain", I418="Accordion Screen"), _xlfn.XLOOKUP(C418, calc_rusacc!$C$15:$C$65, calc_rusacc!$BF$15:$BF$65, "",0), AND( F418="Sealant", I418="Accordion Screen"), _xlfn.XLOOKUP(C418, calc_rusacc!$C$15:$C$65, calc_rusacc!$BJ$15:$BJ$65, "",0),  F418="Sealant", _xlfn.XLOOKUP(C418, dd_accsrycalc!$A$2:$A$51, dd_accsrycalc!$G$2:$G$51, "",0),  F418&lt;&gt;"",L418*_xlfn.XLOOKUP(1, (SKUs!$C$2:$C$10001=G418)*(SKUs!$K$2:$K$10001=I418),SKUs!$E$2:$E$10001)), 0),"")</f>
        <v/>
      </c>
      <c r="E418" s="35" t="str">
        <f>_xlfn.XLOOKUP(F418,dd_item!$B$2:$B$105,dd_item!$C$2:$C$105,"",0)</f>
        <v/>
      </c>
      <c r="F418" s="35"/>
      <c r="G418" s="35" cm="1">
        <f t="array" ref="G418">IFERROR(_xlfn.XLOOKUP(1, (SKUs!$J$2:$J$10001=accsry_unmerged!F418)*IF(H418&lt;&gt;"",(SKUs!$L$2:$L$10001=accsry_unmerged!H418),1)*(SKUs!$K$2:$K$10001=I418),SKUs!$C$2:$C$10001),"")</f>
        <v>0</v>
      </c>
      <c r="H418" s="36" cm="1">
        <f t="array" ref="H418">IFERROR(_xlfn.XLOOKUP(1, (dd_accsryclr!$C$2:$C$1000=accsry_unmerged!F418)*(dd_accsryclr!$B$2:$B$1000=accsry_unmerged!J418),dd_accsryclr!$A$2:$A$1000),"")</f>
        <v>0</v>
      </c>
      <c r="I418" s="35">
        <f>_xlfn.XLOOKUP(C418,'Project Details'!$C$17:$C$66,'Project Details'!$E$17:$E$66,"",0)</f>
        <v>0</v>
      </c>
      <c r="J418" s="35">
        <f>_xlfn.XLOOKUP(C418,'Project Details'!$C$17:$C$66,'Project Details'!$H$17:$H$66,"",0)</f>
        <v>0</v>
      </c>
      <c r="K418" s="36" t="str">
        <f>IF(AND(_xlfn.XLOOKUP(C418,'Project Details'!$C$17:$C$66,'Project Details'!$L$17:$L$66,"",0)&gt;550, F418="Spring-L27cm"),"",SUBSTITUTE(_xlfn.XLOOKUP(G418,SKUs!$C$2:$C$10001,SKUs!$F$2:$F$10001,"",0), " Accessories",""))</f>
        <v/>
      </c>
      <c r="L418" s="36">
        <f>_xlfn.XLOOKUP(C418,'Project Details'!$C$17:$C$66,'Project Details'!$D$17:$D$66,"",0)</f>
        <v>0</v>
      </c>
      <c r="M418" s="43"/>
    </row>
    <row r="419" spans="1:13" x14ac:dyDescent="0.25">
      <c r="A419" s="43"/>
      <c r="B419" s="43"/>
      <c r="C419" s="16">
        <f t="shared" si="7"/>
        <v>9</v>
      </c>
      <c r="D419" s="16" t="str" cm="1">
        <f t="array" ref="D419">IFERROR(ROUNDUP(_xlfn.IFS(F419="Aluminum Track", _xlfn.XLOOKUP(C419, dd_accsrycalc!$A$2:$A$51, dd_accsrycalc!$B$2:$B$51, "",0), F419="10 x 2 1/2 S (Flat)", _xlfn.XLOOKUP(C419, dd_accsrycalc!$A$2:$A$51, dd_accsrycalc!$C$2:$C$51, "",0), F419="Tox6", _xlfn.XLOOKUP(C419, dd_accsrycalc!$A$2:$A$51, dd_accsrycalc!$D$2:$D$51, "",0), F419="Cover Cap", _xlfn.XLOOKUP(C419, dd_accsrycalc!$A$2:$A$51, dd_accsrycalc!$E$2:$E$51, "",0), F419="Drainage Cover", _xlfn.XLOOKUP(C419, dd_accsrycalc!$A$2:$A$51, dd_accsrycalc!$F$2:$F$51, "",0),AND( F419="Double Adhesive Tape", I419="Roll-up Screen"), _xlfn.XLOOKUP(C419, calc_rusacc!$C$15:$C$65, calc_rusacc!$AD$15:$AD$65, "",0),AND( F419="Sealant", I419="Roll-up Screen"), _xlfn.XLOOKUP(C419, calc_rusacc!$C$15:$C$65, calc_rusacc!$AF$15:$AF$65, "",0),  AND( F419="Main Chain", I419="Accordion Screen"), _xlfn.XLOOKUP(C419, calc_rusacc!$C$15:$C$65, calc_rusacc!$BF$15:$BF$65, "",0), AND( F419="Sealant", I419="Accordion Screen"), _xlfn.XLOOKUP(C419, calc_rusacc!$C$15:$C$65, calc_rusacc!$BJ$15:$BJ$65, "",0),  F419="Sealant", _xlfn.XLOOKUP(C419, dd_accsrycalc!$A$2:$A$51, dd_accsrycalc!$G$2:$G$51, "",0),  F419&lt;&gt;"",L419*_xlfn.XLOOKUP(1, (SKUs!$C$2:$C$10001=G419)*(SKUs!$K$2:$K$10001=I419),SKUs!$E$2:$E$10001)), 0),"")</f>
        <v/>
      </c>
      <c r="E419" s="16" t="str">
        <f>_xlfn.XLOOKUP(F419,dd_item!$B$2:$B$105,dd_item!$C$2:$C$105,"",0)</f>
        <v/>
      </c>
      <c r="F419" s="16"/>
      <c r="G419" s="16" cm="1">
        <f t="array" ref="G419">IFERROR(_xlfn.XLOOKUP(1, (SKUs!$J$2:$J$10001=accsry_unmerged!F419)*IF(H419&lt;&gt;"",(SKUs!$L$2:$L$10001=accsry_unmerged!H419),1)*(SKUs!$K$2:$K$10001=I419),SKUs!$C$2:$C$10001),"")</f>
        <v>0</v>
      </c>
      <c r="H419" s="33" cm="1">
        <f t="array" ref="H419">IFERROR(_xlfn.XLOOKUP(1, (dd_accsryclr!$C$2:$C$1000=accsry_unmerged!F419)*(dd_accsryclr!$B$2:$B$1000=accsry_unmerged!J419),dd_accsryclr!$A$2:$A$1000),"")</f>
        <v>0</v>
      </c>
      <c r="I419" s="16">
        <f>_xlfn.XLOOKUP(C419,'Project Details'!$C$17:$C$66,'Project Details'!$E$17:$E$66,"",0)</f>
        <v>0</v>
      </c>
      <c r="J419" s="16">
        <f>_xlfn.XLOOKUP(C419,'Project Details'!$C$17:$C$66,'Project Details'!$H$17:$H$66,"",0)</f>
        <v>0</v>
      </c>
      <c r="K419" s="33" t="str">
        <f>IF(AND(_xlfn.XLOOKUP(C419,'Project Details'!$C$17:$C$66,'Project Details'!$L$17:$L$66,"",0)&gt;550, F419="Spring-L27cm"),"",SUBSTITUTE(_xlfn.XLOOKUP(G419,SKUs!$C$2:$C$10001,SKUs!$F$2:$F$10001,"",0), " Accessories",""))</f>
        <v/>
      </c>
      <c r="L419" s="33">
        <f>_xlfn.XLOOKUP(C419,'Project Details'!$C$17:$C$66,'Project Details'!$D$17:$D$66,"",0)</f>
        <v>0</v>
      </c>
      <c r="M419" s="43"/>
    </row>
    <row r="420" spans="1:13" x14ac:dyDescent="0.25">
      <c r="A420" s="43"/>
      <c r="B420" s="43"/>
      <c r="C420" s="35">
        <f t="shared" si="7"/>
        <v>9</v>
      </c>
      <c r="D420" s="35" t="str" cm="1">
        <f t="array" ref="D420">IFERROR(ROUNDUP(_xlfn.IFS(F420="Aluminum Track", _xlfn.XLOOKUP(C420, dd_accsrycalc!$A$2:$A$51, dd_accsrycalc!$B$2:$B$51, "",0), F420="10 x 2 1/2 S (Flat)", _xlfn.XLOOKUP(C420, dd_accsrycalc!$A$2:$A$51, dd_accsrycalc!$C$2:$C$51, "",0), F420="Tox6", _xlfn.XLOOKUP(C420, dd_accsrycalc!$A$2:$A$51, dd_accsrycalc!$D$2:$D$51, "",0), F420="Cover Cap", _xlfn.XLOOKUP(C420, dd_accsrycalc!$A$2:$A$51, dd_accsrycalc!$E$2:$E$51, "",0), F420="Drainage Cover", _xlfn.XLOOKUP(C420, dd_accsrycalc!$A$2:$A$51, dd_accsrycalc!$F$2:$F$51, "",0),AND( F420="Double Adhesive Tape", I420="Roll-up Screen"), _xlfn.XLOOKUP(C420, calc_rusacc!$C$15:$C$65, calc_rusacc!$AD$15:$AD$65, "",0),AND( F420="Sealant", I420="Roll-up Screen"), _xlfn.XLOOKUP(C420, calc_rusacc!$C$15:$C$65, calc_rusacc!$AF$15:$AF$65, "",0),  AND( F420="Main Chain", I420="Accordion Screen"), _xlfn.XLOOKUP(C420, calc_rusacc!$C$15:$C$65, calc_rusacc!$BF$15:$BF$65, "",0), AND( F420="Sealant", I420="Accordion Screen"), _xlfn.XLOOKUP(C420, calc_rusacc!$C$15:$C$65, calc_rusacc!$BJ$15:$BJ$65, "",0),  F420="Sealant", _xlfn.XLOOKUP(C420, dd_accsrycalc!$A$2:$A$51, dd_accsrycalc!$G$2:$G$51, "",0),  F420&lt;&gt;"",L420*_xlfn.XLOOKUP(1, (SKUs!$C$2:$C$10001=G420)*(SKUs!$K$2:$K$10001=I420),SKUs!$E$2:$E$10001)), 0),"")</f>
        <v/>
      </c>
      <c r="E420" s="35" t="str">
        <f>_xlfn.XLOOKUP(F420,dd_item!$B$2:$B$105,dd_item!$C$2:$C$105,"",0)</f>
        <v/>
      </c>
      <c r="F420" s="35"/>
      <c r="G420" s="35" cm="1">
        <f t="array" ref="G420">IFERROR(_xlfn.XLOOKUP(1, (SKUs!$J$2:$J$10001=accsry_unmerged!F420)*IF(H420&lt;&gt;"",(SKUs!$L$2:$L$10001=accsry_unmerged!H420),1)*(SKUs!$K$2:$K$10001=I420),SKUs!$C$2:$C$10001),"")</f>
        <v>0</v>
      </c>
      <c r="H420" s="36" cm="1">
        <f t="array" ref="H420">IFERROR(_xlfn.XLOOKUP(1, (dd_accsryclr!$C$2:$C$1000=accsry_unmerged!F420)*(dd_accsryclr!$B$2:$B$1000=accsry_unmerged!J420),dd_accsryclr!$A$2:$A$1000),"")</f>
        <v>0</v>
      </c>
      <c r="I420" s="35">
        <f>_xlfn.XLOOKUP(C420,'Project Details'!$C$17:$C$66,'Project Details'!$E$17:$E$66,"",0)</f>
        <v>0</v>
      </c>
      <c r="J420" s="35">
        <f>_xlfn.XLOOKUP(C420,'Project Details'!$C$17:$C$66,'Project Details'!$H$17:$H$66,"",0)</f>
        <v>0</v>
      </c>
      <c r="K420" s="36" t="str">
        <f>IF(AND(_xlfn.XLOOKUP(C420,'Project Details'!$C$17:$C$66,'Project Details'!$L$17:$L$66,"",0)&gt;550, F420="Spring-L27cm"),"",SUBSTITUTE(_xlfn.XLOOKUP(G420,SKUs!$C$2:$C$10001,SKUs!$F$2:$F$10001,"",0), " Accessories",""))</f>
        <v/>
      </c>
      <c r="L420" s="36">
        <f>_xlfn.XLOOKUP(C420,'Project Details'!$C$17:$C$66,'Project Details'!$D$17:$D$66,"",0)</f>
        <v>0</v>
      </c>
      <c r="M420" s="43"/>
    </row>
    <row r="421" spans="1:13" x14ac:dyDescent="0.25">
      <c r="A421" s="43"/>
      <c r="B421" s="43"/>
      <c r="C421" s="16">
        <f t="shared" si="7"/>
        <v>9</v>
      </c>
      <c r="D421" s="16" t="str" cm="1">
        <f t="array" ref="D421">IFERROR(ROUNDUP(_xlfn.IFS(F421="Aluminum Track", _xlfn.XLOOKUP(C421, dd_accsrycalc!$A$2:$A$51, dd_accsrycalc!$B$2:$B$51, "",0), F421="10 x 2 1/2 S (Flat)", _xlfn.XLOOKUP(C421, dd_accsrycalc!$A$2:$A$51, dd_accsrycalc!$C$2:$C$51, "",0), F421="Tox6", _xlfn.XLOOKUP(C421, dd_accsrycalc!$A$2:$A$51, dd_accsrycalc!$D$2:$D$51, "",0), F421="Cover Cap", _xlfn.XLOOKUP(C421, dd_accsrycalc!$A$2:$A$51, dd_accsrycalc!$E$2:$E$51, "",0), F421="Drainage Cover", _xlfn.XLOOKUP(C421, dd_accsrycalc!$A$2:$A$51, dd_accsrycalc!$F$2:$F$51, "",0),AND( F421="Double Adhesive Tape", I421="Roll-up Screen"), _xlfn.XLOOKUP(C421, calc_rusacc!$C$15:$C$65, calc_rusacc!$AD$15:$AD$65, "",0),AND( F421="Sealant", I421="Roll-up Screen"), _xlfn.XLOOKUP(C421, calc_rusacc!$C$15:$C$65, calc_rusacc!$AF$15:$AF$65, "",0),  AND( F421="Main Chain", I421="Accordion Screen"), _xlfn.XLOOKUP(C421, calc_rusacc!$C$15:$C$65, calc_rusacc!$BF$15:$BF$65, "",0), AND( F421="Sealant", I421="Accordion Screen"), _xlfn.XLOOKUP(C421, calc_rusacc!$C$15:$C$65, calc_rusacc!$BJ$15:$BJ$65, "",0),  F421="Sealant", _xlfn.XLOOKUP(C421, dd_accsrycalc!$A$2:$A$51, dd_accsrycalc!$G$2:$G$51, "",0),  F421&lt;&gt;"",L421*_xlfn.XLOOKUP(1, (SKUs!$C$2:$C$10001=G421)*(SKUs!$K$2:$K$10001=I421),SKUs!$E$2:$E$10001)), 0),"")</f>
        <v/>
      </c>
      <c r="E421" s="16" t="str">
        <f>_xlfn.XLOOKUP(F421,dd_item!$B$2:$B$105,dd_item!$C$2:$C$105,"",0)</f>
        <v/>
      </c>
      <c r="F421" s="16"/>
      <c r="G421" s="16" cm="1">
        <f t="array" ref="G421">IFERROR(_xlfn.XLOOKUP(1, (SKUs!$J$2:$J$10001=accsry_unmerged!F421)*IF(H421&lt;&gt;"",(SKUs!$L$2:$L$10001=accsry_unmerged!H421),1)*(SKUs!$K$2:$K$10001=I421),SKUs!$C$2:$C$10001),"")</f>
        <v>0</v>
      </c>
      <c r="H421" s="33" cm="1">
        <f t="array" ref="H421">IFERROR(_xlfn.XLOOKUP(1, (dd_accsryclr!$C$2:$C$1000=accsry_unmerged!F421)*(dd_accsryclr!$B$2:$B$1000=accsry_unmerged!J421),dd_accsryclr!$A$2:$A$1000),"")</f>
        <v>0</v>
      </c>
      <c r="I421" s="16">
        <f>_xlfn.XLOOKUP(C421,'Project Details'!$C$17:$C$66,'Project Details'!$E$17:$E$66,"",0)</f>
        <v>0</v>
      </c>
      <c r="J421" s="16">
        <f>_xlfn.XLOOKUP(C421,'Project Details'!$C$17:$C$66,'Project Details'!$H$17:$H$66,"",0)</f>
        <v>0</v>
      </c>
      <c r="K421" s="33" t="str">
        <f>IF(AND(_xlfn.XLOOKUP(C421,'Project Details'!$C$17:$C$66,'Project Details'!$L$17:$L$66,"",0)&gt;550, F421="Spring-L27cm"),"",SUBSTITUTE(_xlfn.XLOOKUP(G421,SKUs!$C$2:$C$10001,SKUs!$F$2:$F$10001,"",0), " Accessories",""))</f>
        <v/>
      </c>
      <c r="L421" s="33">
        <f>_xlfn.XLOOKUP(C421,'Project Details'!$C$17:$C$66,'Project Details'!$D$17:$D$66,"",0)</f>
        <v>0</v>
      </c>
      <c r="M421" s="43"/>
    </row>
    <row r="422" spans="1:13" x14ac:dyDescent="0.25">
      <c r="A422" s="43"/>
      <c r="B422" s="43"/>
      <c r="C422" s="35">
        <f t="shared" si="7"/>
        <v>9</v>
      </c>
      <c r="D422" s="35" t="str" cm="1">
        <f t="array" ref="D422">IFERROR(ROUNDUP(_xlfn.IFS(F422="Aluminum Track", _xlfn.XLOOKUP(C422, dd_accsrycalc!$A$2:$A$51, dd_accsrycalc!$B$2:$B$51, "",0), F422="10 x 2 1/2 S (Flat)", _xlfn.XLOOKUP(C422, dd_accsrycalc!$A$2:$A$51, dd_accsrycalc!$C$2:$C$51, "",0), F422="Tox6", _xlfn.XLOOKUP(C422, dd_accsrycalc!$A$2:$A$51, dd_accsrycalc!$D$2:$D$51, "",0), F422="Cover Cap", _xlfn.XLOOKUP(C422, dd_accsrycalc!$A$2:$A$51, dd_accsrycalc!$E$2:$E$51, "",0), F422="Drainage Cover", _xlfn.XLOOKUP(C422, dd_accsrycalc!$A$2:$A$51, dd_accsrycalc!$F$2:$F$51, "",0),AND( F422="Double Adhesive Tape", I422="Roll-up Screen"), _xlfn.XLOOKUP(C422, calc_rusacc!$C$15:$C$65, calc_rusacc!$AD$15:$AD$65, "",0),AND( F422="Sealant", I422="Roll-up Screen"), _xlfn.XLOOKUP(C422, calc_rusacc!$C$15:$C$65, calc_rusacc!$AF$15:$AF$65, "",0),  AND( F422="Main Chain", I422="Accordion Screen"), _xlfn.XLOOKUP(C422, calc_rusacc!$C$15:$C$65, calc_rusacc!$BF$15:$BF$65, "",0), AND( F422="Sealant", I422="Accordion Screen"), _xlfn.XLOOKUP(C422, calc_rusacc!$C$15:$C$65, calc_rusacc!$BJ$15:$BJ$65, "",0),  F422="Sealant", _xlfn.XLOOKUP(C422, dd_accsrycalc!$A$2:$A$51, dd_accsrycalc!$G$2:$G$51, "",0),  F422&lt;&gt;"",L422*_xlfn.XLOOKUP(1, (SKUs!$C$2:$C$10001=G422)*(SKUs!$K$2:$K$10001=I422),SKUs!$E$2:$E$10001)), 0),"")</f>
        <v/>
      </c>
      <c r="E422" s="35" t="str">
        <f>_xlfn.XLOOKUP(F422,dd_item!$B$2:$B$105,dd_item!$C$2:$C$105,"",0)</f>
        <v/>
      </c>
      <c r="F422" s="35"/>
      <c r="G422" s="35" cm="1">
        <f t="array" ref="G422">IFERROR(_xlfn.XLOOKUP(1, (SKUs!$J$2:$J$10001=accsry_unmerged!F422)*IF(H422&lt;&gt;"",(SKUs!$L$2:$L$10001=accsry_unmerged!H422),1)*(SKUs!$K$2:$K$10001=I422),SKUs!$C$2:$C$10001),"")</f>
        <v>0</v>
      </c>
      <c r="H422" s="36" cm="1">
        <f t="array" ref="H422">IFERROR(_xlfn.XLOOKUP(1, (dd_accsryclr!$C$2:$C$1000=accsry_unmerged!F422)*(dd_accsryclr!$B$2:$B$1000=accsry_unmerged!J422),dd_accsryclr!$A$2:$A$1000),"")</f>
        <v>0</v>
      </c>
      <c r="I422" s="35">
        <f>_xlfn.XLOOKUP(C422,'Project Details'!$C$17:$C$66,'Project Details'!$E$17:$E$66,"",0)</f>
        <v>0</v>
      </c>
      <c r="J422" s="35">
        <f>_xlfn.XLOOKUP(C422,'Project Details'!$C$17:$C$66,'Project Details'!$H$17:$H$66,"",0)</f>
        <v>0</v>
      </c>
      <c r="K422" s="36" t="str">
        <f>IF(AND(_xlfn.XLOOKUP(C422,'Project Details'!$C$17:$C$66,'Project Details'!$L$17:$L$66,"",0)&gt;550, F422="Spring-L27cm"),"",SUBSTITUTE(_xlfn.XLOOKUP(G422,SKUs!$C$2:$C$10001,SKUs!$F$2:$F$10001,"",0), " Accessories",""))</f>
        <v/>
      </c>
      <c r="L422" s="36">
        <f>_xlfn.XLOOKUP(C422,'Project Details'!$C$17:$C$66,'Project Details'!$D$17:$D$66,"",0)</f>
        <v>0</v>
      </c>
      <c r="M422" s="43"/>
    </row>
    <row r="423" spans="1:13" x14ac:dyDescent="0.25">
      <c r="A423" s="43"/>
      <c r="B423" s="43"/>
      <c r="C423" s="16">
        <f t="shared" si="7"/>
        <v>9</v>
      </c>
      <c r="D423" s="16" t="str" cm="1">
        <f t="array" ref="D423">IFERROR(ROUNDUP(_xlfn.IFS(F423="Aluminum Track", _xlfn.XLOOKUP(C423, dd_accsrycalc!$A$2:$A$51, dd_accsrycalc!$B$2:$B$51, "",0), F423="10 x 2 1/2 S (Flat)", _xlfn.XLOOKUP(C423, dd_accsrycalc!$A$2:$A$51, dd_accsrycalc!$C$2:$C$51, "",0), F423="Tox6", _xlfn.XLOOKUP(C423, dd_accsrycalc!$A$2:$A$51, dd_accsrycalc!$D$2:$D$51, "",0), F423="Cover Cap", _xlfn.XLOOKUP(C423, dd_accsrycalc!$A$2:$A$51, dd_accsrycalc!$E$2:$E$51, "",0), F423="Drainage Cover", _xlfn.XLOOKUP(C423, dd_accsrycalc!$A$2:$A$51, dd_accsrycalc!$F$2:$F$51, "",0),AND( F423="Double Adhesive Tape", I423="Roll-up Screen"), _xlfn.XLOOKUP(C423, calc_rusacc!$C$15:$C$65, calc_rusacc!$AD$15:$AD$65, "",0),AND( F423="Sealant", I423="Roll-up Screen"), _xlfn.XLOOKUP(C423, calc_rusacc!$C$15:$C$65, calc_rusacc!$AF$15:$AF$65, "",0),  AND( F423="Main Chain", I423="Accordion Screen"), _xlfn.XLOOKUP(C423, calc_rusacc!$C$15:$C$65, calc_rusacc!$BF$15:$BF$65, "",0), AND( F423="Sealant", I423="Accordion Screen"), _xlfn.XLOOKUP(C423, calc_rusacc!$C$15:$C$65, calc_rusacc!$BJ$15:$BJ$65, "",0),  F423="Sealant", _xlfn.XLOOKUP(C423, dd_accsrycalc!$A$2:$A$51, dd_accsrycalc!$G$2:$G$51, "",0),  F423&lt;&gt;"",L423*_xlfn.XLOOKUP(1, (SKUs!$C$2:$C$10001=G423)*(SKUs!$K$2:$K$10001=I423),SKUs!$E$2:$E$10001)), 0),"")</f>
        <v/>
      </c>
      <c r="E423" s="16" t="str">
        <f>_xlfn.XLOOKUP(F423,dd_item!$B$2:$B$105,dd_item!$C$2:$C$105,"",0)</f>
        <v/>
      </c>
      <c r="F423" s="16"/>
      <c r="G423" s="16" cm="1">
        <f t="array" ref="G423">IFERROR(_xlfn.XLOOKUP(1, (SKUs!$J$2:$J$10001=accsry_unmerged!F423)*IF(H423&lt;&gt;"",(SKUs!$L$2:$L$10001=accsry_unmerged!H423),1)*(SKUs!$K$2:$K$10001=I423),SKUs!$C$2:$C$10001),"")</f>
        <v>0</v>
      </c>
      <c r="H423" s="33" cm="1">
        <f t="array" ref="H423">IFERROR(_xlfn.XLOOKUP(1, (dd_accsryclr!$C$2:$C$1000=accsry_unmerged!F423)*(dd_accsryclr!$B$2:$B$1000=accsry_unmerged!J423),dd_accsryclr!$A$2:$A$1000),"")</f>
        <v>0</v>
      </c>
      <c r="I423" s="16">
        <f>_xlfn.XLOOKUP(C423,'Project Details'!$C$17:$C$66,'Project Details'!$E$17:$E$66,"",0)</f>
        <v>0</v>
      </c>
      <c r="J423" s="16">
        <f>_xlfn.XLOOKUP(C423,'Project Details'!$C$17:$C$66,'Project Details'!$H$17:$H$66,"",0)</f>
        <v>0</v>
      </c>
      <c r="K423" s="33" t="str">
        <f>IF(AND(_xlfn.XLOOKUP(C423,'Project Details'!$C$17:$C$66,'Project Details'!$L$17:$L$66,"",0)&gt;550, F423="Spring-L27cm"),"",SUBSTITUTE(_xlfn.XLOOKUP(G423,SKUs!$C$2:$C$10001,SKUs!$F$2:$F$10001,"",0), " Accessories",""))</f>
        <v/>
      </c>
      <c r="L423" s="33">
        <f>_xlfn.XLOOKUP(C423,'Project Details'!$C$17:$C$66,'Project Details'!$D$17:$D$66,"",0)</f>
        <v>0</v>
      </c>
      <c r="M423" s="43"/>
    </row>
    <row r="424" spans="1:13" x14ac:dyDescent="0.25">
      <c r="A424" s="43"/>
      <c r="B424" s="43"/>
      <c r="C424" s="35">
        <f t="shared" si="7"/>
        <v>9</v>
      </c>
      <c r="D424" s="35" t="str" cm="1">
        <f t="array" ref="D424">IFERROR(ROUNDUP(_xlfn.IFS(F424="Aluminum Track", _xlfn.XLOOKUP(C424, dd_accsrycalc!$A$2:$A$51, dd_accsrycalc!$B$2:$B$51, "",0), F424="10 x 2 1/2 S (Flat)", _xlfn.XLOOKUP(C424, dd_accsrycalc!$A$2:$A$51, dd_accsrycalc!$C$2:$C$51, "",0), F424="Tox6", _xlfn.XLOOKUP(C424, dd_accsrycalc!$A$2:$A$51, dd_accsrycalc!$D$2:$D$51, "",0), F424="Cover Cap", _xlfn.XLOOKUP(C424, dd_accsrycalc!$A$2:$A$51, dd_accsrycalc!$E$2:$E$51, "",0), F424="Drainage Cover", _xlfn.XLOOKUP(C424, dd_accsrycalc!$A$2:$A$51, dd_accsrycalc!$F$2:$F$51, "",0),AND( F424="Double Adhesive Tape", I424="Roll-up Screen"), _xlfn.XLOOKUP(C424, calc_rusacc!$C$15:$C$65, calc_rusacc!$AD$15:$AD$65, "",0),AND( F424="Sealant", I424="Roll-up Screen"), _xlfn.XLOOKUP(C424, calc_rusacc!$C$15:$C$65, calc_rusacc!$AF$15:$AF$65, "",0),  AND( F424="Main Chain", I424="Accordion Screen"), _xlfn.XLOOKUP(C424, calc_rusacc!$C$15:$C$65, calc_rusacc!$BF$15:$BF$65, "",0), AND( F424="Sealant", I424="Accordion Screen"), _xlfn.XLOOKUP(C424, calc_rusacc!$C$15:$C$65, calc_rusacc!$BJ$15:$BJ$65, "",0),  F424="Sealant", _xlfn.XLOOKUP(C424, dd_accsrycalc!$A$2:$A$51, dd_accsrycalc!$G$2:$G$51, "",0),  F424&lt;&gt;"",L424*_xlfn.XLOOKUP(1, (SKUs!$C$2:$C$10001=G424)*(SKUs!$K$2:$K$10001=I424),SKUs!$E$2:$E$10001)), 0),"")</f>
        <v/>
      </c>
      <c r="E424" s="35" t="str">
        <f>_xlfn.XLOOKUP(F424,dd_item!$B$2:$B$105,dd_item!$C$2:$C$105,"",0)</f>
        <v/>
      </c>
      <c r="F424" s="35"/>
      <c r="G424" s="35" cm="1">
        <f t="array" ref="G424">IFERROR(_xlfn.XLOOKUP(1, (SKUs!$J$2:$J$10001=accsry_unmerged!F424)*IF(H424&lt;&gt;"",(SKUs!$L$2:$L$10001=accsry_unmerged!H424),1)*(SKUs!$K$2:$K$10001=I424),SKUs!$C$2:$C$10001),"")</f>
        <v>0</v>
      </c>
      <c r="H424" s="36" cm="1">
        <f t="array" ref="H424">IFERROR(_xlfn.XLOOKUP(1, (dd_accsryclr!$C$2:$C$1000=accsry_unmerged!F424)*(dd_accsryclr!$B$2:$B$1000=accsry_unmerged!J424),dd_accsryclr!$A$2:$A$1000),"")</f>
        <v>0</v>
      </c>
      <c r="I424" s="35">
        <f>_xlfn.XLOOKUP(C424,'Project Details'!$C$17:$C$66,'Project Details'!$E$17:$E$66,"",0)</f>
        <v>0</v>
      </c>
      <c r="J424" s="35">
        <f>_xlfn.XLOOKUP(C424,'Project Details'!$C$17:$C$66,'Project Details'!$H$17:$H$66,"",0)</f>
        <v>0</v>
      </c>
      <c r="K424" s="36" t="str">
        <f>IF(AND(_xlfn.XLOOKUP(C424,'Project Details'!$C$17:$C$66,'Project Details'!$L$17:$L$66,"",0)&gt;550, F424="Spring-L27cm"),"",SUBSTITUTE(_xlfn.XLOOKUP(G424,SKUs!$C$2:$C$10001,SKUs!$F$2:$F$10001,"",0), " Accessories",""))</f>
        <v/>
      </c>
      <c r="L424" s="36">
        <f>_xlfn.XLOOKUP(C424,'Project Details'!$C$17:$C$66,'Project Details'!$D$17:$D$66,"",0)</f>
        <v>0</v>
      </c>
      <c r="M424" s="43"/>
    </row>
    <row r="425" spans="1:13" x14ac:dyDescent="0.25">
      <c r="A425" s="43"/>
      <c r="B425" s="43"/>
      <c r="C425" s="16">
        <f t="shared" si="7"/>
        <v>9</v>
      </c>
      <c r="D425" s="16" t="str" cm="1">
        <f t="array" ref="D425">IFERROR(ROUNDUP(_xlfn.IFS(F425="Aluminum Track", _xlfn.XLOOKUP(C425, dd_accsrycalc!$A$2:$A$51, dd_accsrycalc!$B$2:$B$51, "",0), F425="10 x 2 1/2 S (Flat)", _xlfn.XLOOKUP(C425, dd_accsrycalc!$A$2:$A$51, dd_accsrycalc!$C$2:$C$51, "",0), F425="Tox6", _xlfn.XLOOKUP(C425, dd_accsrycalc!$A$2:$A$51, dd_accsrycalc!$D$2:$D$51, "",0), F425="Cover Cap", _xlfn.XLOOKUP(C425, dd_accsrycalc!$A$2:$A$51, dd_accsrycalc!$E$2:$E$51, "",0), F425="Drainage Cover", _xlfn.XLOOKUP(C425, dd_accsrycalc!$A$2:$A$51, dd_accsrycalc!$F$2:$F$51, "",0),AND( F425="Double Adhesive Tape", I425="Roll-up Screen"), _xlfn.XLOOKUP(C425, calc_rusacc!$C$15:$C$65, calc_rusacc!$AD$15:$AD$65, "",0),AND( F425="Sealant", I425="Roll-up Screen"), _xlfn.XLOOKUP(C425, calc_rusacc!$C$15:$C$65, calc_rusacc!$AF$15:$AF$65, "",0),  AND( F425="Main Chain", I425="Accordion Screen"), _xlfn.XLOOKUP(C425, calc_rusacc!$C$15:$C$65, calc_rusacc!$BF$15:$BF$65, "",0), AND( F425="Sealant", I425="Accordion Screen"), _xlfn.XLOOKUP(C425, calc_rusacc!$C$15:$C$65, calc_rusacc!$BJ$15:$BJ$65, "",0),  F425="Sealant", _xlfn.XLOOKUP(C425, dd_accsrycalc!$A$2:$A$51, dd_accsrycalc!$G$2:$G$51, "",0),  F425&lt;&gt;"",L425*_xlfn.XLOOKUP(1, (SKUs!$C$2:$C$10001=G425)*(SKUs!$K$2:$K$10001=I425),SKUs!$E$2:$E$10001)), 0),"")</f>
        <v/>
      </c>
      <c r="E425" s="16" t="str">
        <f>_xlfn.XLOOKUP(F425,dd_item!$B$2:$B$105,dd_item!$C$2:$C$105,"",0)</f>
        <v/>
      </c>
      <c r="F425" s="16"/>
      <c r="G425" s="16" cm="1">
        <f t="array" ref="G425">IFERROR(_xlfn.XLOOKUP(1, (SKUs!$J$2:$J$10001=accsry_unmerged!F425)*IF(H425&lt;&gt;"",(SKUs!$L$2:$L$10001=accsry_unmerged!H425),1)*(SKUs!$K$2:$K$10001=I425),SKUs!$C$2:$C$10001),"")</f>
        <v>0</v>
      </c>
      <c r="H425" s="33" cm="1">
        <f t="array" ref="H425">IFERROR(_xlfn.XLOOKUP(1, (dd_accsryclr!$C$2:$C$1000=accsry_unmerged!F425)*(dd_accsryclr!$B$2:$B$1000=accsry_unmerged!J425),dd_accsryclr!$A$2:$A$1000),"")</f>
        <v>0</v>
      </c>
      <c r="I425" s="16">
        <f>_xlfn.XLOOKUP(C425,'Project Details'!$C$17:$C$66,'Project Details'!$E$17:$E$66,"",0)</f>
        <v>0</v>
      </c>
      <c r="J425" s="16">
        <f>_xlfn.XLOOKUP(C425,'Project Details'!$C$17:$C$66,'Project Details'!$H$17:$H$66,"",0)</f>
        <v>0</v>
      </c>
      <c r="K425" s="33" t="str">
        <f>IF(AND(_xlfn.XLOOKUP(C425,'Project Details'!$C$17:$C$66,'Project Details'!$L$17:$L$66,"",0)&gt;550, F425="Spring-L27cm"),"",SUBSTITUTE(_xlfn.XLOOKUP(G425,SKUs!$C$2:$C$10001,SKUs!$F$2:$F$10001,"",0), " Accessories",""))</f>
        <v/>
      </c>
      <c r="L425" s="33">
        <f>_xlfn.XLOOKUP(C425,'Project Details'!$C$17:$C$66,'Project Details'!$D$17:$D$66,"",0)</f>
        <v>0</v>
      </c>
      <c r="M425" s="43"/>
    </row>
    <row r="426" spans="1:13" x14ac:dyDescent="0.25">
      <c r="A426" s="43"/>
      <c r="B426" s="43"/>
      <c r="C426" s="35">
        <f t="shared" si="7"/>
        <v>9</v>
      </c>
      <c r="D426" s="35" t="str" cm="1">
        <f t="array" ref="D426">IFERROR(ROUNDUP(_xlfn.IFS(F426="Aluminum Track", _xlfn.XLOOKUP(C426, dd_accsrycalc!$A$2:$A$51, dd_accsrycalc!$B$2:$B$51, "",0), F426="10 x 2 1/2 S (Flat)", _xlfn.XLOOKUP(C426, dd_accsrycalc!$A$2:$A$51, dd_accsrycalc!$C$2:$C$51, "",0), F426="Tox6", _xlfn.XLOOKUP(C426, dd_accsrycalc!$A$2:$A$51, dd_accsrycalc!$D$2:$D$51, "",0), F426="Cover Cap", _xlfn.XLOOKUP(C426, dd_accsrycalc!$A$2:$A$51, dd_accsrycalc!$E$2:$E$51, "",0), F426="Drainage Cover", _xlfn.XLOOKUP(C426, dd_accsrycalc!$A$2:$A$51, dd_accsrycalc!$F$2:$F$51, "",0),AND( F426="Double Adhesive Tape", I426="Roll-up Screen"), _xlfn.XLOOKUP(C426, calc_rusacc!$C$15:$C$65, calc_rusacc!$AD$15:$AD$65, "",0),AND( F426="Sealant", I426="Roll-up Screen"), _xlfn.XLOOKUP(C426, calc_rusacc!$C$15:$C$65, calc_rusacc!$AF$15:$AF$65, "",0),  AND( F426="Main Chain", I426="Accordion Screen"), _xlfn.XLOOKUP(C426, calc_rusacc!$C$15:$C$65, calc_rusacc!$BF$15:$BF$65, "",0), AND( F426="Sealant", I426="Accordion Screen"), _xlfn.XLOOKUP(C426, calc_rusacc!$C$15:$C$65, calc_rusacc!$BJ$15:$BJ$65, "",0),  F426="Sealant", _xlfn.XLOOKUP(C426, dd_accsrycalc!$A$2:$A$51, dd_accsrycalc!$G$2:$G$51, "",0),  F426&lt;&gt;"",L426*_xlfn.XLOOKUP(1, (SKUs!$C$2:$C$10001=G426)*(SKUs!$K$2:$K$10001=I426),SKUs!$E$2:$E$10001)), 0),"")</f>
        <v/>
      </c>
      <c r="E426" s="35" t="str">
        <f>_xlfn.XLOOKUP(F426,dd_item!$B$2:$B$105,dd_item!$C$2:$C$105,"",0)</f>
        <v/>
      </c>
      <c r="F426" s="35"/>
      <c r="G426" s="35" cm="1">
        <f t="array" ref="G426">IFERROR(_xlfn.XLOOKUP(1, (SKUs!$J$2:$J$10001=accsry_unmerged!F426)*IF(H426&lt;&gt;"",(SKUs!$L$2:$L$10001=accsry_unmerged!H426),1)*(SKUs!$K$2:$K$10001=I426),SKUs!$C$2:$C$10001),"")</f>
        <v>0</v>
      </c>
      <c r="H426" s="36" cm="1">
        <f t="array" ref="H426">IFERROR(_xlfn.XLOOKUP(1, (dd_accsryclr!$C$2:$C$1000=accsry_unmerged!F426)*(dd_accsryclr!$B$2:$B$1000=accsry_unmerged!J426),dd_accsryclr!$A$2:$A$1000),"")</f>
        <v>0</v>
      </c>
      <c r="I426" s="35">
        <f>_xlfn.XLOOKUP(C426,'Project Details'!$C$17:$C$66,'Project Details'!$E$17:$E$66,"",0)</f>
        <v>0</v>
      </c>
      <c r="J426" s="35">
        <f>_xlfn.XLOOKUP(C426,'Project Details'!$C$17:$C$66,'Project Details'!$H$17:$H$66,"",0)</f>
        <v>0</v>
      </c>
      <c r="K426" s="36" t="str">
        <f>IF(AND(_xlfn.XLOOKUP(C426,'Project Details'!$C$17:$C$66,'Project Details'!$L$17:$L$66,"",0)&gt;550, F426="Spring-L27cm"),"",SUBSTITUTE(_xlfn.XLOOKUP(G426,SKUs!$C$2:$C$10001,SKUs!$F$2:$F$10001,"",0), " Accessories",""))</f>
        <v/>
      </c>
      <c r="L426" s="36">
        <f>_xlfn.XLOOKUP(C426,'Project Details'!$C$17:$C$66,'Project Details'!$D$17:$D$66,"",0)</f>
        <v>0</v>
      </c>
      <c r="M426" s="43"/>
    </row>
    <row r="427" spans="1:13" x14ac:dyDescent="0.25">
      <c r="A427" s="43"/>
      <c r="B427" s="43"/>
      <c r="C427" s="16">
        <f t="shared" si="7"/>
        <v>9</v>
      </c>
      <c r="D427" s="16" t="str" cm="1">
        <f t="array" ref="D427">IFERROR(ROUNDUP(_xlfn.IFS(F427="Aluminum Track", _xlfn.XLOOKUP(C427, dd_accsrycalc!$A$2:$A$51, dd_accsrycalc!$B$2:$B$51, "",0), F427="10 x 2 1/2 S (Flat)", _xlfn.XLOOKUP(C427, dd_accsrycalc!$A$2:$A$51, dd_accsrycalc!$C$2:$C$51, "",0), F427="Tox6", _xlfn.XLOOKUP(C427, dd_accsrycalc!$A$2:$A$51, dd_accsrycalc!$D$2:$D$51, "",0), F427="Cover Cap", _xlfn.XLOOKUP(C427, dd_accsrycalc!$A$2:$A$51, dd_accsrycalc!$E$2:$E$51, "",0), F427="Drainage Cover", _xlfn.XLOOKUP(C427, dd_accsrycalc!$A$2:$A$51, dd_accsrycalc!$F$2:$F$51, "",0),AND( F427="Double Adhesive Tape", I427="Roll-up Screen"), _xlfn.XLOOKUP(C427, calc_rusacc!$C$15:$C$65, calc_rusacc!$AD$15:$AD$65, "",0),AND( F427="Sealant", I427="Roll-up Screen"), _xlfn.XLOOKUP(C427, calc_rusacc!$C$15:$C$65, calc_rusacc!$AF$15:$AF$65, "",0),  AND( F427="Main Chain", I427="Accordion Screen"), _xlfn.XLOOKUP(C427, calc_rusacc!$C$15:$C$65, calc_rusacc!$BF$15:$BF$65, "",0), AND( F427="Sealant", I427="Accordion Screen"), _xlfn.XLOOKUP(C427, calc_rusacc!$C$15:$C$65, calc_rusacc!$BJ$15:$BJ$65, "",0),  F427="Sealant", _xlfn.XLOOKUP(C427, dd_accsrycalc!$A$2:$A$51, dd_accsrycalc!$G$2:$G$51, "",0),  F427&lt;&gt;"",L427*_xlfn.XLOOKUP(1, (SKUs!$C$2:$C$10001=G427)*(SKUs!$K$2:$K$10001=I427),SKUs!$E$2:$E$10001)), 0),"")</f>
        <v/>
      </c>
      <c r="E427" s="16" t="str">
        <f>_xlfn.XLOOKUP(F427,dd_item!$B$2:$B$105,dd_item!$C$2:$C$105,"",0)</f>
        <v/>
      </c>
      <c r="F427" s="16"/>
      <c r="G427" s="16" cm="1">
        <f t="array" ref="G427">IFERROR(_xlfn.XLOOKUP(1, (SKUs!$J$2:$J$10001=accsry_unmerged!F427)*IF(H427&lt;&gt;"",(SKUs!$L$2:$L$10001=accsry_unmerged!H427),1)*(SKUs!$K$2:$K$10001=I427),SKUs!$C$2:$C$10001),"")</f>
        <v>0</v>
      </c>
      <c r="H427" s="33" cm="1">
        <f t="array" ref="H427">IFERROR(_xlfn.XLOOKUP(1, (dd_accsryclr!$C$2:$C$1000=accsry_unmerged!F427)*(dd_accsryclr!$B$2:$B$1000=accsry_unmerged!J427),dd_accsryclr!$A$2:$A$1000),"")</f>
        <v>0</v>
      </c>
      <c r="I427" s="16">
        <f>_xlfn.XLOOKUP(C427,'Project Details'!$C$17:$C$66,'Project Details'!$E$17:$E$66,"",0)</f>
        <v>0</v>
      </c>
      <c r="J427" s="16">
        <f>_xlfn.XLOOKUP(C427,'Project Details'!$C$17:$C$66,'Project Details'!$H$17:$H$66,"",0)</f>
        <v>0</v>
      </c>
      <c r="K427" s="33" t="str">
        <f>IF(AND(_xlfn.XLOOKUP(C427,'Project Details'!$C$17:$C$66,'Project Details'!$L$17:$L$66,"",0)&gt;550, F427="Spring-L27cm"),"",SUBSTITUTE(_xlfn.XLOOKUP(G427,SKUs!$C$2:$C$10001,SKUs!$F$2:$F$10001,"",0), " Accessories",""))</f>
        <v/>
      </c>
      <c r="L427" s="33">
        <f>_xlfn.XLOOKUP(C427,'Project Details'!$C$17:$C$66,'Project Details'!$D$17:$D$66,"",0)</f>
        <v>0</v>
      </c>
      <c r="M427" s="43"/>
    </row>
    <row r="428" spans="1:13" x14ac:dyDescent="0.25">
      <c r="A428" s="43"/>
      <c r="B428" s="43"/>
      <c r="C428" s="35">
        <f t="shared" si="7"/>
        <v>9</v>
      </c>
      <c r="D428" s="35" t="str" cm="1">
        <f t="array" ref="D428">IFERROR(ROUNDUP(_xlfn.IFS(F428="Aluminum Track", _xlfn.XLOOKUP(C428, dd_accsrycalc!$A$2:$A$51, dd_accsrycalc!$B$2:$B$51, "",0), F428="10 x 2 1/2 S (Flat)", _xlfn.XLOOKUP(C428, dd_accsrycalc!$A$2:$A$51, dd_accsrycalc!$C$2:$C$51, "",0), F428="Tox6", _xlfn.XLOOKUP(C428, dd_accsrycalc!$A$2:$A$51, dd_accsrycalc!$D$2:$D$51, "",0), F428="Cover Cap", _xlfn.XLOOKUP(C428, dd_accsrycalc!$A$2:$A$51, dd_accsrycalc!$E$2:$E$51, "",0), F428="Drainage Cover", _xlfn.XLOOKUP(C428, dd_accsrycalc!$A$2:$A$51, dd_accsrycalc!$F$2:$F$51, "",0),AND( F428="Double Adhesive Tape", I428="Roll-up Screen"), _xlfn.XLOOKUP(C428, calc_rusacc!$C$15:$C$65, calc_rusacc!$AD$15:$AD$65, "",0),AND( F428="Sealant", I428="Roll-up Screen"), _xlfn.XLOOKUP(C428, calc_rusacc!$C$15:$C$65, calc_rusacc!$AF$15:$AF$65, "",0),  AND( F428="Main Chain", I428="Accordion Screen"), _xlfn.XLOOKUP(C428, calc_rusacc!$C$15:$C$65, calc_rusacc!$BF$15:$BF$65, "",0), AND( F428="Sealant", I428="Accordion Screen"), _xlfn.XLOOKUP(C428, calc_rusacc!$C$15:$C$65, calc_rusacc!$BJ$15:$BJ$65, "",0),  F428="Sealant", _xlfn.XLOOKUP(C428, dd_accsrycalc!$A$2:$A$51, dd_accsrycalc!$G$2:$G$51, "",0),  F428&lt;&gt;"",L428*_xlfn.XLOOKUP(1, (SKUs!$C$2:$C$10001=G428)*(SKUs!$K$2:$K$10001=I428),SKUs!$E$2:$E$10001)), 0),"")</f>
        <v/>
      </c>
      <c r="E428" s="35" t="str">
        <f>_xlfn.XLOOKUP(F428,dd_item!$B$2:$B$105,dd_item!$C$2:$C$105,"",0)</f>
        <v/>
      </c>
      <c r="F428" s="35"/>
      <c r="G428" s="35" cm="1">
        <f t="array" ref="G428">IFERROR(_xlfn.XLOOKUP(1, (SKUs!$J$2:$J$10001=accsry_unmerged!F428)*IF(H428&lt;&gt;"",(SKUs!$L$2:$L$10001=accsry_unmerged!H428),1)*(SKUs!$K$2:$K$10001=I428),SKUs!$C$2:$C$10001),"")</f>
        <v>0</v>
      </c>
      <c r="H428" s="36" cm="1">
        <f t="array" ref="H428">IFERROR(_xlfn.XLOOKUP(1, (dd_accsryclr!$C$2:$C$1000=accsry_unmerged!F428)*(dd_accsryclr!$B$2:$B$1000=accsry_unmerged!J428),dd_accsryclr!$A$2:$A$1000),"")</f>
        <v>0</v>
      </c>
      <c r="I428" s="35">
        <f>_xlfn.XLOOKUP(C428,'Project Details'!$C$17:$C$66,'Project Details'!$E$17:$E$66,"",0)</f>
        <v>0</v>
      </c>
      <c r="J428" s="35">
        <f>_xlfn.XLOOKUP(C428,'Project Details'!$C$17:$C$66,'Project Details'!$H$17:$H$66,"",0)</f>
        <v>0</v>
      </c>
      <c r="K428" s="36" t="str">
        <f>IF(AND(_xlfn.XLOOKUP(C428,'Project Details'!$C$17:$C$66,'Project Details'!$L$17:$L$66,"",0)&gt;550, F428="Spring-L27cm"),"",SUBSTITUTE(_xlfn.XLOOKUP(G428,SKUs!$C$2:$C$10001,SKUs!$F$2:$F$10001,"",0), " Accessories",""))</f>
        <v/>
      </c>
      <c r="L428" s="36">
        <f>_xlfn.XLOOKUP(C428,'Project Details'!$C$17:$C$66,'Project Details'!$D$17:$D$66,"",0)</f>
        <v>0</v>
      </c>
      <c r="M428" s="43"/>
    </row>
    <row r="429" spans="1:13" x14ac:dyDescent="0.25">
      <c r="A429" s="43"/>
      <c r="B429" s="43"/>
      <c r="C429" s="16">
        <f t="shared" si="7"/>
        <v>9</v>
      </c>
      <c r="D429" s="16" t="str" cm="1">
        <f t="array" ref="D429">IFERROR(ROUNDUP(_xlfn.IFS(F429="Aluminum Track", _xlfn.XLOOKUP(C429, dd_accsrycalc!$A$2:$A$51, dd_accsrycalc!$B$2:$B$51, "",0), F429="10 x 2 1/2 S (Flat)", _xlfn.XLOOKUP(C429, dd_accsrycalc!$A$2:$A$51, dd_accsrycalc!$C$2:$C$51, "",0), F429="Tox6", _xlfn.XLOOKUP(C429, dd_accsrycalc!$A$2:$A$51, dd_accsrycalc!$D$2:$D$51, "",0), F429="Cover Cap", _xlfn.XLOOKUP(C429, dd_accsrycalc!$A$2:$A$51, dd_accsrycalc!$E$2:$E$51, "",0), F429="Drainage Cover", _xlfn.XLOOKUP(C429, dd_accsrycalc!$A$2:$A$51, dd_accsrycalc!$F$2:$F$51, "",0),AND( F429="Double Adhesive Tape", I429="Roll-up Screen"), _xlfn.XLOOKUP(C429, calc_rusacc!$C$15:$C$65, calc_rusacc!$AD$15:$AD$65, "",0),AND( F429="Sealant", I429="Roll-up Screen"), _xlfn.XLOOKUP(C429, calc_rusacc!$C$15:$C$65, calc_rusacc!$AF$15:$AF$65, "",0),  AND( F429="Main Chain", I429="Accordion Screen"), _xlfn.XLOOKUP(C429, calc_rusacc!$C$15:$C$65, calc_rusacc!$BF$15:$BF$65, "",0), AND( F429="Sealant", I429="Accordion Screen"), _xlfn.XLOOKUP(C429, calc_rusacc!$C$15:$C$65, calc_rusacc!$BJ$15:$BJ$65, "",0),  F429="Sealant", _xlfn.XLOOKUP(C429, dd_accsrycalc!$A$2:$A$51, dd_accsrycalc!$G$2:$G$51, "",0),  F429&lt;&gt;"",L429*_xlfn.XLOOKUP(1, (SKUs!$C$2:$C$10001=G429)*(SKUs!$K$2:$K$10001=I429),SKUs!$E$2:$E$10001)), 0),"")</f>
        <v/>
      </c>
      <c r="E429" s="16" t="str">
        <f>_xlfn.XLOOKUP(F429,dd_item!$B$2:$B$105,dd_item!$C$2:$C$105,"",0)</f>
        <v/>
      </c>
      <c r="F429" s="16"/>
      <c r="G429" s="16" cm="1">
        <f t="array" ref="G429">IFERROR(_xlfn.XLOOKUP(1, (SKUs!$J$2:$J$10001=accsry_unmerged!F429)*IF(H429&lt;&gt;"",(SKUs!$L$2:$L$10001=accsry_unmerged!H429),1)*(SKUs!$K$2:$K$10001=I429),SKUs!$C$2:$C$10001),"")</f>
        <v>0</v>
      </c>
      <c r="H429" s="33" cm="1">
        <f t="array" ref="H429">IFERROR(_xlfn.XLOOKUP(1, (dd_accsryclr!$C$2:$C$1000=accsry_unmerged!F429)*(dd_accsryclr!$B$2:$B$1000=accsry_unmerged!J429),dd_accsryclr!$A$2:$A$1000),"")</f>
        <v>0</v>
      </c>
      <c r="I429" s="16">
        <f>_xlfn.XLOOKUP(C429,'Project Details'!$C$17:$C$66,'Project Details'!$E$17:$E$66,"",0)</f>
        <v>0</v>
      </c>
      <c r="J429" s="16">
        <f>_xlfn.XLOOKUP(C429,'Project Details'!$C$17:$C$66,'Project Details'!$H$17:$H$66,"",0)</f>
        <v>0</v>
      </c>
      <c r="K429" s="33" t="str">
        <f>IF(AND(_xlfn.XLOOKUP(C429,'Project Details'!$C$17:$C$66,'Project Details'!$L$17:$L$66,"",0)&gt;550, F429="Spring-L27cm"),"",SUBSTITUTE(_xlfn.XLOOKUP(G429,SKUs!$C$2:$C$10001,SKUs!$F$2:$F$10001,"",0), " Accessories",""))</f>
        <v/>
      </c>
      <c r="L429" s="33">
        <f>_xlfn.XLOOKUP(C429,'Project Details'!$C$17:$C$66,'Project Details'!$D$17:$D$66,"",0)</f>
        <v>0</v>
      </c>
      <c r="M429" s="43"/>
    </row>
    <row r="430" spans="1:13" x14ac:dyDescent="0.25">
      <c r="A430" s="43"/>
      <c r="B430" s="43"/>
      <c r="C430" s="35">
        <f t="shared" si="7"/>
        <v>9</v>
      </c>
      <c r="D430" s="35" t="str" cm="1">
        <f t="array" ref="D430">IFERROR(ROUNDUP(_xlfn.IFS(F430="Aluminum Track", _xlfn.XLOOKUP(C430, dd_accsrycalc!$A$2:$A$51, dd_accsrycalc!$B$2:$B$51, "",0), F430="10 x 2 1/2 S (Flat)", _xlfn.XLOOKUP(C430, dd_accsrycalc!$A$2:$A$51, dd_accsrycalc!$C$2:$C$51, "",0), F430="Tox6", _xlfn.XLOOKUP(C430, dd_accsrycalc!$A$2:$A$51, dd_accsrycalc!$D$2:$D$51, "",0), F430="Cover Cap", _xlfn.XLOOKUP(C430, dd_accsrycalc!$A$2:$A$51, dd_accsrycalc!$E$2:$E$51, "",0), F430="Drainage Cover", _xlfn.XLOOKUP(C430, dd_accsrycalc!$A$2:$A$51, dd_accsrycalc!$F$2:$F$51, "",0),AND( F430="Double Adhesive Tape", I430="Roll-up Screen"), _xlfn.XLOOKUP(C430, calc_rusacc!$C$15:$C$65, calc_rusacc!$AD$15:$AD$65, "",0),AND( F430="Sealant", I430="Roll-up Screen"), _xlfn.XLOOKUP(C430, calc_rusacc!$C$15:$C$65, calc_rusacc!$AF$15:$AF$65, "",0),  AND( F430="Main Chain", I430="Accordion Screen"), _xlfn.XLOOKUP(C430, calc_rusacc!$C$15:$C$65, calc_rusacc!$BF$15:$BF$65, "",0), AND( F430="Sealant", I430="Accordion Screen"), _xlfn.XLOOKUP(C430, calc_rusacc!$C$15:$C$65, calc_rusacc!$BJ$15:$BJ$65, "",0),  F430="Sealant", _xlfn.XLOOKUP(C430, dd_accsrycalc!$A$2:$A$51, dd_accsrycalc!$G$2:$G$51, "",0),  F430&lt;&gt;"",L430*_xlfn.XLOOKUP(1, (SKUs!$C$2:$C$10001=G430)*(SKUs!$K$2:$K$10001=I430),SKUs!$E$2:$E$10001)), 0),"")</f>
        <v/>
      </c>
      <c r="E430" s="35" t="str">
        <f>_xlfn.XLOOKUP(F430,dd_item!$B$2:$B$105,dd_item!$C$2:$C$105,"",0)</f>
        <v/>
      </c>
      <c r="F430" s="35"/>
      <c r="G430" s="35" cm="1">
        <f t="array" ref="G430">IFERROR(_xlfn.XLOOKUP(1, (SKUs!$J$2:$J$10001=accsry_unmerged!F430)*IF(H430&lt;&gt;"",(SKUs!$L$2:$L$10001=accsry_unmerged!H430),1)*(SKUs!$K$2:$K$10001=I430),SKUs!$C$2:$C$10001),"")</f>
        <v>0</v>
      </c>
      <c r="H430" s="36" cm="1">
        <f t="array" ref="H430">IFERROR(_xlfn.XLOOKUP(1, (dd_accsryclr!$C$2:$C$1000=accsry_unmerged!F430)*(dd_accsryclr!$B$2:$B$1000=accsry_unmerged!J430),dd_accsryclr!$A$2:$A$1000),"")</f>
        <v>0</v>
      </c>
      <c r="I430" s="35">
        <f>_xlfn.XLOOKUP(C430,'Project Details'!$C$17:$C$66,'Project Details'!$E$17:$E$66,"",0)</f>
        <v>0</v>
      </c>
      <c r="J430" s="35">
        <f>_xlfn.XLOOKUP(C430,'Project Details'!$C$17:$C$66,'Project Details'!$H$17:$H$66,"",0)</f>
        <v>0</v>
      </c>
      <c r="K430" s="36" t="str">
        <f>IF(AND(_xlfn.XLOOKUP(C430,'Project Details'!$C$17:$C$66,'Project Details'!$L$17:$L$66,"",0)&gt;550, F430="Spring-L27cm"),"",SUBSTITUTE(_xlfn.XLOOKUP(G430,SKUs!$C$2:$C$10001,SKUs!$F$2:$F$10001,"",0), " Accessories",""))</f>
        <v/>
      </c>
      <c r="L430" s="36">
        <f>_xlfn.XLOOKUP(C430,'Project Details'!$C$17:$C$66,'Project Details'!$D$17:$D$66,"",0)</f>
        <v>0</v>
      </c>
      <c r="M430" s="43"/>
    </row>
    <row r="431" spans="1:13" x14ac:dyDescent="0.25">
      <c r="A431" s="43"/>
      <c r="B431" s="43"/>
      <c r="C431" s="16">
        <f t="shared" si="7"/>
        <v>9</v>
      </c>
      <c r="D431" s="16" t="str" cm="1">
        <f t="array" ref="D431">IFERROR(ROUNDUP(_xlfn.IFS(F431="Aluminum Track", _xlfn.XLOOKUP(C431, dd_accsrycalc!$A$2:$A$51, dd_accsrycalc!$B$2:$B$51, "",0), F431="10 x 2 1/2 S (Flat)", _xlfn.XLOOKUP(C431, dd_accsrycalc!$A$2:$A$51, dd_accsrycalc!$C$2:$C$51, "",0), F431="Tox6", _xlfn.XLOOKUP(C431, dd_accsrycalc!$A$2:$A$51, dd_accsrycalc!$D$2:$D$51, "",0), F431="Cover Cap", _xlfn.XLOOKUP(C431, dd_accsrycalc!$A$2:$A$51, dd_accsrycalc!$E$2:$E$51, "",0), F431="Drainage Cover", _xlfn.XLOOKUP(C431, dd_accsrycalc!$A$2:$A$51, dd_accsrycalc!$F$2:$F$51, "",0),AND( F431="Double Adhesive Tape", I431="Roll-up Screen"), _xlfn.XLOOKUP(C431, calc_rusacc!$C$15:$C$65, calc_rusacc!$AD$15:$AD$65, "",0),AND( F431="Sealant", I431="Roll-up Screen"), _xlfn.XLOOKUP(C431, calc_rusacc!$C$15:$C$65, calc_rusacc!$AF$15:$AF$65, "",0),  AND( F431="Main Chain", I431="Accordion Screen"), _xlfn.XLOOKUP(C431, calc_rusacc!$C$15:$C$65, calc_rusacc!$BF$15:$BF$65, "",0), AND( F431="Sealant", I431="Accordion Screen"), _xlfn.XLOOKUP(C431, calc_rusacc!$C$15:$C$65, calc_rusacc!$BJ$15:$BJ$65, "",0),  F431="Sealant", _xlfn.XLOOKUP(C431, dd_accsrycalc!$A$2:$A$51, dd_accsrycalc!$G$2:$G$51, "",0),  F431&lt;&gt;"",L431*_xlfn.XLOOKUP(1, (SKUs!$C$2:$C$10001=G431)*(SKUs!$K$2:$K$10001=I431),SKUs!$E$2:$E$10001)), 0),"")</f>
        <v/>
      </c>
      <c r="E431" s="16" t="str">
        <f>_xlfn.XLOOKUP(F431,dd_item!$B$2:$B$105,dd_item!$C$2:$C$105,"",0)</f>
        <v/>
      </c>
      <c r="F431" s="16"/>
      <c r="G431" s="16" cm="1">
        <f t="array" ref="G431">IFERROR(_xlfn.XLOOKUP(1, (SKUs!$J$2:$J$10001=accsry_unmerged!F431)*IF(H431&lt;&gt;"",(SKUs!$L$2:$L$10001=accsry_unmerged!H431),1)*(SKUs!$K$2:$K$10001=I431),SKUs!$C$2:$C$10001),"")</f>
        <v>0</v>
      </c>
      <c r="H431" s="33" cm="1">
        <f t="array" ref="H431">IFERROR(_xlfn.XLOOKUP(1, (dd_accsryclr!$C$2:$C$1000=accsry_unmerged!F431)*(dd_accsryclr!$B$2:$B$1000=accsry_unmerged!J431),dd_accsryclr!$A$2:$A$1000),"")</f>
        <v>0</v>
      </c>
      <c r="I431" s="16">
        <f>_xlfn.XLOOKUP(C431,'Project Details'!$C$17:$C$66,'Project Details'!$E$17:$E$66,"",0)</f>
        <v>0</v>
      </c>
      <c r="J431" s="16">
        <f>_xlfn.XLOOKUP(C431,'Project Details'!$C$17:$C$66,'Project Details'!$H$17:$H$66,"",0)</f>
        <v>0</v>
      </c>
      <c r="K431" s="33" t="str">
        <f>IF(AND(_xlfn.XLOOKUP(C431,'Project Details'!$C$17:$C$66,'Project Details'!$L$17:$L$66,"",0)&gt;550, F431="Spring-L27cm"),"",SUBSTITUTE(_xlfn.XLOOKUP(G431,SKUs!$C$2:$C$10001,SKUs!$F$2:$F$10001,"",0), " Accessories",""))</f>
        <v/>
      </c>
      <c r="L431" s="33">
        <f>_xlfn.XLOOKUP(C431,'Project Details'!$C$17:$C$66,'Project Details'!$D$17:$D$66,"",0)</f>
        <v>0</v>
      </c>
      <c r="M431" s="43"/>
    </row>
    <row r="432" spans="1:13" x14ac:dyDescent="0.25">
      <c r="A432" s="43"/>
      <c r="B432" s="43"/>
      <c r="C432" s="35">
        <f t="shared" si="7"/>
        <v>9</v>
      </c>
      <c r="D432" s="35" t="str" cm="1">
        <f t="array" ref="D432">IFERROR(ROUNDUP(_xlfn.IFS(F432="Aluminum Track", _xlfn.XLOOKUP(C432, dd_accsrycalc!$A$2:$A$51, dd_accsrycalc!$B$2:$B$51, "",0), F432="10 x 2 1/2 S (Flat)", _xlfn.XLOOKUP(C432, dd_accsrycalc!$A$2:$A$51, dd_accsrycalc!$C$2:$C$51, "",0), F432="Tox6", _xlfn.XLOOKUP(C432, dd_accsrycalc!$A$2:$A$51, dd_accsrycalc!$D$2:$D$51, "",0), F432="Cover Cap", _xlfn.XLOOKUP(C432, dd_accsrycalc!$A$2:$A$51, dd_accsrycalc!$E$2:$E$51, "",0), F432="Drainage Cover", _xlfn.XLOOKUP(C432, dd_accsrycalc!$A$2:$A$51, dd_accsrycalc!$F$2:$F$51, "",0),AND( F432="Double Adhesive Tape", I432="Roll-up Screen"), _xlfn.XLOOKUP(C432, calc_rusacc!$C$15:$C$65, calc_rusacc!$AD$15:$AD$65, "",0),AND( F432="Sealant", I432="Roll-up Screen"), _xlfn.XLOOKUP(C432, calc_rusacc!$C$15:$C$65, calc_rusacc!$AF$15:$AF$65, "",0),  AND( F432="Main Chain", I432="Accordion Screen"), _xlfn.XLOOKUP(C432, calc_rusacc!$C$15:$C$65, calc_rusacc!$BF$15:$BF$65, "",0), AND( F432="Sealant", I432="Accordion Screen"), _xlfn.XLOOKUP(C432, calc_rusacc!$C$15:$C$65, calc_rusacc!$BJ$15:$BJ$65, "",0),  F432="Sealant", _xlfn.XLOOKUP(C432, dd_accsrycalc!$A$2:$A$51, dd_accsrycalc!$G$2:$G$51, "",0),  F432&lt;&gt;"",L432*_xlfn.XLOOKUP(1, (SKUs!$C$2:$C$10001=G432)*(SKUs!$K$2:$K$10001=I432),SKUs!$E$2:$E$10001)), 0),"")</f>
        <v/>
      </c>
      <c r="E432" s="35" t="str">
        <f>_xlfn.XLOOKUP(F432,dd_item!$B$2:$B$105,dd_item!$C$2:$C$105,"",0)</f>
        <v/>
      </c>
      <c r="F432" s="35"/>
      <c r="G432" s="35" cm="1">
        <f t="array" ref="G432">IFERROR(_xlfn.XLOOKUP(1, (SKUs!$J$2:$J$10001=accsry_unmerged!F432)*IF(H432&lt;&gt;"",(SKUs!$L$2:$L$10001=accsry_unmerged!H432),1)*(SKUs!$K$2:$K$10001=I432),SKUs!$C$2:$C$10001),"")</f>
        <v>0</v>
      </c>
      <c r="H432" s="36" cm="1">
        <f t="array" ref="H432">IFERROR(_xlfn.XLOOKUP(1, (dd_accsryclr!$C$2:$C$1000=accsry_unmerged!F432)*(dd_accsryclr!$B$2:$B$1000=accsry_unmerged!J432),dd_accsryclr!$A$2:$A$1000),"")</f>
        <v>0</v>
      </c>
      <c r="I432" s="35">
        <f>_xlfn.XLOOKUP(C432,'Project Details'!$C$17:$C$66,'Project Details'!$E$17:$E$66,"",0)</f>
        <v>0</v>
      </c>
      <c r="J432" s="35">
        <f>_xlfn.XLOOKUP(C432,'Project Details'!$C$17:$C$66,'Project Details'!$H$17:$H$66,"",0)</f>
        <v>0</v>
      </c>
      <c r="K432" s="36" t="str">
        <f>IF(AND(_xlfn.XLOOKUP(C432,'Project Details'!$C$17:$C$66,'Project Details'!$L$17:$L$66,"",0)&gt;550, F432="Spring-L27cm"),"",SUBSTITUTE(_xlfn.XLOOKUP(G432,SKUs!$C$2:$C$10001,SKUs!$F$2:$F$10001,"",0), " Accessories",""))</f>
        <v/>
      </c>
      <c r="L432" s="36">
        <f>_xlfn.XLOOKUP(C432,'Project Details'!$C$17:$C$66,'Project Details'!$D$17:$D$66,"",0)</f>
        <v>0</v>
      </c>
      <c r="M432" s="43"/>
    </row>
    <row r="433" spans="1:13" x14ac:dyDescent="0.25">
      <c r="A433" s="43"/>
      <c r="B433" s="43"/>
      <c r="C433" s="16">
        <f t="shared" si="7"/>
        <v>9</v>
      </c>
      <c r="D433" s="16" t="str" cm="1">
        <f t="array" ref="D433">IFERROR(ROUNDUP(_xlfn.IFS(F433="Aluminum Track", _xlfn.XLOOKUP(C433, dd_accsrycalc!$A$2:$A$51, dd_accsrycalc!$B$2:$B$51, "",0), F433="10 x 2 1/2 S (Flat)", _xlfn.XLOOKUP(C433, dd_accsrycalc!$A$2:$A$51, dd_accsrycalc!$C$2:$C$51, "",0), F433="Tox6", _xlfn.XLOOKUP(C433, dd_accsrycalc!$A$2:$A$51, dd_accsrycalc!$D$2:$D$51, "",0), F433="Cover Cap", _xlfn.XLOOKUP(C433, dd_accsrycalc!$A$2:$A$51, dd_accsrycalc!$E$2:$E$51, "",0), F433="Drainage Cover", _xlfn.XLOOKUP(C433, dd_accsrycalc!$A$2:$A$51, dd_accsrycalc!$F$2:$F$51, "",0),AND( F433="Double Adhesive Tape", I433="Roll-up Screen"), _xlfn.XLOOKUP(C433, calc_rusacc!$C$15:$C$65, calc_rusacc!$AD$15:$AD$65, "",0),AND( F433="Sealant", I433="Roll-up Screen"), _xlfn.XLOOKUP(C433, calc_rusacc!$C$15:$C$65, calc_rusacc!$AF$15:$AF$65, "",0),  AND( F433="Main Chain", I433="Accordion Screen"), _xlfn.XLOOKUP(C433, calc_rusacc!$C$15:$C$65, calc_rusacc!$BF$15:$BF$65, "",0), AND( F433="Sealant", I433="Accordion Screen"), _xlfn.XLOOKUP(C433, calc_rusacc!$C$15:$C$65, calc_rusacc!$BJ$15:$BJ$65, "",0),  F433="Sealant", _xlfn.XLOOKUP(C433, dd_accsrycalc!$A$2:$A$51, dd_accsrycalc!$G$2:$G$51, "",0),  F433&lt;&gt;"",L433*_xlfn.XLOOKUP(1, (SKUs!$C$2:$C$10001=G433)*(SKUs!$K$2:$K$10001=I433),SKUs!$E$2:$E$10001)), 0),"")</f>
        <v/>
      </c>
      <c r="E433" s="16" t="str">
        <f>_xlfn.XLOOKUP(F433,dd_item!$B$2:$B$105,dd_item!$C$2:$C$105,"",0)</f>
        <v/>
      </c>
      <c r="F433" s="16"/>
      <c r="G433" s="16" cm="1">
        <f t="array" ref="G433">IFERROR(_xlfn.XLOOKUP(1, (SKUs!$J$2:$J$10001=accsry_unmerged!F433)*IF(H433&lt;&gt;"",(SKUs!$L$2:$L$10001=accsry_unmerged!H433),1)*(SKUs!$K$2:$K$10001=I433),SKUs!$C$2:$C$10001),"")</f>
        <v>0</v>
      </c>
      <c r="H433" s="33" cm="1">
        <f t="array" ref="H433">IFERROR(_xlfn.XLOOKUP(1, (dd_accsryclr!$C$2:$C$1000=accsry_unmerged!F433)*(dd_accsryclr!$B$2:$B$1000=accsry_unmerged!J433),dd_accsryclr!$A$2:$A$1000),"")</f>
        <v>0</v>
      </c>
      <c r="I433" s="16">
        <f>_xlfn.XLOOKUP(C433,'Project Details'!$C$17:$C$66,'Project Details'!$E$17:$E$66,"",0)</f>
        <v>0</v>
      </c>
      <c r="J433" s="16">
        <f>_xlfn.XLOOKUP(C433,'Project Details'!$C$17:$C$66,'Project Details'!$H$17:$H$66,"",0)</f>
        <v>0</v>
      </c>
      <c r="K433" s="33" t="str">
        <f>IF(AND(_xlfn.XLOOKUP(C433,'Project Details'!$C$17:$C$66,'Project Details'!$L$17:$L$66,"",0)&gt;550, F433="Spring-L27cm"),"",SUBSTITUTE(_xlfn.XLOOKUP(G433,SKUs!$C$2:$C$10001,SKUs!$F$2:$F$10001,"",0), " Accessories",""))</f>
        <v/>
      </c>
      <c r="L433" s="33">
        <f>_xlfn.XLOOKUP(C433,'Project Details'!$C$17:$C$66,'Project Details'!$D$17:$D$66,"",0)</f>
        <v>0</v>
      </c>
      <c r="M433" s="43"/>
    </row>
    <row r="434" spans="1:13" ht="13.5" customHeight="1" x14ac:dyDescent="0.25">
      <c r="A434" s="43"/>
      <c r="B434" s="43"/>
      <c r="C434" s="35">
        <f t="shared" si="7"/>
        <v>9</v>
      </c>
      <c r="D434" s="35" t="str" cm="1">
        <f t="array" ref="D434">IFERROR(ROUNDUP(_xlfn.IFS(F434="Aluminum Track", _xlfn.XLOOKUP(C434, dd_accsrycalc!$A$2:$A$51, dd_accsrycalc!$B$2:$B$51, "",0), F434="10 x 2 1/2 S (Flat)", _xlfn.XLOOKUP(C434, dd_accsrycalc!$A$2:$A$51, dd_accsrycalc!$C$2:$C$51, "",0), F434="Tox6", _xlfn.XLOOKUP(C434, dd_accsrycalc!$A$2:$A$51, dd_accsrycalc!$D$2:$D$51, "",0), F434="Cover Cap", _xlfn.XLOOKUP(C434, dd_accsrycalc!$A$2:$A$51, dd_accsrycalc!$E$2:$E$51, "",0), F434="Drainage Cover", _xlfn.XLOOKUP(C434, dd_accsrycalc!$A$2:$A$51, dd_accsrycalc!$F$2:$F$51, "",0),AND( F434="Double Adhesive Tape", I434="Roll-up Screen"), _xlfn.XLOOKUP(C434, calc_rusacc!$C$15:$C$65, calc_rusacc!$AD$15:$AD$65, "",0),AND( F434="Sealant", I434="Roll-up Screen"), _xlfn.XLOOKUP(C434, calc_rusacc!$C$15:$C$65, calc_rusacc!$AF$15:$AF$65, "",0),  AND( F434="Main Chain", I434="Accordion Screen"), _xlfn.XLOOKUP(C434, calc_rusacc!$C$15:$C$65, calc_rusacc!$BF$15:$BF$65, "",0), AND( F434="Sealant", I434="Accordion Screen"), _xlfn.XLOOKUP(C434, calc_rusacc!$C$15:$C$65, calc_rusacc!$BJ$15:$BJ$65, "",0),  F434="Sealant", _xlfn.XLOOKUP(C434, dd_accsrycalc!$A$2:$A$51, dd_accsrycalc!$G$2:$G$51, "",0),  F434&lt;&gt;"",L434*_xlfn.XLOOKUP(1, (SKUs!$C$2:$C$10001=G434)*(SKUs!$K$2:$K$10001=I434),SKUs!$E$2:$E$10001)), 0),"")</f>
        <v/>
      </c>
      <c r="E434" s="35" t="str">
        <f>_xlfn.XLOOKUP(F434,dd_item!$B$2:$B$105,dd_item!$C$2:$C$105,"",0)</f>
        <v/>
      </c>
      <c r="F434" s="35"/>
      <c r="G434" s="35" cm="1">
        <f t="array" ref="G434">IFERROR(_xlfn.XLOOKUP(1, (SKUs!$J$2:$J$10001=accsry_unmerged!F434)*IF(H434&lt;&gt;"",(SKUs!$L$2:$L$10001=accsry_unmerged!H434),1)*(SKUs!$K$2:$K$10001=I434),SKUs!$C$2:$C$10001),"")</f>
        <v>0</v>
      </c>
      <c r="H434" s="36" cm="1">
        <f t="array" ref="H434">IFERROR(_xlfn.XLOOKUP(1, (dd_accsryclr!$C$2:$C$1000=accsry_unmerged!F434)*(dd_accsryclr!$B$2:$B$1000=accsry_unmerged!J434),dd_accsryclr!$A$2:$A$1000),"")</f>
        <v>0</v>
      </c>
      <c r="I434" s="35">
        <f>_xlfn.XLOOKUP(C434,'Project Details'!$C$17:$C$66,'Project Details'!$E$17:$E$66,"",0)</f>
        <v>0</v>
      </c>
      <c r="J434" s="35">
        <f>_xlfn.XLOOKUP(C434,'Project Details'!$C$17:$C$66,'Project Details'!$H$17:$H$66,"",0)</f>
        <v>0</v>
      </c>
      <c r="K434" s="36" t="str">
        <f>IF(AND(_xlfn.XLOOKUP(C434,'Project Details'!$C$17:$C$66,'Project Details'!$L$17:$L$66,"",0)&gt;550, F434="Spring-L27cm"),"",SUBSTITUTE(_xlfn.XLOOKUP(G434,SKUs!$C$2:$C$10001,SKUs!$F$2:$F$10001,"",0), " Accessories",""))</f>
        <v/>
      </c>
      <c r="L434" s="36">
        <f>_xlfn.XLOOKUP(C434,'Project Details'!$C$17:$C$66,'Project Details'!$D$17:$D$66,"",0)</f>
        <v>0</v>
      </c>
      <c r="M434" s="43"/>
    </row>
    <row r="435" spans="1:13" ht="13.5" customHeight="1" x14ac:dyDescent="0.25">
      <c r="A435" s="43"/>
      <c r="B435" s="43"/>
      <c r="C435" s="16">
        <f t="shared" si="7"/>
        <v>9</v>
      </c>
      <c r="D435" s="16" t="str" cm="1">
        <f t="array" ref="D435">IFERROR(ROUNDUP(_xlfn.IFS(F435="Aluminum Track", _xlfn.XLOOKUP(C435, dd_accsrycalc!$A$2:$A$51, dd_accsrycalc!$B$2:$B$51, "",0), F435="10 x 2 1/2 S (Flat)", _xlfn.XLOOKUP(C435, dd_accsrycalc!$A$2:$A$51, dd_accsrycalc!$C$2:$C$51, "",0), F435="Tox6", _xlfn.XLOOKUP(C435, dd_accsrycalc!$A$2:$A$51, dd_accsrycalc!$D$2:$D$51, "",0), F435="Cover Cap", _xlfn.XLOOKUP(C435, dd_accsrycalc!$A$2:$A$51, dd_accsrycalc!$E$2:$E$51, "",0), F435="Drainage Cover", _xlfn.XLOOKUP(C435, dd_accsrycalc!$A$2:$A$51, dd_accsrycalc!$F$2:$F$51, "",0),AND( F435="Double Adhesive Tape", I435="Roll-up Screen"), _xlfn.XLOOKUP(C435, calc_rusacc!$C$15:$C$65, calc_rusacc!$AD$15:$AD$65, "",0),AND( F435="Sealant", I435="Roll-up Screen"), _xlfn.XLOOKUP(C435, calc_rusacc!$C$15:$C$65, calc_rusacc!$AF$15:$AF$65, "",0),  AND( F435="Main Chain", I435="Accordion Screen"), _xlfn.XLOOKUP(C435, calc_rusacc!$C$15:$C$65, calc_rusacc!$BF$15:$BF$65, "",0), AND( F435="Sealant", I435="Accordion Screen"), _xlfn.XLOOKUP(C435, calc_rusacc!$C$15:$C$65, calc_rusacc!$BJ$15:$BJ$65, "",0),  F435="Sealant", _xlfn.XLOOKUP(C435, dd_accsrycalc!$A$2:$A$51, dd_accsrycalc!$G$2:$G$51, "",0),  F435&lt;&gt;"",L435*_xlfn.XLOOKUP(1, (SKUs!$C$2:$C$10001=G435)*(SKUs!$K$2:$K$10001=I435),SKUs!$E$2:$E$10001)), 0),"")</f>
        <v/>
      </c>
      <c r="E435" s="16" t="str">
        <f>_xlfn.XLOOKUP(F435,dd_item!$B$2:$B$105,dd_item!$C$2:$C$105,"",0)</f>
        <v/>
      </c>
      <c r="F435" s="16"/>
      <c r="G435" s="16" cm="1">
        <f t="array" ref="G435">IFERROR(_xlfn.XLOOKUP(1, (SKUs!$J$2:$J$10001=accsry_unmerged!F435)*IF(H435&lt;&gt;"",(SKUs!$L$2:$L$10001=accsry_unmerged!H435),1)*(SKUs!$K$2:$K$10001=I435),SKUs!$C$2:$C$10001),"")</f>
        <v>0</v>
      </c>
      <c r="H435" s="33" cm="1">
        <f t="array" ref="H435">IFERROR(_xlfn.XLOOKUP(1, (dd_accsryclr!$C$2:$C$1000=accsry_unmerged!F435)*(dd_accsryclr!$B$2:$B$1000=accsry_unmerged!J435),dd_accsryclr!$A$2:$A$1000),"")</f>
        <v>0</v>
      </c>
      <c r="I435" s="16">
        <f>_xlfn.XLOOKUP(C435,'Project Details'!$C$17:$C$66,'Project Details'!$E$17:$E$66,"",0)</f>
        <v>0</v>
      </c>
      <c r="J435" s="16">
        <f>_xlfn.XLOOKUP(C435,'Project Details'!$C$17:$C$66,'Project Details'!$H$17:$H$66,"",0)</f>
        <v>0</v>
      </c>
      <c r="K435" s="33" t="str">
        <f>IF(AND(_xlfn.XLOOKUP(C435,'Project Details'!$C$17:$C$66,'Project Details'!$L$17:$L$66,"",0)&gt;550, F435="Spring-L27cm"),"",SUBSTITUTE(_xlfn.XLOOKUP(G435,SKUs!$C$2:$C$10001,SKUs!$F$2:$F$10001,"",0), " Accessories",""))</f>
        <v/>
      </c>
      <c r="L435" s="33">
        <f>_xlfn.XLOOKUP(C435,'Project Details'!$C$17:$C$66,'Project Details'!$D$17:$D$66,"",0)</f>
        <v>0</v>
      </c>
      <c r="M435" s="43"/>
    </row>
    <row r="436" spans="1:13" ht="13.5" customHeight="1" x14ac:dyDescent="0.25">
      <c r="A436" s="43"/>
      <c r="B436" s="43"/>
      <c r="C436" s="35">
        <f t="shared" si="7"/>
        <v>9</v>
      </c>
      <c r="D436" s="35" t="str" cm="1">
        <f t="array" ref="D436">IFERROR(ROUNDUP(_xlfn.IFS(F436="Aluminum Track", _xlfn.XLOOKUP(C436, dd_accsrycalc!$A$2:$A$51, dd_accsrycalc!$B$2:$B$51, "",0), F436="10 x 2 1/2 S (Flat)", _xlfn.XLOOKUP(C436, dd_accsrycalc!$A$2:$A$51, dd_accsrycalc!$C$2:$C$51, "",0), F436="Tox6", _xlfn.XLOOKUP(C436, dd_accsrycalc!$A$2:$A$51, dd_accsrycalc!$D$2:$D$51, "",0), F436="Cover Cap", _xlfn.XLOOKUP(C436, dd_accsrycalc!$A$2:$A$51, dd_accsrycalc!$E$2:$E$51, "",0), F436="Drainage Cover", _xlfn.XLOOKUP(C436, dd_accsrycalc!$A$2:$A$51, dd_accsrycalc!$F$2:$F$51, "",0),AND( F436="Double Adhesive Tape", I436="Roll-up Screen"), _xlfn.XLOOKUP(C436, calc_rusacc!$C$15:$C$65, calc_rusacc!$AD$15:$AD$65, "",0),AND( F436="Sealant", I436="Roll-up Screen"), _xlfn.XLOOKUP(C436, calc_rusacc!$C$15:$C$65, calc_rusacc!$AF$15:$AF$65, "",0),  AND( F436="Main Chain", I436="Accordion Screen"), _xlfn.XLOOKUP(C436, calc_rusacc!$C$15:$C$65, calc_rusacc!$BF$15:$BF$65, "",0), AND( F436="Sealant", I436="Accordion Screen"), _xlfn.XLOOKUP(C436, calc_rusacc!$C$15:$C$65, calc_rusacc!$BJ$15:$BJ$65, "",0),  F436="Sealant", _xlfn.XLOOKUP(C436, dd_accsrycalc!$A$2:$A$51, dd_accsrycalc!$G$2:$G$51, "",0),  F436&lt;&gt;"",L436*_xlfn.XLOOKUP(1, (SKUs!$C$2:$C$10001=G436)*(SKUs!$K$2:$K$10001=I436),SKUs!$E$2:$E$10001)), 0),"")</f>
        <v/>
      </c>
      <c r="E436" s="35" t="str">
        <f>_xlfn.XLOOKUP(F436,dd_item!$B$2:$B$105,dd_item!$C$2:$C$105,"",0)</f>
        <v/>
      </c>
      <c r="F436" s="35"/>
      <c r="G436" s="35" cm="1">
        <f t="array" ref="G436">IFERROR(_xlfn.XLOOKUP(1, (SKUs!$J$2:$J$10001=accsry_unmerged!F436)*IF(H436&lt;&gt;"",(SKUs!$L$2:$L$10001=accsry_unmerged!H436),1)*(SKUs!$K$2:$K$10001=I436),SKUs!$C$2:$C$10001),"")</f>
        <v>0</v>
      </c>
      <c r="H436" s="36" cm="1">
        <f t="array" ref="H436">IFERROR(_xlfn.XLOOKUP(1, (dd_accsryclr!$C$2:$C$1000=accsry_unmerged!F436)*(dd_accsryclr!$B$2:$B$1000=accsry_unmerged!J436),dd_accsryclr!$A$2:$A$1000),"")</f>
        <v>0</v>
      </c>
      <c r="I436" s="35">
        <f>_xlfn.XLOOKUP(C436,'Project Details'!$C$17:$C$66,'Project Details'!$E$17:$E$66,"",0)</f>
        <v>0</v>
      </c>
      <c r="J436" s="35">
        <f>_xlfn.XLOOKUP(C436,'Project Details'!$C$17:$C$66,'Project Details'!$H$17:$H$66,"",0)</f>
        <v>0</v>
      </c>
      <c r="K436" s="36" t="str">
        <f>IF(AND(_xlfn.XLOOKUP(C436,'Project Details'!$C$17:$C$66,'Project Details'!$L$17:$L$66,"",0)&gt;550, F436="Spring-L27cm"),"",SUBSTITUTE(_xlfn.XLOOKUP(G436,SKUs!$C$2:$C$10001,SKUs!$F$2:$F$10001,"",0), " Accessories",""))</f>
        <v/>
      </c>
      <c r="L436" s="36">
        <f>_xlfn.XLOOKUP(C436,'Project Details'!$C$17:$C$66,'Project Details'!$D$17:$D$66,"",0)</f>
        <v>0</v>
      </c>
      <c r="M436" s="43"/>
    </row>
    <row r="437" spans="1:13" ht="13.5" customHeight="1" x14ac:dyDescent="0.25">
      <c r="A437" s="43"/>
      <c r="B437" s="43"/>
      <c r="C437" s="16">
        <f t="shared" si="7"/>
        <v>9</v>
      </c>
      <c r="D437" s="16" t="str" cm="1">
        <f t="array" ref="D437">IFERROR(ROUNDUP(_xlfn.IFS(F437="Aluminum Track", _xlfn.XLOOKUP(C437, dd_accsrycalc!$A$2:$A$51, dd_accsrycalc!$B$2:$B$51, "",0), F437="10 x 2 1/2 S (Flat)", _xlfn.XLOOKUP(C437, dd_accsrycalc!$A$2:$A$51, dd_accsrycalc!$C$2:$C$51, "",0), F437="Tox6", _xlfn.XLOOKUP(C437, dd_accsrycalc!$A$2:$A$51, dd_accsrycalc!$D$2:$D$51, "",0), F437="Cover Cap", _xlfn.XLOOKUP(C437, dd_accsrycalc!$A$2:$A$51, dd_accsrycalc!$E$2:$E$51, "",0), F437="Drainage Cover", _xlfn.XLOOKUP(C437, dd_accsrycalc!$A$2:$A$51, dd_accsrycalc!$F$2:$F$51, "",0),AND( F437="Double Adhesive Tape", I437="Roll-up Screen"), _xlfn.XLOOKUP(C437, calc_rusacc!$C$15:$C$65, calc_rusacc!$AD$15:$AD$65, "",0),AND( F437="Sealant", I437="Roll-up Screen"), _xlfn.XLOOKUP(C437, calc_rusacc!$C$15:$C$65, calc_rusacc!$AF$15:$AF$65, "",0),  AND( F437="Main Chain", I437="Accordion Screen"), _xlfn.XLOOKUP(C437, calc_rusacc!$C$15:$C$65, calc_rusacc!$BF$15:$BF$65, "",0), AND( F437="Sealant", I437="Accordion Screen"), _xlfn.XLOOKUP(C437, calc_rusacc!$C$15:$C$65, calc_rusacc!$BJ$15:$BJ$65, "",0),  F437="Sealant", _xlfn.XLOOKUP(C437, dd_accsrycalc!$A$2:$A$51, dd_accsrycalc!$G$2:$G$51, "",0),  F437&lt;&gt;"",L437*_xlfn.XLOOKUP(1, (SKUs!$C$2:$C$10001=G437)*(SKUs!$K$2:$K$10001=I437),SKUs!$E$2:$E$10001)), 0),"")</f>
        <v/>
      </c>
      <c r="E437" s="16" t="str">
        <f>_xlfn.XLOOKUP(F437,dd_item!$B$2:$B$105,dd_item!$C$2:$C$105,"",0)</f>
        <v/>
      </c>
      <c r="F437" s="16"/>
      <c r="G437" s="16" cm="1">
        <f t="array" ref="G437">IFERROR(_xlfn.XLOOKUP(1, (SKUs!$J$2:$J$10001=accsry_unmerged!F437)*IF(H437&lt;&gt;"",(SKUs!$L$2:$L$10001=accsry_unmerged!H437),1)*(SKUs!$K$2:$K$10001=I437),SKUs!$C$2:$C$10001),"")</f>
        <v>0</v>
      </c>
      <c r="H437" s="33" cm="1">
        <f t="array" ref="H437">IFERROR(_xlfn.XLOOKUP(1, (dd_accsryclr!$C$2:$C$1000=accsry_unmerged!F437)*(dd_accsryclr!$B$2:$B$1000=accsry_unmerged!J437),dd_accsryclr!$A$2:$A$1000),"")</f>
        <v>0</v>
      </c>
      <c r="I437" s="16">
        <f>_xlfn.XLOOKUP(C437,'Project Details'!$C$17:$C$66,'Project Details'!$E$17:$E$66,"",0)</f>
        <v>0</v>
      </c>
      <c r="J437" s="16">
        <f>_xlfn.XLOOKUP(C437,'Project Details'!$C$17:$C$66,'Project Details'!$H$17:$H$66,"",0)</f>
        <v>0</v>
      </c>
      <c r="K437" s="33" t="str">
        <f>IF(AND(_xlfn.XLOOKUP(C437,'Project Details'!$C$17:$C$66,'Project Details'!$L$17:$L$66,"",0)&gt;550, F437="Spring-L27cm"),"",SUBSTITUTE(_xlfn.XLOOKUP(G437,SKUs!$C$2:$C$10001,SKUs!$F$2:$F$10001,"",0), " Accessories",""))</f>
        <v/>
      </c>
      <c r="L437" s="33">
        <f>_xlfn.XLOOKUP(C437,'Project Details'!$C$17:$C$66,'Project Details'!$D$17:$D$66,"",0)</f>
        <v>0</v>
      </c>
      <c r="M437" s="43"/>
    </row>
    <row r="438" spans="1:13" ht="13.5" customHeight="1" x14ac:dyDescent="0.25">
      <c r="A438" s="43"/>
      <c r="B438" s="43"/>
      <c r="C438" s="35">
        <f t="shared" si="7"/>
        <v>9</v>
      </c>
      <c r="D438" s="35" t="str" cm="1">
        <f t="array" ref="D438">IFERROR(ROUNDUP(_xlfn.IFS(F438="Aluminum Track", _xlfn.XLOOKUP(C438, dd_accsrycalc!$A$2:$A$51, dd_accsrycalc!$B$2:$B$51, "",0), F438="10 x 2 1/2 S (Flat)", _xlfn.XLOOKUP(C438, dd_accsrycalc!$A$2:$A$51, dd_accsrycalc!$C$2:$C$51, "",0), F438="Tox6", _xlfn.XLOOKUP(C438, dd_accsrycalc!$A$2:$A$51, dd_accsrycalc!$D$2:$D$51, "",0), F438="Cover Cap", _xlfn.XLOOKUP(C438, dd_accsrycalc!$A$2:$A$51, dd_accsrycalc!$E$2:$E$51, "",0), F438="Drainage Cover", _xlfn.XLOOKUP(C438, dd_accsrycalc!$A$2:$A$51, dd_accsrycalc!$F$2:$F$51, "",0),AND( F438="Double Adhesive Tape", I438="Roll-up Screen"), _xlfn.XLOOKUP(C438, calc_rusacc!$C$15:$C$65, calc_rusacc!$AD$15:$AD$65, "",0),AND( F438="Sealant", I438="Roll-up Screen"), _xlfn.XLOOKUP(C438, calc_rusacc!$C$15:$C$65, calc_rusacc!$AF$15:$AF$65, "",0),  AND( F438="Main Chain", I438="Accordion Screen"), _xlfn.XLOOKUP(C438, calc_rusacc!$C$15:$C$65, calc_rusacc!$BF$15:$BF$65, "",0), AND( F438="Sealant", I438="Accordion Screen"), _xlfn.XLOOKUP(C438, calc_rusacc!$C$15:$C$65, calc_rusacc!$BJ$15:$BJ$65, "",0),  F438="Sealant", _xlfn.XLOOKUP(C438, dd_accsrycalc!$A$2:$A$51, dd_accsrycalc!$G$2:$G$51, "",0),  F438&lt;&gt;"",L438*_xlfn.XLOOKUP(1, (SKUs!$C$2:$C$10001=G438)*(SKUs!$K$2:$K$10001=I438),SKUs!$E$2:$E$10001)), 0),"")</f>
        <v/>
      </c>
      <c r="E438" s="35" t="str">
        <f>_xlfn.XLOOKUP(F438,dd_item!$B$2:$B$105,dd_item!$C$2:$C$105,"",0)</f>
        <v/>
      </c>
      <c r="F438" s="35"/>
      <c r="G438" s="35" cm="1">
        <f t="array" ref="G438">IFERROR(_xlfn.XLOOKUP(1, (SKUs!$J$2:$J$10001=accsry_unmerged!F438)*IF(H438&lt;&gt;"",(SKUs!$L$2:$L$10001=accsry_unmerged!H438),1)*(SKUs!$K$2:$K$10001=I438),SKUs!$C$2:$C$10001),"")</f>
        <v>0</v>
      </c>
      <c r="H438" s="36" cm="1">
        <f t="array" ref="H438">IFERROR(_xlfn.XLOOKUP(1, (dd_accsryclr!$C$2:$C$1000=accsry_unmerged!F438)*(dd_accsryclr!$B$2:$B$1000=accsry_unmerged!J438),dd_accsryclr!$A$2:$A$1000),"")</f>
        <v>0</v>
      </c>
      <c r="I438" s="35">
        <f>_xlfn.XLOOKUP(C438,'Project Details'!$C$17:$C$66,'Project Details'!$E$17:$E$66,"",0)</f>
        <v>0</v>
      </c>
      <c r="J438" s="35">
        <f>_xlfn.XLOOKUP(C438,'Project Details'!$C$17:$C$66,'Project Details'!$H$17:$H$66,"",0)</f>
        <v>0</v>
      </c>
      <c r="K438" s="36" t="str">
        <f>IF(AND(_xlfn.XLOOKUP(C438,'Project Details'!$C$17:$C$66,'Project Details'!$L$17:$L$66,"",0)&gt;550, F438="Spring-L27cm"),"",SUBSTITUTE(_xlfn.XLOOKUP(G438,SKUs!$C$2:$C$10001,SKUs!$F$2:$F$10001,"",0), " Accessories",""))</f>
        <v/>
      </c>
      <c r="L438" s="36">
        <f>_xlfn.XLOOKUP(C438,'Project Details'!$C$17:$C$66,'Project Details'!$D$17:$D$66,"",0)</f>
        <v>0</v>
      </c>
      <c r="M438" s="43"/>
    </row>
    <row r="439" spans="1:13" ht="13.5" customHeight="1" x14ac:dyDescent="0.25">
      <c r="A439" s="43"/>
      <c r="B439" s="43"/>
      <c r="C439" s="16">
        <f t="shared" si="7"/>
        <v>9</v>
      </c>
      <c r="D439" s="16" t="str" cm="1">
        <f t="array" ref="D439">IFERROR(ROUNDUP(_xlfn.IFS(F439="Aluminum Track", _xlfn.XLOOKUP(C439, dd_accsrycalc!$A$2:$A$51, dd_accsrycalc!$B$2:$B$51, "",0), F439="10 x 2 1/2 S (Flat)", _xlfn.XLOOKUP(C439, dd_accsrycalc!$A$2:$A$51, dd_accsrycalc!$C$2:$C$51, "",0), F439="Tox6", _xlfn.XLOOKUP(C439, dd_accsrycalc!$A$2:$A$51, dd_accsrycalc!$D$2:$D$51, "",0), F439="Cover Cap", _xlfn.XLOOKUP(C439, dd_accsrycalc!$A$2:$A$51, dd_accsrycalc!$E$2:$E$51, "",0), F439="Drainage Cover", _xlfn.XLOOKUP(C439, dd_accsrycalc!$A$2:$A$51, dd_accsrycalc!$F$2:$F$51, "",0),AND( F439="Double Adhesive Tape", I439="Roll-up Screen"), _xlfn.XLOOKUP(C439, calc_rusacc!$C$15:$C$65, calc_rusacc!$AD$15:$AD$65, "",0),AND( F439="Sealant", I439="Roll-up Screen"), _xlfn.XLOOKUP(C439, calc_rusacc!$C$15:$C$65, calc_rusacc!$AF$15:$AF$65, "",0),  AND( F439="Main Chain", I439="Accordion Screen"), _xlfn.XLOOKUP(C439, calc_rusacc!$C$15:$C$65, calc_rusacc!$BF$15:$BF$65, "",0), AND( F439="Sealant", I439="Accordion Screen"), _xlfn.XLOOKUP(C439, calc_rusacc!$C$15:$C$65, calc_rusacc!$BJ$15:$BJ$65, "",0),  F439="Sealant", _xlfn.XLOOKUP(C439, dd_accsrycalc!$A$2:$A$51, dd_accsrycalc!$G$2:$G$51, "",0),  F439&lt;&gt;"",L439*_xlfn.XLOOKUP(1, (SKUs!$C$2:$C$10001=G439)*(SKUs!$K$2:$K$10001=I439),SKUs!$E$2:$E$10001)), 0),"")</f>
        <v/>
      </c>
      <c r="E439" s="16" t="str">
        <f>_xlfn.XLOOKUP(F439,dd_item!$B$2:$B$105,dd_item!$C$2:$C$105,"",0)</f>
        <v/>
      </c>
      <c r="F439" s="16"/>
      <c r="G439" s="16" cm="1">
        <f t="array" ref="G439">IFERROR(_xlfn.XLOOKUP(1, (SKUs!$J$2:$J$10001=accsry_unmerged!F439)*IF(H439&lt;&gt;"",(SKUs!$L$2:$L$10001=accsry_unmerged!H439),1)*(SKUs!$K$2:$K$10001=I439),SKUs!$C$2:$C$10001),"")</f>
        <v>0</v>
      </c>
      <c r="H439" s="33" cm="1">
        <f t="array" ref="H439">IFERROR(_xlfn.XLOOKUP(1, (dd_accsryclr!$C$2:$C$1000=accsry_unmerged!F439)*(dd_accsryclr!$B$2:$B$1000=accsry_unmerged!J439),dd_accsryclr!$A$2:$A$1000),"")</f>
        <v>0</v>
      </c>
      <c r="I439" s="16">
        <f>_xlfn.XLOOKUP(C439,'Project Details'!$C$17:$C$66,'Project Details'!$E$17:$E$66,"",0)</f>
        <v>0</v>
      </c>
      <c r="J439" s="16">
        <f>_xlfn.XLOOKUP(C439,'Project Details'!$C$17:$C$66,'Project Details'!$H$17:$H$66,"",0)</f>
        <v>0</v>
      </c>
      <c r="K439" s="33" t="str">
        <f>IF(AND(_xlfn.XLOOKUP(C439,'Project Details'!$C$17:$C$66,'Project Details'!$L$17:$L$66,"",0)&gt;550, F439="Spring-L27cm"),"",SUBSTITUTE(_xlfn.XLOOKUP(G439,SKUs!$C$2:$C$10001,SKUs!$F$2:$F$10001,"",0), " Accessories",""))</f>
        <v/>
      </c>
      <c r="L439" s="33">
        <f>_xlfn.XLOOKUP(C439,'Project Details'!$C$17:$C$66,'Project Details'!$D$17:$D$66,"",0)</f>
        <v>0</v>
      </c>
      <c r="M439" s="43"/>
    </row>
    <row r="440" spans="1:13" ht="13.5" customHeight="1" x14ac:dyDescent="0.25">
      <c r="A440" s="43"/>
      <c r="B440" s="43"/>
      <c r="C440" s="35">
        <f t="shared" si="7"/>
        <v>9</v>
      </c>
      <c r="D440" s="35" t="str" cm="1">
        <f t="array" ref="D440">IFERROR(ROUNDUP(_xlfn.IFS(F440="Aluminum Track", _xlfn.XLOOKUP(C440, dd_accsrycalc!$A$2:$A$51, dd_accsrycalc!$B$2:$B$51, "",0), F440="10 x 2 1/2 S (Flat)", _xlfn.XLOOKUP(C440, dd_accsrycalc!$A$2:$A$51, dd_accsrycalc!$C$2:$C$51, "",0), F440="Tox6", _xlfn.XLOOKUP(C440, dd_accsrycalc!$A$2:$A$51, dd_accsrycalc!$D$2:$D$51, "",0), F440="Cover Cap", _xlfn.XLOOKUP(C440, dd_accsrycalc!$A$2:$A$51, dd_accsrycalc!$E$2:$E$51, "",0), F440="Drainage Cover", _xlfn.XLOOKUP(C440, dd_accsrycalc!$A$2:$A$51, dd_accsrycalc!$F$2:$F$51, "",0),AND( F440="Double Adhesive Tape", I440="Roll-up Screen"), _xlfn.XLOOKUP(C440, calc_rusacc!$C$15:$C$65, calc_rusacc!$AD$15:$AD$65, "",0),AND( F440="Sealant", I440="Roll-up Screen"), _xlfn.XLOOKUP(C440, calc_rusacc!$C$15:$C$65, calc_rusacc!$AF$15:$AF$65, "",0),  AND( F440="Main Chain", I440="Accordion Screen"), _xlfn.XLOOKUP(C440, calc_rusacc!$C$15:$C$65, calc_rusacc!$BF$15:$BF$65, "",0), AND( F440="Sealant", I440="Accordion Screen"), _xlfn.XLOOKUP(C440, calc_rusacc!$C$15:$C$65, calc_rusacc!$BJ$15:$BJ$65, "",0),  F440="Sealant", _xlfn.XLOOKUP(C440, dd_accsrycalc!$A$2:$A$51, dd_accsrycalc!$G$2:$G$51, "",0),  F440&lt;&gt;"",L440*_xlfn.XLOOKUP(1, (SKUs!$C$2:$C$10001=G440)*(SKUs!$K$2:$K$10001=I440),SKUs!$E$2:$E$10001)), 0),"")</f>
        <v/>
      </c>
      <c r="E440" s="35" t="str">
        <f>_xlfn.XLOOKUP(F440,dd_item!$B$2:$B$105,dd_item!$C$2:$C$105,"",0)</f>
        <v/>
      </c>
      <c r="F440" s="35"/>
      <c r="G440" s="35" cm="1">
        <f t="array" ref="G440">IFERROR(_xlfn.XLOOKUP(1, (SKUs!$J$2:$J$10001=accsry_unmerged!F440)*IF(H440&lt;&gt;"",(SKUs!$L$2:$L$10001=accsry_unmerged!H440),1)*(SKUs!$K$2:$K$10001=I440),SKUs!$C$2:$C$10001),"")</f>
        <v>0</v>
      </c>
      <c r="H440" s="36" cm="1">
        <f t="array" ref="H440">IFERROR(_xlfn.XLOOKUP(1, (dd_accsryclr!$C$2:$C$1000=accsry_unmerged!F440)*(dd_accsryclr!$B$2:$B$1000=accsry_unmerged!J440),dd_accsryclr!$A$2:$A$1000),"")</f>
        <v>0</v>
      </c>
      <c r="I440" s="35">
        <f>_xlfn.XLOOKUP(C440,'Project Details'!$C$17:$C$66,'Project Details'!$E$17:$E$66,"",0)</f>
        <v>0</v>
      </c>
      <c r="J440" s="35">
        <f>_xlfn.XLOOKUP(C440,'Project Details'!$C$17:$C$66,'Project Details'!$H$17:$H$66,"",0)</f>
        <v>0</v>
      </c>
      <c r="K440" s="36" t="str">
        <f>IF(AND(_xlfn.XLOOKUP(C440,'Project Details'!$C$17:$C$66,'Project Details'!$L$17:$L$66,"",0)&gt;550, F440="Spring-L27cm"),"",SUBSTITUTE(_xlfn.XLOOKUP(G440,SKUs!$C$2:$C$10001,SKUs!$F$2:$F$10001,"",0), " Accessories",""))</f>
        <v/>
      </c>
      <c r="L440" s="36">
        <f>_xlfn.XLOOKUP(C440,'Project Details'!$C$17:$C$66,'Project Details'!$D$17:$D$66,"",0)</f>
        <v>0</v>
      </c>
      <c r="M440" s="43"/>
    </row>
    <row r="441" spans="1:13" ht="13.5" customHeight="1" x14ac:dyDescent="0.25">
      <c r="A441" s="43"/>
      <c r="B441" s="43"/>
      <c r="C441" s="16">
        <f t="shared" si="7"/>
        <v>9</v>
      </c>
      <c r="D441" s="16" t="str" cm="1">
        <f t="array" ref="D441">IFERROR(ROUNDUP(_xlfn.IFS(F441="Aluminum Track", _xlfn.XLOOKUP(C441, dd_accsrycalc!$A$2:$A$51, dd_accsrycalc!$B$2:$B$51, "",0), F441="10 x 2 1/2 S (Flat)", _xlfn.XLOOKUP(C441, dd_accsrycalc!$A$2:$A$51, dd_accsrycalc!$C$2:$C$51, "",0), F441="Tox6", _xlfn.XLOOKUP(C441, dd_accsrycalc!$A$2:$A$51, dd_accsrycalc!$D$2:$D$51, "",0), F441="Cover Cap", _xlfn.XLOOKUP(C441, dd_accsrycalc!$A$2:$A$51, dd_accsrycalc!$E$2:$E$51, "",0), F441="Drainage Cover", _xlfn.XLOOKUP(C441, dd_accsrycalc!$A$2:$A$51, dd_accsrycalc!$F$2:$F$51, "",0),AND( F441="Double Adhesive Tape", I441="Roll-up Screen"), _xlfn.XLOOKUP(C441, calc_rusacc!$C$15:$C$65, calc_rusacc!$AD$15:$AD$65, "",0),AND( F441="Sealant", I441="Roll-up Screen"), _xlfn.XLOOKUP(C441, calc_rusacc!$C$15:$C$65, calc_rusacc!$AF$15:$AF$65, "",0),  AND( F441="Main Chain", I441="Accordion Screen"), _xlfn.XLOOKUP(C441, calc_rusacc!$C$15:$C$65, calc_rusacc!$BF$15:$BF$65, "",0), AND( F441="Sealant", I441="Accordion Screen"), _xlfn.XLOOKUP(C441, calc_rusacc!$C$15:$C$65, calc_rusacc!$BJ$15:$BJ$65, "",0),  F441="Sealant", _xlfn.XLOOKUP(C441, dd_accsrycalc!$A$2:$A$51, dd_accsrycalc!$G$2:$G$51, "",0),  F441&lt;&gt;"",L441*_xlfn.XLOOKUP(1, (SKUs!$C$2:$C$10001=G441)*(SKUs!$K$2:$K$10001=I441),SKUs!$E$2:$E$10001)), 0),"")</f>
        <v/>
      </c>
      <c r="E441" s="16" t="str">
        <f>_xlfn.XLOOKUP(F441,dd_item!$B$2:$B$105,dd_item!$C$2:$C$105,"",0)</f>
        <v/>
      </c>
      <c r="F441" s="16"/>
      <c r="G441" s="16" cm="1">
        <f t="array" ref="G441">IFERROR(_xlfn.XLOOKUP(1, (SKUs!$J$2:$J$10001=accsry_unmerged!F441)*IF(H441&lt;&gt;"",(SKUs!$L$2:$L$10001=accsry_unmerged!H441),1)*(SKUs!$K$2:$K$10001=I441),SKUs!$C$2:$C$10001),"")</f>
        <v>0</v>
      </c>
      <c r="H441" s="33" cm="1">
        <f t="array" ref="H441">IFERROR(_xlfn.XLOOKUP(1, (dd_accsryclr!$C$2:$C$1000=accsry_unmerged!F441)*(dd_accsryclr!$B$2:$B$1000=accsry_unmerged!J441),dd_accsryclr!$A$2:$A$1000),"")</f>
        <v>0</v>
      </c>
      <c r="I441" s="16">
        <f>_xlfn.XLOOKUP(C441,'Project Details'!$C$17:$C$66,'Project Details'!$E$17:$E$66,"",0)</f>
        <v>0</v>
      </c>
      <c r="J441" s="16">
        <f>_xlfn.XLOOKUP(C441,'Project Details'!$C$17:$C$66,'Project Details'!$H$17:$H$66,"",0)</f>
        <v>0</v>
      </c>
      <c r="K441" s="33" t="str">
        <f>IF(AND(_xlfn.XLOOKUP(C441,'Project Details'!$C$17:$C$66,'Project Details'!$L$17:$L$66,"",0)&gt;550, F441="Spring-L27cm"),"",SUBSTITUTE(_xlfn.XLOOKUP(G441,SKUs!$C$2:$C$10001,SKUs!$F$2:$F$10001,"",0), " Accessories",""))</f>
        <v/>
      </c>
      <c r="L441" s="33">
        <f>_xlfn.XLOOKUP(C441,'Project Details'!$C$17:$C$66,'Project Details'!$D$17:$D$66,"",0)</f>
        <v>0</v>
      </c>
      <c r="M441" s="43"/>
    </row>
    <row r="442" spans="1:13" ht="13.5" customHeight="1" x14ac:dyDescent="0.25">
      <c r="A442" s="43"/>
      <c r="B442" s="43"/>
      <c r="C442" s="35">
        <f t="shared" si="7"/>
        <v>9</v>
      </c>
      <c r="D442" s="35" t="str" cm="1">
        <f t="array" ref="D442">IFERROR(ROUNDUP(_xlfn.IFS(F442="Aluminum Track", _xlfn.XLOOKUP(C442, dd_accsrycalc!$A$2:$A$51, dd_accsrycalc!$B$2:$B$51, "",0), F442="10 x 2 1/2 S (Flat)", _xlfn.XLOOKUP(C442, dd_accsrycalc!$A$2:$A$51, dd_accsrycalc!$C$2:$C$51, "",0), F442="Tox6", _xlfn.XLOOKUP(C442, dd_accsrycalc!$A$2:$A$51, dd_accsrycalc!$D$2:$D$51, "",0), F442="Cover Cap", _xlfn.XLOOKUP(C442, dd_accsrycalc!$A$2:$A$51, dd_accsrycalc!$E$2:$E$51, "",0), F442="Drainage Cover", _xlfn.XLOOKUP(C442, dd_accsrycalc!$A$2:$A$51, dd_accsrycalc!$F$2:$F$51, "",0),AND( F442="Double Adhesive Tape", I442="Roll-up Screen"), _xlfn.XLOOKUP(C442, calc_rusacc!$C$15:$C$65, calc_rusacc!$AD$15:$AD$65, "",0),AND( F442="Sealant", I442="Roll-up Screen"), _xlfn.XLOOKUP(C442, calc_rusacc!$C$15:$C$65, calc_rusacc!$AF$15:$AF$65, "",0),  AND( F442="Main Chain", I442="Accordion Screen"), _xlfn.XLOOKUP(C442, calc_rusacc!$C$15:$C$65, calc_rusacc!$BF$15:$BF$65, "",0), AND( F442="Sealant", I442="Accordion Screen"), _xlfn.XLOOKUP(C442, calc_rusacc!$C$15:$C$65, calc_rusacc!$BJ$15:$BJ$65, "",0),  F442="Sealant", _xlfn.XLOOKUP(C442, dd_accsrycalc!$A$2:$A$51, dd_accsrycalc!$G$2:$G$51, "",0),  F442&lt;&gt;"",L442*_xlfn.XLOOKUP(1, (SKUs!$C$2:$C$10001=G442)*(SKUs!$K$2:$K$10001=I442),SKUs!$E$2:$E$10001)), 0),"")</f>
        <v/>
      </c>
      <c r="E442" s="35" t="str">
        <f>_xlfn.XLOOKUP(F442,dd_item!$B$2:$B$105,dd_item!$C$2:$C$105,"",0)</f>
        <v/>
      </c>
      <c r="F442" s="35"/>
      <c r="G442" s="35" cm="1">
        <f t="array" ref="G442">IFERROR(_xlfn.XLOOKUP(1, (SKUs!$J$2:$J$10001=accsry_unmerged!F442)*IF(H442&lt;&gt;"",(SKUs!$L$2:$L$10001=accsry_unmerged!H442),1)*(SKUs!$K$2:$K$10001=I442),SKUs!$C$2:$C$10001),"")</f>
        <v>0</v>
      </c>
      <c r="H442" s="36" cm="1">
        <f t="array" ref="H442">IFERROR(_xlfn.XLOOKUP(1, (dd_accsryclr!$C$2:$C$1000=accsry_unmerged!F442)*(dd_accsryclr!$B$2:$B$1000=accsry_unmerged!J442),dd_accsryclr!$A$2:$A$1000),"")</f>
        <v>0</v>
      </c>
      <c r="I442" s="35">
        <f>_xlfn.XLOOKUP(C442,'Project Details'!$C$17:$C$66,'Project Details'!$E$17:$E$66,"",0)</f>
        <v>0</v>
      </c>
      <c r="J442" s="35">
        <f>_xlfn.XLOOKUP(C442,'Project Details'!$C$17:$C$66,'Project Details'!$H$17:$H$66,"",0)</f>
        <v>0</v>
      </c>
      <c r="K442" s="36" t="str">
        <f>IF(AND(_xlfn.XLOOKUP(C442,'Project Details'!$C$17:$C$66,'Project Details'!$L$17:$L$66,"",0)&gt;550, F442="Spring-L27cm"),"",SUBSTITUTE(_xlfn.XLOOKUP(G442,SKUs!$C$2:$C$10001,SKUs!$F$2:$F$10001,"",0), " Accessories",""))</f>
        <v/>
      </c>
      <c r="L442" s="36">
        <f>_xlfn.XLOOKUP(C442,'Project Details'!$C$17:$C$66,'Project Details'!$D$17:$D$66,"",0)</f>
        <v>0</v>
      </c>
      <c r="M442" s="43"/>
    </row>
    <row r="443" spans="1:13" ht="13.5" customHeight="1" x14ac:dyDescent="0.25">
      <c r="A443" s="43"/>
      <c r="B443" s="43"/>
      <c r="C443" s="16">
        <f t="shared" si="7"/>
        <v>9</v>
      </c>
      <c r="D443" s="16" t="str" cm="1">
        <f t="array" ref="D443">IFERROR(ROUNDUP(_xlfn.IFS(F443="Aluminum Track", _xlfn.XLOOKUP(C443, dd_accsrycalc!$A$2:$A$51, dd_accsrycalc!$B$2:$B$51, "",0), F443="10 x 2 1/2 S (Flat)", _xlfn.XLOOKUP(C443, dd_accsrycalc!$A$2:$A$51, dd_accsrycalc!$C$2:$C$51, "",0), F443="Tox6", _xlfn.XLOOKUP(C443, dd_accsrycalc!$A$2:$A$51, dd_accsrycalc!$D$2:$D$51, "",0), F443="Cover Cap", _xlfn.XLOOKUP(C443, dd_accsrycalc!$A$2:$A$51, dd_accsrycalc!$E$2:$E$51, "",0), F443="Drainage Cover", _xlfn.XLOOKUP(C443, dd_accsrycalc!$A$2:$A$51, dd_accsrycalc!$F$2:$F$51, "",0),AND( F443="Double Adhesive Tape", I443="Roll-up Screen"), _xlfn.XLOOKUP(C443, calc_rusacc!$C$15:$C$65, calc_rusacc!$AD$15:$AD$65, "",0),AND( F443="Sealant", I443="Roll-up Screen"), _xlfn.XLOOKUP(C443, calc_rusacc!$C$15:$C$65, calc_rusacc!$AF$15:$AF$65, "",0),  AND( F443="Main Chain", I443="Accordion Screen"), _xlfn.XLOOKUP(C443, calc_rusacc!$C$15:$C$65, calc_rusacc!$BF$15:$BF$65, "",0), AND( F443="Sealant", I443="Accordion Screen"), _xlfn.XLOOKUP(C443, calc_rusacc!$C$15:$C$65, calc_rusacc!$BJ$15:$BJ$65, "",0),  F443="Sealant", _xlfn.XLOOKUP(C443, dd_accsrycalc!$A$2:$A$51, dd_accsrycalc!$G$2:$G$51, "",0),  F443&lt;&gt;"",L443*_xlfn.XLOOKUP(1, (SKUs!$C$2:$C$10001=G443)*(SKUs!$K$2:$K$10001=I443),SKUs!$E$2:$E$10001)), 0),"")</f>
        <v/>
      </c>
      <c r="E443" s="16" t="str">
        <f>_xlfn.XLOOKUP(F443,dd_item!$B$2:$B$105,dd_item!$C$2:$C$105,"",0)</f>
        <v/>
      </c>
      <c r="F443" s="16"/>
      <c r="G443" s="16" cm="1">
        <f t="array" ref="G443">IFERROR(_xlfn.XLOOKUP(1, (SKUs!$J$2:$J$10001=accsry_unmerged!F443)*IF(H443&lt;&gt;"",(SKUs!$L$2:$L$10001=accsry_unmerged!H443),1)*(SKUs!$K$2:$K$10001=I443),SKUs!$C$2:$C$10001),"")</f>
        <v>0</v>
      </c>
      <c r="H443" s="33" cm="1">
        <f t="array" ref="H443">IFERROR(_xlfn.XLOOKUP(1, (dd_accsryclr!$C$2:$C$1000=accsry_unmerged!F443)*(dd_accsryclr!$B$2:$B$1000=accsry_unmerged!J443),dd_accsryclr!$A$2:$A$1000),"")</f>
        <v>0</v>
      </c>
      <c r="I443" s="16">
        <f>_xlfn.XLOOKUP(C443,'Project Details'!$C$17:$C$66,'Project Details'!$E$17:$E$66,"",0)</f>
        <v>0</v>
      </c>
      <c r="J443" s="16">
        <f>_xlfn.XLOOKUP(C443,'Project Details'!$C$17:$C$66,'Project Details'!$H$17:$H$66,"",0)</f>
        <v>0</v>
      </c>
      <c r="K443" s="33" t="str">
        <f>IF(AND(_xlfn.XLOOKUP(C443,'Project Details'!$C$17:$C$66,'Project Details'!$L$17:$L$66,"",0)&gt;550, F443="Spring-L27cm"),"",SUBSTITUTE(_xlfn.XLOOKUP(G443,SKUs!$C$2:$C$10001,SKUs!$F$2:$F$10001,"",0), " Accessories",""))</f>
        <v/>
      </c>
      <c r="L443" s="33">
        <f>_xlfn.XLOOKUP(C443,'Project Details'!$C$17:$C$66,'Project Details'!$D$17:$D$66,"",0)</f>
        <v>0</v>
      </c>
      <c r="M443" s="43"/>
    </row>
    <row r="444" spans="1:13" ht="13.5" customHeight="1" x14ac:dyDescent="0.25">
      <c r="A444" s="43"/>
      <c r="B444" s="43"/>
      <c r="C444" s="35">
        <f t="shared" si="7"/>
        <v>9</v>
      </c>
      <c r="D444" s="35" t="str" cm="1">
        <f t="array" ref="D444">IFERROR(ROUNDUP(_xlfn.IFS(F444="Aluminum Track", _xlfn.XLOOKUP(C444, dd_accsrycalc!$A$2:$A$51, dd_accsrycalc!$B$2:$B$51, "",0), F444="10 x 2 1/2 S (Flat)", _xlfn.XLOOKUP(C444, dd_accsrycalc!$A$2:$A$51, dd_accsrycalc!$C$2:$C$51, "",0), F444="Tox6", _xlfn.XLOOKUP(C444, dd_accsrycalc!$A$2:$A$51, dd_accsrycalc!$D$2:$D$51, "",0), F444="Cover Cap", _xlfn.XLOOKUP(C444, dd_accsrycalc!$A$2:$A$51, dd_accsrycalc!$E$2:$E$51, "",0), F444="Drainage Cover", _xlfn.XLOOKUP(C444, dd_accsrycalc!$A$2:$A$51, dd_accsrycalc!$F$2:$F$51, "",0),AND( F444="Double Adhesive Tape", I444="Roll-up Screen"), _xlfn.XLOOKUP(C444, calc_rusacc!$C$15:$C$65, calc_rusacc!$AD$15:$AD$65, "",0),AND( F444="Sealant", I444="Roll-up Screen"), _xlfn.XLOOKUP(C444, calc_rusacc!$C$15:$C$65, calc_rusacc!$AF$15:$AF$65, "",0),  AND( F444="Main Chain", I444="Accordion Screen"), _xlfn.XLOOKUP(C444, calc_rusacc!$C$15:$C$65, calc_rusacc!$BF$15:$BF$65, "",0), AND( F444="Sealant", I444="Accordion Screen"), _xlfn.XLOOKUP(C444, calc_rusacc!$C$15:$C$65, calc_rusacc!$BJ$15:$BJ$65, "",0),  F444="Sealant", _xlfn.XLOOKUP(C444, dd_accsrycalc!$A$2:$A$51, dd_accsrycalc!$G$2:$G$51, "",0),  F444&lt;&gt;"",L444*_xlfn.XLOOKUP(1, (SKUs!$C$2:$C$10001=G444)*(SKUs!$K$2:$K$10001=I444),SKUs!$E$2:$E$10001)), 0),"")</f>
        <v/>
      </c>
      <c r="E444" s="35" t="str">
        <f>_xlfn.XLOOKUP(F444,dd_item!$B$2:$B$105,dd_item!$C$2:$C$105,"",0)</f>
        <v/>
      </c>
      <c r="F444" s="35"/>
      <c r="G444" s="35" cm="1">
        <f t="array" ref="G444">IFERROR(_xlfn.XLOOKUP(1, (SKUs!$J$2:$J$10001=accsry_unmerged!F444)*IF(H444&lt;&gt;"",(SKUs!$L$2:$L$10001=accsry_unmerged!H444),1)*(SKUs!$K$2:$K$10001=I444),SKUs!$C$2:$C$10001),"")</f>
        <v>0</v>
      </c>
      <c r="H444" s="36" cm="1">
        <f t="array" ref="H444">IFERROR(_xlfn.XLOOKUP(1, (dd_accsryclr!$C$2:$C$1000=accsry_unmerged!F444)*(dd_accsryclr!$B$2:$B$1000=accsry_unmerged!J444),dd_accsryclr!$A$2:$A$1000),"")</f>
        <v>0</v>
      </c>
      <c r="I444" s="35">
        <f>_xlfn.XLOOKUP(C444,'Project Details'!$C$17:$C$66,'Project Details'!$E$17:$E$66,"",0)</f>
        <v>0</v>
      </c>
      <c r="J444" s="35">
        <f>_xlfn.XLOOKUP(C444,'Project Details'!$C$17:$C$66,'Project Details'!$H$17:$H$66,"",0)</f>
        <v>0</v>
      </c>
      <c r="K444" s="36" t="str">
        <f>IF(AND(_xlfn.XLOOKUP(C444,'Project Details'!$C$17:$C$66,'Project Details'!$L$17:$L$66,"",0)&gt;550, F444="Spring-L27cm"),"",SUBSTITUTE(_xlfn.XLOOKUP(G444,SKUs!$C$2:$C$10001,SKUs!$F$2:$F$10001,"",0), " Accessories",""))</f>
        <v/>
      </c>
      <c r="L444" s="36">
        <f>_xlfn.XLOOKUP(C444,'Project Details'!$C$17:$C$66,'Project Details'!$D$17:$D$66,"",0)</f>
        <v>0</v>
      </c>
      <c r="M444" s="43"/>
    </row>
    <row r="445" spans="1:13" ht="13.5" customHeight="1" outlineLevel="1" x14ac:dyDescent="0.25">
      <c r="A445" s="43"/>
      <c r="B445" s="43"/>
      <c r="C445" s="16">
        <f t="shared" si="7"/>
        <v>9</v>
      </c>
      <c r="D445" s="16" t="str" cm="1">
        <f t="array" ref="D445">IFERROR(ROUNDUP(_xlfn.IFS(F445="Aluminum Track", _xlfn.XLOOKUP(C445, dd_accsrycalc!$A$2:$A$51, dd_accsrycalc!$B$2:$B$51, "",0), F445="10 x 2 1/2 S (Flat)", _xlfn.XLOOKUP(C445, dd_accsrycalc!$A$2:$A$51, dd_accsrycalc!$C$2:$C$51, "",0), F445="Tox6", _xlfn.XLOOKUP(C445, dd_accsrycalc!$A$2:$A$51, dd_accsrycalc!$D$2:$D$51, "",0), F445="Cover Cap", _xlfn.XLOOKUP(C445, dd_accsrycalc!$A$2:$A$51, dd_accsrycalc!$E$2:$E$51, "",0), F445="Drainage Cover", _xlfn.XLOOKUP(C445, dd_accsrycalc!$A$2:$A$51, dd_accsrycalc!$F$2:$F$51, "",0),AND( F445="Double Adhesive Tape", I445="Roll-up Screen"), _xlfn.XLOOKUP(C445, calc_rusacc!$C$15:$C$65, calc_rusacc!$AD$15:$AD$65, "",0),AND( F445="Sealant", I445="Roll-up Screen"), _xlfn.XLOOKUP(C445, calc_rusacc!$C$15:$C$65, calc_rusacc!$AF$15:$AF$65, "",0),  AND( F445="Main Chain", I445="Accordion Screen"), _xlfn.XLOOKUP(C445, calc_rusacc!$C$15:$C$65, calc_rusacc!$BF$15:$BF$65, "",0), AND( F445="Sealant", I445="Accordion Screen"), _xlfn.XLOOKUP(C445, calc_rusacc!$C$15:$C$65, calc_rusacc!$BJ$15:$BJ$65, "",0),  F445="Sealant", _xlfn.XLOOKUP(C445, dd_accsrycalc!$A$2:$A$51, dd_accsrycalc!$G$2:$G$51, "",0),  F445&lt;&gt;"",L445*_xlfn.XLOOKUP(1, (SKUs!$C$2:$C$10001=G445)*(SKUs!$K$2:$K$10001=I445),SKUs!$E$2:$E$10001)), 0),"")</f>
        <v/>
      </c>
      <c r="E445" s="16" t="str">
        <f>_xlfn.XLOOKUP(F445,dd_item!$B$2:$B$105,dd_item!$C$2:$C$105,"",0)</f>
        <v/>
      </c>
      <c r="F445" s="16"/>
      <c r="G445" s="16" cm="1">
        <f t="array" ref="G445">IFERROR(_xlfn.XLOOKUP(1, (SKUs!$J$2:$J$10001=accsry_unmerged!F445)*IF(H445&lt;&gt;"",(SKUs!$L$2:$L$10001=accsry_unmerged!H445),1)*(SKUs!$K$2:$K$10001=I445),SKUs!$C$2:$C$10001),"")</f>
        <v>0</v>
      </c>
      <c r="H445" s="33" cm="1">
        <f t="array" ref="H445">IFERROR(_xlfn.XLOOKUP(1, (dd_accsryclr!$C$2:$C$1000=accsry_unmerged!F445)*(dd_accsryclr!$B$2:$B$1000=accsry_unmerged!J445),dd_accsryclr!$A$2:$A$1000),"")</f>
        <v>0</v>
      </c>
      <c r="I445" s="16">
        <f>_xlfn.XLOOKUP(C445,'Project Details'!$C$17:$C$66,'Project Details'!$E$17:$E$66,"",0)</f>
        <v>0</v>
      </c>
      <c r="J445" s="16">
        <f>_xlfn.XLOOKUP(C445,'Project Details'!$C$17:$C$66,'Project Details'!$H$17:$H$66,"",0)</f>
        <v>0</v>
      </c>
      <c r="K445" s="33" t="str">
        <f>IF(AND(_xlfn.XLOOKUP(C445,'Project Details'!$C$17:$C$66,'Project Details'!$L$17:$L$66,"",0)&gt;550, F445="Spring-L27cm"),"",SUBSTITUTE(_xlfn.XLOOKUP(G445,SKUs!$C$2:$C$10001,SKUs!$F$2:$F$10001,"",0), " Accessories",""))</f>
        <v/>
      </c>
      <c r="L445" s="33">
        <f>_xlfn.XLOOKUP(C445,'Project Details'!$C$17:$C$66,'Project Details'!$D$17:$D$66,"",0)</f>
        <v>0</v>
      </c>
      <c r="M445" s="43"/>
    </row>
    <row r="446" spans="1:13" ht="13.5" customHeight="1" outlineLevel="1" x14ac:dyDescent="0.25">
      <c r="A446" s="43"/>
      <c r="B446" s="43"/>
      <c r="C446" s="35">
        <f t="shared" si="7"/>
        <v>9</v>
      </c>
      <c r="D446" s="35" t="str" cm="1">
        <f t="array" ref="D446">IFERROR(ROUNDUP(_xlfn.IFS(F446="Aluminum Track", _xlfn.XLOOKUP(C446, dd_accsrycalc!$A$2:$A$51, dd_accsrycalc!$B$2:$B$51, "",0), F446="10 x 2 1/2 S (Flat)", _xlfn.XLOOKUP(C446, dd_accsrycalc!$A$2:$A$51, dd_accsrycalc!$C$2:$C$51, "",0), F446="Tox6", _xlfn.XLOOKUP(C446, dd_accsrycalc!$A$2:$A$51, dd_accsrycalc!$D$2:$D$51, "",0), F446="Cover Cap", _xlfn.XLOOKUP(C446, dd_accsrycalc!$A$2:$A$51, dd_accsrycalc!$E$2:$E$51, "",0), F446="Drainage Cover", _xlfn.XLOOKUP(C446, dd_accsrycalc!$A$2:$A$51, dd_accsrycalc!$F$2:$F$51, "",0),AND( F446="Double Adhesive Tape", I446="Roll-up Screen"), _xlfn.XLOOKUP(C446, calc_rusacc!$C$15:$C$65, calc_rusacc!$AD$15:$AD$65, "",0),AND( F446="Sealant", I446="Roll-up Screen"), _xlfn.XLOOKUP(C446, calc_rusacc!$C$15:$C$65, calc_rusacc!$AF$15:$AF$65, "",0),  AND( F446="Main Chain", I446="Accordion Screen"), _xlfn.XLOOKUP(C446, calc_rusacc!$C$15:$C$65, calc_rusacc!$BF$15:$BF$65, "",0), AND( F446="Sealant", I446="Accordion Screen"), _xlfn.XLOOKUP(C446, calc_rusacc!$C$15:$C$65, calc_rusacc!$BJ$15:$BJ$65, "",0),  F446="Sealant", _xlfn.XLOOKUP(C446, dd_accsrycalc!$A$2:$A$51, dd_accsrycalc!$G$2:$G$51, "",0),  F446&lt;&gt;"",L446*_xlfn.XLOOKUP(1, (SKUs!$C$2:$C$10001=G446)*(SKUs!$K$2:$K$10001=I446),SKUs!$E$2:$E$10001)), 0),"")</f>
        <v/>
      </c>
      <c r="E446" s="35" t="str">
        <f>_xlfn.XLOOKUP(F446,dd_item!$B$2:$B$105,dd_item!$C$2:$C$105,"",0)</f>
        <v/>
      </c>
      <c r="F446" s="35"/>
      <c r="G446" s="35" cm="1">
        <f t="array" ref="G446">IFERROR(_xlfn.XLOOKUP(1, (SKUs!$J$2:$J$10001=accsry_unmerged!F446)*IF(H446&lt;&gt;"",(SKUs!$L$2:$L$10001=accsry_unmerged!H446),1)*(SKUs!$K$2:$K$10001=I446),SKUs!$C$2:$C$10001),"")</f>
        <v>0</v>
      </c>
      <c r="H446" s="36" cm="1">
        <f t="array" ref="H446">IFERROR(_xlfn.XLOOKUP(1, (dd_accsryclr!$C$2:$C$1000=accsry_unmerged!F446)*(dd_accsryclr!$B$2:$B$1000=accsry_unmerged!J446),dd_accsryclr!$A$2:$A$1000),"")</f>
        <v>0</v>
      </c>
      <c r="I446" s="35">
        <f>_xlfn.XLOOKUP(C446,'Project Details'!$C$17:$C$66,'Project Details'!$E$17:$E$66,"",0)</f>
        <v>0</v>
      </c>
      <c r="J446" s="35">
        <f>_xlfn.XLOOKUP(C446,'Project Details'!$C$17:$C$66,'Project Details'!$H$17:$H$66,"",0)</f>
        <v>0</v>
      </c>
      <c r="K446" s="36" t="str">
        <f>IF(AND(_xlfn.XLOOKUP(C446,'Project Details'!$C$17:$C$66,'Project Details'!$L$17:$L$66,"",0)&gt;550, F446="Spring-L27cm"),"",SUBSTITUTE(_xlfn.XLOOKUP(G446,SKUs!$C$2:$C$10001,SKUs!$F$2:$F$10001,"",0), " Accessories",""))</f>
        <v/>
      </c>
      <c r="L446" s="36">
        <f>_xlfn.XLOOKUP(C446,'Project Details'!$C$17:$C$66,'Project Details'!$D$17:$D$66,"",0)</f>
        <v>0</v>
      </c>
      <c r="M446" s="43"/>
    </row>
    <row r="447" spans="1:13" ht="13.5" customHeight="1" outlineLevel="1" x14ac:dyDescent="0.25">
      <c r="A447" s="43"/>
      <c r="B447" s="43"/>
      <c r="C447" s="16">
        <f t="shared" si="7"/>
        <v>9</v>
      </c>
      <c r="D447" s="16" t="str" cm="1">
        <f t="array" ref="D447">IFERROR(ROUNDUP(_xlfn.IFS(F447="Aluminum Track", _xlfn.XLOOKUP(C447, dd_accsrycalc!$A$2:$A$51, dd_accsrycalc!$B$2:$B$51, "",0), F447="10 x 2 1/2 S (Flat)", _xlfn.XLOOKUP(C447, dd_accsrycalc!$A$2:$A$51, dd_accsrycalc!$C$2:$C$51, "",0), F447="Tox6", _xlfn.XLOOKUP(C447, dd_accsrycalc!$A$2:$A$51, dd_accsrycalc!$D$2:$D$51, "",0), F447="Cover Cap", _xlfn.XLOOKUP(C447, dd_accsrycalc!$A$2:$A$51, dd_accsrycalc!$E$2:$E$51, "",0), F447="Drainage Cover", _xlfn.XLOOKUP(C447, dd_accsrycalc!$A$2:$A$51, dd_accsrycalc!$F$2:$F$51, "",0),AND( F447="Double Adhesive Tape", I447="Roll-up Screen"), _xlfn.XLOOKUP(C447, calc_rusacc!$C$15:$C$65, calc_rusacc!$AD$15:$AD$65, "",0),AND( F447="Sealant", I447="Roll-up Screen"), _xlfn.XLOOKUP(C447, calc_rusacc!$C$15:$C$65, calc_rusacc!$AF$15:$AF$65, "",0),  AND( F447="Main Chain", I447="Accordion Screen"), _xlfn.XLOOKUP(C447, calc_rusacc!$C$15:$C$65, calc_rusacc!$BF$15:$BF$65, "",0), AND( F447="Sealant", I447="Accordion Screen"), _xlfn.XLOOKUP(C447, calc_rusacc!$C$15:$C$65, calc_rusacc!$BJ$15:$BJ$65, "",0),  F447="Sealant", _xlfn.XLOOKUP(C447, dd_accsrycalc!$A$2:$A$51, dd_accsrycalc!$G$2:$G$51, "",0),  F447&lt;&gt;"",L447*_xlfn.XLOOKUP(1, (SKUs!$C$2:$C$10001=G447)*(SKUs!$K$2:$K$10001=I447),SKUs!$E$2:$E$10001)), 0),"")</f>
        <v/>
      </c>
      <c r="E447" s="16" t="str">
        <f>_xlfn.XLOOKUP(F447,dd_item!$B$2:$B$105,dd_item!$C$2:$C$105,"",0)</f>
        <v/>
      </c>
      <c r="F447" s="16"/>
      <c r="G447" s="16" cm="1">
        <f t="array" ref="G447">IFERROR(_xlfn.XLOOKUP(1, (SKUs!$J$2:$J$10001=accsry_unmerged!F447)*IF(H447&lt;&gt;"",(SKUs!$L$2:$L$10001=accsry_unmerged!H447),1)*(SKUs!$K$2:$K$10001=I447),SKUs!$C$2:$C$10001),"")</f>
        <v>0</v>
      </c>
      <c r="H447" s="33" cm="1">
        <f t="array" ref="H447">IFERROR(_xlfn.XLOOKUP(1, (dd_accsryclr!$C$2:$C$1000=accsry_unmerged!F447)*(dd_accsryclr!$B$2:$B$1000=accsry_unmerged!J447),dd_accsryclr!$A$2:$A$1000),"")</f>
        <v>0</v>
      </c>
      <c r="I447" s="16">
        <f>_xlfn.XLOOKUP(C447,'Project Details'!$C$17:$C$66,'Project Details'!$E$17:$E$66,"",0)</f>
        <v>0</v>
      </c>
      <c r="J447" s="16">
        <f>_xlfn.XLOOKUP(C447,'Project Details'!$C$17:$C$66,'Project Details'!$H$17:$H$66,"",0)</f>
        <v>0</v>
      </c>
      <c r="K447" s="33" t="str">
        <f>IF(AND(_xlfn.XLOOKUP(C447,'Project Details'!$C$17:$C$66,'Project Details'!$L$17:$L$66,"",0)&gt;550, F447="Spring-L27cm"),"",SUBSTITUTE(_xlfn.XLOOKUP(G447,SKUs!$C$2:$C$10001,SKUs!$F$2:$F$10001,"",0), " Accessories",""))</f>
        <v/>
      </c>
      <c r="L447" s="33">
        <f>_xlfn.XLOOKUP(C447,'Project Details'!$C$17:$C$66,'Project Details'!$D$17:$D$66,"",0)</f>
        <v>0</v>
      </c>
      <c r="M447" s="43"/>
    </row>
    <row r="448" spans="1:13" ht="13.5" customHeight="1" outlineLevel="1" x14ac:dyDescent="0.25">
      <c r="A448" s="43"/>
      <c r="B448" s="43"/>
      <c r="C448" s="35">
        <f t="shared" si="7"/>
        <v>9</v>
      </c>
      <c r="D448" s="35" t="str" cm="1">
        <f t="array" ref="D448">IFERROR(ROUNDUP(_xlfn.IFS(F448="Aluminum Track", _xlfn.XLOOKUP(C448, dd_accsrycalc!$A$2:$A$51, dd_accsrycalc!$B$2:$B$51, "",0), F448="10 x 2 1/2 S (Flat)", _xlfn.XLOOKUP(C448, dd_accsrycalc!$A$2:$A$51, dd_accsrycalc!$C$2:$C$51, "",0), F448="Tox6", _xlfn.XLOOKUP(C448, dd_accsrycalc!$A$2:$A$51, dd_accsrycalc!$D$2:$D$51, "",0), F448="Cover Cap", _xlfn.XLOOKUP(C448, dd_accsrycalc!$A$2:$A$51, dd_accsrycalc!$E$2:$E$51, "",0), F448="Drainage Cover", _xlfn.XLOOKUP(C448, dd_accsrycalc!$A$2:$A$51, dd_accsrycalc!$F$2:$F$51, "",0),AND( F448="Double Adhesive Tape", I448="Roll-up Screen"), _xlfn.XLOOKUP(C448, calc_rusacc!$C$15:$C$65, calc_rusacc!$AD$15:$AD$65, "",0),AND( F448="Sealant", I448="Roll-up Screen"), _xlfn.XLOOKUP(C448, calc_rusacc!$C$15:$C$65, calc_rusacc!$AF$15:$AF$65, "",0),  AND( F448="Main Chain", I448="Accordion Screen"), _xlfn.XLOOKUP(C448, calc_rusacc!$C$15:$C$65, calc_rusacc!$BF$15:$BF$65, "",0), AND( F448="Sealant", I448="Accordion Screen"), _xlfn.XLOOKUP(C448, calc_rusacc!$C$15:$C$65, calc_rusacc!$BJ$15:$BJ$65, "",0),  F448="Sealant", _xlfn.XLOOKUP(C448, dd_accsrycalc!$A$2:$A$51, dd_accsrycalc!$G$2:$G$51, "",0),  F448&lt;&gt;"",L448*_xlfn.XLOOKUP(1, (SKUs!$C$2:$C$10001=G448)*(SKUs!$K$2:$K$10001=I448),SKUs!$E$2:$E$10001)), 0),"")</f>
        <v/>
      </c>
      <c r="E448" s="35" t="str">
        <f>_xlfn.XLOOKUP(F448,dd_item!$B$2:$B$105,dd_item!$C$2:$C$105,"",0)</f>
        <v/>
      </c>
      <c r="F448" s="35"/>
      <c r="G448" s="35" cm="1">
        <f t="array" ref="G448">IFERROR(_xlfn.XLOOKUP(1, (SKUs!$J$2:$J$10001=accsry_unmerged!F448)*IF(H448&lt;&gt;"",(SKUs!$L$2:$L$10001=accsry_unmerged!H448),1)*(SKUs!$K$2:$K$10001=I448),SKUs!$C$2:$C$10001),"")</f>
        <v>0</v>
      </c>
      <c r="H448" s="36" cm="1">
        <f t="array" ref="H448">IFERROR(_xlfn.XLOOKUP(1, (dd_accsryclr!$C$2:$C$1000=accsry_unmerged!F448)*(dd_accsryclr!$B$2:$B$1000=accsry_unmerged!J448),dd_accsryclr!$A$2:$A$1000),"")</f>
        <v>0</v>
      </c>
      <c r="I448" s="35">
        <f>_xlfn.XLOOKUP(C448,'Project Details'!$C$17:$C$66,'Project Details'!$E$17:$E$66,"",0)</f>
        <v>0</v>
      </c>
      <c r="J448" s="35">
        <f>_xlfn.XLOOKUP(C448,'Project Details'!$C$17:$C$66,'Project Details'!$H$17:$H$66,"",0)</f>
        <v>0</v>
      </c>
      <c r="K448" s="36" t="str">
        <f>IF(AND(_xlfn.XLOOKUP(C448,'Project Details'!$C$17:$C$66,'Project Details'!$L$17:$L$66,"",0)&gt;550, F448="Spring-L27cm"),"",SUBSTITUTE(_xlfn.XLOOKUP(G448,SKUs!$C$2:$C$10001,SKUs!$F$2:$F$10001,"",0), " Accessories",""))</f>
        <v/>
      </c>
      <c r="L448" s="36">
        <f>_xlfn.XLOOKUP(C448,'Project Details'!$C$17:$C$66,'Project Details'!$D$17:$D$66,"",0)</f>
        <v>0</v>
      </c>
      <c r="M448" s="43"/>
    </row>
    <row r="449" spans="1:13" ht="13.5" customHeight="1" outlineLevel="1" x14ac:dyDescent="0.25">
      <c r="A449" s="43"/>
      <c r="B449" s="43"/>
      <c r="C449" s="16">
        <f t="shared" si="7"/>
        <v>9</v>
      </c>
      <c r="D449" s="16" t="str" cm="1">
        <f t="array" ref="D449">IFERROR(ROUNDUP(_xlfn.IFS(F449="Aluminum Track", _xlfn.XLOOKUP(C449, dd_accsrycalc!$A$2:$A$51, dd_accsrycalc!$B$2:$B$51, "",0), F449="10 x 2 1/2 S (Flat)", _xlfn.XLOOKUP(C449, dd_accsrycalc!$A$2:$A$51, dd_accsrycalc!$C$2:$C$51, "",0), F449="Tox6", _xlfn.XLOOKUP(C449, dd_accsrycalc!$A$2:$A$51, dd_accsrycalc!$D$2:$D$51, "",0), F449="Cover Cap", _xlfn.XLOOKUP(C449, dd_accsrycalc!$A$2:$A$51, dd_accsrycalc!$E$2:$E$51, "",0), F449="Drainage Cover", _xlfn.XLOOKUP(C449, dd_accsrycalc!$A$2:$A$51, dd_accsrycalc!$F$2:$F$51, "",0),AND( F449="Double Adhesive Tape", I449="Roll-up Screen"), _xlfn.XLOOKUP(C449, calc_rusacc!$C$15:$C$65, calc_rusacc!$AD$15:$AD$65, "",0),AND( F449="Sealant", I449="Roll-up Screen"), _xlfn.XLOOKUP(C449, calc_rusacc!$C$15:$C$65, calc_rusacc!$AF$15:$AF$65, "",0),  AND( F449="Main Chain", I449="Accordion Screen"), _xlfn.XLOOKUP(C449, calc_rusacc!$C$15:$C$65, calc_rusacc!$BF$15:$BF$65, "",0), AND( F449="Sealant", I449="Accordion Screen"), _xlfn.XLOOKUP(C449, calc_rusacc!$C$15:$C$65, calc_rusacc!$BJ$15:$BJ$65, "",0),  F449="Sealant", _xlfn.XLOOKUP(C449, dd_accsrycalc!$A$2:$A$51, dd_accsrycalc!$G$2:$G$51, "",0),  F449&lt;&gt;"",L449*_xlfn.XLOOKUP(1, (SKUs!$C$2:$C$10001=G449)*(SKUs!$K$2:$K$10001=I449),SKUs!$E$2:$E$10001)), 0),"")</f>
        <v/>
      </c>
      <c r="E449" s="16" t="str">
        <f>_xlfn.XLOOKUP(F449,dd_item!$B$2:$B$105,dd_item!$C$2:$C$105,"",0)</f>
        <v/>
      </c>
      <c r="F449" s="16"/>
      <c r="G449" s="16" cm="1">
        <f t="array" ref="G449">IFERROR(_xlfn.XLOOKUP(1, (SKUs!$J$2:$J$10001=accsry_unmerged!F449)*IF(H449&lt;&gt;"",(SKUs!$L$2:$L$10001=accsry_unmerged!H449),1)*(SKUs!$K$2:$K$10001=I449),SKUs!$C$2:$C$10001),"")</f>
        <v>0</v>
      </c>
      <c r="H449" s="33" cm="1">
        <f t="array" ref="H449">IFERROR(_xlfn.XLOOKUP(1, (dd_accsryclr!$C$2:$C$1000=accsry_unmerged!F449)*(dd_accsryclr!$B$2:$B$1000=accsry_unmerged!J449),dd_accsryclr!$A$2:$A$1000),"")</f>
        <v>0</v>
      </c>
      <c r="I449" s="16">
        <f>_xlfn.XLOOKUP(C449,'Project Details'!$C$17:$C$66,'Project Details'!$E$17:$E$66,"",0)</f>
        <v>0</v>
      </c>
      <c r="J449" s="16">
        <f>_xlfn.XLOOKUP(C449,'Project Details'!$C$17:$C$66,'Project Details'!$H$17:$H$66,"",0)</f>
        <v>0</v>
      </c>
      <c r="K449" s="33" t="str">
        <f>IF(AND(_xlfn.XLOOKUP(C449,'Project Details'!$C$17:$C$66,'Project Details'!$L$17:$L$66,"",0)&gt;550, F449="Spring-L27cm"),"",SUBSTITUTE(_xlfn.XLOOKUP(G449,SKUs!$C$2:$C$10001,SKUs!$F$2:$F$10001,"",0), " Accessories",""))</f>
        <v/>
      </c>
      <c r="L449" s="33">
        <f>_xlfn.XLOOKUP(C449,'Project Details'!$C$17:$C$66,'Project Details'!$D$17:$D$66,"",0)</f>
        <v>0</v>
      </c>
      <c r="M449" s="43"/>
    </row>
    <row r="450" spans="1:13" ht="13.5" customHeight="1" outlineLevel="1" x14ac:dyDescent="0.25">
      <c r="A450" s="43"/>
      <c r="B450" s="43"/>
      <c r="C450" s="35">
        <f t="shared" si="7"/>
        <v>9</v>
      </c>
      <c r="D450" s="35" t="str" cm="1">
        <f t="array" ref="D450">IFERROR(ROUNDUP(_xlfn.IFS(F450="Aluminum Track", _xlfn.XLOOKUP(C450, dd_accsrycalc!$A$2:$A$51, dd_accsrycalc!$B$2:$B$51, "",0), F450="10 x 2 1/2 S (Flat)", _xlfn.XLOOKUP(C450, dd_accsrycalc!$A$2:$A$51, dd_accsrycalc!$C$2:$C$51, "",0), F450="Tox6", _xlfn.XLOOKUP(C450, dd_accsrycalc!$A$2:$A$51, dd_accsrycalc!$D$2:$D$51, "",0), F450="Cover Cap", _xlfn.XLOOKUP(C450, dd_accsrycalc!$A$2:$A$51, dd_accsrycalc!$E$2:$E$51, "",0), F450="Drainage Cover", _xlfn.XLOOKUP(C450, dd_accsrycalc!$A$2:$A$51, dd_accsrycalc!$F$2:$F$51, "",0),AND( F450="Double Adhesive Tape", I450="Roll-up Screen"), _xlfn.XLOOKUP(C450, calc_rusacc!$C$15:$C$65, calc_rusacc!$AD$15:$AD$65, "",0),AND( F450="Sealant", I450="Roll-up Screen"), _xlfn.XLOOKUP(C450, calc_rusacc!$C$15:$C$65, calc_rusacc!$AF$15:$AF$65, "",0),  AND( F450="Main Chain", I450="Accordion Screen"), _xlfn.XLOOKUP(C450, calc_rusacc!$C$15:$C$65, calc_rusacc!$BF$15:$BF$65, "",0), AND( F450="Sealant", I450="Accordion Screen"), _xlfn.XLOOKUP(C450, calc_rusacc!$C$15:$C$65, calc_rusacc!$BJ$15:$BJ$65, "",0),  F450="Sealant", _xlfn.XLOOKUP(C450, dd_accsrycalc!$A$2:$A$51, dd_accsrycalc!$G$2:$G$51, "",0),  F450&lt;&gt;"",L450*_xlfn.XLOOKUP(1, (SKUs!$C$2:$C$10001=G450)*(SKUs!$K$2:$K$10001=I450),SKUs!$E$2:$E$10001)), 0),"")</f>
        <v/>
      </c>
      <c r="E450" s="35" t="str">
        <f>_xlfn.XLOOKUP(F450,dd_item!$B$2:$B$105,dd_item!$C$2:$C$105,"",0)</f>
        <v/>
      </c>
      <c r="F450" s="35"/>
      <c r="G450" s="35" cm="1">
        <f t="array" ref="G450">IFERROR(_xlfn.XLOOKUP(1, (SKUs!$J$2:$J$10001=accsry_unmerged!F450)*IF(H450&lt;&gt;"",(SKUs!$L$2:$L$10001=accsry_unmerged!H450),1)*(SKUs!$K$2:$K$10001=I450),SKUs!$C$2:$C$10001),"")</f>
        <v>0</v>
      </c>
      <c r="H450" s="36" cm="1">
        <f t="array" ref="H450">IFERROR(_xlfn.XLOOKUP(1, (dd_accsryclr!$C$2:$C$1000=accsry_unmerged!F450)*(dd_accsryclr!$B$2:$B$1000=accsry_unmerged!J450),dd_accsryclr!$A$2:$A$1000),"")</f>
        <v>0</v>
      </c>
      <c r="I450" s="35">
        <f>_xlfn.XLOOKUP(C450,'Project Details'!$C$17:$C$66,'Project Details'!$E$17:$E$66,"",0)</f>
        <v>0</v>
      </c>
      <c r="J450" s="35">
        <f>_xlfn.XLOOKUP(C450,'Project Details'!$C$17:$C$66,'Project Details'!$H$17:$H$66,"",0)</f>
        <v>0</v>
      </c>
      <c r="K450" s="36" t="str">
        <f>IF(AND(_xlfn.XLOOKUP(C450,'Project Details'!$C$17:$C$66,'Project Details'!$L$17:$L$66,"",0)&gt;550, F450="Spring-L27cm"),"",SUBSTITUTE(_xlfn.XLOOKUP(G450,SKUs!$C$2:$C$10001,SKUs!$F$2:$F$10001,"",0), " Accessories",""))</f>
        <v/>
      </c>
      <c r="L450" s="36">
        <f>_xlfn.XLOOKUP(C450,'Project Details'!$C$17:$C$66,'Project Details'!$D$17:$D$66,"",0)</f>
        <v>0</v>
      </c>
      <c r="M450" s="43"/>
    </row>
    <row r="451" spans="1:13" ht="13.5" customHeight="1" outlineLevel="1" x14ac:dyDescent="0.25">
      <c r="A451" s="43"/>
      <c r="B451" s="43"/>
      <c r="C451" s="16">
        <f t="shared" si="7"/>
        <v>9</v>
      </c>
      <c r="D451" s="16" t="str" cm="1">
        <f t="array" ref="D451">IFERROR(ROUNDUP(_xlfn.IFS(F451="Aluminum Track", _xlfn.XLOOKUP(C451, dd_accsrycalc!$A$2:$A$51, dd_accsrycalc!$B$2:$B$51, "",0), F451="10 x 2 1/2 S (Flat)", _xlfn.XLOOKUP(C451, dd_accsrycalc!$A$2:$A$51, dd_accsrycalc!$C$2:$C$51, "",0), F451="Tox6", _xlfn.XLOOKUP(C451, dd_accsrycalc!$A$2:$A$51, dd_accsrycalc!$D$2:$D$51, "",0), F451="Cover Cap", _xlfn.XLOOKUP(C451, dd_accsrycalc!$A$2:$A$51, dd_accsrycalc!$E$2:$E$51, "",0), F451="Drainage Cover", _xlfn.XLOOKUP(C451, dd_accsrycalc!$A$2:$A$51, dd_accsrycalc!$F$2:$F$51, "",0),AND( F451="Double Adhesive Tape", I451="Roll-up Screen"), _xlfn.XLOOKUP(C451, calc_rusacc!$C$15:$C$65, calc_rusacc!$AD$15:$AD$65, "",0),AND( F451="Sealant", I451="Roll-up Screen"), _xlfn.XLOOKUP(C451, calc_rusacc!$C$15:$C$65, calc_rusacc!$AF$15:$AF$65, "",0),  AND( F451="Main Chain", I451="Accordion Screen"), _xlfn.XLOOKUP(C451, calc_rusacc!$C$15:$C$65, calc_rusacc!$BF$15:$BF$65, "",0), AND( F451="Sealant", I451="Accordion Screen"), _xlfn.XLOOKUP(C451, calc_rusacc!$C$15:$C$65, calc_rusacc!$BJ$15:$BJ$65, "",0),  F451="Sealant", _xlfn.XLOOKUP(C451, dd_accsrycalc!$A$2:$A$51, dd_accsrycalc!$G$2:$G$51, "",0),  F451&lt;&gt;"",L451*_xlfn.XLOOKUP(1, (SKUs!$C$2:$C$10001=G451)*(SKUs!$K$2:$K$10001=I451),SKUs!$E$2:$E$10001)), 0),"")</f>
        <v/>
      </c>
      <c r="E451" s="16" t="str">
        <f>_xlfn.XLOOKUP(F451,dd_item!$B$2:$B$105,dd_item!$C$2:$C$105,"",0)</f>
        <v/>
      </c>
      <c r="F451" s="16"/>
      <c r="G451" s="16" cm="1">
        <f t="array" ref="G451">IFERROR(_xlfn.XLOOKUP(1, (SKUs!$J$2:$J$10001=accsry_unmerged!F451)*IF(H451&lt;&gt;"",(SKUs!$L$2:$L$10001=accsry_unmerged!H451),1)*(SKUs!$K$2:$K$10001=I451),SKUs!$C$2:$C$10001),"")</f>
        <v>0</v>
      </c>
      <c r="H451" s="33" cm="1">
        <f t="array" ref="H451">IFERROR(_xlfn.XLOOKUP(1, (dd_accsryclr!$C$2:$C$1000=accsry_unmerged!F451)*(dd_accsryclr!$B$2:$B$1000=accsry_unmerged!J451),dd_accsryclr!$A$2:$A$1000),"")</f>
        <v>0</v>
      </c>
      <c r="I451" s="16">
        <f>_xlfn.XLOOKUP(C451,'Project Details'!$C$17:$C$66,'Project Details'!$E$17:$E$66,"",0)</f>
        <v>0</v>
      </c>
      <c r="J451" s="16">
        <f>_xlfn.XLOOKUP(C451,'Project Details'!$C$17:$C$66,'Project Details'!$H$17:$H$66,"",0)</f>
        <v>0</v>
      </c>
      <c r="K451" s="33" t="str">
        <f>IF(AND(_xlfn.XLOOKUP(C451,'Project Details'!$C$17:$C$66,'Project Details'!$L$17:$L$66,"",0)&gt;550, F451="Spring-L27cm"),"",SUBSTITUTE(_xlfn.XLOOKUP(G451,SKUs!$C$2:$C$10001,SKUs!$F$2:$F$10001,"",0), " Accessories",""))</f>
        <v/>
      </c>
      <c r="L451" s="33">
        <f>_xlfn.XLOOKUP(C451,'Project Details'!$C$17:$C$66,'Project Details'!$D$17:$D$66,"",0)</f>
        <v>0</v>
      </c>
      <c r="M451" s="43"/>
    </row>
    <row r="452" spans="1:13" ht="13.5" customHeight="1" outlineLevel="1" x14ac:dyDescent="0.25">
      <c r="A452" s="43"/>
      <c r="B452" s="43"/>
      <c r="C452" s="35">
        <f t="shared" si="7"/>
        <v>9</v>
      </c>
      <c r="D452" s="35" t="str" cm="1">
        <f t="array" ref="D452">IFERROR(ROUNDUP(_xlfn.IFS(F452="Aluminum Track", _xlfn.XLOOKUP(C452, dd_accsrycalc!$A$2:$A$51, dd_accsrycalc!$B$2:$B$51, "",0), F452="10 x 2 1/2 S (Flat)", _xlfn.XLOOKUP(C452, dd_accsrycalc!$A$2:$A$51, dd_accsrycalc!$C$2:$C$51, "",0), F452="Tox6", _xlfn.XLOOKUP(C452, dd_accsrycalc!$A$2:$A$51, dd_accsrycalc!$D$2:$D$51, "",0), F452="Cover Cap", _xlfn.XLOOKUP(C452, dd_accsrycalc!$A$2:$A$51, dd_accsrycalc!$E$2:$E$51, "",0), F452="Drainage Cover", _xlfn.XLOOKUP(C452, dd_accsrycalc!$A$2:$A$51, dd_accsrycalc!$F$2:$F$51, "",0),AND( F452="Double Adhesive Tape", I452="Roll-up Screen"), _xlfn.XLOOKUP(C452, calc_rusacc!$C$15:$C$65, calc_rusacc!$AD$15:$AD$65, "",0),AND( F452="Sealant", I452="Roll-up Screen"), _xlfn.XLOOKUP(C452, calc_rusacc!$C$15:$C$65, calc_rusacc!$AF$15:$AF$65, "",0),  AND( F452="Main Chain", I452="Accordion Screen"), _xlfn.XLOOKUP(C452, calc_rusacc!$C$15:$C$65, calc_rusacc!$BF$15:$BF$65, "",0), AND( F452="Sealant", I452="Accordion Screen"), _xlfn.XLOOKUP(C452, calc_rusacc!$C$15:$C$65, calc_rusacc!$BJ$15:$BJ$65, "",0),  F452="Sealant", _xlfn.XLOOKUP(C452, dd_accsrycalc!$A$2:$A$51, dd_accsrycalc!$G$2:$G$51, "",0),  F452&lt;&gt;"",L452*_xlfn.XLOOKUP(1, (SKUs!$C$2:$C$10001=G452)*(SKUs!$K$2:$K$10001=I452),SKUs!$E$2:$E$10001)), 0),"")</f>
        <v/>
      </c>
      <c r="E452" s="35" t="str">
        <f>_xlfn.XLOOKUP(F452,dd_item!$B$2:$B$105,dd_item!$C$2:$C$105,"",0)</f>
        <v/>
      </c>
      <c r="F452" s="35"/>
      <c r="G452" s="35" cm="1">
        <f t="array" ref="G452">IFERROR(_xlfn.XLOOKUP(1, (SKUs!$J$2:$J$10001=accsry_unmerged!F452)*IF(H452&lt;&gt;"",(SKUs!$L$2:$L$10001=accsry_unmerged!H452),1)*(SKUs!$K$2:$K$10001=I452),SKUs!$C$2:$C$10001),"")</f>
        <v>0</v>
      </c>
      <c r="H452" s="36" cm="1">
        <f t="array" ref="H452">IFERROR(_xlfn.XLOOKUP(1, (dd_accsryclr!$C$2:$C$1000=accsry_unmerged!F452)*(dd_accsryclr!$B$2:$B$1000=accsry_unmerged!J452),dd_accsryclr!$A$2:$A$1000),"")</f>
        <v>0</v>
      </c>
      <c r="I452" s="35">
        <f>_xlfn.XLOOKUP(C452,'Project Details'!$C$17:$C$66,'Project Details'!$E$17:$E$66,"",0)</f>
        <v>0</v>
      </c>
      <c r="J452" s="35">
        <f>_xlfn.XLOOKUP(C452,'Project Details'!$C$17:$C$66,'Project Details'!$H$17:$H$66,"",0)</f>
        <v>0</v>
      </c>
      <c r="K452" s="36" t="str">
        <f>IF(AND(_xlfn.XLOOKUP(C452,'Project Details'!$C$17:$C$66,'Project Details'!$L$17:$L$66,"",0)&gt;550, F452="Spring-L27cm"),"",SUBSTITUTE(_xlfn.XLOOKUP(G452,SKUs!$C$2:$C$10001,SKUs!$F$2:$F$10001,"",0), " Accessories",""))</f>
        <v/>
      </c>
      <c r="L452" s="36">
        <f>_xlfn.XLOOKUP(C452,'Project Details'!$C$17:$C$66,'Project Details'!$D$17:$D$66,"",0)</f>
        <v>0</v>
      </c>
      <c r="M452" s="43"/>
    </row>
    <row r="453" spans="1:13" ht="13.5" customHeight="1" outlineLevel="1" x14ac:dyDescent="0.25">
      <c r="A453" s="43"/>
      <c r="B453" s="43"/>
      <c r="C453" s="16">
        <f t="shared" si="7"/>
        <v>9</v>
      </c>
      <c r="D453" s="16" t="str" cm="1">
        <f t="array" ref="D453">IFERROR(ROUNDUP(_xlfn.IFS(F453="Aluminum Track", _xlfn.XLOOKUP(C453, dd_accsrycalc!$A$2:$A$51, dd_accsrycalc!$B$2:$B$51, "",0), F453="10 x 2 1/2 S (Flat)", _xlfn.XLOOKUP(C453, dd_accsrycalc!$A$2:$A$51, dd_accsrycalc!$C$2:$C$51, "",0), F453="Tox6", _xlfn.XLOOKUP(C453, dd_accsrycalc!$A$2:$A$51, dd_accsrycalc!$D$2:$D$51, "",0), F453="Cover Cap", _xlfn.XLOOKUP(C453, dd_accsrycalc!$A$2:$A$51, dd_accsrycalc!$E$2:$E$51, "",0), F453="Drainage Cover", _xlfn.XLOOKUP(C453, dd_accsrycalc!$A$2:$A$51, dd_accsrycalc!$F$2:$F$51, "",0),AND( F453="Double Adhesive Tape", I453="Roll-up Screen"), _xlfn.XLOOKUP(C453, calc_rusacc!$C$15:$C$65, calc_rusacc!$AD$15:$AD$65, "",0),AND( F453="Sealant", I453="Roll-up Screen"), _xlfn.XLOOKUP(C453, calc_rusacc!$C$15:$C$65, calc_rusacc!$AF$15:$AF$65, "",0),  AND( F453="Main Chain", I453="Accordion Screen"), _xlfn.XLOOKUP(C453, calc_rusacc!$C$15:$C$65, calc_rusacc!$BF$15:$BF$65, "",0), AND( F453="Sealant", I453="Accordion Screen"), _xlfn.XLOOKUP(C453, calc_rusacc!$C$15:$C$65, calc_rusacc!$BJ$15:$BJ$65, "",0),  F453="Sealant", _xlfn.XLOOKUP(C453, dd_accsrycalc!$A$2:$A$51, dd_accsrycalc!$G$2:$G$51, "",0),  F453&lt;&gt;"",L453*_xlfn.XLOOKUP(1, (SKUs!$C$2:$C$10001=G453)*(SKUs!$K$2:$K$10001=I453),SKUs!$E$2:$E$10001)), 0),"")</f>
        <v/>
      </c>
      <c r="E453" s="16" t="str">
        <f>_xlfn.XLOOKUP(F453,dd_item!$B$2:$B$105,dd_item!$C$2:$C$105,"",0)</f>
        <v/>
      </c>
      <c r="F453" s="16"/>
      <c r="G453" s="16" cm="1">
        <f t="array" ref="G453">IFERROR(_xlfn.XLOOKUP(1, (SKUs!$J$2:$J$10001=accsry_unmerged!F453)*IF(H453&lt;&gt;"",(SKUs!$L$2:$L$10001=accsry_unmerged!H453),1)*(SKUs!$K$2:$K$10001=I453),SKUs!$C$2:$C$10001),"")</f>
        <v>0</v>
      </c>
      <c r="H453" s="33" cm="1">
        <f t="array" ref="H453">IFERROR(_xlfn.XLOOKUP(1, (dd_accsryclr!$C$2:$C$1000=accsry_unmerged!F453)*(dd_accsryclr!$B$2:$B$1000=accsry_unmerged!J453),dd_accsryclr!$A$2:$A$1000),"")</f>
        <v>0</v>
      </c>
      <c r="I453" s="16">
        <f>_xlfn.XLOOKUP(C453,'Project Details'!$C$17:$C$66,'Project Details'!$E$17:$E$66,"",0)</f>
        <v>0</v>
      </c>
      <c r="J453" s="16">
        <f>_xlfn.XLOOKUP(C453,'Project Details'!$C$17:$C$66,'Project Details'!$H$17:$H$66,"",0)</f>
        <v>0</v>
      </c>
      <c r="K453" s="33" t="str">
        <f>IF(AND(_xlfn.XLOOKUP(C453,'Project Details'!$C$17:$C$66,'Project Details'!$L$17:$L$66,"",0)&gt;550, F453="Spring-L27cm"),"",SUBSTITUTE(_xlfn.XLOOKUP(G453,SKUs!$C$2:$C$10001,SKUs!$F$2:$F$10001,"",0), " Accessories",""))</f>
        <v/>
      </c>
      <c r="L453" s="33">
        <f>_xlfn.XLOOKUP(C453,'Project Details'!$C$17:$C$66,'Project Details'!$D$17:$D$66,"",0)</f>
        <v>0</v>
      </c>
      <c r="M453" s="43"/>
    </row>
    <row r="454" spans="1:13" ht="13.5" customHeight="1" outlineLevel="1" x14ac:dyDescent="0.25">
      <c r="A454" s="43"/>
      <c r="B454" s="43"/>
      <c r="C454" s="35">
        <f t="shared" si="7"/>
        <v>9</v>
      </c>
      <c r="D454" s="35" t="str" cm="1">
        <f t="array" ref="D454">IFERROR(ROUNDUP(_xlfn.IFS(F454="Aluminum Track", _xlfn.XLOOKUP(C454, dd_accsrycalc!$A$2:$A$51, dd_accsrycalc!$B$2:$B$51, "",0), F454="10 x 2 1/2 S (Flat)", _xlfn.XLOOKUP(C454, dd_accsrycalc!$A$2:$A$51, dd_accsrycalc!$C$2:$C$51, "",0), F454="Tox6", _xlfn.XLOOKUP(C454, dd_accsrycalc!$A$2:$A$51, dd_accsrycalc!$D$2:$D$51, "",0), F454="Cover Cap", _xlfn.XLOOKUP(C454, dd_accsrycalc!$A$2:$A$51, dd_accsrycalc!$E$2:$E$51, "",0), F454="Drainage Cover", _xlfn.XLOOKUP(C454, dd_accsrycalc!$A$2:$A$51, dd_accsrycalc!$F$2:$F$51, "",0),AND( F454="Double Adhesive Tape", I454="Roll-up Screen"), _xlfn.XLOOKUP(C454, calc_rusacc!$C$15:$C$65, calc_rusacc!$AD$15:$AD$65, "",0),AND( F454="Sealant", I454="Roll-up Screen"), _xlfn.XLOOKUP(C454, calc_rusacc!$C$15:$C$65, calc_rusacc!$AF$15:$AF$65, "",0),  AND( F454="Main Chain", I454="Accordion Screen"), _xlfn.XLOOKUP(C454, calc_rusacc!$C$15:$C$65, calc_rusacc!$BF$15:$BF$65, "",0), AND( F454="Sealant", I454="Accordion Screen"), _xlfn.XLOOKUP(C454, calc_rusacc!$C$15:$C$65, calc_rusacc!$BJ$15:$BJ$65, "",0),  F454="Sealant", _xlfn.XLOOKUP(C454, dd_accsrycalc!$A$2:$A$51, dd_accsrycalc!$G$2:$G$51, "",0),  F454&lt;&gt;"",L454*_xlfn.XLOOKUP(1, (SKUs!$C$2:$C$10001=G454)*(SKUs!$K$2:$K$10001=I454),SKUs!$E$2:$E$10001)), 0),"")</f>
        <v/>
      </c>
      <c r="E454" s="35" t="str">
        <f>_xlfn.XLOOKUP(F454,dd_item!$B$2:$B$105,dd_item!$C$2:$C$105,"",0)</f>
        <v/>
      </c>
      <c r="F454" s="35"/>
      <c r="G454" s="35" cm="1">
        <f t="array" ref="G454">IFERROR(_xlfn.XLOOKUP(1, (SKUs!$J$2:$J$10001=accsry_unmerged!F454)*IF(H454&lt;&gt;"",(SKUs!$L$2:$L$10001=accsry_unmerged!H454),1)*(SKUs!$K$2:$K$10001=I454),SKUs!$C$2:$C$10001),"")</f>
        <v>0</v>
      </c>
      <c r="H454" s="36" cm="1">
        <f t="array" ref="H454">IFERROR(_xlfn.XLOOKUP(1, (dd_accsryclr!$C$2:$C$1000=accsry_unmerged!F454)*(dd_accsryclr!$B$2:$B$1000=accsry_unmerged!J454),dd_accsryclr!$A$2:$A$1000),"")</f>
        <v>0</v>
      </c>
      <c r="I454" s="35">
        <f>_xlfn.XLOOKUP(C454,'Project Details'!$C$17:$C$66,'Project Details'!$E$17:$E$66,"",0)</f>
        <v>0</v>
      </c>
      <c r="J454" s="35">
        <f>_xlfn.XLOOKUP(C454,'Project Details'!$C$17:$C$66,'Project Details'!$H$17:$H$66,"",0)</f>
        <v>0</v>
      </c>
      <c r="K454" s="36" t="str">
        <f>IF(AND(_xlfn.XLOOKUP(C454,'Project Details'!$C$17:$C$66,'Project Details'!$L$17:$L$66,"",0)&gt;550, F454="Spring-L27cm"),"",SUBSTITUTE(_xlfn.XLOOKUP(G454,SKUs!$C$2:$C$10001,SKUs!$F$2:$F$10001,"",0), " Accessories",""))</f>
        <v/>
      </c>
      <c r="L454" s="36">
        <f>_xlfn.XLOOKUP(C454,'Project Details'!$C$17:$C$66,'Project Details'!$D$17:$D$66,"",0)</f>
        <v>0</v>
      </c>
      <c r="M454" s="43"/>
    </row>
    <row r="455" spans="1:13" ht="13.5" customHeight="1" outlineLevel="1" collapsed="1" x14ac:dyDescent="0.25">
      <c r="A455" s="43"/>
      <c r="B455" s="43"/>
      <c r="C455" s="16">
        <f t="shared" si="7"/>
        <v>9</v>
      </c>
      <c r="D455" s="16" t="str" cm="1">
        <f t="array" ref="D455">IFERROR(ROUNDUP(_xlfn.IFS(F455="Aluminum Track", _xlfn.XLOOKUP(C455, dd_accsrycalc!$A$2:$A$51, dd_accsrycalc!$B$2:$B$51, "",0), F455="10 x 2 1/2 S (Flat)", _xlfn.XLOOKUP(C455, dd_accsrycalc!$A$2:$A$51, dd_accsrycalc!$C$2:$C$51, "",0), F455="Tox6", _xlfn.XLOOKUP(C455, dd_accsrycalc!$A$2:$A$51, dd_accsrycalc!$D$2:$D$51, "",0), F455="Cover Cap", _xlfn.XLOOKUP(C455, dd_accsrycalc!$A$2:$A$51, dd_accsrycalc!$E$2:$E$51, "",0), F455="Drainage Cover", _xlfn.XLOOKUP(C455, dd_accsrycalc!$A$2:$A$51, dd_accsrycalc!$F$2:$F$51, "",0),AND( F455="Double Adhesive Tape", I455="Roll-up Screen"), _xlfn.XLOOKUP(C455, calc_rusacc!$C$15:$C$65, calc_rusacc!$AD$15:$AD$65, "",0),AND( F455="Sealant", I455="Roll-up Screen"), _xlfn.XLOOKUP(C455, calc_rusacc!$C$15:$C$65, calc_rusacc!$AF$15:$AF$65, "",0),  AND( F455="Main Chain", I455="Accordion Screen"), _xlfn.XLOOKUP(C455, calc_rusacc!$C$15:$C$65, calc_rusacc!$BF$15:$BF$65, "",0), AND( F455="Sealant", I455="Accordion Screen"), _xlfn.XLOOKUP(C455, calc_rusacc!$C$15:$C$65, calc_rusacc!$BJ$15:$BJ$65, "",0),  F455="Sealant", _xlfn.XLOOKUP(C455, dd_accsrycalc!$A$2:$A$51, dd_accsrycalc!$G$2:$G$51, "",0),  F455&lt;&gt;"",L455*_xlfn.XLOOKUP(1, (SKUs!$C$2:$C$10001=G455)*(SKUs!$K$2:$K$10001=I455),SKUs!$E$2:$E$10001)), 0),"")</f>
        <v/>
      </c>
      <c r="E455" s="16" t="str">
        <f>_xlfn.XLOOKUP(F455,dd_item!$B$2:$B$105,dd_item!$C$2:$C$105,"",0)</f>
        <v/>
      </c>
      <c r="F455" s="16"/>
      <c r="G455" s="16" cm="1">
        <f t="array" ref="G455">IFERROR(_xlfn.XLOOKUP(1, (SKUs!$J$2:$J$10001=accsry_unmerged!F455)*IF(H455&lt;&gt;"",(SKUs!$L$2:$L$10001=accsry_unmerged!H455),1)*(SKUs!$K$2:$K$10001=I455),SKUs!$C$2:$C$10001),"")</f>
        <v>0</v>
      </c>
      <c r="H455" s="33" cm="1">
        <f t="array" ref="H455">IFERROR(_xlfn.XLOOKUP(1, (dd_accsryclr!$C$2:$C$1000=accsry_unmerged!F455)*(dd_accsryclr!$B$2:$B$1000=accsry_unmerged!J455),dd_accsryclr!$A$2:$A$1000),"")</f>
        <v>0</v>
      </c>
      <c r="I455" s="16">
        <f>_xlfn.XLOOKUP(C455,'Project Details'!$C$17:$C$66,'Project Details'!$E$17:$E$66,"",0)</f>
        <v>0</v>
      </c>
      <c r="J455" s="16">
        <f>_xlfn.XLOOKUP(C455,'Project Details'!$C$17:$C$66,'Project Details'!$H$17:$H$66,"",0)</f>
        <v>0</v>
      </c>
      <c r="K455" s="33" t="str">
        <f>IF(AND(_xlfn.XLOOKUP(C455,'Project Details'!$C$17:$C$66,'Project Details'!$L$17:$L$66,"",0)&gt;550, F455="Spring-L27cm"),"",SUBSTITUTE(_xlfn.XLOOKUP(G455,SKUs!$C$2:$C$10001,SKUs!$F$2:$F$10001,"",0), " Accessories",""))</f>
        <v/>
      </c>
      <c r="L455" s="33">
        <f>_xlfn.XLOOKUP(C455,'Project Details'!$C$17:$C$66,'Project Details'!$D$17:$D$66,"",0)</f>
        <v>0</v>
      </c>
      <c r="M455" s="43"/>
    </row>
    <row r="456" spans="1:13" ht="13.5" customHeight="1" outlineLevel="1" x14ac:dyDescent="0.25">
      <c r="A456" s="43"/>
      <c r="B456" s="43"/>
      <c r="C456" s="35">
        <f t="shared" si="7"/>
        <v>9</v>
      </c>
      <c r="D456" s="35" t="str" cm="1">
        <f t="array" ref="D456">IFERROR(ROUNDUP(_xlfn.IFS(F456="Aluminum Track", _xlfn.XLOOKUP(C456, dd_accsrycalc!$A$2:$A$51, dd_accsrycalc!$B$2:$B$51, "",0), F456="10 x 2 1/2 S (Flat)", _xlfn.XLOOKUP(C456, dd_accsrycalc!$A$2:$A$51, dd_accsrycalc!$C$2:$C$51, "",0), F456="Tox6", _xlfn.XLOOKUP(C456, dd_accsrycalc!$A$2:$A$51, dd_accsrycalc!$D$2:$D$51, "",0), F456="Cover Cap", _xlfn.XLOOKUP(C456, dd_accsrycalc!$A$2:$A$51, dd_accsrycalc!$E$2:$E$51, "",0), F456="Drainage Cover", _xlfn.XLOOKUP(C456, dd_accsrycalc!$A$2:$A$51, dd_accsrycalc!$F$2:$F$51, "",0),AND( F456="Double Adhesive Tape", I456="Roll-up Screen"), _xlfn.XLOOKUP(C456, calc_rusacc!$C$15:$C$65, calc_rusacc!$AD$15:$AD$65, "",0),AND( F456="Sealant", I456="Roll-up Screen"), _xlfn.XLOOKUP(C456, calc_rusacc!$C$15:$C$65, calc_rusacc!$AF$15:$AF$65, "",0),  AND( F456="Main Chain", I456="Accordion Screen"), _xlfn.XLOOKUP(C456, calc_rusacc!$C$15:$C$65, calc_rusacc!$BF$15:$BF$65, "",0), AND( F456="Sealant", I456="Accordion Screen"), _xlfn.XLOOKUP(C456, calc_rusacc!$C$15:$C$65, calc_rusacc!$BJ$15:$BJ$65, "",0),  F456="Sealant", _xlfn.XLOOKUP(C456, dd_accsrycalc!$A$2:$A$51, dd_accsrycalc!$G$2:$G$51, "",0),  F456&lt;&gt;"",L456*_xlfn.XLOOKUP(1, (SKUs!$C$2:$C$10001=G456)*(SKUs!$K$2:$K$10001=I456),SKUs!$E$2:$E$10001)), 0),"")</f>
        <v/>
      </c>
      <c r="E456" s="35" t="str">
        <f>_xlfn.XLOOKUP(F456,dd_item!$B$2:$B$105,dd_item!$C$2:$C$105,"",0)</f>
        <v/>
      </c>
      <c r="F456" s="35"/>
      <c r="G456" s="35" cm="1">
        <f t="array" ref="G456">IFERROR(_xlfn.XLOOKUP(1, (SKUs!$J$2:$J$10001=accsry_unmerged!F456)*IF(H456&lt;&gt;"",(SKUs!$L$2:$L$10001=accsry_unmerged!H456),1)*(SKUs!$K$2:$K$10001=I456),SKUs!$C$2:$C$10001),"")</f>
        <v>0</v>
      </c>
      <c r="H456" s="36" cm="1">
        <f t="array" ref="H456">IFERROR(_xlfn.XLOOKUP(1, (dd_accsryclr!$C$2:$C$1000=accsry_unmerged!F456)*(dd_accsryclr!$B$2:$B$1000=accsry_unmerged!J456),dd_accsryclr!$A$2:$A$1000),"")</f>
        <v>0</v>
      </c>
      <c r="I456" s="35">
        <f>_xlfn.XLOOKUP(C456,'Project Details'!$C$17:$C$66,'Project Details'!$E$17:$E$66,"",0)</f>
        <v>0</v>
      </c>
      <c r="J456" s="35">
        <f>_xlfn.XLOOKUP(C456,'Project Details'!$C$17:$C$66,'Project Details'!$H$17:$H$66,"",0)</f>
        <v>0</v>
      </c>
      <c r="K456" s="36" t="str">
        <f>IF(AND(_xlfn.XLOOKUP(C456,'Project Details'!$C$17:$C$66,'Project Details'!$L$17:$L$66,"",0)&gt;550, F456="Spring-L27cm"),"",SUBSTITUTE(_xlfn.XLOOKUP(G456,SKUs!$C$2:$C$10001,SKUs!$F$2:$F$10001,"",0), " Accessories",""))</f>
        <v/>
      </c>
      <c r="L456" s="36">
        <f>_xlfn.XLOOKUP(C456,'Project Details'!$C$17:$C$66,'Project Details'!$D$17:$D$66,"",0)</f>
        <v>0</v>
      </c>
      <c r="M456" s="43"/>
    </row>
    <row r="457" spans="1:13" ht="13.5" customHeight="1" outlineLevel="1" x14ac:dyDescent="0.25">
      <c r="A457" s="43"/>
      <c r="B457" s="43"/>
      <c r="C457" s="16">
        <f t="shared" si="7"/>
        <v>9</v>
      </c>
      <c r="D457" s="16" t="str" cm="1">
        <f t="array" ref="D457">IFERROR(ROUNDUP(_xlfn.IFS(F457="Aluminum Track", _xlfn.XLOOKUP(C457, dd_accsrycalc!$A$2:$A$51, dd_accsrycalc!$B$2:$B$51, "",0), F457="10 x 2 1/2 S (Flat)", _xlfn.XLOOKUP(C457, dd_accsrycalc!$A$2:$A$51, dd_accsrycalc!$C$2:$C$51, "",0), F457="Tox6", _xlfn.XLOOKUP(C457, dd_accsrycalc!$A$2:$A$51, dd_accsrycalc!$D$2:$D$51, "",0), F457="Cover Cap", _xlfn.XLOOKUP(C457, dd_accsrycalc!$A$2:$A$51, dd_accsrycalc!$E$2:$E$51, "",0), F457="Drainage Cover", _xlfn.XLOOKUP(C457, dd_accsrycalc!$A$2:$A$51, dd_accsrycalc!$F$2:$F$51, "",0),AND( F457="Double Adhesive Tape", I457="Roll-up Screen"), _xlfn.XLOOKUP(C457, calc_rusacc!$C$15:$C$65, calc_rusacc!$AD$15:$AD$65, "",0),AND( F457="Sealant", I457="Roll-up Screen"), _xlfn.XLOOKUP(C457, calc_rusacc!$C$15:$C$65, calc_rusacc!$AF$15:$AF$65, "",0),  AND( F457="Main Chain", I457="Accordion Screen"), _xlfn.XLOOKUP(C457, calc_rusacc!$C$15:$C$65, calc_rusacc!$BF$15:$BF$65, "",0), AND( F457="Sealant", I457="Accordion Screen"), _xlfn.XLOOKUP(C457, calc_rusacc!$C$15:$C$65, calc_rusacc!$BJ$15:$BJ$65, "",0),  F457="Sealant", _xlfn.XLOOKUP(C457, dd_accsrycalc!$A$2:$A$51, dd_accsrycalc!$G$2:$G$51, "",0),  F457&lt;&gt;"",L457*_xlfn.XLOOKUP(1, (SKUs!$C$2:$C$10001=G457)*(SKUs!$K$2:$K$10001=I457),SKUs!$E$2:$E$10001)), 0),"")</f>
        <v/>
      </c>
      <c r="E457" s="16" t="str">
        <f>_xlfn.XLOOKUP(F457,dd_item!$B$2:$B$105,dd_item!$C$2:$C$105,"",0)</f>
        <v/>
      </c>
      <c r="F457" s="16"/>
      <c r="G457" s="16" cm="1">
        <f t="array" ref="G457">IFERROR(_xlfn.XLOOKUP(1, (SKUs!$J$2:$J$10001=accsry_unmerged!F457)*IF(H457&lt;&gt;"",(SKUs!$L$2:$L$10001=accsry_unmerged!H457),1)*(SKUs!$K$2:$K$10001=I457),SKUs!$C$2:$C$10001),"")</f>
        <v>0</v>
      </c>
      <c r="H457" s="33" cm="1">
        <f t="array" ref="H457">IFERROR(_xlfn.XLOOKUP(1, (dd_accsryclr!$C$2:$C$1000=accsry_unmerged!F457)*(dd_accsryclr!$B$2:$B$1000=accsry_unmerged!J457),dd_accsryclr!$A$2:$A$1000),"")</f>
        <v>0</v>
      </c>
      <c r="I457" s="16">
        <f>_xlfn.XLOOKUP(C457,'Project Details'!$C$17:$C$66,'Project Details'!$E$17:$E$66,"",0)</f>
        <v>0</v>
      </c>
      <c r="J457" s="16">
        <f>_xlfn.XLOOKUP(C457,'Project Details'!$C$17:$C$66,'Project Details'!$H$17:$H$66,"",0)</f>
        <v>0</v>
      </c>
      <c r="K457" s="33" t="str">
        <f>IF(AND(_xlfn.XLOOKUP(C457,'Project Details'!$C$17:$C$66,'Project Details'!$L$17:$L$66,"",0)&gt;550, F457="Spring-L27cm"),"",SUBSTITUTE(_xlfn.XLOOKUP(G457,SKUs!$C$2:$C$10001,SKUs!$F$2:$F$10001,"",0), " Accessories",""))</f>
        <v/>
      </c>
      <c r="L457" s="33">
        <f>_xlfn.XLOOKUP(C457,'Project Details'!$C$17:$C$66,'Project Details'!$D$17:$D$66,"",0)</f>
        <v>0</v>
      </c>
      <c r="M457" s="43"/>
    </row>
    <row r="458" spans="1:13" ht="13.5" customHeight="1" outlineLevel="1" x14ac:dyDescent="0.25">
      <c r="A458" s="43"/>
      <c r="B458" s="43"/>
      <c r="C458" s="35">
        <f t="shared" si="7"/>
        <v>9</v>
      </c>
      <c r="D458" s="35" t="str" cm="1">
        <f t="array" ref="D458">IFERROR(ROUNDUP(_xlfn.IFS(F458="Aluminum Track", _xlfn.XLOOKUP(C458, dd_accsrycalc!$A$2:$A$51, dd_accsrycalc!$B$2:$B$51, "",0), F458="10 x 2 1/2 S (Flat)", _xlfn.XLOOKUP(C458, dd_accsrycalc!$A$2:$A$51, dd_accsrycalc!$C$2:$C$51, "",0), F458="Tox6", _xlfn.XLOOKUP(C458, dd_accsrycalc!$A$2:$A$51, dd_accsrycalc!$D$2:$D$51, "",0), F458="Cover Cap", _xlfn.XLOOKUP(C458, dd_accsrycalc!$A$2:$A$51, dd_accsrycalc!$E$2:$E$51, "",0), F458="Drainage Cover", _xlfn.XLOOKUP(C458, dd_accsrycalc!$A$2:$A$51, dd_accsrycalc!$F$2:$F$51, "",0),AND( F458="Double Adhesive Tape", I458="Roll-up Screen"), _xlfn.XLOOKUP(C458, calc_rusacc!$C$15:$C$65, calc_rusacc!$AD$15:$AD$65, "",0),AND( F458="Sealant", I458="Roll-up Screen"), _xlfn.XLOOKUP(C458, calc_rusacc!$C$15:$C$65, calc_rusacc!$AF$15:$AF$65, "",0),  AND( F458="Main Chain", I458="Accordion Screen"), _xlfn.XLOOKUP(C458, calc_rusacc!$C$15:$C$65, calc_rusacc!$BF$15:$BF$65, "",0), AND( F458="Sealant", I458="Accordion Screen"), _xlfn.XLOOKUP(C458, calc_rusacc!$C$15:$C$65, calc_rusacc!$BJ$15:$BJ$65, "",0),  F458="Sealant", _xlfn.XLOOKUP(C458, dd_accsrycalc!$A$2:$A$51, dd_accsrycalc!$G$2:$G$51, "",0),  F458&lt;&gt;"",L458*_xlfn.XLOOKUP(1, (SKUs!$C$2:$C$10001=G458)*(SKUs!$K$2:$K$10001=I458),SKUs!$E$2:$E$10001)), 0),"")</f>
        <v/>
      </c>
      <c r="E458" s="35" t="str">
        <f>_xlfn.XLOOKUP(F458,dd_item!$B$2:$B$105,dd_item!$C$2:$C$105,"",0)</f>
        <v/>
      </c>
      <c r="F458" s="35"/>
      <c r="G458" s="35" cm="1">
        <f t="array" ref="G458">IFERROR(_xlfn.XLOOKUP(1, (SKUs!$J$2:$J$10001=accsry_unmerged!F458)*IF(H458&lt;&gt;"",(SKUs!$L$2:$L$10001=accsry_unmerged!H458),1)*(SKUs!$K$2:$K$10001=I458),SKUs!$C$2:$C$10001),"")</f>
        <v>0</v>
      </c>
      <c r="H458" s="36" cm="1">
        <f t="array" ref="H458">IFERROR(_xlfn.XLOOKUP(1, (dd_accsryclr!$C$2:$C$1000=accsry_unmerged!F458)*(dd_accsryclr!$B$2:$B$1000=accsry_unmerged!J458),dd_accsryclr!$A$2:$A$1000),"")</f>
        <v>0</v>
      </c>
      <c r="I458" s="35">
        <f>_xlfn.XLOOKUP(C458,'Project Details'!$C$17:$C$66,'Project Details'!$E$17:$E$66,"",0)</f>
        <v>0</v>
      </c>
      <c r="J458" s="35">
        <f>_xlfn.XLOOKUP(C458,'Project Details'!$C$17:$C$66,'Project Details'!$H$17:$H$66,"",0)</f>
        <v>0</v>
      </c>
      <c r="K458" s="36" t="str">
        <f>IF(AND(_xlfn.XLOOKUP(C458,'Project Details'!$C$17:$C$66,'Project Details'!$L$17:$L$66,"",0)&gt;550, F458="Spring-L27cm"),"",SUBSTITUTE(_xlfn.XLOOKUP(G458,SKUs!$C$2:$C$10001,SKUs!$F$2:$F$10001,"",0), " Accessories",""))</f>
        <v/>
      </c>
      <c r="L458" s="36">
        <f>_xlfn.XLOOKUP(C458,'Project Details'!$C$17:$C$66,'Project Details'!$D$17:$D$66,"",0)</f>
        <v>0</v>
      </c>
      <c r="M458" s="43"/>
    </row>
    <row r="459" spans="1:13" ht="13.5" customHeight="1" outlineLevel="1" x14ac:dyDescent="0.25">
      <c r="A459" s="43"/>
      <c r="B459" s="43"/>
      <c r="C459" s="16">
        <f t="shared" si="7"/>
        <v>9</v>
      </c>
      <c r="D459" s="16" t="str" cm="1">
        <f t="array" ref="D459">IFERROR(ROUNDUP(_xlfn.IFS(F459="Aluminum Track", _xlfn.XLOOKUP(C459, dd_accsrycalc!$A$2:$A$51, dd_accsrycalc!$B$2:$B$51, "",0), F459="10 x 2 1/2 S (Flat)", _xlfn.XLOOKUP(C459, dd_accsrycalc!$A$2:$A$51, dd_accsrycalc!$C$2:$C$51, "",0), F459="Tox6", _xlfn.XLOOKUP(C459, dd_accsrycalc!$A$2:$A$51, dd_accsrycalc!$D$2:$D$51, "",0), F459="Cover Cap", _xlfn.XLOOKUP(C459, dd_accsrycalc!$A$2:$A$51, dd_accsrycalc!$E$2:$E$51, "",0), F459="Drainage Cover", _xlfn.XLOOKUP(C459, dd_accsrycalc!$A$2:$A$51, dd_accsrycalc!$F$2:$F$51, "",0),AND( F459="Double Adhesive Tape", I459="Roll-up Screen"), _xlfn.XLOOKUP(C459, calc_rusacc!$C$15:$C$65, calc_rusacc!$AD$15:$AD$65, "",0),AND( F459="Sealant", I459="Roll-up Screen"), _xlfn.XLOOKUP(C459, calc_rusacc!$C$15:$C$65, calc_rusacc!$AF$15:$AF$65, "",0),  AND( F459="Main Chain", I459="Accordion Screen"), _xlfn.XLOOKUP(C459, calc_rusacc!$C$15:$C$65, calc_rusacc!$BF$15:$BF$65, "",0), AND( F459="Sealant", I459="Accordion Screen"), _xlfn.XLOOKUP(C459, calc_rusacc!$C$15:$C$65, calc_rusacc!$BJ$15:$BJ$65, "",0),  F459="Sealant", _xlfn.XLOOKUP(C459, dd_accsrycalc!$A$2:$A$51, dd_accsrycalc!$G$2:$G$51, "",0),  F459&lt;&gt;"",L459*_xlfn.XLOOKUP(1, (SKUs!$C$2:$C$10001=G459)*(SKUs!$K$2:$K$10001=I459),SKUs!$E$2:$E$10001)), 0),"")</f>
        <v/>
      </c>
      <c r="E459" s="16" t="str">
        <f>_xlfn.XLOOKUP(F459,dd_item!$B$2:$B$105,dd_item!$C$2:$C$105,"",0)</f>
        <v/>
      </c>
      <c r="F459" s="16"/>
      <c r="G459" s="16" cm="1">
        <f t="array" ref="G459">IFERROR(_xlfn.XLOOKUP(1, (SKUs!$J$2:$J$10001=accsry_unmerged!F459)*IF(H459&lt;&gt;"",(SKUs!$L$2:$L$10001=accsry_unmerged!H459),1)*(SKUs!$K$2:$K$10001=I459),SKUs!$C$2:$C$10001),"")</f>
        <v>0</v>
      </c>
      <c r="H459" s="33" cm="1">
        <f t="array" ref="H459">IFERROR(_xlfn.XLOOKUP(1, (dd_accsryclr!$C$2:$C$1000=accsry_unmerged!F459)*(dd_accsryclr!$B$2:$B$1000=accsry_unmerged!J459),dd_accsryclr!$A$2:$A$1000),"")</f>
        <v>0</v>
      </c>
      <c r="I459" s="16">
        <f>_xlfn.XLOOKUP(C459,'Project Details'!$C$17:$C$66,'Project Details'!$E$17:$E$66,"",0)</f>
        <v>0</v>
      </c>
      <c r="J459" s="16">
        <f>_xlfn.XLOOKUP(C459,'Project Details'!$C$17:$C$66,'Project Details'!$H$17:$H$66,"",0)</f>
        <v>0</v>
      </c>
      <c r="K459" s="33" t="str">
        <f>IF(AND(_xlfn.XLOOKUP(C459,'Project Details'!$C$17:$C$66,'Project Details'!$L$17:$L$66,"",0)&gt;550, F459="Spring-L27cm"),"",SUBSTITUTE(_xlfn.XLOOKUP(G459,SKUs!$C$2:$C$10001,SKUs!$F$2:$F$10001,"",0), " Accessories",""))</f>
        <v/>
      </c>
      <c r="L459" s="33">
        <f>_xlfn.XLOOKUP(C459,'Project Details'!$C$17:$C$66,'Project Details'!$D$17:$D$66,"",0)</f>
        <v>0</v>
      </c>
      <c r="M459" s="43"/>
    </row>
    <row r="460" spans="1:13" ht="13.5" customHeight="1" outlineLevel="1" x14ac:dyDescent="0.25">
      <c r="A460" s="43"/>
      <c r="B460" s="43"/>
      <c r="C460" s="35">
        <f t="shared" si="7"/>
        <v>9</v>
      </c>
      <c r="D460" s="35" t="str" cm="1">
        <f t="array" ref="D460">IFERROR(ROUNDUP(_xlfn.IFS(F460="Aluminum Track", _xlfn.XLOOKUP(C460, dd_accsrycalc!$A$2:$A$51, dd_accsrycalc!$B$2:$B$51, "",0), F460="10 x 2 1/2 S (Flat)", _xlfn.XLOOKUP(C460, dd_accsrycalc!$A$2:$A$51, dd_accsrycalc!$C$2:$C$51, "",0), F460="Tox6", _xlfn.XLOOKUP(C460, dd_accsrycalc!$A$2:$A$51, dd_accsrycalc!$D$2:$D$51, "",0), F460="Cover Cap", _xlfn.XLOOKUP(C460, dd_accsrycalc!$A$2:$A$51, dd_accsrycalc!$E$2:$E$51, "",0), F460="Drainage Cover", _xlfn.XLOOKUP(C460, dd_accsrycalc!$A$2:$A$51, dd_accsrycalc!$F$2:$F$51, "",0),AND( F460="Double Adhesive Tape", I460="Roll-up Screen"), _xlfn.XLOOKUP(C460, calc_rusacc!$C$15:$C$65, calc_rusacc!$AD$15:$AD$65, "",0),AND( F460="Sealant", I460="Roll-up Screen"), _xlfn.XLOOKUP(C460, calc_rusacc!$C$15:$C$65, calc_rusacc!$AF$15:$AF$65, "",0),  AND( F460="Main Chain", I460="Accordion Screen"), _xlfn.XLOOKUP(C460, calc_rusacc!$C$15:$C$65, calc_rusacc!$BF$15:$BF$65, "",0), AND( F460="Sealant", I460="Accordion Screen"), _xlfn.XLOOKUP(C460, calc_rusacc!$C$15:$C$65, calc_rusacc!$BJ$15:$BJ$65, "",0),  F460="Sealant", _xlfn.XLOOKUP(C460, dd_accsrycalc!$A$2:$A$51, dd_accsrycalc!$G$2:$G$51, "",0),  F460&lt;&gt;"",L460*_xlfn.XLOOKUP(1, (SKUs!$C$2:$C$10001=G460)*(SKUs!$K$2:$K$10001=I460),SKUs!$E$2:$E$10001)), 0),"")</f>
        <v/>
      </c>
      <c r="E460" s="35" t="str">
        <f>_xlfn.XLOOKUP(F460,dd_item!$B$2:$B$105,dd_item!$C$2:$C$105,"",0)</f>
        <v/>
      </c>
      <c r="F460" s="35"/>
      <c r="G460" s="35" cm="1">
        <f t="array" ref="G460">IFERROR(_xlfn.XLOOKUP(1, (SKUs!$J$2:$J$10001=accsry_unmerged!F460)*IF(H460&lt;&gt;"",(SKUs!$L$2:$L$10001=accsry_unmerged!H460),1)*(SKUs!$K$2:$K$10001=I460),SKUs!$C$2:$C$10001),"")</f>
        <v>0</v>
      </c>
      <c r="H460" s="36" cm="1">
        <f t="array" ref="H460">IFERROR(_xlfn.XLOOKUP(1, (dd_accsryclr!$C$2:$C$1000=accsry_unmerged!F460)*(dd_accsryclr!$B$2:$B$1000=accsry_unmerged!J460),dd_accsryclr!$A$2:$A$1000),"")</f>
        <v>0</v>
      </c>
      <c r="I460" s="35">
        <f>_xlfn.XLOOKUP(C460,'Project Details'!$C$17:$C$66,'Project Details'!$E$17:$E$66,"",0)</f>
        <v>0</v>
      </c>
      <c r="J460" s="35">
        <f>_xlfn.XLOOKUP(C460,'Project Details'!$C$17:$C$66,'Project Details'!$H$17:$H$66,"",0)</f>
        <v>0</v>
      </c>
      <c r="K460" s="36" t="str">
        <f>IF(AND(_xlfn.XLOOKUP(C460,'Project Details'!$C$17:$C$66,'Project Details'!$L$17:$L$66,"",0)&gt;550, F460="Spring-L27cm"),"",SUBSTITUTE(_xlfn.XLOOKUP(G460,SKUs!$C$2:$C$10001,SKUs!$F$2:$F$10001,"",0), " Accessories",""))</f>
        <v/>
      </c>
      <c r="L460" s="36">
        <f>_xlfn.XLOOKUP(C460,'Project Details'!$C$17:$C$66,'Project Details'!$D$17:$D$66,"",0)</f>
        <v>0</v>
      </c>
      <c r="M460" s="43"/>
    </row>
    <row r="461" spans="1:13" ht="13.5" customHeight="1" outlineLevel="1" x14ac:dyDescent="0.25">
      <c r="A461" s="43"/>
      <c r="B461" s="43"/>
      <c r="C461" s="16">
        <f t="shared" si="7"/>
        <v>9</v>
      </c>
      <c r="D461" s="16" t="str" cm="1">
        <f t="array" ref="D461">IFERROR(ROUNDUP(_xlfn.IFS(F461="Aluminum Track", _xlfn.XLOOKUP(C461, dd_accsrycalc!$A$2:$A$51, dd_accsrycalc!$B$2:$B$51, "",0), F461="10 x 2 1/2 S (Flat)", _xlfn.XLOOKUP(C461, dd_accsrycalc!$A$2:$A$51, dd_accsrycalc!$C$2:$C$51, "",0), F461="Tox6", _xlfn.XLOOKUP(C461, dd_accsrycalc!$A$2:$A$51, dd_accsrycalc!$D$2:$D$51, "",0), F461="Cover Cap", _xlfn.XLOOKUP(C461, dd_accsrycalc!$A$2:$A$51, dd_accsrycalc!$E$2:$E$51, "",0), F461="Drainage Cover", _xlfn.XLOOKUP(C461, dd_accsrycalc!$A$2:$A$51, dd_accsrycalc!$F$2:$F$51, "",0),AND( F461="Double Adhesive Tape", I461="Roll-up Screen"), _xlfn.XLOOKUP(C461, calc_rusacc!$C$15:$C$65, calc_rusacc!$AD$15:$AD$65, "",0),AND( F461="Sealant", I461="Roll-up Screen"), _xlfn.XLOOKUP(C461, calc_rusacc!$C$15:$C$65, calc_rusacc!$AF$15:$AF$65, "",0),  AND( F461="Main Chain", I461="Accordion Screen"), _xlfn.XLOOKUP(C461, calc_rusacc!$C$15:$C$65, calc_rusacc!$BF$15:$BF$65, "",0), AND( F461="Sealant", I461="Accordion Screen"), _xlfn.XLOOKUP(C461, calc_rusacc!$C$15:$C$65, calc_rusacc!$BJ$15:$BJ$65, "",0),  F461="Sealant", _xlfn.XLOOKUP(C461, dd_accsrycalc!$A$2:$A$51, dd_accsrycalc!$G$2:$G$51, "",0),  F461&lt;&gt;"",L461*_xlfn.XLOOKUP(1, (SKUs!$C$2:$C$10001=G461)*(SKUs!$K$2:$K$10001=I461),SKUs!$E$2:$E$10001)), 0),"")</f>
        <v/>
      </c>
      <c r="E461" s="16" t="str">
        <f>_xlfn.XLOOKUP(F461,dd_item!$B$2:$B$105,dd_item!$C$2:$C$105,"",0)</f>
        <v/>
      </c>
      <c r="F461" s="16"/>
      <c r="G461" s="16" cm="1">
        <f t="array" ref="G461">IFERROR(_xlfn.XLOOKUP(1, (SKUs!$J$2:$J$10001=accsry_unmerged!F461)*IF(H461&lt;&gt;"",(SKUs!$L$2:$L$10001=accsry_unmerged!H461),1)*(SKUs!$K$2:$K$10001=I461),SKUs!$C$2:$C$10001),"")</f>
        <v>0</v>
      </c>
      <c r="H461" s="33" cm="1">
        <f t="array" ref="H461">IFERROR(_xlfn.XLOOKUP(1, (dd_accsryclr!$C$2:$C$1000=accsry_unmerged!F461)*(dd_accsryclr!$B$2:$B$1000=accsry_unmerged!J461),dd_accsryclr!$A$2:$A$1000),"")</f>
        <v>0</v>
      </c>
      <c r="I461" s="16">
        <f>_xlfn.XLOOKUP(C461,'Project Details'!$C$17:$C$66,'Project Details'!$E$17:$E$66,"",0)</f>
        <v>0</v>
      </c>
      <c r="J461" s="16">
        <f>_xlfn.XLOOKUP(C461,'Project Details'!$C$17:$C$66,'Project Details'!$H$17:$H$66,"",0)</f>
        <v>0</v>
      </c>
      <c r="K461" s="33" t="str">
        <f>IF(AND(_xlfn.XLOOKUP(C461,'Project Details'!$C$17:$C$66,'Project Details'!$L$17:$L$66,"",0)&gt;550, F461="Spring-L27cm"),"",SUBSTITUTE(_xlfn.XLOOKUP(G461,SKUs!$C$2:$C$10001,SKUs!$F$2:$F$10001,"",0), " Accessories",""))</f>
        <v/>
      </c>
      <c r="L461" s="33">
        <f>_xlfn.XLOOKUP(C461,'Project Details'!$C$17:$C$66,'Project Details'!$D$17:$D$66,"",0)</f>
        <v>0</v>
      </c>
      <c r="M461" s="43"/>
    </row>
    <row r="462" spans="1:13" ht="13.5" customHeight="1" outlineLevel="1" x14ac:dyDescent="0.25">
      <c r="A462" s="43"/>
      <c r="B462" s="43"/>
      <c r="C462" s="35">
        <f t="shared" si="7"/>
        <v>9</v>
      </c>
      <c r="D462" s="35" t="str" cm="1">
        <f t="array" ref="D462">IFERROR(ROUNDUP(_xlfn.IFS(F462="Aluminum Track", _xlfn.XLOOKUP(C462, dd_accsrycalc!$A$2:$A$51, dd_accsrycalc!$B$2:$B$51, "",0), F462="10 x 2 1/2 S (Flat)", _xlfn.XLOOKUP(C462, dd_accsrycalc!$A$2:$A$51, dd_accsrycalc!$C$2:$C$51, "",0), F462="Tox6", _xlfn.XLOOKUP(C462, dd_accsrycalc!$A$2:$A$51, dd_accsrycalc!$D$2:$D$51, "",0), F462="Cover Cap", _xlfn.XLOOKUP(C462, dd_accsrycalc!$A$2:$A$51, dd_accsrycalc!$E$2:$E$51, "",0), F462="Drainage Cover", _xlfn.XLOOKUP(C462, dd_accsrycalc!$A$2:$A$51, dd_accsrycalc!$F$2:$F$51, "",0),AND( F462="Double Adhesive Tape", I462="Roll-up Screen"), _xlfn.XLOOKUP(C462, calc_rusacc!$C$15:$C$65, calc_rusacc!$AD$15:$AD$65, "",0),AND( F462="Sealant", I462="Roll-up Screen"), _xlfn.XLOOKUP(C462, calc_rusacc!$C$15:$C$65, calc_rusacc!$AF$15:$AF$65, "",0),  AND( F462="Main Chain", I462="Accordion Screen"), _xlfn.XLOOKUP(C462, calc_rusacc!$C$15:$C$65, calc_rusacc!$BF$15:$BF$65, "",0), AND( F462="Sealant", I462="Accordion Screen"), _xlfn.XLOOKUP(C462, calc_rusacc!$C$15:$C$65, calc_rusacc!$BJ$15:$BJ$65, "",0),  F462="Sealant", _xlfn.XLOOKUP(C462, dd_accsrycalc!$A$2:$A$51, dd_accsrycalc!$G$2:$G$51, "",0),  F462&lt;&gt;"",L462*_xlfn.XLOOKUP(1, (SKUs!$C$2:$C$10001=G462)*(SKUs!$K$2:$K$10001=I462),SKUs!$E$2:$E$10001)), 0),"")</f>
        <v/>
      </c>
      <c r="E462" s="35" t="str">
        <f>_xlfn.XLOOKUP(F462,dd_item!$B$2:$B$105,dd_item!$C$2:$C$105,"",0)</f>
        <v/>
      </c>
      <c r="F462" s="35"/>
      <c r="G462" s="35" cm="1">
        <f t="array" ref="G462">IFERROR(_xlfn.XLOOKUP(1, (SKUs!$J$2:$J$10001=accsry_unmerged!F462)*IF(H462&lt;&gt;"",(SKUs!$L$2:$L$10001=accsry_unmerged!H462),1)*(SKUs!$K$2:$K$10001=I462),SKUs!$C$2:$C$10001),"")</f>
        <v>0</v>
      </c>
      <c r="H462" s="36" cm="1">
        <f t="array" ref="H462">IFERROR(_xlfn.XLOOKUP(1, (dd_accsryclr!$C$2:$C$1000=accsry_unmerged!F462)*(dd_accsryclr!$B$2:$B$1000=accsry_unmerged!J462),dd_accsryclr!$A$2:$A$1000),"")</f>
        <v>0</v>
      </c>
      <c r="I462" s="35">
        <f>_xlfn.XLOOKUP(C462,'Project Details'!$C$17:$C$66,'Project Details'!$E$17:$E$66,"",0)</f>
        <v>0</v>
      </c>
      <c r="J462" s="35">
        <f>_xlfn.XLOOKUP(C462,'Project Details'!$C$17:$C$66,'Project Details'!$H$17:$H$66,"",0)</f>
        <v>0</v>
      </c>
      <c r="K462" s="36" t="str">
        <f>IF(AND(_xlfn.XLOOKUP(C462,'Project Details'!$C$17:$C$66,'Project Details'!$L$17:$L$66,"",0)&gt;550, F462="Spring-L27cm"),"",SUBSTITUTE(_xlfn.XLOOKUP(G462,SKUs!$C$2:$C$10001,SKUs!$F$2:$F$10001,"",0), " Accessories",""))</f>
        <v/>
      </c>
      <c r="L462" s="36">
        <f>_xlfn.XLOOKUP(C462,'Project Details'!$C$17:$C$66,'Project Details'!$D$17:$D$66,"",0)</f>
        <v>0</v>
      </c>
      <c r="M462" s="43"/>
    </row>
    <row r="463" spans="1:13" ht="13.5" customHeight="1" outlineLevel="1" x14ac:dyDescent="0.25">
      <c r="A463" s="43"/>
      <c r="B463" s="43"/>
      <c r="C463" s="16">
        <f t="shared" si="7"/>
        <v>9</v>
      </c>
      <c r="D463" s="16" t="str" cm="1">
        <f t="array" ref="D463">IFERROR(ROUNDUP(_xlfn.IFS(F463="Aluminum Track", _xlfn.XLOOKUP(C463, dd_accsrycalc!$A$2:$A$51, dd_accsrycalc!$B$2:$B$51, "",0), F463="10 x 2 1/2 S (Flat)", _xlfn.XLOOKUP(C463, dd_accsrycalc!$A$2:$A$51, dd_accsrycalc!$C$2:$C$51, "",0), F463="Tox6", _xlfn.XLOOKUP(C463, dd_accsrycalc!$A$2:$A$51, dd_accsrycalc!$D$2:$D$51, "",0), F463="Cover Cap", _xlfn.XLOOKUP(C463, dd_accsrycalc!$A$2:$A$51, dd_accsrycalc!$E$2:$E$51, "",0), F463="Drainage Cover", _xlfn.XLOOKUP(C463, dd_accsrycalc!$A$2:$A$51, dd_accsrycalc!$F$2:$F$51, "",0),AND( F463="Double Adhesive Tape", I463="Roll-up Screen"), _xlfn.XLOOKUP(C463, calc_rusacc!$C$15:$C$65, calc_rusacc!$AD$15:$AD$65, "",0),AND( F463="Sealant", I463="Roll-up Screen"), _xlfn.XLOOKUP(C463, calc_rusacc!$C$15:$C$65, calc_rusacc!$AF$15:$AF$65, "",0),  AND( F463="Main Chain", I463="Accordion Screen"), _xlfn.XLOOKUP(C463, calc_rusacc!$C$15:$C$65, calc_rusacc!$BF$15:$BF$65, "",0), AND( F463="Sealant", I463="Accordion Screen"), _xlfn.XLOOKUP(C463, calc_rusacc!$C$15:$C$65, calc_rusacc!$BJ$15:$BJ$65, "",0),  F463="Sealant", _xlfn.XLOOKUP(C463, dd_accsrycalc!$A$2:$A$51, dd_accsrycalc!$G$2:$G$51, "",0),  F463&lt;&gt;"",L463*_xlfn.XLOOKUP(1, (SKUs!$C$2:$C$10001=G463)*(SKUs!$K$2:$K$10001=I463),SKUs!$E$2:$E$10001)), 0),"")</f>
        <v/>
      </c>
      <c r="E463" s="16" t="str">
        <f>_xlfn.XLOOKUP(F463,dd_item!$B$2:$B$105,dd_item!$C$2:$C$105,"",0)</f>
        <v/>
      </c>
      <c r="F463" s="16"/>
      <c r="G463" s="16" cm="1">
        <f t="array" ref="G463">IFERROR(_xlfn.XLOOKUP(1, (SKUs!$J$2:$J$10001=accsry_unmerged!F463)*IF(H463&lt;&gt;"",(SKUs!$L$2:$L$10001=accsry_unmerged!H463),1)*(SKUs!$K$2:$K$10001=I463),SKUs!$C$2:$C$10001),"")</f>
        <v>0</v>
      </c>
      <c r="H463" s="33" cm="1">
        <f t="array" ref="H463">IFERROR(_xlfn.XLOOKUP(1, (dd_accsryclr!$C$2:$C$1000=accsry_unmerged!F463)*(dd_accsryclr!$B$2:$B$1000=accsry_unmerged!J463),dd_accsryclr!$A$2:$A$1000),"")</f>
        <v>0</v>
      </c>
      <c r="I463" s="16">
        <f>_xlfn.XLOOKUP(C463,'Project Details'!$C$17:$C$66,'Project Details'!$E$17:$E$66,"",0)</f>
        <v>0</v>
      </c>
      <c r="J463" s="16">
        <f>_xlfn.XLOOKUP(C463,'Project Details'!$C$17:$C$66,'Project Details'!$H$17:$H$66,"",0)</f>
        <v>0</v>
      </c>
      <c r="K463" s="33" t="str">
        <f>IF(AND(_xlfn.XLOOKUP(C463,'Project Details'!$C$17:$C$66,'Project Details'!$L$17:$L$66,"",0)&gt;550, F463="Spring-L27cm"),"",SUBSTITUTE(_xlfn.XLOOKUP(G463,SKUs!$C$2:$C$10001,SKUs!$F$2:$F$10001,"",0), " Accessories",""))</f>
        <v/>
      </c>
      <c r="L463" s="33">
        <f>_xlfn.XLOOKUP(C463,'Project Details'!$C$17:$C$66,'Project Details'!$D$17:$D$66,"",0)</f>
        <v>0</v>
      </c>
      <c r="M463" s="43"/>
    </row>
    <row r="464" spans="1:13" x14ac:dyDescent="0.25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</row>
    <row r="465" spans="1:13" x14ac:dyDescent="0.25">
      <c r="A465" s="43"/>
      <c r="B465" s="43"/>
      <c r="C465" s="16">
        <f>C463+1</f>
        <v>10</v>
      </c>
      <c r="D465" s="48" cm="1">
        <f t="array" ref="D465">IFERROR(ROUNDUP(_xlfn.IFS(F465="Aluminum Track", _xlfn.XLOOKUP(C465, dd_accsrycalc!$A$2:$A$51, dd_accsrycalc!$B$2:$B$51, "",0), F465="10 x 2 1/2 S (Flat)", _xlfn.XLOOKUP(C465, dd_accsrycalc!$A$2:$A$51, dd_accsrycalc!$C$2:$C$51, "",0), F465="Tox6", _xlfn.XLOOKUP(C465, dd_accsrycalc!$A$2:$A$51, dd_accsrycalc!$D$2:$D$51, "",0), F465="Cover Cap", _xlfn.XLOOKUP(C465, dd_accsrycalc!$A$2:$A$51, dd_accsrycalc!$E$2:$E$51, "",0), F465="Drainage Cover", _xlfn.XLOOKUP(C465, dd_accsrycalc!$A$2:$A$51, dd_accsrycalc!$F$2:$F$51, "",0),AND( F465="Double Adhesive Tape", I465="Roll-up Screen"), _xlfn.XLOOKUP(C465, calc_rusacc!$C$15:$C$65, calc_rusacc!$AD$15:$AD$65, "",0),AND( F465="Sealant", I465="Roll-up Screen"), _xlfn.XLOOKUP(C465, calc_rusacc!$C$15:$C$65, calc_rusacc!$AF$15:$AF$65, "",0),  AND( F465="Main Chain", I465="Accordion Screen"), _xlfn.XLOOKUP(C465, calc_rusacc!$C$15:$C$65, calc_rusacc!$BF$15:$BF$65, "",0), AND( F465="Sealant", I465="Accordion Screen"), _xlfn.XLOOKUP(C465, calc_rusacc!$C$15:$C$65, calc_rusacc!$BJ$15:$BJ$65, "",0),  F465="Sealant", _xlfn.XLOOKUP(C465, dd_accsrycalc!$A$2:$A$51, dd_accsrycalc!$G$2:$G$51, "",0),  F465&lt;&gt;"",L465*_xlfn.XLOOKUP(1, (SKUs!$C$2:$C$10001=G465)*(SKUs!$K$2:$K$10001=I465),SKUs!$E$2:$E$10001)), 0),"")</f>
        <v>0</v>
      </c>
      <c r="E465" s="48" t="str">
        <f>_xlfn.XLOOKUP(F465,dd_item!$B$2:$B$105,dd_item!$C$2:$C$105,"",0)</f>
        <v/>
      </c>
      <c r="F465" s="48" cm="1">
        <f t="array" ref="F465">IFERROR(_xlfn.UNIQUE(_xlfn._xlws.FILTER(SKUs!$J$2:$J$10001, (SKUs!$F$2:$F$10001&lt;&gt;"Cutting List") * (SKUs!$A$2:$A$10001=_xlfn.XLOOKUP(_xlfn.XLOOKUP(C465,'Project Details'!$C$17:$C$66,'Project Details'!$E$17:$E$66,"",0), dd_design_raw!$A$2:$A$101,dd_design_raw!$C$2:$C$101,"",0)))), "")</f>
        <v>0</v>
      </c>
      <c r="G465" s="16" cm="1">
        <f t="array" ref="G465">IFERROR(_xlfn.XLOOKUP(1, (SKUs!$J$2:$J$10001=accsry_unmerged!F465)*IF(H465&lt;&gt;"",(SKUs!$L$2:$L$10001=accsry_unmerged!H465),1)*(SKUs!$K$2:$K$10001=I465),SKUs!$C$2:$C$10001),"")</f>
        <v>0</v>
      </c>
      <c r="H465" s="16" cm="1">
        <f t="array" ref="H465">IFERROR(_xlfn.XLOOKUP(1, (dd_accsryclr!$C$2:$C$1000=accsry_unmerged!F465)*(dd_accsryclr!$B$2:$B$1000=accsry_unmerged!J465),dd_accsryclr!$A$2:$A$1000),"")</f>
        <v>0</v>
      </c>
      <c r="I465" s="16">
        <f>_xlfn.XLOOKUP(C465,'Project Details'!$C$17:$C$66,'Project Details'!$E$17:$E$66,"",0)</f>
        <v>0</v>
      </c>
      <c r="J465" s="16">
        <f>_xlfn.XLOOKUP(C465,'Project Details'!$C$17:$C$66,'Project Details'!$H$17:$H$66,"",0)</f>
        <v>0</v>
      </c>
      <c r="K465" s="16" t="str">
        <f>IF(AND(_xlfn.XLOOKUP(C465,'Project Details'!$C$17:$C$66,'Project Details'!$L$17:$L$66,"",0)&gt;550, F465="Spring-L27cm"),"",SUBSTITUTE(_xlfn.XLOOKUP(G465,SKUs!$C$2:$C$10001,SKUs!$F$2:$F$10001,"",0), " Accessories",""))</f>
        <v/>
      </c>
      <c r="L465" s="16">
        <f>_xlfn.XLOOKUP(C465,'Project Details'!$C$17:$C$66,'Project Details'!$D$17:$D$66,"",0)</f>
        <v>0</v>
      </c>
      <c r="M465" s="43"/>
    </row>
    <row r="466" spans="1:13" x14ac:dyDescent="0.25">
      <c r="A466" s="43"/>
      <c r="B466" s="43"/>
      <c r="C466" s="35">
        <f>C465</f>
        <v>10</v>
      </c>
      <c r="D466" s="35" t="str" cm="1">
        <f t="array" ref="D466">IFERROR(ROUNDUP(_xlfn.IFS(F466="Aluminum Track", _xlfn.XLOOKUP(C466, dd_accsrycalc!$A$2:$A$51, dd_accsrycalc!$B$2:$B$51, "",0), F466="10 x 2 1/2 S (Flat)", _xlfn.XLOOKUP(C466, dd_accsrycalc!$A$2:$A$51, dd_accsrycalc!$C$2:$C$51, "",0), F466="Tox6", _xlfn.XLOOKUP(C466, dd_accsrycalc!$A$2:$A$51, dd_accsrycalc!$D$2:$D$51, "",0), F466="Cover Cap", _xlfn.XLOOKUP(C466, dd_accsrycalc!$A$2:$A$51, dd_accsrycalc!$E$2:$E$51, "",0), F466="Drainage Cover", _xlfn.XLOOKUP(C466, dd_accsrycalc!$A$2:$A$51, dd_accsrycalc!$F$2:$F$51, "",0),AND( F466="Double Adhesive Tape", I466="Roll-up Screen"), _xlfn.XLOOKUP(C466, calc_rusacc!$C$15:$C$65, calc_rusacc!$AD$15:$AD$65, "",0),AND( F466="Sealant", I466="Roll-up Screen"), _xlfn.XLOOKUP(C466, calc_rusacc!$C$15:$C$65, calc_rusacc!$AF$15:$AF$65, "",0),  AND( F466="Main Chain", I466="Accordion Screen"), _xlfn.XLOOKUP(C466, calc_rusacc!$C$15:$C$65, calc_rusacc!$BF$15:$BF$65, "",0), AND( F466="Sealant", I466="Accordion Screen"), _xlfn.XLOOKUP(C466, calc_rusacc!$C$15:$C$65, calc_rusacc!$BJ$15:$BJ$65, "",0),  F466="Sealant", _xlfn.XLOOKUP(C466, dd_accsrycalc!$A$2:$A$51, dd_accsrycalc!$G$2:$G$51, "",0),  F466&lt;&gt;"",L466*_xlfn.XLOOKUP(1, (SKUs!$C$2:$C$10001=G466)*(SKUs!$K$2:$K$10001=I466),SKUs!$E$2:$E$10001)), 0),"")</f>
        <v/>
      </c>
      <c r="E466" s="35" t="str">
        <f>_xlfn.XLOOKUP(F466,dd_item!$B$2:$B$105,dd_item!$C$2:$C$105,"",0)</f>
        <v/>
      </c>
      <c r="F466" s="35"/>
      <c r="G466" s="35" cm="1">
        <f t="array" ref="G466">IFERROR(_xlfn.XLOOKUP(1, (SKUs!$J$2:$J$10001=accsry_unmerged!F466)*IF(H466&lt;&gt;"",(SKUs!$L$2:$L$10001=accsry_unmerged!H466),1)*(SKUs!$K$2:$K$10001=I466),SKUs!$C$2:$C$10001),"")</f>
        <v>0</v>
      </c>
      <c r="H466" s="36" cm="1">
        <f t="array" ref="H466">IFERROR(_xlfn.XLOOKUP(1, (dd_accsryclr!$C$2:$C$1000=accsry_unmerged!F466)*(dd_accsryclr!$B$2:$B$1000=accsry_unmerged!J466),dd_accsryclr!$A$2:$A$1000),"")</f>
        <v>0</v>
      </c>
      <c r="I466" s="35">
        <f>_xlfn.XLOOKUP(C466,'Project Details'!$C$17:$C$66,'Project Details'!$E$17:$E$66,"",0)</f>
        <v>0</v>
      </c>
      <c r="J466" s="35">
        <f>_xlfn.XLOOKUP(C466,'Project Details'!$C$17:$C$66,'Project Details'!$H$17:$H$66,"",0)</f>
        <v>0</v>
      </c>
      <c r="K466" s="36" t="str">
        <f>IF(AND(_xlfn.XLOOKUP(C466,'Project Details'!$C$17:$C$66,'Project Details'!$L$17:$L$66,"",0)&gt;550, F466="Spring-L27cm"),"",SUBSTITUTE(_xlfn.XLOOKUP(G466,SKUs!$C$2:$C$10001,SKUs!$F$2:$F$10001,"",0), " Accessories",""))</f>
        <v/>
      </c>
      <c r="L466" s="36">
        <f>_xlfn.XLOOKUP(C466,'Project Details'!$C$17:$C$66,'Project Details'!$D$17:$D$66,"",0)</f>
        <v>0</v>
      </c>
      <c r="M466" s="43"/>
    </row>
    <row r="467" spans="1:13" x14ac:dyDescent="0.25">
      <c r="A467" s="43"/>
      <c r="B467" s="43"/>
      <c r="C467" s="16">
        <f t="shared" ref="C467:C513" si="8">C466</f>
        <v>10</v>
      </c>
      <c r="D467" s="16" t="str" cm="1">
        <f t="array" ref="D467">IFERROR(ROUNDUP(_xlfn.IFS(F467="Aluminum Track", _xlfn.XLOOKUP(C467, dd_accsrycalc!$A$2:$A$51, dd_accsrycalc!$B$2:$B$51, "",0), F467="10 x 2 1/2 S (Flat)", _xlfn.XLOOKUP(C467, dd_accsrycalc!$A$2:$A$51, dd_accsrycalc!$C$2:$C$51, "",0), F467="Tox6", _xlfn.XLOOKUP(C467, dd_accsrycalc!$A$2:$A$51, dd_accsrycalc!$D$2:$D$51, "",0), F467="Cover Cap", _xlfn.XLOOKUP(C467, dd_accsrycalc!$A$2:$A$51, dd_accsrycalc!$E$2:$E$51, "",0), F467="Drainage Cover", _xlfn.XLOOKUP(C467, dd_accsrycalc!$A$2:$A$51, dd_accsrycalc!$F$2:$F$51, "",0),AND( F467="Double Adhesive Tape", I467="Roll-up Screen"), _xlfn.XLOOKUP(C467, calc_rusacc!$C$15:$C$65, calc_rusacc!$AD$15:$AD$65, "",0),AND( F467="Sealant", I467="Roll-up Screen"), _xlfn.XLOOKUP(C467, calc_rusacc!$C$15:$C$65, calc_rusacc!$AF$15:$AF$65, "",0),  AND( F467="Main Chain", I467="Accordion Screen"), _xlfn.XLOOKUP(C467, calc_rusacc!$C$15:$C$65, calc_rusacc!$BF$15:$BF$65, "",0), AND( F467="Sealant", I467="Accordion Screen"), _xlfn.XLOOKUP(C467, calc_rusacc!$C$15:$C$65, calc_rusacc!$BJ$15:$BJ$65, "",0),  F467="Sealant", _xlfn.XLOOKUP(C467, dd_accsrycalc!$A$2:$A$51, dd_accsrycalc!$G$2:$G$51, "",0),  F467&lt;&gt;"",L467*_xlfn.XLOOKUP(1, (SKUs!$C$2:$C$10001=G467)*(SKUs!$K$2:$K$10001=I467),SKUs!$E$2:$E$10001)), 0),"")</f>
        <v/>
      </c>
      <c r="E467" s="16" t="str">
        <f>_xlfn.XLOOKUP(F467,dd_item!$B$2:$B$105,dd_item!$C$2:$C$105,"",0)</f>
        <v/>
      </c>
      <c r="F467" s="16"/>
      <c r="G467" s="16" cm="1">
        <f t="array" ref="G467">IFERROR(_xlfn.XLOOKUP(1, (SKUs!$J$2:$J$10001=accsry_unmerged!F467)*IF(H467&lt;&gt;"",(SKUs!$L$2:$L$10001=accsry_unmerged!H467),1)*(SKUs!$K$2:$K$10001=I467),SKUs!$C$2:$C$10001),"")</f>
        <v>0</v>
      </c>
      <c r="H467" s="33" cm="1">
        <f t="array" ref="H467">IFERROR(_xlfn.XLOOKUP(1, (dd_accsryclr!$C$2:$C$1000=accsry_unmerged!F467)*(dd_accsryclr!$B$2:$B$1000=accsry_unmerged!J467),dd_accsryclr!$A$2:$A$1000),"")</f>
        <v>0</v>
      </c>
      <c r="I467" s="16">
        <f>_xlfn.XLOOKUP(C467,'Project Details'!$C$17:$C$66,'Project Details'!$E$17:$E$66,"",0)</f>
        <v>0</v>
      </c>
      <c r="J467" s="16">
        <f>_xlfn.XLOOKUP(C467,'Project Details'!$C$17:$C$66,'Project Details'!$H$17:$H$66,"",0)</f>
        <v>0</v>
      </c>
      <c r="K467" s="33" t="str">
        <f>IF(AND(_xlfn.XLOOKUP(C467,'Project Details'!$C$17:$C$66,'Project Details'!$L$17:$L$66,"",0)&gt;550, F467="Spring-L27cm"),"",SUBSTITUTE(_xlfn.XLOOKUP(G467,SKUs!$C$2:$C$10001,SKUs!$F$2:$F$10001,"",0), " Accessories",""))</f>
        <v/>
      </c>
      <c r="L467" s="33">
        <f>_xlfn.XLOOKUP(C467,'Project Details'!$C$17:$C$66,'Project Details'!$D$17:$D$66,"",0)</f>
        <v>0</v>
      </c>
      <c r="M467" s="43"/>
    </row>
    <row r="468" spans="1:13" x14ac:dyDescent="0.25">
      <c r="A468" s="43"/>
      <c r="B468" s="43"/>
      <c r="C468" s="35">
        <f t="shared" si="8"/>
        <v>10</v>
      </c>
      <c r="D468" s="35" t="str" cm="1">
        <f t="array" ref="D468">IFERROR(ROUNDUP(_xlfn.IFS(F468="Aluminum Track", _xlfn.XLOOKUP(C468, dd_accsrycalc!$A$2:$A$51, dd_accsrycalc!$B$2:$B$51, "",0), F468="10 x 2 1/2 S (Flat)", _xlfn.XLOOKUP(C468, dd_accsrycalc!$A$2:$A$51, dd_accsrycalc!$C$2:$C$51, "",0), F468="Tox6", _xlfn.XLOOKUP(C468, dd_accsrycalc!$A$2:$A$51, dd_accsrycalc!$D$2:$D$51, "",0), F468="Cover Cap", _xlfn.XLOOKUP(C468, dd_accsrycalc!$A$2:$A$51, dd_accsrycalc!$E$2:$E$51, "",0), F468="Drainage Cover", _xlfn.XLOOKUP(C468, dd_accsrycalc!$A$2:$A$51, dd_accsrycalc!$F$2:$F$51, "",0),AND( F468="Double Adhesive Tape", I468="Roll-up Screen"), _xlfn.XLOOKUP(C468, calc_rusacc!$C$15:$C$65, calc_rusacc!$AD$15:$AD$65, "",0),AND( F468="Sealant", I468="Roll-up Screen"), _xlfn.XLOOKUP(C468, calc_rusacc!$C$15:$C$65, calc_rusacc!$AF$15:$AF$65, "",0),  AND( F468="Main Chain", I468="Accordion Screen"), _xlfn.XLOOKUP(C468, calc_rusacc!$C$15:$C$65, calc_rusacc!$BF$15:$BF$65, "",0), AND( F468="Sealant", I468="Accordion Screen"), _xlfn.XLOOKUP(C468, calc_rusacc!$C$15:$C$65, calc_rusacc!$BJ$15:$BJ$65, "",0),  F468="Sealant", _xlfn.XLOOKUP(C468, dd_accsrycalc!$A$2:$A$51, dd_accsrycalc!$G$2:$G$51, "",0),  F468&lt;&gt;"",L468*_xlfn.XLOOKUP(1, (SKUs!$C$2:$C$10001=G468)*(SKUs!$K$2:$K$10001=I468),SKUs!$E$2:$E$10001)), 0),"")</f>
        <v/>
      </c>
      <c r="E468" s="35" t="str">
        <f>_xlfn.XLOOKUP(F468,dd_item!$B$2:$B$105,dd_item!$C$2:$C$105,"",0)</f>
        <v/>
      </c>
      <c r="F468" s="35"/>
      <c r="G468" s="35" cm="1">
        <f t="array" ref="G468">IFERROR(_xlfn.XLOOKUP(1, (SKUs!$J$2:$J$10001=accsry_unmerged!F468)*IF(H468&lt;&gt;"",(SKUs!$L$2:$L$10001=accsry_unmerged!H468),1)*(SKUs!$K$2:$K$10001=I468),SKUs!$C$2:$C$10001),"")</f>
        <v>0</v>
      </c>
      <c r="H468" s="36" cm="1">
        <f t="array" ref="H468">IFERROR(_xlfn.XLOOKUP(1, (dd_accsryclr!$C$2:$C$1000=accsry_unmerged!F468)*(dd_accsryclr!$B$2:$B$1000=accsry_unmerged!J468),dd_accsryclr!$A$2:$A$1000),"")</f>
        <v>0</v>
      </c>
      <c r="I468" s="35">
        <f>_xlfn.XLOOKUP(C468,'Project Details'!$C$17:$C$66,'Project Details'!$E$17:$E$66,"",0)</f>
        <v>0</v>
      </c>
      <c r="J468" s="35">
        <f>_xlfn.XLOOKUP(C468,'Project Details'!$C$17:$C$66,'Project Details'!$H$17:$H$66,"",0)</f>
        <v>0</v>
      </c>
      <c r="K468" s="36" t="str">
        <f>IF(AND(_xlfn.XLOOKUP(C468,'Project Details'!$C$17:$C$66,'Project Details'!$L$17:$L$66,"",0)&gt;550, F468="Spring-L27cm"),"",SUBSTITUTE(_xlfn.XLOOKUP(G468,SKUs!$C$2:$C$10001,SKUs!$F$2:$F$10001,"",0), " Accessories",""))</f>
        <v/>
      </c>
      <c r="L468" s="36">
        <f>_xlfn.XLOOKUP(C468,'Project Details'!$C$17:$C$66,'Project Details'!$D$17:$D$66,"",0)</f>
        <v>0</v>
      </c>
      <c r="M468" s="43"/>
    </row>
    <row r="469" spans="1:13" x14ac:dyDescent="0.25">
      <c r="A469" s="43"/>
      <c r="B469" s="43"/>
      <c r="C469" s="16">
        <f t="shared" si="8"/>
        <v>10</v>
      </c>
      <c r="D469" s="16" t="str" cm="1">
        <f t="array" ref="D469">IFERROR(ROUNDUP(_xlfn.IFS(F469="Aluminum Track", _xlfn.XLOOKUP(C469, dd_accsrycalc!$A$2:$A$51, dd_accsrycalc!$B$2:$B$51, "",0), F469="10 x 2 1/2 S (Flat)", _xlfn.XLOOKUP(C469, dd_accsrycalc!$A$2:$A$51, dd_accsrycalc!$C$2:$C$51, "",0), F469="Tox6", _xlfn.XLOOKUP(C469, dd_accsrycalc!$A$2:$A$51, dd_accsrycalc!$D$2:$D$51, "",0), F469="Cover Cap", _xlfn.XLOOKUP(C469, dd_accsrycalc!$A$2:$A$51, dd_accsrycalc!$E$2:$E$51, "",0), F469="Drainage Cover", _xlfn.XLOOKUP(C469, dd_accsrycalc!$A$2:$A$51, dd_accsrycalc!$F$2:$F$51, "",0),AND( F469="Double Adhesive Tape", I469="Roll-up Screen"), _xlfn.XLOOKUP(C469, calc_rusacc!$C$15:$C$65, calc_rusacc!$AD$15:$AD$65, "",0),AND( F469="Sealant", I469="Roll-up Screen"), _xlfn.XLOOKUP(C469, calc_rusacc!$C$15:$C$65, calc_rusacc!$AF$15:$AF$65, "",0),  AND( F469="Main Chain", I469="Accordion Screen"), _xlfn.XLOOKUP(C469, calc_rusacc!$C$15:$C$65, calc_rusacc!$BF$15:$BF$65, "",0), AND( F469="Sealant", I469="Accordion Screen"), _xlfn.XLOOKUP(C469, calc_rusacc!$C$15:$C$65, calc_rusacc!$BJ$15:$BJ$65, "",0),  F469="Sealant", _xlfn.XLOOKUP(C469, dd_accsrycalc!$A$2:$A$51, dd_accsrycalc!$G$2:$G$51, "",0),  F469&lt;&gt;"",L469*_xlfn.XLOOKUP(1, (SKUs!$C$2:$C$10001=G469)*(SKUs!$K$2:$K$10001=I469),SKUs!$E$2:$E$10001)), 0),"")</f>
        <v/>
      </c>
      <c r="E469" s="16" t="str">
        <f>_xlfn.XLOOKUP(F469,dd_item!$B$2:$B$105,dd_item!$C$2:$C$105,"",0)</f>
        <v/>
      </c>
      <c r="F469" s="16"/>
      <c r="G469" s="16" cm="1">
        <f t="array" ref="G469">IFERROR(_xlfn.XLOOKUP(1, (SKUs!$J$2:$J$10001=accsry_unmerged!F469)*IF(H469&lt;&gt;"",(SKUs!$L$2:$L$10001=accsry_unmerged!H469),1)*(SKUs!$K$2:$K$10001=I469),SKUs!$C$2:$C$10001),"")</f>
        <v>0</v>
      </c>
      <c r="H469" s="33" cm="1">
        <f t="array" ref="H469">IFERROR(_xlfn.XLOOKUP(1, (dd_accsryclr!$C$2:$C$1000=accsry_unmerged!F469)*(dd_accsryclr!$B$2:$B$1000=accsry_unmerged!J469),dd_accsryclr!$A$2:$A$1000),"")</f>
        <v>0</v>
      </c>
      <c r="I469" s="16">
        <f>_xlfn.XLOOKUP(C469,'Project Details'!$C$17:$C$66,'Project Details'!$E$17:$E$66,"",0)</f>
        <v>0</v>
      </c>
      <c r="J469" s="16">
        <f>_xlfn.XLOOKUP(C469,'Project Details'!$C$17:$C$66,'Project Details'!$H$17:$H$66,"",0)</f>
        <v>0</v>
      </c>
      <c r="K469" s="33" t="str">
        <f>IF(AND(_xlfn.XLOOKUP(C469,'Project Details'!$C$17:$C$66,'Project Details'!$L$17:$L$66,"",0)&gt;550, F469="Spring-L27cm"),"",SUBSTITUTE(_xlfn.XLOOKUP(G469,SKUs!$C$2:$C$10001,SKUs!$F$2:$F$10001,"",0), " Accessories",""))</f>
        <v/>
      </c>
      <c r="L469" s="33">
        <f>_xlfn.XLOOKUP(C469,'Project Details'!$C$17:$C$66,'Project Details'!$D$17:$D$66,"",0)</f>
        <v>0</v>
      </c>
      <c r="M469" s="43"/>
    </row>
    <row r="470" spans="1:13" x14ac:dyDescent="0.25">
      <c r="A470" s="43"/>
      <c r="B470" s="43"/>
      <c r="C470" s="35">
        <f t="shared" si="8"/>
        <v>10</v>
      </c>
      <c r="D470" s="35" t="str" cm="1">
        <f t="array" ref="D470">IFERROR(ROUNDUP(_xlfn.IFS(F470="Aluminum Track", _xlfn.XLOOKUP(C470, dd_accsrycalc!$A$2:$A$51, dd_accsrycalc!$B$2:$B$51, "",0), F470="10 x 2 1/2 S (Flat)", _xlfn.XLOOKUP(C470, dd_accsrycalc!$A$2:$A$51, dd_accsrycalc!$C$2:$C$51, "",0), F470="Tox6", _xlfn.XLOOKUP(C470, dd_accsrycalc!$A$2:$A$51, dd_accsrycalc!$D$2:$D$51, "",0), F470="Cover Cap", _xlfn.XLOOKUP(C470, dd_accsrycalc!$A$2:$A$51, dd_accsrycalc!$E$2:$E$51, "",0), F470="Drainage Cover", _xlfn.XLOOKUP(C470, dd_accsrycalc!$A$2:$A$51, dd_accsrycalc!$F$2:$F$51, "",0),AND( F470="Double Adhesive Tape", I470="Roll-up Screen"), _xlfn.XLOOKUP(C470, calc_rusacc!$C$15:$C$65, calc_rusacc!$AD$15:$AD$65, "",0),AND( F470="Sealant", I470="Roll-up Screen"), _xlfn.XLOOKUP(C470, calc_rusacc!$C$15:$C$65, calc_rusacc!$AF$15:$AF$65, "",0),  AND( F470="Main Chain", I470="Accordion Screen"), _xlfn.XLOOKUP(C470, calc_rusacc!$C$15:$C$65, calc_rusacc!$BF$15:$BF$65, "",0), AND( F470="Sealant", I470="Accordion Screen"), _xlfn.XLOOKUP(C470, calc_rusacc!$C$15:$C$65, calc_rusacc!$BJ$15:$BJ$65, "",0),  F470="Sealant", _xlfn.XLOOKUP(C470, dd_accsrycalc!$A$2:$A$51, dd_accsrycalc!$G$2:$G$51, "",0),  F470&lt;&gt;"",L470*_xlfn.XLOOKUP(1, (SKUs!$C$2:$C$10001=G470)*(SKUs!$K$2:$K$10001=I470),SKUs!$E$2:$E$10001)), 0),"")</f>
        <v/>
      </c>
      <c r="E470" s="35" t="str">
        <f>_xlfn.XLOOKUP(F470,dd_item!$B$2:$B$105,dd_item!$C$2:$C$105,"",0)</f>
        <v/>
      </c>
      <c r="F470" s="35"/>
      <c r="G470" s="35" cm="1">
        <f t="array" ref="G470">IFERROR(_xlfn.XLOOKUP(1, (SKUs!$J$2:$J$10001=accsry_unmerged!F470)*IF(H470&lt;&gt;"",(SKUs!$L$2:$L$10001=accsry_unmerged!H470),1)*(SKUs!$K$2:$K$10001=I470),SKUs!$C$2:$C$10001),"")</f>
        <v>0</v>
      </c>
      <c r="H470" s="36" cm="1">
        <f t="array" ref="H470">IFERROR(_xlfn.XLOOKUP(1, (dd_accsryclr!$C$2:$C$1000=accsry_unmerged!F470)*(dd_accsryclr!$B$2:$B$1000=accsry_unmerged!J470),dd_accsryclr!$A$2:$A$1000),"")</f>
        <v>0</v>
      </c>
      <c r="I470" s="35">
        <f>_xlfn.XLOOKUP(C470,'Project Details'!$C$17:$C$66,'Project Details'!$E$17:$E$66,"",0)</f>
        <v>0</v>
      </c>
      <c r="J470" s="35">
        <f>_xlfn.XLOOKUP(C470,'Project Details'!$C$17:$C$66,'Project Details'!$H$17:$H$66,"",0)</f>
        <v>0</v>
      </c>
      <c r="K470" s="36" t="str">
        <f>IF(AND(_xlfn.XLOOKUP(C470,'Project Details'!$C$17:$C$66,'Project Details'!$L$17:$L$66,"",0)&gt;550, F470="Spring-L27cm"),"",SUBSTITUTE(_xlfn.XLOOKUP(G470,SKUs!$C$2:$C$10001,SKUs!$F$2:$F$10001,"",0), " Accessories",""))</f>
        <v/>
      </c>
      <c r="L470" s="36">
        <f>_xlfn.XLOOKUP(C470,'Project Details'!$C$17:$C$66,'Project Details'!$D$17:$D$66,"",0)</f>
        <v>0</v>
      </c>
      <c r="M470" s="43"/>
    </row>
    <row r="471" spans="1:13" x14ac:dyDescent="0.25">
      <c r="A471" s="43"/>
      <c r="B471" s="43"/>
      <c r="C471" s="16">
        <f t="shared" si="8"/>
        <v>10</v>
      </c>
      <c r="D471" s="16" t="str" cm="1">
        <f t="array" ref="D471">IFERROR(ROUNDUP(_xlfn.IFS(F471="Aluminum Track", _xlfn.XLOOKUP(C471, dd_accsrycalc!$A$2:$A$51, dd_accsrycalc!$B$2:$B$51, "",0), F471="10 x 2 1/2 S (Flat)", _xlfn.XLOOKUP(C471, dd_accsrycalc!$A$2:$A$51, dd_accsrycalc!$C$2:$C$51, "",0), F471="Tox6", _xlfn.XLOOKUP(C471, dd_accsrycalc!$A$2:$A$51, dd_accsrycalc!$D$2:$D$51, "",0), F471="Cover Cap", _xlfn.XLOOKUP(C471, dd_accsrycalc!$A$2:$A$51, dd_accsrycalc!$E$2:$E$51, "",0), F471="Drainage Cover", _xlfn.XLOOKUP(C471, dd_accsrycalc!$A$2:$A$51, dd_accsrycalc!$F$2:$F$51, "",0),AND( F471="Double Adhesive Tape", I471="Roll-up Screen"), _xlfn.XLOOKUP(C471, calc_rusacc!$C$15:$C$65, calc_rusacc!$AD$15:$AD$65, "",0),AND( F471="Sealant", I471="Roll-up Screen"), _xlfn.XLOOKUP(C471, calc_rusacc!$C$15:$C$65, calc_rusacc!$AF$15:$AF$65, "",0),  AND( F471="Main Chain", I471="Accordion Screen"), _xlfn.XLOOKUP(C471, calc_rusacc!$C$15:$C$65, calc_rusacc!$BF$15:$BF$65, "",0), AND( F471="Sealant", I471="Accordion Screen"), _xlfn.XLOOKUP(C471, calc_rusacc!$C$15:$C$65, calc_rusacc!$BJ$15:$BJ$65, "",0),  F471="Sealant", _xlfn.XLOOKUP(C471, dd_accsrycalc!$A$2:$A$51, dd_accsrycalc!$G$2:$G$51, "",0),  F471&lt;&gt;"",L471*_xlfn.XLOOKUP(1, (SKUs!$C$2:$C$10001=G471)*(SKUs!$K$2:$K$10001=I471),SKUs!$E$2:$E$10001)), 0),"")</f>
        <v/>
      </c>
      <c r="E471" s="16" t="str">
        <f>_xlfn.XLOOKUP(F471,dd_item!$B$2:$B$105,dd_item!$C$2:$C$105,"",0)</f>
        <v/>
      </c>
      <c r="F471" s="16"/>
      <c r="G471" s="16" cm="1">
        <f t="array" ref="G471">IFERROR(_xlfn.XLOOKUP(1, (SKUs!$J$2:$J$10001=accsry_unmerged!F471)*IF(H471&lt;&gt;"",(SKUs!$L$2:$L$10001=accsry_unmerged!H471),1)*(SKUs!$K$2:$K$10001=I471),SKUs!$C$2:$C$10001),"")</f>
        <v>0</v>
      </c>
      <c r="H471" s="33" cm="1">
        <f t="array" ref="H471">IFERROR(_xlfn.XLOOKUP(1, (dd_accsryclr!$C$2:$C$1000=accsry_unmerged!F471)*(dd_accsryclr!$B$2:$B$1000=accsry_unmerged!J471),dd_accsryclr!$A$2:$A$1000),"")</f>
        <v>0</v>
      </c>
      <c r="I471" s="16">
        <f>_xlfn.XLOOKUP(C471,'Project Details'!$C$17:$C$66,'Project Details'!$E$17:$E$66,"",0)</f>
        <v>0</v>
      </c>
      <c r="J471" s="16">
        <f>_xlfn.XLOOKUP(C471,'Project Details'!$C$17:$C$66,'Project Details'!$H$17:$H$66,"",0)</f>
        <v>0</v>
      </c>
      <c r="K471" s="33" t="str">
        <f>IF(AND(_xlfn.XLOOKUP(C471,'Project Details'!$C$17:$C$66,'Project Details'!$L$17:$L$66,"",0)&gt;550, F471="Spring-L27cm"),"",SUBSTITUTE(_xlfn.XLOOKUP(G471,SKUs!$C$2:$C$10001,SKUs!$F$2:$F$10001,"",0), " Accessories",""))</f>
        <v/>
      </c>
      <c r="L471" s="33">
        <f>_xlfn.XLOOKUP(C471,'Project Details'!$C$17:$C$66,'Project Details'!$D$17:$D$66,"",0)</f>
        <v>0</v>
      </c>
      <c r="M471" s="43"/>
    </row>
    <row r="472" spans="1:13" x14ac:dyDescent="0.25">
      <c r="A472" s="43"/>
      <c r="B472" s="43"/>
      <c r="C472" s="35">
        <f t="shared" si="8"/>
        <v>10</v>
      </c>
      <c r="D472" s="35" t="str" cm="1">
        <f t="array" ref="D472">IFERROR(ROUNDUP(_xlfn.IFS(F472="Aluminum Track", _xlfn.XLOOKUP(C472, dd_accsrycalc!$A$2:$A$51, dd_accsrycalc!$B$2:$B$51, "",0), F472="10 x 2 1/2 S (Flat)", _xlfn.XLOOKUP(C472, dd_accsrycalc!$A$2:$A$51, dd_accsrycalc!$C$2:$C$51, "",0), F472="Tox6", _xlfn.XLOOKUP(C472, dd_accsrycalc!$A$2:$A$51, dd_accsrycalc!$D$2:$D$51, "",0), F472="Cover Cap", _xlfn.XLOOKUP(C472, dd_accsrycalc!$A$2:$A$51, dd_accsrycalc!$E$2:$E$51, "",0), F472="Drainage Cover", _xlfn.XLOOKUP(C472, dd_accsrycalc!$A$2:$A$51, dd_accsrycalc!$F$2:$F$51, "",0),AND( F472="Double Adhesive Tape", I472="Roll-up Screen"), _xlfn.XLOOKUP(C472, calc_rusacc!$C$15:$C$65, calc_rusacc!$AD$15:$AD$65, "",0),AND( F472="Sealant", I472="Roll-up Screen"), _xlfn.XLOOKUP(C472, calc_rusacc!$C$15:$C$65, calc_rusacc!$AF$15:$AF$65, "",0),  AND( F472="Main Chain", I472="Accordion Screen"), _xlfn.XLOOKUP(C472, calc_rusacc!$C$15:$C$65, calc_rusacc!$BF$15:$BF$65, "",0), AND( F472="Sealant", I472="Accordion Screen"), _xlfn.XLOOKUP(C472, calc_rusacc!$C$15:$C$65, calc_rusacc!$BJ$15:$BJ$65, "",0),  F472="Sealant", _xlfn.XLOOKUP(C472, dd_accsrycalc!$A$2:$A$51, dd_accsrycalc!$G$2:$G$51, "",0),  F472&lt;&gt;"",L472*_xlfn.XLOOKUP(1, (SKUs!$C$2:$C$10001=G472)*(SKUs!$K$2:$K$10001=I472),SKUs!$E$2:$E$10001)), 0),"")</f>
        <v/>
      </c>
      <c r="E472" s="35" t="str">
        <f>_xlfn.XLOOKUP(F472,dd_item!$B$2:$B$105,dd_item!$C$2:$C$105,"",0)</f>
        <v/>
      </c>
      <c r="F472" s="35"/>
      <c r="G472" s="35" cm="1">
        <f t="array" ref="G472">IFERROR(_xlfn.XLOOKUP(1, (SKUs!$J$2:$J$10001=accsry_unmerged!F472)*IF(H472&lt;&gt;"",(SKUs!$L$2:$L$10001=accsry_unmerged!H472),1)*(SKUs!$K$2:$K$10001=I472),SKUs!$C$2:$C$10001),"")</f>
        <v>0</v>
      </c>
      <c r="H472" s="36" cm="1">
        <f t="array" ref="H472">IFERROR(_xlfn.XLOOKUP(1, (dd_accsryclr!$C$2:$C$1000=accsry_unmerged!F472)*(dd_accsryclr!$B$2:$B$1000=accsry_unmerged!J472),dd_accsryclr!$A$2:$A$1000),"")</f>
        <v>0</v>
      </c>
      <c r="I472" s="35">
        <f>_xlfn.XLOOKUP(C472,'Project Details'!$C$17:$C$66,'Project Details'!$E$17:$E$66,"",0)</f>
        <v>0</v>
      </c>
      <c r="J472" s="35">
        <f>_xlfn.XLOOKUP(C472,'Project Details'!$C$17:$C$66,'Project Details'!$H$17:$H$66,"",0)</f>
        <v>0</v>
      </c>
      <c r="K472" s="36" t="str">
        <f>IF(AND(_xlfn.XLOOKUP(C472,'Project Details'!$C$17:$C$66,'Project Details'!$L$17:$L$66,"",0)&gt;550, F472="Spring-L27cm"),"",SUBSTITUTE(_xlfn.XLOOKUP(G472,SKUs!$C$2:$C$10001,SKUs!$F$2:$F$10001,"",0), " Accessories",""))</f>
        <v/>
      </c>
      <c r="L472" s="36">
        <f>_xlfn.XLOOKUP(C472,'Project Details'!$C$17:$C$66,'Project Details'!$D$17:$D$66,"",0)</f>
        <v>0</v>
      </c>
      <c r="M472" s="43"/>
    </row>
    <row r="473" spans="1:13" x14ac:dyDescent="0.25">
      <c r="A473" s="43"/>
      <c r="B473" s="43"/>
      <c r="C473" s="16">
        <f t="shared" si="8"/>
        <v>10</v>
      </c>
      <c r="D473" s="16" t="str" cm="1">
        <f t="array" ref="D473">IFERROR(ROUNDUP(_xlfn.IFS(F473="Aluminum Track", _xlfn.XLOOKUP(C473, dd_accsrycalc!$A$2:$A$51, dd_accsrycalc!$B$2:$B$51, "",0), F473="10 x 2 1/2 S (Flat)", _xlfn.XLOOKUP(C473, dd_accsrycalc!$A$2:$A$51, dd_accsrycalc!$C$2:$C$51, "",0), F473="Tox6", _xlfn.XLOOKUP(C473, dd_accsrycalc!$A$2:$A$51, dd_accsrycalc!$D$2:$D$51, "",0), F473="Cover Cap", _xlfn.XLOOKUP(C473, dd_accsrycalc!$A$2:$A$51, dd_accsrycalc!$E$2:$E$51, "",0), F473="Drainage Cover", _xlfn.XLOOKUP(C473, dd_accsrycalc!$A$2:$A$51, dd_accsrycalc!$F$2:$F$51, "",0),AND( F473="Double Adhesive Tape", I473="Roll-up Screen"), _xlfn.XLOOKUP(C473, calc_rusacc!$C$15:$C$65, calc_rusacc!$AD$15:$AD$65, "",0),AND( F473="Sealant", I473="Roll-up Screen"), _xlfn.XLOOKUP(C473, calc_rusacc!$C$15:$C$65, calc_rusacc!$AF$15:$AF$65, "",0),  AND( F473="Main Chain", I473="Accordion Screen"), _xlfn.XLOOKUP(C473, calc_rusacc!$C$15:$C$65, calc_rusacc!$BF$15:$BF$65, "",0), AND( F473="Sealant", I473="Accordion Screen"), _xlfn.XLOOKUP(C473, calc_rusacc!$C$15:$C$65, calc_rusacc!$BJ$15:$BJ$65, "",0),  F473="Sealant", _xlfn.XLOOKUP(C473, dd_accsrycalc!$A$2:$A$51, dd_accsrycalc!$G$2:$G$51, "",0),  F473&lt;&gt;"",L473*_xlfn.XLOOKUP(1, (SKUs!$C$2:$C$10001=G473)*(SKUs!$K$2:$K$10001=I473),SKUs!$E$2:$E$10001)), 0),"")</f>
        <v/>
      </c>
      <c r="E473" s="16" t="str">
        <f>_xlfn.XLOOKUP(F473,dd_item!$B$2:$B$105,dd_item!$C$2:$C$105,"",0)</f>
        <v/>
      </c>
      <c r="F473" s="16"/>
      <c r="G473" s="16" cm="1">
        <f t="array" ref="G473">IFERROR(_xlfn.XLOOKUP(1, (SKUs!$J$2:$J$10001=accsry_unmerged!F473)*IF(H473&lt;&gt;"",(SKUs!$L$2:$L$10001=accsry_unmerged!H473),1)*(SKUs!$K$2:$K$10001=I473),SKUs!$C$2:$C$10001),"")</f>
        <v>0</v>
      </c>
      <c r="H473" s="33" cm="1">
        <f t="array" ref="H473">IFERROR(_xlfn.XLOOKUP(1, (dd_accsryclr!$C$2:$C$1000=accsry_unmerged!F473)*(dd_accsryclr!$B$2:$B$1000=accsry_unmerged!J473),dd_accsryclr!$A$2:$A$1000),"")</f>
        <v>0</v>
      </c>
      <c r="I473" s="16">
        <f>_xlfn.XLOOKUP(C473,'Project Details'!$C$17:$C$66,'Project Details'!$E$17:$E$66,"",0)</f>
        <v>0</v>
      </c>
      <c r="J473" s="16">
        <f>_xlfn.XLOOKUP(C473,'Project Details'!$C$17:$C$66,'Project Details'!$H$17:$H$66,"",0)</f>
        <v>0</v>
      </c>
      <c r="K473" s="33" t="str">
        <f>IF(AND(_xlfn.XLOOKUP(C473,'Project Details'!$C$17:$C$66,'Project Details'!$L$17:$L$66,"",0)&gt;550, F473="Spring-L27cm"),"",SUBSTITUTE(_xlfn.XLOOKUP(G473,SKUs!$C$2:$C$10001,SKUs!$F$2:$F$10001,"",0), " Accessories",""))</f>
        <v/>
      </c>
      <c r="L473" s="33">
        <f>_xlfn.XLOOKUP(C473,'Project Details'!$C$17:$C$66,'Project Details'!$D$17:$D$66,"",0)</f>
        <v>0</v>
      </c>
      <c r="M473" s="43"/>
    </row>
    <row r="474" spans="1:13" x14ac:dyDescent="0.25">
      <c r="A474" s="43"/>
      <c r="B474" s="43"/>
      <c r="C474" s="35">
        <f t="shared" si="8"/>
        <v>10</v>
      </c>
      <c r="D474" s="35" t="str" cm="1">
        <f t="array" ref="D474">IFERROR(ROUNDUP(_xlfn.IFS(F474="Aluminum Track", _xlfn.XLOOKUP(C474, dd_accsrycalc!$A$2:$A$51, dd_accsrycalc!$B$2:$B$51, "",0), F474="10 x 2 1/2 S (Flat)", _xlfn.XLOOKUP(C474, dd_accsrycalc!$A$2:$A$51, dd_accsrycalc!$C$2:$C$51, "",0), F474="Tox6", _xlfn.XLOOKUP(C474, dd_accsrycalc!$A$2:$A$51, dd_accsrycalc!$D$2:$D$51, "",0), F474="Cover Cap", _xlfn.XLOOKUP(C474, dd_accsrycalc!$A$2:$A$51, dd_accsrycalc!$E$2:$E$51, "",0), F474="Drainage Cover", _xlfn.XLOOKUP(C474, dd_accsrycalc!$A$2:$A$51, dd_accsrycalc!$F$2:$F$51, "",0),AND( F474="Double Adhesive Tape", I474="Roll-up Screen"), _xlfn.XLOOKUP(C474, calc_rusacc!$C$15:$C$65, calc_rusacc!$AD$15:$AD$65, "",0),AND( F474="Sealant", I474="Roll-up Screen"), _xlfn.XLOOKUP(C474, calc_rusacc!$C$15:$C$65, calc_rusacc!$AF$15:$AF$65, "",0),  AND( F474="Main Chain", I474="Accordion Screen"), _xlfn.XLOOKUP(C474, calc_rusacc!$C$15:$C$65, calc_rusacc!$BF$15:$BF$65, "",0), AND( F474="Sealant", I474="Accordion Screen"), _xlfn.XLOOKUP(C474, calc_rusacc!$C$15:$C$65, calc_rusacc!$BJ$15:$BJ$65, "",0),  F474="Sealant", _xlfn.XLOOKUP(C474, dd_accsrycalc!$A$2:$A$51, dd_accsrycalc!$G$2:$G$51, "",0),  F474&lt;&gt;"",L474*_xlfn.XLOOKUP(1, (SKUs!$C$2:$C$10001=G474)*(SKUs!$K$2:$K$10001=I474),SKUs!$E$2:$E$10001)), 0),"")</f>
        <v/>
      </c>
      <c r="E474" s="35" t="str">
        <f>_xlfn.XLOOKUP(F474,dd_item!$B$2:$B$105,dd_item!$C$2:$C$105,"",0)</f>
        <v/>
      </c>
      <c r="F474" s="35"/>
      <c r="G474" s="35" cm="1">
        <f t="array" ref="G474">IFERROR(_xlfn.XLOOKUP(1, (SKUs!$J$2:$J$10001=accsry_unmerged!F474)*IF(H474&lt;&gt;"",(SKUs!$L$2:$L$10001=accsry_unmerged!H474),1)*(SKUs!$K$2:$K$10001=I474),SKUs!$C$2:$C$10001),"")</f>
        <v>0</v>
      </c>
      <c r="H474" s="36" cm="1">
        <f t="array" ref="H474">IFERROR(_xlfn.XLOOKUP(1, (dd_accsryclr!$C$2:$C$1000=accsry_unmerged!F474)*(dd_accsryclr!$B$2:$B$1000=accsry_unmerged!J474),dd_accsryclr!$A$2:$A$1000),"")</f>
        <v>0</v>
      </c>
      <c r="I474" s="35">
        <f>_xlfn.XLOOKUP(C474,'Project Details'!$C$17:$C$66,'Project Details'!$E$17:$E$66,"",0)</f>
        <v>0</v>
      </c>
      <c r="J474" s="35">
        <f>_xlfn.XLOOKUP(C474,'Project Details'!$C$17:$C$66,'Project Details'!$H$17:$H$66,"",0)</f>
        <v>0</v>
      </c>
      <c r="K474" s="36" t="str">
        <f>IF(AND(_xlfn.XLOOKUP(C474,'Project Details'!$C$17:$C$66,'Project Details'!$L$17:$L$66,"",0)&gt;550, F474="Spring-L27cm"),"",SUBSTITUTE(_xlfn.XLOOKUP(G474,SKUs!$C$2:$C$10001,SKUs!$F$2:$F$10001,"",0), " Accessories",""))</f>
        <v/>
      </c>
      <c r="L474" s="36">
        <f>_xlfn.XLOOKUP(C474,'Project Details'!$C$17:$C$66,'Project Details'!$D$17:$D$66,"",0)</f>
        <v>0</v>
      </c>
      <c r="M474" s="43"/>
    </row>
    <row r="475" spans="1:13" x14ac:dyDescent="0.25">
      <c r="A475" s="43"/>
      <c r="B475" s="43"/>
      <c r="C475" s="16">
        <f t="shared" si="8"/>
        <v>10</v>
      </c>
      <c r="D475" s="16" t="str" cm="1">
        <f t="array" ref="D475">IFERROR(ROUNDUP(_xlfn.IFS(F475="Aluminum Track", _xlfn.XLOOKUP(C475, dd_accsrycalc!$A$2:$A$51, dd_accsrycalc!$B$2:$B$51, "",0), F475="10 x 2 1/2 S (Flat)", _xlfn.XLOOKUP(C475, dd_accsrycalc!$A$2:$A$51, dd_accsrycalc!$C$2:$C$51, "",0), F475="Tox6", _xlfn.XLOOKUP(C475, dd_accsrycalc!$A$2:$A$51, dd_accsrycalc!$D$2:$D$51, "",0), F475="Cover Cap", _xlfn.XLOOKUP(C475, dd_accsrycalc!$A$2:$A$51, dd_accsrycalc!$E$2:$E$51, "",0), F475="Drainage Cover", _xlfn.XLOOKUP(C475, dd_accsrycalc!$A$2:$A$51, dd_accsrycalc!$F$2:$F$51, "",0),AND( F475="Double Adhesive Tape", I475="Roll-up Screen"), _xlfn.XLOOKUP(C475, calc_rusacc!$C$15:$C$65, calc_rusacc!$AD$15:$AD$65, "",0),AND( F475="Sealant", I475="Roll-up Screen"), _xlfn.XLOOKUP(C475, calc_rusacc!$C$15:$C$65, calc_rusacc!$AF$15:$AF$65, "",0),  AND( F475="Main Chain", I475="Accordion Screen"), _xlfn.XLOOKUP(C475, calc_rusacc!$C$15:$C$65, calc_rusacc!$BF$15:$BF$65, "",0), AND( F475="Sealant", I475="Accordion Screen"), _xlfn.XLOOKUP(C475, calc_rusacc!$C$15:$C$65, calc_rusacc!$BJ$15:$BJ$65, "",0),  F475="Sealant", _xlfn.XLOOKUP(C475, dd_accsrycalc!$A$2:$A$51, dd_accsrycalc!$G$2:$G$51, "",0),  F475&lt;&gt;"",L475*_xlfn.XLOOKUP(1, (SKUs!$C$2:$C$10001=G475)*(SKUs!$K$2:$K$10001=I475),SKUs!$E$2:$E$10001)), 0),"")</f>
        <v/>
      </c>
      <c r="E475" s="16" t="str">
        <f>_xlfn.XLOOKUP(F475,dd_item!$B$2:$B$105,dd_item!$C$2:$C$105,"",0)</f>
        <v/>
      </c>
      <c r="F475" s="16"/>
      <c r="G475" s="16" cm="1">
        <f t="array" ref="G475">IFERROR(_xlfn.XLOOKUP(1, (SKUs!$J$2:$J$10001=accsry_unmerged!F475)*IF(H475&lt;&gt;"",(SKUs!$L$2:$L$10001=accsry_unmerged!H475),1)*(SKUs!$K$2:$K$10001=I475),SKUs!$C$2:$C$10001),"")</f>
        <v>0</v>
      </c>
      <c r="H475" s="33" cm="1">
        <f t="array" ref="H475">IFERROR(_xlfn.XLOOKUP(1, (dd_accsryclr!$C$2:$C$1000=accsry_unmerged!F475)*(dd_accsryclr!$B$2:$B$1000=accsry_unmerged!J475),dd_accsryclr!$A$2:$A$1000),"")</f>
        <v>0</v>
      </c>
      <c r="I475" s="16">
        <f>_xlfn.XLOOKUP(C475,'Project Details'!$C$17:$C$66,'Project Details'!$E$17:$E$66,"",0)</f>
        <v>0</v>
      </c>
      <c r="J475" s="16">
        <f>_xlfn.XLOOKUP(C475,'Project Details'!$C$17:$C$66,'Project Details'!$H$17:$H$66,"",0)</f>
        <v>0</v>
      </c>
      <c r="K475" s="33" t="str">
        <f>IF(AND(_xlfn.XLOOKUP(C475,'Project Details'!$C$17:$C$66,'Project Details'!$L$17:$L$66,"",0)&gt;550, F475="Spring-L27cm"),"",SUBSTITUTE(_xlfn.XLOOKUP(G475,SKUs!$C$2:$C$10001,SKUs!$F$2:$F$10001,"",0), " Accessories",""))</f>
        <v/>
      </c>
      <c r="L475" s="33">
        <f>_xlfn.XLOOKUP(C475,'Project Details'!$C$17:$C$66,'Project Details'!$D$17:$D$66,"",0)</f>
        <v>0</v>
      </c>
      <c r="M475" s="43"/>
    </row>
    <row r="476" spans="1:13" x14ac:dyDescent="0.25">
      <c r="A476" s="43"/>
      <c r="B476" s="43"/>
      <c r="C476" s="35">
        <f t="shared" si="8"/>
        <v>10</v>
      </c>
      <c r="D476" s="35" t="str" cm="1">
        <f t="array" ref="D476">IFERROR(ROUNDUP(_xlfn.IFS(F476="Aluminum Track", _xlfn.XLOOKUP(C476, dd_accsrycalc!$A$2:$A$51, dd_accsrycalc!$B$2:$B$51, "",0), F476="10 x 2 1/2 S (Flat)", _xlfn.XLOOKUP(C476, dd_accsrycalc!$A$2:$A$51, dd_accsrycalc!$C$2:$C$51, "",0), F476="Tox6", _xlfn.XLOOKUP(C476, dd_accsrycalc!$A$2:$A$51, dd_accsrycalc!$D$2:$D$51, "",0), F476="Cover Cap", _xlfn.XLOOKUP(C476, dd_accsrycalc!$A$2:$A$51, dd_accsrycalc!$E$2:$E$51, "",0), F476="Drainage Cover", _xlfn.XLOOKUP(C476, dd_accsrycalc!$A$2:$A$51, dd_accsrycalc!$F$2:$F$51, "",0),AND( F476="Double Adhesive Tape", I476="Roll-up Screen"), _xlfn.XLOOKUP(C476, calc_rusacc!$C$15:$C$65, calc_rusacc!$AD$15:$AD$65, "",0),AND( F476="Sealant", I476="Roll-up Screen"), _xlfn.XLOOKUP(C476, calc_rusacc!$C$15:$C$65, calc_rusacc!$AF$15:$AF$65, "",0),  AND( F476="Main Chain", I476="Accordion Screen"), _xlfn.XLOOKUP(C476, calc_rusacc!$C$15:$C$65, calc_rusacc!$BF$15:$BF$65, "",0), AND( F476="Sealant", I476="Accordion Screen"), _xlfn.XLOOKUP(C476, calc_rusacc!$C$15:$C$65, calc_rusacc!$BJ$15:$BJ$65, "",0),  F476="Sealant", _xlfn.XLOOKUP(C476, dd_accsrycalc!$A$2:$A$51, dd_accsrycalc!$G$2:$G$51, "",0),  F476&lt;&gt;"",L476*_xlfn.XLOOKUP(1, (SKUs!$C$2:$C$10001=G476)*(SKUs!$K$2:$K$10001=I476),SKUs!$E$2:$E$10001)), 0),"")</f>
        <v/>
      </c>
      <c r="E476" s="35" t="str">
        <f>_xlfn.XLOOKUP(F476,dd_item!$B$2:$B$105,dd_item!$C$2:$C$105,"",0)</f>
        <v/>
      </c>
      <c r="F476" s="35"/>
      <c r="G476" s="35" cm="1">
        <f t="array" ref="G476">IFERROR(_xlfn.XLOOKUP(1, (SKUs!$J$2:$J$10001=accsry_unmerged!F476)*IF(H476&lt;&gt;"",(SKUs!$L$2:$L$10001=accsry_unmerged!H476),1)*(SKUs!$K$2:$K$10001=I476),SKUs!$C$2:$C$10001),"")</f>
        <v>0</v>
      </c>
      <c r="H476" s="36" cm="1">
        <f t="array" ref="H476">IFERROR(_xlfn.XLOOKUP(1, (dd_accsryclr!$C$2:$C$1000=accsry_unmerged!F476)*(dd_accsryclr!$B$2:$B$1000=accsry_unmerged!J476),dd_accsryclr!$A$2:$A$1000),"")</f>
        <v>0</v>
      </c>
      <c r="I476" s="35">
        <f>_xlfn.XLOOKUP(C476,'Project Details'!$C$17:$C$66,'Project Details'!$E$17:$E$66,"",0)</f>
        <v>0</v>
      </c>
      <c r="J476" s="35">
        <f>_xlfn.XLOOKUP(C476,'Project Details'!$C$17:$C$66,'Project Details'!$H$17:$H$66,"",0)</f>
        <v>0</v>
      </c>
      <c r="K476" s="36" t="str">
        <f>IF(AND(_xlfn.XLOOKUP(C476,'Project Details'!$C$17:$C$66,'Project Details'!$L$17:$L$66,"",0)&gt;550, F476="Spring-L27cm"),"",SUBSTITUTE(_xlfn.XLOOKUP(G476,SKUs!$C$2:$C$10001,SKUs!$F$2:$F$10001,"",0), " Accessories",""))</f>
        <v/>
      </c>
      <c r="L476" s="36">
        <f>_xlfn.XLOOKUP(C476,'Project Details'!$C$17:$C$66,'Project Details'!$D$17:$D$66,"",0)</f>
        <v>0</v>
      </c>
      <c r="M476" s="43"/>
    </row>
    <row r="477" spans="1:13" x14ac:dyDescent="0.25">
      <c r="A477" s="43"/>
      <c r="B477" s="43"/>
      <c r="C477" s="16">
        <f t="shared" si="8"/>
        <v>10</v>
      </c>
      <c r="D477" s="16" t="str" cm="1">
        <f t="array" ref="D477">IFERROR(ROUNDUP(_xlfn.IFS(F477="Aluminum Track", _xlfn.XLOOKUP(C477, dd_accsrycalc!$A$2:$A$51, dd_accsrycalc!$B$2:$B$51, "",0), F477="10 x 2 1/2 S (Flat)", _xlfn.XLOOKUP(C477, dd_accsrycalc!$A$2:$A$51, dd_accsrycalc!$C$2:$C$51, "",0), F477="Tox6", _xlfn.XLOOKUP(C477, dd_accsrycalc!$A$2:$A$51, dd_accsrycalc!$D$2:$D$51, "",0), F477="Cover Cap", _xlfn.XLOOKUP(C477, dd_accsrycalc!$A$2:$A$51, dd_accsrycalc!$E$2:$E$51, "",0), F477="Drainage Cover", _xlfn.XLOOKUP(C477, dd_accsrycalc!$A$2:$A$51, dd_accsrycalc!$F$2:$F$51, "",0),AND( F477="Double Adhesive Tape", I477="Roll-up Screen"), _xlfn.XLOOKUP(C477, calc_rusacc!$C$15:$C$65, calc_rusacc!$AD$15:$AD$65, "",0),AND( F477="Sealant", I477="Roll-up Screen"), _xlfn.XLOOKUP(C477, calc_rusacc!$C$15:$C$65, calc_rusacc!$AF$15:$AF$65, "",0),  AND( F477="Main Chain", I477="Accordion Screen"), _xlfn.XLOOKUP(C477, calc_rusacc!$C$15:$C$65, calc_rusacc!$BF$15:$BF$65, "",0), AND( F477="Sealant", I477="Accordion Screen"), _xlfn.XLOOKUP(C477, calc_rusacc!$C$15:$C$65, calc_rusacc!$BJ$15:$BJ$65, "",0),  F477="Sealant", _xlfn.XLOOKUP(C477, dd_accsrycalc!$A$2:$A$51, dd_accsrycalc!$G$2:$G$51, "",0),  F477&lt;&gt;"",L477*_xlfn.XLOOKUP(1, (SKUs!$C$2:$C$10001=G477)*(SKUs!$K$2:$K$10001=I477),SKUs!$E$2:$E$10001)), 0),"")</f>
        <v/>
      </c>
      <c r="E477" s="16" t="str">
        <f>_xlfn.XLOOKUP(F477,dd_item!$B$2:$B$105,dd_item!$C$2:$C$105,"",0)</f>
        <v/>
      </c>
      <c r="F477" s="16"/>
      <c r="G477" s="16" cm="1">
        <f t="array" ref="G477">IFERROR(_xlfn.XLOOKUP(1, (SKUs!$J$2:$J$10001=accsry_unmerged!F477)*IF(H477&lt;&gt;"",(SKUs!$L$2:$L$10001=accsry_unmerged!H477),1)*(SKUs!$K$2:$K$10001=I477),SKUs!$C$2:$C$10001),"")</f>
        <v>0</v>
      </c>
      <c r="H477" s="33" cm="1">
        <f t="array" ref="H477">IFERROR(_xlfn.XLOOKUP(1, (dd_accsryclr!$C$2:$C$1000=accsry_unmerged!F477)*(dd_accsryclr!$B$2:$B$1000=accsry_unmerged!J477),dd_accsryclr!$A$2:$A$1000),"")</f>
        <v>0</v>
      </c>
      <c r="I477" s="16">
        <f>_xlfn.XLOOKUP(C477,'Project Details'!$C$17:$C$66,'Project Details'!$E$17:$E$66,"",0)</f>
        <v>0</v>
      </c>
      <c r="J477" s="16">
        <f>_xlfn.XLOOKUP(C477,'Project Details'!$C$17:$C$66,'Project Details'!$H$17:$H$66,"",0)</f>
        <v>0</v>
      </c>
      <c r="K477" s="33" t="str">
        <f>IF(AND(_xlfn.XLOOKUP(C477,'Project Details'!$C$17:$C$66,'Project Details'!$L$17:$L$66,"",0)&gt;550, F477="Spring-L27cm"),"",SUBSTITUTE(_xlfn.XLOOKUP(G477,SKUs!$C$2:$C$10001,SKUs!$F$2:$F$10001,"",0), " Accessories",""))</f>
        <v/>
      </c>
      <c r="L477" s="33">
        <f>_xlfn.XLOOKUP(C477,'Project Details'!$C$17:$C$66,'Project Details'!$D$17:$D$66,"",0)</f>
        <v>0</v>
      </c>
      <c r="M477" s="43"/>
    </row>
    <row r="478" spans="1:13" x14ac:dyDescent="0.25">
      <c r="A478" s="43"/>
      <c r="B478" s="43"/>
      <c r="C478" s="35">
        <f t="shared" si="8"/>
        <v>10</v>
      </c>
      <c r="D478" s="35" t="str" cm="1">
        <f t="array" ref="D478">IFERROR(ROUNDUP(_xlfn.IFS(F478="Aluminum Track", _xlfn.XLOOKUP(C478, dd_accsrycalc!$A$2:$A$51, dd_accsrycalc!$B$2:$B$51, "",0), F478="10 x 2 1/2 S (Flat)", _xlfn.XLOOKUP(C478, dd_accsrycalc!$A$2:$A$51, dd_accsrycalc!$C$2:$C$51, "",0), F478="Tox6", _xlfn.XLOOKUP(C478, dd_accsrycalc!$A$2:$A$51, dd_accsrycalc!$D$2:$D$51, "",0), F478="Cover Cap", _xlfn.XLOOKUP(C478, dd_accsrycalc!$A$2:$A$51, dd_accsrycalc!$E$2:$E$51, "",0), F478="Drainage Cover", _xlfn.XLOOKUP(C478, dd_accsrycalc!$A$2:$A$51, dd_accsrycalc!$F$2:$F$51, "",0),AND( F478="Double Adhesive Tape", I478="Roll-up Screen"), _xlfn.XLOOKUP(C478, calc_rusacc!$C$15:$C$65, calc_rusacc!$AD$15:$AD$65, "",0),AND( F478="Sealant", I478="Roll-up Screen"), _xlfn.XLOOKUP(C478, calc_rusacc!$C$15:$C$65, calc_rusacc!$AF$15:$AF$65, "",0),  AND( F478="Main Chain", I478="Accordion Screen"), _xlfn.XLOOKUP(C478, calc_rusacc!$C$15:$C$65, calc_rusacc!$BF$15:$BF$65, "",0), AND( F478="Sealant", I478="Accordion Screen"), _xlfn.XLOOKUP(C478, calc_rusacc!$C$15:$C$65, calc_rusacc!$BJ$15:$BJ$65, "",0),  F478="Sealant", _xlfn.XLOOKUP(C478, dd_accsrycalc!$A$2:$A$51, dd_accsrycalc!$G$2:$G$51, "",0),  F478&lt;&gt;"",L478*_xlfn.XLOOKUP(1, (SKUs!$C$2:$C$10001=G478)*(SKUs!$K$2:$K$10001=I478),SKUs!$E$2:$E$10001)), 0),"")</f>
        <v/>
      </c>
      <c r="E478" s="35" t="str">
        <f>_xlfn.XLOOKUP(F478,dd_item!$B$2:$B$105,dd_item!$C$2:$C$105,"",0)</f>
        <v/>
      </c>
      <c r="F478" s="35"/>
      <c r="G478" s="35" cm="1">
        <f t="array" ref="G478">IFERROR(_xlfn.XLOOKUP(1, (SKUs!$J$2:$J$10001=accsry_unmerged!F478)*IF(H478&lt;&gt;"",(SKUs!$L$2:$L$10001=accsry_unmerged!H478),1)*(SKUs!$K$2:$K$10001=I478),SKUs!$C$2:$C$10001),"")</f>
        <v>0</v>
      </c>
      <c r="H478" s="36" cm="1">
        <f t="array" ref="H478">IFERROR(_xlfn.XLOOKUP(1, (dd_accsryclr!$C$2:$C$1000=accsry_unmerged!F478)*(dd_accsryclr!$B$2:$B$1000=accsry_unmerged!J478),dd_accsryclr!$A$2:$A$1000),"")</f>
        <v>0</v>
      </c>
      <c r="I478" s="35">
        <f>_xlfn.XLOOKUP(C478,'Project Details'!$C$17:$C$66,'Project Details'!$E$17:$E$66,"",0)</f>
        <v>0</v>
      </c>
      <c r="J478" s="35">
        <f>_xlfn.XLOOKUP(C478,'Project Details'!$C$17:$C$66,'Project Details'!$H$17:$H$66,"",0)</f>
        <v>0</v>
      </c>
      <c r="K478" s="36" t="str">
        <f>IF(AND(_xlfn.XLOOKUP(C478,'Project Details'!$C$17:$C$66,'Project Details'!$L$17:$L$66,"",0)&gt;550, F478="Spring-L27cm"),"",SUBSTITUTE(_xlfn.XLOOKUP(G478,SKUs!$C$2:$C$10001,SKUs!$F$2:$F$10001,"",0), " Accessories",""))</f>
        <v/>
      </c>
      <c r="L478" s="36">
        <f>_xlfn.XLOOKUP(C478,'Project Details'!$C$17:$C$66,'Project Details'!$D$17:$D$66,"",0)</f>
        <v>0</v>
      </c>
      <c r="M478" s="43"/>
    </row>
    <row r="479" spans="1:13" x14ac:dyDescent="0.25">
      <c r="A479" s="43"/>
      <c r="B479" s="43"/>
      <c r="C479" s="16">
        <f t="shared" si="8"/>
        <v>10</v>
      </c>
      <c r="D479" s="16" t="str" cm="1">
        <f t="array" ref="D479">IFERROR(ROUNDUP(_xlfn.IFS(F479="Aluminum Track", _xlfn.XLOOKUP(C479, dd_accsrycalc!$A$2:$A$51, dd_accsrycalc!$B$2:$B$51, "",0), F479="10 x 2 1/2 S (Flat)", _xlfn.XLOOKUP(C479, dd_accsrycalc!$A$2:$A$51, dd_accsrycalc!$C$2:$C$51, "",0), F479="Tox6", _xlfn.XLOOKUP(C479, dd_accsrycalc!$A$2:$A$51, dd_accsrycalc!$D$2:$D$51, "",0), F479="Cover Cap", _xlfn.XLOOKUP(C479, dd_accsrycalc!$A$2:$A$51, dd_accsrycalc!$E$2:$E$51, "",0), F479="Drainage Cover", _xlfn.XLOOKUP(C479, dd_accsrycalc!$A$2:$A$51, dd_accsrycalc!$F$2:$F$51, "",0),AND( F479="Double Adhesive Tape", I479="Roll-up Screen"), _xlfn.XLOOKUP(C479, calc_rusacc!$C$15:$C$65, calc_rusacc!$AD$15:$AD$65, "",0),AND( F479="Sealant", I479="Roll-up Screen"), _xlfn.XLOOKUP(C479, calc_rusacc!$C$15:$C$65, calc_rusacc!$AF$15:$AF$65, "",0),  AND( F479="Main Chain", I479="Accordion Screen"), _xlfn.XLOOKUP(C479, calc_rusacc!$C$15:$C$65, calc_rusacc!$BF$15:$BF$65, "",0), AND( F479="Sealant", I479="Accordion Screen"), _xlfn.XLOOKUP(C479, calc_rusacc!$C$15:$C$65, calc_rusacc!$BJ$15:$BJ$65, "",0),  F479="Sealant", _xlfn.XLOOKUP(C479, dd_accsrycalc!$A$2:$A$51, dd_accsrycalc!$G$2:$G$51, "",0),  F479&lt;&gt;"",L479*_xlfn.XLOOKUP(1, (SKUs!$C$2:$C$10001=G479)*(SKUs!$K$2:$K$10001=I479),SKUs!$E$2:$E$10001)), 0),"")</f>
        <v/>
      </c>
      <c r="E479" s="16" t="str">
        <f>_xlfn.XLOOKUP(F479,dd_item!$B$2:$B$105,dd_item!$C$2:$C$105,"",0)</f>
        <v/>
      </c>
      <c r="F479" s="16"/>
      <c r="G479" s="16" cm="1">
        <f t="array" ref="G479">IFERROR(_xlfn.XLOOKUP(1, (SKUs!$J$2:$J$10001=accsry_unmerged!F479)*IF(H479&lt;&gt;"",(SKUs!$L$2:$L$10001=accsry_unmerged!H479),1)*(SKUs!$K$2:$K$10001=I479),SKUs!$C$2:$C$10001),"")</f>
        <v>0</v>
      </c>
      <c r="H479" s="33" cm="1">
        <f t="array" ref="H479">IFERROR(_xlfn.XLOOKUP(1, (dd_accsryclr!$C$2:$C$1000=accsry_unmerged!F479)*(dd_accsryclr!$B$2:$B$1000=accsry_unmerged!J479),dd_accsryclr!$A$2:$A$1000),"")</f>
        <v>0</v>
      </c>
      <c r="I479" s="16">
        <f>_xlfn.XLOOKUP(C479,'Project Details'!$C$17:$C$66,'Project Details'!$E$17:$E$66,"",0)</f>
        <v>0</v>
      </c>
      <c r="J479" s="16">
        <f>_xlfn.XLOOKUP(C479,'Project Details'!$C$17:$C$66,'Project Details'!$H$17:$H$66,"",0)</f>
        <v>0</v>
      </c>
      <c r="K479" s="33" t="str">
        <f>IF(AND(_xlfn.XLOOKUP(C479,'Project Details'!$C$17:$C$66,'Project Details'!$L$17:$L$66,"",0)&gt;550, F479="Spring-L27cm"),"",SUBSTITUTE(_xlfn.XLOOKUP(G479,SKUs!$C$2:$C$10001,SKUs!$F$2:$F$10001,"",0), " Accessories",""))</f>
        <v/>
      </c>
      <c r="L479" s="33">
        <f>_xlfn.XLOOKUP(C479,'Project Details'!$C$17:$C$66,'Project Details'!$D$17:$D$66,"",0)</f>
        <v>0</v>
      </c>
      <c r="M479" s="43"/>
    </row>
    <row r="480" spans="1:13" x14ac:dyDescent="0.25">
      <c r="A480" s="43"/>
      <c r="B480" s="43"/>
      <c r="C480" s="35">
        <f t="shared" si="8"/>
        <v>10</v>
      </c>
      <c r="D480" s="35" t="str" cm="1">
        <f t="array" ref="D480">IFERROR(ROUNDUP(_xlfn.IFS(F480="Aluminum Track", _xlfn.XLOOKUP(C480, dd_accsrycalc!$A$2:$A$51, dd_accsrycalc!$B$2:$B$51, "",0), F480="10 x 2 1/2 S (Flat)", _xlfn.XLOOKUP(C480, dd_accsrycalc!$A$2:$A$51, dd_accsrycalc!$C$2:$C$51, "",0), F480="Tox6", _xlfn.XLOOKUP(C480, dd_accsrycalc!$A$2:$A$51, dd_accsrycalc!$D$2:$D$51, "",0), F480="Cover Cap", _xlfn.XLOOKUP(C480, dd_accsrycalc!$A$2:$A$51, dd_accsrycalc!$E$2:$E$51, "",0), F480="Drainage Cover", _xlfn.XLOOKUP(C480, dd_accsrycalc!$A$2:$A$51, dd_accsrycalc!$F$2:$F$51, "",0),AND( F480="Double Adhesive Tape", I480="Roll-up Screen"), _xlfn.XLOOKUP(C480, calc_rusacc!$C$15:$C$65, calc_rusacc!$AD$15:$AD$65, "",0),AND( F480="Sealant", I480="Roll-up Screen"), _xlfn.XLOOKUP(C480, calc_rusacc!$C$15:$C$65, calc_rusacc!$AF$15:$AF$65, "",0),  AND( F480="Main Chain", I480="Accordion Screen"), _xlfn.XLOOKUP(C480, calc_rusacc!$C$15:$C$65, calc_rusacc!$BF$15:$BF$65, "",0), AND( F480="Sealant", I480="Accordion Screen"), _xlfn.XLOOKUP(C480, calc_rusacc!$C$15:$C$65, calc_rusacc!$BJ$15:$BJ$65, "",0),  F480="Sealant", _xlfn.XLOOKUP(C480, dd_accsrycalc!$A$2:$A$51, dd_accsrycalc!$G$2:$G$51, "",0),  F480&lt;&gt;"",L480*_xlfn.XLOOKUP(1, (SKUs!$C$2:$C$10001=G480)*(SKUs!$K$2:$K$10001=I480),SKUs!$E$2:$E$10001)), 0),"")</f>
        <v/>
      </c>
      <c r="E480" s="35" t="str">
        <f>_xlfn.XLOOKUP(F480,dd_item!$B$2:$B$105,dd_item!$C$2:$C$105,"",0)</f>
        <v/>
      </c>
      <c r="F480" s="35"/>
      <c r="G480" s="35" cm="1">
        <f t="array" ref="G480">IFERROR(_xlfn.XLOOKUP(1, (SKUs!$J$2:$J$10001=accsry_unmerged!F480)*IF(H480&lt;&gt;"",(SKUs!$L$2:$L$10001=accsry_unmerged!H480),1)*(SKUs!$K$2:$K$10001=I480),SKUs!$C$2:$C$10001),"")</f>
        <v>0</v>
      </c>
      <c r="H480" s="36" cm="1">
        <f t="array" ref="H480">IFERROR(_xlfn.XLOOKUP(1, (dd_accsryclr!$C$2:$C$1000=accsry_unmerged!F480)*(dd_accsryclr!$B$2:$B$1000=accsry_unmerged!J480),dd_accsryclr!$A$2:$A$1000),"")</f>
        <v>0</v>
      </c>
      <c r="I480" s="35">
        <f>_xlfn.XLOOKUP(C480,'Project Details'!$C$17:$C$66,'Project Details'!$E$17:$E$66,"",0)</f>
        <v>0</v>
      </c>
      <c r="J480" s="35">
        <f>_xlfn.XLOOKUP(C480,'Project Details'!$C$17:$C$66,'Project Details'!$H$17:$H$66,"",0)</f>
        <v>0</v>
      </c>
      <c r="K480" s="36" t="str">
        <f>IF(AND(_xlfn.XLOOKUP(C480,'Project Details'!$C$17:$C$66,'Project Details'!$L$17:$L$66,"",0)&gt;550, F480="Spring-L27cm"),"",SUBSTITUTE(_xlfn.XLOOKUP(G480,SKUs!$C$2:$C$10001,SKUs!$F$2:$F$10001,"",0), " Accessories",""))</f>
        <v/>
      </c>
      <c r="L480" s="36">
        <f>_xlfn.XLOOKUP(C480,'Project Details'!$C$17:$C$66,'Project Details'!$D$17:$D$66,"",0)</f>
        <v>0</v>
      </c>
      <c r="M480" s="43"/>
    </row>
    <row r="481" spans="1:13" x14ac:dyDescent="0.25">
      <c r="A481" s="43"/>
      <c r="B481" s="43"/>
      <c r="C481" s="16">
        <f t="shared" si="8"/>
        <v>10</v>
      </c>
      <c r="D481" s="16" t="str" cm="1">
        <f t="array" ref="D481">IFERROR(ROUNDUP(_xlfn.IFS(F481="Aluminum Track", _xlfn.XLOOKUP(C481, dd_accsrycalc!$A$2:$A$51, dd_accsrycalc!$B$2:$B$51, "",0), F481="10 x 2 1/2 S (Flat)", _xlfn.XLOOKUP(C481, dd_accsrycalc!$A$2:$A$51, dd_accsrycalc!$C$2:$C$51, "",0), F481="Tox6", _xlfn.XLOOKUP(C481, dd_accsrycalc!$A$2:$A$51, dd_accsrycalc!$D$2:$D$51, "",0), F481="Cover Cap", _xlfn.XLOOKUP(C481, dd_accsrycalc!$A$2:$A$51, dd_accsrycalc!$E$2:$E$51, "",0), F481="Drainage Cover", _xlfn.XLOOKUP(C481, dd_accsrycalc!$A$2:$A$51, dd_accsrycalc!$F$2:$F$51, "",0),AND( F481="Double Adhesive Tape", I481="Roll-up Screen"), _xlfn.XLOOKUP(C481, calc_rusacc!$C$15:$C$65, calc_rusacc!$AD$15:$AD$65, "",0),AND( F481="Sealant", I481="Roll-up Screen"), _xlfn.XLOOKUP(C481, calc_rusacc!$C$15:$C$65, calc_rusacc!$AF$15:$AF$65, "",0),  AND( F481="Main Chain", I481="Accordion Screen"), _xlfn.XLOOKUP(C481, calc_rusacc!$C$15:$C$65, calc_rusacc!$BF$15:$BF$65, "",0), AND( F481="Sealant", I481="Accordion Screen"), _xlfn.XLOOKUP(C481, calc_rusacc!$C$15:$C$65, calc_rusacc!$BJ$15:$BJ$65, "",0),  F481="Sealant", _xlfn.XLOOKUP(C481, dd_accsrycalc!$A$2:$A$51, dd_accsrycalc!$G$2:$G$51, "",0),  F481&lt;&gt;"",L481*_xlfn.XLOOKUP(1, (SKUs!$C$2:$C$10001=G481)*(SKUs!$K$2:$K$10001=I481),SKUs!$E$2:$E$10001)), 0),"")</f>
        <v/>
      </c>
      <c r="E481" s="16" t="str">
        <f>_xlfn.XLOOKUP(F481,dd_item!$B$2:$B$105,dd_item!$C$2:$C$105,"",0)</f>
        <v/>
      </c>
      <c r="F481" s="16"/>
      <c r="G481" s="16" cm="1">
        <f t="array" ref="G481">IFERROR(_xlfn.XLOOKUP(1, (SKUs!$J$2:$J$10001=accsry_unmerged!F481)*IF(H481&lt;&gt;"",(SKUs!$L$2:$L$10001=accsry_unmerged!H481),1)*(SKUs!$K$2:$K$10001=I481),SKUs!$C$2:$C$10001),"")</f>
        <v>0</v>
      </c>
      <c r="H481" s="33" cm="1">
        <f t="array" ref="H481">IFERROR(_xlfn.XLOOKUP(1, (dd_accsryclr!$C$2:$C$1000=accsry_unmerged!F481)*(dd_accsryclr!$B$2:$B$1000=accsry_unmerged!J481),dd_accsryclr!$A$2:$A$1000),"")</f>
        <v>0</v>
      </c>
      <c r="I481" s="16">
        <f>_xlfn.XLOOKUP(C481,'Project Details'!$C$17:$C$66,'Project Details'!$E$17:$E$66,"",0)</f>
        <v>0</v>
      </c>
      <c r="J481" s="16">
        <f>_xlfn.XLOOKUP(C481,'Project Details'!$C$17:$C$66,'Project Details'!$H$17:$H$66,"",0)</f>
        <v>0</v>
      </c>
      <c r="K481" s="33" t="str">
        <f>IF(AND(_xlfn.XLOOKUP(C481,'Project Details'!$C$17:$C$66,'Project Details'!$L$17:$L$66,"",0)&gt;550, F481="Spring-L27cm"),"",SUBSTITUTE(_xlfn.XLOOKUP(G481,SKUs!$C$2:$C$10001,SKUs!$F$2:$F$10001,"",0), " Accessories",""))</f>
        <v/>
      </c>
      <c r="L481" s="33">
        <f>_xlfn.XLOOKUP(C481,'Project Details'!$C$17:$C$66,'Project Details'!$D$17:$D$66,"",0)</f>
        <v>0</v>
      </c>
      <c r="M481" s="43"/>
    </row>
    <row r="482" spans="1:13" x14ac:dyDescent="0.25">
      <c r="A482" s="43"/>
      <c r="B482" s="43"/>
      <c r="C482" s="35">
        <f t="shared" si="8"/>
        <v>10</v>
      </c>
      <c r="D482" s="35" t="str" cm="1">
        <f t="array" ref="D482">IFERROR(ROUNDUP(_xlfn.IFS(F482="Aluminum Track", _xlfn.XLOOKUP(C482, dd_accsrycalc!$A$2:$A$51, dd_accsrycalc!$B$2:$B$51, "",0), F482="10 x 2 1/2 S (Flat)", _xlfn.XLOOKUP(C482, dd_accsrycalc!$A$2:$A$51, dd_accsrycalc!$C$2:$C$51, "",0), F482="Tox6", _xlfn.XLOOKUP(C482, dd_accsrycalc!$A$2:$A$51, dd_accsrycalc!$D$2:$D$51, "",0), F482="Cover Cap", _xlfn.XLOOKUP(C482, dd_accsrycalc!$A$2:$A$51, dd_accsrycalc!$E$2:$E$51, "",0), F482="Drainage Cover", _xlfn.XLOOKUP(C482, dd_accsrycalc!$A$2:$A$51, dd_accsrycalc!$F$2:$F$51, "",0),AND( F482="Double Adhesive Tape", I482="Roll-up Screen"), _xlfn.XLOOKUP(C482, calc_rusacc!$C$15:$C$65, calc_rusacc!$AD$15:$AD$65, "",0),AND( F482="Sealant", I482="Roll-up Screen"), _xlfn.XLOOKUP(C482, calc_rusacc!$C$15:$C$65, calc_rusacc!$AF$15:$AF$65, "",0),  AND( F482="Main Chain", I482="Accordion Screen"), _xlfn.XLOOKUP(C482, calc_rusacc!$C$15:$C$65, calc_rusacc!$BF$15:$BF$65, "",0), AND( F482="Sealant", I482="Accordion Screen"), _xlfn.XLOOKUP(C482, calc_rusacc!$C$15:$C$65, calc_rusacc!$BJ$15:$BJ$65, "",0),  F482="Sealant", _xlfn.XLOOKUP(C482, dd_accsrycalc!$A$2:$A$51, dd_accsrycalc!$G$2:$G$51, "",0),  F482&lt;&gt;"",L482*_xlfn.XLOOKUP(1, (SKUs!$C$2:$C$10001=G482)*(SKUs!$K$2:$K$10001=I482),SKUs!$E$2:$E$10001)), 0),"")</f>
        <v/>
      </c>
      <c r="E482" s="35" t="str">
        <f>_xlfn.XLOOKUP(F482,dd_item!$B$2:$B$105,dd_item!$C$2:$C$105,"",0)</f>
        <v/>
      </c>
      <c r="F482" s="35"/>
      <c r="G482" s="35" cm="1">
        <f t="array" ref="G482">IFERROR(_xlfn.XLOOKUP(1, (SKUs!$J$2:$J$10001=accsry_unmerged!F482)*IF(H482&lt;&gt;"",(SKUs!$L$2:$L$10001=accsry_unmerged!H482),1)*(SKUs!$K$2:$K$10001=I482),SKUs!$C$2:$C$10001),"")</f>
        <v>0</v>
      </c>
      <c r="H482" s="36" cm="1">
        <f t="array" ref="H482">IFERROR(_xlfn.XLOOKUP(1, (dd_accsryclr!$C$2:$C$1000=accsry_unmerged!F482)*(dd_accsryclr!$B$2:$B$1000=accsry_unmerged!J482),dd_accsryclr!$A$2:$A$1000),"")</f>
        <v>0</v>
      </c>
      <c r="I482" s="35">
        <f>_xlfn.XLOOKUP(C482,'Project Details'!$C$17:$C$66,'Project Details'!$E$17:$E$66,"",0)</f>
        <v>0</v>
      </c>
      <c r="J482" s="35">
        <f>_xlfn.XLOOKUP(C482,'Project Details'!$C$17:$C$66,'Project Details'!$H$17:$H$66,"",0)</f>
        <v>0</v>
      </c>
      <c r="K482" s="36" t="str">
        <f>IF(AND(_xlfn.XLOOKUP(C482,'Project Details'!$C$17:$C$66,'Project Details'!$L$17:$L$66,"",0)&gt;550, F482="Spring-L27cm"),"",SUBSTITUTE(_xlfn.XLOOKUP(G482,SKUs!$C$2:$C$10001,SKUs!$F$2:$F$10001,"",0), " Accessories",""))</f>
        <v/>
      </c>
      <c r="L482" s="36">
        <f>_xlfn.XLOOKUP(C482,'Project Details'!$C$17:$C$66,'Project Details'!$D$17:$D$66,"",0)</f>
        <v>0</v>
      </c>
      <c r="M482" s="43"/>
    </row>
    <row r="483" spans="1:13" x14ac:dyDescent="0.25">
      <c r="A483" s="43"/>
      <c r="B483" s="43"/>
      <c r="C483" s="16">
        <f t="shared" si="8"/>
        <v>10</v>
      </c>
      <c r="D483" s="16" t="str" cm="1">
        <f t="array" ref="D483">IFERROR(ROUNDUP(_xlfn.IFS(F483="Aluminum Track", _xlfn.XLOOKUP(C483, dd_accsrycalc!$A$2:$A$51, dd_accsrycalc!$B$2:$B$51, "",0), F483="10 x 2 1/2 S (Flat)", _xlfn.XLOOKUP(C483, dd_accsrycalc!$A$2:$A$51, dd_accsrycalc!$C$2:$C$51, "",0), F483="Tox6", _xlfn.XLOOKUP(C483, dd_accsrycalc!$A$2:$A$51, dd_accsrycalc!$D$2:$D$51, "",0), F483="Cover Cap", _xlfn.XLOOKUP(C483, dd_accsrycalc!$A$2:$A$51, dd_accsrycalc!$E$2:$E$51, "",0), F483="Drainage Cover", _xlfn.XLOOKUP(C483, dd_accsrycalc!$A$2:$A$51, dd_accsrycalc!$F$2:$F$51, "",0),AND( F483="Double Adhesive Tape", I483="Roll-up Screen"), _xlfn.XLOOKUP(C483, calc_rusacc!$C$15:$C$65, calc_rusacc!$AD$15:$AD$65, "",0),AND( F483="Sealant", I483="Roll-up Screen"), _xlfn.XLOOKUP(C483, calc_rusacc!$C$15:$C$65, calc_rusacc!$AF$15:$AF$65, "",0),  AND( F483="Main Chain", I483="Accordion Screen"), _xlfn.XLOOKUP(C483, calc_rusacc!$C$15:$C$65, calc_rusacc!$BF$15:$BF$65, "",0), AND( F483="Sealant", I483="Accordion Screen"), _xlfn.XLOOKUP(C483, calc_rusacc!$C$15:$C$65, calc_rusacc!$BJ$15:$BJ$65, "",0),  F483="Sealant", _xlfn.XLOOKUP(C483, dd_accsrycalc!$A$2:$A$51, dd_accsrycalc!$G$2:$G$51, "",0),  F483&lt;&gt;"",L483*_xlfn.XLOOKUP(1, (SKUs!$C$2:$C$10001=G483)*(SKUs!$K$2:$K$10001=I483),SKUs!$E$2:$E$10001)), 0),"")</f>
        <v/>
      </c>
      <c r="E483" s="16" t="str">
        <f>_xlfn.XLOOKUP(F483,dd_item!$B$2:$B$105,dd_item!$C$2:$C$105,"",0)</f>
        <v/>
      </c>
      <c r="F483" s="16"/>
      <c r="G483" s="16" cm="1">
        <f t="array" ref="G483">IFERROR(_xlfn.XLOOKUP(1, (SKUs!$J$2:$J$10001=accsry_unmerged!F483)*IF(H483&lt;&gt;"",(SKUs!$L$2:$L$10001=accsry_unmerged!H483),1)*(SKUs!$K$2:$K$10001=I483),SKUs!$C$2:$C$10001),"")</f>
        <v>0</v>
      </c>
      <c r="H483" s="33" cm="1">
        <f t="array" ref="H483">IFERROR(_xlfn.XLOOKUP(1, (dd_accsryclr!$C$2:$C$1000=accsry_unmerged!F483)*(dd_accsryclr!$B$2:$B$1000=accsry_unmerged!J483),dd_accsryclr!$A$2:$A$1000),"")</f>
        <v>0</v>
      </c>
      <c r="I483" s="16">
        <f>_xlfn.XLOOKUP(C483,'Project Details'!$C$17:$C$66,'Project Details'!$E$17:$E$66,"",0)</f>
        <v>0</v>
      </c>
      <c r="J483" s="16">
        <f>_xlfn.XLOOKUP(C483,'Project Details'!$C$17:$C$66,'Project Details'!$H$17:$H$66,"",0)</f>
        <v>0</v>
      </c>
      <c r="K483" s="33" t="str">
        <f>IF(AND(_xlfn.XLOOKUP(C483,'Project Details'!$C$17:$C$66,'Project Details'!$L$17:$L$66,"",0)&gt;550, F483="Spring-L27cm"),"",SUBSTITUTE(_xlfn.XLOOKUP(G483,SKUs!$C$2:$C$10001,SKUs!$F$2:$F$10001,"",0), " Accessories",""))</f>
        <v/>
      </c>
      <c r="L483" s="33">
        <f>_xlfn.XLOOKUP(C483,'Project Details'!$C$17:$C$66,'Project Details'!$D$17:$D$66,"",0)</f>
        <v>0</v>
      </c>
      <c r="M483" s="43"/>
    </row>
    <row r="484" spans="1:13" ht="13.5" customHeight="1" x14ac:dyDescent="0.25">
      <c r="A484" s="43"/>
      <c r="B484" s="43"/>
      <c r="C484" s="35">
        <f t="shared" si="8"/>
        <v>10</v>
      </c>
      <c r="D484" s="35" t="str" cm="1">
        <f t="array" ref="D484">IFERROR(ROUNDUP(_xlfn.IFS(F484="Aluminum Track", _xlfn.XLOOKUP(C484, dd_accsrycalc!$A$2:$A$51, dd_accsrycalc!$B$2:$B$51, "",0), F484="10 x 2 1/2 S (Flat)", _xlfn.XLOOKUP(C484, dd_accsrycalc!$A$2:$A$51, dd_accsrycalc!$C$2:$C$51, "",0), F484="Tox6", _xlfn.XLOOKUP(C484, dd_accsrycalc!$A$2:$A$51, dd_accsrycalc!$D$2:$D$51, "",0), F484="Cover Cap", _xlfn.XLOOKUP(C484, dd_accsrycalc!$A$2:$A$51, dd_accsrycalc!$E$2:$E$51, "",0), F484="Drainage Cover", _xlfn.XLOOKUP(C484, dd_accsrycalc!$A$2:$A$51, dd_accsrycalc!$F$2:$F$51, "",0),AND( F484="Double Adhesive Tape", I484="Roll-up Screen"), _xlfn.XLOOKUP(C484, calc_rusacc!$C$15:$C$65, calc_rusacc!$AD$15:$AD$65, "",0),AND( F484="Sealant", I484="Roll-up Screen"), _xlfn.XLOOKUP(C484, calc_rusacc!$C$15:$C$65, calc_rusacc!$AF$15:$AF$65, "",0),  AND( F484="Main Chain", I484="Accordion Screen"), _xlfn.XLOOKUP(C484, calc_rusacc!$C$15:$C$65, calc_rusacc!$BF$15:$BF$65, "",0), AND( F484="Sealant", I484="Accordion Screen"), _xlfn.XLOOKUP(C484, calc_rusacc!$C$15:$C$65, calc_rusacc!$BJ$15:$BJ$65, "",0),  F484="Sealant", _xlfn.XLOOKUP(C484, dd_accsrycalc!$A$2:$A$51, dd_accsrycalc!$G$2:$G$51, "",0),  F484&lt;&gt;"",L484*_xlfn.XLOOKUP(1, (SKUs!$C$2:$C$10001=G484)*(SKUs!$K$2:$K$10001=I484),SKUs!$E$2:$E$10001)), 0),"")</f>
        <v/>
      </c>
      <c r="E484" s="35" t="str">
        <f>_xlfn.XLOOKUP(F484,dd_item!$B$2:$B$105,dd_item!$C$2:$C$105,"",0)</f>
        <v/>
      </c>
      <c r="F484" s="35"/>
      <c r="G484" s="35" cm="1">
        <f t="array" ref="G484">IFERROR(_xlfn.XLOOKUP(1, (SKUs!$J$2:$J$10001=accsry_unmerged!F484)*IF(H484&lt;&gt;"",(SKUs!$L$2:$L$10001=accsry_unmerged!H484),1)*(SKUs!$K$2:$K$10001=I484),SKUs!$C$2:$C$10001),"")</f>
        <v>0</v>
      </c>
      <c r="H484" s="36" cm="1">
        <f t="array" ref="H484">IFERROR(_xlfn.XLOOKUP(1, (dd_accsryclr!$C$2:$C$1000=accsry_unmerged!F484)*(dd_accsryclr!$B$2:$B$1000=accsry_unmerged!J484),dd_accsryclr!$A$2:$A$1000),"")</f>
        <v>0</v>
      </c>
      <c r="I484" s="35">
        <f>_xlfn.XLOOKUP(C484,'Project Details'!$C$17:$C$66,'Project Details'!$E$17:$E$66,"",0)</f>
        <v>0</v>
      </c>
      <c r="J484" s="35">
        <f>_xlfn.XLOOKUP(C484,'Project Details'!$C$17:$C$66,'Project Details'!$H$17:$H$66,"",0)</f>
        <v>0</v>
      </c>
      <c r="K484" s="36" t="str">
        <f>IF(AND(_xlfn.XLOOKUP(C484,'Project Details'!$C$17:$C$66,'Project Details'!$L$17:$L$66,"",0)&gt;550, F484="Spring-L27cm"),"",SUBSTITUTE(_xlfn.XLOOKUP(G484,SKUs!$C$2:$C$10001,SKUs!$F$2:$F$10001,"",0), " Accessories",""))</f>
        <v/>
      </c>
      <c r="L484" s="36">
        <f>_xlfn.XLOOKUP(C484,'Project Details'!$C$17:$C$66,'Project Details'!$D$17:$D$66,"",0)</f>
        <v>0</v>
      </c>
      <c r="M484" s="43"/>
    </row>
    <row r="485" spans="1:13" ht="13.5" customHeight="1" x14ac:dyDescent="0.25">
      <c r="A485" s="43"/>
      <c r="B485" s="43"/>
      <c r="C485" s="16">
        <f t="shared" si="8"/>
        <v>10</v>
      </c>
      <c r="D485" s="16" t="str" cm="1">
        <f t="array" ref="D485">IFERROR(ROUNDUP(_xlfn.IFS(F485="Aluminum Track", _xlfn.XLOOKUP(C485, dd_accsrycalc!$A$2:$A$51, dd_accsrycalc!$B$2:$B$51, "",0), F485="10 x 2 1/2 S (Flat)", _xlfn.XLOOKUP(C485, dd_accsrycalc!$A$2:$A$51, dd_accsrycalc!$C$2:$C$51, "",0), F485="Tox6", _xlfn.XLOOKUP(C485, dd_accsrycalc!$A$2:$A$51, dd_accsrycalc!$D$2:$D$51, "",0), F485="Cover Cap", _xlfn.XLOOKUP(C485, dd_accsrycalc!$A$2:$A$51, dd_accsrycalc!$E$2:$E$51, "",0), F485="Drainage Cover", _xlfn.XLOOKUP(C485, dd_accsrycalc!$A$2:$A$51, dd_accsrycalc!$F$2:$F$51, "",0),AND( F485="Double Adhesive Tape", I485="Roll-up Screen"), _xlfn.XLOOKUP(C485, calc_rusacc!$C$15:$C$65, calc_rusacc!$AD$15:$AD$65, "",0),AND( F485="Sealant", I485="Roll-up Screen"), _xlfn.XLOOKUP(C485, calc_rusacc!$C$15:$C$65, calc_rusacc!$AF$15:$AF$65, "",0),  AND( F485="Main Chain", I485="Accordion Screen"), _xlfn.XLOOKUP(C485, calc_rusacc!$C$15:$C$65, calc_rusacc!$BF$15:$BF$65, "",0), AND( F485="Sealant", I485="Accordion Screen"), _xlfn.XLOOKUP(C485, calc_rusacc!$C$15:$C$65, calc_rusacc!$BJ$15:$BJ$65, "",0),  F485="Sealant", _xlfn.XLOOKUP(C485, dd_accsrycalc!$A$2:$A$51, dd_accsrycalc!$G$2:$G$51, "",0),  F485&lt;&gt;"",L485*_xlfn.XLOOKUP(1, (SKUs!$C$2:$C$10001=G485)*(SKUs!$K$2:$K$10001=I485),SKUs!$E$2:$E$10001)), 0),"")</f>
        <v/>
      </c>
      <c r="E485" s="16" t="str">
        <f>_xlfn.XLOOKUP(F485,dd_item!$B$2:$B$105,dd_item!$C$2:$C$105,"",0)</f>
        <v/>
      </c>
      <c r="F485" s="16"/>
      <c r="G485" s="16" cm="1">
        <f t="array" ref="G485">IFERROR(_xlfn.XLOOKUP(1, (SKUs!$J$2:$J$10001=accsry_unmerged!F485)*IF(H485&lt;&gt;"",(SKUs!$L$2:$L$10001=accsry_unmerged!H485),1)*(SKUs!$K$2:$K$10001=I485),SKUs!$C$2:$C$10001),"")</f>
        <v>0</v>
      </c>
      <c r="H485" s="33" cm="1">
        <f t="array" ref="H485">IFERROR(_xlfn.XLOOKUP(1, (dd_accsryclr!$C$2:$C$1000=accsry_unmerged!F485)*(dd_accsryclr!$B$2:$B$1000=accsry_unmerged!J485),dd_accsryclr!$A$2:$A$1000),"")</f>
        <v>0</v>
      </c>
      <c r="I485" s="16">
        <f>_xlfn.XLOOKUP(C485,'Project Details'!$C$17:$C$66,'Project Details'!$E$17:$E$66,"",0)</f>
        <v>0</v>
      </c>
      <c r="J485" s="16">
        <f>_xlfn.XLOOKUP(C485,'Project Details'!$C$17:$C$66,'Project Details'!$H$17:$H$66,"",0)</f>
        <v>0</v>
      </c>
      <c r="K485" s="33" t="str">
        <f>IF(AND(_xlfn.XLOOKUP(C485,'Project Details'!$C$17:$C$66,'Project Details'!$L$17:$L$66,"",0)&gt;550, F485="Spring-L27cm"),"",SUBSTITUTE(_xlfn.XLOOKUP(G485,SKUs!$C$2:$C$10001,SKUs!$F$2:$F$10001,"",0), " Accessories",""))</f>
        <v/>
      </c>
      <c r="L485" s="33">
        <f>_xlfn.XLOOKUP(C485,'Project Details'!$C$17:$C$66,'Project Details'!$D$17:$D$66,"",0)</f>
        <v>0</v>
      </c>
      <c r="M485" s="43"/>
    </row>
    <row r="486" spans="1:13" ht="13.5" customHeight="1" x14ac:dyDescent="0.25">
      <c r="A486" s="43"/>
      <c r="B486" s="43"/>
      <c r="C486" s="35">
        <f t="shared" si="8"/>
        <v>10</v>
      </c>
      <c r="D486" s="35" t="str" cm="1">
        <f t="array" ref="D486">IFERROR(ROUNDUP(_xlfn.IFS(F486="Aluminum Track", _xlfn.XLOOKUP(C486, dd_accsrycalc!$A$2:$A$51, dd_accsrycalc!$B$2:$B$51, "",0), F486="10 x 2 1/2 S (Flat)", _xlfn.XLOOKUP(C486, dd_accsrycalc!$A$2:$A$51, dd_accsrycalc!$C$2:$C$51, "",0), F486="Tox6", _xlfn.XLOOKUP(C486, dd_accsrycalc!$A$2:$A$51, dd_accsrycalc!$D$2:$D$51, "",0), F486="Cover Cap", _xlfn.XLOOKUP(C486, dd_accsrycalc!$A$2:$A$51, dd_accsrycalc!$E$2:$E$51, "",0), F486="Drainage Cover", _xlfn.XLOOKUP(C486, dd_accsrycalc!$A$2:$A$51, dd_accsrycalc!$F$2:$F$51, "",0),AND( F486="Double Adhesive Tape", I486="Roll-up Screen"), _xlfn.XLOOKUP(C486, calc_rusacc!$C$15:$C$65, calc_rusacc!$AD$15:$AD$65, "",0),AND( F486="Sealant", I486="Roll-up Screen"), _xlfn.XLOOKUP(C486, calc_rusacc!$C$15:$C$65, calc_rusacc!$AF$15:$AF$65, "",0),  AND( F486="Main Chain", I486="Accordion Screen"), _xlfn.XLOOKUP(C486, calc_rusacc!$C$15:$C$65, calc_rusacc!$BF$15:$BF$65, "",0), AND( F486="Sealant", I486="Accordion Screen"), _xlfn.XLOOKUP(C486, calc_rusacc!$C$15:$C$65, calc_rusacc!$BJ$15:$BJ$65, "",0),  F486="Sealant", _xlfn.XLOOKUP(C486, dd_accsrycalc!$A$2:$A$51, dd_accsrycalc!$G$2:$G$51, "",0),  F486&lt;&gt;"",L486*_xlfn.XLOOKUP(1, (SKUs!$C$2:$C$10001=G486)*(SKUs!$K$2:$K$10001=I486),SKUs!$E$2:$E$10001)), 0),"")</f>
        <v/>
      </c>
      <c r="E486" s="35" t="str">
        <f>_xlfn.XLOOKUP(F486,dd_item!$B$2:$B$105,dd_item!$C$2:$C$105,"",0)</f>
        <v/>
      </c>
      <c r="F486" s="35"/>
      <c r="G486" s="35" cm="1">
        <f t="array" ref="G486">IFERROR(_xlfn.XLOOKUP(1, (SKUs!$J$2:$J$10001=accsry_unmerged!F486)*IF(H486&lt;&gt;"",(SKUs!$L$2:$L$10001=accsry_unmerged!H486),1)*(SKUs!$K$2:$K$10001=I486),SKUs!$C$2:$C$10001),"")</f>
        <v>0</v>
      </c>
      <c r="H486" s="36" cm="1">
        <f t="array" ref="H486">IFERROR(_xlfn.XLOOKUP(1, (dd_accsryclr!$C$2:$C$1000=accsry_unmerged!F486)*(dd_accsryclr!$B$2:$B$1000=accsry_unmerged!J486),dd_accsryclr!$A$2:$A$1000),"")</f>
        <v>0</v>
      </c>
      <c r="I486" s="35">
        <f>_xlfn.XLOOKUP(C486,'Project Details'!$C$17:$C$66,'Project Details'!$E$17:$E$66,"",0)</f>
        <v>0</v>
      </c>
      <c r="J486" s="35">
        <f>_xlfn.XLOOKUP(C486,'Project Details'!$C$17:$C$66,'Project Details'!$H$17:$H$66,"",0)</f>
        <v>0</v>
      </c>
      <c r="K486" s="36" t="str">
        <f>IF(AND(_xlfn.XLOOKUP(C486,'Project Details'!$C$17:$C$66,'Project Details'!$L$17:$L$66,"",0)&gt;550, F486="Spring-L27cm"),"",SUBSTITUTE(_xlfn.XLOOKUP(G486,SKUs!$C$2:$C$10001,SKUs!$F$2:$F$10001,"",0), " Accessories",""))</f>
        <v/>
      </c>
      <c r="L486" s="36">
        <f>_xlfn.XLOOKUP(C486,'Project Details'!$C$17:$C$66,'Project Details'!$D$17:$D$66,"",0)</f>
        <v>0</v>
      </c>
      <c r="M486" s="43"/>
    </row>
    <row r="487" spans="1:13" ht="13.5" customHeight="1" x14ac:dyDescent="0.25">
      <c r="A487" s="43"/>
      <c r="B487" s="43"/>
      <c r="C487" s="16">
        <f t="shared" si="8"/>
        <v>10</v>
      </c>
      <c r="D487" s="16" t="str" cm="1">
        <f t="array" ref="D487">IFERROR(ROUNDUP(_xlfn.IFS(F487="Aluminum Track", _xlfn.XLOOKUP(C487, dd_accsrycalc!$A$2:$A$51, dd_accsrycalc!$B$2:$B$51, "",0), F487="10 x 2 1/2 S (Flat)", _xlfn.XLOOKUP(C487, dd_accsrycalc!$A$2:$A$51, dd_accsrycalc!$C$2:$C$51, "",0), F487="Tox6", _xlfn.XLOOKUP(C487, dd_accsrycalc!$A$2:$A$51, dd_accsrycalc!$D$2:$D$51, "",0), F487="Cover Cap", _xlfn.XLOOKUP(C487, dd_accsrycalc!$A$2:$A$51, dd_accsrycalc!$E$2:$E$51, "",0), F487="Drainage Cover", _xlfn.XLOOKUP(C487, dd_accsrycalc!$A$2:$A$51, dd_accsrycalc!$F$2:$F$51, "",0),AND( F487="Double Adhesive Tape", I487="Roll-up Screen"), _xlfn.XLOOKUP(C487, calc_rusacc!$C$15:$C$65, calc_rusacc!$AD$15:$AD$65, "",0),AND( F487="Sealant", I487="Roll-up Screen"), _xlfn.XLOOKUP(C487, calc_rusacc!$C$15:$C$65, calc_rusacc!$AF$15:$AF$65, "",0),  AND( F487="Main Chain", I487="Accordion Screen"), _xlfn.XLOOKUP(C487, calc_rusacc!$C$15:$C$65, calc_rusacc!$BF$15:$BF$65, "",0), AND( F487="Sealant", I487="Accordion Screen"), _xlfn.XLOOKUP(C487, calc_rusacc!$C$15:$C$65, calc_rusacc!$BJ$15:$BJ$65, "",0),  F487="Sealant", _xlfn.XLOOKUP(C487, dd_accsrycalc!$A$2:$A$51, dd_accsrycalc!$G$2:$G$51, "",0),  F487&lt;&gt;"",L487*_xlfn.XLOOKUP(1, (SKUs!$C$2:$C$10001=G487)*(SKUs!$K$2:$K$10001=I487),SKUs!$E$2:$E$10001)), 0),"")</f>
        <v/>
      </c>
      <c r="E487" s="16" t="str">
        <f>_xlfn.XLOOKUP(F487,dd_item!$B$2:$B$105,dd_item!$C$2:$C$105,"",0)</f>
        <v/>
      </c>
      <c r="F487" s="16"/>
      <c r="G487" s="16" cm="1">
        <f t="array" ref="G487">IFERROR(_xlfn.XLOOKUP(1, (SKUs!$J$2:$J$10001=accsry_unmerged!F487)*IF(H487&lt;&gt;"",(SKUs!$L$2:$L$10001=accsry_unmerged!H487),1)*(SKUs!$K$2:$K$10001=I487),SKUs!$C$2:$C$10001),"")</f>
        <v>0</v>
      </c>
      <c r="H487" s="33" cm="1">
        <f t="array" ref="H487">IFERROR(_xlfn.XLOOKUP(1, (dd_accsryclr!$C$2:$C$1000=accsry_unmerged!F487)*(dd_accsryclr!$B$2:$B$1000=accsry_unmerged!J487),dd_accsryclr!$A$2:$A$1000),"")</f>
        <v>0</v>
      </c>
      <c r="I487" s="16">
        <f>_xlfn.XLOOKUP(C487,'Project Details'!$C$17:$C$66,'Project Details'!$E$17:$E$66,"",0)</f>
        <v>0</v>
      </c>
      <c r="J487" s="16">
        <f>_xlfn.XLOOKUP(C487,'Project Details'!$C$17:$C$66,'Project Details'!$H$17:$H$66,"",0)</f>
        <v>0</v>
      </c>
      <c r="K487" s="33" t="str">
        <f>IF(AND(_xlfn.XLOOKUP(C487,'Project Details'!$C$17:$C$66,'Project Details'!$L$17:$L$66,"",0)&gt;550, F487="Spring-L27cm"),"",SUBSTITUTE(_xlfn.XLOOKUP(G487,SKUs!$C$2:$C$10001,SKUs!$F$2:$F$10001,"",0), " Accessories",""))</f>
        <v/>
      </c>
      <c r="L487" s="33">
        <f>_xlfn.XLOOKUP(C487,'Project Details'!$C$17:$C$66,'Project Details'!$D$17:$D$66,"",0)</f>
        <v>0</v>
      </c>
      <c r="M487" s="43"/>
    </row>
    <row r="488" spans="1:13" ht="13.5" customHeight="1" x14ac:dyDescent="0.25">
      <c r="A488" s="43"/>
      <c r="B488" s="43"/>
      <c r="C488" s="35">
        <f t="shared" si="8"/>
        <v>10</v>
      </c>
      <c r="D488" s="35" t="str" cm="1">
        <f t="array" ref="D488">IFERROR(ROUNDUP(_xlfn.IFS(F488="Aluminum Track", _xlfn.XLOOKUP(C488, dd_accsrycalc!$A$2:$A$51, dd_accsrycalc!$B$2:$B$51, "",0), F488="10 x 2 1/2 S (Flat)", _xlfn.XLOOKUP(C488, dd_accsrycalc!$A$2:$A$51, dd_accsrycalc!$C$2:$C$51, "",0), F488="Tox6", _xlfn.XLOOKUP(C488, dd_accsrycalc!$A$2:$A$51, dd_accsrycalc!$D$2:$D$51, "",0), F488="Cover Cap", _xlfn.XLOOKUP(C488, dd_accsrycalc!$A$2:$A$51, dd_accsrycalc!$E$2:$E$51, "",0), F488="Drainage Cover", _xlfn.XLOOKUP(C488, dd_accsrycalc!$A$2:$A$51, dd_accsrycalc!$F$2:$F$51, "",0),AND( F488="Double Adhesive Tape", I488="Roll-up Screen"), _xlfn.XLOOKUP(C488, calc_rusacc!$C$15:$C$65, calc_rusacc!$AD$15:$AD$65, "",0),AND( F488="Sealant", I488="Roll-up Screen"), _xlfn.XLOOKUP(C488, calc_rusacc!$C$15:$C$65, calc_rusacc!$AF$15:$AF$65, "",0),  AND( F488="Main Chain", I488="Accordion Screen"), _xlfn.XLOOKUP(C488, calc_rusacc!$C$15:$C$65, calc_rusacc!$BF$15:$BF$65, "",0), AND( F488="Sealant", I488="Accordion Screen"), _xlfn.XLOOKUP(C488, calc_rusacc!$C$15:$C$65, calc_rusacc!$BJ$15:$BJ$65, "",0),  F488="Sealant", _xlfn.XLOOKUP(C488, dd_accsrycalc!$A$2:$A$51, dd_accsrycalc!$G$2:$G$51, "",0),  F488&lt;&gt;"",L488*_xlfn.XLOOKUP(1, (SKUs!$C$2:$C$10001=G488)*(SKUs!$K$2:$K$10001=I488),SKUs!$E$2:$E$10001)), 0),"")</f>
        <v/>
      </c>
      <c r="E488" s="35" t="str">
        <f>_xlfn.XLOOKUP(F488,dd_item!$B$2:$B$105,dd_item!$C$2:$C$105,"",0)</f>
        <v/>
      </c>
      <c r="F488" s="35"/>
      <c r="G488" s="35" cm="1">
        <f t="array" ref="G488">IFERROR(_xlfn.XLOOKUP(1, (SKUs!$J$2:$J$10001=accsry_unmerged!F488)*IF(H488&lt;&gt;"",(SKUs!$L$2:$L$10001=accsry_unmerged!H488),1)*(SKUs!$K$2:$K$10001=I488),SKUs!$C$2:$C$10001),"")</f>
        <v>0</v>
      </c>
      <c r="H488" s="36" cm="1">
        <f t="array" ref="H488">IFERROR(_xlfn.XLOOKUP(1, (dd_accsryclr!$C$2:$C$1000=accsry_unmerged!F488)*(dd_accsryclr!$B$2:$B$1000=accsry_unmerged!J488),dd_accsryclr!$A$2:$A$1000),"")</f>
        <v>0</v>
      </c>
      <c r="I488" s="35">
        <f>_xlfn.XLOOKUP(C488,'Project Details'!$C$17:$C$66,'Project Details'!$E$17:$E$66,"",0)</f>
        <v>0</v>
      </c>
      <c r="J488" s="35">
        <f>_xlfn.XLOOKUP(C488,'Project Details'!$C$17:$C$66,'Project Details'!$H$17:$H$66,"",0)</f>
        <v>0</v>
      </c>
      <c r="K488" s="36" t="str">
        <f>IF(AND(_xlfn.XLOOKUP(C488,'Project Details'!$C$17:$C$66,'Project Details'!$L$17:$L$66,"",0)&gt;550, F488="Spring-L27cm"),"",SUBSTITUTE(_xlfn.XLOOKUP(G488,SKUs!$C$2:$C$10001,SKUs!$F$2:$F$10001,"",0), " Accessories",""))</f>
        <v/>
      </c>
      <c r="L488" s="36">
        <f>_xlfn.XLOOKUP(C488,'Project Details'!$C$17:$C$66,'Project Details'!$D$17:$D$66,"",0)</f>
        <v>0</v>
      </c>
      <c r="M488" s="43"/>
    </row>
    <row r="489" spans="1:13" ht="13.5" customHeight="1" x14ac:dyDescent="0.25">
      <c r="A489" s="43"/>
      <c r="B489" s="43"/>
      <c r="C489" s="16">
        <f t="shared" si="8"/>
        <v>10</v>
      </c>
      <c r="D489" s="16" t="str" cm="1">
        <f t="array" ref="D489">IFERROR(ROUNDUP(_xlfn.IFS(F489="Aluminum Track", _xlfn.XLOOKUP(C489, dd_accsrycalc!$A$2:$A$51, dd_accsrycalc!$B$2:$B$51, "",0), F489="10 x 2 1/2 S (Flat)", _xlfn.XLOOKUP(C489, dd_accsrycalc!$A$2:$A$51, dd_accsrycalc!$C$2:$C$51, "",0), F489="Tox6", _xlfn.XLOOKUP(C489, dd_accsrycalc!$A$2:$A$51, dd_accsrycalc!$D$2:$D$51, "",0), F489="Cover Cap", _xlfn.XLOOKUP(C489, dd_accsrycalc!$A$2:$A$51, dd_accsrycalc!$E$2:$E$51, "",0), F489="Drainage Cover", _xlfn.XLOOKUP(C489, dd_accsrycalc!$A$2:$A$51, dd_accsrycalc!$F$2:$F$51, "",0),AND( F489="Double Adhesive Tape", I489="Roll-up Screen"), _xlfn.XLOOKUP(C489, calc_rusacc!$C$15:$C$65, calc_rusacc!$AD$15:$AD$65, "",0),AND( F489="Sealant", I489="Roll-up Screen"), _xlfn.XLOOKUP(C489, calc_rusacc!$C$15:$C$65, calc_rusacc!$AF$15:$AF$65, "",0),  AND( F489="Main Chain", I489="Accordion Screen"), _xlfn.XLOOKUP(C489, calc_rusacc!$C$15:$C$65, calc_rusacc!$BF$15:$BF$65, "",0), AND( F489="Sealant", I489="Accordion Screen"), _xlfn.XLOOKUP(C489, calc_rusacc!$C$15:$C$65, calc_rusacc!$BJ$15:$BJ$65, "",0),  F489="Sealant", _xlfn.XLOOKUP(C489, dd_accsrycalc!$A$2:$A$51, dd_accsrycalc!$G$2:$G$51, "",0),  F489&lt;&gt;"",L489*_xlfn.XLOOKUP(1, (SKUs!$C$2:$C$10001=G489)*(SKUs!$K$2:$K$10001=I489),SKUs!$E$2:$E$10001)), 0),"")</f>
        <v/>
      </c>
      <c r="E489" s="16" t="str">
        <f>_xlfn.XLOOKUP(F489,dd_item!$B$2:$B$105,dd_item!$C$2:$C$105,"",0)</f>
        <v/>
      </c>
      <c r="F489" s="16"/>
      <c r="G489" s="16" cm="1">
        <f t="array" ref="G489">IFERROR(_xlfn.XLOOKUP(1, (SKUs!$J$2:$J$10001=accsry_unmerged!F489)*IF(H489&lt;&gt;"",(SKUs!$L$2:$L$10001=accsry_unmerged!H489),1)*(SKUs!$K$2:$K$10001=I489),SKUs!$C$2:$C$10001),"")</f>
        <v>0</v>
      </c>
      <c r="H489" s="33" cm="1">
        <f t="array" ref="H489">IFERROR(_xlfn.XLOOKUP(1, (dd_accsryclr!$C$2:$C$1000=accsry_unmerged!F489)*(dd_accsryclr!$B$2:$B$1000=accsry_unmerged!J489),dd_accsryclr!$A$2:$A$1000),"")</f>
        <v>0</v>
      </c>
      <c r="I489" s="16">
        <f>_xlfn.XLOOKUP(C489,'Project Details'!$C$17:$C$66,'Project Details'!$E$17:$E$66,"",0)</f>
        <v>0</v>
      </c>
      <c r="J489" s="16">
        <f>_xlfn.XLOOKUP(C489,'Project Details'!$C$17:$C$66,'Project Details'!$H$17:$H$66,"",0)</f>
        <v>0</v>
      </c>
      <c r="K489" s="33" t="str">
        <f>IF(AND(_xlfn.XLOOKUP(C489,'Project Details'!$C$17:$C$66,'Project Details'!$L$17:$L$66,"",0)&gt;550, F489="Spring-L27cm"),"",SUBSTITUTE(_xlfn.XLOOKUP(G489,SKUs!$C$2:$C$10001,SKUs!$F$2:$F$10001,"",0), " Accessories",""))</f>
        <v/>
      </c>
      <c r="L489" s="33">
        <f>_xlfn.XLOOKUP(C489,'Project Details'!$C$17:$C$66,'Project Details'!$D$17:$D$66,"",0)</f>
        <v>0</v>
      </c>
      <c r="M489" s="43"/>
    </row>
    <row r="490" spans="1:13" ht="13.5" customHeight="1" x14ac:dyDescent="0.25">
      <c r="A490" s="43"/>
      <c r="B490" s="43"/>
      <c r="C490" s="35">
        <f t="shared" si="8"/>
        <v>10</v>
      </c>
      <c r="D490" s="35" t="str" cm="1">
        <f t="array" ref="D490">IFERROR(ROUNDUP(_xlfn.IFS(F490="Aluminum Track", _xlfn.XLOOKUP(C490, dd_accsrycalc!$A$2:$A$51, dd_accsrycalc!$B$2:$B$51, "",0), F490="10 x 2 1/2 S (Flat)", _xlfn.XLOOKUP(C490, dd_accsrycalc!$A$2:$A$51, dd_accsrycalc!$C$2:$C$51, "",0), F490="Tox6", _xlfn.XLOOKUP(C490, dd_accsrycalc!$A$2:$A$51, dd_accsrycalc!$D$2:$D$51, "",0), F490="Cover Cap", _xlfn.XLOOKUP(C490, dd_accsrycalc!$A$2:$A$51, dd_accsrycalc!$E$2:$E$51, "",0), F490="Drainage Cover", _xlfn.XLOOKUP(C490, dd_accsrycalc!$A$2:$A$51, dd_accsrycalc!$F$2:$F$51, "",0),AND( F490="Double Adhesive Tape", I490="Roll-up Screen"), _xlfn.XLOOKUP(C490, calc_rusacc!$C$15:$C$65, calc_rusacc!$AD$15:$AD$65, "",0),AND( F490="Sealant", I490="Roll-up Screen"), _xlfn.XLOOKUP(C490, calc_rusacc!$C$15:$C$65, calc_rusacc!$AF$15:$AF$65, "",0),  AND( F490="Main Chain", I490="Accordion Screen"), _xlfn.XLOOKUP(C490, calc_rusacc!$C$15:$C$65, calc_rusacc!$BF$15:$BF$65, "",0), AND( F490="Sealant", I490="Accordion Screen"), _xlfn.XLOOKUP(C490, calc_rusacc!$C$15:$C$65, calc_rusacc!$BJ$15:$BJ$65, "",0),  F490="Sealant", _xlfn.XLOOKUP(C490, dd_accsrycalc!$A$2:$A$51, dd_accsrycalc!$G$2:$G$51, "",0),  F490&lt;&gt;"",L490*_xlfn.XLOOKUP(1, (SKUs!$C$2:$C$10001=G490)*(SKUs!$K$2:$K$10001=I490),SKUs!$E$2:$E$10001)), 0),"")</f>
        <v/>
      </c>
      <c r="E490" s="35" t="str">
        <f>_xlfn.XLOOKUP(F490,dd_item!$B$2:$B$105,dd_item!$C$2:$C$105,"",0)</f>
        <v/>
      </c>
      <c r="F490" s="35"/>
      <c r="G490" s="35" cm="1">
        <f t="array" ref="G490">IFERROR(_xlfn.XLOOKUP(1, (SKUs!$J$2:$J$10001=accsry_unmerged!F490)*IF(H490&lt;&gt;"",(SKUs!$L$2:$L$10001=accsry_unmerged!H490),1)*(SKUs!$K$2:$K$10001=I490),SKUs!$C$2:$C$10001),"")</f>
        <v>0</v>
      </c>
      <c r="H490" s="36" cm="1">
        <f t="array" ref="H490">IFERROR(_xlfn.XLOOKUP(1, (dd_accsryclr!$C$2:$C$1000=accsry_unmerged!F490)*(dd_accsryclr!$B$2:$B$1000=accsry_unmerged!J490),dd_accsryclr!$A$2:$A$1000),"")</f>
        <v>0</v>
      </c>
      <c r="I490" s="35">
        <f>_xlfn.XLOOKUP(C490,'Project Details'!$C$17:$C$66,'Project Details'!$E$17:$E$66,"",0)</f>
        <v>0</v>
      </c>
      <c r="J490" s="35">
        <f>_xlfn.XLOOKUP(C490,'Project Details'!$C$17:$C$66,'Project Details'!$H$17:$H$66,"",0)</f>
        <v>0</v>
      </c>
      <c r="K490" s="36" t="str">
        <f>IF(AND(_xlfn.XLOOKUP(C490,'Project Details'!$C$17:$C$66,'Project Details'!$L$17:$L$66,"",0)&gt;550, F490="Spring-L27cm"),"",SUBSTITUTE(_xlfn.XLOOKUP(G490,SKUs!$C$2:$C$10001,SKUs!$F$2:$F$10001,"",0), " Accessories",""))</f>
        <v/>
      </c>
      <c r="L490" s="36">
        <f>_xlfn.XLOOKUP(C490,'Project Details'!$C$17:$C$66,'Project Details'!$D$17:$D$66,"",0)</f>
        <v>0</v>
      </c>
      <c r="M490" s="43"/>
    </row>
    <row r="491" spans="1:13" ht="13.5" customHeight="1" x14ac:dyDescent="0.25">
      <c r="A491" s="43"/>
      <c r="B491" s="43"/>
      <c r="C491" s="16">
        <f t="shared" si="8"/>
        <v>10</v>
      </c>
      <c r="D491" s="16" t="str" cm="1">
        <f t="array" ref="D491">IFERROR(ROUNDUP(_xlfn.IFS(F491="Aluminum Track", _xlfn.XLOOKUP(C491, dd_accsrycalc!$A$2:$A$51, dd_accsrycalc!$B$2:$B$51, "",0), F491="10 x 2 1/2 S (Flat)", _xlfn.XLOOKUP(C491, dd_accsrycalc!$A$2:$A$51, dd_accsrycalc!$C$2:$C$51, "",0), F491="Tox6", _xlfn.XLOOKUP(C491, dd_accsrycalc!$A$2:$A$51, dd_accsrycalc!$D$2:$D$51, "",0), F491="Cover Cap", _xlfn.XLOOKUP(C491, dd_accsrycalc!$A$2:$A$51, dd_accsrycalc!$E$2:$E$51, "",0), F491="Drainage Cover", _xlfn.XLOOKUP(C491, dd_accsrycalc!$A$2:$A$51, dd_accsrycalc!$F$2:$F$51, "",0),AND( F491="Double Adhesive Tape", I491="Roll-up Screen"), _xlfn.XLOOKUP(C491, calc_rusacc!$C$15:$C$65, calc_rusacc!$AD$15:$AD$65, "",0),AND( F491="Sealant", I491="Roll-up Screen"), _xlfn.XLOOKUP(C491, calc_rusacc!$C$15:$C$65, calc_rusacc!$AF$15:$AF$65, "",0),  AND( F491="Main Chain", I491="Accordion Screen"), _xlfn.XLOOKUP(C491, calc_rusacc!$C$15:$C$65, calc_rusacc!$BF$15:$BF$65, "",0), AND( F491="Sealant", I491="Accordion Screen"), _xlfn.XLOOKUP(C491, calc_rusacc!$C$15:$C$65, calc_rusacc!$BJ$15:$BJ$65, "",0),  F491="Sealant", _xlfn.XLOOKUP(C491, dd_accsrycalc!$A$2:$A$51, dd_accsrycalc!$G$2:$G$51, "",0),  F491&lt;&gt;"",L491*_xlfn.XLOOKUP(1, (SKUs!$C$2:$C$10001=G491)*(SKUs!$K$2:$K$10001=I491),SKUs!$E$2:$E$10001)), 0),"")</f>
        <v/>
      </c>
      <c r="E491" s="16" t="str">
        <f>_xlfn.XLOOKUP(F491,dd_item!$B$2:$B$105,dd_item!$C$2:$C$105,"",0)</f>
        <v/>
      </c>
      <c r="F491" s="16"/>
      <c r="G491" s="16" cm="1">
        <f t="array" ref="G491">IFERROR(_xlfn.XLOOKUP(1, (SKUs!$J$2:$J$10001=accsry_unmerged!F491)*IF(H491&lt;&gt;"",(SKUs!$L$2:$L$10001=accsry_unmerged!H491),1)*(SKUs!$K$2:$K$10001=I491),SKUs!$C$2:$C$10001),"")</f>
        <v>0</v>
      </c>
      <c r="H491" s="33" cm="1">
        <f t="array" ref="H491">IFERROR(_xlfn.XLOOKUP(1, (dd_accsryclr!$C$2:$C$1000=accsry_unmerged!F491)*(dd_accsryclr!$B$2:$B$1000=accsry_unmerged!J491),dd_accsryclr!$A$2:$A$1000),"")</f>
        <v>0</v>
      </c>
      <c r="I491" s="16">
        <f>_xlfn.XLOOKUP(C491,'Project Details'!$C$17:$C$66,'Project Details'!$E$17:$E$66,"",0)</f>
        <v>0</v>
      </c>
      <c r="J491" s="16">
        <f>_xlfn.XLOOKUP(C491,'Project Details'!$C$17:$C$66,'Project Details'!$H$17:$H$66,"",0)</f>
        <v>0</v>
      </c>
      <c r="K491" s="33" t="str">
        <f>IF(AND(_xlfn.XLOOKUP(C491,'Project Details'!$C$17:$C$66,'Project Details'!$L$17:$L$66,"",0)&gt;550, F491="Spring-L27cm"),"",SUBSTITUTE(_xlfn.XLOOKUP(G491,SKUs!$C$2:$C$10001,SKUs!$F$2:$F$10001,"",0), " Accessories",""))</f>
        <v/>
      </c>
      <c r="L491" s="33">
        <f>_xlfn.XLOOKUP(C491,'Project Details'!$C$17:$C$66,'Project Details'!$D$17:$D$66,"",0)</f>
        <v>0</v>
      </c>
      <c r="M491" s="43"/>
    </row>
    <row r="492" spans="1:13" ht="13.5" customHeight="1" x14ac:dyDescent="0.25">
      <c r="A492" s="43"/>
      <c r="B492" s="43"/>
      <c r="C492" s="35">
        <f t="shared" si="8"/>
        <v>10</v>
      </c>
      <c r="D492" s="35" t="str" cm="1">
        <f t="array" ref="D492">IFERROR(ROUNDUP(_xlfn.IFS(F492="Aluminum Track", _xlfn.XLOOKUP(C492, dd_accsrycalc!$A$2:$A$51, dd_accsrycalc!$B$2:$B$51, "",0), F492="10 x 2 1/2 S (Flat)", _xlfn.XLOOKUP(C492, dd_accsrycalc!$A$2:$A$51, dd_accsrycalc!$C$2:$C$51, "",0), F492="Tox6", _xlfn.XLOOKUP(C492, dd_accsrycalc!$A$2:$A$51, dd_accsrycalc!$D$2:$D$51, "",0), F492="Cover Cap", _xlfn.XLOOKUP(C492, dd_accsrycalc!$A$2:$A$51, dd_accsrycalc!$E$2:$E$51, "",0), F492="Drainage Cover", _xlfn.XLOOKUP(C492, dd_accsrycalc!$A$2:$A$51, dd_accsrycalc!$F$2:$F$51, "",0),AND( F492="Double Adhesive Tape", I492="Roll-up Screen"), _xlfn.XLOOKUP(C492, calc_rusacc!$C$15:$C$65, calc_rusacc!$AD$15:$AD$65, "",0),AND( F492="Sealant", I492="Roll-up Screen"), _xlfn.XLOOKUP(C492, calc_rusacc!$C$15:$C$65, calc_rusacc!$AF$15:$AF$65, "",0),  AND( F492="Main Chain", I492="Accordion Screen"), _xlfn.XLOOKUP(C492, calc_rusacc!$C$15:$C$65, calc_rusacc!$BF$15:$BF$65, "",0), AND( F492="Sealant", I492="Accordion Screen"), _xlfn.XLOOKUP(C492, calc_rusacc!$C$15:$C$65, calc_rusacc!$BJ$15:$BJ$65, "",0),  F492="Sealant", _xlfn.XLOOKUP(C492, dd_accsrycalc!$A$2:$A$51, dd_accsrycalc!$G$2:$G$51, "",0),  F492&lt;&gt;"",L492*_xlfn.XLOOKUP(1, (SKUs!$C$2:$C$10001=G492)*(SKUs!$K$2:$K$10001=I492),SKUs!$E$2:$E$10001)), 0),"")</f>
        <v/>
      </c>
      <c r="E492" s="35" t="str">
        <f>_xlfn.XLOOKUP(F492,dd_item!$B$2:$B$105,dd_item!$C$2:$C$105,"",0)</f>
        <v/>
      </c>
      <c r="F492" s="35"/>
      <c r="G492" s="35" cm="1">
        <f t="array" ref="G492">IFERROR(_xlfn.XLOOKUP(1, (SKUs!$J$2:$J$10001=accsry_unmerged!F492)*IF(H492&lt;&gt;"",(SKUs!$L$2:$L$10001=accsry_unmerged!H492),1)*(SKUs!$K$2:$K$10001=I492),SKUs!$C$2:$C$10001),"")</f>
        <v>0</v>
      </c>
      <c r="H492" s="36" cm="1">
        <f t="array" ref="H492">IFERROR(_xlfn.XLOOKUP(1, (dd_accsryclr!$C$2:$C$1000=accsry_unmerged!F492)*(dd_accsryclr!$B$2:$B$1000=accsry_unmerged!J492),dd_accsryclr!$A$2:$A$1000),"")</f>
        <v>0</v>
      </c>
      <c r="I492" s="35">
        <f>_xlfn.XLOOKUP(C492,'Project Details'!$C$17:$C$66,'Project Details'!$E$17:$E$66,"",0)</f>
        <v>0</v>
      </c>
      <c r="J492" s="35">
        <f>_xlfn.XLOOKUP(C492,'Project Details'!$C$17:$C$66,'Project Details'!$H$17:$H$66,"",0)</f>
        <v>0</v>
      </c>
      <c r="K492" s="36" t="str">
        <f>IF(AND(_xlfn.XLOOKUP(C492,'Project Details'!$C$17:$C$66,'Project Details'!$L$17:$L$66,"",0)&gt;550, F492="Spring-L27cm"),"",SUBSTITUTE(_xlfn.XLOOKUP(G492,SKUs!$C$2:$C$10001,SKUs!$F$2:$F$10001,"",0), " Accessories",""))</f>
        <v/>
      </c>
      <c r="L492" s="36">
        <f>_xlfn.XLOOKUP(C492,'Project Details'!$C$17:$C$66,'Project Details'!$D$17:$D$66,"",0)</f>
        <v>0</v>
      </c>
      <c r="M492" s="43"/>
    </row>
    <row r="493" spans="1:13" ht="13.5" customHeight="1" x14ac:dyDescent="0.25">
      <c r="A493" s="43"/>
      <c r="B493" s="43"/>
      <c r="C493" s="16">
        <f t="shared" si="8"/>
        <v>10</v>
      </c>
      <c r="D493" s="16" t="str" cm="1">
        <f t="array" ref="D493">IFERROR(ROUNDUP(_xlfn.IFS(F493="Aluminum Track", _xlfn.XLOOKUP(C493, dd_accsrycalc!$A$2:$A$51, dd_accsrycalc!$B$2:$B$51, "",0), F493="10 x 2 1/2 S (Flat)", _xlfn.XLOOKUP(C493, dd_accsrycalc!$A$2:$A$51, dd_accsrycalc!$C$2:$C$51, "",0), F493="Tox6", _xlfn.XLOOKUP(C493, dd_accsrycalc!$A$2:$A$51, dd_accsrycalc!$D$2:$D$51, "",0), F493="Cover Cap", _xlfn.XLOOKUP(C493, dd_accsrycalc!$A$2:$A$51, dd_accsrycalc!$E$2:$E$51, "",0), F493="Drainage Cover", _xlfn.XLOOKUP(C493, dd_accsrycalc!$A$2:$A$51, dd_accsrycalc!$F$2:$F$51, "",0),AND( F493="Double Adhesive Tape", I493="Roll-up Screen"), _xlfn.XLOOKUP(C493, calc_rusacc!$C$15:$C$65, calc_rusacc!$AD$15:$AD$65, "",0),AND( F493="Sealant", I493="Roll-up Screen"), _xlfn.XLOOKUP(C493, calc_rusacc!$C$15:$C$65, calc_rusacc!$AF$15:$AF$65, "",0),  AND( F493="Main Chain", I493="Accordion Screen"), _xlfn.XLOOKUP(C493, calc_rusacc!$C$15:$C$65, calc_rusacc!$BF$15:$BF$65, "",0), AND( F493="Sealant", I493="Accordion Screen"), _xlfn.XLOOKUP(C493, calc_rusacc!$C$15:$C$65, calc_rusacc!$BJ$15:$BJ$65, "",0),  F493="Sealant", _xlfn.XLOOKUP(C493, dd_accsrycalc!$A$2:$A$51, dd_accsrycalc!$G$2:$G$51, "",0),  F493&lt;&gt;"",L493*_xlfn.XLOOKUP(1, (SKUs!$C$2:$C$10001=G493)*(SKUs!$K$2:$K$10001=I493),SKUs!$E$2:$E$10001)), 0),"")</f>
        <v/>
      </c>
      <c r="E493" s="16" t="str">
        <f>_xlfn.XLOOKUP(F493,dd_item!$B$2:$B$105,dd_item!$C$2:$C$105,"",0)</f>
        <v/>
      </c>
      <c r="F493" s="16"/>
      <c r="G493" s="16" cm="1">
        <f t="array" ref="G493">IFERROR(_xlfn.XLOOKUP(1, (SKUs!$J$2:$J$10001=accsry_unmerged!F493)*IF(H493&lt;&gt;"",(SKUs!$L$2:$L$10001=accsry_unmerged!H493),1)*(SKUs!$K$2:$K$10001=I493),SKUs!$C$2:$C$10001),"")</f>
        <v>0</v>
      </c>
      <c r="H493" s="33" cm="1">
        <f t="array" ref="H493">IFERROR(_xlfn.XLOOKUP(1, (dd_accsryclr!$C$2:$C$1000=accsry_unmerged!F493)*(dd_accsryclr!$B$2:$B$1000=accsry_unmerged!J493),dd_accsryclr!$A$2:$A$1000),"")</f>
        <v>0</v>
      </c>
      <c r="I493" s="16">
        <f>_xlfn.XLOOKUP(C493,'Project Details'!$C$17:$C$66,'Project Details'!$E$17:$E$66,"",0)</f>
        <v>0</v>
      </c>
      <c r="J493" s="16">
        <f>_xlfn.XLOOKUP(C493,'Project Details'!$C$17:$C$66,'Project Details'!$H$17:$H$66,"",0)</f>
        <v>0</v>
      </c>
      <c r="K493" s="33" t="str">
        <f>IF(AND(_xlfn.XLOOKUP(C493,'Project Details'!$C$17:$C$66,'Project Details'!$L$17:$L$66,"",0)&gt;550, F493="Spring-L27cm"),"",SUBSTITUTE(_xlfn.XLOOKUP(G493,SKUs!$C$2:$C$10001,SKUs!$F$2:$F$10001,"",0), " Accessories",""))</f>
        <v/>
      </c>
      <c r="L493" s="33">
        <f>_xlfn.XLOOKUP(C493,'Project Details'!$C$17:$C$66,'Project Details'!$D$17:$D$66,"",0)</f>
        <v>0</v>
      </c>
      <c r="M493" s="43"/>
    </row>
    <row r="494" spans="1:13" ht="13.5" customHeight="1" x14ac:dyDescent="0.25">
      <c r="A494" s="43"/>
      <c r="B494" s="43"/>
      <c r="C494" s="35">
        <f t="shared" si="8"/>
        <v>10</v>
      </c>
      <c r="D494" s="35" t="str" cm="1">
        <f t="array" ref="D494">IFERROR(ROUNDUP(_xlfn.IFS(F494="Aluminum Track", _xlfn.XLOOKUP(C494, dd_accsrycalc!$A$2:$A$51, dd_accsrycalc!$B$2:$B$51, "",0), F494="10 x 2 1/2 S (Flat)", _xlfn.XLOOKUP(C494, dd_accsrycalc!$A$2:$A$51, dd_accsrycalc!$C$2:$C$51, "",0), F494="Tox6", _xlfn.XLOOKUP(C494, dd_accsrycalc!$A$2:$A$51, dd_accsrycalc!$D$2:$D$51, "",0), F494="Cover Cap", _xlfn.XLOOKUP(C494, dd_accsrycalc!$A$2:$A$51, dd_accsrycalc!$E$2:$E$51, "",0), F494="Drainage Cover", _xlfn.XLOOKUP(C494, dd_accsrycalc!$A$2:$A$51, dd_accsrycalc!$F$2:$F$51, "",0),AND( F494="Double Adhesive Tape", I494="Roll-up Screen"), _xlfn.XLOOKUP(C494, calc_rusacc!$C$15:$C$65, calc_rusacc!$AD$15:$AD$65, "",0),AND( F494="Sealant", I494="Roll-up Screen"), _xlfn.XLOOKUP(C494, calc_rusacc!$C$15:$C$65, calc_rusacc!$AF$15:$AF$65, "",0),  AND( F494="Main Chain", I494="Accordion Screen"), _xlfn.XLOOKUP(C494, calc_rusacc!$C$15:$C$65, calc_rusacc!$BF$15:$BF$65, "",0), AND( F494="Sealant", I494="Accordion Screen"), _xlfn.XLOOKUP(C494, calc_rusacc!$C$15:$C$65, calc_rusacc!$BJ$15:$BJ$65, "",0),  F494="Sealant", _xlfn.XLOOKUP(C494, dd_accsrycalc!$A$2:$A$51, dd_accsrycalc!$G$2:$G$51, "",0),  F494&lt;&gt;"",L494*_xlfn.XLOOKUP(1, (SKUs!$C$2:$C$10001=G494)*(SKUs!$K$2:$K$10001=I494),SKUs!$E$2:$E$10001)), 0),"")</f>
        <v/>
      </c>
      <c r="E494" s="35" t="str">
        <f>_xlfn.XLOOKUP(F494,dd_item!$B$2:$B$105,dd_item!$C$2:$C$105,"",0)</f>
        <v/>
      </c>
      <c r="F494" s="35"/>
      <c r="G494" s="35" cm="1">
        <f t="array" ref="G494">IFERROR(_xlfn.XLOOKUP(1, (SKUs!$J$2:$J$10001=accsry_unmerged!F494)*IF(H494&lt;&gt;"",(SKUs!$L$2:$L$10001=accsry_unmerged!H494),1)*(SKUs!$K$2:$K$10001=I494),SKUs!$C$2:$C$10001),"")</f>
        <v>0</v>
      </c>
      <c r="H494" s="36" cm="1">
        <f t="array" ref="H494">IFERROR(_xlfn.XLOOKUP(1, (dd_accsryclr!$C$2:$C$1000=accsry_unmerged!F494)*(dd_accsryclr!$B$2:$B$1000=accsry_unmerged!J494),dd_accsryclr!$A$2:$A$1000),"")</f>
        <v>0</v>
      </c>
      <c r="I494" s="35">
        <f>_xlfn.XLOOKUP(C494,'Project Details'!$C$17:$C$66,'Project Details'!$E$17:$E$66,"",0)</f>
        <v>0</v>
      </c>
      <c r="J494" s="35">
        <f>_xlfn.XLOOKUP(C494,'Project Details'!$C$17:$C$66,'Project Details'!$H$17:$H$66,"",0)</f>
        <v>0</v>
      </c>
      <c r="K494" s="36" t="str">
        <f>IF(AND(_xlfn.XLOOKUP(C494,'Project Details'!$C$17:$C$66,'Project Details'!$L$17:$L$66,"",0)&gt;550, F494="Spring-L27cm"),"",SUBSTITUTE(_xlfn.XLOOKUP(G494,SKUs!$C$2:$C$10001,SKUs!$F$2:$F$10001,"",0), " Accessories",""))</f>
        <v/>
      </c>
      <c r="L494" s="36">
        <f>_xlfn.XLOOKUP(C494,'Project Details'!$C$17:$C$66,'Project Details'!$D$17:$D$66,"",0)</f>
        <v>0</v>
      </c>
      <c r="M494" s="43"/>
    </row>
    <row r="495" spans="1:13" ht="13.5" customHeight="1" outlineLevel="1" x14ac:dyDescent="0.25">
      <c r="A495" s="43"/>
      <c r="B495" s="43"/>
      <c r="C495" s="16">
        <f t="shared" si="8"/>
        <v>10</v>
      </c>
      <c r="D495" s="16" t="str" cm="1">
        <f t="array" ref="D495">IFERROR(ROUNDUP(_xlfn.IFS(F495="Aluminum Track", _xlfn.XLOOKUP(C495, dd_accsrycalc!$A$2:$A$51, dd_accsrycalc!$B$2:$B$51, "",0), F495="10 x 2 1/2 S (Flat)", _xlfn.XLOOKUP(C495, dd_accsrycalc!$A$2:$A$51, dd_accsrycalc!$C$2:$C$51, "",0), F495="Tox6", _xlfn.XLOOKUP(C495, dd_accsrycalc!$A$2:$A$51, dd_accsrycalc!$D$2:$D$51, "",0), F495="Cover Cap", _xlfn.XLOOKUP(C495, dd_accsrycalc!$A$2:$A$51, dd_accsrycalc!$E$2:$E$51, "",0), F495="Drainage Cover", _xlfn.XLOOKUP(C495, dd_accsrycalc!$A$2:$A$51, dd_accsrycalc!$F$2:$F$51, "",0),AND( F495="Double Adhesive Tape", I495="Roll-up Screen"), _xlfn.XLOOKUP(C495, calc_rusacc!$C$15:$C$65, calc_rusacc!$AD$15:$AD$65, "",0),AND( F495="Sealant", I495="Roll-up Screen"), _xlfn.XLOOKUP(C495, calc_rusacc!$C$15:$C$65, calc_rusacc!$AF$15:$AF$65, "",0),  AND( F495="Main Chain", I495="Accordion Screen"), _xlfn.XLOOKUP(C495, calc_rusacc!$C$15:$C$65, calc_rusacc!$BF$15:$BF$65, "",0), AND( F495="Sealant", I495="Accordion Screen"), _xlfn.XLOOKUP(C495, calc_rusacc!$C$15:$C$65, calc_rusacc!$BJ$15:$BJ$65, "",0),  F495="Sealant", _xlfn.XLOOKUP(C495, dd_accsrycalc!$A$2:$A$51, dd_accsrycalc!$G$2:$G$51, "",0),  F495&lt;&gt;"",L495*_xlfn.XLOOKUP(1, (SKUs!$C$2:$C$10001=G495)*(SKUs!$K$2:$K$10001=I495),SKUs!$E$2:$E$10001)), 0),"")</f>
        <v/>
      </c>
      <c r="E495" s="16" t="str">
        <f>_xlfn.XLOOKUP(F495,dd_item!$B$2:$B$105,dd_item!$C$2:$C$105,"",0)</f>
        <v/>
      </c>
      <c r="F495" s="16"/>
      <c r="G495" s="16" cm="1">
        <f t="array" ref="G495">IFERROR(_xlfn.XLOOKUP(1, (SKUs!$J$2:$J$10001=accsry_unmerged!F495)*IF(H495&lt;&gt;"",(SKUs!$L$2:$L$10001=accsry_unmerged!H495),1)*(SKUs!$K$2:$K$10001=I495),SKUs!$C$2:$C$10001),"")</f>
        <v>0</v>
      </c>
      <c r="H495" s="33" cm="1">
        <f t="array" ref="H495">IFERROR(_xlfn.XLOOKUP(1, (dd_accsryclr!$C$2:$C$1000=accsry_unmerged!F495)*(dd_accsryclr!$B$2:$B$1000=accsry_unmerged!J495),dd_accsryclr!$A$2:$A$1000),"")</f>
        <v>0</v>
      </c>
      <c r="I495" s="16">
        <f>_xlfn.XLOOKUP(C495,'Project Details'!$C$17:$C$66,'Project Details'!$E$17:$E$66,"",0)</f>
        <v>0</v>
      </c>
      <c r="J495" s="16">
        <f>_xlfn.XLOOKUP(C495,'Project Details'!$C$17:$C$66,'Project Details'!$H$17:$H$66,"",0)</f>
        <v>0</v>
      </c>
      <c r="K495" s="33" t="str">
        <f>IF(AND(_xlfn.XLOOKUP(C495,'Project Details'!$C$17:$C$66,'Project Details'!$L$17:$L$66,"",0)&gt;550, F495="Spring-L27cm"),"",SUBSTITUTE(_xlfn.XLOOKUP(G495,SKUs!$C$2:$C$10001,SKUs!$F$2:$F$10001,"",0), " Accessories",""))</f>
        <v/>
      </c>
      <c r="L495" s="33">
        <f>_xlfn.XLOOKUP(C495,'Project Details'!$C$17:$C$66,'Project Details'!$D$17:$D$66,"",0)</f>
        <v>0</v>
      </c>
      <c r="M495" s="43"/>
    </row>
    <row r="496" spans="1:13" ht="13.5" customHeight="1" outlineLevel="1" x14ac:dyDescent="0.25">
      <c r="A496" s="43"/>
      <c r="B496" s="43"/>
      <c r="C496" s="35">
        <f t="shared" si="8"/>
        <v>10</v>
      </c>
      <c r="D496" s="35" t="str" cm="1">
        <f t="array" ref="D496">IFERROR(ROUNDUP(_xlfn.IFS(F496="Aluminum Track", _xlfn.XLOOKUP(C496, dd_accsrycalc!$A$2:$A$51, dd_accsrycalc!$B$2:$B$51, "",0), F496="10 x 2 1/2 S (Flat)", _xlfn.XLOOKUP(C496, dd_accsrycalc!$A$2:$A$51, dd_accsrycalc!$C$2:$C$51, "",0), F496="Tox6", _xlfn.XLOOKUP(C496, dd_accsrycalc!$A$2:$A$51, dd_accsrycalc!$D$2:$D$51, "",0), F496="Cover Cap", _xlfn.XLOOKUP(C496, dd_accsrycalc!$A$2:$A$51, dd_accsrycalc!$E$2:$E$51, "",0), F496="Drainage Cover", _xlfn.XLOOKUP(C496, dd_accsrycalc!$A$2:$A$51, dd_accsrycalc!$F$2:$F$51, "",0),AND( F496="Double Adhesive Tape", I496="Roll-up Screen"), _xlfn.XLOOKUP(C496, calc_rusacc!$C$15:$C$65, calc_rusacc!$AD$15:$AD$65, "",0),AND( F496="Sealant", I496="Roll-up Screen"), _xlfn.XLOOKUP(C496, calc_rusacc!$C$15:$C$65, calc_rusacc!$AF$15:$AF$65, "",0),  AND( F496="Main Chain", I496="Accordion Screen"), _xlfn.XLOOKUP(C496, calc_rusacc!$C$15:$C$65, calc_rusacc!$BF$15:$BF$65, "",0), AND( F496="Sealant", I496="Accordion Screen"), _xlfn.XLOOKUP(C496, calc_rusacc!$C$15:$C$65, calc_rusacc!$BJ$15:$BJ$65, "",0),  F496="Sealant", _xlfn.XLOOKUP(C496, dd_accsrycalc!$A$2:$A$51, dd_accsrycalc!$G$2:$G$51, "",0),  F496&lt;&gt;"",L496*_xlfn.XLOOKUP(1, (SKUs!$C$2:$C$10001=G496)*(SKUs!$K$2:$K$10001=I496),SKUs!$E$2:$E$10001)), 0),"")</f>
        <v/>
      </c>
      <c r="E496" s="35" t="str">
        <f>_xlfn.XLOOKUP(F496,dd_item!$B$2:$B$105,dd_item!$C$2:$C$105,"",0)</f>
        <v/>
      </c>
      <c r="F496" s="35"/>
      <c r="G496" s="35" cm="1">
        <f t="array" ref="G496">IFERROR(_xlfn.XLOOKUP(1, (SKUs!$J$2:$J$10001=accsry_unmerged!F496)*IF(H496&lt;&gt;"",(SKUs!$L$2:$L$10001=accsry_unmerged!H496),1)*(SKUs!$K$2:$K$10001=I496),SKUs!$C$2:$C$10001),"")</f>
        <v>0</v>
      </c>
      <c r="H496" s="36" cm="1">
        <f t="array" ref="H496">IFERROR(_xlfn.XLOOKUP(1, (dd_accsryclr!$C$2:$C$1000=accsry_unmerged!F496)*(dd_accsryclr!$B$2:$B$1000=accsry_unmerged!J496),dd_accsryclr!$A$2:$A$1000),"")</f>
        <v>0</v>
      </c>
      <c r="I496" s="35">
        <f>_xlfn.XLOOKUP(C496,'Project Details'!$C$17:$C$66,'Project Details'!$E$17:$E$66,"",0)</f>
        <v>0</v>
      </c>
      <c r="J496" s="35">
        <f>_xlfn.XLOOKUP(C496,'Project Details'!$C$17:$C$66,'Project Details'!$H$17:$H$66,"",0)</f>
        <v>0</v>
      </c>
      <c r="K496" s="36" t="str">
        <f>IF(AND(_xlfn.XLOOKUP(C496,'Project Details'!$C$17:$C$66,'Project Details'!$L$17:$L$66,"",0)&gt;550, F496="Spring-L27cm"),"",SUBSTITUTE(_xlfn.XLOOKUP(G496,SKUs!$C$2:$C$10001,SKUs!$F$2:$F$10001,"",0), " Accessories",""))</f>
        <v/>
      </c>
      <c r="L496" s="36">
        <f>_xlfn.XLOOKUP(C496,'Project Details'!$C$17:$C$66,'Project Details'!$D$17:$D$66,"",0)</f>
        <v>0</v>
      </c>
      <c r="M496" s="43"/>
    </row>
    <row r="497" spans="1:13" ht="13.5" customHeight="1" outlineLevel="1" x14ac:dyDescent="0.25">
      <c r="A497" s="43"/>
      <c r="B497" s="43"/>
      <c r="C497" s="16">
        <f t="shared" si="8"/>
        <v>10</v>
      </c>
      <c r="D497" s="16" t="str" cm="1">
        <f t="array" ref="D497">IFERROR(ROUNDUP(_xlfn.IFS(F497="Aluminum Track", _xlfn.XLOOKUP(C497, dd_accsrycalc!$A$2:$A$51, dd_accsrycalc!$B$2:$B$51, "",0), F497="10 x 2 1/2 S (Flat)", _xlfn.XLOOKUP(C497, dd_accsrycalc!$A$2:$A$51, dd_accsrycalc!$C$2:$C$51, "",0), F497="Tox6", _xlfn.XLOOKUP(C497, dd_accsrycalc!$A$2:$A$51, dd_accsrycalc!$D$2:$D$51, "",0), F497="Cover Cap", _xlfn.XLOOKUP(C497, dd_accsrycalc!$A$2:$A$51, dd_accsrycalc!$E$2:$E$51, "",0), F497="Drainage Cover", _xlfn.XLOOKUP(C497, dd_accsrycalc!$A$2:$A$51, dd_accsrycalc!$F$2:$F$51, "",0),AND( F497="Double Adhesive Tape", I497="Roll-up Screen"), _xlfn.XLOOKUP(C497, calc_rusacc!$C$15:$C$65, calc_rusacc!$AD$15:$AD$65, "",0),AND( F497="Sealant", I497="Roll-up Screen"), _xlfn.XLOOKUP(C497, calc_rusacc!$C$15:$C$65, calc_rusacc!$AF$15:$AF$65, "",0),  AND( F497="Main Chain", I497="Accordion Screen"), _xlfn.XLOOKUP(C497, calc_rusacc!$C$15:$C$65, calc_rusacc!$BF$15:$BF$65, "",0), AND( F497="Sealant", I497="Accordion Screen"), _xlfn.XLOOKUP(C497, calc_rusacc!$C$15:$C$65, calc_rusacc!$BJ$15:$BJ$65, "",0),  F497="Sealant", _xlfn.XLOOKUP(C497, dd_accsrycalc!$A$2:$A$51, dd_accsrycalc!$G$2:$G$51, "",0),  F497&lt;&gt;"",L497*_xlfn.XLOOKUP(1, (SKUs!$C$2:$C$10001=G497)*(SKUs!$K$2:$K$10001=I497),SKUs!$E$2:$E$10001)), 0),"")</f>
        <v/>
      </c>
      <c r="E497" s="16" t="str">
        <f>_xlfn.XLOOKUP(F497,dd_item!$B$2:$B$105,dd_item!$C$2:$C$105,"",0)</f>
        <v/>
      </c>
      <c r="F497" s="16"/>
      <c r="G497" s="16" cm="1">
        <f t="array" ref="G497">IFERROR(_xlfn.XLOOKUP(1, (SKUs!$J$2:$J$10001=accsry_unmerged!F497)*IF(H497&lt;&gt;"",(SKUs!$L$2:$L$10001=accsry_unmerged!H497),1)*(SKUs!$K$2:$K$10001=I497),SKUs!$C$2:$C$10001),"")</f>
        <v>0</v>
      </c>
      <c r="H497" s="33" cm="1">
        <f t="array" ref="H497">IFERROR(_xlfn.XLOOKUP(1, (dd_accsryclr!$C$2:$C$1000=accsry_unmerged!F497)*(dd_accsryclr!$B$2:$B$1000=accsry_unmerged!J497),dd_accsryclr!$A$2:$A$1000),"")</f>
        <v>0</v>
      </c>
      <c r="I497" s="16">
        <f>_xlfn.XLOOKUP(C497,'Project Details'!$C$17:$C$66,'Project Details'!$E$17:$E$66,"",0)</f>
        <v>0</v>
      </c>
      <c r="J497" s="16">
        <f>_xlfn.XLOOKUP(C497,'Project Details'!$C$17:$C$66,'Project Details'!$H$17:$H$66,"",0)</f>
        <v>0</v>
      </c>
      <c r="K497" s="33" t="str">
        <f>IF(AND(_xlfn.XLOOKUP(C497,'Project Details'!$C$17:$C$66,'Project Details'!$L$17:$L$66,"",0)&gt;550, F497="Spring-L27cm"),"",SUBSTITUTE(_xlfn.XLOOKUP(G497,SKUs!$C$2:$C$10001,SKUs!$F$2:$F$10001,"",0), " Accessories",""))</f>
        <v/>
      </c>
      <c r="L497" s="33">
        <f>_xlfn.XLOOKUP(C497,'Project Details'!$C$17:$C$66,'Project Details'!$D$17:$D$66,"",0)</f>
        <v>0</v>
      </c>
      <c r="M497" s="43"/>
    </row>
    <row r="498" spans="1:13" ht="13.5" customHeight="1" outlineLevel="1" x14ac:dyDescent="0.25">
      <c r="A498" s="43"/>
      <c r="B498" s="43"/>
      <c r="C498" s="35">
        <f t="shared" si="8"/>
        <v>10</v>
      </c>
      <c r="D498" s="35" t="str" cm="1">
        <f t="array" ref="D498">IFERROR(ROUNDUP(_xlfn.IFS(F498="Aluminum Track", _xlfn.XLOOKUP(C498, dd_accsrycalc!$A$2:$A$51, dd_accsrycalc!$B$2:$B$51, "",0), F498="10 x 2 1/2 S (Flat)", _xlfn.XLOOKUP(C498, dd_accsrycalc!$A$2:$A$51, dd_accsrycalc!$C$2:$C$51, "",0), F498="Tox6", _xlfn.XLOOKUP(C498, dd_accsrycalc!$A$2:$A$51, dd_accsrycalc!$D$2:$D$51, "",0), F498="Cover Cap", _xlfn.XLOOKUP(C498, dd_accsrycalc!$A$2:$A$51, dd_accsrycalc!$E$2:$E$51, "",0), F498="Drainage Cover", _xlfn.XLOOKUP(C498, dd_accsrycalc!$A$2:$A$51, dd_accsrycalc!$F$2:$F$51, "",0),AND( F498="Double Adhesive Tape", I498="Roll-up Screen"), _xlfn.XLOOKUP(C498, calc_rusacc!$C$15:$C$65, calc_rusacc!$AD$15:$AD$65, "",0),AND( F498="Sealant", I498="Roll-up Screen"), _xlfn.XLOOKUP(C498, calc_rusacc!$C$15:$C$65, calc_rusacc!$AF$15:$AF$65, "",0),  AND( F498="Main Chain", I498="Accordion Screen"), _xlfn.XLOOKUP(C498, calc_rusacc!$C$15:$C$65, calc_rusacc!$BF$15:$BF$65, "",0), AND( F498="Sealant", I498="Accordion Screen"), _xlfn.XLOOKUP(C498, calc_rusacc!$C$15:$C$65, calc_rusacc!$BJ$15:$BJ$65, "",0),  F498="Sealant", _xlfn.XLOOKUP(C498, dd_accsrycalc!$A$2:$A$51, dd_accsrycalc!$G$2:$G$51, "",0),  F498&lt;&gt;"",L498*_xlfn.XLOOKUP(1, (SKUs!$C$2:$C$10001=G498)*(SKUs!$K$2:$K$10001=I498),SKUs!$E$2:$E$10001)), 0),"")</f>
        <v/>
      </c>
      <c r="E498" s="35" t="str">
        <f>_xlfn.XLOOKUP(F498,dd_item!$B$2:$B$105,dd_item!$C$2:$C$105,"",0)</f>
        <v/>
      </c>
      <c r="F498" s="35"/>
      <c r="G498" s="35" cm="1">
        <f t="array" ref="G498">IFERROR(_xlfn.XLOOKUP(1, (SKUs!$J$2:$J$10001=accsry_unmerged!F498)*IF(H498&lt;&gt;"",(SKUs!$L$2:$L$10001=accsry_unmerged!H498),1)*(SKUs!$K$2:$K$10001=I498),SKUs!$C$2:$C$10001),"")</f>
        <v>0</v>
      </c>
      <c r="H498" s="36" cm="1">
        <f t="array" ref="H498">IFERROR(_xlfn.XLOOKUP(1, (dd_accsryclr!$C$2:$C$1000=accsry_unmerged!F498)*(dd_accsryclr!$B$2:$B$1000=accsry_unmerged!J498),dd_accsryclr!$A$2:$A$1000),"")</f>
        <v>0</v>
      </c>
      <c r="I498" s="35">
        <f>_xlfn.XLOOKUP(C498,'Project Details'!$C$17:$C$66,'Project Details'!$E$17:$E$66,"",0)</f>
        <v>0</v>
      </c>
      <c r="J498" s="35">
        <f>_xlfn.XLOOKUP(C498,'Project Details'!$C$17:$C$66,'Project Details'!$H$17:$H$66,"",0)</f>
        <v>0</v>
      </c>
      <c r="K498" s="36" t="str">
        <f>IF(AND(_xlfn.XLOOKUP(C498,'Project Details'!$C$17:$C$66,'Project Details'!$L$17:$L$66,"",0)&gt;550, F498="Spring-L27cm"),"",SUBSTITUTE(_xlfn.XLOOKUP(G498,SKUs!$C$2:$C$10001,SKUs!$F$2:$F$10001,"",0), " Accessories",""))</f>
        <v/>
      </c>
      <c r="L498" s="36">
        <f>_xlfn.XLOOKUP(C498,'Project Details'!$C$17:$C$66,'Project Details'!$D$17:$D$66,"",0)</f>
        <v>0</v>
      </c>
      <c r="M498" s="43"/>
    </row>
    <row r="499" spans="1:13" ht="13.5" customHeight="1" outlineLevel="1" x14ac:dyDescent="0.25">
      <c r="A499" s="43"/>
      <c r="B499" s="43"/>
      <c r="C499" s="16">
        <f t="shared" si="8"/>
        <v>10</v>
      </c>
      <c r="D499" s="16" t="str" cm="1">
        <f t="array" ref="D499">IFERROR(ROUNDUP(_xlfn.IFS(F499="Aluminum Track", _xlfn.XLOOKUP(C499, dd_accsrycalc!$A$2:$A$51, dd_accsrycalc!$B$2:$B$51, "",0), F499="10 x 2 1/2 S (Flat)", _xlfn.XLOOKUP(C499, dd_accsrycalc!$A$2:$A$51, dd_accsrycalc!$C$2:$C$51, "",0), F499="Tox6", _xlfn.XLOOKUP(C499, dd_accsrycalc!$A$2:$A$51, dd_accsrycalc!$D$2:$D$51, "",0), F499="Cover Cap", _xlfn.XLOOKUP(C499, dd_accsrycalc!$A$2:$A$51, dd_accsrycalc!$E$2:$E$51, "",0), F499="Drainage Cover", _xlfn.XLOOKUP(C499, dd_accsrycalc!$A$2:$A$51, dd_accsrycalc!$F$2:$F$51, "",0),AND( F499="Double Adhesive Tape", I499="Roll-up Screen"), _xlfn.XLOOKUP(C499, calc_rusacc!$C$15:$C$65, calc_rusacc!$AD$15:$AD$65, "",0),AND( F499="Sealant", I499="Roll-up Screen"), _xlfn.XLOOKUP(C499, calc_rusacc!$C$15:$C$65, calc_rusacc!$AF$15:$AF$65, "",0),  AND( F499="Main Chain", I499="Accordion Screen"), _xlfn.XLOOKUP(C499, calc_rusacc!$C$15:$C$65, calc_rusacc!$BF$15:$BF$65, "",0), AND( F499="Sealant", I499="Accordion Screen"), _xlfn.XLOOKUP(C499, calc_rusacc!$C$15:$C$65, calc_rusacc!$BJ$15:$BJ$65, "",0),  F499="Sealant", _xlfn.XLOOKUP(C499, dd_accsrycalc!$A$2:$A$51, dd_accsrycalc!$G$2:$G$51, "",0),  F499&lt;&gt;"",L499*_xlfn.XLOOKUP(1, (SKUs!$C$2:$C$10001=G499)*(SKUs!$K$2:$K$10001=I499),SKUs!$E$2:$E$10001)), 0),"")</f>
        <v/>
      </c>
      <c r="E499" s="16" t="str">
        <f>_xlfn.XLOOKUP(F499,dd_item!$B$2:$B$105,dd_item!$C$2:$C$105,"",0)</f>
        <v/>
      </c>
      <c r="F499" s="16"/>
      <c r="G499" s="16" cm="1">
        <f t="array" ref="G499">IFERROR(_xlfn.XLOOKUP(1, (SKUs!$J$2:$J$10001=accsry_unmerged!F499)*IF(H499&lt;&gt;"",(SKUs!$L$2:$L$10001=accsry_unmerged!H499),1)*(SKUs!$K$2:$K$10001=I499),SKUs!$C$2:$C$10001),"")</f>
        <v>0</v>
      </c>
      <c r="H499" s="33" cm="1">
        <f t="array" ref="H499">IFERROR(_xlfn.XLOOKUP(1, (dd_accsryclr!$C$2:$C$1000=accsry_unmerged!F499)*(dd_accsryclr!$B$2:$B$1000=accsry_unmerged!J499),dd_accsryclr!$A$2:$A$1000),"")</f>
        <v>0</v>
      </c>
      <c r="I499" s="16">
        <f>_xlfn.XLOOKUP(C499,'Project Details'!$C$17:$C$66,'Project Details'!$E$17:$E$66,"",0)</f>
        <v>0</v>
      </c>
      <c r="J499" s="16">
        <f>_xlfn.XLOOKUP(C499,'Project Details'!$C$17:$C$66,'Project Details'!$H$17:$H$66,"",0)</f>
        <v>0</v>
      </c>
      <c r="K499" s="33" t="str">
        <f>IF(AND(_xlfn.XLOOKUP(C499,'Project Details'!$C$17:$C$66,'Project Details'!$L$17:$L$66,"",0)&gt;550, F499="Spring-L27cm"),"",SUBSTITUTE(_xlfn.XLOOKUP(G499,SKUs!$C$2:$C$10001,SKUs!$F$2:$F$10001,"",0), " Accessories",""))</f>
        <v/>
      </c>
      <c r="L499" s="33">
        <f>_xlfn.XLOOKUP(C499,'Project Details'!$C$17:$C$66,'Project Details'!$D$17:$D$66,"",0)</f>
        <v>0</v>
      </c>
      <c r="M499" s="43"/>
    </row>
    <row r="500" spans="1:13" ht="13.5" customHeight="1" outlineLevel="1" x14ac:dyDescent="0.25">
      <c r="A500" s="43"/>
      <c r="B500" s="43"/>
      <c r="C500" s="35">
        <f t="shared" si="8"/>
        <v>10</v>
      </c>
      <c r="D500" s="35" t="str" cm="1">
        <f t="array" ref="D500">IFERROR(ROUNDUP(_xlfn.IFS(F500="Aluminum Track", _xlfn.XLOOKUP(C500, dd_accsrycalc!$A$2:$A$51, dd_accsrycalc!$B$2:$B$51, "",0), F500="10 x 2 1/2 S (Flat)", _xlfn.XLOOKUP(C500, dd_accsrycalc!$A$2:$A$51, dd_accsrycalc!$C$2:$C$51, "",0), F500="Tox6", _xlfn.XLOOKUP(C500, dd_accsrycalc!$A$2:$A$51, dd_accsrycalc!$D$2:$D$51, "",0), F500="Cover Cap", _xlfn.XLOOKUP(C500, dd_accsrycalc!$A$2:$A$51, dd_accsrycalc!$E$2:$E$51, "",0), F500="Drainage Cover", _xlfn.XLOOKUP(C500, dd_accsrycalc!$A$2:$A$51, dd_accsrycalc!$F$2:$F$51, "",0),AND( F500="Double Adhesive Tape", I500="Roll-up Screen"), _xlfn.XLOOKUP(C500, calc_rusacc!$C$15:$C$65, calc_rusacc!$AD$15:$AD$65, "",0),AND( F500="Sealant", I500="Roll-up Screen"), _xlfn.XLOOKUP(C500, calc_rusacc!$C$15:$C$65, calc_rusacc!$AF$15:$AF$65, "",0),  AND( F500="Main Chain", I500="Accordion Screen"), _xlfn.XLOOKUP(C500, calc_rusacc!$C$15:$C$65, calc_rusacc!$BF$15:$BF$65, "",0), AND( F500="Sealant", I500="Accordion Screen"), _xlfn.XLOOKUP(C500, calc_rusacc!$C$15:$C$65, calc_rusacc!$BJ$15:$BJ$65, "",0),  F500="Sealant", _xlfn.XLOOKUP(C500, dd_accsrycalc!$A$2:$A$51, dd_accsrycalc!$G$2:$G$51, "",0),  F500&lt;&gt;"",L500*_xlfn.XLOOKUP(1, (SKUs!$C$2:$C$10001=G500)*(SKUs!$K$2:$K$10001=I500),SKUs!$E$2:$E$10001)), 0),"")</f>
        <v/>
      </c>
      <c r="E500" s="35" t="str">
        <f>_xlfn.XLOOKUP(F500,dd_item!$B$2:$B$105,dd_item!$C$2:$C$105,"",0)</f>
        <v/>
      </c>
      <c r="F500" s="35"/>
      <c r="G500" s="35" cm="1">
        <f t="array" ref="G500">IFERROR(_xlfn.XLOOKUP(1, (SKUs!$J$2:$J$10001=accsry_unmerged!F500)*IF(H500&lt;&gt;"",(SKUs!$L$2:$L$10001=accsry_unmerged!H500),1)*(SKUs!$K$2:$K$10001=I500),SKUs!$C$2:$C$10001),"")</f>
        <v>0</v>
      </c>
      <c r="H500" s="36" cm="1">
        <f t="array" ref="H500">IFERROR(_xlfn.XLOOKUP(1, (dd_accsryclr!$C$2:$C$1000=accsry_unmerged!F500)*(dd_accsryclr!$B$2:$B$1000=accsry_unmerged!J500),dd_accsryclr!$A$2:$A$1000),"")</f>
        <v>0</v>
      </c>
      <c r="I500" s="35">
        <f>_xlfn.XLOOKUP(C500,'Project Details'!$C$17:$C$66,'Project Details'!$E$17:$E$66,"",0)</f>
        <v>0</v>
      </c>
      <c r="J500" s="35">
        <f>_xlfn.XLOOKUP(C500,'Project Details'!$C$17:$C$66,'Project Details'!$H$17:$H$66,"",0)</f>
        <v>0</v>
      </c>
      <c r="K500" s="36" t="str">
        <f>IF(AND(_xlfn.XLOOKUP(C500,'Project Details'!$C$17:$C$66,'Project Details'!$L$17:$L$66,"",0)&gt;550, F500="Spring-L27cm"),"",SUBSTITUTE(_xlfn.XLOOKUP(G500,SKUs!$C$2:$C$10001,SKUs!$F$2:$F$10001,"",0), " Accessories",""))</f>
        <v/>
      </c>
      <c r="L500" s="36">
        <f>_xlfn.XLOOKUP(C500,'Project Details'!$C$17:$C$66,'Project Details'!$D$17:$D$66,"",0)</f>
        <v>0</v>
      </c>
      <c r="M500" s="43"/>
    </row>
    <row r="501" spans="1:13" ht="13.5" customHeight="1" outlineLevel="1" x14ac:dyDescent="0.25">
      <c r="A501" s="43"/>
      <c r="B501" s="43"/>
      <c r="C501" s="16">
        <f t="shared" si="8"/>
        <v>10</v>
      </c>
      <c r="D501" s="16" t="str" cm="1">
        <f t="array" ref="D501">IFERROR(ROUNDUP(_xlfn.IFS(F501="Aluminum Track", _xlfn.XLOOKUP(C501, dd_accsrycalc!$A$2:$A$51, dd_accsrycalc!$B$2:$B$51, "",0), F501="10 x 2 1/2 S (Flat)", _xlfn.XLOOKUP(C501, dd_accsrycalc!$A$2:$A$51, dd_accsrycalc!$C$2:$C$51, "",0), F501="Tox6", _xlfn.XLOOKUP(C501, dd_accsrycalc!$A$2:$A$51, dd_accsrycalc!$D$2:$D$51, "",0), F501="Cover Cap", _xlfn.XLOOKUP(C501, dd_accsrycalc!$A$2:$A$51, dd_accsrycalc!$E$2:$E$51, "",0), F501="Drainage Cover", _xlfn.XLOOKUP(C501, dd_accsrycalc!$A$2:$A$51, dd_accsrycalc!$F$2:$F$51, "",0),AND( F501="Double Adhesive Tape", I501="Roll-up Screen"), _xlfn.XLOOKUP(C501, calc_rusacc!$C$15:$C$65, calc_rusacc!$AD$15:$AD$65, "",0),AND( F501="Sealant", I501="Roll-up Screen"), _xlfn.XLOOKUP(C501, calc_rusacc!$C$15:$C$65, calc_rusacc!$AF$15:$AF$65, "",0),  AND( F501="Main Chain", I501="Accordion Screen"), _xlfn.XLOOKUP(C501, calc_rusacc!$C$15:$C$65, calc_rusacc!$BF$15:$BF$65, "",0), AND( F501="Sealant", I501="Accordion Screen"), _xlfn.XLOOKUP(C501, calc_rusacc!$C$15:$C$65, calc_rusacc!$BJ$15:$BJ$65, "",0),  F501="Sealant", _xlfn.XLOOKUP(C501, dd_accsrycalc!$A$2:$A$51, dd_accsrycalc!$G$2:$G$51, "",0),  F501&lt;&gt;"",L501*_xlfn.XLOOKUP(1, (SKUs!$C$2:$C$10001=G501)*(SKUs!$K$2:$K$10001=I501),SKUs!$E$2:$E$10001)), 0),"")</f>
        <v/>
      </c>
      <c r="E501" s="16" t="str">
        <f>_xlfn.XLOOKUP(F501,dd_item!$B$2:$B$105,dd_item!$C$2:$C$105,"",0)</f>
        <v/>
      </c>
      <c r="F501" s="16"/>
      <c r="G501" s="16" cm="1">
        <f t="array" ref="G501">IFERROR(_xlfn.XLOOKUP(1, (SKUs!$J$2:$J$10001=accsry_unmerged!F501)*IF(H501&lt;&gt;"",(SKUs!$L$2:$L$10001=accsry_unmerged!H501),1)*(SKUs!$K$2:$K$10001=I501),SKUs!$C$2:$C$10001),"")</f>
        <v>0</v>
      </c>
      <c r="H501" s="33" cm="1">
        <f t="array" ref="H501">IFERROR(_xlfn.XLOOKUP(1, (dd_accsryclr!$C$2:$C$1000=accsry_unmerged!F501)*(dd_accsryclr!$B$2:$B$1000=accsry_unmerged!J501),dd_accsryclr!$A$2:$A$1000),"")</f>
        <v>0</v>
      </c>
      <c r="I501" s="16">
        <f>_xlfn.XLOOKUP(C501,'Project Details'!$C$17:$C$66,'Project Details'!$E$17:$E$66,"",0)</f>
        <v>0</v>
      </c>
      <c r="J501" s="16">
        <f>_xlfn.XLOOKUP(C501,'Project Details'!$C$17:$C$66,'Project Details'!$H$17:$H$66,"",0)</f>
        <v>0</v>
      </c>
      <c r="K501" s="33" t="str">
        <f>IF(AND(_xlfn.XLOOKUP(C501,'Project Details'!$C$17:$C$66,'Project Details'!$L$17:$L$66,"",0)&gt;550, F501="Spring-L27cm"),"",SUBSTITUTE(_xlfn.XLOOKUP(G501,SKUs!$C$2:$C$10001,SKUs!$F$2:$F$10001,"",0), " Accessories",""))</f>
        <v/>
      </c>
      <c r="L501" s="33">
        <f>_xlfn.XLOOKUP(C501,'Project Details'!$C$17:$C$66,'Project Details'!$D$17:$D$66,"",0)</f>
        <v>0</v>
      </c>
      <c r="M501" s="43"/>
    </row>
    <row r="502" spans="1:13" ht="13.5" customHeight="1" outlineLevel="1" x14ac:dyDescent="0.25">
      <c r="A502" s="43"/>
      <c r="B502" s="43"/>
      <c r="C502" s="35">
        <f t="shared" si="8"/>
        <v>10</v>
      </c>
      <c r="D502" s="35" t="str" cm="1">
        <f t="array" ref="D502">IFERROR(ROUNDUP(_xlfn.IFS(F502="Aluminum Track", _xlfn.XLOOKUP(C502, dd_accsrycalc!$A$2:$A$51, dd_accsrycalc!$B$2:$B$51, "",0), F502="10 x 2 1/2 S (Flat)", _xlfn.XLOOKUP(C502, dd_accsrycalc!$A$2:$A$51, dd_accsrycalc!$C$2:$C$51, "",0), F502="Tox6", _xlfn.XLOOKUP(C502, dd_accsrycalc!$A$2:$A$51, dd_accsrycalc!$D$2:$D$51, "",0), F502="Cover Cap", _xlfn.XLOOKUP(C502, dd_accsrycalc!$A$2:$A$51, dd_accsrycalc!$E$2:$E$51, "",0), F502="Drainage Cover", _xlfn.XLOOKUP(C502, dd_accsrycalc!$A$2:$A$51, dd_accsrycalc!$F$2:$F$51, "",0),AND( F502="Double Adhesive Tape", I502="Roll-up Screen"), _xlfn.XLOOKUP(C502, calc_rusacc!$C$15:$C$65, calc_rusacc!$AD$15:$AD$65, "",0),AND( F502="Sealant", I502="Roll-up Screen"), _xlfn.XLOOKUP(C502, calc_rusacc!$C$15:$C$65, calc_rusacc!$AF$15:$AF$65, "",0),  AND( F502="Main Chain", I502="Accordion Screen"), _xlfn.XLOOKUP(C502, calc_rusacc!$C$15:$C$65, calc_rusacc!$BF$15:$BF$65, "",0), AND( F502="Sealant", I502="Accordion Screen"), _xlfn.XLOOKUP(C502, calc_rusacc!$C$15:$C$65, calc_rusacc!$BJ$15:$BJ$65, "",0),  F502="Sealant", _xlfn.XLOOKUP(C502, dd_accsrycalc!$A$2:$A$51, dd_accsrycalc!$G$2:$G$51, "",0),  F502&lt;&gt;"",L502*_xlfn.XLOOKUP(1, (SKUs!$C$2:$C$10001=G502)*(SKUs!$K$2:$K$10001=I502),SKUs!$E$2:$E$10001)), 0),"")</f>
        <v/>
      </c>
      <c r="E502" s="35" t="str">
        <f>_xlfn.XLOOKUP(F502,dd_item!$B$2:$B$105,dd_item!$C$2:$C$105,"",0)</f>
        <v/>
      </c>
      <c r="F502" s="35"/>
      <c r="G502" s="35" cm="1">
        <f t="array" ref="G502">IFERROR(_xlfn.XLOOKUP(1, (SKUs!$J$2:$J$10001=accsry_unmerged!F502)*IF(H502&lt;&gt;"",(SKUs!$L$2:$L$10001=accsry_unmerged!H502),1)*(SKUs!$K$2:$K$10001=I502),SKUs!$C$2:$C$10001),"")</f>
        <v>0</v>
      </c>
      <c r="H502" s="36" cm="1">
        <f t="array" ref="H502">IFERROR(_xlfn.XLOOKUP(1, (dd_accsryclr!$C$2:$C$1000=accsry_unmerged!F502)*(dd_accsryclr!$B$2:$B$1000=accsry_unmerged!J502),dd_accsryclr!$A$2:$A$1000),"")</f>
        <v>0</v>
      </c>
      <c r="I502" s="35">
        <f>_xlfn.XLOOKUP(C502,'Project Details'!$C$17:$C$66,'Project Details'!$E$17:$E$66,"",0)</f>
        <v>0</v>
      </c>
      <c r="J502" s="35">
        <f>_xlfn.XLOOKUP(C502,'Project Details'!$C$17:$C$66,'Project Details'!$H$17:$H$66,"",0)</f>
        <v>0</v>
      </c>
      <c r="K502" s="36" t="str">
        <f>IF(AND(_xlfn.XLOOKUP(C502,'Project Details'!$C$17:$C$66,'Project Details'!$L$17:$L$66,"",0)&gt;550, F502="Spring-L27cm"),"",SUBSTITUTE(_xlfn.XLOOKUP(G502,SKUs!$C$2:$C$10001,SKUs!$F$2:$F$10001,"",0), " Accessories",""))</f>
        <v/>
      </c>
      <c r="L502" s="36">
        <f>_xlfn.XLOOKUP(C502,'Project Details'!$C$17:$C$66,'Project Details'!$D$17:$D$66,"",0)</f>
        <v>0</v>
      </c>
      <c r="M502" s="43"/>
    </row>
    <row r="503" spans="1:13" ht="13.5" customHeight="1" outlineLevel="1" x14ac:dyDescent="0.25">
      <c r="A503" s="43"/>
      <c r="B503" s="43"/>
      <c r="C503" s="16">
        <f t="shared" si="8"/>
        <v>10</v>
      </c>
      <c r="D503" s="16" t="str" cm="1">
        <f t="array" ref="D503">IFERROR(ROUNDUP(_xlfn.IFS(F503="Aluminum Track", _xlfn.XLOOKUP(C503, dd_accsrycalc!$A$2:$A$51, dd_accsrycalc!$B$2:$B$51, "",0), F503="10 x 2 1/2 S (Flat)", _xlfn.XLOOKUP(C503, dd_accsrycalc!$A$2:$A$51, dd_accsrycalc!$C$2:$C$51, "",0), F503="Tox6", _xlfn.XLOOKUP(C503, dd_accsrycalc!$A$2:$A$51, dd_accsrycalc!$D$2:$D$51, "",0), F503="Cover Cap", _xlfn.XLOOKUP(C503, dd_accsrycalc!$A$2:$A$51, dd_accsrycalc!$E$2:$E$51, "",0), F503="Drainage Cover", _xlfn.XLOOKUP(C503, dd_accsrycalc!$A$2:$A$51, dd_accsrycalc!$F$2:$F$51, "",0),AND( F503="Double Adhesive Tape", I503="Roll-up Screen"), _xlfn.XLOOKUP(C503, calc_rusacc!$C$15:$C$65, calc_rusacc!$AD$15:$AD$65, "",0),AND( F503="Sealant", I503="Roll-up Screen"), _xlfn.XLOOKUP(C503, calc_rusacc!$C$15:$C$65, calc_rusacc!$AF$15:$AF$65, "",0),  AND( F503="Main Chain", I503="Accordion Screen"), _xlfn.XLOOKUP(C503, calc_rusacc!$C$15:$C$65, calc_rusacc!$BF$15:$BF$65, "",0), AND( F503="Sealant", I503="Accordion Screen"), _xlfn.XLOOKUP(C503, calc_rusacc!$C$15:$C$65, calc_rusacc!$BJ$15:$BJ$65, "",0),  F503="Sealant", _xlfn.XLOOKUP(C503, dd_accsrycalc!$A$2:$A$51, dd_accsrycalc!$G$2:$G$51, "",0),  F503&lt;&gt;"",L503*_xlfn.XLOOKUP(1, (SKUs!$C$2:$C$10001=G503)*(SKUs!$K$2:$K$10001=I503),SKUs!$E$2:$E$10001)), 0),"")</f>
        <v/>
      </c>
      <c r="E503" s="16" t="str">
        <f>_xlfn.XLOOKUP(F503,dd_item!$B$2:$B$105,dd_item!$C$2:$C$105,"",0)</f>
        <v/>
      </c>
      <c r="F503" s="16"/>
      <c r="G503" s="16" cm="1">
        <f t="array" ref="G503">IFERROR(_xlfn.XLOOKUP(1, (SKUs!$J$2:$J$10001=accsry_unmerged!F503)*IF(H503&lt;&gt;"",(SKUs!$L$2:$L$10001=accsry_unmerged!H503),1)*(SKUs!$K$2:$K$10001=I503),SKUs!$C$2:$C$10001),"")</f>
        <v>0</v>
      </c>
      <c r="H503" s="33" cm="1">
        <f t="array" ref="H503">IFERROR(_xlfn.XLOOKUP(1, (dd_accsryclr!$C$2:$C$1000=accsry_unmerged!F503)*(dd_accsryclr!$B$2:$B$1000=accsry_unmerged!J503),dd_accsryclr!$A$2:$A$1000),"")</f>
        <v>0</v>
      </c>
      <c r="I503" s="16">
        <f>_xlfn.XLOOKUP(C503,'Project Details'!$C$17:$C$66,'Project Details'!$E$17:$E$66,"",0)</f>
        <v>0</v>
      </c>
      <c r="J503" s="16">
        <f>_xlfn.XLOOKUP(C503,'Project Details'!$C$17:$C$66,'Project Details'!$H$17:$H$66,"",0)</f>
        <v>0</v>
      </c>
      <c r="K503" s="33" t="str">
        <f>IF(AND(_xlfn.XLOOKUP(C503,'Project Details'!$C$17:$C$66,'Project Details'!$L$17:$L$66,"",0)&gt;550, F503="Spring-L27cm"),"",SUBSTITUTE(_xlfn.XLOOKUP(G503,SKUs!$C$2:$C$10001,SKUs!$F$2:$F$10001,"",0), " Accessories",""))</f>
        <v/>
      </c>
      <c r="L503" s="33">
        <f>_xlfn.XLOOKUP(C503,'Project Details'!$C$17:$C$66,'Project Details'!$D$17:$D$66,"",0)</f>
        <v>0</v>
      </c>
      <c r="M503" s="43"/>
    </row>
    <row r="504" spans="1:13" ht="13.5" customHeight="1" outlineLevel="1" x14ac:dyDescent="0.25">
      <c r="A504" s="43"/>
      <c r="B504" s="43"/>
      <c r="C504" s="35">
        <f t="shared" si="8"/>
        <v>10</v>
      </c>
      <c r="D504" s="35" t="str" cm="1">
        <f t="array" ref="D504">IFERROR(ROUNDUP(_xlfn.IFS(F504="Aluminum Track", _xlfn.XLOOKUP(C504, dd_accsrycalc!$A$2:$A$51, dd_accsrycalc!$B$2:$B$51, "",0), F504="10 x 2 1/2 S (Flat)", _xlfn.XLOOKUP(C504, dd_accsrycalc!$A$2:$A$51, dd_accsrycalc!$C$2:$C$51, "",0), F504="Tox6", _xlfn.XLOOKUP(C504, dd_accsrycalc!$A$2:$A$51, dd_accsrycalc!$D$2:$D$51, "",0), F504="Cover Cap", _xlfn.XLOOKUP(C504, dd_accsrycalc!$A$2:$A$51, dd_accsrycalc!$E$2:$E$51, "",0), F504="Drainage Cover", _xlfn.XLOOKUP(C504, dd_accsrycalc!$A$2:$A$51, dd_accsrycalc!$F$2:$F$51, "",0),AND( F504="Double Adhesive Tape", I504="Roll-up Screen"), _xlfn.XLOOKUP(C504, calc_rusacc!$C$15:$C$65, calc_rusacc!$AD$15:$AD$65, "",0),AND( F504="Sealant", I504="Roll-up Screen"), _xlfn.XLOOKUP(C504, calc_rusacc!$C$15:$C$65, calc_rusacc!$AF$15:$AF$65, "",0),  AND( F504="Main Chain", I504="Accordion Screen"), _xlfn.XLOOKUP(C504, calc_rusacc!$C$15:$C$65, calc_rusacc!$BF$15:$BF$65, "",0), AND( F504="Sealant", I504="Accordion Screen"), _xlfn.XLOOKUP(C504, calc_rusacc!$C$15:$C$65, calc_rusacc!$BJ$15:$BJ$65, "",0),  F504="Sealant", _xlfn.XLOOKUP(C504, dd_accsrycalc!$A$2:$A$51, dd_accsrycalc!$G$2:$G$51, "",0),  F504&lt;&gt;"",L504*_xlfn.XLOOKUP(1, (SKUs!$C$2:$C$10001=G504)*(SKUs!$K$2:$K$10001=I504),SKUs!$E$2:$E$10001)), 0),"")</f>
        <v/>
      </c>
      <c r="E504" s="35" t="str">
        <f>_xlfn.XLOOKUP(F504,dd_item!$B$2:$B$105,dd_item!$C$2:$C$105,"",0)</f>
        <v/>
      </c>
      <c r="F504" s="35"/>
      <c r="G504" s="35" cm="1">
        <f t="array" ref="G504">IFERROR(_xlfn.XLOOKUP(1, (SKUs!$J$2:$J$10001=accsry_unmerged!F504)*IF(H504&lt;&gt;"",(SKUs!$L$2:$L$10001=accsry_unmerged!H504),1)*(SKUs!$K$2:$K$10001=I504),SKUs!$C$2:$C$10001),"")</f>
        <v>0</v>
      </c>
      <c r="H504" s="36" cm="1">
        <f t="array" ref="H504">IFERROR(_xlfn.XLOOKUP(1, (dd_accsryclr!$C$2:$C$1000=accsry_unmerged!F504)*(dd_accsryclr!$B$2:$B$1000=accsry_unmerged!J504),dd_accsryclr!$A$2:$A$1000),"")</f>
        <v>0</v>
      </c>
      <c r="I504" s="35">
        <f>_xlfn.XLOOKUP(C504,'Project Details'!$C$17:$C$66,'Project Details'!$E$17:$E$66,"",0)</f>
        <v>0</v>
      </c>
      <c r="J504" s="35">
        <f>_xlfn.XLOOKUP(C504,'Project Details'!$C$17:$C$66,'Project Details'!$H$17:$H$66,"",0)</f>
        <v>0</v>
      </c>
      <c r="K504" s="36" t="str">
        <f>IF(AND(_xlfn.XLOOKUP(C504,'Project Details'!$C$17:$C$66,'Project Details'!$L$17:$L$66,"",0)&gt;550, F504="Spring-L27cm"),"",SUBSTITUTE(_xlfn.XLOOKUP(G504,SKUs!$C$2:$C$10001,SKUs!$F$2:$F$10001,"",0), " Accessories",""))</f>
        <v/>
      </c>
      <c r="L504" s="36">
        <f>_xlfn.XLOOKUP(C504,'Project Details'!$C$17:$C$66,'Project Details'!$D$17:$D$66,"",0)</f>
        <v>0</v>
      </c>
      <c r="M504" s="43"/>
    </row>
    <row r="505" spans="1:13" ht="13.5" customHeight="1" outlineLevel="1" collapsed="1" x14ac:dyDescent="0.25">
      <c r="A505" s="43"/>
      <c r="B505" s="43"/>
      <c r="C505" s="16">
        <f t="shared" si="8"/>
        <v>10</v>
      </c>
      <c r="D505" s="16" t="str" cm="1">
        <f t="array" ref="D505">IFERROR(ROUNDUP(_xlfn.IFS(F505="Aluminum Track", _xlfn.XLOOKUP(C505, dd_accsrycalc!$A$2:$A$51, dd_accsrycalc!$B$2:$B$51, "",0), F505="10 x 2 1/2 S (Flat)", _xlfn.XLOOKUP(C505, dd_accsrycalc!$A$2:$A$51, dd_accsrycalc!$C$2:$C$51, "",0), F505="Tox6", _xlfn.XLOOKUP(C505, dd_accsrycalc!$A$2:$A$51, dd_accsrycalc!$D$2:$D$51, "",0), F505="Cover Cap", _xlfn.XLOOKUP(C505, dd_accsrycalc!$A$2:$A$51, dd_accsrycalc!$E$2:$E$51, "",0), F505="Drainage Cover", _xlfn.XLOOKUP(C505, dd_accsrycalc!$A$2:$A$51, dd_accsrycalc!$F$2:$F$51, "",0),AND( F505="Double Adhesive Tape", I505="Roll-up Screen"), _xlfn.XLOOKUP(C505, calc_rusacc!$C$15:$C$65, calc_rusacc!$AD$15:$AD$65, "",0),AND( F505="Sealant", I505="Roll-up Screen"), _xlfn.XLOOKUP(C505, calc_rusacc!$C$15:$C$65, calc_rusacc!$AF$15:$AF$65, "",0),  AND( F505="Main Chain", I505="Accordion Screen"), _xlfn.XLOOKUP(C505, calc_rusacc!$C$15:$C$65, calc_rusacc!$BF$15:$BF$65, "",0), AND( F505="Sealant", I505="Accordion Screen"), _xlfn.XLOOKUP(C505, calc_rusacc!$C$15:$C$65, calc_rusacc!$BJ$15:$BJ$65, "",0),  F505="Sealant", _xlfn.XLOOKUP(C505, dd_accsrycalc!$A$2:$A$51, dd_accsrycalc!$G$2:$G$51, "",0),  F505&lt;&gt;"",L505*_xlfn.XLOOKUP(1, (SKUs!$C$2:$C$10001=G505)*(SKUs!$K$2:$K$10001=I505),SKUs!$E$2:$E$10001)), 0),"")</f>
        <v/>
      </c>
      <c r="E505" s="16" t="str">
        <f>_xlfn.XLOOKUP(F505,dd_item!$B$2:$B$105,dd_item!$C$2:$C$105,"",0)</f>
        <v/>
      </c>
      <c r="F505" s="16"/>
      <c r="G505" s="16" cm="1">
        <f t="array" ref="G505">IFERROR(_xlfn.XLOOKUP(1, (SKUs!$J$2:$J$10001=accsry_unmerged!F505)*IF(H505&lt;&gt;"",(SKUs!$L$2:$L$10001=accsry_unmerged!H505),1)*(SKUs!$K$2:$K$10001=I505),SKUs!$C$2:$C$10001),"")</f>
        <v>0</v>
      </c>
      <c r="H505" s="33" cm="1">
        <f t="array" ref="H505">IFERROR(_xlfn.XLOOKUP(1, (dd_accsryclr!$C$2:$C$1000=accsry_unmerged!F505)*(dd_accsryclr!$B$2:$B$1000=accsry_unmerged!J505),dd_accsryclr!$A$2:$A$1000),"")</f>
        <v>0</v>
      </c>
      <c r="I505" s="16">
        <f>_xlfn.XLOOKUP(C505,'Project Details'!$C$17:$C$66,'Project Details'!$E$17:$E$66,"",0)</f>
        <v>0</v>
      </c>
      <c r="J505" s="16">
        <f>_xlfn.XLOOKUP(C505,'Project Details'!$C$17:$C$66,'Project Details'!$H$17:$H$66,"",0)</f>
        <v>0</v>
      </c>
      <c r="K505" s="33" t="str">
        <f>IF(AND(_xlfn.XLOOKUP(C505,'Project Details'!$C$17:$C$66,'Project Details'!$L$17:$L$66,"",0)&gt;550, F505="Spring-L27cm"),"",SUBSTITUTE(_xlfn.XLOOKUP(G505,SKUs!$C$2:$C$10001,SKUs!$F$2:$F$10001,"",0), " Accessories",""))</f>
        <v/>
      </c>
      <c r="L505" s="33">
        <f>_xlfn.XLOOKUP(C505,'Project Details'!$C$17:$C$66,'Project Details'!$D$17:$D$66,"",0)</f>
        <v>0</v>
      </c>
      <c r="M505" s="43"/>
    </row>
    <row r="506" spans="1:13" ht="13.5" customHeight="1" outlineLevel="1" x14ac:dyDescent="0.25">
      <c r="A506" s="43"/>
      <c r="B506" s="43"/>
      <c r="C506" s="35">
        <f t="shared" si="8"/>
        <v>10</v>
      </c>
      <c r="D506" s="35" t="str" cm="1">
        <f t="array" ref="D506">IFERROR(ROUNDUP(_xlfn.IFS(F506="Aluminum Track", _xlfn.XLOOKUP(C506, dd_accsrycalc!$A$2:$A$51, dd_accsrycalc!$B$2:$B$51, "",0), F506="10 x 2 1/2 S (Flat)", _xlfn.XLOOKUP(C506, dd_accsrycalc!$A$2:$A$51, dd_accsrycalc!$C$2:$C$51, "",0), F506="Tox6", _xlfn.XLOOKUP(C506, dd_accsrycalc!$A$2:$A$51, dd_accsrycalc!$D$2:$D$51, "",0), F506="Cover Cap", _xlfn.XLOOKUP(C506, dd_accsrycalc!$A$2:$A$51, dd_accsrycalc!$E$2:$E$51, "",0), F506="Drainage Cover", _xlfn.XLOOKUP(C506, dd_accsrycalc!$A$2:$A$51, dd_accsrycalc!$F$2:$F$51, "",0),AND( F506="Double Adhesive Tape", I506="Roll-up Screen"), _xlfn.XLOOKUP(C506, calc_rusacc!$C$15:$C$65, calc_rusacc!$AD$15:$AD$65, "",0),AND( F506="Sealant", I506="Roll-up Screen"), _xlfn.XLOOKUP(C506, calc_rusacc!$C$15:$C$65, calc_rusacc!$AF$15:$AF$65, "",0),  AND( F506="Main Chain", I506="Accordion Screen"), _xlfn.XLOOKUP(C506, calc_rusacc!$C$15:$C$65, calc_rusacc!$BF$15:$BF$65, "",0), AND( F506="Sealant", I506="Accordion Screen"), _xlfn.XLOOKUP(C506, calc_rusacc!$C$15:$C$65, calc_rusacc!$BJ$15:$BJ$65, "",0),  F506="Sealant", _xlfn.XLOOKUP(C506, dd_accsrycalc!$A$2:$A$51, dd_accsrycalc!$G$2:$G$51, "",0),  F506&lt;&gt;"",L506*_xlfn.XLOOKUP(1, (SKUs!$C$2:$C$10001=G506)*(SKUs!$K$2:$K$10001=I506),SKUs!$E$2:$E$10001)), 0),"")</f>
        <v/>
      </c>
      <c r="E506" s="35" t="str">
        <f>_xlfn.XLOOKUP(F506,dd_item!$B$2:$B$105,dd_item!$C$2:$C$105,"",0)</f>
        <v/>
      </c>
      <c r="F506" s="35"/>
      <c r="G506" s="35" cm="1">
        <f t="array" ref="G506">IFERROR(_xlfn.XLOOKUP(1, (SKUs!$J$2:$J$10001=accsry_unmerged!F506)*IF(H506&lt;&gt;"",(SKUs!$L$2:$L$10001=accsry_unmerged!H506),1)*(SKUs!$K$2:$K$10001=I506),SKUs!$C$2:$C$10001),"")</f>
        <v>0</v>
      </c>
      <c r="H506" s="36" cm="1">
        <f t="array" ref="H506">IFERROR(_xlfn.XLOOKUP(1, (dd_accsryclr!$C$2:$C$1000=accsry_unmerged!F506)*(dd_accsryclr!$B$2:$B$1000=accsry_unmerged!J506),dd_accsryclr!$A$2:$A$1000),"")</f>
        <v>0</v>
      </c>
      <c r="I506" s="35">
        <f>_xlfn.XLOOKUP(C506,'Project Details'!$C$17:$C$66,'Project Details'!$E$17:$E$66,"",0)</f>
        <v>0</v>
      </c>
      <c r="J506" s="35">
        <f>_xlfn.XLOOKUP(C506,'Project Details'!$C$17:$C$66,'Project Details'!$H$17:$H$66,"",0)</f>
        <v>0</v>
      </c>
      <c r="K506" s="36" t="str">
        <f>IF(AND(_xlfn.XLOOKUP(C506,'Project Details'!$C$17:$C$66,'Project Details'!$L$17:$L$66,"",0)&gt;550, F506="Spring-L27cm"),"",SUBSTITUTE(_xlfn.XLOOKUP(G506,SKUs!$C$2:$C$10001,SKUs!$F$2:$F$10001,"",0), " Accessories",""))</f>
        <v/>
      </c>
      <c r="L506" s="36">
        <f>_xlfn.XLOOKUP(C506,'Project Details'!$C$17:$C$66,'Project Details'!$D$17:$D$66,"",0)</f>
        <v>0</v>
      </c>
      <c r="M506" s="43"/>
    </row>
    <row r="507" spans="1:13" ht="13.5" customHeight="1" outlineLevel="1" x14ac:dyDescent="0.25">
      <c r="A507" s="43"/>
      <c r="B507" s="43"/>
      <c r="C507" s="16">
        <f t="shared" si="8"/>
        <v>10</v>
      </c>
      <c r="D507" s="16" t="str" cm="1">
        <f t="array" ref="D507">IFERROR(ROUNDUP(_xlfn.IFS(F507="Aluminum Track", _xlfn.XLOOKUP(C507, dd_accsrycalc!$A$2:$A$51, dd_accsrycalc!$B$2:$B$51, "",0), F507="10 x 2 1/2 S (Flat)", _xlfn.XLOOKUP(C507, dd_accsrycalc!$A$2:$A$51, dd_accsrycalc!$C$2:$C$51, "",0), F507="Tox6", _xlfn.XLOOKUP(C507, dd_accsrycalc!$A$2:$A$51, dd_accsrycalc!$D$2:$D$51, "",0), F507="Cover Cap", _xlfn.XLOOKUP(C507, dd_accsrycalc!$A$2:$A$51, dd_accsrycalc!$E$2:$E$51, "",0), F507="Drainage Cover", _xlfn.XLOOKUP(C507, dd_accsrycalc!$A$2:$A$51, dd_accsrycalc!$F$2:$F$51, "",0),AND( F507="Double Adhesive Tape", I507="Roll-up Screen"), _xlfn.XLOOKUP(C507, calc_rusacc!$C$15:$C$65, calc_rusacc!$AD$15:$AD$65, "",0),AND( F507="Sealant", I507="Roll-up Screen"), _xlfn.XLOOKUP(C507, calc_rusacc!$C$15:$C$65, calc_rusacc!$AF$15:$AF$65, "",0),  AND( F507="Main Chain", I507="Accordion Screen"), _xlfn.XLOOKUP(C507, calc_rusacc!$C$15:$C$65, calc_rusacc!$BF$15:$BF$65, "",0), AND( F507="Sealant", I507="Accordion Screen"), _xlfn.XLOOKUP(C507, calc_rusacc!$C$15:$C$65, calc_rusacc!$BJ$15:$BJ$65, "",0),  F507="Sealant", _xlfn.XLOOKUP(C507, dd_accsrycalc!$A$2:$A$51, dd_accsrycalc!$G$2:$G$51, "",0),  F507&lt;&gt;"",L507*_xlfn.XLOOKUP(1, (SKUs!$C$2:$C$10001=G507)*(SKUs!$K$2:$K$10001=I507),SKUs!$E$2:$E$10001)), 0),"")</f>
        <v/>
      </c>
      <c r="E507" s="16" t="str">
        <f>_xlfn.XLOOKUP(F507,dd_item!$B$2:$B$105,dd_item!$C$2:$C$105,"",0)</f>
        <v/>
      </c>
      <c r="F507" s="16"/>
      <c r="G507" s="16" cm="1">
        <f t="array" ref="G507">IFERROR(_xlfn.XLOOKUP(1, (SKUs!$J$2:$J$10001=accsry_unmerged!F507)*IF(H507&lt;&gt;"",(SKUs!$L$2:$L$10001=accsry_unmerged!H507),1)*(SKUs!$K$2:$K$10001=I507),SKUs!$C$2:$C$10001),"")</f>
        <v>0</v>
      </c>
      <c r="H507" s="33" cm="1">
        <f t="array" ref="H507">IFERROR(_xlfn.XLOOKUP(1, (dd_accsryclr!$C$2:$C$1000=accsry_unmerged!F507)*(dd_accsryclr!$B$2:$B$1000=accsry_unmerged!J507),dd_accsryclr!$A$2:$A$1000),"")</f>
        <v>0</v>
      </c>
      <c r="I507" s="16">
        <f>_xlfn.XLOOKUP(C507,'Project Details'!$C$17:$C$66,'Project Details'!$E$17:$E$66,"",0)</f>
        <v>0</v>
      </c>
      <c r="J507" s="16">
        <f>_xlfn.XLOOKUP(C507,'Project Details'!$C$17:$C$66,'Project Details'!$H$17:$H$66,"",0)</f>
        <v>0</v>
      </c>
      <c r="K507" s="33" t="str">
        <f>IF(AND(_xlfn.XLOOKUP(C507,'Project Details'!$C$17:$C$66,'Project Details'!$L$17:$L$66,"",0)&gt;550, F507="Spring-L27cm"),"",SUBSTITUTE(_xlfn.XLOOKUP(G507,SKUs!$C$2:$C$10001,SKUs!$F$2:$F$10001,"",0), " Accessories",""))</f>
        <v/>
      </c>
      <c r="L507" s="33">
        <f>_xlfn.XLOOKUP(C507,'Project Details'!$C$17:$C$66,'Project Details'!$D$17:$D$66,"",0)</f>
        <v>0</v>
      </c>
      <c r="M507" s="43"/>
    </row>
    <row r="508" spans="1:13" ht="13.5" customHeight="1" outlineLevel="1" x14ac:dyDescent="0.25">
      <c r="A508" s="43"/>
      <c r="B508" s="43"/>
      <c r="C508" s="35">
        <f t="shared" si="8"/>
        <v>10</v>
      </c>
      <c r="D508" s="35" t="str" cm="1">
        <f t="array" ref="D508">IFERROR(ROUNDUP(_xlfn.IFS(F508="Aluminum Track", _xlfn.XLOOKUP(C508, dd_accsrycalc!$A$2:$A$51, dd_accsrycalc!$B$2:$B$51, "",0), F508="10 x 2 1/2 S (Flat)", _xlfn.XLOOKUP(C508, dd_accsrycalc!$A$2:$A$51, dd_accsrycalc!$C$2:$C$51, "",0), F508="Tox6", _xlfn.XLOOKUP(C508, dd_accsrycalc!$A$2:$A$51, dd_accsrycalc!$D$2:$D$51, "",0), F508="Cover Cap", _xlfn.XLOOKUP(C508, dd_accsrycalc!$A$2:$A$51, dd_accsrycalc!$E$2:$E$51, "",0), F508="Drainage Cover", _xlfn.XLOOKUP(C508, dd_accsrycalc!$A$2:$A$51, dd_accsrycalc!$F$2:$F$51, "",0),AND( F508="Double Adhesive Tape", I508="Roll-up Screen"), _xlfn.XLOOKUP(C508, calc_rusacc!$C$15:$C$65, calc_rusacc!$AD$15:$AD$65, "",0),AND( F508="Sealant", I508="Roll-up Screen"), _xlfn.XLOOKUP(C508, calc_rusacc!$C$15:$C$65, calc_rusacc!$AF$15:$AF$65, "",0),  AND( F508="Main Chain", I508="Accordion Screen"), _xlfn.XLOOKUP(C508, calc_rusacc!$C$15:$C$65, calc_rusacc!$BF$15:$BF$65, "",0), AND( F508="Sealant", I508="Accordion Screen"), _xlfn.XLOOKUP(C508, calc_rusacc!$C$15:$C$65, calc_rusacc!$BJ$15:$BJ$65, "",0),  F508="Sealant", _xlfn.XLOOKUP(C508, dd_accsrycalc!$A$2:$A$51, dd_accsrycalc!$G$2:$G$51, "",0),  F508&lt;&gt;"",L508*_xlfn.XLOOKUP(1, (SKUs!$C$2:$C$10001=G508)*(SKUs!$K$2:$K$10001=I508),SKUs!$E$2:$E$10001)), 0),"")</f>
        <v/>
      </c>
      <c r="E508" s="35" t="str">
        <f>_xlfn.XLOOKUP(F508,dd_item!$B$2:$B$105,dd_item!$C$2:$C$105,"",0)</f>
        <v/>
      </c>
      <c r="F508" s="35"/>
      <c r="G508" s="35" cm="1">
        <f t="array" ref="G508">IFERROR(_xlfn.XLOOKUP(1, (SKUs!$J$2:$J$10001=accsry_unmerged!F508)*IF(H508&lt;&gt;"",(SKUs!$L$2:$L$10001=accsry_unmerged!H508),1)*(SKUs!$K$2:$K$10001=I508),SKUs!$C$2:$C$10001),"")</f>
        <v>0</v>
      </c>
      <c r="H508" s="36" cm="1">
        <f t="array" ref="H508">IFERROR(_xlfn.XLOOKUP(1, (dd_accsryclr!$C$2:$C$1000=accsry_unmerged!F508)*(dd_accsryclr!$B$2:$B$1000=accsry_unmerged!J508),dd_accsryclr!$A$2:$A$1000),"")</f>
        <v>0</v>
      </c>
      <c r="I508" s="35">
        <f>_xlfn.XLOOKUP(C508,'Project Details'!$C$17:$C$66,'Project Details'!$E$17:$E$66,"",0)</f>
        <v>0</v>
      </c>
      <c r="J508" s="35">
        <f>_xlfn.XLOOKUP(C508,'Project Details'!$C$17:$C$66,'Project Details'!$H$17:$H$66,"",0)</f>
        <v>0</v>
      </c>
      <c r="K508" s="36" t="str">
        <f>IF(AND(_xlfn.XLOOKUP(C508,'Project Details'!$C$17:$C$66,'Project Details'!$L$17:$L$66,"",0)&gt;550, F508="Spring-L27cm"),"",SUBSTITUTE(_xlfn.XLOOKUP(G508,SKUs!$C$2:$C$10001,SKUs!$F$2:$F$10001,"",0), " Accessories",""))</f>
        <v/>
      </c>
      <c r="L508" s="36">
        <f>_xlfn.XLOOKUP(C508,'Project Details'!$C$17:$C$66,'Project Details'!$D$17:$D$66,"",0)</f>
        <v>0</v>
      </c>
      <c r="M508" s="43"/>
    </row>
    <row r="509" spans="1:13" ht="13.5" customHeight="1" outlineLevel="1" x14ac:dyDescent="0.25">
      <c r="A509" s="43"/>
      <c r="B509" s="43"/>
      <c r="C509" s="16">
        <f t="shared" si="8"/>
        <v>10</v>
      </c>
      <c r="D509" s="16" t="str" cm="1">
        <f t="array" ref="D509">IFERROR(ROUNDUP(_xlfn.IFS(F509="Aluminum Track", _xlfn.XLOOKUP(C509, dd_accsrycalc!$A$2:$A$51, dd_accsrycalc!$B$2:$B$51, "",0), F509="10 x 2 1/2 S (Flat)", _xlfn.XLOOKUP(C509, dd_accsrycalc!$A$2:$A$51, dd_accsrycalc!$C$2:$C$51, "",0), F509="Tox6", _xlfn.XLOOKUP(C509, dd_accsrycalc!$A$2:$A$51, dd_accsrycalc!$D$2:$D$51, "",0), F509="Cover Cap", _xlfn.XLOOKUP(C509, dd_accsrycalc!$A$2:$A$51, dd_accsrycalc!$E$2:$E$51, "",0), F509="Drainage Cover", _xlfn.XLOOKUP(C509, dd_accsrycalc!$A$2:$A$51, dd_accsrycalc!$F$2:$F$51, "",0),AND( F509="Double Adhesive Tape", I509="Roll-up Screen"), _xlfn.XLOOKUP(C509, calc_rusacc!$C$15:$C$65, calc_rusacc!$AD$15:$AD$65, "",0),AND( F509="Sealant", I509="Roll-up Screen"), _xlfn.XLOOKUP(C509, calc_rusacc!$C$15:$C$65, calc_rusacc!$AF$15:$AF$65, "",0),  AND( F509="Main Chain", I509="Accordion Screen"), _xlfn.XLOOKUP(C509, calc_rusacc!$C$15:$C$65, calc_rusacc!$BF$15:$BF$65, "",0), AND( F509="Sealant", I509="Accordion Screen"), _xlfn.XLOOKUP(C509, calc_rusacc!$C$15:$C$65, calc_rusacc!$BJ$15:$BJ$65, "",0),  F509="Sealant", _xlfn.XLOOKUP(C509, dd_accsrycalc!$A$2:$A$51, dd_accsrycalc!$G$2:$G$51, "",0),  F509&lt;&gt;"",L509*_xlfn.XLOOKUP(1, (SKUs!$C$2:$C$10001=G509)*(SKUs!$K$2:$K$10001=I509),SKUs!$E$2:$E$10001)), 0),"")</f>
        <v/>
      </c>
      <c r="E509" s="16" t="str">
        <f>_xlfn.XLOOKUP(F509,dd_item!$B$2:$B$105,dd_item!$C$2:$C$105,"",0)</f>
        <v/>
      </c>
      <c r="F509" s="16"/>
      <c r="G509" s="16" cm="1">
        <f t="array" ref="G509">IFERROR(_xlfn.XLOOKUP(1, (SKUs!$J$2:$J$10001=accsry_unmerged!F509)*IF(H509&lt;&gt;"",(SKUs!$L$2:$L$10001=accsry_unmerged!H509),1)*(SKUs!$K$2:$K$10001=I509),SKUs!$C$2:$C$10001),"")</f>
        <v>0</v>
      </c>
      <c r="H509" s="33" cm="1">
        <f t="array" ref="H509">IFERROR(_xlfn.XLOOKUP(1, (dd_accsryclr!$C$2:$C$1000=accsry_unmerged!F509)*(dd_accsryclr!$B$2:$B$1000=accsry_unmerged!J509),dd_accsryclr!$A$2:$A$1000),"")</f>
        <v>0</v>
      </c>
      <c r="I509" s="16">
        <f>_xlfn.XLOOKUP(C509,'Project Details'!$C$17:$C$66,'Project Details'!$E$17:$E$66,"",0)</f>
        <v>0</v>
      </c>
      <c r="J509" s="16">
        <f>_xlfn.XLOOKUP(C509,'Project Details'!$C$17:$C$66,'Project Details'!$H$17:$H$66,"",0)</f>
        <v>0</v>
      </c>
      <c r="K509" s="33" t="str">
        <f>IF(AND(_xlfn.XLOOKUP(C509,'Project Details'!$C$17:$C$66,'Project Details'!$L$17:$L$66,"",0)&gt;550, F509="Spring-L27cm"),"",SUBSTITUTE(_xlfn.XLOOKUP(G509,SKUs!$C$2:$C$10001,SKUs!$F$2:$F$10001,"",0), " Accessories",""))</f>
        <v/>
      </c>
      <c r="L509" s="33">
        <f>_xlfn.XLOOKUP(C509,'Project Details'!$C$17:$C$66,'Project Details'!$D$17:$D$66,"",0)</f>
        <v>0</v>
      </c>
      <c r="M509" s="43"/>
    </row>
    <row r="510" spans="1:13" ht="13.5" customHeight="1" outlineLevel="1" x14ac:dyDescent="0.25">
      <c r="A510" s="43"/>
      <c r="B510" s="43"/>
      <c r="C510" s="35">
        <f t="shared" si="8"/>
        <v>10</v>
      </c>
      <c r="D510" s="35" t="str" cm="1">
        <f t="array" ref="D510">IFERROR(ROUNDUP(_xlfn.IFS(F510="Aluminum Track", _xlfn.XLOOKUP(C510, dd_accsrycalc!$A$2:$A$51, dd_accsrycalc!$B$2:$B$51, "",0), F510="10 x 2 1/2 S (Flat)", _xlfn.XLOOKUP(C510, dd_accsrycalc!$A$2:$A$51, dd_accsrycalc!$C$2:$C$51, "",0), F510="Tox6", _xlfn.XLOOKUP(C510, dd_accsrycalc!$A$2:$A$51, dd_accsrycalc!$D$2:$D$51, "",0), F510="Cover Cap", _xlfn.XLOOKUP(C510, dd_accsrycalc!$A$2:$A$51, dd_accsrycalc!$E$2:$E$51, "",0), F510="Drainage Cover", _xlfn.XLOOKUP(C510, dd_accsrycalc!$A$2:$A$51, dd_accsrycalc!$F$2:$F$51, "",0),AND( F510="Double Adhesive Tape", I510="Roll-up Screen"), _xlfn.XLOOKUP(C510, calc_rusacc!$C$15:$C$65, calc_rusacc!$AD$15:$AD$65, "",0),AND( F510="Sealant", I510="Roll-up Screen"), _xlfn.XLOOKUP(C510, calc_rusacc!$C$15:$C$65, calc_rusacc!$AF$15:$AF$65, "",0),  AND( F510="Main Chain", I510="Accordion Screen"), _xlfn.XLOOKUP(C510, calc_rusacc!$C$15:$C$65, calc_rusacc!$BF$15:$BF$65, "",0), AND( F510="Sealant", I510="Accordion Screen"), _xlfn.XLOOKUP(C510, calc_rusacc!$C$15:$C$65, calc_rusacc!$BJ$15:$BJ$65, "",0),  F510="Sealant", _xlfn.XLOOKUP(C510, dd_accsrycalc!$A$2:$A$51, dd_accsrycalc!$G$2:$G$51, "",0),  F510&lt;&gt;"",L510*_xlfn.XLOOKUP(1, (SKUs!$C$2:$C$10001=G510)*(SKUs!$K$2:$K$10001=I510),SKUs!$E$2:$E$10001)), 0),"")</f>
        <v/>
      </c>
      <c r="E510" s="35" t="str">
        <f>_xlfn.XLOOKUP(F510,dd_item!$B$2:$B$105,dd_item!$C$2:$C$105,"",0)</f>
        <v/>
      </c>
      <c r="F510" s="35"/>
      <c r="G510" s="35" cm="1">
        <f t="array" ref="G510">IFERROR(_xlfn.XLOOKUP(1, (SKUs!$J$2:$J$10001=accsry_unmerged!F510)*IF(H510&lt;&gt;"",(SKUs!$L$2:$L$10001=accsry_unmerged!H510),1)*(SKUs!$K$2:$K$10001=I510),SKUs!$C$2:$C$10001),"")</f>
        <v>0</v>
      </c>
      <c r="H510" s="36" cm="1">
        <f t="array" ref="H510">IFERROR(_xlfn.XLOOKUP(1, (dd_accsryclr!$C$2:$C$1000=accsry_unmerged!F510)*(dd_accsryclr!$B$2:$B$1000=accsry_unmerged!J510),dd_accsryclr!$A$2:$A$1000),"")</f>
        <v>0</v>
      </c>
      <c r="I510" s="35">
        <f>_xlfn.XLOOKUP(C510,'Project Details'!$C$17:$C$66,'Project Details'!$E$17:$E$66,"",0)</f>
        <v>0</v>
      </c>
      <c r="J510" s="35">
        <f>_xlfn.XLOOKUP(C510,'Project Details'!$C$17:$C$66,'Project Details'!$H$17:$H$66,"",0)</f>
        <v>0</v>
      </c>
      <c r="K510" s="36" t="str">
        <f>IF(AND(_xlfn.XLOOKUP(C510,'Project Details'!$C$17:$C$66,'Project Details'!$L$17:$L$66,"",0)&gt;550, F510="Spring-L27cm"),"",SUBSTITUTE(_xlfn.XLOOKUP(G510,SKUs!$C$2:$C$10001,SKUs!$F$2:$F$10001,"",0), " Accessories",""))</f>
        <v/>
      </c>
      <c r="L510" s="36">
        <f>_xlfn.XLOOKUP(C510,'Project Details'!$C$17:$C$66,'Project Details'!$D$17:$D$66,"",0)</f>
        <v>0</v>
      </c>
      <c r="M510" s="43"/>
    </row>
    <row r="511" spans="1:13" ht="13.5" customHeight="1" outlineLevel="1" x14ac:dyDescent="0.25">
      <c r="A511" s="43"/>
      <c r="B511" s="43"/>
      <c r="C511" s="16">
        <f t="shared" si="8"/>
        <v>10</v>
      </c>
      <c r="D511" s="16" t="str" cm="1">
        <f t="array" ref="D511">IFERROR(ROUNDUP(_xlfn.IFS(F511="Aluminum Track", _xlfn.XLOOKUP(C511, dd_accsrycalc!$A$2:$A$51, dd_accsrycalc!$B$2:$B$51, "",0), F511="10 x 2 1/2 S (Flat)", _xlfn.XLOOKUP(C511, dd_accsrycalc!$A$2:$A$51, dd_accsrycalc!$C$2:$C$51, "",0), F511="Tox6", _xlfn.XLOOKUP(C511, dd_accsrycalc!$A$2:$A$51, dd_accsrycalc!$D$2:$D$51, "",0), F511="Cover Cap", _xlfn.XLOOKUP(C511, dd_accsrycalc!$A$2:$A$51, dd_accsrycalc!$E$2:$E$51, "",0), F511="Drainage Cover", _xlfn.XLOOKUP(C511, dd_accsrycalc!$A$2:$A$51, dd_accsrycalc!$F$2:$F$51, "",0),AND( F511="Double Adhesive Tape", I511="Roll-up Screen"), _xlfn.XLOOKUP(C511, calc_rusacc!$C$15:$C$65, calc_rusacc!$AD$15:$AD$65, "",0),AND( F511="Sealant", I511="Roll-up Screen"), _xlfn.XLOOKUP(C511, calc_rusacc!$C$15:$C$65, calc_rusacc!$AF$15:$AF$65, "",0),  AND( F511="Main Chain", I511="Accordion Screen"), _xlfn.XLOOKUP(C511, calc_rusacc!$C$15:$C$65, calc_rusacc!$BF$15:$BF$65, "",0), AND( F511="Sealant", I511="Accordion Screen"), _xlfn.XLOOKUP(C511, calc_rusacc!$C$15:$C$65, calc_rusacc!$BJ$15:$BJ$65, "",0),  F511="Sealant", _xlfn.XLOOKUP(C511, dd_accsrycalc!$A$2:$A$51, dd_accsrycalc!$G$2:$G$51, "",0),  F511&lt;&gt;"",L511*_xlfn.XLOOKUP(1, (SKUs!$C$2:$C$10001=G511)*(SKUs!$K$2:$K$10001=I511),SKUs!$E$2:$E$10001)), 0),"")</f>
        <v/>
      </c>
      <c r="E511" s="16" t="str">
        <f>_xlfn.XLOOKUP(F511,dd_item!$B$2:$B$105,dd_item!$C$2:$C$105,"",0)</f>
        <v/>
      </c>
      <c r="F511" s="16"/>
      <c r="G511" s="16" cm="1">
        <f t="array" ref="G511">IFERROR(_xlfn.XLOOKUP(1, (SKUs!$J$2:$J$10001=accsry_unmerged!F511)*IF(H511&lt;&gt;"",(SKUs!$L$2:$L$10001=accsry_unmerged!H511),1)*(SKUs!$K$2:$K$10001=I511),SKUs!$C$2:$C$10001),"")</f>
        <v>0</v>
      </c>
      <c r="H511" s="33" cm="1">
        <f t="array" ref="H511">IFERROR(_xlfn.XLOOKUP(1, (dd_accsryclr!$C$2:$C$1000=accsry_unmerged!F511)*(dd_accsryclr!$B$2:$B$1000=accsry_unmerged!J511),dd_accsryclr!$A$2:$A$1000),"")</f>
        <v>0</v>
      </c>
      <c r="I511" s="16">
        <f>_xlfn.XLOOKUP(C511,'Project Details'!$C$17:$C$66,'Project Details'!$E$17:$E$66,"",0)</f>
        <v>0</v>
      </c>
      <c r="J511" s="16">
        <f>_xlfn.XLOOKUP(C511,'Project Details'!$C$17:$C$66,'Project Details'!$H$17:$H$66,"",0)</f>
        <v>0</v>
      </c>
      <c r="K511" s="33" t="str">
        <f>IF(AND(_xlfn.XLOOKUP(C511,'Project Details'!$C$17:$C$66,'Project Details'!$L$17:$L$66,"",0)&gt;550, F511="Spring-L27cm"),"",SUBSTITUTE(_xlfn.XLOOKUP(G511,SKUs!$C$2:$C$10001,SKUs!$F$2:$F$10001,"",0), " Accessories",""))</f>
        <v/>
      </c>
      <c r="L511" s="33">
        <f>_xlfn.XLOOKUP(C511,'Project Details'!$C$17:$C$66,'Project Details'!$D$17:$D$66,"",0)</f>
        <v>0</v>
      </c>
      <c r="M511" s="43"/>
    </row>
    <row r="512" spans="1:13" ht="13.5" customHeight="1" outlineLevel="1" x14ac:dyDescent="0.25">
      <c r="A512" s="43"/>
      <c r="B512" s="43"/>
      <c r="C512" s="35">
        <f t="shared" si="8"/>
        <v>10</v>
      </c>
      <c r="D512" s="35" t="str" cm="1">
        <f t="array" ref="D512">IFERROR(ROUNDUP(_xlfn.IFS(F512="Aluminum Track", _xlfn.XLOOKUP(C512, dd_accsrycalc!$A$2:$A$51, dd_accsrycalc!$B$2:$B$51, "",0), F512="10 x 2 1/2 S (Flat)", _xlfn.XLOOKUP(C512, dd_accsrycalc!$A$2:$A$51, dd_accsrycalc!$C$2:$C$51, "",0), F512="Tox6", _xlfn.XLOOKUP(C512, dd_accsrycalc!$A$2:$A$51, dd_accsrycalc!$D$2:$D$51, "",0), F512="Cover Cap", _xlfn.XLOOKUP(C512, dd_accsrycalc!$A$2:$A$51, dd_accsrycalc!$E$2:$E$51, "",0), F512="Drainage Cover", _xlfn.XLOOKUP(C512, dd_accsrycalc!$A$2:$A$51, dd_accsrycalc!$F$2:$F$51, "",0),AND( F512="Double Adhesive Tape", I512="Roll-up Screen"), _xlfn.XLOOKUP(C512, calc_rusacc!$C$15:$C$65, calc_rusacc!$AD$15:$AD$65, "",0),AND( F512="Sealant", I512="Roll-up Screen"), _xlfn.XLOOKUP(C512, calc_rusacc!$C$15:$C$65, calc_rusacc!$AF$15:$AF$65, "",0),  AND( F512="Main Chain", I512="Accordion Screen"), _xlfn.XLOOKUP(C512, calc_rusacc!$C$15:$C$65, calc_rusacc!$BF$15:$BF$65, "",0), AND( F512="Sealant", I512="Accordion Screen"), _xlfn.XLOOKUP(C512, calc_rusacc!$C$15:$C$65, calc_rusacc!$BJ$15:$BJ$65, "",0),  F512="Sealant", _xlfn.XLOOKUP(C512, dd_accsrycalc!$A$2:$A$51, dd_accsrycalc!$G$2:$G$51, "",0),  F512&lt;&gt;"",L512*_xlfn.XLOOKUP(1, (SKUs!$C$2:$C$10001=G512)*(SKUs!$K$2:$K$10001=I512),SKUs!$E$2:$E$10001)), 0),"")</f>
        <v/>
      </c>
      <c r="E512" s="35" t="str">
        <f>_xlfn.XLOOKUP(F512,dd_item!$B$2:$B$105,dd_item!$C$2:$C$105,"",0)</f>
        <v/>
      </c>
      <c r="F512" s="35"/>
      <c r="G512" s="35" cm="1">
        <f t="array" ref="G512">IFERROR(_xlfn.XLOOKUP(1, (SKUs!$J$2:$J$10001=accsry_unmerged!F512)*IF(H512&lt;&gt;"",(SKUs!$L$2:$L$10001=accsry_unmerged!H512),1)*(SKUs!$K$2:$K$10001=I512),SKUs!$C$2:$C$10001),"")</f>
        <v>0</v>
      </c>
      <c r="H512" s="36" cm="1">
        <f t="array" ref="H512">IFERROR(_xlfn.XLOOKUP(1, (dd_accsryclr!$C$2:$C$1000=accsry_unmerged!F512)*(dd_accsryclr!$B$2:$B$1000=accsry_unmerged!J512),dd_accsryclr!$A$2:$A$1000),"")</f>
        <v>0</v>
      </c>
      <c r="I512" s="35">
        <f>_xlfn.XLOOKUP(C512,'Project Details'!$C$17:$C$66,'Project Details'!$E$17:$E$66,"",0)</f>
        <v>0</v>
      </c>
      <c r="J512" s="35">
        <f>_xlfn.XLOOKUP(C512,'Project Details'!$C$17:$C$66,'Project Details'!$H$17:$H$66,"",0)</f>
        <v>0</v>
      </c>
      <c r="K512" s="36" t="str">
        <f>IF(AND(_xlfn.XLOOKUP(C512,'Project Details'!$C$17:$C$66,'Project Details'!$L$17:$L$66,"",0)&gt;550, F512="Spring-L27cm"),"",SUBSTITUTE(_xlfn.XLOOKUP(G512,SKUs!$C$2:$C$10001,SKUs!$F$2:$F$10001,"",0), " Accessories",""))</f>
        <v/>
      </c>
      <c r="L512" s="36">
        <f>_xlfn.XLOOKUP(C512,'Project Details'!$C$17:$C$66,'Project Details'!$D$17:$D$66,"",0)</f>
        <v>0</v>
      </c>
      <c r="M512" s="43"/>
    </row>
    <row r="513" spans="1:13" ht="13.5" customHeight="1" outlineLevel="1" x14ac:dyDescent="0.25">
      <c r="A513" s="43"/>
      <c r="B513" s="43"/>
      <c r="C513" s="16">
        <f t="shared" si="8"/>
        <v>10</v>
      </c>
      <c r="D513" s="16" t="str" cm="1">
        <f t="array" ref="D513">IFERROR(ROUNDUP(_xlfn.IFS(F513="Aluminum Track", _xlfn.XLOOKUP(C513, dd_accsrycalc!$A$2:$A$51, dd_accsrycalc!$B$2:$B$51, "",0), F513="10 x 2 1/2 S (Flat)", _xlfn.XLOOKUP(C513, dd_accsrycalc!$A$2:$A$51, dd_accsrycalc!$C$2:$C$51, "",0), F513="Tox6", _xlfn.XLOOKUP(C513, dd_accsrycalc!$A$2:$A$51, dd_accsrycalc!$D$2:$D$51, "",0), F513="Cover Cap", _xlfn.XLOOKUP(C513, dd_accsrycalc!$A$2:$A$51, dd_accsrycalc!$E$2:$E$51, "",0), F513="Drainage Cover", _xlfn.XLOOKUP(C513, dd_accsrycalc!$A$2:$A$51, dd_accsrycalc!$F$2:$F$51, "",0),AND( F513="Double Adhesive Tape", I513="Roll-up Screen"), _xlfn.XLOOKUP(C513, calc_rusacc!$C$15:$C$65, calc_rusacc!$AD$15:$AD$65, "",0),AND( F513="Sealant", I513="Roll-up Screen"), _xlfn.XLOOKUP(C513, calc_rusacc!$C$15:$C$65, calc_rusacc!$AF$15:$AF$65, "",0),  AND( F513="Main Chain", I513="Accordion Screen"), _xlfn.XLOOKUP(C513, calc_rusacc!$C$15:$C$65, calc_rusacc!$BF$15:$BF$65, "",0), AND( F513="Sealant", I513="Accordion Screen"), _xlfn.XLOOKUP(C513, calc_rusacc!$C$15:$C$65, calc_rusacc!$BJ$15:$BJ$65, "",0),  F513="Sealant", _xlfn.XLOOKUP(C513, dd_accsrycalc!$A$2:$A$51, dd_accsrycalc!$G$2:$G$51, "",0),  F513&lt;&gt;"",L513*_xlfn.XLOOKUP(1, (SKUs!$C$2:$C$10001=G513)*(SKUs!$K$2:$K$10001=I513),SKUs!$E$2:$E$10001)), 0),"")</f>
        <v/>
      </c>
      <c r="E513" s="16" t="str">
        <f>_xlfn.XLOOKUP(F513,dd_item!$B$2:$B$105,dd_item!$C$2:$C$105,"",0)</f>
        <v/>
      </c>
      <c r="F513" s="16"/>
      <c r="G513" s="16" cm="1">
        <f t="array" ref="G513">IFERROR(_xlfn.XLOOKUP(1, (SKUs!$J$2:$J$10001=accsry_unmerged!F513)*IF(H513&lt;&gt;"",(SKUs!$L$2:$L$10001=accsry_unmerged!H513),1)*(SKUs!$K$2:$K$10001=I513),SKUs!$C$2:$C$10001),"")</f>
        <v>0</v>
      </c>
      <c r="H513" s="33" cm="1">
        <f t="array" ref="H513">IFERROR(_xlfn.XLOOKUP(1, (dd_accsryclr!$C$2:$C$1000=accsry_unmerged!F513)*(dd_accsryclr!$B$2:$B$1000=accsry_unmerged!J513),dd_accsryclr!$A$2:$A$1000),"")</f>
        <v>0</v>
      </c>
      <c r="I513" s="16">
        <f>_xlfn.XLOOKUP(C513,'Project Details'!$C$17:$C$66,'Project Details'!$E$17:$E$66,"",0)</f>
        <v>0</v>
      </c>
      <c r="J513" s="16">
        <f>_xlfn.XLOOKUP(C513,'Project Details'!$C$17:$C$66,'Project Details'!$H$17:$H$66,"",0)</f>
        <v>0</v>
      </c>
      <c r="K513" s="33" t="str">
        <f>IF(AND(_xlfn.XLOOKUP(C513,'Project Details'!$C$17:$C$66,'Project Details'!$L$17:$L$66,"",0)&gt;550, F513="Spring-L27cm"),"",SUBSTITUTE(_xlfn.XLOOKUP(G513,SKUs!$C$2:$C$10001,SKUs!$F$2:$F$10001,"",0), " Accessories",""))</f>
        <v/>
      </c>
      <c r="L513" s="33">
        <f>_xlfn.XLOOKUP(C513,'Project Details'!$C$17:$C$66,'Project Details'!$D$17:$D$66,"",0)</f>
        <v>0</v>
      </c>
      <c r="M513" s="43"/>
    </row>
    <row r="514" spans="1:13" x14ac:dyDescent="0.25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</row>
    <row r="515" spans="1:13" x14ac:dyDescent="0.25">
      <c r="A515" s="43"/>
      <c r="B515" s="43"/>
      <c r="C515" s="16">
        <f>C513+1</f>
        <v>11</v>
      </c>
      <c r="D515" s="48" cm="1">
        <f t="array" ref="D515">IFERROR(ROUNDUP(_xlfn.IFS(F515="Aluminum Track", _xlfn.XLOOKUP(C515, dd_accsrycalc!$A$2:$A$51, dd_accsrycalc!$B$2:$B$51, "",0), F515="10 x 2 1/2 S (Flat)", _xlfn.XLOOKUP(C515, dd_accsrycalc!$A$2:$A$51, dd_accsrycalc!$C$2:$C$51, "",0), F515="Tox6", _xlfn.XLOOKUP(C515, dd_accsrycalc!$A$2:$A$51, dd_accsrycalc!$D$2:$D$51, "",0), F515="Cover Cap", _xlfn.XLOOKUP(C515, dd_accsrycalc!$A$2:$A$51, dd_accsrycalc!$E$2:$E$51, "",0), F515="Drainage Cover", _xlfn.XLOOKUP(C515, dd_accsrycalc!$A$2:$A$51, dd_accsrycalc!$F$2:$F$51, "",0),AND( F515="Double Adhesive Tape", I515="Roll-up Screen"), _xlfn.XLOOKUP(C515, calc_rusacc!$C$15:$C$65, calc_rusacc!$AD$15:$AD$65, "",0),AND( F515="Sealant", I515="Roll-up Screen"), _xlfn.XLOOKUP(C515, calc_rusacc!$C$15:$C$65, calc_rusacc!$AF$15:$AF$65, "",0),  AND( F515="Main Chain", I515="Accordion Screen"), _xlfn.XLOOKUP(C515, calc_rusacc!$C$15:$C$65, calc_rusacc!$BF$15:$BF$65, "",0), AND( F515="Sealant", I515="Accordion Screen"), _xlfn.XLOOKUP(C515, calc_rusacc!$C$15:$C$65, calc_rusacc!$BJ$15:$BJ$65, "",0),  F515="Sealant", _xlfn.XLOOKUP(C515, dd_accsrycalc!$A$2:$A$51, dd_accsrycalc!$G$2:$G$51, "",0),  F515&lt;&gt;"",L515*_xlfn.XLOOKUP(1, (SKUs!$C$2:$C$10001=G515)*(SKUs!$K$2:$K$10001=I515),SKUs!$E$2:$E$10001)), 0),"")</f>
        <v>0</v>
      </c>
      <c r="E515" s="48" t="str">
        <f>_xlfn.XLOOKUP(F515,dd_item!$B$2:$B$105,dd_item!$C$2:$C$105,"",0)</f>
        <v/>
      </c>
      <c r="F515" s="48" cm="1">
        <f t="array" ref="F515">IFERROR(_xlfn.UNIQUE(_xlfn._xlws.FILTER(SKUs!$J$2:$J$10001, (SKUs!$F$2:$F$10001&lt;&gt;"Cutting List") * (SKUs!$A$2:$A$10001=_xlfn.XLOOKUP(_xlfn.XLOOKUP(C515,'Project Details'!$C$17:$C$66,'Project Details'!$E$17:$E$66,"",0), dd_design_raw!$A$2:$A$101,dd_design_raw!$C$2:$C$101,"",0)))), "")</f>
        <v>0</v>
      </c>
      <c r="G515" s="16" cm="1">
        <f t="array" ref="G515">IFERROR(_xlfn.XLOOKUP(1, (SKUs!$J$2:$J$10001=accsry_unmerged!F515)*IF(H515&lt;&gt;"",(SKUs!$L$2:$L$10001=accsry_unmerged!H515),1)*(SKUs!$K$2:$K$10001=I515),SKUs!$C$2:$C$10001),"")</f>
        <v>0</v>
      </c>
      <c r="H515" s="16" cm="1">
        <f t="array" ref="H515">IFERROR(_xlfn.XLOOKUP(1, (dd_accsryclr!$C$2:$C$1000=accsry_unmerged!F515)*(dd_accsryclr!$B$2:$B$1000=accsry_unmerged!J515),dd_accsryclr!$A$2:$A$1000),"")</f>
        <v>0</v>
      </c>
      <c r="I515" s="16">
        <f>_xlfn.XLOOKUP(C515,'Project Details'!$C$17:$C$66,'Project Details'!$E$17:$E$66,"",0)</f>
        <v>0</v>
      </c>
      <c r="J515" s="16">
        <f>_xlfn.XLOOKUP(C515,'Project Details'!$C$17:$C$66,'Project Details'!$H$17:$H$66,"",0)</f>
        <v>0</v>
      </c>
      <c r="K515" s="16" t="str">
        <f>IF(AND(_xlfn.XLOOKUP(C515,'Project Details'!$C$17:$C$66,'Project Details'!$L$17:$L$66,"",0)&gt;550, F515="Spring-L27cm"),"",SUBSTITUTE(_xlfn.XLOOKUP(G515,SKUs!$C$2:$C$10001,SKUs!$F$2:$F$10001,"",0), " Accessories",""))</f>
        <v/>
      </c>
      <c r="L515" s="16">
        <f>_xlfn.XLOOKUP(C515,'Project Details'!$C$17:$C$66,'Project Details'!$D$17:$D$66,"",0)</f>
        <v>0</v>
      </c>
      <c r="M515" s="43"/>
    </row>
    <row r="516" spans="1:13" x14ac:dyDescent="0.25">
      <c r="A516" s="43"/>
      <c r="B516" s="43"/>
      <c r="C516" s="35">
        <f>C515</f>
        <v>11</v>
      </c>
      <c r="D516" s="35" t="str" cm="1">
        <f t="array" ref="D516">IFERROR(ROUNDUP(_xlfn.IFS(F516="Aluminum Track", _xlfn.XLOOKUP(C516, dd_accsrycalc!$A$2:$A$51, dd_accsrycalc!$B$2:$B$51, "",0), F516="10 x 2 1/2 S (Flat)", _xlfn.XLOOKUP(C516, dd_accsrycalc!$A$2:$A$51, dd_accsrycalc!$C$2:$C$51, "",0), F516="Tox6", _xlfn.XLOOKUP(C516, dd_accsrycalc!$A$2:$A$51, dd_accsrycalc!$D$2:$D$51, "",0), F516="Cover Cap", _xlfn.XLOOKUP(C516, dd_accsrycalc!$A$2:$A$51, dd_accsrycalc!$E$2:$E$51, "",0), F516="Drainage Cover", _xlfn.XLOOKUP(C516, dd_accsrycalc!$A$2:$A$51, dd_accsrycalc!$F$2:$F$51, "",0),AND( F516="Double Adhesive Tape", I516="Roll-up Screen"), _xlfn.XLOOKUP(C516, calc_rusacc!$C$15:$C$65, calc_rusacc!$AD$15:$AD$65, "",0),AND( F516="Sealant", I516="Roll-up Screen"), _xlfn.XLOOKUP(C516, calc_rusacc!$C$15:$C$65, calc_rusacc!$AF$15:$AF$65, "",0),  AND( F516="Main Chain", I516="Accordion Screen"), _xlfn.XLOOKUP(C516, calc_rusacc!$C$15:$C$65, calc_rusacc!$BF$15:$BF$65, "",0), AND( F516="Sealant", I516="Accordion Screen"), _xlfn.XLOOKUP(C516, calc_rusacc!$C$15:$C$65, calc_rusacc!$BJ$15:$BJ$65, "",0),  F516="Sealant", _xlfn.XLOOKUP(C516, dd_accsrycalc!$A$2:$A$51, dd_accsrycalc!$G$2:$G$51, "",0),  F516&lt;&gt;"",L516*_xlfn.XLOOKUP(1, (SKUs!$C$2:$C$10001=G516)*(SKUs!$K$2:$K$10001=I516),SKUs!$E$2:$E$10001)), 0),"")</f>
        <v/>
      </c>
      <c r="E516" s="35" t="str">
        <f>_xlfn.XLOOKUP(F516,dd_item!$B$2:$B$105,dd_item!$C$2:$C$105,"",0)</f>
        <v/>
      </c>
      <c r="F516" s="35"/>
      <c r="G516" s="35" cm="1">
        <f t="array" ref="G516">IFERROR(_xlfn.XLOOKUP(1, (SKUs!$J$2:$J$10001=accsry_unmerged!F516)*IF(H516&lt;&gt;"",(SKUs!$L$2:$L$10001=accsry_unmerged!H516),1)*(SKUs!$K$2:$K$10001=I516),SKUs!$C$2:$C$10001),"")</f>
        <v>0</v>
      </c>
      <c r="H516" s="36" cm="1">
        <f t="array" ref="H516">IFERROR(_xlfn.XLOOKUP(1, (dd_accsryclr!$C$2:$C$1000=accsry_unmerged!F516)*(dd_accsryclr!$B$2:$B$1000=accsry_unmerged!J516),dd_accsryclr!$A$2:$A$1000),"")</f>
        <v>0</v>
      </c>
      <c r="I516" s="35">
        <f>_xlfn.XLOOKUP(C516,'Project Details'!$C$17:$C$66,'Project Details'!$E$17:$E$66,"",0)</f>
        <v>0</v>
      </c>
      <c r="J516" s="35">
        <f>_xlfn.XLOOKUP(C516,'Project Details'!$C$17:$C$66,'Project Details'!$H$17:$H$66,"",0)</f>
        <v>0</v>
      </c>
      <c r="K516" s="36" t="str">
        <f>IF(AND(_xlfn.XLOOKUP(C516,'Project Details'!$C$17:$C$66,'Project Details'!$L$17:$L$66,"",0)&gt;550, F516="Spring-L27cm"),"",SUBSTITUTE(_xlfn.XLOOKUP(G516,SKUs!$C$2:$C$10001,SKUs!$F$2:$F$10001,"",0), " Accessories",""))</f>
        <v/>
      </c>
      <c r="L516" s="36">
        <f>_xlfn.XLOOKUP(C516,'Project Details'!$C$17:$C$66,'Project Details'!$D$17:$D$66,"",0)</f>
        <v>0</v>
      </c>
      <c r="M516" s="43"/>
    </row>
    <row r="517" spans="1:13" x14ac:dyDescent="0.25">
      <c r="A517" s="43"/>
      <c r="B517" s="43"/>
      <c r="C517" s="16">
        <f t="shared" ref="C517:C563" si="9">C516</f>
        <v>11</v>
      </c>
      <c r="D517" s="16" t="str" cm="1">
        <f t="array" ref="D517">IFERROR(ROUNDUP(_xlfn.IFS(F517="Aluminum Track", _xlfn.XLOOKUP(C517, dd_accsrycalc!$A$2:$A$51, dd_accsrycalc!$B$2:$B$51, "",0), F517="10 x 2 1/2 S (Flat)", _xlfn.XLOOKUP(C517, dd_accsrycalc!$A$2:$A$51, dd_accsrycalc!$C$2:$C$51, "",0), F517="Tox6", _xlfn.XLOOKUP(C517, dd_accsrycalc!$A$2:$A$51, dd_accsrycalc!$D$2:$D$51, "",0), F517="Cover Cap", _xlfn.XLOOKUP(C517, dd_accsrycalc!$A$2:$A$51, dd_accsrycalc!$E$2:$E$51, "",0), F517="Drainage Cover", _xlfn.XLOOKUP(C517, dd_accsrycalc!$A$2:$A$51, dd_accsrycalc!$F$2:$F$51, "",0),AND( F517="Double Adhesive Tape", I517="Roll-up Screen"), _xlfn.XLOOKUP(C517, calc_rusacc!$C$15:$C$65, calc_rusacc!$AD$15:$AD$65, "",0),AND( F517="Sealant", I517="Roll-up Screen"), _xlfn.XLOOKUP(C517, calc_rusacc!$C$15:$C$65, calc_rusacc!$AF$15:$AF$65, "",0),  AND( F517="Main Chain", I517="Accordion Screen"), _xlfn.XLOOKUP(C517, calc_rusacc!$C$15:$C$65, calc_rusacc!$BF$15:$BF$65, "",0), AND( F517="Sealant", I517="Accordion Screen"), _xlfn.XLOOKUP(C517, calc_rusacc!$C$15:$C$65, calc_rusacc!$BJ$15:$BJ$65, "",0),  F517="Sealant", _xlfn.XLOOKUP(C517, dd_accsrycalc!$A$2:$A$51, dd_accsrycalc!$G$2:$G$51, "",0),  F517&lt;&gt;"",L517*_xlfn.XLOOKUP(1, (SKUs!$C$2:$C$10001=G517)*(SKUs!$K$2:$K$10001=I517),SKUs!$E$2:$E$10001)), 0),"")</f>
        <v/>
      </c>
      <c r="E517" s="16" t="str">
        <f>_xlfn.XLOOKUP(F517,dd_item!$B$2:$B$105,dd_item!$C$2:$C$105,"",0)</f>
        <v/>
      </c>
      <c r="F517" s="16"/>
      <c r="G517" s="16" cm="1">
        <f t="array" ref="G517">IFERROR(_xlfn.XLOOKUP(1, (SKUs!$J$2:$J$10001=accsry_unmerged!F517)*IF(H517&lt;&gt;"",(SKUs!$L$2:$L$10001=accsry_unmerged!H517),1)*(SKUs!$K$2:$K$10001=I517),SKUs!$C$2:$C$10001),"")</f>
        <v>0</v>
      </c>
      <c r="H517" s="33" cm="1">
        <f t="array" ref="H517">IFERROR(_xlfn.XLOOKUP(1, (dd_accsryclr!$C$2:$C$1000=accsry_unmerged!F517)*(dd_accsryclr!$B$2:$B$1000=accsry_unmerged!J517),dd_accsryclr!$A$2:$A$1000),"")</f>
        <v>0</v>
      </c>
      <c r="I517" s="16">
        <f>_xlfn.XLOOKUP(C517,'Project Details'!$C$17:$C$66,'Project Details'!$E$17:$E$66,"",0)</f>
        <v>0</v>
      </c>
      <c r="J517" s="16">
        <f>_xlfn.XLOOKUP(C517,'Project Details'!$C$17:$C$66,'Project Details'!$H$17:$H$66,"",0)</f>
        <v>0</v>
      </c>
      <c r="K517" s="33" t="str">
        <f>IF(AND(_xlfn.XLOOKUP(C517,'Project Details'!$C$17:$C$66,'Project Details'!$L$17:$L$66,"",0)&gt;550, F517="Spring-L27cm"),"",SUBSTITUTE(_xlfn.XLOOKUP(G517,SKUs!$C$2:$C$10001,SKUs!$F$2:$F$10001,"",0), " Accessories",""))</f>
        <v/>
      </c>
      <c r="L517" s="33">
        <f>_xlfn.XLOOKUP(C517,'Project Details'!$C$17:$C$66,'Project Details'!$D$17:$D$66,"",0)</f>
        <v>0</v>
      </c>
      <c r="M517" s="43"/>
    </row>
    <row r="518" spans="1:13" x14ac:dyDescent="0.25">
      <c r="A518" s="43"/>
      <c r="B518" s="43"/>
      <c r="C518" s="35">
        <f t="shared" si="9"/>
        <v>11</v>
      </c>
      <c r="D518" s="35" t="str" cm="1">
        <f t="array" ref="D518">IFERROR(ROUNDUP(_xlfn.IFS(F518="Aluminum Track", _xlfn.XLOOKUP(C518, dd_accsrycalc!$A$2:$A$51, dd_accsrycalc!$B$2:$B$51, "",0), F518="10 x 2 1/2 S (Flat)", _xlfn.XLOOKUP(C518, dd_accsrycalc!$A$2:$A$51, dd_accsrycalc!$C$2:$C$51, "",0), F518="Tox6", _xlfn.XLOOKUP(C518, dd_accsrycalc!$A$2:$A$51, dd_accsrycalc!$D$2:$D$51, "",0), F518="Cover Cap", _xlfn.XLOOKUP(C518, dd_accsrycalc!$A$2:$A$51, dd_accsrycalc!$E$2:$E$51, "",0), F518="Drainage Cover", _xlfn.XLOOKUP(C518, dd_accsrycalc!$A$2:$A$51, dd_accsrycalc!$F$2:$F$51, "",0),AND( F518="Double Adhesive Tape", I518="Roll-up Screen"), _xlfn.XLOOKUP(C518, calc_rusacc!$C$15:$C$65, calc_rusacc!$AD$15:$AD$65, "",0),AND( F518="Sealant", I518="Roll-up Screen"), _xlfn.XLOOKUP(C518, calc_rusacc!$C$15:$C$65, calc_rusacc!$AF$15:$AF$65, "",0),  AND( F518="Main Chain", I518="Accordion Screen"), _xlfn.XLOOKUP(C518, calc_rusacc!$C$15:$C$65, calc_rusacc!$BF$15:$BF$65, "",0), AND( F518="Sealant", I518="Accordion Screen"), _xlfn.XLOOKUP(C518, calc_rusacc!$C$15:$C$65, calc_rusacc!$BJ$15:$BJ$65, "",0),  F518="Sealant", _xlfn.XLOOKUP(C518, dd_accsrycalc!$A$2:$A$51, dd_accsrycalc!$G$2:$G$51, "",0),  F518&lt;&gt;"",L518*_xlfn.XLOOKUP(1, (SKUs!$C$2:$C$10001=G518)*(SKUs!$K$2:$K$10001=I518),SKUs!$E$2:$E$10001)), 0),"")</f>
        <v/>
      </c>
      <c r="E518" s="35" t="str">
        <f>_xlfn.XLOOKUP(F518,dd_item!$B$2:$B$105,dd_item!$C$2:$C$105,"",0)</f>
        <v/>
      </c>
      <c r="F518" s="35"/>
      <c r="G518" s="35" cm="1">
        <f t="array" ref="G518">IFERROR(_xlfn.XLOOKUP(1, (SKUs!$J$2:$J$10001=accsry_unmerged!F518)*IF(H518&lt;&gt;"",(SKUs!$L$2:$L$10001=accsry_unmerged!H518),1)*(SKUs!$K$2:$K$10001=I518),SKUs!$C$2:$C$10001),"")</f>
        <v>0</v>
      </c>
      <c r="H518" s="36" cm="1">
        <f t="array" ref="H518">IFERROR(_xlfn.XLOOKUP(1, (dd_accsryclr!$C$2:$C$1000=accsry_unmerged!F518)*(dd_accsryclr!$B$2:$B$1000=accsry_unmerged!J518),dd_accsryclr!$A$2:$A$1000),"")</f>
        <v>0</v>
      </c>
      <c r="I518" s="35">
        <f>_xlfn.XLOOKUP(C518,'Project Details'!$C$17:$C$66,'Project Details'!$E$17:$E$66,"",0)</f>
        <v>0</v>
      </c>
      <c r="J518" s="35">
        <f>_xlfn.XLOOKUP(C518,'Project Details'!$C$17:$C$66,'Project Details'!$H$17:$H$66,"",0)</f>
        <v>0</v>
      </c>
      <c r="K518" s="36" t="str">
        <f>IF(AND(_xlfn.XLOOKUP(C518,'Project Details'!$C$17:$C$66,'Project Details'!$L$17:$L$66,"",0)&gt;550, F518="Spring-L27cm"),"",SUBSTITUTE(_xlfn.XLOOKUP(G518,SKUs!$C$2:$C$10001,SKUs!$F$2:$F$10001,"",0), " Accessories",""))</f>
        <v/>
      </c>
      <c r="L518" s="36">
        <f>_xlfn.XLOOKUP(C518,'Project Details'!$C$17:$C$66,'Project Details'!$D$17:$D$66,"",0)</f>
        <v>0</v>
      </c>
      <c r="M518" s="43"/>
    </row>
    <row r="519" spans="1:13" x14ac:dyDescent="0.25">
      <c r="A519" s="43"/>
      <c r="B519" s="43"/>
      <c r="C519" s="16">
        <f t="shared" si="9"/>
        <v>11</v>
      </c>
      <c r="D519" s="16" t="str" cm="1">
        <f t="array" ref="D519">IFERROR(ROUNDUP(_xlfn.IFS(F519="Aluminum Track", _xlfn.XLOOKUP(C519, dd_accsrycalc!$A$2:$A$51, dd_accsrycalc!$B$2:$B$51, "",0), F519="10 x 2 1/2 S (Flat)", _xlfn.XLOOKUP(C519, dd_accsrycalc!$A$2:$A$51, dd_accsrycalc!$C$2:$C$51, "",0), F519="Tox6", _xlfn.XLOOKUP(C519, dd_accsrycalc!$A$2:$A$51, dd_accsrycalc!$D$2:$D$51, "",0), F519="Cover Cap", _xlfn.XLOOKUP(C519, dd_accsrycalc!$A$2:$A$51, dd_accsrycalc!$E$2:$E$51, "",0), F519="Drainage Cover", _xlfn.XLOOKUP(C519, dd_accsrycalc!$A$2:$A$51, dd_accsrycalc!$F$2:$F$51, "",0),AND( F519="Double Adhesive Tape", I519="Roll-up Screen"), _xlfn.XLOOKUP(C519, calc_rusacc!$C$15:$C$65, calc_rusacc!$AD$15:$AD$65, "",0),AND( F519="Sealant", I519="Roll-up Screen"), _xlfn.XLOOKUP(C519, calc_rusacc!$C$15:$C$65, calc_rusacc!$AF$15:$AF$65, "",0),  AND( F519="Main Chain", I519="Accordion Screen"), _xlfn.XLOOKUP(C519, calc_rusacc!$C$15:$C$65, calc_rusacc!$BF$15:$BF$65, "",0), AND( F519="Sealant", I519="Accordion Screen"), _xlfn.XLOOKUP(C519, calc_rusacc!$C$15:$C$65, calc_rusacc!$BJ$15:$BJ$65, "",0),  F519="Sealant", _xlfn.XLOOKUP(C519, dd_accsrycalc!$A$2:$A$51, dd_accsrycalc!$G$2:$G$51, "",0),  F519&lt;&gt;"",L519*_xlfn.XLOOKUP(1, (SKUs!$C$2:$C$10001=G519)*(SKUs!$K$2:$K$10001=I519),SKUs!$E$2:$E$10001)), 0),"")</f>
        <v/>
      </c>
      <c r="E519" s="16" t="str">
        <f>_xlfn.XLOOKUP(F519,dd_item!$B$2:$B$105,dd_item!$C$2:$C$105,"",0)</f>
        <v/>
      </c>
      <c r="F519" s="16"/>
      <c r="G519" s="16" cm="1">
        <f t="array" ref="G519">IFERROR(_xlfn.XLOOKUP(1, (SKUs!$J$2:$J$10001=accsry_unmerged!F519)*IF(H519&lt;&gt;"",(SKUs!$L$2:$L$10001=accsry_unmerged!H519),1)*(SKUs!$K$2:$K$10001=I519),SKUs!$C$2:$C$10001),"")</f>
        <v>0</v>
      </c>
      <c r="H519" s="33" cm="1">
        <f t="array" ref="H519">IFERROR(_xlfn.XLOOKUP(1, (dd_accsryclr!$C$2:$C$1000=accsry_unmerged!F519)*(dd_accsryclr!$B$2:$B$1000=accsry_unmerged!J519),dd_accsryclr!$A$2:$A$1000),"")</f>
        <v>0</v>
      </c>
      <c r="I519" s="16">
        <f>_xlfn.XLOOKUP(C519,'Project Details'!$C$17:$C$66,'Project Details'!$E$17:$E$66,"",0)</f>
        <v>0</v>
      </c>
      <c r="J519" s="16">
        <f>_xlfn.XLOOKUP(C519,'Project Details'!$C$17:$C$66,'Project Details'!$H$17:$H$66,"",0)</f>
        <v>0</v>
      </c>
      <c r="K519" s="33" t="str">
        <f>IF(AND(_xlfn.XLOOKUP(C519,'Project Details'!$C$17:$C$66,'Project Details'!$L$17:$L$66,"",0)&gt;550, F519="Spring-L27cm"),"",SUBSTITUTE(_xlfn.XLOOKUP(G519,SKUs!$C$2:$C$10001,SKUs!$F$2:$F$10001,"",0), " Accessories",""))</f>
        <v/>
      </c>
      <c r="L519" s="33">
        <f>_xlfn.XLOOKUP(C519,'Project Details'!$C$17:$C$66,'Project Details'!$D$17:$D$66,"",0)</f>
        <v>0</v>
      </c>
      <c r="M519" s="43"/>
    </row>
    <row r="520" spans="1:13" x14ac:dyDescent="0.25">
      <c r="A520" s="43"/>
      <c r="B520" s="43"/>
      <c r="C520" s="35">
        <f t="shared" si="9"/>
        <v>11</v>
      </c>
      <c r="D520" s="35" t="str" cm="1">
        <f t="array" ref="D520">IFERROR(ROUNDUP(_xlfn.IFS(F520="Aluminum Track", _xlfn.XLOOKUP(C520, dd_accsrycalc!$A$2:$A$51, dd_accsrycalc!$B$2:$B$51, "",0), F520="10 x 2 1/2 S (Flat)", _xlfn.XLOOKUP(C520, dd_accsrycalc!$A$2:$A$51, dd_accsrycalc!$C$2:$C$51, "",0), F520="Tox6", _xlfn.XLOOKUP(C520, dd_accsrycalc!$A$2:$A$51, dd_accsrycalc!$D$2:$D$51, "",0), F520="Cover Cap", _xlfn.XLOOKUP(C520, dd_accsrycalc!$A$2:$A$51, dd_accsrycalc!$E$2:$E$51, "",0), F520="Drainage Cover", _xlfn.XLOOKUP(C520, dd_accsrycalc!$A$2:$A$51, dd_accsrycalc!$F$2:$F$51, "",0),AND( F520="Double Adhesive Tape", I520="Roll-up Screen"), _xlfn.XLOOKUP(C520, calc_rusacc!$C$15:$C$65, calc_rusacc!$AD$15:$AD$65, "",0),AND( F520="Sealant", I520="Roll-up Screen"), _xlfn.XLOOKUP(C520, calc_rusacc!$C$15:$C$65, calc_rusacc!$AF$15:$AF$65, "",0),  AND( F520="Main Chain", I520="Accordion Screen"), _xlfn.XLOOKUP(C520, calc_rusacc!$C$15:$C$65, calc_rusacc!$BF$15:$BF$65, "",0), AND( F520="Sealant", I520="Accordion Screen"), _xlfn.XLOOKUP(C520, calc_rusacc!$C$15:$C$65, calc_rusacc!$BJ$15:$BJ$65, "",0),  F520="Sealant", _xlfn.XLOOKUP(C520, dd_accsrycalc!$A$2:$A$51, dd_accsrycalc!$G$2:$G$51, "",0),  F520&lt;&gt;"",L520*_xlfn.XLOOKUP(1, (SKUs!$C$2:$C$10001=G520)*(SKUs!$K$2:$K$10001=I520),SKUs!$E$2:$E$10001)), 0),"")</f>
        <v/>
      </c>
      <c r="E520" s="35" t="str">
        <f>_xlfn.XLOOKUP(F520,dd_item!$B$2:$B$105,dd_item!$C$2:$C$105,"",0)</f>
        <v/>
      </c>
      <c r="F520" s="35"/>
      <c r="G520" s="35" cm="1">
        <f t="array" ref="G520">IFERROR(_xlfn.XLOOKUP(1, (SKUs!$J$2:$J$10001=accsry_unmerged!F520)*IF(H520&lt;&gt;"",(SKUs!$L$2:$L$10001=accsry_unmerged!H520),1)*(SKUs!$K$2:$K$10001=I520),SKUs!$C$2:$C$10001),"")</f>
        <v>0</v>
      </c>
      <c r="H520" s="36" cm="1">
        <f t="array" ref="H520">IFERROR(_xlfn.XLOOKUP(1, (dd_accsryclr!$C$2:$C$1000=accsry_unmerged!F520)*(dd_accsryclr!$B$2:$B$1000=accsry_unmerged!J520),dd_accsryclr!$A$2:$A$1000),"")</f>
        <v>0</v>
      </c>
      <c r="I520" s="35">
        <f>_xlfn.XLOOKUP(C520,'Project Details'!$C$17:$C$66,'Project Details'!$E$17:$E$66,"",0)</f>
        <v>0</v>
      </c>
      <c r="J520" s="35">
        <f>_xlfn.XLOOKUP(C520,'Project Details'!$C$17:$C$66,'Project Details'!$H$17:$H$66,"",0)</f>
        <v>0</v>
      </c>
      <c r="K520" s="36" t="str">
        <f>IF(AND(_xlfn.XLOOKUP(C520,'Project Details'!$C$17:$C$66,'Project Details'!$L$17:$L$66,"",0)&gt;550, F520="Spring-L27cm"),"",SUBSTITUTE(_xlfn.XLOOKUP(G520,SKUs!$C$2:$C$10001,SKUs!$F$2:$F$10001,"",0), " Accessories",""))</f>
        <v/>
      </c>
      <c r="L520" s="36">
        <f>_xlfn.XLOOKUP(C520,'Project Details'!$C$17:$C$66,'Project Details'!$D$17:$D$66,"",0)</f>
        <v>0</v>
      </c>
      <c r="M520" s="43"/>
    </row>
    <row r="521" spans="1:13" x14ac:dyDescent="0.25">
      <c r="A521" s="43"/>
      <c r="B521" s="43"/>
      <c r="C521" s="16">
        <f t="shared" si="9"/>
        <v>11</v>
      </c>
      <c r="D521" s="16" t="str" cm="1">
        <f t="array" ref="D521">IFERROR(ROUNDUP(_xlfn.IFS(F521="Aluminum Track", _xlfn.XLOOKUP(C521, dd_accsrycalc!$A$2:$A$51, dd_accsrycalc!$B$2:$B$51, "",0), F521="10 x 2 1/2 S (Flat)", _xlfn.XLOOKUP(C521, dd_accsrycalc!$A$2:$A$51, dd_accsrycalc!$C$2:$C$51, "",0), F521="Tox6", _xlfn.XLOOKUP(C521, dd_accsrycalc!$A$2:$A$51, dd_accsrycalc!$D$2:$D$51, "",0), F521="Cover Cap", _xlfn.XLOOKUP(C521, dd_accsrycalc!$A$2:$A$51, dd_accsrycalc!$E$2:$E$51, "",0), F521="Drainage Cover", _xlfn.XLOOKUP(C521, dd_accsrycalc!$A$2:$A$51, dd_accsrycalc!$F$2:$F$51, "",0),AND( F521="Double Adhesive Tape", I521="Roll-up Screen"), _xlfn.XLOOKUP(C521, calc_rusacc!$C$15:$C$65, calc_rusacc!$AD$15:$AD$65, "",0),AND( F521="Sealant", I521="Roll-up Screen"), _xlfn.XLOOKUP(C521, calc_rusacc!$C$15:$C$65, calc_rusacc!$AF$15:$AF$65, "",0),  AND( F521="Main Chain", I521="Accordion Screen"), _xlfn.XLOOKUP(C521, calc_rusacc!$C$15:$C$65, calc_rusacc!$BF$15:$BF$65, "",0), AND( F521="Sealant", I521="Accordion Screen"), _xlfn.XLOOKUP(C521, calc_rusacc!$C$15:$C$65, calc_rusacc!$BJ$15:$BJ$65, "",0),  F521="Sealant", _xlfn.XLOOKUP(C521, dd_accsrycalc!$A$2:$A$51, dd_accsrycalc!$G$2:$G$51, "",0),  F521&lt;&gt;"",L521*_xlfn.XLOOKUP(1, (SKUs!$C$2:$C$10001=G521)*(SKUs!$K$2:$K$10001=I521),SKUs!$E$2:$E$10001)), 0),"")</f>
        <v/>
      </c>
      <c r="E521" s="16" t="str">
        <f>_xlfn.XLOOKUP(F521,dd_item!$B$2:$B$105,dd_item!$C$2:$C$105,"",0)</f>
        <v/>
      </c>
      <c r="F521" s="16"/>
      <c r="G521" s="16" cm="1">
        <f t="array" ref="G521">IFERROR(_xlfn.XLOOKUP(1, (SKUs!$J$2:$J$10001=accsry_unmerged!F521)*IF(H521&lt;&gt;"",(SKUs!$L$2:$L$10001=accsry_unmerged!H521),1)*(SKUs!$K$2:$K$10001=I521),SKUs!$C$2:$C$10001),"")</f>
        <v>0</v>
      </c>
      <c r="H521" s="33" cm="1">
        <f t="array" ref="H521">IFERROR(_xlfn.XLOOKUP(1, (dd_accsryclr!$C$2:$C$1000=accsry_unmerged!F521)*(dd_accsryclr!$B$2:$B$1000=accsry_unmerged!J521),dd_accsryclr!$A$2:$A$1000),"")</f>
        <v>0</v>
      </c>
      <c r="I521" s="16">
        <f>_xlfn.XLOOKUP(C521,'Project Details'!$C$17:$C$66,'Project Details'!$E$17:$E$66,"",0)</f>
        <v>0</v>
      </c>
      <c r="J521" s="16">
        <f>_xlfn.XLOOKUP(C521,'Project Details'!$C$17:$C$66,'Project Details'!$H$17:$H$66,"",0)</f>
        <v>0</v>
      </c>
      <c r="K521" s="33" t="str">
        <f>IF(AND(_xlfn.XLOOKUP(C521,'Project Details'!$C$17:$C$66,'Project Details'!$L$17:$L$66,"",0)&gt;550, F521="Spring-L27cm"),"",SUBSTITUTE(_xlfn.XLOOKUP(G521,SKUs!$C$2:$C$10001,SKUs!$F$2:$F$10001,"",0), " Accessories",""))</f>
        <v/>
      </c>
      <c r="L521" s="33">
        <f>_xlfn.XLOOKUP(C521,'Project Details'!$C$17:$C$66,'Project Details'!$D$17:$D$66,"",0)</f>
        <v>0</v>
      </c>
      <c r="M521" s="43"/>
    </row>
    <row r="522" spans="1:13" x14ac:dyDescent="0.25">
      <c r="A522" s="43"/>
      <c r="B522" s="43"/>
      <c r="C522" s="35">
        <f t="shared" si="9"/>
        <v>11</v>
      </c>
      <c r="D522" s="35" t="str" cm="1">
        <f t="array" ref="D522">IFERROR(ROUNDUP(_xlfn.IFS(F522="Aluminum Track", _xlfn.XLOOKUP(C522, dd_accsrycalc!$A$2:$A$51, dd_accsrycalc!$B$2:$B$51, "",0), F522="10 x 2 1/2 S (Flat)", _xlfn.XLOOKUP(C522, dd_accsrycalc!$A$2:$A$51, dd_accsrycalc!$C$2:$C$51, "",0), F522="Tox6", _xlfn.XLOOKUP(C522, dd_accsrycalc!$A$2:$A$51, dd_accsrycalc!$D$2:$D$51, "",0), F522="Cover Cap", _xlfn.XLOOKUP(C522, dd_accsrycalc!$A$2:$A$51, dd_accsrycalc!$E$2:$E$51, "",0), F522="Drainage Cover", _xlfn.XLOOKUP(C522, dd_accsrycalc!$A$2:$A$51, dd_accsrycalc!$F$2:$F$51, "",0),AND( F522="Double Adhesive Tape", I522="Roll-up Screen"), _xlfn.XLOOKUP(C522, calc_rusacc!$C$15:$C$65, calc_rusacc!$AD$15:$AD$65, "",0),AND( F522="Sealant", I522="Roll-up Screen"), _xlfn.XLOOKUP(C522, calc_rusacc!$C$15:$C$65, calc_rusacc!$AF$15:$AF$65, "",0),  AND( F522="Main Chain", I522="Accordion Screen"), _xlfn.XLOOKUP(C522, calc_rusacc!$C$15:$C$65, calc_rusacc!$BF$15:$BF$65, "",0), AND( F522="Sealant", I522="Accordion Screen"), _xlfn.XLOOKUP(C522, calc_rusacc!$C$15:$C$65, calc_rusacc!$BJ$15:$BJ$65, "",0),  F522="Sealant", _xlfn.XLOOKUP(C522, dd_accsrycalc!$A$2:$A$51, dd_accsrycalc!$G$2:$G$51, "",0),  F522&lt;&gt;"",L522*_xlfn.XLOOKUP(1, (SKUs!$C$2:$C$10001=G522)*(SKUs!$K$2:$K$10001=I522),SKUs!$E$2:$E$10001)), 0),"")</f>
        <v/>
      </c>
      <c r="E522" s="35" t="str">
        <f>_xlfn.XLOOKUP(F522,dd_item!$B$2:$B$105,dd_item!$C$2:$C$105,"",0)</f>
        <v/>
      </c>
      <c r="F522" s="35"/>
      <c r="G522" s="35" cm="1">
        <f t="array" ref="G522">IFERROR(_xlfn.XLOOKUP(1, (SKUs!$J$2:$J$10001=accsry_unmerged!F522)*IF(H522&lt;&gt;"",(SKUs!$L$2:$L$10001=accsry_unmerged!H522),1)*(SKUs!$K$2:$K$10001=I522),SKUs!$C$2:$C$10001),"")</f>
        <v>0</v>
      </c>
      <c r="H522" s="36" cm="1">
        <f t="array" ref="H522">IFERROR(_xlfn.XLOOKUP(1, (dd_accsryclr!$C$2:$C$1000=accsry_unmerged!F522)*(dd_accsryclr!$B$2:$B$1000=accsry_unmerged!J522),dd_accsryclr!$A$2:$A$1000),"")</f>
        <v>0</v>
      </c>
      <c r="I522" s="35">
        <f>_xlfn.XLOOKUP(C522,'Project Details'!$C$17:$C$66,'Project Details'!$E$17:$E$66,"",0)</f>
        <v>0</v>
      </c>
      <c r="J522" s="35">
        <f>_xlfn.XLOOKUP(C522,'Project Details'!$C$17:$C$66,'Project Details'!$H$17:$H$66,"",0)</f>
        <v>0</v>
      </c>
      <c r="K522" s="36" t="str">
        <f>IF(AND(_xlfn.XLOOKUP(C522,'Project Details'!$C$17:$C$66,'Project Details'!$L$17:$L$66,"",0)&gt;550, F522="Spring-L27cm"),"",SUBSTITUTE(_xlfn.XLOOKUP(G522,SKUs!$C$2:$C$10001,SKUs!$F$2:$F$10001,"",0), " Accessories",""))</f>
        <v/>
      </c>
      <c r="L522" s="36">
        <f>_xlfn.XLOOKUP(C522,'Project Details'!$C$17:$C$66,'Project Details'!$D$17:$D$66,"",0)</f>
        <v>0</v>
      </c>
      <c r="M522" s="43"/>
    </row>
    <row r="523" spans="1:13" x14ac:dyDescent="0.25">
      <c r="A523" s="43"/>
      <c r="B523" s="43"/>
      <c r="C523" s="16">
        <f t="shared" si="9"/>
        <v>11</v>
      </c>
      <c r="D523" s="16" t="str" cm="1">
        <f t="array" ref="D523">IFERROR(ROUNDUP(_xlfn.IFS(F523="Aluminum Track", _xlfn.XLOOKUP(C523, dd_accsrycalc!$A$2:$A$51, dd_accsrycalc!$B$2:$B$51, "",0), F523="10 x 2 1/2 S (Flat)", _xlfn.XLOOKUP(C523, dd_accsrycalc!$A$2:$A$51, dd_accsrycalc!$C$2:$C$51, "",0), F523="Tox6", _xlfn.XLOOKUP(C523, dd_accsrycalc!$A$2:$A$51, dd_accsrycalc!$D$2:$D$51, "",0), F523="Cover Cap", _xlfn.XLOOKUP(C523, dd_accsrycalc!$A$2:$A$51, dd_accsrycalc!$E$2:$E$51, "",0), F523="Drainage Cover", _xlfn.XLOOKUP(C523, dd_accsrycalc!$A$2:$A$51, dd_accsrycalc!$F$2:$F$51, "",0),AND( F523="Double Adhesive Tape", I523="Roll-up Screen"), _xlfn.XLOOKUP(C523, calc_rusacc!$C$15:$C$65, calc_rusacc!$AD$15:$AD$65, "",0),AND( F523="Sealant", I523="Roll-up Screen"), _xlfn.XLOOKUP(C523, calc_rusacc!$C$15:$C$65, calc_rusacc!$AF$15:$AF$65, "",0),  AND( F523="Main Chain", I523="Accordion Screen"), _xlfn.XLOOKUP(C523, calc_rusacc!$C$15:$C$65, calc_rusacc!$BF$15:$BF$65, "",0), AND( F523="Sealant", I523="Accordion Screen"), _xlfn.XLOOKUP(C523, calc_rusacc!$C$15:$C$65, calc_rusacc!$BJ$15:$BJ$65, "",0),  F523="Sealant", _xlfn.XLOOKUP(C523, dd_accsrycalc!$A$2:$A$51, dd_accsrycalc!$G$2:$G$51, "",0),  F523&lt;&gt;"",L523*_xlfn.XLOOKUP(1, (SKUs!$C$2:$C$10001=G523)*(SKUs!$K$2:$K$10001=I523),SKUs!$E$2:$E$10001)), 0),"")</f>
        <v/>
      </c>
      <c r="E523" s="16" t="str">
        <f>_xlfn.XLOOKUP(F523,dd_item!$B$2:$B$105,dd_item!$C$2:$C$105,"",0)</f>
        <v/>
      </c>
      <c r="F523" s="16"/>
      <c r="G523" s="16" cm="1">
        <f t="array" ref="G523">IFERROR(_xlfn.XLOOKUP(1, (SKUs!$J$2:$J$10001=accsry_unmerged!F523)*IF(H523&lt;&gt;"",(SKUs!$L$2:$L$10001=accsry_unmerged!H523),1)*(SKUs!$K$2:$K$10001=I523),SKUs!$C$2:$C$10001),"")</f>
        <v>0</v>
      </c>
      <c r="H523" s="33" cm="1">
        <f t="array" ref="H523">IFERROR(_xlfn.XLOOKUP(1, (dd_accsryclr!$C$2:$C$1000=accsry_unmerged!F523)*(dd_accsryclr!$B$2:$B$1000=accsry_unmerged!J523),dd_accsryclr!$A$2:$A$1000),"")</f>
        <v>0</v>
      </c>
      <c r="I523" s="16">
        <f>_xlfn.XLOOKUP(C523,'Project Details'!$C$17:$C$66,'Project Details'!$E$17:$E$66,"",0)</f>
        <v>0</v>
      </c>
      <c r="J523" s="16">
        <f>_xlfn.XLOOKUP(C523,'Project Details'!$C$17:$C$66,'Project Details'!$H$17:$H$66,"",0)</f>
        <v>0</v>
      </c>
      <c r="K523" s="33" t="str">
        <f>IF(AND(_xlfn.XLOOKUP(C523,'Project Details'!$C$17:$C$66,'Project Details'!$L$17:$L$66,"",0)&gt;550, F523="Spring-L27cm"),"",SUBSTITUTE(_xlfn.XLOOKUP(G523,SKUs!$C$2:$C$10001,SKUs!$F$2:$F$10001,"",0), " Accessories",""))</f>
        <v/>
      </c>
      <c r="L523" s="33">
        <f>_xlfn.XLOOKUP(C523,'Project Details'!$C$17:$C$66,'Project Details'!$D$17:$D$66,"",0)</f>
        <v>0</v>
      </c>
      <c r="M523" s="43"/>
    </row>
    <row r="524" spans="1:13" x14ac:dyDescent="0.25">
      <c r="A524" s="43"/>
      <c r="B524" s="43"/>
      <c r="C524" s="35">
        <f t="shared" si="9"/>
        <v>11</v>
      </c>
      <c r="D524" s="35" t="str" cm="1">
        <f t="array" ref="D524">IFERROR(ROUNDUP(_xlfn.IFS(F524="Aluminum Track", _xlfn.XLOOKUP(C524, dd_accsrycalc!$A$2:$A$51, dd_accsrycalc!$B$2:$B$51, "",0), F524="10 x 2 1/2 S (Flat)", _xlfn.XLOOKUP(C524, dd_accsrycalc!$A$2:$A$51, dd_accsrycalc!$C$2:$C$51, "",0), F524="Tox6", _xlfn.XLOOKUP(C524, dd_accsrycalc!$A$2:$A$51, dd_accsrycalc!$D$2:$D$51, "",0), F524="Cover Cap", _xlfn.XLOOKUP(C524, dd_accsrycalc!$A$2:$A$51, dd_accsrycalc!$E$2:$E$51, "",0), F524="Drainage Cover", _xlfn.XLOOKUP(C524, dd_accsrycalc!$A$2:$A$51, dd_accsrycalc!$F$2:$F$51, "",0),AND( F524="Double Adhesive Tape", I524="Roll-up Screen"), _xlfn.XLOOKUP(C524, calc_rusacc!$C$15:$C$65, calc_rusacc!$AD$15:$AD$65, "",0),AND( F524="Sealant", I524="Roll-up Screen"), _xlfn.XLOOKUP(C524, calc_rusacc!$C$15:$C$65, calc_rusacc!$AF$15:$AF$65, "",0),  AND( F524="Main Chain", I524="Accordion Screen"), _xlfn.XLOOKUP(C524, calc_rusacc!$C$15:$C$65, calc_rusacc!$BF$15:$BF$65, "",0), AND( F524="Sealant", I524="Accordion Screen"), _xlfn.XLOOKUP(C524, calc_rusacc!$C$15:$C$65, calc_rusacc!$BJ$15:$BJ$65, "",0),  F524="Sealant", _xlfn.XLOOKUP(C524, dd_accsrycalc!$A$2:$A$51, dd_accsrycalc!$G$2:$G$51, "",0),  F524&lt;&gt;"",L524*_xlfn.XLOOKUP(1, (SKUs!$C$2:$C$10001=G524)*(SKUs!$K$2:$K$10001=I524),SKUs!$E$2:$E$10001)), 0),"")</f>
        <v/>
      </c>
      <c r="E524" s="35" t="str">
        <f>_xlfn.XLOOKUP(F524,dd_item!$B$2:$B$105,dd_item!$C$2:$C$105,"",0)</f>
        <v/>
      </c>
      <c r="F524" s="35"/>
      <c r="G524" s="35" cm="1">
        <f t="array" ref="G524">IFERROR(_xlfn.XLOOKUP(1, (SKUs!$J$2:$J$10001=accsry_unmerged!F524)*IF(H524&lt;&gt;"",(SKUs!$L$2:$L$10001=accsry_unmerged!H524),1)*(SKUs!$K$2:$K$10001=I524),SKUs!$C$2:$C$10001),"")</f>
        <v>0</v>
      </c>
      <c r="H524" s="36" cm="1">
        <f t="array" ref="H524">IFERROR(_xlfn.XLOOKUP(1, (dd_accsryclr!$C$2:$C$1000=accsry_unmerged!F524)*(dd_accsryclr!$B$2:$B$1000=accsry_unmerged!J524),dd_accsryclr!$A$2:$A$1000),"")</f>
        <v>0</v>
      </c>
      <c r="I524" s="35">
        <f>_xlfn.XLOOKUP(C524,'Project Details'!$C$17:$C$66,'Project Details'!$E$17:$E$66,"",0)</f>
        <v>0</v>
      </c>
      <c r="J524" s="35">
        <f>_xlfn.XLOOKUP(C524,'Project Details'!$C$17:$C$66,'Project Details'!$H$17:$H$66,"",0)</f>
        <v>0</v>
      </c>
      <c r="K524" s="36" t="str">
        <f>IF(AND(_xlfn.XLOOKUP(C524,'Project Details'!$C$17:$C$66,'Project Details'!$L$17:$L$66,"",0)&gt;550, F524="Spring-L27cm"),"",SUBSTITUTE(_xlfn.XLOOKUP(G524,SKUs!$C$2:$C$10001,SKUs!$F$2:$F$10001,"",0), " Accessories",""))</f>
        <v/>
      </c>
      <c r="L524" s="36">
        <f>_xlfn.XLOOKUP(C524,'Project Details'!$C$17:$C$66,'Project Details'!$D$17:$D$66,"",0)</f>
        <v>0</v>
      </c>
      <c r="M524" s="43"/>
    </row>
    <row r="525" spans="1:13" x14ac:dyDescent="0.25">
      <c r="A525" s="43"/>
      <c r="B525" s="43"/>
      <c r="C525" s="16">
        <f t="shared" si="9"/>
        <v>11</v>
      </c>
      <c r="D525" s="16" t="str" cm="1">
        <f t="array" ref="D525">IFERROR(ROUNDUP(_xlfn.IFS(F525="Aluminum Track", _xlfn.XLOOKUP(C525, dd_accsrycalc!$A$2:$A$51, dd_accsrycalc!$B$2:$B$51, "",0), F525="10 x 2 1/2 S (Flat)", _xlfn.XLOOKUP(C525, dd_accsrycalc!$A$2:$A$51, dd_accsrycalc!$C$2:$C$51, "",0), F525="Tox6", _xlfn.XLOOKUP(C525, dd_accsrycalc!$A$2:$A$51, dd_accsrycalc!$D$2:$D$51, "",0), F525="Cover Cap", _xlfn.XLOOKUP(C525, dd_accsrycalc!$A$2:$A$51, dd_accsrycalc!$E$2:$E$51, "",0), F525="Drainage Cover", _xlfn.XLOOKUP(C525, dd_accsrycalc!$A$2:$A$51, dd_accsrycalc!$F$2:$F$51, "",0),AND( F525="Double Adhesive Tape", I525="Roll-up Screen"), _xlfn.XLOOKUP(C525, calc_rusacc!$C$15:$C$65, calc_rusacc!$AD$15:$AD$65, "",0),AND( F525="Sealant", I525="Roll-up Screen"), _xlfn.XLOOKUP(C525, calc_rusacc!$C$15:$C$65, calc_rusacc!$AF$15:$AF$65, "",0),  AND( F525="Main Chain", I525="Accordion Screen"), _xlfn.XLOOKUP(C525, calc_rusacc!$C$15:$C$65, calc_rusacc!$BF$15:$BF$65, "",0), AND( F525="Sealant", I525="Accordion Screen"), _xlfn.XLOOKUP(C525, calc_rusacc!$C$15:$C$65, calc_rusacc!$BJ$15:$BJ$65, "",0),  F525="Sealant", _xlfn.XLOOKUP(C525, dd_accsrycalc!$A$2:$A$51, dd_accsrycalc!$G$2:$G$51, "",0),  F525&lt;&gt;"",L525*_xlfn.XLOOKUP(1, (SKUs!$C$2:$C$10001=G525)*(SKUs!$K$2:$K$10001=I525),SKUs!$E$2:$E$10001)), 0),"")</f>
        <v/>
      </c>
      <c r="E525" s="16" t="str">
        <f>_xlfn.XLOOKUP(F525,dd_item!$B$2:$B$105,dd_item!$C$2:$C$105,"",0)</f>
        <v/>
      </c>
      <c r="F525" s="16"/>
      <c r="G525" s="16" cm="1">
        <f t="array" ref="G525">IFERROR(_xlfn.XLOOKUP(1, (SKUs!$J$2:$J$10001=accsry_unmerged!F525)*IF(H525&lt;&gt;"",(SKUs!$L$2:$L$10001=accsry_unmerged!H525),1)*(SKUs!$K$2:$K$10001=I525),SKUs!$C$2:$C$10001),"")</f>
        <v>0</v>
      </c>
      <c r="H525" s="33" cm="1">
        <f t="array" ref="H525">IFERROR(_xlfn.XLOOKUP(1, (dd_accsryclr!$C$2:$C$1000=accsry_unmerged!F525)*(dd_accsryclr!$B$2:$B$1000=accsry_unmerged!J525),dd_accsryclr!$A$2:$A$1000),"")</f>
        <v>0</v>
      </c>
      <c r="I525" s="16">
        <f>_xlfn.XLOOKUP(C525,'Project Details'!$C$17:$C$66,'Project Details'!$E$17:$E$66,"",0)</f>
        <v>0</v>
      </c>
      <c r="J525" s="16">
        <f>_xlfn.XLOOKUP(C525,'Project Details'!$C$17:$C$66,'Project Details'!$H$17:$H$66,"",0)</f>
        <v>0</v>
      </c>
      <c r="K525" s="33" t="str">
        <f>IF(AND(_xlfn.XLOOKUP(C525,'Project Details'!$C$17:$C$66,'Project Details'!$L$17:$L$66,"",0)&gt;550, F525="Spring-L27cm"),"",SUBSTITUTE(_xlfn.XLOOKUP(G525,SKUs!$C$2:$C$10001,SKUs!$F$2:$F$10001,"",0), " Accessories",""))</f>
        <v/>
      </c>
      <c r="L525" s="33">
        <f>_xlfn.XLOOKUP(C525,'Project Details'!$C$17:$C$66,'Project Details'!$D$17:$D$66,"",0)</f>
        <v>0</v>
      </c>
      <c r="M525" s="43"/>
    </row>
    <row r="526" spans="1:13" x14ac:dyDescent="0.25">
      <c r="A526" s="43"/>
      <c r="B526" s="43"/>
      <c r="C526" s="35">
        <f t="shared" si="9"/>
        <v>11</v>
      </c>
      <c r="D526" s="35" t="str" cm="1">
        <f t="array" ref="D526">IFERROR(ROUNDUP(_xlfn.IFS(F526="Aluminum Track", _xlfn.XLOOKUP(C526, dd_accsrycalc!$A$2:$A$51, dd_accsrycalc!$B$2:$B$51, "",0), F526="10 x 2 1/2 S (Flat)", _xlfn.XLOOKUP(C526, dd_accsrycalc!$A$2:$A$51, dd_accsrycalc!$C$2:$C$51, "",0), F526="Tox6", _xlfn.XLOOKUP(C526, dd_accsrycalc!$A$2:$A$51, dd_accsrycalc!$D$2:$D$51, "",0), F526="Cover Cap", _xlfn.XLOOKUP(C526, dd_accsrycalc!$A$2:$A$51, dd_accsrycalc!$E$2:$E$51, "",0), F526="Drainage Cover", _xlfn.XLOOKUP(C526, dd_accsrycalc!$A$2:$A$51, dd_accsrycalc!$F$2:$F$51, "",0),AND( F526="Double Adhesive Tape", I526="Roll-up Screen"), _xlfn.XLOOKUP(C526, calc_rusacc!$C$15:$C$65, calc_rusacc!$AD$15:$AD$65, "",0),AND( F526="Sealant", I526="Roll-up Screen"), _xlfn.XLOOKUP(C526, calc_rusacc!$C$15:$C$65, calc_rusacc!$AF$15:$AF$65, "",0),  AND( F526="Main Chain", I526="Accordion Screen"), _xlfn.XLOOKUP(C526, calc_rusacc!$C$15:$C$65, calc_rusacc!$BF$15:$BF$65, "",0), AND( F526="Sealant", I526="Accordion Screen"), _xlfn.XLOOKUP(C526, calc_rusacc!$C$15:$C$65, calc_rusacc!$BJ$15:$BJ$65, "",0),  F526="Sealant", _xlfn.XLOOKUP(C526, dd_accsrycalc!$A$2:$A$51, dd_accsrycalc!$G$2:$G$51, "",0),  F526&lt;&gt;"",L526*_xlfn.XLOOKUP(1, (SKUs!$C$2:$C$10001=G526)*(SKUs!$K$2:$K$10001=I526),SKUs!$E$2:$E$10001)), 0),"")</f>
        <v/>
      </c>
      <c r="E526" s="35" t="str">
        <f>_xlfn.XLOOKUP(F526,dd_item!$B$2:$B$105,dd_item!$C$2:$C$105,"",0)</f>
        <v/>
      </c>
      <c r="F526" s="35"/>
      <c r="G526" s="35" cm="1">
        <f t="array" ref="G526">IFERROR(_xlfn.XLOOKUP(1, (SKUs!$J$2:$J$10001=accsry_unmerged!F526)*IF(H526&lt;&gt;"",(SKUs!$L$2:$L$10001=accsry_unmerged!H526),1)*(SKUs!$K$2:$K$10001=I526),SKUs!$C$2:$C$10001),"")</f>
        <v>0</v>
      </c>
      <c r="H526" s="36" cm="1">
        <f t="array" ref="H526">IFERROR(_xlfn.XLOOKUP(1, (dd_accsryclr!$C$2:$C$1000=accsry_unmerged!F526)*(dd_accsryclr!$B$2:$B$1000=accsry_unmerged!J526),dd_accsryclr!$A$2:$A$1000),"")</f>
        <v>0</v>
      </c>
      <c r="I526" s="35">
        <f>_xlfn.XLOOKUP(C526,'Project Details'!$C$17:$C$66,'Project Details'!$E$17:$E$66,"",0)</f>
        <v>0</v>
      </c>
      <c r="J526" s="35">
        <f>_xlfn.XLOOKUP(C526,'Project Details'!$C$17:$C$66,'Project Details'!$H$17:$H$66,"",0)</f>
        <v>0</v>
      </c>
      <c r="K526" s="36" t="str">
        <f>IF(AND(_xlfn.XLOOKUP(C526,'Project Details'!$C$17:$C$66,'Project Details'!$L$17:$L$66,"",0)&gt;550, F526="Spring-L27cm"),"",SUBSTITUTE(_xlfn.XLOOKUP(G526,SKUs!$C$2:$C$10001,SKUs!$F$2:$F$10001,"",0), " Accessories",""))</f>
        <v/>
      </c>
      <c r="L526" s="36">
        <f>_xlfn.XLOOKUP(C526,'Project Details'!$C$17:$C$66,'Project Details'!$D$17:$D$66,"",0)</f>
        <v>0</v>
      </c>
      <c r="M526" s="43"/>
    </row>
    <row r="527" spans="1:13" x14ac:dyDescent="0.25">
      <c r="A527" s="43"/>
      <c r="B527" s="43"/>
      <c r="C527" s="16">
        <f t="shared" si="9"/>
        <v>11</v>
      </c>
      <c r="D527" s="16" t="str" cm="1">
        <f t="array" ref="D527">IFERROR(ROUNDUP(_xlfn.IFS(F527="Aluminum Track", _xlfn.XLOOKUP(C527, dd_accsrycalc!$A$2:$A$51, dd_accsrycalc!$B$2:$B$51, "",0), F527="10 x 2 1/2 S (Flat)", _xlfn.XLOOKUP(C527, dd_accsrycalc!$A$2:$A$51, dd_accsrycalc!$C$2:$C$51, "",0), F527="Tox6", _xlfn.XLOOKUP(C527, dd_accsrycalc!$A$2:$A$51, dd_accsrycalc!$D$2:$D$51, "",0), F527="Cover Cap", _xlfn.XLOOKUP(C527, dd_accsrycalc!$A$2:$A$51, dd_accsrycalc!$E$2:$E$51, "",0), F527="Drainage Cover", _xlfn.XLOOKUP(C527, dd_accsrycalc!$A$2:$A$51, dd_accsrycalc!$F$2:$F$51, "",0),AND( F527="Double Adhesive Tape", I527="Roll-up Screen"), _xlfn.XLOOKUP(C527, calc_rusacc!$C$15:$C$65, calc_rusacc!$AD$15:$AD$65, "",0),AND( F527="Sealant", I527="Roll-up Screen"), _xlfn.XLOOKUP(C527, calc_rusacc!$C$15:$C$65, calc_rusacc!$AF$15:$AF$65, "",0),  AND( F527="Main Chain", I527="Accordion Screen"), _xlfn.XLOOKUP(C527, calc_rusacc!$C$15:$C$65, calc_rusacc!$BF$15:$BF$65, "",0), AND( F527="Sealant", I527="Accordion Screen"), _xlfn.XLOOKUP(C527, calc_rusacc!$C$15:$C$65, calc_rusacc!$BJ$15:$BJ$65, "",0),  F527="Sealant", _xlfn.XLOOKUP(C527, dd_accsrycalc!$A$2:$A$51, dd_accsrycalc!$G$2:$G$51, "",0),  F527&lt;&gt;"",L527*_xlfn.XLOOKUP(1, (SKUs!$C$2:$C$10001=G527)*(SKUs!$K$2:$K$10001=I527),SKUs!$E$2:$E$10001)), 0),"")</f>
        <v/>
      </c>
      <c r="E527" s="16" t="str">
        <f>_xlfn.XLOOKUP(F527,dd_item!$B$2:$B$105,dd_item!$C$2:$C$105,"",0)</f>
        <v/>
      </c>
      <c r="F527" s="16"/>
      <c r="G527" s="16" cm="1">
        <f t="array" ref="G527">IFERROR(_xlfn.XLOOKUP(1, (SKUs!$J$2:$J$10001=accsry_unmerged!F527)*IF(H527&lt;&gt;"",(SKUs!$L$2:$L$10001=accsry_unmerged!H527),1)*(SKUs!$K$2:$K$10001=I527),SKUs!$C$2:$C$10001),"")</f>
        <v>0</v>
      </c>
      <c r="H527" s="33" cm="1">
        <f t="array" ref="H527">IFERROR(_xlfn.XLOOKUP(1, (dd_accsryclr!$C$2:$C$1000=accsry_unmerged!F527)*(dd_accsryclr!$B$2:$B$1000=accsry_unmerged!J527),dd_accsryclr!$A$2:$A$1000),"")</f>
        <v>0</v>
      </c>
      <c r="I527" s="16">
        <f>_xlfn.XLOOKUP(C527,'Project Details'!$C$17:$C$66,'Project Details'!$E$17:$E$66,"",0)</f>
        <v>0</v>
      </c>
      <c r="J527" s="16">
        <f>_xlfn.XLOOKUP(C527,'Project Details'!$C$17:$C$66,'Project Details'!$H$17:$H$66,"",0)</f>
        <v>0</v>
      </c>
      <c r="K527" s="33" t="str">
        <f>IF(AND(_xlfn.XLOOKUP(C527,'Project Details'!$C$17:$C$66,'Project Details'!$L$17:$L$66,"",0)&gt;550, F527="Spring-L27cm"),"",SUBSTITUTE(_xlfn.XLOOKUP(G527,SKUs!$C$2:$C$10001,SKUs!$F$2:$F$10001,"",0), " Accessories",""))</f>
        <v/>
      </c>
      <c r="L527" s="33">
        <f>_xlfn.XLOOKUP(C527,'Project Details'!$C$17:$C$66,'Project Details'!$D$17:$D$66,"",0)</f>
        <v>0</v>
      </c>
      <c r="M527" s="43"/>
    </row>
    <row r="528" spans="1:13" x14ac:dyDescent="0.25">
      <c r="A528" s="43"/>
      <c r="B528" s="43"/>
      <c r="C528" s="35">
        <f t="shared" si="9"/>
        <v>11</v>
      </c>
      <c r="D528" s="35" t="str" cm="1">
        <f t="array" ref="D528">IFERROR(ROUNDUP(_xlfn.IFS(F528="Aluminum Track", _xlfn.XLOOKUP(C528, dd_accsrycalc!$A$2:$A$51, dd_accsrycalc!$B$2:$B$51, "",0), F528="10 x 2 1/2 S (Flat)", _xlfn.XLOOKUP(C528, dd_accsrycalc!$A$2:$A$51, dd_accsrycalc!$C$2:$C$51, "",0), F528="Tox6", _xlfn.XLOOKUP(C528, dd_accsrycalc!$A$2:$A$51, dd_accsrycalc!$D$2:$D$51, "",0), F528="Cover Cap", _xlfn.XLOOKUP(C528, dd_accsrycalc!$A$2:$A$51, dd_accsrycalc!$E$2:$E$51, "",0), F528="Drainage Cover", _xlfn.XLOOKUP(C528, dd_accsrycalc!$A$2:$A$51, dd_accsrycalc!$F$2:$F$51, "",0),AND( F528="Double Adhesive Tape", I528="Roll-up Screen"), _xlfn.XLOOKUP(C528, calc_rusacc!$C$15:$C$65, calc_rusacc!$AD$15:$AD$65, "",0),AND( F528="Sealant", I528="Roll-up Screen"), _xlfn.XLOOKUP(C528, calc_rusacc!$C$15:$C$65, calc_rusacc!$AF$15:$AF$65, "",0),  AND( F528="Main Chain", I528="Accordion Screen"), _xlfn.XLOOKUP(C528, calc_rusacc!$C$15:$C$65, calc_rusacc!$BF$15:$BF$65, "",0), AND( F528="Sealant", I528="Accordion Screen"), _xlfn.XLOOKUP(C528, calc_rusacc!$C$15:$C$65, calc_rusacc!$BJ$15:$BJ$65, "",0),  F528="Sealant", _xlfn.XLOOKUP(C528, dd_accsrycalc!$A$2:$A$51, dd_accsrycalc!$G$2:$G$51, "",0),  F528&lt;&gt;"",L528*_xlfn.XLOOKUP(1, (SKUs!$C$2:$C$10001=G528)*(SKUs!$K$2:$K$10001=I528),SKUs!$E$2:$E$10001)), 0),"")</f>
        <v/>
      </c>
      <c r="E528" s="35" t="str">
        <f>_xlfn.XLOOKUP(F528,dd_item!$B$2:$B$105,dd_item!$C$2:$C$105,"",0)</f>
        <v/>
      </c>
      <c r="F528" s="35"/>
      <c r="G528" s="35" cm="1">
        <f t="array" ref="G528">IFERROR(_xlfn.XLOOKUP(1, (SKUs!$J$2:$J$10001=accsry_unmerged!F528)*IF(H528&lt;&gt;"",(SKUs!$L$2:$L$10001=accsry_unmerged!H528),1)*(SKUs!$K$2:$K$10001=I528),SKUs!$C$2:$C$10001),"")</f>
        <v>0</v>
      </c>
      <c r="H528" s="36" cm="1">
        <f t="array" ref="H528">IFERROR(_xlfn.XLOOKUP(1, (dd_accsryclr!$C$2:$C$1000=accsry_unmerged!F528)*(dd_accsryclr!$B$2:$B$1000=accsry_unmerged!J528),dd_accsryclr!$A$2:$A$1000),"")</f>
        <v>0</v>
      </c>
      <c r="I528" s="35">
        <f>_xlfn.XLOOKUP(C528,'Project Details'!$C$17:$C$66,'Project Details'!$E$17:$E$66,"",0)</f>
        <v>0</v>
      </c>
      <c r="J528" s="35">
        <f>_xlfn.XLOOKUP(C528,'Project Details'!$C$17:$C$66,'Project Details'!$H$17:$H$66,"",0)</f>
        <v>0</v>
      </c>
      <c r="K528" s="36" t="str">
        <f>IF(AND(_xlfn.XLOOKUP(C528,'Project Details'!$C$17:$C$66,'Project Details'!$L$17:$L$66,"",0)&gt;550, F528="Spring-L27cm"),"",SUBSTITUTE(_xlfn.XLOOKUP(G528,SKUs!$C$2:$C$10001,SKUs!$F$2:$F$10001,"",0), " Accessories",""))</f>
        <v/>
      </c>
      <c r="L528" s="36">
        <f>_xlfn.XLOOKUP(C528,'Project Details'!$C$17:$C$66,'Project Details'!$D$17:$D$66,"",0)</f>
        <v>0</v>
      </c>
      <c r="M528" s="43"/>
    </row>
    <row r="529" spans="1:13" x14ac:dyDescent="0.25">
      <c r="A529" s="43"/>
      <c r="B529" s="43"/>
      <c r="C529" s="16">
        <f t="shared" si="9"/>
        <v>11</v>
      </c>
      <c r="D529" s="16" t="str" cm="1">
        <f t="array" ref="D529">IFERROR(ROUNDUP(_xlfn.IFS(F529="Aluminum Track", _xlfn.XLOOKUP(C529, dd_accsrycalc!$A$2:$A$51, dd_accsrycalc!$B$2:$B$51, "",0), F529="10 x 2 1/2 S (Flat)", _xlfn.XLOOKUP(C529, dd_accsrycalc!$A$2:$A$51, dd_accsrycalc!$C$2:$C$51, "",0), F529="Tox6", _xlfn.XLOOKUP(C529, dd_accsrycalc!$A$2:$A$51, dd_accsrycalc!$D$2:$D$51, "",0), F529="Cover Cap", _xlfn.XLOOKUP(C529, dd_accsrycalc!$A$2:$A$51, dd_accsrycalc!$E$2:$E$51, "",0), F529="Drainage Cover", _xlfn.XLOOKUP(C529, dd_accsrycalc!$A$2:$A$51, dd_accsrycalc!$F$2:$F$51, "",0),AND( F529="Double Adhesive Tape", I529="Roll-up Screen"), _xlfn.XLOOKUP(C529, calc_rusacc!$C$15:$C$65, calc_rusacc!$AD$15:$AD$65, "",0),AND( F529="Sealant", I529="Roll-up Screen"), _xlfn.XLOOKUP(C529, calc_rusacc!$C$15:$C$65, calc_rusacc!$AF$15:$AF$65, "",0),  AND( F529="Main Chain", I529="Accordion Screen"), _xlfn.XLOOKUP(C529, calc_rusacc!$C$15:$C$65, calc_rusacc!$BF$15:$BF$65, "",0), AND( F529="Sealant", I529="Accordion Screen"), _xlfn.XLOOKUP(C529, calc_rusacc!$C$15:$C$65, calc_rusacc!$BJ$15:$BJ$65, "",0),  F529="Sealant", _xlfn.XLOOKUP(C529, dd_accsrycalc!$A$2:$A$51, dd_accsrycalc!$G$2:$G$51, "",0),  F529&lt;&gt;"",L529*_xlfn.XLOOKUP(1, (SKUs!$C$2:$C$10001=G529)*(SKUs!$K$2:$K$10001=I529),SKUs!$E$2:$E$10001)), 0),"")</f>
        <v/>
      </c>
      <c r="E529" s="16" t="str">
        <f>_xlfn.XLOOKUP(F529,dd_item!$B$2:$B$105,dd_item!$C$2:$C$105,"",0)</f>
        <v/>
      </c>
      <c r="F529" s="16"/>
      <c r="G529" s="16" cm="1">
        <f t="array" ref="G529">IFERROR(_xlfn.XLOOKUP(1, (SKUs!$J$2:$J$10001=accsry_unmerged!F529)*IF(H529&lt;&gt;"",(SKUs!$L$2:$L$10001=accsry_unmerged!H529),1)*(SKUs!$K$2:$K$10001=I529),SKUs!$C$2:$C$10001),"")</f>
        <v>0</v>
      </c>
      <c r="H529" s="33" cm="1">
        <f t="array" ref="H529">IFERROR(_xlfn.XLOOKUP(1, (dd_accsryclr!$C$2:$C$1000=accsry_unmerged!F529)*(dd_accsryclr!$B$2:$B$1000=accsry_unmerged!J529),dd_accsryclr!$A$2:$A$1000),"")</f>
        <v>0</v>
      </c>
      <c r="I529" s="16">
        <f>_xlfn.XLOOKUP(C529,'Project Details'!$C$17:$C$66,'Project Details'!$E$17:$E$66,"",0)</f>
        <v>0</v>
      </c>
      <c r="J529" s="16">
        <f>_xlfn.XLOOKUP(C529,'Project Details'!$C$17:$C$66,'Project Details'!$H$17:$H$66,"",0)</f>
        <v>0</v>
      </c>
      <c r="K529" s="33" t="str">
        <f>IF(AND(_xlfn.XLOOKUP(C529,'Project Details'!$C$17:$C$66,'Project Details'!$L$17:$L$66,"",0)&gt;550, F529="Spring-L27cm"),"",SUBSTITUTE(_xlfn.XLOOKUP(G529,SKUs!$C$2:$C$10001,SKUs!$F$2:$F$10001,"",0), " Accessories",""))</f>
        <v/>
      </c>
      <c r="L529" s="33">
        <f>_xlfn.XLOOKUP(C529,'Project Details'!$C$17:$C$66,'Project Details'!$D$17:$D$66,"",0)</f>
        <v>0</v>
      </c>
      <c r="M529" s="43"/>
    </row>
    <row r="530" spans="1:13" x14ac:dyDescent="0.25">
      <c r="A530" s="43"/>
      <c r="B530" s="43"/>
      <c r="C530" s="35">
        <f t="shared" si="9"/>
        <v>11</v>
      </c>
      <c r="D530" s="35" t="str" cm="1">
        <f t="array" ref="D530">IFERROR(ROUNDUP(_xlfn.IFS(F530="Aluminum Track", _xlfn.XLOOKUP(C530, dd_accsrycalc!$A$2:$A$51, dd_accsrycalc!$B$2:$B$51, "",0), F530="10 x 2 1/2 S (Flat)", _xlfn.XLOOKUP(C530, dd_accsrycalc!$A$2:$A$51, dd_accsrycalc!$C$2:$C$51, "",0), F530="Tox6", _xlfn.XLOOKUP(C530, dd_accsrycalc!$A$2:$A$51, dd_accsrycalc!$D$2:$D$51, "",0), F530="Cover Cap", _xlfn.XLOOKUP(C530, dd_accsrycalc!$A$2:$A$51, dd_accsrycalc!$E$2:$E$51, "",0), F530="Drainage Cover", _xlfn.XLOOKUP(C530, dd_accsrycalc!$A$2:$A$51, dd_accsrycalc!$F$2:$F$51, "",0),AND( F530="Double Adhesive Tape", I530="Roll-up Screen"), _xlfn.XLOOKUP(C530, calc_rusacc!$C$15:$C$65, calc_rusacc!$AD$15:$AD$65, "",0),AND( F530="Sealant", I530="Roll-up Screen"), _xlfn.XLOOKUP(C530, calc_rusacc!$C$15:$C$65, calc_rusacc!$AF$15:$AF$65, "",0),  AND( F530="Main Chain", I530="Accordion Screen"), _xlfn.XLOOKUP(C530, calc_rusacc!$C$15:$C$65, calc_rusacc!$BF$15:$BF$65, "",0), AND( F530="Sealant", I530="Accordion Screen"), _xlfn.XLOOKUP(C530, calc_rusacc!$C$15:$C$65, calc_rusacc!$BJ$15:$BJ$65, "",0),  F530="Sealant", _xlfn.XLOOKUP(C530, dd_accsrycalc!$A$2:$A$51, dd_accsrycalc!$G$2:$G$51, "",0),  F530&lt;&gt;"",L530*_xlfn.XLOOKUP(1, (SKUs!$C$2:$C$10001=G530)*(SKUs!$K$2:$K$10001=I530),SKUs!$E$2:$E$10001)), 0),"")</f>
        <v/>
      </c>
      <c r="E530" s="35" t="str">
        <f>_xlfn.XLOOKUP(F530,dd_item!$B$2:$B$105,dd_item!$C$2:$C$105,"",0)</f>
        <v/>
      </c>
      <c r="F530" s="35"/>
      <c r="G530" s="35" cm="1">
        <f t="array" ref="G530">IFERROR(_xlfn.XLOOKUP(1, (SKUs!$J$2:$J$10001=accsry_unmerged!F530)*IF(H530&lt;&gt;"",(SKUs!$L$2:$L$10001=accsry_unmerged!H530),1)*(SKUs!$K$2:$K$10001=I530),SKUs!$C$2:$C$10001),"")</f>
        <v>0</v>
      </c>
      <c r="H530" s="36" cm="1">
        <f t="array" ref="H530">IFERROR(_xlfn.XLOOKUP(1, (dd_accsryclr!$C$2:$C$1000=accsry_unmerged!F530)*(dd_accsryclr!$B$2:$B$1000=accsry_unmerged!J530),dd_accsryclr!$A$2:$A$1000),"")</f>
        <v>0</v>
      </c>
      <c r="I530" s="35">
        <f>_xlfn.XLOOKUP(C530,'Project Details'!$C$17:$C$66,'Project Details'!$E$17:$E$66,"",0)</f>
        <v>0</v>
      </c>
      <c r="J530" s="35">
        <f>_xlfn.XLOOKUP(C530,'Project Details'!$C$17:$C$66,'Project Details'!$H$17:$H$66,"",0)</f>
        <v>0</v>
      </c>
      <c r="K530" s="36" t="str">
        <f>IF(AND(_xlfn.XLOOKUP(C530,'Project Details'!$C$17:$C$66,'Project Details'!$L$17:$L$66,"",0)&gt;550, F530="Spring-L27cm"),"",SUBSTITUTE(_xlfn.XLOOKUP(G530,SKUs!$C$2:$C$10001,SKUs!$F$2:$F$10001,"",0), " Accessories",""))</f>
        <v/>
      </c>
      <c r="L530" s="36">
        <f>_xlfn.XLOOKUP(C530,'Project Details'!$C$17:$C$66,'Project Details'!$D$17:$D$66,"",0)</f>
        <v>0</v>
      </c>
      <c r="M530" s="43"/>
    </row>
    <row r="531" spans="1:13" x14ac:dyDescent="0.25">
      <c r="A531" s="43"/>
      <c r="B531" s="43"/>
      <c r="C531" s="16">
        <f t="shared" si="9"/>
        <v>11</v>
      </c>
      <c r="D531" s="16" t="str" cm="1">
        <f t="array" ref="D531">IFERROR(ROUNDUP(_xlfn.IFS(F531="Aluminum Track", _xlfn.XLOOKUP(C531, dd_accsrycalc!$A$2:$A$51, dd_accsrycalc!$B$2:$B$51, "",0), F531="10 x 2 1/2 S (Flat)", _xlfn.XLOOKUP(C531, dd_accsrycalc!$A$2:$A$51, dd_accsrycalc!$C$2:$C$51, "",0), F531="Tox6", _xlfn.XLOOKUP(C531, dd_accsrycalc!$A$2:$A$51, dd_accsrycalc!$D$2:$D$51, "",0), F531="Cover Cap", _xlfn.XLOOKUP(C531, dd_accsrycalc!$A$2:$A$51, dd_accsrycalc!$E$2:$E$51, "",0), F531="Drainage Cover", _xlfn.XLOOKUP(C531, dd_accsrycalc!$A$2:$A$51, dd_accsrycalc!$F$2:$F$51, "",0),AND( F531="Double Adhesive Tape", I531="Roll-up Screen"), _xlfn.XLOOKUP(C531, calc_rusacc!$C$15:$C$65, calc_rusacc!$AD$15:$AD$65, "",0),AND( F531="Sealant", I531="Roll-up Screen"), _xlfn.XLOOKUP(C531, calc_rusacc!$C$15:$C$65, calc_rusacc!$AF$15:$AF$65, "",0),  AND( F531="Main Chain", I531="Accordion Screen"), _xlfn.XLOOKUP(C531, calc_rusacc!$C$15:$C$65, calc_rusacc!$BF$15:$BF$65, "",0), AND( F531="Sealant", I531="Accordion Screen"), _xlfn.XLOOKUP(C531, calc_rusacc!$C$15:$C$65, calc_rusacc!$BJ$15:$BJ$65, "",0),  F531="Sealant", _xlfn.XLOOKUP(C531, dd_accsrycalc!$A$2:$A$51, dd_accsrycalc!$G$2:$G$51, "",0),  F531&lt;&gt;"",L531*_xlfn.XLOOKUP(1, (SKUs!$C$2:$C$10001=G531)*(SKUs!$K$2:$K$10001=I531),SKUs!$E$2:$E$10001)), 0),"")</f>
        <v/>
      </c>
      <c r="E531" s="16" t="str">
        <f>_xlfn.XLOOKUP(F531,dd_item!$B$2:$B$105,dd_item!$C$2:$C$105,"",0)</f>
        <v/>
      </c>
      <c r="F531" s="16"/>
      <c r="G531" s="16" cm="1">
        <f t="array" ref="G531">IFERROR(_xlfn.XLOOKUP(1, (SKUs!$J$2:$J$10001=accsry_unmerged!F531)*IF(H531&lt;&gt;"",(SKUs!$L$2:$L$10001=accsry_unmerged!H531),1)*(SKUs!$K$2:$K$10001=I531),SKUs!$C$2:$C$10001),"")</f>
        <v>0</v>
      </c>
      <c r="H531" s="33" cm="1">
        <f t="array" ref="H531">IFERROR(_xlfn.XLOOKUP(1, (dd_accsryclr!$C$2:$C$1000=accsry_unmerged!F531)*(dd_accsryclr!$B$2:$B$1000=accsry_unmerged!J531),dd_accsryclr!$A$2:$A$1000),"")</f>
        <v>0</v>
      </c>
      <c r="I531" s="16">
        <f>_xlfn.XLOOKUP(C531,'Project Details'!$C$17:$C$66,'Project Details'!$E$17:$E$66,"",0)</f>
        <v>0</v>
      </c>
      <c r="J531" s="16">
        <f>_xlfn.XLOOKUP(C531,'Project Details'!$C$17:$C$66,'Project Details'!$H$17:$H$66,"",0)</f>
        <v>0</v>
      </c>
      <c r="K531" s="33" t="str">
        <f>IF(AND(_xlfn.XLOOKUP(C531,'Project Details'!$C$17:$C$66,'Project Details'!$L$17:$L$66,"",0)&gt;550, F531="Spring-L27cm"),"",SUBSTITUTE(_xlfn.XLOOKUP(G531,SKUs!$C$2:$C$10001,SKUs!$F$2:$F$10001,"",0), " Accessories",""))</f>
        <v/>
      </c>
      <c r="L531" s="33">
        <f>_xlfn.XLOOKUP(C531,'Project Details'!$C$17:$C$66,'Project Details'!$D$17:$D$66,"",0)</f>
        <v>0</v>
      </c>
      <c r="M531" s="43"/>
    </row>
    <row r="532" spans="1:13" x14ac:dyDescent="0.25">
      <c r="A532" s="43"/>
      <c r="B532" s="43"/>
      <c r="C532" s="35">
        <f t="shared" si="9"/>
        <v>11</v>
      </c>
      <c r="D532" s="35" t="str" cm="1">
        <f t="array" ref="D532">IFERROR(ROUNDUP(_xlfn.IFS(F532="Aluminum Track", _xlfn.XLOOKUP(C532, dd_accsrycalc!$A$2:$A$51, dd_accsrycalc!$B$2:$B$51, "",0), F532="10 x 2 1/2 S (Flat)", _xlfn.XLOOKUP(C532, dd_accsrycalc!$A$2:$A$51, dd_accsrycalc!$C$2:$C$51, "",0), F532="Tox6", _xlfn.XLOOKUP(C532, dd_accsrycalc!$A$2:$A$51, dd_accsrycalc!$D$2:$D$51, "",0), F532="Cover Cap", _xlfn.XLOOKUP(C532, dd_accsrycalc!$A$2:$A$51, dd_accsrycalc!$E$2:$E$51, "",0), F532="Drainage Cover", _xlfn.XLOOKUP(C532, dd_accsrycalc!$A$2:$A$51, dd_accsrycalc!$F$2:$F$51, "",0),AND( F532="Double Adhesive Tape", I532="Roll-up Screen"), _xlfn.XLOOKUP(C532, calc_rusacc!$C$15:$C$65, calc_rusacc!$AD$15:$AD$65, "",0),AND( F532="Sealant", I532="Roll-up Screen"), _xlfn.XLOOKUP(C532, calc_rusacc!$C$15:$C$65, calc_rusacc!$AF$15:$AF$65, "",0),  AND( F532="Main Chain", I532="Accordion Screen"), _xlfn.XLOOKUP(C532, calc_rusacc!$C$15:$C$65, calc_rusacc!$BF$15:$BF$65, "",0), AND( F532="Sealant", I532="Accordion Screen"), _xlfn.XLOOKUP(C532, calc_rusacc!$C$15:$C$65, calc_rusacc!$BJ$15:$BJ$65, "",0),  F532="Sealant", _xlfn.XLOOKUP(C532, dd_accsrycalc!$A$2:$A$51, dd_accsrycalc!$G$2:$G$51, "",0),  F532&lt;&gt;"",L532*_xlfn.XLOOKUP(1, (SKUs!$C$2:$C$10001=G532)*(SKUs!$K$2:$K$10001=I532),SKUs!$E$2:$E$10001)), 0),"")</f>
        <v/>
      </c>
      <c r="E532" s="35" t="str">
        <f>_xlfn.XLOOKUP(F532,dd_item!$B$2:$B$105,dd_item!$C$2:$C$105,"",0)</f>
        <v/>
      </c>
      <c r="F532" s="35"/>
      <c r="G532" s="35" cm="1">
        <f t="array" ref="G532">IFERROR(_xlfn.XLOOKUP(1, (SKUs!$J$2:$J$10001=accsry_unmerged!F532)*IF(H532&lt;&gt;"",(SKUs!$L$2:$L$10001=accsry_unmerged!H532),1)*(SKUs!$K$2:$K$10001=I532),SKUs!$C$2:$C$10001),"")</f>
        <v>0</v>
      </c>
      <c r="H532" s="36" cm="1">
        <f t="array" ref="H532">IFERROR(_xlfn.XLOOKUP(1, (dd_accsryclr!$C$2:$C$1000=accsry_unmerged!F532)*(dd_accsryclr!$B$2:$B$1000=accsry_unmerged!J532),dd_accsryclr!$A$2:$A$1000),"")</f>
        <v>0</v>
      </c>
      <c r="I532" s="35">
        <f>_xlfn.XLOOKUP(C532,'Project Details'!$C$17:$C$66,'Project Details'!$E$17:$E$66,"",0)</f>
        <v>0</v>
      </c>
      <c r="J532" s="35">
        <f>_xlfn.XLOOKUP(C532,'Project Details'!$C$17:$C$66,'Project Details'!$H$17:$H$66,"",0)</f>
        <v>0</v>
      </c>
      <c r="K532" s="36" t="str">
        <f>IF(AND(_xlfn.XLOOKUP(C532,'Project Details'!$C$17:$C$66,'Project Details'!$L$17:$L$66,"",0)&gt;550, F532="Spring-L27cm"),"",SUBSTITUTE(_xlfn.XLOOKUP(G532,SKUs!$C$2:$C$10001,SKUs!$F$2:$F$10001,"",0), " Accessories",""))</f>
        <v/>
      </c>
      <c r="L532" s="36">
        <f>_xlfn.XLOOKUP(C532,'Project Details'!$C$17:$C$66,'Project Details'!$D$17:$D$66,"",0)</f>
        <v>0</v>
      </c>
      <c r="M532" s="43"/>
    </row>
    <row r="533" spans="1:13" x14ac:dyDescent="0.25">
      <c r="A533" s="43"/>
      <c r="B533" s="43"/>
      <c r="C533" s="16">
        <f t="shared" si="9"/>
        <v>11</v>
      </c>
      <c r="D533" s="16" t="str" cm="1">
        <f t="array" ref="D533">IFERROR(ROUNDUP(_xlfn.IFS(F533="Aluminum Track", _xlfn.XLOOKUP(C533, dd_accsrycalc!$A$2:$A$51, dd_accsrycalc!$B$2:$B$51, "",0), F533="10 x 2 1/2 S (Flat)", _xlfn.XLOOKUP(C533, dd_accsrycalc!$A$2:$A$51, dd_accsrycalc!$C$2:$C$51, "",0), F533="Tox6", _xlfn.XLOOKUP(C533, dd_accsrycalc!$A$2:$A$51, dd_accsrycalc!$D$2:$D$51, "",0), F533="Cover Cap", _xlfn.XLOOKUP(C533, dd_accsrycalc!$A$2:$A$51, dd_accsrycalc!$E$2:$E$51, "",0), F533="Drainage Cover", _xlfn.XLOOKUP(C533, dd_accsrycalc!$A$2:$A$51, dd_accsrycalc!$F$2:$F$51, "",0),AND( F533="Double Adhesive Tape", I533="Roll-up Screen"), _xlfn.XLOOKUP(C533, calc_rusacc!$C$15:$C$65, calc_rusacc!$AD$15:$AD$65, "",0),AND( F533="Sealant", I533="Roll-up Screen"), _xlfn.XLOOKUP(C533, calc_rusacc!$C$15:$C$65, calc_rusacc!$AF$15:$AF$65, "",0),  AND( F533="Main Chain", I533="Accordion Screen"), _xlfn.XLOOKUP(C533, calc_rusacc!$C$15:$C$65, calc_rusacc!$BF$15:$BF$65, "",0), AND( F533="Sealant", I533="Accordion Screen"), _xlfn.XLOOKUP(C533, calc_rusacc!$C$15:$C$65, calc_rusacc!$BJ$15:$BJ$65, "",0),  F533="Sealant", _xlfn.XLOOKUP(C533, dd_accsrycalc!$A$2:$A$51, dd_accsrycalc!$G$2:$G$51, "",0),  F533&lt;&gt;"",L533*_xlfn.XLOOKUP(1, (SKUs!$C$2:$C$10001=G533)*(SKUs!$K$2:$K$10001=I533),SKUs!$E$2:$E$10001)), 0),"")</f>
        <v/>
      </c>
      <c r="E533" s="16" t="str">
        <f>_xlfn.XLOOKUP(F533,dd_item!$B$2:$B$105,dd_item!$C$2:$C$105,"",0)</f>
        <v/>
      </c>
      <c r="F533" s="16"/>
      <c r="G533" s="16" cm="1">
        <f t="array" ref="G533">IFERROR(_xlfn.XLOOKUP(1, (SKUs!$J$2:$J$10001=accsry_unmerged!F533)*IF(H533&lt;&gt;"",(SKUs!$L$2:$L$10001=accsry_unmerged!H533),1)*(SKUs!$K$2:$K$10001=I533),SKUs!$C$2:$C$10001),"")</f>
        <v>0</v>
      </c>
      <c r="H533" s="33" cm="1">
        <f t="array" ref="H533">IFERROR(_xlfn.XLOOKUP(1, (dd_accsryclr!$C$2:$C$1000=accsry_unmerged!F533)*(dd_accsryclr!$B$2:$B$1000=accsry_unmerged!J533),dd_accsryclr!$A$2:$A$1000),"")</f>
        <v>0</v>
      </c>
      <c r="I533" s="16">
        <f>_xlfn.XLOOKUP(C533,'Project Details'!$C$17:$C$66,'Project Details'!$E$17:$E$66,"",0)</f>
        <v>0</v>
      </c>
      <c r="J533" s="16">
        <f>_xlfn.XLOOKUP(C533,'Project Details'!$C$17:$C$66,'Project Details'!$H$17:$H$66,"",0)</f>
        <v>0</v>
      </c>
      <c r="K533" s="33" t="str">
        <f>IF(AND(_xlfn.XLOOKUP(C533,'Project Details'!$C$17:$C$66,'Project Details'!$L$17:$L$66,"",0)&gt;550, F533="Spring-L27cm"),"",SUBSTITUTE(_xlfn.XLOOKUP(G533,SKUs!$C$2:$C$10001,SKUs!$F$2:$F$10001,"",0), " Accessories",""))</f>
        <v/>
      </c>
      <c r="L533" s="33">
        <f>_xlfn.XLOOKUP(C533,'Project Details'!$C$17:$C$66,'Project Details'!$D$17:$D$66,"",0)</f>
        <v>0</v>
      </c>
      <c r="M533" s="43"/>
    </row>
    <row r="534" spans="1:13" ht="13.5" customHeight="1" x14ac:dyDescent="0.25">
      <c r="A534" s="43"/>
      <c r="B534" s="43"/>
      <c r="C534" s="35">
        <f t="shared" si="9"/>
        <v>11</v>
      </c>
      <c r="D534" s="35" t="str" cm="1">
        <f t="array" ref="D534">IFERROR(ROUNDUP(_xlfn.IFS(F534="Aluminum Track", _xlfn.XLOOKUP(C534, dd_accsrycalc!$A$2:$A$51, dd_accsrycalc!$B$2:$B$51, "",0), F534="10 x 2 1/2 S (Flat)", _xlfn.XLOOKUP(C534, dd_accsrycalc!$A$2:$A$51, dd_accsrycalc!$C$2:$C$51, "",0), F534="Tox6", _xlfn.XLOOKUP(C534, dd_accsrycalc!$A$2:$A$51, dd_accsrycalc!$D$2:$D$51, "",0), F534="Cover Cap", _xlfn.XLOOKUP(C534, dd_accsrycalc!$A$2:$A$51, dd_accsrycalc!$E$2:$E$51, "",0), F534="Drainage Cover", _xlfn.XLOOKUP(C534, dd_accsrycalc!$A$2:$A$51, dd_accsrycalc!$F$2:$F$51, "",0),AND( F534="Double Adhesive Tape", I534="Roll-up Screen"), _xlfn.XLOOKUP(C534, calc_rusacc!$C$15:$C$65, calc_rusacc!$AD$15:$AD$65, "",0),AND( F534="Sealant", I534="Roll-up Screen"), _xlfn.XLOOKUP(C534, calc_rusacc!$C$15:$C$65, calc_rusacc!$AF$15:$AF$65, "",0),  AND( F534="Main Chain", I534="Accordion Screen"), _xlfn.XLOOKUP(C534, calc_rusacc!$C$15:$C$65, calc_rusacc!$BF$15:$BF$65, "",0), AND( F534="Sealant", I534="Accordion Screen"), _xlfn.XLOOKUP(C534, calc_rusacc!$C$15:$C$65, calc_rusacc!$BJ$15:$BJ$65, "",0),  F534="Sealant", _xlfn.XLOOKUP(C534, dd_accsrycalc!$A$2:$A$51, dd_accsrycalc!$G$2:$G$51, "",0),  F534&lt;&gt;"",L534*_xlfn.XLOOKUP(1, (SKUs!$C$2:$C$10001=G534)*(SKUs!$K$2:$K$10001=I534),SKUs!$E$2:$E$10001)), 0),"")</f>
        <v/>
      </c>
      <c r="E534" s="35" t="str">
        <f>_xlfn.XLOOKUP(F534,dd_item!$B$2:$B$105,dd_item!$C$2:$C$105,"",0)</f>
        <v/>
      </c>
      <c r="F534" s="35"/>
      <c r="G534" s="35" cm="1">
        <f t="array" ref="G534">IFERROR(_xlfn.XLOOKUP(1, (SKUs!$J$2:$J$10001=accsry_unmerged!F534)*IF(H534&lt;&gt;"",(SKUs!$L$2:$L$10001=accsry_unmerged!H534),1)*(SKUs!$K$2:$K$10001=I534),SKUs!$C$2:$C$10001),"")</f>
        <v>0</v>
      </c>
      <c r="H534" s="36" cm="1">
        <f t="array" ref="H534">IFERROR(_xlfn.XLOOKUP(1, (dd_accsryclr!$C$2:$C$1000=accsry_unmerged!F534)*(dd_accsryclr!$B$2:$B$1000=accsry_unmerged!J534),dd_accsryclr!$A$2:$A$1000),"")</f>
        <v>0</v>
      </c>
      <c r="I534" s="35">
        <f>_xlfn.XLOOKUP(C534,'Project Details'!$C$17:$C$66,'Project Details'!$E$17:$E$66,"",0)</f>
        <v>0</v>
      </c>
      <c r="J534" s="35">
        <f>_xlfn.XLOOKUP(C534,'Project Details'!$C$17:$C$66,'Project Details'!$H$17:$H$66,"",0)</f>
        <v>0</v>
      </c>
      <c r="K534" s="36" t="str">
        <f>IF(AND(_xlfn.XLOOKUP(C534,'Project Details'!$C$17:$C$66,'Project Details'!$L$17:$L$66,"",0)&gt;550, F534="Spring-L27cm"),"",SUBSTITUTE(_xlfn.XLOOKUP(G534,SKUs!$C$2:$C$10001,SKUs!$F$2:$F$10001,"",0), " Accessories",""))</f>
        <v/>
      </c>
      <c r="L534" s="36">
        <f>_xlfn.XLOOKUP(C534,'Project Details'!$C$17:$C$66,'Project Details'!$D$17:$D$66,"",0)</f>
        <v>0</v>
      </c>
      <c r="M534" s="43"/>
    </row>
    <row r="535" spans="1:13" ht="13.5" customHeight="1" x14ac:dyDescent="0.25">
      <c r="A535" s="43"/>
      <c r="B535" s="43"/>
      <c r="C535" s="16">
        <f t="shared" si="9"/>
        <v>11</v>
      </c>
      <c r="D535" s="16" t="str" cm="1">
        <f t="array" ref="D535">IFERROR(ROUNDUP(_xlfn.IFS(F535="Aluminum Track", _xlfn.XLOOKUP(C535, dd_accsrycalc!$A$2:$A$51, dd_accsrycalc!$B$2:$B$51, "",0), F535="10 x 2 1/2 S (Flat)", _xlfn.XLOOKUP(C535, dd_accsrycalc!$A$2:$A$51, dd_accsrycalc!$C$2:$C$51, "",0), F535="Tox6", _xlfn.XLOOKUP(C535, dd_accsrycalc!$A$2:$A$51, dd_accsrycalc!$D$2:$D$51, "",0), F535="Cover Cap", _xlfn.XLOOKUP(C535, dd_accsrycalc!$A$2:$A$51, dd_accsrycalc!$E$2:$E$51, "",0), F535="Drainage Cover", _xlfn.XLOOKUP(C535, dd_accsrycalc!$A$2:$A$51, dd_accsrycalc!$F$2:$F$51, "",0),AND( F535="Double Adhesive Tape", I535="Roll-up Screen"), _xlfn.XLOOKUP(C535, calc_rusacc!$C$15:$C$65, calc_rusacc!$AD$15:$AD$65, "",0),AND( F535="Sealant", I535="Roll-up Screen"), _xlfn.XLOOKUP(C535, calc_rusacc!$C$15:$C$65, calc_rusacc!$AF$15:$AF$65, "",0),  AND( F535="Main Chain", I535="Accordion Screen"), _xlfn.XLOOKUP(C535, calc_rusacc!$C$15:$C$65, calc_rusacc!$BF$15:$BF$65, "",0), AND( F535="Sealant", I535="Accordion Screen"), _xlfn.XLOOKUP(C535, calc_rusacc!$C$15:$C$65, calc_rusacc!$BJ$15:$BJ$65, "",0),  F535="Sealant", _xlfn.XLOOKUP(C535, dd_accsrycalc!$A$2:$A$51, dd_accsrycalc!$G$2:$G$51, "",0),  F535&lt;&gt;"",L535*_xlfn.XLOOKUP(1, (SKUs!$C$2:$C$10001=G535)*(SKUs!$K$2:$K$10001=I535),SKUs!$E$2:$E$10001)), 0),"")</f>
        <v/>
      </c>
      <c r="E535" s="16" t="str">
        <f>_xlfn.XLOOKUP(F535,dd_item!$B$2:$B$105,dd_item!$C$2:$C$105,"",0)</f>
        <v/>
      </c>
      <c r="F535" s="16"/>
      <c r="G535" s="16" cm="1">
        <f t="array" ref="G535">IFERROR(_xlfn.XLOOKUP(1, (SKUs!$J$2:$J$10001=accsry_unmerged!F535)*IF(H535&lt;&gt;"",(SKUs!$L$2:$L$10001=accsry_unmerged!H535),1)*(SKUs!$K$2:$K$10001=I535),SKUs!$C$2:$C$10001),"")</f>
        <v>0</v>
      </c>
      <c r="H535" s="33" cm="1">
        <f t="array" ref="H535">IFERROR(_xlfn.XLOOKUP(1, (dd_accsryclr!$C$2:$C$1000=accsry_unmerged!F535)*(dd_accsryclr!$B$2:$B$1000=accsry_unmerged!J535),dd_accsryclr!$A$2:$A$1000),"")</f>
        <v>0</v>
      </c>
      <c r="I535" s="16">
        <f>_xlfn.XLOOKUP(C535,'Project Details'!$C$17:$C$66,'Project Details'!$E$17:$E$66,"",0)</f>
        <v>0</v>
      </c>
      <c r="J535" s="16">
        <f>_xlfn.XLOOKUP(C535,'Project Details'!$C$17:$C$66,'Project Details'!$H$17:$H$66,"",0)</f>
        <v>0</v>
      </c>
      <c r="K535" s="33" t="str">
        <f>IF(AND(_xlfn.XLOOKUP(C535,'Project Details'!$C$17:$C$66,'Project Details'!$L$17:$L$66,"",0)&gt;550, F535="Spring-L27cm"),"",SUBSTITUTE(_xlfn.XLOOKUP(G535,SKUs!$C$2:$C$10001,SKUs!$F$2:$F$10001,"",0), " Accessories",""))</f>
        <v/>
      </c>
      <c r="L535" s="33">
        <f>_xlfn.XLOOKUP(C535,'Project Details'!$C$17:$C$66,'Project Details'!$D$17:$D$66,"",0)</f>
        <v>0</v>
      </c>
      <c r="M535" s="43"/>
    </row>
    <row r="536" spans="1:13" ht="13.5" customHeight="1" x14ac:dyDescent="0.25">
      <c r="A536" s="43"/>
      <c r="B536" s="43"/>
      <c r="C536" s="35">
        <f t="shared" si="9"/>
        <v>11</v>
      </c>
      <c r="D536" s="35" t="str" cm="1">
        <f t="array" ref="D536">IFERROR(ROUNDUP(_xlfn.IFS(F536="Aluminum Track", _xlfn.XLOOKUP(C536, dd_accsrycalc!$A$2:$A$51, dd_accsrycalc!$B$2:$B$51, "",0), F536="10 x 2 1/2 S (Flat)", _xlfn.XLOOKUP(C536, dd_accsrycalc!$A$2:$A$51, dd_accsrycalc!$C$2:$C$51, "",0), F536="Tox6", _xlfn.XLOOKUP(C536, dd_accsrycalc!$A$2:$A$51, dd_accsrycalc!$D$2:$D$51, "",0), F536="Cover Cap", _xlfn.XLOOKUP(C536, dd_accsrycalc!$A$2:$A$51, dd_accsrycalc!$E$2:$E$51, "",0), F536="Drainage Cover", _xlfn.XLOOKUP(C536, dd_accsrycalc!$A$2:$A$51, dd_accsrycalc!$F$2:$F$51, "",0),AND( F536="Double Adhesive Tape", I536="Roll-up Screen"), _xlfn.XLOOKUP(C536, calc_rusacc!$C$15:$C$65, calc_rusacc!$AD$15:$AD$65, "",0),AND( F536="Sealant", I536="Roll-up Screen"), _xlfn.XLOOKUP(C536, calc_rusacc!$C$15:$C$65, calc_rusacc!$AF$15:$AF$65, "",0),  AND( F536="Main Chain", I536="Accordion Screen"), _xlfn.XLOOKUP(C536, calc_rusacc!$C$15:$C$65, calc_rusacc!$BF$15:$BF$65, "",0), AND( F536="Sealant", I536="Accordion Screen"), _xlfn.XLOOKUP(C536, calc_rusacc!$C$15:$C$65, calc_rusacc!$BJ$15:$BJ$65, "",0),  F536="Sealant", _xlfn.XLOOKUP(C536, dd_accsrycalc!$A$2:$A$51, dd_accsrycalc!$G$2:$G$51, "",0),  F536&lt;&gt;"",L536*_xlfn.XLOOKUP(1, (SKUs!$C$2:$C$10001=G536)*(SKUs!$K$2:$K$10001=I536),SKUs!$E$2:$E$10001)), 0),"")</f>
        <v/>
      </c>
      <c r="E536" s="35" t="str">
        <f>_xlfn.XLOOKUP(F536,dd_item!$B$2:$B$105,dd_item!$C$2:$C$105,"",0)</f>
        <v/>
      </c>
      <c r="F536" s="35"/>
      <c r="G536" s="35" cm="1">
        <f t="array" ref="G536">IFERROR(_xlfn.XLOOKUP(1, (SKUs!$J$2:$J$10001=accsry_unmerged!F536)*IF(H536&lt;&gt;"",(SKUs!$L$2:$L$10001=accsry_unmerged!H536),1)*(SKUs!$K$2:$K$10001=I536),SKUs!$C$2:$C$10001),"")</f>
        <v>0</v>
      </c>
      <c r="H536" s="36" cm="1">
        <f t="array" ref="H536">IFERROR(_xlfn.XLOOKUP(1, (dd_accsryclr!$C$2:$C$1000=accsry_unmerged!F536)*(dd_accsryclr!$B$2:$B$1000=accsry_unmerged!J536),dd_accsryclr!$A$2:$A$1000),"")</f>
        <v>0</v>
      </c>
      <c r="I536" s="35">
        <f>_xlfn.XLOOKUP(C536,'Project Details'!$C$17:$C$66,'Project Details'!$E$17:$E$66,"",0)</f>
        <v>0</v>
      </c>
      <c r="J536" s="35">
        <f>_xlfn.XLOOKUP(C536,'Project Details'!$C$17:$C$66,'Project Details'!$H$17:$H$66,"",0)</f>
        <v>0</v>
      </c>
      <c r="K536" s="36" t="str">
        <f>IF(AND(_xlfn.XLOOKUP(C536,'Project Details'!$C$17:$C$66,'Project Details'!$L$17:$L$66,"",0)&gt;550, F536="Spring-L27cm"),"",SUBSTITUTE(_xlfn.XLOOKUP(G536,SKUs!$C$2:$C$10001,SKUs!$F$2:$F$10001,"",0), " Accessories",""))</f>
        <v/>
      </c>
      <c r="L536" s="36">
        <f>_xlfn.XLOOKUP(C536,'Project Details'!$C$17:$C$66,'Project Details'!$D$17:$D$66,"",0)</f>
        <v>0</v>
      </c>
      <c r="M536" s="43"/>
    </row>
    <row r="537" spans="1:13" ht="13.5" customHeight="1" x14ac:dyDescent="0.25">
      <c r="A537" s="43"/>
      <c r="B537" s="43"/>
      <c r="C537" s="16">
        <f t="shared" si="9"/>
        <v>11</v>
      </c>
      <c r="D537" s="16" t="str" cm="1">
        <f t="array" ref="D537">IFERROR(ROUNDUP(_xlfn.IFS(F537="Aluminum Track", _xlfn.XLOOKUP(C537, dd_accsrycalc!$A$2:$A$51, dd_accsrycalc!$B$2:$B$51, "",0), F537="10 x 2 1/2 S (Flat)", _xlfn.XLOOKUP(C537, dd_accsrycalc!$A$2:$A$51, dd_accsrycalc!$C$2:$C$51, "",0), F537="Tox6", _xlfn.XLOOKUP(C537, dd_accsrycalc!$A$2:$A$51, dd_accsrycalc!$D$2:$D$51, "",0), F537="Cover Cap", _xlfn.XLOOKUP(C537, dd_accsrycalc!$A$2:$A$51, dd_accsrycalc!$E$2:$E$51, "",0), F537="Drainage Cover", _xlfn.XLOOKUP(C537, dd_accsrycalc!$A$2:$A$51, dd_accsrycalc!$F$2:$F$51, "",0),AND( F537="Double Adhesive Tape", I537="Roll-up Screen"), _xlfn.XLOOKUP(C537, calc_rusacc!$C$15:$C$65, calc_rusacc!$AD$15:$AD$65, "",0),AND( F537="Sealant", I537="Roll-up Screen"), _xlfn.XLOOKUP(C537, calc_rusacc!$C$15:$C$65, calc_rusacc!$AF$15:$AF$65, "",0),  AND( F537="Main Chain", I537="Accordion Screen"), _xlfn.XLOOKUP(C537, calc_rusacc!$C$15:$C$65, calc_rusacc!$BF$15:$BF$65, "",0), AND( F537="Sealant", I537="Accordion Screen"), _xlfn.XLOOKUP(C537, calc_rusacc!$C$15:$C$65, calc_rusacc!$BJ$15:$BJ$65, "",0),  F537="Sealant", _xlfn.XLOOKUP(C537, dd_accsrycalc!$A$2:$A$51, dd_accsrycalc!$G$2:$G$51, "",0),  F537&lt;&gt;"",L537*_xlfn.XLOOKUP(1, (SKUs!$C$2:$C$10001=G537)*(SKUs!$K$2:$K$10001=I537),SKUs!$E$2:$E$10001)), 0),"")</f>
        <v/>
      </c>
      <c r="E537" s="16" t="str">
        <f>_xlfn.XLOOKUP(F537,dd_item!$B$2:$B$105,dd_item!$C$2:$C$105,"",0)</f>
        <v/>
      </c>
      <c r="F537" s="16"/>
      <c r="G537" s="16" cm="1">
        <f t="array" ref="G537">IFERROR(_xlfn.XLOOKUP(1, (SKUs!$J$2:$J$10001=accsry_unmerged!F537)*IF(H537&lt;&gt;"",(SKUs!$L$2:$L$10001=accsry_unmerged!H537),1)*(SKUs!$K$2:$K$10001=I537),SKUs!$C$2:$C$10001),"")</f>
        <v>0</v>
      </c>
      <c r="H537" s="33" cm="1">
        <f t="array" ref="H537">IFERROR(_xlfn.XLOOKUP(1, (dd_accsryclr!$C$2:$C$1000=accsry_unmerged!F537)*(dd_accsryclr!$B$2:$B$1000=accsry_unmerged!J537),dd_accsryclr!$A$2:$A$1000),"")</f>
        <v>0</v>
      </c>
      <c r="I537" s="16">
        <f>_xlfn.XLOOKUP(C537,'Project Details'!$C$17:$C$66,'Project Details'!$E$17:$E$66,"",0)</f>
        <v>0</v>
      </c>
      <c r="J537" s="16">
        <f>_xlfn.XLOOKUP(C537,'Project Details'!$C$17:$C$66,'Project Details'!$H$17:$H$66,"",0)</f>
        <v>0</v>
      </c>
      <c r="K537" s="33" t="str">
        <f>IF(AND(_xlfn.XLOOKUP(C537,'Project Details'!$C$17:$C$66,'Project Details'!$L$17:$L$66,"",0)&gt;550, F537="Spring-L27cm"),"",SUBSTITUTE(_xlfn.XLOOKUP(G537,SKUs!$C$2:$C$10001,SKUs!$F$2:$F$10001,"",0), " Accessories",""))</f>
        <v/>
      </c>
      <c r="L537" s="33">
        <f>_xlfn.XLOOKUP(C537,'Project Details'!$C$17:$C$66,'Project Details'!$D$17:$D$66,"",0)</f>
        <v>0</v>
      </c>
      <c r="M537" s="43"/>
    </row>
    <row r="538" spans="1:13" ht="13.5" customHeight="1" x14ac:dyDescent="0.25">
      <c r="A538" s="43"/>
      <c r="B538" s="43"/>
      <c r="C538" s="35">
        <f t="shared" si="9"/>
        <v>11</v>
      </c>
      <c r="D538" s="35" t="str" cm="1">
        <f t="array" ref="D538">IFERROR(ROUNDUP(_xlfn.IFS(F538="Aluminum Track", _xlfn.XLOOKUP(C538, dd_accsrycalc!$A$2:$A$51, dd_accsrycalc!$B$2:$B$51, "",0), F538="10 x 2 1/2 S (Flat)", _xlfn.XLOOKUP(C538, dd_accsrycalc!$A$2:$A$51, dd_accsrycalc!$C$2:$C$51, "",0), F538="Tox6", _xlfn.XLOOKUP(C538, dd_accsrycalc!$A$2:$A$51, dd_accsrycalc!$D$2:$D$51, "",0), F538="Cover Cap", _xlfn.XLOOKUP(C538, dd_accsrycalc!$A$2:$A$51, dd_accsrycalc!$E$2:$E$51, "",0), F538="Drainage Cover", _xlfn.XLOOKUP(C538, dd_accsrycalc!$A$2:$A$51, dd_accsrycalc!$F$2:$F$51, "",0),AND( F538="Double Adhesive Tape", I538="Roll-up Screen"), _xlfn.XLOOKUP(C538, calc_rusacc!$C$15:$C$65, calc_rusacc!$AD$15:$AD$65, "",0),AND( F538="Sealant", I538="Roll-up Screen"), _xlfn.XLOOKUP(C538, calc_rusacc!$C$15:$C$65, calc_rusacc!$AF$15:$AF$65, "",0),  AND( F538="Main Chain", I538="Accordion Screen"), _xlfn.XLOOKUP(C538, calc_rusacc!$C$15:$C$65, calc_rusacc!$BF$15:$BF$65, "",0), AND( F538="Sealant", I538="Accordion Screen"), _xlfn.XLOOKUP(C538, calc_rusacc!$C$15:$C$65, calc_rusacc!$BJ$15:$BJ$65, "",0),  F538="Sealant", _xlfn.XLOOKUP(C538, dd_accsrycalc!$A$2:$A$51, dd_accsrycalc!$G$2:$G$51, "",0),  F538&lt;&gt;"",L538*_xlfn.XLOOKUP(1, (SKUs!$C$2:$C$10001=G538)*(SKUs!$K$2:$K$10001=I538),SKUs!$E$2:$E$10001)), 0),"")</f>
        <v/>
      </c>
      <c r="E538" s="35" t="str">
        <f>_xlfn.XLOOKUP(F538,dd_item!$B$2:$B$105,dd_item!$C$2:$C$105,"",0)</f>
        <v/>
      </c>
      <c r="F538" s="35"/>
      <c r="G538" s="35" cm="1">
        <f t="array" ref="G538">IFERROR(_xlfn.XLOOKUP(1, (SKUs!$J$2:$J$10001=accsry_unmerged!F538)*IF(H538&lt;&gt;"",(SKUs!$L$2:$L$10001=accsry_unmerged!H538),1)*(SKUs!$K$2:$K$10001=I538),SKUs!$C$2:$C$10001),"")</f>
        <v>0</v>
      </c>
      <c r="H538" s="36" cm="1">
        <f t="array" ref="H538">IFERROR(_xlfn.XLOOKUP(1, (dd_accsryclr!$C$2:$C$1000=accsry_unmerged!F538)*(dd_accsryclr!$B$2:$B$1000=accsry_unmerged!J538),dd_accsryclr!$A$2:$A$1000),"")</f>
        <v>0</v>
      </c>
      <c r="I538" s="35">
        <f>_xlfn.XLOOKUP(C538,'Project Details'!$C$17:$C$66,'Project Details'!$E$17:$E$66,"",0)</f>
        <v>0</v>
      </c>
      <c r="J538" s="35">
        <f>_xlfn.XLOOKUP(C538,'Project Details'!$C$17:$C$66,'Project Details'!$H$17:$H$66,"",0)</f>
        <v>0</v>
      </c>
      <c r="K538" s="36" t="str">
        <f>IF(AND(_xlfn.XLOOKUP(C538,'Project Details'!$C$17:$C$66,'Project Details'!$L$17:$L$66,"",0)&gt;550, F538="Spring-L27cm"),"",SUBSTITUTE(_xlfn.XLOOKUP(G538,SKUs!$C$2:$C$10001,SKUs!$F$2:$F$10001,"",0), " Accessories",""))</f>
        <v/>
      </c>
      <c r="L538" s="36">
        <f>_xlfn.XLOOKUP(C538,'Project Details'!$C$17:$C$66,'Project Details'!$D$17:$D$66,"",0)</f>
        <v>0</v>
      </c>
      <c r="M538" s="43"/>
    </row>
    <row r="539" spans="1:13" ht="13.5" customHeight="1" x14ac:dyDescent="0.25">
      <c r="A539" s="43"/>
      <c r="B539" s="43"/>
      <c r="C539" s="16">
        <f t="shared" si="9"/>
        <v>11</v>
      </c>
      <c r="D539" s="16" t="str" cm="1">
        <f t="array" ref="D539">IFERROR(ROUNDUP(_xlfn.IFS(F539="Aluminum Track", _xlfn.XLOOKUP(C539, dd_accsrycalc!$A$2:$A$51, dd_accsrycalc!$B$2:$B$51, "",0), F539="10 x 2 1/2 S (Flat)", _xlfn.XLOOKUP(C539, dd_accsrycalc!$A$2:$A$51, dd_accsrycalc!$C$2:$C$51, "",0), F539="Tox6", _xlfn.XLOOKUP(C539, dd_accsrycalc!$A$2:$A$51, dd_accsrycalc!$D$2:$D$51, "",0), F539="Cover Cap", _xlfn.XLOOKUP(C539, dd_accsrycalc!$A$2:$A$51, dd_accsrycalc!$E$2:$E$51, "",0), F539="Drainage Cover", _xlfn.XLOOKUP(C539, dd_accsrycalc!$A$2:$A$51, dd_accsrycalc!$F$2:$F$51, "",0),AND( F539="Double Adhesive Tape", I539="Roll-up Screen"), _xlfn.XLOOKUP(C539, calc_rusacc!$C$15:$C$65, calc_rusacc!$AD$15:$AD$65, "",0),AND( F539="Sealant", I539="Roll-up Screen"), _xlfn.XLOOKUP(C539, calc_rusacc!$C$15:$C$65, calc_rusacc!$AF$15:$AF$65, "",0),  AND( F539="Main Chain", I539="Accordion Screen"), _xlfn.XLOOKUP(C539, calc_rusacc!$C$15:$C$65, calc_rusacc!$BF$15:$BF$65, "",0), AND( F539="Sealant", I539="Accordion Screen"), _xlfn.XLOOKUP(C539, calc_rusacc!$C$15:$C$65, calc_rusacc!$BJ$15:$BJ$65, "",0),  F539="Sealant", _xlfn.XLOOKUP(C539, dd_accsrycalc!$A$2:$A$51, dd_accsrycalc!$G$2:$G$51, "",0),  F539&lt;&gt;"",L539*_xlfn.XLOOKUP(1, (SKUs!$C$2:$C$10001=G539)*(SKUs!$K$2:$K$10001=I539),SKUs!$E$2:$E$10001)), 0),"")</f>
        <v/>
      </c>
      <c r="E539" s="16" t="str">
        <f>_xlfn.XLOOKUP(F539,dd_item!$B$2:$B$105,dd_item!$C$2:$C$105,"",0)</f>
        <v/>
      </c>
      <c r="F539" s="16"/>
      <c r="G539" s="16" cm="1">
        <f t="array" ref="G539">IFERROR(_xlfn.XLOOKUP(1, (SKUs!$J$2:$J$10001=accsry_unmerged!F539)*IF(H539&lt;&gt;"",(SKUs!$L$2:$L$10001=accsry_unmerged!H539),1)*(SKUs!$K$2:$K$10001=I539),SKUs!$C$2:$C$10001),"")</f>
        <v>0</v>
      </c>
      <c r="H539" s="33" cm="1">
        <f t="array" ref="H539">IFERROR(_xlfn.XLOOKUP(1, (dd_accsryclr!$C$2:$C$1000=accsry_unmerged!F539)*(dd_accsryclr!$B$2:$B$1000=accsry_unmerged!J539),dd_accsryclr!$A$2:$A$1000),"")</f>
        <v>0</v>
      </c>
      <c r="I539" s="16">
        <f>_xlfn.XLOOKUP(C539,'Project Details'!$C$17:$C$66,'Project Details'!$E$17:$E$66,"",0)</f>
        <v>0</v>
      </c>
      <c r="J539" s="16">
        <f>_xlfn.XLOOKUP(C539,'Project Details'!$C$17:$C$66,'Project Details'!$H$17:$H$66,"",0)</f>
        <v>0</v>
      </c>
      <c r="K539" s="33" t="str">
        <f>IF(AND(_xlfn.XLOOKUP(C539,'Project Details'!$C$17:$C$66,'Project Details'!$L$17:$L$66,"",0)&gt;550, F539="Spring-L27cm"),"",SUBSTITUTE(_xlfn.XLOOKUP(G539,SKUs!$C$2:$C$10001,SKUs!$F$2:$F$10001,"",0), " Accessories",""))</f>
        <v/>
      </c>
      <c r="L539" s="33">
        <f>_xlfn.XLOOKUP(C539,'Project Details'!$C$17:$C$66,'Project Details'!$D$17:$D$66,"",0)</f>
        <v>0</v>
      </c>
      <c r="M539" s="43"/>
    </row>
    <row r="540" spans="1:13" ht="13.5" customHeight="1" x14ac:dyDescent="0.25">
      <c r="A540" s="43"/>
      <c r="B540" s="43"/>
      <c r="C540" s="35">
        <f t="shared" si="9"/>
        <v>11</v>
      </c>
      <c r="D540" s="35" t="str" cm="1">
        <f t="array" ref="D540">IFERROR(ROUNDUP(_xlfn.IFS(F540="Aluminum Track", _xlfn.XLOOKUP(C540, dd_accsrycalc!$A$2:$A$51, dd_accsrycalc!$B$2:$B$51, "",0), F540="10 x 2 1/2 S (Flat)", _xlfn.XLOOKUP(C540, dd_accsrycalc!$A$2:$A$51, dd_accsrycalc!$C$2:$C$51, "",0), F540="Tox6", _xlfn.XLOOKUP(C540, dd_accsrycalc!$A$2:$A$51, dd_accsrycalc!$D$2:$D$51, "",0), F540="Cover Cap", _xlfn.XLOOKUP(C540, dd_accsrycalc!$A$2:$A$51, dd_accsrycalc!$E$2:$E$51, "",0), F540="Drainage Cover", _xlfn.XLOOKUP(C540, dd_accsrycalc!$A$2:$A$51, dd_accsrycalc!$F$2:$F$51, "",0),AND( F540="Double Adhesive Tape", I540="Roll-up Screen"), _xlfn.XLOOKUP(C540, calc_rusacc!$C$15:$C$65, calc_rusacc!$AD$15:$AD$65, "",0),AND( F540="Sealant", I540="Roll-up Screen"), _xlfn.XLOOKUP(C540, calc_rusacc!$C$15:$C$65, calc_rusacc!$AF$15:$AF$65, "",0),  AND( F540="Main Chain", I540="Accordion Screen"), _xlfn.XLOOKUP(C540, calc_rusacc!$C$15:$C$65, calc_rusacc!$BF$15:$BF$65, "",0), AND( F540="Sealant", I540="Accordion Screen"), _xlfn.XLOOKUP(C540, calc_rusacc!$C$15:$C$65, calc_rusacc!$BJ$15:$BJ$65, "",0),  F540="Sealant", _xlfn.XLOOKUP(C540, dd_accsrycalc!$A$2:$A$51, dd_accsrycalc!$G$2:$G$51, "",0),  F540&lt;&gt;"",L540*_xlfn.XLOOKUP(1, (SKUs!$C$2:$C$10001=G540)*(SKUs!$K$2:$K$10001=I540),SKUs!$E$2:$E$10001)), 0),"")</f>
        <v/>
      </c>
      <c r="E540" s="35" t="str">
        <f>_xlfn.XLOOKUP(F540,dd_item!$B$2:$B$105,dd_item!$C$2:$C$105,"",0)</f>
        <v/>
      </c>
      <c r="F540" s="35"/>
      <c r="G540" s="35" cm="1">
        <f t="array" ref="G540">IFERROR(_xlfn.XLOOKUP(1, (SKUs!$J$2:$J$10001=accsry_unmerged!F540)*IF(H540&lt;&gt;"",(SKUs!$L$2:$L$10001=accsry_unmerged!H540),1)*(SKUs!$K$2:$K$10001=I540),SKUs!$C$2:$C$10001),"")</f>
        <v>0</v>
      </c>
      <c r="H540" s="36" cm="1">
        <f t="array" ref="H540">IFERROR(_xlfn.XLOOKUP(1, (dd_accsryclr!$C$2:$C$1000=accsry_unmerged!F540)*(dd_accsryclr!$B$2:$B$1000=accsry_unmerged!J540),dd_accsryclr!$A$2:$A$1000),"")</f>
        <v>0</v>
      </c>
      <c r="I540" s="35">
        <f>_xlfn.XLOOKUP(C540,'Project Details'!$C$17:$C$66,'Project Details'!$E$17:$E$66,"",0)</f>
        <v>0</v>
      </c>
      <c r="J540" s="35">
        <f>_xlfn.XLOOKUP(C540,'Project Details'!$C$17:$C$66,'Project Details'!$H$17:$H$66,"",0)</f>
        <v>0</v>
      </c>
      <c r="K540" s="36" t="str">
        <f>IF(AND(_xlfn.XLOOKUP(C540,'Project Details'!$C$17:$C$66,'Project Details'!$L$17:$L$66,"",0)&gt;550, F540="Spring-L27cm"),"",SUBSTITUTE(_xlfn.XLOOKUP(G540,SKUs!$C$2:$C$10001,SKUs!$F$2:$F$10001,"",0), " Accessories",""))</f>
        <v/>
      </c>
      <c r="L540" s="36">
        <f>_xlfn.XLOOKUP(C540,'Project Details'!$C$17:$C$66,'Project Details'!$D$17:$D$66,"",0)</f>
        <v>0</v>
      </c>
      <c r="M540" s="43"/>
    </row>
    <row r="541" spans="1:13" ht="13.5" customHeight="1" x14ac:dyDescent="0.25">
      <c r="A541" s="43"/>
      <c r="B541" s="43"/>
      <c r="C541" s="16">
        <f t="shared" si="9"/>
        <v>11</v>
      </c>
      <c r="D541" s="16" t="str" cm="1">
        <f t="array" ref="D541">IFERROR(ROUNDUP(_xlfn.IFS(F541="Aluminum Track", _xlfn.XLOOKUP(C541, dd_accsrycalc!$A$2:$A$51, dd_accsrycalc!$B$2:$B$51, "",0), F541="10 x 2 1/2 S (Flat)", _xlfn.XLOOKUP(C541, dd_accsrycalc!$A$2:$A$51, dd_accsrycalc!$C$2:$C$51, "",0), F541="Tox6", _xlfn.XLOOKUP(C541, dd_accsrycalc!$A$2:$A$51, dd_accsrycalc!$D$2:$D$51, "",0), F541="Cover Cap", _xlfn.XLOOKUP(C541, dd_accsrycalc!$A$2:$A$51, dd_accsrycalc!$E$2:$E$51, "",0), F541="Drainage Cover", _xlfn.XLOOKUP(C541, dd_accsrycalc!$A$2:$A$51, dd_accsrycalc!$F$2:$F$51, "",0),AND( F541="Double Adhesive Tape", I541="Roll-up Screen"), _xlfn.XLOOKUP(C541, calc_rusacc!$C$15:$C$65, calc_rusacc!$AD$15:$AD$65, "",0),AND( F541="Sealant", I541="Roll-up Screen"), _xlfn.XLOOKUP(C541, calc_rusacc!$C$15:$C$65, calc_rusacc!$AF$15:$AF$65, "",0),  AND( F541="Main Chain", I541="Accordion Screen"), _xlfn.XLOOKUP(C541, calc_rusacc!$C$15:$C$65, calc_rusacc!$BF$15:$BF$65, "",0), AND( F541="Sealant", I541="Accordion Screen"), _xlfn.XLOOKUP(C541, calc_rusacc!$C$15:$C$65, calc_rusacc!$BJ$15:$BJ$65, "",0),  F541="Sealant", _xlfn.XLOOKUP(C541, dd_accsrycalc!$A$2:$A$51, dd_accsrycalc!$G$2:$G$51, "",0),  F541&lt;&gt;"",L541*_xlfn.XLOOKUP(1, (SKUs!$C$2:$C$10001=G541)*(SKUs!$K$2:$K$10001=I541),SKUs!$E$2:$E$10001)), 0),"")</f>
        <v/>
      </c>
      <c r="E541" s="16" t="str">
        <f>_xlfn.XLOOKUP(F541,dd_item!$B$2:$B$105,dd_item!$C$2:$C$105,"",0)</f>
        <v/>
      </c>
      <c r="F541" s="16"/>
      <c r="G541" s="16" cm="1">
        <f t="array" ref="G541">IFERROR(_xlfn.XLOOKUP(1, (SKUs!$J$2:$J$10001=accsry_unmerged!F541)*IF(H541&lt;&gt;"",(SKUs!$L$2:$L$10001=accsry_unmerged!H541),1)*(SKUs!$K$2:$K$10001=I541),SKUs!$C$2:$C$10001),"")</f>
        <v>0</v>
      </c>
      <c r="H541" s="33" cm="1">
        <f t="array" ref="H541">IFERROR(_xlfn.XLOOKUP(1, (dd_accsryclr!$C$2:$C$1000=accsry_unmerged!F541)*(dd_accsryclr!$B$2:$B$1000=accsry_unmerged!J541),dd_accsryclr!$A$2:$A$1000),"")</f>
        <v>0</v>
      </c>
      <c r="I541" s="16">
        <f>_xlfn.XLOOKUP(C541,'Project Details'!$C$17:$C$66,'Project Details'!$E$17:$E$66,"",0)</f>
        <v>0</v>
      </c>
      <c r="J541" s="16">
        <f>_xlfn.XLOOKUP(C541,'Project Details'!$C$17:$C$66,'Project Details'!$H$17:$H$66,"",0)</f>
        <v>0</v>
      </c>
      <c r="K541" s="33" t="str">
        <f>IF(AND(_xlfn.XLOOKUP(C541,'Project Details'!$C$17:$C$66,'Project Details'!$L$17:$L$66,"",0)&gt;550, F541="Spring-L27cm"),"",SUBSTITUTE(_xlfn.XLOOKUP(G541,SKUs!$C$2:$C$10001,SKUs!$F$2:$F$10001,"",0), " Accessories",""))</f>
        <v/>
      </c>
      <c r="L541" s="33">
        <f>_xlfn.XLOOKUP(C541,'Project Details'!$C$17:$C$66,'Project Details'!$D$17:$D$66,"",0)</f>
        <v>0</v>
      </c>
      <c r="M541" s="43"/>
    </row>
    <row r="542" spans="1:13" ht="13.5" customHeight="1" x14ac:dyDescent="0.25">
      <c r="A542" s="43"/>
      <c r="B542" s="43"/>
      <c r="C542" s="35">
        <f t="shared" si="9"/>
        <v>11</v>
      </c>
      <c r="D542" s="35" t="str" cm="1">
        <f t="array" ref="D542">IFERROR(ROUNDUP(_xlfn.IFS(F542="Aluminum Track", _xlfn.XLOOKUP(C542, dd_accsrycalc!$A$2:$A$51, dd_accsrycalc!$B$2:$B$51, "",0), F542="10 x 2 1/2 S (Flat)", _xlfn.XLOOKUP(C542, dd_accsrycalc!$A$2:$A$51, dd_accsrycalc!$C$2:$C$51, "",0), F542="Tox6", _xlfn.XLOOKUP(C542, dd_accsrycalc!$A$2:$A$51, dd_accsrycalc!$D$2:$D$51, "",0), F542="Cover Cap", _xlfn.XLOOKUP(C542, dd_accsrycalc!$A$2:$A$51, dd_accsrycalc!$E$2:$E$51, "",0), F542="Drainage Cover", _xlfn.XLOOKUP(C542, dd_accsrycalc!$A$2:$A$51, dd_accsrycalc!$F$2:$F$51, "",0),AND( F542="Double Adhesive Tape", I542="Roll-up Screen"), _xlfn.XLOOKUP(C542, calc_rusacc!$C$15:$C$65, calc_rusacc!$AD$15:$AD$65, "",0),AND( F542="Sealant", I542="Roll-up Screen"), _xlfn.XLOOKUP(C542, calc_rusacc!$C$15:$C$65, calc_rusacc!$AF$15:$AF$65, "",0),  AND( F542="Main Chain", I542="Accordion Screen"), _xlfn.XLOOKUP(C542, calc_rusacc!$C$15:$C$65, calc_rusacc!$BF$15:$BF$65, "",0), AND( F542="Sealant", I542="Accordion Screen"), _xlfn.XLOOKUP(C542, calc_rusacc!$C$15:$C$65, calc_rusacc!$BJ$15:$BJ$65, "",0),  F542="Sealant", _xlfn.XLOOKUP(C542, dd_accsrycalc!$A$2:$A$51, dd_accsrycalc!$G$2:$G$51, "",0),  F542&lt;&gt;"",L542*_xlfn.XLOOKUP(1, (SKUs!$C$2:$C$10001=G542)*(SKUs!$K$2:$K$10001=I542),SKUs!$E$2:$E$10001)), 0),"")</f>
        <v/>
      </c>
      <c r="E542" s="35" t="str">
        <f>_xlfn.XLOOKUP(F542,dd_item!$B$2:$B$105,dd_item!$C$2:$C$105,"",0)</f>
        <v/>
      </c>
      <c r="F542" s="35"/>
      <c r="G542" s="35" cm="1">
        <f t="array" ref="G542">IFERROR(_xlfn.XLOOKUP(1, (SKUs!$J$2:$J$10001=accsry_unmerged!F542)*IF(H542&lt;&gt;"",(SKUs!$L$2:$L$10001=accsry_unmerged!H542),1)*(SKUs!$K$2:$K$10001=I542),SKUs!$C$2:$C$10001),"")</f>
        <v>0</v>
      </c>
      <c r="H542" s="36" cm="1">
        <f t="array" ref="H542">IFERROR(_xlfn.XLOOKUP(1, (dd_accsryclr!$C$2:$C$1000=accsry_unmerged!F542)*(dd_accsryclr!$B$2:$B$1000=accsry_unmerged!J542),dd_accsryclr!$A$2:$A$1000),"")</f>
        <v>0</v>
      </c>
      <c r="I542" s="35">
        <f>_xlfn.XLOOKUP(C542,'Project Details'!$C$17:$C$66,'Project Details'!$E$17:$E$66,"",0)</f>
        <v>0</v>
      </c>
      <c r="J542" s="35">
        <f>_xlfn.XLOOKUP(C542,'Project Details'!$C$17:$C$66,'Project Details'!$H$17:$H$66,"",0)</f>
        <v>0</v>
      </c>
      <c r="K542" s="36" t="str">
        <f>IF(AND(_xlfn.XLOOKUP(C542,'Project Details'!$C$17:$C$66,'Project Details'!$L$17:$L$66,"",0)&gt;550, F542="Spring-L27cm"),"",SUBSTITUTE(_xlfn.XLOOKUP(G542,SKUs!$C$2:$C$10001,SKUs!$F$2:$F$10001,"",0), " Accessories",""))</f>
        <v/>
      </c>
      <c r="L542" s="36">
        <f>_xlfn.XLOOKUP(C542,'Project Details'!$C$17:$C$66,'Project Details'!$D$17:$D$66,"",0)</f>
        <v>0</v>
      </c>
      <c r="M542" s="43"/>
    </row>
    <row r="543" spans="1:13" ht="13.5" customHeight="1" x14ac:dyDescent="0.25">
      <c r="A543" s="43"/>
      <c r="B543" s="43"/>
      <c r="C543" s="16">
        <f t="shared" si="9"/>
        <v>11</v>
      </c>
      <c r="D543" s="16" t="str" cm="1">
        <f t="array" ref="D543">IFERROR(ROUNDUP(_xlfn.IFS(F543="Aluminum Track", _xlfn.XLOOKUP(C543, dd_accsrycalc!$A$2:$A$51, dd_accsrycalc!$B$2:$B$51, "",0), F543="10 x 2 1/2 S (Flat)", _xlfn.XLOOKUP(C543, dd_accsrycalc!$A$2:$A$51, dd_accsrycalc!$C$2:$C$51, "",0), F543="Tox6", _xlfn.XLOOKUP(C543, dd_accsrycalc!$A$2:$A$51, dd_accsrycalc!$D$2:$D$51, "",0), F543="Cover Cap", _xlfn.XLOOKUP(C543, dd_accsrycalc!$A$2:$A$51, dd_accsrycalc!$E$2:$E$51, "",0), F543="Drainage Cover", _xlfn.XLOOKUP(C543, dd_accsrycalc!$A$2:$A$51, dd_accsrycalc!$F$2:$F$51, "",0),AND( F543="Double Adhesive Tape", I543="Roll-up Screen"), _xlfn.XLOOKUP(C543, calc_rusacc!$C$15:$C$65, calc_rusacc!$AD$15:$AD$65, "",0),AND( F543="Sealant", I543="Roll-up Screen"), _xlfn.XLOOKUP(C543, calc_rusacc!$C$15:$C$65, calc_rusacc!$AF$15:$AF$65, "",0),  AND( F543="Main Chain", I543="Accordion Screen"), _xlfn.XLOOKUP(C543, calc_rusacc!$C$15:$C$65, calc_rusacc!$BF$15:$BF$65, "",0), AND( F543="Sealant", I543="Accordion Screen"), _xlfn.XLOOKUP(C543, calc_rusacc!$C$15:$C$65, calc_rusacc!$BJ$15:$BJ$65, "",0),  F543="Sealant", _xlfn.XLOOKUP(C543, dd_accsrycalc!$A$2:$A$51, dd_accsrycalc!$G$2:$G$51, "",0),  F543&lt;&gt;"",L543*_xlfn.XLOOKUP(1, (SKUs!$C$2:$C$10001=G543)*(SKUs!$K$2:$K$10001=I543),SKUs!$E$2:$E$10001)), 0),"")</f>
        <v/>
      </c>
      <c r="E543" s="16" t="str">
        <f>_xlfn.XLOOKUP(F543,dd_item!$B$2:$B$105,dd_item!$C$2:$C$105,"",0)</f>
        <v/>
      </c>
      <c r="F543" s="16"/>
      <c r="G543" s="16" cm="1">
        <f t="array" ref="G543">IFERROR(_xlfn.XLOOKUP(1, (SKUs!$J$2:$J$10001=accsry_unmerged!F543)*IF(H543&lt;&gt;"",(SKUs!$L$2:$L$10001=accsry_unmerged!H543),1)*(SKUs!$K$2:$K$10001=I543),SKUs!$C$2:$C$10001),"")</f>
        <v>0</v>
      </c>
      <c r="H543" s="33" cm="1">
        <f t="array" ref="H543">IFERROR(_xlfn.XLOOKUP(1, (dd_accsryclr!$C$2:$C$1000=accsry_unmerged!F543)*(dd_accsryclr!$B$2:$B$1000=accsry_unmerged!J543),dd_accsryclr!$A$2:$A$1000),"")</f>
        <v>0</v>
      </c>
      <c r="I543" s="16">
        <f>_xlfn.XLOOKUP(C543,'Project Details'!$C$17:$C$66,'Project Details'!$E$17:$E$66,"",0)</f>
        <v>0</v>
      </c>
      <c r="J543" s="16">
        <f>_xlfn.XLOOKUP(C543,'Project Details'!$C$17:$C$66,'Project Details'!$H$17:$H$66,"",0)</f>
        <v>0</v>
      </c>
      <c r="K543" s="33" t="str">
        <f>IF(AND(_xlfn.XLOOKUP(C543,'Project Details'!$C$17:$C$66,'Project Details'!$L$17:$L$66,"",0)&gt;550, F543="Spring-L27cm"),"",SUBSTITUTE(_xlfn.XLOOKUP(G543,SKUs!$C$2:$C$10001,SKUs!$F$2:$F$10001,"",0), " Accessories",""))</f>
        <v/>
      </c>
      <c r="L543" s="33">
        <f>_xlfn.XLOOKUP(C543,'Project Details'!$C$17:$C$66,'Project Details'!$D$17:$D$66,"",0)</f>
        <v>0</v>
      </c>
      <c r="M543" s="43"/>
    </row>
    <row r="544" spans="1:13" ht="13.5" customHeight="1" x14ac:dyDescent="0.25">
      <c r="A544" s="43"/>
      <c r="B544" s="43"/>
      <c r="C544" s="35">
        <f t="shared" si="9"/>
        <v>11</v>
      </c>
      <c r="D544" s="35" t="str" cm="1">
        <f t="array" ref="D544">IFERROR(ROUNDUP(_xlfn.IFS(F544="Aluminum Track", _xlfn.XLOOKUP(C544, dd_accsrycalc!$A$2:$A$51, dd_accsrycalc!$B$2:$B$51, "",0), F544="10 x 2 1/2 S (Flat)", _xlfn.XLOOKUP(C544, dd_accsrycalc!$A$2:$A$51, dd_accsrycalc!$C$2:$C$51, "",0), F544="Tox6", _xlfn.XLOOKUP(C544, dd_accsrycalc!$A$2:$A$51, dd_accsrycalc!$D$2:$D$51, "",0), F544="Cover Cap", _xlfn.XLOOKUP(C544, dd_accsrycalc!$A$2:$A$51, dd_accsrycalc!$E$2:$E$51, "",0), F544="Drainage Cover", _xlfn.XLOOKUP(C544, dd_accsrycalc!$A$2:$A$51, dd_accsrycalc!$F$2:$F$51, "",0),AND( F544="Double Adhesive Tape", I544="Roll-up Screen"), _xlfn.XLOOKUP(C544, calc_rusacc!$C$15:$C$65, calc_rusacc!$AD$15:$AD$65, "",0),AND( F544="Sealant", I544="Roll-up Screen"), _xlfn.XLOOKUP(C544, calc_rusacc!$C$15:$C$65, calc_rusacc!$AF$15:$AF$65, "",0),  AND( F544="Main Chain", I544="Accordion Screen"), _xlfn.XLOOKUP(C544, calc_rusacc!$C$15:$C$65, calc_rusacc!$BF$15:$BF$65, "",0), AND( F544="Sealant", I544="Accordion Screen"), _xlfn.XLOOKUP(C544, calc_rusacc!$C$15:$C$65, calc_rusacc!$BJ$15:$BJ$65, "",0),  F544="Sealant", _xlfn.XLOOKUP(C544, dd_accsrycalc!$A$2:$A$51, dd_accsrycalc!$G$2:$G$51, "",0),  F544&lt;&gt;"",L544*_xlfn.XLOOKUP(1, (SKUs!$C$2:$C$10001=G544)*(SKUs!$K$2:$K$10001=I544),SKUs!$E$2:$E$10001)), 0),"")</f>
        <v/>
      </c>
      <c r="E544" s="35" t="str">
        <f>_xlfn.XLOOKUP(F544,dd_item!$B$2:$B$105,dd_item!$C$2:$C$105,"",0)</f>
        <v/>
      </c>
      <c r="F544" s="35"/>
      <c r="G544" s="35" cm="1">
        <f t="array" ref="G544">IFERROR(_xlfn.XLOOKUP(1, (SKUs!$J$2:$J$10001=accsry_unmerged!F544)*IF(H544&lt;&gt;"",(SKUs!$L$2:$L$10001=accsry_unmerged!H544),1)*(SKUs!$K$2:$K$10001=I544),SKUs!$C$2:$C$10001),"")</f>
        <v>0</v>
      </c>
      <c r="H544" s="36" cm="1">
        <f t="array" ref="H544">IFERROR(_xlfn.XLOOKUP(1, (dd_accsryclr!$C$2:$C$1000=accsry_unmerged!F544)*(dd_accsryclr!$B$2:$B$1000=accsry_unmerged!J544),dd_accsryclr!$A$2:$A$1000),"")</f>
        <v>0</v>
      </c>
      <c r="I544" s="35">
        <f>_xlfn.XLOOKUP(C544,'Project Details'!$C$17:$C$66,'Project Details'!$E$17:$E$66,"",0)</f>
        <v>0</v>
      </c>
      <c r="J544" s="35">
        <f>_xlfn.XLOOKUP(C544,'Project Details'!$C$17:$C$66,'Project Details'!$H$17:$H$66,"",0)</f>
        <v>0</v>
      </c>
      <c r="K544" s="36" t="str">
        <f>IF(AND(_xlfn.XLOOKUP(C544,'Project Details'!$C$17:$C$66,'Project Details'!$L$17:$L$66,"",0)&gt;550, F544="Spring-L27cm"),"",SUBSTITUTE(_xlfn.XLOOKUP(G544,SKUs!$C$2:$C$10001,SKUs!$F$2:$F$10001,"",0), " Accessories",""))</f>
        <v/>
      </c>
      <c r="L544" s="36">
        <f>_xlfn.XLOOKUP(C544,'Project Details'!$C$17:$C$66,'Project Details'!$D$17:$D$66,"",0)</f>
        <v>0</v>
      </c>
      <c r="M544" s="43"/>
    </row>
    <row r="545" spans="1:13" ht="13.5" customHeight="1" outlineLevel="1" x14ac:dyDescent="0.25">
      <c r="A545" s="43"/>
      <c r="B545" s="43"/>
      <c r="C545" s="16">
        <f t="shared" si="9"/>
        <v>11</v>
      </c>
      <c r="D545" s="16" t="str" cm="1">
        <f t="array" ref="D545">IFERROR(ROUNDUP(_xlfn.IFS(F545="Aluminum Track", _xlfn.XLOOKUP(C545, dd_accsrycalc!$A$2:$A$51, dd_accsrycalc!$B$2:$B$51, "",0), F545="10 x 2 1/2 S (Flat)", _xlfn.XLOOKUP(C545, dd_accsrycalc!$A$2:$A$51, dd_accsrycalc!$C$2:$C$51, "",0), F545="Tox6", _xlfn.XLOOKUP(C545, dd_accsrycalc!$A$2:$A$51, dd_accsrycalc!$D$2:$D$51, "",0), F545="Cover Cap", _xlfn.XLOOKUP(C545, dd_accsrycalc!$A$2:$A$51, dd_accsrycalc!$E$2:$E$51, "",0), F545="Drainage Cover", _xlfn.XLOOKUP(C545, dd_accsrycalc!$A$2:$A$51, dd_accsrycalc!$F$2:$F$51, "",0),AND( F545="Double Adhesive Tape", I545="Roll-up Screen"), _xlfn.XLOOKUP(C545, calc_rusacc!$C$15:$C$65, calc_rusacc!$AD$15:$AD$65, "",0),AND( F545="Sealant", I545="Roll-up Screen"), _xlfn.XLOOKUP(C545, calc_rusacc!$C$15:$C$65, calc_rusacc!$AF$15:$AF$65, "",0),  AND( F545="Main Chain", I545="Accordion Screen"), _xlfn.XLOOKUP(C545, calc_rusacc!$C$15:$C$65, calc_rusacc!$BF$15:$BF$65, "",0), AND( F545="Sealant", I545="Accordion Screen"), _xlfn.XLOOKUP(C545, calc_rusacc!$C$15:$C$65, calc_rusacc!$BJ$15:$BJ$65, "",0),  F545="Sealant", _xlfn.XLOOKUP(C545, dd_accsrycalc!$A$2:$A$51, dd_accsrycalc!$G$2:$G$51, "",0),  F545&lt;&gt;"",L545*_xlfn.XLOOKUP(1, (SKUs!$C$2:$C$10001=G545)*(SKUs!$K$2:$K$10001=I545),SKUs!$E$2:$E$10001)), 0),"")</f>
        <v/>
      </c>
      <c r="E545" s="16" t="str">
        <f>_xlfn.XLOOKUP(F545,dd_item!$B$2:$B$105,dd_item!$C$2:$C$105,"",0)</f>
        <v/>
      </c>
      <c r="F545" s="16"/>
      <c r="G545" s="16" cm="1">
        <f t="array" ref="G545">IFERROR(_xlfn.XLOOKUP(1, (SKUs!$J$2:$J$10001=accsry_unmerged!F545)*IF(H545&lt;&gt;"",(SKUs!$L$2:$L$10001=accsry_unmerged!H545),1)*(SKUs!$K$2:$K$10001=I545),SKUs!$C$2:$C$10001),"")</f>
        <v>0</v>
      </c>
      <c r="H545" s="33" cm="1">
        <f t="array" ref="H545">IFERROR(_xlfn.XLOOKUP(1, (dd_accsryclr!$C$2:$C$1000=accsry_unmerged!F545)*(dd_accsryclr!$B$2:$B$1000=accsry_unmerged!J545),dd_accsryclr!$A$2:$A$1000),"")</f>
        <v>0</v>
      </c>
      <c r="I545" s="16">
        <f>_xlfn.XLOOKUP(C545,'Project Details'!$C$17:$C$66,'Project Details'!$E$17:$E$66,"",0)</f>
        <v>0</v>
      </c>
      <c r="J545" s="16">
        <f>_xlfn.XLOOKUP(C545,'Project Details'!$C$17:$C$66,'Project Details'!$H$17:$H$66,"",0)</f>
        <v>0</v>
      </c>
      <c r="K545" s="33" t="str">
        <f>IF(AND(_xlfn.XLOOKUP(C545,'Project Details'!$C$17:$C$66,'Project Details'!$L$17:$L$66,"",0)&gt;550, F545="Spring-L27cm"),"",SUBSTITUTE(_xlfn.XLOOKUP(G545,SKUs!$C$2:$C$10001,SKUs!$F$2:$F$10001,"",0), " Accessories",""))</f>
        <v/>
      </c>
      <c r="L545" s="33">
        <f>_xlfn.XLOOKUP(C545,'Project Details'!$C$17:$C$66,'Project Details'!$D$17:$D$66,"",0)</f>
        <v>0</v>
      </c>
      <c r="M545" s="43"/>
    </row>
    <row r="546" spans="1:13" ht="13.5" customHeight="1" outlineLevel="1" x14ac:dyDescent="0.25">
      <c r="A546" s="43"/>
      <c r="B546" s="43"/>
      <c r="C546" s="35">
        <f t="shared" si="9"/>
        <v>11</v>
      </c>
      <c r="D546" s="35" t="str" cm="1">
        <f t="array" ref="D546">IFERROR(ROUNDUP(_xlfn.IFS(F546="Aluminum Track", _xlfn.XLOOKUP(C546, dd_accsrycalc!$A$2:$A$51, dd_accsrycalc!$B$2:$B$51, "",0), F546="10 x 2 1/2 S (Flat)", _xlfn.XLOOKUP(C546, dd_accsrycalc!$A$2:$A$51, dd_accsrycalc!$C$2:$C$51, "",0), F546="Tox6", _xlfn.XLOOKUP(C546, dd_accsrycalc!$A$2:$A$51, dd_accsrycalc!$D$2:$D$51, "",0), F546="Cover Cap", _xlfn.XLOOKUP(C546, dd_accsrycalc!$A$2:$A$51, dd_accsrycalc!$E$2:$E$51, "",0), F546="Drainage Cover", _xlfn.XLOOKUP(C546, dd_accsrycalc!$A$2:$A$51, dd_accsrycalc!$F$2:$F$51, "",0),AND( F546="Double Adhesive Tape", I546="Roll-up Screen"), _xlfn.XLOOKUP(C546, calc_rusacc!$C$15:$C$65, calc_rusacc!$AD$15:$AD$65, "",0),AND( F546="Sealant", I546="Roll-up Screen"), _xlfn.XLOOKUP(C546, calc_rusacc!$C$15:$C$65, calc_rusacc!$AF$15:$AF$65, "",0),  AND( F546="Main Chain", I546="Accordion Screen"), _xlfn.XLOOKUP(C546, calc_rusacc!$C$15:$C$65, calc_rusacc!$BF$15:$BF$65, "",0), AND( F546="Sealant", I546="Accordion Screen"), _xlfn.XLOOKUP(C546, calc_rusacc!$C$15:$C$65, calc_rusacc!$BJ$15:$BJ$65, "",0),  F546="Sealant", _xlfn.XLOOKUP(C546, dd_accsrycalc!$A$2:$A$51, dd_accsrycalc!$G$2:$G$51, "",0),  F546&lt;&gt;"",L546*_xlfn.XLOOKUP(1, (SKUs!$C$2:$C$10001=G546)*(SKUs!$K$2:$K$10001=I546),SKUs!$E$2:$E$10001)), 0),"")</f>
        <v/>
      </c>
      <c r="E546" s="35" t="str">
        <f>_xlfn.XLOOKUP(F546,dd_item!$B$2:$B$105,dd_item!$C$2:$C$105,"",0)</f>
        <v/>
      </c>
      <c r="F546" s="35"/>
      <c r="G546" s="35" cm="1">
        <f t="array" ref="G546">IFERROR(_xlfn.XLOOKUP(1, (SKUs!$J$2:$J$10001=accsry_unmerged!F546)*IF(H546&lt;&gt;"",(SKUs!$L$2:$L$10001=accsry_unmerged!H546),1)*(SKUs!$K$2:$K$10001=I546),SKUs!$C$2:$C$10001),"")</f>
        <v>0</v>
      </c>
      <c r="H546" s="36" cm="1">
        <f t="array" ref="H546">IFERROR(_xlfn.XLOOKUP(1, (dd_accsryclr!$C$2:$C$1000=accsry_unmerged!F546)*(dd_accsryclr!$B$2:$B$1000=accsry_unmerged!J546),dd_accsryclr!$A$2:$A$1000),"")</f>
        <v>0</v>
      </c>
      <c r="I546" s="35">
        <f>_xlfn.XLOOKUP(C546,'Project Details'!$C$17:$C$66,'Project Details'!$E$17:$E$66,"",0)</f>
        <v>0</v>
      </c>
      <c r="J546" s="35">
        <f>_xlfn.XLOOKUP(C546,'Project Details'!$C$17:$C$66,'Project Details'!$H$17:$H$66,"",0)</f>
        <v>0</v>
      </c>
      <c r="K546" s="36" t="str">
        <f>IF(AND(_xlfn.XLOOKUP(C546,'Project Details'!$C$17:$C$66,'Project Details'!$L$17:$L$66,"",0)&gt;550, F546="Spring-L27cm"),"",SUBSTITUTE(_xlfn.XLOOKUP(G546,SKUs!$C$2:$C$10001,SKUs!$F$2:$F$10001,"",0), " Accessories",""))</f>
        <v/>
      </c>
      <c r="L546" s="36">
        <f>_xlfn.XLOOKUP(C546,'Project Details'!$C$17:$C$66,'Project Details'!$D$17:$D$66,"",0)</f>
        <v>0</v>
      </c>
      <c r="M546" s="43"/>
    </row>
    <row r="547" spans="1:13" ht="13.5" customHeight="1" outlineLevel="1" x14ac:dyDescent="0.25">
      <c r="A547" s="43"/>
      <c r="B547" s="43"/>
      <c r="C547" s="16">
        <f t="shared" si="9"/>
        <v>11</v>
      </c>
      <c r="D547" s="16" t="str" cm="1">
        <f t="array" ref="D547">IFERROR(ROUNDUP(_xlfn.IFS(F547="Aluminum Track", _xlfn.XLOOKUP(C547, dd_accsrycalc!$A$2:$A$51, dd_accsrycalc!$B$2:$B$51, "",0), F547="10 x 2 1/2 S (Flat)", _xlfn.XLOOKUP(C547, dd_accsrycalc!$A$2:$A$51, dd_accsrycalc!$C$2:$C$51, "",0), F547="Tox6", _xlfn.XLOOKUP(C547, dd_accsrycalc!$A$2:$A$51, dd_accsrycalc!$D$2:$D$51, "",0), F547="Cover Cap", _xlfn.XLOOKUP(C547, dd_accsrycalc!$A$2:$A$51, dd_accsrycalc!$E$2:$E$51, "",0), F547="Drainage Cover", _xlfn.XLOOKUP(C547, dd_accsrycalc!$A$2:$A$51, dd_accsrycalc!$F$2:$F$51, "",0),AND( F547="Double Adhesive Tape", I547="Roll-up Screen"), _xlfn.XLOOKUP(C547, calc_rusacc!$C$15:$C$65, calc_rusacc!$AD$15:$AD$65, "",0),AND( F547="Sealant", I547="Roll-up Screen"), _xlfn.XLOOKUP(C547, calc_rusacc!$C$15:$C$65, calc_rusacc!$AF$15:$AF$65, "",0),  AND( F547="Main Chain", I547="Accordion Screen"), _xlfn.XLOOKUP(C547, calc_rusacc!$C$15:$C$65, calc_rusacc!$BF$15:$BF$65, "",0), AND( F547="Sealant", I547="Accordion Screen"), _xlfn.XLOOKUP(C547, calc_rusacc!$C$15:$C$65, calc_rusacc!$BJ$15:$BJ$65, "",0),  F547="Sealant", _xlfn.XLOOKUP(C547, dd_accsrycalc!$A$2:$A$51, dd_accsrycalc!$G$2:$G$51, "",0),  F547&lt;&gt;"",L547*_xlfn.XLOOKUP(1, (SKUs!$C$2:$C$10001=G547)*(SKUs!$K$2:$K$10001=I547),SKUs!$E$2:$E$10001)), 0),"")</f>
        <v/>
      </c>
      <c r="E547" s="16" t="str">
        <f>_xlfn.XLOOKUP(F547,dd_item!$B$2:$B$105,dd_item!$C$2:$C$105,"",0)</f>
        <v/>
      </c>
      <c r="F547" s="16"/>
      <c r="G547" s="16" cm="1">
        <f t="array" ref="G547">IFERROR(_xlfn.XLOOKUP(1, (SKUs!$J$2:$J$10001=accsry_unmerged!F547)*IF(H547&lt;&gt;"",(SKUs!$L$2:$L$10001=accsry_unmerged!H547),1)*(SKUs!$K$2:$K$10001=I547),SKUs!$C$2:$C$10001),"")</f>
        <v>0</v>
      </c>
      <c r="H547" s="33" cm="1">
        <f t="array" ref="H547">IFERROR(_xlfn.XLOOKUP(1, (dd_accsryclr!$C$2:$C$1000=accsry_unmerged!F547)*(dd_accsryclr!$B$2:$B$1000=accsry_unmerged!J547),dd_accsryclr!$A$2:$A$1000),"")</f>
        <v>0</v>
      </c>
      <c r="I547" s="16">
        <f>_xlfn.XLOOKUP(C547,'Project Details'!$C$17:$C$66,'Project Details'!$E$17:$E$66,"",0)</f>
        <v>0</v>
      </c>
      <c r="J547" s="16">
        <f>_xlfn.XLOOKUP(C547,'Project Details'!$C$17:$C$66,'Project Details'!$H$17:$H$66,"",0)</f>
        <v>0</v>
      </c>
      <c r="K547" s="33" t="str">
        <f>IF(AND(_xlfn.XLOOKUP(C547,'Project Details'!$C$17:$C$66,'Project Details'!$L$17:$L$66,"",0)&gt;550, F547="Spring-L27cm"),"",SUBSTITUTE(_xlfn.XLOOKUP(G547,SKUs!$C$2:$C$10001,SKUs!$F$2:$F$10001,"",0), " Accessories",""))</f>
        <v/>
      </c>
      <c r="L547" s="33">
        <f>_xlfn.XLOOKUP(C547,'Project Details'!$C$17:$C$66,'Project Details'!$D$17:$D$66,"",0)</f>
        <v>0</v>
      </c>
      <c r="M547" s="43"/>
    </row>
    <row r="548" spans="1:13" ht="13.5" customHeight="1" outlineLevel="1" x14ac:dyDescent="0.25">
      <c r="A548" s="43"/>
      <c r="B548" s="43"/>
      <c r="C548" s="35">
        <f t="shared" si="9"/>
        <v>11</v>
      </c>
      <c r="D548" s="35" t="str" cm="1">
        <f t="array" ref="D548">IFERROR(ROUNDUP(_xlfn.IFS(F548="Aluminum Track", _xlfn.XLOOKUP(C548, dd_accsrycalc!$A$2:$A$51, dd_accsrycalc!$B$2:$B$51, "",0), F548="10 x 2 1/2 S (Flat)", _xlfn.XLOOKUP(C548, dd_accsrycalc!$A$2:$A$51, dd_accsrycalc!$C$2:$C$51, "",0), F548="Tox6", _xlfn.XLOOKUP(C548, dd_accsrycalc!$A$2:$A$51, dd_accsrycalc!$D$2:$D$51, "",0), F548="Cover Cap", _xlfn.XLOOKUP(C548, dd_accsrycalc!$A$2:$A$51, dd_accsrycalc!$E$2:$E$51, "",0), F548="Drainage Cover", _xlfn.XLOOKUP(C548, dd_accsrycalc!$A$2:$A$51, dd_accsrycalc!$F$2:$F$51, "",0),AND( F548="Double Adhesive Tape", I548="Roll-up Screen"), _xlfn.XLOOKUP(C548, calc_rusacc!$C$15:$C$65, calc_rusacc!$AD$15:$AD$65, "",0),AND( F548="Sealant", I548="Roll-up Screen"), _xlfn.XLOOKUP(C548, calc_rusacc!$C$15:$C$65, calc_rusacc!$AF$15:$AF$65, "",0),  AND( F548="Main Chain", I548="Accordion Screen"), _xlfn.XLOOKUP(C548, calc_rusacc!$C$15:$C$65, calc_rusacc!$BF$15:$BF$65, "",0), AND( F548="Sealant", I548="Accordion Screen"), _xlfn.XLOOKUP(C548, calc_rusacc!$C$15:$C$65, calc_rusacc!$BJ$15:$BJ$65, "",0),  F548="Sealant", _xlfn.XLOOKUP(C548, dd_accsrycalc!$A$2:$A$51, dd_accsrycalc!$G$2:$G$51, "",0),  F548&lt;&gt;"",L548*_xlfn.XLOOKUP(1, (SKUs!$C$2:$C$10001=G548)*(SKUs!$K$2:$K$10001=I548),SKUs!$E$2:$E$10001)), 0),"")</f>
        <v/>
      </c>
      <c r="E548" s="35" t="str">
        <f>_xlfn.XLOOKUP(F548,dd_item!$B$2:$B$105,dd_item!$C$2:$C$105,"",0)</f>
        <v/>
      </c>
      <c r="F548" s="35"/>
      <c r="G548" s="35" cm="1">
        <f t="array" ref="G548">IFERROR(_xlfn.XLOOKUP(1, (SKUs!$J$2:$J$10001=accsry_unmerged!F548)*IF(H548&lt;&gt;"",(SKUs!$L$2:$L$10001=accsry_unmerged!H548),1)*(SKUs!$K$2:$K$10001=I548),SKUs!$C$2:$C$10001),"")</f>
        <v>0</v>
      </c>
      <c r="H548" s="36" cm="1">
        <f t="array" ref="H548">IFERROR(_xlfn.XLOOKUP(1, (dd_accsryclr!$C$2:$C$1000=accsry_unmerged!F548)*(dd_accsryclr!$B$2:$B$1000=accsry_unmerged!J548),dd_accsryclr!$A$2:$A$1000),"")</f>
        <v>0</v>
      </c>
      <c r="I548" s="35">
        <f>_xlfn.XLOOKUP(C548,'Project Details'!$C$17:$C$66,'Project Details'!$E$17:$E$66,"",0)</f>
        <v>0</v>
      </c>
      <c r="J548" s="35">
        <f>_xlfn.XLOOKUP(C548,'Project Details'!$C$17:$C$66,'Project Details'!$H$17:$H$66,"",0)</f>
        <v>0</v>
      </c>
      <c r="K548" s="36" t="str">
        <f>IF(AND(_xlfn.XLOOKUP(C548,'Project Details'!$C$17:$C$66,'Project Details'!$L$17:$L$66,"",0)&gt;550, F548="Spring-L27cm"),"",SUBSTITUTE(_xlfn.XLOOKUP(G548,SKUs!$C$2:$C$10001,SKUs!$F$2:$F$10001,"",0), " Accessories",""))</f>
        <v/>
      </c>
      <c r="L548" s="36">
        <f>_xlfn.XLOOKUP(C548,'Project Details'!$C$17:$C$66,'Project Details'!$D$17:$D$66,"",0)</f>
        <v>0</v>
      </c>
      <c r="M548" s="43"/>
    </row>
    <row r="549" spans="1:13" ht="13.5" customHeight="1" outlineLevel="1" x14ac:dyDescent="0.25">
      <c r="A549" s="43"/>
      <c r="B549" s="43"/>
      <c r="C549" s="16">
        <f t="shared" si="9"/>
        <v>11</v>
      </c>
      <c r="D549" s="16" t="str" cm="1">
        <f t="array" ref="D549">IFERROR(ROUNDUP(_xlfn.IFS(F549="Aluminum Track", _xlfn.XLOOKUP(C549, dd_accsrycalc!$A$2:$A$51, dd_accsrycalc!$B$2:$B$51, "",0), F549="10 x 2 1/2 S (Flat)", _xlfn.XLOOKUP(C549, dd_accsrycalc!$A$2:$A$51, dd_accsrycalc!$C$2:$C$51, "",0), F549="Tox6", _xlfn.XLOOKUP(C549, dd_accsrycalc!$A$2:$A$51, dd_accsrycalc!$D$2:$D$51, "",0), F549="Cover Cap", _xlfn.XLOOKUP(C549, dd_accsrycalc!$A$2:$A$51, dd_accsrycalc!$E$2:$E$51, "",0), F549="Drainage Cover", _xlfn.XLOOKUP(C549, dd_accsrycalc!$A$2:$A$51, dd_accsrycalc!$F$2:$F$51, "",0),AND( F549="Double Adhesive Tape", I549="Roll-up Screen"), _xlfn.XLOOKUP(C549, calc_rusacc!$C$15:$C$65, calc_rusacc!$AD$15:$AD$65, "",0),AND( F549="Sealant", I549="Roll-up Screen"), _xlfn.XLOOKUP(C549, calc_rusacc!$C$15:$C$65, calc_rusacc!$AF$15:$AF$65, "",0),  AND( F549="Main Chain", I549="Accordion Screen"), _xlfn.XLOOKUP(C549, calc_rusacc!$C$15:$C$65, calc_rusacc!$BF$15:$BF$65, "",0), AND( F549="Sealant", I549="Accordion Screen"), _xlfn.XLOOKUP(C549, calc_rusacc!$C$15:$C$65, calc_rusacc!$BJ$15:$BJ$65, "",0),  F549="Sealant", _xlfn.XLOOKUP(C549, dd_accsrycalc!$A$2:$A$51, dd_accsrycalc!$G$2:$G$51, "",0),  F549&lt;&gt;"",L549*_xlfn.XLOOKUP(1, (SKUs!$C$2:$C$10001=G549)*(SKUs!$K$2:$K$10001=I549),SKUs!$E$2:$E$10001)), 0),"")</f>
        <v/>
      </c>
      <c r="E549" s="16" t="str">
        <f>_xlfn.XLOOKUP(F549,dd_item!$B$2:$B$105,dd_item!$C$2:$C$105,"",0)</f>
        <v/>
      </c>
      <c r="F549" s="16"/>
      <c r="G549" s="16" cm="1">
        <f t="array" ref="G549">IFERROR(_xlfn.XLOOKUP(1, (SKUs!$J$2:$J$10001=accsry_unmerged!F549)*IF(H549&lt;&gt;"",(SKUs!$L$2:$L$10001=accsry_unmerged!H549),1)*(SKUs!$K$2:$K$10001=I549),SKUs!$C$2:$C$10001),"")</f>
        <v>0</v>
      </c>
      <c r="H549" s="33" cm="1">
        <f t="array" ref="H549">IFERROR(_xlfn.XLOOKUP(1, (dd_accsryclr!$C$2:$C$1000=accsry_unmerged!F549)*(dd_accsryclr!$B$2:$B$1000=accsry_unmerged!J549),dd_accsryclr!$A$2:$A$1000),"")</f>
        <v>0</v>
      </c>
      <c r="I549" s="16">
        <f>_xlfn.XLOOKUP(C549,'Project Details'!$C$17:$C$66,'Project Details'!$E$17:$E$66,"",0)</f>
        <v>0</v>
      </c>
      <c r="J549" s="16">
        <f>_xlfn.XLOOKUP(C549,'Project Details'!$C$17:$C$66,'Project Details'!$H$17:$H$66,"",0)</f>
        <v>0</v>
      </c>
      <c r="K549" s="33" t="str">
        <f>IF(AND(_xlfn.XLOOKUP(C549,'Project Details'!$C$17:$C$66,'Project Details'!$L$17:$L$66,"",0)&gt;550, F549="Spring-L27cm"),"",SUBSTITUTE(_xlfn.XLOOKUP(G549,SKUs!$C$2:$C$10001,SKUs!$F$2:$F$10001,"",0), " Accessories",""))</f>
        <v/>
      </c>
      <c r="L549" s="33">
        <f>_xlfn.XLOOKUP(C549,'Project Details'!$C$17:$C$66,'Project Details'!$D$17:$D$66,"",0)</f>
        <v>0</v>
      </c>
      <c r="M549" s="43"/>
    </row>
    <row r="550" spans="1:13" ht="13.5" customHeight="1" outlineLevel="1" x14ac:dyDescent="0.25">
      <c r="A550" s="43"/>
      <c r="B550" s="43"/>
      <c r="C550" s="35">
        <f t="shared" si="9"/>
        <v>11</v>
      </c>
      <c r="D550" s="35" t="str" cm="1">
        <f t="array" ref="D550">IFERROR(ROUNDUP(_xlfn.IFS(F550="Aluminum Track", _xlfn.XLOOKUP(C550, dd_accsrycalc!$A$2:$A$51, dd_accsrycalc!$B$2:$B$51, "",0), F550="10 x 2 1/2 S (Flat)", _xlfn.XLOOKUP(C550, dd_accsrycalc!$A$2:$A$51, dd_accsrycalc!$C$2:$C$51, "",0), F550="Tox6", _xlfn.XLOOKUP(C550, dd_accsrycalc!$A$2:$A$51, dd_accsrycalc!$D$2:$D$51, "",0), F550="Cover Cap", _xlfn.XLOOKUP(C550, dd_accsrycalc!$A$2:$A$51, dd_accsrycalc!$E$2:$E$51, "",0), F550="Drainage Cover", _xlfn.XLOOKUP(C550, dd_accsrycalc!$A$2:$A$51, dd_accsrycalc!$F$2:$F$51, "",0),AND( F550="Double Adhesive Tape", I550="Roll-up Screen"), _xlfn.XLOOKUP(C550, calc_rusacc!$C$15:$C$65, calc_rusacc!$AD$15:$AD$65, "",0),AND( F550="Sealant", I550="Roll-up Screen"), _xlfn.XLOOKUP(C550, calc_rusacc!$C$15:$C$65, calc_rusacc!$AF$15:$AF$65, "",0),  AND( F550="Main Chain", I550="Accordion Screen"), _xlfn.XLOOKUP(C550, calc_rusacc!$C$15:$C$65, calc_rusacc!$BF$15:$BF$65, "",0), AND( F550="Sealant", I550="Accordion Screen"), _xlfn.XLOOKUP(C550, calc_rusacc!$C$15:$C$65, calc_rusacc!$BJ$15:$BJ$65, "",0),  F550="Sealant", _xlfn.XLOOKUP(C550, dd_accsrycalc!$A$2:$A$51, dd_accsrycalc!$G$2:$G$51, "",0),  F550&lt;&gt;"",L550*_xlfn.XLOOKUP(1, (SKUs!$C$2:$C$10001=G550)*(SKUs!$K$2:$K$10001=I550),SKUs!$E$2:$E$10001)), 0),"")</f>
        <v/>
      </c>
      <c r="E550" s="35" t="str">
        <f>_xlfn.XLOOKUP(F550,dd_item!$B$2:$B$105,dd_item!$C$2:$C$105,"",0)</f>
        <v/>
      </c>
      <c r="F550" s="35"/>
      <c r="G550" s="35" cm="1">
        <f t="array" ref="G550">IFERROR(_xlfn.XLOOKUP(1, (SKUs!$J$2:$J$10001=accsry_unmerged!F550)*IF(H550&lt;&gt;"",(SKUs!$L$2:$L$10001=accsry_unmerged!H550),1)*(SKUs!$K$2:$K$10001=I550),SKUs!$C$2:$C$10001),"")</f>
        <v>0</v>
      </c>
      <c r="H550" s="36" cm="1">
        <f t="array" ref="H550">IFERROR(_xlfn.XLOOKUP(1, (dd_accsryclr!$C$2:$C$1000=accsry_unmerged!F550)*(dd_accsryclr!$B$2:$B$1000=accsry_unmerged!J550),dd_accsryclr!$A$2:$A$1000),"")</f>
        <v>0</v>
      </c>
      <c r="I550" s="35">
        <f>_xlfn.XLOOKUP(C550,'Project Details'!$C$17:$C$66,'Project Details'!$E$17:$E$66,"",0)</f>
        <v>0</v>
      </c>
      <c r="J550" s="35">
        <f>_xlfn.XLOOKUP(C550,'Project Details'!$C$17:$C$66,'Project Details'!$H$17:$H$66,"",0)</f>
        <v>0</v>
      </c>
      <c r="K550" s="36" t="str">
        <f>IF(AND(_xlfn.XLOOKUP(C550,'Project Details'!$C$17:$C$66,'Project Details'!$L$17:$L$66,"",0)&gt;550, F550="Spring-L27cm"),"",SUBSTITUTE(_xlfn.XLOOKUP(G550,SKUs!$C$2:$C$10001,SKUs!$F$2:$F$10001,"",0), " Accessories",""))</f>
        <v/>
      </c>
      <c r="L550" s="36">
        <f>_xlfn.XLOOKUP(C550,'Project Details'!$C$17:$C$66,'Project Details'!$D$17:$D$66,"",0)</f>
        <v>0</v>
      </c>
      <c r="M550" s="43"/>
    </row>
    <row r="551" spans="1:13" ht="13.5" customHeight="1" outlineLevel="1" x14ac:dyDescent="0.25">
      <c r="A551" s="43"/>
      <c r="B551" s="43"/>
      <c r="C551" s="16">
        <f t="shared" si="9"/>
        <v>11</v>
      </c>
      <c r="D551" s="16" t="str" cm="1">
        <f t="array" ref="D551">IFERROR(ROUNDUP(_xlfn.IFS(F551="Aluminum Track", _xlfn.XLOOKUP(C551, dd_accsrycalc!$A$2:$A$51, dd_accsrycalc!$B$2:$B$51, "",0), F551="10 x 2 1/2 S (Flat)", _xlfn.XLOOKUP(C551, dd_accsrycalc!$A$2:$A$51, dd_accsrycalc!$C$2:$C$51, "",0), F551="Tox6", _xlfn.XLOOKUP(C551, dd_accsrycalc!$A$2:$A$51, dd_accsrycalc!$D$2:$D$51, "",0), F551="Cover Cap", _xlfn.XLOOKUP(C551, dd_accsrycalc!$A$2:$A$51, dd_accsrycalc!$E$2:$E$51, "",0), F551="Drainage Cover", _xlfn.XLOOKUP(C551, dd_accsrycalc!$A$2:$A$51, dd_accsrycalc!$F$2:$F$51, "",0),AND( F551="Double Adhesive Tape", I551="Roll-up Screen"), _xlfn.XLOOKUP(C551, calc_rusacc!$C$15:$C$65, calc_rusacc!$AD$15:$AD$65, "",0),AND( F551="Sealant", I551="Roll-up Screen"), _xlfn.XLOOKUP(C551, calc_rusacc!$C$15:$C$65, calc_rusacc!$AF$15:$AF$65, "",0),  AND( F551="Main Chain", I551="Accordion Screen"), _xlfn.XLOOKUP(C551, calc_rusacc!$C$15:$C$65, calc_rusacc!$BF$15:$BF$65, "",0), AND( F551="Sealant", I551="Accordion Screen"), _xlfn.XLOOKUP(C551, calc_rusacc!$C$15:$C$65, calc_rusacc!$BJ$15:$BJ$65, "",0),  F551="Sealant", _xlfn.XLOOKUP(C551, dd_accsrycalc!$A$2:$A$51, dd_accsrycalc!$G$2:$G$51, "",0),  F551&lt;&gt;"",L551*_xlfn.XLOOKUP(1, (SKUs!$C$2:$C$10001=G551)*(SKUs!$K$2:$K$10001=I551),SKUs!$E$2:$E$10001)), 0),"")</f>
        <v/>
      </c>
      <c r="E551" s="16" t="str">
        <f>_xlfn.XLOOKUP(F551,dd_item!$B$2:$B$105,dd_item!$C$2:$C$105,"",0)</f>
        <v/>
      </c>
      <c r="F551" s="16"/>
      <c r="G551" s="16" cm="1">
        <f t="array" ref="G551">IFERROR(_xlfn.XLOOKUP(1, (SKUs!$J$2:$J$10001=accsry_unmerged!F551)*IF(H551&lt;&gt;"",(SKUs!$L$2:$L$10001=accsry_unmerged!H551),1)*(SKUs!$K$2:$K$10001=I551),SKUs!$C$2:$C$10001),"")</f>
        <v>0</v>
      </c>
      <c r="H551" s="33" cm="1">
        <f t="array" ref="H551">IFERROR(_xlfn.XLOOKUP(1, (dd_accsryclr!$C$2:$C$1000=accsry_unmerged!F551)*(dd_accsryclr!$B$2:$B$1000=accsry_unmerged!J551),dd_accsryclr!$A$2:$A$1000),"")</f>
        <v>0</v>
      </c>
      <c r="I551" s="16">
        <f>_xlfn.XLOOKUP(C551,'Project Details'!$C$17:$C$66,'Project Details'!$E$17:$E$66,"",0)</f>
        <v>0</v>
      </c>
      <c r="J551" s="16">
        <f>_xlfn.XLOOKUP(C551,'Project Details'!$C$17:$C$66,'Project Details'!$H$17:$H$66,"",0)</f>
        <v>0</v>
      </c>
      <c r="K551" s="33" t="str">
        <f>IF(AND(_xlfn.XLOOKUP(C551,'Project Details'!$C$17:$C$66,'Project Details'!$L$17:$L$66,"",0)&gt;550, F551="Spring-L27cm"),"",SUBSTITUTE(_xlfn.XLOOKUP(G551,SKUs!$C$2:$C$10001,SKUs!$F$2:$F$10001,"",0), " Accessories",""))</f>
        <v/>
      </c>
      <c r="L551" s="33">
        <f>_xlfn.XLOOKUP(C551,'Project Details'!$C$17:$C$66,'Project Details'!$D$17:$D$66,"",0)</f>
        <v>0</v>
      </c>
      <c r="M551" s="43"/>
    </row>
    <row r="552" spans="1:13" ht="13.5" customHeight="1" outlineLevel="1" x14ac:dyDescent="0.25">
      <c r="A552" s="43"/>
      <c r="B552" s="43"/>
      <c r="C552" s="35">
        <f t="shared" si="9"/>
        <v>11</v>
      </c>
      <c r="D552" s="35" t="str" cm="1">
        <f t="array" ref="D552">IFERROR(ROUNDUP(_xlfn.IFS(F552="Aluminum Track", _xlfn.XLOOKUP(C552, dd_accsrycalc!$A$2:$A$51, dd_accsrycalc!$B$2:$B$51, "",0), F552="10 x 2 1/2 S (Flat)", _xlfn.XLOOKUP(C552, dd_accsrycalc!$A$2:$A$51, dd_accsrycalc!$C$2:$C$51, "",0), F552="Tox6", _xlfn.XLOOKUP(C552, dd_accsrycalc!$A$2:$A$51, dd_accsrycalc!$D$2:$D$51, "",0), F552="Cover Cap", _xlfn.XLOOKUP(C552, dd_accsrycalc!$A$2:$A$51, dd_accsrycalc!$E$2:$E$51, "",0), F552="Drainage Cover", _xlfn.XLOOKUP(C552, dd_accsrycalc!$A$2:$A$51, dd_accsrycalc!$F$2:$F$51, "",0),AND( F552="Double Adhesive Tape", I552="Roll-up Screen"), _xlfn.XLOOKUP(C552, calc_rusacc!$C$15:$C$65, calc_rusacc!$AD$15:$AD$65, "",0),AND( F552="Sealant", I552="Roll-up Screen"), _xlfn.XLOOKUP(C552, calc_rusacc!$C$15:$C$65, calc_rusacc!$AF$15:$AF$65, "",0),  AND( F552="Main Chain", I552="Accordion Screen"), _xlfn.XLOOKUP(C552, calc_rusacc!$C$15:$C$65, calc_rusacc!$BF$15:$BF$65, "",0), AND( F552="Sealant", I552="Accordion Screen"), _xlfn.XLOOKUP(C552, calc_rusacc!$C$15:$C$65, calc_rusacc!$BJ$15:$BJ$65, "",0),  F552="Sealant", _xlfn.XLOOKUP(C552, dd_accsrycalc!$A$2:$A$51, dd_accsrycalc!$G$2:$G$51, "",0),  F552&lt;&gt;"",L552*_xlfn.XLOOKUP(1, (SKUs!$C$2:$C$10001=G552)*(SKUs!$K$2:$K$10001=I552),SKUs!$E$2:$E$10001)), 0),"")</f>
        <v/>
      </c>
      <c r="E552" s="35" t="str">
        <f>_xlfn.XLOOKUP(F552,dd_item!$B$2:$B$105,dd_item!$C$2:$C$105,"",0)</f>
        <v/>
      </c>
      <c r="F552" s="35"/>
      <c r="G552" s="35" cm="1">
        <f t="array" ref="G552">IFERROR(_xlfn.XLOOKUP(1, (SKUs!$J$2:$J$10001=accsry_unmerged!F552)*IF(H552&lt;&gt;"",(SKUs!$L$2:$L$10001=accsry_unmerged!H552),1)*(SKUs!$K$2:$K$10001=I552),SKUs!$C$2:$C$10001),"")</f>
        <v>0</v>
      </c>
      <c r="H552" s="36" cm="1">
        <f t="array" ref="H552">IFERROR(_xlfn.XLOOKUP(1, (dd_accsryclr!$C$2:$C$1000=accsry_unmerged!F552)*(dd_accsryclr!$B$2:$B$1000=accsry_unmerged!J552),dd_accsryclr!$A$2:$A$1000),"")</f>
        <v>0</v>
      </c>
      <c r="I552" s="35">
        <f>_xlfn.XLOOKUP(C552,'Project Details'!$C$17:$C$66,'Project Details'!$E$17:$E$66,"",0)</f>
        <v>0</v>
      </c>
      <c r="J552" s="35">
        <f>_xlfn.XLOOKUP(C552,'Project Details'!$C$17:$C$66,'Project Details'!$H$17:$H$66,"",0)</f>
        <v>0</v>
      </c>
      <c r="K552" s="36" t="str">
        <f>IF(AND(_xlfn.XLOOKUP(C552,'Project Details'!$C$17:$C$66,'Project Details'!$L$17:$L$66,"",0)&gt;550, F552="Spring-L27cm"),"",SUBSTITUTE(_xlfn.XLOOKUP(G552,SKUs!$C$2:$C$10001,SKUs!$F$2:$F$10001,"",0), " Accessories",""))</f>
        <v/>
      </c>
      <c r="L552" s="36">
        <f>_xlfn.XLOOKUP(C552,'Project Details'!$C$17:$C$66,'Project Details'!$D$17:$D$66,"",0)</f>
        <v>0</v>
      </c>
      <c r="M552" s="43"/>
    </row>
    <row r="553" spans="1:13" ht="13.5" customHeight="1" outlineLevel="1" x14ac:dyDescent="0.25">
      <c r="A553" s="43"/>
      <c r="B553" s="43"/>
      <c r="C553" s="16">
        <f t="shared" si="9"/>
        <v>11</v>
      </c>
      <c r="D553" s="16" t="str" cm="1">
        <f t="array" ref="D553">IFERROR(ROUNDUP(_xlfn.IFS(F553="Aluminum Track", _xlfn.XLOOKUP(C553, dd_accsrycalc!$A$2:$A$51, dd_accsrycalc!$B$2:$B$51, "",0), F553="10 x 2 1/2 S (Flat)", _xlfn.XLOOKUP(C553, dd_accsrycalc!$A$2:$A$51, dd_accsrycalc!$C$2:$C$51, "",0), F553="Tox6", _xlfn.XLOOKUP(C553, dd_accsrycalc!$A$2:$A$51, dd_accsrycalc!$D$2:$D$51, "",0), F553="Cover Cap", _xlfn.XLOOKUP(C553, dd_accsrycalc!$A$2:$A$51, dd_accsrycalc!$E$2:$E$51, "",0), F553="Drainage Cover", _xlfn.XLOOKUP(C553, dd_accsrycalc!$A$2:$A$51, dd_accsrycalc!$F$2:$F$51, "",0),AND( F553="Double Adhesive Tape", I553="Roll-up Screen"), _xlfn.XLOOKUP(C553, calc_rusacc!$C$15:$C$65, calc_rusacc!$AD$15:$AD$65, "",0),AND( F553="Sealant", I553="Roll-up Screen"), _xlfn.XLOOKUP(C553, calc_rusacc!$C$15:$C$65, calc_rusacc!$AF$15:$AF$65, "",0),  AND( F553="Main Chain", I553="Accordion Screen"), _xlfn.XLOOKUP(C553, calc_rusacc!$C$15:$C$65, calc_rusacc!$BF$15:$BF$65, "",0), AND( F553="Sealant", I553="Accordion Screen"), _xlfn.XLOOKUP(C553, calc_rusacc!$C$15:$C$65, calc_rusacc!$BJ$15:$BJ$65, "",0),  F553="Sealant", _xlfn.XLOOKUP(C553, dd_accsrycalc!$A$2:$A$51, dd_accsrycalc!$G$2:$G$51, "",0),  F553&lt;&gt;"",L553*_xlfn.XLOOKUP(1, (SKUs!$C$2:$C$10001=G553)*(SKUs!$K$2:$K$10001=I553),SKUs!$E$2:$E$10001)), 0),"")</f>
        <v/>
      </c>
      <c r="E553" s="16" t="str">
        <f>_xlfn.XLOOKUP(F553,dd_item!$B$2:$B$105,dd_item!$C$2:$C$105,"",0)</f>
        <v/>
      </c>
      <c r="F553" s="16"/>
      <c r="G553" s="16" cm="1">
        <f t="array" ref="G553">IFERROR(_xlfn.XLOOKUP(1, (SKUs!$J$2:$J$10001=accsry_unmerged!F553)*IF(H553&lt;&gt;"",(SKUs!$L$2:$L$10001=accsry_unmerged!H553),1)*(SKUs!$K$2:$K$10001=I553),SKUs!$C$2:$C$10001),"")</f>
        <v>0</v>
      </c>
      <c r="H553" s="33" cm="1">
        <f t="array" ref="H553">IFERROR(_xlfn.XLOOKUP(1, (dd_accsryclr!$C$2:$C$1000=accsry_unmerged!F553)*(dd_accsryclr!$B$2:$B$1000=accsry_unmerged!J553),dd_accsryclr!$A$2:$A$1000),"")</f>
        <v>0</v>
      </c>
      <c r="I553" s="16">
        <f>_xlfn.XLOOKUP(C553,'Project Details'!$C$17:$C$66,'Project Details'!$E$17:$E$66,"",0)</f>
        <v>0</v>
      </c>
      <c r="J553" s="16">
        <f>_xlfn.XLOOKUP(C553,'Project Details'!$C$17:$C$66,'Project Details'!$H$17:$H$66,"",0)</f>
        <v>0</v>
      </c>
      <c r="K553" s="33" t="str">
        <f>IF(AND(_xlfn.XLOOKUP(C553,'Project Details'!$C$17:$C$66,'Project Details'!$L$17:$L$66,"",0)&gt;550, F553="Spring-L27cm"),"",SUBSTITUTE(_xlfn.XLOOKUP(G553,SKUs!$C$2:$C$10001,SKUs!$F$2:$F$10001,"",0), " Accessories",""))</f>
        <v/>
      </c>
      <c r="L553" s="33">
        <f>_xlfn.XLOOKUP(C553,'Project Details'!$C$17:$C$66,'Project Details'!$D$17:$D$66,"",0)</f>
        <v>0</v>
      </c>
      <c r="M553" s="43"/>
    </row>
    <row r="554" spans="1:13" ht="13.5" customHeight="1" outlineLevel="1" x14ac:dyDescent="0.25">
      <c r="A554" s="43"/>
      <c r="B554" s="43"/>
      <c r="C554" s="35">
        <f t="shared" si="9"/>
        <v>11</v>
      </c>
      <c r="D554" s="35" t="str" cm="1">
        <f t="array" ref="D554">IFERROR(ROUNDUP(_xlfn.IFS(F554="Aluminum Track", _xlfn.XLOOKUP(C554, dd_accsrycalc!$A$2:$A$51, dd_accsrycalc!$B$2:$B$51, "",0), F554="10 x 2 1/2 S (Flat)", _xlfn.XLOOKUP(C554, dd_accsrycalc!$A$2:$A$51, dd_accsrycalc!$C$2:$C$51, "",0), F554="Tox6", _xlfn.XLOOKUP(C554, dd_accsrycalc!$A$2:$A$51, dd_accsrycalc!$D$2:$D$51, "",0), F554="Cover Cap", _xlfn.XLOOKUP(C554, dd_accsrycalc!$A$2:$A$51, dd_accsrycalc!$E$2:$E$51, "",0), F554="Drainage Cover", _xlfn.XLOOKUP(C554, dd_accsrycalc!$A$2:$A$51, dd_accsrycalc!$F$2:$F$51, "",0),AND( F554="Double Adhesive Tape", I554="Roll-up Screen"), _xlfn.XLOOKUP(C554, calc_rusacc!$C$15:$C$65, calc_rusacc!$AD$15:$AD$65, "",0),AND( F554="Sealant", I554="Roll-up Screen"), _xlfn.XLOOKUP(C554, calc_rusacc!$C$15:$C$65, calc_rusacc!$AF$15:$AF$65, "",0),  AND( F554="Main Chain", I554="Accordion Screen"), _xlfn.XLOOKUP(C554, calc_rusacc!$C$15:$C$65, calc_rusacc!$BF$15:$BF$65, "",0), AND( F554="Sealant", I554="Accordion Screen"), _xlfn.XLOOKUP(C554, calc_rusacc!$C$15:$C$65, calc_rusacc!$BJ$15:$BJ$65, "",0),  F554="Sealant", _xlfn.XLOOKUP(C554, dd_accsrycalc!$A$2:$A$51, dd_accsrycalc!$G$2:$G$51, "",0),  F554&lt;&gt;"",L554*_xlfn.XLOOKUP(1, (SKUs!$C$2:$C$10001=G554)*(SKUs!$K$2:$K$10001=I554),SKUs!$E$2:$E$10001)), 0),"")</f>
        <v/>
      </c>
      <c r="E554" s="35" t="str">
        <f>_xlfn.XLOOKUP(F554,dd_item!$B$2:$B$105,dd_item!$C$2:$C$105,"",0)</f>
        <v/>
      </c>
      <c r="F554" s="35"/>
      <c r="G554" s="35" cm="1">
        <f t="array" ref="G554">IFERROR(_xlfn.XLOOKUP(1, (SKUs!$J$2:$J$10001=accsry_unmerged!F554)*IF(H554&lt;&gt;"",(SKUs!$L$2:$L$10001=accsry_unmerged!H554),1)*(SKUs!$K$2:$K$10001=I554),SKUs!$C$2:$C$10001),"")</f>
        <v>0</v>
      </c>
      <c r="H554" s="36" cm="1">
        <f t="array" ref="H554">IFERROR(_xlfn.XLOOKUP(1, (dd_accsryclr!$C$2:$C$1000=accsry_unmerged!F554)*(dd_accsryclr!$B$2:$B$1000=accsry_unmerged!J554),dd_accsryclr!$A$2:$A$1000),"")</f>
        <v>0</v>
      </c>
      <c r="I554" s="35">
        <f>_xlfn.XLOOKUP(C554,'Project Details'!$C$17:$C$66,'Project Details'!$E$17:$E$66,"",0)</f>
        <v>0</v>
      </c>
      <c r="J554" s="35">
        <f>_xlfn.XLOOKUP(C554,'Project Details'!$C$17:$C$66,'Project Details'!$H$17:$H$66,"",0)</f>
        <v>0</v>
      </c>
      <c r="K554" s="36" t="str">
        <f>IF(AND(_xlfn.XLOOKUP(C554,'Project Details'!$C$17:$C$66,'Project Details'!$L$17:$L$66,"",0)&gt;550, F554="Spring-L27cm"),"",SUBSTITUTE(_xlfn.XLOOKUP(G554,SKUs!$C$2:$C$10001,SKUs!$F$2:$F$10001,"",0), " Accessories",""))</f>
        <v/>
      </c>
      <c r="L554" s="36">
        <f>_xlfn.XLOOKUP(C554,'Project Details'!$C$17:$C$66,'Project Details'!$D$17:$D$66,"",0)</f>
        <v>0</v>
      </c>
      <c r="M554" s="43"/>
    </row>
    <row r="555" spans="1:13" ht="13.5" customHeight="1" outlineLevel="1" collapsed="1" x14ac:dyDescent="0.25">
      <c r="A555" s="43"/>
      <c r="B555" s="43"/>
      <c r="C555" s="16">
        <f t="shared" si="9"/>
        <v>11</v>
      </c>
      <c r="D555" s="16" t="str" cm="1">
        <f t="array" ref="D555">IFERROR(ROUNDUP(_xlfn.IFS(F555="Aluminum Track", _xlfn.XLOOKUP(C555, dd_accsrycalc!$A$2:$A$51, dd_accsrycalc!$B$2:$B$51, "",0), F555="10 x 2 1/2 S (Flat)", _xlfn.XLOOKUP(C555, dd_accsrycalc!$A$2:$A$51, dd_accsrycalc!$C$2:$C$51, "",0), F555="Tox6", _xlfn.XLOOKUP(C555, dd_accsrycalc!$A$2:$A$51, dd_accsrycalc!$D$2:$D$51, "",0), F555="Cover Cap", _xlfn.XLOOKUP(C555, dd_accsrycalc!$A$2:$A$51, dd_accsrycalc!$E$2:$E$51, "",0), F555="Drainage Cover", _xlfn.XLOOKUP(C555, dd_accsrycalc!$A$2:$A$51, dd_accsrycalc!$F$2:$F$51, "",0),AND( F555="Double Adhesive Tape", I555="Roll-up Screen"), _xlfn.XLOOKUP(C555, calc_rusacc!$C$15:$C$65, calc_rusacc!$AD$15:$AD$65, "",0),AND( F555="Sealant", I555="Roll-up Screen"), _xlfn.XLOOKUP(C555, calc_rusacc!$C$15:$C$65, calc_rusacc!$AF$15:$AF$65, "",0),  AND( F555="Main Chain", I555="Accordion Screen"), _xlfn.XLOOKUP(C555, calc_rusacc!$C$15:$C$65, calc_rusacc!$BF$15:$BF$65, "",0), AND( F555="Sealant", I555="Accordion Screen"), _xlfn.XLOOKUP(C555, calc_rusacc!$C$15:$C$65, calc_rusacc!$BJ$15:$BJ$65, "",0),  F555="Sealant", _xlfn.XLOOKUP(C555, dd_accsrycalc!$A$2:$A$51, dd_accsrycalc!$G$2:$G$51, "",0),  F555&lt;&gt;"",L555*_xlfn.XLOOKUP(1, (SKUs!$C$2:$C$10001=G555)*(SKUs!$K$2:$K$10001=I555),SKUs!$E$2:$E$10001)), 0),"")</f>
        <v/>
      </c>
      <c r="E555" s="16" t="str">
        <f>_xlfn.XLOOKUP(F555,dd_item!$B$2:$B$105,dd_item!$C$2:$C$105,"",0)</f>
        <v/>
      </c>
      <c r="F555" s="16"/>
      <c r="G555" s="16" cm="1">
        <f t="array" ref="G555">IFERROR(_xlfn.XLOOKUP(1, (SKUs!$J$2:$J$10001=accsry_unmerged!F555)*IF(H555&lt;&gt;"",(SKUs!$L$2:$L$10001=accsry_unmerged!H555),1)*(SKUs!$K$2:$K$10001=I555),SKUs!$C$2:$C$10001),"")</f>
        <v>0</v>
      </c>
      <c r="H555" s="33" cm="1">
        <f t="array" ref="H555">IFERROR(_xlfn.XLOOKUP(1, (dd_accsryclr!$C$2:$C$1000=accsry_unmerged!F555)*(dd_accsryclr!$B$2:$B$1000=accsry_unmerged!J555),dd_accsryclr!$A$2:$A$1000),"")</f>
        <v>0</v>
      </c>
      <c r="I555" s="16">
        <f>_xlfn.XLOOKUP(C555,'Project Details'!$C$17:$C$66,'Project Details'!$E$17:$E$66,"",0)</f>
        <v>0</v>
      </c>
      <c r="J555" s="16">
        <f>_xlfn.XLOOKUP(C555,'Project Details'!$C$17:$C$66,'Project Details'!$H$17:$H$66,"",0)</f>
        <v>0</v>
      </c>
      <c r="K555" s="33" t="str">
        <f>IF(AND(_xlfn.XLOOKUP(C555,'Project Details'!$C$17:$C$66,'Project Details'!$L$17:$L$66,"",0)&gt;550, F555="Spring-L27cm"),"",SUBSTITUTE(_xlfn.XLOOKUP(G555,SKUs!$C$2:$C$10001,SKUs!$F$2:$F$10001,"",0), " Accessories",""))</f>
        <v/>
      </c>
      <c r="L555" s="33">
        <f>_xlfn.XLOOKUP(C555,'Project Details'!$C$17:$C$66,'Project Details'!$D$17:$D$66,"",0)</f>
        <v>0</v>
      </c>
      <c r="M555" s="43"/>
    </row>
    <row r="556" spans="1:13" ht="13.5" customHeight="1" outlineLevel="1" x14ac:dyDescent="0.25">
      <c r="A556" s="43"/>
      <c r="B556" s="43"/>
      <c r="C556" s="35">
        <f t="shared" si="9"/>
        <v>11</v>
      </c>
      <c r="D556" s="35" t="str" cm="1">
        <f t="array" ref="D556">IFERROR(ROUNDUP(_xlfn.IFS(F556="Aluminum Track", _xlfn.XLOOKUP(C556, dd_accsrycalc!$A$2:$A$51, dd_accsrycalc!$B$2:$B$51, "",0), F556="10 x 2 1/2 S (Flat)", _xlfn.XLOOKUP(C556, dd_accsrycalc!$A$2:$A$51, dd_accsrycalc!$C$2:$C$51, "",0), F556="Tox6", _xlfn.XLOOKUP(C556, dd_accsrycalc!$A$2:$A$51, dd_accsrycalc!$D$2:$D$51, "",0), F556="Cover Cap", _xlfn.XLOOKUP(C556, dd_accsrycalc!$A$2:$A$51, dd_accsrycalc!$E$2:$E$51, "",0), F556="Drainage Cover", _xlfn.XLOOKUP(C556, dd_accsrycalc!$A$2:$A$51, dd_accsrycalc!$F$2:$F$51, "",0),AND( F556="Double Adhesive Tape", I556="Roll-up Screen"), _xlfn.XLOOKUP(C556, calc_rusacc!$C$15:$C$65, calc_rusacc!$AD$15:$AD$65, "",0),AND( F556="Sealant", I556="Roll-up Screen"), _xlfn.XLOOKUP(C556, calc_rusacc!$C$15:$C$65, calc_rusacc!$AF$15:$AF$65, "",0),  AND( F556="Main Chain", I556="Accordion Screen"), _xlfn.XLOOKUP(C556, calc_rusacc!$C$15:$C$65, calc_rusacc!$BF$15:$BF$65, "",0), AND( F556="Sealant", I556="Accordion Screen"), _xlfn.XLOOKUP(C556, calc_rusacc!$C$15:$C$65, calc_rusacc!$BJ$15:$BJ$65, "",0),  F556="Sealant", _xlfn.XLOOKUP(C556, dd_accsrycalc!$A$2:$A$51, dd_accsrycalc!$G$2:$G$51, "",0),  F556&lt;&gt;"",L556*_xlfn.XLOOKUP(1, (SKUs!$C$2:$C$10001=G556)*(SKUs!$K$2:$K$10001=I556),SKUs!$E$2:$E$10001)), 0),"")</f>
        <v/>
      </c>
      <c r="E556" s="35" t="str">
        <f>_xlfn.XLOOKUP(F556,dd_item!$B$2:$B$105,dd_item!$C$2:$C$105,"",0)</f>
        <v/>
      </c>
      <c r="F556" s="35"/>
      <c r="G556" s="35" cm="1">
        <f t="array" ref="G556">IFERROR(_xlfn.XLOOKUP(1, (SKUs!$J$2:$J$10001=accsry_unmerged!F556)*IF(H556&lt;&gt;"",(SKUs!$L$2:$L$10001=accsry_unmerged!H556),1)*(SKUs!$K$2:$K$10001=I556),SKUs!$C$2:$C$10001),"")</f>
        <v>0</v>
      </c>
      <c r="H556" s="36" cm="1">
        <f t="array" ref="H556">IFERROR(_xlfn.XLOOKUP(1, (dd_accsryclr!$C$2:$C$1000=accsry_unmerged!F556)*(dd_accsryclr!$B$2:$B$1000=accsry_unmerged!J556),dd_accsryclr!$A$2:$A$1000),"")</f>
        <v>0</v>
      </c>
      <c r="I556" s="35">
        <f>_xlfn.XLOOKUP(C556,'Project Details'!$C$17:$C$66,'Project Details'!$E$17:$E$66,"",0)</f>
        <v>0</v>
      </c>
      <c r="J556" s="35">
        <f>_xlfn.XLOOKUP(C556,'Project Details'!$C$17:$C$66,'Project Details'!$H$17:$H$66,"",0)</f>
        <v>0</v>
      </c>
      <c r="K556" s="36" t="str">
        <f>IF(AND(_xlfn.XLOOKUP(C556,'Project Details'!$C$17:$C$66,'Project Details'!$L$17:$L$66,"",0)&gt;550, F556="Spring-L27cm"),"",SUBSTITUTE(_xlfn.XLOOKUP(G556,SKUs!$C$2:$C$10001,SKUs!$F$2:$F$10001,"",0), " Accessories",""))</f>
        <v/>
      </c>
      <c r="L556" s="36">
        <f>_xlfn.XLOOKUP(C556,'Project Details'!$C$17:$C$66,'Project Details'!$D$17:$D$66,"",0)</f>
        <v>0</v>
      </c>
      <c r="M556" s="43"/>
    </row>
    <row r="557" spans="1:13" ht="13.5" customHeight="1" outlineLevel="1" x14ac:dyDescent="0.25">
      <c r="A557" s="43"/>
      <c r="B557" s="43"/>
      <c r="C557" s="16">
        <f t="shared" si="9"/>
        <v>11</v>
      </c>
      <c r="D557" s="16" t="str" cm="1">
        <f t="array" ref="D557">IFERROR(ROUNDUP(_xlfn.IFS(F557="Aluminum Track", _xlfn.XLOOKUP(C557, dd_accsrycalc!$A$2:$A$51, dd_accsrycalc!$B$2:$B$51, "",0), F557="10 x 2 1/2 S (Flat)", _xlfn.XLOOKUP(C557, dd_accsrycalc!$A$2:$A$51, dd_accsrycalc!$C$2:$C$51, "",0), F557="Tox6", _xlfn.XLOOKUP(C557, dd_accsrycalc!$A$2:$A$51, dd_accsrycalc!$D$2:$D$51, "",0), F557="Cover Cap", _xlfn.XLOOKUP(C557, dd_accsrycalc!$A$2:$A$51, dd_accsrycalc!$E$2:$E$51, "",0), F557="Drainage Cover", _xlfn.XLOOKUP(C557, dd_accsrycalc!$A$2:$A$51, dd_accsrycalc!$F$2:$F$51, "",0),AND( F557="Double Adhesive Tape", I557="Roll-up Screen"), _xlfn.XLOOKUP(C557, calc_rusacc!$C$15:$C$65, calc_rusacc!$AD$15:$AD$65, "",0),AND( F557="Sealant", I557="Roll-up Screen"), _xlfn.XLOOKUP(C557, calc_rusacc!$C$15:$C$65, calc_rusacc!$AF$15:$AF$65, "",0),  AND( F557="Main Chain", I557="Accordion Screen"), _xlfn.XLOOKUP(C557, calc_rusacc!$C$15:$C$65, calc_rusacc!$BF$15:$BF$65, "",0), AND( F557="Sealant", I557="Accordion Screen"), _xlfn.XLOOKUP(C557, calc_rusacc!$C$15:$C$65, calc_rusacc!$BJ$15:$BJ$65, "",0),  F557="Sealant", _xlfn.XLOOKUP(C557, dd_accsrycalc!$A$2:$A$51, dd_accsrycalc!$G$2:$G$51, "",0),  F557&lt;&gt;"",L557*_xlfn.XLOOKUP(1, (SKUs!$C$2:$C$10001=G557)*(SKUs!$K$2:$K$10001=I557),SKUs!$E$2:$E$10001)), 0),"")</f>
        <v/>
      </c>
      <c r="E557" s="16" t="str">
        <f>_xlfn.XLOOKUP(F557,dd_item!$B$2:$B$105,dd_item!$C$2:$C$105,"",0)</f>
        <v/>
      </c>
      <c r="F557" s="16"/>
      <c r="G557" s="16" cm="1">
        <f t="array" ref="G557">IFERROR(_xlfn.XLOOKUP(1, (SKUs!$J$2:$J$10001=accsry_unmerged!F557)*IF(H557&lt;&gt;"",(SKUs!$L$2:$L$10001=accsry_unmerged!H557),1)*(SKUs!$K$2:$K$10001=I557),SKUs!$C$2:$C$10001),"")</f>
        <v>0</v>
      </c>
      <c r="H557" s="33" cm="1">
        <f t="array" ref="H557">IFERROR(_xlfn.XLOOKUP(1, (dd_accsryclr!$C$2:$C$1000=accsry_unmerged!F557)*(dd_accsryclr!$B$2:$B$1000=accsry_unmerged!J557),dd_accsryclr!$A$2:$A$1000),"")</f>
        <v>0</v>
      </c>
      <c r="I557" s="16">
        <f>_xlfn.XLOOKUP(C557,'Project Details'!$C$17:$C$66,'Project Details'!$E$17:$E$66,"",0)</f>
        <v>0</v>
      </c>
      <c r="J557" s="16">
        <f>_xlfn.XLOOKUP(C557,'Project Details'!$C$17:$C$66,'Project Details'!$H$17:$H$66,"",0)</f>
        <v>0</v>
      </c>
      <c r="K557" s="33" t="str">
        <f>IF(AND(_xlfn.XLOOKUP(C557,'Project Details'!$C$17:$C$66,'Project Details'!$L$17:$L$66,"",0)&gt;550, F557="Spring-L27cm"),"",SUBSTITUTE(_xlfn.XLOOKUP(G557,SKUs!$C$2:$C$10001,SKUs!$F$2:$F$10001,"",0), " Accessories",""))</f>
        <v/>
      </c>
      <c r="L557" s="33">
        <f>_xlfn.XLOOKUP(C557,'Project Details'!$C$17:$C$66,'Project Details'!$D$17:$D$66,"",0)</f>
        <v>0</v>
      </c>
      <c r="M557" s="43"/>
    </row>
    <row r="558" spans="1:13" ht="13.5" customHeight="1" outlineLevel="1" x14ac:dyDescent="0.25">
      <c r="A558" s="43"/>
      <c r="B558" s="43"/>
      <c r="C558" s="35">
        <f t="shared" si="9"/>
        <v>11</v>
      </c>
      <c r="D558" s="35" t="str" cm="1">
        <f t="array" ref="D558">IFERROR(ROUNDUP(_xlfn.IFS(F558="Aluminum Track", _xlfn.XLOOKUP(C558, dd_accsrycalc!$A$2:$A$51, dd_accsrycalc!$B$2:$B$51, "",0), F558="10 x 2 1/2 S (Flat)", _xlfn.XLOOKUP(C558, dd_accsrycalc!$A$2:$A$51, dd_accsrycalc!$C$2:$C$51, "",0), F558="Tox6", _xlfn.XLOOKUP(C558, dd_accsrycalc!$A$2:$A$51, dd_accsrycalc!$D$2:$D$51, "",0), F558="Cover Cap", _xlfn.XLOOKUP(C558, dd_accsrycalc!$A$2:$A$51, dd_accsrycalc!$E$2:$E$51, "",0), F558="Drainage Cover", _xlfn.XLOOKUP(C558, dd_accsrycalc!$A$2:$A$51, dd_accsrycalc!$F$2:$F$51, "",0),AND( F558="Double Adhesive Tape", I558="Roll-up Screen"), _xlfn.XLOOKUP(C558, calc_rusacc!$C$15:$C$65, calc_rusacc!$AD$15:$AD$65, "",0),AND( F558="Sealant", I558="Roll-up Screen"), _xlfn.XLOOKUP(C558, calc_rusacc!$C$15:$C$65, calc_rusacc!$AF$15:$AF$65, "",0),  AND( F558="Main Chain", I558="Accordion Screen"), _xlfn.XLOOKUP(C558, calc_rusacc!$C$15:$C$65, calc_rusacc!$BF$15:$BF$65, "",0), AND( F558="Sealant", I558="Accordion Screen"), _xlfn.XLOOKUP(C558, calc_rusacc!$C$15:$C$65, calc_rusacc!$BJ$15:$BJ$65, "",0),  F558="Sealant", _xlfn.XLOOKUP(C558, dd_accsrycalc!$A$2:$A$51, dd_accsrycalc!$G$2:$G$51, "",0),  F558&lt;&gt;"",L558*_xlfn.XLOOKUP(1, (SKUs!$C$2:$C$10001=G558)*(SKUs!$K$2:$K$10001=I558),SKUs!$E$2:$E$10001)), 0),"")</f>
        <v/>
      </c>
      <c r="E558" s="35" t="str">
        <f>_xlfn.XLOOKUP(F558,dd_item!$B$2:$B$105,dd_item!$C$2:$C$105,"",0)</f>
        <v/>
      </c>
      <c r="F558" s="35"/>
      <c r="G558" s="35" cm="1">
        <f t="array" ref="G558">IFERROR(_xlfn.XLOOKUP(1, (SKUs!$J$2:$J$10001=accsry_unmerged!F558)*IF(H558&lt;&gt;"",(SKUs!$L$2:$L$10001=accsry_unmerged!H558),1)*(SKUs!$K$2:$K$10001=I558),SKUs!$C$2:$C$10001),"")</f>
        <v>0</v>
      </c>
      <c r="H558" s="36" cm="1">
        <f t="array" ref="H558">IFERROR(_xlfn.XLOOKUP(1, (dd_accsryclr!$C$2:$C$1000=accsry_unmerged!F558)*(dd_accsryclr!$B$2:$B$1000=accsry_unmerged!J558),dd_accsryclr!$A$2:$A$1000),"")</f>
        <v>0</v>
      </c>
      <c r="I558" s="35">
        <f>_xlfn.XLOOKUP(C558,'Project Details'!$C$17:$C$66,'Project Details'!$E$17:$E$66,"",0)</f>
        <v>0</v>
      </c>
      <c r="J558" s="35">
        <f>_xlfn.XLOOKUP(C558,'Project Details'!$C$17:$C$66,'Project Details'!$H$17:$H$66,"",0)</f>
        <v>0</v>
      </c>
      <c r="K558" s="36" t="str">
        <f>IF(AND(_xlfn.XLOOKUP(C558,'Project Details'!$C$17:$C$66,'Project Details'!$L$17:$L$66,"",0)&gt;550, F558="Spring-L27cm"),"",SUBSTITUTE(_xlfn.XLOOKUP(G558,SKUs!$C$2:$C$10001,SKUs!$F$2:$F$10001,"",0), " Accessories",""))</f>
        <v/>
      </c>
      <c r="L558" s="36">
        <f>_xlfn.XLOOKUP(C558,'Project Details'!$C$17:$C$66,'Project Details'!$D$17:$D$66,"",0)</f>
        <v>0</v>
      </c>
      <c r="M558" s="43"/>
    </row>
    <row r="559" spans="1:13" ht="13.5" customHeight="1" outlineLevel="1" x14ac:dyDescent="0.25">
      <c r="A559" s="43"/>
      <c r="B559" s="43"/>
      <c r="C559" s="16">
        <f t="shared" si="9"/>
        <v>11</v>
      </c>
      <c r="D559" s="16" t="str" cm="1">
        <f t="array" ref="D559">IFERROR(ROUNDUP(_xlfn.IFS(F559="Aluminum Track", _xlfn.XLOOKUP(C559, dd_accsrycalc!$A$2:$A$51, dd_accsrycalc!$B$2:$B$51, "",0), F559="10 x 2 1/2 S (Flat)", _xlfn.XLOOKUP(C559, dd_accsrycalc!$A$2:$A$51, dd_accsrycalc!$C$2:$C$51, "",0), F559="Tox6", _xlfn.XLOOKUP(C559, dd_accsrycalc!$A$2:$A$51, dd_accsrycalc!$D$2:$D$51, "",0), F559="Cover Cap", _xlfn.XLOOKUP(C559, dd_accsrycalc!$A$2:$A$51, dd_accsrycalc!$E$2:$E$51, "",0), F559="Drainage Cover", _xlfn.XLOOKUP(C559, dd_accsrycalc!$A$2:$A$51, dd_accsrycalc!$F$2:$F$51, "",0),AND( F559="Double Adhesive Tape", I559="Roll-up Screen"), _xlfn.XLOOKUP(C559, calc_rusacc!$C$15:$C$65, calc_rusacc!$AD$15:$AD$65, "",0),AND( F559="Sealant", I559="Roll-up Screen"), _xlfn.XLOOKUP(C559, calc_rusacc!$C$15:$C$65, calc_rusacc!$AF$15:$AF$65, "",0),  AND( F559="Main Chain", I559="Accordion Screen"), _xlfn.XLOOKUP(C559, calc_rusacc!$C$15:$C$65, calc_rusacc!$BF$15:$BF$65, "",0), AND( F559="Sealant", I559="Accordion Screen"), _xlfn.XLOOKUP(C559, calc_rusacc!$C$15:$C$65, calc_rusacc!$BJ$15:$BJ$65, "",0),  F559="Sealant", _xlfn.XLOOKUP(C559, dd_accsrycalc!$A$2:$A$51, dd_accsrycalc!$G$2:$G$51, "",0),  F559&lt;&gt;"",L559*_xlfn.XLOOKUP(1, (SKUs!$C$2:$C$10001=G559)*(SKUs!$K$2:$K$10001=I559),SKUs!$E$2:$E$10001)), 0),"")</f>
        <v/>
      </c>
      <c r="E559" s="16" t="str">
        <f>_xlfn.XLOOKUP(F559,dd_item!$B$2:$B$105,dd_item!$C$2:$C$105,"",0)</f>
        <v/>
      </c>
      <c r="F559" s="16"/>
      <c r="G559" s="16" cm="1">
        <f t="array" ref="G559">IFERROR(_xlfn.XLOOKUP(1, (SKUs!$J$2:$J$10001=accsry_unmerged!F559)*IF(H559&lt;&gt;"",(SKUs!$L$2:$L$10001=accsry_unmerged!H559),1)*(SKUs!$K$2:$K$10001=I559),SKUs!$C$2:$C$10001),"")</f>
        <v>0</v>
      </c>
      <c r="H559" s="33" cm="1">
        <f t="array" ref="H559">IFERROR(_xlfn.XLOOKUP(1, (dd_accsryclr!$C$2:$C$1000=accsry_unmerged!F559)*(dd_accsryclr!$B$2:$B$1000=accsry_unmerged!J559),dd_accsryclr!$A$2:$A$1000),"")</f>
        <v>0</v>
      </c>
      <c r="I559" s="16">
        <f>_xlfn.XLOOKUP(C559,'Project Details'!$C$17:$C$66,'Project Details'!$E$17:$E$66,"",0)</f>
        <v>0</v>
      </c>
      <c r="J559" s="16">
        <f>_xlfn.XLOOKUP(C559,'Project Details'!$C$17:$C$66,'Project Details'!$H$17:$H$66,"",0)</f>
        <v>0</v>
      </c>
      <c r="K559" s="33" t="str">
        <f>IF(AND(_xlfn.XLOOKUP(C559,'Project Details'!$C$17:$C$66,'Project Details'!$L$17:$L$66,"",0)&gt;550, F559="Spring-L27cm"),"",SUBSTITUTE(_xlfn.XLOOKUP(G559,SKUs!$C$2:$C$10001,SKUs!$F$2:$F$10001,"",0), " Accessories",""))</f>
        <v/>
      </c>
      <c r="L559" s="33">
        <f>_xlfn.XLOOKUP(C559,'Project Details'!$C$17:$C$66,'Project Details'!$D$17:$D$66,"",0)</f>
        <v>0</v>
      </c>
      <c r="M559" s="43"/>
    </row>
    <row r="560" spans="1:13" ht="13.5" customHeight="1" outlineLevel="1" x14ac:dyDescent="0.25">
      <c r="A560" s="43"/>
      <c r="B560" s="43"/>
      <c r="C560" s="35">
        <f t="shared" si="9"/>
        <v>11</v>
      </c>
      <c r="D560" s="35" t="str" cm="1">
        <f t="array" ref="D560">IFERROR(ROUNDUP(_xlfn.IFS(F560="Aluminum Track", _xlfn.XLOOKUP(C560, dd_accsrycalc!$A$2:$A$51, dd_accsrycalc!$B$2:$B$51, "",0), F560="10 x 2 1/2 S (Flat)", _xlfn.XLOOKUP(C560, dd_accsrycalc!$A$2:$A$51, dd_accsrycalc!$C$2:$C$51, "",0), F560="Tox6", _xlfn.XLOOKUP(C560, dd_accsrycalc!$A$2:$A$51, dd_accsrycalc!$D$2:$D$51, "",0), F560="Cover Cap", _xlfn.XLOOKUP(C560, dd_accsrycalc!$A$2:$A$51, dd_accsrycalc!$E$2:$E$51, "",0), F560="Drainage Cover", _xlfn.XLOOKUP(C560, dd_accsrycalc!$A$2:$A$51, dd_accsrycalc!$F$2:$F$51, "",0),AND( F560="Double Adhesive Tape", I560="Roll-up Screen"), _xlfn.XLOOKUP(C560, calc_rusacc!$C$15:$C$65, calc_rusacc!$AD$15:$AD$65, "",0),AND( F560="Sealant", I560="Roll-up Screen"), _xlfn.XLOOKUP(C560, calc_rusacc!$C$15:$C$65, calc_rusacc!$AF$15:$AF$65, "",0),  AND( F560="Main Chain", I560="Accordion Screen"), _xlfn.XLOOKUP(C560, calc_rusacc!$C$15:$C$65, calc_rusacc!$BF$15:$BF$65, "",0), AND( F560="Sealant", I560="Accordion Screen"), _xlfn.XLOOKUP(C560, calc_rusacc!$C$15:$C$65, calc_rusacc!$BJ$15:$BJ$65, "",0),  F560="Sealant", _xlfn.XLOOKUP(C560, dd_accsrycalc!$A$2:$A$51, dd_accsrycalc!$G$2:$G$51, "",0),  F560&lt;&gt;"",L560*_xlfn.XLOOKUP(1, (SKUs!$C$2:$C$10001=G560)*(SKUs!$K$2:$K$10001=I560),SKUs!$E$2:$E$10001)), 0),"")</f>
        <v/>
      </c>
      <c r="E560" s="35" t="str">
        <f>_xlfn.XLOOKUP(F560,dd_item!$B$2:$B$105,dd_item!$C$2:$C$105,"",0)</f>
        <v/>
      </c>
      <c r="F560" s="35"/>
      <c r="G560" s="35" cm="1">
        <f t="array" ref="G560">IFERROR(_xlfn.XLOOKUP(1, (SKUs!$J$2:$J$10001=accsry_unmerged!F560)*IF(H560&lt;&gt;"",(SKUs!$L$2:$L$10001=accsry_unmerged!H560),1)*(SKUs!$K$2:$K$10001=I560),SKUs!$C$2:$C$10001),"")</f>
        <v>0</v>
      </c>
      <c r="H560" s="36" cm="1">
        <f t="array" ref="H560">IFERROR(_xlfn.XLOOKUP(1, (dd_accsryclr!$C$2:$C$1000=accsry_unmerged!F560)*(dd_accsryclr!$B$2:$B$1000=accsry_unmerged!J560),dd_accsryclr!$A$2:$A$1000),"")</f>
        <v>0</v>
      </c>
      <c r="I560" s="35">
        <f>_xlfn.XLOOKUP(C560,'Project Details'!$C$17:$C$66,'Project Details'!$E$17:$E$66,"",0)</f>
        <v>0</v>
      </c>
      <c r="J560" s="35">
        <f>_xlfn.XLOOKUP(C560,'Project Details'!$C$17:$C$66,'Project Details'!$H$17:$H$66,"",0)</f>
        <v>0</v>
      </c>
      <c r="K560" s="36" t="str">
        <f>IF(AND(_xlfn.XLOOKUP(C560,'Project Details'!$C$17:$C$66,'Project Details'!$L$17:$L$66,"",0)&gt;550, F560="Spring-L27cm"),"",SUBSTITUTE(_xlfn.XLOOKUP(G560,SKUs!$C$2:$C$10001,SKUs!$F$2:$F$10001,"",0), " Accessories",""))</f>
        <v/>
      </c>
      <c r="L560" s="36">
        <f>_xlfn.XLOOKUP(C560,'Project Details'!$C$17:$C$66,'Project Details'!$D$17:$D$66,"",0)</f>
        <v>0</v>
      </c>
      <c r="M560" s="43"/>
    </row>
    <row r="561" spans="1:13" ht="13.5" customHeight="1" outlineLevel="1" x14ac:dyDescent="0.25">
      <c r="A561" s="43"/>
      <c r="B561" s="43"/>
      <c r="C561" s="16">
        <f t="shared" si="9"/>
        <v>11</v>
      </c>
      <c r="D561" s="16" t="str" cm="1">
        <f t="array" ref="D561">IFERROR(ROUNDUP(_xlfn.IFS(F561="Aluminum Track", _xlfn.XLOOKUP(C561, dd_accsrycalc!$A$2:$A$51, dd_accsrycalc!$B$2:$B$51, "",0), F561="10 x 2 1/2 S (Flat)", _xlfn.XLOOKUP(C561, dd_accsrycalc!$A$2:$A$51, dd_accsrycalc!$C$2:$C$51, "",0), F561="Tox6", _xlfn.XLOOKUP(C561, dd_accsrycalc!$A$2:$A$51, dd_accsrycalc!$D$2:$D$51, "",0), F561="Cover Cap", _xlfn.XLOOKUP(C561, dd_accsrycalc!$A$2:$A$51, dd_accsrycalc!$E$2:$E$51, "",0), F561="Drainage Cover", _xlfn.XLOOKUP(C561, dd_accsrycalc!$A$2:$A$51, dd_accsrycalc!$F$2:$F$51, "",0),AND( F561="Double Adhesive Tape", I561="Roll-up Screen"), _xlfn.XLOOKUP(C561, calc_rusacc!$C$15:$C$65, calc_rusacc!$AD$15:$AD$65, "",0),AND( F561="Sealant", I561="Roll-up Screen"), _xlfn.XLOOKUP(C561, calc_rusacc!$C$15:$C$65, calc_rusacc!$AF$15:$AF$65, "",0),  AND( F561="Main Chain", I561="Accordion Screen"), _xlfn.XLOOKUP(C561, calc_rusacc!$C$15:$C$65, calc_rusacc!$BF$15:$BF$65, "",0), AND( F561="Sealant", I561="Accordion Screen"), _xlfn.XLOOKUP(C561, calc_rusacc!$C$15:$C$65, calc_rusacc!$BJ$15:$BJ$65, "",0),  F561="Sealant", _xlfn.XLOOKUP(C561, dd_accsrycalc!$A$2:$A$51, dd_accsrycalc!$G$2:$G$51, "",0),  F561&lt;&gt;"",L561*_xlfn.XLOOKUP(1, (SKUs!$C$2:$C$10001=G561)*(SKUs!$K$2:$K$10001=I561),SKUs!$E$2:$E$10001)), 0),"")</f>
        <v/>
      </c>
      <c r="E561" s="16" t="str">
        <f>_xlfn.XLOOKUP(F561,dd_item!$B$2:$B$105,dd_item!$C$2:$C$105,"",0)</f>
        <v/>
      </c>
      <c r="F561" s="16"/>
      <c r="G561" s="16" cm="1">
        <f t="array" ref="G561">IFERROR(_xlfn.XLOOKUP(1, (SKUs!$J$2:$J$10001=accsry_unmerged!F561)*IF(H561&lt;&gt;"",(SKUs!$L$2:$L$10001=accsry_unmerged!H561),1)*(SKUs!$K$2:$K$10001=I561),SKUs!$C$2:$C$10001),"")</f>
        <v>0</v>
      </c>
      <c r="H561" s="33" cm="1">
        <f t="array" ref="H561">IFERROR(_xlfn.XLOOKUP(1, (dd_accsryclr!$C$2:$C$1000=accsry_unmerged!F561)*(dd_accsryclr!$B$2:$B$1000=accsry_unmerged!J561),dd_accsryclr!$A$2:$A$1000),"")</f>
        <v>0</v>
      </c>
      <c r="I561" s="16">
        <f>_xlfn.XLOOKUP(C561,'Project Details'!$C$17:$C$66,'Project Details'!$E$17:$E$66,"",0)</f>
        <v>0</v>
      </c>
      <c r="J561" s="16">
        <f>_xlfn.XLOOKUP(C561,'Project Details'!$C$17:$C$66,'Project Details'!$H$17:$H$66,"",0)</f>
        <v>0</v>
      </c>
      <c r="K561" s="33" t="str">
        <f>IF(AND(_xlfn.XLOOKUP(C561,'Project Details'!$C$17:$C$66,'Project Details'!$L$17:$L$66,"",0)&gt;550, F561="Spring-L27cm"),"",SUBSTITUTE(_xlfn.XLOOKUP(G561,SKUs!$C$2:$C$10001,SKUs!$F$2:$F$10001,"",0), " Accessories",""))</f>
        <v/>
      </c>
      <c r="L561" s="33">
        <f>_xlfn.XLOOKUP(C561,'Project Details'!$C$17:$C$66,'Project Details'!$D$17:$D$66,"",0)</f>
        <v>0</v>
      </c>
      <c r="M561" s="43"/>
    </row>
    <row r="562" spans="1:13" ht="13.5" customHeight="1" outlineLevel="1" x14ac:dyDescent="0.25">
      <c r="A562" s="43"/>
      <c r="B562" s="43"/>
      <c r="C562" s="35">
        <f t="shared" si="9"/>
        <v>11</v>
      </c>
      <c r="D562" s="35" t="str" cm="1">
        <f t="array" ref="D562">IFERROR(ROUNDUP(_xlfn.IFS(F562="Aluminum Track", _xlfn.XLOOKUP(C562, dd_accsrycalc!$A$2:$A$51, dd_accsrycalc!$B$2:$B$51, "",0), F562="10 x 2 1/2 S (Flat)", _xlfn.XLOOKUP(C562, dd_accsrycalc!$A$2:$A$51, dd_accsrycalc!$C$2:$C$51, "",0), F562="Tox6", _xlfn.XLOOKUP(C562, dd_accsrycalc!$A$2:$A$51, dd_accsrycalc!$D$2:$D$51, "",0), F562="Cover Cap", _xlfn.XLOOKUP(C562, dd_accsrycalc!$A$2:$A$51, dd_accsrycalc!$E$2:$E$51, "",0), F562="Drainage Cover", _xlfn.XLOOKUP(C562, dd_accsrycalc!$A$2:$A$51, dd_accsrycalc!$F$2:$F$51, "",0),AND( F562="Double Adhesive Tape", I562="Roll-up Screen"), _xlfn.XLOOKUP(C562, calc_rusacc!$C$15:$C$65, calc_rusacc!$AD$15:$AD$65, "",0),AND( F562="Sealant", I562="Roll-up Screen"), _xlfn.XLOOKUP(C562, calc_rusacc!$C$15:$C$65, calc_rusacc!$AF$15:$AF$65, "",0),  AND( F562="Main Chain", I562="Accordion Screen"), _xlfn.XLOOKUP(C562, calc_rusacc!$C$15:$C$65, calc_rusacc!$BF$15:$BF$65, "",0), AND( F562="Sealant", I562="Accordion Screen"), _xlfn.XLOOKUP(C562, calc_rusacc!$C$15:$C$65, calc_rusacc!$BJ$15:$BJ$65, "",0),  F562="Sealant", _xlfn.XLOOKUP(C562, dd_accsrycalc!$A$2:$A$51, dd_accsrycalc!$G$2:$G$51, "",0),  F562&lt;&gt;"",L562*_xlfn.XLOOKUP(1, (SKUs!$C$2:$C$10001=G562)*(SKUs!$K$2:$K$10001=I562),SKUs!$E$2:$E$10001)), 0),"")</f>
        <v/>
      </c>
      <c r="E562" s="35" t="str">
        <f>_xlfn.XLOOKUP(F562,dd_item!$B$2:$B$105,dd_item!$C$2:$C$105,"",0)</f>
        <v/>
      </c>
      <c r="F562" s="35"/>
      <c r="G562" s="35" cm="1">
        <f t="array" ref="G562">IFERROR(_xlfn.XLOOKUP(1, (SKUs!$J$2:$J$10001=accsry_unmerged!F562)*IF(H562&lt;&gt;"",(SKUs!$L$2:$L$10001=accsry_unmerged!H562),1)*(SKUs!$K$2:$K$10001=I562),SKUs!$C$2:$C$10001),"")</f>
        <v>0</v>
      </c>
      <c r="H562" s="36" cm="1">
        <f t="array" ref="H562">IFERROR(_xlfn.XLOOKUP(1, (dd_accsryclr!$C$2:$C$1000=accsry_unmerged!F562)*(dd_accsryclr!$B$2:$B$1000=accsry_unmerged!J562),dd_accsryclr!$A$2:$A$1000),"")</f>
        <v>0</v>
      </c>
      <c r="I562" s="35">
        <f>_xlfn.XLOOKUP(C562,'Project Details'!$C$17:$C$66,'Project Details'!$E$17:$E$66,"",0)</f>
        <v>0</v>
      </c>
      <c r="J562" s="35">
        <f>_xlfn.XLOOKUP(C562,'Project Details'!$C$17:$C$66,'Project Details'!$H$17:$H$66,"",0)</f>
        <v>0</v>
      </c>
      <c r="K562" s="36" t="str">
        <f>IF(AND(_xlfn.XLOOKUP(C562,'Project Details'!$C$17:$C$66,'Project Details'!$L$17:$L$66,"",0)&gt;550, F562="Spring-L27cm"),"",SUBSTITUTE(_xlfn.XLOOKUP(G562,SKUs!$C$2:$C$10001,SKUs!$F$2:$F$10001,"",0), " Accessories",""))</f>
        <v/>
      </c>
      <c r="L562" s="36">
        <f>_xlfn.XLOOKUP(C562,'Project Details'!$C$17:$C$66,'Project Details'!$D$17:$D$66,"",0)</f>
        <v>0</v>
      </c>
      <c r="M562" s="43"/>
    </row>
    <row r="563" spans="1:13" ht="13.5" customHeight="1" outlineLevel="1" x14ac:dyDescent="0.25">
      <c r="A563" s="43"/>
      <c r="B563" s="43"/>
      <c r="C563" s="16">
        <f t="shared" si="9"/>
        <v>11</v>
      </c>
      <c r="D563" s="16" t="str" cm="1">
        <f t="array" ref="D563">IFERROR(ROUNDUP(_xlfn.IFS(F563="Aluminum Track", _xlfn.XLOOKUP(C563, dd_accsrycalc!$A$2:$A$51, dd_accsrycalc!$B$2:$B$51, "",0), F563="10 x 2 1/2 S (Flat)", _xlfn.XLOOKUP(C563, dd_accsrycalc!$A$2:$A$51, dd_accsrycalc!$C$2:$C$51, "",0), F563="Tox6", _xlfn.XLOOKUP(C563, dd_accsrycalc!$A$2:$A$51, dd_accsrycalc!$D$2:$D$51, "",0), F563="Cover Cap", _xlfn.XLOOKUP(C563, dd_accsrycalc!$A$2:$A$51, dd_accsrycalc!$E$2:$E$51, "",0), F563="Drainage Cover", _xlfn.XLOOKUP(C563, dd_accsrycalc!$A$2:$A$51, dd_accsrycalc!$F$2:$F$51, "",0),AND( F563="Double Adhesive Tape", I563="Roll-up Screen"), _xlfn.XLOOKUP(C563, calc_rusacc!$C$15:$C$65, calc_rusacc!$AD$15:$AD$65, "",0),AND( F563="Sealant", I563="Roll-up Screen"), _xlfn.XLOOKUP(C563, calc_rusacc!$C$15:$C$65, calc_rusacc!$AF$15:$AF$65, "",0),  AND( F563="Main Chain", I563="Accordion Screen"), _xlfn.XLOOKUP(C563, calc_rusacc!$C$15:$C$65, calc_rusacc!$BF$15:$BF$65, "",0), AND( F563="Sealant", I563="Accordion Screen"), _xlfn.XLOOKUP(C563, calc_rusacc!$C$15:$C$65, calc_rusacc!$BJ$15:$BJ$65, "",0),  F563="Sealant", _xlfn.XLOOKUP(C563, dd_accsrycalc!$A$2:$A$51, dd_accsrycalc!$G$2:$G$51, "",0),  F563&lt;&gt;"",L563*_xlfn.XLOOKUP(1, (SKUs!$C$2:$C$10001=G563)*(SKUs!$K$2:$K$10001=I563),SKUs!$E$2:$E$10001)), 0),"")</f>
        <v/>
      </c>
      <c r="E563" s="16" t="str">
        <f>_xlfn.XLOOKUP(F563,dd_item!$B$2:$B$105,dd_item!$C$2:$C$105,"",0)</f>
        <v/>
      </c>
      <c r="F563" s="16"/>
      <c r="G563" s="16" cm="1">
        <f t="array" ref="G563">IFERROR(_xlfn.XLOOKUP(1, (SKUs!$J$2:$J$10001=accsry_unmerged!F563)*IF(H563&lt;&gt;"",(SKUs!$L$2:$L$10001=accsry_unmerged!H563),1)*(SKUs!$K$2:$K$10001=I563),SKUs!$C$2:$C$10001),"")</f>
        <v>0</v>
      </c>
      <c r="H563" s="33" cm="1">
        <f t="array" ref="H563">IFERROR(_xlfn.XLOOKUP(1, (dd_accsryclr!$C$2:$C$1000=accsry_unmerged!F563)*(dd_accsryclr!$B$2:$B$1000=accsry_unmerged!J563),dd_accsryclr!$A$2:$A$1000),"")</f>
        <v>0</v>
      </c>
      <c r="I563" s="16">
        <f>_xlfn.XLOOKUP(C563,'Project Details'!$C$17:$C$66,'Project Details'!$E$17:$E$66,"",0)</f>
        <v>0</v>
      </c>
      <c r="J563" s="16">
        <f>_xlfn.XLOOKUP(C563,'Project Details'!$C$17:$C$66,'Project Details'!$H$17:$H$66,"",0)</f>
        <v>0</v>
      </c>
      <c r="K563" s="33" t="str">
        <f>IF(AND(_xlfn.XLOOKUP(C563,'Project Details'!$C$17:$C$66,'Project Details'!$L$17:$L$66,"",0)&gt;550, F563="Spring-L27cm"),"",SUBSTITUTE(_xlfn.XLOOKUP(G563,SKUs!$C$2:$C$10001,SKUs!$F$2:$F$10001,"",0), " Accessories",""))</f>
        <v/>
      </c>
      <c r="L563" s="33">
        <f>_xlfn.XLOOKUP(C563,'Project Details'!$C$17:$C$66,'Project Details'!$D$17:$D$66,"",0)</f>
        <v>0</v>
      </c>
      <c r="M563" s="43"/>
    </row>
    <row r="564" spans="1:13" x14ac:dyDescent="0.25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</row>
    <row r="565" spans="1:13" x14ac:dyDescent="0.25">
      <c r="A565" s="43"/>
      <c r="B565" s="43"/>
      <c r="C565" s="16">
        <f>C563+1</f>
        <v>12</v>
      </c>
      <c r="D565" s="48" cm="1">
        <f t="array" ref="D565">IFERROR(ROUNDUP(_xlfn.IFS(F565="Aluminum Track", _xlfn.XLOOKUP(C565, dd_accsrycalc!$A$2:$A$51, dd_accsrycalc!$B$2:$B$51, "",0), F565="10 x 2 1/2 S (Flat)", _xlfn.XLOOKUP(C565, dd_accsrycalc!$A$2:$A$51, dd_accsrycalc!$C$2:$C$51, "",0), F565="Tox6", _xlfn.XLOOKUP(C565, dd_accsrycalc!$A$2:$A$51, dd_accsrycalc!$D$2:$D$51, "",0), F565="Cover Cap", _xlfn.XLOOKUP(C565, dd_accsrycalc!$A$2:$A$51, dd_accsrycalc!$E$2:$E$51, "",0), F565="Drainage Cover", _xlfn.XLOOKUP(C565, dd_accsrycalc!$A$2:$A$51, dd_accsrycalc!$F$2:$F$51, "",0),AND( F565="Double Adhesive Tape", I565="Roll-up Screen"), _xlfn.XLOOKUP(C565, calc_rusacc!$C$15:$C$65, calc_rusacc!$AD$15:$AD$65, "",0),AND( F565="Sealant", I565="Roll-up Screen"), _xlfn.XLOOKUP(C565, calc_rusacc!$C$15:$C$65, calc_rusacc!$AF$15:$AF$65, "",0),  AND( F565="Main Chain", I565="Accordion Screen"), _xlfn.XLOOKUP(C565, calc_rusacc!$C$15:$C$65, calc_rusacc!$BF$15:$BF$65, "",0), AND( F565="Sealant", I565="Accordion Screen"), _xlfn.XLOOKUP(C565, calc_rusacc!$C$15:$C$65, calc_rusacc!$BJ$15:$BJ$65, "",0),  F565="Sealant", _xlfn.XLOOKUP(C565, dd_accsrycalc!$A$2:$A$51, dd_accsrycalc!$G$2:$G$51, "",0),  F565&lt;&gt;"",L565*_xlfn.XLOOKUP(1, (SKUs!$C$2:$C$10001=G565)*(SKUs!$K$2:$K$10001=I565),SKUs!$E$2:$E$10001)), 0),"")</f>
        <v>0</v>
      </c>
      <c r="E565" s="48" t="str">
        <f>_xlfn.XLOOKUP(F565,dd_item!$B$2:$B$105,dd_item!$C$2:$C$105,"",0)</f>
        <v/>
      </c>
      <c r="F565" s="48" cm="1">
        <f t="array" ref="F565">IFERROR(_xlfn.UNIQUE(_xlfn._xlws.FILTER(SKUs!$J$2:$J$10001, (SKUs!$F$2:$F$10001&lt;&gt;"Cutting List") * (SKUs!$A$2:$A$10001=_xlfn.XLOOKUP(_xlfn.XLOOKUP(C565,'Project Details'!$C$17:$C$66,'Project Details'!$E$17:$E$66,"",0), dd_design_raw!$A$2:$A$101,dd_design_raw!$C$2:$C$101,"",0)))), "")</f>
        <v>0</v>
      </c>
      <c r="G565" s="16" cm="1">
        <f t="array" ref="G565">IFERROR(_xlfn.XLOOKUP(1, (SKUs!$J$2:$J$10001=accsry_unmerged!F565)*IF(H565&lt;&gt;"",(SKUs!$L$2:$L$10001=accsry_unmerged!H565),1)*(SKUs!$K$2:$K$10001=I565),SKUs!$C$2:$C$10001),"")</f>
        <v>0</v>
      </c>
      <c r="H565" s="16" cm="1">
        <f t="array" ref="H565">IFERROR(_xlfn.XLOOKUP(1, (dd_accsryclr!$C$2:$C$1000=accsry_unmerged!F565)*(dd_accsryclr!$B$2:$B$1000=accsry_unmerged!J565),dd_accsryclr!$A$2:$A$1000),"")</f>
        <v>0</v>
      </c>
      <c r="I565" s="16">
        <f>_xlfn.XLOOKUP(C565,'Project Details'!$C$17:$C$66,'Project Details'!$E$17:$E$66,"",0)</f>
        <v>0</v>
      </c>
      <c r="J565" s="16">
        <f>_xlfn.XLOOKUP(C565,'Project Details'!$C$17:$C$66,'Project Details'!$H$17:$H$66,"",0)</f>
        <v>0</v>
      </c>
      <c r="K565" s="16" t="str">
        <f>IF(AND(_xlfn.XLOOKUP(C565,'Project Details'!$C$17:$C$66,'Project Details'!$L$17:$L$66,"",0)&gt;550, F565="Spring-L27cm"),"",SUBSTITUTE(_xlfn.XLOOKUP(G565,SKUs!$C$2:$C$10001,SKUs!$F$2:$F$10001,"",0), " Accessories",""))</f>
        <v/>
      </c>
      <c r="L565" s="16">
        <f>_xlfn.XLOOKUP(C565,'Project Details'!$C$17:$C$66,'Project Details'!$D$17:$D$66,"",0)</f>
        <v>0</v>
      </c>
      <c r="M565" s="43"/>
    </row>
    <row r="566" spans="1:13" x14ac:dyDescent="0.25">
      <c r="A566" s="43"/>
      <c r="B566" s="43"/>
      <c r="C566" s="35">
        <f>C565</f>
        <v>12</v>
      </c>
      <c r="D566" s="35" t="str" cm="1">
        <f t="array" ref="D566">IFERROR(ROUNDUP(_xlfn.IFS(F566="Aluminum Track", _xlfn.XLOOKUP(C566, dd_accsrycalc!$A$2:$A$51, dd_accsrycalc!$B$2:$B$51, "",0), F566="10 x 2 1/2 S (Flat)", _xlfn.XLOOKUP(C566, dd_accsrycalc!$A$2:$A$51, dd_accsrycalc!$C$2:$C$51, "",0), F566="Tox6", _xlfn.XLOOKUP(C566, dd_accsrycalc!$A$2:$A$51, dd_accsrycalc!$D$2:$D$51, "",0), F566="Cover Cap", _xlfn.XLOOKUP(C566, dd_accsrycalc!$A$2:$A$51, dd_accsrycalc!$E$2:$E$51, "",0), F566="Drainage Cover", _xlfn.XLOOKUP(C566, dd_accsrycalc!$A$2:$A$51, dd_accsrycalc!$F$2:$F$51, "",0),AND( F566="Double Adhesive Tape", I566="Roll-up Screen"), _xlfn.XLOOKUP(C566, calc_rusacc!$C$15:$C$65, calc_rusacc!$AD$15:$AD$65, "",0),AND( F566="Sealant", I566="Roll-up Screen"), _xlfn.XLOOKUP(C566, calc_rusacc!$C$15:$C$65, calc_rusacc!$AF$15:$AF$65, "",0),  AND( F566="Main Chain", I566="Accordion Screen"), _xlfn.XLOOKUP(C566, calc_rusacc!$C$15:$C$65, calc_rusacc!$BF$15:$BF$65, "",0), AND( F566="Sealant", I566="Accordion Screen"), _xlfn.XLOOKUP(C566, calc_rusacc!$C$15:$C$65, calc_rusacc!$BJ$15:$BJ$65, "",0),  F566="Sealant", _xlfn.XLOOKUP(C566, dd_accsrycalc!$A$2:$A$51, dd_accsrycalc!$G$2:$G$51, "",0),  F566&lt;&gt;"",L566*_xlfn.XLOOKUP(1, (SKUs!$C$2:$C$10001=G566)*(SKUs!$K$2:$K$10001=I566),SKUs!$E$2:$E$10001)), 0),"")</f>
        <v/>
      </c>
      <c r="E566" s="35" t="str">
        <f>_xlfn.XLOOKUP(F566,dd_item!$B$2:$B$105,dd_item!$C$2:$C$105,"",0)</f>
        <v/>
      </c>
      <c r="F566" s="35"/>
      <c r="G566" s="35" cm="1">
        <f t="array" ref="G566">IFERROR(_xlfn.XLOOKUP(1, (SKUs!$J$2:$J$10001=accsry_unmerged!F566)*IF(H566&lt;&gt;"",(SKUs!$L$2:$L$10001=accsry_unmerged!H566),1)*(SKUs!$K$2:$K$10001=I566),SKUs!$C$2:$C$10001),"")</f>
        <v>0</v>
      </c>
      <c r="H566" s="36" cm="1">
        <f t="array" ref="H566">IFERROR(_xlfn.XLOOKUP(1, (dd_accsryclr!$C$2:$C$1000=accsry_unmerged!F566)*(dd_accsryclr!$B$2:$B$1000=accsry_unmerged!J566),dd_accsryclr!$A$2:$A$1000),"")</f>
        <v>0</v>
      </c>
      <c r="I566" s="35">
        <f>_xlfn.XLOOKUP(C566,'Project Details'!$C$17:$C$66,'Project Details'!$E$17:$E$66,"",0)</f>
        <v>0</v>
      </c>
      <c r="J566" s="35">
        <f>_xlfn.XLOOKUP(C566,'Project Details'!$C$17:$C$66,'Project Details'!$H$17:$H$66,"",0)</f>
        <v>0</v>
      </c>
      <c r="K566" s="36" t="str">
        <f>IF(AND(_xlfn.XLOOKUP(C566,'Project Details'!$C$17:$C$66,'Project Details'!$L$17:$L$66,"",0)&gt;550, F566="Spring-L27cm"),"",SUBSTITUTE(_xlfn.XLOOKUP(G566,SKUs!$C$2:$C$10001,SKUs!$F$2:$F$10001,"",0), " Accessories",""))</f>
        <v/>
      </c>
      <c r="L566" s="36">
        <f>_xlfn.XLOOKUP(C566,'Project Details'!$C$17:$C$66,'Project Details'!$D$17:$D$66,"",0)</f>
        <v>0</v>
      </c>
      <c r="M566" s="43"/>
    </row>
    <row r="567" spans="1:13" x14ac:dyDescent="0.25">
      <c r="A567" s="43"/>
      <c r="B567" s="43"/>
      <c r="C567" s="16">
        <f t="shared" ref="C567:C613" si="10">C566</f>
        <v>12</v>
      </c>
      <c r="D567" s="16" t="str" cm="1">
        <f t="array" ref="D567">IFERROR(ROUNDUP(_xlfn.IFS(F567="Aluminum Track", _xlfn.XLOOKUP(C567, dd_accsrycalc!$A$2:$A$51, dd_accsrycalc!$B$2:$B$51, "",0), F567="10 x 2 1/2 S (Flat)", _xlfn.XLOOKUP(C567, dd_accsrycalc!$A$2:$A$51, dd_accsrycalc!$C$2:$C$51, "",0), F567="Tox6", _xlfn.XLOOKUP(C567, dd_accsrycalc!$A$2:$A$51, dd_accsrycalc!$D$2:$D$51, "",0), F567="Cover Cap", _xlfn.XLOOKUP(C567, dd_accsrycalc!$A$2:$A$51, dd_accsrycalc!$E$2:$E$51, "",0), F567="Drainage Cover", _xlfn.XLOOKUP(C567, dd_accsrycalc!$A$2:$A$51, dd_accsrycalc!$F$2:$F$51, "",0),AND( F567="Double Adhesive Tape", I567="Roll-up Screen"), _xlfn.XLOOKUP(C567, calc_rusacc!$C$15:$C$65, calc_rusacc!$AD$15:$AD$65, "",0),AND( F567="Sealant", I567="Roll-up Screen"), _xlfn.XLOOKUP(C567, calc_rusacc!$C$15:$C$65, calc_rusacc!$AF$15:$AF$65, "",0),  AND( F567="Main Chain", I567="Accordion Screen"), _xlfn.XLOOKUP(C567, calc_rusacc!$C$15:$C$65, calc_rusacc!$BF$15:$BF$65, "",0), AND( F567="Sealant", I567="Accordion Screen"), _xlfn.XLOOKUP(C567, calc_rusacc!$C$15:$C$65, calc_rusacc!$BJ$15:$BJ$65, "",0),  F567="Sealant", _xlfn.XLOOKUP(C567, dd_accsrycalc!$A$2:$A$51, dd_accsrycalc!$G$2:$G$51, "",0),  F567&lt;&gt;"",L567*_xlfn.XLOOKUP(1, (SKUs!$C$2:$C$10001=G567)*(SKUs!$K$2:$K$10001=I567),SKUs!$E$2:$E$10001)), 0),"")</f>
        <v/>
      </c>
      <c r="E567" s="16" t="str">
        <f>_xlfn.XLOOKUP(F567,dd_item!$B$2:$B$105,dd_item!$C$2:$C$105,"",0)</f>
        <v/>
      </c>
      <c r="F567" s="16"/>
      <c r="G567" s="16" cm="1">
        <f t="array" ref="G567">IFERROR(_xlfn.XLOOKUP(1, (SKUs!$J$2:$J$10001=accsry_unmerged!F567)*IF(H567&lt;&gt;"",(SKUs!$L$2:$L$10001=accsry_unmerged!H567),1)*(SKUs!$K$2:$K$10001=I567),SKUs!$C$2:$C$10001),"")</f>
        <v>0</v>
      </c>
      <c r="H567" s="33" cm="1">
        <f t="array" ref="H567">IFERROR(_xlfn.XLOOKUP(1, (dd_accsryclr!$C$2:$C$1000=accsry_unmerged!F567)*(dd_accsryclr!$B$2:$B$1000=accsry_unmerged!J567),dd_accsryclr!$A$2:$A$1000),"")</f>
        <v>0</v>
      </c>
      <c r="I567" s="16">
        <f>_xlfn.XLOOKUP(C567,'Project Details'!$C$17:$C$66,'Project Details'!$E$17:$E$66,"",0)</f>
        <v>0</v>
      </c>
      <c r="J567" s="16">
        <f>_xlfn.XLOOKUP(C567,'Project Details'!$C$17:$C$66,'Project Details'!$H$17:$H$66,"",0)</f>
        <v>0</v>
      </c>
      <c r="K567" s="33" t="str">
        <f>IF(AND(_xlfn.XLOOKUP(C567,'Project Details'!$C$17:$C$66,'Project Details'!$L$17:$L$66,"",0)&gt;550, F567="Spring-L27cm"),"",SUBSTITUTE(_xlfn.XLOOKUP(G567,SKUs!$C$2:$C$10001,SKUs!$F$2:$F$10001,"",0), " Accessories",""))</f>
        <v/>
      </c>
      <c r="L567" s="33">
        <f>_xlfn.XLOOKUP(C567,'Project Details'!$C$17:$C$66,'Project Details'!$D$17:$D$66,"",0)</f>
        <v>0</v>
      </c>
      <c r="M567" s="43"/>
    </row>
    <row r="568" spans="1:13" x14ac:dyDescent="0.25">
      <c r="A568" s="43"/>
      <c r="B568" s="43"/>
      <c r="C568" s="35">
        <f t="shared" si="10"/>
        <v>12</v>
      </c>
      <c r="D568" s="35" t="str" cm="1">
        <f t="array" ref="D568">IFERROR(ROUNDUP(_xlfn.IFS(F568="Aluminum Track", _xlfn.XLOOKUP(C568, dd_accsrycalc!$A$2:$A$51, dd_accsrycalc!$B$2:$B$51, "",0), F568="10 x 2 1/2 S (Flat)", _xlfn.XLOOKUP(C568, dd_accsrycalc!$A$2:$A$51, dd_accsrycalc!$C$2:$C$51, "",0), F568="Tox6", _xlfn.XLOOKUP(C568, dd_accsrycalc!$A$2:$A$51, dd_accsrycalc!$D$2:$D$51, "",0), F568="Cover Cap", _xlfn.XLOOKUP(C568, dd_accsrycalc!$A$2:$A$51, dd_accsrycalc!$E$2:$E$51, "",0), F568="Drainage Cover", _xlfn.XLOOKUP(C568, dd_accsrycalc!$A$2:$A$51, dd_accsrycalc!$F$2:$F$51, "",0),AND( F568="Double Adhesive Tape", I568="Roll-up Screen"), _xlfn.XLOOKUP(C568, calc_rusacc!$C$15:$C$65, calc_rusacc!$AD$15:$AD$65, "",0),AND( F568="Sealant", I568="Roll-up Screen"), _xlfn.XLOOKUP(C568, calc_rusacc!$C$15:$C$65, calc_rusacc!$AF$15:$AF$65, "",0),  AND( F568="Main Chain", I568="Accordion Screen"), _xlfn.XLOOKUP(C568, calc_rusacc!$C$15:$C$65, calc_rusacc!$BF$15:$BF$65, "",0), AND( F568="Sealant", I568="Accordion Screen"), _xlfn.XLOOKUP(C568, calc_rusacc!$C$15:$C$65, calc_rusacc!$BJ$15:$BJ$65, "",0),  F568="Sealant", _xlfn.XLOOKUP(C568, dd_accsrycalc!$A$2:$A$51, dd_accsrycalc!$G$2:$G$51, "",0),  F568&lt;&gt;"",L568*_xlfn.XLOOKUP(1, (SKUs!$C$2:$C$10001=G568)*(SKUs!$K$2:$K$10001=I568),SKUs!$E$2:$E$10001)), 0),"")</f>
        <v/>
      </c>
      <c r="E568" s="35" t="str">
        <f>_xlfn.XLOOKUP(F568,dd_item!$B$2:$B$105,dd_item!$C$2:$C$105,"",0)</f>
        <v/>
      </c>
      <c r="F568" s="35"/>
      <c r="G568" s="35" cm="1">
        <f t="array" ref="G568">IFERROR(_xlfn.XLOOKUP(1, (SKUs!$J$2:$J$10001=accsry_unmerged!F568)*IF(H568&lt;&gt;"",(SKUs!$L$2:$L$10001=accsry_unmerged!H568),1)*(SKUs!$K$2:$K$10001=I568),SKUs!$C$2:$C$10001),"")</f>
        <v>0</v>
      </c>
      <c r="H568" s="36" cm="1">
        <f t="array" ref="H568">IFERROR(_xlfn.XLOOKUP(1, (dd_accsryclr!$C$2:$C$1000=accsry_unmerged!F568)*(dd_accsryclr!$B$2:$B$1000=accsry_unmerged!J568),dd_accsryclr!$A$2:$A$1000),"")</f>
        <v>0</v>
      </c>
      <c r="I568" s="35">
        <f>_xlfn.XLOOKUP(C568,'Project Details'!$C$17:$C$66,'Project Details'!$E$17:$E$66,"",0)</f>
        <v>0</v>
      </c>
      <c r="J568" s="35">
        <f>_xlfn.XLOOKUP(C568,'Project Details'!$C$17:$C$66,'Project Details'!$H$17:$H$66,"",0)</f>
        <v>0</v>
      </c>
      <c r="K568" s="36" t="str">
        <f>IF(AND(_xlfn.XLOOKUP(C568,'Project Details'!$C$17:$C$66,'Project Details'!$L$17:$L$66,"",0)&gt;550, F568="Spring-L27cm"),"",SUBSTITUTE(_xlfn.XLOOKUP(G568,SKUs!$C$2:$C$10001,SKUs!$F$2:$F$10001,"",0), " Accessories",""))</f>
        <v/>
      </c>
      <c r="L568" s="36">
        <f>_xlfn.XLOOKUP(C568,'Project Details'!$C$17:$C$66,'Project Details'!$D$17:$D$66,"",0)</f>
        <v>0</v>
      </c>
      <c r="M568" s="43"/>
    </row>
    <row r="569" spans="1:13" x14ac:dyDescent="0.25">
      <c r="A569" s="43"/>
      <c r="B569" s="43"/>
      <c r="C569" s="16">
        <f t="shared" si="10"/>
        <v>12</v>
      </c>
      <c r="D569" s="16" t="str" cm="1">
        <f t="array" ref="D569">IFERROR(ROUNDUP(_xlfn.IFS(F569="Aluminum Track", _xlfn.XLOOKUP(C569, dd_accsrycalc!$A$2:$A$51, dd_accsrycalc!$B$2:$B$51, "",0), F569="10 x 2 1/2 S (Flat)", _xlfn.XLOOKUP(C569, dd_accsrycalc!$A$2:$A$51, dd_accsrycalc!$C$2:$C$51, "",0), F569="Tox6", _xlfn.XLOOKUP(C569, dd_accsrycalc!$A$2:$A$51, dd_accsrycalc!$D$2:$D$51, "",0), F569="Cover Cap", _xlfn.XLOOKUP(C569, dd_accsrycalc!$A$2:$A$51, dd_accsrycalc!$E$2:$E$51, "",0), F569="Drainage Cover", _xlfn.XLOOKUP(C569, dd_accsrycalc!$A$2:$A$51, dd_accsrycalc!$F$2:$F$51, "",0),AND( F569="Double Adhesive Tape", I569="Roll-up Screen"), _xlfn.XLOOKUP(C569, calc_rusacc!$C$15:$C$65, calc_rusacc!$AD$15:$AD$65, "",0),AND( F569="Sealant", I569="Roll-up Screen"), _xlfn.XLOOKUP(C569, calc_rusacc!$C$15:$C$65, calc_rusacc!$AF$15:$AF$65, "",0),  AND( F569="Main Chain", I569="Accordion Screen"), _xlfn.XLOOKUP(C569, calc_rusacc!$C$15:$C$65, calc_rusacc!$BF$15:$BF$65, "",0), AND( F569="Sealant", I569="Accordion Screen"), _xlfn.XLOOKUP(C569, calc_rusacc!$C$15:$C$65, calc_rusacc!$BJ$15:$BJ$65, "",0),  F569="Sealant", _xlfn.XLOOKUP(C569, dd_accsrycalc!$A$2:$A$51, dd_accsrycalc!$G$2:$G$51, "",0),  F569&lt;&gt;"",L569*_xlfn.XLOOKUP(1, (SKUs!$C$2:$C$10001=G569)*(SKUs!$K$2:$K$10001=I569),SKUs!$E$2:$E$10001)), 0),"")</f>
        <v/>
      </c>
      <c r="E569" s="16" t="str">
        <f>_xlfn.XLOOKUP(F569,dd_item!$B$2:$B$105,dd_item!$C$2:$C$105,"",0)</f>
        <v/>
      </c>
      <c r="F569" s="16"/>
      <c r="G569" s="16" cm="1">
        <f t="array" ref="G569">IFERROR(_xlfn.XLOOKUP(1, (SKUs!$J$2:$J$10001=accsry_unmerged!F569)*IF(H569&lt;&gt;"",(SKUs!$L$2:$L$10001=accsry_unmerged!H569),1)*(SKUs!$K$2:$K$10001=I569),SKUs!$C$2:$C$10001),"")</f>
        <v>0</v>
      </c>
      <c r="H569" s="33" cm="1">
        <f t="array" ref="H569">IFERROR(_xlfn.XLOOKUP(1, (dd_accsryclr!$C$2:$C$1000=accsry_unmerged!F569)*(dd_accsryclr!$B$2:$B$1000=accsry_unmerged!J569),dd_accsryclr!$A$2:$A$1000),"")</f>
        <v>0</v>
      </c>
      <c r="I569" s="16">
        <f>_xlfn.XLOOKUP(C569,'Project Details'!$C$17:$C$66,'Project Details'!$E$17:$E$66,"",0)</f>
        <v>0</v>
      </c>
      <c r="J569" s="16">
        <f>_xlfn.XLOOKUP(C569,'Project Details'!$C$17:$C$66,'Project Details'!$H$17:$H$66,"",0)</f>
        <v>0</v>
      </c>
      <c r="K569" s="33" t="str">
        <f>IF(AND(_xlfn.XLOOKUP(C569,'Project Details'!$C$17:$C$66,'Project Details'!$L$17:$L$66,"",0)&gt;550, F569="Spring-L27cm"),"",SUBSTITUTE(_xlfn.XLOOKUP(G569,SKUs!$C$2:$C$10001,SKUs!$F$2:$F$10001,"",0), " Accessories",""))</f>
        <v/>
      </c>
      <c r="L569" s="33">
        <f>_xlfn.XLOOKUP(C569,'Project Details'!$C$17:$C$66,'Project Details'!$D$17:$D$66,"",0)</f>
        <v>0</v>
      </c>
      <c r="M569" s="43"/>
    </row>
    <row r="570" spans="1:13" x14ac:dyDescent="0.25">
      <c r="A570" s="43"/>
      <c r="B570" s="43"/>
      <c r="C570" s="35">
        <f t="shared" si="10"/>
        <v>12</v>
      </c>
      <c r="D570" s="35" t="str" cm="1">
        <f t="array" ref="D570">IFERROR(ROUNDUP(_xlfn.IFS(F570="Aluminum Track", _xlfn.XLOOKUP(C570, dd_accsrycalc!$A$2:$A$51, dd_accsrycalc!$B$2:$B$51, "",0), F570="10 x 2 1/2 S (Flat)", _xlfn.XLOOKUP(C570, dd_accsrycalc!$A$2:$A$51, dd_accsrycalc!$C$2:$C$51, "",0), F570="Tox6", _xlfn.XLOOKUP(C570, dd_accsrycalc!$A$2:$A$51, dd_accsrycalc!$D$2:$D$51, "",0), F570="Cover Cap", _xlfn.XLOOKUP(C570, dd_accsrycalc!$A$2:$A$51, dd_accsrycalc!$E$2:$E$51, "",0), F570="Drainage Cover", _xlfn.XLOOKUP(C570, dd_accsrycalc!$A$2:$A$51, dd_accsrycalc!$F$2:$F$51, "",0),AND( F570="Double Adhesive Tape", I570="Roll-up Screen"), _xlfn.XLOOKUP(C570, calc_rusacc!$C$15:$C$65, calc_rusacc!$AD$15:$AD$65, "",0),AND( F570="Sealant", I570="Roll-up Screen"), _xlfn.XLOOKUP(C570, calc_rusacc!$C$15:$C$65, calc_rusacc!$AF$15:$AF$65, "",0),  AND( F570="Main Chain", I570="Accordion Screen"), _xlfn.XLOOKUP(C570, calc_rusacc!$C$15:$C$65, calc_rusacc!$BF$15:$BF$65, "",0), AND( F570="Sealant", I570="Accordion Screen"), _xlfn.XLOOKUP(C570, calc_rusacc!$C$15:$C$65, calc_rusacc!$BJ$15:$BJ$65, "",0),  F570="Sealant", _xlfn.XLOOKUP(C570, dd_accsrycalc!$A$2:$A$51, dd_accsrycalc!$G$2:$G$51, "",0),  F570&lt;&gt;"",L570*_xlfn.XLOOKUP(1, (SKUs!$C$2:$C$10001=G570)*(SKUs!$K$2:$K$10001=I570),SKUs!$E$2:$E$10001)), 0),"")</f>
        <v/>
      </c>
      <c r="E570" s="35" t="str">
        <f>_xlfn.XLOOKUP(F570,dd_item!$B$2:$B$105,dd_item!$C$2:$C$105,"",0)</f>
        <v/>
      </c>
      <c r="F570" s="35"/>
      <c r="G570" s="35" cm="1">
        <f t="array" ref="G570">IFERROR(_xlfn.XLOOKUP(1, (SKUs!$J$2:$J$10001=accsry_unmerged!F570)*IF(H570&lt;&gt;"",(SKUs!$L$2:$L$10001=accsry_unmerged!H570),1)*(SKUs!$K$2:$K$10001=I570),SKUs!$C$2:$C$10001),"")</f>
        <v>0</v>
      </c>
      <c r="H570" s="36" cm="1">
        <f t="array" ref="H570">IFERROR(_xlfn.XLOOKUP(1, (dd_accsryclr!$C$2:$C$1000=accsry_unmerged!F570)*(dd_accsryclr!$B$2:$B$1000=accsry_unmerged!J570),dd_accsryclr!$A$2:$A$1000),"")</f>
        <v>0</v>
      </c>
      <c r="I570" s="35">
        <f>_xlfn.XLOOKUP(C570,'Project Details'!$C$17:$C$66,'Project Details'!$E$17:$E$66,"",0)</f>
        <v>0</v>
      </c>
      <c r="J570" s="35">
        <f>_xlfn.XLOOKUP(C570,'Project Details'!$C$17:$C$66,'Project Details'!$H$17:$H$66,"",0)</f>
        <v>0</v>
      </c>
      <c r="K570" s="36" t="str">
        <f>IF(AND(_xlfn.XLOOKUP(C570,'Project Details'!$C$17:$C$66,'Project Details'!$L$17:$L$66,"",0)&gt;550, F570="Spring-L27cm"),"",SUBSTITUTE(_xlfn.XLOOKUP(G570,SKUs!$C$2:$C$10001,SKUs!$F$2:$F$10001,"",0), " Accessories",""))</f>
        <v/>
      </c>
      <c r="L570" s="36">
        <f>_xlfn.XLOOKUP(C570,'Project Details'!$C$17:$C$66,'Project Details'!$D$17:$D$66,"",0)</f>
        <v>0</v>
      </c>
      <c r="M570" s="43"/>
    </row>
    <row r="571" spans="1:13" x14ac:dyDescent="0.25">
      <c r="A571" s="43"/>
      <c r="B571" s="43"/>
      <c r="C571" s="16">
        <f t="shared" si="10"/>
        <v>12</v>
      </c>
      <c r="D571" s="16" t="str" cm="1">
        <f t="array" ref="D571">IFERROR(ROUNDUP(_xlfn.IFS(F571="Aluminum Track", _xlfn.XLOOKUP(C571, dd_accsrycalc!$A$2:$A$51, dd_accsrycalc!$B$2:$B$51, "",0), F571="10 x 2 1/2 S (Flat)", _xlfn.XLOOKUP(C571, dd_accsrycalc!$A$2:$A$51, dd_accsrycalc!$C$2:$C$51, "",0), F571="Tox6", _xlfn.XLOOKUP(C571, dd_accsrycalc!$A$2:$A$51, dd_accsrycalc!$D$2:$D$51, "",0), F571="Cover Cap", _xlfn.XLOOKUP(C571, dd_accsrycalc!$A$2:$A$51, dd_accsrycalc!$E$2:$E$51, "",0), F571="Drainage Cover", _xlfn.XLOOKUP(C571, dd_accsrycalc!$A$2:$A$51, dd_accsrycalc!$F$2:$F$51, "",0),AND( F571="Double Adhesive Tape", I571="Roll-up Screen"), _xlfn.XLOOKUP(C571, calc_rusacc!$C$15:$C$65, calc_rusacc!$AD$15:$AD$65, "",0),AND( F571="Sealant", I571="Roll-up Screen"), _xlfn.XLOOKUP(C571, calc_rusacc!$C$15:$C$65, calc_rusacc!$AF$15:$AF$65, "",0),  AND( F571="Main Chain", I571="Accordion Screen"), _xlfn.XLOOKUP(C571, calc_rusacc!$C$15:$C$65, calc_rusacc!$BF$15:$BF$65, "",0), AND( F571="Sealant", I571="Accordion Screen"), _xlfn.XLOOKUP(C571, calc_rusacc!$C$15:$C$65, calc_rusacc!$BJ$15:$BJ$65, "",0),  F571="Sealant", _xlfn.XLOOKUP(C571, dd_accsrycalc!$A$2:$A$51, dd_accsrycalc!$G$2:$G$51, "",0),  F571&lt;&gt;"",L571*_xlfn.XLOOKUP(1, (SKUs!$C$2:$C$10001=G571)*(SKUs!$K$2:$K$10001=I571),SKUs!$E$2:$E$10001)), 0),"")</f>
        <v/>
      </c>
      <c r="E571" s="16" t="str">
        <f>_xlfn.XLOOKUP(F571,dd_item!$B$2:$B$105,dd_item!$C$2:$C$105,"",0)</f>
        <v/>
      </c>
      <c r="F571" s="16"/>
      <c r="G571" s="16" cm="1">
        <f t="array" ref="G571">IFERROR(_xlfn.XLOOKUP(1, (SKUs!$J$2:$J$10001=accsry_unmerged!F571)*IF(H571&lt;&gt;"",(SKUs!$L$2:$L$10001=accsry_unmerged!H571),1)*(SKUs!$K$2:$K$10001=I571),SKUs!$C$2:$C$10001),"")</f>
        <v>0</v>
      </c>
      <c r="H571" s="33" cm="1">
        <f t="array" ref="H571">IFERROR(_xlfn.XLOOKUP(1, (dd_accsryclr!$C$2:$C$1000=accsry_unmerged!F571)*(dd_accsryclr!$B$2:$B$1000=accsry_unmerged!J571),dd_accsryclr!$A$2:$A$1000),"")</f>
        <v>0</v>
      </c>
      <c r="I571" s="16">
        <f>_xlfn.XLOOKUP(C571,'Project Details'!$C$17:$C$66,'Project Details'!$E$17:$E$66,"",0)</f>
        <v>0</v>
      </c>
      <c r="J571" s="16">
        <f>_xlfn.XLOOKUP(C571,'Project Details'!$C$17:$C$66,'Project Details'!$H$17:$H$66,"",0)</f>
        <v>0</v>
      </c>
      <c r="K571" s="33" t="str">
        <f>IF(AND(_xlfn.XLOOKUP(C571,'Project Details'!$C$17:$C$66,'Project Details'!$L$17:$L$66,"",0)&gt;550, F571="Spring-L27cm"),"",SUBSTITUTE(_xlfn.XLOOKUP(G571,SKUs!$C$2:$C$10001,SKUs!$F$2:$F$10001,"",0), " Accessories",""))</f>
        <v/>
      </c>
      <c r="L571" s="33">
        <f>_xlfn.XLOOKUP(C571,'Project Details'!$C$17:$C$66,'Project Details'!$D$17:$D$66,"",0)</f>
        <v>0</v>
      </c>
      <c r="M571" s="43"/>
    </row>
    <row r="572" spans="1:13" x14ac:dyDescent="0.25">
      <c r="A572" s="43"/>
      <c r="B572" s="43"/>
      <c r="C572" s="35">
        <f t="shared" si="10"/>
        <v>12</v>
      </c>
      <c r="D572" s="35" t="str" cm="1">
        <f t="array" ref="D572">IFERROR(ROUNDUP(_xlfn.IFS(F572="Aluminum Track", _xlfn.XLOOKUP(C572, dd_accsrycalc!$A$2:$A$51, dd_accsrycalc!$B$2:$B$51, "",0), F572="10 x 2 1/2 S (Flat)", _xlfn.XLOOKUP(C572, dd_accsrycalc!$A$2:$A$51, dd_accsrycalc!$C$2:$C$51, "",0), F572="Tox6", _xlfn.XLOOKUP(C572, dd_accsrycalc!$A$2:$A$51, dd_accsrycalc!$D$2:$D$51, "",0), F572="Cover Cap", _xlfn.XLOOKUP(C572, dd_accsrycalc!$A$2:$A$51, dd_accsrycalc!$E$2:$E$51, "",0), F572="Drainage Cover", _xlfn.XLOOKUP(C572, dd_accsrycalc!$A$2:$A$51, dd_accsrycalc!$F$2:$F$51, "",0),AND( F572="Double Adhesive Tape", I572="Roll-up Screen"), _xlfn.XLOOKUP(C572, calc_rusacc!$C$15:$C$65, calc_rusacc!$AD$15:$AD$65, "",0),AND( F572="Sealant", I572="Roll-up Screen"), _xlfn.XLOOKUP(C572, calc_rusacc!$C$15:$C$65, calc_rusacc!$AF$15:$AF$65, "",0),  AND( F572="Main Chain", I572="Accordion Screen"), _xlfn.XLOOKUP(C572, calc_rusacc!$C$15:$C$65, calc_rusacc!$BF$15:$BF$65, "",0), AND( F572="Sealant", I572="Accordion Screen"), _xlfn.XLOOKUP(C572, calc_rusacc!$C$15:$C$65, calc_rusacc!$BJ$15:$BJ$65, "",0),  F572="Sealant", _xlfn.XLOOKUP(C572, dd_accsrycalc!$A$2:$A$51, dd_accsrycalc!$G$2:$G$51, "",0),  F572&lt;&gt;"",L572*_xlfn.XLOOKUP(1, (SKUs!$C$2:$C$10001=G572)*(SKUs!$K$2:$K$10001=I572),SKUs!$E$2:$E$10001)), 0),"")</f>
        <v/>
      </c>
      <c r="E572" s="35" t="str">
        <f>_xlfn.XLOOKUP(F572,dd_item!$B$2:$B$105,dd_item!$C$2:$C$105,"",0)</f>
        <v/>
      </c>
      <c r="F572" s="35"/>
      <c r="G572" s="35" cm="1">
        <f t="array" ref="G572">IFERROR(_xlfn.XLOOKUP(1, (SKUs!$J$2:$J$10001=accsry_unmerged!F572)*IF(H572&lt;&gt;"",(SKUs!$L$2:$L$10001=accsry_unmerged!H572),1)*(SKUs!$K$2:$K$10001=I572),SKUs!$C$2:$C$10001),"")</f>
        <v>0</v>
      </c>
      <c r="H572" s="36" cm="1">
        <f t="array" ref="H572">IFERROR(_xlfn.XLOOKUP(1, (dd_accsryclr!$C$2:$C$1000=accsry_unmerged!F572)*(dd_accsryclr!$B$2:$B$1000=accsry_unmerged!J572),dd_accsryclr!$A$2:$A$1000),"")</f>
        <v>0</v>
      </c>
      <c r="I572" s="35">
        <f>_xlfn.XLOOKUP(C572,'Project Details'!$C$17:$C$66,'Project Details'!$E$17:$E$66,"",0)</f>
        <v>0</v>
      </c>
      <c r="J572" s="35">
        <f>_xlfn.XLOOKUP(C572,'Project Details'!$C$17:$C$66,'Project Details'!$H$17:$H$66,"",0)</f>
        <v>0</v>
      </c>
      <c r="K572" s="36" t="str">
        <f>IF(AND(_xlfn.XLOOKUP(C572,'Project Details'!$C$17:$C$66,'Project Details'!$L$17:$L$66,"",0)&gt;550, F572="Spring-L27cm"),"",SUBSTITUTE(_xlfn.XLOOKUP(G572,SKUs!$C$2:$C$10001,SKUs!$F$2:$F$10001,"",0), " Accessories",""))</f>
        <v/>
      </c>
      <c r="L572" s="36">
        <f>_xlfn.XLOOKUP(C572,'Project Details'!$C$17:$C$66,'Project Details'!$D$17:$D$66,"",0)</f>
        <v>0</v>
      </c>
      <c r="M572" s="43"/>
    </row>
    <row r="573" spans="1:13" x14ac:dyDescent="0.25">
      <c r="A573" s="43"/>
      <c r="B573" s="43"/>
      <c r="C573" s="16">
        <f t="shared" si="10"/>
        <v>12</v>
      </c>
      <c r="D573" s="16" t="str" cm="1">
        <f t="array" ref="D573">IFERROR(ROUNDUP(_xlfn.IFS(F573="Aluminum Track", _xlfn.XLOOKUP(C573, dd_accsrycalc!$A$2:$A$51, dd_accsrycalc!$B$2:$B$51, "",0), F573="10 x 2 1/2 S (Flat)", _xlfn.XLOOKUP(C573, dd_accsrycalc!$A$2:$A$51, dd_accsrycalc!$C$2:$C$51, "",0), F573="Tox6", _xlfn.XLOOKUP(C573, dd_accsrycalc!$A$2:$A$51, dd_accsrycalc!$D$2:$D$51, "",0), F573="Cover Cap", _xlfn.XLOOKUP(C573, dd_accsrycalc!$A$2:$A$51, dd_accsrycalc!$E$2:$E$51, "",0), F573="Drainage Cover", _xlfn.XLOOKUP(C573, dd_accsrycalc!$A$2:$A$51, dd_accsrycalc!$F$2:$F$51, "",0),AND( F573="Double Adhesive Tape", I573="Roll-up Screen"), _xlfn.XLOOKUP(C573, calc_rusacc!$C$15:$C$65, calc_rusacc!$AD$15:$AD$65, "",0),AND( F573="Sealant", I573="Roll-up Screen"), _xlfn.XLOOKUP(C573, calc_rusacc!$C$15:$C$65, calc_rusacc!$AF$15:$AF$65, "",0),  AND( F573="Main Chain", I573="Accordion Screen"), _xlfn.XLOOKUP(C573, calc_rusacc!$C$15:$C$65, calc_rusacc!$BF$15:$BF$65, "",0), AND( F573="Sealant", I573="Accordion Screen"), _xlfn.XLOOKUP(C573, calc_rusacc!$C$15:$C$65, calc_rusacc!$BJ$15:$BJ$65, "",0),  F573="Sealant", _xlfn.XLOOKUP(C573, dd_accsrycalc!$A$2:$A$51, dd_accsrycalc!$G$2:$G$51, "",0),  F573&lt;&gt;"",L573*_xlfn.XLOOKUP(1, (SKUs!$C$2:$C$10001=G573)*(SKUs!$K$2:$K$10001=I573),SKUs!$E$2:$E$10001)), 0),"")</f>
        <v/>
      </c>
      <c r="E573" s="16" t="str">
        <f>_xlfn.XLOOKUP(F573,dd_item!$B$2:$B$105,dd_item!$C$2:$C$105,"",0)</f>
        <v/>
      </c>
      <c r="F573" s="16"/>
      <c r="G573" s="16" cm="1">
        <f t="array" ref="G573">IFERROR(_xlfn.XLOOKUP(1, (SKUs!$J$2:$J$10001=accsry_unmerged!F573)*IF(H573&lt;&gt;"",(SKUs!$L$2:$L$10001=accsry_unmerged!H573),1)*(SKUs!$K$2:$K$10001=I573),SKUs!$C$2:$C$10001),"")</f>
        <v>0</v>
      </c>
      <c r="H573" s="33" cm="1">
        <f t="array" ref="H573">IFERROR(_xlfn.XLOOKUP(1, (dd_accsryclr!$C$2:$C$1000=accsry_unmerged!F573)*(dd_accsryclr!$B$2:$B$1000=accsry_unmerged!J573),dd_accsryclr!$A$2:$A$1000),"")</f>
        <v>0</v>
      </c>
      <c r="I573" s="16">
        <f>_xlfn.XLOOKUP(C573,'Project Details'!$C$17:$C$66,'Project Details'!$E$17:$E$66,"",0)</f>
        <v>0</v>
      </c>
      <c r="J573" s="16">
        <f>_xlfn.XLOOKUP(C573,'Project Details'!$C$17:$C$66,'Project Details'!$H$17:$H$66,"",0)</f>
        <v>0</v>
      </c>
      <c r="K573" s="33" t="str">
        <f>IF(AND(_xlfn.XLOOKUP(C573,'Project Details'!$C$17:$C$66,'Project Details'!$L$17:$L$66,"",0)&gt;550, F573="Spring-L27cm"),"",SUBSTITUTE(_xlfn.XLOOKUP(G573,SKUs!$C$2:$C$10001,SKUs!$F$2:$F$10001,"",0), " Accessories",""))</f>
        <v/>
      </c>
      <c r="L573" s="33">
        <f>_xlfn.XLOOKUP(C573,'Project Details'!$C$17:$C$66,'Project Details'!$D$17:$D$66,"",0)</f>
        <v>0</v>
      </c>
      <c r="M573" s="43"/>
    </row>
    <row r="574" spans="1:13" x14ac:dyDescent="0.25">
      <c r="A574" s="43"/>
      <c r="B574" s="43"/>
      <c r="C574" s="35">
        <f t="shared" si="10"/>
        <v>12</v>
      </c>
      <c r="D574" s="35" t="str" cm="1">
        <f t="array" ref="D574">IFERROR(ROUNDUP(_xlfn.IFS(F574="Aluminum Track", _xlfn.XLOOKUP(C574, dd_accsrycalc!$A$2:$A$51, dd_accsrycalc!$B$2:$B$51, "",0), F574="10 x 2 1/2 S (Flat)", _xlfn.XLOOKUP(C574, dd_accsrycalc!$A$2:$A$51, dd_accsrycalc!$C$2:$C$51, "",0), F574="Tox6", _xlfn.XLOOKUP(C574, dd_accsrycalc!$A$2:$A$51, dd_accsrycalc!$D$2:$D$51, "",0), F574="Cover Cap", _xlfn.XLOOKUP(C574, dd_accsrycalc!$A$2:$A$51, dd_accsrycalc!$E$2:$E$51, "",0), F574="Drainage Cover", _xlfn.XLOOKUP(C574, dd_accsrycalc!$A$2:$A$51, dd_accsrycalc!$F$2:$F$51, "",0),AND( F574="Double Adhesive Tape", I574="Roll-up Screen"), _xlfn.XLOOKUP(C574, calc_rusacc!$C$15:$C$65, calc_rusacc!$AD$15:$AD$65, "",0),AND( F574="Sealant", I574="Roll-up Screen"), _xlfn.XLOOKUP(C574, calc_rusacc!$C$15:$C$65, calc_rusacc!$AF$15:$AF$65, "",0),  AND( F574="Main Chain", I574="Accordion Screen"), _xlfn.XLOOKUP(C574, calc_rusacc!$C$15:$C$65, calc_rusacc!$BF$15:$BF$65, "",0), AND( F574="Sealant", I574="Accordion Screen"), _xlfn.XLOOKUP(C574, calc_rusacc!$C$15:$C$65, calc_rusacc!$BJ$15:$BJ$65, "",0),  F574="Sealant", _xlfn.XLOOKUP(C574, dd_accsrycalc!$A$2:$A$51, dd_accsrycalc!$G$2:$G$51, "",0),  F574&lt;&gt;"",L574*_xlfn.XLOOKUP(1, (SKUs!$C$2:$C$10001=G574)*(SKUs!$K$2:$K$10001=I574),SKUs!$E$2:$E$10001)), 0),"")</f>
        <v/>
      </c>
      <c r="E574" s="35" t="str">
        <f>_xlfn.XLOOKUP(F574,dd_item!$B$2:$B$105,dd_item!$C$2:$C$105,"",0)</f>
        <v/>
      </c>
      <c r="F574" s="35"/>
      <c r="G574" s="35" cm="1">
        <f t="array" ref="G574">IFERROR(_xlfn.XLOOKUP(1, (SKUs!$J$2:$J$10001=accsry_unmerged!F574)*IF(H574&lt;&gt;"",(SKUs!$L$2:$L$10001=accsry_unmerged!H574),1)*(SKUs!$K$2:$K$10001=I574),SKUs!$C$2:$C$10001),"")</f>
        <v>0</v>
      </c>
      <c r="H574" s="36" cm="1">
        <f t="array" ref="H574">IFERROR(_xlfn.XLOOKUP(1, (dd_accsryclr!$C$2:$C$1000=accsry_unmerged!F574)*(dd_accsryclr!$B$2:$B$1000=accsry_unmerged!J574),dd_accsryclr!$A$2:$A$1000),"")</f>
        <v>0</v>
      </c>
      <c r="I574" s="35">
        <f>_xlfn.XLOOKUP(C574,'Project Details'!$C$17:$C$66,'Project Details'!$E$17:$E$66,"",0)</f>
        <v>0</v>
      </c>
      <c r="J574" s="35">
        <f>_xlfn.XLOOKUP(C574,'Project Details'!$C$17:$C$66,'Project Details'!$H$17:$H$66,"",0)</f>
        <v>0</v>
      </c>
      <c r="K574" s="36" t="str">
        <f>IF(AND(_xlfn.XLOOKUP(C574,'Project Details'!$C$17:$C$66,'Project Details'!$L$17:$L$66,"",0)&gt;550, F574="Spring-L27cm"),"",SUBSTITUTE(_xlfn.XLOOKUP(G574,SKUs!$C$2:$C$10001,SKUs!$F$2:$F$10001,"",0), " Accessories",""))</f>
        <v/>
      </c>
      <c r="L574" s="36">
        <f>_xlfn.XLOOKUP(C574,'Project Details'!$C$17:$C$66,'Project Details'!$D$17:$D$66,"",0)</f>
        <v>0</v>
      </c>
      <c r="M574" s="43"/>
    </row>
    <row r="575" spans="1:13" x14ac:dyDescent="0.25">
      <c r="A575" s="43"/>
      <c r="B575" s="43"/>
      <c r="C575" s="16">
        <f t="shared" si="10"/>
        <v>12</v>
      </c>
      <c r="D575" s="16" t="str" cm="1">
        <f t="array" ref="D575">IFERROR(ROUNDUP(_xlfn.IFS(F575="Aluminum Track", _xlfn.XLOOKUP(C575, dd_accsrycalc!$A$2:$A$51, dd_accsrycalc!$B$2:$B$51, "",0), F575="10 x 2 1/2 S (Flat)", _xlfn.XLOOKUP(C575, dd_accsrycalc!$A$2:$A$51, dd_accsrycalc!$C$2:$C$51, "",0), F575="Tox6", _xlfn.XLOOKUP(C575, dd_accsrycalc!$A$2:$A$51, dd_accsrycalc!$D$2:$D$51, "",0), F575="Cover Cap", _xlfn.XLOOKUP(C575, dd_accsrycalc!$A$2:$A$51, dd_accsrycalc!$E$2:$E$51, "",0), F575="Drainage Cover", _xlfn.XLOOKUP(C575, dd_accsrycalc!$A$2:$A$51, dd_accsrycalc!$F$2:$F$51, "",0),AND( F575="Double Adhesive Tape", I575="Roll-up Screen"), _xlfn.XLOOKUP(C575, calc_rusacc!$C$15:$C$65, calc_rusacc!$AD$15:$AD$65, "",0),AND( F575="Sealant", I575="Roll-up Screen"), _xlfn.XLOOKUP(C575, calc_rusacc!$C$15:$C$65, calc_rusacc!$AF$15:$AF$65, "",0),  AND( F575="Main Chain", I575="Accordion Screen"), _xlfn.XLOOKUP(C575, calc_rusacc!$C$15:$C$65, calc_rusacc!$BF$15:$BF$65, "",0), AND( F575="Sealant", I575="Accordion Screen"), _xlfn.XLOOKUP(C575, calc_rusacc!$C$15:$C$65, calc_rusacc!$BJ$15:$BJ$65, "",0),  F575="Sealant", _xlfn.XLOOKUP(C575, dd_accsrycalc!$A$2:$A$51, dd_accsrycalc!$G$2:$G$51, "",0),  F575&lt;&gt;"",L575*_xlfn.XLOOKUP(1, (SKUs!$C$2:$C$10001=G575)*(SKUs!$K$2:$K$10001=I575),SKUs!$E$2:$E$10001)), 0),"")</f>
        <v/>
      </c>
      <c r="E575" s="16" t="str">
        <f>_xlfn.XLOOKUP(F575,dd_item!$B$2:$B$105,dd_item!$C$2:$C$105,"",0)</f>
        <v/>
      </c>
      <c r="F575" s="16"/>
      <c r="G575" s="16" cm="1">
        <f t="array" ref="G575">IFERROR(_xlfn.XLOOKUP(1, (SKUs!$J$2:$J$10001=accsry_unmerged!F575)*IF(H575&lt;&gt;"",(SKUs!$L$2:$L$10001=accsry_unmerged!H575),1)*(SKUs!$K$2:$K$10001=I575),SKUs!$C$2:$C$10001),"")</f>
        <v>0</v>
      </c>
      <c r="H575" s="33" cm="1">
        <f t="array" ref="H575">IFERROR(_xlfn.XLOOKUP(1, (dd_accsryclr!$C$2:$C$1000=accsry_unmerged!F575)*(dd_accsryclr!$B$2:$B$1000=accsry_unmerged!J575),dd_accsryclr!$A$2:$A$1000),"")</f>
        <v>0</v>
      </c>
      <c r="I575" s="16">
        <f>_xlfn.XLOOKUP(C575,'Project Details'!$C$17:$C$66,'Project Details'!$E$17:$E$66,"",0)</f>
        <v>0</v>
      </c>
      <c r="J575" s="16">
        <f>_xlfn.XLOOKUP(C575,'Project Details'!$C$17:$C$66,'Project Details'!$H$17:$H$66,"",0)</f>
        <v>0</v>
      </c>
      <c r="K575" s="33" t="str">
        <f>IF(AND(_xlfn.XLOOKUP(C575,'Project Details'!$C$17:$C$66,'Project Details'!$L$17:$L$66,"",0)&gt;550, F575="Spring-L27cm"),"",SUBSTITUTE(_xlfn.XLOOKUP(G575,SKUs!$C$2:$C$10001,SKUs!$F$2:$F$10001,"",0), " Accessories",""))</f>
        <v/>
      </c>
      <c r="L575" s="33">
        <f>_xlfn.XLOOKUP(C575,'Project Details'!$C$17:$C$66,'Project Details'!$D$17:$D$66,"",0)</f>
        <v>0</v>
      </c>
      <c r="M575" s="43"/>
    </row>
    <row r="576" spans="1:13" x14ac:dyDescent="0.25">
      <c r="A576" s="43"/>
      <c r="B576" s="43"/>
      <c r="C576" s="35">
        <f t="shared" si="10"/>
        <v>12</v>
      </c>
      <c r="D576" s="35" t="str" cm="1">
        <f t="array" ref="D576">IFERROR(ROUNDUP(_xlfn.IFS(F576="Aluminum Track", _xlfn.XLOOKUP(C576, dd_accsrycalc!$A$2:$A$51, dd_accsrycalc!$B$2:$B$51, "",0), F576="10 x 2 1/2 S (Flat)", _xlfn.XLOOKUP(C576, dd_accsrycalc!$A$2:$A$51, dd_accsrycalc!$C$2:$C$51, "",0), F576="Tox6", _xlfn.XLOOKUP(C576, dd_accsrycalc!$A$2:$A$51, dd_accsrycalc!$D$2:$D$51, "",0), F576="Cover Cap", _xlfn.XLOOKUP(C576, dd_accsrycalc!$A$2:$A$51, dd_accsrycalc!$E$2:$E$51, "",0), F576="Drainage Cover", _xlfn.XLOOKUP(C576, dd_accsrycalc!$A$2:$A$51, dd_accsrycalc!$F$2:$F$51, "",0),AND( F576="Double Adhesive Tape", I576="Roll-up Screen"), _xlfn.XLOOKUP(C576, calc_rusacc!$C$15:$C$65, calc_rusacc!$AD$15:$AD$65, "",0),AND( F576="Sealant", I576="Roll-up Screen"), _xlfn.XLOOKUP(C576, calc_rusacc!$C$15:$C$65, calc_rusacc!$AF$15:$AF$65, "",0),  AND( F576="Main Chain", I576="Accordion Screen"), _xlfn.XLOOKUP(C576, calc_rusacc!$C$15:$C$65, calc_rusacc!$BF$15:$BF$65, "",0), AND( F576="Sealant", I576="Accordion Screen"), _xlfn.XLOOKUP(C576, calc_rusacc!$C$15:$C$65, calc_rusacc!$BJ$15:$BJ$65, "",0),  F576="Sealant", _xlfn.XLOOKUP(C576, dd_accsrycalc!$A$2:$A$51, dd_accsrycalc!$G$2:$G$51, "",0),  F576&lt;&gt;"",L576*_xlfn.XLOOKUP(1, (SKUs!$C$2:$C$10001=G576)*(SKUs!$K$2:$K$10001=I576),SKUs!$E$2:$E$10001)), 0),"")</f>
        <v/>
      </c>
      <c r="E576" s="35" t="str">
        <f>_xlfn.XLOOKUP(F576,dd_item!$B$2:$B$105,dd_item!$C$2:$C$105,"",0)</f>
        <v/>
      </c>
      <c r="F576" s="35"/>
      <c r="G576" s="35" cm="1">
        <f t="array" ref="G576">IFERROR(_xlfn.XLOOKUP(1, (SKUs!$J$2:$J$10001=accsry_unmerged!F576)*IF(H576&lt;&gt;"",(SKUs!$L$2:$L$10001=accsry_unmerged!H576),1)*(SKUs!$K$2:$K$10001=I576),SKUs!$C$2:$C$10001),"")</f>
        <v>0</v>
      </c>
      <c r="H576" s="36" cm="1">
        <f t="array" ref="H576">IFERROR(_xlfn.XLOOKUP(1, (dd_accsryclr!$C$2:$C$1000=accsry_unmerged!F576)*(dd_accsryclr!$B$2:$B$1000=accsry_unmerged!J576),dd_accsryclr!$A$2:$A$1000),"")</f>
        <v>0</v>
      </c>
      <c r="I576" s="35">
        <f>_xlfn.XLOOKUP(C576,'Project Details'!$C$17:$C$66,'Project Details'!$E$17:$E$66,"",0)</f>
        <v>0</v>
      </c>
      <c r="J576" s="35">
        <f>_xlfn.XLOOKUP(C576,'Project Details'!$C$17:$C$66,'Project Details'!$H$17:$H$66,"",0)</f>
        <v>0</v>
      </c>
      <c r="K576" s="36" t="str">
        <f>IF(AND(_xlfn.XLOOKUP(C576,'Project Details'!$C$17:$C$66,'Project Details'!$L$17:$L$66,"",0)&gt;550, F576="Spring-L27cm"),"",SUBSTITUTE(_xlfn.XLOOKUP(G576,SKUs!$C$2:$C$10001,SKUs!$F$2:$F$10001,"",0), " Accessories",""))</f>
        <v/>
      </c>
      <c r="L576" s="36">
        <f>_xlfn.XLOOKUP(C576,'Project Details'!$C$17:$C$66,'Project Details'!$D$17:$D$66,"",0)</f>
        <v>0</v>
      </c>
      <c r="M576" s="43"/>
    </row>
    <row r="577" spans="1:13" x14ac:dyDescent="0.25">
      <c r="A577" s="43"/>
      <c r="B577" s="43"/>
      <c r="C577" s="16">
        <f t="shared" si="10"/>
        <v>12</v>
      </c>
      <c r="D577" s="16" t="str" cm="1">
        <f t="array" ref="D577">IFERROR(ROUNDUP(_xlfn.IFS(F577="Aluminum Track", _xlfn.XLOOKUP(C577, dd_accsrycalc!$A$2:$A$51, dd_accsrycalc!$B$2:$B$51, "",0), F577="10 x 2 1/2 S (Flat)", _xlfn.XLOOKUP(C577, dd_accsrycalc!$A$2:$A$51, dd_accsrycalc!$C$2:$C$51, "",0), F577="Tox6", _xlfn.XLOOKUP(C577, dd_accsrycalc!$A$2:$A$51, dd_accsrycalc!$D$2:$D$51, "",0), F577="Cover Cap", _xlfn.XLOOKUP(C577, dd_accsrycalc!$A$2:$A$51, dd_accsrycalc!$E$2:$E$51, "",0), F577="Drainage Cover", _xlfn.XLOOKUP(C577, dd_accsrycalc!$A$2:$A$51, dd_accsrycalc!$F$2:$F$51, "",0),AND( F577="Double Adhesive Tape", I577="Roll-up Screen"), _xlfn.XLOOKUP(C577, calc_rusacc!$C$15:$C$65, calc_rusacc!$AD$15:$AD$65, "",0),AND( F577="Sealant", I577="Roll-up Screen"), _xlfn.XLOOKUP(C577, calc_rusacc!$C$15:$C$65, calc_rusacc!$AF$15:$AF$65, "",0),  AND( F577="Main Chain", I577="Accordion Screen"), _xlfn.XLOOKUP(C577, calc_rusacc!$C$15:$C$65, calc_rusacc!$BF$15:$BF$65, "",0), AND( F577="Sealant", I577="Accordion Screen"), _xlfn.XLOOKUP(C577, calc_rusacc!$C$15:$C$65, calc_rusacc!$BJ$15:$BJ$65, "",0),  F577="Sealant", _xlfn.XLOOKUP(C577, dd_accsrycalc!$A$2:$A$51, dd_accsrycalc!$G$2:$G$51, "",0),  F577&lt;&gt;"",L577*_xlfn.XLOOKUP(1, (SKUs!$C$2:$C$10001=G577)*(SKUs!$K$2:$K$10001=I577),SKUs!$E$2:$E$10001)), 0),"")</f>
        <v/>
      </c>
      <c r="E577" s="16" t="str">
        <f>_xlfn.XLOOKUP(F577,dd_item!$B$2:$B$105,dd_item!$C$2:$C$105,"",0)</f>
        <v/>
      </c>
      <c r="F577" s="16"/>
      <c r="G577" s="16" cm="1">
        <f t="array" ref="G577">IFERROR(_xlfn.XLOOKUP(1, (SKUs!$J$2:$J$10001=accsry_unmerged!F577)*IF(H577&lt;&gt;"",(SKUs!$L$2:$L$10001=accsry_unmerged!H577),1)*(SKUs!$K$2:$K$10001=I577),SKUs!$C$2:$C$10001),"")</f>
        <v>0</v>
      </c>
      <c r="H577" s="33" cm="1">
        <f t="array" ref="H577">IFERROR(_xlfn.XLOOKUP(1, (dd_accsryclr!$C$2:$C$1000=accsry_unmerged!F577)*(dd_accsryclr!$B$2:$B$1000=accsry_unmerged!J577),dd_accsryclr!$A$2:$A$1000),"")</f>
        <v>0</v>
      </c>
      <c r="I577" s="16">
        <f>_xlfn.XLOOKUP(C577,'Project Details'!$C$17:$C$66,'Project Details'!$E$17:$E$66,"",0)</f>
        <v>0</v>
      </c>
      <c r="J577" s="16">
        <f>_xlfn.XLOOKUP(C577,'Project Details'!$C$17:$C$66,'Project Details'!$H$17:$H$66,"",0)</f>
        <v>0</v>
      </c>
      <c r="K577" s="33" t="str">
        <f>IF(AND(_xlfn.XLOOKUP(C577,'Project Details'!$C$17:$C$66,'Project Details'!$L$17:$L$66,"",0)&gt;550, F577="Spring-L27cm"),"",SUBSTITUTE(_xlfn.XLOOKUP(G577,SKUs!$C$2:$C$10001,SKUs!$F$2:$F$10001,"",0), " Accessories",""))</f>
        <v/>
      </c>
      <c r="L577" s="33">
        <f>_xlfn.XLOOKUP(C577,'Project Details'!$C$17:$C$66,'Project Details'!$D$17:$D$66,"",0)</f>
        <v>0</v>
      </c>
      <c r="M577" s="43"/>
    </row>
    <row r="578" spans="1:13" x14ac:dyDescent="0.25">
      <c r="A578" s="43"/>
      <c r="B578" s="43"/>
      <c r="C578" s="35">
        <f t="shared" si="10"/>
        <v>12</v>
      </c>
      <c r="D578" s="35" t="str" cm="1">
        <f t="array" ref="D578">IFERROR(ROUNDUP(_xlfn.IFS(F578="Aluminum Track", _xlfn.XLOOKUP(C578, dd_accsrycalc!$A$2:$A$51, dd_accsrycalc!$B$2:$B$51, "",0), F578="10 x 2 1/2 S (Flat)", _xlfn.XLOOKUP(C578, dd_accsrycalc!$A$2:$A$51, dd_accsrycalc!$C$2:$C$51, "",0), F578="Tox6", _xlfn.XLOOKUP(C578, dd_accsrycalc!$A$2:$A$51, dd_accsrycalc!$D$2:$D$51, "",0), F578="Cover Cap", _xlfn.XLOOKUP(C578, dd_accsrycalc!$A$2:$A$51, dd_accsrycalc!$E$2:$E$51, "",0), F578="Drainage Cover", _xlfn.XLOOKUP(C578, dd_accsrycalc!$A$2:$A$51, dd_accsrycalc!$F$2:$F$51, "",0),AND( F578="Double Adhesive Tape", I578="Roll-up Screen"), _xlfn.XLOOKUP(C578, calc_rusacc!$C$15:$C$65, calc_rusacc!$AD$15:$AD$65, "",0),AND( F578="Sealant", I578="Roll-up Screen"), _xlfn.XLOOKUP(C578, calc_rusacc!$C$15:$C$65, calc_rusacc!$AF$15:$AF$65, "",0),  AND( F578="Main Chain", I578="Accordion Screen"), _xlfn.XLOOKUP(C578, calc_rusacc!$C$15:$C$65, calc_rusacc!$BF$15:$BF$65, "",0), AND( F578="Sealant", I578="Accordion Screen"), _xlfn.XLOOKUP(C578, calc_rusacc!$C$15:$C$65, calc_rusacc!$BJ$15:$BJ$65, "",0),  F578="Sealant", _xlfn.XLOOKUP(C578, dd_accsrycalc!$A$2:$A$51, dd_accsrycalc!$G$2:$G$51, "",0),  F578&lt;&gt;"",L578*_xlfn.XLOOKUP(1, (SKUs!$C$2:$C$10001=G578)*(SKUs!$K$2:$K$10001=I578),SKUs!$E$2:$E$10001)), 0),"")</f>
        <v/>
      </c>
      <c r="E578" s="35" t="str">
        <f>_xlfn.XLOOKUP(F578,dd_item!$B$2:$B$105,dd_item!$C$2:$C$105,"",0)</f>
        <v/>
      </c>
      <c r="F578" s="35"/>
      <c r="G578" s="35" cm="1">
        <f t="array" ref="G578">IFERROR(_xlfn.XLOOKUP(1, (SKUs!$J$2:$J$10001=accsry_unmerged!F578)*IF(H578&lt;&gt;"",(SKUs!$L$2:$L$10001=accsry_unmerged!H578),1)*(SKUs!$K$2:$K$10001=I578),SKUs!$C$2:$C$10001),"")</f>
        <v>0</v>
      </c>
      <c r="H578" s="36" cm="1">
        <f t="array" ref="H578">IFERROR(_xlfn.XLOOKUP(1, (dd_accsryclr!$C$2:$C$1000=accsry_unmerged!F578)*(dd_accsryclr!$B$2:$B$1000=accsry_unmerged!J578),dd_accsryclr!$A$2:$A$1000),"")</f>
        <v>0</v>
      </c>
      <c r="I578" s="35">
        <f>_xlfn.XLOOKUP(C578,'Project Details'!$C$17:$C$66,'Project Details'!$E$17:$E$66,"",0)</f>
        <v>0</v>
      </c>
      <c r="J578" s="35">
        <f>_xlfn.XLOOKUP(C578,'Project Details'!$C$17:$C$66,'Project Details'!$H$17:$H$66,"",0)</f>
        <v>0</v>
      </c>
      <c r="K578" s="36" t="str">
        <f>IF(AND(_xlfn.XLOOKUP(C578,'Project Details'!$C$17:$C$66,'Project Details'!$L$17:$L$66,"",0)&gt;550, F578="Spring-L27cm"),"",SUBSTITUTE(_xlfn.XLOOKUP(G578,SKUs!$C$2:$C$10001,SKUs!$F$2:$F$10001,"",0), " Accessories",""))</f>
        <v/>
      </c>
      <c r="L578" s="36">
        <f>_xlfn.XLOOKUP(C578,'Project Details'!$C$17:$C$66,'Project Details'!$D$17:$D$66,"",0)</f>
        <v>0</v>
      </c>
      <c r="M578" s="43"/>
    </row>
    <row r="579" spans="1:13" x14ac:dyDescent="0.25">
      <c r="A579" s="43"/>
      <c r="B579" s="43"/>
      <c r="C579" s="16">
        <f t="shared" si="10"/>
        <v>12</v>
      </c>
      <c r="D579" s="16" t="str" cm="1">
        <f t="array" ref="D579">IFERROR(ROUNDUP(_xlfn.IFS(F579="Aluminum Track", _xlfn.XLOOKUP(C579, dd_accsrycalc!$A$2:$A$51, dd_accsrycalc!$B$2:$B$51, "",0), F579="10 x 2 1/2 S (Flat)", _xlfn.XLOOKUP(C579, dd_accsrycalc!$A$2:$A$51, dd_accsrycalc!$C$2:$C$51, "",0), F579="Tox6", _xlfn.XLOOKUP(C579, dd_accsrycalc!$A$2:$A$51, dd_accsrycalc!$D$2:$D$51, "",0), F579="Cover Cap", _xlfn.XLOOKUP(C579, dd_accsrycalc!$A$2:$A$51, dd_accsrycalc!$E$2:$E$51, "",0), F579="Drainage Cover", _xlfn.XLOOKUP(C579, dd_accsrycalc!$A$2:$A$51, dd_accsrycalc!$F$2:$F$51, "",0),AND( F579="Double Adhesive Tape", I579="Roll-up Screen"), _xlfn.XLOOKUP(C579, calc_rusacc!$C$15:$C$65, calc_rusacc!$AD$15:$AD$65, "",0),AND( F579="Sealant", I579="Roll-up Screen"), _xlfn.XLOOKUP(C579, calc_rusacc!$C$15:$C$65, calc_rusacc!$AF$15:$AF$65, "",0),  AND( F579="Main Chain", I579="Accordion Screen"), _xlfn.XLOOKUP(C579, calc_rusacc!$C$15:$C$65, calc_rusacc!$BF$15:$BF$65, "",0), AND( F579="Sealant", I579="Accordion Screen"), _xlfn.XLOOKUP(C579, calc_rusacc!$C$15:$C$65, calc_rusacc!$BJ$15:$BJ$65, "",0),  F579="Sealant", _xlfn.XLOOKUP(C579, dd_accsrycalc!$A$2:$A$51, dd_accsrycalc!$G$2:$G$51, "",0),  F579&lt;&gt;"",L579*_xlfn.XLOOKUP(1, (SKUs!$C$2:$C$10001=G579)*(SKUs!$K$2:$K$10001=I579),SKUs!$E$2:$E$10001)), 0),"")</f>
        <v/>
      </c>
      <c r="E579" s="16" t="str">
        <f>_xlfn.XLOOKUP(F579,dd_item!$B$2:$B$105,dd_item!$C$2:$C$105,"",0)</f>
        <v/>
      </c>
      <c r="F579" s="16"/>
      <c r="G579" s="16" cm="1">
        <f t="array" ref="G579">IFERROR(_xlfn.XLOOKUP(1, (SKUs!$J$2:$J$10001=accsry_unmerged!F579)*IF(H579&lt;&gt;"",(SKUs!$L$2:$L$10001=accsry_unmerged!H579),1)*(SKUs!$K$2:$K$10001=I579),SKUs!$C$2:$C$10001),"")</f>
        <v>0</v>
      </c>
      <c r="H579" s="33" cm="1">
        <f t="array" ref="H579">IFERROR(_xlfn.XLOOKUP(1, (dd_accsryclr!$C$2:$C$1000=accsry_unmerged!F579)*(dd_accsryclr!$B$2:$B$1000=accsry_unmerged!J579),dd_accsryclr!$A$2:$A$1000),"")</f>
        <v>0</v>
      </c>
      <c r="I579" s="16">
        <f>_xlfn.XLOOKUP(C579,'Project Details'!$C$17:$C$66,'Project Details'!$E$17:$E$66,"",0)</f>
        <v>0</v>
      </c>
      <c r="J579" s="16">
        <f>_xlfn.XLOOKUP(C579,'Project Details'!$C$17:$C$66,'Project Details'!$H$17:$H$66,"",0)</f>
        <v>0</v>
      </c>
      <c r="K579" s="33" t="str">
        <f>IF(AND(_xlfn.XLOOKUP(C579,'Project Details'!$C$17:$C$66,'Project Details'!$L$17:$L$66,"",0)&gt;550, F579="Spring-L27cm"),"",SUBSTITUTE(_xlfn.XLOOKUP(G579,SKUs!$C$2:$C$10001,SKUs!$F$2:$F$10001,"",0), " Accessories",""))</f>
        <v/>
      </c>
      <c r="L579" s="33">
        <f>_xlfn.XLOOKUP(C579,'Project Details'!$C$17:$C$66,'Project Details'!$D$17:$D$66,"",0)</f>
        <v>0</v>
      </c>
      <c r="M579" s="43"/>
    </row>
    <row r="580" spans="1:13" x14ac:dyDescent="0.25">
      <c r="A580" s="43"/>
      <c r="B580" s="43"/>
      <c r="C580" s="35">
        <f t="shared" si="10"/>
        <v>12</v>
      </c>
      <c r="D580" s="35" t="str" cm="1">
        <f t="array" ref="D580">IFERROR(ROUNDUP(_xlfn.IFS(F580="Aluminum Track", _xlfn.XLOOKUP(C580, dd_accsrycalc!$A$2:$A$51, dd_accsrycalc!$B$2:$B$51, "",0), F580="10 x 2 1/2 S (Flat)", _xlfn.XLOOKUP(C580, dd_accsrycalc!$A$2:$A$51, dd_accsrycalc!$C$2:$C$51, "",0), F580="Tox6", _xlfn.XLOOKUP(C580, dd_accsrycalc!$A$2:$A$51, dd_accsrycalc!$D$2:$D$51, "",0), F580="Cover Cap", _xlfn.XLOOKUP(C580, dd_accsrycalc!$A$2:$A$51, dd_accsrycalc!$E$2:$E$51, "",0), F580="Drainage Cover", _xlfn.XLOOKUP(C580, dd_accsrycalc!$A$2:$A$51, dd_accsrycalc!$F$2:$F$51, "",0),AND( F580="Double Adhesive Tape", I580="Roll-up Screen"), _xlfn.XLOOKUP(C580, calc_rusacc!$C$15:$C$65, calc_rusacc!$AD$15:$AD$65, "",0),AND( F580="Sealant", I580="Roll-up Screen"), _xlfn.XLOOKUP(C580, calc_rusacc!$C$15:$C$65, calc_rusacc!$AF$15:$AF$65, "",0),  AND( F580="Main Chain", I580="Accordion Screen"), _xlfn.XLOOKUP(C580, calc_rusacc!$C$15:$C$65, calc_rusacc!$BF$15:$BF$65, "",0), AND( F580="Sealant", I580="Accordion Screen"), _xlfn.XLOOKUP(C580, calc_rusacc!$C$15:$C$65, calc_rusacc!$BJ$15:$BJ$65, "",0),  F580="Sealant", _xlfn.XLOOKUP(C580, dd_accsrycalc!$A$2:$A$51, dd_accsrycalc!$G$2:$G$51, "",0),  F580&lt;&gt;"",L580*_xlfn.XLOOKUP(1, (SKUs!$C$2:$C$10001=G580)*(SKUs!$K$2:$K$10001=I580),SKUs!$E$2:$E$10001)), 0),"")</f>
        <v/>
      </c>
      <c r="E580" s="35" t="str">
        <f>_xlfn.XLOOKUP(F580,dd_item!$B$2:$B$105,dd_item!$C$2:$C$105,"",0)</f>
        <v/>
      </c>
      <c r="F580" s="35"/>
      <c r="G580" s="35" cm="1">
        <f t="array" ref="G580">IFERROR(_xlfn.XLOOKUP(1, (SKUs!$J$2:$J$10001=accsry_unmerged!F580)*IF(H580&lt;&gt;"",(SKUs!$L$2:$L$10001=accsry_unmerged!H580),1)*(SKUs!$K$2:$K$10001=I580),SKUs!$C$2:$C$10001),"")</f>
        <v>0</v>
      </c>
      <c r="H580" s="36" cm="1">
        <f t="array" ref="H580">IFERROR(_xlfn.XLOOKUP(1, (dd_accsryclr!$C$2:$C$1000=accsry_unmerged!F580)*(dd_accsryclr!$B$2:$B$1000=accsry_unmerged!J580),dd_accsryclr!$A$2:$A$1000),"")</f>
        <v>0</v>
      </c>
      <c r="I580" s="35">
        <f>_xlfn.XLOOKUP(C580,'Project Details'!$C$17:$C$66,'Project Details'!$E$17:$E$66,"",0)</f>
        <v>0</v>
      </c>
      <c r="J580" s="35">
        <f>_xlfn.XLOOKUP(C580,'Project Details'!$C$17:$C$66,'Project Details'!$H$17:$H$66,"",0)</f>
        <v>0</v>
      </c>
      <c r="K580" s="36" t="str">
        <f>IF(AND(_xlfn.XLOOKUP(C580,'Project Details'!$C$17:$C$66,'Project Details'!$L$17:$L$66,"",0)&gt;550, F580="Spring-L27cm"),"",SUBSTITUTE(_xlfn.XLOOKUP(G580,SKUs!$C$2:$C$10001,SKUs!$F$2:$F$10001,"",0), " Accessories",""))</f>
        <v/>
      </c>
      <c r="L580" s="36">
        <f>_xlfn.XLOOKUP(C580,'Project Details'!$C$17:$C$66,'Project Details'!$D$17:$D$66,"",0)</f>
        <v>0</v>
      </c>
      <c r="M580" s="43"/>
    </row>
    <row r="581" spans="1:13" x14ac:dyDescent="0.25">
      <c r="A581" s="43"/>
      <c r="B581" s="43"/>
      <c r="C581" s="16">
        <f t="shared" si="10"/>
        <v>12</v>
      </c>
      <c r="D581" s="16" t="str" cm="1">
        <f t="array" ref="D581">IFERROR(ROUNDUP(_xlfn.IFS(F581="Aluminum Track", _xlfn.XLOOKUP(C581, dd_accsrycalc!$A$2:$A$51, dd_accsrycalc!$B$2:$B$51, "",0), F581="10 x 2 1/2 S (Flat)", _xlfn.XLOOKUP(C581, dd_accsrycalc!$A$2:$A$51, dd_accsrycalc!$C$2:$C$51, "",0), F581="Tox6", _xlfn.XLOOKUP(C581, dd_accsrycalc!$A$2:$A$51, dd_accsrycalc!$D$2:$D$51, "",0), F581="Cover Cap", _xlfn.XLOOKUP(C581, dd_accsrycalc!$A$2:$A$51, dd_accsrycalc!$E$2:$E$51, "",0), F581="Drainage Cover", _xlfn.XLOOKUP(C581, dd_accsrycalc!$A$2:$A$51, dd_accsrycalc!$F$2:$F$51, "",0),AND( F581="Double Adhesive Tape", I581="Roll-up Screen"), _xlfn.XLOOKUP(C581, calc_rusacc!$C$15:$C$65, calc_rusacc!$AD$15:$AD$65, "",0),AND( F581="Sealant", I581="Roll-up Screen"), _xlfn.XLOOKUP(C581, calc_rusacc!$C$15:$C$65, calc_rusacc!$AF$15:$AF$65, "",0),  AND( F581="Main Chain", I581="Accordion Screen"), _xlfn.XLOOKUP(C581, calc_rusacc!$C$15:$C$65, calc_rusacc!$BF$15:$BF$65, "",0), AND( F581="Sealant", I581="Accordion Screen"), _xlfn.XLOOKUP(C581, calc_rusacc!$C$15:$C$65, calc_rusacc!$BJ$15:$BJ$65, "",0),  F581="Sealant", _xlfn.XLOOKUP(C581, dd_accsrycalc!$A$2:$A$51, dd_accsrycalc!$G$2:$G$51, "",0),  F581&lt;&gt;"",L581*_xlfn.XLOOKUP(1, (SKUs!$C$2:$C$10001=G581)*(SKUs!$K$2:$K$10001=I581),SKUs!$E$2:$E$10001)), 0),"")</f>
        <v/>
      </c>
      <c r="E581" s="16" t="str">
        <f>_xlfn.XLOOKUP(F581,dd_item!$B$2:$B$105,dd_item!$C$2:$C$105,"",0)</f>
        <v/>
      </c>
      <c r="F581" s="16"/>
      <c r="G581" s="16" cm="1">
        <f t="array" ref="G581">IFERROR(_xlfn.XLOOKUP(1, (SKUs!$J$2:$J$10001=accsry_unmerged!F581)*IF(H581&lt;&gt;"",(SKUs!$L$2:$L$10001=accsry_unmerged!H581),1)*(SKUs!$K$2:$K$10001=I581),SKUs!$C$2:$C$10001),"")</f>
        <v>0</v>
      </c>
      <c r="H581" s="33" cm="1">
        <f t="array" ref="H581">IFERROR(_xlfn.XLOOKUP(1, (dd_accsryclr!$C$2:$C$1000=accsry_unmerged!F581)*(dd_accsryclr!$B$2:$B$1000=accsry_unmerged!J581),dd_accsryclr!$A$2:$A$1000),"")</f>
        <v>0</v>
      </c>
      <c r="I581" s="16">
        <f>_xlfn.XLOOKUP(C581,'Project Details'!$C$17:$C$66,'Project Details'!$E$17:$E$66,"",0)</f>
        <v>0</v>
      </c>
      <c r="J581" s="16">
        <f>_xlfn.XLOOKUP(C581,'Project Details'!$C$17:$C$66,'Project Details'!$H$17:$H$66,"",0)</f>
        <v>0</v>
      </c>
      <c r="K581" s="33" t="str">
        <f>IF(AND(_xlfn.XLOOKUP(C581,'Project Details'!$C$17:$C$66,'Project Details'!$L$17:$L$66,"",0)&gt;550, F581="Spring-L27cm"),"",SUBSTITUTE(_xlfn.XLOOKUP(G581,SKUs!$C$2:$C$10001,SKUs!$F$2:$F$10001,"",0), " Accessories",""))</f>
        <v/>
      </c>
      <c r="L581" s="33">
        <f>_xlfn.XLOOKUP(C581,'Project Details'!$C$17:$C$66,'Project Details'!$D$17:$D$66,"",0)</f>
        <v>0</v>
      </c>
      <c r="M581" s="43"/>
    </row>
    <row r="582" spans="1:13" x14ac:dyDescent="0.25">
      <c r="A582" s="43"/>
      <c r="B582" s="43"/>
      <c r="C582" s="35">
        <f t="shared" si="10"/>
        <v>12</v>
      </c>
      <c r="D582" s="35" t="str" cm="1">
        <f t="array" ref="D582">IFERROR(ROUNDUP(_xlfn.IFS(F582="Aluminum Track", _xlfn.XLOOKUP(C582, dd_accsrycalc!$A$2:$A$51, dd_accsrycalc!$B$2:$B$51, "",0), F582="10 x 2 1/2 S (Flat)", _xlfn.XLOOKUP(C582, dd_accsrycalc!$A$2:$A$51, dd_accsrycalc!$C$2:$C$51, "",0), F582="Tox6", _xlfn.XLOOKUP(C582, dd_accsrycalc!$A$2:$A$51, dd_accsrycalc!$D$2:$D$51, "",0), F582="Cover Cap", _xlfn.XLOOKUP(C582, dd_accsrycalc!$A$2:$A$51, dd_accsrycalc!$E$2:$E$51, "",0), F582="Drainage Cover", _xlfn.XLOOKUP(C582, dd_accsrycalc!$A$2:$A$51, dd_accsrycalc!$F$2:$F$51, "",0),AND( F582="Double Adhesive Tape", I582="Roll-up Screen"), _xlfn.XLOOKUP(C582, calc_rusacc!$C$15:$C$65, calc_rusacc!$AD$15:$AD$65, "",0),AND( F582="Sealant", I582="Roll-up Screen"), _xlfn.XLOOKUP(C582, calc_rusacc!$C$15:$C$65, calc_rusacc!$AF$15:$AF$65, "",0),  AND( F582="Main Chain", I582="Accordion Screen"), _xlfn.XLOOKUP(C582, calc_rusacc!$C$15:$C$65, calc_rusacc!$BF$15:$BF$65, "",0), AND( F582="Sealant", I582="Accordion Screen"), _xlfn.XLOOKUP(C582, calc_rusacc!$C$15:$C$65, calc_rusacc!$BJ$15:$BJ$65, "",0),  F582="Sealant", _xlfn.XLOOKUP(C582, dd_accsrycalc!$A$2:$A$51, dd_accsrycalc!$G$2:$G$51, "",0),  F582&lt;&gt;"",L582*_xlfn.XLOOKUP(1, (SKUs!$C$2:$C$10001=G582)*(SKUs!$K$2:$K$10001=I582),SKUs!$E$2:$E$10001)), 0),"")</f>
        <v/>
      </c>
      <c r="E582" s="35" t="str">
        <f>_xlfn.XLOOKUP(F582,dd_item!$B$2:$B$105,dd_item!$C$2:$C$105,"",0)</f>
        <v/>
      </c>
      <c r="F582" s="35"/>
      <c r="G582" s="35" cm="1">
        <f t="array" ref="G582">IFERROR(_xlfn.XLOOKUP(1, (SKUs!$J$2:$J$10001=accsry_unmerged!F582)*IF(H582&lt;&gt;"",(SKUs!$L$2:$L$10001=accsry_unmerged!H582),1)*(SKUs!$K$2:$K$10001=I582),SKUs!$C$2:$C$10001),"")</f>
        <v>0</v>
      </c>
      <c r="H582" s="36" cm="1">
        <f t="array" ref="H582">IFERROR(_xlfn.XLOOKUP(1, (dd_accsryclr!$C$2:$C$1000=accsry_unmerged!F582)*(dd_accsryclr!$B$2:$B$1000=accsry_unmerged!J582),dd_accsryclr!$A$2:$A$1000),"")</f>
        <v>0</v>
      </c>
      <c r="I582" s="35">
        <f>_xlfn.XLOOKUP(C582,'Project Details'!$C$17:$C$66,'Project Details'!$E$17:$E$66,"",0)</f>
        <v>0</v>
      </c>
      <c r="J582" s="35">
        <f>_xlfn.XLOOKUP(C582,'Project Details'!$C$17:$C$66,'Project Details'!$H$17:$H$66,"",0)</f>
        <v>0</v>
      </c>
      <c r="K582" s="36" t="str">
        <f>IF(AND(_xlfn.XLOOKUP(C582,'Project Details'!$C$17:$C$66,'Project Details'!$L$17:$L$66,"",0)&gt;550, F582="Spring-L27cm"),"",SUBSTITUTE(_xlfn.XLOOKUP(G582,SKUs!$C$2:$C$10001,SKUs!$F$2:$F$10001,"",0), " Accessories",""))</f>
        <v/>
      </c>
      <c r="L582" s="36">
        <f>_xlfn.XLOOKUP(C582,'Project Details'!$C$17:$C$66,'Project Details'!$D$17:$D$66,"",0)</f>
        <v>0</v>
      </c>
      <c r="M582" s="43"/>
    </row>
    <row r="583" spans="1:13" x14ac:dyDescent="0.25">
      <c r="A583" s="43"/>
      <c r="B583" s="43"/>
      <c r="C583" s="16">
        <f t="shared" si="10"/>
        <v>12</v>
      </c>
      <c r="D583" s="16" t="str" cm="1">
        <f t="array" ref="D583">IFERROR(ROUNDUP(_xlfn.IFS(F583="Aluminum Track", _xlfn.XLOOKUP(C583, dd_accsrycalc!$A$2:$A$51, dd_accsrycalc!$B$2:$B$51, "",0), F583="10 x 2 1/2 S (Flat)", _xlfn.XLOOKUP(C583, dd_accsrycalc!$A$2:$A$51, dd_accsrycalc!$C$2:$C$51, "",0), F583="Tox6", _xlfn.XLOOKUP(C583, dd_accsrycalc!$A$2:$A$51, dd_accsrycalc!$D$2:$D$51, "",0), F583="Cover Cap", _xlfn.XLOOKUP(C583, dd_accsrycalc!$A$2:$A$51, dd_accsrycalc!$E$2:$E$51, "",0), F583="Drainage Cover", _xlfn.XLOOKUP(C583, dd_accsrycalc!$A$2:$A$51, dd_accsrycalc!$F$2:$F$51, "",0),AND( F583="Double Adhesive Tape", I583="Roll-up Screen"), _xlfn.XLOOKUP(C583, calc_rusacc!$C$15:$C$65, calc_rusacc!$AD$15:$AD$65, "",0),AND( F583="Sealant", I583="Roll-up Screen"), _xlfn.XLOOKUP(C583, calc_rusacc!$C$15:$C$65, calc_rusacc!$AF$15:$AF$65, "",0),  AND( F583="Main Chain", I583="Accordion Screen"), _xlfn.XLOOKUP(C583, calc_rusacc!$C$15:$C$65, calc_rusacc!$BF$15:$BF$65, "",0), AND( F583="Sealant", I583="Accordion Screen"), _xlfn.XLOOKUP(C583, calc_rusacc!$C$15:$C$65, calc_rusacc!$BJ$15:$BJ$65, "",0),  F583="Sealant", _xlfn.XLOOKUP(C583, dd_accsrycalc!$A$2:$A$51, dd_accsrycalc!$G$2:$G$51, "",0),  F583&lt;&gt;"",L583*_xlfn.XLOOKUP(1, (SKUs!$C$2:$C$10001=G583)*(SKUs!$K$2:$K$10001=I583),SKUs!$E$2:$E$10001)), 0),"")</f>
        <v/>
      </c>
      <c r="E583" s="16" t="str">
        <f>_xlfn.XLOOKUP(F583,dd_item!$B$2:$B$105,dd_item!$C$2:$C$105,"",0)</f>
        <v/>
      </c>
      <c r="F583" s="16"/>
      <c r="G583" s="16" cm="1">
        <f t="array" ref="G583">IFERROR(_xlfn.XLOOKUP(1, (SKUs!$J$2:$J$10001=accsry_unmerged!F583)*IF(H583&lt;&gt;"",(SKUs!$L$2:$L$10001=accsry_unmerged!H583),1)*(SKUs!$K$2:$K$10001=I583),SKUs!$C$2:$C$10001),"")</f>
        <v>0</v>
      </c>
      <c r="H583" s="33" cm="1">
        <f t="array" ref="H583">IFERROR(_xlfn.XLOOKUP(1, (dd_accsryclr!$C$2:$C$1000=accsry_unmerged!F583)*(dd_accsryclr!$B$2:$B$1000=accsry_unmerged!J583),dd_accsryclr!$A$2:$A$1000),"")</f>
        <v>0</v>
      </c>
      <c r="I583" s="16">
        <f>_xlfn.XLOOKUP(C583,'Project Details'!$C$17:$C$66,'Project Details'!$E$17:$E$66,"",0)</f>
        <v>0</v>
      </c>
      <c r="J583" s="16">
        <f>_xlfn.XLOOKUP(C583,'Project Details'!$C$17:$C$66,'Project Details'!$H$17:$H$66,"",0)</f>
        <v>0</v>
      </c>
      <c r="K583" s="33" t="str">
        <f>IF(AND(_xlfn.XLOOKUP(C583,'Project Details'!$C$17:$C$66,'Project Details'!$L$17:$L$66,"",0)&gt;550, F583="Spring-L27cm"),"",SUBSTITUTE(_xlfn.XLOOKUP(G583,SKUs!$C$2:$C$10001,SKUs!$F$2:$F$10001,"",0), " Accessories",""))</f>
        <v/>
      </c>
      <c r="L583" s="33">
        <f>_xlfn.XLOOKUP(C583,'Project Details'!$C$17:$C$66,'Project Details'!$D$17:$D$66,"",0)</f>
        <v>0</v>
      </c>
      <c r="M583" s="43"/>
    </row>
    <row r="584" spans="1:13" ht="13.5" customHeight="1" x14ac:dyDescent="0.25">
      <c r="A584" s="43"/>
      <c r="B584" s="43"/>
      <c r="C584" s="35">
        <f t="shared" si="10"/>
        <v>12</v>
      </c>
      <c r="D584" s="35" t="str" cm="1">
        <f t="array" ref="D584">IFERROR(ROUNDUP(_xlfn.IFS(F584="Aluminum Track", _xlfn.XLOOKUP(C584, dd_accsrycalc!$A$2:$A$51, dd_accsrycalc!$B$2:$B$51, "",0), F584="10 x 2 1/2 S (Flat)", _xlfn.XLOOKUP(C584, dd_accsrycalc!$A$2:$A$51, dd_accsrycalc!$C$2:$C$51, "",0), F584="Tox6", _xlfn.XLOOKUP(C584, dd_accsrycalc!$A$2:$A$51, dd_accsrycalc!$D$2:$D$51, "",0), F584="Cover Cap", _xlfn.XLOOKUP(C584, dd_accsrycalc!$A$2:$A$51, dd_accsrycalc!$E$2:$E$51, "",0), F584="Drainage Cover", _xlfn.XLOOKUP(C584, dd_accsrycalc!$A$2:$A$51, dd_accsrycalc!$F$2:$F$51, "",0),AND( F584="Double Adhesive Tape", I584="Roll-up Screen"), _xlfn.XLOOKUP(C584, calc_rusacc!$C$15:$C$65, calc_rusacc!$AD$15:$AD$65, "",0),AND( F584="Sealant", I584="Roll-up Screen"), _xlfn.XLOOKUP(C584, calc_rusacc!$C$15:$C$65, calc_rusacc!$AF$15:$AF$65, "",0),  AND( F584="Main Chain", I584="Accordion Screen"), _xlfn.XLOOKUP(C584, calc_rusacc!$C$15:$C$65, calc_rusacc!$BF$15:$BF$65, "",0), AND( F584="Sealant", I584="Accordion Screen"), _xlfn.XLOOKUP(C584, calc_rusacc!$C$15:$C$65, calc_rusacc!$BJ$15:$BJ$65, "",0),  F584="Sealant", _xlfn.XLOOKUP(C584, dd_accsrycalc!$A$2:$A$51, dd_accsrycalc!$G$2:$G$51, "",0),  F584&lt;&gt;"",L584*_xlfn.XLOOKUP(1, (SKUs!$C$2:$C$10001=G584)*(SKUs!$K$2:$K$10001=I584),SKUs!$E$2:$E$10001)), 0),"")</f>
        <v/>
      </c>
      <c r="E584" s="35" t="str">
        <f>_xlfn.XLOOKUP(F584,dd_item!$B$2:$B$105,dd_item!$C$2:$C$105,"",0)</f>
        <v/>
      </c>
      <c r="F584" s="35"/>
      <c r="G584" s="35" cm="1">
        <f t="array" ref="G584">IFERROR(_xlfn.XLOOKUP(1, (SKUs!$J$2:$J$10001=accsry_unmerged!F584)*IF(H584&lt;&gt;"",(SKUs!$L$2:$L$10001=accsry_unmerged!H584),1)*(SKUs!$K$2:$K$10001=I584),SKUs!$C$2:$C$10001),"")</f>
        <v>0</v>
      </c>
      <c r="H584" s="36" cm="1">
        <f t="array" ref="H584">IFERROR(_xlfn.XLOOKUP(1, (dd_accsryclr!$C$2:$C$1000=accsry_unmerged!F584)*(dd_accsryclr!$B$2:$B$1000=accsry_unmerged!J584),dd_accsryclr!$A$2:$A$1000),"")</f>
        <v>0</v>
      </c>
      <c r="I584" s="35">
        <f>_xlfn.XLOOKUP(C584,'Project Details'!$C$17:$C$66,'Project Details'!$E$17:$E$66,"",0)</f>
        <v>0</v>
      </c>
      <c r="J584" s="35">
        <f>_xlfn.XLOOKUP(C584,'Project Details'!$C$17:$C$66,'Project Details'!$H$17:$H$66,"",0)</f>
        <v>0</v>
      </c>
      <c r="K584" s="36" t="str">
        <f>IF(AND(_xlfn.XLOOKUP(C584,'Project Details'!$C$17:$C$66,'Project Details'!$L$17:$L$66,"",0)&gt;550, F584="Spring-L27cm"),"",SUBSTITUTE(_xlfn.XLOOKUP(G584,SKUs!$C$2:$C$10001,SKUs!$F$2:$F$10001,"",0), " Accessories",""))</f>
        <v/>
      </c>
      <c r="L584" s="36">
        <f>_xlfn.XLOOKUP(C584,'Project Details'!$C$17:$C$66,'Project Details'!$D$17:$D$66,"",0)</f>
        <v>0</v>
      </c>
      <c r="M584" s="43"/>
    </row>
    <row r="585" spans="1:13" ht="13.5" customHeight="1" x14ac:dyDescent="0.25">
      <c r="A585" s="43"/>
      <c r="B585" s="43"/>
      <c r="C585" s="16">
        <f t="shared" si="10"/>
        <v>12</v>
      </c>
      <c r="D585" s="16" t="str" cm="1">
        <f t="array" ref="D585">IFERROR(ROUNDUP(_xlfn.IFS(F585="Aluminum Track", _xlfn.XLOOKUP(C585, dd_accsrycalc!$A$2:$A$51, dd_accsrycalc!$B$2:$B$51, "",0), F585="10 x 2 1/2 S (Flat)", _xlfn.XLOOKUP(C585, dd_accsrycalc!$A$2:$A$51, dd_accsrycalc!$C$2:$C$51, "",0), F585="Tox6", _xlfn.XLOOKUP(C585, dd_accsrycalc!$A$2:$A$51, dd_accsrycalc!$D$2:$D$51, "",0), F585="Cover Cap", _xlfn.XLOOKUP(C585, dd_accsrycalc!$A$2:$A$51, dd_accsrycalc!$E$2:$E$51, "",0), F585="Drainage Cover", _xlfn.XLOOKUP(C585, dd_accsrycalc!$A$2:$A$51, dd_accsrycalc!$F$2:$F$51, "",0),AND( F585="Double Adhesive Tape", I585="Roll-up Screen"), _xlfn.XLOOKUP(C585, calc_rusacc!$C$15:$C$65, calc_rusacc!$AD$15:$AD$65, "",0),AND( F585="Sealant", I585="Roll-up Screen"), _xlfn.XLOOKUP(C585, calc_rusacc!$C$15:$C$65, calc_rusacc!$AF$15:$AF$65, "",0),  AND( F585="Main Chain", I585="Accordion Screen"), _xlfn.XLOOKUP(C585, calc_rusacc!$C$15:$C$65, calc_rusacc!$BF$15:$BF$65, "",0), AND( F585="Sealant", I585="Accordion Screen"), _xlfn.XLOOKUP(C585, calc_rusacc!$C$15:$C$65, calc_rusacc!$BJ$15:$BJ$65, "",0),  F585="Sealant", _xlfn.XLOOKUP(C585, dd_accsrycalc!$A$2:$A$51, dd_accsrycalc!$G$2:$G$51, "",0),  F585&lt;&gt;"",L585*_xlfn.XLOOKUP(1, (SKUs!$C$2:$C$10001=G585)*(SKUs!$K$2:$K$10001=I585),SKUs!$E$2:$E$10001)), 0),"")</f>
        <v/>
      </c>
      <c r="E585" s="16" t="str">
        <f>_xlfn.XLOOKUP(F585,dd_item!$B$2:$B$105,dd_item!$C$2:$C$105,"",0)</f>
        <v/>
      </c>
      <c r="F585" s="16"/>
      <c r="G585" s="16" cm="1">
        <f t="array" ref="G585">IFERROR(_xlfn.XLOOKUP(1, (SKUs!$J$2:$J$10001=accsry_unmerged!F585)*IF(H585&lt;&gt;"",(SKUs!$L$2:$L$10001=accsry_unmerged!H585),1)*(SKUs!$K$2:$K$10001=I585),SKUs!$C$2:$C$10001),"")</f>
        <v>0</v>
      </c>
      <c r="H585" s="33" cm="1">
        <f t="array" ref="H585">IFERROR(_xlfn.XLOOKUP(1, (dd_accsryclr!$C$2:$C$1000=accsry_unmerged!F585)*(dd_accsryclr!$B$2:$B$1000=accsry_unmerged!J585),dd_accsryclr!$A$2:$A$1000),"")</f>
        <v>0</v>
      </c>
      <c r="I585" s="16">
        <f>_xlfn.XLOOKUP(C585,'Project Details'!$C$17:$C$66,'Project Details'!$E$17:$E$66,"",0)</f>
        <v>0</v>
      </c>
      <c r="J585" s="16">
        <f>_xlfn.XLOOKUP(C585,'Project Details'!$C$17:$C$66,'Project Details'!$H$17:$H$66,"",0)</f>
        <v>0</v>
      </c>
      <c r="K585" s="33" t="str">
        <f>IF(AND(_xlfn.XLOOKUP(C585,'Project Details'!$C$17:$C$66,'Project Details'!$L$17:$L$66,"",0)&gt;550, F585="Spring-L27cm"),"",SUBSTITUTE(_xlfn.XLOOKUP(G585,SKUs!$C$2:$C$10001,SKUs!$F$2:$F$10001,"",0), " Accessories",""))</f>
        <v/>
      </c>
      <c r="L585" s="33">
        <f>_xlfn.XLOOKUP(C585,'Project Details'!$C$17:$C$66,'Project Details'!$D$17:$D$66,"",0)</f>
        <v>0</v>
      </c>
      <c r="M585" s="43"/>
    </row>
    <row r="586" spans="1:13" ht="13.5" customHeight="1" x14ac:dyDescent="0.25">
      <c r="A586" s="43"/>
      <c r="B586" s="43"/>
      <c r="C586" s="35">
        <f t="shared" si="10"/>
        <v>12</v>
      </c>
      <c r="D586" s="35" t="str" cm="1">
        <f t="array" ref="D586">IFERROR(ROUNDUP(_xlfn.IFS(F586="Aluminum Track", _xlfn.XLOOKUP(C586, dd_accsrycalc!$A$2:$A$51, dd_accsrycalc!$B$2:$B$51, "",0), F586="10 x 2 1/2 S (Flat)", _xlfn.XLOOKUP(C586, dd_accsrycalc!$A$2:$A$51, dd_accsrycalc!$C$2:$C$51, "",0), F586="Tox6", _xlfn.XLOOKUP(C586, dd_accsrycalc!$A$2:$A$51, dd_accsrycalc!$D$2:$D$51, "",0), F586="Cover Cap", _xlfn.XLOOKUP(C586, dd_accsrycalc!$A$2:$A$51, dd_accsrycalc!$E$2:$E$51, "",0), F586="Drainage Cover", _xlfn.XLOOKUP(C586, dd_accsrycalc!$A$2:$A$51, dd_accsrycalc!$F$2:$F$51, "",0),AND( F586="Double Adhesive Tape", I586="Roll-up Screen"), _xlfn.XLOOKUP(C586, calc_rusacc!$C$15:$C$65, calc_rusacc!$AD$15:$AD$65, "",0),AND( F586="Sealant", I586="Roll-up Screen"), _xlfn.XLOOKUP(C586, calc_rusacc!$C$15:$C$65, calc_rusacc!$AF$15:$AF$65, "",0),  AND( F586="Main Chain", I586="Accordion Screen"), _xlfn.XLOOKUP(C586, calc_rusacc!$C$15:$C$65, calc_rusacc!$BF$15:$BF$65, "",0), AND( F586="Sealant", I586="Accordion Screen"), _xlfn.XLOOKUP(C586, calc_rusacc!$C$15:$C$65, calc_rusacc!$BJ$15:$BJ$65, "",0),  F586="Sealant", _xlfn.XLOOKUP(C586, dd_accsrycalc!$A$2:$A$51, dd_accsrycalc!$G$2:$G$51, "",0),  F586&lt;&gt;"",L586*_xlfn.XLOOKUP(1, (SKUs!$C$2:$C$10001=G586)*(SKUs!$K$2:$K$10001=I586),SKUs!$E$2:$E$10001)), 0),"")</f>
        <v/>
      </c>
      <c r="E586" s="35" t="str">
        <f>_xlfn.XLOOKUP(F586,dd_item!$B$2:$B$105,dd_item!$C$2:$C$105,"",0)</f>
        <v/>
      </c>
      <c r="F586" s="35"/>
      <c r="G586" s="35" cm="1">
        <f t="array" ref="G586">IFERROR(_xlfn.XLOOKUP(1, (SKUs!$J$2:$J$10001=accsry_unmerged!F586)*IF(H586&lt;&gt;"",(SKUs!$L$2:$L$10001=accsry_unmerged!H586),1)*(SKUs!$K$2:$K$10001=I586),SKUs!$C$2:$C$10001),"")</f>
        <v>0</v>
      </c>
      <c r="H586" s="36" cm="1">
        <f t="array" ref="H586">IFERROR(_xlfn.XLOOKUP(1, (dd_accsryclr!$C$2:$C$1000=accsry_unmerged!F586)*(dd_accsryclr!$B$2:$B$1000=accsry_unmerged!J586),dd_accsryclr!$A$2:$A$1000),"")</f>
        <v>0</v>
      </c>
      <c r="I586" s="35">
        <f>_xlfn.XLOOKUP(C586,'Project Details'!$C$17:$C$66,'Project Details'!$E$17:$E$66,"",0)</f>
        <v>0</v>
      </c>
      <c r="J586" s="35">
        <f>_xlfn.XLOOKUP(C586,'Project Details'!$C$17:$C$66,'Project Details'!$H$17:$H$66,"",0)</f>
        <v>0</v>
      </c>
      <c r="K586" s="36" t="str">
        <f>IF(AND(_xlfn.XLOOKUP(C586,'Project Details'!$C$17:$C$66,'Project Details'!$L$17:$L$66,"",0)&gt;550, F586="Spring-L27cm"),"",SUBSTITUTE(_xlfn.XLOOKUP(G586,SKUs!$C$2:$C$10001,SKUs!$F$2:$F$10001,"",0), " Accessories",""))</f>
        <v/>
      </c>
      <c r="L586" s="36">
        <f>_xlfn.XLOOKUP(C586,'Project Details'!$C$17:$C$66,'Project Details'!$D$17:$D$66,"",0)</f>
        <v>0</v>
      </c>
      <c r="M586" s="43"/>
    </row>
    <row r="587" spans="1:13" ht="13.5" customHeight="1" x14ac:dyDescent="0.25">
      <c r="A587" s="43"/>
      <c r="B587" s="43"/>
      <c r="C587" s="16">
        <f t="shared" si="10"/>
        <v>12</v>
      </c>
      <c r="D587" s="16" t="str" cm="1">
        <f t="array" ref="D587">IFERROR(ROUNDUP(_xlfn.IFS(F587="Aluminum Track", _xlfn.XLOOKUP(C587, dd_accsrycalc!$A$2:$A$51, dd_accsrycalc!$B$2:$B$51, "",0), F587="10 x 2 1/2 S (Flat)", _xlfn.XLOOKUP(C587, dd_accsrycalc!$A$2:$A$51, dd_accsrycalc!$C$2:$C$51, "",0), F587="Tox6", _xlfn.XLOOKUP(C587, dd_accsrycalc!$A$2:$A$51, dd_accsrycalc!$D$2:$D$51, "",0), F587="Cover Cap", _xlfn.XLOOKUP(C587, dd_accsrycalc!$A$2:$A$51, dd_accsrycalc!$E$2:$E$51, "",0), F587="Drainage Cover", _xlfn.XLOOKUP(C587, dd_accsrycalc!$A$2:$A$51, dd_accsrycalc!$F$2:$F$51, "",0),AND( F587="Double Adhesive Tape", I587="Roll-up Screen"), _xlfn.XLOOKUP(C587, calc_rusacc!$C$15:$C$65, calc_rusacc!$AD$15:$AD$65, "",0),AND( F587="Sealant", I587="Roll-up Screen"), _xlfn.XLOOKUP(C587, calc_rusacc!$C$15:$C$65, calc_rusacc!$AF$15:$AF$65, "",0),  AND( F587="Main Chain", I587="Accordion Screen"), _xlfn.XLOOKUP(C587, calc_rusacc!$C$15:$C$65, calc_rusacc!$BF$15:$BF$65, "",0), AND( F587="Sealant", I587="Accordion Screen"), _xlfn.XLOOKUP(C587, calc_rusacc!$C$15:$C$65, calc_rusacc!$BJ$15:$BJ$65, "",0),  F587="Sealant", _xlfn.XLOOKUP(C587, dd_accsrycalc!$A$2:$A$51, dd_accsrycalc!$G$2:$G$51, "",0),  F587&lt;&gt;"",L587*_xlfn.XLOOKUP(1, (SKUs!$C$2:$C$10001=G587)*(SKUs!$K$2:$K$10001=I587),SKUs!$E$2:$E$10001)), 0),"")</f>
        <v/>
      </c>
      <c r="E587" s="16" t="str">
        <f>_xlfn.XLOOKUP(F587,dd_item!$B$2:$B$105,dd_item!$C$2:$C$105,"",0)</f>
        <v/>
      </c>
      <c r="F587" s="16"/>
      <c r="G587" s="16" cm="1">
        <f t="array" ref="G587">IFERROR(_xlfn.XLOOKUP(1, (SKUs!$J$2:$J$10001=accsry_unmerged!F587)*IF(H587&lt;&gt;"",(SKUs!$L$2:$L$10001=accsry_unmerged!H587),1)*(SKUs!$K$2:$K$10001=I587),SKUs!$C$2:$C$10001),"")</f>
        <v>0</v>
      </c>
      <c r="H587" s="33" cm="1">
        <f t="array" ref="H587">IFERROR(_xlfn.XLOOKUP(1, (dd_accsryclr!$C$2:$C$1000=accsry_unmerged!F587)*(dd_accsryclr!$B$2:$B$1000=accsry_unmerged!J587),dd_accsryclr!$A$2:$A$1000),"")</f>
        <v>0</v>
      </c>
      <c r="I587" s="16">
        <f>_xlfn.XLOOKUP(C587,'Project Details'!$C$17:$C$66,'Project Details'!$E$17:$E$66,"",0)</f>
        <v>0</v>
      </c>
      <c r="J587" s="16">
        <f>_xlfn.XLOOKUP(C587,'Project Details'!$C$17:$C$66,'Project Details'!$H$17:$H$66,"",0)</f>
        <v>0</v>
      </c>
      <c r="K587" s="33" t="str">
        <f>IF(AND(_xlfn.XLOOKUP(C587,'Project Details'!$C$17:$C$66,'Project Details'!$L$17:$L$66,"",0)&gt;550, F587="Spring-L27cm"),"",SUBSTITUTE(_xlfn.XLOOKUP(G587,SKUs!$C$2:$C$10001,SKUs!$F$2:$F$10001,"",0), " Accessories",""))</f>
        <v/>
      </c>
      <c r="L587" s="33">
        <f>_xlfn.XLOOKUP(C587,'Project Details'!$C$17:$C$66,'Project Details'!$D$17:$D$66,"",0)</f>
        <v>0</v>
      </c>
      <c r="M587" s="43"/>
    </row>
    <row r="588" spans="1:13" ht="13.5" customHeight="1" x14ac:dyDescent="0.25">
      <c r="A588" s="43"/>
      <c r="B588" s="43"/>
      <c r="C588" s="35">
        <f t="shared" si="10"/>
        <v>12</v>
      </c>
      <c r="D588" s="35" t="str" cm="1">
        <f t="array" ref="D588">IFERROR(ROUNDUP(_xlfn.IFS(F588="Aluminum Track", _xlfn.XLOOKUP(C588, dd_accsrycalc!$A$2:$A$51, dd_accsrycalc!$B$2:$B$51, "",0), F588="10 x 2 1/2 S (Flat)", _xlfn.XLOOKUP(C588, dd_accsrycalc!$A$2:$A$51, dd_accsrycalc!$C$2:$C$51, "",0), F588="Tox6", _xlfn.XLOOKUP(C588, dd_accsrycalc!$A$2:$A$51, dd_accsrycalc!$D$2:$D$51, "",0), F588="Cover Cap", _xlfn.XLOOKUP(C588, dd_accsrycalc!$A$2:$A$51, dd_accsrycalc!$E$2:$E$51, "",0), F588="Drainage Cover", _xlfn.XLOOKUP(C588, dd_accsrycalc!$A$2:$A$51, dd_accsrycalc!$F$2:$F$51, "",0),AND( F588="Double Adhesive Tape", I588="Roll-up Screen"), _xlfn.XLOOKUP(C588, calc_rusacc!$C$15:$C$65, calc_rusacc!$AD$15:$AD$65, "",0),AND( F588="Sealant", I588="Roll-up Screen"), _xlfn.XLOOKUP(C588, calc_rusacc!$C$15:$C$65, calc_rusacc!$AF$15:$AF$65, "",0),  AND( F588="Main Chain", I588="Accordion Screen"), _xlfn.XLOOKUP(C588, calc_rusacc!$C$15:$C$65, calc_rusacc!$BF$15:$BF$65, "",0), AND( F588="Sealant", I588="Accordion Screen"), _xlfn.XLOOKUP(C588, calc_rusacc!$C$15:$C$65, calc_rusacc!$BJ$15:$BJ$65, "",0),  F588="Sealant", _xlfn.XLOOKUP(C588, dd_accsrycalc!$A$2:$A$51, dd_accsrycalc!$G$2:$G$51, "",0),  F588&lt;&gt;"",L588*_xlfn.XLOOKUP(1, (SKUs!$C$2:$C$10001=G588)*(SKUs!$K$2:$K$10001=I588),SKUs!$E$2:$E$10001)), 0),"")</f>
        <v/>
      </c>
      <c r="E588" s="35" t="str">
        <f>_xlfn.XLOOKUP(F588,dd_item!$B$2:$B$105,dd_item!$C$2:$C$105,"",0)</f>
        <v/>
      </c>
      <c r="F588" s="35"/>
      <c r="G588" s="35" cm="1">
        <f t="array" ref="G588">IFERROR(_xlfn.XLOOKUP(1, (SKUs!$J$2:$J$10001=accsry_unmerged!F588)*IF(H588&lt;&gt;"",(SKUs!$L$2:$L$10001=accsry_unmerged!H588),1)*(SKUs!$K$2:$K$10001=I588),SKUs!$C$2:$C$10001),"")</f>
        <v>0</v>
      </c>
      <c r="H588" s="36" cm="1">
        <f t="array" ref="H588">IFERROR(_xlfn.XLOOKUP(1, (dd_accsryclr!$C$2:$C$1000=accsry_unmerged!F588)*(dd_accsryclr!$B$2:$B$1000=accsry_unmerged!J588),dd_accsryclr!$A$2:$A$1000),"")</f>
        <v>0</v>
      </c>
      <c r="I588" s="35">
        <f>_xlfn.XLOOKUP(C588,'Project Details'!$C$17:$C$66,'Project Details'!$E$17:$E$66,"",0)</f>
        <v>0</v>
      </c>
      <c r="J588" s="35">
        <f>_xlfn.XLOOKUP(C588,'Project Details'!$C$17:$C$66,'Project Details'!$H$17:$H$66,"",0)</f>
        <v>0</v>
      </c>
      <c r="K588" s="36" t="str">
        <f>IF(AND(_xlfn.XLOOKUP(C588,'Project Details'!$C$17:$C$66,'Project Details'!$L$17:$L$66,"",0)&gt;550, F588="Spring-L27cm"),"",SUBSTITUTE(_xlfn.XLOOKUP(G588,SKUs!$C$2:$C$10001,SKUs!$F$2:$F$10001,"",0), " Accessories",""))</f>
        <v/>
      </c>
      <c r="L588" s="36">
        <f>_xlfn.XLOOKUP(C588,'Project Details'!$C$17:$C$66,'Project Details'!$D$17:$D$66,"",0)</f>
        <v>0</v>
      </c>
      <c r="M588" s="43"/>
    </row>
    <row r="589" spans="1:13" ht="13.5" customHeight="1" x14ac:dyDescent="0.25">
      <c r="A589" s="43"/>
      <c r="B589" s="43"/>
      <c r="C589" s="16">
        <f t="shared" si="10"/>
        <v>12</v>
      </c>
      <c r="D589" s="16" t="str" cm="1">
        <f t="array" ref="D589">IFERROR(ROUNDUP(_xlfn.IFS(F589="Aluminum Track", _xlfn.XLOOKUP(C589, dd_accsrycalc!$A$2:$A$51, dd_accsrycalc!$B$2:$B$51, "",0), F589="10 x 2 1/2 S (Flat)", _xlfn.XLOOKUP(C589, dd_accsrycalc!$A$2:$A$51, dd_accsrycalc!$C$2:$C$51, "",0), F589="Tox6", _xlfn.XLOOKUP(C589, dd_accsrycalc!$A$2:$A$51, dd_accsrycalc!$D$2:$D$51, "",0), F589="Cover Cap", _xlfn.XLOOKUP(C589, dd_accsrycalc!$A$2:$A$51, dd_accsrycalc!$E$2:$E$51, "",0), F589="Drainage Cover", _xlfn.XLOOKUP(C589, dd_accsrycalc!$A$2:$A$51, dd_accsrycalc!$F$2:$F$51, "",0),AND( F589="Double Adhesive Tape", I589="Roll-up Screen"), _xlfn.XLOOKUP(C589, calc_rusacc!$C$15:$C$65, calc_rusacc!$AD$15:$AD$65, "",0),AND( F589="Sealant", I589="Roll-up Screen"), _xlfn.XLOOKUP(C589, calc_rusacc!$C$15:$C$65, calc_rusacc!$AF$15:$AF$65, "",0),  AND( F589="Main Chain", I589="Accordion Screen"), _xlfn.XLOOKUP(C589, calc_rusacc!$C$15:$C$65, calc_rusacc!$BF$15:$BF$65, "",0), AND( F589="Sealant", I589="Accordion Screen"), _xlfn.XLOOKUP(C589, calc_rusacc!$C$15:$C$65, calc_rusacc!$BJ$15:$BJ$65, "",0),  F589="Sealant", _xlfn.XLOOKUP(C589, dd_accsrycalc!$A$2:$A$51, dd_accsrycalc!$G$2:$G$51, "",0),  F589&lt;&gt;"",L589*_xlfn.XLOOKUP(1, (SKUs!$C$2:$C$10001=G589)*(SKUs!$K$2:$K$10001=I589),SKUs!$E$2:$E$10001)), 0),"")</f>
        <v/>
      </c>
      <c r="E589" s="16" t="str">
        <f>_xlfn.XLOOKUP(F589,dd_item!$B$2:$B$105,dd_item!$C$2:$C$105,"",0)</f>
        <v/>
      </c>
      <c r="F589" s="16"/>
      <c r="G589" s="16" cm="1">
        <f t="array" ref="G589">IFERROR(_xlfn.XLOOKUP(1, (SKUs!$J$2:$J$10001=accsry_unmerged!F589)*IF(H589&lt;&gt;"",(SKUs!$L$2:$L$10001=accsry_unmerged!H589),1)*(SKUs!$K$2:$K$10001=I589),SKUs!$C$2:$C$10001),"")</f>
        <v>0</v>
      </c>
      <c r="H589" s="33" cm="1">
        <f t="array" ref="H589">IFERROR(_xlfn.XLOOKUP(1, (dd_accsryclr!$C$2:$C$1000=accsry_unmerged!F589)*(dd_accsryclr!$B$2:$B$1000=accsry_unmerged!J589),dd_accsryclr!$A$2:$A$1000),"")</f>
        <v>0</v>
      </c>
      <c r="I589" s="16">
        <f>_xlfn.XLOOKUP(C589,'Project Details'!$C$17:$C$66,'Project Details'!$E$17:$E$66,"",0)</f>
        <v>0</v>
      </c>
      <c r="J589" s="16">
        <f>_xlfn.XLOOKUP(C589,'Project Details'!$C$17:$C$66,'Project Details'!$H$17:$H$66,"",0)</f>
        <v>0</v>
      </c>
      <c r="K589" s="33" t="str">
        <f>IF(AND(_xlfn.XLOOKUP(C589,'Project Details'!$C$17:$C$66,'Project Details'!$L$17:$L$66,"",0)&gt;550, F589="Spring-L27cm"),"",SUBSTITUTE(_xlfn.XLOOKUP(G589,SKUs!$C$2:$C$10001,SKUs!$F$2:$F$10001,"",0), " Accessories",""))</f>
        <v/>
      </c>
      <c r="L589" s="33">
        <f>_xlfn.XLOOKUP(C589,'Project Details'!$C$17:$C$66,'Project Details'!$D$17:$D$66,"",0)</f>
        <v>0</v>
      </c>
      <c r="M589" s="43"/>
    </row>
    <row r="590" spans="1:13" ht="13.5" customHeight="1" x14ac:dyDescent="0.25">
      <c r="A590" s="43"/>
      <c r="B590" s="43"/>
      <c r="C590" s="35">
        <f t="shared" si="10"/>
        <v>12</v>
      </c>
      <c r="D590" s="35" t="str" cm="1">
        <f t="array" ref="D590">IFERROR(ROUNDUP(_xlfn.IFS(F590="Aluminum Track", _xlfn.XLOOKUP(C590, dd_accsrycalc!$A$2:$A$51, dd_accsrycalc!$B$2:$B$51, "",0), F590="10 x 2 1/2 S (Flat)", _xlfn.XLOOKUP(C590, dd_accsrycalc!$A$2:$A$51, dd_accsrycalc!$C$2:$C$51, "",0), F590="Tox6", _xlfn.XLOOKUP(C590, dd_accsrycalc!$A$2:$A$51, dd_accsrycalc!$D$2:$D$51, "",0), F590="Cover Cap", _xlfn.XLOOKUP(C590, dd_accsrycalc!$A$2:$A$51, dd_accsrycalc!$E$2:$E$51, "",0), F590="Drainage Cover", _xlfn.XLOOKUP(C590, dd_accsrycalc!$A$2:$A$51, dd_accsrycalc!$F$2:$F$51, "",0),AND( F590="Double Adhesive Tape", I590="Roll-up Screen"), _xlfn.XLOOKUP(C590, calc_rusacc!$C$15:$C$65, calc_rusacc!$AD$15:$AD$65, "",0),AND( F590="Sealant", I590="Roll-up Screen"), _xlfn.XLOOKUP(C590, calc_rusacc!$C$15:$C$65, calc_rusacc!$AF$15:$AF$65, "",0),  AND( F590="Main Chain", I590="Accordion Screen"), _xlfn.XLOOKUP(C590, calc_rusacc!$C$15:$C$65, calc_rusacc!$BF$15:$BF$65, "",0), AND( F590="Sealant", I590="Accordion Screen"), _xlfn.XLOOKUP(C590, calc_rusacc!$C$15:$C$65, calc_rusacc!$BJ$15:$BJ$65, "",0),  F590="Sealant", _xlfn.XLOOKUP(C590, dd_accsrycalc!$A$2:$A$51, dd_accsrycalc!$G$2:$G$51, "",0),  F590&lt;&gt;"",L590*_xlfn.XLOOKUP(1, (SKUs!$C$2:$C$10001=G590)*(SKUs!$K$2:$K$10001=I590),SKUs!$E$2:$E$10001)), 0),"")</f>
        <v/>
      </c>
      <c r="E590" s="35" t="str">
        <f>_xlfn.XLOOKUP(F590,dd_item!$B$2:$B$105,dd_item!$C$2:$C$105,"",0)</f>
        <v/>
      </c>
      <c r="F590" s="35"/>
      <c r="G590" s="35" cm="1">
        <f t="array" ref="G590">IFERROR(_xlfn.XLOOKUP(1, (SKUs!$J$2:$J$10001=accsry_unmerged!F590)*IF(H590&lt;&gt;"",(SKUs!$L$2:$L$10001=accsry_unmerged!H590),1)*(SKUs!$K$2:$K$10001=I590),SKUs!$C$2:$C$10001),"")</f>
        <v>0</v>
      </c>
      <c r="H590" s="36" cm="1">
        <f t="array" ref="H590">IFERROR(_xlfn.XLOOKUP(1, (dd_accsryclr!$C$2:$C$1000=accsry_unmerged!F590)*(dd_accsryclr!$B$2:$B$1000=accsry_unmerged!J590),dd_accsryclr!$A$2:$A$1000),"")</f>
        <v>0</v>
      </c>
      <c r="I590" s="35">
        <f>_xlfn.XLOOKUP(C590,'Project Details'!$C$17:$C$66,'Project Details'!$E$17:$E$66,"",0)</f>
        <v>0</v>
      </c>
      <c r="J590" s="35">
        <f>_xlfn.XLOOKUP(C590,'Project Details'!$C$17:$C$66,'Project Details'!$H$17:$H$66,"",0)</f>
        <v>0</v>
      </c>
      <c r="K590" s="36" t="str">
        <f>IF(AND(_xlfn.XLOOKUP(C590,'Project Details'!$C$17:$C$66,'Project Details'!$L$17:$L$66,"",0)&gt;550, F590="Spring-L27cm"),"",SUBSTITUTE(_xlfn.XLOOKUP(G590,SKUs!$C$2:$C$10001,SKUs!$F$2:$F$10001,"",0), " Accessories",""))</f>
        <v/>
      </c>
      <c r="L590" s="36">
        <f>_xlfn.XLOOKUP(C590,'Project Details'!$C$17:$C$66,'Project Details'!$D$17:$D$66,"",0)</f>
        <v>0</v>
      </c>
      <c r="M590" s="43"/>
    </row>
    <row r="591" spans="1:13" ht="13.5" customHeight="1" x14ac:dyDescent="0.25">
      <c r="A591" s="43"/>
      <c r="B591" s="43"/>
      <c r="C591" s="16">
        <f t="shared" si="10"/>
        <v>12</v>
      </c>
      <c r="D591" s="16" t="str" cm="1">
        <f t="array" ref="D591">IFERROR(ROUNDUP(_xlfn.IFS(F591="Aluminum Track", _xlfn.XLOOKUP(C591, dd_accsrycalc!$A$2:$A$51, dd_accsrycalc!$B$2:$B$51, "",0), F591="10 x 2 1/2 S (Flat)", _xlfn.XLOOKUP(C591, dd_accsrycalc!$A$2:$A$51, dd_accsrycalc!$C$2:$C$51, "",0), F591="Tox6", _xlfn.XLOOKUP(C591, dd_accsrycalc!$A$2:$A$51, dd_accsrycalc!$D$2:$D$51, "",0), F591="Cover Cap", _xlfn.XLOOKUP(C591, dd_accsrycalc!$A$2:$A$51, dd_accsrycalc!$E$2:$E$51, "",0), F591="Drainage Cover", _xlfn.XLOOKUP(C591, dd_accsrycalc!$A$2:$A$51, dd_accsrycalc!$F$2:$F$51, "",0),AND( F591="Double Adhesive Tape", I591="Roll-up Screen"), _xlfn.XLOOKUP(C591, calc_rusacc!$C$15:$C$65, calc_rusacc!$AD$15:$AD$65, "",0),AND( F591="Sealant", I591="Roll-up Screen"), _xlfn.XLOOKUP(C591, calc_rusacc!$C$15:$C$65, calc_rusacc!$AF$15:$AF$65, "",0),  AND( F591="Main Chain", I591="Accordion Screen"), _xlfn.XLOOKUP(C591, calc_rusacc!$C$15:$C$65, calc_rusacc!$BF$15:$BF$65, "",0), AND( F591="Sealant", I591="Accordion Screen"), _xlfn.XLOOKUP(C591, calc_rusacc!$C$15:$C$65, calc_rusacc!$BJ$15:$BJ$65, "",0),  F591="Sealant", _xlfn.XLOOKUP(C591, dd_accsrycalc!$A$2:$A$51, dd_accsrycalc!$G$2:$G$51, "",0),  F591&lt;&gt;"",L591*_xlfn.XLOOKUP(1, (SKUs!$C$2:$C$10001=G591)*(SKUs!$K$2:$K$10001=I591),SKUs!$E$2:$E$10001)), 0),"")</f>
        <v/>
      </c>
      <c r="E591" s="16" t="str">
        <f>_xlfn.XLOOKUP(F591,dd_item!$B$2:$B$105,dd_item!$C$2:$C$105,"",0)</f>
        <v/>
      </c>
      <c r="F591" s="16"/>
      <c r="G591" s="16" cm="1">
        <f t="array" ref="G591">IFERROR(_xlfn.XLOOKUP(1, (SKUs!$J$2:$J$10001=accsry_unmerged!F591)*IF(H591&lt;&gt;"",(SKUs!$L$2:$L$10001=accsry_unmerged!H591),1)*(SKUs!$K$2:$K$10001=I591),SKUs!$C$2:$C$10001),"")</f>
        <v>0</v>
      </c>
      <c r="H591" s="33" cm="1">
        <f t="array" ref="H591">IFERROR(_xlfn.XLOOKUP(1, (dd_accsryclr!$C$2:$C$1000=accsry_unmerged!F591)*(dd_accsryclr!$B$2:$B$1000=accsry_unmerged!J591),dd_accsryclr!$A$2:$A$1000),"")</f>
        <v>0</v>
      </c>
      <c r="I591" s="16">
        <f>_xlfn.XLOOKUP(C591,'Project Details'!$C$17:$C$66,'Project Details'!$E$17:$E$66,"",0)</f>
        <v>0</v>
      </c>
      <c r="J591" s="16">
        <f>_xlfn.XLOOKUP(C591,'Project Details'!$C$17:$C$66,'Project Details'!$H$17:$H$66,"",0)</f>
        <v>0</v>
      </c>
      <c r="K591" s="33" t="str">
        <f>IF(AND(_xlfn.XLOOKUP(C591,'Project Details'!$C$17:$C$66,'Project Details'!$L$17:$L$66,"",0)&gt;550, F591="Spring-L27cm"),"",SUBSTITUTE(_xlfn.XLOOKUP(G591,SKUs!$C$2:$C$10001,SKUs!$F$2:$F$10001,"",0), " Accessories",""))</f>
        <v/>
      </c>
      <c r="L591" s="33">
        <f>_xlfn.XLOOKUP(C591,'Project Details'!$C$17:$C$66,'Project Details'!$D$17:$D$66,"",0)</f>
        <v>0</v>
      </c>
      <c r="M591" s="43"/>
    </row>
    <row r="592" spans="1:13" ht="13.5" customHeight="1" x14ac:dyDescent="0.25">
      <c r="A592" s="43"/>
      <c r="B592" s="43"/>
      <c r="C592" s="35">
        <f t="shared" si="10"/>
        <v>12</v>
      </c>
      <c r="D592" s="35" t="str" cm="1">
        <f t="array" ref="D592">IFERROR(ROUNDUP(_xlfn.IFS(F592="Aluminum Track", _xlfn.XLOOKUP(C592, dd_accsrycalc!$A$2:$A$51, dd_accsrycalc!$B$2:$B$51, "",0), F592="10 x 2 1/2 S (Flat)", _xlfn.XLOOKUP(C592, dd_accsrycalc!$A$2:$A$51, dd_accsrycalc!$C$2:$C$51, "",0), F592="Tox6", _xlfn.XLOOKUP(C592, dd_accsrycalc!$A$2:$A$51, dd_accsrycalc!$D$2:$D$51, "",0), F592="Cover Cap", _xlfn.XLOOKUP(C592, dd_accsrycalc!$A$2:$A$51, dd_accsrycalc!$E$2:$E$51, "",0), F592="Drainage Cover", _xlfn.XLOOKUP(C592, dd_accsrycalc!$A$2:$A$51, dd_accsrycalc!$F$2:$F$51, "",0),AND( F592="Double Adhesive Tape", I592="Roll-up Screen"), _xlfn.XLOOKUP(C592, calc_rusacc!$C$15:$C$65, calc_rusacc!$AD$15:$AD$65, "",0),AND( F592="Sealant", I592="Roll-up Screen"), _xlfn.XLOOKUP(C592, calc_rusacc!$C$15:$C$65, calc_rusacc!$AF$15:$AF$65, "",0),  AND( F592="Main Chain", I592="Accordion Screen"), _xlfn.XLOOKUP(C592, calc_rusacc!$C$15:$C$65, calc_rusacc!$BF$15:$BF$65, "",0), AND( F592="Sealant", I592="Accordion Screen"), _xlfn.XLOOKUP(C592, calc_rusacc!$C$15:$C$65, calc_rusacc!$BJ$15:$BJ$65, "",0),  F592="Sealant", _xlfn.XLOOKUP(C592, dd_accsrycalc!$A$2:$A$51, dd_accsrycalc!$G$2:$G$51, "",0),  F592&lt;&gt;"",L592*_xlfn.XLOOKUP(1, (SKUs!$C$2:$C$10001=G592)*(SKUs!$K$2:$K$10001=I592),SKUs!$E$2:$E$10001)), 0),"")</f>
        <v/>
      </c>
      <c r="E592" s="35" t="str">
        <f>_xlfn.XLOOKUP(F592,dd_item!$B$2:$B$105,dd_item!$C$2:$C$105,"",0)</f>
        <v/>
      </c>
      <c r="F592" s="35"/>
      <c r="G592" s="35" cm="1">
        <f t="array" ref="G592">IFERROR(_xlfn.XLOOKUP(1, (SKUs!$J$2:$J$10001=accsry_unmerged!F592)*IF(H592&lt;&gt;"",(SKUs!$L$2:$L$10001=accsry_unmerged!H592),1)*(SKUs!$K$2:$K$10001=I592),SKUs!$C$2:$C$10001),"")</f>
        <v>0</v>
      </c>
      <c r="H592" s="36" cm="1">
        <f t="array" ref="H592">IFERROR(_xlfn.XLOOKUP(1, (dd_accsryclr!$C$2:$C$1000=accsry_unmerged!F592)*(dd_accsryclr!$B$2:$B$1000=accsry_unmerged!J592),dd_accsryclr!$A$2:$A$1000),"")</f>
        <v>0</v>
      </c>
      <c r="I592" s="35">
        <f>_xlfn.XLOOKUP(C592,'Project Details'!$C$17:$C$66,'Project Details'!$E$17:$E$66,"",0)</f>
        <v>0</v>
      </c>
      <c r="J592" s="35">
        <f>_xlfn.XLOOKUP(C592,'Project Details'!$C$17:$C$66,'Project Details'!$H$17:$H$66,"",0)</f>
        <v>0</v>
      </c>
      <c r="K592" s="36" t="str">
        <f>IF(AND(_xlfn.XLOOKUP(C592,'Project Details'!$C$17:$C$66,'Project Details'!$L$17:$L$66,"",0)&gt;550, F592="Spring-L27cm"),"",SUBSTITUTE(_xlfn.XLOOKUP(G592,SKUs!$C$2:$C$10001,SKUs!$F$2:$F$10001,"",0), " Accessories",""))</f>
        <v/>
      </c>
      <c r="L592" s="36">
        <f>_xlfn.XLOOKUP(C592,'Project Details'!$C$17:$C$66,'Project Details'!$D$17:$D$66,"",0)</f>
        <v>0</v>
      </c>
      <c r="M592" s="43"/>
    </row>
    <row r="593" spans="1:13" ht="13.5" customHeight="1" x14ac:dyDescent="0.25">
      <c r="A593" s="43"/>
      <c r="B593" s="43"/>
      <c r="C593" s="16">
        <f t="shared" si="10"/>
        <v>12</v>
      </c>
      <c r="D593" s="16" t="str" cm="1">
        <f t="array" ref="D593">IFERROR(ROUNDUP(_xlfn.IFS(F593="Aluminum Track", _xlfn.XLOOKUP(C593, dd_accsrycalc!$A$2:$A$51, dd_accsrycalc!$B$2:$B$51, "",0), F593="10 x 2 1/2 S (Flat)", _xlfn.XLOOKUP(C593, dd_accsrycalc!$A$2:$A$51, dd_accsrycalc!$C$2:$C$51, "",0), F593="Tox6", _xlfn.XLOOKUP(C593, dd_accsrycalc!$A$2:$A$51, dd_accsrycalc!$D$2:$D$51, "",0), F593="Cover Cap", _xlfn.XLOOKUP(C593, dd_accsrycalc!$A$2:$A$51, dd_accsrycalc!$E$2:$E$51, "",0), F593="Drainage Cover", _xlfn.XLOOKUP(C593, dd_accsrycalc!$A$2:$A$51, dd_accsrycalc!$F$2:$F$51, "",0),AND( F593="Double Adhesive Tape", I593="Roll-up Screen"), _xlfn.XLOOKUP(C593, calc_rusacc!$C$15:$C$65, calc_rusacc!$AD$15:$AD$65, "",0),AND( F593="Sealant", I593="Roll-up Screen"), _xlfn.XLOOKUP(C593, calc_rusacc!$C$15:$C$65, calc_rusacc!$AF$15:$AF$65, "",0),  AND( F593="Main Chain", I593="Accordion Screen"), _xlfn.XLOOKUP(C593, calc_rusacc!$C$15:$C$65, calc_rusacc!$BF$15:$BF$65, "",0), AND( F593="Sealant", I593="Accordion Screen"), _xlfn.XLOOKUP(C593, calc_rusacc!$C$15:$C$65, calc_rusacc!$BJ$15:$BJ$65, "",0),  F593="Sealant", _xlfn.XLOOKUP(C593, dd_accsrycalc!$A$2:$A$51, dd_accsrycalc!$G$2:$G$51, "",0),  F593&lt;&gt;"",L593*_xlfn.XLOOKUP(1, (SKUs!$C$2:$C$10001=G593)*(SKUs!$K$2:$K$10001=I593),SKUs!$E$2:$E$10001)), 0),"")</f>
        <v/>
      </c>
      <c r="E593" s="16" t="str">
        <f>_xlfn.XLOOKUP(F593,dd_item!$B$2:$B$105,dd_item!$C$2:$C$105,"",0)</f>
        <v/>
      </c>
      <c r="F593" s="16"/>
      <c r="G593" s="16" cm="1">
        <f t="array" ref="G593">IFERROR(_xlfn.XLOOKUP(1, (SKUs!$J$2:$J$10001=accsry_unmerged!F593)*IF(H593&lt;&gt;"",(SKUs!$L$2:$L$10001=accsry_unmerged!H593),1)*(SKUs!$K$2:$K$10001=I593),SKUs!$C$2:$C$10001),"")</f>
        <v>0</v>
      </c>
      <c r="H593" s="33" cm="1">
        <f t="array" ref="H593">IFERROR(_xlfn.XLOOKUP(1, (dd_accsryclr!$C$2:$C$1000=accsry_unmerged!F593)*(dd_accsryclr!$B$2:$B$1000=accsry_unmerged!J593),dd_accsryclr!$A$2:$A$1000),"")</f>
        <v>0</v>
      </c>
      <c r="I593" s="16">
        <f>_xlfn.XLOOKUP(C593,'Project Details'!$C$17:$C$66,'Project Details'!$E$17:$E$66,"",0)</f>
        <v>0</v>
      </c>
      <c r="J593" s="16">
        <f>_xlfn.XLOOKUP(C593,'Project Details'!$C$17:$C$66,'Project Details'!$H$17:$H$66,"",0)</f>
        <v>0</v>
      </c>
      <c r="K593" s="33" t="str">
        <f>IF(AND(_xlfn.XLOOKUP(C593,'Project Details'!$C$17:$C$66,'Project Details'!$L$17:$L$66,"",0)&gt;550, F593="Spring-L27cm"),"",SUBSTITUTE(_xlfn.XLOOKUP(G593,SKUs!$C$2:$C$10001,SKUs!$F$2:$F$10001,"",0), " Accessories",""))</f>
        <v/>
      </c>
      <c r="L593" s="33">
        <f>_xlfn.XLOOKUP(C593,'Project Details'!$C$17:$C$66,'Project Details'!$D$17:$D$66,"",0)</f>
        <v>0</v>
      </c>
      <c r="M593" s="43"/>
    </row>
    <row r="594" spans="1:13" ht="13.5" customHeight="1" x14ac:dyDescent="0.25">
      <c r="A594" s="43"/>
      <c r="B594" s="43"/>
      <c r="C594" s="35">
        <f t="shared" si="10"/>
        <v>12</v>
      </c>
      <c r="D594" s="35" t="str" cm="1">
        <f t="array" ref="D594">IFERROR(ROUNDUP(_xlfn.IFS(F594="Aluminum Track", _xlfn.XLOOKUP(C594, dd_accsrycalc!$A$2:$A$51, dd_accsrycalc!$B$2:$B$51, "",0), F594="10 x 2 1/2 S (Flat)", _xlfn.XLOOKUP(C594, dd_accsrycalc!$A$2:$A$51, dd_accsrycalc!$C$2:$C$51, "",0), F594="Tox6", _xlfn.XLOOKUP(C594, dd_accsrycalc!$A$2:$A$51, dd_accsrycalc!$D$2:$D$51, "",0), F594="Cover Cap", _xlfn.XLOOKUP(C594, dd_accsrycalc!$A$2:$A$51, dd_accsrycalc!$E$2:$E$51, "",0), F594="Drainage Cover", _xlfn.XLOOKUP(C594, dd_accsrycalc!$A$2:$A$51, dd_accsrycalc!$F$2:$F$51, "",0),AND( F594="Double Adhesive Tape", I594="Roll-up Screen"), _xlfn.XLOOKUP(C594, calc_rusacc!$C$15:$C$65, calc_rusacc!$AD$15:$AD$65, "",0),AND( F594="Sealant", I594="Roll-up Screen"), _xlfn.XLOOKUP(C594, calc_rusacc!$C$15:$C$65, calc_rusacc!$AF$15:$AF$65, "",0),  AND( F594="Main Chain", I594="Accordion Screen"), _xlfn.XLOOKUP(C594, calc_rusacc!$C$15:$C$65, calc_rusacc!$BF$15:$BF$65, "",0), AND( F594="Sealant", I594="Accordion Screen"), _xlfn.XLOOKUP(C594, calc_rusacc!$C$15:$C$65, calc_rusacc!$BJ$15:$BJ$65, "",0),  F594="Sealant", _xlfn.XLOOKUP(C594, dd_accsrycalc!$A$2:$A$51, dd_accsrycalc!$G$2:$G$51, "",0),  F594&lt;&gt;"",L594*_xlfn.XLOOKUP(1, (SKUs!$C$2:$C$10001=G594)*(SKUs!$K$2:$K$10001=I594),SKUs!$E$2:$E$10001)), 0),"")</f>
        <v/>
      </c>
      <c r="E594" s="35" t="str">
        <f>_xlfn.XLOOKUP(F594,dd_item!$B$2:$B$105,dd_item!$C$2:$C$105,"",0)</f>
        <v/>
      </c>
      <c r="F594" s="35"/>
      <c r="G594" s="35" cm="1">
        <f t="array" ref="G594">IFERROR(_xlfn.XLOOKUP(1, (SKUs!$J$2:$J$10001=accsry_unmerged!F594)*IF(H594&lt;&gt;"",(SKUs!$L$2:$L$10001=accsry_unmerged!H594),1)*(SKUs!$K$2:$K$10001=I594),SKUs!$C$2:$C$10001),"")</f>
        <v>0</v>
      </c>
      <c r="H594" s="36" cm="1">
        <f t="array" ref="H594">IFERROR(_xlfn.XLOOKUP(1, (dd_accsryclr!$C$2:$C$1000=accsry_unmerged!F594)*(dd_accsryclr!$B$2:$B$1000=accsry_unmerged!J594),dd_accsryclr!$A$2:$A$1000),"")</f>
        <v>0</v>
      </c>
      <c r="I594" s="35">
        <f>_xlfn.XLOOKUP(C594,'Project Details'!$C$17:$C$66,'Project Details'!$E$17:$E$66,"",0)</f>
        <v>0</v>
      </c>
      <c r="J594" s="35">
        <f>_xlfn.XLOOKUP(C594,'Project Details'!$C$17:$C$66,'Project Details'!$H$17:$H$66,"",0)</f>
        <v>0</v>
      </c>
      <c r="K594" s="36" t="str">
        <f>IF(AND(_xlfn.XLOOKUP(C594,'Project Details'!$C$17:$C$66,'Project Details'!$L$17:$L$66,"",0)&gt;550, F594="Spring-L27cm"),"",SUBSTITUTE(_xlfn.XLOOKUP(G594,SKUs!$C$2:$C$10001,SKUs!$F$2:$F$10001,"",0), " Accessories",""))</f>
        <v/>
      </c>
      <c r="L594" s="36">
        <f>_xlfn.XLOOKUP(C594,'Project Details'!$C$17:$C$66,'Project Details'!$D$17:$D$66,"",0)</f>
        <v>0</v>
      </c>
      <c r="M594" s="43"/>
    </row>
    <row r="595" spans="1:13" ht="13.5" customHeight="1" outlineLevel="1" x14ac:dyDescent="0.25">
      <c r="A595" s="43"/>
      <c r="B595" s="43"/>
      <c r="C595" s="16">
        <f t="shared" si="10"/>
        <v>12</v>
      </c>
      <c r="D595" s="16" t="str" cm="1">
        <f t="array" ref="D595">IFERROR(ROUNDUP(_xlfn.IFS(F595="Aluminum Track", _xlfn.XLOOKUP(C595, dd_accsrycalc!$A$2:$A$51, dd_accsrycalc!$B$2:$B$51, "",0), F595="10 x 2 1/2 S (Flat)", _xlfn.XLOOKUP(C595, dd_accsrycalc!$A$2:$A$51, dd_accsrycalc!$C$2:$C$51, "",0), F595="Tox6", _xlfn.XLOOKUP(C595, dd_accsrycalc!$A$2:$A$51, dd_accsrycalc!$D$2:$D$51, "",0), F595="Cover Cap", _xlfn.XLOOKUP(C595, dd_accsrycalc!$A$2:$A$51, dd_accsrycalc!$E$2:$E$51, "",0), F595="Drainage Cover", _xlfn.XLOOKUP(C595, dd_accsrycalc!$A$2:$A$51, dd_accsrycalc!$F$2:$F$51, "",0),AND( F595="Double Adhesive Tape", I595="Roll-up Screen"), _xlfn.XLOOKUP(C595, calc_rusacc!$C$15:$C$65, calc_rusacc!$AD$15:$AD$65, "",0),AND( F595="Sealant", I595="Roll-up Screen"), _xlfn.XLOOKUP(C595, calc_rusacc!$C$15:$C$65, calc_rusacc!$AF$15:$AF$65, "",0),  AND( F595="Main Chain", I595="Accordion Screen"), _xlfn.XLOOKUP(C595, calc_rusacc!$C$15:$C$65, calc_rusacc!$BF$15:$BF$65, "",0), AND( F595="Sealant", I595="Accordion Screen"), _xlfn.XLOOKUP(C595, calc_rusacc!$C$15:$C$65, calc_rusacc!$BJ$15:$BJ$65, "",0),  F595="Sealant", _xlfn.XLOOKUP(C595, dd_accsrycalc!$A$2:$A$51, dd_accsrycalc!$G$2:$G$51, "",0),  F595&lt;&gt;"",L595*_xlfn.XLOOKUP(1, (SKUs!$C$2:$C$10001=G595)*(SKUs!$K$2:$K$10001=I595),SKUs!$E$2:$E$10001)), 0),"")</f>
        <v/>
      </c>
      <c r="E595" s="16" t="str">
        <f>_xlfn.XLOOKUP(F595,dd_item!$B$2:$B$105,dd_item!$C$2:$C$105,"",0)</f>
        <v/>
      </c>
      <c r="F595" s="16"/>
      <c r="G595" s="16" cm="1">
        <f t="array" ref="G595">IFERROR(_xlfn.XLOOKUP(1, (SKUs!$J$2:$J$10001=accsry_unmerged!F595)*IF(H595&lt;&gt;"",(SKUs!$L$2:$L$10001=accsry_unmerged!H595),1)*(SKUs!$K$2:$K$10001=I595),SKUs!$C$2:$C$10001),"")</f>
        <v>0</v>
      </c>
      <c r="H595" s="33" cm="1">
        <f t="array" ref="H595">IFERROR(_xlfn.XLOOKUP(1, (dd_accsryclr!$C$2:$C$1000=accsry_unmerged!F595)*(dd_accsryclr!$B$2:$B$1000=accsry_unmerged!J595),dd_accsryclr!$A$2:$A$1000),"")</f>
        <v>0</v>
      </c>
      <c r="I595" s="16">
        <f>_xlfn.XLOOKUP(C595,'Project Details'!$C$17:$C$66,'Project Details'!$E$17:$E$66,"",0)</f>
        <v>0</v>
      </c>
      <c r="J595" s="16">
        <f>_xlfn.XLOOKUP(C595,'Project Details'!$C$17:$C$66,'Project Details'!$H$17:$H$66,"",0)</f>
        <v>0</v>
      </c>
      <c r="K595" s="33" t="str">
        <f>IF(AND(_xlfn.XLOOKUP(C595,'Project Details'!$C$17:$C$66,'Project Details'!$L$17:$L$66,"",0)&gt;550, F595="Spring-L27cm"),"",SUBSTITUTE(_xlfn.XLOOKUP(G595,SKUs!$C$2:$C$10001,SKUs!$F$2:$F$10001,"",0), " Accessories",""))</f>
        <v/>
      </c>
      <c r="L595" s="33">
        <f>_xlfn.XLOOKUP(C595,'Project Details'!$C$17:$C$66,'Project Details'!$D$17:$D$66,"",0)</f>
        <v>0</v>
      </c>
      <c r="M595" s="43"/>
    </row>
    <row r="596" spans="1:13" ht="13.5" customHeight="1" outlineLevel="1" x14ac:dyDescent="0.25">
      <c r="A596" s="43"/>
      <c r="B596" s="43"/>
      <c r="C596" s="35">
        <f t="shared" si="10"/>
        <v>12</v>
      </c>
      <c r="D596" s="35" t="str" cm="1">
        <f t="array" ref="D596">IFERROR(ROUNDUP(_xlfn.IFS(F596="Aluminum Track", _xlfn.XLOOKUP(C596, dd_accsrycalc!$A$2:$A$51, dd_accsrycalc!$B$2:$B$51, "",0), F596="10 x 2 1/2 S (Flat)", _xlfn.XLOOKUP(C596, dd_accsrycalc!$A$2:$A$51, dd_accsrycalc!$C$2:$C$51, "",0), F596="Tox6", _xlfn.XLOOKUP(C596, dd_accsrycalc!$A$2:$A$51, dd_accsrycalc!$D$2:$D$51, "",0), F596="Cover Cap", _xlfn.XLOOKUP(C596, dd_accsrycalc!$A$2:$A$51, dd_accsrycalc!$E$2:$E$51, "",0), F596="Drainage Cover", _xlfn.XLOOKUP(C596, dd_accsrycalc!$A$2:$A$51, dd_accsrycalc!$F$2:$F$51, "",0),AND( F596="Double Adhesive Tape", I596="Roll-up Screen"), _xlfn.XLOOKUP(C596, calc_rusacc!$C$15:$C$65, calc_rusacc!$AD$15:$AD$65, "",0),AND( F596="Sealant", I596="Roll-up Screen"), _xlfn.XLOOKUP(C596, calc_rusacc!$C$15:$C$65, calc_rusacc!$AF$15:$AF$65, "",0),  AND( F596="Main Chain", I596="Accordion Screen"), _xlfn.XLOOKUP(C596, calc_rusacc!$C$15:$C$65, calc_rusacc!$BF$15:$BF$65, "",0), AND( F596="Sealant", I596="Accordion Screen"), _xlfn.XLOOKUP(C596, calc_rusacc!$C$15:$C$65, calc_rusacc!$BJ$15:$BJ$65, "",0),  F596="Sealant", _xlfn.XLOOKUP(C596, dd_accsrycalc!$A$2:$A$51, dd_accsrycalc!$G$2:$G$51, "",0),  F596&lt;&gt;"",L596*_xlfn.XLOOKUP(1, (SKUs!$C$2:$C$10001=G596)*(SKUs!$K$2:$K$10001=I596),SKUs!$E$2:$E$10001)), 0),"")</f>
        <v/>
      </c>
      <c r="E596" s="35" t="str">
        <f>_xlfn.XLOOKUP(F596,dd_item!$B$2:$B$105,dd_item!$C$2:$C$105,"",0)</f>
        <v/>
      </c>
      <c r="F596" s="35"/>
      <c r="G596" s="35" cm="1">
        <f t="array" ref="G596">IFERROR(_xlfn.XLOOKUP(1, (SKUs!$J$2:$J$10001=accsry_unmerged!F596)*IF(H596&lt;&gt;"",(SKUs!$L$2:$L$10001=accsry_unmerged!H596),1)*(SKUs!$K$2:$K$10001=I596),SKUs!$C$2:$C$10001),"")</f>
        <v>0</v>
      </c>
      <c r="H596" s="36" cm="1">
        <f t="array" ref="H596">IFERROR(_xlfn.XLOOKUP(1, (dd_accsryclr!$C$2:$C$1000=accsry_unmerged!F596)*(dd_accsryclr!$B$2:$B$1000=accsry_unmerged!J596),dd_accsryclr!$A$2:$A$1000),"")</f>
        <v>0</v>
      </c>
      <c r="I596" s="35">
        <f>_xlfn.XLOOKUP(C596,'Project Details'!$C$17:$C$66,'Project Details'!$E$17:$E$66,"",0)</f>
        <v>0</v>
      </c>
      <c r="J596" s="35">
        <f>_xlfn.XLOOKUP(C596,'Project Details'!$C$17:$C$66,'Project Details'!$H$17:$H$66,"",0)</f>
        <v>0</v>
      </c>
      <c r="K596" s="36" t="str">
        <f>IF(AND(_xlfn.XLOOKUP(C596,'Project Details'!$C$17:$C$66,'Project Details'!$L$17:$L$66,"",0)&gt;550, F596="Spring-L27cm"),"",SUBSTITUTE(_xlfn.XLOOKUP(G596,SKUs!$C$2:$C$10001,SKUs!$F$2:$F$10001,"",0), " Accessories",""))</f>
        <v/>
      </c>
      <c r="L596" s="36">
        <f>_xlfn.XLOOKUP(C596,'Project Details'!$C$17:$C$66,'Project Details'!$D$17:$D$66,"",0)</f>
        <v>0</v>
      </c>
      <c r="M596" s="43"/>
    </row>
    <row r="597" spans="1:13" ht="13.5" customHeight="1" outlineLevel="1" x14ac:dyDescent="0.25">
      <c r="A597" s="43"/>
      <c r="B597" s="43"/>
      <c r="C597" s="16">
        <f t="shared" si="10"/>
        <v>12</v>
      </c>
      <c r="D597" s="16" t="str" cm="1">
        <f t="array" ref="D597">IFERROR(ROUNDUP(_xlfn.IFS(F597="Aluminum Track", _xlfn.XLOOKUP(C597, dd_accsrycalc!$A$2:$A$51, dd_accsrycalc!$B$2:$B$51, "",0), F597="10 x 2 1/2 S (Flat)", _xlfn.XLOOKUP(C597, dd_accsrycalc!$A$2:$A$51, dd_accsrycalc!$C$2:$C$51, "",0), F597="Tox6", _xlfn.XLOOKUP(C597, dd_accsrycalc!$A$2:$A$51, dd_accsrycalc!$D$2:$D$51, "",0), F597="Cover Cap", _xlfn.XLOOKUP(C597, dd_accsrycalc!$A$2:$A$51, dd_accsrycalc!$E$2:$E$51, "",0), F597="Drainage Cover", _xlfn.XLOOKUP(C597, dd_accsrycalc!$A$2:$A$51, dd_accsrycalc!$F$2:$F$51, "",0),AND( F597="Double Adhesive Tape", I597="Roll-up Screen"), _xlfn.XLOOKUP(C597, calc_rusacc!$C$15:$C$65, calc_rusacc!$AD$15:$AD$65, "",0),AND( F597="Sealant", I597="Roll-up Screen"), _xlfn.XLOOKUP(C597, calc_rusacc!$C$15:$C$65, calc_rusacc!$AF$15:$AF$65, "",0),  AND( F597="Main Chain", I597="Accordion Screen"), _xlfn.XLOOKUP(C597, calc_rusacc!$C$15:$C$65, calc_rusacc!$BF$15:$BF$65, "",0), AND( F597="Sealant", I597="Accordion Screen"), _xlfn.XLOOKUP(C597, calc_rusacc!$C$15:$C$65, calc_rusacc!$BJ$15:$BJ$65, "",0),  F597="Sealant", _xlfn.XLOOKUP(C597, dd_accsrycalc!$A$2:$A$51, dd_accsrycalc!$G$2:$G$51, "",0),  F597&lt;&gt;"",L597*_xlfn.XLOOKUP(1, (SKUs!$C$2:$C$10001=G597)*(SKUs!$K$2:$K$10001=I597),SKUs!$E$2:$E$10001)), 0),"")</f>
        <v/>
      </c>
      <c r="E597" s="16" t="str">
        <f>_xlfn.XLOOKUP(F597,dd_item!$B$2:$B$105,dd_item!$C$2:$C$105,"",0)</f>
        <v/>
      </c>
      <c r="F597" s="16"/>
      <c r="G597" s="16" cm="1">
        <f t="array" ref="G597">IFERROR(_xlfn.XLOOKUP(1, (SKUs!$J$2:$J$10001=accsry_unmerged!F597)*IF(H597&lt;&gt;"",(SKUs!$L$2:$L$10001=accsry_unmerged!H597),1)*(SKUs!$K$2:$K$10001=I597),SKUs!$C$2:$C$10001),"")</f>
        <v>0</v>
      </c>
      <c r="H597" s="33" cm="1">
        <f t="array" ref="H597">IFERROR(_xlfn.XLOOKUP(1, (dd_accsryclr!$C$2:$C$1000=accsry_unmerged!F597)*(dd_accsryclr!$B$2:$B$1000=accsry_unmerged!J597),dd_accsryclr!$A$2:$A$1000),"")</f>
        <v>0</v>
      </c>
      <c r="I597" s="16">
        <f>_xlfn.XLOOKUP(C597,'Project Details'!$C$17:$C$66,'Project Details'!$E$17:$E$66,"",0)</f>
        <v>0</v>
      </c>
      <c r="J597" s="16">
        <f>_xlfn.XLOOKUP(C597,'Project Details'!$C$17:$C$66,'Project Details'!$H$17:$H$66,"",0)</f>
        <v>0</v>
      </c>
      <c r="K597" s="33" t="str">
        <f>IF(AND(_xlfn.XLOOKUP(C597,'Project Details'!$C$17:$C$66,'Project Details'!$L$17:$L$66,"",0)&gt;550, F597="Spring-L27cm"),"",SUBSTITUTE(_xlfn.XLOOKUP(G597,SKUs!$C$2:$C$10001,SKUs!$F$2:$F$10001,"",0), " Accessories",""))</f>
        <v/>
      </c>
      <c r="L597" s="33">
        <f>_xlfn.XLOOKUP(C597,'Project Details'!$C$17:$C$66,'Project Details'!$D$17:$D$66,"",0)</f>
        <v>0</v>
      </c>
      <c r="M597" s="43"/>
    </row>
    <row r="598" spans="1:13" ht="13.5" customHeight="1" outlineLevel="1" x14ac:dyDescent="0.25">
      <c r="A598" s="43"/>
      <c r="B598" s="43"/>
      <c r="C598" s="35">
        <f t="shared" si="10"/>
        <v>12</v>
      </c>
      <c r="D598" s="35" t="str" cm="1">
        <f t="array" ref="D598">IFERROR(ROUNDUP(_xlfn.IFS(F598="Aluminum Track", _xlfn.XLOOKUP(C598, dd_accsrycalc!$A$2:$A$51, dd_accsrycalc!$B$2:$B$51, "",0), F598="10 x 2 1/2 S (Flat)", _xlfn.XLOOKUP(C598, dd_accsrycalc!$A$2:$A$51, dd_accsrycalc!$C$2:$C$51, "",0), F598="Tox6", _xlfn.XLOOKUP(C598, dd_accsrycalc!$A$2:$A$51, dd_accsrycalc!$D$2:$D$51, "",0), F598="Cover Cap", _xlfn.XLOOKUP(C598, dd_accsrycalc!$A$2:$A$51, dd_accsrycalc!$E$2:$E$51, "",0), F598="Drainage Cover", _xlfn.XLOOKUP(C598, dd_accsrycalc!$A$2:$A$51, dd_accsrycalc!$F$2:$F$51, "",0),AND( F598="Double Adhesive Tape", I598="Roll-up Screen"), _xlfn.XLOOKUP(C598, calc_rusacc!$C$15:$C$65, calc_rusacc!$AD$15:$AD$65, "",0),AND( F598="Sealant", I598="Roll-up Screen"), _xlfn.XLOOKUP(C598, calc_rusacc!$C$15:$C$65, calc_rusacc!$AF$15:$AF$65, "",0),  AND( F598="Main Chain", I598="Accordion Screen"), _xlfn.XLOOKUP(C598, calc_rusacc!$C$15:$C$65, calc_rusacc!$BF$15:$BF$65, "",0), AND( F598="Sealant", I598="Accordion Screen"), _xlfn.XLOOKUP(C598, calc_rusacc!$C$15:$C$65, calc_rusacc!$BJ$15:$BJ$65, "",0),  F598="Sealant", _xlfn.XLOOKUP(C598, dd_accsrycalc!$A$2:$A$51, dd_accsrycalc!$G$2:$G$51, "",0),  F598&lt;&gt;"",L598*_xlfn.XLOOKUP(1, (SKUs!$C$2:$C$10001=G598)*(SKUs!$K$2:$K$10001=I598),SKUs!$E$2:$E$10001)), 0),"")</f>
        <v/>
      </c>
      <c r="E598" s="35" t="str">
        <f>_xlfn.XLOOKUP(F598,dd_item!$B$2:$B$105,dd_item!$C$2:$C$105,"",0)</f>
        <v/>
      </c>
      <c r="F598" s="35"/>
      <c r="G598" s="35" cm="1">
        <f t="array" ref="G598">IFERROR(_xlfn.XLOOKUP(1, (SKUs!$J$2:$J$10001=accsry_unmerged!F598)*IF(H598&lt;&gt;"",(SKUs!$L$2:$L$10001=accsry_unmerged!H598),1)*(SKUs!$K$2:$K$10001=I598),SKUs!$C$2:$C$10001),"")</f>
        <v>0</v>
      </c>
      <c r="H598" s="36" cm="1">
        <f t="array" ref="H598">IFERROR(_xlfn.XLOOKUP(1, (dd_accsryclr!$C$2:$C$1000=accsry_unmerged!F598)*(dd_accsryclr!$B$2:$B$1000=accsry_unmerged!J598),dd_accsryclr!$A$2:$A$1000),"")</f>
        <v>0</v>
      </c>
      <c r="I598" s="35">
        <f>_xlfn.XLOOKUP(C598,'Project Details'!$C$17:$C$66,'Project Details'!$E$17:$E$66,"",0)</f>
        <v>0</v>
      </c>
      <c r="J598" s="35">
        <f>_xlfn.XLOOKUP(C598,'Project Details'!$C$17:$C$66,'Project Details'!$H$17:$H$66,"",0)</f>
        <v>0</v>
      </c>
      <c r="K598" s="36" t="str">
        <f>IF(AND(_xlfn.XLOOKUP(C598,'Project Details'!$C$17:$C$66,'Project Details'!$L$17:$L$66,"",0)&gt;550, F598="Spring-L27cm"),"",SUBSTITUTE(_xlfn.XLOOKUP(G598,SKUs!$C$2:$C$10001,SKUs!$F$2:$F$10001,"",0), " Accessories",""))</f>
        <v/>
      </c>
      <c r="L598" s="36">
        <f>_xlfn.XLOOKUP(C598,'Project Details'!$C$17:$C$66,'Project Details'!$D$17:$D$66,"",0)</f>
        <v>0</v>
      </c>
      <c r="M598" s="43"/>
    </row>
    <row r="599" spans="1:13" ht="13.5" customHeight="1" outlineLevel="1" x14ac:dyDescent="0.25">
      <c r="A599" s="43"/>
      <c r="B599" s="43"/>
      <c r="C599" s="16">
        <f t="shared" si="10"/>
        <v>12</v>
      </c>
      <c r="D599" s="16" t="str" cm="1">
        <f t="array" ref="D599">IFERROR(ROUNDUP(_xlfn.IFS(F599="Aluminum Track", _xlfn.XLOOKUP(C599, dd_accsrycalc!$A$2:$A$51, dd_accsrycalc!$B$2:$B$51, "",0), F599="10 x 2 1/2 S (Flat)", _xlfn.XLOOKUP(C599, dd_accsrycalc!$A$2:$A$51, dd_accsrycalc!$C$2:$C$51, "",0), F599="Tox6", _xlfn.XLOOKUP(C599, dd_accsrycalc!$A$2:$A$51, dd_accsrycalc!$D$2:$D$51, "",0), F599="Cover Cap", _xlfn.XLOOKUP(C599, dd_accsrycalc!$A$2:$A$51, dd_accsrycalc!$E$2:$E$51, "",0), F599="Drainage Cover", _xlfn.XLOOKUP(C599, dd_accsrycalc!$A$2:$A$51, dd_accsrycalc!$F$2:$F$51, "",0),AND( F599="Double Adhesive Tape", I599="Roll-up Screen"), _xlfn.XLOOKUP(C599, calc_rusacc!$C$15:$C$65, calc_rusacc!$AD$15:$AD$65, "",0),AND( F599="Sealant", I599="Roll-up Screen"), _xlfn.XLOOKUP(C599, calc_rusacc!$C$15:$C$65, calc_rusacc!$AF$15:$AF$65, "",0),  AND( F599="Main Chain", I599="Accordion Screen"), _xlfn.XLOOKUP(C599, calc_rusacc!$C$15:$C$65, calc_rusacc!$BF$15:$BF$65, "",0), AND( F599="Sealant", I599="Accordion Screen"), _xlfn.XLOOKUP(C599, calc_rusacc!$C$15:$C$65, calc_rusacc!$BJ$15:$BJ$65, "",0),  F599="Sealant", _xlfn.XLOOKUP(C599, dd_accsrycalc!$A$2:$A$51, dd_accsrycalc!$G$2:$G$51, "",0),  F599&lt;&gt;"",L599*_xlfn.XLOOKUP(1, (SKUs!$C$2:$C$10001=G599)*(SKUs!$K$2:$K$10001=I599),SKUs!$E$2:$E$10001)), 0),"")</f>
        <v/>
      </c>
      <c r="E599" s="16" t="str">
        <f>_xlfn.XLOOKUP(F599,dd_item!$B$2:$B$105,dd_item!$C$2:$C$105,"",0)</f>
        <v/>
      </c>
      <c r="F599" s="16"/>
      <c r="G599" s="16" cm="1">
        <f t="array" ref="G599">IFERROR(_xlfn.XLOOKUP(1, (SKUs!$J$2:$J$10001=accsry_unmerged!F599)*IF(H599&lt;&gt;"",(SKUs!$L$2:$L$10001=accsry_unmerged!H599),1)*(SKUs!$K$2:$K$10001=I599),SKUs!$C$2:$C$10001),"")</f>
        <v>0</v>
      </c>
      <c r="H599" s="33" cm="1">
        <f t="array" ref="H599">IFERROR(_xlfn.XLOOKUP(1, (dd_accsryclr!$C$2:$C$1000=accsry_unmerged!F599)*(dd_accsryclr!$B$2:$B$1000=accsry_unmerged!J599),dd_accsryclr!$A$2:$A$1000),"")</f>
        <v>0</v>
      </c>
      <c r="I599" s="16">
        <f>_xlfn.XLOOKUP(C599,'Project Details'!$C$17:$C$66,'Project Details'!$E$17:$E$66,"",0)</f>
        <v>0</v>
      </c>
      <c r="J599" s="16">
        <f>_xlfn.XLOOKUP(C599,'Project Details'!$C$17:$C$66,'Project Details'!$H$17:$H$66,"",0)</f>
        <v>0</v>
      </c>
      <c r="K599" s="33" t="str">
        <f>IF(AND(_xlfn.XLOOKUP(C599,'Project Details'!$C$17:$C$66,'Project Details'!$L$17:$L$66,"",0)&gt;550, F599="Spring-L27cm"),"",SUBSTITUTE(_xlfn.XLOOKUP(G599,SKUs!$C$2:$C$10001,SKUs!$F$2:$F$10001,"",0), " Accessories",""))</f>
        <v/>
      </c>
      <c r="L599" s="33">
        <f>_xlfn.XLOOKUP(C599,'Project Details'!$C$17:$C$66,'Project Details'!$D$17:$D$66,"",0)</f>
        <v>0</v>
      </c>
      <c r="M599" s="43"/>
    </row>
    <row r="600" spans="1:13" ht="13.5" customHeight="1" outlineLevel="1" x14ac:dyDescent="0.25">
      <c r="A600" s="43"/>
      <c r="B600" s="43"/>
      <c r="C600" s="35">
        <f t="shared" si="10"/>
        <v>12</v>
      </c>
      <c r="D600" s="35" t="str" cm="1">
        <f t="array" ref="D600">IFERROR(ROUNDUP(_xlfn.IFS(F600="Aluminum Track", _xlfn.XLOOKUP(C600, dd_accsrycalc!$A$2:$A$51, dd_accsrycalc!$B$2:$B$51, "",0), F600="10 x 2 1/2 S (Flat)", _xlfn.XLOOKUP(C600, dd_accsrycalc!$A$2:$A$51, dd_accsrycalc!$C$2:$C$51, "",0), F600="Tox6", _xlfn.XLOOKUP(C600, dd_accsrycalc!$A$2:$A$51, dd_accsrycalc!$D$2:$D$51, "",0), F600="Cover Cap", _xlfn.XLOOKUP(C600, dd_accsrycalc!$A$2:$A$51, dd_accsrycalc!$E$2:$E$51, "",0), F600="Drainage Cover", _xlfn.XLOOKUP(C600, dd_accsrycalc!$A$2:$A$51, dd_accsrycalc!$F$2:$F$51, "",0),AND( F600="Double Adhesive Tape", I600="Roll-up Screen"), _xlfn.XLOOKUP(C600, calc_rusacc!$C$15:$C$65, calc_rusacc!$AD$15:$AD$65, "",0),AND( F600="Sealant", I600="Roll-up Screen"), _xlfn.XLOOKUP(C600, calc_rusacc!$C$15:$C$65, calc_rusacc!$AF$15:$AF$65, "",0),  AND( F600="Main Chain", I600="Accordion Screen"), _xlfn.XLOOKUP(C600, calc_rusacc!$C$15:$C$65, calc_rusacc!$BF$15:$BF$65, "",0), AND( F600="Sealant", I600="Accordion Screen"), _xlfn.XLOOKUP(C600, calc_rusacc!$C$15:$C$65, calc_rusacc!$BJ$15:$BJ$65, "",0),  F600="Sealant", _xlfn.XLOOKUP(C600, dd_accsrycalc!$A$2:$A$51, dd_accsrycalc!$G$2:$G$51, "",0),  F600&lt;&gt;"",L600*_xlfn.XLOOKUP(1, (SKUs!$C$2:$C$10001=G600)*(SKUs!$K$2:$K$10001=I600),SKUs!$E$2:$E$10001)), 0),"")</f>
        <v/>
      </c>
      <c r="E600" s="35" t="str">
        <f>_xlfn.XLOOKUP(F600,dd_item!$B$2:$B$105,dd_item!$C$2:$C$105,"",0)</f>
        <v/>
      </c>
      <c r="F600" s="35"/>
      <c r="G600" s="35" cm="1">
        <f t="array" ref="G600">IFERROR(_xlfn.XLOOKUP(1, (SKUs!$J$2:$J$10001=accsry_unmerged!F600)*IF(H600&lt;&gt;"",(SKUs!$L$2:$L$10001=accsry_unmerged!H600),1)*(SKUs!$K$2:$K$10001=I600),SKUs!$C$2:$C$10001),"")</f>
        <v>0</v>
      </c>
      <c r="H600" s="36" cm="1">
        <f t="array" ref="H600">IFERROR(_xlfn.XLOOKUP(1, (dd_accsryclr!$C$2:$C$1000=accsry_unmerged!F600)*(dd_accsryclr!$B$2:$B$1000=accsry_unmerged!J600),dd_accsryclr!$A$2:$A$1000),"")</f>
        <v>0</v>
      </c>
      <c r="I600" s="35">
        <f>_xlfn.XLOOKUP(C600,'Project Details'!$C$17:$C$66,'Project Details'!$E$17:$E$66,"",0)</f>
        <v>0</v>
      </c>
      <c r="J600" s="35">
        <f>_xlfn.XLOOKUP(C600,'Project Details'!$C$17:$C$66,'Project Details'!$H$17:$H$66,"",0)</f>
        <v>0</v>
      </c>
      <c r="K600" s="36" t="str">
        <f>IF(AND(_xlfn.XLOOKUP(C600,'Project Details'!$C$17:$C$66,'Project Details'!$L$17:$L$66,"",0)&gt;550, F600="Spring-L27cm"),"",SUBSTITUTE(_xlfn.XLOOKUP(G600,SKUs!$C$2:$C$10001,SKUs!$F$2:$F$10001,"",0), " Accessories",""))</f>
        <v/>
      </c>
      <c r="L600" s="36">
        <f>_xlfn.XLOOKUP(C600,'Project Details'!$C$17:$C$66,'Project Details'!$D$17:$D$66,"",0)</f>
        <v>0</v>
      </c>
      <c r="M600" s="43"/>
    </row>
    <row r="601" spans="1:13" ht="13.5" customHeight="1" outlineLevel="1" x14ac:dyDescent="0.25">
      <c r="A601" s="43"/>
      <c r="B601" s="43"/>
      <c r="C601" s="16">
        <f t="shared" si="10"/>
        <v>12</v>
      </c>
      <c r="D601" s="16" t="str" cm="1">
        <f t="array" ref="D601">IFERROR(ROUNDUP(_xlfn.IFS(F601="Aluminum Track", _xlfn.XLOOKUP(C601, dd_accsrycalc!$A$2:$A$51, dd_accsrycalc!$B$2:$B$51, "",0), F601="10 x 2 1/2 S (Flat)", _xlfn.XLOOKUP(C601, dd_accsrycalc!$A$2:$A$51, dd_accsrycalc!$C$2:$C$51, "",0), F601="Tox6", _xlfn.XLOOKUP(C601, dd_accsrycalc!$A$2:$A$51, dd_accsrycalc!$D$2:$D$51, "",0), F601="Cover Cap", _xlfn.XLOOKUP(C601, dd_accsrycalc!$A$2:$A$51, dd_accsrycalc!$E$2:$E$51, "",0), F601="Drainage Cover", _xlfn.XLOOKUP(C601, dd_accsrycalc!$A$2:$A$51, dd_accsrycalc!$F$2:$F$51, "",0),AND( F601="Double Adhesive Tape", I601="Roll-up Screen"), _xlfn.XLOOKUP(C601, calc_rusacc!$C$15:$C$65, calc_rusacc!$AD$15:$AD$65, "",0),AND( F601="Sealant", I601="Roll-up Screen"), _xlfn.XLOOKUP(C601, calc_rusacc!$C$15:$C$65, calc_rusacc!$AF$15:$AF$65, "",0),  AND( F601="Main Chain", I601="Accordion Screen"), _xlfn.XLOOKUP(C601, calc_rusacc!$C$15:$C$65, calc_rusacc!$BF$15:$BF$65, "",0), AND( F601="Sealant", I601="Accordion Screen"), _xlfn.XLOOKUP(C601, calc_rusacc!$C$15:$C$65, calc_rusacc!$BJ$15:$BJ$65, "",0),  F601="Sealant", _xlfn.XLOOKUP(C601, dd_accsrycalc!$A$2:$A$51, dd_accsrycalc!$G$2:$G$51, "",0),  F601&lt;&gt;"",L601*_xlfn.XLOOKUP(1, (SKUs!$C$2:$C$10001=G601)*(SKUs!$K$2:$K$10001=I601),SKUs!$E$2:$E$10001)), 0),"")</f>
        <v/>
      </c>
      <c r="E601" s="16" t="str">
        <f>_xlfn.XLOOKUP(F601,dd_item!$B$2:$B$105,dd_item!$C$2:$C$105,"",0)</f>
        <v/>
      </c>
      <c r="F601" s="16"/>
      <c r="G601" s="16" cm="1">
        <f t="array" ref="G601">IFERROR(_xlfn.XLOOKUP(1, (SKUs!$J$2:$J$10001=accsry_unmerged!F601)*IF(H601&lt;&gt;"",(SKUs!$L$2:$L$10001=accsry_unmerged!H601),1)*(SKUs!$K$2:$K$10001=I601),SKUs!$C$2:$C$10001),"")</f>
        <v>0</v>
      </c>
      <c r="H601" s="33" cm="1">
        <f t="array" ref="H601">IFERROR(_xlfn.XLOOKUP(1, (dd_accsryclr!$C$2:$C$1000=accsry_unmerged!F601)*(dd_accsryclr!$B$2:$B$1000=accsry_unmerged!J601),dd_accsryclr!$A$2:$A$1000),"")</f>
        <v>0</v>
      </c>
      <c r="I601" s="16">
        <f>_xlfn.XLOOKUP(C601,'Project Details'!$C$17:$C$66,'Project Details'!$E$17:$E$66,"",0)</f>
        <v>0</v>
      </c>
      <c r="J601" s="16">
        <f>_xlfn.XLOOKUP(C601,'Project Details'!$C$17:$C$66,'Project Details'!$H$17:$H$66,"",0)</f>
        <v>0</v>
      </c>
      <c r="K601" s="33" t="str">
        <f>IF(AND(_xlfn.XLOOKUP(C601,'Project Details'!$C$17:$C$66,'Project Details'!$L$17:$L$66,"",0)&gt;550, F601="Spring-L27cm"),"",SUBSTITUTE(_xlfn.XLOOKUP(G601,SKUs!$C$2:$C$10001,SKUs!$F$2:$F$10001,"",0), " Accessories",""))</f>
        <v/>
      </c>
      <c r="L601" s="33">
        <f>_xlfn.XLOOKUP(C601,'Project Details'!$C$17:$C$66,'Project Details'!$D$17:$D$66,"",0)</f>
        <v>0</v>
      </c>
      <c r="M601" s="43"/>
    </row>
    <row r="602" spans="1:13" ht="13.5" customHeight="1" outlineLevel="1" x14ac:dyDescent="0.25">
      <c r="A602" s="43"/>
      <c r="B602" s="43"/>
      <c r="C602" s="35">
        <f t="shared" si="10"/>
        <v>12</v>
      </c>
      <c r="D602" s="35" t="str" cm="1">
        <f t="array" ref="D602">IFERROR(ROUNDUP(_xlfn.IFS(F602="Aluminum Track", _xlfn.XLOOKUP(C602, dd_accsrycalc!$A$2:$A$51, dd_accsrycalc!$B$2:$B$51, "",0), F602="10 x 2 1/2 S (Flat)", _xlfn.XLOOKUP(C602, dd_accsrycalc!$A$2:$A$51, dd_accsrycalc!$C$2:$C$51, "",0), F602="Tox6", _xlfn.XLOOKUP(C602, dd_accsrycalc!$A$2:$A$51, dd_accsrycalc!$D$2:$D$51, "",0), F602="Cover Cap", _xlfn.XLOOKUP(C602, dd_accsrycalc!$A$2:$A$51, dd_accsrycalc!$E$2:$E$51, "",0), F602="Drainage Cover", _xlfn.XLOOKUP(C602, dd_accsrycalc!$A$2:$A$51, dd_accsrycalc!$F$2:$F$51, "",0),AND( F602="Double Adhesive Tape", I602="Roll-up Screen"), _xlfn.XLOOKUP(C602, calc_rusacc!$C$15:$C$65, calc_rusacc!$AD$15:$AD$65, "",0),AND( F602="Sealant", I602="Roll-up Screen"), _xlfn.XLOOKUP(C602, calc_rusacc!$C$15:$C$65, calc_rusacc!$AF$15:$AF$65, "",0),  AND( F602="Main Chain", I602="Accordion Screen"), _xlfn.XLOOKUP(C602, calc_rusacc!$C$15:$C$65, calc_rusacc!$BF$15:$BF$65, "",0), AND( F602="Sealant", I602="Accordion Screen"), _xlfn.XLOOKUP(C602, calc_rusacc!$C$15:$C$65, calc_rusacc!$BJ$15:$BJ$65, "",0),  F602="Sealant", _xlfn.XLOOKUP(C602, dd_accsrycalc!$A$2:$A$51, dd_accsrycalc!$G$2:$G$51, "",0),  F602&lt;&gt;"",L602*_xlfn.XLOOKUP(1, (SKUs!$C$2:$C$10001=G602)*(SKUs!$K$2:$K$10001=I602),SKUs!$E$2:$E$10001)), 0),"")</f>
        <v/>
      </c>
      <c r="E602" s="35" t="str">
        <f>_xlfn.XLOOKUP(F602,dd_item!$B$2:$B$105,dd_item!$C$2:$C$105,"",0)</f>
        <v/>
      </c>
      <c r="F602" s="35"/>
      <c r="G602" s="35" cm="1">
        <f t="array" ref="G602">IFERROR(_xlfn.XLOOKUP(1, (SKUs!$J$2:$J$10001=accsry_unmerged!F602)*IF(H602&lt;&gt;"",(SKUs!$L$2:$L$10001=accsry_unmerged!H602),1)*(SKUs!$K$2:$K$10001=I602),SKUs!$C$2:$C$10001),"")</f>
        <v>0</v>
      </c>
      <c r="H602" s="36" cm="1">
        <f t="array" ref="H602">IFERROR(_xlfn.XLOOKUP(1, (dd_accsryclr!$C$2:$C$1000=accsry_unmerged!F602)*(dd_accsryclr!$B$2:$B$1000=accsry_unmerged!J602),dd_accsryclr!$A$2:$A$1000),"")</f>
        <v>0</v>
      </c>
      <c r="I602" s="35">
        <f>_xlfn.XLOOKUP(C602,'Project Details'!$C$17:$C$66,'Project Details'!$E$17:$E$66,"",0)</f>
        <v>0</v>
      </c>
      <c r="J602" s="35">
        <f>_xlfn.XLOOKUP(C602,'Project Details'!$C$17:$C$66,'Project Details'!$H$17:$H$66,"",0)</f>
        <v>0</v>
      </c>
      <c r="K602" s="36" t="str">
        <f>IF(AND(_xlfn.XLOOKUP(C602,'Project Details'!$C$17:$C$66,'Project Details'!$L$17:$L$66,"",0)&gt;550, F602="Spring-L27cm"),"",SUBSTITUTE(_xlfn.XLOOKUP(G602,SKUs!$C$2:$C$10001,SKUs!$F$2:$F$10001,"",0), " Accessories",""))</f>
        <v/>
      </c>
      <c r="L602" s="36">
        <f>_xlfn.XLOOKUP(C602,'Project Details'!$C$17:$C$66,'Project Details'!$D$17:$D$66,"",0)</f>
        <v>0</v>
      </c>
      <c r="M602" s="43"/>
    </row>
    <row r="603" spans="1:13" ht="13.5" customHeight="1" outlineLevel="1" x14ac:dyDescent="0.25">
      <c r="A603" s="43"/>
      <c r="B603" s="43"/>
      <c r="C603" s="16">
        <f t="shared" si="10"/>
        <v>12</v>
      </c>
      <c r="D603" s="16" t="str" cm="1">
        <f t="array" ref="D603">IFERROR(ROUNDUP(_xlfn.IFS(F603="Aluminum Track", _xlfn.XLOOKUP(C603, dd_accsrycalc!$A$2:$A$51, dd_accsrycalc!$B$2:$B$51, "",0), F603="10 x 2 1/2 S (Flat)", _xlfn.XLOOKUP(C603, dd_accsrycalc!$A$2:$A$51, dd_accsrycalc!$C$2:$C$51, "",0), F603="Tox6", _xlfn.XLOOKUP(C603, dd_accsrycalc!$A$2:$A$51, dd_accsrycalc!$D$2:$D$51, "",0), F603="Cover Cap", _xlfn.XLOOKUP(C603, dd_accsrycalc!$A$2:$A$51, dd_accsrycalc!$E$2:$E$51, "",0), F603="Drainage Cover", _xlfn.XLOOKUP(C603, dd_accsrycalc!$A$2:$A$51, dd_accsrycalc!$F$2:$F$51, "",0),AND( F603="Double Adhesive Tape", I603="Roll-up Screen"), _xlfn.XLOOKUP(C603, calc_rusacc!$C$15:$C$65, calc_rusacc!$AD$15:$AD$65, "",0),AND( F603="Sealant", I603="Roll-up Screen"), _xlfn.XLOOKUP(C603, calc_rusacc!$C$15:$C$65, calc_rusacc!$AF$15:$AF$65, "",0),  AND( F603="Main Chain", I603="Accordion Screen"), _xlfn.XLOOKUP(C603, calc_rusacc!$C$15:$C$65, calc_rusacc!$BF$15:$BF$65, "",0), AND( F603="Sealant", I603="Accordion Screen"), _xlfn.XLOOKUP(C603, calc_rusacc!$C$15:$C$65, calc_rusacc!$BJ$15:$BJ$65, "",0),  F603="Sealant", _xlfn.XLOOKUP(C603, dd_accsrycalc!$A$2:$A$51, dd_accsrycalc!$G$2:$G$51, "",0),  F603&lt;&gt;"",L603*_xlfn.XLOOKUP(1, (SKUs!$C$2:$C$10001=G603)*(SKUs!$K$2:$K$10001=I603),SKUs!$E$2:$E$10001)), 0),"")</f>
        <v/>
      </c>
      <c r="E603" s="16" t="str">
        <f>_xlfn.XLOOKUP(F603,dd_item!$B$2:$B$105,dd_item!$C$2:$C$105,"",0)</f>
        <v/>
      </c>
      <c r="F603" s="16"/>
      <c r="G603" s="16" cm="1">
        <f t="array" ref="G603">IFERROR(_xlfn.XLOOKUP(1, (SKUs!$J$2:$J$10001=accsry_unmerged!F603)*IF(H603&lt;&gt;"",(SKUs!$L$2:$L$10001=accsry_unmerged!H603),1)*(SKUs!$K$2:$K$10001=I603),SKUs!$C$2:$C$10001),"")</f>
        <v>0</v>
      </c>
      <c r="H603" s="33" cm="1">
        <f t="array" ref="H603">IFERROR(_xlfn.XLOOKUP(1, (dd_accsryclr!$C$2:$C$1000=accsry_unmerged!F603)*(dd_accsryclr!$B$2:$B$1000=accsry_unmerged!J603),dd_accsryclr!$A$2:$A$1000),"")</f>
        <v>0</v>
      </c>
      <c r="I603" s="16">
        <f>_xlfn.XLOOKUP(C603,'Project Details'!$C$17:$C$66,'Project Details'!$E$17:$E$66,"",0)</f>
        <v>0</v>
      </c>
      <c r="J603" s="16">
        <f>_xlfn.XLOOKUP(C603,'Project Details'!$C$17:$C$66,'Project Details'!$H$17:$H$66,"",0)</f>
        <v>0</v>
      </c>
      <c r="K603" s="33" t="str">
        <f>IF(AND(_xlfn.XLOOKUP(C603,'Project Details'!$C$17:$C$66,'Project Details'!$L$17:$L$66,"",0)&gt;550, F603="Spring-L27cm"),"",SUBSTITUTE(_xlfn.XLOOKUP(G603,SKUs!$C$2:$C$10001,SKUs!$F$2:$F$10001,"",0), " Accessories",""))</f>
        <v/>
      </c>
      <c r="L603" s="33">
        <f>_xlfn.XLOOKUP(C603,'Project Details'!$C$17:$C$66,'Project Details'!$D$17:$D$66,"",0)</f>
        <v>0</v>
      </c>
      <c r="M603" s="43"/>
    </row>
    <row r="604" spans="1:13" ht="13.5" customHeight="1" outlineLevel="1" x14ac:dyDescent="0.25">
      <c r="A604" s="43"/>
      <c r="B604" s="43"/>
      <c r="C604" s="35">
        <f t="shared" si="10"/>
        <v>12</v>
      </c>
      <c r="D604" s="35" t="str" cm="1">
        <f t="array" ref="D604">IFERROR(ROUNDUP(_xlfn.IFS(F604="Aluminum Track", _xlfn.XLOOKUP(C604, dd_accsrycalc!$A$2:$A$51, dd_accsrycalc!$B$2:$B$51, "",0), F604="10 x 2 1/2 S (Flat)", _xlfn.XLOOKUP(C604, dd_accsrycalc!$A$2:$A$51, dd_accsrycalc!$C$2:$C$51, "",0), F604="Tox6", _xlfn.XLOOKUP(C604, dd_accsrycalc!$A$2:$A$51, dd_accsrycalc!$D$2:$D$51, "",0), F604="Cover Cap", _xlfn.XLOOKUP(C604, dd_accsrycalc!$A$2:$A$51, dd_accsrycalc!$E$2:$E$51, "",0), F604="Drainage Cover", _xlfn.XLOOKUP(C604, dd_accsrycalc!$A$2:$A$51, dd_accsrycalc!$F$2:$F$51, "",0),AND( F604="Double Adhesive Tape", I604="Roll-up Screen"), _xlfn.XLOOKUP(C604, calc_rusacc!$C$15:$C$65, calc_rusacc!$AD$15:$AD$65, "",0),AND( F604="Sealant", I604="Roll-up Screen"), _xlfn.XLOOKUP(C604, calc_rusacc!$C$15:$C$65, calc_rusacc!$AF$15:$AF$65, "",0),  AND( F604="Main Chain", I604="Accordion Screen"), _xlfn.XLOOKUP(C604, calc_rusacc!$C$15:$C$65, calc_rusacc!$BF$15:$BF$65, "",0), AND( F604="Sealant", I604="Accordion Screen"), _xlfn.XLOOKUP(C604, calc_rusacc!$C$15:$C$65, calc_rusacc!$BJ$15:$BJ$65, "",0),  F604="Sealant", _xlfn.XLOOKUP(C604, dd_accsrycalc!$A$2:$A$51, dd_accsrycalc!$G$2:$G$51, "",0),  F604&lt;&gt;"",L604*_xlfn.XLOOKUP(1, (SKUs!$C$2:$C$10001=G604)*(SKUs!$K$2:$K$10001=I604),SKUs!$E$2:$E$10001)), 0),"")</f>
        <v/>
      </c>
      <c r="E604" s="35" t="str">
        <f>_xlfn.XLOOKUP(F604,dd_item!$B$2:$B$105,dd_item!$C$2:$C$105,"",0)</f>
        <v/>
      </c>
      <c r="F604" s="35"/>
      <c r="G604" s="35" cm="1">
        <f t="array" ref="G604">IFERROR(_xlfn.XLOOKUP(1, (SKUs!$J$2:$J$10001=accsry_unmerged!F604)*IF(H604&lt;&gt;"",(SKUs!$L$2:$L$10001=accsry_unmerged!H604),1)*(SKUs!$K$2:$K$10001=I604),SKUs!$C$2:$C$10001),"")</f>
        <v>0</v>
      </c>
      <c r="H604" s="36" cm="1">
        <f t="array" ref="H604">IFERROR(_xlfn.XLOOKUP(1, (dd_accsryclr!$C$2:$C$1000=accsry_unmerged!F604)*(dd_accsryclr!$B$2:$B$1000=accsry_unmerged!J604),dd_accsryclr!$A$2:$A$1000),"")</f>
        <v>0</v>
      </c>
      <c r="I604" s="35">
        <f>_xlfn.XLOOKUP(C604,'Project Details'!$C$17:$C$66,'Project Details'!$E$17:$E$66,"",0)</f>
        <v>0</v>
      </c>
      <c r="J604" s="35">
        <f>_xlfn.XLOOKUP(C604,'Project Details'!$C$17:$C$66,'Project Details'!$H$17:$H$66,"",0)</f>
        <v>0</v>
      </c>
      <c r="K604" s="36" t="str">
        <f>IF(AND(_xlfn.XLOOKUP(C604,'Project Details'!$C$17:$C$66,'Project Details'!$L$17:$L$66,"",0)&gt;550, F604="Spring-L27cm"),"",SUBSTITUTE(_xlfn.XLOOKUP(G604,SKUs!$C$2:$C$10001,SKUs!$F$2:$F$10001,"",0), " Accessories",""))</f>
        <v/>
      </c>
      <c r="L604" s="36">
        <f>_xlfn.XLOOKUP(C604,'Project Details'!$C$17:$C$66,'Project Details'!$D$17:$D$66,"",0)</f>
        <v>0</v>
      </c>
      <c r="M604" s="43"/>
    </row>
    <row r="605" spans="1:13" ht="13.5" customHeight="1" outlineLevel="1" collapsed="1" x14ac:dyDescent="0.25">
      <c r="A605" s="43"/>
      <c r="B605" s="43"/>
      <c r="C605" s="16">
        <f t="shared" si="10"/>
        <v>12</v>
      </c>
      <c r="D605" s="16" t="str" cm="1">
        <f t="array" ref="D605">IFERROR(ROUNDUP(_xlfn.IFS(F605="Aluminum Track", _xlfn.XLOOKUP(C605, dd_accsrycalc!$A$2:$A$51, dd_accsrycalc!$B$2:$B$51, "",0), F605="10 x 2 1/2 S (Flat)", _xlfn.XLOOKUP(C605, dd_accsrycalc!$A$2:$A$51, dd_accsrycalc!$C$2:$C$51, "",0), F605="Tox6", _xlfn.XLOOKUP(C605, dd_accsrycalc!$A$2:$A$51, dd_accsrycalc!$D$2:$D$51, "",0), F605="Cover Cap", _xlfn.XLOOKUP(C605, dd_accsrycalc!$A$2:$A$51, dd_accsrycalc!$E$2:$E$51, "",0), F605="Drainage Cover", _xlfn.XLOOKUP(C605, dd_accsrycalc!$A$2:$A$51, dd_accsrycalc!$F$2:$F$51, "",0),AND( F605="Double Adhesive Tape", I605="Roll-up Screen"), _xlfn.XLOOKUP(C605, calc_rusacc!$C$15:$C$65, calc_rusacc!$AD$15:$AD$65, "",0),AND( F605="Sealant", I605="Roll-up Screen"), _xlfn.XLOOKUP(C605, calc_rusacc!$C$15:$C$65, calc_rusacc!$AF$15:$AF$65, "",0),  AND( F605="Main Chain", I605="Accordion Screen"), _xlfn.XLOOKUP(C605, calc_rusacc!$C$15:$C$65, calc_rusacc!$BF$15:$BF$65, "",0), AND( F605="Sealant", I605="Accordion Screen"), _xlfn.XLOOKUP(C605, calc_rusacc!$C$15:$C$65, calc_rusacc!$BJ$15:$BJ$65, "",0),  F605="Sealant", _xlfn.XLOOKUP(C605, dd_accsrycalc!$A$2:$A$51, dd_accsrycalc!$G$2:$G$51, "",0),  F605&lt;&gt;"",L605*_xlfn.XLOOKUP(1, (SKUs!$C$2:$C$10001=G605)*(SKUs!$K$2:$K$10001=I605),SKUs!$E$2:$E$10001)), 0),"")</f>
        <v/>
      </c>
      <c r="E605" s="16" t="str">
        <f>_xlfn.XLOOKUP(F605,dd_item!$B$2:$B$105,dd_item!$C$2:$C$105,"",0)</f>
        <v/>
      </c>
      <c r="F605" s="16"/>
      <c r="G605" s="16" cm="1">
        <f t="array" ref="G605">IFERROR(_xlfn.XLOOKUP(1, (SKUs!$J$2:$J$10001=accsry_unmerged!F605)*IF(H605&lt;&gt;"",(SKUs!$L$2:$L$10001=accsry_unmerged!H605),1)*(SKUs!$K$2:$K$10001=I605),SKUs!$C$2:$C$10001),"")</f>
        <v>0</v>
      </c>
      <c r="H605" s="33" cm="1">
        <f t="array" ref="H605">IFERROR(_xlfn.XLOOKUP(1, (dd_accsryclr!$C$2:$C$1000=accsry_unmerged!F605)*(dd_accsryclr!$B$2:$B$1000=accsry_unmerged!J605),dd_accsryclr!$A$2:$A$1000),"")</f>
        <v>0</v>
      </c>
      <c r="I605" s="16">
        <f>_xlfn.XLOOKUP(C605,'Project Details'!$C$17:$C$66,'Project Details'!$E$17:$E$66,"",0)</f>
        <v>0</v>
      </c>
      <c r="J605" s="16">
        <f>_xlfn.XLOOKUP(C605,'Project Details'!$C$17:$C$66,'Project Details'!$H$17:$H$66,"",0)</f>
        <v>0</v>
      </c>
      <c r="K605" s="33" t="str">
        <f>IF(AND(_xlfn.XLOOKUP(C605,'Project Details'!$C$17:$C$66,'Project Details'!$L$17:$L$66,"",0)&gt;550, F605="Spring-L27cm"),"",SUBSTITUTE(_xlfn.XLOOKUP(G605,SKUs!$C$2:$C$10001,SKUs!$F$2:$F$10001,"",0), " Accessories",""))</f>
        <v/>
      </c>
      <c r="L605" s="33">
        <f>_xlfn.XLOOKUP(C605,'Project Details'!$C$17:$C$66,'Project Details'!$D$17:$D$66,"",0)</f>
        <v>0</v>
      </c>
      <c r="M605" s="43"/>
    </row>
    <row r="606" spans="1:13" ht="13.5" customHeight="1" outlineLevel="1" x14ac:dyDescent="0.25">
      <c r="A606" s="43"/>
      <c r="B606" s="43"/>
      <c r="C606" s="35">
        <f t="shared" si="10"/>
        <v>12</v>
      </c>
      <c r="D606" s="35" t="str" cm="1">
        <f t="array" ref="D606">IFERROR(ROUNDUP(_xlfn.IFS(F606="Aluminum Track", _xlfn.XLOOKUP(C606, dd_accsrycalc!$A$2:$A$51, dd_accsrycalc!$B$2:$B$51, "",0), F606="10 x 2 1/2 S (Flat)", _xlfn.XLOOKUP(C606, dd_accsrycalc!$A$2:$A$51, dd_accsrycalc!$C$2:$C$51, "",0), F606="Tox6", _xlfn.XLOOKUP(C606, dd_accsrycalc!$A$2:$A$51, dd_accsrycalc!$D$2:$D$51, "",0), F606="Cover Cap", _xlfn.XLOOKUP(C606, dd_accsrycalc!$A$2:$A$51, dd_accsrycalc!$E$2:$E$51, "",0), F606="Drainage Cover", _xlfn.XLOOKUP(C606, dd_accsrycalc!$A$2:$A$51, dd_accsrycalc!$F$2:$F$51, "",0),AND( F606="Double Adhesive Tape", I606="Roll-up Screen"), _xlfn.XLOOKUP(C606, calc_rusacc!$C$15:$C$65, calc_rusacc!$AD$15:$AD$65, "",0),AND( F606="Sealant", I606="Roll-up Screen"), _xlfn.XLOOKUP(C606, calc_rusacc!$C$15:$C$65, calc_rusacc!$AF$15:$AF$65, "",0),  AND( F606="Main Chain", I606="Accordion Screen"), _xlfn.XLOOKUP(C606, calc_rusacc!$C$15:$C$65, calc_rusacc!$BF$15:$BF$65, "",0), AND( F606="Sealant", I606="Accordion Screen"), _xlfn.XLOOKUP(C606, calc_rusacc!$C$15:$C$65, calc_rusacc!$BJ$15:$BJ$65, "",0),  F606="Sealant", _xlfn.XLOOKUP(C606, dd_accsrycalc!$A$2:$A$51, dd_accsrycalc!$G$2:$G$51, "",0),  F606&lt;&gt;"",L606*_xlfn.XLOOKUP(1, (SKUs!$C$2:$C$10001=G606)*(SKUs!$K$2:$K$10001=I606),SKUs!$E$2:$E$10001)), 0),"")</f>
        <v/>
      </c>
      <c r="E606" s="35" t="str">
        <f>_xlfn.XLOOKUP(F606,dd_item!$B$2:$B$105,dd_item!$C$2:$C$105,"",0)</f>
        <v/>
      </c>
      <c r="F606" s="35"/>
      <c r="G606" s="35" cm="1">
        <f t="array" ref="G606">IFERROR(_xlfn.XLOOKUP(1, (SKUs!$J$2:$J$10001=accsry_unmerged!F606)*IF(H606&lt;&gt;"",(SKUs!$L$2:$L$10001=accsry_unmerged!H606),1)*(SKUs!$K$2:$K$10001=I606),SKUs!$C$2:$C$10001),"")</f>
        <v>0</v>
      </c>
      <c r="H606" s="36" cm="1">
        <f t="array" ref="H606">IFERROR(_xlfn.XLOOKUP(1, (dd_accsryclr!$C$2:$C$1000=accsry_unmerged!F606)*(dd_accsryclr!$B$2:$B$1000=accsry_unmerged!J606),dd_accsryclr!$A$2:$A$1000),"")</f>
        <v>0</v>
      </c>
      <c r="I606" s="35">
        <f>_xlfn.XLOOKUP(C606,'Project Details'!$C$17:$C$66,'Project Details'!$E$17:$E$66,"",0)</f>
        <v>0</v>
      </c>
      <c r="J606" s="35">
        <f>_xlfn.XLOOKUP(C606,'Project Details'!$C$17:$C$66,'Project Details'!$H$17:$H$66,"",0)</f>
        <v>0</v>
      </c>
      <c r="K606" s="36" t="str">
        <f>IF(AND(_xlfn.XLOOKUP(C606,'Project Details'!$C$17:$C$66,'Project Details'!$L$17:$L$66,"",0)&gt;550, F606="Spring-L27cm"),"",SUBSTITUTE(_xlfn.XLOOKUP(G606,SKUs!$C$2:$C$10001,SKUs!$F$2:$F$10001,"",0), " Accessories",""))</f>
        <v/>
      </c>
      <c r="L606" s="36">
        <f>_xlfn.XLOOKUP(C606,'Project Details'!$C$17:$C$66,'Project Details'!$D$17:$D$66,"",0)</f>
        <v>0</v>
      </c>
      <c r="M606" s="43"/>
    </row>
    <row r="607" spans="1:13" ht="13.5" customHeight="1" outlineLevel="1" x14ac:dyDescent="0.25">
      <c r="A607" s="43"/>
      <c r="B607" s="43"/>
      <c r="C607" s="16">
        <f t="shared" si="10"/>
        <v>12</v>
      </c>
      <c r="D607" s="16" t="str" cm="1">
        <f t="array" ref="D607">IFERROR(ROUNDUP(_xlfn.IFS(F607="Aluminum Track", _xlfn.XLOOKUP(C607, dd_accsrycalc!$A$2:$A$51, dd_accsrycalc!$B$2:$B$51, "",0), F607="10 x 2 1/2 S (Flat)", _xlfn.XLOOKUP(C607, dd_accsrycalc!$A$2:$A$51, dd_accsrycalc!$C$2:$C$51, "",0), F607="Tox6", _xlfn.XLOOKUP(C607, dd_accsrycalc!$A$2:$A$51, dd_accsrycalc!$D$2:$D$51, "",0), F607="Cover Cap", _xlfn.XLOOKUP(C607, dd_accsrycalc!$A$2:$A$51, dd_accsrycalc!$E$2:$E$51, "",0), F607="Drainage Cover", _xlfn.XLOOKUP(C607, dd_accsrycalc!$A$2:$A$51, dd_accsrycalc!$F$2:$F$51, "",0),AND( F607="Double Adhesive Tape", I607="Roll-up Screen"), _xlfn.XLOOKUP(C607, calc_rusacc!$C$15:$C$65, calc_rusacc!$AD$15:$AD$65, "",0),AND( F607="Sealant", I607="Roll-up Screen"), _xlfn.XLOOKUP(C607, calc_rusacc!$C$15:$C$65, calc_rusacc!$AF$15:$AF$65, "",0),  AND( F607="Main Chain", I607="Accordion Screen"), _xlfn.XLOOKUP(C607, calc_rusacc!$C$15:$C$65, calc_rusacc!$BF$15:$BF$65, "",0), AND( F607="Sealant", I607="Accordion Screen"), _xlfn.XLOOKUP(C607, calc_rusacc!$C$15:$C$65, calc_rusacc!$BJ$15:$BJ$65, "",0),  F607="Sealant", _xlfn.XLOOKUP(C607, dd_accsrycalc!$A$2:$A$51, dd_accsrycalc!$G$2:$G$51, "",0),  F607&lt;&gt;"",L607*_xlfn.XLOOKUP(1, (SKUs!$C$2:$C$10001=G607)*(SKUs!$K$2:$K$10001=I607),SKUs!$E$2:$E$10001)), 0),"")</f>
        <v/>
      </c>
      <c r="E607" s="16" t="str">
        <f>_xlfn.XLOOKUP(F607,dd_item!$B$2:$B$105,dd_item!$C$2:$C$105,"",0)</f>
        <v/>
      </c>
      <c r="F607" s="16"/>
      <c r="G607" s="16" cm="1">
        <f t="array" ref="G607">IFERROR(_xlfn.XLOOKUP(1, (SKUs!$J$2:$J$10001=accsry_unmerged!F607)*IF(H607&lt;&gt;"",(SKUs!$L$2:$L$10001=accsry_unmerged!H607),1)*(SKUs!$K$2:$K$10001=I607),SKUs!$C$2:$C$10001),"")</f>
        <v>0</v>
      </c>
      <c r="H607" s="33" cm="1">
        <f t="array" ref="H607">IFERROR(_xlfn.XLOOKUP(1, (dd_accsryclr!$C$2:$C$1000=accsry_unmerged!F607)*(dd_accsryclr!$B$2:$B$1000=accsry_unmerged!J607),dd_accsryclr!$A$2:$A$1000),"")</f>
        <v>0</v>
      </c>
      <c r="I607" s="16">
        <f>_xlfn.XLOOKUP(C607,'Project Details'!$C$17:$C$66,'Project Details'!$E$17:$E$66,"",0)</f>
        <v>0</v>
      </c>
      <c r="J607" s="16">
        <f>_xlfn.XLOOKUP(C607,'Project Details'!$C$17:$C$66,'Project Details'!$H$17:$H$66,"",0)</f>
        <v>0</v>
      </c>
      <c r="K607" s="33" t="str">
        <f>IF(AND(_xlfn.XLOOKUP(C607,'Project Details'!$C$17:$C$66,'Project Details'!$L$17:$L$66,"",0)&gt;550, F607="Spring-L27cm"),"",SUBSTITUTE(_xlfn.XLOOKUP(G607,SKUs!$C$2:$C$10001,SKUs!$F$2:$F$10001,"",0), " Accessories",""))</f>
        <v/>
      </c>
      <c r="L607" s="33">
        <f>_xlfn.XLOOKUP(C607,'Project Details'!$C$17:$C$66,'Project Details'!$D$17:$D$66,"",0)</f>
        <v>0</v>
      </c>
      <c r="M607" s="43"/>
    </row>
    <row r="608" spans="1:13" ht="13.5" customHeight="1" outlineLevel="1" x14ac:dyDescent="0.25">
      <c r="A608" s="43"/>
      <c r="B608" s="43"/>
      <c r="C608" s="35">
        <f t="shared" si="10"/>
        <v>12</v>
      </c>
      <c r="D608" s="35" t="str" cm="1">
        <f t="array" ref="D608">IFERROR(ROUNDUP(_xlfn.IFS(F608="Aluminum Track", _xlfn.XLOOKUP(C608, dd_accsrycalc!$A$2:$A$51, dd_accsrycalc!$B$2:$B$51, "",0), F608="10 x 2 1/2 S (Flat)", _xlfn.XLOOKUP(C608, dd_accsrycalc!$A$2:$A$51, dd_accsrycalc!$C$2:$C$51, "",0), F608="Tox6", _xlfn.XLOOKUP(C608, dd_accsrycalc!$A$2:$A$51, dd_accsrycalc!$D$2:$D$51, "",0), F608="Cover Cap", _xlfn.XLOOKUP(C608, dd_accsrycalc!$A$2:$A$51, dd_accsrycalc!$E$2:$E$51, "",0), F608="Drainage Cover", _xlfn.XLOOKUP(C608, dd_accsrycalc!$A$2:$A$51, dd_accsrycalc!$F$2:$F$51, "",0),AND( F608="Double Adhesive Tape", I608="Roll-up Screen"), _xlfn.XLOOKUP(C608, calc_rusacc!$C$15:$C$65, calc_rusacc!$AD$15:$AD$65, "",0),AND( F608="Sealant", I608="Roll-up Screen"), _xlfn.XLOOKUP(C608, calc_rusacc!$C$15:$C$65, calc_rusacc!$AF$15:$AF$65, "",0),  AND( F608="Main Chain", I608="Accordion Screen"), _xlfn.XLOOKUP(C608, calc_rusacc!$C$15:$C$65, calc_rusacc!$BF$15:$BF$65, "",0), AND( F608="Sealant", I608="Accordion Screen"), _xlfn.XLOOKUP(C608, calc_rusacc!$C$15:$C$65, calc_rusacc!$BJ$15:$BJ$65, "",0),  F608="Sealant", _xlfn.XLOOKUP(C608, dd_accsrycalc!$A$2:$A$51, dd_accsrycalc!$G$2:$G$51, "",0),  F608&lt;&gt;"",L608*_xlfn.XLOOKUP(1, (SKUs!$C$2:$C$10001=G608)*(SKUs!$K$2:$K$10001=I608),SKUs!$E$2:$E$10001)), 0),"")</f>
        <v/>
      </c>
      <c r="E608" s="35" t="str">
        <f>_xlfn.XLOOKUP(F608,dd_item!$B$2:$B$105,dd_item!$C$2:$C$105,"",0)</f>
        <v/>
      </c>
      <c r="F608" s="35"/>
      <c r="G608" s="35" cm="1">
        <f t="array" ref="G608">IFERROR(_xlfn.XLOOKUP(1, (SKUs!$J$2:$J$10001=accsry_unmerged!F608)*IF(H608&lt;&gt;"",(SKUs!$L$2:$L$10001=accsry_unmerged!H608),1)*(SKUs!$K$2:$K$10001=I608),SKUs!$C$2:$C$10001),"")</f>
        <v>0</v>
      </c>
      <c r="H608" s="36" cm="1">
        <f t="array" ref="H608">IFERROR(_xlfn.XLOOKUP(1, (dd_accsryclr!$C$2:$C$1000=accsry_unmerged!F608)*(dd_accsryclr!$B$2:$B$1000=accsry_unmerged!J608),dd_accsryclr!$A$2:$A$1000),"")</f>
        <v>0</v>
      </c>
      <c r="I608" s="35">
        <f>_xlfn.XLOOKUP(C608,'Project Details'!$C$17:$C$66,'Project Details'!$E$17:$E$66,"",0)</f>
        <v>0</v>
      </c>
      <c r="J608" s="35">
        <f>_xlfn.XLOOKUP(C608,'Project Details'!$C$17:$C$66,'Project Details'!$H$17:$H$66,"",0)</f>
        <v>0</v>
      </c>
      <c r="K608" s="36" t="str">
        <f>IF(AND(_xlfn.XLOOKUP(C608,'Project Details'!$C$17:$C$66,'Project Details'!$L$17:$L$66,"",0)&gt;550, F608="Spring-L27cm"),"",SUBSTITUTE(_xlfn.XLOOKUP(G608,SKUs!$C$2:$C$10001,SKUs!$F$2:$F$10001,"",0), " Accessories",""))</f>
        <v/>
      </c>
      <c r="L608" s="36">
        <f>_xlfn.XLOOKUP(C608,'Project Details'!$C$17:$C$66,'Project Details'!$D$17:$D$66,"",0)</f>
        <v>0</v>
      </c>
      <c r="M608" s="43"/>
    </row>
    <row r="609" spans="1:13" ht="13.5" customHeight="1" outlineLevel="1" x14ac:dyDescent="0.25">
      <c r="A609" s="43"/>
      <c r="B609" s="43"/>
      <c r="C609" s="16">
        <f t="shared" si="10"/>
        <v>12</v>
      </c>
      <c r="D609" s="16" t="str" cm="1">
        <f t="array" ref="D609">IFERROR(ROUNDUP(_xlfn.IFS(F609="Aluminum Track", _xlfn.XLOOKUP(C609, dd_accsrycalc!$A$2:$A$51, dd_accsrycalc!$B$2:$B$51, "",0), F609="10 x 2 1/2 S (Flat)", _xlfn.XLOOKUP(C609, dd_accsrycalc!$A$2:$A$51, dd_accsrycalc!$C$2:$C$51, "",0), F609="Tox6", _xlfn.XLOOKUP(C609, dd_accsrycalc!$A$2:$A$51, dd_accsrycalc!$D$2:$D$51, "",0), F609="Cover Cap", _xlfn.XLOOKUP(C609, dd_accsrycalc!$A$2:$A$51, dd_accsrycalc!$E$2:$E$51, "",0), F609="Drainage Cover", _xlfn.XLOOKUP(C609, dd_accsrycalc!$A$2:$A$51, dd_accsrycalc!$F$2:$F$51, "",0),AND( F609="Double Adhesive Tape", I609="Roll-up Screen"), _xlfn.XLOOKUP(C609, calc_rusacc!$C$15:$C$65, calc_rusacc!$AD$15:$AD$65, "",0),AND( F609="Sealant", I609="Roll-up Screen"), _xlfn.XLOOKUP(C609, calc_rusacc!$C$15:$C$65, calc_rusacc!$AF$15:$AF$65, "",0),  AND( F609="Main Chain", I609="Accordion Screen"), _xlfn.XLOOKUP(C609, calc_rusacc!$C$15:$C$65, calc_rusacc!$BF$15:$BF$65, "",0), AND( F609="Sealant", I609="Accordion Screen"), _xlfn.XLOOKUP(C609, calc_rusacc!$C$15:$C$65, calc_rusacc!$BJ$15:$BJ$65, "",0),  F609="Sealant", _xlfn.XLOOKUP(C609, dd_accsrycalc!$A$2:$A$51, dd_accsrycalc!$G$2:$G$51, "",0),  F609&lt;&gt;"",L609*_xlfn.XLOOKUP(1, (SKUs!$C$2:$C$10001=G609)*(SKUs!$K$2:$K$10001=I609),SKUs!$E$2:$E$10001)), 0),"")</f>
        <v/>
      </c>
      <c r="E609" s="16" t="str">
        <f>_xlfn.XLOOKUP(F609,dd_item!$B$2:$B$105,dd_item!$C$2:$C$105,"",0)</f>
        <v/>
      </c>
      <c r="F609" s="16"/>
      <c r="G609" s="16" cm="1">
        <f t="array" ref="G609">IFERROR(_xlfn.XLOOKUP(1, (SKUs!$J$2:$J$10001=accsry_unmerged!F609)*IF(H609&lt;&gt;"",(SKUs!$L$2:$L$10001=accsry_unmerged!H609),1)*(SKUs!$K$2:$K$10001=I609),SKUs!$C$2:$C$10001),"")</f>
        <v>0</v>
      </c>
      <c r="H609" s="33" cm="1">
        <f t="array" ref="H609">IFERROR(_xlfn.XLOOKUP(1, (dd_accsryclr!$C$2:$C$1000=accsry_unmerged!F609)*(dd_accsryclr!$B$2:$B$1000=accsry_unmerged!J609),dd_accsryclr!$A$2:$A$1000),"")</f>
        <v>0</v>
      </c>
      <c r="I609" s="16">
        <f>_xlfn.XLOOKUP(C609,'Project Details'!$C$17:$C$66,'Project Details'!$E$17:$E$66,"",0)</f>
        <v>0</v>
      </c>
      <c r="J609" s="16">
        <f>_xlfn.XLOOKUP(C609,'Project Details'!$C$17:$C$66,'Project Details'!$H$17:$H$66,"",0)</f>
        <v>0</v>
      </c>
      <c r="K609" s="33" t="str">
        <f>IF(AND(_xlfn.XLOOKUP(C609,'Project Details'!$C$17:$C$66,'Project Details'!$L$17:$L$66,"",0)&gt;550, F609="Spring-L27cm"),"",SUBSTITUTE(_xlfn.XLOOKUP(G609,SKUs!$C$2:$C$10001,SKUs!$F$2:$F$10001,"",0), " Accessories",""))</f>
        <v/>
      </c>
      <c r="L609" s="33">
        <f>_xlfn.XLOOKUP(C609,'Project Details'!$C$17:$C$66,'Project Details'!$D$17:$D$66,"",0)</f>
        <v>0</v>
      </c>
      <c r="M609" s="43"/>
    </row>
    <row r="610" spans="1:13" ht="13.5" customHeight="1" outlineLevel="1" x14ac:dyDescent="0.25">
      <c r="A610" s="43"/>
      <c r="B610" s="43"/>
      <c r="C610" s="35">
        <f t="shared" si="10"/>
        <v>12</v>
      </c>
      <c r="D610" s="35" t="str" cm="1">
        <f t="array" ref="D610">IFERROR(ROUNDUP(_xlfn.IFS(F610="Aluminum Track", _xlfn.XLOOKUP(C610, dd_accsrycalc!$A$2:$A$51, dd_accsrycalc!$B$2:$B$51, "",0), F610="10 x 2 1/2 S (Flat)", _xlfn.XLOOKUP(C610, dd_accsrycalc!$A$2:$A$51, dd_accsrycalc!$C$2:$C$51, "",0), F610="Tox6", _xlfn.XLOOKUP(C610, dd_accsrycalc!$A$2:$A$51, dd_accsrycalc!$D$2:$D$51, "",0), F610="Cover Cap", _xlfn.XLOOKUP(C610, dd_accsrycalc!$A$2:$A$51, dd_accsrycalc!$E$2:$E$51, "",0), F610="Drainage Cover", _xlfn.XLOOKUP(C610, dd_accsrycalc!$A$2:$A$51, dd_accsrycalc!$F$2:$F$51, "",0),AND( F610="Double Adhesive Tape", I610="Roll-up Screen"), _xlfn.XLOOKUP(C610, calc_rusacc!$C$15:$C$65, calc_rusacc!$AD$15:$AD$65, "",0),AND( F610="Sealant", I610="Roll-up Screen"), _xlfn.XLOOKUP(C610, calc_rusacc!$C$15:$C$65, calc_rusacc!$AF$15:$AF$65, "",0),  AND( F610="Main Chain", I610="Accordion Screen"), _xlfn.XLOOKUP(C610, calc_rusacc!$C$15:$C$65, calc_rusacc!$BF$15:$BF$65, "",0), AND( F610="Sealant", I610="Accordion Screen"), _xlfn.XLOOKUP(C610, calc_rusacc!$C$15:$C$65, calc_rusacc!$BJ$15:$BJ$65, "",0),  F610="Sealant", _xlfn.XLOOKUP(C610, dd_accsrycalc!$A$2:$A$51, dd_accsrycalc!$G$2:$G$51, "",0),  F610&lt;&gt;"",L610*_xlfn.XLOOKUP(1, (SKUs!$C$2:$C$10001=G610)*(SKUs!$K$2:$K$10001=I610),SKUs!$E$2:$E$10001)), 0),"")</f>
        <v/>
      </c>
      <c r="E610" s="35" t="str">
        <f>_xlfn.XLOOKUP(F610,dd_item!$B$2:$B$105,dd_item!$C$2:$C$105,"",0)</f>
        <v/>
      </c>
      <c r="F610" s="35"/>
      <c r="G610" s="35" cm="1">
        <f t="array" ref="G610">IFERROR(_xlfn.XLOOKUP(1, (SKUs!$J$2:$J$10001=accsry_unmerged!F610)*IF(H610&lt;&gt;"",(SKUs!$L$2:$L$10001=accsry_unmerged!H610),1)*(SKUs!$K$2:$K$10001=I610),SKUs!$C$2:$C$10001),"")</f>
        <v>0</v>
      </c>
      <c r="H610" s="36" cm="1">
        <f t="array" ref="H610">IFERROR(_xlfn.XLOOKUP(1, (dd_accsryclr!$C$2:$C$1000=accsry_unmerged!F610)*(dd_accsryclr!$B$2:$B$1000=accsry_unmerged!J610),dd_accsryclr!$A$2:$A$1000),"")</f>
        <v>0</v>
      </c>
      <c r="I610" s="35">
        <f>_xlfn.XLOOKUP(C610,'Project Details'!$C$17:$C$66,'Project Details'!$E$17:$E$66,"",0)</f>
        <v>0</v>
      </c>
      <c r="J610" s="35">
        <f>_xlfn.XLOOKUP(C610,'Project Details'!$C$17:$C$66,'Project Details'!$H$17:$H$66,"",0)</f>
        <v>0</v>
      </c>
      <c r="K610" s="36" t="str">
        <f>IF(AND(_xlfn.XLOOKUP(C610,'Project Details'!$C$17:$C$66,'Project Details'!$L$17:$L$66,"",0)&gt;550, F610="Spring-L27cm"),"",SUBSTITUTE(_xlfn.XLOOKUP(G610,SKUs!$C$2:$C$10001,SKUs!$F$2:$F$10001,"",0), " Accessories",""))</f>
        <v/>
      </c>
      <c r="L610" s="36">
        <f>_xlfn.XLOOKUP(C610,'Project Details'!$C$17:$C$66,'Project Details'!$D$17:$D$66,"",0)</f>
        <v>0</v>
      </c>
      <c r="M610" s="43"/>
    </row>
    <row r="611" spans="1:13" ht="13.5" customHeight="1" outlineLevel="1" x14ac:dyDescent="0.25">
      <c r="A611" s="43"/>
      <c r="B611" s="43"/>
      <c r="C611" s="16">
        <f t="shared" si="10"/>
        <v>12</v>
      </c>
      <c r="D611" s="16" t="str" cm="1">
        <f t="array" ref="D611">IFERROR(ROUNDUP(_xlfn.IFS(F611="Aluminum Track", _xlfn.XLOOKUP(C611, dd_accsrycalc!$A$2:$A$51, dd_accsrycalc!$B$2:$B$51, "",0), F611="10 x 2 1/2 S (Flat)", _xlfn.XLOOKUP(C611, dd_accsrycalc!$A$2:$A$51, dd_accsrycalc!$C$2:$C$51, "",0), F611="Tox6", _xlfn.XLOOKUP(C611, dd_accsrycalc!$A$2:$A$51, dd_accsrycalc!$D$2:$D$51, "",0), F611="Cover Cap", _xlfn.XLOOKUP(C611, dd_accsrycalc!$A$2:$A$51, dd_accsrycalc!$E$2:$E$51, "",0), F611="Drainage Cover", _xlfn.XLOOKUP(C611, dd_accsrycalc!$A$2:$A$51, dd_accsrycalc!$F$2:$F$51, "",0),AND( F611="Double Adhesive Tape", I611="Roll-up Screen"), _xlfn.XLOOKUP(C611, calc_rusacc!$C$15:$C$65, calc_rusacc!$AD$15:$AD$65, "",0),AND( F611="Sealant", I611="Roll-up Screen"), _xlfn.XLOOKUP(C611, calc_rusacc!$C$15:$C$65, calc_rusacc!$AF$15:$AF$65, "",0),  AND( F611="Main Chain", I611="Accordion Screen"), _xlfn.XLOOKUP(C611, calc_rusacc!$C$15:$C$65, calc_rusacc!$BF$15:$BF$65, "",0), AND( F611="Sealant", I611="Accordion Screen"), _xlfn.XLOOKUP(C611, calc_rusacc!$C$15:$C$65, calc_rusacc!$BJ$15:$BJ$65, "",0),  F611="Sealant", _xlfn.XLOOKUP(C611, dd_accsrycalc!$A$2:$A$51, dd_accsrycalc!$G$2:$G$51, "",0),  F611&lt;&gt;"",L611*_xlfn.XLOOKUP(1, (SKUs!$C$2:$C$10001=G611)*(SKUs!$K$2:$K$10001=I611),SKUs!$E$2:$E$10001)), 0),"")</f>
        <v/>
      </c>
      <c r="E611" s="16" t="str">
        <f>_xlfn.XLOOKUP(F611,dd_item!$B$2:$B$105,dd_item!$C$2:$C$105,"",0)</f>
        <v/>
      </c>
      <c r="F611" s="16"/>
      <c r="G611" s="16" cm="1">
        <f t="array" ref="G611">IFERROR(_xlfn.XLOOKUP(1, (SKUs!$J$2:$J$10001=accsry_unmerged!F611)*IF(H611&lt;&gt;"",(SKUs!$L$2:$L$10001=accsry_unmerged!H611),1)*(SKUs!$K$2:$K$10001=I611),SKUs!$C$2:$C$10001),"")</f>
        <v>0</v>
      </c>
      <c r="H611" s="33" cm="1">
        <f t="array" ref="H611">IFERROR(_xlfn.XLOOKUP(1, (dd_accsryclr!$C$2:$C$1000=accsry_unmerged!F611)*(dd_accsryclr!$B$2:$B$1000=accsry_unmerged!J611),dd_accsryclr!$A$2:$A$1000),"")</f>
        <v>0</v>
      </c>
      <c r="I611" s="16">
        <f>_xlfn.XLOOKUP(C611,'Project Details'!$C$17:$C$66,'Project Details'!$E$17:$E$66,"",0)</f>
        <v>0</v>
      </c>
      <c r="J611" s="16">
        <f>_xlfn.XLOOKUP(C611,'Project Details'!$C$17:$C$66,'Project Details'!$H$17:$H$66,"",0)</f>
        <v>0</v>
      </c>
      <c r="K611" s="33" t="str">
        <f>IF(AND(_xlfn.XLOOKUP(C611,'Project Details'!$C$17:$C$66,'Project Details'!$L$17:$L$66,"",0)&gt;550, F611="Spring-L27cm"),"",SUBSTITUTE(_xlfn.XLOOKUP(G611,SKUs!$C$2:$C$10001,SKUs!$F$2:$F$10001,"",0), " Accessories",""))</f>
        <v/>
      </c>
      <c r="L611" s="33">
        <f>_xlfn.XLOOKUP(C611,'Project Details'!$C$17:$C$66,'Project Details'!$D$17:$D$66,"",0)</f>
        <v>0</v>
      </c>
      <c r="M611" s="43"/>
    </row>
    <row r="612" spans="1:13" ht="13.5" customHeight="1" outlineLevel="1" x14ac:dyDescent="0.25">
      <c r="A612" s="43"/>
      <c r="B612" s="43"/>
      <c r="C612" s="35">
        <f t="shared" si="10"/>
        <v>12</v>
      </c>
      <c r="D612" s="35" t="str" cm="1">
        <f t="array" ref="D612">IFERROR(ROUNDUP(_xlfn.IFS(F612="Aluminum Track", _xlfn.XLOOKUP(C612, dd_accsrycalc!$A$2:$A$51, dd_accsrycalc!$B$2:$B$51, "",0), F612="10 x 2 1/2 S (Flat)", _xlfn.XLOOKUP(C612, dd_accsrycalc!$A$2:$A$51, dd_accsrycalc!$C$2:$C$51, "",0), F612="Tox6", _xlfn.XLOOKUP(C612, dd_accsrycalc!$A$2:$A$51, dd_accsrycalc!$D$2:$D$51, "",0), F612="Cover Cap", _xlfn.XLOOKUP(C612, dd_accsrycalc!$A$2:$A$51, dd_accsrycalc!$E$2:$E$51, "",0), F612="Drainage Cover", _xlfn.XLOOKUP(C612, dd_accsrycalc!$A$2:$A$51, dd_accsrycalc!$F$2:$F$51, "",0),AND( F612="Double Adhesive Tape", I612="Roll-up Screen"), _xlfn.XLOOKUP(C612, calc_rusacc!$C$15:$C$65, calc_rusacc!$AD$15:$AD$65, "",0),AND( F612="Sealant", I612="Roll-up Screen"), _xlfn.XLOOKUP(C612, calc_rusacc!$C$15:$C$65, calc_rusacc!$AF$15:$AF$65, "",0),  AND( F612="Main Chain", I612="Accordion Screen"), _xlfn.XLOOKUP(C612, calc_rusacc!$C$15:$C$65, calc_rusacc!$BF$15:$BF$65, "",0), AND( F612="Sealant", I612="Accordion Screen"), _xlfn.XLOOKUP(C612, calc_rusacc!$C$15:$C$65, calc_rusacc!$BJ$15:$BJ$65, "",0),  F612="Sealant", _xlfn.XLOOKUP(C612, dd_accsrycalc!$A$2:$A$51, dd_accsrycalc!$G$2:$G$51, "",0),  F612&lt;&gt;"",L612*_xlfn.XLOOKUP(1, (SKUs!$C$2:$C$10001=G612)*(SKUs!$K$2:$K$10001=I612),SKUs!$E$2:$E$10001)), 0),"")</f>
        <v/>
      </c>
      <c r="E612" s="35" t="str">
        <f>_xlfn.XLOOKUP(F612,dd_item!$B$2:$B$105,dd_item!$C$2:$C$105,"",0)</f>
        <v/>
      </c>
      <c r="F612" s="35"/>
      <c r="G612" s="35" cm="1">
        <f t="array" ref="G612">IFERROR(_xlfn.XLOOKUP(1, (SKUs!$J$2:$J$10001=accsry_unmerged!F612)*IF(H612&lt;&gt;"",(SKUs!$L$2:$L$10001=accsry_unmerged!H612),1)*(SKUs!$K$2:$K$10001=I612),SKUs!$C$2:$C$10001),"")</f>
        <v>0</v>
      </c>
      <c r="H612" s="36" cm="1">
        <f t="array" ref="H612">IFERROR(_xlfn.XLOOKUP(1, (dd_accsryclr!$C$2:$C$1000=accsry_unmerged!F612)*(dd_accsryclr!$B$2:$B$1000=accsry_unmerged!J612),dd_accsryclr!$A$2:$A$1000),"")</f>
        <v>0</v>
      </c>
      <c r="I612" s="35">
        <f>_xlfn.XLOOKUP(C612,'Project Details'!$C$17:$C$66,'Project Details'!$E$17:$E$66,"",0)</f>
        <v>0</v>
      </c>
      <c r="J612" s="35">
        <f>_xlfn.XLOOKUP(C612,'Project Details'!$C$17:$C$66,'Project Details'!$H$17:$H$66,"",0)</f>
        <v>0</v>
      </c>
      <c r="K612" s="36" t="str">
        <f>IF(AND(_xlfn.XLOOKUP(C612,'Project Details'!$C$17:$C$66,'Project Details'!$L$17:$L$66,"",0)&gt;550, F612="Spring-L27cm"),"",SUBSTITUTE(_xlfn.XLOOKUP(G612,SKUs!$C$2:$C$10001,SKUs!$F$2:$F$10001,"",0), " Accessories",""))</f>
        <v/>
      </c>
      <c r="L612" s="36">
        <f>_xlfn.XLOOKUP(C612,'Project Details'!$C$17:$C$66,'Project Details'!$D$17:$D$66,"",0)</f>
        <v>0</v>
      </c>
      <c r="M612" s="43"/>
    </row>
    <row r="613" spans="1:13" ht="13.5" customHeight="1" outlineLevel="1" x14ac:dyDescent="0.25">
      <c r="A613" s="43"/>
      <c r="B613" s="43"/>
      <c r="C613" s="16">
        <f t="shared" si="10"/>
        <v>12</v>
      </c>
      <c r="D613" s="16" t="str" cm="1">
        <f t="array" ref="D613">IFERROR(ROUNDUP(_xlfn.IFS(F613="Aluminum Track", _xlfn.XLOOKUP(C613, dd_accsrycalc!$A$2:$A$51, dd_accsrycalc!$B$2:$B$51, "",0), F613="10 x 2 1/2 S (Flat)", _xlfn.XLOOKUP(C613, dd_accsrycalc!$A$2:$A$51, dd_accsrycalc!$C$2:$C$51, "",0), F613="Tox6", _xlfn.XLOOKUP(C613, dd_accsrycalc!$A$2:$A$51, dd_accsrycalc!$D$2:$D$51, "",0), F613="Cover Cap", _xlfn.XLOOKUP(C613, dd_accsrycalc!$A$2:$A$51, dd_accsrycalc!$E$2:$E$51, "",0), F613="Drainage Cover", _xlfn.XLOOKUP(C613, dd_accsrycalc!$A$2:$A$51, dd_accsrycalc!$F$2:$F$51, "",0),AND( F613="Double Adhesive Tape", I613="Roll-up Screen"), _xlfn.XLOOKUP(C613, calc_rusacc!$C$15:$C$65, calc_rusacc!$AD$15:$AD$65, "",0),AND( F613="Sealant", I613="Roll-up Screen"), _xlfn.XLOOKUP(C613, calc_rusacc!$C$15:$C$65, calc_rusacc!$AF$15:$AF$65, "",0),  AND( F613="Main Chain", I613="Accordion Screen"), _xlfn.XLOOKUP(C613, calc_rusacc!$C$15:$C$65, calc_rusacc!$BF$15:$BF$65, "",0), AND( F613="Sealant", I613="Accordion Screen"), _xlfn.XLOOKUP(C613, calc_rusacc!$C$15:$C$65, calc_rusacc!$BJ$15:$BJ$65, "",0),  F613="Sealant", _xlfn.XLOOKUP(C613, dd_accsrycalc!$A$2:$A$51, dd_accsrycalc!$G$2:$G$51, "",0),  F613&lt;&gt;"",L613*_xlfn.XLOOKUP(1, (SKUs!$C$2:$C$10001=G613)*(SKUs!$K$2:$K$10001=I613),SKUs!$E$2:$E$10001)), 0),"")</f>
        <v/>
      </c>
      <c r="E613" s="16" t="str">
        <f>_xlfn.XLOOKUP(F613,dd_item!$B$2:$B$105,dd_item!$C$2:$C$105,"",0)</f>
        <v/>
      </c>
      <c r="F613" s="16"/>
      <c r="G613" s="16" cm="1">
        <f t="array" ref="G613">IFERROR(_xlfn.XLOOKUP(1, (SKUs!$J$2:$J$10001=accsry_unmerged!F613)*IF(H613&lt;&gt;"",(SKUs!$L$2:$L$10001=accsry_unmerged!H613),1)*(SKUs!$K$2:$K$10001=I613),SKUs!$C$2:$C$10001),"")</f>
        <v>0</v>
      </c>
      <c r="H613" s="33" cm="1">
        <f t="array" ref="H613">IFERROR(_xlfn.XLOOKUP(1, (dd_accsryclr!$C$2:$C$1000=accsry_unmerged!F613)*(dd_accsryclr!$B$2:$B$1000=accsry_unmerged!J613),dd_accsryclr!$A$2:$A$1000),"")</f>
        <v>0</v>
      </c>
      <c r="I613" s="16">
        <f>_xlfn.XLOOKUP(C613,'Project Details'!$C$17:$C$66,'Project Details'!$E$17:$E$66,"",0)</f>
        <v>0</v>
      </c>
      <c r="J613" s="16">
        <f>_xlfn.XLOOKUP(C613,'Project Details'!$C$17:$C$66,'Project Details'!$H$17:$H$66,"",0)</f>
        <v>0</v>
      </c>
      <c r="K613" s="33" t="str">
        <f>IF(AND(_xlfn.XLOOKUP(C613,'Project Details'!$C$17:$C$66,'Project Details'!$L$17:$L$66,"",0)&gt;550, F613="Spring-L27cm"),"",SUBSTITUTE(_xlfn.XLOOKUP(G613,SKUs!$C$2:$C$10001,SKUs!$F$2:$F$10001,"",0), " Accessories",""))</f>
        <v/>
      </c>
      <c r="L613" s="33">
        <f>_xlfn.XLOOKUP(C613,'Project Details'!$C$17:$C$66,'Project Details'!$D$17:$D$66,"",0)</f>
        <v>0</v>
      </c>
      <c r="M613" s="43"/>
    </row>
    <row r="614" spans="1:13" x14ac:dyDescent="0.25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</row>
    <row r="615" spans="1:13" x14ac:dyDescent="0.25">
      <c r="A615" s="43"/>
      <c r="B615" s="43"/>
      <c r="C615" s="16">
        <f>C613+1</f>
        <v>13</v>
      </c>
      <c r="D615" s="48" cm="1">
        <f t="array" ref="D615">IFERROR(ROUNDUP(_xlfn.IFS(F615="Aluminum Track", _xlfn.XLOOKUP(C615, dd_accsrycalc!$A$2:$A$51, dd_accsrycalc!$B$2:$B$51, "",0), F615="10 x 2 1/2 S (Flat)", _xlfn.XLOOKUP(C615, dd_accsrycalc!$A$2:$A$51, dd_accsrycalc!$C$2:$C$51, "",0), F615="Tox6", _xlfn.XLOOKUP(C615, dd_accsrycalc!$A$2:$A$51, dd_accsrycalc!$D$2:$D$51, "",0), F615="Cover Cap", _xlfn.XLOOKUP(C615, dd_accsrycalc!$A$2:$A$51, dd_accsrycalc!$E$2:$E$51, "",0), F615="Drainage Cover", _xlfn.XLOOKUP(C615, dd_accsrycalc!$A$2:$A$51, dd_accsrycalc!$F$2:$F$51, "",0),AND( F615="Double Adhesive Tape", I615="Roll-up Screen"), _xlfn.XLOOKUP(C615, calc_rusacc!$C$15:$C$65, calc_rusacc!$AD$15:$AD$65, "",0),AND( F615="Sealant", I615="Roll-up Screen"), _xlfn.XLOOKUP(C615, calc_rusacc!$C$15:$C$65, calc_rusacc!$AF$15:$AF$65, "",0),  AND( F615="Main Chain", I615="Accordion Screen"), _xlfn.XLOOKUP(C615, calc_rusacc!$C$15:$C$65, calc_rusacc!$BF$15:$BF$65, "",0), AND( F615="Sealant", I615="Accordion Screen"), _xlfn.XLOOKUP(C615, calc_rusacc!$C$15:$C$65, calc_rusacc!$BJ$15:$BJ$65, "",0),  F615="Sealant", _xlfn.XLOOKUP(C615, dd_accsrycalc!$A$2:$A$51, dd_accsrycalc!$G$2:$G$51, "",0),  F615&lt;&gt;"",L615*_xlfn.XLOOKUP(1, (SKUs!$C$2:$C$10001=G615)*(SKUs!$K$2:$K$10001=I615),SKUs!$E$2:$E$10001)), 0),"")</f>
        <v>0</v>
      </c>
      <c r="E615" s="48" t="str">
        <f>_xlfn.XLOOKUP(F615,dd_item!$B$2:$B$105,dd_item!$C$2:$C$105,"",0)</f>
        <v/>
      </c>
      <c r="F615" s="48" cm="1">
        <f t="array" ref="F615">IFERROR(_xlfn.UNIQUE(_xlfn._xlws.FILTER(SKUs!$J$2:$J$10001, (SKUs!$F$2:$F$10001&lt;&gt;"Cutting List") * (SKUs!$A$2:$A$10001=_xlfn.XLOOKUP(_xlfn.XLOOKUP(C615,'Project Details'!$C$17:$C$66,'Project Details'!$E$17:$E$66,"",0), dd_design_raw!$A$2:$A$101,dd_design_raw!$C$2:$C$101,"",0)))), "")</f>
        <v>0</v>
      </c>
      <c r="G615" s="16" cm="1">
        <f t="array" ref="G615">IFERROR(_xlfn.XLOOKUP(1, (SKUs!$J$2:$J$10001=accsry_unmerged!F615)*IF(H615&lt;&gt;"",(SKUs!$L$2:$L$10001=accsry_unmerged!H615),1)*(SKUs!$K$2:$K$10001=I615),SKUs!$C$2:$C$10001),"")</f>
        <v>0</v>
      </c>
      <c r="H615" s="16" cm="1">
        <f t="array" ref="H615">IFERROR(_xlfn.XLOOKUP(1, (dd_accsryclr!$C$2:$C$1000=accsry_unmerged!F615)*(dd_accsryclr!$B$2:$B$1000=accsry_unmerged!J615),dd_accsryclr!$A$2:$A$1000),"")</f>
        <v>0</v>
      </c>
      <c r="I615" s="16">
        <f>_xlfn.XLOOKUP(C615,'Project Details'!$C$17:$C$66,'Project Details'!$E$17:$E$66,"",0)</f>
        <v>0</v>
      </c>
      <c r="J615" s="16">
        <f>_xlfn.XLOOKUP(C615,'Project Details'!$C$17:$C$66,'Project Details'!$H$17:$H$66,"",0)</f>
        <v>0</v>
      </c>
      <c r="K615" s="16" t="str">
        <f>IF(AND(_xlfn.XLOOKUP(C615,'Project Details'!$C$17:$C$66,'Project Details'!$L$17:$L$66,"",0)&gt;550, F615="Spring-L27cm"),"",SUBSTITUTE(_xlfn.XLOOKUP(G615,SKUs!$C$2:$C$10001,SKUs!$F$2:$F$10001,"",0), " Accessories",""))</f>
        <v/>
      </c>
      <c r="L615" s="16">
        <f>_xlfn.XLOOKUP(C615,'Project Details'!$C$17:$C$66,'Project Details'!$D$17:$D$66,"",0)</f>
        <v>0</v>
      </c>
      <c r="M615" s="43"/>
    </row>
    <row r="616" spans="1:13" x14ac:dyDescent="0.25">
      <c r="A616" s="43"/>
      <c r="B616" s="43"/>
      <c r="C616" s="35">
        <f>C615</f>
        <v>13</v>
      </c>
      <c r="D616" s="35" t="str" cm="1">
        <f t="array" ref="D616">IFERROR(ROUNDUP(_xlfn.IFS(F616="Aluminum Track", _xlfn.XLOOKUP(C616, dd_accsrycalc!$A$2:$A$51, dd_accsrycalc!$B$2:$B$51, "",0), F616="10 x 2 1/2 S (Flat)", _xlfn.XLOOKUP(C616, dd_accsrycalc!$A$2:$A$51, dd_accsrycalc!$C$2:$C$51, "",0), F616="Tox6", _xlfn.XLOOKUP(C616, dd_accsrycalc!$A$2:$A$51, dd_accsrycalc!$D$2:$D$51, "",0), F616="Cover Cap", _xlfn.XLOOKUP(C616, dd_accsrycalc!$A$2:$A$51, dd_accsrycalc!$E$2:$E$51, "",0), F616="Drainage Cover", _xlfn.XLOOKUP(C616, dd_accsrycalc!$A$2:$A$51, dd_accsrycalc!$F$2:$F$51, "",0),AND( F616="Double Adhesive Tape", I616="Roll-up Screen"), _xlfn.XLOOKUP(C616, calc_rusacc!$C$15:$C$65, calc_rusacc!$AD$15:$AD$65, "",0),AND( F616="Sealant", I616="Roll-up Screen"), _xlfn.XLOOKUP(C616, calc_rusacc!$C$15:$C$65, calc_rusacc!$AF$15:$AF$65, "",0),  AND( F616="Main Chain", I616="Accordion Screen"), _xlfn.XLOOKUP(C616, calc_rusacc!$C$15:$C$65, calc_rusacc!$BF$15:$BF$65, "",0), AND( F616="Sealant", I616="Accordion Screen"), _xlfn.XLOOKUP(C616, calc_rusacc!$C$15:$C$65, calc_rusacc!$BJ$15:$BJ$65, "",0),  F616="Sealant", _xlfn.XLOOKUP(C616, dd_accsrycalc!$A$2:$A$51, dd_accsrycalc!$G$2:$G$51, "",0),  F616&lt;&gt;"",L616*_xlfn.XLOOKUP(1, (SKUs!$C$2:$C$10001=G616)*(SKUs!$K$2:$K$10001=I616),SKUs!$E$2:$E$10001)), 0),"")</f>
        <v/>
      </c>
      <c r="E616" s="35" t="str">
        <f>_xlfn.XLOOKUP(F616,dd_item!$B$2:$B$105,dd_item!$C$2:$C$105,"",0)</f>
        <v/>
      </c>
      <c r="F616" s="35"/>
      <c r="G616" s="35" cm="1">
        <f t="array" ref="G616">IFERROR(_xlfn.XLOOKUP(1, (SKUs!$J$2:$J$10001=accsry_unmerged!F616)*IF(H616&lt;&gt;"",(SKUs!$L$2:$L$10001=accsry_unmerged!H616),1)*(SKUs!$K$2:$K$10001=I616),SKUs!$C$2:$C$10001),"")</f>
        <v>0</v>
      </c>
      <c r="H616" s="36" cm="1">
        <f t="array" ref="H616">IFERROR(_xlfn.XLOOKUP(1, (dd_accsryclr!$C$2:$C$1000=accsry_unmerged!F616)*(dd_accsryclr!$B$2:$B$1000=accsry_unmerged!J616),dd_accsryclr!$A$2:$A$1000),"")</f>
        <v>0</v>
      </c>
      <c r="I616" s="35">
        <f>_xlfn.XLOOKUP(C616,'Project Details'!$C$17:$C$66,'Project Details'!$E$17:$E$66,"",0)</f>
        <v>0</v>
      </c>
      <c r="J616" s="35">
        <f>_xlfn.XLOOKUP(C616,'Project Details'!$C$17:$C$66,'Project Details'!$H$17:$H$66,"",0)</f>
        <v>0</v>
      </c>
      <c r="K616" s="36" t="str">
        <f>IF(AND(_xlfn.XLOOKUP(C616,'Project Details'!$C$17:$C$66,'Project Details'!$L$17:$L$66,"",0)&gt;550, F616="Spring-L27cm"),"",SUBSTITUTE(_xlfn.XLOOKUP(G616,SKUs!$C$2:$C$10001,SKUs!$F$2:$F$10001,"",0), " Accessories",""))</f>
        <v/>
      </c>
      <c r="L616" s="36">
        <f>_xlfn.XLOOKUP(C616,'Project Details'!$C$17:$C$66,'Project Details'!$D$17:$D$66,"",0)</f>
        <v>0</v>
      </c>
      <c r="M616" s="43"/>
    </row>
    <row r="617" spans="1:13" x14ac:dyDescent="0.25">
      <c r="A617" s="43"/>
      <c r="B617" s="43"/>
      <c r="C617" s="16">
        <f t="shared" ref="C617:C663" si="11">C616</f>
        <v>13</v>
      </c>
      <c r="D617" s="16" t="str" cm="1">
        <f t="array" ref="D617">IFERROR(ROUNDUP(_xlfn.IFS(F617="Aluminum Track", _xlfn.XLOOKUP(C617, dd_accsrycalc!$A$2:$A$51, dd_accsrycalc!$B$2:$B$51, "",0), F617="10 x 2 1/2 S (Flat)", _xlfn.XLOOKUP(C617, dd_accsrycalc!$A$2:$A$51, dd_accsrycalc!$C$2:$C$51, "",0), F617="Tox6", _xlfn.XLOOKUP(C617, dd_accsrycalc!$A$2:$A$51, dd_accsrycalc!$D$2:$D$51, "",0), F617="Cover Cap", _xlfn.XLOOKUP(C617, dd_accsrycalc!$A$2:$A$51, dd_accsrycalc!$E$2:$E$51, "",0), F617="Drainage Cover", _xlfn.XLOOKUP(C617, dd_accsrycalc!$A$2:$A$51, dd_accsrycalc!$F$2:$F$51, "",0),AND( F617="Double Adhesive Tape", I617="Roll-up Screen"), _xlfn.XLOOKUP(C617, calc_rusacc!$C$15:$C$65, calc_rusacc!$AD$15:$AD$65, "",0),AND( F617="Sealant", I617="Roll-up Screen"), _xlfn.XLOOKUP(C617, calc_rusacc!$C$15:$C$65, calc_rusacc!$AF$15:$AF$65, "",0),  AND( F617="Main Chain", I617="Accordion Screen"), _xlfn.XLOOKUP(C617, calc_rusacc!$C$15:$C$65, calc_rusacc!$BF$15:$BF$65, "",0), AND( F617="Sealant", I617="Accordion Screen"), _xlfn.XLOOKUP(C617, calc_rusacc!$C$15:$C$65, calc_rusacc!$BJ$15:$BJ$65, "",0),  F617="Sealant", _xlfn.XLOOKUP(C617, dd_accsrycalc!$A$2:$A$51, dd_accsrycalc!$G$2:$G$51, "",0),  F617&lt;&gt;"",L617*_xlfn.XLOOKUP(1, (SKUs!$C$2:$C$10001=G617)*(SKUs!$K$2:$K$10001=I617),SKUs!$E$2:$E$10001)), 0),"")</f>
        <v/>
      </c>
      <c r="E617" s="16" t="str">
        <f>_xlfn.XLOOKUP(F617,dd_item!$B$2:$B$105,dd_item!$C$2:$C$105,"",0)</f>
        <v/>
      </c>
      <c r="F617" s="16"/>
      <c r="G617" s="16" cm="1">
        <f t="array" ref="G617">IFERROR(_xlfn.XLOOKUP(1, (SKUs!$J$2:$J$10001=accsry_unmerged!F617)*IF(H617&lt;&gt;"",(SKUs!$L$2:$L$10001=accsry_unmerged!H617),1)*(SKUs!$K$2:$K$10001=I617),SKUs!$C$2:$C$10001),"")</f>
        <v>0</v>
      </c>
      <c r="H617" s="33" cm="1">
        <f t="array" ref="H617">IFERROR(_xlfn.XLOOKUP(1, (dd_accsryclr!$C$2:$C$1000=accsry_unmerged!F617)*(dd_accsryclr!$B$2:$B$1000=accsry_unmerged!J617),dd_accsryclr!$A$2:$A$1000),"")</f>
        <v>0</v>
      </c>
      <c r="I617" s="16">
        <f>_xlfn.XLOOKUP(C617,'Project Details'!$C$17:$C$66,'Project Details'!$E$17:$E$66,"",0)</f>
        <v>0</v>
      </c>
      <c r="J617" s="16">
        <f>_xlfn.XLOOKUP(C617,'Project Details'!$C$17:$C$66,'Project Details'!$H$17:$H$66,"",0)</f>
        <v>0</v>
      </c>
      <c r="K617" s="33" t="str">
        <f>IF(AND(_xlfn.XLOOKUP(C617,'Project Details'!$C$17:$C$66,'Project Details'!$L$17:$L$66,"",0)&gt;550, F617="Spring-L27cm"),"",SUBSTITUTE(_xlfn.XLOOKUP(G617,SKUs!$C$2:$C$10001,SKUs!$F$2:$F$10001,"",0), " Accessories",""))</f>
        <v/>
      </c>
      <c r="L617" s="33">
        <f>_xlfn.XLOOKUP(C617,'Project Details'!$C$17:$C$66,'Project Details'!$D$17:$D$66,"",0)</f>
        <v>0</v>
      </c>
      <c r="M617" s="43"/>
    </row>
    <row r="618" spans="1:13" x14ac:dyDescent="0.25">
      <c r="A618" s="43"/>
      <c r="B618" s="43"/>
      <c r="C618" s="35">
        <f t="shared" si="11"/>
        <v>13</v>
      </c>
      <c r="D618" s="35" t="str" cm="1">
        <f t="array" ref="D618">IFERROR(ROUNDUP(_xlfn.IFS(F618="Aluminum Track", _xlfn.XLOOKUP(C618, dd_accsrycalc!$A$2:$A$51, dd_accsrycalc!$B$2:$B$51, "",0), F618="10 x 2 1/2 S (Flat)", _xlfn.XLOOKUP(C618, dd_accsrycalc!$A$2:$A$51, dd_accsrycalc!$C$2:$C$51, "",0), F618="Tox6", _xlfn.XLOOKUP(C618, dd_accsrycalc!$A$2:$A$51, dd_accsrycalc!$D$2:$D$51, "",0), F618="Cover Cap", _xlfn.XLOOKUP(C618, dd_accsrycalc!$A$2:$A$51, dd_accsrycalc!$E$2:$E$51, "",0), F618="Drainage Cover", _xlfn.XLOOKUP(C618, dd_accsrycalc!$A$2:$A$51, dd_accsrycalc!$F$2:$F$51, "",0),AND( F618="Double Adhesive Tape", I618="Roll-up Screen"), _xlfn.XLOOKUP(C618, calc_rusacc!$C$15:$C$65, calc_rusacc!$AD$15:$AD$65, "",0),AND( F618="Sealant", I618="Roll-up Screen"), _xlfn.XLOOKUP(C618, calc_rusacc!$C$15:$C$65, calc_rusacc!$AF$15:$AF$65, "",0),  AND( F618="Main Chain", I618="Accordion Screen"), _xlfn.XLOOKUP(C618, calc_rusacc!$C$15:$C$65, calc_rusacc!$BF$15:$BF$65, "",0), AND( F618="Sealant", I618="Accordion Screen"), _xlfn.XLOOKUP(C618, calc_rusacc!$C$15:$C$65, calc_rusacc!$BJ$15:$BJ$65, "",0),  F618="Sealant", _xlfn.XLOOKUP(C618, dd_accsrycalc!$A$2:$A$51, dd_accsrycalc!$G$2:$G$51, "",0),  F618&lt;&gt;"",L618*_xlfn.XLOOKUP(1, (SKUs!$C$2:$C$10001=G618)*(SKUs!$K$2:$K$10001=I618),SKUs!$E$2:$E$10001)), 0),"")</f>
        <v/>
      </c>
      <c r="E618" s="35" t="str">
        <f>_xlfn.XLOOKUP(F618,dd_item!$B$2:$B$105,dd_item!$C$2:$C$105,"",0)</f>
        <v/>
      </c>
      <c r="F618" s="35"/>
      <c r="G618" s="35" cm="1">
        <f t="array" ref="G618">IFERROR(_xlfn.XLOOKUP(1, (SKUs!$J$2:$J$10001=accsry_unmerged!F618)*IF(H618&lt;&gt;"",(SKUs!$L$2:$L$10001=accsry_unmerged!H618),1)*(SKUs!$K$2:$K$10001=I618),SKUs!$C$2:$C$10001),"")</f>
        <v>0</v>
      </c>
      <c r="H618" s="36" cm="1">
        <f t="array" ref="H618">IFERROR(_xlfn.XLOOKUP(1, (dd_accsryclr!$C$2:$C$1000=accsry_unmerged!F618)*(dd_accsryclr!$B$2:$B$1000=accsry_unmerged!J618),dd_accsryclr!$A$2:$A$1000),"")</f>
        <v>0</v>
      </c>
      <c r="I618" s="35">
        <f>_xlfn.XLOOKUP(C618,'Project Details'!$C$17:$C$66,'Project Details'!$E$17:$E$66,"",0)</f>
        <v>0</v>
      </c>
      <c r="J618" s="35">
        <f>_xlfn.XLOOKUP(C618,'Project Details'!$C$17:$C$66,'Project Details'!$H$17:$H$66,"",0)</f>
        <v>0</v>
      </c>
      <c r="K618" s="36" t="str">
        <f>IF(AND(_xlfn.XLOOKUP(C618,'Project Details'!$C$17:$C$66,'Project Details'!$L$17:$L$66,"",0)&gt;550, F618="Spring-L27cm"),"",SUBSTITUTE(_xlfn.XLOOKUP(G618,SKUs!$C$2:$C$10001,SKUs!$F$2:$F$10001,"",0), " Accessories",""))</f>
        <v/>
      </c>
      <c r="L618" s="36">
        <f>_xlfn.XLOOKUP(C618,'Project Details'!$C$17:$C$66,'Project Details'!$D$17:$D$66,"",0)</f>
        <v>0</v>
      </c>
      <c r="M618" s="43"/>
    </row>
    <row r="619" spans="1:13" x14ac:dyDescent="0.25">
      <c r="A619" s="43"/>
      <c r="B619" s="43"/>
      <c r="C619" s="16">
        <f t="shared" si="11"/>
        <v>13</v>
      </c>
      <c r="D619" s="16" t="str" cm="1">
        <f t="array" ref="D619">IFERROR(ROUNDUP(_xlfn.IFS(F619="Aluminum Track", _xlfn.XLOOKUP(C619, dd_accsrycalc!$A$2:$A$51, dd_accsrycalc!$B$2:$B$51, "",0), F619="10 x 2 1/2 S (Flat)", _xlfn.XLOOKUP(C619, dd_accsrycalc!$A$2:$A$51, dd_accsrycalc!$C$2:$C$51, "",0), F619="Tox6", _xlfn.XLOOKUP(C619, dd_accsrycalc!$A$2:$A$51, dd_accsrycalc!$D$2:$D$51, "",0), F619="Cover Cap", _xlfn.XLOOKUP(C619, dd_accsrycalc!$A$2:$A$51, dd_accsrycalc!$E$2:$E$51, "",0), F619="Drainage Cover", _xlfn.XLOOKUP(C619, dd_accsrycalc!$A$2:$A$51, dd_accsrycalc!$F$2:$F$51, "",0),AND( F619="Double Adhesive Tape", I619="Roll-up Screen"), _xlfn.XLOOKUP(C619, calc_rusacc!$C$15:$C$65, calc_rusacc!$AD$15:$AD$65, "",0),AND( F619="Sealant", I619="Roll-up Screen"), _xlfn.XLOOKUP(C619, calc_rusacc!$C$15:$C$65, calc_rusacc!$AF$15:$AF$65, "",0),  AND( F619="Main Chain", I619="Accordion Screen"), _xlfn.XLOOKUP(C619, calc_rusacc!$C$15:$C$65, calc_rusacc!$BF$15:$BF$65, "",0), AND( F619="Sealant", I619="Accordion Screen"), _xlfn.XLOOKUP(C619, calc_rusacc!$C$15:$C$65, calc_rusacc!$BJ$15:$BJ$65, "",0),  F619="Sealant", _xlfn.XLOOKUP(C619, dd_accsrycalc!$A$2:$A$51, dd_accsrycalc!$G$2:$G$51, "",0),  F619&lt;&gt;"",L619*_xlfn.XLOOKUP(1, (SKUs!$C$2:$C$10001=G619)*(SKUs!$K$2:$K$10001=I619),SKUs!$E$2:$E$10001)), 0),"")</f>
        <v/>
      </c>
      <c r="E619" s="16" t="str">
        <f>_xlfn.XLOOKUP(F619,dd_item!$B$2:$B$105,dd_item!$C$2:$C$105,"",0)</f>
        <v/>
      </c>
      <c r="F619" s="16"/>
      <c r="G619" s="16" cm="1">
        <f t="array" ref="G619">IFERROR(_xlfn.XLOOKUP(1, (SKUs!$J$2:$J$10001=accsry_unmerged!F619)*IF(H619&lt;&gt;"",(SKUs!$L$2:$L$10001=accsry_unmerged!H619),1)*(SKUs!$K$2:$K$10001=I619),SKUs!$C$2:$C$10001),"")</f>
        <v>0</v>
      </c>
      <c r="H619" s="33" cm="1">
        <f t="array" ref="H619">IFERROR(_xlfn.XLOOKUP(1, (dd_accsryclr!$C$2:$C$1000=accsry_unmerged!F619)*(dd_accsryclr!$B$2:$B$1000=accsry_unmerged!J619),dd_accsryclr!$A$2:$A$1000),"")</f>
        <v>0</v>
      </c>
      <c r="I619" s="16">
        <f>_xlfn.XLOOKUP(C619,'Project Details'!$C$17:$C$66,'Project Details'!$E$17:$E$66,"",0)</f>
        <v>0</v>
      </c>
      <c r="J619" s="16">
        <f>_xlfn.XLOOKUP(C619,'Project Details'!$C$17:$C$66,'Project Details'!$H$17:$H$66,"",0)</f>
        <v>0</v>
      </c>
      <c r="K619" s="33" t="str">
        <f>IF(AND(_xlfn.XLOOKUP(C619,'Project Details'!$C$17:$C$66,'Project Details'!$L$17:$L$66,"",0)&gt;550, F619="Spring-L27cm"),"",SUBSTITUTE(_xlfn.XLOOKUP(G619,SKUs!$C$2:$C$10001,SKUs!$F$2:$F$10001,"",0), " Accessories",""))</f>
        <v/>
      </c>
      <c r="L619" s="33">
        <f>_xlfn.XLOOKUP(C619,'Project Details'!$C$17:$C$66,'Project Details'!$D$17:$D$66,"",0)</f>
        <v>0</v>
      </c>
      <c r="M619" s="43"/>
    </row>
    <row r="620" spans="1:13" x14ac:dyDescent="0.25">
      <c r="A620" s="43"/>
      <c r="B620" s="43"/>
      <c r="C620" s="35">
        <f t="shared" si="11"/>
        <v>13</v>
      </c>
      <c r="D620" s="35" t="str" cm="1">
        <f t="array" ref="D620">IFERROR(ROUNDUP(_xlfn.IFS(F620="Aluminum Track", _xlfn.XLOOKUP(C620, dd_accsrycalc!$A$2:$A$51, dd_accsrycalc!$B$2:$B$51, "",0), F620="10 x 2 1/2 S (Flat)", _xlfn.XLOOKUP(C620, dd_accsrycalc!$A$2:$A$51, dd_accsrycalc!$C$2:$C$51, "",0), F620="Tox6", _xlfn.XLOOKUP(C620, dd_accsrycalc!$A$2:$A$51, dd_accsrycalc!$D$2:$D$51, "",0), F620="Cover Cap", _xlfn.XLOOKUP(C620, dd_accsrycalc!$A$2:$A$51, dd_accsrycalc!$E$2:$E$51, "",0), F620="Drainage Cover", _xlfn.XLOOKUP(C620, dd_accsrycalc!$A$2:$A$51, dd_accsrycalc!$F$2:$F$51, "",0),AND( F620="Double Adhesive Tape", I620="Roll-up Screen"), _xlfn.XLOOKUP(C620, calc_rusacc!$C$15:$C$65, calc_rusacc!$AD$15:$AD$65, "",0),AND( F620="Sealant", I620="Roll-up Screen"), _xlfn.XLOOKUP(C620, calc_rusacc!$C$15:$C$65, calc_rusacc!$AF$15:$AF$65, "",0),  AND( F620="Main Chain", I620="Accordion Screen"), _xlfn.XLOOKUP(C620, calc_rusacc!$C$15:$C$65, calc_rusacc!$BF$15:$BF$65, "",0), AND( F620="Sealant", I620="Accordion Screen"), _xlfn.XLOOKUP(C620, calc_rusacc!$C$15:$C$65, calc_rusacc!$BJ$15:$BJ$65, "",0),  F620="Sealant", _xlfn.XLOOKUP(C620, dd_accsrycalc!$A$2:$A$51, dd_accsrycalc!$G$2:$G$51, "",0),  F620&lt;&gt;"",L620*_xlfn.XLOOKUP(1, (SKUs!$C$2:$C$10001=G620)*(SKUs!$K$2:$K$10001=I620),SKUs!$E$2:$E$10001)), 0),"")</f>
        <v/>
      </c>
      <c r="E620" s="35" t="str">
        <f>_xlfn.XLOOKUP(F620,dd_item!$B$2:$B$105,dd_item!$C$2:$C$105,"",0)</f>
        <v/>
      </c>
      <c r="F620" s="35"/>
      <c r="G620" s="35" cm="1">
        <f t="array" ref="G620">IFERROR(_xlfn.XLOOKUP(1, (SKUs!$J$2:$J$10001=accsry_unmerged!F620)*IF(H620&lt;&gt;"",(SKUs!$L$2:$L$10001=accsry_unmerged!H620),1)*(SKUs!$K$2:$K$10001=I620),SKUs!$C$2:$C$10001),"")</f>
        <v>0</v>
      </c>
      <c r="H620" s="36" cm="1">
        <f t="array" ref="H620">IFERROR(_xlfn.XLOOKUP(1, (dd_accsryclr!$C$2:$C$1000=accsry_unmerged!F620)*(dd_accsryclr!$B$2:$B$1000=accsry_unmerged!J620),dd_accsryclr!$A$2:$A$1000),"")</f>
        <v>0</v>
      </c>
      <c r="I620" s="35">
        <f>_xlfn.XLOOKUP(C620,'Project Details'!$C$17:$C$66,'Project Details'!$E$17:$E$66,"",0)</f>
        <v>0</v>
      </c>
      <c r="J620" s="35">
        <f>_xlfn.XLOOKUP(C620,'Project Details'!$C$17:$C$66,'Project Details'!$H$17:$H$66,"",0)</f>
        <v>0</v>
      </c>
      <c r="K620" s="36" t="str">
        <f>IF(AND(_xlfn.XLOOKUP(C620,'Project Details'!$C$17:$C$66,'Project Details'!$L$17:$L$66,"",0)&gt;550, F620="Spring-L27cm"),"",SUBSTITUTE(_xlfn.XLOOKUP(G620,SKUs!$C$2:$C$10001,SKUs!$F$2:$F$10001,"",0), " Accessories",""))</f>
        <v/>
      </c>
      <c r="L620" s="36">
        <f>_xlfn.XLOOKUP(C620,'Project Details'!$C$17:$C$66,'Project Details'!$D$17:$D$66,"",0)</f>
        <v>0</v>
      </c>
      <c r="M620" s="43"/>
    </row>
    <row r="621" spans="1:13" x14ac:dyDescent="0.25">
      <c r="A621" s="43"/>
      <c r="B621" s="43"/>
      <c r="C621" s="16">
        <f t="shared" si="11"/>
        <v>13</v>
      </c>
      <c r="D621" s="16" t="str" cm="1">
        <f t="array" ref="D621">IFERROR(ROUNDUP(_xlfn.IFS(F621="Aluminum Track", _xlfn.XLOOKUP(C621, dd_accsrycalc!$A$2:$A$51, dd_accsrycalc!$B$2:$B$51, "",0), F621="10 x 2 1/2 S (Flat)", _xlfn.XLOOKUP(C621, dd_accsrycalc!$A$2:$A$51, dd_accsrycalc!$C$2:$C$51, "",0), F621="Tox6", _xlfn.XLOOKUP(C621, dd_accsrycalc!$A$2:$A$51, dd_accsrycalc!$D$2:$D$51, "",0), F621="Cover Cap", _xlfn.XLOOKUP(C621, dd_accsrycalc!$A$2:$A$51, dd_accsrycalc!$E$2:$E$51, "",0), F621="Drainage Cover", _xlfn.XLOOKUP(C621, dd_accsrycalc!$A$2:$A$51, dd_accsrycalc!$F$2:$F$51, "",0),AND( F621="Double Adhesive Tape", I621="Roll-up Screen"), _xlfn.XLOOKUP(C621, calc_rusacc!$C$15:$C$65, calc_rusacc!$AD$15:$AD$65, "",0),AND( F621="Sealant", I621="Roll-up Screen"), _xlfn.XLOOKUP(C621, calc_rusacc!$C$15:$C$65, calc_rusacc!$AF$15:$AF$65, "",0),  AND( F621="Main Chain", I621="Accordion Screen"), _xlfn.XLOOKUP(C621, calc_rusacc!$C$15:$C$65, calc_rusacc!$BF$15:$BF$65, "",0), AND( F621="Sealant", I621="Accordion Screen"), _xlfn.XLOOKUP(C621, calc_rusacc!$C$15:$C$65, calc_rusacc!$BJ$15:$BJ$65, "",0),  F621="Sealant", _xlfn.XLOOKUP(C621, dd_accsrycalc!$A$2:$A$51, dd_accsrycalc!$G$2:$G$51, "",0),  F621&lt;&gt;"",L621*_xlfn.XLOOKUP(1, (SKUs!$C$2:$C$10001=G621)*(SKUs!$K$2:$K$10001=I621),SKUs!$E$2:$E$10001)), 0),"")</f>
        <v/>
      </c>
      <c r="E621" s="16" t="str">
        <f>_xlfn.XLOOKUP(F621,dd_item!$B$2:$B$105,dd_item!$C$2:$C$105,"",0)</f>
        <v/>
      </c>
      <c r="F621" s="16"/>
      <c r="G621" s="16" cm="1">
        <f t="array" ref="G621">IFERROR(_xlfn.XLOOKUP(1, (SKUs!$J$2:$J$10001=accsry_unmerged!F621)*IF(H621&lt;&gt;"",(SKUs!$L$2:$L$10001=accsry_unmerged!H621),1)*(SKUs!$K$2:$K$10001=I621),SKUs!$C$2:$C$10001),"")</f>
        <v>0</v>
      </c>
      <c r="H621" s="33" cm="1">
        <f t="array" ref="H621">IFERROR(_xlfn.XLOOKUP(1, (dd_accsryclr!$C$2:$C$1000=accsry_unmerged!F621)*(dd_accsryclr!$B$2:$B$1000=accsry_unmerged!J621),dd_accsryclr!$A$2:$A$1000),"")</f>
        <v>0</v>
      </c>
      <c r="I621" s="16">
        <f>_xlfn.XLOOKUP(C621,'Project Details'!$C$17:$C$66,'Project Details'!$E$17:$E$66,"",0)</f>
        <v>0</v>
      </c>
      <c r="J621" s="16">
        <f>_xlfn.XLOOKUP(C621,'Project Details'!$C$17:$C$66,'Project Details'!$H$17:$H$66,"",0)</f>
        <v>0</v>
      </c>
      <c r="K621" s="33" t="str">
        <f>IF(AND(_xlfn.XLOOKUP(C621,'Project Details'!$C$17:$C$66,'Project Details'!$L$17:$L$66,"",0)&gt;550, F621="Spring-L27cm"),"",SUBSTITUTE(_xlfn.XLOOKUP(G621,SKUs!$C$2:$C$10001,SKUs!$F$2:$F$10001,"",0), " Accessories",""))</f>
        <v/>
      </c>
      <c r="L621" s="33">
        <f>_xlfn.XLOOKUP(C621,'Project Details'!$C$17:$C$66,'Project Details'!$D$17:$D$66,"",0)</f>
        <v>0</v>
      </c>
      <c r="M621" s="43"/>
    </row>
    <row r="622" spans="1:13" x14ac:dyDescent="0.25">
      <c r="A622" s="43"/>
      <c r="B622" s="43"/>
      <c r="C622" s="35">
        <f t="shared" si="11"/>
        <v>13</v>
      </c>
      <c r="D622" s="35" t="str" cm="1">
        <f t="array" ref="D622">IFERROR(ROUNDUP(_xlfn.IFS(F622="Aluminum Track", _xlfn.XLOOKUP(C622, dd_accsrycalc!$A$2:$A$51, dd_accsrycalc!$B$2:$B$51, "",0), F622="10 x 2 1/2 S (Flat)", _xlfn.XLOOKUP(C622, dd_accsrycalc!$A$2:$A$51, dd_accsrycalc!$C$2:$C$51, "",0), F622="Tox6", _xlfn.XLOOKUP(C622, dd_accsrycalc!$A$2:$A$51, dd_accsrycalc!$D$2:$D$51, "",0), F622="Cover Cap", _xlfn.XLOOKUP(C622, dd_accsrycalc!$A$2:$A$51, dd_accsrycalc!$E$2:$E$51, "",0), F622="Drainage Cover", _xlfn.XLOOKUP(C622, dd_accsrycalc!$A$2:$A$51, dd_accsrycalc!$F$2:$F$51, "",0),AND( F622="Double Adhesive Tape", I622="Roll-up Screen"), _xlfn.XLOOKUP(C622, calc_rusacc!$C$15:$C$65, calc_rusacc!$AD$15:$AD$65, "",0),AND( F622="Sealant", I622="Roll-up Screen"), _xlfn.XLOOKUP(C622, calc_rusacc!$C$15:$C$65, calc_rusacc!$AF$15:$AF$65, "",0),  AND( F622="Main Chain", I622="Accordion Screen"), _xlfn.XLOOKUP(C622, calc_rusacc!$C$15:$C$65, calc_rusacc!$BF$15:$BF$65, "",0), AND( F622="Sealant", I622="Accordion Screen"), _xlfn.XLOOKUP(C622, calc_rusacc!$C$15:$C$65, calc_rusacc!$BJ$15:$BJ$65, "",0),  F622="Sealant", _xlfn.XLOOKUP(C622, dd_accsrycalc!$A$2:$A$51, dd_accsrycalc!$G$2:$G$51, "",0),  F622&lt;&gt;"",L622*_xlfn.XLOOKUP(1, (SKUs!$C$2:$C$10001=G622)*(SKUs!$K$2:$K$10001=I622),SKUs!$E$2:$E$10001)), 0),"")</f>
        <v/>
      </c>
      <c r="E622" s="35" t="str">
        <f>_xlfn.XLOOKUP(F622,dd_item!$B$2:$B$105,dd_item!$C$2:$C$105,"",0)</f>
        <v/>
      </c>
      <c r="F622" s="35"/>
      <c r="G622" s="35" cm="1">
        <f t="array" ref="G622">IFERROR(_xlfn.XLOOKUP(1, (SKUs!$J$2:$J$10001=accsry_unmerged!F622)*IF(H622&lt;&gt;"",(SKUs!$L$2:$L$10001=accsry_unmerged!H622),1)*(SKUs!$K$2:$K$10001=I622),SKUs!$C$2:$C$10001),"")</f>
        <v>0</v>
      </c>
      <c r="H622" s="36" cm="1">
        <f t="array" ref="H622">IFERROR(_xlfn.XLOOKUP(1, (dd_accsryclr!$C$2:$C$1000=accsry_unmerged!F622)*(dd_accsryclr!$B$2:$B$1000=accsry_unmerged!J622),dd_accsryclr!$A$2:$A$1000),"")</f>
        <v>0</v>
      </c>
      <c r="I622" s="35">
        <f>_xlfn.XLOOKUP(C622,'Project Details'!$C$17:$C$66,'Project Details'!$E$17:$E$66,"",0)</f>
        <v>0</v>
      </c>
      <c r="J622" s="35">
        <f>_xlfn.XLOOKUP(C622,'Project Details'!$C$17:$C$66,'Project Details'!$H$17:$H$66,"",0)</f>
        <v>0</v>
      </c>
      <c r="K622" s="36" t="str">
        <f>IF(AND(_xlfn.XLOOKUP(C622,'Project Details'!$C$17:$C$66,'Project Details'!$L$17:$L$66,"",0)&gt;550, F622="Spring-L27cm"),"",SUBSTITUTE(_xlfn.XLOOKUP(G622,SKUs!$C$2:$C$10001,SKUs!$F$2:$F$10001,"",0), " Accessories",""))</f>
        <v/>
      </c>
      <c r="L622" s="36">
        <f>_xlfn.XLOOKUP(C622,'Project Details'!$C$17:$C$66,'Project Details'!$D$17:$D$66,"",0)</f>
        <v>0</v>
      </c>
      <c r="M622" s="43"/>
    </row>
    <row r="623" spans="1:13" x14ac:dyDescent="0.25">
      <c r="A623" s="43"/>
      <c r="B623" s="43"/>
      <c r="C623" s="16">
        <f t="shared" si="11"/>
        <v>13</v>
      </c>
      <c r="D623" s="16" t="str" cm="1">
        <f t="array" ref="D623">IFERROR(ROUNDUP(_xlfn.IFS(F623="Aluminum Track", _xlfn.XLOOKUP(C623, dd_accsrycalc!$A$2:$A$51, dd_accsrycalc!$B$2:$B$51, "",0), F623="10 x 2 1/2 S (Flat)", _xlfn.XLOOKUP(C623, dd_accsrycalc!$A$2:$A$51, dd_accsrycalc!$C$2:$C$51, "",0), F623="Tox6", _xlfn.XLOOKUP(C623, dd_accsrycalc!$A$2:$A$51, dd_accsrycalc!$D$2:$D$51, "",0), F623="Cover Cap", _xlfn.XLOOKUP(C623, dd_accsrycalc!$A$2:$A$51, dd_accsrycalc!$E$2:$E$51, "",0), F623="Drainage Cover", _xlfn.XLOOKUP(C623, dd_accsrycalc!$A$2:$A$51, dd_accsrycalc!$F$2:$F$51, "",0),AND( F623="Double Adhesive Tape", I623="Roll-up Screen"), _xlfn.XLOOKUP(C623, calc_rusacc!$C$15:$C$65, calc_rusacc!$AD$15:$AD$65, "",0),AND( F623="Sealant", I623="Roll-up Screen"), _xlfn.XLOOKUP(C623, calc_rusacc!$C$15:$C$65, calc_rusacc!$AF$15:$AF$65, "",0),  AND( F623="Main Chain", I623="Accordion Screen"), _xlfn.XLOOKUP(C623, calc_rusacc!$C$15:$C$65, calc_rusacc!$BF$15:$BF$65, "",0), AND( F623="Sealant", I623="Accordion Screen"), _xlfn.XLOOKUP(C623, calc_rusacc!$C$15:$C$65, calc_rusacc!$BJ$15:$BJ$65, "",0),  F623="Sealant", _xlfn.XLOOKUP(C623, dd_accsrycalc!$A$2:$A$51, dd_accsrycalc!$G$2:$G$51, "",0),  F623&lt;&gt;"",L623*_xlfn.XLOOKUP(1, (SKUs!$C$2:$C$10001=G623)*(SKUs!$K$2:$K$10001=I623),SKUs!$E$2:$E$10001)), 0),"")</f>
        <v/>
      </c>
      <c r="E623" s="16" t="str">
        <f>_xlfn.XLOOKUP(F623,dd_item!$B$2:$B$105,dd_item!$C$2:$C$105,"",0)</f>
        <v/>
      </c>
      <c r="F623" s="16"/>
      <c r="G623" s="16" cm="1">
        <f t="array" ref="G623">IFERROR(_xlfn.XLOOKUP(1, (SKUs!$J$2:$J$10001=accsry_unmerged!F623)*IF(H623&lt;&gt;"",(SKUs!$L$2:$L$10001=accsry_unmerged!H623),1)*(SKUs!$K$2:$K$10001=I623),SKUs!$C$2:$C$10001),"")</f>
        <v>0</v>
      </c>
      <c r="H623" s="33" cm="1">
        <f t="array" ref="H623">IFERROR(_xlfn.XLOOKUP(1, (dd_accsryclr!$C$2:$C$1000=accsry_unmerged!F623)*(dd_accsryclr!$B$2:$B$1000=accsry_unmerged!J623),dd_accsryclr!$A$2:$A$1000),"")</f>
        <v>0</v>
      </c>
      <c r="I623" s="16">
        <f>_xlfn.XLOOKUP(C623,'Project Details'!$C$17:$C$66,'Project Details'!$E$17:$E$66,"",0)</f>
        <v>0</v>
      </c>
      <c r="J623" s="16">
        <f>_xlfn.XLOOKUP(C623,'Project Details'!$C$17:$C$66,'Project Details'!$H$17:$H$66,"",0)</f>
        <v>0</v>
      </c>
      <c r="K623" s="33" t="str">
        <f>IF(AND(_xlfn.XLOOKUP(C623,'Project Details'!$C$17:$C$66,'Project Details'!$L$17:$L$66,"",0)&gt;550, F623="Spring-L27cm"),"",SUBSTITUTE(_xlfn.XLOOKUP(G623,SKUs!$C$2:$C$10001,SKUs!$F$2:$F$10001,"",0), " Accessories",""))</f>
        <v/>
      </c>
      <c r="L623" s="33">
        <f>_xlfn.XLOOKUP(C623,'Project Details'!$C$17:$C$66,'Project Details'!$D$17:$D$66,"",0)</f>
        <v>0</v>
      </c>
      <c r="M623" s="43"/>
    </row>
    <row r="624" spans="1:13" x14ac:dyDescent="0.25">
      <c r="A624" s="43"/>
      <c r="B624" s="43"/>
      <c r="C624" s="35">
        <f t="shared" si="11"/>
        <v>13</v>
      </c>
      <c r="D624" s="35" t="str" cm="1">
        <f t="array" ref="D624">IFERROR(ROUNDUP(_xlfn.IFS(F624="Aluminum Track", _xlfn.XLOOKUP(C624, dd_accsrycalc!$A$2:$A$51, dd_accsrycalc!$B$2:$B$51, "",0), F624="10 x 2 1/2 S (Flat)", _xlfn.XLOOKUP(C624, dd_accsrycalc!$A$2:$A$51, dd_accsrycalc!$C$2:$C$51, "",0), F624="Tox6", _xlfn.XLOOKUP(C624, dd_accsrycalc!$A$2:$A$51, dd_accsrycalc!$D$2:$D$51, "",0), F624="Cover Cap", _xlfn.XLOOKUP(C624, dd_accsrycalc!$A$2:$A$51, dd_accsrycalc!$E$2:$E$51, "",0), F624="Drainage Cover", _xlfn.XLOOKUP(C624, dd_accsrycalc!$A$2:$A$51, dd_accsrycalc!$F$2:$F$51, "",0),AND( F624="Double Adhesive Tape", I624="Roll-up Screen"), _xlfn.XLOOKUP(C624, calc_rusacc!$C$15:$C$65, calc_rusacc!$AD$15:$AD$65, "",0),AND( F624="Sealant", I624="Roll-up Screen"), _xlfn.XLOOKUP(C624, calc_rusacc!$C$15:$C$65, calc_rusacc!$AF$15:$AF$65, "",0),  AND( F624="Main Chain", I624="Accordion Screen"), _xlfn.XLOOKUP(C624, calc_rusacc!$C$15:$C$65, calc_rusacc!$BF$15:$BF$65, "",0), AND( F624="Sealant", I624="Accordion Screen"), _xlfn.XLOOKUP(C624, calc_rusacc!$C$15:$C$65, calc_rusacc!$BJ$15:$BJ$65, "",0),  F624="Sealant", _xlfn.XLOOKUP(C624, dd_accsrycalc!$A$2:$A$51, dd_accsrycalc!$G$2:$G$51, "",0),  F624&lt;&gt;"",L624*_xlfn.XLOOKUP(1, (SKUs!$C$2:$C$10001=G624)*(SKUs!$K$2:$K$10001=I624),SKUs!$E$2:$E$10001)), 0),"")</f>
        <v/>
      </c>
      <c r="E624" s="35" t="str">
        <f>_xlfn.XLOOKUP(F624,dd_item!$B$2:$B$105,dd_item!$C$2:$C$105,"",0)</f>
        <v/>
      </c>
      <c r="F624" s="35"/>
      <c r="G624" s="35" cm="1">
        <f t="array" ref="G624">IFERROR(_xlfn.XLOOKUP(1, (SKUs!$J$2:$J$10001=accsry_unmerged!F624)*IF(H624&lt;&gt;"",(SKUs!$L$2:$L$10001=accsry_unmerged!H624),1)*(SKUs!$K$2:$K$10001=I624),SKUs!$C$2:$C$10001),"")</f>
        <v>0</v>
      </c>
      <c r="H624" s="36" cm="1">
        <f t="array" ref="H624">IFERROR(_xlfn.XLOOKUP(1, (dd_accsryclr!$C$2:$C$1000=accsry_unmerged!F624)*(dd_accsryclr!$B$2:$B$1000=accsry_unmerged!J624),dd_accsryclr!$A$2:$A$1000),"")</f>
        <v>0</v>
      </c>
      <c r="I624" s="35">
        <f>_xlfn.XLOOKUP(C624,'Project Details'!$C$17:$C$66,'Project Details'!$E$17:$E$66,"",0)</f>
        <v>0</v>
      </c>
      <c r="J624" s="35">
        <f>_xlfn.XLOOKUP(C624,'Project Details'!$C$17:$C$66,'Project Details'!$H$17:$H$66,"",0)</f>
        <v>0</v>
      </c>
      <c r="K624" s="36" t="str">
        <f>IF(AND(_xlfn.XLOOKUP(C624,'Project Details'!$C$17:$C$66,'Project Details'!$L$17:$L$66,"",0)&gt;550, F624="Spring-L27cm"),"",SUBSTITUTE(_xlfn.XLOOKUP(G624,SKUs!$C$2:$C$10001,SKUs!$F$2:$F$10001,"",0), " Accessories",""))</f>
        <v/>
      </c>
      <c r="L624" s="36">
        <f>_xlfn.XLOOKUP(C624,'Project Details'!$C$17:$C$66,'Project Details'!$D$17:$D$66,"",0)</f>
        <v>0</v>
      </c>
      <c r="M624" s="43"/>
    </row>
    <row r="625" spans="1:13" x14ac:dyDescent="0.25">
      <c r="A625" s="43"/>
      <c r="B625" s="43"/>
      <c r="C625" s="16">
        <f t="shared" si="11"/>
        <v>13</v>
      </c>
      <c r="D625" s="16" t="str" cm="1">
        <f t="array" ref="D625">IFERROR(ROUNDUP(_xlfn.IFS(F625="Aluminum Track", _xlfn.XLOOKUP(C625, dd_accsrycalc!$A$2:$A$51, dd_accsrycalc!$B$2:$B$51, "",0), F625="10 x 2 1/2 S (Flat)", _xlfn.XLOOKUP(C625, dd_accsrycalc!$A$2:$A$51, dd_accsrycalc!$C$2:$C$51, "",0), F625="Tox6", _xlfn.XLOOKUP(C625, dd_accsrycalc!$A$2:$A$51, dd_accsrycalc!$D$2:$D$51, "",0), F625="Cover Cap", _xlfn.XLOOKUP(C625, dd_accsrycalc!$A$2:$A$51, dd_accsrycalc!$E$2:$E$51, "",0), F625="Drainage Cover", _xlfn.XLOOKUP(C625, dd_accsrycalc!$A$2:$A$51, dd_accsrycalc!$F$2:$F$51, "",0),AND( F625="Double Adhesive Tape", I625="Roll-up Screen"), _xlfn.XLOOKUP(C625, calc_rusacc!$C$15:$C$65, calc_rusacc!$AD$15:$AD$65, "",0),AND( F625="Sealant", I625="Roll-up Screen"), _xlfn.XLOOKUP(C625, calc_rusacc!$C$15:$C$65, calc_rusacc!$AF$15:$AF$65, "",0),  AND( F625="Main Chain", I625="Accordion Screen"), _xlfn.XLOOKUP(C625, calc_rusacc!$C$15:$C$65, calc_rusacc!$BF$15:$BF$65, "",0), AND( F625="Sealant", I625="Accordion Screen"), _xlfn.XLOOKUP(C625, calc_rusacc!$C$15:$C$65, calc_rusacc!$BJ$15:$BJ$65, "",0),  F625="Sealant", _xlfn.XLOOKUP(C625, dd_accsrycalc!$A$2:$A$51, dd_accsrycalc!$G$2:$G$51, "",0),  F625&lt;&gt;"",L625*_xlfn.XLOOKUP(1, (SKUs!$C$2:$C$10001=G625)*(SKUs!$K$2:$K$10001=I625),SKUs!$E$2:$E$10001)), 0),"")</f>
        <v/>
      </c>
      <c r="E625" s="16" t="str">
        <f>_xlfn.XLOOKUP(F625,dd_item!$B$2:$B$105,dd_item!$C$2:$C$105,"",0)</f>
        <v/>
      </c>
      <c r="F625" s="16"/>
      <c r="G625" s="16" cm="1">
        <f t="array" ref="G625">IFERROR(_xlfn.XLOOKUP(1, (SKUs!$J$2:$J$10001=accsry_unmerged!F625)*IF(H625&lt;&gt;"",(SKUs!$L$2:$L$10001=accsry_unmerged!H625),1)*(SKUs!$K$2:$K$10001=I625),SKUs!$C$2:$C$10001),"")</f>
        <v>0</v>
      </c>
      <c r="H625" s="33" cm="1">
        <f t="array" ref="H625">IFERROR(_xlfn.XLOOKUP(1, (dd_accsryclr!$C$2:$C$1000=accsry_unmerged!F625)*(dd_accsryclr!$B$2:$B$1000=accsry_unmerged!J625),dd_accsryclr!$A$2:$A$1000),"")</f>
        <v>0</v>
      </c>
      <c r="I625" s="16">
        <f>_xlfn.XLOOKUP(C625,'Project Details'!$C$17:$C$66,'Project Details'!$E$17:$E$66,"",0)</f>
        <v>0</v>
      </c>
      <c r="J625" s="16">
        <f>_xlfn.XLOOKUP(C625,'Project Details'!$C$17:$C$66,'Project Details'!$H$17:$H$66,"",0)</f>
        <v>0</v>
      </c>
      <c r="K625" s="33" t="str">
        <f>IF(AND(_xlfn.XLOOKUP(C625,'Project Details'!$C$17:$C$66,'Project Details'!$L$17:$L$66,"",0)&gt;550, F625="Spring-L27cm"),"",SUBSTITUTE(_xlfn.XLOOKUP(G625,SKUs!$C$2:$C$10001,SKUs!$F$2:$F$10001,"",0), " Accessories",""))</f>
        <v/>
      </c>
      <c r="L625" s="33">
        <f>_xlfn.XLOOKUP(C625,'Project Details'!$C$17:$C$66,'Project Details'!$D$17:$D$66,"",0)</f>
        <v>0</v>
      </c>
      <c r="M625" s="43"/>
    </row>
    <row r="626" spans="1:13" x14ac:dyDescent="0.25">
      <c r="A626" s="43"/>
      <c r="B626" s="43"/>
      <c r="C626" s="35">
        <f t="shared" si="11"/>
        <v>13</v>
      </c>
      <c r="D626" s="35" t="str" cm="1">
        <f t="array" ref="D626">IFERROR(ROUNDUP(_xlfn.IFS(F626="Aluminum Track", _xlfn.XLOOKUP(C626, dd_accsrycalc!$A$2:$A$51, dd_accsrycalc!$B$2:$B$51, "",0), F626="10 x 2 1/2 S (Flat)", _xlfn.XLOOKUP(C626, dd_accsrycalc!$A$2:$A$51, dd_accsrycalc!$C$2:$C$51, "",0), F626="Tox6", _xlfn.XLOOKUP(C626, dd_accsrycalc!$A$2:$A$51, dd_accsrycalc!$D$2:$D$51, "",0), F626="Cover Cap", _xlfn.XLOOKUP(C626, dd_accsrycalc!$A$2:$A$51, dd_accsrycalc!$E$2:$E$51, "",0), F626="Drainage Cover", _xlfn.XLOOKUP(C626, dd_accsrycalc!$A$2:$A$51, dd_accsrycalc!$F$2:$F$51, "",0),AND( F626="Double Adhesive Tape", I626="Roll-up Screen"), _xlfn.XLOOKUP(C626, calc_rusacc!$C$15:$C$65, calc_rusacc!$AD$15:$AD$65, "",0),AND( F626="Sealant", I626="Roll-up Screen"), _xlfn.XLOOKUP(C626, calc_rusacc!$C$15:$C$65, calc_rusacc!$AF$15:$AF$65, "",0),  AND( F626="Main Chain", I626="Accordion Screen"), _xlfn.XLOOKUP(C626, calc_rusacc!$C$15:$C$65, calc_rusacc!$BF$15:$BF$65, "",0), AND( F626="Sealant", I626="Accordion Screen"), _xlfn.XLOOKUP(C626, calc_rusacc!$C$15:$C$65, calc_rusacc!$BJ$15:$BJ$65, "",0),  F626="Sealant", _xlfn.XLOOKUP(C626, dd_accsrycalc!$A$2:$A$51, dd_accsrycalc!$G$2:$G$51, "",0),  F626&lt;&gt;"",L626*_xlfn.XLOOKUP(1, (SKUs!$C$2:$C$10001=G626)*(SKUs!$K$2:$K$10001=I626),SKUs!$E$2:$E$10001)), 0),"")</f>
        <v/>
      </c>
      <c r="E626" s="35" t="str">
        <f>_xlfn.XLOOKUP(F626,dd_item!$B$2:$B$105,dd_item!$C$2:$C$105,"",0)</f>
        <v/>
      </c>
      <c r="F626" s="35"/>
      <c r="G626" s="35" cm="1">
        <f t="array" ref="G626">IFERROR(_xlfn.XLOOKUP(1, (SKUs!$J$2:$J$10001=accsry_unmerged!F626)*IF(H626&lt;&gt;"",(SKUs!$L$2:$L$10001=accsry_unmerged!H626),1)*(SKUs!$K$2:$K$10001=I626),SKUs!$C$2:$C$10001),"")</f>
        <v>0</v>
      </c>
      <c r="H626" s="36" cm="1">
        <f t="array" ref="H626">IFERROR(_xlfn.XLOOKUP(1, (dd_accsryclr!$C$2:$C$1000=accsry_unmerged!F626)*(dd_accsryclr!$B$2:$B$1000=accsry_unmerged!J626),dd_accsryclr!$A$2:$A$1000),"")</f>
        <v>0</v>
      </c>
      <c r="I626" s="35">
        <f>_xlfn.XLOOKUP(C626,'Project Details'!$C$17:$C$66,'Project Details'!$E$17:$E$66,"",0)</f>
        <v>0</v>
      </c>
      <c r="J626" s="35">
        <f>_xlfn.XLOOKUP(C626,'Project Details'!$C$17:$C$66,'Project Details'!$H$17:$H$66,"",0)</f>
        <v>0</v>
      </c>
      <c r="K626" s="36" t="str">
        <f>IF(AND(_xlfn.XLOOKUP(C626,'Project Details'!$C$17:$C$66,'Project Details'!$L$17:$L$66,"",0)&gt;550, F626="Spring-L27cm"),"",SUBSTITUTE(_xlfn.XLOOKUP(G626,SKUs!$C$2:$C$10001,SKUs!$F$2:$F$10001,"",0), " Accessories",""))</f>
        <v/>
      </c>
      <c r="L626" s="36">
        <f>_xlfn.XLOOKUP(C626,'Project Details'!$C$17:$C$66,'Project Details'!$D$17:$D$66,"",0)</f>
        <v>0</v>
      </c>
      <c r="M626" s="43"/>
    </row>
    <row r="627" spans="1:13" x14ac:dyDescent="0.25">
      <c r="A627" s="43"/>
      <c r="B627" s="43"/>
      <c r="C627" s="16">
        <f t="shared" si="11"/>
        <v>13</v>
      </c>
      <c r="D627" s="16" t="str" cm="1">
        <f t="array" ref="D627">IFERROR(ROUNDUP(_xlfn.IFS(F627="Aluminum Track", _xlfn.XLOOKUP(C627, dd_accsrycalc!$A$2:$A$51, dd_accsrycalc!$B$2:$B$51, "",0), F627="10 x 2 1/2 S (Flat)", _xlfn.XLOOKUP(C627, dd_accsrycalc!$A$2:$A$51, dd_accsrycalc!$C$2:$C$51, "",0), F627="Tox6", _xlfn.XLOOKUP(C627, dd_accsrycalc!$A$2:$A$51, dd_accsrycalc!$D$2:$D$51, "",0), F627="Cover Cap", _xlfn.XLOOKUP(C627, dd_accsrycalc!$A$2:$A$51, dd_accsrycalc!$E$2:$E$51, "",0), F627="Drainage Cover", _xlfn.XLOOKUP(C627, dd_accsrycalc!$A$2:$A$51, dd_accsrycalc!$F$2:$F$51, "",0),AND( F627="Double Adhesive Tape", I627="Roll-up Screen"), _xlfn.XLOOKUP(C627, calc_rusacc!$C$15:$C$65, calc_rusacc!$AD$15:$AD$65, "",0),AND( F627="Sealant", I627="Roll-up Screen"), _xlfn.XLOOKUP(C627, calc_rusacc!$C$15:$C$65, calc_rusacc!$AF$15:$AF$65, "",0),  AND( F627="Main Chain", I627="Accordion Screen"), _xlfn.XLOOKUP(C627, calc_rusacc!$C$15:$C$65, calc_rusacc!$BF$15:$BF$65, "",0), AND( F627="Sealant", I627="Accordion Screen"), _xlfn.XLOOKUP(C627, calc_rusacc!$C$15:$C$65, calc_rusacc!$BJ$15:$BJ$65, "",0),  F627="Sealant", _xlfn.XLOOKUP(C627, dd_accsrycalc!$A$2:$A$51, dd_accsrycalc!$G$2:$G$51, "",0),  F627&lt;&gt;"",L627*_xlfn.XLOOKUP(1, (SKUs!$C$2:$C$10001=G627)*(SKUs!$K$2:$K$10001=I627),SKUs!$E$2:$E$10001)), 0),"")</f>
        <v/>
      </c>
      <c r="E627" s="16" t="str">
        <f>_xlfn.XLOOKUP(F627,dd_item!$B$2:$B$105,dd_item!$C$2:$C$105,"",0)</f>
        <v/>
      </c>
      <c r="F627" s="16"/>
      <c r="G627" s="16" cm="1">
        <f t="array" ref="G627">IFERROR(_xlfn.XLOOKUP(1, (SKUs!$J$2:$J$10001=accsry_unmerged!F627)*IF(H627&lt;&gt;"",(SKUs!$L$2:$L$10001=accsry_unmerged!H627),1)*(SKUs!$K$2:$K$10001=I627),SKUs!$C$2:$C$10001),"")</f>
        <v>0</v>
      </c>
      <c r="H627" s="33" cm="1">
        <f t="array" ref="H627">IFERROR(_xlfn.XLOOKUP(1, (dd_accsryclr!$C$2:$C$1000=accsry_unmerged!F627)*(dd_accsryclr!$B$2:$B$1000=accsry_unmerged!J627),dd_accsryclr!$A$2:$A$1000),"")</f>
        <v>0</v>
      </c>
      <c r="I627" s="16">
        <f>_xlfn.XLOOKUP(C627,'Project Details'!$C$17:$C$66,'Project Details'!$E$17:$E$66,"",0)</f>
        <v>0</v>
      </c>
      <c r="J627" s="16">
        <f>_xlfn.XLOOKUP(C627,'Project Details'!$C$17:$C$66,'Project Details'!$H$17:$H$66,"",0)</f>
        <v>0</v>
      </c>
      <c r="K627" s="33" t="str">
        <f>IF(AND(_xlfn.XLOOKUP(C627,'Project Details'!$C$17:$C$66,'Project Details'!$L$17:$L$66,"",0)&gt;550, F627="Spring-L27cm"),"",SUBSTITUTE(_xlfn.XLOOKUP(G627,SKUs!$C$2:$C$10001,SKUs!$F$2:$F$10001,"",0), " Accessories",""))</f>
        <v/>
      </c>
      <c r="L627" s="33">
        <f>_xlfn.XLOOKUP(C627,'Project Details'!$C$17:$C$66,'Project Details'!$D$17:$D$66,"",0)</f>
        <v>0</v>
      </c>
      <c r="M627" s="43"/>
    </row>
    <row r="628" spans="1:13" x14ac:dyDescent="0.25">
      <c r="A628" s="43"/>
      <c r="B628" s="43"/>
      <c r="C628" s="35">
        <f t="shared" si="11"/>
        <v>13</v>
      </c>
      <c r="D628" s="35" t="str" cm="1">
        <f t="array" ref="D628">IFERROR(ROUNDUP(_xlfn.IFS(F628="Aluminum Track", _xlfn.XLOOKUP(C628, dd_accsrycalc!$A$2:$A$51, dd_accsrycalc!$B$2:$B$51, "",0), F628="10 x 2 1/2 S (Flat)", _xlfn.XLOOKUP(C628, dd_accsrycalc!$A$2:$A$51, dd_accsrycalc!$C$2:$C$51, "",0), F628="Tox6", _xlfn.XLOOKUP(C628, dd_accsrycalc!$A$2:$A$51, dd_accsrycalc!$D$2:$D$51, "",0), F628="Cover Cap", _xlfn.XLOOKUP(C628, dd_accsrycalc!$A$2:$A$51, dd_accsrycalc!$E$2:$E$51, "",0), F628="Drainage Cover", _xlfn.XLOOKUP(C628, dd_accsrycalc!$A$2:$A$51, dd_accsrycalc!$F$2:$F$51, "",0),AND( F628="Double Adhesive Tape", I628="Roll-up Screen"), _xlfn.XLOOKUP(C628, calc_rusacc!$C$15:$C$65, calc_rusacc!$AD$15:$AD$65, "",0),AND( F628="Sealant", I628="Roll-up Screen"), _xlfn.XLOOKUP(C628, calc_rusacc!$C$15:$C$65, calc_rusacc!$AF$15:$AF$65, "",0),  AND( F628="Main Chain", I628="Accordion Screen"), _xlfn.XLOOKUP(C628, calc_rusacc!$C$15:$C$65, calc_rusacc!$BF$15:$BF$65, "",0), AND( F628="Sealant", I628="Accordion Screen"), _xlfn.XLOOKUP(C628, calc_rusacc!$C$15:$C$65, calc_rusacc!$BJ$15:$BJ$65, "",0),  F628="Sealant", _xlfn.XLOOKUP(C628, dd_accsrycalc!$A$2:$A$51, dd_accsrycalc!$G$2:$G$51, "",0),  F628&lt;&gt;"",L628*_xlfn.XLOOKUP(1, (SKUs!$C$2:$C$10001=G628)*(SKUs!$K$2:$K$10001=I628),SKUs!$E$2:$E$10001)), 0),"")</f>
        <v/>
      </c>
      <c r="E628" s="35" t="str">
        <f>_xlfn.XLOOKUP(F628,dd_item!$B$2:$B$105,dd_item!$C$2:$C$105,"",0)</f>
        <v/>
      </c>
      <c r="F628" s="35"/>
      <c r="G628" s="35" cm="1">
        <f t="array" ref="G628">IFERROR(_xlfn.XLOOKUP(1, (SKUs!$J$2:$J$10001=accsry_unmerged!F628)*IF(H628&lt;&gt;"",(SKUs!$L$2:$L$10001=accsry_unmerged!H628),1)*(SKUs!$K$2:$K$10001=I628),SKUs!$C$2:$C$10001),"")</f>
        <v>0</v>
      </c>
      <c r="H628" s="36" cm="1">
        <f t="array" ref="H628">IFERROR(_xlfn.XLOOKUP(1, (dd_accsryclr!$C$2:$C$1000=accsry_unmerged!F628)*(dd_accsryclr!$B$2:$B$1000=accsry_unmerged!J628),dd_accsryclr!$A$2:$A$1000),"")</f>
        <v>0</v>
      </c>
      <c r="I628" s="35">
        <f>_xlfn.XLOOKUP(C628,'Project Details'!$C$17:$C$66,'Project Details'!$E$17:$E$66,"",0)</f>
        <v>0</v>
      </c>
      <c r="J628" s="35">
        <f>_xlfn.XLOOKUP(C628,'Project Details'!$C$17:$C$66,'Project Details'!$H$17:$H$66,"",0)</f>
        <v>0</v>
      </c>
      <c r="K628" s="36" t="str">
        <f>IF(AND(_xlfn.XLOOKUP(C628,'Project Details'!$C$17:$C$66,'Project Details'!$L$17:$L$66,"",0)&gt;550, F628="Spring-L27cm"),"",SUBSTITUTE(_xlfn.XLOOKUP(G628,SKUs!$C$2:$C$10001,SKUs!$F$2:$F$10001,"",0), " Accessories",""))</f>
        <v/>
      </c>
      <c r="L628" s="36">
        <f>_xlfn.XLOOKUP(C628,'Project Details'!$C$17:$C$66,'Project Details'!$D$17:$D$66,"",0)</f>
        <v>0</v>
      </c>
      <c r="M628" s="43"/>
    </row>
    <row r="629" spans="1:13" x14ac:dyDescent="0.25">
      <c r="A629" s="43"/>
      <c r="B629" s="43"/>
      <c r="C629" s="16">
        <f t="shared" si="11"/>
        <v>13</v>
      </c>
      <c r="D629" s="16" t="str" cm="1">
        <f t="array" ref="D629">IFERROR(ROUNDUP(_xlfn.IFS(F629="Aluminum Track", _xlfn.XLOOKUP(C629, dd_accsrycalc!$A$2:$A$51, dd_accsrycalc!$B$2:$B$51, "",0), F629="10 x 2 1/2 S (Flat)", _xlfn.XLOOKUP(C629, dd_accsrycalc!$A$2:$A$51, dd_accsrycalc!$C$2:$C$51, "",0), F629="Tox6", _xlfn.XLOOKUP(C629, dd_accsrycalc!$A$2:$A$51, dd_accsrycalc!$D$2:$D$51, "",0), F629="Cover Cap", _xlfn.XLOOKUP(C629, dd_accsrycalc!$A$2:$A$51, dd_accsrycalc!$E$2:$E$51, "",0), F629="Drainage Cover", _xlfn.XLOOKUP(C629, dd_accsrycalc!$A$2:$A$51, dd_accsrycalc!$F$2:$F$51, "",0),AND( F629="Double Adhesive Tape", I629="Roll-up Screen"), _xlfn.XLOOKUP(C629, calc_rusacc!$C$15:$C$65, calc_rusacc!$AD$15:$AD$65, "",0),AND( F629="Sealant", I629="Roll-up Screen"), _xlfn.XLOOKUP(C629, calc_rusacc!$C$15:$C$65, calc_rusacc!$AF$15:$AF$65, "",0),  AND( F629="Main Chain", I629="Accordion Screen"), _xlfn.XLOOKUP(C629, calc_rusacc!$C$15:$C$65, calc_rusacc!$BF$15:$BF$65, "",0), AND( F629="Sealant", I629="Accordion Screen"), _xlfn.XLOOKUP(C629, calc_rusacc!$C$15:$C$65, calc_rusacc!$BJ$15:$BJ$65, "",0),  F629="Sealant", _xlfn.XLOOKUP(C629, dd_accsrycalc!$A$2:$A$51, dd_accsrycalc!$G$2:$G$51, "",0),  F629&lt;&gt;"",L629*_xlfn.XLOOKUP(1, (SKUs!$C$2:$C$10001=G629)*(SKUs!$K$2:$K$10001=I629),SKUs!$E$2:$E$10001)), 0),"")</f>
        <v/>
      </c>
      <c r="E629" s="16" t="str">
        <f>_xlfn.XLOOKUP(F629,dd_item!$B$2:$B$105,dd_item!$C$2:$C$105,"",0)</f>
        <v/>
      </c>
      <c r="F629" s="16"/>
      <c r="G629" s="16" cm="1">
        <f t="array" ref="G629">IFERROR(_xlfn.XLOOKUP(1, (SKUs!$J$2:$J$10001=accsry_unmerged!F629)*IF(H629&lt;&gt;"",(SKUs!$L$2:$L$10001=accsry_unmerged!H629),1)*(SKUs!$K$2:$K$10001=I629),SKUs!$C$2:$C$10001),"")</f>
        <v>0</v>
      </c>
      <c r="H629" s="33" cm="1">
        <f t="array" ref="H629">IFERROR(_xlfn.XLOOKUP(1, (dd_accsryclr!$C$2:$C$1000=accsry_unmerged!F629)*(dd_accsryclr!$B$2:$B$1000=accsry_unmerged!J629),dd_accsryclr!$A$2:$A$1000),"")</f>
        <v>0</v>
      </c>
      <c r="I629" s="16">
        <f>_xlfn.XLOOKUP(C629,'Project Details'!$C$17:$C$66,'Project Details'!$E$17:$E$66,"",0)</f>
        <v>0</v>
      </c>
      <c r="J629" s="16">
        <f>_xlfn.XLOOKUP(C629,'Project Details'!$C$17:$C$66,'Project Details'!$H$17:$H$66,"",0)</f>
        <v>0</v>
      </c>
      <c r="K629" s="33" t="str">
        <f>IF(AND(_xlfn.XLOOKUP(C629,'Project Details'!$C$17:$C$66,'Project Details'!$L$17:$L$66,"",0)&gt;550, F629="Spring-L27cm"),"",SUBSTITUTE(_xlfn.XLOOKUP(G629,SKUs!$C$2:$C$10001,SKUs!$F$2:$F$10001,"",0), " Accessories",""))</f>
        <v/>
      </c>
      <c r="L629" s="33">
        <f>_xlfn.XLOOKUP(C629,'Project Details'!$C$17:$C$66,'Project Details'!$D$17:$D$66,"",0)</f>
        <v>0</v>
      </c>
      <c r="M629" s="43"/>
    </row>
    <row r="630" spans="1:13" x14ac:dyDescent="0.25">
      <c r="A630" s="43"/>
      <c r="B630" s="43"/>
      <c r="C630" s="35">
        <f t="shared" si="11"/>
        <v>13</v>
      </c>
      <c r="D630" s="35" t="str" cm="1">
        <f t="array" ref="D630">IFERROR(ROUNDUP(_xlfn.IFS(F630="Aluminum Track", _xlfn.XLOOKUP(C630, dd_accsrycalc!$A$2:$A$51, dd_accsrycalc!$B$2:$B$51, "",0), F630="10 x 2 1/2 S (Flat)", _xlfn.XLOOKUP(C630, dd_accsrycalc!$A$2:$A$51, dd_accsrycalc!$C$2:$C$51, "",0), F630="Tox6", _xlfn.XLOOKUP(C630, dd_accsrycalc!$A$2:$A$51, dd_accsrycalc!$D$2:$D$51, "",0), F630="Cover Cap", _xlfn.XLOOKUP(C630, dd_accsrycalc!$A$2:$A$51, dd_accsrycalc!$E$2:$E$51, "",0), F630="Drainage Cover", _xlfn.XLOOKUP(C630, dd_accsrycalc!$A$2:$A$51, dd_accsrycalc!$F$2:$F$51, "",0),AND( F630="Double Adhesive Tape", I630="Roll-up Screen"), _xlfn.XLOOKUP(C630, calc_rusacc!$C$15:$C$65, calc_rusacc!$AD$15:$AD$65, "",0),AND( F630="Sealant", I630="Roll-up Screen"), _xlfn.XLOOKUP(C630, calc_rusacc!$C$15:$C$65, calc_rusacc!$AF$15:$AF$65, "",0),  AND( F630="Main Chain", I630="Accordion Screen"), _xlfn.XLOOKUP(C630, calc_rusacc!$C$15:$C$65, calc_rusacc!$BF$15:$BF$65, "",0), AND( F630="Sealant", I630="Accordion Screen"), _xlfn.XLOOKUP(C630, calc_rusacc!$C$15:$C$65, calc_rusacc!$BJ$15:$BJ$65, "",0),  F630="Sealant", _xlfn.XLOOKUP(C630, dd_accsrycalc!$A$2:$A$51, dd_accsrycalc!$G$2:$G$51, "",0),  F630&lt;&gt;"",L630*_xlfn.XLOOKUP(1, (SKUs!$C$2:$C$10001=G630)*(SKUs!$K$2:$K$10001=I630),SKUs!$E$2:$E$10001)), 0),"")</f>
        <v/>
      </c>
      <c r="E630" s="35" t="str">
        <f>_xlfn.XLOOKUP(F630,dd_item!$B$2:$B$105,dd_item!$C$2:$C$105,"",0)</f>
        <v/>
      </c>
      <c r="F630" s="35"/>
      <c r="G630" s="35" cm="1">
        <f t="array" ref="G630">IFERROR(_xlfn.XLOOKUP(1, (SKUs!$J$2:$J$10001=accsry_unmerged!F630)*IF(H630&lt;&gt;"",(SKUs!$L$2:$L$10001=accsry_unmerged!H630),1)*(SKUs!$K$2:$K$10001=I630),SKUs!$C$2:$C$10001),"")</f>
        <v>0</v>
      </c>
      <c r="H630" s="36" cm="1">
        <f t="array" ref="H630">IFERROR(_xlfn.XLOOKUP(1, (dd_accsryclr!$C$2:$C$1000=accsry_unmerged!F630)*(dd_accsryclr!$B$2:$B$1000=accsry_unmerged!J630),dd_accsryclr!$A$2:$A$1000),"")</f>
        <v>0</v>
      </c>
      <c r="I630" s="35">
        <f>_xlfn.XLOOKUP(C630,'Project Details'!$C$17:$C$66,'Project Details'!$E$17:$E$66,"",0)</f>
        <v>0</v>
      </c>
      <c r="J630" s="35">
        <f>_xlfn.XLOOKUP(C630,'Project Details'!$C$17:$C$66,'Project Details'!$H$17:$H$66,"",0)</f>
        <v>0</v>
      </c>
      <c r="K630" s="36" t="str">
        <f>IF(AND(_xlfn.XLOOKUP(C630,'Project Details'!$C$17:$C$66,'Project Details'!$L$17:$L$66,"",0)&gt;550, F630="Spring-L27cm"),"",SUBSTITUTE(_xlfn.XLOOKUP(G630,SKUs!$C$2:$C$10001,SKUs!$F$2:$F$10001,"",0), " Accessories",""))</f>
        <v/>
      </c>
      <c r="L630" s="36">
        <f>_xlfn.XLOOKUP(C630,'Project Details'!$C$17:$C$66,'Project Details'!$D$17:$D$66,"",0)</f>
        <v>0</v>
      </c>
      <c r="M630" s="43"/>
    </row>
    <row r="631" spans="1:13" x14ac:dyDescent="0.25">
      <c r="A631" s="43"/>
      <c r="B631" s="43"/>
      <c r="C631" s="16">
        <f t="shared" si="11"/>
        <v>13</v>
      </c>
      <c r="D631" s="16" t="str" cm="1">
        <f t="array" ref="D631">IFERROR(ROUNDUP(_xlfn.IFS(F631="Aluminum Track", _xlfn.XLOOKUP(C631, dd_accsrycalc!$A$2:$A$51, dd_accsrycalc!$B$2:$B$51, "",0), F631="10 x 2 1/2 S (Flat)", _xlfn.XLOOKUP(C631, dd_accsrycalc!$A$2:$A$51, dd_accsrycalc!$C$2:$C$51, "",0), F631="Tox6", _xlfn.XLOOKUP(C631, dd_accsrycalc!$A$2:$A$51, dd_accsrycalc!$D$2:$D$51, "",0), F631="Cover Cap", _xlfn.XLOOKUP(C631, dd_accsrycalc!$A$2:$A$51, dd_accsrycalc!$E$2:$E$51, "",0), F631="Drainage Cover", _xlfn.XLOOKUP(C631, dd_accsrycalc!$A$2:$A$51, dd_accsrycalc!$F$2:$F$51, "",0),AND( F631="Double Adhesive Tape", I631="Roll-up Screen"), _xlfn.XLOOKUP(C631, calc_rusacc!$C$15:$C$65, calc_rusacc!$AD$15:$AD$65, "",0),AND( F631="Sealant", I631="Roll-up Screen"), _xlfn.XLOOKUP(C631, calc_rusacc!$C$15:$C$65, calc_rusacc!$AF$15:$AF$65, "",0),  AND( F631="Main Chain", I631="Accordion Screen"), _xlfn.XLOOKUP(C631, calc_rusacc!$C$15:$C$65, calc_rusacc!$BF$15:$BF$65, "",0), AND( F631="Sealant", I631="Accordion Screen"), _xlfn.XLOOKUP(C631, calc_rusacc!$C$15:$C$65, calc_rusacc!$BJ$15:$BJ$65, "",0),  F631="Sealant", _xlfn.XLOOKUP(C631, dd_accsrycalc!$A$2:$A$51, dd_accsrycalc!$G$2:$G$51, "",0),  F631&lt;&gt;"",L631*_xlfn.XLOOKUP(1, (SKUs!$C$2:$C$10001=G631)*(SKUs!$K$2:$K$10001=I631),SKUs!$E$2:$E$10001)), 0),"")</f>
        <v/>
      </c>
      <c r="E631" s="16" t="str">
        <f>_xlfn.XLOOKUP(F631,dd_item!$B$2:$B$105,dd_item!$C$2:$C$105,"",0)</f>
        <v/>
      </c>
      <c r="F631" s="16"/>
      <c r="G631" s="16" cm="1">
        <f t="array" ref="G631">IFERROR(_xlfn.XLOOKUP(1, (SKUs!$J$2:$J$10001=accsry_unmerged!F631)*IF(H631&lt;&gt;"",(SKUs!$L$2:$L$10001=accsry_unmerged!H631),1)*(SKUs!$K$2:$K$10001=I631),SKUs!$C$2:$C$10001),"")</f>
        <v>0</v>
      </c>
      <c r="H631" s="33" cm="1">
        <f t="array" ref="H631">IFERROR(_xlfn.XLOOKUP(1, (dd_accsryclr!$C$2:$C$1000=accsry_unmerged!F631)*(dd_accsryclr!$B$2:$B$1000=accsry_unmerged!J631),dd_accsryclr!$A$2:$A$1000),"")</f>
        <v>0</v>
      </c>
      <c r="I631" s="16">
        <f>_xlfn.XLOOKUP(C631,'Project Details'!$C$17:$C$66,'Project Details'!$E$17:$E$66,"",0)</f>
        <v>0</v>
      </c>
      <c r="J631" s="16">
        <f>_xlfn.XLOOKUP(C631,'Project Details'!$C$17:$C$66,'Project Details'!$H$17:$H$66,"",0)</f>
        <v>0</v>
      </c>
      <c r="K631" s="33" t="str">
        <f>IF(AND(_xlfn.XLOOKUP(C631,'Project Details'!$C$17:$C$66,'Project Details'!$L$17:$L$66,"",0)&gt;550, F631="Spring-L27cm"),"",SUBSTITUTE(_xlfn.XLOOKUP(G631,SKUs!$C$2:$C$10001,SKUs!$F$2:$F$10001,"",0), " Accessories",""))</f>
        <v/>
      </c>
      <c r="L631" s="33">
        <f>_xlfn.XLOOKUP(C631,'Project Details'!$C$17:$C$66,'Project Details'!$D$17:$D$66,"",0)</f>
        <v>0</v>
      </c>
      <c r="M631" s="43"/>
    </row>
    <row r="632" spans="1:13" x14ac:dyDescent="0.25">
      <c r="A632" s="43"/>
      <c r="B632" s="43"/>
      <c r="C632" s="35">
        <f t="shared" si="11"/>
        <v>13</v>
      </c>
      <c r="D632" s="35" t="str" cm="1">
        <f t="array" ref="D632">IFERROR(ROUNDUP(_xlfn.IFS(F632="Aluminum Track", _xlfn.XLOOKUP(C632, dd_accsrycalc!$A$2:$A$51, dd_accsrycalc!$B$2:$B$51, "",0), F632="10 x 2 1/2 S (Flat)", _xlfn.XLOOKUP(C632, dd_accsrycalc!$A$2:$A$51, dd_accsrycalc!$C$2:$C$51, "",0), F632="Tox6", _xlfn.XLOOKUP(C632, dd_accsrycalc!$A$2:$A$51, dd_accsrycalc!$D$2:$D$51, "",0), F632="Cover Cap", _xlfn.XLOOKUP(C632, dd_accsrycalc!$A$2:$A$51, dd_accsrycalc!$E$2:$E$51, "",0), F632="Drainage Cover", _xlfn.XLOOKUP(C632, dd_accsrycalc!$A$2:$A$51, dd_accsrycalc!$F$2:$F$51, "",0),AND( F632="Double Adhesive Tape", I632="Roll-up Screen"), _xlfn.XLOOKUP(C632, calc_rusacc!$C$15:$C$65, calc_rusacc!$AD$15:$AD$65, "",0),AND( F632="Sealant", I632="Roll-up Screen"), _xlfn.XLOOKUP(C632, calc_rusacc!$C$15:$C$65, calc_rusacc!$AF$15:$AF$65, "",0),  AND( F632="Main Chain", I632="Accordion Screen"), _xlfn.XLOOKUP(C632, calc_rusacc!$C$15:$C$65, calc_rusacc!$BF$15:$BF$65, "",0), AND( F632="Sealant", I632="Accordion Screen"), _xlfn.XLOOKUP(C632, calc_rusacc!$C$15:$C$65, calc_rusacc!$BJ$15:$BJ$65, "",0),  F632="Sealant", _xlfn.XLOOKUP(C632, dd_accsrycalc!$A$2:$A$51, dd_accsrycalc!$G$2:$G$51, "",0),  F632&lt;&gt;"",L632*_xlfn.XLOOKUP(1, (SKUs!$C$2:$C$10001=G632)*(SKUs!$K$2:$K$10001=I632),SKUs!$E$2:$E$10001)), 0),"")</f>
        <v/>
      </c>
      <c r="E632" s="35" t="str">
        <f>_xlfn.XLOOKUP(F632,dd_item!$B$2:$B$105,dd_item!$C$2:$C$105,"",0)</f>
        <v/>
      </c>
      <c r="F632" s="35"/>
      <c r="G632" s="35" cm="1">
        <f t="array" ref="G632">IFERROR(_xlfn.XLOOKUP(1, (SKUs!$J$2:$J$10001=accsry_unmerged!F632)*IF(H632&lt;&gt;"",(SKUs!$L$2:$L$10001=accsry_unmerged!H632),1)*(SKUs!$K$2:$K$10001=I632),SKUs!$C$2:$C$10001),"")</f>
        <v>0</v>
      </c>
      <c r="H632" s="36" cm="1">
        <f t="array" ref="H632">IFERROR(_xlfn.XLOOKUP(1, (dd_accsryclr!$C$2:$C$1000=accsry_unmerged!F632)*(dd_accsryclr!$B$2:$B$1000=accsry_unmerged!J632),dd_accsryclr!$A$2:$A$1000),"")</f>
        <v>0</v>
      </c>
      <c r="I632" s="35">
        <f>_xlfn.XLOOKUP(C632,'Project Details'!$C$17:$C$66,'Project Details'!$E$17:$E$66,"",0)</f>
        <v>0</v>
      </c>
      <c r="J632" s="35">
        <f>_xlfn.XLOOKUP(C632,'Project Details'!$C$17:$C$66,'Project Details'!$H$17:$H$66,"",0)</f>
        <v>0</v>
      </c>
      <c r="K632" s="36" t="str">
        <f>IF(AND(_xlfn.XLOOKUP(C632,'Project Details'!$C$17:$C$66,'Project Details'!$L$17:$L$66,"",0)&gt;550, F632="Spring-L27cm"),"",SUBSTITUTE(_xlfn.XLOOKUP(G632,SKUs!$C$2:$C$10001,SKUs!$F$2:$F$10001,"",0), " Accessories",""))</f>
        <v/>
      </c>
      <c r="L632" s="36">
        <f>_xlfn.XLOOKUP(C632,'Project Details'!$C$17:$C$66,'Project Details'!$D$17:$D$66,"",0)</f>
        <v>0</v>
      </c>
      <c r="M632" s="43"/>
    </row>
    <row r="633" spans="1:13" x14ac:dyDescent="0.25">
      <c r="A633" s="43"/>
      <c r="B633" s="43"/>
      <c r="C633" s="16">
        <f t="shared" si="11"/>
        <v>13</v>
      </c>
      <c r="D633" s="16" t="str" cm="1">
        <f t="array" ref="D633">IFERROR(ROUNDUP(_xlfn.IFS(F633="Aluminum Track", _xlfn.XLOOKUP(C633, dd_accsrycalc!$A$2:$A$51, dd_accsrycalc!$B$2:$B$51, "",0), F633="10 x 2 1/2 S (Flat)", _xlfn.XLOOKUP(C633, dd_accsrycalc!$A$2:$A$51, dd_accsrycalc!$C$2:$C$51, "",0), F633="Tox6", _xlfn.XLOOKUP(C633, dd_accsrycalc!$A$2:$A$51, dd_accsrycalc!$D$2:$D$51, "",0), F633="Cover Cap", _xlfn.XLOOKUP(C633, dd_accsrycalc!$A$2:$A$51, dd_accsrycalc!$E$2:$E$51, "",0), F633="Drainage Cover", _xlfn.XLOOKUP(C633, dd_accsrycalc!$A$2:$A$51, dd_accsrycalc!$F$2:$F$51, "",0),AND( F633="Double Adhesive Tape", I633="Roll-up Screen"), _xlfn.XLOOKUP(C633, calc_rusacc!$C$15:$C$65, calc_rusacc!$AD$15:$AD$65, "",0),AND( F633="Sealant", I633="Roll-up Screen"), _xlfn.XLOOKUP(C633, calc_rusacc!$C$15:$C$65, calc_rusacc!$AF$15:$AF$65, "",0),  AND( F633="Main Chain", I633="Accordion Screen"), _xlfn.XLOOKUP(C633, calc_rusacc!$C$15:$C$65, calc_rusacc!$BF$15:$BF$65, "",0), AND( F633="Sealant", I633="Accordion Screen"), _xlfn.XLOOKUP(C633, calc_rusacc!$C$15:$C$65, calc_rusacc!$BJ$15:$BJ$65, "",0),  F633="Sealant", _xlfn.XLOOKUP(C633, dd_accsrycalc!$A$2:$A$51, dd_accsrycalc!$G$2:$G$51, "",0),  F633&lt;&gt;"",L633*_xlfn.XLOOKUP(1, (SKUs!$C$2:$C$10001=G633)*(SKUs!$K$2:$K$10001=I633),SKUs!$E$2:$E$10001)), 0),"")</f>
        <v/>
      </c>
      <c r="E633" s="16" t="str">
        <f>_xlfn.XLOOKUP(F633,dd_item!$B$2:$B$105,dd_item!$C$2:$C$105,"",0)</f>
        <v/>
      </c>
      <c r="F633" s="16"/>
      <c r="G633" s="16" cm="1">
        <f t="array" ref="G633">IFERROR(_xlfn.XLOOKUP(1, (SKUs!$J$2:$J$10001=accsry_unmerged!F633)*IF(H633&lt;&gt;"",(SKUs!$L$2:$L$10001=accsry_unmerged!H633),1)*(SKUs!$K$2:$K$10001=I633),SKUs!$C$2:$C$10001),"")</f>
        <v>0</v>
      </c>
      <c r="H633" s="33" cm="1">
        <f t="array" ref="H633">IFERROR(_xlfn.XLOOKUP(1, (dd_accsryclr!$C$2:$C$1000=accsry_unmerged!F633)*(dd_accsryclr!$B$2:$B$1000=accsry_unmerged!J633),dd_accsryclr!$A$2:$A$1000),"")</f>
        <v>0</v>
      </c>
      <c r="I633" s="16">
        <f>_xlfn.XLOOKUP(C633,'Project Details'!$C$17:$C$66,'Project Details'!$E$17:$E$66,"",0)</f>
        <v>0</v>
      </c>
      <c r="J633" s="16">
        <f>_xlfn.XLOOKUP(C633,'Project Details'!$C$17:$C$66,'Project Details'!$H$17:$H$66,"",0)</f>
        <v>0</v>
      </c>
      <c r="K633" s="33" t="str">
        <f>IF(AND(_xlfn.XLOOKUP(C633,'Project Details'!$C$17:$C$66,'Project Details'!$L$17:$L$66,"",0)&gt;550, F633="Spring-L27cm"),"",SUBSTITUTE(_xlfn.XLOOKUP(G633,SKUs!$C$2:$C$10001,SKUs!$F$2:$F$10001,"",0), " Accessories",""))</f>
        <v/>
      </c>
      <c r="L633" s="33">
        <f>_xlfn.XLOOKUP(C633,'Project Details'!$C$17:$C$66,'Project Details'!$D$17:$D$66,"",0)</f>
        <v>0</v>
      </c>
      <c r="M633" s="43"/>
    </row>
    <row r="634" spans="1:13" ht="13.5" customHeight="1" x14ac:dyDescent="0.25">
      <c r="A634" s="43"/>
      <c r="B634" s="43"/>
      <c r="C634" s="35">
        <f t="shared" si="11"/>
        <v>13</v>
      </c>
      <c r="D634" s="35" t="str" cm="1">
        <f t="array" ref="D634">IFERROR(ROUNDUP(_xlfn.IFS(F634="Aluminum Track", _xlfn.XLOOKUP(C634, dd_accsrycalc!$A$2:$A$51, dd_accsrycalc!$B$2:$B$51, "",0), F634="10 x 2 1/2 S (Flat)", _xlfn.XLOOKUP(C634, dd_accsrycalc!$A$2:$A$51, dd_accsrycalc!$C$2:$C$51, "",0), F634="Tox6", _xlfn.XLOOKUP(C634, dd_accsrycalc!$A$2:$A$51, dd_accsrycalc!$D$2:$D$51, "",0), F634="Cover Cap", _xlfn.XLOOKUP(C634, dd_accsrycalc!$A$2:$A$51, dd_accsrycalc!$E$2:$E$51, "",0), F634="Drainage Cover", _xlfn.XLOOKUP(C634, dd_accsrycalc!$A$2:$A$51, dd_accsrycalc!$F$2:$F$51, "",0),AND( F634="Double Adhesive Tape", I634="Roll-up Screen"), _xlfn.XLOOKUP(C634, calc_rusacc!$C$15:$C$65, calc_rusacc!$AD$15:$AD$65, "",0),AND( F634="Sealant", I634="Roll-up Screen"), _xlfn.XLOOKUP(C634, calc_rusacc!$C$15:$C$65, calc_rusacc!$AF$15:$AF$65, "",0),  AND( F634="Main Chain", I634="Accordion Screen"), _xlfn.XLOOKUP(C634, calc_rusacc!$C$15:$C$65, calc_rusacc!$BF$15:$BF$65, "",0), AND( F634="Sealant", I634="Accordion Screen"), _xlfn.XLOOKUP(C634, calc_rusacc!$C$15:$C$65, calc_rusacc!$BJ$15:$BJ$65, "",0),  F634="Sealant", _xlfn.XLOOKUP(C634, dd_accsrycalc!$A$2:$A$51, dd_accsrycalc!$G$2:$G$51, "",0),  F634&lt;&gt;"",L634*_xlfn.XLOOKUP(1, (SKUs!$C$2:$C$10001=G634)*(SKUs!$K$2:$K$10001=I634),SKUs!$E$2:$E$10001)), 0),"")</f>
        <v/>
      </c>
      <c r="E634" s="35" t="str">
        <f>_xlfn.XLOOKUP(F634,dd_item!$B$2:$B$105,dd_item!$C$2:$C$105,"",0)</f>
        <v/>
      </c>
      <c r="F634" s="35"/>
      <c r="G634" s="35" cm="1">
        <f t="array" ref="G634">IFERROR(_xlfn.XLOOKUP(1, (SKUs!$J$2:$J$10001=accsry_unmerged!F634)*IF(H634&lt;&gt;"",(SKUs!$L$2:$L$10001=accsry_unmerged!H634),1)*(SKUs!$K$2:$K$10001=I634),SKUs!$C$2:$C$10001),"")</f>
        <v>0</v>
      </c>
      <c r="H634" s="36" cm="1">
        <f t="array" ref="H634">IFERROR(_xlfn.XLOOKUP(1, (dd_accsryclr!$C$2:$C$1000=accsry_unmerged!F634)*(dd_accsryclr!$B$2:$B$1000=accsry_unmerged!J634),dd_accsryclr!$A$2:$A$1000),"")</f>
        <v>0</v>
      </c>
      <c r="I634" s="35">
        <f>_xlfn.XLOOKUP(C634,'Project Details'!$C$17:$C$66,'Project Details'!$E$17:$E$66,"",0)</f>
        <v>0</v>
      </c>
      <c r="J634" s="35">
        <f>_xlfn.XLOOKUP(C634,'Project Details'!$C$17:$C$66,'Project Details'!$H$17:$H$66,"",0)</f>
        <v>0</v>
      </c>
      <c r="K634" s="36" t="str">
        <f>IF(AND(_xlfn.XLOOKUP(C634,'Project Details'!$C$17:$C$66,'Project Details'!$L$17:$L$66,"",0)&gt;550, F634="Spring-L27cm"),"",SUBSTITUTE(_xlfn.XLOOKUP(G634,SKUs!$C$2:$C$10001,SKUs!$F$2:$F$10001,"",0), " Accessories",""))</f>
        <v/>
      </c>
      <c r="L634" s="36">
        <f>_xlfn.XLOOKUP(C634,'Project Details'!$C$17:$C$66,'Project Details'!$D$17:$D$66,"",0)</f>
        <v>0</v>
      </c>
      <c r="M634" s="43"/>
    </row>
    <row r="635" spans="1:13" ht="13.5" customHeight="1" x14ac:dyDescent="0.25">
      <c r="A635" s="43"/>
      <c r="B635" s="43"/>
      <c r="C635" s="16">
        <f t="shared" si="11"/>
        <v>13</v>
      </c>
      <c r="D635" s="16" t="str" cm="1">
        <f t="array" ref="D635">IFERROR(ROUNDUP(_xlfn.IFS(F635="Aluminum Track", _xlfn.XLOOKUP(C635, dd_accsrycalc!$A$2:$A$51, dd_accsrycalc!$B$2:$B$51, "",0), F635="10 x 2 1/2 S (Flat)", _xlfn.XLOOKUP(C635, dd_accsrycalc!$A$2:$A$51, dd_accsrycalc!$C$2:$C$51, "",0), F635="Tox6", _xlfn.XLOOKUP(C635, dd_accsrycalc!$A$2:$A$51, dd_accsrycalc!$D$2:$D$51, "",0), F635="Cover Cap", _xlfn.XLOOKUP(C635, dd_accsrycalc!$A$2:$A$51, dd_accsrycalc!$E$2:$E$51, "",0), F635="Drainage Cover", _xlfn.XLOOKUP(C635, dd_accsrycalc!$A$2:$A$51, dd_accsrycalc!$F$2:$F$51, "",0),AND( F635="Double Adhesive Tape", I635="Roll-up Screen"), _xlfn.XLOOKUP(C635, calc_rusacc!$C$15:$C$65, calc_rusacc!$AD$15:$AD$65, "",0),AND( F635="Sealant", I635="Roll-up Screen"), _xlfn.XLOOKUP(C635, calc_rusacc!$C$15:$C$65, calc_rusacc!$AF$15:$AF$65, "",0),  AND( F635="Main Chain", I635="Accordion Screen"), _xlfn.XLOOKUP(C635, calc_rusacc!$C$15:$C$65, calc_rusacc!$BF$15:$BF$65, "",0), AND( F635="Sealant", I635="Accordion Screen"), _xlfn.XLOOKUP(C635, calc_rusacc!$C$15:$C$65, calc_rusacc!$BJ$15:$BJ$65, "",0),  F635="Sealant", _xlfn.XLOOKUP(C635, dd_accsrycalc!$A$2:$A$51, dd_accsrycalc!$G$2:$G$51, "",0),  F635&lt;&gt;"",L635*_xlfn.XLOOKUP(1, (SKUs!$C$2:$C$10001=G635)*(SKUs!$K$2:$K$10001=I635),SKUs!$E$2:$E$10001)), 0),"")</f>
        <v/>
      </c>
      <c r="E635" s="16" t="str">
        <f>_xlfn.XLOOKUP(F635,dd_item!$B$2:$B$105,dd_item!$C$2:$C$105,"",0)</f>
        <v/>
      </c>
      <c r="F635" s="16"/>
      <c r="G635" s="16" cm="1">
        <f t="array" ref="G635">IFERROR(_xlfn.XLOOKUP(1, (SKUs!$J$2:$J$10001=accsry_unmerged!F635)*IF(H635&lt;&gt;"",(SKUs!$L$2:$L$10001=accsry_unmerged!H635),1)*(SKUs!$K$2:$K$10001=I635),SKUs!$C$2:$C$10001),"")</f>
        <v>0</v>
      </c>
      <c r="H635" s="33" cm="1">
        <f t="array" ref="H635">IFERROR(_xlfn.XLOOKUP(1, (dd_accsryclr!$C$2:$C$1000=accsry_unmerged!F635)*(dd_accsryclr!$B$2:$B$1000=accsry_unmerged!J635),dd_accsryclr!$A$2:$A$1000),"")</f>
        <v>0</v>
      </c>
      <c r="I635" s="16">
        <f>_xlfn.XLOOKUP(C635,'Project Details'!$C$17:$C$66,'Project Details'!$E$17:$E$66,"",0)</f>
        <v>0</v>
      </c>
      <c r="J635" s="16">
        <f>_xlfn.XLOOKUP(C635,'Project Details'!$C$17:$C$66,'Project Details'!$H$17:$H$66,"",0)</f>
        <v>0</v>
      </c>
      <c r="K635" s="33" t="str">
        <f>IF(AND(_xlfn.XLOOKUP(C635,'Project Details'!$C$17:$C$66,'Project Details'!$L$17:$L$66,"",0)&gt;550, F635="Spring-L27cm"),"",SUBSTITUTE(_xlfn.XLOOKUP(G635,SKUs!$C$2:$C$10001,SKUs!$F$2:$F$10001,"",0), " Accessories",""))</f>
        <v/>
      </c>
      <c r="L635" s="33">
        <f>_xlfn.XLOOKUP(C635,'Project Details'!$C$17:$C$66,'Project Details'!$D$17:$D$66,"",0)</f>
        <v>0</v>
      </c>
      <c r="M635" s="43"/>
    </row>
    <row r="636" spans="1:13" ht="13.5" customHeight="1" x14ac:dyDescent="0.25">
      <c r="A636" s="43"/>
      <c r="B636" s="43"/>
      <c r="C636" s="35">
        <f t="shared" si="11"/>
        <v>13</v>
      </c>
      <c r="D636" s="35" t="str" cm="1">
        <f t="array" ref="D636">IFERROR(ROUNDUP(_xlfn.IFS(F636="Aluminum Track", _xlfn.XLOOKUP(C636, dd_accsrycalc!$A$2:$A$51, dd_accsrycalc!$B$2:$B$51, "",0), F636="10 x 2 1/2 S (Flat)", _xlfn.XLOOKUP(C636, dd_accsrycalc!$A$2:$A$51, dd_accsrycalc!$C$2:$C$51, "",0), F636="Tox6", _xlfn.XLOOKUP(C636, dd_accsrycalc!$A$2:$A$51, dd_accsrycalc!$D$2:$D$51, "",0), F636="Cover Cap", _xlfn.XLOOKUP(C636, dd_accsrycalc!$A$2:$A$51, dd_accsrycalc!$E$2:$E$51, "",0), F636="Drainage Cover", _xlfn.XLOOKUP(C636, dd_accsrycalc!$A$2:$A$51, dd_accsrycalc!$F$2:$F$51, "",0),AND( F636="Double Adhesive Tape", I636="Roll-up Screen"), _xlfn.XLOOKUP(C636, calc_rusacc!$C$15:$C$65, calc_rusacc!$AD$15:$AD$65, "",0),AND( F636="Sealant", I636="Roll-up Screen"), _xlfn.XLOOKUP(C636, calc_rusacc!$C$15:$C$65, calc_rusacc!$AF$15:$AF$65, "",0),  AND( F636="Main Chain", I636="Accordion Screen"), _xlfn.XLOOKUP(C636, calc_rusacc!$C$15:$C$65, calc_rusacc!$BF$15:$BF$65, "",0), AND( F636="Sealant", I636="Accordion Screen"), _xlfn.XLOOKUP(C636, calc_rusacc!$C$15:$C$65, calc_rusacc!$BJ$15:$BJ$65, "",0),  F636="Sealant", _xlfn.XLOOKUP(C636, dd_accsrycalc!$A$2:$A$51, dd_accsrycalc!$G$2:$G$51, "",0),  F636&lt;&gt;"",L636*_xlfn.XLOOKUP(1, (SKUs!$C$2:$C$10001=G636)*(SKUs!$K$2:$K$10001=I636),SKUs!$E$2:$E$10001)), 0),"")</f>
        <v/>
      </c>
      <c r="E636" s="35" t="str">
        <f>_xlfn.XLOOKUP(F636,dd_item!$B$2:$B$105,dd_item!$C$2:$C$105,"",0)</f>
        <v/>
      </c>
      <c r="F636" s="35"/>
      <c r="G636" s="35" cm="1">
        <f t="array" ref="G636">IFERROR(_xlfn.XLOOKUP(1, (SKUs!$J$2:$J$10001=accsry_unmerged!F636)*IF(H636&lt;&gt;"",(SKUs!$L$2:$L$10001=accsry_unmerged!H636),1)*(SKUs!$K$2:$K$10001=I636),SKUs!$C$2:$C$10001),"")</f>
        <v>0</v>
      </c>
      <c r="H636" s="36" cm="1">
        <f t="array" ref="H636">IFERROR(_xlfn.XLOOKUP(1, (dd_accsryclr!$C$2:$C$1000=accsry_unmerged!F636)*(dd_accsryclr!$B$2:$B$1000=accsry_unmerged!J636),dd_accsryclr!$A$2:$A$1000),"")</f>
        <v>0</v>
      </c>
      <c r="I636" s="35">
        <f>_xlfn.XLOOKUP(C636,'Project Details'!$C$17:$C$66,'Project Details'!$E$17:$E$66,"",0)</f>
        <v>0</v>
      </c>
      <c r="J636" s="35">
        <f>_xlfn.XLOOKUP(C636,'Project Details'!$C$17:$C$66,'Project Details'!$H$17:$H$66,"",0)</f>
        <v>0</v>
      </c>
      <c r="K636" s="36" t="str">
        <f>IF(AND(_xlfn.XLOOKUP(C636,'Project Details'!$C$17:$C$66,'Project Details'!$L$17:$L$66,"",0)&gt;550, F636="Spring-L27cm"),"",SUBSTITUTE(_xlfn.XLOOKUP(G636,SKUs!$C$2:$C$10001,SKUs!$F$2:$F$10001,"",0), " Accessories",""))</f>
        <v/>
      </c>
      <c r="L636" s="36">
        <f>_xlfn.XLOOKUP(C636,'Project Details'!$C$17:$C$66,'Project Details'!$D$17:$D$66,"",0)</f>
        <v>0</v>
      </c>
      <c r="M636" s="43"/>
    </row>
    <row r="637" spans="1:13" ht="13.5" customHeight="1" x14ac:dyDescent="0.25">
      <c r="A637" s="43"/>
      <c r="B637" s="43"/>
      <c r="C637" s="16">
        <f t="shared" si="11"/>
        <v>13</v>
      </c>
      <c r="D637" s="16" t="str" cm="1">
        <f t="array" ref="D637">IFERROR(ROUNDUP(_xlfn.IFS(F637="Aluminum Track", _xlfn.XLOOKUP(C637, dd_accsrycalc!$A$2:$A$51, dd_accsrycalc!$B$2:$B$51, "",0), F637="10 x 2 1/2 S (Flat)", _xlfn.XLOOKUP(C637, dd_accsrycalc!$A$2:$A$51, dd_accsrycalc!$C$2:$C$51, "",0), F637="Tox6", _xlfn.XLOOKUP(C637, dd_accsrycalc!$A$2:$A$51, dd_accsrycalc!$D$2:$D$51, "",0), F637="Cover Cap", _xlfn.XLOOKUP(C637, dd_accsrycalc!$A$2:$A$51, dd_accsrycalc!$E$2:$E$51, "",0), F637="Drainage Cover", _xlfn.XLOOKUP(C637, dd_accsrycalc!$A$2:$A$51, dd_accsrycalc!$F$2:$F$51, "",0),AND( F637="Double Adhesive Tape", I637="Roll-up Screen"), _xlfn.XLOOKUP(C637, calc_rusacc!$C$15:$C$65, calc_rusacc!$AD$15:$AD$65, "",0),AND( F637="Sealant", I637="Roll-up Screen"), _xlfn.XLOOKUP(C637, calc_rusacc!$C$15:$C$65, calc_rusacc!$AF$15:$AF$65, "",0),  AND( F637="Main Chain", I637="Accordion Screen"), _xlfn.XLOOKUP(C637, calc_rusacc!$C$15:$C$65, calc_rusacc!$BF$15:$BF$65, "",0), AND( F637="Sealant", I637="Accordion Screen"), _xlfn.XLOOKUP(C637, calc_rusacc!$C$15:$C$65, calc_rusacc!$BJ$15:$BJ$65, "",0),  F637="Sealant", _xlfn.XLOOKUP(C637, dd_accsrycalc!$A$2:$A$51, dd_accsrycalc!$G$2:$G$51, "",0),  F637&lt;&gt;"",L637*_xlfn.XLOOKUP(1, (SKUs!$C$2:$C$10001=G637)*(SKUs!$K$2:$K$10001=I637),SKUs!$E$2:$E$10001)), 0),"")</f>
        <v/>
      </c>
      <c r="E637" s="16" t="str">
        <f>_xlfn.XLOOKUP(F637,dd_item!$B$2:$B$105,dd_item!$C$2:$C$105,"",0)</f>
        <v/>
      </c>
      <c r="F637" s="16"/>
      <c r="G637" s="16" cm="1">
        <f t="array" ref="G637">IFERROR(_xlfn.XLOOKUP(1, (SKUs!$J$2:$J$10001=accsry_unmerged!F637)*IF(H637&lt;&gt;"",(SKUs!$L$2:$L$10001=accsry_unmerged!H637),1)*(SKUs!$K$2:$K$10001=I637),SKUs!$C$2:$C$10001),"")</f>
        <v>0</v>
      </c>
      <c r="H637" s="33" cm="1">
        <f t="array" ref="H637">IFERROR(_xlfn.XLOOKUP(1, (dd_accsryclr!$C$2:$C$1000=accsry_unmerged!F637)*(dd_accsryclr!$B$2:$B$1000=accsry_unmerged!J637),dd_accsryclr!$A$2:$A$1000),"")</f>
        <v>0</v>
      </c>
      <c r="I637" s="16">
        <f>_xlfn.XLOOKUP(C637,'Project Details'!$C$17:$C$66,'Project Details'!$E$17:$E$66,"",0)</f>
        <v>0</v>
      </c>
      <c r="J637" s="16">
        <f>_xlfn.XLOOKUP(C637,'Project Details'!$C$17:$C$66,'Project Details'!$H$17:$H$66,"",0)</f>
        <v>0</v>
      </c>
      <c r="K637" s="33" t="str">
        <f>IF(AND(_xlfn.XLOOKUP(C637,'Project Details'!$C$17:$C$66,'Project Details'!$L$17:$L$66,"",0)&gt;550, F637="Spring-L27cm"),"",SUBSTITUTE(_xlfn.XLOOKUP(G637,SKUs!$C$2:$C$10001,SKUs!$F$2:$F$10001,"",0), " Accessories",""))</f>
        <v/>
      </c>
      <c r="L637" s="33">
        <f>_xlfn.XLOOKUP(C637,'Project Details'!$C$17:$C$66,'Project Details'!$D$17:$D$66,"",0)</f>
        <v>0</v>
      </c>
      <c r="M637" s="43"/>
    </row>
    <row r="638" spans="1:13" ht="13.5" customHeight="1" x14ac:dyDescent="0.25">
      <c r="A638" s="43"/>
      <c r="B638" s="43"/>
      <c r="C638" s="35">
        <f t="shared" si="11"/>
        <v>13</v>
      </c>
      <c r="D638" s="35" t="str" cm="1">
        <f t="array" ref="D638">IFERROR(ROUNDUP(_xlfn.IFS(F638="Aluminum Track", _xlfn.XLOOKUP(C638, dd_accsrycalc!$A$2:$A$51, dd_accsrycalc!$B$2:$B$51, "",0), F638="10 x 2 1/2 S (Flat)", _xlfn.XLOOKUP(C638, dd_accsrycalc!$A$2:$A$51, dd_accsrycalc!$C$2:$C$51, "",0), F638="Tox6", _xlfn.XLOOKUP(C638, dd_accsrycalc!$A$2:$A$51, dd_accsrycalc!$D$2:$D$51, "",0), F638="Cover Cap", _xlfn.XLOOKUP(C638, dd_accsrycalc!$A$2:$A$51, dd_accsrycalc!$E$2:$E$51, "",0), F638="Drainage Cover", _xlfn.XLOOKUP(C638, dd_accsrycalc!$A$2:$A$51, dd_accsrycalc!$F$2:$F$51, "",0),AND( F638="Double Adhesive Tape", I638="Roll-up Screen"), _xlfn.XLOOKUP(C638, calc_rusacc!$C$15:$C$65, calc_rusacc!$AD$15:$AD$65, "",0),AND( F638="Sealant", I638="Roll-up Screen"), _xlfn.XLOOKUP(C638, calc_rusacc!$C$15:$C$65, calc_rusacc!$AF$15:$AF$65, "",0),  AND( F638="Main Chain", I638="Accordion Screen"), _xlfn.XLOOKUP(C638, calc_rusacc!$C$15:$C$65, calc_rusacc!$BF$15:$BF$65, "",0), AND( F638="Sealant", I638="Accordion Screen"), _xlfn.XLOOKUP(C638, calc_rusacc!$C$15:$C$65, calc_rusacc!$BJ$15:$BJ$65, "",0),  F638="Sealant", _xlfn.XLOOKUP(C638, dd_accsrycalc!$A$2:$A$51, dd_accsrycalc!$G$2:$G$51, "",0),  F638&lt;&gt;"",L638*_xlfn.XLOOKUP(1, (SKUs!$C$2:$C$10001=G638)*(SKUs!$K$2:$K$10001=I638),SKUs!$E$2:$E$10001)), 0),"")</f>
        <v/>
      </c>
      <c r="E638" s="35" t="str">
        <f>_xlfn.XLOOKUP(F638,dd_item!$B$2:$B$105,dd_item!$C$2:$C$105,"",0)</f>
        <v/>
      </c>
      <c r="F638" s="35"/>
      <c r="G638" s="35" cm="1">
        <f t="array" ref="G638">IFERROR(_xlfn.XLOOKUP(1, (SKUs!$J$2:$J$10001=accsry_unmerged!F638)*IF(H638&lt;&gt;"",(SKUs!$L$2:$L$10001=accsry_unmerged!H638),1)*(SKUs!$K$2:$K$10001=I638),SKUs!$C$2:$C$10001),"")</f>
        <v>0</v>
      </c>
      <c r="H638" s="36" cm="1">
        <f t="array" ref="H638">IFERROR(_xlfn.XLOOKUP(1, (dd_accsryclr!$C$2:$C$1000=accsry_unmerged!F638)*(dd_accsryclr!$B$2:$B$1000=accsry_unmerged!J638),dd_accsryclr!$A$2:$A$1000),"")</f>
        <v>0</v>
      </c>
      <c r="I638" s="35">
        <f>_xlfn.XLOOKUP(C638,'Project Details'!$C$17:$C$66,'Project Details'!$E$17:$E$66,"",0)</f>
        <v>0</v>
      </c>
      <c r="J638" s="35">
        <f>_xlfn.XLOOKUP(C638,'Project Details'!$C$17:$C$66,'Project Details'!$H$17:$H$66,"",0)</f>
        <v>0</v>
      </c>
      <c r="K638" s="36" t="str">
        <f>IF(AND(_xlfn.XLOOKUP(C638,'Project Details'!$C$17:$C$66,'Project Details'!$L$17:$L$66,"",0)&gt;550, F638="Spring-L27cm"),"",SUBSTITUTE(_xlfn.XLOOKUP(G638,SKUs!$C$2:$C$10001,SKUs!$F$2:$F$10001,"",0), " Accessories",""))</f>
        <v/>
      </c>
      <c r="L638" s="36">
        <f>_xlfn.XLOOKUP(C638,'Project Details'!$C$17:$C$66,'Project Details'!$D$17:$D$66,"",0)</f>
        <v>0</v>
      </c>
      <c r="M638" s="43"/>
    </row>
    <row r="639" spans="1:13" ht="13.5" customHeight="1" x14ac:dyDescent="0.25">
      <c r="A639" s="43"/>
      <c r="B639" s="43"/>
      <c r="C639" s="16">
        <f t="shared" si="11"/>
        <v>13</v>
      </c>
      <c r="D639" s="16" t="str" cm="1">
        <f t="array" ref="D639">IFERROR(ROUNDUP(_xlfn.IFS(F639="Aluminum Track", _xlfn.XLOOKUP(C639, dd_accsrycalc!$A$2:$A$51, dd_accsrycalc!$B$2:$B$51, "",0), F639="10 x 2 1/2 S (Flat)", _xlfn.XLOOKUP(C639, dd_accsrycalc!$A$2:$A$51, dd_accsrycalc!$C$2:$C$51, "",0), F639="Tox6", _xlfn.XLOOKUP(C639, dd_accsrycalc!$A$2:$A$51, dd_accsrycalc!$D$2:$D$51, "",0), F639="Cover Cap", _xlfn.XLOOKUP(C639, dd_accsrycalc!$A$2:$A$51, dd_accsrycalc!$E$2:$E$51, "",0), F639="Drainage Cover", _xlfn.XLOOKUP(C639, dd_accsrycalc!$A$2:$A$51, dd_accsrycalc!$F$2:$F$51, "",0),AND( F639="Double Adhesive Tape", I639="Roll-up Screen"), _xlfn.XLOOKUP(C639, calc_rusacc!$C$15:$C$65, calc_rusacc!$AD$15:$AD$65, "",0),AND( F639="Sealant", I639="Roll-up Screen"), _xlfn.XLOOKUP(C639, calc_rusacc!$C$15:$C$65, calc_rusacc!$AF$15:$AF$65, "",0),  AND( F639="Main Chain", I639="Accordion Screen"), _xlfn.XLOOKUP(C639, calc_rusacc!$C$15:$C$65, calc_rusacc!$BF$15:$BF$65, "",0), AND( F639="Sealant", I639="Accordion Screen"), _xlfn.XLOOKUP(C639, calc_rusacc!$C$15:$C$65, calc_rusacc!$BJ$15:$BJ$65, "",0),  F639="Sealant", _xlfn.XLOOKUP(C639, dd_accsrycalc!$A$2:$A$51, dd_accsrycalc!$G$2:$G$51, "",0),  F639&lt;&gt;"",L639*_xlfn.XLOOKUP(1, (SKUs!$C$2:$C$10001=G639)*(SKUs!$K$2:$K$10001=I639),SKUs!$E$2:$E$10001)), 0),"")</f>
        <v/>
      </c>
      <c r="E639" s="16" t="str">
        <f>_xlfn.XLOOKUP(F639,dd_item!$B$2:$B$105,dd_item!$C$2:$C$105,"",0)</f>
        <v/>
      </c>
      <c r="F639" s="16"/>
      <c r="G639" s="16" cm="1">
        <f t="array" ref="G639">IFERROR(_xlfn.XLOOKUP(1, (SKUs!$J$2:$J$10001=accsry_unmerged!F639)*IF(H639&lt;&gt;"",(SKUs!$L$2:$L$10001=accsry_unmerged!H639),1)*(SKUs!$K$2:$K$10001=I639),SKUs!$C$2:$C$10001),"")</f>
        <v>0</v>
      </c>
      <c r="H639" s="33" cm="1">
        <f t="array" ref="H639">IFERROR(_xlfn.XLOOKUP(1, (dd_accsryclr!$C$2:$C$1000=accsry_unmerged!F639)*(dd_accsryclr!$B$2:$B$1000=accsry_unmerged!J639),dd_accsryclr!$A$2:$A$1000),"")</f>
        <v>0</v>
      </c>
      <c r="I639" s="16">
        <f>_xlfn.XLOOKUP(C639,'Project Details'!$C$17:$C$66,'Project Details'!$E$17:$E$66,"",0)</f>
        <v>0</v>
      </c>
      <c r="J639" s="16">
        <f>_xlfn.XLOOKUP(C639,'Project Details'!$C$17:$C$66,'Project Details'!$H$17:$H$66,"",0)</f>
        <v>0</v>
      </c>
      <c r="K639" s="33" t="str">
        <f>IF(AND(_xlfn.XLOOKUP(C639,'Project Details'!$C$17:$C$66,'Project Details'!$L$17:$L$66,"",0)&gt;550, F639="Spring-L27cm"),"",SUBSTITUTE(_xlfn.XLOOKUP(G639,SKUs!$C$2:$C$10001,SKUs!$F$2:$F$10001,"",0), " Accessories",""))</f>
        <v/>
      </c>
      <c r="L639" s="33">
        <f>_xlfn.XLOOKUP(C639,'Project Details'!$C$17:$C$66,'Project Details'!$D$17:$D$66,"",0)</f>
        <v>0</v>
      </c>
      <c r="M639" s="43"/>
    </row>
    <row r="640" spans="1:13" ht="13.5" customHeight="1" x14ac:dyDescent="0.25">
      <c r="A640" s="43"/>
      <c r="B640" s="43"/>
      <c r="C640" s="35">
        <f t="shared" si="11"/>
        <v>13</v>
      </c>
      <c r="D640" s="35" t="str" cm="1">
        <f t="array" ref="D640">IFERROR(ROUNDUP(_xlfn.IFS(F640="Aluminum Track", _xlfn.XLOOKUP(C640, dd_accsrycalc!$A$2:$A$51, dd_accsrycalc!$B$2:$B$51, "",0), F640="10 x 2 1/2 S (Flat)", _xlfn.XLOOKUP(C640, dd_accsrycalc!$A$2:$A$51, dd_accsrycalc!$C$2:$C$51, "",0), F640="Tox6", _xlfn.XLOOKUP(C640, dd_accsrycalc!$A$2:$A$51, dd_accsrycalc!$D$2:$D$51, "",0), F640="Cover Cap", _xlfn.XLOOKUP(C640, dd_accsrycalc!$A$2:$A$51, dd_accsrycalc!$E$2:$E$51, "",0), F640="Drainage Cover", _xlfn.XLOOKUP(C640, dd_accsrycalc!$A$2:$A$51, dd_accsrycalc!$F$2:$F$51, "",0),AND( F640="Double Adhesive Tape", I640="Roll-up Screen"), _xlfn.XLOOKUP(C640, calc_rusacc!$C$15:$C$65, calc_rusacc!$AD$15:$AD$65, "",0),AND( F640="Sealant", I640="Roll-up Screen"), _xlfn.XLOOKUP(C640, calc_rusacc!$C$15:$C$65, calc_rusacc!$AF$15:$AF$65, "",0),  AND( F640="Main Chain", I640="Accordion Screen"), _xlfn.XLOOKUP(C640, calc_rusacc!$C$15:$C$65, calc_rusacc!$BF$15:$BF$65, "",0), AND( F640="Sealant", I640="Accordion Screen"), _xlfn.XLOOKUP(C640, calc_rusacc!$C$15:$C$65, calc_rusacc!$BJ$15:$BJ$65, "",0),  F640="Sealant", _xlfn.XLOOKUP(C640, dd_accsrycalc!$A$2:$A$51, dd_accsrycalc!$G$2:$G$51, "",0),  F640&lt;&gt;"",L640*_xlfn.XLOOKUP(1, (SKUs!$C$2:$C$10001=G640)*(SKUs!$K$2:$K$10001=I640),SKUs!$E$2:$E$10001)), 0),"")</f>
        <v/>
      </c>
      <c r="E640" s="35" t="str">
        <f>_xlfn.XLOOKUP(F640,dd_item!$B$2:$B$105,dd_item!$C$2:$C$105,"",0)</f>
        <v/>
      </c>
      <c r="F640" s="35"/>
      <c r="G640" s="35" cm="1">
        <f t="array" ref="G640">IFERROR(_xlfn.XLOOKUP(1, (SKUs!$J$2:$J$10001=accsry_unmerged!F640)*IF(H640&lt;&gt;"",(SKUs!$L$2:$L$10001=accsry_unmerged!H640),1)*(SKUs!$K$2:$K$10001=I640),SKUs!$C$2:$C$10001),"")</f>
        <v>0</v>
      </c>
      <c r="H640" s="36" cm="1">
        <f t="array" ref="H640">IFERROR(_xlfn.XLOOKUP(1, (dd_accsryclr!$C$2:$C$1000=accsry_unmerged!F640)*(dd_accsryclr!$B$2:$B$1000=accsry_unmerged!J640),dd_accsryclr!$A$2:$A$1000),"")</f>
        <v>0</v>
      </c>
      <c r="I640" s="35">
        <f>_xlfn.XLOOKUP(C640,'Project Details'!$C$17:$C$66,'Project Details'!$E$17:$E$66,"",0)</f>
        <v>0</v>
      </c>
      <c r="J640" s="35">
        <f>_xlfn.XLOOKUP(C640,'Project Details'!$C$17:$C$66,'Project Details'!$H$17:$H$66,"",0)</f>
        <v>0</v>
      </c>
      <c r="K640" s="36" t="str">
        <f>IF(AND(_xlfn.XLOOKUP(C640,'Project Details'!$C$17:$C$66,'Project Details'!$L$17:$L$66,"",0)&gt;550, F640="Spring-L27cm"),"",SUBSTITUTE(_xlfn.XLOOKUP(G640,SKUs!$C$2:$C$10001,SKUs!$F$2:$F$10001,"",0), " Accessories",""))</f>
        <v/>
      </c>
      <c r="L640" s="36">
        <f>_xlfn.XLOOKUP(C640,'Project Details'!$C$17:$C$66,'Project Details'!$D$17:$D$66,"",0)</f>
        <v>0</v>
      </c>
      <c r="M640" s="43"/>
    </row>
    <row r="641" spans="1:13" ht="13.5" customHeight="1" x14ac:dyDescent="0.25">
      <c r="A641" s="43"/>
      <c r="B641" s="43"/>
      <c r="C641" s="16">
        <f t="shared" si="11"/>
        <v>13</v>
      </c>
      <c r="D641" s="16" t="str" cm="1">
        <f t="array" ref="D641">IFERROR(ROUNDUP(_xlfn.IFS(F641="Aluminum Track", _xlfn.XLOOKUP(C641, dd_accsrycalc!$A$2:$A$51, dd_accsrycalc!$B$2:$B$51, "",0), F641="10 x 2 1/2 S (Flat)", _xlfn.XLOOKUP(C641, dd_accsrycalc!$A$2:$A$51, dd_accsrycalc!$C$2:$C$51, "",0), F641="Tox6", _xlfn.XLOOKUP(C641, dd_accsrycalc!$A$2:$A$51, dd_accsrycalc!$D$2:$D$51, "",0), F641="Cover Cap", _xlfn.XLOOKUP(C641, dd_accsrycalc!$A$2:$A$51, dd_accsrycalc!$E$2:$E$51, "",0), F641="Drainage Cover", _xlfn.XLOOKUP(C641, dd_accsrycalc!$A$2:$A$51, dd_accsrycalc!$F$2:$F$51, "",0),AND( F641="Double Adhesive Tape", I641="Roll-up Screen"), _xlfn.XLOOKUP(C641, calc_rusacc!$C$15:$C$65, calc_rusacc!$AD$15:$AD$65, "",0),AND( F641="Sealant", I641="Roll-up Screen"), _xlfn.XLOOKUP(C641, calc_rusacc!$C$15:$C$65, calc_rusacc!$AF$15:$AF$65, "",0),  AND( F641="Main Chain", I641="Accordion Screen"), _xlfn.XLOOKUP(C641, calc_rusacc!$C$15:$C$65, calc_rusacc!$BF$15:$BF$65, "",0), AND( F641="Sealant", I641="Accordion Screen"), _xlfn.XLOOKUP(C641, calc_rusacc!$C$15:$C$65, calc_rusacc!$BJ$15:$BJ$65, "",0),  F641="Sealant", _xlfn.XLOOKUP(C641, dd_accsrycalc!$A$2:$A$51, dd_accsrycalc!$G$2:$G$51, "",0),  F641&lt;&gt;"",L641*_xlfn.XLOOKUP(1, (SKUs!$C$2:$C$10001=G641)*(SKUs!$K$2:$K$10001=I641),SKUs!$E$2:$E$10001)), 0),"")</f>
        <v/>
      </c>
      <c r="E641" s="16" t="str">
        <f>_xlfn.XLOOKUP(F641,dd_item!$B$2:$B$105,dd_item!$C$2:$C$105,"",0)</f>
        <v/>
      </c>
      <c r="F641" s="16"/>
      <c r="G641" s="16" cm="1">
        <f t="array" ref="G641">IFERROR(_xlfn.XLOOKUP(1, (SKUs!$J$2:$J$10001=accsry_unmerged!F641)*IF(H641&lt;&gt;"",(SKUs!$L$2:$L$10001=accsry_unmerged!H641),1)*(SKUs!$K$2:$K$10001=I641),SKUs!$C$2:$C$10001),"")</f>
        <v>0</v>
      </c>
      <c r="H641" s="33" cm="1">
        <f t="array" ref="H641">IFERROR(_xlfn.XLOOKUP(1, (dd_accsryclr!$C$2:$C$1000=accsry_unmerged!F641)*(dd_accsryclr!$B$2:$B$1000=accsry_unmerged!J641),dd_accsryclr!$A$2:$A$1000),"")</f>
        <v>0</v>
      </c>
      <c r="I641" s="16">
        <f>_xlfn.XLOOKUP(C641,'Project Details'!$C$17:$C$66,'Project Details'!$E$17:$E$66,"",0)</f>
        <v>0</v>
      </c>
      <c r="J641" s="16">
        <f>_xlfn.XLOOKUP(C641,'Project Details'!$C$17:$C$66,'Project Details'!$H$17:$H$66,"",0)</f>
        <v>0</v>
      </c>
      <c r="K641" s="33" t="str">
        <f>IF(AND(_xlfn.XLOOKUP(C641,'Project Details'!$C$17:$C$66,'Project Details'!$L$17:$L$66,"",0)&gt;550, F641="Spring-L27cm"),"",SUBSTITUTE(_xlfn.XLOOKUP(G641,SKUs!$C$2:$C$10001,SKUs!$F$2:$F$10001,"",0), " Accessories",""))</f>
        <v/>
      </c>
      <c r="L641" s="33">
        <f>_xlfn.XLOOKUP(C641,'Project Details'!$C$17:$C$66,'Project Details'!$D$17:$D$66,"",0)</f>
        <v>0</v>
      </c>
      <c r="M641" s="43"/>
    </row>
    <row r="642" spans="1:13" ht="13.5" customHeight="1" x14ac:dyDescent="0.25">
      <c r="A642" s="43"/>
      <c r="B642" s="43"/>
      <c r="C642" s="35">
        <f t="shared" si="11"/>
        <v>13</v>
      </c>
      <c r="D642" s="35" t="str" cm="1">
        <f t="array" ref="D642">IFERROR(ROUNDUP(_xlfn.IFS(F642="Aluminum Track", _xlfn.XLOOKUP(C642, dd_accsrycalc!$A$2:$A$51, dd_accsrycalc!$B$2:$B$51, "",0), F642="10 x 2 1/2 S (Flat)", _xlfn.XLOOKUP(C642, dd_accsrycalc!$A$2:$A$51, dd_accsrycalc!$C$2:$C$51, "",0), F642="Tox6", _xlfn.XLOOKUP(C642, dd_accsrycalc!$A$2:$A$51, dd_accsrycalc!$D$2:$D$51, "",0), F642="Cover Cap", _xlfn.XLOOKUP(C642, dd_accsrycalc!$A$2:$A$51, dd_accsrycalc!$E$2:$E$51, "",0), F642="Drainage Cover", _xlfn.XLOOKUP(C642, dd_accsrycalc!$A$2:$A$51, dd_accsrycalc!$F$2:$F$51, "",0),AND( F642="Double Adhesive Tape", I642="Roll-up Screen"), _xlfn.XLOOKUP(C642, calc_rusacc!$C$15:$C$65, calc_rusacc!$AD$15:$AD$65, "",0),AND( F642="Sealant", I642="Roll-up Screen"), _xlfn.XLOOKUP(C642, calc_rusacc!$C$15:$C$65, calc_rusacc!$AF$15:$AF$65, "",0),  AND( F642="Main Chain", I642="Accordion Screen"), _xlfn.XLOOKUP(C642, calc_rusacc!$C$15:$C$65, calc_rusacc!$BF$15:$BF$65, "",0), AND( F642="Sealant", I642="Accordion Screen"), _xlfn.XLOOKUP(C642, calc_rusacc!$C$15:$C$65, calc_rusacc!$BJ$15:$BJ$65, "",0),  F642="Sealant", _xlfn.XLOOKUP(C642, dd_accsrycalc!$A$2:$A$51, dd_accsrycalc!$G$2:$G$51, "",0),  F642&lt;&gt;"",L642*_xlfn.XLOOKUP(1, (SKUs!$C$2:$C$10001=G642)*(SKUs!$K$2:$K$10001=I642),SKUs!$E$2:$E$10001)), 0),"")</f>
        <v/>
      </c>
      <c r="E642" s="35" t="str">
        <f>_xlfn.XLOOKUP(F642,dd_item!$B$2:$B$105,dd_item!$C$2:$C$105,"",0)</f>
        <v/>
      </c>
      <c r="F642" s="35"/>
      <c r="G642" s="35" cm="1">
        <f t="array" ref="G642">IFERROR(_xlfn.XLOOKUP(1, (SKUs!$J$2:$J$10001=accsry_unmerged!F642)*IF(H642&lt;&gt;"",(SKUs!$L$2:$L$10001=accsry_unmerged!H642),1)*(SKUs!$K$2:$K$10001=I642),SKUs!$C$2:$C$10001),"")</f>
        <v>0</v>
      </c>
      <c r="H642" s="36" cm="1">
        <f t="array" ref="H642">IFERROR(_xlfn.XLOOKUP(1, (dd_accsryclr!$C$2:$C$1000=accsry_unmerged!F642)*(dd_accsryclr!$B$2:$B$1000=accsry_unmerged!J642),dd_accsryclr!$A$2:$A$1000),"")</f>
        <v>0</v>
      </c>
      <c r="I642" s="35">
        <f>_xlfn.XLOOKUP(C642,'Project Details'!$C$17:$C$66,'Project Details'!$E$17:$E$66,"",0)</f>
        <v>0</v>
      </c>
      <c r="J642" s="35">
        <f>_xlfn.XLOOKUP(C642,'Project Details'!$C$17:$C$66,'Project Details'!$H$17:$H$66,"",0)</f>
        <v>0</v>
      </c>
      <c r="K642" s="36" t="str">
        <f>IF(AND(_xlfn.XLOOKUP(C642,'Project Details'!$C$17:$C$66,'Project Details'!$L$17:$L$66,"",0)&gt;550, F642="Spring-L27cm"),"",SUBSTITUTE(_xlfn.XLOOKUP(G642,SKUs!$C$2:$C$10001,SKUs!$F$2:$F$10001,"",0), " Accessories",""))</f>
        <v/>
      </c>
      <c r="L642" s="36">
        <f>_xlfn.XLOOKUP(C642,'Project Details'!$C$17:$C$66,'Project Details'!$D$17:$D$66,"",0)</f>
        <v>0</v>
      </c>
      <c r="M642" s="43"/>
    </row>
    <row r="643" spans="1:13" ht="13.5" customHeight="1" x14ac:dyDescent="0.25">
      <c r="A643" s="43"/>
      <c r="B643" s="43"/>
      <c r="C643" s="16">
        <f t="shared" si="11"/>
        <v>13</v>
      </c>
      <c r="D643" s="16" t="str" cm="1">
        <f t="array" ref="D643">IFERROR(ROUNDUP(_xlfn.IFS(F643="Aluminum Track", _xlfn.XLOOKUP(C643, dd_accsrycalc!$A$2:$A$51, dd_accsrycalc!$B$2:$B$51, "",0), F643="10 x 2 1/2 S (Flat)", _xlfn.XLOOKUP(C643, dd_accsrycalc!$A$2:$A$51, dd_accsrycalc!$C$2:$C$51, "",0), F643="Tox6", _xlfn.XLOOKUP(C643, dd_accsrycalc!$A$2:$A$51, dd_accsrycalc!$D$2:$D$51, "",0), F643="Cover Cap", _xlfn.XLOOKUP(C643, dd_accsrycalc!$A$2:$A$51, dd_accsrycalc!$E$2:$E$51, "",0), F643="Drainage Cover", _xlfn.XLOOKUP(C643, dd_accsrycalc!$A$2:$A$51, dd_accsrycalc!$F$2:$F$51, "",0),AND( F643="Double Adhesive Tape", I643="Roll-up Screen"), _xlfn.XLOOKUP(C643, calc_rusacc!$C$15:$C$65, calc_rusacc!$AD$15:$AD$65, "",0),AND( F643="Sealant", I643="Roll-up Screen"), _xlfn.XLOOKUP(C643, calc_rusacc!$C$15:$C$65, calc_rusacc!$AF$15:$AF$65, "",0),  AND( F643="Main Chain", I643="Accordion Screen"), _xlfn.XLOOKUP(C643, calc_rusacc!$C$15:$C$65, calc_rusacc!$BF$15:$BF$65, "",0), AND( F643="Sealant", I643="Accordion Screen"), _xlfn.XLOOKUP(C643, calc_rusacc!$C$15:$C$65, calc_rusacc!$BJ$15:$BJ$65, "",0),  F643="Sealant", _xlfn.XLOOKUP(C643, dd_accsrycalc!$A$2:$A$51, dd_accsrycalc!$G$2:$G$51, "",0),  F643&lt;&gt;"",L643*_xlfn.XLOOKUP(1, (SKUs!$C$2:$C$10001=G643)*(SKUs!$K$2:$K$10001=I643),SKUs!$E$2:$E$10001)), 0),"")</f>
        <v/>
      </c>
      <c r="E643" s="16" t="str">
        <f>_xlfn.XLOOKUP(F643,dd_item!$B$2:$B$105,dd_item!$C$2:$C$105,"",0)</f>
        <v/>
      </c>
      <c r="F643" s="16"/>
      <c r="G643" s="16" cm="1">
        <f t="array" ref="G643">IFERROR(_xlfn.XLOOKUP(1, (SKUs!$J$2:$J$10001=accsry_unmerged!F643)*IF(H643&lt;&gt;"",(SKUs!$L$2:$L$10001=accsry_unmerged!H643),1)*(SKUs!$K$2:$K$10001=I643),SKUs!$C$2:$C$10001),"")</f>
        <v>0</v>
      </c>
      <c r="H643" s="33" cm="1">
        <f t="array" ref="H643">IFERROR(_xlfn.XLOOKUP(1, (dd_accsryclr!$C$2:$C$1000=accsry_unmerged!F643)*(dd_accsryclr!$B$2:$B$1000=accsry_unmerged!J643),dd_accsryclr!$A$2:$A$1000),"")</f>
        <v>0</v>
      </c>
      <c r="I643" s="16">
        <f>_xlfn.XLOOKUP(C643,'Project Details'!$C$17:$C$66,'Project Details'!$E$17:$E$66,"",0)</f>
        <v>0</v>
      </c>
      <c r="J643" s="16">
        <f>_xlfn.XLOOKUP(C643,'Project Details'!$C$17:$C$66,'Project Details'!$H$17:$H$66,"",0)</f>
        <v>0</v>
      </c>
      <c r="K643" s="33" t="str">
        <f>IF(AND(_xlfn.XLOOKUP(C643,'Project Details'!$C$17:$C$66,'Project Details'!$L$17:$L$66,"",0)&gt;550, F643="Spring-L27cm"),"",SUBSTITUTE(_xlfn.XLOOKUP(G643,SKUs!$C$2:$C$10001,SKUs!$F$2:$F$10001,"",0), " Accessories",""))</f>
        <v/>
      </c>
      <c r="L643" s="33">
        <f>_xlfn.XLOOKUP(C643,'Project Details'!$C$17:$C$66,'Project Details'!$D$17:$D$66,"",0)</f>
        <v>0</v>
      </c>
      <c r="M643" s="43"/>
    </row>
    <row r="644" spans="1:13" ht="13.5" customHeight="1" x14ac:dyDescent="0.25">
      <c r="A644" s="43"/>
      <c r="B644" s="43"/>
      <c r="C644" s="35">
        <f t="shared" si="11"/>
        <v>13</v>
      </c>
      <c r="D644" s="35" t="str" cm="1">
        <f t="array" ref="D644">IFERROR(ROUNDUP(_xlfn.IFS(F644="Aluminum Track", _xlfn.XLOOKUP(C644, dd_accsrycalc!$A$2:$A$51, dd_accsrycalc!$B$2:$B$51, "",0), F644="10 x 2 1/2 S (Flat)", _xlfn.XLOOKUP(C644, dd_accsrycalc!$A$2:$A$51, dd_accsrycalc!$C$2:$C$51, "",0), F644="Tox6", _xlfn.XLOOKUP(C644, dd_accsrycalc!$A$2:$A$51, dd_accsrycalc!$D$2:$D$51, "",0), F644="Cover Cap", _xlfn.XLOOKUP(C644, dd_accsrycalc!$A$2:$A$51, dd_accsrycalc!$E$2:$E$51, "",0), F644="Drainage Cover", _xlfn.XLOOKUP(C644, dd_accsrycalc!$A$2:$A$51, dd_accsrycalc!$F$2:$F$51, "",0),AND( F644="Double Adhesive Tape", I644="Roll-up Screen"), _xlfn.XLOOKUP(C644, calc_rusacc!$C$15:$C$65, calc_rusacc!$AD$15:$AD$65, "",0),AND( F644="Sealant", I644="Roll-up Screen"), _xlfn.XLOOKUP(C644, calc_rusacc!$C$15:$C$65, calc_rusacc!$AF$15:$AF$65, "",0),  AND( F644="Main Chain", I644="Accordion Screen"), _xlfn.XLOOKUP(C644, calc_rusacc!$C$15:$C$65, calc_rusacc!$BF$15:$BF$65, "",0), AND( F644="Sealant", I644="Accordion Screen"), _xlfn.XLOOKUP(C644, calc_rusacc!$C$15:$C$65, calc_rusacc!$BJ$15:$BJ$65, "",0),  F644="Sealant", _xlfn.XLOOKUP(C644, dd_accsrycalc!$A$2:$A$51, dd_accsrycalc!$G$2:$G$51, "",0),  F644&lt;&gt;"",L644*_xlfn.XLOOKUP(1, (SKUs!$C$2:$C$10001=G644)*(SKUs!$K$2:$K$10001=I644),SKUs!$E$2:$E$10001)), 0),"")</f>
        <v/>
      </c>
      <c r="E644" s="35" t="str">
        <f>_xlfn.XLOOKUP(F644,dd_item!$B$2:$B$105,dd_item!$C$2:$C$105,"",0)</f>
        <v/>
      </c>
      <c r="F644" s="35"/>
      <c r="G644" s="35" cm="1">
        <f t="array" ref="G644">IFERROR(_xlfn.XLOOKUP(1, (SKUs!$J$2:$J$10001=accsry_unmerged!F644)*IF(H644&lt;&gt;"",(SKUs!$L$2:$L$10001=accsry_unmerged!H644),1)*(SKUs!$K$2:$K$10001=I644),SKUs!$C$2:$C$10001),"")</f>
        <v>0</v>
      </c>
      <c r="H644" s="36" cm="1">
        <f t="array" ref="H644">IFERROR(_xlfn.XLOOKUP(1, (dd_accsryclr!$C$2:$C$1000=accsry_unmerged!F644)*(dd_accsryclr!$B$2:$B$1000=accsry_unmerged!J644),dd_accsryclr!$A$2:$A$1000),"")</f>
        <v>0</v>
      </c>
      <c r="I644" s="35">
        <f>_xlfn.XLOOKUP(C644,'Project Details'!$C$17:$C$66,'Project Details'!$E$17:$E$66,"",0)</f>
        <v>0</v>
      </c>
      <c r="J644" s="35">
        <f>_xlfn.XLOOKUP(C644,'Project Details'!$C$17:$C$66,'Project Details'!$H$17:$H$66,"",0)</f>
        <v>0</v>
      </c>
      <c r="K644" s="36" t="str">
        <f>IF(AND(_xlfn.XLOOKUP(C644,'Project Details'!$C$17:$C$66,'Project Details'!$L$17:$L$66,"",0)&gt;550, F644="Spring-L27cm"),"",SUBSTITUTE(_xlfn.XLOOKUP(G644,SKUs!$C$2:$C$10001,SKUs!$F$2:$F$10001,"",0), " Accessories",""))</f>
        <v/>
      </c>
      <c r="L644" s="36">
        <f>_xlfn.XLOOKUP(C644,'Project Details'!$C$17:$C$66,'Project Details'!$D$17:$D$66,"",0)</f>
        <v>0</v>
      </c>
      <c r="M644" s="43"/>
    </row>
    <row r="645" spans="1:13" ht="13.5" customHeight="1" outlineLevel="1" x14ac:dyDescent="0.25">
      <c r="A645" s="43"/>
      <c r="B645" s="43"/>
      <c r="C645" s="16">
        <f t="shared" si="11"/>
        <v>13</v>
      </c>
      <c r="D645" s="16" t="str" cm="1">
        <f t="array" ref="D645">IFERROR(ROUNDUP(_xlfn.IFS(F645="Aluminum Track", _xlfn.XLOOKUP(C645, dd_accsrycalc!$A$2:$A$51, dd_accsrycalc!$B$2:$B$51, "",0), F645="10 x 2 1/2 S (Flat)", _xlfn.XLOOKUP(C645, dd_accsrycalc!$A$2:$A$51, dd_accsrycalc!$C$2:$C$51, "",0), F645="Tox6", _xlfn.XLOOKUP(C645, dd_accsrycalc!$A$2:$A$51, dd_accsrycalc!$D$2:$D$51, "",0), F645="Cover Cap", _xlfn.XLOOKUP(C645, dd_accsrycalc!$A$2:$A$51, dd_accsrycalc!$E$2:$E$51, "",0), F645="Drainage Cover", _xlfn.XLOOKUP(C645, dd_accsrycalc!$A$2:$A$51, dd_accsrycalc!$F$2:$F$51, "",0),AND( F645="Double Adhesive Tape", I645="Roll-up Screen"), _xlfn.XLOOKUP(C645, calc_rusacc!$C$15:$C$65, calc_rusacc!$AD$15:$AD$65, "",0),AND( F645="Sealant", I645="Roll-up Screen"), _xlfn.XLOOKUP(C645, calc_rusacc!$C$15:$C$65, calc_rusacc!$AF$15:$AF$65, "",0),  AND( F645="Main Chain", I645="Accordion Screen"), _xlfn.XLOOKUP(C645, calc_rusacc!$C$15:$C$65, calc_rusacc!$BF$15:$BF$65, "",0), AND( F645="Sealant", I645="Accordion Screen"), _xlfn.XLOOKUP(C645, calc_rusacc!$C$15:$C$65, calc_rusacc!$BJ$15:$BJ$65, "",0),  F645="Sealant", _xlfn.XLOOKUP(C645, dd_accsrycalc!$A$2:$A$51, dd_accsrycalc!$G$2:$G$51, "",0),  F645&lt;&gt;"",L645*_xlfn.XLOOKUP(1, (SKUs!$C$2:$C$10001=G645)*(SKUs!$K$2:$K$10001=I645),SKUs!$E$2:$E$10001)), 0),"")</f>
        <v/>
      </c>
      <c r="E645" s="16" t="str">
        <f>_xlfn.XLOOKUP(F645,dd_item!$B$2:$B$105,dd_item!$C$2:$C$105,"",0)</f>
        <v/>
      </c>
      <c r="F645" s="16"/>
      <c r="G645" s="16" cm="1">
        <f t="array" ref="G645">IFERROR(_xlfn.XLOOKUP(1, (SKUs!$J$2:$J$10001=accsry_unmerged!F645)*IF(H645&lt;&gt;"",(SKUs!$L$2:$L$10001=accsry_unmerged!H645),1)*(SKUs!$K$2:$K$10001=I645),SKUs!$C$2:$C$10001),"")</f>
        <v>0</v>
      </c>
      <c r="H645" s="33" cm="1">
        <f t="array" ref="H645">IFERROR(_xlfn.XLOOKUP(1, (dd_accsryclr!$C$2:$C$1000=accsry_unmerged!F645)*(dd_accsryclr!$B$2:$B$1000=accsry_unmerged!J645),dd_accsryclr!$A$2:$A$1000),"")</f>
        <v>0</v>
      </c>
      <c r="I645" s="16">
        <f>_xlfn.XLOOKUP(C645,'Project Details'!$C$17:$C$66,'Project Details'!$E$17:$E$66,"",0)</f>
        <v>0</v>
      </c>
      <c r="J645" s="16">
        <f>_xlfn.XLOOKUP(C645,'Project Details'!$C$17:$C$66,'Project Details'!$H$17:$H$66,"",0)</f>
        <v>0</v>
      </c>
      <c r="K645" s="33" t="str">
        <f>IF(AND(_xlfn.XLOOKUP(C645,'Project Details'!$C$17:$C$66,'Project Details'!$L$17:$L$66,"",0)&gt;550, F645="Spring-L27cm"),"",SUBSTITUTE(_xlfn.XLOOKUP(G645,SKUs!$C$2:$C$10001,SKUs!$F$2:$F$10001,"",0), " Accessories",""))</f>
        <v/>
      </c>
      <c r="L645" s="33">
        <f>_xlfn.XLOOKUP(C645,'Project Details'!$C$17:$C$66,'Project Details'!$D$17:$D$66,"",0)</f>
        <v>0</v>
      </c>
      <c r="M645" s="43"/>
    </row>
    <row r="646" spans="1:13" ht="13.5" customHeight="1" outlineLevel="1" x14ac:dyDescent="0.25">
      <c r="A646" s="43"/>
      <c r="B646" s="43"/>
      <c r="C646" s="35">
        <f t="shared" si="11"/>
        <v>13</v>
      </c>
      <c r="D646" s="35" t="str" cm="1">
        <f t="array" ref="D646">IFERROR(ROUNDUP(_xlfn.IFS(F646="Aluminum Track", _xlfn.XLOOKUP(C646, dd_accsrycalc!$A$2:$A$51, dd_accsrycalc!$B$2:$B$51, "",0), F646="10 x 2 1/2 S (Flat)", _xlfn.XLOOKUP(C646, dd_accsrycalc!$A$2:$A$51, dd_accsrycalc!$C$2:$C$51, "",0), F646="Tox6", _xlfn.XLOOKUP(C646, dd_accsrycalc!$A$2:$A$51, dd_accsrycalc!$D$2:$D$51, "",0), F646="Cover Cap", _xlfn.XLOOKUP(C646, dd_accsrycalc!$A$2:$A$51, dd_accsrycalc!$E$2:$E$51, "",0), F646="Drainage Cover", _xlfn.XLOOKUP(C646, dd_accsrycalc!$A$2:$A$51, dd_accsrycalc!$F$2:$F$51, "",0),AND( F646="Double Adhesive Tape", I646="Roll-up Screen"), _xlfn.XLOOKUP(C646, calc_rusacc!$C$15:$C$65, calc_rusacc!$AD$15:$AD$65, "",0),AND( F646="Sealant", I646="Roll-up Screen"), _xlfn.XLOOKUP(C646, calc_rusacc!$C$15:$C$65, calc_rusacc!$AF$15:$AF$65, "",0),  AND( F646="Main Chain", I646="Accordion Screen"), _xlfn.XLOOKUP(C646, calc_rusacc!$C$15:$C$65, calc_rusacc!$BF$15:$BF$65, "",0), AND( F646="Sealant", I646="Accordion Screen"), _xlfn.XLOOKUP(C646, calc_rusacc!$C$15:$C$65, calc_rusacc!$BJ$15:$BJ$65, "",0),  F646="Sealant", _xlfn.XLOOKUP(C646, dd_accsrycalc!$A$2:$A$51, dd_accsrycalc!$G$2:$G$51, "",0),  F646&lt;&gt;"",L646*_xlfn.XLOOKUP(1, (SKUs!$C$2:$C$10001=G646)*(SKUs!$K$2:$K$10001=I646),SKUs!$E$2:$E$10001)), 0),"")</f>
        <v/>
      </c>
      <c r="E646" s="35" t="str">
        <f>_xlfn.XLOOKUP(F646,dd_item!$B$2:$B$105,dd_item!$C$2:$C$105,"",0)</f>
        <v/>
      </c>
      <c r="F646" s="35"/>
      <c r="G646" s="35" cm="1">
        <f t="array" ref="G646">IFERROR(_xlfn.XLOOKUP(1, (SKUs!$J$2:$J$10001=accsry_unmerged!F646)*IF(H646&lt;&gt;"",(SKUs!$L$2:$L$10001=accsry_unmerged!H646),1)*(SKUs!$K$2:$K$10001=I646),SKUs!$C$2:$C$10001),"")</f>
        <v>0</v>
      </c>
      <c r="H646" s="36" cm="1">
        <f t="array" ref="H646">IFERROR(_xlfn.XLOOKUP(1, (dd_accsryclr!$C$2:$C$1000=accsry_unmerged!F646)*(dd_accsryclr!$B$2:$B$1000=accsry_unmerged!J646),dd_accsryclr!$A$2:$A$1000),"")</f>
        <v>0</v>
      </c>
      <c r="I646" s="35">
        <f>_xlfn.XLOOKUP(C646,'Project Details'!$C$17:$C$66,'Project Details'!$E$17:$E$66,"",0)</f>
        <v>0</v>
      </c>
      <c r="J646" s="35">
        <f>_xlfn.XLOOKUP(C646,'Project Details'!$C$17:$C$66,'Project Details'!$H$17:$H$66,"",0)</f>
        <v>0</v>
      </c>
      <c r="K646" s="36" t="str">
        <f>IF(AND(_xlfn.XLOOKUP(C646,'Project Details'!$C$17:$C$66,'Project Details'!$L$17:$L$66,"",0)&gt;550, F646="Spring-L27cm"),"",SUBSTITUTE(_xlfn.XLOOKUP(G646,SKUs!$C$2:$C$10001,SKUs!$F$2:$F$10001,"",0), " Accessories",""))</f>
        <v/>
      </c>
      <c r="L646" s="36">
        <f>_xlfn.XLOOKUP(C646,'Project Details'!$C$17:$C$66,'Project Details'!$D$17:$D$66,"",0)</f>
        <v>0</v>
      </c>
      <c r="M646" s="43"/>
    </row>
    <row r="647" spans="1:13" ht="13.5" customHeight="1" outlineLevel="1" x14ac:dyDescent="0.25">
      <c r="A647" s="43"/>
      <c r="B647" s="43"/>
      <c r="C647" s="16">
        <f t="shared" si="11"/>
        <v>13</v>
      </c>
      <c r="D647" s="16" t="str" cm="1">
        <f t="array" ref="D647">IFERROR(ROUNDUP(_xlfn.IFS(F647="Aluminum Track", _xlfn.XLOOKUP(C647, dd_accsrycalc!$A$2:$A$51, dd_accsrycalc!$B$2:$B$51, "",0), F647="10 x 2 1/2 S (Flat)", _xlfn.XLOOKUP(C647, dd_accsrycalc!$A$2:$A$51, dd_accsrycalc!$C$2:$C$51, "",0), F647="Tox6", _xlfn.XLOOKUP(C647, dd_accsrycalc!$A$2:$A$51, dd_accsrycalc!$D$2:$D$51, "",0), F647="Cover Cap", _xlfn.XLOOKUP(C647, dd_accsrycalc!$A$2:$A$51, dd_accsrycalc!$E$2:$E$51, "",0), F647="Drainage Cover", _xlfn.XLOOKUP(C647, dd_accsrycalc!$A$2:$A$51, dd_accsrycalc!$F$2:$F$51, "",0),AND( F647="Double Adhesive Tape", I647="Roll-up Screen"), _xlfn.XLOOKUP(C647, calc_rusacc!$C$15:$C$65, calc_rusacc!$AD$15:$AD$65, "",0),AND( F647="Sealant", I647="Roll-up Screen"), _xlfn.XLOOKUP(C647, calc_rusacc!$C$15:$C$65, calc_rusacc!$AF$15:$AF$65, "",0),  AND( F647="Main Chain", I647="Accordion Screen"), _xlfn.XLOOKUP(C647, calc_rusacc!$C$15:$C$65, calc_rusacc!$BF$15:$BF$65, "",0), AND( F647="Sealant", I647="Accordion Screen"), _xlfn.XLOOKUP(C647, calc_rusacc!$C$15:$C$65, calc_rusacc!$BJ$15:$BJ$65, "",0),  F647="Sealant", _xlfn.XLOOKUP(C647, dd_accsrycalc!$A$2:$A$51, dd_accsrycalc!$G$2:$G$51, "",0),  F647&lt;&gt;"",L647*_xlfn.XLOOKUP(1, (SKUs!$C$2:$C$10001=G647)*(SKUs!$K$2:$K$10001=I647),SKUs!$E$2:$E$10001)), 0),"")</f>
        <v/>
      </c>
      <c r="E647" s="16" t="str">
        <f>_xlfn.XLOOKUP(F647,dd_item!$B$2:$B$105,dd_item!$C$2:$C$105,"",0)</f>
        <v/>
      </c>
      <c r="F647" s="16"/>
      <c r="G647" s="16" cm="1">
        <f t="array" ref="G647">IFERROR(_xlfn.XLOOKUP(1, (SKUs!$J$2:$J$10001=accsry_unmerged!F647)*IF(H647&lt;&gt;"",(SKUs!$L$2:$L$10001=accsry_unmerged!H647),1)*(SKUs!$K$2:$K$10001=I647),SKUs!$C$2:$C$10001),"")</f>
        <v>0</v>
      </c>
      <c r="H647" s="33" cm="1">
        <f t="array" ref="H647">IFERROR(_xlfn.XLOOKUP(1, (dd_accsryclr!$C$2:$C$1000=accsry_unmerged!F647)*(dd_accsryclr!$B$2:$B$1000=accsry_unmerged!J647),dd_accsryclr!$A$2:$A$1000),"")</f>
        <v>0</v>
      </c>
      <c r="I647" s="16">
        <f>_xlfn.XLOOKUP(C647,'Project Details'!$C$17:$C$66,'Project Details'!$E$17:$E$66,"",0)</f>
        <v>0</v>
      </c>
      <c r="J647" s="16">
        <f>_xlfn.XLOOKUP(C647,'Project Details'!$C$17:$C$66,'Project Details'!$H$17:$H$66,"",0)</f>
        <v>0</v>
      </c>
      <c r="K647" s="33" t="str">
        <f>IF(AND(_xlfn.XLOOKUP(C647,'Project Details'!$C$17:$C$66,'Project Details'!$L$17:$L$66,"",0)&gt;550, F647="Spring-L27cm"),"",SUBSTITUTE(_xlfn.XLOOKUP(G647,SKUs!$C$2:$C$10001,SKUs!$F$2:$F$10001,"",0), " Accessories",""))</f>
        <v/>
      </c>
      <c r="L647" s="33">
        <f>_xlfn.XLOOKUP(C647,'Project Details'!$C$17:$C$66,'Project Details'!$D$17:$D$66,"",0)</f>
        <v>0</v>
      </c>
      <c r="M647" s="43"/>
    </row>
    <row r="648" spans="1:13" ht="13.5" customHeight="1" outlineLevel="1" x14ac:dyDescent="0.25">
      <c r="A648" s="43"/>
      <c r="B648" s="43"/>
      <c r="C648" s="35">
        <f t="shared" si="11"/>
        <v>13</v>
      </c>
      <c r="D648" s="35" t="str" cm="1">
        <f t="array" ref="D648">IFERROR(ROUNDUP(_xlfn.IFS(F648="Aluminum Track", _xlfn.XLOOKUP(C648, dd_accsrycalc!$A$2:$A$51, dd_accsrycalc!$B$2:$B$51, "",0), F648="10 x 2 1/2 S (Flat)", _xlfn.XLOOKUP(C648, dd_accsrycalc!$A$2:$A$51, dd_accsrycalc!$C$2:$C$51, "",0), F648="Tox6", _xlfn.XLOOKUP(C648, dd_accsrycalc!$A$2:$A$51, dd_accsrycalc!$D$2:$D$51, "",0), F648="Cover Cap", _xlfn.XLOOKUP(C648, dd_accsrycalc!$A$2:$A$51, dd_accsrycalc!$E$2:$E$51, "",0), F648="Drainage Cover", _xlfn.XLOOKUP(C648, dd_accsrycalc!$A$2:$A$51, dd_accsrycalc!$F$2:$F$51, "",0),AND( F648="Double Adhesive Tape", I648="Roll-up Screen"), _xlfn.XLOOKUP(C648, calc_rusacc!$C$15:$C$65, calc_rusacc!$AD$15:$AD$65, "",0),AND( F648="Sealant", I648="Roll-up Screen"), _xlfn.XLOOKUP(C648, calc_rusacc!$C$15:$C$65, calc_rusacc!$AF$15:$AF$65, "",0),  AND( F648="Main Chain", I648="Accordion Screen"), _xlfn.XLOOKUP(C648, calc_rusacc!$C$15:$C$65, calc_rusacc!$BF$15:$BF$65, "",0), AND( F648="Sealant", I648="Accordion Screen"), _xlfn.XLOOKUP(C648, calc_rusacc!$C$15:$C$65, calc_rusacc!$BJ$15:$BJ$65, "",0),  F648="Sealant", _xlfn.XLOOKUP(C648, dd_accsrycalc!$A$2:$A$51, dd_accsrycalc!$G$2:$G$51, "",0),  F648&lt;&gt;"",L648*_xlfn.XLOOKUP(1, (SKUs!$C$2:$C$10001=G648)*(SKUs!$K$2:$K$10001=I648),SKUs!$E$2:$E$10001)), 0),"")</f>
        <v/>
      </c>
      <c r="E648" s="35" t="str">
        <f>_xlfn.XLOOKUP(F648,dd_item!$B$2:$B$105,dd_item!$C$2:$C$105,"",0)</f>
        <v/>
      </c>
      <c r="F648" s="35"/>
      <c r="G648" s="35" cm="1">
        <f t="array" ref="G648">IFERROR(_xlfn.XLOOKUP(1, (SKUs!$J$2:$J$10001=accsry_unmerged!F648)*IF(H648&lt;&gt;"",(SKUs!$L$2:$L$10001=accsry_unmerged!H648),1)*(SKUs!$K$2:$K$10001=I648),SKUs!$C$2:$C$10001),"")</f>
        <v>0</v>
      </c>
      <c r="H648" s="36" cm="1">
        <f t="array" ref="H648">IFERROR(_xlfn.XLOOKUP(1, (dd_accsryclr!$C$2:$C$1000=accsry_unmerged!F648)*(dd_accsryclr!$B$2:$B$1000=accsry_unmerged!J648),dd_accsryclr!$A$2:$A$1000),"")</f>
        <v>0</v>
      </c>
      <c r="I648" s="35">
        <f>_xlfn.XLOOKUP(C648,'Project Details'!$C$17:$C$66,'Project Details'!$E$17:$E$66,"",0)</f>
        <v>0</v>
      </c>
      <c r="J648" s="35">
        <f>_xlfn.XLOOKUP(C648,'Project Details'!$C$17:$C$66,'Project Details'!$H$17:$H$66,"",0)</f>
        <v>0</v>
      </c>
      <c r="K648" s="36" t="str">
        <f>IF(AND(_xlfn.XLOOKUP(C648,'Project Details'!$C$17:$C$66,'Project Details'!$L$17:$L$66,"",0)&gt;550, F648="Spring-L27cm"),"",SUBSTITUTE(_xlfn.XLOOKUP(G648,SKUs!$C$2:$C$10001,SKUs!$F$2:$F$10001,"",0), " Accessories",""))</f>
        <v/>
      </c>
      <c r="L648" s="36">
        <f>_xlfn.XLOOKUP(C648,'Project Details'!$C$17:$C$66,'Project Details'!$D$17:$D$66,"",0)</f>
        <v>0</v>
      </c>
      <c r="M648" s="43"/>
    </row>
    <row r="649" spans="1:13" ht="13.5" customHeight="1" outlineLevel="1" x14ac:dyDescent="0.25">
      <c r="A649" s="43"/>
      <c r="B649" s="43"/>
      <c r="C649" s="16">
        <f t="shared" si="11"/>
        <v>13</v>
      </c>
      <c r="D649" s="16" t="str" cm="1">
        <f t="array" ref="D649">IFERROR(ROUNDUP(_xlfn.IFS(F649="Aluminum Track", _xlfn.XLOOKUP(C649, dd_accsrycalc!$A$2:$A$51, dd_accsrycalc!$B$2:$B$51, "",0), F649="10 x 2 1/2 S (Flat)", _xlfn.XLOOKUP(C649, dd_accsrycalc!$A$2:$A$51, dd_accsrycalc!$C$2:$C$51, "",0), F649="Tox6", _xlfn.XLOOKUP(C649, dd_accsrycalc!$A$2:$A$51, dd_accsrycalc!$D$2:$D$51, "",0), F649="Cover Cap", _xlfn.XLOOKUP(C649, dd_accsrycalc!$A$2:$A$51, dd_accsrycalc!$E$2:$E$51, "",0), F649="Drainage Cover", _xlfn.XLOOKUP(C649, dd_accsrycalc!$A$2:$A$51, dd_accsrycalc!$F$2:$F$51, "",0),AND( F649="Double Adhesive Tape", I649="Roll-up Screen"), _xlfn.XLOOKUP(C649, calc_rusacc!$C$15:$C$65, calc_rusacc!$AD$15:$AD$65, "",0),AND( F649="Sealant", I649="Roll-up Screen"), _xlfn.XLOOKUP(C649, calc_rusacc!$C$15:$C$65, calc_rusacc!$AF$15:$AF$65, "",0),  AND( F649="Main Chain", I649="Accordion Screen"), _xlfn.XLOOKUP(C649, calc_rusacc!$C$15:$C$65, calc_rusacc!$BF$15:$BF$65, "",0), AND( F649="Sealant", I649="Accordion Screen"), _xlfn.XLOOKUP(C649, calc_rusacc!$C$15:$C$65, calc_rusacc!$BJ$15:$BJ$65, "",0),  F649="Sealant", _xlfn.XLOOKUP(C649, dd_accsrycalc!$A$2:$A$51, dd_accsrycalc!$G$2:$G$51, "",0),  F649&lt;&gt;"",L649*_xlfn.XLOOKUP(1, (SKUs!$C$2:$C$10001=G649)*(SKUs!$K$2:$K$10001=I649),SKUs!$E$2:$E$10001)), 0),"")</f>
        <v/>
      </c>
      <c r="E649" s="16" t="str">
        <f>_xlfn.XLOOKUP(F649,dd_item!$B$2:$B$105,dd_item!$C$2:$C$105,"",0)</f>
        <v/>
      </c>
      <c r="F649" s="16"/>
      <c r="G649" s="16" cm="1">
        <f t="array" ref="G649">IFERROR(_xlfn.XLOOKUP(1, (SKUs!$J$2:$J$10001=accsry_unmerged!F649)*IF(H649&lt;&gt;"",(SKUs!$L$2:$L$10001=accsry_unmerged!H649),1)*(SKUs!$K$2:$K$10001=I649),SKUs!$C$2:$C$10001),"")</f>
        <v>0</v>
      </c>
      <c r="H649" s="33" cm="1">
        <f t="array" ref="H649">IFERROR(_xlfn.XLOOKUP(1, (dd_accsryclr!$C$2:$C$1000=accsry_unmerged!F649)*(dd_accsryclr!$B$2:$B$1000=accsry_unmerged!J649),dd_accsryclr!$A$2:$A$1000),"")</f>
        <v>0</v>
      </c>
      <c r="I649" s="16">
        <f>_xlfn.XLOOKUP(C649,'Project Details'!$C$17:$C$66,'Project Details'!$E$17:$E$66,"",0)</f>
        <v>0</v>
      </c>
      <c r="J649" s="16">
        <f>_xlfn.XLOOKUP(C649,'Project Details'!$C$17:$C$66,'Project Details'!$H$17:$H$66,"",0)</f>
        <v>0</v>
      </c>
      <c r="K649" s="33" t="str">
        <f>IF(AND(_xlfn.XLOOKUP(C649,'Project Details'!$C$17:$C$66,'Project Details'!$L$17:$L$66,"",0)&gt;550, F649="Spring-L27cm"),"",SUBSTITUTE(_xlfn.XLOOKUP(G649,SKUs!$C$2:$C$10001,SKUs!$F$2:$F$10001,"",0), " Accessories",""))</f>
        <v/>
      </c>
      <c r="L649" s="33">
        <f>_xlfn.XLOOKUP(C649,'Project Details'!$C$17:$C$66,'Project Details'!$D$17:$D$66,"",0)</f>
        <v>0</v>
      </c>
      <c r="M649" s="43"/>
    </row>
    <row r="650" spans="1:13" ht="13.5" customHeight="1" outlineLevel="1" x14ac:dyDescent="0.25">
      <c r="A650" s="43"/>
      <c r="B650" s="43"/>
      <c r="C650" s="35">
        <f t="shared" si="11"/>
        <v>13</v>
      </c>
      <c r="D650" s="35" t="str" cm="1">
        <f t="array" ref="D650">IFERROR(ROUNDUP(_xlfn.IFS(F650="Aluminum Track", _xlfn.XLOOKUP(C650, dd_accsrycalc!$A$2:$A$51, dd_accsrycalc!$B$2:$B$51, "",0), F650="10 x 2 1/2 S (Flat)", _xlfn.XLOOKUP(C650, dd_accsrycalc!$A$2:$A$51, dd_accsrycalc!$C$2:$C$51, "",0), F650="Tox6", _xlfn.XLOOKUP(C650, dd_accsrycalc!$A$2:$A$51, dd_accsrycalc!$D$2:$D$51, "",0), F650="Cover Cap", _xlfn.XLOOKUP(C650, dd_accsrycalc!$A$2:$A$51, dd_accsrycalc!$E$2:$E$51, "",0), F650="Drainage Cover", _xlfn.XLOOKUP(C650, dd_accsrycalc!$A$2:$A$51, dd_accsrycalc!$F$2:$F$51, "",0),AND( F650="Double Adhesive Tape", I650="Roll-up Screen"), _xlfn.XLOOKUP(C650, calc_rusacc!$C$15:$C$65, calc_rusacc!$AD$15:$AD$65, "",0),AND( F650="Sealant", I650="Roll-up Screen"), _xlfn.XLOOKUP(C650, calc_rusacc!$C$15:$C$65, calc_rusacc!$AF$15:$AF$65, "",0),  AND( F650="Main Chain", I650="Accordion Screen"), _xlfn.XLOOKUP(C650, calc_rusacc!$C$15:$C$65, calc_rusacc!$BF$15:$BF$65, "",0), AND( F650="Sealant", I650="Accordion Screen"), _xlfn.XLOOKUP(C650, calc_rusacc!$C$15:$C$65, calc_rusacc!$BJ$15:$BJ$65, "",0),  F650="Sealant", _xlfn.XLOOKUP(C650, dd_accsrycalc!$A$2:$A$51, dd_accsrycalc!$G$2:$G$51, "",0),  F650&lt;&gt;"",L650*_xlfn.XLOOKUP(1, (SKUs!$C$2:$C$10001=G650)*(SKUs!$K$2:$K$10001=I650),SKUs!$E$2:$E$10001)), 0),"")</f>
        <v/>
      </c>
      <c r="E650" s="35" t="str">
        <f>_xlfn.XLOOKUP(F650,dd_item!$B$2:$B$105,dd_item!$C$2:$C$105,"",0)</f>
        <v/>
      </c>
      <c r="F650" s="35"/>
      <c r="G650" s="35" cm="1">
        <f t="array" ref="G650">IFERROR(_xlfn.XLOOKUP(1, (SKUs!$J$2:$J$10001=accsry_unmerged!F650)*IF(H650&lt;&gt;"",(SKUs!$L$2:$L$10001=accsry_unmerged!H650),1)*(SKUs!$K$2:$K$10001=I650),SKUs!$C$2:$C$10001),"")</f>
        <v>0</v>
      </c>
      <c r="H650" s="36" cm="1">
        <f t="array" ref="H650">IFERROR(_xlfn.XLOOKUP(1, (dd_accsryclr!$C$2:$C$1000=accsry_unmerged!F650)*(dd_accsryclr!$B$2:$B$1000=accsry_unmerged!J650),dd_accsryclr!$A$2:$A$1000),"")</f>
        <v>0</v>
      </c>
      <c r="I650" s="35">
        <f>_xlfn.XLOOKUP(C650,'Project Details'!$C$17:$C$66,'Project Details'!$E$17:$E$66,"",0)</f>
        <v>0</v>
      </c>
      <c r="J650" s="35">
        <f>_xlfn.XLOOKUP(C650,'Project Details'!$C$17:$C$66,'Project Details'!$H$17:$H$66,"",0)</f>
        <v>0</v>
      </c>
      <c r="K650" s="36" t="str">
        <f>IF(AND(_xlfn.XLOOKUP(C650,'Project Details'!$C$17:$C$66,'Project Details'!$L$17:$L$66,"",0)&gt;550, F650="Spring-L27cm"),"",SUBSTITUTE(_xlfn.XLOOKUP(G650,SKUs!$C$2:$C$10001,SKUs!$F$2:$F$10001,"",0), " Accessories",""))</f>
        <v/>
      </c>
      <c r="L650" s="36">
        <f>_xlfn.XLOOKUP(C650,'Project Details'!$C$17:$C$66,'Project Details'!$D$17:$D$66,"",0)</f>
        <v>0</v>
      </c>
      <c r="M650" s="43"/>
    </row>
    <row r="651" spans="1:13" ht="13.5" customHeight="1" outlineLevel="1" x14ac:dyDescent="0.25">
      <c r="A651" s="43"/>
      <c r="B651" s="43"/>
      <c r="C651" s="16">
        <f t="shared" si="11"/>
        <v>13</v>
      </c>
      <c r="D651" s="16" t="str" cm="1">
        <f t="array" ref="D651">IFERROR(ROUNDUP(_xlfn.IFS(F651="Aluminum Track", _xlfn.XLOOKUP(C651, dd_accsrycalc!$A$2:$A$51, dd_accsrycalc!$B$2:$B$51, "",0), F651="10 x 2 1/2 S (Flat)", _xlfn.XLOOKUP(C651, dd_accsrycalc!$A$2:$A$51, dd_accsrycalc!$C$2:$C$51, "",0), F651="Tox6", _xlfn.XLOOKUP(C651, dd_accsrycalc!$A$2:$A$51, dd_accsrycalc!$D$2:$D$51, "",0), F651="Cover Cap", _xlfn.XLOOKUP(C651, dd_accsrycalc!$A$2:$A$51, dd_accsrycalc!$E$2:$E$51, "",0), F651="Drainage Cover", _xlfn.XLOOKUP(C651, dd_accsrycalc!$A$2:$A$51, dd_accsrycalc!$F$2:$F$51, "",0),AND( F651="Double Adhesive Tape", I651="Roll-up Screen"), _xlfn.XLOOKUP(C651, calc_rusacc!$C$15:$C$65, calc_rusacc!$AD$15:$AD$65, "",0),AND( F651="Sealant", I651="Roll-up Screen"), _xlfn.XLOOKUP(C651, calc_rusacc!$C$15:$C$65, calc_rusacc!$AF$15:$AF$65, "",0),  AND( F651="Main Chain", I651="Accordion Screen"), _xlfn.XLOOKUP(C651, calc_rusacc!$C$15:$C$65, calc_rusacc!$BF$15:$BF$65, "",0), AND( F651="Sealant", I651="Accordion Screen"), _xlfn.XLOOKUP(C651, calc_rusacc!$C$15:$C$65, calc_rusacc!$BJ$15:$BJ$65, "",0),  F651="Sealant", _xlfn.XLOOKUP(C651, dd_accsrycalc!$A$2:$A$51, dd_accsrycalc!$G$2:$G$51, "",0),  F651&lt;&gt;"",L651*_xlfn.XLOOKUP(1, (SKUs!$C$2:$C$10001=G651)*(SKUs!$K$2:$K$10001=I651),SKUs!$E$2:$E$10001)), 0),"")</f>
        <v/>
      </c>
      <c r="E651" s="16" t="str">
        <f>_xlfn.XLOOKUP(F651,dd_item!$B$2:$B$105,dd_item!$C$2:$C$105,"",0)</f>
        <v/>
      </c>
      <c r="F651" s="16"/>
      <c r="G651" s="16" cm="1">
        <f t="array" ref="G651">IFERROR(_xlfn.XLOOKUP(1, (SKUs!$J$2:$J$10001=accsry_unmerged!F651)*IF(H651&lt;&gt;"",(SKUs!$L$2:$L$10001=accsry_unmerged!H651),1)*(SKUs!$K$2:$K$10001=I651),SKUs!$C$2:$C$10001),"")</f>
        <v>0</v>
      </c>
      <c r="H651" s="33" cm="1">
        <f t="array" ref="H651">IFERROR(_xlfn.XLOOKUP(1, (dd_accsryclr!$C$2:$C$1000=accsry_unmerged!F651)*(dd_accsryclr!$B$2:$B$1000=accsry_unmerged!J651),dd_accsryclr!$A$2:$A$1000),"")</f>
        <v>0</v>
      </c>
      <c r="I651" s="16">
        <f>_xlfn.XLOOKUP(C651,'Project Details'!$C$17:$C$66,'Project Details'!$E$17:$E$66,"",0)</f>
        <v>0</v>
      </c>
      <c r="J651" s="16">
        <f>_xlfn.XLOOKUP(C651,'Project Details'!$C$17:$C$66,'Project Details'!$H$17:$H$66,"",0)</f>
        <v>0</v>
      </c>
      <c r="K651" s="33" t="str">
        <f>IF(AND(_xlfn.XLOOKUP(C651,'Project Details'!$C$17:$C$66,'Project Details'!$L$17:$L$66,"",0)&gt;550, F651="Spring-L27cm"),"",SUBSTITUTE(_xlfn.XLOOKUP(G651,SKUs!$C$2:$C$10001,SKUs!$F$2:$F$10001,"",0), " Accessories",""))</f>
        <v/>
      </c>
      <c r="L651" s="33">
        <f>_xlfn.XLOOKUP(C651,'Project Details'!$C$17:$C$66,'Project Details'!$D$17:$D$66,"",0)</f>
        <v>0</v>
      </c>
      <c r="M651" s="43"/>
    </row>
    <row r="652" spans="1:13" ht="13.5" customHeight="1" outlineLevel="1" x14ac:dyDescent="0.25">
      <c r="A652" s="43"/>
      <c r="B652" s="43"/>
      <c r="C652" s="35">
        <f t="shared" si="11"/>
        <v>13</v>
      </c>
      <c r="D652" s="35" t="str" cm="1">
        <f t="array" ref="D652">IFERROR(ROUNDUP(_xlfn.IFS(F652="Aluminum Track", _xlfn.XLOOKUP(C652, dd_accsrycalc!$A$2:$A$51, dd_accsrycalc!$B$2:$B$51, "",0), F652="10 x 2 1/2 S (Flat)", _xlfn.XLOOKUP(C652, dd_accsrycalc!$A$2:$A$51, dd_accsrycalc!$C$2:$C$51, "",0), F652="Tox6", _xlfn.XLOOKUP(C652, dd_accsrycalc!$A$2:$A$51, dd_accsrycalc!$D$2:$D$51, "",0), F652="Cover Cap", _xlfn.XLOOKUP(C652, dd_accsrycalc!$A$2:$A$51, dd_accsrycalc!$E$2:$E$51, "",0), F652="Drainage Cover", _xlfn.XLOOKUP(C652, dd_accsrycalc!$A$2:$A$51, dd_accsrycalc!$F$2:$F$51, "",0),AND( F652="Double Adhesive Tape", I652="Roll-up Screen"), _xlfn.XLOOKUP(C652, calc_rusacc!$C$15:$C$65, calc_rusacc!$AD$15:$AD$65, "",0),AND( F652="Sealant", I652="Roll-up Screen"), _xlfn.XLOOKUP(C652, calc_rusacc!$C$15:$C$65, calc_rusacc!$AF$15:$AF$65, "",0),  AND( F652="Main Chain", I652="Accordion Screen"), _xlfn.XLOOKUP(C652, calc_rusacc!$C$15:$C$65, calc_rusacc!$BF$15:$BF$65, "",0), AND( F652="Sealant", I652="Accordion Screen"), _xlfn.XLOOKUP(C652, calc_rusacc!$C$15:$C$65, calc_rusacc!$BJ$15:$BJ$65, "",0),  F652="Sealant", _xlfn.XLOOKUP(C652, dd_accsrycalc!$A$2:$A$51, dd_accsrycalc!$G$2:$G$51, "",0),  F652&lt;&gt;"",L652*_xlfn.XLOOKUP(1, (SKUs!$C$2:$C$10001=G652)*(SKUs!$K$2:$K$10001=I652),SKUs!$E$2:$E$10001)), 0),"")</f>
        <v/>
      </c>
      <c r="E652" s="35" t="str">
        <f>_xlfn.XLOOKUP(F652,dd_item!$B$2:$B$105,dd_item!$C$2:$C$105,"",0)</f>
        <v/>
      </c>
      <c r="F652" s="35"/>
      <c r="G652" s="35" cm="1">
        <f t="array" ref="G652">IFERROR(_xlfn.XLOOKUP(1, (SKUs!$J$2:$J$10001=accsry_unmerged!F652)*IF(H652&lt;&gt;"",(SKUs!$L$2:$L$10001=accsry_unmerged!H652),1)*(SKUs!$K$2:$K$10001=I652),SKUs!$C$2:$C$10001),"")</f>
        <v>0</v>
      </c>
      <c r="H652" s="36" cm="1">
        <f t="array" ref="H652">IFERROR(_xlfn.XLOOKUP(1, (dd_accsryclr!$C$2:$C$1000=accsry_unmerged!F652)*(dd_accsryclr!$B$2:$B$1000=accsry_unmerged!J652),dd_accsryclr!$A$2:$A$1000),"")</f>
        <v>0</v>
      </c>
      <c r="I652" s="35">
        <f>_xlfn.XLOOKUP(C652,'Project Details'!$C$17:$C$66,'Project Details'!$E$17:$E$66,"",0)</f>
        <v>0</v>
      </c>
      <c r="J652" s="35">
        <f>_xlfn.XLOOKUP(C652,'Project Details'!$C$17:$C$66,'Project Details'!$H$17:$H$66,"",0)</f>
        <v>0</v>
      </c>
      <c r="K652" s="36" t="str">
        <f>IF(AND(_xlfn.XLOOKUP(C652,'Project Details'!$C$17:$C$66,'Project Details'!$L$17:$L$66,"",0)&gt;550, F652="Spring-L27cm"),"",SUBSTITUTE(_xlfn.XLOOKUP(G652,SKUs!$C$2:$C$10001,SKUs!$F$2:$F$10001,"",0), " Accessories",""))</f>
        <v/>
      </c>
      <c r="L652" s="36">
        <f>_xlfn.XLOOKUP(C652,'Project Details'!$C$17:$C$66,'Project Details'!$D$17:$D$66,"",0)</f>
        <v>0</v>
      </c>
      <c r="M652" s="43"/>
    </row>
    <row r="653" spans="1:13" ht="13.5" customHeight="1" outlineLevel="1" x14ac:dyDescent="0.25">
      <c r="A653" s="43"/>
      <c r="B653" s="43"/>
      <c r="C653" s="16">
        <f t="shared" si="11"/>
        <v>13</v>
      </c>
      <c r="D653" s="16" t="str" cm="1">
        <f t="array" ref="D653">IFERROR(ROUNDUP(_xlfn.IFS(F653="Aluminum Track", _xlfn.XLOOKUP(C653, dd_accsrycalc!$A$2:$A$51, dd_accsrycalc!$B$2:$B$51, "",0), F653="10 x 2 1/2 S (Flat)", _xlfn.XLOOKUP(C653, dd_accsrycalc!$A$2:$A$51, dd_accsrycalc!$C$2:$C$51, "",0), F653="Tox6", _xlfn.XLOOKUP(C653, dd_accsrycalc!$A$2:$A$51, dd_accsrycalc!$D$2:$D$51, "",0), F653="Cover Cap", _xlfn.XLOOKUP(C653, dd_accsrycalc!$A$2:$A$51, dd_accsrycalc!$E$2:$E$51, "",0), F653="Drainage Cover", _xlfn.XLOOKUP(C653, dd_accsrycalc!$A$2:$A$51, dd_accsrycalc!$F$2:$F$51, "",0),AND( F653="Double Adhesive Tape", I653="Roll-up Screen"), _xlfn.XLOOKUP(C653, calc_rusacc!$C$15:$C$65, calc_rusacc!$AD$15:$AD$65, "",0),AND( F653="Sealant", I653="Roll-up Screen"), _xlfn.XLOOKUP(C653, calc_rusacc!$C$15:$C$65, calc_rusacc!$AF$15:$AF$65, "",0),  AND( F653="Main Chain", I653="Accordion Screen"), _xlfn.XLOOKUP(C653, calc_rusacc!$C$15:$C$65, calc_rusacc!$BF$15:$BF$65, "",0), AND( F653="Sealant", I653="Accordion Screen"), _xlfn.XLOOKUP(C653, calc_rusacc!$C$15:$C$65, calc_rusacc!$BJ$15:$BJ$65, "",0),  F653="Sealant", _xlfn.XLOOKUP(C653, dd_accsrycalc!$A$2:$A$51, dd_accsrycalc!$G$2:$G$51, "",0),  F653&lt;&gt;"",L653*_xlfn.XLOOKUP(1, (SKUs!$C$2:$C$10001=G653)*(SKUs!$K$2:$K$10001=I653),SKUs!$E$2:$E$10001)), 0),"")</f>
        <v/>
      </c>
      <c r="E653" s="16" t="str">
        <f>_xlfn.XLOOKUP(F653,dd_item!$B$2:$B$105,dd_item!$C$2:$C$105,"",0)</f>
        <v/>
      </c>
      <c r="F653" s="16"/>
      <c r="G653" s="16" cm="1">
        <f t="array" ref="G653">IFERROR(_xlfn.XLOOKUP(1, (SKUs!$J$2:$J$10001=accsry_unmerged!F653)*IF(H653&lt;&gt;"",(SKUs!$L$2:$L$10001=accsry_unmerged!H653),1)*(SKUs!$K$2:$K$10001=I653),SKUs!$C$2:$C$10001),"")</f>
        <v>0</v>
      </c>
      <c r="H653" s="33" cm="1">
        <f t="array" ref="H653">IFERROR(_xlfn.XLOOKUP(1, (dd_accsryclr!$C$2:$C$1000=accsry_unmerged!F653)*(dd_accsryclr!$B$2:$B$1000=accsry_unmerged!J653),dd_accsryclr!$A$2:$A$1000),"")</f>
        <v>0</v>
      </c>
      <c r="I653" s="16">
        <f>_xlfn.XLOOKUP(C653,'Project Details'!$C$17:$C$66,'Project Details'!$E$17:$E$66,"",0)</f>
        <v>0</v>
      </c>
      <c r="J653" s="16">
        <f>_xlfn.XLOOKUP(C653,'Project Details'!$C$17:$C$66,'Project Details'!$H$17:$H$66,"",0)</f>
        <v>0</v>
      </c>
      <c r="K653" s="33" t="str">
        <f>IF(AND(_xlfn.XLOOKUP(C653,'Project Details'!$C$17:$C$66,'Project Details'!$L$17:$L$66,"",0)&gt;550, F653="Spring-L27cm"),"",SUBSTITUTE(_xlfn.XLOOKUP(G653,SKUs!$C$2:$C$10001,SKUs!$F$2:$F$10001,"",0), " Accessories",""))</f>
        <v/>
      </c>
      <c r="L653" s="33">
        <f>_xlfn.XLOOKUP(C653,'Project Details'!$C$17:$C$66,'Project Details'!$D$17:$D$66,"",0)</f>
        <v>0</v>
      </c>
      <c r="M653" s="43"/>
    </row>
    <row r="654" spans="1:13" ht="13.5" customHeight="1" outlineLevel="1" x14ac:dyDescent="0.25">
      <c r="A654" s="43"/>
      <c r="B654" s="43"/>
      <c r="C654" s="35">
        <f t="shared" si="11"/>
        <v>13</v>
      </c>
      <c r="D654" s="35" t="str" cm="1">
        <f t="array" ref="D654">IFERROR(ROUNDUP(_xlfn.IFS(F654="Aluminum Track", _xlfn.XLOOKUP(C654, dd_accsrycalc!$A$2:$A$51, dd_accsrycalc!$B$2:$B$51, "",0), F654="10 x 2 1/2 S (Flat)", _xlfn.XLOOKUP(C654, dd_accsrycalc!$A$2:$A$51, dd_accsrycalc!$C$2:$C$51, "",0), F654="Tox6", _xlfn.XLOOKUP(C654, dd_accsrycalc!$A$2:$A$51, dd_accsrycalc!$D$2:$D$51, "",0), F654="Cover Cap", _xlfn.XLOOKUP(C654, dd_accsrycalc!$A$2:$A$51, dd_accsrycalc!$E$2:$E$51, "",0), F654="Drainage Cover", _xlfn.XLOOKUP(C654, dd_accsrycalc!$A$2:$A$51, dd_accsrycalc!$F$2:$F$51, "",0),AND( F654="Double Adhesive Tape", I654="Roll-up Screen"), _xlfn.XLOOKUP(C654, calc_rusacc!$C$15:$C$65, calc_rusacc!$AD$15:$AD$65, "",0),AND( F654="Sealant", I654="Roll-up Screen"), _xlfn.XLOOKUP(C654, calc_rusacc!$C$15:$C$65, calc_rusacc!$AF$15:$AF$65, "",0),  AND( F654="Main Chain", I654="Accordion Screen"), _xlfn.XLOOKUP(C654, calc_rusacc!$C$15:$C$65, calc_rusacc!$BF$15:$BF$65, "",0), AND( F654="Sealant", I654="Accordion Screen"), _xlfn.XLOOKUP(C654, calc_rusacc!$C$15:$C$65, calc_rusacc!$BJ$15:$BJ$65, "",0),  F654="Sealant", _xlfn.XLOOKUP(C654, dd_accsrycalc!$A$2:$A$51, dd_accsrycalc!$G$2:$G$51, "",0),  F654&lt;&gt;"",L654*_xlfn.XLOOKUP(1, (SKUs!$C$2:$C$10001=G654)*(SKUs!$K$2:$K$10001=I654),SKUs!$E$2:$E$10001)), 0),"")</f>
        <v/>
      </c>
      <c r="E654" s="35" t="str">
        <f>_xlfn.XLOOKUP(F654,dd_item!$B$2:$B$105,dd_item!$C$2:$C$105,"",0)</f>
        <v/>
      </c>
      <c r="F654" s="35"/>
      <c r="G654" s="35" cm="1">
        <f t="array" ref="G654">IFERROR(_xlfn.XLOOKUP(1, (SKUs!$J$2:$J$10001=accsry_unmerged!F654)*IF(H654&lt;&gt;"",(SKUs!$L$2:$L$10001=accsry_unmerged!H654),1)*(SKUs!$K$2:$K$10001=I654),SKUs!$C$2:$C$10001),"")</f>
        <v>0</v>
      </c>
      <c r="H654" s="36" cm="1">
        <f t="array" ref="H654">IFERROR(_xlfn.XLOOKUP(1, (dd_accsryclr!$C$2:$C$1000=accsry_unmerged!F654)*(dd_accsryclr!$B$2:$B$1000=accsry_unmerged!J654),dd_accsryclr!$A$2:$A$1000),"")</f>
        <v>0</v>
      </c>
      <c r="I654" s="35">
        <f>_xlfn.XLOOKUP(C654,'Project Details'!$C$17:$C$66,'Project Details'!$E$17:$E$66,"",0)</f>
        <v>0</v>
      </c>
      <c r="J654" s="35">
        <f>_xlfn.XLOOKUP(C654,'Project Details'!$C$17:$C$66,'Project Details'!$H$17:$H$66,"",0)</f>
        <v>0</v>
      </c>
      <c r="K654" s="36" t="str">
        <f>IF(AND(_xlfn.XLOOKUP(C654,'Project Details'!$C$17:$C$66,'Project Details'!$L$17:$L$66,"",0)&gt;550, F654="Spring-L27cm"),"",SUBSTITUTE(_xlfn.XLOOKUP(G654,SKUs!$C$2:$C$10001,SKUs!$F$2:$F$10001,"",0), " Accessories",""))</f>
        <v/>
      </c>
      <c r="L654" s="36">
        <f>_xlfn.XLOOKUP(C654,'Project Details'!$C$17:$C$66,'Project Details'!$D$17:$D$66,"",0)</f>
        <v>0</v>
      </c>
      <c r="M654" s="43"/>
    </row>
    <row r="655" spans="1:13" ht="13.5" customHeight="1" outlineLevel="1" collapsed="1" x14ac:dyDescent="0.25">
      <c r="A655" s="43"/>
      <c r="B655" s="43"/>
      <c r="C655" s="16">
        <f t="shared" si="11"/>
        <v>13</v>
      </c>
      <c r="D655" s="16" t="str" cm="1">
        <f t="array" ref="D655">IFERROR(ROUNDUP(_xlfn.IFS(F655="Aluminum Track", _xlfn.XLOOKUP(C655, dd_accsrycalc!$A$2:$A$51, dd_accsrycalc!$B$2:$B$51, "",0), F655="10 x 2 1/2 S (Flat)", _xlfn.XLOOKUP(C655, dd_accsrycalc!$A$2:$A$51, dd_accsrycalc!$C$2:$C$51, "",0), F655="Tox6", _xlfn.XLOOKUP(C655, dd_accsrycalc!$A$2:$A$51, dd_accsrycalc!$D$2:$D$51, "",0), F655="Cover Cap", _xlfn.XLOOKUP(C655, dd_accsrycalc!$A$2:$A$51, dd_accsrycalc!$E$2:$E$51, "",0), F655="Drainage Cover", _xlfn.XLOOKUP(C655, dd_accsrycalc!$A$2:$A$51, dd_accsrycalc!$F$2:$F$51, "",0),AND( F655="Double Adhesive Tape", I655="Roll-up Screen"), _xlfn.XLOOKUP(C655, calc_rusacc!$C$15:$C$65, calc_rusacc!$AD$15:$AD$65, "",0),AND( F655="Sealant", I655="Roll-up Screen"), _xlfn.XLOOKUP(C655, calc_rusacc!$C$15:$C$65, calc_rusacc!$AF$15:$AF$65, "",0),  AND( F655="Main Chain", I655="Accordion Screen"), _xlfn.XLOOKUP(C655, calc_rusacc!$C$15:$C$65, calc_rusacc!$BF$15:$BF$65, "",0), AND( F655="Sealant", I655="Accordion Screen"), _xlfn.XLOOKUP(C655, calc_rusacc!$C$15:$C$65, calc_rusacc!$BJ$15:$BJ$65, "",0),  F655="Sealant", _xlfn.XLOOKUP(C655, dd_accsrycalc!$A$2:$A$51, dd_accsrycalc!$G$2:$G$51, "",0),  F655&lt;&gt;"",L655*_xlfn.XLOOKUP(1, (SKUs!$C$2:$C$10001=G655)*(SKUs!$K$2:$K$10001=I655),SKUs!$E$2:$E$10001)), 0),"")</f>
        <v/>
      </c>
      <c r="E655" s="16" t="str">
        <f>_xlfn.XLOOKUP(F655,dd_item!$B$2:$B$105,dd_item!$C$2:$C$105,"",0)</f>
        <v/>
      </c>
      <c r="F655" s="16"/>
      <c r="G655" s="16" cm="1">
        <f t="array" ref="G655">IFERROR(_xlfn.XLOOKUP(1, (SKUs!$J$2:$J$10001=accsry_unmerged!F655)*IF(H655&lt;&gt;"",(SKUs!$L$2:$L$10001=accsry_unmerged!H655),1)*(SKUs!$K$2:$K$10001=I655),SKUs!$C$2:$C$10001),"")</f>
        <v>0</v>
      </c>
      <c r="H655" s="33" cm="1">
        <f t="array" ref="H655">IFERROR(_xlfn.XLOOKUP(1, (dd_accsryclr!$C$2:$C$1000=accsry_unmerged!F655)*(dd_accsryclr!$B$2:$B$1000=accsry_unmerged!J655),dd_accsryclr!$A$2:$A$1000),"")</f>
        <v>0</v>
      </c>
      <c r="I655" s="16">
        <f>_xlfn.XLOOKUP(C655,'Project Details'!$C$17:$C$66,'Project Details'!$E$17:$E$66,"",0)</f>
        <v>0</v>
      </c>
      <c r="J655" s="16">
        <f>_xlfn.XLOOKUP(C655,'Project Details'!$C$17:$C$66,'Project Details'!$H$17:$H$66,"",0)</f>
        <v>0</v>
      </c>
      <c r="K655" s="33" t="str">
        <f>IF(AND(_xlfn.XLOOKUP(C655,'Project Details'!$C$17:$C$66,'Project Details'!$L$17:$L$66,"",0)&gt;550, F655="Spring-L27cm"),"",SUBSTITUTE(_xlfn.XLOOKUP(G655,SKUs!$C$2:$C$10001,SKUs!$F$2:$F$10001,"",0), " Accessories",""))</f>
        <v/>
      </c>
      <c r="L655" s="33">
        <f>_xlfn.XLOOKUP(C655,'Project Details'!$C$17:$C$66,'Project Details'!$D$17:$D$66,"",0)</f>
        <v>0</v>
      </c>
      <c r="M655" s="43"/>
    </row>
    <row r="656" spans="1:13" ht="13.5" customHeight="1" outlineLevel="1" x14ac:dyDescent="0.25">
      <c r="A656" s="43"/>
      <c r="B656" s="43"/>
      <c r="C656" s="35">
        <f t="shared" si="11"/>
        <v>13</v>
      </c>
      <c r="D656" s="35" t="str" cm="1">
        <f t="array" ref="D656">IFERROR(ROUNDUP(_xlfn.IFS(F656="Aluminum Track", _xlfn.XLOOKUP(C656, dd_accsrycalc!$A$2:$A$51, dd_accsrycalc!$B$2:$B$51, "",0), F656="10 x 2 1/2 S (Flat)", _xlfn.XLOOKUP(C656, dd_accsrycalc!$A$2:$A$51, dd_accsrycalc!$C$2:$C$51, "",0), F656="Tox6", _xlfn.XLOOKUP(C656, dd_accsrycalc!$A$2:$A$51, dd_accsrycalc!$D$2:$D$51, "",0), F656="Cover Cap", _xlfn.XLOOKUP(C656, dd_accsrycalc!$A$2:$A$51, dd_accsrycalc!$E$2:$E$51, "",0), F656="Drainage Cover", _xlfn.XLOOKUP(C656, dd_accsrycalc!$A$2:$A$51, dd_accsrycalc!$F$2:$F$51, "",0),AND( F656="Double Adhesive Tape", I656="Roll-up Screen"), _xlfn.XLOOKUP(C656, calc_rusacc!$C$15:$C$65, calc_rusacc!$AD$15:$AD$65, "",0),AND( F656="Sealant", I656="Roll-up Screen"), _xlfn.XLOOKUP(C656, calc_rusacc!$C$15:$C$65, calc_rusacc!$AF$15:$AF$65, "",0),  AND( F656="Main Chain", I656="Accordion Screen"), _xlfn.XLOOKUP(C656, calc_rusacc!$C$15:$C$65, calc_rusacc!$BF$15:$BF$65, "",0), AND( F656="Sealant", I656="Accordion Screen"), _xlfn.XLOOKUP(C656, calc_rusacc!$C$15:$C$65, calc_rusacc!$BJ$15:$BJ$65, "",0),  F656="Sealant", _xlfn.XLOOKUP(C656, dd_accsrycalc!$A$2:$A$51, dd_accsrycalc!$G$2:$G$51, "",0),  F656&lt;&gt;"",L656*_xlfn.XLOOKUP(1, (SKUs!$C$2:$C$10001=G656)*(SKUs!$K$2:$K$10001=I656),SKUs!$E$2:$E$10001)), 0),"")</f>
        <v/>
      </c>
      <c r="E656" s="35" t="str">
        <f>_xlfn.XLOOKUP(F656,dd_item!$B$2:$B$105,dd_item!$C$2:$C$105,"",0)</f>
        <v/>
      </c>
      <c r="F656" s="35"/>
      <c r="G656" s="35" cm="1">
        <f t="array" ref="G656">IFERROR(_xlfn.XLOOKUP(1, (SKUs!$J$2:$J$10001=accsry_unmerged!F656)*IF(H656&lt;&gt;"",(SKUs!$L$2:$L$10001=accsry_unmerged!H656),1)*(SKUs!$K$2:$K$10001=I656),SKUs!$C$2:$C$10001),"")</f>
        <v>0</v>
      </c>
      <c r="H656" s="36" cm="1">
        <f t="array" ref="H656">IFERROR(_xlfn.XLOOKUP(1, (dd_accsryclr!$C$2:$C$1000=accsry_unmerged!F656)*(dd_accsryclr!$B$2:$B$1000=accsry_unmerged!J656),dd_accsryclr!$A$2:$A$1000),"")</f>
        <v>0</v>
      </c>
      <c r="I656" s="35">
        <f>_xlfn.XLOOKUP(C656,'Project Details'!$C$17:$C$66,'Project Details'!$E$17:$E$66,"",0)</f>
        <v>0</v>
      </c>
      <c r="J656" s="35">
        <f>_xlfn.XLOOKUP(C656,'Project Details'!$C$17:$C$66,'Project Details'!$H$17:$H$66,"",0)</f>
        <v>0</v>
      </c>
      <c r="K656" s="36" t="str">
        <f>IF(AND(_xlfn.XLOOKUP(C656,'Project Details'!$C$17:$C$66,'Project Details'!$L$17:$L$66,"",0)&gt;550, F656="Spring-L27cm"),"",SUBSTITUTE(_xlfn.XLOOKUP(G656,SKUs!$C$2:$C$10001,SKUs!$F$2:$F$10001,"",0), " Accessories",""))</f>
        <v/>
      </c>
      <c r="L656" s="36">
        <f>_xlfn.XLOOKUP(C656,'Project Details'!$C$17:$C$66,'Project Details'!$D$17:$D$66,"",0)</f>
        <v>0</v>
      </c>
      <c r="M656" s="43"/>
    </row>
    <row r="657" spans="1:13" ht="13.5" customHeight="1" outlineLevel="1" x14ac:dyDescent="0.25">
      <c r="A657" s="43"/>
      <c r="B657" s="43"/>
      <c r="C657" s="16">
        <f t="shared" si="11"/>
        <v>13</v>
      </c>
      <c r="D657" s="16" t="str" cm="1">
        <f t="array" ref="D657">IFERROR(ROUNDUP(_xlfn.IFS(F657="Aluminum Track", _xlfn.XLOOKUP(C657, dd_accsrycalc!$A$2:$A$51, dd_accsrycalc!$B$2:$B$51, "",0), F657="10 x 2 1/2 S (Flat)", _xlfn.XLOOKUP(C657, dd_accsrycalc!$A$2:$A$51, dd_accsrycalc!$C$2:$C$51, "",0), F657="Tox6", _xlfn.XLOOKUP(C657, dd_accsrycalc!$A$2:$A$51, dd_accsrycalc!$D$2:$D$51, "",0), F657="Cover Cap", _xlfn.XLOOKUP(C657, dd_accsrycalc!$A$2:$A$51, dd_accsrycalc!$E$2:$E$51, "",0), F657="Drainage Cover", _xlfn.XLOOKUP(C657, dd_accsrycalc!$A$2:$A$51, dd_accsrycalc!$F$2:$F$51, "",0),AND( F657="Double Adhesive Tape", I657="Roll-up Screen"), _xlfn.XLOOKUP(C657, calc_rusacc!$C$15:$C$65, calc_rusacc!$AD$15:$AD$65, "",0),AND( F657="Sealant", I657="Roll-up Screen"), _xlfn.XLOOKUP(C657, calc_rusacc!$C$15:$C$65, calc_rusacc!$AF$15:$AF$65, "",0),  AND( F657="Main Chain", I657="Accordion Screen"), _xlfn.XLOOKUP(C657, calc_rusacc!$C$15:$C$65, calc_rusacc!$BF$15:$BF$65, "",0), AND( F657="Sealant", I657="Accordion Screen"), _xlfn.XLOOKUP(C657, calc_rusacc!$C$15:$C$65, calc_rusacc!$BJ$15:$BJ$65, "",0),  F657="Sealant", _xlfn.XLOOKUP(C657, dd_accsrycalc!$A$2:$A$51, dd_accsrycalc!$G$2:$G$51, "",0),  F657&lt;&gt;"",L657*_xlfn.XLOOKUP(1, (SKUs!$C$2:$C$10001=G657)*(SKUs!$K$2:$K$10001=I657),SKUs!$E$2:$E$10001)), 0),"")</f>
        <v/>
      </c>
      <c r="E657" s="16" t="str">
        <f>_xlfn.XLOOKUP(F657,dd_item!$B$2:$B$105,dd_item!$C$2:$C$105,"",0)</f>
        <v/>
      </c>
      <c r="F657" s="16"/>
      <c r="G657" s="16" cm="1">
        <f t="array" ref="G657">IFERROR(_xlfn.XLOOKUP(1, (SKUs!$J$2:$J$10001=accsry_unmerged!F657)*IF(H657&lt;&gt;"",(SKUs!$L$2:$L$10001=accsry_unmerged!H657),1)*(SKUs!$K$2:$K$10001=I657),SKUs!$C$2:$C$10001),"")</f>
        <v>0</v>
      </c>
      <c r="H657" s="33" cm="1">
        <f t="array" ref="H657">IFERROR(_xlfn.XLOOKUP(1, (dd_accsryclr!$C$2:$C$1000=accsry_unmerged!F657)*(dd_accsryclr!$B$2:$B$1000=accsry_unmerged!J657),dd_accsryclr!$A$2:$A$1000),"")</f>
        <v>0</v>
      </c>
      <c r="I657" s="16">
        <f>_xlfn.XLOOKUP(C657,'Project Details'!$C$17:$C$66,'Project Details'!$E$17:$E$66,"",0)</f>
        <v>0</v>
      </c>
      <c r="J657" s="16">
        <f>_xlfn.XLOOKUP(C657,'Project Details'!$C$17:$C$66,'Project Details'!$H$17:$H$66,"",0)</f>
        <v>0</v>
      </c>
      <c r="K657" s="33" t="str">
        <f>IF(AND(_xlfn.XLOOKUP(C657,'Project Details'!$C$17:$C$66,'Project Details'!$L$17:$L$66,"",0)&gt;550, F657="Spring-L27cm"),"",SUBSTITUTE(_xlfn.XLOOKUP(G657,SKUs!$C$2:$C$10001,SKUs!$F$2:$F$10001,"",0), " Accessories",""))</f>
        <v/>
      </c>
      <c r="L657" s="33">
        <f>_xlfn.XLOOKUP(C657,'Project Details'!$C$17:$C$66,'Project Details'!$D$17:$D$66,"",0)</f>
        <v>0</v>
      </c>
      <c r="M657" s="43"/>
    </row>
    <row r="658" spans="1:13" ht="13.5" customHeight="1" outlineLevel="1" x14ac:dyDescent="0.25">
      <c r="A658" s="43"/>
      <c r="B658" s="43"/>
      <c r="C658" s="35">
        <f t="shared" si="11"/>
        <v>13</v>
      </c>
      <c r="D658" s="35" t="str" cm="1">
        <f t="array" ref="D658">IFERROR(ROUNDUP(_xlfn.IFS(F658="Aluminum Track", _xlfn.XLOOKUP(C658, dd_accsrycalc!$A$2:$A$51, dd_accsrycalc!$B$2:$B$51, "",0), F658="10 x 2 1/2 S (Flat)", _xlfn.XLOOKUP(C658, dd_accsrycalc!$A$2:$A$51, dd_accsrycalc!$C$2:$C$51, "",0), F658="Tox6", _xlfn.XLOOKUP(C658, dd_accsrycalc!$A$2:$A$51, dd_accsrycalc!$D$2:$D$51, "",0), F658="Cover Cap", _xlfn.XLOOKUP(C658, dd_accsrycalc!$A$2:$A$51, dd_accsrycalc!$E$2:$E$51, "",0), F658="Drainage Cover", _xlfn.XLOOKUP(C658, dd_accsrycalc!$A$2:$A$51, dd_accsrycalc!$F$2:$F$51, "",0),AND( F658="Double Adhesive Tape", I658="Roll-up Screen"), _xlfn.XLOOKUP(C658, calc_rusacc!$C$15:$C$65, calc_rusacc!$AD$15:$AD$65, "",0),AND( F658="Sealant", I658="Roll-up Screen"), _xlfn.XLOOKUP(C658, calc_rusacc!$C$15:$C$65, calc_rusacc!$AF$15:$AF$65, "",0),  AND( F658="Main Chain", I658="Accordion Screen"), _xlfn.XLOOKUP(C658, calc_rusacc!$C$15:$C$65, calc_rusacc!$BF$15:$BF$65, "",0), AND( F658="Sealant", I658="Accordion Screen"), _xlfn.XLOOKUP(C658, calc_rusacc!$C$15:$C$65, calc_rusacc!$BJ$15:$BJ$65, "",0),  F658="Sealant", _xlfn.XLOOKUP(C658, dd_accsrycalc!$A$2:$A$51, dd_accsrycalc!$G$2:$G$51, "",0),  F658&lt;&gt;"",L658*_xlfn.XLOOKUP(1, (SKUs!$C$2:$C$10001=G658)*(SKUs!$K$2:$K$10001=I658),SKUs!$E$2:$E$10001)), 0),"")</f>
        <v/>
      </c>
      <c r="E658" s="35" t="str">
        <f>_xlfn.XLOOKUP(F658,dd_item!$B$2:$B$105,dd_item!$C$2:$C$105,"",0)</f>
        <v/>
      </c>
      <c r="F658" s="35"/>
      <c r="G658" s="35" cm="1">
        <f t="array" ref="G658">IFERROR(_xlfn.XLOOKUP(1, (SKUs!$J$2:$J$10001=accsry_unmerged!F658)*IF(H658&lt;&gt;"",(SKUs!$L$2:$L$10001=accsry_unmerged!H658),1)*(SKUs!$K$2:$K$10001=I658),SKUs!$C$2:$C$10001),"")</f>
        <v>0</v>
      </c>
      <c r="H658" s="36" cm="1">
        <f t="array" ref="H658">IFERROR(_xlfn.XLOOKUP(1, (dd_accsryclr!$C$2:$C$1000=accsry_unmerged!F658)*(dd_accsryclr!$B$2:$B$1000=accsry_unmerged!J658),dd_accsryclr!$A$2:$A$1000),"")</f>
        <v>0</v>
      </c>
      <c r="I658" s="35">
        <f>_xlfn.XLOOKUP(C658,'Project Details'!$C$17:$C$66,'Project Details'!$E$17:$E$66,"",0)</f>
        <v>0</v>
      </c>
      <c r="J658" s="35">
        <f>_xlfn.XLOOKUP(C658,'Project Details'!$C$17:$C$66,'Project Details'!$H$17:$H$66,"",0)</f>
        <v>0</v>
      </c>
      <c r="K658" s="36" t="str">
        <f>IF(AND(_xlfn.XLOOKUP(C658,'Project Details'!$C$17:$C$66,'Project Details'!$L$17:$L$66,"",0)&gt;550, F658="Spring-L27cm"),"",SUBSTITUTE(_xlfn.XLOOKUP(G658,SKUs!$C$2:$C$10001,SKUs!$F$2:$F$10001,"",0), " Accessories",""))</f>
        <v/>
      </c>
      <c r="L658" s="36">
        <f>_xlfn.XLOOKUP(C658,'Project Details'!$C$17:$C$66,'Project Details'!$D$17:$D$66,"",0)</f>
        <v>0</v>
      </c>
      <c r="M658" s="43"/>
    </row>
    <row r="659" spans="1:13" ht="13.5" customHeight="1" outlineLevel="1" x14ac:dyDescent="0.25">
      <c r="A659" s="43"/>
      <c r="B659" s="43"/>
      <c r="C659" s="16">
        <f t="shared" si="11"/>
        <v>13</v>
      </c>
      <c r="D659" s="16" t="str" cm="1">
        <f t="array" ref="D659">IFERROR(ROUNDUP(_xlfn.IFS(F659="Aluminum Track", _xlfn.XLOOKUP(C659, dd_accsrycalc!$A$2:$A$51, dd_accsrycalc!$B$2:$B$51, "",0), F659="10 x 2 1/2 S (Flat)", _xlfn.XLOOKUP(C659, dd_accsrycalc!$A$2:$A$51, dd_accsrycalc!$C$2:$C$51, "",0), F659="Tox6", _xlfn.XLOOKUP(C659, dd_accsrycalc!$A$2:$A$51, dd_accsrycalc!$D$2:$D$51, "",0), F659="Cover Cap", _xlfn.XLOOKUP(C659, dd_accsrycalc!$A$2:$A$51, dd_accsrycalc!$E$2:$E$51, "",0), F659="Drainage Cover", _xlfn.XLOOKUP(C659, dd_accsrycalc!$A$2:$A$51, dd_accsrycalc!$F$2:$F$51, "",0),AND( F659="Double Adhesive Tape", I659="Roll-up Screen"), _xlfn.XLOOKUP(C659, calc_rusacc!$C$15:$C$65, calc_rusacc!$AD$15:$AD$65, "",0),AND( F659="Sealant", I659="Roll-up Screen"), _xlfn.XLOOKUP(C659, calc_rusacc!$C$15:$C$65, calc_rusacc!$AF$15:$AF$65, "",0),  AND( F659="Main Chain", I659="Accordion Screen"), _xlfn.XLOOKUP(C659, calc_rusacc!$C$15:$C$65, calc_rusacc!$BF$15:$BF$65, "",0), AND( F659="Sealant", I659="Accordion Screen"), _xlfn.XLOOKUP(C659, calc_rusacc!$C$15:$C$65, calc_rusacc!$BJ$15:$BJ$65, "",0),  F659="Sealant", _xlfn.XLOOKUP(C659, dd_accsrycalc!$A$2:$A$51, dd_accsrycalc!$G$2:$G$51, "",0),  F659&lt;&gt;"",L659*_xlfn.XLOOKUP(1, (SKUs!$C$2:$C$10001=G659)*(SKUs!$K$2:$K$10001=I659),SKUs!$E$2:$E$10001)), 0),"")</f>
        <v/>
      </c>
      <c r="E659" s="16" t="str">
        <f>_xlfn.XLOOKUP(F659,dd_item!$B$2:$B$105,dd_item!$C$2:$C$105,"",0)</f>
        <v/>
      </c>
      <c r="F659" s="16"/>
      <c r="G659" s="16" cm="1">
        <f t="array" ref="G659">IFERROR(_xlfn.XLOOKUP(1, (SKUs!$J$2:$J$10001=accsry_unmerged!F659)*IF(H659&lt;&gt;"",(SKUs!$L$2:$L$10001=accsry_unmerged!H659),1)*(SKUs!$K$2:$K$10001=I659),SKUs!$C$2:$C$10001),"")</f>
        <v>0</v>
      </c>
      <c r="H659" s="33" cm="1">
        <f t="array" ref="H659">IFERROR(_xlfn.XLOOKUP(1, (dd_accsryclr!$C$2:$C$1000=accsry_unmerged!F659)*(dd_accsryclr!$B$2:$B$1000=accsry_unmerged!J659),dd_accsryclr!$A$2:$A$1000),"")</f>
        <v>0</v>
      </c>
      <c r="I659" s="16">
        <f>_xlfn.XLOOKUP(C659,'Project Details'!$C$17:$C$66,'Project Details'!$E$17:$E$66,"",0)</f>
        <v>0</v>
      </c>
      <c r="J659" s="16">
        <f>_xlfn.XLOOKUP(C659,'Project Details'!$C$17:$C$66,'Project Details'!$H$17:$H$66,"",0)</f>
        <v>0</v>
      </c>
      <c r="K659" s="33" t="str">
        <f>IF(AND(_xlfn.XLOOKUP(C659,'Project Details'!$C$17:$C$66,'Project Details'!$L$17:$L$66,"",0)&gt;550, F659="Spring-L27cm"),"",SUBSTITUTE(_xlfn.XLOOKUP(G659,SKUs!$C$2:$C$10001,SKUs!$F$2:$F$10001,"",0), " Accessories",""))</f>
        <v/>
      </c>
      <c r="L659" s="33">
        <f>_xlfn.XLOOKUP(C659,'Project Details'!$C$17:$C$66,'Project Details'!$D$17:$D$66,"",0)</f>
        <v>0</v>
      </c>
      <c r="M659" s="43"/>
    </row>
    <row r="660" spans="1:13" ht="13.5" customHeight="1" outlineLevel="1" x14ac:dyDescent="0.25">
      <c r="A660" s="43"/>
      <c r="B660" s="43"/>
      <c r="C660" s="35">
        <f t="shared" si="11"/>
        <v>13</v>
      </c>
      <c r="D660" s="35" t="str" cm="1">
        <f t="array" ref="D660">IFERROR(ROUNDUP(_xlfn.IFS(F660="Aluminum Track", _xlfn.XLOOKUP(C660, dd_accsrycalc!$A$2:$A$51, dd_accsrycalc!$B$2:$B$51, "",0), F660="10 x 2 1/2 S (Flat)", _xlfn.XLOOKUP(C660, dd_accsrycalc!$A$2:$A$51, dd_accsrycalc!$C$2:$C$51, "",0), F660="Tox6", _xlfn.XLOOKUP(C660, dd_accsrycalc!$A$2:$A$51, dd_accsrycalc!$D$2:$D$51, "",0), F660="Cover Cap", _xlfn.XLOOKUP(C660, dd_accsrycalc!$A$2:$A$51, dd_accsrycalc!$E$2:$E$51, "",0), F660="Drainage Cover", _xlfn.XLOOKUP(C660, dd_accsrycalc!$A$2:$A$51, dd_accsrycalc!$F$2:$F$51, "",0),AND( F660="Double Adhesive Tape", I660="Roll-up Screen"), _xlfn.XLOOKUP(C660, calc_rusacc!$C$15:$C$65, calc_rusacc!$AD$15:$AD$65, "",0),AND( F660="Sealant", I660="Roll-up Screen"), _xlfn.XLOOKUP(C660, calc_rusacc!$C$15:$C$65, calc_rusacc!$AF$15:$AF$65, "",0),  AND( F660="Main Chain", I660="Accordion Screen"), _xlfn.XLOOKUP(C660, calc_rusacc!$C$15:$C$65, calc_rusacc!$BF$15:$BF$65, "",0), AND( F660="Sealant", I660="Accordion Screen"), _xlfn.XLOOKUP(C660, calc_rusacc!$C$15:$C$65, calc_rusacc!$BJ$15:$BJ$65, "",0),  F660="Sealant", _xlfn.XLOOKUP(C660, dd_accsrycalc!$A$2:$A$51, dd_accsrycalc!$G$2:$G$51, "",0),  F660&lt;&gt;"",L660*_xlfn.XLOOKUP(1, (SKUs!$C$2:$C$10001=G660)*(SKUs!$K$2:$K$10001=I660),SKUs!$E$2:$E$10001)), 0),"")</f>
        <v/>
      </c>
      <c r="E660" s="35" t="str">
        <f>_xlfn.XLOOKUP(F660,dd_item!$B$2:$B$105,dd_item!$C$2:$C$105,"",0)</f>
        <v/>
      </c>
      <c r="F660" s="35"/>
      <c r="G660" s="35" cm="1">
        <f t="array" ref="G660">IFERROR(_xlfn.XLOOKUP(1, (SKUs!$J$2:$J$10001=accsry_unmerged!F660)*IF(H660&lt;&gt;"",(SKUs!$L$2:$L$10001=accsry_unmerged!H660),1)*(SKUs!$K$2:$K$10001=I660),SKUs!$C$2:$C$10001),"")</f>
        <v>0</v>
      </c>
      <c r="H660" s="36" cm="1">
        <f t="array" ref="H660">IFERROR(_xlfn.XLOOKUP(1, (dd_accsryclr!$C$2:$C$1000=accsry_unmerged!F660)*(dd_accsryclr!$B$2:$B$1000=accsry_unmerged!J660),dd_accsryclr!$A$2:$A$1000),"")</f>
        <v>0</v>
      </c>
      <c r="I660" s="35">
        <f>_xlfn.XLOOKUP(C660,'Project Details'!$C$17:$C$66,'Project Details'!$E$17:$E$66,"",0)</f>
        <v>0</v>
      </c>
      <c r="J660" s="35">
        <f>_xlfn.XLOOKUP(C660,'Project Details'!$C$17:$C$66,'Project Details'!$H$17:$H$66,"",0)</f>
        <v>0</v>
      </c>
      <c r="K660" s="36" t="str">
        <f>IF(AND(_xlfn.XLOOKUP(C660,'Project Details'!$C$17:$C$66,'Project Details'!$L$17:$L$66,"",0)&gt;550, F660="Spring-L27cm"),"",SUBSTITUTE(_xlfn.XLOOKUP(G660,SKUs!$C$2:$C$10001,SKUs!$F$2:$F$10001,"",0), " Accessories",""))</f>
        <v/>
      </c>
      <c r="L660" s="36">
        <f>_xlfn.XLOOKUP(C660,'Project Details'!$C$17:$C$66,'Project Details'!$D$17:$D$66,"",0)</f>
        <v>0</v>
      </c>
      <c r="M660" s="43"/>
    </row>
    <row r="661" spans="1:13" ht="13.5" customHeight="1" outlineLevel="1" x14ac:dyDescent="0.25">
      <c r="A661" s="43"/>
      <c r="B661" s="43"/>
      <c r="C661" s="16">
        <f t="shared" si="11"/>
        <v>13</v>
      </c>
      <c r="D661" s="16" t="str" cm="1">
        <f t="array" ref="D661">IFERROR(ROUNDUP(_xlfn.IFS(F661="Aluminum Track", _xlfn.XLOOKUP(C661, dd_accsrycalc!$A$2:$A$51, dd_accsrycalc!$B$2:$B$51, "",0), F661="10 x 2 1/2 S (Flat)", _xlfn.XLOOKUP(C661, dd_accsrycalc!$A$2:$A$51, dd_accsrycalc!$C$2:$C$51, "",0), F661="Tox6", _xlfn.XLOOKUP(C661, dd_accsrycalc!$A$2:$A$51, dd_accsrycalc!$D$2:$D$51, "",0), F661="Cover Cap", _xlfn.XLOOKUP(C661, dd_accsrycalc!$A$2:$A$51, dd_accsrycalc!$E$2:$E$51, "",0), F661="Drainage Cover", _xlfn.XLOOKUP(C661, dd_accsrycalc!$A$2:$A$51, dd_accsrycalc!$F$2:$F$51, "",0),AND( F661="Double Adhesive Tape", I661="Roll-up Screen"), _xlfn.XLOOKUP(C661, calc_rusacc!$C$15:$C$65, calc_rusacc!$AD$15:$AD$65, "",0),AND( F661="Sealant", I661="Roll-up Screen"), _xlfn.XLOOKUP(C661, calc_rusacc!$C$15:$C$65, calc_rusacc!$AF$15:$AF$65, "",0),  AND( F661="Main Chain", I661="Accordion Screen"), _xlfn.XLOOKUP(C661, calc_rusacc!$C$15:$C$65, calc_rusacc!$BF$15:$BF$65, "",0), AND( F661="Sealant", I661="Accordion Screen"), _xlfn.XLOOKUP(C661, calc_rusacc!$C$15:$C$65, calc_rusacc!$BJ$15:$BJ$65, "",0),  F661="Sealant", _xlfn.XLOOKUP(C661, dd_accsrycalc!$A$2:$A$51, dd_accsrycalc!$G$2:$G$51, "",0),  F661&lt;&gt;"",L661*_xlfn.XLOOKUP(1, (SKUs!$C$2:$C$10001=G661)*(SKUs!$K$2:$K$10001=I661),SKUs!$E$2:$E$10001)), 0),"")</f>
        <v/>
      </c>
      <c r="E661" s="16" t="str">
        <f>_xlfn.XLOOKUP(F661,dd_item!$B$2:$B$105,dd_item!$C$2:$C$105,"",0)</f>
        <v/>
      </c>
      <c r="F661" s="16"/>
      <c r="G661" s="16" cm="1">
        <f t="array" ref="G661">IFERROR(_xlfn.XLOOKUP(1, (SKUs!$J$2:$J$10001=accsry_unmerged!F661)*IF(H661&lt;&gt;"",(SKUs!$L$2:$L$10001=accsry_unmerged!H661),1)*(SKUs!$K$2:$K$10001=I661),SKUs!$C$2:$C$10001),"")</f>
        <v>0</v>
      </c>
      <c r="H661" s="33" cm="1">
        <f t="array" ref="H661">IFERROR(_xlfn.XLOOKUP(1, (dd_accsryclr!$C$2:$C$1000=accsry_unmerged!F661)*(dd_accsryclr!$B$2:$B$1000=accsry_unmerged!J661),dd_accsryclr!$A$2:$A$1000),"")</f>
        <v>0</v>
      </c>
      <c r="I661" s="16">
        <f>_xlfn.XLOOKUP(C661,'Project Details'!$C$17:$C$66,'Project Details'!$E$17:$E$66,"",0)</f>
        <v>0</v>
      </c>
      <c r="J661" s="16">
        <f>_xlfn.XLOOKUP(C661,'Project Details'!$C$17:$C$66,'Project Details'!$H$17:$H$66,"",0)</f>
        <v>0</v>
      </c>
      <c r="K661" s="33" t="str">
        <f>IF(AND(_xlfn.XLOOKUP(C661,'Project Details'!$C$17:$C$66,'Project Details'!$L$17:$L$66,"",0)&gt;550, F661="Spring-L27cm"),"",SUBSTITUTE(_xlfn.XLOOKUP(G661,SKUs!$C$2:$C$10001,SKUs!$F$2:$F$10001,"",0), " Accessories",""))</f>
        <v/>
      </c>
      <c r="L661" s="33">
        <f>_xlfn.XLOOKUP(C661,'Project Details'!$C$17:$C$66,'Project Details'!$D$17:$D$66,"",0)</f>
        <v>0</v>
      </c>
      <c r="M661" s="43"/>
    </row>
    <row r="662" spans="1:13" ht="13.5" customHeight="1" outlineLevel="1" x14ac:dyDescent="0.25">
      <c r="A662" s="43"/>
      <c r="B662" s="43"/>
      <c r="C662" s="35">
        <f t="shared" si="11"/>
        <v>13</v>
      </c>
      <c r="D662" s="35" t="str" cm="1">
        <f t="array" ref="D662">IFERROR(ROUNDUP(_xlfn.IFS(F662="Aluminum Track", _xlfn.XLOOKUP(C662, dd_accsrycalc!$A$2:$A$51, dd_accsrycalc!$B$2:$B$51, "",0), F662="10 x 2 1/2 S (Flat)", _xlfn.XLOOKUP(C662, dd_accsrycalc!$A$2:$A$51, dd_accsrycalc!$C$2:$C$51, "",0), F662="Tox6", _xlfn.XLOOKUP(C662, dd_accsrycalc!$A$2:$A$51, dd_accsrycalc!$D$2:$D$51, "",0), F662="Cover Cap", _xlfn.XLOOKUP(C662, dd_accsrycalc!$A$2:$A$51, dd_accsrycalc!$E$2:$E$51, "",0), F662="Drainage Cover", _xlfn.XLOOKUP(C662, dd_accsrycalc!$A$2:$A$51, dd_accsrycalc!$F$2:$F$51, "",0),AND( F662="Double Adhesive Tape", I662="Roll-up Screen"), _xlfn.XLOOKUP(C662, calc_rusacc!$C$15:$C$65, calc_rusacc!$AD$15:$AD$65, "",0),AND( F662="Sealant", I662="Roll-up Screen"), _xlfn.XLOOKUP(C662, calc_rusacc!$C$15:$C$65, calc_rusacc!$AF$15:$AF$65, "",0),  AND( F662="Main Chain", I662="Accordion Screen"), _xlfn.XLOOKUP(C662, calc_rusacc!$C$15:$C$65, calc_rusacc!$BF$15:$BF$65, "",0), AND( F662="Sealant", I662="Accordion Screen"), _xlfn.XLOOKUP(C662, calc_rusacc!$C$15:$C$65, calc_rusacc!$BJ$15:$BJ$65, "",0),  F662="Sealant", _xlfn.XLOOKUP(C662, dd_accsrycalc!$A$2:$A$51, dd_accsrycalc!$G$2:$G$51, "",0),  F662&lt;&gt;"",L662*_xlfn.XLOOKUP(1, (SKUs!$C$2:$C$10001=G662)*(SKUs!$K$2:$K$10001=I662),SKUs!$E$2:$E$10001)), 0),"")</f>
        <v/>
      </c>
      <c r="E662" s="35" t="str">
        <f>_xlfn.XLOOKUP(F662,dd_item!$B$2:$B$105,dd_item!$C$2:$C$105,"",0)</f>
        <v/>
      </c>
      <c r="F662" s="35"/>
      <c r="G662" s="35" cm="1">
        <f t="array" ref="G662">IFERROR(_xlfn.XLOOKUP(1, (SKUs!$J$2:$J$10001=accsry_unmerged!F662)*IF(H662&lt;&gt;"",(SKUs!$L$2:$L$10001=accsry_unmerged!H662),1)*(SKUs!$K$2:$K$10001=I662),SKUs!$C$2:$C$10001),"")</f>
        <v>0</v>
      </c>
      <c r="H662" s="36" cm="1">
        <f t="array" ref="H662">IFERROR(_xlfn.XLOOKUP(1, (dd_accsryclr!$C$2:$C$1000=accsry_unmerged!F662)*(dd_accsryclr!$B$2:$B$1000=accsry_unmerged!J662),dd_accsryclr!$A$2:$A$1000),"")</f>
        <v>0</v>
      </c>
      <c r="I662" s="35">
        <f>_xlfn.XLOOKUP(C662,'Project Details'!$C$17:$C$66,'Project Details'!$E$17:$E$66,"",0)</f>
        <v>0</v>
      </c>
      <c r="J662" s="35">
        <f>_xlfn.XLOOKUP(C662,'Project Details'!$C$17:$C$66,'Project Details'!$H$17:$H$66,"",0)</f>
        <v>0</v>
      </c>
      <c r="K662" s="36" t="str">
        <f>IF(AND(_xlfn.XLOOKUP(C662,'Project Details'!$C$17:$C$66,'Project Details'!$L$17:$L$66,"",0)&gt;550, F662="Spring-L27cm"),"",SUBSTITUTE(_xlfn.XLOOKUP(G662,SKUs!$C$2:$C$10001,SKUs!$F$2:$F$10001,"",0), " Accessories",""))</f>
        <v/>
      </c>
      <c r="L662" s="36">
        <f>_xlfn.XLOOKUP(C662,'Project Details'!$C$17:$C$66,'Project Details'!$D$17:$D$66,"",0)</f>
        <v>0</v>
      </c>
      <c r="M662" s="43"/>
    </row>
    <row r="663" spans="1:13" ht="13.5" customHeight="1" outlineLevel="1" x14ac:dyDescent="0.25">
      <c r="A663" s="43"/>
      <c r="B663" s="43"/>
      <c r="C663" s="16">
        <f t="shared" si="11"/>
        <v>13</v>
      </c>
      <c r="D663" s="16" t="str" cm="1">
        <f t="array" ref="D663">IFERROR(ROUNDUP(_xlfn.IFS(F663="Aluminum Track", _xlfn.XLOOKUP(C663, dd_accsrycalc!$A$2:$A$51, dd_accsrycalc!$B$2:$B$51, "",0), F663="10 x 2 1/2 S (Flat)", _xlfn.XLOOKUP(C663, dd_accsrycalc!$A$2:$A$51, dd_accsrycalc!$C$2:$C$51, "",0), F663="Tox6", _xlfn.XLOOKUP(C663, dd_accsrycalc!$A$2:$A$51, dd_accsrycalc!$D$2:$D$51, "",0), F663="Cover Cap", _xlfn.XLOOKUP(C663, dd_accsrycalc!$A$2:$A$51, dd_accsrycalc!$E$2:$E$51, "",0), F663="Drainage Cover", _xlfn.XLOOKUP(C663, dd_accsrycalc!$A$2:$A$51, dd_accsrycalc!$F$2:$F$51, "",0),AND( F663="Double Adhesive Tape", I663="Roll-up Screen"), _xlfn.XLOOKUP(C663, calc_rusacc!$C$15:$C$65, calc_rusacc!$AD$15:$AD$65, "",0),AND( F663="Sealant", I663="Roll-up Screen"), _xlfn.XLOOKUP(C663, calc_rusacc!$C$15:$C$65, calc_rusacc!$AF$15:$AF$65, "",0),  AND( F663="Main Chain", I663="Accordion Screen"), _xlfn.XLOOKUP(C663, calc_rusacc!$C$15:$C$65, calc_rusacc!$BF$15:$BF$65, "",0), AND( F663="Sealant", I663="Accordion Screen"), _xlfn.XLOOKUP(C663, calc_rusacc!$C$15:$C$65, calc_rusacc!$BJ$15:$BJ$65, "",0),  F663="Sealant", _xlfn.XLOOKUP(C663, dd_accsrycalc!$A$2:$A$51, dd_accsrycalc!$G$2:$G$51, "",0),  F663&lt;&gt;"",L663*_xlfn.XLOOKUP(1, (SKUs!$C$2:$C$10001=G663)*(SKUs!$K$2:$K$10001=I663),SKUs!$E$2:$E$10001)), 0),"")</f>
        <v/>
      </c>
      <c r="E663" s="16" t="str">
        <f>_xlfn.XLOOKUP(F663,dd_item!$B$2:$B$105,dd_item!$C$2:$C$105,"",0)</f>
        <v/>
      </c>
      <c r="F663" s="16"/>
      <c r="G663" s="16" cm="1">
        <f t="array" ref="G663">IFERROR(_xlfn.XLOOKUP(1, (SKUs!$J$2:$J$10001=accsry_unmerged!F663)*IF(H663&lt;&gt;"",(SKUs!$L$2:$L$10001=accsry_unmerged!H663),1)*(SKUs!$K$2:$K$10001=I663),SKUs!$C$2:$C$10001),"")</f>
        <v>0</v>
      </c>
      <c r="H663" s="33" cm="1">
        <f t="array" ref="H663">IFERROR(_xlfn.XLOOKUP(1, (dd_accsryclr!$C$2:$C$1000=accsry_unmerged!F663)*(dd_accsryclr!$B$2:$B$1000=accsry_unmerged!J663),dd_accsryclr!$A$2:$A$1000),"")</f>
        <v>0</v>
      </c>
      <c r="I663" s="16">
        <f>_xlfn.XLOOKUP(C663,'Project Details'!$C$17:$C$66,'Project Details'!$E$17:$E$66,"",0)</f>
        <v>0</v>
      </c>
      <c r="J663" s="16">
        <f>_xlfn.XLOOKUP(C663,'Project Details'!$C$17:$C$66,'Project Details'!$H$17:$H$66,"",0)</f>
        <v>0</v>
      </c>
      <c r="K663" s="33" t="str">
        <f>IF(AND(_xlfn.XLOOKUP(C663,'Project Details'!$C$17:$C$66,'Project Details'!$L$17:$L$66,"",0)&gt;550, F663="Spring-L27cm"),"",SUBSTITUTE(_xlfn.XLOOKUP(G663,SKUs!$C$2:$C$10001,SKUs!$F$2:$F$10001,"",0), " Accessories",""))</f>
        <v/>
      </c>
      <c r="L663" s="33">
        <f>_xlfn.XLOOKUP(C663,'Project Details'!$C$17:$C$66,'Project Details'!$D$17:$D$66,"",0)</f>
        <v>0</v>
      </c>
      <c r="M663" s="43"/>
    </row>
    <row r="664" spans="1:13" x14ac:dyDescent="0.25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</row>
    <row r="665" spans="1:13" x14ac:dyDescent="0.25">
      <c r="A665" s="43"/>
      <c r="B665" s="43"/>
      <c r="C665" s="16">
        <f>C663+1</f>
        <v>14</v>
      </c>
      <c r="D665" s="48" cm="1">
        <f t="array" ref="D665">IFERROR(ROUNDUP(_xlfn.IFS(F665="Aluminum Track", _xlfn.XLOOKUP(C665, dd_accsrycalc!$A$2:$A$51, dd_accsrycalc!$B$2:$B$51, "",0), F665="10 x 2 1/2 S (Flat)", _xlfn.XLOOKUP(C665, dd_accsrycalc!$A$2:$A$51, dd_accsrycalc!$C$2:$C$51, "",0), F665="Tox6", _xlfn.XLOOKUP(C665, dd_accsrycalc!$A$2:$A$51, dd_accsrycalc!$D$2:$D$51, "",0), F665="Cover Cap", _xlfn.XLOOKUP(C665, dd_accsrycalc!$A$2:$A$51, dd_accsrycalc!$E$2:$E$51, "",0), F665="Drainage Cover", _xlfn.XLOOKUP(C665, dd_accsrycalc!$A$2:$A$51, dd_accsrycalc!$F$2:$F$51, "",0),AND( F665="Double Adhesive Tape", I665="Roll-up Screen"), _xlfn.XLOOKUP(C665, calc_rusacc!$C$15:$C$65, calc_rusacc!$AD$15:$AD$65, "",0),AND( F665="Sealant", I665="Roll-up Screen"), _xlfn.XLOOKUP(C665, calc_rusacc!$C$15:$C$65, calc_rusacc!$AF$15:$AF$65, "",0),  AND( F665="Main Chain", I665="Accordion Screen"), _xlfn.XLOOKUP(C665, calc_rusacc!$C$15:$C$65, calc_rusacc!$BF$15:$BF$65, "",0), AND( F665="Sealant", I665="Accordion Screen"), _xlfn.XLOOKUP(C665, calc_rusacc!$C$15:$C$65, calc_rusacc!$BJ$15:$BJ$65, "",0),  F665="Sealant", _xlfn.XLOOKUP(C665, dd_accsrycalc!$A$2:$A$51, dd_accsrycalc!$G$2:$G$51, "",0),  F665&lt;&gt;"",L665*_xlfn.XLOOKUP(1, (SKUs!$C$2:$C$10001=G665)*(SKUs!$K$2:$K$10001=I665),SKUs!$E$2:$E$10001)), 0),"")</f>
        <v>0</v>
      </c>
      <c r="E665" s="48" t="str">
        <f>_xlfn.XLOOKUP(F665,dd_item!$B$2:$B$105,dd_item!$C$2:$C$105,"",0)</f>
        <v/>
      </c>
      <c r="F665" s="48" cm="1">
        <f t="array" ref="F665">IFERROR(_xlfn.UNIQUE(_xlfn._xlws.FILTER(SKUs!$J$2:$J$10001, (SKUs!$F$2:$F$10001&lt;&gt;"Cutting List") * (SKUs!$A$2:$A$10001=_xlfn.XLOOKUP(_xlfn.XLOOKUP(C665,'Project Details'!$C$17:$C$66,'Project Details'!$E$17:$E$66,"",0), dd_design_raw!$A$2:$A$101,dd_design_raw!$C$2:$C$101,"",0)))), "")</f>
        <v>0</v>
      </c>
      <c r="G665" s="16" cm="1">
        <f t="array" ref="G665">IFERROR(_xlfn.XLOOKUP(1, (SKUs!$J$2:$J$10001=accsry_unmerged!F665)*IF(H665&lt;&gt;"",(SKUs!$L$2:$L$10001=accsry_unmerged!H665),1)*(SKUs!$K$2:$K$10001=I665),SKUs!$C$2:$C$10001),"")</f>
        <v>0</v>
      </c>
      <c r="H665" s="16" cm="1">
        <f t="array" ref="H665">IFERROR(_xlfn.XLOOKUP(1, (dd_accsryclr!$C$2:$C$1000=accsry_unmerged!F665)*(dd_accsryclr!$B$2:$B$1000=accsry_unmerged!J665),dd_accsryclr!$A$2:$A$1000),"")</f>
        <v>0</v>
      </c>
      <c r="I665" s="16">
        <f>_xlfn.XLOOKUP(C665,'Project Details'!$C$17:$C$66,'Project Details'!$E$17:$E$66,"",0)</f>
        <v>0</v>
      </c>
      <c r="J665" s="16">
        <f>_xlfn.XLOOKUP(C665,'Project Details'!$C$17:$C$66,'Project Details'!$H$17:$H$66,"",0)</f>
        <v>0</v>
      </c>
      <c r="K665" s="16" t="str">
        <f>IF(AND(_xlfn.XLOOKUP(C665,'Project Details'!$C$17:$C$66,'Project Details'!$L$17:$L$66,"",0)&gt;550, F665="Spring-L27cm"),"",SUBSTITUTE(_xlfn.XLOOKUP(G665,SKUs!$C$2:$C$10001,SKUs!$F$2:$F$10001,"",0), " Accessories",""))</f>
        <v/>
      </c>
      <c r="L665" s="16">
        <f>_xlfn.XLOOKUP(C665,'Project Details'!$C$17:$C$66,'Project Details'!$D$17:$D$66,"",0)</f>
        <v>0</v>
      </c>
      <c r="M665" s="43"/>
    </row>
    <row r="666" spans="1:13" x14ac:dyDescent="0.25">
      <c r="A666" s="43"/>
      <c r="B666" s="43"/>
      <c r="C666" s="35">
        <f>C665</f>
        <v>14</v>
      </c>
      <c r="D666" s="35" t="str" cm="1">
        <f t="array" ref="D666">IFERROR(ROUNDUP(_xlfn.IFS(F666="Aluminum Track", _xlfn.XLOOKUP(C666, dd_accsrycalc!$A$2:$A$51, dd_accsrycalc!$B$2:$B$51, "",0), F666="10 x 2 1/2 S (Flat)", _xlfn.XLOOKUP(C666, dd_accsrycalc!$A$2:$A$51, dd_accsrycalc!$C$2:$C$51, "",0), F666="Tox6", _xlfn.XLOOKUP(C666, dd_accsrycalc!$A$2:$A$51, dd_accsrycalc!$D$2:$D$51, "",0), F666="Cover Cap", _xlfn.XLOOKUP(C666, dd_accsrycalc!$A$2:$A$51, dd_accsrycalc!$E$2:$E$51, "",0), F666="Drainage Cover", _xlfn.XLOOKUP(C666, dd_accsrycalc!$A$2:$A$51, dd_accsrycalc!$F$2:$F$51, "",0),AND( F666="Double Adhesive Tape", I666="Roll-up Screen"), _xlfn.XLOOKUP(C666, calc_rusacc!$C$15:$C$65, calc_rusacc!$AD$15:$AD$65, "",0),AND( F666="Sealant", I666="Roll-up Screen"), _xlfn.XLOOKUP(C666, calc_rusacc!$C$15:$C$65, calc_rusacc!$AF$15:$AF$65, "",0),  AND( F666="Main Chain", I666="Accordion Screen"), _xlfn.XLOOKUP(C666, calc_rusacc!$C$15:$C$65, calc_rusacc!$BF$15:$BF$65, "",0), AND( F666="Sealant", I666="Accordion Screen"), _xlfn.XLOOKUP(C666, calc_rusacc!$C$15:$C$65, calc_rusacc!$BJ$15:$BJ$65, "",0),  F666="Sealant", _xlfn.XLOOKUP(C666, dd_accsrycalc!$A$2:$A$51, dd_accsrycalc!$G$2:$G$51, "",0),  F666&lt;&gt;"",L666*_xlfn.XLOOKUP(1, (SKUs!$C$2:$C$10001=G666)*(SKUs!$K$2:$K$10001=I666),SKUs!$E$2:$E$10001)), 0),"")</f>
        <v/>
      </c>
      <c r="E666" s="35" t="str">
        <f>_xlfn.XLOOKUP(F666,dd_item!$B$2:$B$105,dd_item!$C$2:$C$105,"",0)</f>
        <v/>
      </c>
      <c r="F666" s="35"/>
      <c r="G666" s="35" cm="1">
        <f t="array" ref="G666">IFERROR(_xlfn.XLOOKUP(1, (SKUs!$J$2:$J$10001=accsry_unmerged!F666)*IF(H666&lt;&gt;"",(SKUs!$L$2:$L$10001=accsry_unmerged!H666),1)*(SKUs!$K$2:$K$10001=I666),SKUs!$C$2:$C$10001),"")</f>
        <v>0</v>
      </c>
      <c r="H666" s="36" cm="1">
        <f t="array" ref="H666">IFERROR(_xlfn.XLOOKUP(1, (dd_accsryclr!$C$2:$C$1000=accsry_unmerged!F666)*(dd_accsryclr!$B$2:$B$1000=accsry_unmerged!J666),dd_accsryclr!$A$2:$A$1000),"")</f>
        <v>0</v>
      </c>
      <c r="I666" s="35">
        <f>_xlfn.XLOOKUP(C666,'Project Details'!$C$17:$C$66,'Project Details'!$E$17:$E$66,"",0)</f>
        <v>0</v>
      </c>
      <c r="J666" s="35">
        <f>_xlfn.XLOOKUP(C666,'Project Details'!$C$17:$C$66,'Project Details'!$H$17:$H$66,"",0)</f>
        <v>0</v>
      </c>
      <c r="K666" s="36" t="str">
        <f>IF(AND(_xlfn.XLOOKUP(C666,'Project Details'!$C$17:$C$66,'Project Details'!$L$17:$L$66,"",0)&gt;550, F666="Spring-L27cm"),"",SUBSTITUTE(_xlfn.XLOOKUP(G666,SKUs!$C$2:$C$10001,SKUs!$F$2:$F$10001,"",0), " Accessories",""))</f>
        <v/>
      </c>
      <c r="L666" s="36">
        <f>_xlfn.XLOOKUP(C666,'Project Details'!$C$17:$C$66,'Project Details'!$D$17:$D$66,"",0)</f>
        <v>0</v>
      </c>
      <c r="M666" s="43"/>
    </row>
    <row r="667" spans="1:13" x14ac:dyDescent="0.25">
      <c r="A667" s="43"/>
      <c r="B667" s="43"/>
      <c r="C667" s="16">
        <f t="shared" ref="C667:C713" si="12">C666</f>
        <v>14</v>
      </c>
      <c r="D667" s="16" t="str" cm="1">
        <f t="array" ref="D667">IFERROR(ROUNDUP(_xlfn.IFS(F667="Aluminum Track", _xlfn.XLOOKUP(C667, dd_accsrycalc!$A$2:$A$51, dd_accsrycalc!$B$2:$B$51, "",0), F667="10 x 2 1/2 S (Flat)", _xlfn.XLOOKUP(C667, dd_accsrycalc!$A$2:$A$51, dd_accsrycalc!$C$2:$C$51, "",0), F667="Tox6", _xlfn.XLOOKUP(C667, dd_accsrycalc!$A$2:$A$51, dd_accsrycalc!$D$2:$D$51, "",0), F667="Cover Cap", _xlfn.XLOOKUP(C667, dd_accsrycalc!$A$2:$A$51, dd_accsrycalc!$E$2:$E$51, "",0), F667="Drainage Cover", _xlfn.XLOOKUP(C667, dd_accsrycalc!$A$2:$A$51, dd_accsrycalc!$F$2:$F$51, "",0),AND( F667="Double Adhesive Tape", I667="Roll-up Screen"), _xlfn.XLOOKUP(C667, calc_rusacc!$C$15:$C$65, calc_rusacc!$AD$15:$AD$65, "",0),AND( F667="Sealant", I667="Roll-up Screen"), _xlfn.XLOOKUP(C667, calc_rusacc!$C$15:$C$65, calc_rusacc!$AF$15:$AF$65, "",0),  AND( F667="Main Chain", I667="Accordion Screen"), _xlfn.XLOOKUP(C667, calc_rusacc!$C$15:$C$65, calc_rusacc!$BF$15:$BF$65, "",0), AND( F667="Sealant", I667="Accordion Screen"), _xlfn.XLOOKUP(C667, calc_rusacc!$C$15:$C$65, calc_rusacc!$BJ$15:$BJ$65, "",0),  F667="Sealant", _xlfn.XLOOKUP(C667, dd_accsrycalc!$A$2:$A$51, dd_accsrycalc!$G$2:$G$51, "",0),  F667&lt;&gt;"",L667*_xlfn.XLOOKUP(1, (SKUs!$C$2:$C$10001=G667)*(SKUs!$K$2:$K$10001=I667),SKUs!$E$2:$E$10001)), 0),"")</f>
        <v/>
      </c>
      <c r="E667" s="16" t="str">
        <f>_xlfn.XLOOKUP(F667,dd_item!$B$2:$B$105,dd_item!$C$2:$C$105,"",0)</f>
        <v/>
      </c>
      <c r="F667" s="16"/>
      <c r="G667" s="16" cm="1">
        <f t="array" ref="G667">IFERROR(_xlfn.XLOOKUP(1, (SKUs!$J$2:$J$10001=accsry_unmerged!F667)*IF(H667&lt;&gt;"",(SKUs!$L$2:$L$10001=accsry_unmerged!H667),1)*(SKUs!$K$2:$K$10001=I667),SKUs!$C$2:$C$10001),"")</f>
        <v>0</v>
      </c>
      <c r="H667" s="33" cm="1">
        <f t="array" ref="H667">IFERROR(_xlfn.XLOOKUP(1, (dd_accsryclr!$C$2:$C$1000=accsry_unmerged!F667)*(dd_accsryclr!$B$2:$B$1000=accsry_unmerged!J667),dd_accsryclr!$A$2:$A$1000),"")</f>
        <v>0</v>
      </c>
      <c r="I667" s="16">
        <f>_xlfn.XLOOKUP(C667,'Project Details'!$C$17:$C$66,'Project Details'!$E$17:$E$66,"",0)</f>
        <v>0</v>
      </c>
      <c r="J667" s="16">
        <f>_xlfn.XLOOKUP(C667,'Project Details'!$C$17:$C$66,'Project Details'!$H$17:$H$66,"",0)</f>
        <v>0</v>
      </c>
      <c r="K667" s="33" t="str">
        <f>IF(AND(_xlfn.XLOOKUP(C667,'Project Details'!$C$17:$C$66,'Project Details'!$L$17:$L$66,"",0)&gt;550, F667="Spring-L27cm"),"",SUBSTITUTE(_xlfn.XLOOKUP(G667,SKUs!$C$2:$C$10001,SKUs!$F$2:$F$10001,"",0), " Accessories",""))</f>
        <v/>
      </c>
      <c r="L667" s="33">
        <f>_xlfn.XLOOKUP(C667,'Project Details'!$C$17:$C$66,'Project Details'!$D$17:$D$66,"",0)</f>
        <v>0</v>
      </c>
      <c r="M667" s="43"/>
    </row>
    <row r="668" spans="1:13" x14ac:dyDescent="0.25">
      <c r="A668" s="43"/>
      <c r="B668" s="43"/>
      <c r="C668" s="35">
        <f t="shared" si="12"/>
        <v>14</v>
      </c>
      <c r="D668" s="35" t="str" cm="1">
        <f t="array" ref="D668">IFERROR(ROUNDUP(_xlfn.IFS(F668="Aluminum Track", _xlfn.XLOOKUP(C668, dd_accsrycalc!$A$2:$A$51, dd_accsrycalc!$B$2:$B$51, "",0), F668="10 x 2 1/2 S (Flat)", _xlfn.XLOOKUP(C668, dd_accsrycalc!$A$2:$A$51, dd_accsrycalc!$C$2:$C$51, "",0), F668="Tox6", _xlfn.XLOOKUP(C668, dd_accsrycalc!$A$2:$A$51, dd_accsrycalc!$D$2:$D$51, "",0), F668="Cover Cap", _xlfn.XLOOKUP(C668, dd_accsrycalc!$A$2:$A$51, dd_accsrycalc!$E$2:$E$51, "",0), F668="Drainage Cover", _xlfn.XLOOKUP(C668, dd_accsrycalc!$A$2:$A$51, dd_accsrycalc!$F$2:$F$51, "",0),AND( F668="Double Adhesive Tape", I668="Roll-up Screen"), _xlfn.XLOOKUP(C668, calc_rusacc!$C$15:$C$65, calc_rusacc!$AD$15:$AD$65, "",0),AND( F668="Sealant", I668="Roll-up Screen"), _xlfn.XLOOKUP(C668, calc_rusacc!$C$15:$C$65, calc_rusacc!$AF$15:$AF$65, "",0),  AND( F668="Main Chain", I668="Accordion Screen"), _xlfn.XLOOKUP(C668, calc_rusacc!$C$15:$C$65, calc_rusacc!$BF$15:$BF$65, "",0), AND( F668="Sealant", I668="Accordion Screen"), _xlfn.XLOOKUP(C668, calc_rusacc!$C$15:$C$65, calc_rusacc!$BJ$15:$BJ$65, "",0),  F668="Sealant", _xlfn.XLOOKUP(C668, dd_accsrycalc!$A$2:$A$51, dd_accsrycalc!$G$2:$G$51, "",0),  F668&lt;&gt;"",L668*_xlfn.XLOOKUP(1, (SKUs!$C$2:$C$10001=G668)*(SKUs!$K$2:$K$10001=I668),SKUs!$E$2:$E$10001)), 0),"")</f>
        <v/>
      </c>
      <c r="E668" s="35" t="str">
        <f>_xlfn.XLOOKUP(F668,dd_item!$B$2:$B$105,dd_item!$C$2:$C$105,"",0)</f>
        <v/>
      </c>
      <c r="F668" s="35"/>
      <c r="G668" s="35" cm="1">
        <f t="array" ref="G668">IFERROR(_xlfn.XLOOKUP(1, (SKUs!$J$2:$J$10001=accsry_unmerged!F668)*IF(H668&lt;&gt;"",(SKUs!$L$2:$L$10001=accsry_unmerged!H668),1)*(SKUs!$K$2:$K$10001=I668),SKUs!$C$2:$C$10001),"")</f>
        <v>0</v>
      </c>
      <c r="H668" s="36" cm="1">
        <f t="array" ref="H668">IFERROR(_xlfn.XLOOKUP(1, (dd_accsryclr!$C$2:$C$1000=accsry_unmerged!F668)*(dd_accsryclr!$B$2:$B$1000=accsry_unmerged!J668),dd_accsryclr!$A$2:$A$1000),"")</f>
        <v>0</v>
      </c>
      <c r="I668" s="35">
        <f>_xlfn.XLOOKUP(C668,'Project Details'!$C$17:$C$66,'Project Details'!$E$17:$E$66,"",0)</f>
        <v>0</v>
      </c>
      <c r="J668" s="35">
        <f>_xlfn.XLOOKUP(C668,'Project Details'!$C$17:$C$66,'Project Details'!$H$17:$H$66,"",0)</f>
        <v>0</v>
      </c>
      <c r="K668" s="36" t="str">
        <f>IF(AND(_xlfn.XLOOKUP(C668,'Project Details'!$C$17:$C$66,'Project Details'!$L$17:$L$66,"",0)&gt;550, F668="Spring-L27cm"),"",SUBSTITUTE(_xlfn.XLOOKUP(G668,SKUs!$C$2:$C$10001,SKUs!$F$2:$F$10001,"",0), " Accessories",""))</f>
        <v/>
      </c>
      <c r="L668" s="36">
        <f>_xlfn.XLOOKUP(C668,'Project Details'!$C$17:$C$66,'Project Details'!$D$17:$D$66,"",0)</f>
        <v>0</v>
      </c>
      <c r="M668" s="43"/>
    </row>
    <row r="669" spans="1:13" x14ac:dyDescent="0.25">
      <c r="A669" s="43"/>
      <c r="B669" s="43"/>
      <c r="C669" s="16">
        <f t="shared" si="12"/>
        <v>14</v>
      </c>
      <c r="D669" s="16" t="str" cm="1">
        <f t="array" ref="D669">IFERROR(ROUNDUP(_xlfn.IFS(F669="Aluminum Track", _xlfn.XLOOKUP(C669, dd_accsrycalc!$A$2:$A$51, dd_accsrycalc!$B$2:$B$51, "",0), F669="10 x 2 1/2 S (Flat)", _xlfn.XLOOKUP(C669, dd_accsrycalc!$A$2:$A$51, dd_accsrycalc!$C$2:$C$51, "",0), F669="Tox6", _xlfn.XLOOKUP(C669, dd_accsrycalc!$A$2:$A$51, dd_accsrycalc!$D$2:$D$51, "",0), F669="Cover Cap", _xlfn.XLOOKUP(C669, dd_accsrycalc!$A$2:$A$51, dd_accsrycalc!$E$2:$E$51, "",0), F669="Drainage Cover", _xlfn.XLOOKUP(C669, dd_accsrycalc!$A$2:$A$51, dd_accsrycalc!$F$2:$F$51, "",0),AND( F669="Double Adhesive Tape", I669="Roll-up Screen"), _xlfn.XLOOKUP(C669, calc_rusacc!$C$15:$C$65, calc_rusacc!$AD$15:$AD$65, "",0),AND( F669="Sealant", I669="Roll-up Screen"), _xlfn.XLOOKUP(C669, calc_rusacc!$C$15:$C$65, calc_rusacc!$AF$15:$AF$65, "",0),  AND( F669="Main Chain", I669="Accordion Screen"), _xlfn.XLOOKUP(C669, calc_rusacc!$C$15:$C$65, calc_rusacc!$BF$15:$BF$65, "",0), AND( F669="Sealant", I669="Accordion Screen"), _xlfn.XLOOKUP(C669, calc_rusacc!$C$15:$C$65, calc_rusacc!$BJ$15:$BJ$65, "",0),  F669="Sealant", _xlfn.XLOOKUP(C669, dd_accsrycalc!$A$2:$A$51, dd_accsrycalc!$G$2:$G$51, "",0),  F669&lt;&gt;"",L669*_xlfn.XLOOKUP(1, (SKUs!$C$2:$C$10001=G669)*(SKUs!$K$2:$K$10001=I669),SKUs!$E$2:$E$10001)), 0),"")</f>
        <v/>
      </c>
      <c r="E669" s="16" t="str">
        <f>_xlfn.XLOOKUP(F669,dd_item!$B$2:$B$105,dd_item!$C$2:$C$105,"",0)</f>
        <v/>
      </c>
      <c r="F669" s="16"/>
      <c r="G669" s="16" cm="1">
        <f t="array" ref="G669">IFERROR(_xlfn.XLOOKUP(1, (SKUs!$J$2:$J$10001=accsry_unmerged!F669)*IF(H669&lt;&gt;"",(SKUs!$L$2:$L$10001=accsry_unmerged!H669),1)*(SKUs!$K$2:$K$10001=I669),SKUs!$C$2:$C$10001),"")</f>
        <v>0</v>
      </c>
      <c r="H669" s="33" cm="1">
        <f t="array" ref="H669">IFERROR(_xlfn.XLOOKUP(1, (dd_accsryclr!$C$2:$C$1000=accsry_unmerged!F669)*(dd_accsryclr!$B$2:$B$1000=accsry_unmerged!J669),dd_accsryclr!$A$2:$A$1000),"")</f>
        <v>0</v>
      </c>
      <c r="I669" s="16">
        <f>_xlfn.XLOOKUP(C669,'Project Details'!$C$17:$C$66,'Project Details'!$E$17:$E$66,"",0)</f>
        <v>0</v>
      </c>
      <c r="J669" s="16">
        <f>_xlfn.XLOOKUP(C669,'Project Details'!$C$17:$C$66,'Project Details'!$H$17:$H$66,"",0)</f>
        <v>0</v>
      </c>
      <c r="K669" s="33" t="str">
        <f>IF(AND(_xlfn.XLOOKUP(C669,'Project Details'!$C$17:$C$66,'Project Details'!$L$17:$L$66,"",0)&gt;550, F669="Spring-L27cm"),"",SUBSTITUTE(_xlfn.XLOOKUP(G669,SKUs!$C$2:$C$10001,SKUs!$F$2:$F$10001,"",0), " Accessories",""))</f>
        <v/>
      </c>
      <c r="L669" s="33">
        <f>_xlfn.XLOOKUP(C669,'Project Details'!$C$17:$C$66,'Project Details'!$D$17:$D$66,"",0)</f>
        <v>0</v>
      </c>
      <c r="M669" s="43"/>
    </row>
    <row r="670" spans="1:13" x14ac:dyDescent="0.25">
      <c r="A670" s="43"/>
      <c r="B670" s="43"/>
      <c r="C670" s="35">
        <f t="shared" si="12"/>
        <v>14</v>
      </c>
      <c r="D670" s="35" t="str" cm="1">
        <f t="array" ref="D670">IFERROR(ROUNDUP(_xlfn.IFS(F670="Aluminum Track", _xlfn.XLOOKUP(C670, dd_accsrycalc!$A$2:$A$51, dd_accsrycalc!$B$2:$B$51, "",0), F670="10 x 2 1/2 S (Flat)", _xlfn.XLOOKUP(C670, dd_accsrycalc!$A$2:$A$51, dd_accsrycalc!$C$2:$C$51, "",0), F670="Tox6", _xlfn.XLOOKUP(C670, dd_accsrycalc!$A$2:$A$51, dd_accsrycalc!$D$2:$D$51, "",0), F670="Cover Cap", _xlfn.XLOOKUP(C670, dd_accsrycalc!$A$2:$A$51, dd_accsrycalc!$E$2:$E$51, "",0), F670="Drainage Cover", _xlfn.XLOOKUP(C670, dd_accsrycalc!$A$2:$A$51, dd_accsrycalc!$F$2:$F$51, "",0),AND( F670="Double Adhesive Tape", I670="Roll-up Screen"), _xlfn.XLOOKUP(C670, calc_rusacc!$C$15:$C$65, calc_rusacc!$AD$15:$AD$65, "",0),AND( F670="Sealant", I670="Roll-up Screen"), _xlfn.XLOOKUP(C670, calc_rusacc!$C$15:$C$65, calc_rusacc!$AF$15:$AF$65, "",0),  AND( F670="Main Chain", I670="Accordion Screen"), _xlfn.XLOOKUP(C670, calc_rusacc!$C$15:$C$65, calc_rusacc!$BF$15:$BF$65, "",0), AND( F670="Sealant", I670="Accordion Screen"), _xlfn.XLOOKUP(C670, calc_rusacc!$C$15:$C$65, calc_rusacc!$BJ$15:$BJ$65, "",0),  F670="Sealant", _xlfn.XLOOKUP(C670, dd_accsrycalc!$A$2:$A$51, dd_accsrycalc!$G$2:$G$51, "",0),  F670&lt;&gt;"",L670*_xlfn.XLOOKUP(1, (SKUs!$C$2:$C$10001=G670)*(SKUs!$K$2:$K$10001=I670),SKUs!$E$2:$E$10001)), 0),"")</f>
        <v/>
      </c>
      <c r="E670" s="35" t="str">
        <f>_xlfn.XLOOKUP(F670,dd_item!$B$2:$B$105,dd_item!$C$2:$C$105,"",0)</f>
        <v/>
      </c>
      <c r="F670" s="35"/>
      <c r="G670" s="35" cm="1">
        <f t="array" ref="G670">IFERROR(_xlfn.XLOOKUP(1, (SKUs!$J$2:$J$10001=accsry_unmerged!F670)*IF(H670&lt;&gt;"",(SKUs!$L$2:$L$10001=accsry_unmerged!H670),1)*(SKUs!$K$2:$K$10001=I670),SKUs!$C$2:$C$10001),"")</f>
        <v>0</v>
      </c>
      <c r="H670" s="36" cm="1">
        <f t="array" ref="H670">IFERROR(_xlfn.XLOOKUP(1, (dd_accsryclr!$C$2:$C$1000=accsry_unmerged!F670)*(dd_accsryclr!$B$2:$B$1000=accsry_unmerged!J670),dd_accsryclr!$A$2:$A$1000),"")</f>
        <v>0</v>
      </c>
      <c r="I670" s="35">
        <f>_xlfn.XLOOKUP(C670,'Project Details'!$C$17:$C$66,'Project Details'!$E$17:$E$66,"",0)</f>
        <v>0</v>
      </c>
      <c r="J670" s="35">
        <f>_xlfn.XLOOKUP(C670,'Project Details'!$C$17:$C$66,'Project Details'!$H$17:$H$66,"",0)</f>
        <v>0</v>
      </c>
      <c r="K670" s="36" t="str">
        <f>IF(AND(_xlfn.XLOOKUP(C670,'Project Details'!$C$17:$C$66,'Project Details'!$L$17:$L$66,"",0)&gt;550, F670="Spring-L27cm"),"",SUBSTITUTE(_xlfn.XLOOKUP(G670,SKUs!$C$2:$C$10001,SKUs!$F$2:$F$10001,"",0), " Accessories",""))</f>
        <v/>
      </c>
      <c r="L670" s="36">
        <f>_xlfn.XLOOKUP(C670,'Project Details'!$C$17:$C$66,'Project Details'!$D$17:$D$66,"",0)</f>
        <v>0</v>
      </c>
      <c r="M670" s="43"/>
    </row>
    <row r="671" spans="1:13" x14ac:dyDescent="0.25">
      <c r="A671" s="43"/>
      <c r="B671" s="43"/>
      <c r="C671" s="16">
        <f t="shared" si="12"/>
        <v>14</v>
      </c>
      <c r="D671" s="16" t="str" cm="1">
        <f t="array" ref="D671">IFERROR(ROUNDUP(_xlfn.IFS(F671="Aluminum Track", _xlfn.XLOOKUP(C671, dd_accsrycalc!$A$2:$A$51, dd_accsrycalc!$B$2:$B$51, "",0), F671="10 x 2 1/2 S (Flat)", _xlfn.XLOOKUP(C671, dd_accsrycalc!$A$2:$A$51, dd_accsrycalc!$C$2:$C$51, "",0), F671="Tox6", _xlfn.XLOOKUP(C671, dd_accsrycalc!$A$2:$A$51, dd_accsrycalc!$D$2:$D$51, "",0), F671="Cover Cap", _xlfn.XLOOKUP(C671, dd_accsrycalc!$A$2:$A$51, dd_accsrycalc!$E$2:$E$51, "",0), F671="Drainage Cover", _xlfn.XLOOKUP(C671, dd_accsrycalc!$A$2:$A$51, dd_accsrycalc!$F$2:$F$51, "",0),AND( F671="Double Adhesive Tape", I671="Roll-up Screen"), _xlfn.XLOOKUP(C671, calc_rusacc!$C$15:$C$65, calc_rusacc!$AD$15:$AD$65, "",0),AND( F671="Sealant", I671="Roll-up Screen"), _xlfn.XLOOKUP(C671, calc_rusacc!$C$15:$C$65, calc_rusacc!$AF$15:$AF$65, "",0),  AND( F671="Main Chain", I671="Accordion Screen"), _xlfn.XLOOKUP(C671, calc_rusacc!$C$15:$C$65, calc_rusacc!$BF$15:$BF$65, "",0), AND( F671="Sealant", I671="Accordion Screen"), _xlfn.XLOOKUP(C671, calc_rusacc!$C$15:$C$65, calc_rusacc!$BJ$15:$BJ$65, "",0),  F671="Sealant", _xlfn.XLOOKUP(C671, dd_accsrycalc!$A$2:$A$51, dd_accsrycalc!$G$2:$G$51, "",0),  F671&lt;&gt;"",L671*_xlfn.XLOOKUP(1, (SKUs!$C$2:$C$10001=G671)*(SKUs!$K$2:$K$10001=I671),SKUs!$E$2:$E$10001)), 0),"")</f>
        <v/>
      </c>
      <c r="E671" s="16" t="str">
        <f>_xlfn.XLOOKUP(F671,dd_item!$B$2:$B$105,dd_item!$C$2:$C$105,"",0)</f>
        <v/>
      </c>
      <c r="F671" s="16"/>
      <c r="G671" s="16" cm="1">
        <f t="array" ref="G671">IFERROR(_xlfn.XLOOKUP(1, (SKUs!$J$2:$J$10001=accsry_unmerged!F671)*IF(H671&lt;&gt;"",(SKUs!$L$2:$L$10001=accsry_unmerged!H671),1)*(SKUs!$K$2:$K$10001=I671),SKUs!$C$2:$C$10001),"")</f>
        <v>0</v>
      </c>
      <c r="H671" s="33" cm="1">
        <f t="array" ref="H671">IFERROR(_xlfn.XLOOKUP(1, (dd_accsryclr!$C$2:$C$1000=accsry_unmerged!F671)*(dd_accsryclr!$B$2:$B$1000=accsry_unmerged!J671),dd_accsryclr!$A$2:$A$1000),"")</f>
        <v>0</v>
      </c>
      <c r="I671" s="16">
        <f>_xlfn.XLOOKUP(C671,'Project Details'!$C$17:$C$66,'Project Details'!$E$17:$E$66,"",0)</f>
        <v>0</v>
      </c>
      <c r="J671" s="16">
        <f>_xlfn.XLOOKUP(C671,'Project Details'!$C$17:$C$66,'Project Details'!$H$17:$H$66,"",0)</f>
        <v>0</v>
      </c>
      <c r="K671" s="33" t="str">
        <f>IF(AND(_xlfn.XLOOKUP(C671,'Project Details'!$C$17:$C$66,'Project Details'!$L$17:$L$66,"",0)&gt;550, F671="Spring-L27cm"),"",SUBSTITUTE(_xlfn.XLOOKUP(G671,SKUs!$C$2:$C$10001,SKUs!$F$2:$F$10001,"",0), " Accessories",""))</f>
        <v/>
      </c>
      <c r="L671" s="33">
        <f>_xlfn.XLOOKUP(C671,'Project Details'!$C$17:$C$66,'Project Details'!$D$17:$D$66,"",0)</f>
        <v>0</v>
      </c>
      <c r="M671" s="43"/>
    </row>
    <row r="672" spans="1:13" x14ac:dyDescent="0.25">
      <c r="A672" s="43"/>
      <c r="B672" s="43"/>
      <c r="C672" s="35">
        <f t="shared" si="12"/>
        <v>14</v>
      </c>
      <c r="D672" s="35" t="str" cm="1">
        <f t="array" ref="D672">IFERROR(ROUNDUP(_xlfn.IFS(F672="Aluminum Track", _xlfn.XLOOKUP(C672, dd_accsrycalc!$A$2:$A$51, dd_accsrycalc!$B$2:$B$51, "",0), F672="10 x 2 1/2 S (Flat)", _xlfn.XLOOKUP(C672, dd_accsrycalc!$A$2:$A$51, dd_accsrycalc!$C$2:$C$51, "",0), F672="Tox6", _xlfn.XLOOKUP(C672, dd_accsrycalc!$A$2:$A$51, dd_accsrycalc!$D$2:$D$51, "",0), F672="Cover Cap", _xlfn.XLOOKUP(C672, dd_accsrycalc!$A$2:$A$51, dd_accsrycalc!$E$2:$E$51, "",0), F672="Drainage Cover", _xlfn.XLOOKUP(C672, dd_accsrycalc!$A$2:$A$51, dd_accsrycalc!$F$2:$F$51, "",0),AND( F672="Double Adhesive Tape", I672="Roll-up Screen"), _xlfn.XLOOKUP(C672, calc_rusacc!$C$15:$C$65, calc_rusacc!$AD$15:$AD$65, "",0),AND( F672="Sealant", I672="Roll-up Screen"), _xlfn.XLOOKUP(C672, calc_rusacc!$C$15:$C$65, calc_rusacc!$AF$15:$AF$65, "",0),  AND( F672="Main Chain", I672="Accordion Screen"), _xlfn.XLOOKUP(C672, calc_rusacc!$C$15:$C$65, calc_rusacc!$BF$15:$BF$65, "",0), AND( F672="Sealant", I672="Accordion Screen"), _xlfn.XLOOKUP(C672, calc_rusacc!$C$15:$C$65, calc_rusacc!$BJ$15:$BJ$65, "",0),  F672="Sealant", _xlfn.XLOOKUP(C672, dd_accsrycalc!$A$2:$A$51, dd_accsrycalc!$G$2:$G$51, "",0),  F672&lt;&gt;"",L672*_xlfn.XLOOKUP(1, (SKUs!$C$2:$C$10001=G672)*(SKUs!$K$2:$K$10001=I672),SKUs!$E$2:$E$10001)), 0),"")</f>
        <v/>
      </c>
      <c r="E672" s="35" t="str">
        <f>_xlfn.XLOOKUP(F672,dd_item!$B$2:$B$105,dd_item!$C$2:$C$105,"",0)</f>
        <v/>
      </c>
      <c r="F672" s="35"/>
      <c r="G672" s="35" cm="1">
        <f t="array" ref="G672">IFERROR(_xlfn.XLOOKUP(1, (SKUs!$J$2:$J$10001=accsry_unmerged!F672)*IF(H672&lt;&gt;"",(SKUs!$L$2:$L$10001=accsry_unmerged!H672),1)*(SKUs!$K$2:$K$10001=I672),SKUs!$C$2:$C$10001),"")</f>
        <v>0</v>
      </c>
      <c r="H672" s="36" cm="1">
        <f t="array" ref="H672">IFERROR(_xlfn.XLOOKUP(1, (dd_accsryclr!$C$2:$C$1000=accsry_unmerged!F672)*(dd_accsryclr!$B$2:$B$1000=accsry_unmerged!J672),dd_accsryclr!$A$2:$A$1000),"")</f>
        <v>0</v>
      </c>
      <c r="I672" s="35">
        <f>_xlfn.XLOOKUP(C672,'Project Details'!$C$17:$C$66,'Project Details'!$E$17:$E$66,"",0)</f>
        <v>0</v>
      </c>
      <c r="J672" s="35">
        <f>_xlfn.XLOOKUP(C672,'Project Details'!$C$17:$C$66,'Project Details'!$H$17:$H$66,"",0)</f>
        <v>0</v>
      </c>
      <c r="K672" s="36" t="str">
        <f>IF(AND(_xlfn.XLOOKUP(C672,'Project Details'!$C$17:$C$66,'Project Details'!$L$17:$L$66,"",0)&gt;550, F672="Spring-L27cm"),"",SUBSTITUTE(_xlfn.XLOOKUP(G672,SKUs!$C$2:$C$10001,SKUs!$F$2:$F$10001,"",0), " Accessories",""))</f>
        <v/>
      </c>
      <c r="L672" s="36">
        <f>_xlfn.XLOOKUP(C672,'Project Details'!$C$17:$C$66,'Project Details'!$D$17:$D$66,"",0)</f>
        <v>0</v>
      </c>
      <c r="M672" s="43"/>
    </row>
    <row r="673" spans="1:13" x14ac:dyDescent="0.25">
      <c r="A673" s="43"/>
      <c r="B673" s="43"/>
      <c r="C673" s="16">
        <f t="shared" si="12"/>
        <v>14</v>
      </c>
      <c r="D673" s="16" t="str" cm="1">
        <f t="array" ref="D673">IFERROR(ROUNDUP(_xlfn.IFS(F673="Aluminum Track", _xlfn.XLOOKUP(C673, dd_accsrycalc!$A$2:$A$51, dd_accsrycalc!$B$2:$B$51, "",0), F673="10 x 2 1/2 S (Flat)", _xlfn.XLOOKUP(C673, dd_accsrycalc!$A$2:$A$51, dd_accsrycalc!$C$2:$C$51, "",0), F673="Tox6", _xlfn.XLOOKUP(C673, dd_accsrycalc!$A$2:$A$51, dd_accsrycalc!$D$2:$D$51, "",0), F673="Cover Cap", _xlfn.XLOOKUP(C673, dd_accsrycalc!$A$2:$A$51, dd_accsrycalc!$E$2:$E$51, "",0), F673="Drainage Cover", _xlfn.XLOOKUP(C673, dd_accsrycalc!$A$2:$A$51, dd_accsrycalc!$F$2:$F$51, "",0),AND( F673="Double Adhesive Tape", I673="Roll-up Screen"), _xlfn.XLOOKUP(C673, calc_rusacc!$C$15:$C$65, calc_rusacc!$AD$15:$AD$65, "",0),AND( F673="Sealant", I673="Roll-up Screen"), _xlfn.XLOOKUP(C673, calc_rusacc!$C$15:$C$65, calc_rusacc!$AF$15:$AF$65, "",0),  AND( F673="Main Chain", I673="Accordion Screen"), _xlfn.XLOOKUP(C673, calc_rusacc!$C$15:$C$65, calc_rusacc!$BF$15:$BF$65, "",0), AND( F673="Sealant", I673="Accordion Screen"), _xlfn.XLOOKUP(C673, calc_rusacc!$C$15:$C$65, calc_rusacc!$BJ$15:$BJ$65, "",0),  F673="Sealant", _xlfn.XLOOKUP(C673, dd_accsrycalc!$A$2:$A$51, dd_accsrycalc!$G$2:$G$51, "",0),  F673&lt;&gt;"",L673*_xlfn.XLOOKUP(1, (SKUs!$C$2:$C$10001=G673)*(SKUs!$K$2:$K$10001=I673),SKUs!$E$2:$E$10001)), 0),"")</f>
        <v/>
      </c>
      <c r="E673" s="16" t="str">
        <f>_xlfn.XLOOKUP(F673,dd_item!$B$2:$B$105,dd_item!$C$2:$C$105,"",0)</f>
        <v/>
      </c>
      <c r="F673" s="16"/>
      <c r="G673" s="16" cm="1">
        <f t="array" ref="G673">IFERROR(_xlfn.XLOOKUP(1, (SKUs!$J$2:$J$10001=accsry_unmerged!F673)*IF(H673&lt;&gt;"",(SKUs!$L$2:$L$10001=accsry_unmerged!H673),1)*(SKUs!$K$2:$K$10001=I673),SKUs!$C$2:$C$10001),"")</f>
        <v>0</v>
      </c>
      <c r="H673" s="33" cm="1">
        <f t="array" ref="H673">IFERROR(_xlfn.XLOOKUP(1, (dd_accsryclr!$C$2:$C$1000=accsry_unmerged!F673)*(dd_accsryclr!$B$2:$B$1000=accsry_unmerged!J673),dd_accsryclr!$A$2:$A$1000),"")</f>
        <v>0</v>
      </c>
      <c r="I673" s="16">
        <f>_xlfn.XLOOKUP(C673,'Project Details'!$C$17:$C$66,'Project Details'!$E$17:$E$66,"",0)</f>
        <v>0</v>
      </c>
      <c r="J673" s="16">
        <f>_xlfn.XLOOKUP(C673,'Project Details'!$C$17:$C$66,'Project Details'!$H$17:$H$66,"",0)</f>
        <v>0</v>
      </c>
      <c r="K673" s="33" t="str">
        <f>IF(AND(_xlfn.XLOOKUP(C673,'Project Details'!$C$17:$C$66,'Project Details'!$L$17:$L$66,"",0)&gt;550, F673="Spring-L27cm"),"",SUBSTITUTE(_xlfn.XLOOKUP(G673,SKUs!$C$2:$C$10001,SKUs!$F$2:$F$10001,"",0), " Accessories",""))</f>
        <v/>
      </c>
      <c r="L673" s="33">
        <f>_xlfn.XLOOKUP(C673,'Project Details'!$C$17:$C$66,'Project Details'!$D$17:$D$66,"",0)</f>
        <v>0</v>
      </c>
      <c r="M673" s="43"/>
    </row>
    <row r="674" spans="1:13" x14ac:dyDescent="0.25">
      <c r="A674" s="43"/>
      <c r="B674" s="43"/>
      <c r="C674" s="35">
        <f t="shared" si="12"/>
        <v>14</v>
      </c>
      <c r="D674" s="35" t="str" cm="1">
        <f t="array" ref="D674">IFERROR(ROUNDUP(_xlfn.IFS(F674="Aluminum Track", _xlfn.XLOOKUP(C674, dd_accsrycalc!$A$2:$A$51, dd_accsrycalc!$B$2:$B$51, "",0), F674="10 x 2 1/2 S (Flat)", _xlfn.XLOOKUP(C674, dd_accsrycalc!$A$2:$A$51, dd_accsrycalc!$C$2:$C$51, "",0), F674="Tox6", _xlfn.XLOOKUP(C674, dd_accsrycalc!$A$2:$A$51, dd_accsrycalc!$D$2:$D$51, "",0), F674="Cover Cap", _xlfn.XLOOKUP(C674, dd_accsrycalc!$A$2:$A$51, dd_accsrycalc!$E$2:$E$51, "",0), F674="Drainage Cover", _xlfn.XLOOKUP(C674, dd_accsrycalc!$A$2:$A$51, dd_accsrycalc!$F$2:$F$51, "",0),AND( F674="Double Adhesive Tape", I674="Roll-up Screen"), _xlfn.XLOOKUP(C674, calc_rusacc!$C$15:$C$65, calc_rusacc!$AD$15:$AD$65, "",0),AND( F674="Sealant", I674="Roll-up Screen"), _xlfn.XLOOKUP(C674, calc_rusacc!$C$15:$C$65, calc_rusacc!$AF$15:$AF$65, "",0),  AND( F674="Main Chain", I674="Accordion Screen"), _xlfn.XLOOKUP(C674, calc_rusacc!$C$15:$C$65, calc_rusacc!$BF$15:$BF$65, "",0), AND( F674="Sealant", I674="Accordion Screen"), _xlfn.XLOOKUP(C674, calc_rusacc!$C$15:$C$65, calc_rusacc!$BJ$15:$BJ$65, "",0),  F674="Sealant", _xlfn.XLOOKUP(C674, dd_accsrycalc!$A$2:$A$51, dd_accsrycalc!$G$2:$G$51, "",0),  F674&lt;&gt;"",L674*_xlfn.XLOOKUP(1, (SKUs!$C$2:$C$10001=G674)*(SKUs!$K$2:$K$10001=I674),SKUs!$E$2:$E$10001)), 0),"")</f>
        <v/>
      </c>
      <c r="E674" s="35" t="str">
        <f>_xlfn.XLOOKUP(F674,dd_item!$B$2:$B$105,dd_item!$C$2:$C$105,"",0)</f>
        <v/>
      </c>
      <c r="F674" s="35"/>
      <c r="G674" s="35" cm="1">
        <f t="array" ref="G674">IFERROR(_xlfn.XLOOKUP(1, (SKUs!$J$2:$J$10001=accsry_unmerged!F674)*IF(H674&lt;&gt;"",(SKUs!$L$2:$L$10001=accsry_unmerged!H674),1)*(SKUs!$K$2:$K$10001=I674),SKUs!$C$2:$C$10001),"")</f>
        <v>0</v>
      </c>
      <c r="H674" s="36" cm="1">
        <f t="array" ref="H674">IFERROR(_xlfn.XLOOKUP(1, (dd_accsryclr!$C$2:$C$1000=accsry_unmerged!F674)*(dd_accsryclr!$B$2:$B$1000=accsry_unmerged!J674),dd_accsryclr!$A$2:$A$1000),"")</f>
        <v>0</v>
      </c>
      <c r="I674" s="35">
        <f>_xlfn.XLOOKUP(C674,'Project Details'!$C$17:$C$66,'Project Details'!$E$17:$E$66,"",0)</f>
        <v>0</v>
      </c>
      <c r="J674" s="35">
        <f>_xlfn.XLOOKUP(C674,'Project Details'!$C$17:$C$66,'Project Details'!$H$17:$H$66,"",0)</f>
        <v>0</v>
      </c>
      <c r="K674" s="36" t="str">
        <f>IF(AND(_xlfn.XLOOKUP(C674,'Project Details'!$C$17:$C$66,'Project Details'!$L$17:$L$66,"",0)&gt;550, F674="Spring-L27cm"),"",SUBSTITUTE(_xlfn.XLOOKUP(G674,SKUs!$C$2:$C$10001,SKUs!$F$2:$F$10001,"",0), " Accessories",""))</f>
        <v/>
      </c>
      <c r="L674" s="36">
        <f>_xlfn.XLOOKUP(C674,'Project Details'!$C$17:$C$66,'Project Details'!$D$17:$D$66,"",0)</f>
        <v>0</v>
      </c>
      <c r="M674" s="43"/>
    </row>
    <row r="675" spans="1:13" x14ac:dyDescent="0.25">
      <c r="A675" s="43"/>
      <c r="B675" s="43"/>
      <c r="C675" s="16">
        <f t="shared" si="12"/>
        <v>14</v>
      </c>
      <c r="D675" s="16" t="str" cm="1">
        <f t="array" ref="D675">IFERROR(ROUNDUP(_xlfn.IFS(F675="Aluminum Track", _xlfn.XLOOKUP(C675, dd_accsrycalc!$A$2:$A$51, dd_accsrycalc!$B$2:$B$51, "",0), F675="10 x 2 1/2 S (Flat)", _xlfn.XLOOKUP(C675, dd_accsrycalc!$A$2:$A$51, dd_accsrycalc!$C$2:$C$51, "",0), F675="Tox6", _xlfn.XLOOKUP(C675, dd_accsrycalc!$A$2:$A$51, dd_accsrycalc!$D$2:$D$51, "",0), F675="Cover Cap", _xlfn.XLOOKUP(C675, dd_accsrycalc!$A$2:$A$51, dd_accsrycalc!$E$2:$E$51, "",0), F675="Drainage Cover", _xlfn.XLOOKUP(C675, dd_accsrycalc!$A$2:$A$51, dd_accsrycalc!$F$2:$F$51, "",0),AND( F675="Double Adhesive Tape", I675="Roll-up Screen"), _xlfn.XLOOKUP(C675, calc_rusacc!$C$15:$C$65, calc_rusacc!$AD$15:$AD$65, "",0),AND( F675="Sealant", I675="Roll-up Screen"), _xlfn.XLOOKUP(C675, calc_rusacc!$C$15:$C$65, calc_rusacc!$AF$15:$AF$65, "",0),  AND( F675="Main Chain", I675="Accordion Screen"), _xlfn.XLOOKUP(C675, calc_rusacc!$C$15:$C$65, calc_rusacc!$BF$15:$BF$65, "",0), AND( F675="Sealant", I675="Accordion Screen"), _xlfn.XLOOKUP(C675, calc_rusacc!$C$15:$C$65, calc_rusacc!$BJ$15:$BJ$65, "",0),  F675="Sealant", _xlfn.XLOOKUP(C675, dd_accsrycalc!$A$2:$A$51, dd_accsrycalc!$G$2:$G$51, "",0),  F675&lt;&gt;"",L675*_xlfn.XLOOKUP(1, (SKUs!$C$2:$C$10001=G675)*(SKUs!$K$2:$K$10001=I675),SKUs!$E$2:$E$10001)), 0),"")</f>
        <v/>
      </c>
      <c r="E675" s="16" t="str">
        <f>_xlfn.XLOOKUP(F675,dd_item!$B$2:$B$105,dd_item!$C$2:$C$105,"",0)</f>
        <v/>
      </c>
      <c r="F675" s="16"/>
      <c r="G675" s="16" cm="1">
        <f t="array" ref="G675">IFERROR(_xlfn.XLOOKUP(1, (SKUs!$J$2:$J$10001=accsry_unmerged!F675)*IF(H675&lt;&gt;"",(SKUs!$L$2:$L$10001=accsry_unmerged!H675),1)*(SKUs!$K$2:$K$10001=I675),SKUs!$C$2:$C$10001),"")</f>
        <v>0</v>
      </c>
      <c r="H675" s="33" cm="1">
        <f t="array" ref="H675">IFERROR(_xlfn.XLOOKUP(1, (dd_accsryclr!$C$2:$C$1000=accsry_unmerged!F675)*(dd_accsryclr!$B$2:$B$1000=accsry_unmerged!J675),dd_accsryclr!$A$2:$A$1000),"")</f>
        <v>0</v>
      </c>
      <c r="I675" s="16">
        <f>_xlfn.XLOOKUP(C675,'Project Details'!$C$17:$C$66,'Project Details'!$E$17:$E$66,"",0)</f>
        <v>0</v>
      </c>
      <c r="J675" s="16">
        <f>_xlfn.XLOOKUP(C675,'Project Details'!$C$17:$C$66,'Project Details'!$H$17:$H$66,"",0)</f>
        <v>0</v>
      </c>
      <c r="K675" s="33" t="str">
        <f>IF(AND(_xlfn.XLOOKUP(C675,'Project Details'!$C$17:$C$66,'Project Details'!$L$17:$L$66,"",0)&gt;550, F675="Spring-L27cm"),"",SUBSTITUTE(_xlfn.XLOOKUP(G675,SKUs!$C$2:$C$10001,SKUs!$F$2:$F$10001,"",0), " Accessories",""))</f>
        <v/>
      </c>
      <c r="L675" s="33">
        <f>_xlfn.XLOOKUP(C675,'Project Details'!$C$17:$C$66,'Project Details'!$D$17:$D$66,"",0)</f>
        <v>0</v>
      </c>
      <c r="M675" s="43"/>
    </row>
    <row r="676" spans="1:13" x14ac:dyDescent="0.25">
      <c r="A676" s="43"/>
      <c r="B676" s="43"/>
      <c r="C676" s="35">
        <f t="shared" si="12"/>
        <v>14</v>
      </c>
      <c r="D676" s="35" t="str" cm="1">
        <f t="array" ref="D676">IFERROR(ROUNDUP(_xlfn.IFS(F676="Aluminum Track", _xlfn.XLOOKUP(C676, dd_accsrycalc!$A$2:$A$51, dd_accsrycalc!$B$2:$B$51, "",0), F676="10 x 2 1/2 S (Flat)", _xlfn.XLOOKUP(C676, dd_accsrycalc!$A$2:$A$51, dd_accsrycalc!$C$2:$C$51, "",0), F676="Tox6", _xlfn.XLOOKUP(C676, dd_accsrycalc!$A$2:$A$51, dd_accsrycalc!$D$2:$D$51, "",0), F676="Cover Cap", _xlfn.XLOOKUP(C676, dd_accsrycalc!$A$2:$A$51, dd_accsrycalc!$E$2:$E$51, "",0), F676="Drainage Cover", _xlfn.XLOOKUP(C676, dd_accsrycalc!$A$2:$A$51, dd_accsrycalc!$F$2:$F$51, "",0),AND( F676="Double Adhesive Tape", I676="Roll-up Screen"), _xlfn.XLOOKUP(C676, calc_rusacc!$C$15:$C$65, calc_rusacc!$AD$15:$AD$65, "",0),AND( F676="Sealant", I676="Roll-up Screen"), _xlfn.XLOOKUP(C676, calc_rusacc!$C$15:$C$65, calc_rusacc!$AF$15:$AF$65, "",0),  AND( F676="Main Chain", I676="Accordion Screen"), _xlfn.XLOOKUP(C676, calc_rusacc!$C$15:$C$65, calc_rusacc!$BF$15:$BF$65, "",0), AND( F676="Sealant", I676="Accordion Screen"), _xlfn.XLOOKUP(C676, calc_rusacc!$C$15:$C$65, calc_rusacc!$BJ$15:$BJ$65, "",0),  F676="Sealant", _xlfn.XLOOKUP(C676, dd_accsrycalc!$A$2:$A$51, dd_accsrycalc!$G$2:$G$51, "",0),  F676&lt;&gt;"",L676*_xlfn.XLOOKUP(1, (SKUs!$C$2:$C$10001=G676)*(SKUs!$K$2:$K$10001=I676),SKUs!$E$2:$E$10001)), 0),"")</f>
        <v/>
      </c>
      <c r="E676" s="35" t="str">
        <f>_xlfn.XLOOKUP(F676,dd_item!$B$2:$B$105,dd_item!$C$2:$C$105,"",0)</f>
        <v/>
      </c>
      <c r="F676" s="35"/>
      <c r="G676" s="35" cm="1">
        <f t="array" ref="G676">IFERROR(_xlfn.XLOOKUP(1, (SKUs!$J$2:$J$10001=accsry_unmerged!F676)*IF(H676&lt;&gt;"",(SKUs!$L$2:$L$10001=accsry_unmerged!H676),1)*(SKUs!$K$2:$K$10001=I676),SKUs!$C$2:$C$10001),"")</f>
        <v>0</v>
      </c>
      <c r="H676" s="36" cm="1">
        <f t="array" ref="H676">IFERROR(_xlfn.XLOOKUP(1, (dd_accsryclr!$C$2:$C$1000=accsry_unmerged!F676)*(dd_accsryclr!$B$2:$B$1000=accsry_unmerged!J676),dd_accsryclr!$A$2:$A$1000),"")</f>
        <v>0</v>
      </c>
      <c r="I676" s="35">
        <f>_xlfn.XLOOKUP(C676,'Project Details'!$C$17:$C$66,'Project Details'!$E$17:$E$66,"",0)</f>
        <v>0</v>
      </c>
      <c r="J676" s="35">
        <f>_xlfn.XLOOKUP(C676,'Project Details'!$C$17:$C$66,'Project Details'!$H$17:$H$66,"",0)</f>
        <v>0</v>
      </c>
      <c r="K676" s="36" t="str">
        <f>IF(AND(_xlfn.XLOOKUP(C676,'Project Details'!$C$17:$C$66,'Project Details'!$L$17:$L$66,"",0)&gt;550, F676="Spring-L27cm"),"",SUBSTITUTE(_xlfn.XLOOKUP(G676,SKUs!$C$2:$C$10001,SKUs!$F$2:$F$10001,"",0), " Accessories",""))</f>
        <v/>
      </c>
      <c r="L676" s="36">
        <f>_xlfn.XLOOKUP(C676,'Project Details'!$C$17:$C$66,'Project Details'!$D$17:$D$66,"",0)</f>
        <v>0</v>
      </c>
      <c r="M676" s="43"/>
    </row>
    <row r="677" spans="1:13" x14ac:dyDescent="0.25">
      <c r="A677" s="43"/>
      <c r="B677" s="43"/>
      <c r="C677" s="16">
        <f t="shared" si="12"/>
        <v>14</v>
      </c>
      <c r="D677" s="16" t="str" cm="1">
        <f t="array" ref="D677">IFERROR(ROUNDUP(_xlfn.IFS(F677="Aluminum Track", _xlfn.XLOOKUP(C677, dd_accsrycalc!$A$2:$A$51, dd_accsrycalc!$B$2:$B$51, "",0), F677="10 x 2 1/2 S (Flat)", _xlfn.XLOOKUP(C677, dd_accsrycalc!$A$2:$A$51, dd_accsrycalc!$C$2:$C$51, "",0), F677="Tox6", _xlfn.XLOOKUP(C677, dd_accsrycalc!$A$2:$A$51, dd_accsrycalc!$D$2:$D$51, "",0), F677="Cover Cap", _xlfn.XLOOKUP(C677, dd_accsrycalc!$A$2:$A$51, dd_accsrycalc!$E$2:$E$51, "",0), F677="Drainage Cover", _xlfn.XLOOKUP(C677, dd_accsrycalc!$A$2:$A$51, dd_accsrycalc!$F$2:$F$51, "",0),AND( F677="Double Adhesive Tape", I677="Roll-up Screen"), _xlfn.XLOOKUP(C677, calc_rusacc!$C$15:$C$65, calc_rusacc!$AD$15:$AD$65, "",0),AND( F677="Sealant", I677="Roll-up Screen"), _xlfn.XLOOKUP(C677, calc_rusacc!$C$15:$C$65, calc_rusacc!$AF$15:$AF$65, "",0),  AND( F677="Main Chain", I677="Accordion Screen"), _xlfn.XLOOKUP(C677, calc_rusacc!$C$15:$C$65, calc_rusacc!$BF$15:$BF$65, "",0), AND( F677="Sealant", I677="Accordion Screen"), _xlfn.XLOOKUP(C677, calc_rusacc!$C$15:$C$65, calc_rusacc!$BJ$15:$BJ$65, "",0),  F677="Sealant", _xlfn.XLOOKUP(C677, dd_accsrycalc!$A$2:$A$51, dd_accsrycalc!$G$2:$G$51, "",0),  F677&lt;&gt;"",L677*_xlfn.XLOOKUP(1, (SKUs!$C$2:$C$10001=G677)*(SKUs!$K$2:$K$10001=I677),SKUs!$E$2:$E$10001)), 0),"")</f>
        <v/>
      </c>
      <c r="E677" s="16" t="str">
        <f>_xlfn.XLOOKUP(F677,dd_item!$B$2:$B$105,dd_item!$C$2:$C$105,"",0)</f>
        <v/>
      </c>
      <c r="F677" s="16"/>
      <c r="G677" s="16" cm="1">
        <f t="array" ref="G677">IFERROR(_xlfn.XLOOKUP(1, (SKUs!$J$2:$J$10001=accsry_unmerged!F677)*IF(H677&lt;&gt;"",(SKUs!$L$2:$L$10001=accsry_unmerged!H677),1)*(SKUs!$K$2:$K$10001=I677),SKUs!$C$2:$C$10001),"")</f>
        <v>0</v>
      </c>
      <c r="H677" s="33" cm="1">
        <f t="array" ref="H677">IFERROR(_xlfn.XLOOKUP(1, (dd_accsryclr!$C$2:$C$1000=accsry_unmerged!F677)*(dd_accsryclr!$B$2:$B$1000=accsry_unmerged!J677),dd_accsryclr!$A$2:$A$1000),"")</f>
        <v>0</v>
      </c>
      <c r="I677" s="16">
        <f>_xlfn.XLOOKUP(C677,'Project Details'!$C$17:$C$66,'Project Details'!$E$17:$E$66,"",0)</f>
        <v>0</v>
      </c>
      <c r="J677" s="16">
        <f>_xlfn.XLOOKUP(C677,'Project Details'!$C$17:$C$66,'Project Details'!$H$17:$H$66,"",0)</f>
        <v>0</v>
      </c>
      <c r="K677" s="33" t="str">
        <f>IF(AND(_xlfn.XLOOKUP(C677,'Project Details'!$C$17:$C$66,'Project Details'!$L$17:$L$66,"",0)&gt;550, F677="Spring-L27cm"),"",SUBSTITUTE(_xlfn.XLOOKUP(G677,SKUs!$C$2:$C$10001,SKUs!$F$2:$F$10001,"",0), " Accessories",""))</f>
        <v/>
      </c>
      <c r="L677" s="33">
        <f>_xlfn.XLOOKUP(C677,'Project Details'!$C$17:$C$66,'Project Details'!$D$17:$D$66,"",0)</f>
        <v>0</v>
      </c>
      <c r="M677" s="43"/>
    </row>
    <row r="678" spans="1:13" x14ac:dyDescent="0.25">
      <c r="A678" s="43"/>
      <c r="B678" s="43"/>
      <c r="C678" s="35">
        <f t="shared" si="12"/>
        <v>14</v>
      </c>
      <c r="D678" s="35" t="str" cm="1">
        <f t="array" ref="D678">IFERROR(ROUNDUP(_xlfn.IFS(F678="Aluminum Track", _xlfn.XLOOKUP(C678, dd_accsrycalc!$A$2:$A$51, dd_accsrycalc!$B$2:$B$51, "",0), F678="10 x 2 1/2 S (Flat)", _xlfn.XLOOKUP(C678, dd_accsrycalc!$A$2:$A$51, dd_accsrycalc!$C$2:$C$51, "",0), F678="Tox6", _xlfn.XLOOKUP(C678, dd_accsrycalc!$A$2:$A$51, dd_accsrycalc!$D$2:$D$51, "",0), F678="Cover Cap", _xlfn.XLOOKUP(C678, dd_accsrycalc!$A$2:$A$51, dd_accsrycalc!$E$2:$E$51, "",0), F678="Drainage Cover", _xlfn.XLOOKUP(C678, dd_accsrycalc!$A$2:$A$51, dd_accsrycalc!$F$2:$F$51, "",0),AND( F678="Double Adhesive Tape", I678="Roll-up Screen"), _xlfn.XLOOKUP(C678, calc_rusacc!$C$15:$C$65, calc_rusacc!$AD$15:$AD$65, "",0),AND( F678="Sealant", I678="Roll-up Screen"), _xlfn.XLOOKUP(C678, calc_rusacc!$C$15:$C$65, calc_rusacc!$AF$15:$AF$65, "",0),  AND( F678="Main Chain", I678="Accordion Screen"), _xlfn.XLOOKUP(C678, calc_rusacc!$C$15:$C$65, calc_rusacc!$BF$15:$BF$65, "",0), AND( F678="Sealant", I678="Accordion Screen"), _xlfn.XLOOKUP(C678, calc_rusacc!$C$15:$C$65, calc_rusacc!$BJ$15:$BJ$65, "",0),  F678="Sealant", _xlfn.XLOOKUP(C678, dd_accsrycalc!$A$2:$A$51, dd_accsrycalc!$G$2:$G$51, "",0),  F678&lt;&gt;"",L678*_xlfn.XLOOKUP(1, (SKUs!$C$2:$C$10001=G678)*(SKUs!$K$2:$K$10001=I678),SKUs!$E$2:$E$10001)), 0),"")</f>
        <v/>
      </c>
      <c r="E678" s="35" t="str">
        <f>_xlfn.XLOOKUP(F678,dd_item!$B$2:$B$105,dd_item!$C$2:$C$105,"",0)</f>
        <v/>
      </c>
      <c r="F678" s="35"/>
      <c r="G678" s="35" cm="1">
        <f t="array" ref="G678">IFERROR(_xlfn.XLOOKUP(1, (SKUs!$J$2:$J$10001=accsry_unmerged!F678)*IF(H678&lt;&gt;"",(SKUs!$L$2:$L$10001=accsry_unmerged!H678),1)*(SKUs!$K$2:$K$10001=I678),SKUs!$C$2:$C$10001),"")</f>
        <v>0</v>
      </c>
      <c r="H678" s="36" cm="1">
        <f t="array" ref="H678">IFERROR(_xlfn.XLOOKUP(1, (dd_accsryclr!$C$2:$C$1000=accsry_unmerged!F678)*(dd_accsryclr!$B$2:$B$1000=accsry_unmerged!J678),dd_accsryclr!$A$2:$A$1000),"")</f>
        <v>0</v>
      </c>
      <c r="I678" s="35">
        <f>_xlfn.XLOOKUP(C678,'Project Details'!$C$17:$C$66,'Project Details'!$E$17:$E$66,"",0)</f>
        <v>0</v>
      </c>
      <c r="J678" s="35">
        <f>_xlfn.XLOOKUP(C678,'Project Details'!$C$17:$C$66,'Project Details'!$H$17:$H$66,"",0)</f>
        <v>0</v>
      </c>
      <c r="K678" s="36" t="str">
        <f>IF(AND(_xlfn.XLOOKUP(C678,'Project Details'!$C$17:$C$66,'Project Details'!$L$17:$L$66,"",0)&gt;550, F678="Spring-L27cm"),"",SUBSTITUTE(_xlfn.XLOOKUP(G678,SKUs!$C$2:$C$10001,SKUs!$F$2:$F$10001,"",0), " Accessories",""))</f>
        <v/>
      </c>
      <c r="L678" s="36">
        <f>_xlfn.XLOOKUP(C678,'Project Details'!$C$17:$C$66,'Project Details'!$D$17:$D$66,"",0)</f>
        <v>0</v>
      </c>
      <c r="M678" s="43"/>
    </row>
    <row r="679" spans="1:13" x14ac:dyDescent="0.25">
      <c r="A679" s="43"/>
      <c r="B679" s="43"/>
      <c r="C679" s="16">
        <f t="shared" si="12"/>
        <v>14</v>
      </c>
      <c r="D679" s="16" t="str" cm="1">
        <f t="array" ref="D679">IFERROR(ROUNDUP(_xlfn.IFS(F679="Aluminum Track", _xlfn.XLOOKUP(C679, dd_accsrycalc!$A$2:$A$51, dd_accsrycalc!$B$2:$B$51, "",0), F679="10 x 2 1/2 S (Flat)", _xlfn.XLOOKUP(C679, dd_accsrycalc!$A$2:$A$51, dd_accsrycalc!$C$2:$C$51, "",0), F679="Tox6", _xlfn.XLOOKUP(C679, dd_accsrycalc!$A$2:$A$51, dd_accsrycalc!$D$2:$D$51, "",0), F679="Cover Cap", _xlfn.XLOOKUP(C679, dd_accsrycalc!$A$2:$A$51, dd_accsrycalc!$E$2:$E$51, "",0), F679="Drainage Cover", _xlfn.XLOOKUP(C679, dd_accsrycalc!$A$2:$A$51, dd_accsrycalc!$F$2:$F$51, "",0),AND( F679="Double Adhesive Tape", I679="Roll-up Screen"), _xlfn.XLOOKUP(C679, calc_rusacc!$C$15:$C$65, calc_rusacc!$AD$15:$AD$65, "",0),AND( F679="Sealant", I679="Roll-up Screen"), _xlfn.XLOOKUP(C679, calc_rusacc!$C$15:$C$65, calc_rusacc!$AF$15:$AF$65, "",0),  AND( F679="Main Chain", I679="Accordion Screen"), _xlfn.XLOOKUP(C679, calc_rusacc!$C$15:$C$65, calc_rusacc!$BF$15:$BF$65, "",0), AND( F679="Sealant", I679="Accordion Screen"), _xlfn.XLOOKUP(C679, calc_rusacc!$C$15:$C$65, calc_rusacc!$BJ$15:$BJ$65, "",0),  F679="Sealant", _xlfn.XLOOKUP(C679, dd_accsrycalc!$A$2:$A$51, dd_accsrycalc!$G$2:$G$51, "",0),  F679&lt;&gt;"",L679*_xlfn.XLOOKUP(1, (SKUs!$C$2:$C$10001=G679)*(SKUs!$K$2:$K$10001=I679),SKUs!$E$2:$E$10001)), 0),"")</f>
        <v/>
      </c>
      <c r="E679" s="16" t="str">
        <f>_xlfn.XLOOKUP(F679,dd_item!$B$2:$B$105,dd_item!$C$2:$C$105,"",0)</f>
        <v/>
      </c>
      <c r="F679" s="16"/>
      <c r="G679" s="16" cm="1">
        <f t="array" ref="G679">IFERROR(_xlfn.XLOOKUP(1, (SKUs!$J$2:$J$10001=accsry_unmerged!F679)*IF(H679&lt;&gt;"",(SKUs!$L$2:$L$10001=accsry_unmerged!H679),1)*(SKUs!$K$2:$K$10001=I679),SKUs!$C$2:$C$10001),"")</f>
        <v>0</v>
      </c>
      <c r="H679" s="33" cm="1">
        <f t="array" ref="H679">IFERROR(_xlfn.XLOOKUP(1, (dd_accsryclr!$C$2:$C$1000=accsry_unmerged!F679)*(dd_accsryclr!$B$2:$B$1000=accsry_unmerged!J679),dd_accsryclr!$A$2:$A$1000),"")</f>
        <v>0</v>
      </c>
      <c r="I679" s="16">
        <f>_xlfn.XLOOKUP(C679,'Project Details'!$C$17:$C$66,'Project Details'!$E$17:$E$66,"",0)</f>
        <v>0</v>
      </c>
      <c r="J679" s="16">
        <f>_xlfn.XLOOKUP(C679,'Project Details'!$C$17:$C$66,'Project Details'!$H$17:$H$66,"",0)</f>
        <v>0</v>
      </c>
      <c r="K679" s="33" t="str">
        <f>IF(AND(_xlfn.XLOOKUP(C679,'Project Details'!$C$17:$C$66,'Project Details'!$L$17:$L$66,"",0)&gt;550, F679="Spring-L27cm"),"",SUBSTITUTE(_xlfn.XLOOKUP(G679,SKUs!$C$2:$C$10001,SKUs!$F$2:$F$10001,"",0), " Accessories",""))</f>
        <v/>
      </c>
      <c r="L679" s="33">
        <f>_xlfn.XLOOKUP(C679,'Project Details'!$C$17:$C$66,'Project Details'!$D$17:$D$66,"",0)</f>
        <v>0</v>
      </c>
      <c r="M679" s="43"/>
    </row>
    <row r="680" spans="1:13" x14ac:dyDescent="0.25">
      <c r="A680" s="43"/>
      <c r="B680" s="43"/>
      <c r="C680" s="35">
        <f t="shared" si="12"/>
        <v>14</v>
      </c>
      <c r="D680" s="35" t="str" cm="1">
        <f t="array" ref="D680">IFERROR(ROUNDUP(_xlfn.IFS(F680="Aluminum Track", _xlfn.XLOOKUP(C680, dd_accsrycalc!$A$2:$A$51, dd_accsrycalc!$B$2:$B$51, "",0), F680="10 x 2 1/2 S (Flat)", _xlfn.XLOOKUP(C680, dd_accsrycalc!$A$2:$A$51, dd_accsrycalc!$C$2:$C$51, "",0), F680="Tox6", _xlfn.XLOOKUP(C680, dd_accsrycalc!$A$2:$A$51, dd_accsrycalc!$D$2:$D$51, "",0), F680="Cover Cap", _xlfn.XLOOKUP(C680, dd_accsrycalc!$A$2:$A$51, dd_accsrycalc!$E$2:$E$51, "",0), F680="Drainage Cover", _xlfn.XLOOKUP(C680, dd_accsrycalc!$A$2:$A$51, dd_accsrycalc!$F$2:$F$51, "",0),AND( F680="Double Adhesive Tape", I680="Roll-up Screen"), _xlfn.XLOOKUP(C680, calc_rusacc!$C$15:$C$65, calc_rusacc!$AD$15:$AD$65, "",0),AND( F680="Sealant", I680="Roll-up Screen"), _xlfn.XLOOKUP(C680, calc_rusacc!$C$15:$C$65, calc_rusacc!$AF$15:$AF$65, "",0),  AND( F680="Main Chain", I680="Accordion Screen"), _xlfn.XLOOKUP(C680, calc_rusacc!$C$15:$C$65, calc_rusacc!$BF$15:$BF$65, "",0), AND( F680="Sealant", I680="Accordion Screen"), _xlfn.XLOOKUP(C680, calc_rusacc!$C$15:$C$65, calc_rusacc!$BJ$15:$BJ$65, "",0),  F680="Sealant", _xlfn.XLOOKUP(C680, dd_accsrycalc!$A$2:$A$51, dd_accsrycalc!$G$2:$G$51, "",0),  F680&lt;&gt;"",L680*_xlfn.XLOOKUP(1, (SKUs!$C$2:$C$10001=G680)*(SKUs!$K$2:$K$10001=I680),SKUs!$E$2:$E$10001)), 0),"")</f>
        <v/>
      </c>
      <c r="E680" s="35" t="str">
        <f>_xlfn.XLOOKUP(F680,dd_item!$B$2:$B$105,dd_item!$C$2:$C$105,"",0)</f>
        <v/>
      </c>
      <c r="F680" s="35"/>
      <c r="G680" s="35" cm="1">
        <f t="array" ref="G680">IFERROR(_xlfn.XLOOKUP(1, (SKUs!$J$2:$J$10001=accsry_unmerged!F680)*IF(H680&lt;&gt;"",(SKUs!$L$2:$L$10001=accsry_unmerged!H680),1)*(SKUs!$K$2:$K$10001=I680),SKUs!$C$2:$C$10001),"")</f>
        <v>0</v>
      </c>
      <c r="H680" s="36" cm="1">
        <f t="array" ref="H680">IFERROR(_xlfn.XLOOKUP(1, (dd_accsryclr!$C$2:$C$1000=accsry_unmerged!F680)*(dd_accsryclr!$B$2:$B$1000=accsry_unmerged!J680),dd_accsryclr!$A$2:$A$1000),"")</f>
        <v>0</v>
      </c>
      <c r="I680" s="35">
        <f>_xlfn.XLOOKUP(C680,'Project Details'!$C$17:$C$66,'Project Details'!$E$17:$E$66,"",0)</f>
        <v>0</v>
      </c>
      <c r="J680" s="35">
        <f>_xlfn.XLOOKUP(C680,'Project Details'!$C$17:$C$66,'Project Details'!$H$17:$H$66,"",0)</f>
        <v>0</v>
      </c>
      <c r="K680" s="36" t="str">
        <f>IF(AND(_xlfn.XLOOKUP(C680,'Project Details'!$C$17:$C$66,'Project Details'!$L$17:$L$66,"",0)&gt;550, F680="Spring-L27cm"),"",SUBSTITUTE(_xlfn.XLOOKUP(G680,SKUs!$C$2:$C$10001,SKUs!$F$2:$F$10001,"",0), " Accessories",""))</f>
        <v/>
      </c>
      <c r="L680" s="36">
        <f>_xlfn.XLOOKUP(C680,'Project Details'!$C$17:$C$66,'Project Details'!$D$17:$D$66,"",0)</f>
        <v>0</v>
      </c>
      <c r="M680" s="43"/>
    </row>
    <row r="681" spans="1:13" x14ac:dyDescent="0.25">
      <c r="A681" s="43"/>
      <c r="B681" s="43"/>
      <c r="C681" s="16">
        <f t="shared" si="12"/>
        <v>14</v>
      </c>
      <c r="D681" s="16" t="str" cm="1">
        <f t="array" ref="D681">IFERROR(ROUNDUP(_xlfn.IFS(F681="Aluminum Track", _xlfn.XLOOKUP(C681, dd_accsrycalc!$A$2:$A$51, dd_accsrycalc!$B$2:$B$51, "",0), F681="10 x 2 1/2 S (Flat)", _xlfn.XLOOKUP(C681, dd_accsrycalc!$A$2:$A$51, dd_accsrycalc!$C$2:$C$51, "",0), F681="Tox6", _xlfn.XLOOKUP(C681, dd_accsrycalc!$A$2:$A$51, dd_accsrycalc!$D$2:$D$51, "",0), F681="Cover Cap", _xlfn.XLOOKUP(C681, dd_accsrycalc!$A$2:$A$51, dd_accsrycalc!$E$2:$E$51, "",0), F681="Drainage Cover", _xlfn.XLOOKUP(C681, dd_accsrycalc!$A$2:$A$51, dd_accsrycalc!$F$2:$F$51, "",0),AND( F681="Double Adhesive Tape", I681="Roll-up Screen"), _xlfn.XLOOKUP(C681, calc_rusacc!$C$15:$C$65, calc_rusacc!$AD$15:$AD$65, "",0),AND( F681="Sealant", I681="Roll-up Screen"), _xlfn.XLOOKUP(C681, calc_rusacc!$C$15:$C$65, calc_rusacc!$AF$15:$AF$65, "",0),  AND( F681="Main Chain", I681="Accordion Screen"), _xlfn.XLOOKUP(C681, calc_rusacc!$C$15:$C$65, calc_rusacc!$BF$15:$BF$65, "",0), AND( F681="Sealant", I681="Accordion Screen"), _xlfn.XLOOKUP(C681, calc_rusacc!$C$15:$C$65, calc_rusacc!$BJ$15:$BJ$65, "",0),  F681="Sealant", _xlfn.XLOOKUP(C681, dd_accsrycalc!$A$2:$A$51, dd_accsrycalc!$G$2:$G$51, "",0),  F681&lt;&gt;"",L681*_xlfn.XLOOKUP(1, (SKUs!$C$2:$C$10001=G681)*(SKUs!$K$2:$K$10001=I681),SKUs!$E$2:$E$10001)), 0),"")</f>
        <v/>
      </c>
      <c r="E681" s="16" t="str">
        <f>_xlfn.XLOOKUP(F681,dd_item!$B$2:$B$105,dd_item!$C$2:$C$105,"",0)</f>
        <v/>
      </c>
      <c r="F681" s="16"/>
      <c r="G681" s="16" cm="1">
        <f t="array" ref="G681">IFERROR(_xlfn.XLOOKUP(1, (SKUs!$J$2:$J$10001=accsry_unmerged!F681)*IF(H681&lt;&gt;"",(SKUs!$L$2:$L$10001=accsry_unmerged!H681),1)*(SKUs!$K$2:$K$10001=I681),SKUs!$C$2:$C$10001),"")</f>
        <v>0</v>
      </c>
      <c r="H681" s="33" cm="1">
        <f t="array" ref="H681">IFERROR(_xlfn.XLOOKUP(1, (dd_accsryclr!$C$2:$C$1000=accsry_unmerged!F681)*(dd_accsryclr!$B$2:$B$1000=accsry_unmerged!J681),dd_accsryclr!$A$2:$A$1000),"")</f>
        <v>0</v>
      </c>
      <c r="I681" s="16">
        <f>_xlfn.XLOOKUP(C681,'Project Details'!$C$17:$C$66,'Project Details'!$E$17:$E$66,"",0)</f>
        <v>0</v>
      </c>
      <c r="J681" s="16">
        <f>_xlfn.XLOOKUP(C681,'Project Details'!$C$17:$C$66,'Project Details'!$H$17:$H$66,"",0)</f>
        <v>0</v>
      </c>
      <c r="K681" s="33" t="str">
        <f>IF(AND(_xlfn.XLOOKUP(C681,'Project Details'!$C$17:$C$66,'Project Details'!$L$17:$L$66,"",0)&gt;550, F681="Spring-L27cm"),"",SUBSTITUTE(_xlfn.XLOOKUP(G681,SKUs!$C$2:$C$10001,SKUs!$F$2:$F$10001,"",0), " Accessories",""))</f>
        <v/>
      </c>
      <c r="L681" s="33">
        <f>_xlfn.XLOOKUP(C681,'Project Details'!$C$17:$C$66,'Project Details'!$D$17:$D$66,"",0)</f>
        <v>0</v>
      </c>
      <c r="M681" s="43"/>
    </row>
    <row r="682" spans="1:13" x14ac:dyDescent="0.25">
      <c r="A682" s="43"/>
      <c r="B682" s="43"/>
      <c r="C682" s="35">
        <f t="shared" si="12"/>
        <v>14</v>
      </c>
      <c r="D682" s="35" t="str" cm="1">
        <f t="array" ref="D682">IFERROR(ROUNDUP(_xlfn.IFS(F682="Aluminum Track", _xlfn.XLOOKUP(C682, dd_accsrycalc!$A$2:$A$51, dd_accsrycalc!$B$2:$B$51, "",0), F682="10 x 2 1/2 S (Flat)", _xlfn.XLOOKUP(C682, dd_accsrycalc!$A$2:$A$51, dd_accsrycalc!$C$2:$C$51, "",0), F682="Tox6", _xlfn.XLOOKUP(C682, dd_accsrycalc!$A$2:$A$51, dd_accsrycalc!$D$2:$D$51, "",0), F682="Cover Cap", _xlfn.XLOOKUP(C682, dd_accsrycalc!$A$2:$A$51, dd_accsrycalc!$E$2:$E$51, "",0), F682="Drainage Cover", _xlfn.XLOOKUP(C682, dd_accsrycalc!$A$2:$A$51, dd_accsrycalc!$F$2:$F$51, "",0),AND( F682="Double Adhesive Tape", I682="Roll-up Screen"), _xlfn.XLOOKUP(C682, calc_rusacc!$C$15:$C$65, calc_rusacc!$AD$15:$AD$65, "",0),AND( F682="Sealant", I682="Roll-up Screen"), _xlfn.XLOOKUP(C682, calc_rusacc!$C$15:$C$65, calc_rusacc!$AF$15:$AF$65, "",0),  AND( F682="Main Chain", I682="Accordion Screen"), _xlfn.XLOOKUP(C682, calc_rusacc!$C$15:$C$65, calc_rusacc!$BF$15:$BF$65, "",0), AND( F682="Sealant", I682="Accordion Screen"), _xlfn.XLOOKUP(C682, calc_rusacc!$C$15:$C$65, calc_rusacc!$BJ$15:$BJ$65, "",0),  F682="Sealant", _xlfn.XLOOKUP(C682, dd_accsrycalc!$A$2:$A$51, dd_accsrycalc!$G$2:$G$51, "",0),  F682&lt;&gt;"",L682*_xlfn.XLOOKUP(1, (SKUs!$C$2:$C$10001=G682)*(SKUs!$K$2:$K$10001=I682),SKUs!$E$2:$E$10001)), 0),"")</f>
        <v/>
      </c>
      <c r="E682" s="35" t="str">
        <f>_xlfn.XLOOKUP(F682,dd_item!$B$2:$B$105,dd_item!$C$2:$C$105,"",0)</f>
        <v/>
      </c>
      <c r="F682" s="35"/>
      <c r="G682" s="35" cm="1">
        <f t="array" ref="G682">IFERROR(_xlfn.XLOOKUP(1, (SKUs!$J$2:$J$10001=accsry_unmerged!F682)*IF(H682&lt;&gt;"",(SKUs!$L$2:$L$10001=accsry_unmerged!H682),1)*(SKUs!$K$2:$K$10001=I682),SKUs!$C$2:$C$10001),"")</f>
        <v>0</v>
      </c>
      <c r="H682" s="36" cm="1">
        <f t="array" ref="H682">IFERROR(_xlfn.XLOOKUP(1, (dd_accsryclr!$C$2:$C$1000=accsry_unmerged!F682)*(dd_accsryclr!$B$2:$B$1000=accsry_unmerged!J682),dd_accsryclr!$A$2:$A$1000),"")</f>
        <v>0</v>
      </c>
      <c r="I682" s="35">
        <f>_xlfn.XLOOKUP(C682,'Project Details'!$C$17:$C$66,'Project Details'!$E$17:$E$66,"",0)</f>
        <v>0</v>
      </c>
      <c r="J682" s="35">
        <f>_xlfn.XLOOKUP(C682,'Project Details'!$C$17:$C$66,'Project Details'!$H$17:$H$66,"",0)</f>
        <v>0</v>
      </c>
      <c r="K682" s="36" t="str">
        <f>IF(AND(_xlfn.XLOOKUP(C682,'Project Details'!$C$17:$C$66,'Project Details'!$L$17:$L$66,"",0)&gt;550, F682="Spring-L27cm"),"",SUBSTITUTE(_xlfn.XLOOKUP(G682,SKUs!$C$2:$C$10001,SKUs!$F$2:$F$10001,"",0), " Accessories",""))</f>
        <v/>
      </c>
      <c r="L682" s="36">
        <f>_xlfn.XLOOKUP(C682,'Project Details'!$C$17:$C$66,'Project Details'!$D$17:$D$66,"",0)</f>
        <v>0</v>
      </c>
      <c r="M682" s="43"/>
    </row>
    <row r="683" spans="1:13" x14ac:dyDescent="0.25">
      <c r="A683" s="43"/>
      <c r="B683" s="43"/>
      <c r="C683" s="16">
        <f t="shared" si="12"/>
        <v>14</v>
      </c>
      <c r="D683" s="16" t="str" cm="1">
        <f t="array" ref="D683">IFERROR(ROUNDUP(_xlfn.IFS(F683="Aluminum Track", _xlfn.XLOOKUP(C683, dd_accsrycalc!$A$2:$A$51, dd_accsrycalc!$B$2:$B$51, "",0), F683="10 x 2 1/2 S (Flat)", _xlfn.XLOOKUP(C683, dd_accsrycalc!$A$2:$A$51, dd_accsrycalc!$C$2:$C$51, "",0), F683="Tox6", _xlfn.XLOOKUP(C683, dd_accsrycalc!$A$2:$A$51, dd_accsrycalc!$D$2:$D$51, "",0), F683="Cover Cap", _xlfn.XLOOKUP(C683, dd_accsrycalc!$A$2:$A$51, dd_accsrycalc!$E$2:$E$51, "",0), F683="Drainage Cover", _xlfn.XLOOKUP(C683, dd_accsrycalc!$A$2:$A$51, dd_accsrycalc!$F$2:$F$51, "",0),AND( F683="Double Adhesive Tape", I683="Roll-up Screen"), _xlfn.XLOOKUP(C683, calc_rusacc!$C$15:$C$65, calc_rusacc!$AD$15:$AD$65, "",0),AND( F683="Sealant", I683="Roll-up Screen"), _xlfn.XLOOKUP(C683, calc_rusacc!$C$15:$C$65, calc_rusacc!$AF$15:$AF$65, "",0),  AND( F683="Main Chain", I683="Accordion Screen"), _xlfn.XLOOKUP(C683, calc_rusacc!$C$15:$C$65, calc_rusacc!$BF$15:$BF$65, "",0), AND( F683="Sealant", I683="Accordion Screen"), _xlfn.XLOOKUP(C683, calc_rusacc!$C$15:$C$65, calc_rusacc!$BJ$15:$BJ$65, "",0),  F683="Sealant", _xlfn.XLOOKUP(C683, dd_accsrycalc!$A$2:$A$51, dd_accsrycalc!$G$2:$G$51, "",0),  F683&lt;&gt;"",L683*_xlfn.XLOOKUP(1, (SKUs!$C$2:$C$10001=G683)*(SKUs!$K$2:$K$10001=I683),SKUs!$E$2:$E$10001)), 0),"")</f>
        <v/>
      </c>
      <c r="E683" s="16" t="str">
        <f>_xlfn.XLOOKUP(F683,dd_item!$B$2:$B$105,dd_item!$C$2:$C$105,"",0)</f>
        <v/>
      </c>
      <c r="F683" s="16"/>
      <c r="G683" s="16" cm="1">
        <f t="array" ref="G683">IFERROR(_xlfn.XLOOKUP(1, (SKUs!$J$2:$J$10001=accsry_unmerged!F683)*IF(H683&lt;&gt;"",(SKUs!$L$2:$L$10001=accsry_unmerged!H683),1)*(SKUs!$K$2:$K$10001=I683),SKUs!$C$2:$C$10001),"")</f>
        <v>0</v>
      </c>
      <c r="H683" s="33" cm="1">
        <f t="array" ref="H683">IFERROR(_xlfn.XLOOKUP(1, (dd_accsryclr!$C$2:$C$1000=accsry_unmerged!F683)*(dd_accsryclr!$B$2:$B$1000=accsry_unmerged!J683),dd_accsryclr!$A$2:$A$1000),"")</f>
        <v>0</v>
      </c>
      <c r="I683" s="16">
        <f>_xlfn.XLOOKUP(C683,'Project Details'!$C$17:$C$66,'Project Details'!$E$17:$E$66,"",0)</f>
        <v>0</v>
      </c>
      <c r="J683" s="16">
        <f>_xlfn.XLOOKUP(C683,'Project Details'!$C$17:$C$66,'Project Details'!$H$17:$H$66,"",0)</f>
        <v>0</v>
      </c>
      <c r="K683" s="33" t="str">
        <f>IF(AND(_xlfn.XLOOKUP(C683,'Project Details'!$C$17:$C$66,'Project Details'!$L$17:$L$66,"",0)&gt;550, F683="Spring-L27cm"),"",SUBSTITUTE(_xlfn.XLOOKUP(G683,SKUs!$C$2:$C$10001,SKUs!$F$2:$F$10001,"",0), " Accessories",""))</f>
        <v/>
      </c>
      <c r="L683" s="33">
        <f>_xlfn.XLOOKUP(C683,'Project Details'!$C$17:$C$66,'Project Details'!$D$17:$D$66,"",0)</f>
        <v>0</v>
      </c>
      <c r="M683" s="43"/>
    </row>
    <row r="684" spans="1:13" ht="13.5" customHeight="1" x14ac:dyDescent="0.25">
      <c r="A684" s="43"/>
      <c r="B684" s="43"/>
      <c r="C684" s="35">
        <f t="shared" si="12"/>
        <v>14</v>
      </c>
      <c r="D684" s="35" t="str" cm="1">
        <f t="array" ref="D684">IFERROR(ROUNDUP(_xlfn.IFS(F684="Aluminum Track", _xlfn.XLOOKUP(C684, dd_accsrycalc!$A$2:$A$51, dd_accsrycalc!$B$2:$B$51, "",0), F684="10 x 2 1/2 S (Flat)", _xlfn.XLOOKUP(C684, dd_accsrycalc!$A$2:$A$51, dd_accsrycalc!$C$2:$C$51, "",0), F684="Tox6", _xlfn.XLOOKUP(C684, dd_accsrycalc!$A$2:$A$51, dd_accsrycalc!$D$2:$D$51, "",0), F684="Cover Cap", _xlfn.XLOOKUP(C684, dd_accsrycalc!$A$2:$A$51, dd_accsrycalc!$E$2:$E$51, "",0), F684="Drainage Cover", _xlfn.XLOOKUP(C684, dd_accsrycalc!$A$2:$A$51, dd_accsrycalc!$F$2:$F$51, "",0),AND( F684="Double Adhesive Tape", I684="Roll-up Screen"), _xlfn.XLOOKUP(C684, calc_rusacc!$C$15:$C$65, calc_rusacc!$AD$15:$AD$65, "",0),AND( F684="Sealant", I684="Roll-up Screen"), _xlfn.XLOOKUP(C684, calc_rusacc!$C$15:$C$65, calc_rusacc!$AF$15:$AF$65, "",0),  AND( F684="Main Chain", I684="Accordion Screen"), _xlfn.XLOOKUP(C684, calc_rusacc!$C$15:$C$65, calc_rusacc!$BF$15:$BF$65, "",0), AND( F684="Sealant", I684="Accordion Screen"), _xlfn.XLOOKUP(C684, calc_rusacc!$C$15:$C$65, calc_rusacc!$BJ$15:$BJ$65, "",0),  F684="Sealant", _xlfn.XLOOKUP(C684, dd_accsrycalc!$A$2:$A$51, dd_accsrycalc!$G$2:$G$51, "",0),  F684&lt;&gt;"",L684*_xlfn.XLOOKUP(1, (SKUs!$C$2:$C$10001=G684)*(SKUs!$K$2:$K$10001=I684),SKUs!$E$2:$E$10001)), 0),"")</f>
        <v/>
      </c>
      <c r="E684" s="35" t="str">
        <f>_xlfn.XLOOKUP(F684,dd_item!$B$2:$B$105,dd_item!$C$2:$C$105,"",0)</f>
        <v/>
      </c>
      <c r="F684" s="35"/>
      <c r="G684" s="35" cm="1">
        <f t="array" ref="G684">IFERROR(_xlfn.XLOOKUP(1, (SKUs!$J$2:$J$10001=accsry_unmerged!F684)*IF(H684&lt;&gt;"",(SKUs!$L$2:$L$10001=accsry_unmerged!H684),1)*(SKUs!$K$2:$K$10001=I684),SKUs!$C$2:$C$10001),"")</f>
        <v>0</v>
      </c>
      <c r="H684" s="36" cm="1">
        <f t="array" ref="H684">IFERROR(_xlfn.XLOOKUP(1, (dd_accsryclr!$C$2:$C$1000=accsry_unmerged!F684)*(dd_accsryclr!$B$2:$B$1000=accsry_unmerged!J684),dd_accsryclr!$A$2:$A$1000),"")</f>
        <v>0</v>
      </c>
      <c r="I684" s="35">
        <f>_xlfn.XLOOKUP(C684,'Project Details'!$C$17:$C$66,'Project Details'!$E$17:$E$66,"",0)</f>
        <v>0</v>
      </c>
      <c r="J684" s="35">
        <f>_xlfn.XLOOKUP(C684,'Project Details'!$C$17:$C$66,'Project Details'!$H$17:$H$66,"",0)</f>
        <v>0</v>
      </c>
      <c r="K684" s="36" t="str">
        <f>IF(AND(_xlfn.XLOOKUP(C684,'Project Details'!$C$17:$C$66,'Project Details'!$L$17:$L$66,"",0)&gt;550, F684="Spring-L27cm"),"",SUBSTITUTE(_xlfn.XLOOKUP(G684,SKUs!$C$2:$C$10001,SKUs!$F$2:$F$10001,"",0), " Accessories",""))</f>
        <v/>
      </c>
      <c r="L684" s="36">
        <f>_xlfn.XLOOKUP(C684,'Project Details'!$C$17:$C$66,'Project Details'!$D$17:$D$66,"",0)</f>
        <v>0</v>
      </c>
      <c r="M684" s="43"/>
    </row>
    <row r="685" spans="1:13" ht="13.5" customHeight="1" x14ac:dyDescent="0.25">
      <c r="A685" s="43"/>
      <c r="B685" s="43"/>
      <c r="C685" s="16">
        <f t="shared" si="12"/>
        <v>14</v>
      </c>
      <c r="D685" s="16" t="str" cm="1">
        <f t="array" ref="D685">IFERROR(ROUNDUP(_xlfn.IFS(F685="Aluminum Track", _xlfn.XLOOKUP(C685, dd_accsrycalc!$A$2:$A$51, dd_accsrycalc!$B$2:$B$51, "",0), F685="10 x 2 1/2 S (Flat)", _xlfn.XLOOKUP(C685, dd_accsrycalc!$A$2:$A$51, dd_accsrycalc!$C$2:$C$51, "",0), F685="Tox6", _xlfn.XLOOKUP(C685, dd_accsrycalc!$A$2:$A$51, dd_accsrycalc!$D$2:$D$51, "",0), F685="Cover Cap", _xlfn.XLOOKUP(C685, dd_accsrycalc!$A$2:$A$51, dd_accsrycalc!$E$2:$E$51, "",0), F685="Drainage Cover", _xlfn.XLOOKUP(C685, dd_accsrycalc!$A$2:$A$51, dd_accsrycalc!$F$2:$F$51, "",0),AND( F685="Double Adhesive Tape", I685="Roll-up Screen"), _xlfn.XLOOKUP(C685, calc_rusacc!$C$15:$C$65, calc_rusacc!$AD$15:$AD$65, "",0),AND( F685="Sealant", I685="Roll-up Screen"), _xlfn.XLOOKUP(C685, calc_rusacc!$C$15:$C$65, calc_rusacc!$AF$15:$AF$65, "",0),  AND( F685="Main Chain", I685="Accordion Screen"), _xlfn.XLOOKUP(C685, calc_rusacc!$C$15:$C$65, calc_rusacc!$BF$15:$BF$65, "",0), AND( F685="Sealant", I685="Accordion Screen"), _xlfn.XLOOKUP(C685, calc_rusacc!$C$15:$C$65, calc_rusacc!$BJ$15:$BJ$65, "",0),  F685="Sealant", _xlfn.XLOOKUP(C685, dd_accsrycalc!$A$2:$A$51, dd_accsrycalc!$G$2:$G$51, "",0),  F685&lt;&gt;"",L685*_xlfn.XLOOKUP(1, (SKUs!$C$2:$C$10001=G685)*(SKUs!$K$2:$K$10001=I685),SKUs!$E$2:$E$10001)), 0),"")</f>
        <v/>
      </c>
      <c r="E685" s="16" t="str">
        <f>_xlfn.XLOOKUP(F685,dd_item!$B$2:$B$105,dd_item!$C$2:$C$105,"",0)</f>
        <v/>
      </c>
      <c r="F685" s="16"/>
      <c r="G685" s="16" cm="1">
        <f t="array" ref="G685">IFERROR(_xlfn.XLOOKUP(1, (SKUs!$J$2:$J$10001=accsry_unmerged!F685)*IF(H685&lt;&gt;"",(SKUs!$L$2:$L$10001=accsry_unmerged!H685),1)*(SKUs!$K$2:$K$10001=I685),SKUs!$C$2:$C$10001),"")</f>
        <v>0</v>
      </c>
      <c r="H685" s="33" cm="1">
        <f t="array" ref="H685">IFERROR(_xlfn.XLOOKUP(1, (dd_accsryclr!$C$2:$C$1000=accsry_unmerged!F685)*(dd_accsryclr!$B$2:$B$1000=accsry_unmerged!J685),dd_accsryclr!$A$2:$A$1000),"")</f>
        <v>0</v>
      </c>
      <c r="I685" s="16">
        <f>_xlfn.XLOOKUP(C685,'Project Details'!$C$17:$C$66,'Project Details'!$E$17:$E$66,"",0)</f>
        <v>0</v>
      </c>
      <c r="J685" s="16">
        <f>_xlfn.XLOOKUP(C685,'Project Details'!$C$17:$C$66,'Project Details'!$H$17:$H$66,"",0)</f>
        <v>0</v>
      </c>
      <c r="K685" s="33" t="str">
        <f>IF(AND(_xlfn.XLOOKUP(C685,'Project Details'!$C$17:$C$66,'Project Details'!$L$17:$L$66,"",0)&gt;550, F685="Spring-L27cm"),"",SUBSTITUTE(_xlfn.XLOOKUP(G685,SKUs!$C$2:$C$10001,SKUs!$F$2:$F$10001,"",0), " Accessories",""))</f>
        <v/>
      </c>
      <c r="L685" s="33">
        <f>_xlfn.XLOOKUP(C685,'Project Details'!$C$17:$C$66,'Project Details'!$D$17:$D$66,"",0)</f>
        <v>0</v>
      </c>
      <c r="M685" s="43"/>
    </row>
    <row r="686" spans="1:13" ht="13.5" customHeight="1" x14ac:dyDescent="0.25">
      <c r="A686" s="43"/>
      <c r="B686" s="43"/>
      <c r="C686" s="35">
        <f t="shared" si="12"/>
        <v>14</v>
      </c>
      <c r="D686" s="35" t="str" cm="1">
        <f t="array" ref="D686">IFERROR(ROUNDUP(_xlfn.IFS(F686="Aluminum Track", _xlfn.XLOOKUP(C686, dd_accsrycalc!$A$2:$A$51, dd_accsrycalc!$B$2:$B$51, "",0), F686="10 x 2 1/2 S (Flat)", _xlfn.XLOOKUP(C686, dd_accsrycalc!$A$2:$A$51, dd_accsrycalc!$C$2:$C$51, "",0), F686="Tox6", _xlfn.XLOOKUP(C686, dd_accsrycalc!$A$2:$A$51, dd_accsrycalc!$D$2:$D$51, "",0), F686="Cover Cap", _xlfn.XLOOKUP(C686, dd_accsrycalc!$A$2:$A$51, dd_accsrycalc!$E$2:$E$51, "",0), F686="Drainage Cover", _xlfn.XLOOKUP(C686, dd_accsrycalc!$A$2:$A$51, dd_accsrycalc!$F$2:$F$51, "",0),AND( F686="Double Adhesive Tape", I686="Roll-up Screen"), _xlfn.XLOOKUP(C686, calc_rusacc!$C$15:$C$65, calc_rusacc!$AD$15:$AD$65, "",0),AND( F686="Sealant", I686="Roll-up Screen"), _xlfn.XLOOKUP(C686, calc_rusacc!$C$15:$C$65, calc_rusacc!$AF$15:$AF$65, "",0),  AND( F686="Main Chain", I686="Accordion Screen"), _xlfn.XLOOKUP(C686, calc_rusacc!$C$15:$C$65, calc_rusacc!$BF$15:$BF$65, "",0), AND( F686="Sealant", I686="Accordion Screen"), _xlfn.XLOOKUP(C686, calc_rusacc!$C$15:$C$65, calc_rusacc!$BJ$15:$BJ$65, "",0),  F686="Sealant", _xlfn.XLOOKUP(C686, dd_accsrycalc!$A$2:$A$51, dd_accsrycalc!$G$2:$G$51, "",0),  F686&lt;&gt;"",L686*_xlfn.XLOOKUP(1, (SKUs!$C$2:$C$10001=G686)*(SKUs!$K$2:$K$10001=I686),SKUs!$E$2:$E$10001)), 0),"")</f>
        <v/>
      </c>
      <c r="E686" s="35" t="str">
        <f>_xlfn.XLOOKUP(F686,dd_item!$B$2:$B$105,dd_item!$C$2:$C$105,"",0)</f>
        <v/>
      </c>
      <c r="F686" s="35"/>
      <c r="G686" s="35" cm="1">
        <f t="array" ref="G686">IFERROR(_xlfn.XLOOKUP(1, (SKUs!$J$2:$J$10001=accsry_unmerged!F686)*IF(H686&lt;&gt;"",(SKUs!$L$2:$L$10001=accsry_unmerged!H686),1)*(SKUs!$K$2:$K$10001=I686),SKUs!$C$2:$C$10001),"")</f>
        <v>0</v>
      </c>
      <c r="H686" s="36" cm="1">
        <f t="array" ref="H686">IFERROR(_xlfn.XLOOKUP(1, (dd_accsryclr!$C$2:$C$1000=accsry_unmerged!F686)*(dd_accsryclr!$B$2:$B$1000=accsry_unmerged!J686),dd_accsryclr!$A$2:$A$1000),"")</f>
        <v>0</v>
      </c>
      <c r="I686" s="35">
        <f>_xlfn.XLOOKUP(C686,'Project Details'!$C$17:$C$66,'Project Details'!$E$17:$E$66,"",0)</f>
        <v>0</v>
      </c>
      <c r="J686" s="35">
        <f>_xlfn.XLOOKUP(C686,'Project Details'!$C$17:$C$66,'Project Details'!$H$17:$H$66,"",0)</f>
        <v>0</v>
      </c>
      <c r="K686" s="36" t="str">
        <f>IF(AND(_xlfn.XLOOKUP(C686,'Project Details'!$C$17:$C$66,'Project Details'!$L$17:$L$66,"",0)&gt;550, F686="Spring-L27cm"),"",SUBSTITUTE(_xlfn.XLOOKUP(G686,SKUs!$C$2:$C$10001,SKUs!$F$2:$F$10001,"",0), " Accessories",""))</f>
        <v/>
      </c>
      <c r="L686" s="36">
        <f>_xlfn.XLOOKUP(C686,'Project Details'!$C$17:$C$66,'Project Details'!$D$17:$D$66,"",0)</f>
        <v>0</v>
      </c>
      <c r="M686" s="43"/>
    </row>
    <row r="687" spans="1:13" ht="13.5" customHeight="1" x14ac:dyDescent="0.25">
      <c r="A687" s="43"/>
      <c r="B687" s="43"/>
      <c r="C687" s="16">
        <f t="shared" si="12"/>
        <v>14</v>
      </c>
      <c r="D687" s="16" t="str" cm="1">
        <f t="array" ref="D687">IFERROR(ROUNDUP(_xlfn.IFS(F687="Aluminum Track", _xlfn.XLOOKUP(C687, dd_accsrycalc!$A$2:$A$51, dd_accsrycalc!$B$2:$B$51, "",0), F687="10 x 2 1/2 S (Flat)", _xlfn.XLOOKUP(C687, dd_accsrycalc!$A$2:$A$51, dd_accsrycalc!$C$2:$C$51, "",0), F687="Tox6", _xlfn.XLOOKUP(C687, dd_accsrycalc!$A$2:$A$51, dd_accsrycalc!$D$2:$D$51, "",0), F687="Cover Cap", _xlfn.XLOOKUP(C687, dd_accsrycalc!$A$2:$A$51, dd_accsrycalc!$E$2:$E$51, "",0), F687="Drainage Cover", _xlfn.XLOOKUP(C687, dd_accsrycalc!$A$2:$A$51, dd_accsrycalc!$F$2:$F$51, "",0),AND( F687="Double Adhesive Tape", I687="Roll-up Screen"), _xlfn.XLOOKUP(C687, calc_rusacc!$C$15:$C$65, calc_rusacc!$AD$15:$AD$65, "",0),AND( F687="Sealant", I687="Roll-up Screen"), _xlfn.XLOOKUP(C687, calc_rusacc!$C$15:$C$65, calc_rusacc!$AF$15:$AF$65, "",0),  AND( F687="Main Chain", I687="Accordion Screen"), _xlfn.XLOOKUP(C687, calc_rusacc!$C$15:$C$65, calc_rusacc!$BF$15:$BF$65, "",0), AND( F687="Sealant", I687="Accordion Screen"), _xlfn.XLOOKUP(C687, calc_rusacc!$C$15:$C$65, calc_rusacc!$BJ$15:$BJ$65, "",0),  F687="Sealant", _xlfn.XLOOKUP(C687, dd_accsrycalc!$A$2:$A$51, dd_accsrycalc!$G$2:$G$51, "",0),  F687&lt;&gt;"",L687*_xlfn.XLOOKUP(1, (SKUs!$C$2:$C$10001=G687)*(SKUs!$K$2:$K$10001=I687),SKUs!$E$2:$E$10001)), 0),"")</f>
        <v/>
      </c>
      <c r="E687" s="16" t="str">
        <f>_xlfn.XLOOKUP(F687,dd_item!$B$2:$B$105,dd_item!$C$2:$C$105,"",0)</f>
        <v/>
      </c>
      <c r="F687" s="16"/>
      <c r="G687" s="16" cm="1">
        <f t="array" ref="G687">IFERROR(_xlfn.XLOOKUP(1, (SKUs!$J$2:$J$10001=accsry_unmerged!F687)*IF(H687&lt;&gt;"",(SKUs!$L$2:$L$10001=accsry_unmerged!H687),1)*(SKUs!$K$2:$K$10001=I687),SKUs!$C$2:$C$10001),"")</f>
        <v>0</v>
      </c>
      <c r="H687" s="33" cm="1">
        <f t="array" ref="H687">IFERROR(_xlfn.XLOOKUP(1, (dd_accsryclr!$C$2:$C$1000=accsry_unmerged!F687)*(dd_accsryclr!$B$2:$B$1000=accsry_unmerged!J687),dd_accsryclr!$A$2:$A$1000),"")</f>
        <v>0</v>
      </c>
      <c r="I687" s="16">
        <f>_xlfn.XLOOKUP(C687,'Project Details'!$C$17:$C$66,'Project Details'!$E$17:$E$66,"",0)</f>
        <v>0</v>
      </c>
      <c r="J687" s="16">
        <f>_xlfn.XLOOKUP(C687,'Project Details'!$C$17:$C$66,'Project Details'!$H$17:$H$66,"",0)</f>
        <v>0</v>
      </c>
      <c r="K687" s="33" t="str">
        <f>IF(AND(_xlfn.XLOOKUP(C687,'Project Details'!$C$17:$C$66,'Project Details'!$L$17:$L$66,"",0)&gt;550, F687="Spring-L27cm"),"",SUBSTITUTE(_xlfn.XLOOKUP(G687,SKUs!$C$2:$C$10001,SKUs!$F$2:$F$10001,"",0), " Accessories",""))</f>
        <v/>
      </c>
      <c r="L687" s="33">
        <f>_xlfn.XLOOKUP(C687,'Project Details'!$C$17:$C$66,'Project Details'!$D$17:$D$66,"",0)</f>
        <v>0</v>
      </c>
      <c r="M687" s="43"/>
    </row>
    <row r="688" spans="1:13" ht="13.5" customHeight="1" x14ac:dyDescent="0.25">
      <c r="A688" s="43"/>
      <c r="B688" s="43"/>
      <c r="C688" s="35">
        <f t="shared" si="12"/>
        <v>14</v>
      </c>
      <c r="D688" s="35" t="str" cm="1">
        <f t="array" ref="D688">IFERROR(ROUNDUP(_xlfn.IFS(F688="Aluminum Track", _xlfn.XLOOKUP(C688, dd_accsrycalc!$A$2:$A$51, dd_accsrycalc!$B$2:$B$51, "",0), F688="10 x 2 1/2 S (Flat)", _xlfn.XLOOKUP(C688, dd_accsrycalc!$A$2:$A$51, dd_accsrycalc!$C$2:$C$51, "",0), F688="Tox6", _xlfn.XLOOKUP(C688, dd_accsrycalc!$A$2:$A$51, dd_accsrycalc!$D$2:$D$51, "",0), F688="Cover Cap", _xlfn.XLOOKUP(C688, dd_accsrycalc!$A$2:$A$51, dd_accsrycalc!$E$2:$E$51, "",0), F688="Drainage Cover", _xlfn.XLOOKUP(C688, dd_accsrycalc!$A$2:$A$51, dd_accsrycalc!$F$2:$F$51, "",0),AND( F688="Double Adhesive Tape", I688="Roll-up Screen"), _xlfn.XLOOKUP(C688, calc_rusacc!$C$15:$C$65, calc_rusacc!$AD$15:$AD$65, "",0),AND( F688="Sealant", I688="Roll-up Screen"), _xlfn.XLOOKUP(C688, calc_rusacc!$C$15:$C$65, calc_rusacc!$AF$15:$AF$65, "",0),  AND( F688="Main Chain", I688="Accordion Screen"), _xlfn.XLOOKUP(C688, calc_rusacc!$C$15:$C$65, calc_rusacc!$BF$15:$BF$65, "",0), AND( F688="Sealant", I688="Accordion Screen"), _xlfn.XLOOKUP(C688, calc_rusacc!$C$15:$C$65, calc_rusacc!$BJ$15:$BJ$65, "",0),  F688="Sealant", _xlfn.XLOOKUP(C688, dd_accsrycalc!$A$2:$A$51, dd_accsrycalc!$G$2:$G$51, "",0),  F688&lt;&gt;"",L688*_xlfn.XLOOKUP(1, (SKUs!$C$2:$C$10001=G688)*(SKUs!$K$2:$K$10001=I688),SKUs!$E$2:$E$10001)), 0),"")</f>
        <v/>
      </c>
      <c r="E688" s="35" t="str">
        <f>_xlfn.XLOOKUP(F688,dd_item!$B$2:$B$105,dd_item!$C$2:$C$105,"",0)</f>
        <v/>
      </c>
      <c r="F688" s="35"/>
      <c r="G688" s="35" cm="1">
        <f t="array" ref="G688">IFERROR(_xlfn.XLOOKUP(1, (SKUs!$J$2:$J$10001=accsry_unmerged!F688)*IF(H688&lt;&gt;"",(SKUs!$L$2:$L$10001=accsry_unmerged!H688),1)*(SKUs!$K$2:$K$10001=I688),SKUs!$C$2:$C$10001),"")</f>
        <v>0</v>
      </c>
      <c r="H688" s="36" cm="1">
        <f t="array" ref="H688">IFERROR(_xlfn.XLOOKUP(1, (dd_accsryclr!$C$2:$C$1000=accsry_unmerged!F688)*(dd_accsryclr!$B$2:$B$1000=accsry_unmerged!J688),dd_accsryclr!$A$2:$A$1000),"")</f>
        <v>0</v>
      </c>
      <c r="I688" s="35">
        <f>_xlfn.XLOOKUP(C688,'Project Details'!$C$17:$C$66,'Project Details'!$E$17:$E$66,"",0)</f>
        <v>0</v>
      </c>
      <c r="J688" s="35">
        <f>_xlfn.XLOOKUP(C688,'Project Details'!$C$17:$C$66,'Project Details'!$H$17:$H$66,"",0)</f>
        <v>0</v>
      </c>
      <c r="K688" s="36" t="str">
        <f>IF(AND(_xlfn.XLOOKUP(C688,'Project Details'!$C$17:$C$66,'Project Details'!$L$17:$L$66,"",0)&gt;550, F688="Spring-L27cm"),"",SUBSTITUTE(_xlfn.XLOOKUP(G688,SKUs!$C$2:$C$10001,SKUs!$F$2:$F$10001,"",0), " Accessories",""))</f>
        <v/>
      </c>
      <c r="L688" s="36">
        <f>_xlfn.XLOOKUP(C688,'Project Details'!$C$17:$C$66,'Project Details'!$D$17:$D$66,"",0)</f>
        <v>0</v>
      </c>
      <c r="M688" s="43"/>
    </row>
    <row r="689" spans="1:13" ht="13.5" customHeight="1" x14ac:dyDescent="0.25">
      <c r="A689" s="43"/>
      <c r="B689" s="43"/>
      <c r="C689" s="16">
        <f t="shared" si="12"/>
        <v>14</v>
      </c>
      <c r="D689" s="16" t="str" cm="1">
        <f t="array" ref="D689">IFERROR(ROUNDUP(_xlfn.IFS(F689="Aluminum Track", _xlfn.XLOOKUP(C689, dd_accsrycalc!$A$2:$A$51, dd_accsrycalc!$B$2:$B$51, "",0), F689="10 x 2 1/2 S (Flat)", _xlfn.XLOOKUP(C689, dd_accsrycalc!$A$2:$A$51, dd_accsrycalc!$C$2:$C$51, "",0), F689="Tox6", _xlfn.XLOOKUP(C689, dd_accsrycalc!$A$2:$A$51, dd_accsrycalc!$D$2:$D$51, "",0), F689="Cover Cap", _xlfn.XLOOKUP(C689, dd_accsrycalc!$A$2:$A$51, dd_accsrycalc!$E$2:$E$51, "",0), F689="Drainage Cover", _xlfn.XLOOKUP(C689, dd_accsrycalc!$A$2:$A$51, dd_accsrycalc!$F$2:$F$51, "",0),AND( F689="Double Adhesive Tape", I689="Roll-up Screen"), _xlfn.XLOOKUP(C689, calc_rusacc!$C$15:$C$65, calc_rusacc!$AD$15:$AD$65, "",0),AND( F689="Sealant", I689="Roll-up Screen"), _xlfn.XLOOKUP(C689, calc_rusacc!$C$15:$C$65, calc_rusacc!$AF$15:$AF$65, "",0),  AND( F689="Main Chain", I689="Accordion Screen"), _xlfn.XLOOKUP(C689, calc_rusacc!$C$15:$C$65, calc_rusacc!$BF$15:$BF$65, "",0), AND( F689="Sealant", I689="Accordion Screen"), _xlfn.XLOOKUP(C689, calc_rusacc!$C$15:$C$65, calc_rusacc!$BJ$15:$BJ$65, "",0),  F689="Sealant", _xlfn.XLOOKUP(C689, dd_accsrycalc!$A$2:$A$51, dd_accsrycalc!$G$2:$G$51, "",0),  F689&lt;&gt;"",L689*_xlfn.XLOOKUP(1, (SKUs!$C$2:$C$10001=G689)*(SKUs!$K$2:$K$10001=I689),SKUs!$E$2:$E$10001)), 0),"")</f>
        <v/>
      </c>
      <c r="E689" s="16" t="str">
        <f>_xlfn.XLOOKUP(F689,dd_item!$B$2:$B$105,dd_item!$C$2:$C$105,"",0)</f>
        <v/>
      </c>
      <c r="F689" s="16"/>
      <c r="G689" s="16" cm="1">
        <f t="array" ref="G689">IFERROR(_xlfn.XLOOKUP(1, (SKUs!$J$2:$J$10001=accsry_unmerged!F689)*IF(H689&lt;&gt;"",(SKUs!$L$2:$L$10001=accsry_unmerged!H689),1)*(SKUs!$K$2:$K$10001=I689),SKUs!$C$2:$C$10001),"")</f>
        <v>0</v>
      </c>
      <c r="H689" s="33" cm="1">
        <f t="array" ref="H689">IFERROR(_xlfn.XLOOKUP(1, (dd_accsryclr!$C$2:$C$1000=accsry_unmerged!F689)*(dd_accsryclr!$B$2:$B$1000=accsry_unmerged!J689),dd_accsryclr!$A$2:$A$1000),"")</f>
        <v>0</v>
      </c>
      <c r="I689" s="16">
        <f>_xlfn.XLOOKUP(C689,'Project Details'!$C$17:$C$66,'Project Details'!$E$17:$E$66,"",0)</f>
        <v>0</v>
      </c>
      <c r="J689" s="16">
        <f>_xlfn.XLOOKUP(C689,'Project Details'!$C$17:$C$66,'Project Details'!$H$17:$H$66,"",0)</f>
        <v>0</v>
      </c>
      <c r="K689" s="33" t="str">
        <f>IF(AND(_xlfn.XLOOKUP(C689,'Project Details'!$C$17:$C$66,'Project Details'!$L$17:$L$66,"",0)&gt;550, F689="Spring-L27cm"),"",SUBSTITUTE(_xlfn.XLOOKUP(G689,SKUs!$C$2:$C$10001,SKUs!$F$2:$F$10001,"",0), " Accessories",""))</f>
        <v/>
      </c>
      <c r="L689" s="33">
        <f>_xlfn.XLOOKUP(C689,'Project Details'!$C$17:$C$66,'Project Details'!$D$17:$D$66,"",0)</f>
        <v>0</v>
      </c>
      <c r="M689" s="43"/>
    </row>
    <row r="690" spans="1:13" ht="13.5" customHeight="1" x14ac:dyDescent="0.25">
      <c r="A690" s="43"/>
      <c r="B690" s="43"/>
      <c r="C690" s="35">
        <f t="shared" si="12"/>
        <v>14</v>
      </c>
      <c r="D690" s="35" t="str" cm="1">
        <f t="array" ref="D690">IFERROR(ROUNDUP(_xlfn.IFS(F690="Aluminum Track", _xlfn.XLOOKUP(C690, dd_accsrycalc!$A$2:$A$51, dd_accsrycalc!$B$2:$B$51, "",0), F690="10 x 2 1/2 S (Flat)", _xlfn.XLOOKUP(C690, dd_accsrycalc!$A$2:$A$51, dd_accsrycalc!$C$2:$C$51, "",0), F690="Tox6", _xlfn.XLOOKUP(C690, dd_accsrycalc!$A$2:$A$51, dd_accsrycalc!$D$2:$D$51, "",0), F690="Cover Cap", _xlfn.XLOOKUP(C690, dd_accsrycalc!$A$2:$A$51, dd_accsrycalc!$E$2:$E$51, "",0), F690="Drainage Cover", _xlfn.XLOOKUP(C690, dd_accsrycalc!$A$2:$A$51, dd_accsrycalc!$F$2:$F$51, "",0),AND( F690="Double Adhesive Tape", I690="Roll-up Screen"), _xlfn.XLOOKUP(C690, calc_rusacc!$C$15:$C$65, calc_rusacc!$AD$15:$AD$65, "",0),AND( F690="Sealant", I690="Roll-up Screen"), _xlfn.XLOOKUP(C690, calc_rusacc!$C$15:$C$65, calc_rusacc!$AF$15:$AF$65, "",0),  AND( F690="Main Chain", I690="Accordion Screen"), _xlfn.XLOOKUP(C690, calc_rusacc!$C$15:$C$65, calc_rusacc!$BF$15:$BF$65, "",0), AND( F690="Sealant", I690="Accordion Screen"), _xlfn.XLOOKUP(C690, calc_rusacc!$C$15:$C$65, calc_rusacc!$BJ$15:$BJ$65, "",0),  F690="Sealant", _xlfn.XLOOKUP(C690, dd_accsrycalc!$A$2:$A$51, dd_accsrycalc!$G$2:$G$51, "",0),  F690&lt;&gt;"",L690*_xlfn.XLOOKUP(1, (SKUs!$C$2:$C$10001=G690)*(SKUs!$K$2:$K$10001=I690),SKUs!$E$2:$E$10001)), 0),"")</f>
        <v/>
      </c>
      <c r="E690" s="35" t="str">
        <f>_xlfn.XLOOKUP(F690,dd_item!$B$2:$B$105,dd_item!$C$2:$C$105,"",0)</f>
        <v/>
      </c>
      <c r="F690" s="35"/>
      <c r="G690" s="35" cm="1">
        <f t="array" ref="G690">IFERROR(_xlfn.XLOOKUP(1, (SKUs!$J$2:$J$10001=accsry_unmerged!F690)*IF(H690&lt;&gt;"",(SKUs!$L$2:$L$10001=accsry_unmerged!H690),1)*(SKUs!$K$2:$K$10001=I690),SKUs!$C$2:$C$10001),"")</f>
        <v>0</v>
      </c>
      <c r="H690" s="36" cm="1">
        <f t="array" ref="H690">IFERROR(_xlfn.XLOOKUP(1, (dd_accsryclr!$C$2:$C$1000=accsry_unmerged!F690)*(dd_accsryclr!$B$2:$B$1000=accsry_unmerged!J690),dd_accsryclr!$A$2:$A$1000),"")</f>
        <v>0</v>
      </c>
      <c r="I690" s="35">
        <f>_xlfn.XLOOKUP(C690,'Project Details'!$C$17:$C$66,'Project Details'!$E$17:$E$66,"",0)</f>
        <v>0</v>
      </c>
      <c r="J690" s="35">
        <f>_xlfn.XLOOKUP(C690,'Project Details'!$C$17:$C$66,'Project Details'!$H$17:$H$66,"",0)</f>
        <v>0</v>
      </c>
      <c r="K690" s="36" t="str">
        <f>IF(AND(_xlfn.XLOOKUP(C690,'Project Details'!$C$17:$C$66,'Project Details'!$L$17:$L$66,"",0)&gt;550, F690="Spring-L27cm"),"",SUBSTITUTE(_xlfn.XLOOKUP(G690,SKUs!$C$2:$C$10001,SKUs!$F$2:$F$10001,"",0), " Accessories",""))</f>
        <v/>
      </c>
      <c r="L690" s="36">
        <f>_xlfn.XLOOKUP(C690,'Project Details'!$C$17:$C$66,'Project Details'!$D$17:$D$66,"",0)</f>
        <v>0</v>
      </c>
      <c r="M690" s="43"/>
    </row>
    <row r="691" spans="1:13" ht="13.5" customHeight="1" x14ac:dyDescent="0.25">
      <c r="A691" s="43"/>
      <c r="B691" s="43"/>
      <c r="C691" s="16">
        <f t="shared" si="12"/>
        <v>14</v>
      </c>
      <c r="D691" s="16" t="str" cm="1">
        <f t="array" ref="D691">IFERROR(ROUNDUP(_xlfn.IFS(F691="Aluminum Track", _xlfn.XLOOKUP(C691, dd_accsrycalc!$A$2:$A$51, dd_accsrycalc!$B$2:$B$51, "",0), F691="10 x 2 1/2 S (Flat)", _xlfn.XLOOKUP(C691, dd_accsrycalc!$A$2:$A$51, dd_accsrycalc!$C$2:$C$51, "",0), F691="Tox6", _xlfn.XLOOKUP(C691, dd_accsrycalc!$A$2:$A$51, dd_accsrycalc!$D$2:$D$51, "",0), F691="Cover Cap", _xlfn.XLOOKUP(C691, dd_accsrycalc!$A$2:$A$51, dd_accsrycalc!$E$2:$E$51, "",0), F691="Drainage Cover", _xlfn.XLOOKUP(C691, dd_accsrycalc!$A$2:$A$51, dd_accsrycalc!$F$2:$F$51, "",0),AND( F691="Double Adhesive Tape", I691="Roll-up Screen"), _xlfn.XLOOKUP(C691, calc_rusacc!$C$15:$C$65, calc_rusacc!$AD$15:$AD$65, "",0),AND( F691="Sealant", I691="Roll-up Screen"), _xlfn.XLOOKUP(C691, calc_rusacc!$C$15:$C$65, calc_rusacc!$AF$15:$AF$65, "",0),  AND( F691="Main Chain", I691="Accordion Screen"), _xlfn.XLOOKUP(C691, calc_rusacc!$C$15:$C$65, calc_rusacc!$BF$15:$BF$65, "",0), AND( F691="Sealant", I691="Accordion Screen"), _xlfn.XLOOKUP(C691, calc_rusacc!$C$15:$C$65, calc_rusacc!$BJ$15:$BJ$65, "",0),  F691="Sealant", _xlfn.XLOOKUP(C691, dd_accsrycalc!$A$2:$A$51, dd_accsrycalc!$G$2:$G$51, "",0),  F691&lt;&gt;"",L691*_xlfn.XLOOKUP(1, (SKUs!$C$2:$C$10001=G691)*(SKUs!$K$2:$K$10001=I691),SKUs!$E$2:$E$10001)), 0),"")</f>
        <v/>
      </c>
      <c r="E691" s="16" t="str">
        <f>_xlfn.XLOOKUP(F691,dd_item!$B$2:$B$105,dd_item!$C$2:$C$105,"",0)</f>
        <v/>
      </c>
      <c r="F691" s="16"/>
      <c r="G691" s="16" cm="1">
        <f t="array" ref="G691">IFERROR(_xlfn.XLOOKUP(1, (SKUs!$J$2:$J$10001=accsry_unmerged!F691)*IF(H691&lt;&gt;"",(SKUs!$L$2:$L$10001=accsry_unmerged!H691),1)*(SKUs!$K$2:$K$10001=I691),SKUs!$C$2:$C$10001),"")</f>
        <v>0</v>
      </c>
      <c r="H691" s="33" cm="1">
        <f t="array" ref="H691">IFERROR(_xlfn.XLOOKUP(1, (dd_accsryclr!$C$2:$C$1000=accsry_unmerged!F691)*(dd_accsryclr!$B$2:$B$1000=accsry_unmerged!J691),dd_accsryclr!$A$2:$A$1000),"")</f>
        <v>0</v>
      </c>
      <c r="I691" s="16">
        <f>_xlfn.XLOOKUP(C691,'Project Details'!$C$17:$C$66,'Project Details'!$E$17:$E$66,"",0)</f>
        <v>0</v>
      </c>
      <c r="J691" s="16">
        <f>_xlfn.XLOOKUP(C691,'Project Details'!$C$17:$C$66,'Project Details'!$H$17:$H$66,"",0)</f>
        <v>0</v>
      </c>
      <c r="K691" s="33" t="str">
        <f>IF(AND(_xlfn.XLOOKUP(C691,'Project Details'!$C$17:$C$66,'Project Details'!$L$17:$L$66,"",0)&gt;550, F691="Spring-L27cm"),"",SUBSTITUTE(_xlfn.XLOOKUP(G691,SKUs!$C$2:$C$10001,SKUs!$F$2:$F$10001,"",0), " Accessories",""))</f>
        <v/>
      </c>
      <c r="L691" s="33">
        <f>_xlfn.XLOOKUP(C691,'Project Details'!$C$17:$C$66,'Project Details'!$D$17:$D$66,"",0)</f>
        <v>0</v>
      </c>
      <c r="M691" s="43"/>
    </row>
    <row r="692" spans="1:13" ht="13.5" customHeight="1" x14ac:dyDescent="0.25">
      <c r="A692" s="43"/>
      <c r="B692" s="43"/>
      <c r="C692" s="35">
        <f t="shared" si="12"/>
        <v>14</v>
      </c>
      <c r="D692" s="35" t="str" cm="1">
        <f t="array" ref="D692">IFERROR(ROUNDUP(_xlfn.IFS(F692="Aluminum Track", _xlfn.XLOOKUP(C692, dd_accsrycalc!$A$2:$A$51, dd_accsrycalc!$B$2:$B$51, "",0), F692="10 x 2 1/2 S (Flat)", _xlfn.XLOOKUP(C692, dd_accsrycalc!$A$2:$A$51, dd_accsrycalc!$C$2:$C$51, "",0), F692="Tox6", _xlfn.XLOOKUP(C692, dd_accsrycalc!$A$2:$A$51, dd_accsrycalc!$D$2:$D$51, "",0), F692="Cover Cap", _xlfn.XLOOKUP(C692, dd_accsrycalc!$A$2:$A$51, dd_accsrycalc!$E$2:$E$51, "",0), F692="Drainage Cover", _xlfn.XLOOKUP(C692, dd_accsrycalc!$A$2:$A$51, dd_accsrycalc!$F$2:$F$51, "",0),AND( F692="Double Adhesive Tape", I692="Roll-up Screen"), _xlfn.XLOOKUP(C692, calc_rusacc!$C$15:$C$65, calc_rusacc!$AD$15:$AD$65, "",0),AND( F692="Sealant", I692="Roll-up Screen"), _xlfn.XLOOKUP(C692, calc_rusacc!$C$15:$C$65, calc_rusacc!$AF$15:$AF$65, "",0),  AND( F692="Main Chain", I692="Accordion Screen"), _xlfn.XLOOKUP(C692, calc_rusacc!$C$15:$C$65, calc_rusacc!$BF$15:$BF$65, "",0), AND( F692="Sealant", I692="Accordion Screen"), _xlfn.XLOOKUP(C692, calc_rusacc!$C$15:$C$65, calc_rusacc!$BJ$15:$BJ$65, "",0),  F692="Sealant", _xlfn.XLOOKUP(C692, dd_accsrycalc!$A$2:$A$51, dd_accsrycalc!$G$2:$G$51, "",0),  F692&lt;&gt;"",L692*_xlfn.XLOOKUP(1, (SKUs!$C$2:$C$10001=G692)*(SKUs!$K$2:$K$10001=I692),SKUs!$E$2:$E$10001)), 0),"")</f>
        <v/>
      </c>
      <c r="E692" s="35" t="str">
        <f>_xlfn.XLOOKUP(F692,dd_item!$B$2:$B$105,dd_item!$C$2:$C$105,"",0)</f>
        <v/>
      </c>
      <c r="F692" s="35"/>
      <c r="G692" s="35" cm="1">
        <f t="array" ref="G692">IFERROR(_xlfn.XLOOKUP(1, (SKUs!$J$2:$J$10001=accsry_unmerged!F692)*IF(H692&lt;&gt;"",(SKUs!$L$2:$L$10001=accsry_unmerged!H692),1)*(SKUs!$K$2:$K$10001=I692),SKUs!$C$2:$C$10001),"")</f>
        <v>0</v>
      </c>
      <c r="H692" s="36" cm="1">
        <f t="array" ref="H692">IFERROR(_xlfn.XLOOKUP(1, (dd_accsryclr!$C$2:$C$1000=accsry_unmerged!F692)*(dd_accsryclr!$B$2:$B$1000=accsry_unmerged!J692),dd_accsryclr!$A$2:$A$1000),"")</f>
        <v>0</v>
      </c>
      <c r="I692" s="35">
        <f>_xlfn.XLOOKUP(C692,'Project Details'!$C$17:$C$66,'Project Details'!$E$17:$E$66,"",0)</f>
        <v>0</v>
      </c>
      <c r="J692" s="35">
        <f>_xlfn.XLOOKUP(C692,'Project Details'!$C$17:$C$66,'Project Details'!$H$17:$H$66,"",0)</f>
        <v>0</v>
      </c>
      <c r="K692" s="36" t="str">
        <f>IF(AND(_xlfn.XLOOKUP(C692,'Project Details'!$C$17:$C$66,'Project Details'!$L$17:$L$66,"",0)&gt;550, F692="Spring-L27cm"),"",SUBSTITUTE(_xlfn.XLOOKUP(G692,SKUs!$C$2:$C$10001,SKUs!$F$2:$F$10001,"",0), " Accessories",""))</f>
        <v/>
      </c>
      <c r="L692" s="36">
        <f>_xlfn.XLOOKUP(C692,'Project Details'!$C$17:$C$66,'Project Details'!$D$17:$D$66,"",0)</f>
        <v>0</v>
      </c>
      <c r="M692" s="43"/>
    </row>
    <row r="693" spans="1:13" ht="13.5" customHeight="1" x14ac:dyDescent="0.25">
      <c r="A693" s="43"/>
      <c r="B693" s="43"/>
      <c r="C693" s="16">
        <f t="shared" si="12"/>
        <v>14</v>
      </c>
      <c r="D693" s="16" t="str" cm="1">
        <f t="array" ref="D693">IFERROR(ROUNDUP(_xlfn.IFS(F693="Aluminum Track", _xlfn.XLOOKUP(C693, dd_accsrycalc!$A$2:$A$51, dd_accsrycalc!$B$2:$B$51, "",0), F693="10 x 2 1/2 S (Flat)", _xlfn.XLOOKUP(C693, dd_accsrycalc!$A$2:$A$51, dd_accsrycalc!$C$2:$C$51, "",0), F693="Tox6", _xlfn.XLOOKUP(C693, dd_accsrycalc!$A$2:$A$51, dd_accsrycalc!$D$2:$D$51, "",0), F693="Cover Cap", _xlfn.XLOOKUP(C693, dd_accsrycalc!$A$2:$A$51, dd_accsrycalc!$E$2:$E$51, "",0), F693="Drainage Cover", _xlfn.XLOOKUP(C693, dd_accsrycalc!$A$2:$A$51, dd_accsrycalc!$F$2:$F$51, "",0),AND( F693="Double Adhesive Tape", I693="Roll-up Screen"), _xlfn.XLOOKUP(C693, calc_rusacc!$C$15:$C$65, calc_rusacc!$AD$15:$AD$65, "",0),AND( F693="Sealant", I693="Roll-up Screen"), _xlfn.XLOOKUP(C693, calc_rusacc!$C$15:$C$65, calc_rusacc!$AF$15:$AF$65, "",0),  AND( F693="Main Chain", I693="Accordion Screen"), _xlfn.XLOOKUP(C693, calc_rusacc!$C$15:$C$65, calc_rusacc!$BF$15:$BF$65, "",0), AND( F693="Sealant", I693="Accordion Screen"), _xlfn.XLOOKUP(C693, calc_rusacc!$C$15:$C$65, calc_rusacc!$BJ$15:$BJ$65, "",0),  F693="Sealant", _xlfn.XLOOKUP(C693, dd_accsrycalc!$A$2:$A$51, dd_accsrycalc!$G$2:$G$51, "",0),  F693&lt;&gt;"",L693*_xlfn.XLOOKUP(1, (SKUs!$C$2:$C$10001=G693)*(SKUs!$K$2:$K$10001=I693),SKUs!$E$2:$E$10001)), 0),"")</f>
        <v/>
      </c>
      <c r="E693" s="16" t="str">
        <f>_xlfn.XLOOKUP(F693,dd_item!$B$2:$B$105,dd_item!$C$2:$C$105,"",0)</f>
        <v/>
      </c>
      <c r="F693" s="16"/>
      <c r="G693" s="16" cm="1">
        <f t="array" ref="G693">IFERROR(_xlfn.XLOOKUP(1, (SKUs!$J$2:$J$10001=accsry_unmerged!F693)*IF(H693&lt;&gt;"",(SKUs!$L$2:$L$10001=accsry_unmerged!H693),1)*(SKUs!$K$2:$K$10001=I693),SKUs!$C$2:$C$10001),"")</f>
        <v>0</v>
      </c>
      <c r="H693" s="33" cm="1">
        <f t="array" ref="H693">IFERROR(_xlfn.XLOOKUP(1, (dd_accsryclr!$C$2:$C$1000=accsry_unmerged!F693)*(dd_accsryclr!$B$2:$B$1000=accsry_unmerged!J693),dd_accsryclr!$A$2:$A$1000),"")</f>
        <v>0</v>
      </c>
      <c r="I693" s="16">
        <f>_xlfn.XLOOKUP(C693,'Project Details'!$C$17:$C$66,'Project Details'!$E$17:$E$66,"",0)</f>
        <v>0</v>
      </c>
      <c r="J693" s="16">
        <f>_xlfn.XLOOKUP(C693,'Project Details'!$C$17:$C$66,'Project Details'!$H$17:$H$66,"",0)</f>
        <v>0</v>
      </c>
      <c r="K693" s="33" t="str">
        <f>IF(AND(_xlfn.XLOOKUP(C693,'Project Details'!$C$17:$C$66,'Project Details'!$L$17:$L$66,"",0)&gt;550, F693="Spring-L27cm"),"",SUBSTITUTE(_xlfn.XLOOKUP(G693,SKUs!$C$2:$C$10001,SKUs!$F$2:$F$10001,"",0), " Accessories",""))</f>
        <v/>
      </c>
      <c r="L693" s="33">
        <f>_xlfn.XLOOKUP(C693,'Project Details'!$C$17:$C$66,'Project Details'!$D$17:$D$66,"",0)</f>
        <v>0</v>
      </c>
      <c r="M693" s="43"/>
    </row>
    <row r="694" spans="1:13" ht="13.5" customHeight="1" x14ac:dyDescent="0.25">
      <c r="A694" s="43"/>
      <c r="B694" s="43"/>
      <c r="C694" s="35">
        <f t="shared" si="12"/>
        <v>14</v>
      </c>
      <c r="D694" s="35" t="str" cm="1">
        <f t="array" ref="D694">IFERROR(ROUNDUP(_xlfn.IFS(F694="Aluminum Track", _xlfn.XLOOKUP(C694, dd_accsrycalc!$A$2:$A$51, dd_accsrycalc!$B$2:$B$51, "",0), F694="10 x 2 1/2 S (Flat)", _xlfn.XLOOKUP(C694, dd_accsrycalc!$A$2:$A$51, dd_accsrycalc!$C$2:$C$51, "",0), F694="Tox6", _xlfn.XLOOKUP(C694, dd_accsrycalc!$A$2:$A$51, dd_accsrycalc!$D$2:$D$51, "",0), F694="Cover Cap", _xlfn.XLOOKUP(C694, dd_accsrycalc!$A$2:$A$51, dd_accsrycalc!$E$2:$E$51, "",0), F694="Drainage Cover", _xlfn.XLOOKUP(C694, dd_accsrycalc!$A$2:$A$51, dd_accsrycalc!$F$2:$F$51, "",0),AND( F694="Double Adhesive Tape", I694="Roll-up Screen"), _xlfn.XLOOKUP(C694, calc_rusacc!$C$15:$C$65, calc_rusacc!$AD$15:$AD$65, "",0),AND( F694="Sealant", I694="Roll-up Screen"), _xlfn.XLOOKUP(C694, calc_rusacc!$C$15:$C$65, calc_rusacc!$AF$15:$AF$65, "",0),  AND( F694="Main Chain", I694="Accordion Screen"), _xlfn.XLOOKUP(C694, calc_rusacc!$C$15:$C$65, calc_rusacc!$BF$15:$BF$65, "",0), AND( F694="Sealant", I694="Accordion Screen"), _xlfn.XLOOKUP(C694, calc_rusacc!$C$15:$C$65, calc_rusacc!$BJ$15:$BJ$65, "",0),  F694="Sealant", _xlfn.XLOOKUP(C694, dd_accsrycalc!$A$2:$A$51, dd_accsrycalc!$G$2:$G$51, "",0),  F694&lt;&gt;"",L694*_xlfn.XLOOKUP(1, (SKUs!$C$2:$C$10001=G694)*(SKUs!$K$2:$K$10001=I694),SKUs!$E$2:$E$10001)), 0),"")</f>
        <v/>
      </c>
      <c r="E694" s="35" t="str">
        <f>_xlfn.XLOOKUP(F694,dd_item!$B$2:$B$105,dd_item!$C$2:$C$105,"",0)</f>
        <v/>
      </c>
      <c r="F694" s="35"/>
      <c r="G694" s="35" cm="1">
        <f t="array" ref="G694">IFERROR(_xlfn.XLOOKUP(1, (SKUs!$J$2:$J$10001=accsry_unmerged!F694)*IF(H694&lt;&gt;"",(SKUs!$L$2:$L$10001=accsry_unmerged!H694),1)*(SKUs!$K$2:$K$10001=I694),SKUs!$C$2:$C$10001),"")</f>
        <v>0</v>
      </c>
      <c r="H694" s="36" cm="1">
        <f t="array" ref="H694">IFERROR(_xlfn.XLOOKUP(1, (dd_accsryclr!$C$2:$C$1000=accsry_unmerged!F694)*(dd_accsryclr!$B$2:$B$1000=accsry_unmerged!J694),dd_accsryclr!$A$2:$A$1000),"")</f>
        <v>0</v>
      </c>
      <c r="I694" s="35">
        <f>_xlfn.XLOOKUP(C694,'Project Details'!$C$17:$C$66,'Project Details'!$E$17:$E$66,"",0)</f>
        <v>0</v>
      </c>
      <c r="J694" s="35">
        <f>_xlfn.XLOOKUP(C694,'Project Details'!$C$17:$C$66,'Project Details'!$H$17:$H$66,"",0)</f>
        <v>0</v>
      </c>
      <c r="K694" s="36" t="str">
        <f>IF(AND(_xlfn.XLOOKUP(C694,'Project Details'!$C$17:$C$66,'Project Details'!$L$17:$L$66,"",0)&gt;550, F694="Spring-L27cm"),"",SUBSTITUTE(_xlfn.XLOOKUP(G694,SKUs!$C$2:$C$10001,SKUs!$F$2:$F$10001,"",0), " Accessories",""))</f>
        <v/>
      </c>
      <c r="L694" s="36">
        <f>_xlfn.XLOOKUP(C694,'Project Details'!$C$17:$C$66,'Project Details'!$D$17:$D$66,"",0)</f>
        <v>0</v>
      </c>
      <c r="M694" s="43"/>
    </row>
    <row r="695" spans="1:13" ht="13.5" customHeight="1" outlineLevel="1" x14ac:dyDescent="0.25">
      <c r="A695" s="43"/>
      <c r="B695" s="43"/>
      <c r="C695" s="16">
        <f t="shared" si="12"/>
        <v>14</v>
      </c>
      <c r="D695" s="16" t="str" cm="1">
        <f t="array" ref="D695">IFERROR(ROUNDUP(_xlfn.IFS(F695="Aluminum Track", _xlfn.XLOOKUP(C695, dd_accsrycalc!$A$2:$A$51, dd_accsrycalc!$B$2:$B$51, "",0), F695="10 x 2 1/2 S (Flat)", _xlfn.XLOOKUP(C695, dd_accsrycalc!$A$2:$A$51, dd_accsrycalc!$C$2:$C$51, "",0), F695="Tox6", _xlfn.XLOOKUP(C695, dd_accsrycalc!$A$2:$A$51, dd_accsrycalc!$D$2:$D$51, "",0), F695="Cover Cap", _xlfn.XLOOKUP(C695, dd_accsrycalc!$A$2:$A$51, dd_accsrycalc!$E$2:$E$51, "",0), F695="Drainage Cover", _xlfn.XLOOKUP(C695, dd_accsrycalc!$A$2:$A$51, dd_accsrycalc!$F$2:$F$51, "",0),AND( F695="Double Adhesive Tape", I695="Roll-up Screen"), _xlfn.XLOOKUP(C695, calc_rusacc!$C$15:$C$65, calc_rusacc!$AD$15:$AD$65, "",0),AND( F695="Sealant", I695="Roll-up Screen"), _xlfn.XLOOKUP(C695, calc_rusacc!$C$15:$C$65, calc_rusacc!$AF$15:$AF$65, "",0),  AND( F695="Main Chain", I695="Accordion Screen"), _xlfn.XLOOKUP(C695, calc_rusacc!$C$15:$C$65, calc_rusacc!$BF$15:$BF$65, "",0), AND( F695="Sealant", I695="Accordion Screen"), _xlfn.XLOOKUP(C695, calc_rusacc!$C$15:$C$65, calc_rusacc!$BJ$15:$BJ$65, "",0),  F695="Sealant", _xlfn.XLOOKUP(C695, dd_accsrycalc!$A$2:$A$51, dd_accsrycalc!$G$2:$G$51, "",0),  F695&lt;&gt;"",L695*_xlfn.XLOOKUP(1, (SKUs!$C$2:$C$10001=G695)*(SKUs!$K$2:$K$10001=I695),SKUs!$E$2:$E$10001)), 0),"")</f>
        <v/>
      </c>
      <c r="E695" s="16" t="str">
        <f>_xlfn.XLOOKUP(F695,dd_item!$B$2:$B$105,dd_item!$C$2:$C$105,"",0)</f>
        <v/>
      </c>
      <c r="F695" s="16"/>
      <c r="G695" s="16" cm="1">
        <f t="array" ref="G695">IFERROR(_xlfn.XLOOKUP(1, (SKUs!$J$2:$J$10001=accsry_unmerged!F695)*IF(H695&lt;&gt;"",(SKUs!$L$2:$L$10001=accsry_unmerged!H695),1)*(SKUs!$K$2:$K$10001=I695),SKUs!$C$2:$C$10001),"")</f>
        <v>0</v>
      </c>
      <c r="H695" s="33" cm="1">
        <f t="array" ref="H695">IFERROR(_xlfn.XLOOKUP(1, (dd_accsryclr!$C$2:$C$1000=accsry_unmerged!F695)*(dd_accsryclr!$B$2:$B$1000=accsry_unmerged!J695),dd_accsryclr!$A$2:$A$1000),"")</f>
        <v>0</v>
      </c>
      <c r="I695" s="16">
        <f>_xlfn.XLOOKUP(C695,'Project Details'!$C$17:$C$66,'Project Details'!$E$17:$E$66,"",0)</f>
        <v>0</v>
      </c>
      <c r="J695" s="16">
        <f>_xlfn.XLOOKUP(C695,'Project Details'!$C$17:$C$66,'Project Details'!$H$17:$H$66,"",0)</f>
        <v>0</v>
      </c>
      <c r="K695" s="33" t="str">
        <f>IF(AND(_xlfn.XLOOKUP(C695,'Project Details'!$C$17:$C$66,'Project Details'!$L$17:$L$66,"",0)&gt;550, F695="Spring-L27cm"),"",SUBSTITUTE(_xlfn.XLOOKUP(G695,SKUs!$C$2:$C$10001,SKUs!$F$2:$F$10001,"",0), " Accessories",""))</f>
        <v/>
      </c>
      <c r="L695" s="33">
        <f>_xlfn.XLOOKUP(C695,'Project Details'!$C$17:$C$66,'Project Details'!$D$17:$D$66,"",0)</f>
        <v>0</v>
      </c>
      <c r="M695" s="43"/>
    </row>
    <row r="696" spans="1:13" ht="13.5" customHeight="1" outlineLevel="1" x14ac:dyDescent="0.25">
      <c r="A696" s="43"/>
      <c r="B696" s="43"/>
      <c r="C696" s="35">
        <f t="shared" si="12"/>
        <v>14</v>
      </c>
      <c r="D696" s="35" t="str" cm="1">
        <f t="array" ref="D696">IFERROR(ROUNDUP(_xlfn.IFS(F696="Aluminum Track", _xlfn.XLOOKUP(C696, dd_accsrycalc!$A$2:$A$51, dd_accsrycalc!$B$2:$B$51, "",0), F696="10 x 2 1/2 S (Flat)", _xlfn.XLOOKUP(C696, dd_accsrycalc!$A$2:$A$51, dd_accsrycalc!$C$2:$C$51, "",0), F696="Tox6", _xlfn.XLOOKUP(C696, dd_accsrycalc!$A$2:$A$51, dd_accsrycalc!$D$2:$D$51, "",0), F696="Cover Cap", _xlfn.XLOOKUP(C696, dd_accsrycalc!$A$2:$A$51, dd_accsrycalc!$E$2:$E$51, "",0), F696="Drainage Cover", _xlfn.XLOOKUP(C696, dd_accsrycalc!$A$2:$A$51, dd_accsrycalc!$F$2:$F$51, "",0),AND( F696="Double Adhesive Tape", I696="Roll-up Screen"), _xlfn.XLOOKUP(C696, calc_rusacc!$C$15:$C$65, calc_rusacc!$AD$15:$AD$65, "",0),AND( F696="Sealant", I696="Roll-up Screen"), _xlfn.XLOOKUP(C696, calc_rusacc!$C$15:$C$65, calc_rusacc!$AF$15:$AF$65, "",0),  AND( F696="Main Chain", I696="Accordion Screen"), _xlfn.XLOOKUP(C696, calc_rusacc!$C$15:$C$65, calc_rusacc!$BF$15:$BF$65, "",0), AND( F696="Sealant", I696="Accordion Screen"), _xlfn.XLOOKUP(C696, calc_rusacc!$C$15:$C$65, calc_rusacc!$BJ$15:$BJ$65, "",0),  F696="Sealant", _xlfn.XLOOKUP(C696, dd_accsrycalc!$A$2:$A$51, dd_accsrycalc!$G$2:$G$51, "",0),  F696&lt;&gt;"",L696*_xlfn.XLOOKUP(1, (SKUs!$C$2:$C$10001=G696)*(SKUs!$K$2:$K$10001=I696),SKUs!$E$2:$E$10001)), 0),"")</f>
        <v/>
      </c>
      <c r="E696" s="35" t="str">
        <f>_xlfn.XLOOKUP(F696,dd_item!$B$2:$B$105,dd_item!$C$2:$C$105,"",0)</f>
        <v/>
      </c>
      <c r="F696" s="35"/>
      <c r="G696" s="35" cm="1">
        <f t="array" ref="G696">IFERROR(_xlfn.XLOOKUP(1, (SKUs!$J$2:$J$10001=accsry_unmerged!F696)*IF(H696&lt;&gt;"",(SKUs!$L$2:$L$10001=accsry_unmerged!H696),1)*(SKUs!$K$2:$K$10001=I696),SKUs!$C$2:$C$10001),"")</f>
        <v>0</v>
      </c>
      <c r="H696" s="36" cm="1">
        <f t="array" ref="H696">IFERROR(_xlfn.XLOOKUP(1, (dd_accsryclr!$C$2:$C$1000=accsry_unmerged!F696)*(dd_accsryclr!$B$2:$B$1000=accsry_unmerged!J696),dd_accsryclr!$A$2:$A$1000),"")</f>
        <v>0</v>
      </c>
      <c r="I696" s="35">
        <f>_xlfn.XLOOKUP(C696,'Project Details'!$C$17:$C$66,'Project Details'!$E$17:$E$66,"",0)</f>
        <v>0</v>
      </c>
      <c r="J696" s="35">
        <f>_xlfn.XLOOKUP(C696,'Project Details'!$C$17:$C$66,'Project Details'!$H$17:$H$66,"",0)</f>
        <v>0</v>
      </c>
      <c r="K696" s="36" t="str">
        <f>IF(AND(_xlfn.XLOOKUP(C696,'Project Details'!$C$17:$C$66,'Project Details'!$L$17:$L$66,"",0)&gt;550, F696="Spring-L27cm"),"",SUBSTITUTE(_xlfn.XLOOKUP(G696,SKUs!$C$2:$C$10001,SKUs!$F$2:$F$10001,"",0), " Accessories",""))</f>
        <v/>
      </c>
      <c r="L696" s="36">
        <f>_xlfn.XLOOKUP(C696,'Project Details'!$C$17:$C$66,'Project Details'!$D$17:$D$66,"",0)</f>
        <v>0</v>
      </c>
      <c r="M696" s="43"/>
    </row>
    <row r="697" spans="1:13" ht="13.5" customHeight="1" outlineLevel="1" x14ac:dyDescent="0.25">
      <c r="A697" s="43"/>
      <c r="B697" s="43"/>
      <c r="C697" s="16">
        <f t="shared" si="12"/>
        <v>14</v>
      </c>
      <c r="D697" s="16" t="str" cm="1">
        <f t="array" ref="D697">IFERROR(ROUNDUP(_xlfn.IFS(F697="Aluminum Track", _xlfn.XLOOKUP(C697, dd_accsrycalc!$A$2:$A$51, dd_accsrycalc!$B$2:$B$51, "",0), F697="10 x 2 1/2 S (Flat)", _xlfn.XLOOKUP(C697, dd_accsrycalc!$A$2:$A$51, dd_accsrycalc!$C$2:$C$51, "",0), F697="Tox6", _xlfn.XLOOKUP(C697, dd_accsrycalc!$A$2:$A$51, dd_accsrycalc!$D$2:$D$51, "",0), F697="Cover Cap", _xlfn.XLOOKUP(C697, dd_accsrycalc!$A$2:$A$51, dd_accsrycalc!$E$2:$E$51, "",0), F697="Drainage Cover", _xlfn.XLOOKUP(C697, dd_accsrycalc!$A$2:$A$51, dd_accsrycalc!$F$2:$F$51, "",0),AND( F697="Double Adhesive Tape", I697="Roll-up Screen"), _xlfn.XLOOKUP(C697, calc_rusacc!$C$15:$C$65, calc_rusacc!$AD$15:$AD$65, "",0),AND( F697="Sealant", I697="Roll-up Screen"), _xlfn.XLOOKUP(C697, calc_rusacc!$C$15:$C$65, calc_rusacc!$AF$15:$AF$65, "",0),  AND( F697="Main Chain", I697="Accordion Screen"), _xlfn.XLOOKUP(C697, calc_rusacc!$C$15:$C$65, calc_rusacc!$BF$15:$BF$65, "",0), AND( F697="Sealant", I697="Accordion Screen"), _xlfn.XLOOKUP(C697, calc_rusacc!$C$15:$C$65, calc_rusacc!$BJ$15:$BJ$65, "",0),  F697="Sealant", _xlfn.XLOOKUP(C697, dd_accsrycalc!$A$2:$A$51, dd_accsrycalc!$G$2:$G$51, "",0),  F697&lt;&gt;"",L697*_xlfn.XLOOKUP(1, (SKUs!$C$2:$C$10001=G697)*(SKUs!$K$2:$K$10001=I697),SKUs!$E$2:$E$10001)), 0),"")</f>
        <v/>
      </c>
      <c r="E697" s="16" t="str">
        <f>_xlfn.XLOOKUP(F697,dd_item!$B$2:$B$105,dd_item!$C$2:$C$105,"",0)</f>
        <v/>
      </c>
      <c r="F697" s="16"/>
      <c r="G697" s="16" cm="1">
        <f t="array" ref="G697">IFERROR(_xlfn.XLOOKUP(1, (SKUs!$J$2:$J$10001=accsry_unmerged!F697)*IF(H697&lt;&gt;"",(SKUs!$L$2:$L$10001=accsry_unmerged!H697),1)*(SKUs!$K$2:$K$10001=I697),SKUs!$C$2:$C$10001),"")</f>
        <v>0</v>
      </c>
      <c r="H697" s="33" cm="1">
        <f t="array" ref="H697">IFERROR(_xlfn.XLOOKUP(1, (dd_accsryclr!$C$2:$C$1000=accsry_unmerged!F697)*(dd_accsryclr!$B$2:$B$1000=accsry_unmerged!J697),dd_accsryclr!$A$2:$A$1000),"")</f>
        <v>0</v>
      </c>
      <c r="I697" s="16">
        <f>_xlfn.XLOOKUP(C697,'Project Details'!$C$17:$C$66,'Project Details'!$E$17:$E$66,"",0)</f>
        <v>0</v>
      </c>
      <c r="J697" s="16">
        <f>_xlfn.XLOOKUP(C697,'Project Details'!$C$17:$C$66,'Project Details'!$H$17:$H$66,"",0)</f>
        <v>0</v>
      </c>
      <c r="K697" s="33" t="str">
        <f>IF(AND(_xlfn.XLOOKUP(C697,'Project Details'!$C$17:$C$66,'Project Details'!$L$17:$L$66,"",0)&gt;550, F697="Spring-L27cm"),"",SUBSTITUTE(_xlfn.XLOOKUP(G697,SKUs!$C$2:$C$10001,SKUs!$F$2:$F$10001,"",0), " Accessories",""))</f>
        <v/>
      </c>
      <c r="L697" s="33">
        <f>_xlfn.XLOOKUP(C697,'Project Details'!$C$17:$C$66,'Project Details'!$D$17:$D$66,"",0)</f>
        <v>0</v>
      </c>
      <c r="M697" s="43"/>
    </row>
    <row r="698" spans="1:13" ht="13.5" customHeight="1" outlineLevel="1" x14ac:dyDescent="0.25">
      <c r="A698" s="43"/>
      <c r="B698" s="43"/>
      <c r="C698" s="35">
        <f t="shared" si="12"/>
        <v>14</v>
      </c>
      <c r="D698" s="35" t="str" cm="1">
        <f t="array" ref="D698">IFERROR(ROUNDUP(_xlfn.IFS(F698="Aluminum Track", _xlfn.XLOOKUP(C698, dd_accsrycalc!$A$2:$A$51, dd_accsrycalc!$B$2:$B$51, "",0), F698="10 x 2 1/2 S (Flat)", _xlfn.XLOOKUP(C698, dd_accsrycalc!$A$2:$A$51, dd_accsrycalc!$C$2:$C$51, "",0), F698="Tox6", _xlfn.XLOOKUP(C698, dd_accsrycalc!$A$2:$A$51, dd_accsrycalc!$D$2:$D$51, "",0), F698="Cover Cap", _xlfn.XLOOKUP(C698, dd_accsrycalc!$A$2:$A$51, dd_accsrycalc!$E$2:$E$51, "",0), F698="Drainage Cover", _xlfn.XLOOKUP(C698, dd_accsrycalc!$A$2:$A$51, dd_accsrycalc!$F$2:$F$51, "",0),AND( F698="Double Adhesive Tape", I698="Roll-up Screen"), _xlfn.XLOOKUP(C698, calc_rusacc!$C$15:$C$65, calc_rusacc!$AD$15:$AD$65, "",0),AND( F698="Sealant", I698="Roll-up Screen"), _xlfn.XLOOKUP(C698, calc_rusacc!$C$15:$C$65, calc_rusacc!$AF$15:$AF$65, "",0),  AND( F698="Main Chain", I698="Accordion Screen"), _xlfn.XLOOKUP(C698, calc_rusacc!$C$15:$C$65, calc_rusacc!$BF$15:$BF$65, "",0), AND( F698="Sealant", I698="Accordion Screen"), _xlfn.XLOOKUP(C698, calc_rusacc!$C$15:$C$65, calc_rusacc!$BJ$15:$BJ$65, "",0),  F698="Sealant", _xlfn.XLOOKUP(C698, dd_accsrycalc!$A$2:$A$51, dd_accsrycalc!$G$2:$G$51, "",0),  F698&lt;&gt;"",L698*_xlfn.XLOOKUP(1, (SKUs!$C$2:$C$10001=G698)*(SKUs!$K$2:$K$10001=I698),SKUs!$E$2:$E$10001)), 0),"")</f>
        <v/>
      </c>
      <c r="E698" s="35" t="str">
        <f>_xlfn.XLOOKUP(F698,dd_item!$B$2:$B$105,dd_item!$C$2:$C$105,"",0)</f>
        <v/>
      </c>
      <c r="F698" s="35"/>
      <c r="G698" s="35" cm="1">
        <f t="array" ref="G698">IFERROR(_xlfn.XLOOKUP(1, (SKUs!$J$2:$J$10001=accsry_unmerged!F698)*IF(H698&lt;&gt;"",(SKUs!$L$2:$L$10001=accsry_unmerged!H698),1)*(SKUs!$K$2:$K$10001=I698),SKUs!$C$2:$C$10001),"")</f>
        <v>0</v>
      </c>
      <c r="H698" s="36" cm="1">
        <f t="array" ref="H698">IFERROR(_xlfn.XLOOKUP(1, (dd_accsryclr!$C$2:$C$1000=accsry_unmerged!F698)*(dd_accsryclr!$B$2:$B$1000=accsry_unmerged!J698),dd_accsryclr!$A$2:$A$1000),"")</f>
        <v>0</v>
      </c>
      <c r="I698" s="35">
        <f>_xlfn.XLOOKUP(C698,'Project Details'!$C$17:$C$66,'Project Details'!$E$17:$E$66,"",0)</f>
        <v>0</v>
      </c>
      <c r="J698" s="35">
        <f>_xlfn.XLOOKUP(C698,'Project Details'!$C$17:$C$66,'Project Details'!$H$17:$H$66,"",0)</f>
        <v>0</v>
      </c>
      <c r="K698" s="36" t="str">
        <f>IF(AND(_xlfn.XLOOKUP(C698,'Project Details'!$C$17:$C$66,'Project Details'!$L$17:$L$66,"",0)&gt;550, F698="Spring-L27cm"),"",SUBSTITUTE(_xlfn.XLOOKUP(G698,SKUs!$C$2:$C$10001,SKUs!$F$2:$F$10001,"",0), " Accessories",""))</f>
        <v/>
      </c>
      <c r="L698" s="36">
        <f>_xlfn.XLOOKUP(C698,'Project Details'!$C$17:$C$66,'Project Details'!$D$17:$D$66,"",0)</f>
        <v>0</v>
      </c>
      <c r="M698" s="43"/>
    </row>
    <row r="699" spans="1:13" ht="13.5" customHeight="1" outlineLevel="1" x14ac:dyDescent="0.25">
      <c r="A699" s="43"/>
      <c r="B699" s="43"/>
      <c r="C699" s="16">
        <f t="shared" si="12"/>
        <v>14</v>
      </c>
      <c r="D699" s="16" t="str" cm="1">
        <f t="array" ref="D699">IFERROR(ROUNDUP(_xlfn.IFS(F699="Aluminum Track", _xlfn.XLOOKUP(C699, dd_accsrycalc!$A$2:$A$51, dd_accsrycalc!$B$2:$B$51, "",0), F699="10 x 2 1/2 S (Flat)", _xlfn.XLOOKUP(C699, dd_accsrycalc!$A$2:$A$51, dd_accsrycalc!$C$2:$C$51, "",0), F699="Tox6", _xlfn.XLOOKUP(C699, dd_accsrycalc!$A$2:$A$51, dd_accsrycalc!$D$2:$D$51, "",0), F699="Cover Cap", _xlfn.XLOOKUP(C699, dd_accsrycalc!$A$2:$A$51, dd_accsrycalc!$E$2:$E$51, "",0), F699="Drainage Cover", _xlfn.XLOOKUP(C699, dd_accsrycalc!$A$2:$A$51, dd_accsrycalc!$F$2:$F$51, "",0),AND( F699="Double Adhesive Tape", I699="Roll-up Screen"), _xlfn.XLOOKUP(C699, calc_rusacc!$C$15:$C$65, calc_rusacc!$AD$15:$AD$65, "",0),AND( F699="Sealant", I699="Roll-up Screen"), _xlfn.XLOOKUP(C699, calc_rusacc!$C$15:$C$65, calc_rusacc!$AF$15:$AF$65, "",0),  AND( F699="Main Chain", I699="Accordion Screen"), _xlfn.XLOOKUP(C699, calc_rusacc!$C$15:$C$65, calc_rusacc!$BF$15:$BF$65, "",0), AND( F699="Sealant", I699="Accordion Screen"), _xlfn.XLOOKUP(C699, calc_rusacc!$C$15:$C$65, calc_rusacc!$BJ$15:$BJ$65, "",0),  F699="Sealant", _xlfn.XLOOKUP(C699, dd_accsrycalc!$A$2:$A$51, dd_accsrycalc!$G$2:$G$51, "",0),  F699&lt;&gt;"",L699*_xlfn.XLOOKUP(1, (SKUs!$C$2:$C$10001=G699)*(SKUs!$K$2:$K$10001=I699),SKUs!$E$2:$E$10001)), 0),"")</f>
        <v/>
      </c>
      <c r="E699" s="16" t="str">
        <f>_xlfn.XLOOKUP(F699,dd_item!$B$2:$B$105,dd_item!$C$2:$C$105,"",0)</f>
        <v/>
      </c>
      <c r="F699" s="16"/>
      <c r="G699" s="16" cm="1">
        <f t="array" ref="G699">IFERROR(_xlfn.XLOOKUP(1, (SKUs!$J$2:$J$10001=accsry_unmerged!F699)*IF(H699&lt;&gt;"",(SKUs!$L$2:$L$10001=accsry_unmerged!H699),1)*(SKUs!$K$2:$K$10001=I699),SKUs!$C$2:$C$10001),"")</f>
        <v>0</v>
      </c>
      <c r="H699" s="33" cm="1">
        <f t="array" ref="H699">IFERROR(_xlfn.XLOOKUP(1, (dd_accsryclr!$C$2:$C$1000=accsry_unmerged!F699)*(dd_accsryclr!$B$2:$B$1000=accsry_unmerged!J699),dd_accsryclr!$A$2:$A$1000),"")</f>
        <v>0</v>
      </c>
      <c r="I699" s="16">
        <f>_xlfn.XLOOKUP(C699,'Project Details'!$C$17:$C$66,'Project Details'!$E$17:$E$66,"",0)</f>
        <v>0</v>
      </c>
      <c r="J699" s="16">
        <f>_xlfn.XLOOKUP(C699,'Project Details'!$C$17:$C$66,'Project Details'!$H$17:$H$66,"",0)</f>
        <v>0</v>
      </c>
      <c r="K699" s="33" t="str">
        <f>IF(AND(_xlfn.XLOOKUP(C699,'Project Details'!$C$17:$C$66,'Project Details'!$L$17:$L$66,"",0)&gt;550, F699="Spring-L27cm"),"",SUBSTITUTE(_xlfn.XLOOKUP(G699,SKUs!$C$2:$C$10001,SKUs!$F$2:$F$10001,"",0), " Accessories",""))</f>
        <v/>
      </c>
      <c r="L699" s="33">
        <f>_xlfn.XLOOKUP(C699,'Project Details'!$C$17:$C$66,'Project Details'!$D$17:$D$66,"",0)</f>
        <v>0</v>
      </c>
      <c r="M699" s="43"/>
    </row>
    <row r="700" spans="1:13" ht="13.5" customHeight="1" outlineLevel="1" x14ac:dyDescent="0.25">
      <c r="A700" s="43"/>
      <c r="B700" s="43"/>
      <c r="C700" s="35">
        <f t="shared" si="12"/>
        <v>14</v>
      </c>
      <c r="D700" s="35" t="str" cm="1">
        <f t="array" ref="D700">IFERROR(ROUNDUP(_xlfn.IFS(F700="Aluminum Track", _xlfn.XLOOKUP(C700, dd_accsrycalc!$A$2:$A$51, dd_accsrycalc!$B$2:$B$51, "",0), F700="10 x 2 1/2 S (Flat)", _xlfn.XLOOKUP(C700, dd_accsrycalc!$A$2:$A$51, dd_accsrycalc!$C$2:$C$51, "",0), F700="Tox6", _xlfn.XLOOKUP(C700, dd_accsrycalc!$A$2:$A$51, dd_accsrycalc!$D$2:$D$51, "",0), F700="Cover Cap", _xlfn.XLOOKUP(C700, dd_accsrycalc!$A$2:$A$51, dd_accsrycalc!$E$2:$E$51, "",0), F700="Drainage Cover", _xlfn.XLOOKUP(C700, dd_accsrycalc!$A$2:$A$51, dd_accsrycalc!$F$2:$F$51, "",0),AND( F700="Double Adhesive Tape", I700="Roll-up Screen"), _xlfn.XLOOKUP(C700, calc_rusacc!$C$15:$C$65, calc_rusacc!$AD$15:$AD$65, "",0),AND( F700="Sealant", I700="Roll-up Screen"), _xlfn.XLOOKUP(C700, calc_rusacc!$C$15:$C$65, calc_rusacc!$AF$15:$AF$65, "",0),  AND( F700="Main Chain", I700="Accordion Screen"), _xlfn.XLOOKUP(C700, calc_rusacc!$C$15:$C$65, calc_rusacc!$BF$15:$BF$65, "",0), AND( F700="Sealant", I700="Accordion Screen"), _xlfn.XLOOKUP(C700, calc_rusacc!$C$15:$C$65, calc_rusacc!$BJ$15:$BJ$65, "",0),  F700="Sealant", _xlfn.XLOOKUP(C700, dd_accsrycalc!$A$2:$A$51, dd_accsrycalc!$G$2:$G$51, "",0),  F700&lt;&gt;"",L700*_xlfn.XLOOKUP(1, (SKUs!$C$2:$C$10001=G700)*(SKUs!$K$2:$K$10001=I700),SKUs!$E$2:$E$10001)), 0),"")</f>
        <v/>
      </c>
      <c r="E700" s="35" t="str">
        <f>_xlfn.XLOOKUP(F700,dd_item!$B$2:$B$105,dd_item!$C$2:$C$105,"",0)</f>
        <v/>
      </c>
      <c r="F700" s="35"/>
      <c r="G700" s="35" cm="1">
        <f t="array" ref="G700">IFERROR(_xlfn.XLOOKUP(1, (SKUs!$J$2:$J$10001=accsry_unmerged!F700)*IF(H700&lt;&gt;"",(SKUs!$L$2:$L$10001=accsry_unmerged!H700),1)*(SKUs!$K$2:$K$10001=I700),SKUs!$C$2:$C$10001),"")</f>
        <v>0</v>
      </c>
      <c r="H700" s="36" cm="1">
        <f t="array" ref="H700">IFERROR(_xlfn.XLOOKUP(1, (dd_accsryclr!$C$2:$C$1000=accsry_unmerged!F700)*(dd_accsryclr!$B$2:$B$1000=accsry_unmerged!J700),dd_accsryclr!$A$2:$A$1000),"")</f>
        <v>0</v>
      </c>
      <c r="I700" s="35">
        <f>_xlfn.XLOOKUP(C700,'Project Details'!$C$17:$C$66,'Project Details'!$E$17:$E$66,"",0)</f>
        <v>0</v>
      </c>
      <c r="J700" s="35">
        <f>_xlfn.XLOOKUP(C700,'Project Details'!$C$17:$C$66,'Project Details'!$H$17:$H$66,"",0)</f>
        <v>0</v>
      </c>
      <c r="K700" s="36" t="str">
        <f>IF(AND(_xlfn.XLOOKUP(C700,'Project Details'!$C$17:$C$66,'Project Details'!$L$17:$L$66,"",0)&gt;550, F700="Spring-L27cm"),"",SUBSTITUTE(_xlfn.XLOOKUP(G700,SKUs!$C$2:$C$10001,SKUs!$F$2:$F$10001,"",0), " Accessories",""))</f>
        <v/>
      </c>
      <c r="L700" s="36">
        <f>_xlfn.XLOOKUP(C700,'Project Details'!$C$17:$C$66,'Project Details'!$D$17:$D$66,"",0)</f>
        <v>0</v>
      </c>
      <c r="M700" s="43"/>
    </row>
    <row r="701" spans="1:13" ht="13.5" customHeight="1" outlineLevel="1" x14ac:dyDescent="0.25">
      <c r="A701" s="43"/>
      <c r="B701" s="43"/>
      <c r="C701" s="16">
        <f t="shared" si="12"/>
        <v>14</v>
      </c>
      <c r="D701" s="16" t="str" cm="1">
        <f t="array" ref="D701">IFERROR(ROUNDUP(_xlfn.IFS(F701="Aluminum Track", _xlfn.XLOOKUP(C701, dd_accsrycalc!$A$2:$A$51, dd_accsrycalc!$B$2:$B$51, "",0), F701="10 x 2 1/2 S (Flat)", _xlfn.XLOOKUP(C701, dd_accsrycalc!$A$2:$A$51, dd_accsrycalc!$C$2:$C$51, "",0), F701="Tox6", _xlfn.XLOOKUP(C701, dd_accsrycalc!$A$2:$A$51, dd_accsrycalc!$D$2:$D$51, "",0), F701="Cover Cap", _xlfn.XLOOKUP(C701, dd_accsrycalc!$A$2:$A$51, dd_accsrycalc!$E$2:$E$51, "",0), F701="Drainage Cover", _xlfn.XLOOKUP(C701, dd_accsrycalc!$A$2:$A$51, dd_accsrycalc!$F$2:$F$51, "",0),AND( F701="Double Adhesive Tape", I701="Roll-up Screen"), _xlfn.XLOOKUP(C701, calc_rusacc!$C$15:$C$65, calc_rusacc!$AD$15:$AD$65, "",0),AND( F701="Sealant", I701="Roll-up Screen"), _xlfn.XLOOKUP(C701, calc_rusacc!$C$15:$C$65, calc_rusacc!$AF$15:$AF$65, "",0),  AND( F701="Main Chain", I701="Accordion Screen"), _xlfn.XLOOKUP(C701, calc_rusacc!$C$15:$C$65, calc_rusacc!$BF$15:$BF$65, "",0), AND( F701="Sealant", I701="Accordion Screen"), _xlfn.XLOOKUP(C701, calc_rusacc!$C$15:$C$65, calc_rusacc!$BJ$15:$BJ$65, "",0),  F701="Sealant", _xlfn.XLOOKUP(C701, dd_accsrycalc!$A$2:$A$51, dd_accsrycalc!$G$2:$G$51, "",0),  F701&lt;&gt;"",L701*_xlfn.XLOOKUP(1, (SKUs!$C$2:$C$10001=G701)*(SKUs!$K$2:$K$10001=I701),SKUs!$E$2:$E$10001)), 0),"")</f>
        <v/>
      </c>
      <c r="E701" s="16" t="str">
        <f>_xlfn.XLOOKUP(F701,dd_item!$B$2:$B$105,dd_item!$C$2:$C$105,"",0)</f>
        <v/>
      </c>
      <c r="F701" s="16"/>
      <c r="G701" s="16" cm="1">
        <f t="array" ref="G701">IFERROR(_xlfn.XLOOKUP(1, (SKUs!$J$2:$J$10001=accsry_unmerged!F701)*IF(H701&lt;&gt;"",(SKUs!$L$2:$L$10001=accsry_unmerged!H701),1)*(SKUs!$K$2:$K$10001=I701),SKUs!$C$2:$C$10001),"")</f>
        <v>0</v>
      </c>
      <c r="H701" s="33" cm="1">
        <f t="array" ref="H701">IFERROR(_xlfn.XLOOKUP(1, (dd_accsryclr!$C$2:$C$1000=accsry_unmerged!F701)*(dd_accsryclr!$B$2:$B$1000=accsry_unmerged!J701),dd_accsryclr!$A$2:$A$1000),"")</f>
        <v>0</v>
      </c>
      <c r="I701" s="16">
        <f>_xlfn.XLOOKUP(C701,'Project Details'!$C$17:$C$66,'Project Details'!$E$17:$E$66,"",0)</f>
        <v>0</v>
      </c>
      <c r="J701" s="16">
        <f>_xlfn.XLOOKUP(C701,'Project Details'!$C$17:$C$66,'Project Details'!$H$17:$H$66,"",0)</f>
        <v>0</v>
      </c>
      <c r="K701" s="33" t="str">
        <f>IF(AND(_xlfn.XLOOKUP(C701,'Project Details'!$C$17:$C$66,'Project Details'!$L$17:$L$66,"",0)&gt;550, F701="Spring-L27cm"),"",SUBSTITUTE(_xlfn.XLOOKUP(G701,SKUs!$C$2:$C$10001,SKUs!$F$2:$F$10001,"",0), " Accessories",""))</f>
        <v/>
      </c>
      <c r="L701" s="33">
        <f>_xlfn.XLOOKUP(C701,'Project Details'!$C$17:$C$66,'Project Details'!$D$17:$D$66,"",0)</f>
        <v>0</v>
      </c>
      <c r="M701" s="43"/>
    </row>
    <row r="702" spans="1:13" ht="13.5" customHeight="1" outlineLevel="1" x14ac:dyDescent="0.25">
      <c r="A702" s="43"/>
      <c r="B702" s="43"/>
      <c r="C702" s="35">
        <f t="shared" si="12"/>
        <v>14</v>
      </c>
      <c r="D702" s="35" t="str" cm="1">
        <f t="array" ref="D702">IFERROR(ROUNDUP(_xlfn.IFS(F702="Aluminum Track", _xlfn.XLOOKUP(C702, dd_accsrycalc!$A$2:$A$51, dd_accsrycalc!$B$2:$B$51, "",0), F702="10 x 2 1/2 S (Flat)", _xlfn.XLOOKUP(C702, dd_accsrycalc!$A$2:$A$51, dd_accsrycalc!$C$2:$C$51, "",0), F702="Tox6", _xlfn.XLOOKUP(C702, dd_accsrycalc!$A$2:$A$51, dd_accsrycalc!$D$2:$D$51, "",0), F702="Cover Cap", _xlfn.XLOOKUP(C702, dd_accsrycalc!$A$2:$A$51, dd_accsrycalc!$E$2:$E$51, "",0), F702="Drainage Cover", _xlfn.XLOOKUP(C702, dd_accsrycalc!$A$2:$A$51, dd_accsrycalc!$F$2:$F$51, "",0),AND( F702="Double Adhesive Tape", I702="Roll-up Screen"), _xlfn.XLOOKUP(C702, calc_rusacc!$C$15:$C$65, calc_rusacc!$AD$15:$AD$65, "",0),AND( F702="Sealant", I702="Roll-up Screen"), _xlfn.XLOOKUP(C702, calc_rusacc!$C$15:$C$65, calc_rusacc!$AF$15:$AF$65, "",0),  AND( F702="Main Chain", I702="Accordion Screen"), _xlfn.XLOOKUP(C702, calc_rusacc!$C$15:$C$65, calc_rusacc!$BF$15:$BF$65, "",0), AND( F702="Sealant", I702="Accordion Screen"), _xlfn.XLOOKUP(C702, calc_rusacc!$C$15:$C$65, calc_rusacc!$BJ$15:$BJ$65, "",0),  F702="Sealant", _xlfn.XLOOKUP(C702, dd_accsrycalc!$A$2:$A$51, dd_accsrycalc!$G$2:$G$51, "",0),  F702&lt;&gt;"",L702*_xlfn.XLOOKUP(1, (SKUs!$C$2:$C$10001=G702)*(SKUs!$K$2:$K$10001=I702),SKUs!$E$2:$E$10001)), 0),"")</f>
        <v/>
      </c>
      <c r="E702" s="35" t="str">
        <f>_xlfn.XLOOKUP(F702,dd_item!$B$2:$B$105,dd_item!$C$2:$C$105,"",0)</f>
        <v/>
      </c>
      <c r="F702" s="35"/>
      <c r="G702" s="35" cm="1">
        <f t="array" ref="G702">IFERROR(_xlfn.XLOOKUP(1, (SKUs!$J$2:$J$10001=accsry_unmerged!F702)*IF(H702&lt;&gt;"",(SKUs!$L$2:$L$10001=accsry_unmerged!H702),1)*(SKUs!$K$2:$K$10001=I702),SKUs!$C$2:$C$10001),"")</f>
        <v>0</v>
      </c>
      <c r="H702" s="36" cm="1">
        <f t="array" ref="H702">IFERROR(_xlfn.XLOOKUP(1, (dd_accsryclr!$C$2:$C$1000=accsry_unmerged!F702)*(dd_accsryclr!$B$2:$B$1000=accsry_unmerged!J702),dd_accsryclr!$A$2:$A$1000),"")</f>
        <v>0</v>
      </c>
      <c r="I702" s="35">
        <f>_xlfn.XLOOKUP(C702,'Project Details'!$C$17:$C$66,'Project Details'!$E$17:$E$66,"",0)</f>
        <v>0</v>
      </c>
      <c r="J702" s="35">
        <f>_xlfn.XLOOKUP(C702,'Project Details'!$C$17:$C$66,'Project Details'!$H$17:$H$66,"",0)</f>
        <v>0</v>
      </c>
      <c r="K702" s="36" t="str">
        <f>IF(AND(_xlfn.XLOOKUP(C702,'Project Details'!$C$17:$C$66,'Project Details'!$L$17:$L$66,"",0)&gt;550, F702="Spring-L27cm"),"",SUBSTITUTE(_xlfn.XLOOKUP(G702,SKUs!$C$2:$C$10001,SKUs!$F$2:$F$10001,"",0), " Accessories",""))</f>
        <v/>
      </c>
      <c r="L702" s="36">
        <f>_xlfn.XLOOKUP(C702,'Project Details'!$C$17:$C$66,'Project Details'!$D$17:$D$66,"",0)</f>
        <v>0</v>
      </c>
      <c r="M702" s="43"/>
    </row>
    <row r="703" spans="1:13" ht="13.5" customHeight="1" outlineLevel="1" x14ac:dyDescent="0.25">
      <c r="A703" s="43"/>
      <c r="B703" s="43"/>
      <c r="C703" s="16">
        <f t="shared" si="12"/>
        <v>14</v>
      </c>
      <c r="D703" s="16" t="str" cm="1">
        <f t="array" ref="D703">IFERROR(ROUNDUP(_xlfn.IFS(F703="Aluminum Track", _xlfn.XLOOKUP(C703, dd_accsrycalc!$A$2:$A$51, dd_accsrycalc!$B$2:$B$51, "",0), F703="10 x 2 1/2 S (Flat)", _xlfn.XLOOKUP(C703, dd_accsrycalc!$A$2:$A$51, dd_accsrycalc!$C$2:$C$51, "",0), F703="Tox6", _xlfn.XLOOKUP(C703, dd_accsrycalc!$A$2:$A$51, dd_accsrycalc!$D$2:$D$51, "",0), F703="Cover Cap", _xlfn.XLOOKUP(C703, dd_accsrycalc!$A$2:$A$51, dd_accsrycalc!$E$2:$E$51, "",0), F703="Drainage Cover", _xlfn.XLOOKUP(C703, dd_accsrycalc!$A$2:$A$51, dd_accsrycalc!$F$2:$F$51, "",0),AND( F703="Double Adhesive Tape", I703="Roll-up Screen"), _xlfn.XLOOKUP(C703, calc_rusacc!$C$15:$C$65, calc_rusacc!$AD$15:$AD$65, "",0),AND( F703="Sealant", I703="Roll-up Screen"), _xlfn.XLOOKUP(C703, calc_rusacc!$C$15:$C$65, calc_rusacc!$AF$15:$AF$65, "",0),  AND( F703="Main Chain", I703="Accordion Screen"), _xlfn.XLOOKUP(C703, calc_rusacc!$C$15:$C$65, calc_rusacc!$BF$15:$BF$65, "",0), AND( F703="Sealant", I703="Accordion Screen"), _xlfn.XLOOKUP(C703, calc_rusacc!$C$15:$C$65, calc_rusacc!$BJ$15:$BJ$65, "",0),  F703="Sealant", _xlfn.XLOOKUP(C703, dd_accsrycalc!$A$2:$A$51, dd_accsrycalc!$G$2:$G$51, "",0),  F703&lt;&gt;"",L703*_xlfn.XLOOKUP(1, (SKUs!$C$2:$C$10001=G703)*(SKUs!$K$2:$K$10001=I703),SKUs!$E$2:$E$10001)), 0),"")</f>
        <v/>
      </c>
      <c r="E703" s="16" t="str">
        <f>_xlfn.XLOOKUP(F703,dd_item!$B$2:$B$105,dd_item!$C$2:$C$105,"",0)</f>
        <v/>
      </c>
      <c r="F703" s="16"/>
      <c r="G703" s="16" cm="1">
        <f t="array" ref="G703">IFERROR(_xlfn.XLOOKUP(1, (SKUs!$J$2:$J$10001=accsry_unmerged!F703)*IF(H703&lt;&gt;"",(SKUs!$L$2:$L$10001=accsry_unmerged!H703),1)*(SKUs!$K$2:$K$10001=I703),SKUs!$C$2:$C$10001),"")</f>
        <v>0</v>
      </c>
      <c r="H703" s="33" cm="1">
        <f t="array" ref="H703">IFERROR(_xlfn.XLOOKUP(1, (dd_accsryclr!$C$2:$C$1000=accsry_unmerged!F703)*(dd_accsryclr!$B$2:$B$1000=accsry_unmerged!J703),dd_accsryclr!$A$2:$A$1000),"")</f>
        <v>0</v>
      </c>
      <c r="I703" s="16">
        <f>_xlfn.XLOOKUP(C703,'Project Details'!$C$17:$C$66,'Project Details'!$E$17:$E$66,"",0)</f>
        <v>0</v>
      </c>
      <c r="J703" s="16">
        <f>_xlfn.XLOOKUP(C703,'Project Details'!$C$17:$C$66,'Project Details'!$H$17:$H$66,"",0)</f>
        <v>0</v>
      </c>
      <c r="K703" s="33" t="str">
        <f>IF(AND(_xlfn.XLOOKUP(C703,'Project Details'!$C$17:$C$66,'Project Details'!$L$17:$L$66,"",0)&gt;550, F703="Spring-L27cm"),"",SUBSTITUTE(_xlfn.XLOOKUP(G703,SKUs!$C$2:$C$10001,SKUs!$F$2:$F$10001,"",0), " Accessories",""))</f>
        <v/>
      </c>
      <c r="L703" s="33">
        <f>_xlfn.XLOOKUP(C703,'Project Details'!$C$17:$C$66,'Project Details'!$D$17:$D$66,"",0)</f>
        <v>0</v>
      </c>
      <c r="M703" s="43"/>
    </row>
    <row r="704" spans="1:13" ht="13.5" customHeight="1" outlineLevel="1" x14ac:dyDescent="0.25">
      <c r="A704" s="43"/>
      <c r="B704" s="43"/>
      <c r="C704" s="35">
        <f t="shared" si="12"/>
        <v>14</v>
      </c>
      <c r="D704" s="35" t="str" cm="1">
        <f t="array" ref="D704">IFERROR(ROUNDUP(_xlfn.IFS(F704="Aluminum Track", _xlfn.XLOOKUP(C704, dd_accsrycalc!$A$2:$A$51, dd_accsrycalc!$B$2:$B$51, "",0), F704="10 x 2 1/2 S (Flat)", _xlfn.XLOOKUP(C704, dd_accsrycalc!$A$2:$A$51, dd_accsrycalc!$C$2:$C$51, "",0), F704="Tox6", _xlfn.XLOOKUP(C704, dd_accsrycalc!$A$2:$A$51, dd_accsrycalc!$D$2:$D$51, "",0), F704="Cover Cap", _xlfn.XLOOKUP(C704, dd_accsrycalc!$A$2:$A$51, dd_accsrycalc!$E$2:$E$51, "",0), F704="Drainage Cover", _xlfn.XLOOKUP(C704, dd_accsrycalc!$A$2:$A$51, dd_accsrycalc!$F$2:$F$51, "",0),AND( F704="Double Adhesive Tape", I704="Roll-up Screen"), _xlfn.XLOOKUP(C704, calc_rusacc!$C$15:$C$65, calc_rusacc!$AD$15:$AD$65, "",0),AND( F704="Sealant", I704="Roll-up Screen"), _xlfn.XLOOKUP(C704, calc_rusacc!$C$15:$C$65, calc_rusacc!$AF$15:$AF$65, "",0),  AND( F704="Main Chain", I704="Accordion Screen"), _xlfn.XLOOKUP(C704, calc_rusacc!$C$15:$C$65, calc_rusacc!$BF$15:$BF$65, "",0), AND( F704="Sealant", I704="Accordion Screen"), _xlfn.XLOOKUP(C704, calc_rusacc!$C$15:$C$65, calc_rusacc!$BJ$15:$BJ$65, "",0),  F704="Sealant", _xlfn.XLOOKUP(C704, dd_accsrycalc!$A$2:$A$51, dd_accsrycalc!$G$2:$G$51, "",0),  F704&lt;&gt;"",L704*_xlfn.XLOOKUP(1, (SKUs!$C$2:$C$10001=G704)*(SKUs!$K$2:$K$10001=I704),SKUs!$E$2:$E$10001)), 0),"")</f>
        <v/>
      </c>
      <c r="E704" s="35" t="str">
        <f>_xlfn.XLOOKUP(F704,dd_item!$B$2:$B$105,dd_item!$C$2:$C$105,"",0)</f>
        <v/>
      </c>
      <c r="F704" s="35"/>
      <c r="G704" s="35" cm="1">
        <f t="array" ref="G704">IFERROR(_xlfn.XLOOKUP(1, (SKUs!$J$2:$J$10001=accsry_unmerged!F704)*IF(H704&lt;&gt;"",(SKUs!$L$2:$L$10001=accsry_unmerged!H704),1)*(SKUs!$K$2:$K$10001=I704),SKUs!$C$2:$C$10001),"")</f>
        <v>0</v>
      </c>
      <c r="H704" s="36" cm="1">
        <f t="array" ref="H704">IFERROR(_xlfn.XLOOKUP(1, (dd_accsryclr!$C$2:$C$1000=accsry_unmerged!F704)*(dd_accsryclr!$B$2:$B$1000=accsry_unmerged!J704),dd_accsryclr!$A$2:$A$1000),"")</f>
        <v>0</v>
      </c>
      <c r="I704" s="35">
        <f>_xlfn.XLOOKUP(C704,'Project Details'!$C$17:$C$66,'Project Details'!$E$17:$E$66,"",0)</f>
        <v>0</v>
      </c>
      <c r="J704" s="35">
        <f>_xlfn.XLOOKUP(C704,'Project Details'!$C$17:$C$66,'Project Details'!$H$17:$H$66,"",0)</f>
        <v>0</v>
      </c>
      <c r="K704" s="36" t="str">
        <f>IF(AND(_xlfn.XLOOKUP(C704,'Project Details'!$C$17:$C$66,'Project Details'!$L$17:$L$66,"",0)&gt;550, F704="Spring-L27cm"),"",SUBSTITUTE(_xlfn.XLOOKUP(G704,SKUs!$C$2:$C$10001,SKUs!$F$2:$F$10001,"",0), " Accessories",""))</f>
        <v/>
      </c>
      <c r="L704" s="36">
        <f>_xlfn.XLOOKUP(C704,'Project Details'!$C$17:$C$66,'Project Details'!$D$17:$D$66,"",0)</f>
        <v>0</v>
      </c>
      <c r="M704" s="43"/>
    </row>
    <row r="705" spans="1:13" ht="13.5" customHeight="1" outlineLevel="1" collapsed="1" x14ac:dyDescent="0.25">
      <c r="A705" s="43"/>
      <c r="B705" s="43"/>
      <c r="C705" s="16">
        <f t="shared" si="12"/>
        <v>14</v>
      </c>
      <c r="D705" s="16" t="str" cm="1">
        <f t="array" ref="D705">IFERROR(ROUNDUP(_xlfn.IFS(F705="Aluminum Track", _xlfn.XLOOKUP(C705, dd_accsrycalc!$A$2:$A$51, dd_accsrycalc!$B$2:$B$51, "",0), F705="10 x 2 1/2 S (Flat)", _xlfn.XLOOKUP(C705, dd_accsrycalc!$A$2:$A$51, dd_accsrycalc!$C$2:$C$51, "",0), F705="Tox6", _xlfn.XLOOKUP(C705, dd_accsrycalc!$A$2:$A$51, dd_accsrycalc!$D$2:$D$51, "",0), F705="Cover Cap", _xlfn.XLOOKUP(C705, dd_accsrycalc!$A$2:$A$51, dd_accsrycalc!$E$2:$E$51, "",0), F705="Drainage Cover", _xlfn.XLOOKUP(C705, dd_accsrycalc!$A$2:$A$51, dd_accsrycalc!$F$2:$F$51, "",0),AND( F705="Double Adhesive Tape", I705="Roll-up Screen"), _xlfn.XLOOKUP(C705, calc_rusacc!$C$15:$C$65, calc_rusacc!$AD$15:$AD$65, "",0),AND( F705="Sealant", I705="Roll-up Screen"), _xlfn.XLOOKUP(C705, calc_rusacc!$C$15:$C$65, calc_rusacc!$AF$15:$AF$65, "",0),  AND( F705="Main Chain", I705="Accordion Screen"), _xlfn.XLOOKUP(C705, calc_rusacc!$C$15:$C$65, calc_rusacc!$BF$15:$BF$65, "",0), AND( F705="Sealant", I705="Accordion Screen"), _xlfn.XLOOKUP(C705, calc_rusacc!$C$15:$C$65, calc_rusacc!$BJ$15:$BJ$65, "",0),  F705="Sealant", _xlfn.XLOOKUP(C705, dd_accsrycalc!$A$2:$A$51, dd_accsrycalc!$G$2:$G$51, "",0),  F705&lt;&gt;"",L705*_xlfn.XLOOKUP(1, (SKUs!$C$2:$C$10001=G705)*(SKUs!$K$2:$K$10001=I705),SKUs!$E$2:$E$10001)), 0),"")</f>
        <v/>
      </c>
      <c r="E705" s="16" t="str">
        <f>_xlfn.XLOOKUP(F705,dd_item!$B$2:$B$105,dd_item!$C$2:$C$105,"",0)</f>
        <v/>
      </c>
      <c r="F705" s="16"/>
      <c r="G705" s="16" cm="1">
        <f t="array" ref="G705">IFERROR(_xlfn.XLOOKUP(1, (SKUs!$J$2:$J$10001=accsry_unmerged!F705)*IF(H705&lt;&gt;"",(SKUs!$L$2:$L$10001=accsry_unmerged!H705),1)*(SKUs!$K$2:$K$10001=I705),SKUs!$C$2:$C$10001),"")</f>
        <v>0</v>
      </c>
      <c r="H705" s="33" cm="1">
        <f t="array" ref="H705">IFERROR(_xlfn.XLOOKUP(1, (dd_accsryclr!$C$2:$C$1000=accsry_unmerged!F705)*(dd_accsryclr!$B$2:$B$1000=accsry_unmerged!J705),dd_accsryclr!$A$2:$A$1000),"")</f>
        <v>0</v>
      </c>
      <c r="I705" s="16">
        <f>_xlfn.XLOOKUP(C705,'Project Details'!$C$17:$C$66,'Project Details'!$E$17:$E$66,"",0)</f>
        <v>0</v>
      </c>
      <c r="J705" s="16">
        <f>_xlfn.XLOOKUP(C705,'Project Details'!$C$17:$C$66,'Project Details'!$H$17:$H$66,"",0)</f>
        <v>0</v>
      </c>
      <c r="K705" s="33" t="str">
        <f>IF(AND(_xlfn.XLOOKUP(C705,'Project Details'!$C$17:$C$66,'Project Details'!$L$17:$L$66,"",0)&gt;550, F705="Spring-L27cm"),"",SUBSTITUTE(_xlfn.XLOOKUP(G705,SKUs!$C$2:$C$10001,SKUs!$F$2:$F$10001,"",0), " Accessories",""))</f>
        <v/>
      </c>
      <c r="L705" s="33">
        <f>_xlfn.XLOOKUP(C705,'Project Details'!$C$17:$C$66,'Project Details'!$D$17:$D$66,"",0)</f>
        <v>0</v>
      </c>
      <c r="M705" s="43"/>
    </row>
    <row r="706" spans="1:13" ht="13.5" customHeight="1" outlineLevel="1" x14ac:dyDescent="0.25">
      <c r="A706" s="43"/>
      <c r="B706" s="43"/>
      <c r="C706" s="35">
        <f t="shared" si="12"/>
        <v>14</v>
      </c>
      <c r="D706" s="35" t="str" cm="1">
        <f t="array" ref="D706">IFERROR(ROUNDUP(_xlfn.IFS(F706="Aluminum Track", _xlfn.XLOOKUP(C706, dd_accsrycalc!$A$2:$A$51, dd_accsrycalc!$B$2:$B$51, "",0), F706="10 x 2 1/2 S (Flat)", _xlfn.XLOOKUP(C706, dd_accsrycalc!$A$2:$A$51, dd_accsrycalc!$C$2:$C$51, "",0), F706="Tox6", _xlfn.XLOOKUP(C706, dd_accsrycalc!$A$2:$A$51, dd_accsrycalc!$D$2:$D$51, "",0), F706="Cover Cap", _xlfn.XLOOKUP(C706, dd_accsrycalc!$A$2:$A$51, dd_accsrycalc!$E$2:$E$51, "",0), F706="Drainage Cover", _xlfn.XLOOKUP(C706, dd_accsrycalc!$A$2:$A$51, dd_accsrycalc!$F$2:$F$51, "",0),AND( F706="Double Adhesive Tape", I706="Roll-up Screen"), _xlfn.XLOOKUP(C706, calc_rusacc!$C$15:$C$65, calc_rusacc!$AD$15:$AD$65, "",0),AND( F706="Sealant", I706="Roll-up Screen"), _xlfn.XLOOKUP(C706, calc_rusacc!$C$15:$C$65, calc_rusacc!$AF$15:$AF$65, "",0),  AND( F706="Main Chain", I706="Accordion Screen"), _xlfn.XLOOKUP(C706, calc_rusacc!$C$15:$C$65, calc_rusacc!$BF$15:$BF$65, "",0), AND( F706="Sealant", I706="Accordion Screen"), _xlfn.XLOOKUP(C706, calc_rusacc!$C$15:$C$65, calc_rusacc!$BJ$15:$BJ$65, "",0),  F706="Sealant", _xlfn.XLOOKUP(C706, dd_accsrycalc!$A$2:$A$51, dd_accsrycalc!$G$2:$G$51, "",0),  F706&lt;&gt;"",L706*_xlfn.XLOOKUP(1, (SKUs!$C$2:$C$10001=G706)*(SKUs!$K$2:$K$10001=I706),SKUs!$E$2:$E$10001)), 0),"")</f>
        <v/>
      </c>
      <c r="E706" s="35" t="str">
        <f>_xlfn.XLOOKUP(F706,dd_item!$B$2:$B$105,dd_item!$C$2:$C$105,"",0)</f>
        <v/>
      </c>
      <c r="F706" s="35"/>
      <c r="G706" s="35" cm="1">
        <f t="array" ref="G706">IFERROR(_xlfn.XLOOKUP(1, (SKUs!$J$2:$J$10001=accsry_unmerged!F706)*IF(H706&lt;&gt;"",(SKUs!$L$2:$L$10001=accsry_unmerged!H706),1)*(SKUs!$K$2:$K$10001=I706),SKUs!$C$2:$C$10001),"")</f>
        <v>0</v>
      </c>
      <c r="H706" s="36" cm="1">
        <f t="array" ref="H706">IFERROR(_xlfn.XLOOKUP(1, (dd_accsryclr!$C$2:$C$1000=accsry_unmerged!F706)*(dd_accsryclr!$B$2:$B$1000=accsry_unmerged!J706),dd_accsryclr!$A$2:$A$1000),"")</f>
        <v>0</v>
      </c>
      <c r="I706" s="35">
        <f>_xlfn.XLOOKUP(C706,'Project Details'!$C$17:$C$66,'Project Details'!$E$17:$E$66,"",0)</f>
        <v>0</v>
      </c>
      <c r="J706" s="35">
        <f>_xlfn.XLOOKUP(C706,'Project Details'!$C$17:$C$66,'Project Details'!$H$17:$H$66,"",0)</f>
        <v>0</v>
      </c>
      <c r="K706" s="36" t="str">
        <f>IF(AND(_xlfn.XLOOKUP(C706,'Project Details'!$C$17:$C$66,'Project Details'!$L$17:$L$66,"",0)&gt;550, F706="Spring-L27cm"),"",SUBSTITUTE(_xlfn.XLOOKUP(G706,SKUs!$C$2:$C$10001,SKUs!$F$2:$F$10001,"",0), " Accessories",""))</f>
        <v/>
      </c>
      <c r="L706" s="36">
        <f>_xlfn.XLOOKUP(C706,'Project Details'!$C$17:$C$66,'Project Details'!$D$17:$D$66,"",0)</f>
        <v>0</v>
      </c>
      <c r="M706" s="43"/>
    </row>
    <row r="707" spans="1:13" ht="13.5" customHeight="1" outlineLevel="1" x14ac:dyDescent="0.25">
      <c r="A707" s="43"/>
      <c r="B707" s="43"/>
      <c r="C707" s="16">
        <f t="shared" si="12"/>
        <v>14</v>
      </c>
      <c r="D707" s="16" t="str" cm="1">
        <f t="array" ref="D707">IFERROR(ROUNDUP(_xlfn.IFS(F707="Aluminum Track", _xlfn.XLOOKUP(C707, dd_accsrycalc!$A$2:$A$51, dd_accsrycalc!$B$2:$B$51, "",0), F707="10 x 2 1/2 S (Flat)", _xlfn.XLOOKUP(C707, dd_accsrycalc!$A$2:$A$51, dd_accsrycalc!$C$2:$C$51, "",0), F707="Tox6", _xlfn.XLOOKUP(C707, dd_accsrycalc!$A$2:$A$51, dd_accsrycalc!$D$2:$D$51, "",0), F707="Cover Cap", _xlfn.XLOOKUP(C707, dd_accsrycalc!$A$2:$A$51, dd_accsrycalc!$E$2:$E$51, "",0), F707="Drainage Cover", _xlfn.XLOOKUP(C707, dd_accsrycalc!$A$2:$A$51, dd_accsrycalc!$F$2:$F$51, "",0),AND( F707="Double Adhesive Tape", I707="Roll-up Screen"), _xlfn.XLOOKUP(C707, calc_rusacc!$C$15:$C$65, calc_rusacc!$AD$15:$AD$65, "",0),AND( F707="Sealant", I707="Roll-up Screen"), _xlfn.XLOOKUP(C707, calc_rusacc!$C$15:$C$65, calc_rusacc!$AF$15:$AF$65, "",0),  AND( F707="Main Chain", I707="Accordion Screen"), _xlfn.XLOOKUP(C707, calc_rusacc!$C$15:$C$65, calc_rusacc!$BF$15:$BF$65, "",0), AND( F707="Sealant", I707="Accordion Screen"), _xlfn.XLOOKUP(C707, calc_rusacc!$C$15:$C$65, calc_rusacc!$BJ$15:$BJ$65, "",0),  F707="Sealant", _xlfn.XLOOKUP(C707, dd_accsrycalc!$A$2:$A$51, dd_accsrycalc!$G$2:$G$51, "",0),  F707&lt;&gt;"",L707*_xlfn.XLOOKUP(1, (SKUs!$C$2:$C$10001=G707)*(SKUs!$K$2:$K$10001=I707),SKUs!$E$2:$E$10001)), 0),"")</f>
        <v/>
      </c>
      <c r="E707" s="16" t="str">
        <f>_xlfn.XLOOKUP(F707,dd_item!$B$2:$B$105,dd_item!$C$2:$C$105,"",0)</f>
        <v/>
      </c>
      <c r="F707" s="16"/>
      <c r="G707" s="16" cm="1">
        <f t="array" ref="G707">IFERROR(_xlfn.XLOOKUP(1, (SKUs!$J$2:$J$10001=accsry_unmerged!F707)*IF(H707&lt;&gt;"",(SKUs!$L$2:$L$10001=accsry_unmerged!H707),1)*(SKUs!$K$2:$K$10001=I707),SKUs!$C$2:$C$10001),"")</f>
        <v>0</v>
      </c>
      <c r="H707" s="33" cm="1">
        <f t="array" ref="H707">IFERROR(_xlfn.XLOOKUP(1, (dd_accsryclr!$C$2:$C$1000=accsry_unmerged!F707)*(dd_accsryclr!$B$2:$B$1000=accsry_unmerged!J707),dd_accsryclr!$A$2:$A$1000),"")</f>
        <v>0</v>
      </c>
      <c r="I707" s="16">
        <f>_xlfn.XLOOKUP(C707,'Project Details'!$C$17:$C$66,'Project Details'!$E$17:$E$66,"",0)</f>
        <v>0</v>
      </c>
      <c r="J707" s="16">
        <f>_xlfn.XLOOKUP(C707,'Project Details'!$C$17:$C$66,'Project Details'!$H$17:$H$66,"",0)</f>
        <v>0</v>
      </c>
      <c r="K707" s="33" t="str">
        <f>IF(AND(_xlfn.XLOOKUP(C707,'Project Details'!$C$17:$C$66,'Project Details'!$L$17:$L$66,"",0)&gt;550, F707="Spring-L27cm"),"",SUBSTITUTE(_xlfn.XLOOKUP(G707,SKUs!$C$2:$C$10001,SKUs!$F$2:$F$10001,"",0), " Accessories",""))</f>
        <v/>
      </c>
      <c r="L707" s="33">
        <f>_xlfn.XLOOKUP(C707,'Project Details'!$C$17:$C$66,'Project Details'!$D$17:$D$66,"",0)</f>
        <v>0</v>
      </c>
      <c r="M707" s="43"/>
    </row>
    <row r="708" spans="1:13" ht="13.5" customHeight="1" outlineLevel="1" x14ac:dyDescent="0.25">
      <c r="A708" s="43"/>
      <c r="B708" s="43"/>
      <c r="C708" s="35">
        <f t="shared" si="12"/>
        <v>14</v>
      </c>
      <c r="D708" s="35" t="str" cm="1">
        <f t="array" ref="D708">IFERROR(ROUNDUP(_xlfn.IFS(F708="Aluminum Track", _xlfn.XLOOKUP(C708, dd_accsrycalc!$A$2:$A$51, dd_accsrycalc!$B$2:$B$51, "",0), F708="10 x 2 1/2 S (Flat)", _xlfn.XLOOKUP(C708, dd_accsrycalc!$A$2:$A$51, dd_accsrycalc!$C$2:$C$51, "",0), F708="Tox6", _xlfn.XLOOKUP(C708, dd_accsrycalc!$A$2:$A$51, dd_accsrycalc!$D$2:$D$51, "",0), F708="Cover Cap", _xlfn.XLOOKUP(C708, dd_accsrycalc!$A$2:$A$51, dd_accsrycalc!$E$2:$E$51, "",0), F708="Drainage Cover", _xlfn.XLOOKUP(C708, dd_accsrycalc!$A$2:$A$51, dd_accsrycalc!$F$2:$F$51, "",0),AND( F708="Double Adhesive Tape", I708="Roll-up Screen"), _xlfn.XLOOKUP(C708, calc_rusacc!$C$15:$C$65, calc_rusacc!$AD$15:$AD$65, "",0),AND( F708="Sealant", I708="Roll-up Screen"), _xlfn.XLOOKUP(C708, calc_rusacc!$C$15:$C$65, calc_rusacc!$AF$15:$AF$65, "",0),  AND( F708="Main Chain", I708="Accordion Screen"), _xlfn.XLOOKUP(C708, calc_rusacc!$C$15:$C$65, calc_rusacc!$BF$15:$BF$65, "",0), AND( F708="Sealant", I708="Accordion Screen"), _xlfn.XLOOKUP(C708, calc_rusacc!$C$15:$C$65, calc_rusacc!$BJ$15:$BJ$65, "",0),  F708="Sealant", _xlfn.XLOOKUP(C708, dd_accsrycalc!$A$2:$A$51, dd_accsrycalc!$G$2:$G$51, "",0),  F708&lt;&gt;"",L708*_xlfn.XLOOKUP(1, (SKUs!$C$2:$C$10001=G708)*(SKUs!$K$2:$K$10001=I708),SKUs!$E$2:$E$10001)), 0),"")</f>
        <v/>
      </c>
      <c r="E708" s="35" t="str">
        <f>_xlfn.XLOOKUP(F708,dd_item!$B$2:$B$105,dd_item!$C$2:$C$105,"",0)</f>
        <v/>
      </c>
      <c r="F708" s="35"/>
      <c r="G708" s="35" cm="1">
        <f t="array" ref="G708">IFERROR(_xlfn.XLOOKUP(1, (SKUs!$J$2:$J$10001=accsry_unmerged!F708)*IF(H708&lt;&gt;"",(SKUs!$L$2:$L$10001=accsry_unmerged!H708),1)*(SKUs!$K$2:$K$10001=I708),SKUs!$C$2:$C$10001),"")</f>
        <v>0</v>
      </c>
      <c r="H708" s="36" cm="1">
        <f t="array" ref="H708">IFERROR(_xlfn.XLOOKUP(1, (dd_accsryclr!$C$2:$C$1000=accsry_unmerged!F708)*(dd_accsryclr!$B$2:$B$1000=accsry_unmerged!J708),dd_accsryclr!$A$2:$A$1000),"")</f>
        <v>0</v>
      </c>
      <c r="I708" s="35">
        <f>_xlfn.XLOOKUP(C708,'Project Details'!$C$17:$C$66,'Project Details'!$E$17:$E$66,"",0)</f>
        <v>0</v>
      </c>
      <c r="J708" s="35">
        <f>_xlfn.XLOOKUP(C708,'Project Details'!$C$17:$C$66,'Project Details'!$H$17:$H$66,"",0)</f>
        <v>0</v>
      </c>
      <c r="K708" s="36" t="str">
        <f>IF(AND(_xlfn.XLOOKUP(C708,'Project Details'!$C$17:$C$66,'Project Details'!$L$17:$L$66,"",0)&gt;550, F708="Spring-L27cm"),"",SUBSTITUTE(_xlfn.XLOOKUP(G708,SKUs!$C$2:$C$10001,SKUs!$F$2:$F$10001,"",0), " Accessories",""))</f>
        <v/>
      </c>
      <c r="L708" s="36">
        <f>_xlfn.XLOOKUP(C708,'Project Details'!$C$17:$C$66,'Project Details'!$D$17:$D$66,"",0)</f>
        <v>0</v>
      </c>
      <c r="M708" s="43"/>
    </row>
    <row r="709" spans="1:13" ht="13.5" customHeight="1" outlineLevel="1" x14ac:dyDescent="0.25">
      <c r="A709" s="43"/>
      <c r="B709" s="43"/>
      <c r="C709" s="16">
        <f t="shared" si="12"/>
        <v>14</v>
      </c>
      <c r="D709" s="16" t="str" cm="1">
        <f t="array" ref="D709">IFERROR(ROUNDUP(_xlfn.IFS(F709="Aluminum Track", _xlfn.XLOOKUP(C709, dd_accsrycalc!$A$2:$A$51, dd_accsrycalc!$B$2:$B$51, "",0), F709="10 x 2 1/2 S (Flat)", _xlfn.XLOOKUP(C709, dd_accsrycalc!$A$2:$A$51, dd_accsrycalc!$C$2:$C$51, "",0), F709="Tox6", _xlfn.XLOOKUP(C709, dd_accsrycalc!$A$2:$A$51, dd_accsrycalc!$D$2:$D$51, "",0), F709="Cover Cap", _xlfn.XLOOKUP(C709, dd_accsrycalc!$A$2:$A$51, dd_accsrycalc!$E$2:$E$51, "",0), F709="Drainage Cover", _xlfn.XLOOKUP(C709, dd_accsrycalc!$A$2:$A$51, dd_accsrycalc!$F$2:$F$51, "",0),AND( F709="Double Adhesive Tape", I709="Roll-up Screen"), _xlfn.XLOOKUP(C709, calc_rusacc!$C$15:$C$65, calc_rusacc!$AD$15:$AD$65, "",0),AND( F709="Sealant", I709="Roll-up Screen"), _xlfn.XLOOKUP(C709, calc_rusacc!$C$15:$C$65, calc_rusacc!$AF$15:$AF$65, "",0),  AND( F709="Main Chain", I709="Accordion Screen"), _xlfn.XLOOKUP(C709, calc_rusacc!$C$15:$C$65, calc_rusacc!$BF$15:$BF$65, "",0), AND( F709="Sealant", I709="Accordion Screen"), _xlfn.XLOOKUP(C709, calc_rusacc!$C$15:$C$65, calc_rusacc!$BJ$15:$BJ$65, "",0),  F709="Sealant", _xlfn.XLOOKUP(C709, dd_accsrycalc!$A$2:$A$51, dd_accsrycalc!$G$2:$G$51, "",0),  F709&lt;&gt;"",L709*_xlfn.XLOOKUP(1, (SKUs!$C$2:$C$10001=G709)*(SKUs!$K$2:$K$10001=I709),SKUs!$E$2:$E$10001)), 0),"")</f>
        <v/>
      </c>
      <c r="E709" s="16" t="str">
        <f>_xlfn.XLOOKUP(F709,dd_item!$B$2:$B$105,dd_item!$C$2:$C$105,"",0)</f>
        <v/>
      </c>
      <c r="F709" s="16"/>
      <c r="G709" s="16" cm="1">
        <f t="array" ref="G709">IFERROR(_xlfn.XLOOKUP(1, (SKUs!$J$2:$J$10001=accsry_unmerged!F709)*IF(H709&lt;&gt;"",(SKUs!$L$2:$L$10001=accsry_unmerged!H709),1)*(SKUs!$K$2:$K$10001=I709),SKUs!$C$2:$C$10001),"")</f>
        <v>0</v>
      </c>
      <c r="H709" s="33" cm="1">
        <f t="array" ref="H709">IFERROR(_xlfn.XLOOKUP(1, (dd_accsryclr!$C$2:$C$1000=accsry_unmerged!F709)*(dd_accsryclr!$B$2:$B$1000=accsry_unmerged!J709),dd_accsryclr!$A$2:$A$1000),"")</f>
        <v>0</v>
      </c>
      <c r="I709" s="16">
        <f>_xlfn.XLOOKUP(C709,'Project Details'!$C$17:$C$66,'Project Details'!$E$17:$E$66,"",0)</f>
        <v>0</v>
      </c>
      <c r="J709" s="16">
        <f>_xlfn.XLOOKUP(C709,'Project Details'!$C$17:$C$66,'Project Details'!$H$17:$H$66,"",0)</f>
        <v>0</v>
      </c>
      <c r="K709" s="33" t="str">
        <f>IF(AND(_xlfn.XLOOKUP(C709,'Project Details'!$C$17:$C$66,'Project Details'!$L$17:$L$66,"",0)&gt;550, F709="Spring-L27cm"),"",SUBSTITUTE(_xlfn.XLOOKUP(G709,SKUs!$C$2:$C$10001,SKUs!$F$2:$F$10001,"",0), " Accessories",""))</f>
        <v/>
      </c>
      <c r="L709" s="33">
        <f>_xlfn.XLOOKUP(C709,'Project Details'!$C$17:$C$66,'Project Details'!$D$17:$D$66,"",0)</f>
        <v>0</v>
      </c>
      <c r="M709" s="43"/>
    </row>
    <row r="710" spans="1:13" ht="13.5" customHeight="1" outlineLevel="1" x14ac:dyDescent="0.25">
      <c r="A710" s="43"/>
      <c r="B710" s="43"/>
      <c r="C710" s="35">
        <f t="shared" si="12"/>
        <v>14</v>
      </c>
      <c r="D710" s="35" t="str" cm="1">
        <f t="array" ref="D710">IFERROR(ROUNDUP(_xlfn.IFS(F710="Aluminum Track", _xlfn.XLOOKUP(C710, dd_accsrycalc!$A$2:$A$51, dd_accsrycalc!$B$2:$B$51, "",0), F710="10 x 2 1/2 S (Flat)", _xlfn.XLOOKUP(C710, dd_accsrycalc!$A$2:$A$51, dd_accsrycalc!$C$2:$C$51, "",0), F710="Tox6", _xlfn.XLOOKUP(C710, dd_accsrycalc!$A$2:$A$51, dd_accsrycalc!$D$2:$D$51, "",0), F710="Cover Cap", _xlfn.XLOOKUP(C710, dd_accsrycalc!$A$2:$A$51, dd_accsrycalc!$E$2:$E$51, "",0), F710="Drainage Cover", _xlfn.XLOOKUP(C710, dd_accsrycalc!$A$2:$A$51, dd_accsrycalc!$F$2:$F$51, "",0),AND( F710="Double Adhesive Tape", I710="Roll-up Screen"), _xlfn.XLOOKUP(C710, calc_rusacc!$C$15:$C$65, calc_rusacc!$AD$15:$AD$65, "",0),AND( F710="Sealant", I710="Roll-up Screen"), _xlfn.XLOOKUP(C710, calc_rusacc!$C$15:$C$65, calc_rusacc!$AF$15:$AF$65, "",0),  AND( F710="Main Chain", I710="Accordion Screen"), _xlfn.XLOOKUP(C710, calc_rusacc!$C$15:$C$65, calc_rusacc!$BF$15:$BF$65, "",0), AND( F710="Sealant", I710="Accordion Screen"), _xlfn.XLOOKUP(C710, calc_rusacc!$C$15:$C$65, calc_rusacc!$BJ$15:$BJ$65, "",0),  F710="Sealant", _xlfn.XLOOKUP(C710, dd_accsrycalc!$A$2:$A$51, dd_accsrycalc!$G$2:$G$51, "",0),  F710&lt;&gt;"",L710*_xlfn.XLOOKUP(1, (SKUs!$C$2:$C$10001=G710)*(SKUs!$K$2:$K$10001=I710),SKUs!$E$2:$E$10001)), 0),"")</f>
        <v/>
      </c>
      <c r="E710" s="35" t="str">
        <f>_xlfn.XLOOKUP(F710,dd_item!$B$2:$B$105,dd_item!$C$2:$C$105,"",0)</f>
        <v/>
      </c>
      <c r="F710" s="35"/>
      <c r="G710" s="35" cm="1">
        <f t="array" ref="G710">IFERROR(_xlfn.XLOOKUP(1, (SKUs!$J$2:$J$10001=accsry_unmerged!F710)*IF(H710&lt;&gt;"",(SKUs!$L$2:$L$10001=accsry_unmerged!H710),1)*(SKUs!$K$2:$K$10001=I710),SKUs!$C$2:$C$10001),"")</f>
        <v>0</v>
      </c>
      <c r="H710" s="36" cm="1">
        <f t="array" ref="H710">IFERROR(_xlfn.XLOOKUP(1, (dd_accsryclr!$C$2:$C$1000=accsry_unmerged!F710)*(dd_accsryclr!$B$2:$B$1000=accsry_unmerged!J710),dd_accsryclr!$A$2:$A$1000),"")</f>
        <v>0</v>
      </c>
      <c r="I710" s="35">
        <f>_xlfn.XLOOKUP(C710,'Project Details'!$C$17:$C$66,'Project Details'!$E$17:$E$66,"",0)</f>
        <v>0</v>
      </c>
      <c r="J710" s="35">
        <f>_xlfn.XLOOKUP(C710,'Project Details'!$C$17:$C$66,'Project Details'!$H$17:$H$66,"",0)</f>
        <v>0</v>
      </c>
      <c r="K710" s="36" t="str">
        <f>IF(AND(_xlfn.XLOOKUP(C710,'Project Details'!$C$17:$C$66,'Project Details'!$L$17:$L$66,"",0)&gt;550, F710="Spring-L27cm"),"",SUBSTITUTE(_xlfn.XLOOKUP(G710,SKUs!$C$2:$C$10001,SKUs!$F$2:$F$10001,"",0), " Accessories",""))</f>
        <v/>
      </c>
      <c r="L710" s="36">
        <f>_xlfn.XLOOKUP(C710,'Project Details'!$C$17:$C$66,'Project Details'!$D$17:$D$66,"",0)</f>
        <v>0</v>
      </c>
      <c r="M710" s="43"/>
    </row>
    <row r="711" spans="1:13" ht="13.5" customHeight="1" outlineLevel="1" x14ac:dyDescent="0.25">
      <c r="A711" s="43"/>
      <c r="B711" s="43"/>
      <c r="C711" s="16">
        <f t="shared" si="12"/>
        <v>14</v>
      </c>
      <c r="D711" s="16" t="str" cm="1">
        <f t="array" ref="D711">IFERROR(ROUNDUP(_xlfn.IFS(F711="Aluminum Track", _xlfn.XLOOKUP(C711, dd_accsrycalc!$A$2:$A$51, dd_accsrycalc!$B$2:$B$51, "",0), F711="10 x 2 1/2 S (Flat)", _xlfn.XLOOKUP(C711, dd_accsrycalc!$A$2:$A$51, dd_accsrycalc!$C$2:$C$51, "",0), F711="Tox6", _xlfn.XLOOKUP(C711, dd_accsrycalc!$A$2:$A$51, dd_accsrycalc!$D$2:$D$51, "",0), F711="Cover Cap", _xlfn.XLOOKUP(C711, dd_accsrycalc!$A$2:$A$51, dd_accsrycalc!$E$2:$E$51, "",0), F711="Drainage Cover", _xlfn.XLOOKUP(C711, dd_accsrycalc!$A$2:$A$51, dd_accsrycalc!$F$2:$F$51, "",0),AND( F711="Double Adhesive Tape", I711="Roll-up Screen"), _xlfn.XLOOKUP(C711, calc_rusacc!$C$15:$C$65, calc_rusacc!$AD$15:$AD$65, "",0),AND( F711="Sealant", I711="Roll-up Screen"), _xlfn.XLOOKUP(C711, calc_rusacc!$C$15:$C$65, calc_rusacc!$AF$15:$AF$65, "",0),  AND( F711="Main Chain", I711="Accordion Screen"), _xlfn.XLOOKUP(C711, calc_rusacc!$C$15:$C$65, calc_rusacc!$BF$15:$BF$65, "",0), AND( F711="Sealant", I711="Accordion Screen"), _xlfn.XLOOKUP(C711, calc_rusacc!$C$15:$C$65, calc_rusacc!$BJ$15:$BJ$65, "",0),  F711="Sealant", _xlfn.XLOOKUP(C711, dd_accsrycalc!$A$2:$A$51, dd_accsrycalc!$G$2:$G$51, "",0),  F711&lt;&gt;"",L711*_xlfn.XLOOKUP(1, (SKUs!$C$2:$C$10001=G711)*(SKUs!$K$2:$K$10001=I711),SKUs!$E$2:$E$10001)), 0),"")</f>
        <v/>
      </c>
      <c r="E711" s="16" t="str">
        <f>_xlfn.XLOOKUP(F711,dd_item!$B$2:$B$105,dd_item!$C$2:$C$105,"",0)</f>
        <v/>
      </c>
      <c r="F711" s="16"/>
      <c r="G711" s="16" cm="1">
        <f t="array" ref="G711">IFERROR(_xlfn.XLOOKUP(1, (SKUs!$J$2:$J$10001=accsry_unmerged!F711)*IF(H711&lt;&gt;"",(SKUs!$L$2:$L$10001=accsry_unmerged!H711),1)*(SKUs!$K$2:$K$10001=I711),SKUs!$C$2:$C$10001),"")</f>
        <v>0</v>
      </c>
      <c r="H711" s="33" cm="1">
        <f t="array" ref="H711">IFERROR(_xlfn.XLOOKUP(1, (dd_accsryclr!$C$2:$C$1000=accsry_unmerged!F711)*(dd_accsryclr!$B$2:$B$1000=accsry_unmerged!J711),dd_accsryclr!$A$2:$A$1000),"")</f>
        <v>0</v>
      </c>
      <c r="I711" s="16">
        <f>_xlfn.XLOOKUP(C711,'Project Details'!$C$17:$C$66,'Project Details'!$E$17:$E$66,"",0)</f>
        <v>0</v>
      </c>
      <c r="J711" s="16">
        <f>_xlfn.XLOOKUP(C711,'Project Details'!$C$17:$C$66,'Project Details'!$H$17:$H$66,"",0)</f>
        <v>0</v>
      </c>
      <c r="K711" s="33" t="str">
        <f>IF(AND(_xlfn.XLOOKUP(C711,'Project Details'!$C$17:$C$66,'Project Details'!$L$17:$L$66,"",0)&gt;550, F711="Spring-L27cm"),"",SUBSTITUTE(_xlfn.XLOOKUP(G711,SKUs!$C$2:$C$10001,SKUs!$F$2:$F$10001,"",0), " Accessories",""))</f>
        <v/>
      </c>
      <c r="L711" s="33">
        <f>_xlfn.XLOOKUP(C711,'Project Details'!$C$17:$C$66,'Project Details'!$D$17:$D$66,"",0)</f>
        <v>0</v>
      </c>
      <c r="M711" s="43"/>
    </row>
    <row r="712" spans="1:13" ht="13.5" customHeight="1" outlineLevel="1" x14ac:dyDescent="0.25">
      <c r="A712" s="43"/>
      <c r="B712" s="43"/>
      <c r="C712" s="35">
        <f t="shared" si="12"/>
        <v>14</v>
      </c>
      <c r="D712" s="35" t="str" cm="1">
        <f t="array" ref="D712">IFERROR(ROUNDUP(_xlfn.IFS(F712="Aluminum Track", _xlfn.XLOOKUP(C712, dd_accsrycalc!$A$2:$A$51, dd_accsrycalc!$B$2:$B$51, "",0), F712="10 x 2 1/2 S (Flat)", _xlfn.XLOOKUP(C712, dd_accsrycalc!$A$2:$A$51, dd_accsrycalc!$C$2:$C$51, "",0), F712="Tox6", _xlfn.XLOOKUP(C712, dd_accsrycalc!$A$2:$A$51, dd_accsrycalc!$D$2:$D$51, "",0), F712="Cover Cap", _xlfn.XLOOKUP(C712, dd_accsrycalc!$A$2:$A$51, dd_accsrycalc!$E$2:$E$51, "",0), F712="Drainage Cover", _xlfn.XLOOKUP(C712, dd_accsrycalc!$A$2:$A$51, dd_accsrycalc!$F$2:$F$51, "",0),AND( F712="Double Adhesive Tape", I712="Roll-up Screen"), _xlfn.XLOOKUP(C712, calc_rusacc!$C$15:$C$65, calc_rusacc!$AD$15:$AD$65, "",0),AND( F712="Sealant", I712="Roll-up Screen"), _xlfn.XLOOKUP(C712, calc_rusacc!$C$15:$C$65, calc_rusacc!$AF$15:$AF$65, "",0),  AND( F712="Main Chain", I712="Accordion Screen"), _xlfn.XLOOKUP(C712, calc_rusacc!$C$15:$C$65, calc_rusacc!$BF$15:$BF$65, "",0), AND( F712="Sealant", I712="Accordion Screen"), _xlfn.XLOOKUP(C712, calc_rusacc!$C$15:$C$65, calc_rusacc!$BJ$15:$BJ$65, "",0),  F712="Sealant", _xlfn.XLOOKUP(C712, dd_accsrycalc!$A$2:$A$51, dd_accsrycalc!$G$2:$G$51, "",0),  F712&lt;&gt;"",L712*_xlfn.XLOOKUP(1, (SKUs!$C$2:$C$10001=G712)*(SKUs!$K$2:$K$10001=I712),SKUs!$E$2:$E$10001)), 0),"")</f>
        <v/>
      </c>
      <c r="E712" s="35" t="str">
        <f>_xlfn.XLOOKUP(F712,dd_item!$B$2:$B$105,dd_item!$C$2:$C$105,"",0)</f>
        <v/>
      </c>
      <c r="F712" s="35"/>
      <c r="G712" s="35" cm="1">
        <f t="array" ref="G712">IFERROR(_xlfn.XLOOKUP(1, (SKUs!$J$2:$J$10001=accsry_unmerged!F712)*IF(H712&lt;&gt;"",(SKUs!$L$2:$L$10001=accsry_unmerged!H712),1)*(SKUs!$K$2:$K$10001=I712),SKUs!$C$2:$C$10001),"")</f>
        <v>0</v>
      </c>
      <c r="H712" s="36" cm="1">
        <f t="array" ref="H712">IFERROR(_xlfn.XLOOKUP(1, (dd_accsryclr!$C$2:$C$1000=accsry_unmerged!F712)*(dd_accsryclr!$B$2:$B$1000=accsry_unmerged!J712),dd_accsryclr!$A$2:$A$1000),"")</f>
        <v>0</v>
      </c>
      <c r="I712" s="35">
        <f>_xlfn.XLOOKUP(C712,'Project Details'!$C$17:$C$66,'Project Details'!$E$17:$E$66,"",0)</f>
        <v>0</v>
      </c>
      <c r="J712" s="35">
        <f>_xlfn.XLOOKUP(C712,'Project Details'!$C$17:$C$66,'Project Details'!$H$17:$H$66,"",0)</f>
        <v>0</v>
      </c>
      <c r="K712" s="36" t="str">
        <f>IF(AND(_xlfn.XLOOKUP(C712,'Project Details'!$C$17:$C$66,'Project Details'!$L$17:$L$66,"",0)&gt;550, F712="Spring-L27cm"),"",SUBSTITUTE(_xlfn.XLOOKUP(G712,SKUs!$C$2:$C$10001,SKUs!$F$2:$F$10001,"",0), " Accessories",""))</f>
        <v/>
      </c>
      <c r="L712" s="36">
        <f>_xlfn.XLOOKUP(C712,'Project Details'!$C$17:$C$66,'Project Details'!$D$17:$D$66,"",0)</f>
        <v>0</v>
      </c>
      <c r="M712" s="43"/>
    </row>
    <row r="713" spans="1:13" ht="13.5" customHeight="1" outlineLevel="1" x14ac:dyDescent="0.25">
      <c r="A713" s="43"/>
      <c r="B713" s="43"/>
      <c r="C713" s="16">
        <f t="shared" si="12"/>
        <v>14</v>
      </c>
      <c r="D713" s="16" t="str" cm="1">
        <f t="array" ref="D713">IFERROR(ROUNDUP(_xlfn.IFS(F713="Aluminum Track", _xlfn.XLOOKUP(C713, dd_accsrycalc!$A$2:$A$51, dd_accsrycalc!$B$2:$B$51, "",0), F713="10 x 2 1/2 S (Flat)", _xlfn.XLOOKUP(C713, dd_accsrycalc!$A$2:$A$51, dd_accsrycalc!$C$2:$C$51, "",0), F713="Tox6", _xlfn.XLOOKUP(C713, dd_accsrycalc!$A$2:$A$51, dd_accsrycalc!$D$2:$D$51, "",0), F713="Cover Cap", _xlfn.XLOOKUP(C713, dd_accsrycalc!$A$2:$A$51, dd_accsrycalc!$E$2:$E$51, "",0), F713="Drainage Cover", _xlfn.XLOOKUP(C713, dd_accsrycalc!$A$2:$A$51, dd_accsrycalc!$F$2:$F$51, "",0),AND( F713="Double Adhesive Tape", I713="Roll-up Screen"), _xlfn.XLOOKUP(C713, calc_rusacc!$C$15:$C$65, calc_rusacc!$AD$15:$AD$65, "",0),AND( F713="Sealant", I713="Roll-up Screen"), _xlfn.XLOOKUP(C713, calc_rusacc!$C$15:$C$65, calc_rusacc!$AF$15:$AF$65, "",0),  AND( F713="Main Chain", I713="Accordion Screen"), _xlfn.XLOOKUP(C713, calc_rusacc!$C$15:$C$65, calc_rusacc!$BF$15:$BF$65, "",0), AND( F713="Sealant", I713="Accordion Screen"), _xlfn.XLOOKUP(C713, calc_rusacc!$C$15:$C$65, calc_rusacc!$BJ$15:$BJ$65, "",0),  F713="Sealant", _xlfn.XLOOKUP(C713, dd_accsrycalc!$A$2:$A$51, dd_accsrycalc!$G$2:$G$51, "",0),  F713&lt;&gt;"",L713*_xlfn.XLOOKUP(1, (SKUs!$C$2:$C$10001=G713)*(SKUs!$K$2:$K$10001=I713),SKUs!$E$2:$E$10001)), 0),"")</f>
        <v/>
      </c>
      <c r="E713" s="16" t="str">
        <f>_xlfn.XLOOKUP(F713,dd_item!$B$2:$B$105,dd_item!$C$2:$C$105,"",0)</f>
        <v/>
      </c>
      <c r="F713" s="16"/>
      <c r="G713" s="16" cm="1">
        <f t="array" ref="G713">IFERROR(_xlfn.XLOOKUP(1, (SKUs!$J$2:$J$10001=accsry_unmerged!F713)*IF(H713&lt;&gt;"",(SKUs!$L$2:$L$10001=accsry_unmerged!H713),1)*(SKUs!$K$2:$K$10001=I713),SKUs!$C$2:$C$10001),"")</f>
        <v>0</v>
      </c>
      <c r="H713" s="33" cm="1">
        <f t="array" ref="H713">IFERROR(_xlfn.XLOOKUP(1, (dd_accsryclr!$C$2:$C$1000=accsry_unmerged!F713)*(dd_accsryclr!$B$2:$B$1000=accsry_unmerged!J713),dd_accsryclr!$A$2:$A$1000),"")</f>
        <v>0</v>
      </c>
      <c r="I713" s="16">
        <f>_xlfn.XLOOKUP(C713,'Project Details'!$C$17:$C$66,'Project Details'!$E$17:$E$66,"",0)</f>
        <v>0</v>
      </c>
      <c r="J713" s="16">
        <f>_xlfn.XLOOKUP(C713,'Project Details'!$C$17:$C$66,'Project Details'!$H$17:$H$66,"",0)</f>
        <v>0</v>
      </c>
      <c r="K713" s="33" t="str">
        <f>IF(AND(_xlfn.XLOOKUP(C713,'Project Details'!$C$17:$C$66,'Project Details'!$L$17:$L$66,"",0)&gt;550, F713="Spring-L27cm"),"",SUBSTITUTE(_xlfn.XLOOKUP(G713,SKUs!$C$2:$C$10001,SKUs!$F$2:$F$10001,"",0), " Accessories",""))</f>
        <v/>
      </c>
      <c r="L713" s="33">
        <f>_xlfn.XLOOKUP(C713,'Project Details'!$C$17:$C$66,'Project Details'!$D$17:$D$66,"",0)</f>
        <v>0</v>
      </c>
      <c r="M713" s="43"/>
    </row>
    <row r="714" spans="1:13" x14ac:dyDescent="0.25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</row>
    <row r="715" spans="1:13" x14ac:dyDescent="0.25">
      <c r="A715" s="43"/>
      <c r="B715" s="43"/>
      <c r="C715" s="16">
        <f>C713+1</f>
        <v>15</v>
      </c>
      <c r="D715" s="48" cm="1">
        <f t="array" ref="D715">IFERROR(ROUNDUP(_xlfn.IFS(F715="Aluminum Track", _xlfn.XLOOKUP(C715, dd_accsrycalc!$A$2:$A$51, dd_accsrycalc!$B$2:$B$51, "",0), F715="10 x 2 1/2 S (Flat)", _xlfn.XLOOKUP(C715, dd_accsrycalc!$A$2:$A$51, dd_accsrycalc!$C$2:$C$51, "",0), F715="Tox6", _xlfn.XLOOKUP(C715, dd_accsrycalc!$A$2:$A$51, dd_accsrycalc!$D$2:$D$51, "",0), F715="Cover Cap", _xlfn.XLOOKUP(C715, dd_accsrycalc!$A$2:$A$51, dd_accsrycalc!$E$2:$E$51, "",0), F715="Drainage Cover", _xlfn.XLOOKUP(C715, dd_accsrycalc!$A$2:$A$51, dd_accsrycalc!$F$2:$F$51, "",0),AND( F715="Double Adhesive Tape", I715="Roll-up Screen"), _xlfn.XLOOKUP(C715, calc_rusacc!$C$15:$C$65, calc_rusacc!$AD$15:$AD$65, "",0),AND( F715="Sealant", I715="Roll-up Screen"), _xlfn.XLOOKUP(C715, calc_rusacc!$C$15:$C$65, calc_rusacc!$AF$15:$AF$65, "",0),  AND( F715="Main Chain", I715="Accordion Screen"), _xlfn.XLOOKUP(C715, calc_rusacc!$C$15:$C$65, calc_rusacc!$BF$15:$BF$65, "",0), AND( F715="Sealant", I715="Accordion Screen"), _xlfn.XLOOKUP(C715, calc_rusacc!$C$15:$C$65, calc_rusacc!$BJ$15:$BJ$65, "",0),  F715="Sealant", _xlfn.XLOOKUP(C715, dd_accsrycalc!$A$2:$A$51, dd_accsrycalc!$G$2:$G$51, "",0),  F715&lt;&gt;"",L715*_xlfn.XLOOKUP(1, (SKUs!$C$2:$C$10001=G715)*(SKUs!$K$2:$K$10001=I715),SKUs!$E$2:$E$10001)), 0),"")</f>
        <v>0</v>
      </c>
      <c r="E715" s="48" t="str">
        <f>_xlfn.XLOOKUP(F715,dd_item!$B$2:$B$105,dd_item!$C$2:$C$105,"",0)</f>
        <v/>
      </c>
      <c r="F715" s="48" cm="1">
        <f t="array" ref="F715">IFERROR(_xlfn.UNIQUE(_xlfn._xlws.FILTER(SKUs!$J$2:$J$10001, (SKUs!$F$2:$F$10001&lt;&gt;"Cutting List") * (SKUs!$A$2:$A$10001=_xlfn.XLOOKUP(_xlfn.XLOOKUP(C715,'Project Details'!$C$17:$C$66,'Project Details'!$E$17:$E$66,"",0), dd_design_raw!$A$2:$A$101,dd_design_raw!$C$2:$C$101,"",0)))), "")</f>
        <v>0</v>
      </c>
      <c r="G715" s="16" cm="1">
        <f t="array" ref="G715">IFERROR(_xlfn.XLOOKUP(1, (SKUs!$J$2:$J$10001=accsry_unmerged!F715)*IF(H715&lt;&gt;"",(SKUs!$L$2:$L$10001=accsry_unmerged!H715),1)*(SKUs!$K$2:$K$10001=I715),SKUs!$C$2:$C$10001),"")</f>
        <v>0</v>
      </c>
      <c r="H715" s="16" cm="1">
        <f t="array" ref="H715">IFERROR(_xlfn.XLOOKUP(1, (dd_accsryclr!$C$2:$C$1000=accsry_unmerged!F715)*(dd_accsryclr!$B$2:$B$1000=accsry_unmerged!J715),dd_accsryclr!$A$2:$A$1000),"")</f>
        <v>0</v>
      </c>
      <c r="I715" s="16">
        <f>_xlfn.XLOOKUP(C715,'Project Details'!$C$17:$C$66,'Project Details'!$E$17:$E$66,"",0)</f>
        <v>0</v>
      </c>
      <c r="J715" s="16">
        <f>_xlfn.XLOOKUP(C715,'Project Details'!$C$17:$C$66,'Project Details'!$H$17:$H$66,"",0)</f>
        <v>0</v>
      </c>
      <c r="K715" s="16" t="str">
        <f>IF(AND(_xlfn.XLOOKUP(C715,'Project Details'!$C$17:$C$66,'Project Details'!$L$17:$L$66,"",0)&gt;550, F715="Spring-L27cm"),"",SUBSTITUTE(_xlfn.XLOOKUP(G715,SKUs!$C$2:$C$10001,SKUs!$F$2:$F$10001,"",0), " Accessories",""))</f>
        <v/>
      </c>
      <c r="L715" s="16">
        <f>_xlfn.XLOOKUP(C715,'Project Details'!$C$17:$C$66,'Project Details'!$D$17:$D$66,"",0)</f>
        <v>0</v>
      </c>
      <c r="M715" s="43"/>
    </row>
    <row r="716" spans="1:13" x14ac:dyDescent="0.25">
      <c r="A716" s="43"/>
      <c r="B716" s="43"/>
      <c r="C716" s="35">
        <f>C715</f>
        <v>15</v>
      </c>
      <c r="D716" s="35" t="str" cm="1">
        <f t="array" ref="D716">IFERROR(ROUNDUP(_xlfn.IFS(F716="Aluminum Track", _xlfn.XLOOKUP(C716, dd_accsrycalc!$A$2:$A$51, dd_accsrycalc!$B$2:$B$51, "",0), F716="10 x 2 1/2 S (Flat)", _xlfn.XLOOKUP(C716, dd_accsrycalc!$A$2:$A$51, dd_accsrycalc!$C$2:$C$51, "",0), F716="Tox6", _xlfn.XLOOKUP(C716, dd_accsrycalc!$A$2:$A$51, dd_accsrycalc!$D$2:$D$51, "",0), F716="Cover Cap", _xlfn.XLOOKUP(C716, dd_accsrycalc!$A$2:$A$51, dd_accsrycalc!$E$2:$E$51, "",0), F716="Drainage Cover", _xlfn.XLOOKUP(C716, dd_accsrycalc!$A$2:$A$51, dd_accsrycalc!$F$2:$F$51, "",0),AND( F716="Double Adhesive Tape", I716="Roll-up Screen"), _xlfn.XLOOKUP(C716, calc_rusacc!$C$15:$C$65, calc_rusacc!$AD$15:$AD$65, "",0),AND( F716="Sealant", I716="Roll-up Screen"), _xlfn.XLOOKUP(C716, calc_rusacc!$C$15:$C$65, calc_rusacc!$AF$15:$AF$65, "",0),  AND( F716="Main Chain", I716="Accordion Screen"), _xlfn.XLOOKUP(C716, calc_rusacc!$C$15:$C$65, calc_rusacc!$BF$15:$BF$65, "",0), AND( F716="Sealant", I716="Accordion Screen"), _xlfn.XLOOKUP(C716, calc_rusacc!$C$15:$C$65, calc_rusacc!$BJ$15:$BJ$65, "",0),  F716="Sealant", _xlfn.XLOOKUP(C716, dd_accsrycalc!$A$2:$A$51, dd_accsrycalc!$G$2:$G$51, "",0),  F716&lt;&gt;"",L716*_xlfn.XLOOKUP(1, (SKUs!$C$2:$C$10001=G716)*(SKUs!$K$2:$K$10001=I716),SKUs!$E$2:$E$10001)), 0),"")</f>
        <v/>
      </c>
      <c r="E716" s="35" t="str">
        <f>_xlfn.XLOOKUP(F716,dd_item!$B$2:$B$105,dd_item!$C$2:$C$105,"",0)</f>
        <v/>
      </c>
      <c r="F716" s="35"/>
      <c r="G716" s="35" cm="1">
        <f t="array" ref="G716">IFERROR(_xlfn.XLOOKUP(1, (SKUs!$J$2:$J$10001=accsry_unmerged!F716)*IF(H716&lt;&gt;"",(SKUs!$L$2:$L$10001=accsry_unmerged!H716),1)*(SKUs!$K$2:$K$10001=I716),SKUs!$C$2:$C$10001),"")</f>
        <v>0</v>
      </c>
      <c r="H716" s="36" cm="1">
        <f t="array" ref="H716">IFERROR(_xlfn.XLOOKUP(1, (dd_accsryclr!$C$2:$C$1000=accsry_unmerged!F716)*(dd_accsryclr!$B$2:$B$1000=accsry_unmerged!J716),dd_accsryclr!$A$2:$A$1000),"")</f>
        <v>0</v>
      </c>
      <c r="I716" s="35">
        <f>_xlfn.XLOOKUP(C716,'Project Details'!$C$17:$C$66,'Project Details'!$E$17:$E$66,"",0)</f>
        <v>0</v>
      </c>
      <c r="J716" s="35">
        <f>_xlfn.XLOOKUP(C716,'Project Details'!$C$17:$C$66,'Project Details'!$H$17:$H$66,"",0)</f>
        <v>0</v>
      </c>
      <c r="K716" s="36" t="str">
        <f>IF(AND(_xlfn.XLOOKUP(C716,'Project Details'!$C$17:$C$66,'Project Details'!$L$17:$L$66,"",0)&gt;550, F716="Spring-L27cm"),"",SUBSTITUTE(_xlfn.XLOOKUP(G716,SKUs!$C$2:$C$10001,SKUs!$F$2:$F$10001,"",0), " Accessories",""))</f>
        <v/>
      </c>
      <c r="L716" s="36">
        <f>_xlfn.XLOOKUP(C716,'Project Details'!$C$17:$C$66,'Project Details'!$D$17:$D$66,"",0)</f>
        <v>0</v>
      </c>
      <c r="M716" s="43"/>
    </row>
    <row r="717" spans="1:13" x14ac:dyDescent="0.25">
      <c r="A717" s="43"/>
      <c r="B717" s="43"/>
      <c r="C717" s="16">
        <f t="shared" ref="C717:C763" si="13">C716</f>
        <v>15</v>
      </c>
      <c r="D717" s="16" t="str" cm="1">
        <f t="array" ref="D717">IFERROR(ROUNDUP(_xlfn.IFS(F717="Aluminum Track", _xlfn.XLOOKUP(C717, dd_accsrycalc!$A$2:$A$51, dd_accsrycalc!$B$2:$B$51, "",0), F717="10 x 2 1/2 S (Flat)", _xlfn.XLOOKUP(C717, dd_accsrycalc!$A$2:$A$51, dd_accsrycalc!$C$2:$C$51, "",0), F717="Tox6", _xlfn.XLOOKUP(C717, dd_accsrycalc!$A$2:$A$51, dd_accsrycalc!$D$2:$D$51, "",0), F717="Cover Cap", _xlfn.XLOOKUP(C717, dd_accsrycalc!$A$2:$A$51, dd_accsrycalc!$E$2:$E$51, "",0), F717="Drainage Cover", _xlfn.XLOOKUP(C717, dd_accsrycalc!$A$2:$A$51, dd_accsrycalc!$F$2:$F$51, "",0),AND( F717="Double Adhesive Tape", I717="Roll-up Screen"), _xlfn.XLOOKUP(C717, calc_rusacc!$C$15:$C$65, calc_rusacc!$AD$15:$AD$65, "",0),AND( F717="Sealant", I717="Roll-up Screen"), _xlfn.XLOOKUP(C717, calc_rusacc!$C$15:$C$65, calc_rusacc!$AF$15:$AF$65, "",0),  AND( F717="Main Chain", I717="Accordion Screen"), _xlfn.XLOOKUP(C717, calc_rusacc!$C$15:$C$65, calc_rusacc!$BF$15:$BF$65, "",0), AND( F717="Sealant", I717="Accordion Screen"), _xlfn.XLOOKUP(C717, calc_rusacc!$C$15:$C$65, calc_rusacc!$BJ$15:$BJ$65, "",0),  F717="Sealant", _xlfn.XLOOKUP(C717, dd_accsrycalc!$A$2:$A$51, dd_accsrycalc!$G$2:$G$51, "",0),  F717&lt;&gt;"",L717*_xlfn.XLOOKUP(1, (SKUs!$C$2:$C$10001=G717)*(SKUs!$K$2:$K$10001=I717),SKUs!$E$2:$E$10001)), 0),"")</f>
        <v/>
      </c>
      <c r="E717" s="16" t="str">
        <f>_xlfn.XLOOKUP(F717,dd_item!$B$2:$B$105,dd_item!$C$2:$C$105,"",0)</f>
        <v/>
      </c>
      <c r="F717" s="16"/>
      <c r="G717" s="16" cm="1">
        <f t="array" ref="G717">IFERROR(_xlfn.XLOOKUP(1, (SKUs!$J$2:$J$10001=accsry_unmerged!F717)*IF(H717&lt;&gt;"",(SKUs!$L$2:$L$10001=accsry_unmerged!H717),1)*(SKUs!$K$2:$K$10001=I717),SKUs!$C$2:$C$10001),"")</f>
        <v>0</v>
      </c>
      <c r="H717" s="33" cm="1">
        <f t="array" ref="H717">IFERROR(_xlfn.XLOOKUP(1, (dd_accsryclr!$C$2:$C$1000=accsry_unmerged!F717)*(dd_accsryclr!$B$2:$B$1000=accsry_unmerged!J717),dd_accsryclr!$A$2:$A$1000),"")</f>
        <v>0</v>
      </c>
      <c r="I717" s="16">
        <f>_xlfn.XLOOKUP(C717,'Project Details'!$C$17:$C$66,'Project Details'!$E$17:$E$66,"",0)</f>
        <v>0</v>
      </c>
      <c r="J717" s="16">
        <f>_xlfn.XLOOKUP(C717,'Project Details'!$C$17:$C$66,'Project Details'!$H$17:$H$66,"",0)</f>
        <v>0</v>
      </c>
      <c r="K717" s="33" t="str">
        <f>IF(AND(_xlfn.XLOOKUP(C717,'Project Details'!$C$17:$C$66,'Project Details'!$L$17:$L$66,"",0)&gt;550, F717="Spring-L27cm"),"",SUBSTITUTE(_xlfn.XLOOKUP(G717,SKUs!$C$2:$C$10001,SKUs!$F$2:$F$10001,"",0), " Accessories",""))</f>
        <v/>
      </c>
      <c r="L717" s="33">
        <f>_xlfn.XLOOKUP(C717,'Project Details'!$C$17:$C$66,'Project Details'!$D$17:$D$66,"",0)</f>
        <v>0</v>
      </c>
      <c r="M717" s="43"/>
    </row>
    <row r="718" spans="1:13" x14ac:dyDescent="0.25">
      <c r="A718" s="43"/>
      <c r="B718" s="43"/>
      <c r="C718" s="35">
        <f t="shared" si="13"/>
        <v>15</v>
      </c>
      <c r="D718" s="35" t="str" cm="1">
        <f t="array" ref="D718">IFERROR(ROUNDUP(_xlfn.IFS(F718="Aluminum Track", _xlfn.XLOOKUP(C718, dd_accsrycalc!$A$2:$A$51, dd_accsrycalc!$B$2:$B$51, "",0), F718="10 x 2 1/2 S (Flat)", _xlfn.XLOOKUP(C718, dd_accsrycalc!$A$2:$A$51, dd_accsrycalc!$C$2:$C$51, "",0), F718="Tox6", _xlfn.XLOOKUP(C718, dd_accsrycalc!$A$2:$A$51, dd_accsrycalc!$D$2:$D$51, "",0), F718="Cover Cap", _xlfn.XLOOKUP(C718, dd_accsrycalc!$A$2:$A$51, dd_accsrycalc!$E$2:$E$51, "",0), F718="Drainage Cover", _xlfn.XLOOKUP(C718, dd_accsrycalc!$A$2:$A$51, dd_accsrycalc!$F$2:$F$51, "",0),AND( F718="Double Adhesive Tape", I718="Roll-up Screen"), _xlfn.XLOOKUP(C718, calc_rusacc!$C$15:$C$65, calc_rusacc!$AD$15:$AD$65, "",0),AND( F718="Sealant", I718="Roll-up Screen"), _xlfn.XLOOKUP(C718, calc_rusacc!$C$15:$C$65, calc_rusacc!$AF$15:$AF$65, "",0),  AND( F718="Main Chain", I718="Accordion Screen"), _xlfn.XLOOKUP(C718, calc_rusacc!$C$15:$C$65, calc_rusacc!$BF$15:$BF$65, "",0), AND( F718="Sealant", I718="Accordion Screen"), _xlfn.XLOOKUP(C718, calc_rusacc!$C$15:$C$65, calc_rusacc!$BJ$15:$BJ$65, "",0),  F718="Sealant", _xlfn.XLOOKUP(C718, dd_accsrycalc!$A$2:$A$51, dd_accsrycalc!$G$2:$G$51, "",0),  F718&lt;&gt;"",L718*_xlfn.XLOOKUP(1, (SKUs!$C$2:$C$10001=G718)*(SKUs!$K$2:$K$10001=I718),SKUs!$E$2:$E$10001)), 0),"")</f>
        <v/>
      </c>
      <c r="E718" s="35" t="str">
        <f>_xlfn.XLOOKUP(F718,dd_item!$B$2:$B$105,dd_item!$C$2:$C$105,"",0)</f>
        <v/>
      </c>
      <c r="F718" s="35"/>
      <c r="G718" s="35" cm="1">
        <f t="array" ref="G718">IFERROR(_xlfn.XLOOKUP(1, (SKUs!$J$2:$J$10001=accsry_unmerged!F718)*IF(H718&lt;&gt;"",(SKUs!$L$2:$L$10001=accsry_unmerged!H718),1)*(SKUs!$K$2:$K$10001=I718),SKUs!$C$2:$C$10001),"")</f>
        <v>0</v>
      </c>
      <c r="H718" s="36" cm="1">
        <f t="array" ref="H718">IFERROR(_xlfn.XLOOKUP(1, (dd_accsryclr!$C$2:$C$1000=accsry_unmerged!F718)*(dd_accsryclr!$B$2:$B$1000=accsry_unmerged!J718),dd_accsryclr!$A$2:$A$1000),"")</f>
        <v>0</v>
      </c>
      <c r="I718" s="35">
        <f>_xlfn.XLOOKUP(C718,'Project Details'!$C$17:$C$66,'Project Details'!$E$17:$E$66,"",0)</f>
        <v>0</v>
      </c>
      <c r="J718" s="35">
        <f>_xlfn.XLOOKUP(C718,'Project Details'!$C$17:$C$66,'Project Details'!$H$17:$H$66,"",0)</f>
        <v>0</v>
      </c>
      <c r="K718" s="36" t="str">
        <f>IF(AND(_xlfn.XLOOKUP(C718,'Project Details'!$C$17:$C$66,'Project Details'!$L$17:$L$66,"",0)&gt;550, F718="Spring-L27cm"),"",SUBSTITUTE(_xlfn.XLOOKUP(G718,SKUs!$C$2:$C$10001,SKUs!$F$2:$F$10001,"",0), " Accessories",""))</f>
        <v/>
      </c>
      <c r="L718" s="36">
        <f>_xlfn.XLOOKUP(C718,'Project Details'!$C$17:$C$66,'Project Details'!$D$17:$D$66,"",0)</f>
        <v>0</v>
      </c>
      <c r="M718" s="43"/>
    </row>
    <row r="719" spans="1:13" x14ac:dyDescent="0.25">
      <c r="A719" s="43"/>
      <c r="B719" s="43"/>
      <c r="C719" s="16">
        <f t="shared" si="13"/>
        <v>15</v>
      </c>
      <c r="D719" s="16" t="str" cm="1">
        <f t="array" ref="D719">IFERROR(ROUNDUP(_xlfn.IFS(F719="Aluminum Track", _xlfn.XLOOKUP(C719, dd_accsrycalc!$A$2:$A$51, dd_accsrycalc!$B$2:$B$51, "",0), F719="10 x 2 1/2 S (Flat)", _xlfn.XLOOKUP(C719, dd_accsrycalc!$A$2:$A$51, dd_accsrycalc!$C$2:$C$51, "",0), F719="Tox6", _xlfn.XLOOKUP(C719, dd_accsrycalc!$A$2:$A$51, dd_accsrycalc!$D$2:$D$51, "",0), F719="Cover Cap", _xlfn.XLOOKUP(C719, dd_accsrycalc!$A$2:$A$51, dd_accsrycalc!$E$2:$E$51, "",0), F719="Drainage Cover", _xlfn.XLOOKUP(C719, dd_accsrycalc!$A$2:$A$51, dd_accsrycalc!$F$2:$F$51, "",0),AND( F719="Double Adhesive Tape", I719="Roll-up Screen"), _xlfn.XLOOKUP(C719, calc_rusacc!$C$15:$C$65, calc_rusacc!$AD$15:$AD$65, "",0),AND( F719="Sealant", I719="Roll-up Screen"), _xlfn.XLOOKUP(C719, calc_rusacc!$C$15:$C$65, calc_rusacc!$AF$15:$AF$65, "",0),  AND( F719="Main Chain", I719="Accordion Screen"), _xlfn.XLOOKUP(C719, calc_rusacc!$C$15:$C$65, calc_rusacc!$BF$15:$BF$65, "",0), AND( F719="Sealant", I719="Accordion Screen"), _xlfn.XLOOKUP(C719, calc_rusacc!$C$15:$C$65, calc_rusacc!$BJ$15:$BJ$65, "",0),  F719="Sealant", _xlfn.XLOOKUP(C719, dd_accsrycalc!$A$2:$A$51, dd_accsrycalc!$G$2:$G$51, "",0),  F719&lt;&gt;"",L719*_xlfn.XLOOKUP(1, (SKUs!$C$2:$C$10001=G719)*(SKUs!$K$2:$K$10001=I719),SKUs!$E$2:$E$10001)), 0),"")</f>
        <v/>
      </c>
      <c r="E719" s="16" t="str">
        <f>_xlfn.XLOOKUP(F719,dd_item!$B$2:$B$105,dd_item!$C$2:$C$105,"",0)</f>
        <v/>
      </c>
      <c r="F719" s="16"/>
      <c r="G719" s="16" cm="1">
        <f t="array" ref="G719">IFERROR(_xlfn.XLOOKUP(1, (SKUs!$J$2:$J$10001=accsry_unmerged!F719)*IF(H719&lt;&gt;"",(SKUs!$L$2:$L$10001=accsry_unmerged!H719),1)*(SKUs!$K$2:$K$10001=I719),SKUs!$C$2:$C$10001),"")</f>
        <v>0</v>
      </c>
      <c r="H719" s="33" cm="1">
        <f t="array" ref="H719">IFERROR(_xlfn.XLOOKUP(1, (dd_accsryclr!$C$2:$C$1000=accsry_unmerged!F719)*(dd_accsryclr!$B$2:$B$1000=accsry_unmerged!J719),dd_accsryclr!$A$2:$A$1000),"")</f>
        <v>0</v>
      </c>
      <c r="I719" s="16">
        <f>_xlfn.XLOOKUP(C719,'Project Details'!$C$17:$C$66,'Project Details'!$E$17:$E$66,"",0)</f>
        <v>0</v>
      </c>
      <c r="J719" s="16">
        <f>_xlfn.XLOOKUP(C719,'Project Details'!$C$17:$C$66,'Project Details'!$H$17:$H$66,"",0)</f>
        <v>0</v>
      </c>
      <c r="K719" s="33" t="str">
        <f>IF(AND(_xlfn.XLOOKUP(C719,'Project Details'!$C$17:$C$66,'Project Details'!$L$17:$L$66,"",0)&gt;550, F719="Spring-L27cm"),"",SUBSTITUTE(_xlfn.XLOOKUP(G719,SKUs!$C$2:$C$10001,SKUs!$F$2:$F$10001,"",0), " Accessories",""))</f>
        <v/>
      </c>
      <c r="L719" s="33">
        <f>_xlfn.XLOOKUP(C719,'Project Details'!$C$17:$C$66,'Project Details'!$D$17:$D$66,"",0)</f>
        <v>0</v>
      </c>
      <c r="M719" s="43"/>
    </row>
    <row r="720" spans="1:13" x14ac:dyDescent="0.25">
      <c r="A720" s="43"/>
      <c r="B720" s="43"/>
      <c r="C720" s="35">
        <f t="shared" si="13"/>
        <v>15</v>
      </c>
      <c r="D720" s="35" t="str" cm="1">
        <f t="array" ref="D720">IFERROR(ROUNDUP(_xlfn.IFS(F720="Aluminum Track", _xlfn.XLOOKUP(C720, dd_accsrycalc!$A$2:$A$51, dd_accsrycalc!$B$2:$B$51, "",0), F720="10 x 2 1/2 S (Flat)", _xlfn.XLOOKUP(C720, dd_accsrycalc!$A$2:$A$51, dd_accsrycalc!$C$2:$C$51, "",0), F720="Tox6", _xlfn.XLOOKUP(C720, dd_accsrycalc!$A$2:$A$51, dd_accsrycalc!$D$2:$D$51, "",0), F720="Cover Cap", _xlfn.XLOOKUP(C720, dd_accsrycalc!$A$2:$A$51, dd_accsrycalc!$E$2:$E$51, "",0), F720="Drainage Cover", _xlfn.XLOOKUP(C720, dd_accsrycalc!$A$2:$A$51, dd_accsrycalc!$F$2:$F$51, "",0),AND( F720="Double Adhesive Tape", I720="Roll-up Screen"), _xlfn.XLOOKUP(C720, calc_rusacc!$C$15:$C$65, calc_rusacc!$AD$15:$AD$65, "",0),AND( F720="Sealant", I720="Roll-up Screen"), _xlfn.XLOOKUP(C720, calc_rusacc!$C$15:$C$65, calc_rusacc!$AF$15:$AF$65, "",0),  AND( F720="Main Chain", I720="Accordion Screen"), _xlfn.XLOOKUP(C720, calc_rusacc!$C$15:$C$65, calc_rusacc!$BF$15:$BF$65, "",0), AND( F720="Sealant", I720="Accordion Screen"), _xlfn.XLOOKUP(C720, calc_rusacc!$C$15:$C$65, calc_rusacc!$BJ$15:$BJ$65, "",0),  F720="Sealant", _xlfn.XLOOKUP(C720, dd_accsrycalc!$A$2:$A$51, dd_accsrycalc!$G$2:$G$51, "",0),  F720&lt;&gt;"",L720*_xlfn.XLOOKUP(1, (SKUs!$C$2:$C$10001=G720)*(SKUs!$K$2:$K$10001=I720),SKUs!$E$2:$E$10001)), 0),"")</f>
        <v/>
      </c>
      <c r="E720" s="35" t="str">
        <f>_xlfn.XLOOKUP(F720,dd_item!$B$2:$B$105,dd_item!$C$2:$C$105,"",0)</f>
        <v/>
      </c>
      <c r="F720" s="35"/>
      <c r="G720" s="35" cm="1">
        <f t="array" ref="G720">IFERROR(_xlfn.XLOOKUP(1, (SKUs!$J$2:$J$10001=accsry_unmerged!F720)*IF(H720&lt;&gt;"",(SKUs!$L$2:$L$10001=accsry_unmerged!H720),1)*(SKUs!$K$2:$K$10001=I720),SKUs!$C$2:$C$10001),"")</f>
        <v>0</v>
      </c>
      <c r="H720" s="36" cm="1">
        <f t="array" ref="H720">IFERROR(_xlfn.XLOOKUP(1, (dd_accsryclr!$C$2:$C$1000=accsry_unmerged!F720)*(dd_accsryclr!$B$2:$B$1000=accsry_unmerged!J720),dd_accsryclr!$A$2:$A$1000),"")</f>
        <v>0</v>
      </c>
      <c r="I720" s="35">
        <f>_xlfn.XLOOKUP(C720,'Project Details'!$C$17:$C$66,'Project Details'!$E$17:$E$66,"",0)</f>
        <v>0</v>
      </c>
      <c r="J720" s="35">
        <f>_xlfn.XLOOKUP(C720,'Project Details'!$C$17:$C$66,'Project Details'!$H$17:$H$66,"",0)</f>
        <v>0</v>
      </c>
      <c r="K720" s="36" t="str">
        <f>IF(AND(_xlfn.XLOOKUP(C720,'Project Details'!$C$17:$C$66,'Project Details'!$L$17:$L$66,"",0)&gt;550, F720="Spring-L27cm"),"",SUBSTITUTE(_xlfn.XLOOKUP(G720,SKUs!$C$2:$C$10001,SKUs!$F$2:$F$10001,"",0), " Accessories",""))</f>
        <v/>
      </c>
      <c r="L720" s="36">
        <f>_xlfn.XLOOKUP(C720,'Project Details'!$C$17:$C$66,'Project Details'!$D$17:$D$66,"",0)</f>
        <v>0</v>
      </c>
      <c r="M720" s="43"/>
    </row>
    <row r="721" spans="1:13" x14ac:dyDescent="0.25">
      <c r="A721" s="43"/>
      <c r="B721" s="43"/>
      <c r="C721" s="16">
        <f t="shared" si="13"/>
        <v>15</v>
      </c>
      <c r="D721" s="16" t="str" cm="1">
        <f t="array" ref="D721">IFERROR(ROUNDUP(_xlfn.IFS(F721="Aluminum Track", _xlfn.XLOOKUP(C721, dd_accsrycalc!$A$2:$A$51, dd_accsrycalc!$B$2:$B$51, "",0), F721="10 x 2 1/2 S (Flat)", _xlfn.XLOOKUP(C721, dd_accsrycalc!$A$2:$A$51, dd_accsrycalc!$C$2:$C$51, "",0), F721="Tox6", _xlfn.XLOOKUP(C721, dd_accsrycalc!$A$2:$A$51, dd_accsrycalc!$D$2:$D$51, "",0), F721="Cover Cap", _xlfn.XLOOKUP(C721, dd_accsrycalc!$A$2:$A$51, dd_accsrycalc!$E$2:$E$51, "",0), F721="Drainage Cover", _xlfn.XLOOKUP(C721, dd_accsrycalc!$A$2:$A$51, dd_accsrycalc!$F$2:$F$51, "",0),AND( F721="Double Adhesive Tape", I721="Roll-up Screen"), _xlfn.XLOOKUP(C721, calc_rusacc!$C$15:$C$65, calc_rusacc!$AD$15:$AD$65, "",0),AND( F721="Sealant", I721="Roll-up Screen"), _xlfn.XLOOKUP(C721, calc_rusacc!$C$15:$C$65, calc_rusacc!$AF$15:$AF$65, "",0),  AND( F721="Main Chain", I721="Accordion Screen"), _xlfn.XLOOKUP(C721, calc_rusacc!$C$15:$C$65, calc_rusacc!$BF$15:$BF$65, "",0), AND( F721="Sealant", I721="Accordion Screen"), _xlfn.XLOOKUP(C721, calc_rusacc!$C$15:$C$65, calc_rusacc!$BJ$15:$BJ$65, "",0),  F721="Sealant", _xlfn.XLOOKUP(C721, dd_accsrycalc!$A$2:$A$51, dd_accsrycalc!$G$2:$G$51, "",0),  F721&lt;&gt;"",L721*_xlfn.XLOOKUP(1, (SKUs!$C$2:$C$10001=G721)*(SKUs!$K$2:$K$10001=I721),SKUs!$E$2:$E$10001)), 0),"")</f>
        <v/>
      </c>
      <c r="E721" s="16" t="str">
        <f>_xlfn.XLOOKUP(F721,dd_item!$B$2:$B$105,dd_item!$C$2:$C$105,"",0)</f>
        <v/>
      </c>
      <c r="F721" s="16"/>
      <c r="G721" s="16" cm="1">
        <f t="array" ref="G721">IFERROR(_xlfn.XLOOKUP(1, (SKUs!$J$2:$J$10001=accsry_unmerged!F721)*IF(H721&lt;&gt;"",(SKUs!$L$2:$L$10001=accsry_unmerged!H721),1)*(SKUs!$K$2:$K$10001=I721),SKUs!$C$2:$C$10001),"")</f>
        <v>0</v>
      </c>
      <c r="H721" s="33" cm="1">
        <f t="array" ref="H721">IFERROR(_xlfn.XLOOKUP(1, (dd_accsryclr!$C$2:$C$1000=accsry_unmerged!F721)*(dd_accsryclr!$B$2:$B$1000=accsry_unmerged!J721),dd_accsryclr!$A$2:$A$1000),"")</f>
        <v>0</v>
      </c>
      <c r="I721" s="16">
        <f>_xlfn.XLOOKUP(C721,'Project Details'!$C$17:$C$66,'Project Details'!$E$17:$E$66,"",0)</f>
        <v>0</v>
      </c>
      <c r="J721" s="16">
        <f>_xlfn.XLOOKUP(C721,'Project Details'!$C$17:$C$66,'Project Details'!$H$17:$H$66,"",0)</f>
        <v>0</v>
      </c>
      <c r="K721" s="33" t="str">
        <f>IF(AND(_xlfn.XLOOKUP(C721,'Project Details'!$C$17:$C$66,'Project Details'!$L$17:$L$66,"",0)&gt;550, F721="Spring-L27cm"),"",SUBSTITUTE(_xlfn.XLOOKUP(G721,SKUs!$C$2:$C$10001,SKUs!$F$2:$F$10001,"",0), " Accessories",""))</f>
        <v/>
      </c>
      <c r="L721" s="33">
        <f>_xlfn.XLOOKUP(C721,'Project Details'!$C$17:$C$66,'Project Details'!$D$17:$D$66,"",0)</f>
        <v>0</v>
      </c>
      <c r="M721" s="43"/>
    </row>
    <row r="722" spans="1:13" x14ac:dyDescent="0.25">
      <c r="A722" s="43"/>
      <c r="B722" s="43"/>
      <c r="C722" s="35">
        <f t="shared" si="13"/>
        <v>15</v>
      </c>
      <c r="D722" s="35" t="str" cm="1">
        <f t="array" ref="D722">IFERROR(ROUNDUP(_xlfn.IFS(F722="Aluminum Track", _xlfn.XLOOKUP(C722, dd_accsrycalc!$A$2:$A$51, dd_accsrycalc!$B$2:$B$51, "",0), F722="10 x 2 1/2 S (Flat)", _xlfn.XLOOKUP(C722, dd_accsrycalc!$A$2:$A$51, dd_accsrycalc!$C$2:$C$51, "",0), F722="Tox6", _xlfn.XLOOKUP(C722, dd_accsrycalc!$A$2:$A$51, dd_accsrycalc!$D$2:$D$51, "",0), F722="Cover Cap", _xlfn.XLOOKUP(C722, dd_accsrycalc!$A$2:$A$51, dd_accsrycalc!$E$2:$E$51, "",0), F722="Drainage Cover", _xlfn.XLOOKUP(C722, dd_accsrycalc!$A$2:$A$51, dd_accsrycalc!$F$2:$F$51, "",0),AND( F722="Double Adhesive Tape", I722="Roll-up Screen"), _xlfn.XLOOKUP(C722, calc_rusacc!$C$15:$C$65, calc_rusacc!$AD$15:$AD$65, "",0),AND( F722="Sealant", I722="Roll-up Screen"), _xlfn.XLOOKUP(C722, calc_rusacc!$C$15:$C$65, calc_rusacc!$AF$15:$AF$65, "",0),  AND( F722="Main Chain", I722="Accordion Screen"), _xlfn.XLOOKUP(C722, calc_rusacc!$C$15:$C$65, calc_rusacc!$BF$15:$BF$65, "",0), AND( F722="Sealant", I722="Accordion Screen"), _xlfn.XLOOKUP(C722, calc_rusacc!$C$15:$C$65, calc_rusacc!$BJ$15:$BJ$65, "",0),  F722="Sealant", _xlfn.XLOOKUP(C722, dd_accsrycalc!$A$2:$A$51, dd_accsrycalc!$G$2:$G$51, "",0),  F722&lt;&gt;"",L722*_xlfn.XLOOKUP(1, (SKUs!$C$2:$C$10001=G722)*(SKUs!$K$2:$K$10001=I722),SKUs!$E$2:$E$10001)), 0),"")</f>
        <v/>
      </c>
      <c r="E722" s="35" t="str">
        <f>_xlfn.XLOOKUP(F722,dd_item!$B$2:$B$105,dd_item!$C$2:$C$105,"",0)</f>
        <v/>
      </c>
      <c r="F722" s="35"/>
      <c r="G722" s="35" cm="1">
        <f t="array" ref="G722">IFERROR(_xlfn.XLOOKUP(1, (SKUs!$J$2:$J$10001=accsry_unmerged!F722)*IF(H722&lt;&gt;"",(SKUs!$L$2:$L$10001=accsry_unmerged!H722),1)*(SKUs!$K$2:$K$10001=I722),SKUs!$C$2:$C$10001),"")</f>
        <v>0</v>
      </c>
      <c r="H722" s="36" cm="1">
        <f t="array" ref="H722">IFERROR(_xlfn.XLOOKUP(1, (dd_accsryclr!$C$2:$C$1000=accsry_unmerged!F722)*(dd_accsryclr!$B$2:$B$1000=accsry_unmerged!J722),dd_accsryclr!$A$2:$A$1000),"")</f>
        <v>0</v>
      </c>
      <c r="I722" s="35">
        <f>_xlfn.XLOOKUP(C722,'Project Details'!$C$17:$C$66,'Project Details'!$E$17:$E$66,"",0)</f>
        <v>0</v>
      </c>
      <c r="J722" s="35">
        <f>_xlfn.XLOOKUP(C722,'Project Details'!$C$17:$C$66,'Project Details'!$H$17:$H$66,"",0)</f>
        <v>0</v>
      </c>
      <c r="K722" s="36" t="str">
        <f>IF(AND(_xlfn.XLOOKUP(C722,'Project Details'!$C$17:$C$66,'Project Details'!$L$17:$L$66,"",0)&gt;550, F722="Spring-L27cm"),"",SUBSTITUTE(_xlfn.XLOOKUP(G722,SKUs!$C$2:$C$10001,SKUs!$F$2:$F$10001,"",0), " Accessories",""))</f>
        <v/>
      </c>
      <c r="L722" s="36">
        <f>_xlfn.XLOOKUP(C722,'Project Details'!$C$17:$C$66,'Project Details'!$D$17:$D$66,"",0)</f>
        <v>0</v>
      </c>
      <c r="M722" s="43"/>
    </row>
    <row r="723" spans="1:13" x14ac:dyDescent="0.25">
      <c r="A723" s="43"/>
      <c r="B723" s="43"/>
      <c r="C723" s="16">
        <f t="shared" si="13"/>
        <v>15</v>
      </c>
      <c r="D723" s="16" t="str" cm="1">
        <f t="array" ref="D723">IFERROR(ROUNDUP(_xlfn.IFS(F723="Aluminum Track", _xlfn.XLOOKUP(C723, dd_accsrycalc!$A$2:$A$51, dd_accsrycalc!$B$2:$B$51, "",0), F723="10 x 2 1/2 S (Flat)", _xlfn.XLOOKUP(C723, dd_accsrycalc!$A$2:$A$51, dd_accsrycalc!$C$2:$C$51, "",0), F723="Tox6", _xlfn.XLOOKUP(C723, dd_accsrycalc!$A$2:$A$51, dd_accsrycalc!$D$2:$D$51, "",0), F723="Cover Cap", _xlfn.XLOOKUP(C723, dd_accsrycalc!$A$2:$A$51, dd_accsrycalc!$E$2:$E$51, "",0), F723="Drainage Cover", _xlfn.XLOOKUP(C723, dd_accsrycalc!$A$2:$A$51, dd_accsrycalc!$F$2:$F$51, "",0),AND( F723="Double Adhesive Tape", I723="Roll-up Screen"), _xlfn.XLOOKUP(C723, calc_rusacc!$C$15:$C$65, calc_rusacc!$AD$15:$AD$65, "",0),AND( F723="Sealant", I723="Roll-up Screen"), _xlfn.XLOOKUP(C723, calc_rusacc!$C$15:$C$65, calc_rusacc!$AF$15:$AF$65, "",0),  AND( F723="Main Chain", I723="Accordion Screen"), _xlfn.XLOOKUP(C723, calc_rusacc!$C$15:$C$65, calc_rusacc!$BF$15:$BF$65, "",0), AND( F723="Sealant", I723="Accordion Screen"), _xlfn.XLOOKUP(C723, calc_rusacc!$C$15:$C$65, calc_rusacc!$BJ$15:$BJ$65, "",0),  F723="Sealant", _xlfn.XLOOKUP(C723, dd_accsrycalc!$A$2:$A$51, dd_accsrycalc!$G$2:$G$51, "",0),  F723&lt;&gt;"",L723*_xlfn.XLOOKUP(1, (SKUs!$C$2:$C$10001=G723)*(SKUs!$K$2:$K$10001=I723),SKUs!$E$2:$E$10001)), 0),"")</f>
        <v/>
      </c>
      <c r="E723" s="16" t="str">
        <f>_xlfn.XLOOKUP(F723,dd_item!$B$2:$B$105,dd_item!$C$2:$C$105,"",0)</f>
        <v/>
      </c>
      <c r="F723" s="16"/>
      <c r="G723" s="16" cm="1">
        <f t="array" ref="G723">IFERROR(_xlfn.XLOOKUP(1, (SKUs!$J$2:$J$10001=accsry_unmerged!F723)*IF(H723&lt;&gt;"",(SKUs!$L$2:$L$10001=accsry_unmerged!H723),1)*(SKUs!$K$2:$K$10001=I723),SKUs!$C$2:$C$10001),"")</f>
        <v>0</v>
      </c>
      <c r="H723" s="33" cm="1">
        <f t="array" ref="H723">IFERROR(_xlfn.XLOOKUP(1, (dd_accsryclr!$C$2:$C$1000=accsry_unmerged!F723)*(dd_accsryclr!$B$2:$B$1000=accsry_unmerged!J723),dd_accsryclr!$A$2:$A$1000),"")</f>
        <v>0</v>
      </c>
      <c r="I723" s="16">
        <f>_xlfn.XLOOKUP(C723,'Project Details'!$C$17:$C$66,'Project Details'!$E$17:$E$66,"",0)</f>
        <v>0</v>
      </c>
      <c r="J723" s="16">
        <f>_xlfn.XLOOKUP(C723,'Project Details'!$C$17:$C$66,'Project Details'!$H$17:$H$66,"",0)</f>
        <v>0</v>
      </c>
      <c r="K723" s="33" t="str">
        <f>IF(AND(_xlfn.XLOOKUP(C723,'Project Details'!$C$17:$C$66,'Project Details'!$L$17:$L$66,"",0)&gt;550, F723="Spring-L27cm"),"",SUBSTITUTE(_xlfn.XLOOKUP(G723,SKUs!$C$2:$C$10001,SKUs!$F$2:$F$10001,"",0), " Accessories",""))</f>
        <v/>
      </c>
      <c r="L723" s="33">
        <f>_xlfn.XLOOKUP(C723,'Project Details'!$C$17:$C$66,'Project Details'!$D$17:$D$66,"",0)</f>
        <v>0</v>
      </c>
      <c r="M723" s="43"/>
    </row>
    <row r="724" spans="1:13" x14ac:dyDescent="0.25">
      <c r="A724" s="43"/>
      <c r="B724" s="43"/>
      <c r="C724" s="35">
        <f t="shared" si="13"/>
        <v>15</v>
      </c>
      <c r="D724" s="35" t="str" cm="1">
        <f t="array" ref="D724">IFERROR(ROUNDUP(_xlfn.IFS(F724="Aluminum Track", _xlfn.XLOOKUP(C724, dd_accsrycalc!$A$2:$A$51, dd_accsrycalc!$B$2:$B$51, "",0), F724="10 x 2 1/2 S (Flat)", _xlfn.XLOOKUP(C724, dd_accsrycalc!$A$2:$A$51, dd_accsrycalc!$C$2:$C$51, "",0), F724="Tox6", _xlfn.XLOOKUP(C724, dd_accsrycalc!$A$2:$A$51, dd_accsrycalc!$D$2:$D$51, "",0), F724="Cover Cap", _xlfn.XLOOKUP(C724, dd_accsrycalc!$A$2:$A$51, dd_accsrycalc!$E$2:$E$51, "",0), F724="Drainage Cover", _xlfn.XLOOKUP(C724, dd_accsrycalc!$A$2:$A$51, dd_accsrycalc!$F$2:$F$51, "",0),AND( F724="Double Adhesive Tape", I724="Roll-up Screen"), _xlfn.XLOOKUP(C724, calc_rusacc!$C$15:$C$65, calc_rusacc!$AD$15:$AD$65, "",0),AND( F724="Sealant", I724="Roll-up Screen"), _xlfn.XLOOKUP(C724, calc_rusacc!$C$15:$C$65, calc_rusacc!$AF$15:$AF$65, "",0),  AND( F724="Main Chain", I724="Accordion Screen"), _xlfn.XLOOKUP(C724, calc_rusacc!$C$15:$C$65, calc_rusacc!$BF$15:$BF$65, "",0), AND( F724="Sealant", I724="Accordion Screen"), _xlfn.XLOOKUP(C724, calc_rusacc!$C$15:$C$65, calc_rusacc!$BJ$15:$BJ$65, "",0),  F724="Sealant", _xlfn.XLOOKUP(C724, dd_accsrycalc!$A$2:$A$51, dd_accsrycalc!$G$2:$G$51, "",0),  F724&lt;&gt;"",L724*_xlfn.XLOOKUP(1, (SKUs!$C$2:$C$10001=G724)*(SKUs!$K$2:$K$10001=I724),SKUs!$E$2:$E$10001)), 0),"")</f>
        <v/>
      </c>
      <c r="E724" s="35" t="str">
        <f>_xlfn.XLOOKUP(F724,dd_item!$B$2:$B$105,dd_item!$C$2:$C$105,"",0)</f>
        <v/>
      </c>
      <c r="F724" s="35"/>
      <c r="G724" s="35" cm="1">
        <f t="array" ref="G724">IFERROR(_xlfn.XLOOKUP(1, (SKUs!$J$2:$J$10001=accsry_unmerged!F724)*IF(H724&lt;&gt;"",(SKUs!$L$2:$L$10001=accsry_unmerged!H724),1)*(SKUs!$K$2:$K$10001=I724),SKUs!$C$2:$C$10001),"")</f>
        <v>0</v>
      </c>
      <c r="H724" s="36" cm="1">
        <f t="array" ref="H724">IFERROR(_xlfn.XLOOKUP(1, (dd_accsryclr!$C$2:$C$1000=accsry_unmerged!F724)*(dd_accsryclr!$B$2:$B$1000=accsry_unmerged!J724),dd_accsryclr!$A$2:$A$1000),"")</f>
        <v>0</v>
      </c>
      <c r="I724" s="35">
        <f>_xlfn.XLOOKUP(C724,'Project Details'!$C$17:$C$66,'Project Details'!$E$17:$E$66,"",0)</f>
        <v>0</v>
      </c>
      <c r="J724" s="35">
        <f>_xlfn.XLOOKUP(C724,'Project Details'!$C$17:$C$66,'Project Details'!$H$17:$H$66,"",0)</f>
        <v>0</v>
      </c>
      <c r="K724" s="36" t="str">
        <f>IF(AND(_xlfn.XLOOKUP(C724,'Project Details'!$C$17:$C$66,'Project Details'!$L$17:$L$66,"",0)&gt;550, F724="Spring-L27cm"),"",SUBSTITUTE(_xlfn.XLOOKUP(G724,SKUs!$C$2:$C$10001,SKUs!$F$2:$F$10001,"",0), " Accessories",""))</f>
        <v/>
      </c>
      <c r="L724" s="36">
        <f>_xlfn.XLOOKUP(C724,'Project Details'!$C$17:$C$66,'Project Details'!$D$17:$D$66,"",0)</f>
        <v>0</v>
      </c>
      <c r="M724" s="43"/>
    </row>
    <row r="725" spans="1:13" x14ac:dyDescent="0.25">
      <c r="A725" s="43"/>
      <c r="B725" s="43"/>
      <c r="C725" s="16">
        <f t="shared" si="13"/>
        <v>15</v>
      </c>
      <c r="D725" s="16" t="str" cm="1">
        <f t="array" ref="D725">IFERROR(ROUNDUP(_xlfn.IFS(F725="Aluminum Track", _xlfn.XLOOKUP(C725, dd_accsrycalc!$A$2:$A$51, dd_accsrycalc!$B$2:$B$51, "",0), F725="10 x 2 1/2 S (Flat)", _xlfn.XLOOKUP(C725, dd_accsrycalc!$A$2:$A$51, dd_accsrycalc!$C$2:$C$51, "",0), F725="Tox6", _xlfn.XLOOKUP(C725, dd_accsrycalc!$A$2:$A$51, dd_accsrycalc!$D$2:$D$51, "",0), F725="Cover Cap", _xlfn.XLOOKUP(C725, dd_accsrycalc!$A$2:$A$51, dd_accsrycalc!$E$2:$E$51, "",0), F725="Drainage Cover", _xlfn.XLOOKUP(C725, dd_accsrycalc!$A$2:$A$51, dd_accsrycalc!$F$2:$F$51, "",0),AND( F725="Double Adhesive Tape", I725="Roll-up Screen"), _xlfn.XLOOKUP(C725, calc_rusacc!$C$15:$C$65, calc_rusacc!$AD$15:$AD$65, "",0),AND( F725="Sealant", I725="Roll-up Screen"), _xlfn.XLOOKUP(C725, calc_rusacc!$C$15:$C$65, calc_rusacc!$AF$15:$AF$65, "",0),  AND( F725="Main Chain", I725="Accordion Screen"), _xlfn.XLOOKUP(C725, calc_rusacc!$C$15:$C$65, calc_rusacc!$BF$15:$BF$65, "",0), AND( F725="Sealant", I725="Accordion Screen"), _xlfn.XLOOKUP(C725, calc_rusacc!$C$15:$C$65, calc_rusacc!$BJ$15:$BJ$65, "",0),  F725="Sealant", _xlfn.XLOOKUP(C725, dd_accsrycalc!$A$2:$A$51, dd_accsrycalc!$G$2:$G$51, "",0),  F725&lt;&gt;"",L725*_xlfn.XLOOKUP(1, (SKUs!$C$2:$C$10001=G725)*(SKUs!$K$2:$K$10001=I725),SKUs!$E$2:$E$10001)), 0),"")</f>
        <v/>
      </c>
      <c r="E725" s="16" t="str">
        <f>_xlfn.XLOOKUP(F725,dd_item!$B$2:$B$105,dd_item!$C$2:$C$105,"",0)</f>
        <v/>
      </c>
      <c r="F725" s="16"/>
      <c r="G725" s="16" cm="1">
        <f t="array" ref="G725">IFERROR(_xlfn.XLOOKUP(1, (SKUs!$J$2:$J$10001=accsry_unmerged!F725)*IF(H725&lt;&gt;"",(SKUs!$L$2:$L$10001=accsry_unmerged!H725),1)*(SKUs!$K$2:$K$10001=I725),SKUs!$C$2:$C$10001),"")</f>
        <v>0</v>
      </c>
      <c r="H725" s="33" cm="1">
        <f t="array" ref="H725">IFERROR(_xlfn.XLOOKUP(1, (dd_accsryclr!$C$2:$C$1000=accsry_unmerged!F725)*(dd_accsryclr!$B$2:$B$1000=accsry_unmerged!J725),dd_accsryclr!$A$2:$A$1000),"")</f>
        <v>0</v>
      </c>
      <c r="I725" s="16">
        <f>_xlfn.XLOOKUP(C725,'Project Details'!$C$17:$C$66,'Project Details'!$E$17:$E$66,"",0)</f>
        <v>0</v>
      </c>
      <c r="J725" s="16">
        <f>_xlfn.XLOOKUP(C725,'Project Details'!$C$17:$C$66,'Project Details'!$H$17:$H$66,"",0)</f>
        <v>0</v>
      </c>
      <c r="K725" s="33" t="str">
        <f>IF(AND(_xlfn.XLOOKUP(C725,'Project Details'!$C$17:$C$66,'Project Details'!$L$17:$L$66,"",0)&gt;550, F725="Spring-L27cm"),"",SUBSTITUTE(_xlfn.XLOOKUP(G725,SKUs!$C$2:$C$10001,SKUs!$F$2:$F$10001,"",0), " Accessories",""))</f>
        <v/>
      </c>
      <c r="L725" s="33">
        <f>_xlfn.XLOOKUP(C725,'Project Details'!$C$17:$C$66,'Project Details'!$D$17:$D$66,"",0)</f>
        <v>0</v>
      </c>
      <c r="M725" s="43"/>
    </row>
    <row r="726" spans="1:13" x14ac:dyDescent="0.25">
      <c r="A726" s="43"/>
      <c r="B726" s="43"/>
      <c r="C726" s="35">
        <f t="shared" si="13"/>
        <v>15</v>
      </c>
      <c r="D726" s="35" t="str" cm="1">
        <f t="array" ref="D726">IFERROR(ROUNDUP(_xlfn.IFS(F726="Aluminum Track", _xlfn.XLOOKUP(C726, dd_accsrycalc!$A$2:$A$51, dd_accsrycalc!$B$2:$B$51, "",0), F726="10 x 2 1/2 S (Flat)", _xlfn.XLOOKUP(C726, dd_accsrycalc!$A$2:$A$51, dd_accsrycalc!$C$2:$C$51, "",0), F726="Tox6", _xlfn.XLOOKUP(C726, dd_accsrycalc!$A$2:$A$51, dd_accsrycalc!$D$2:$D$51, "",0), F726="Cover Cap", _xlfn.XLOOKUP(C726, dd_accsrycalc!$A$2:$A$51, dd_accsrycalc!$E$2:$E$51, "",0), F726="Drainage Cover", _xlfn.XLOOKUP(C726, dd_accsrycalc!$A$2:$A$51, dd_accsrycalc!$F$2:$F$51, "",0),AND( F726="Double Adhesive Tape", I726="Roll-up Screen"), _xlfn.XLOOKUP(C726, calc_rusacc!$C$15:$C$65, calc_rusacc!$AD$15:$AD$65, "",0),AND( F726="Sealant", I726="Roll-up Screen"), _xlfn.XLOOKUP(C726, calc_rusacc!$C$15:$C$65, calc_rusacc!$AF$15:$AF$65, "",0),  AND( F726="Main Chain", I726="Accordion Screen"), _xlfn.XLOOKUP(C726, calc_rusacc!$C$15:$C$65, calc_rusacc!$BF$15:$BF$65, "",0), AND( F726="Sealant", I726="Accordion Screen"), _xlfn.XLOOKUP(C726, calc_rusacc!$C$15:$C$65, calc_rusacc!$BJ$15:$BJ$65, "",0),  F726="Sealant", _xlfn.XLOOKUP(C726, dd_accsrycalc!$A$2:$A$51, dd_accsrycalc!$G$2:$G$51, "",0),  F726&lt;&gt;"",L726*_xlfn.XLOOKUP(1, (SKUs!$C$2:$C$10001=G726)*(SKUs!$K$2:$K$10001=I726),SKUs!$E$2:$E$10001)), 0),"")</f>
        <v/>
      </c>
      <c r="E726" s="35" t="str">
        <f>_xlfn.XLOOKUP(F726,dd_item!$B$2:$B$105,dd_item!$C$2:$C$105,"",0)</f>
        <v/>
      </c>
      <c r="F726" s="35"/>
      <c r="G726" s="35" cm="1">
        <f t="array" ref="G726">IFERROR(_xlfn.XLOOKUP(1, (SKUs!$J$2:$J$10001=accsry_unmerged!F726)*IF(H726&lt;&gt;"",(SKUs!$L$2:$L$10001=accsry_unmerged!H726),1)*(SKUs!$K$2:$K$10001=I726),SKUs!$C$2:$C$10001),"")</f>
        <v>0</v>
      </c>
      <c r="H726" s="36" cm="1">
        <f t="array" ref="H726">IFERROR(_xlfn.XLOOKUP(1, (dd_accsryclr!$C$2:$C$1000=accsry_unmerged!F726)*(dd_accsryclr!$B$2:$B$1000=accsry_unmerged!J726),dd_accsryclr!$A$2:$A$1000),"")</f>
        <v>0</v>
      </c>
      <c r="I726" s="35">
        <f>_xlfn.XLOOKUP(C726,'Project Details'!$C$17:$C$66,'Project Details'!$E$17:$E$66,"",0)</f>
        <v>0</v>
      </c>
      <c r="J726" s="35">
        <f>_xlfn.XLOOKUP(C726,'Project Details'!$C$17:$C$66,'Project Details'!$H$17:$H$66,"",0)</f>
        <v>0</v>
      </c>
      <c r="K726" s="36" t="str">
        <f>IF(AND(_xlfn.XLOOKUP(C726,'Project Details'!$C$17:$C$66,'Project Details'!$L$17:$L$66,"",0)&gt;550, F726="Spring-L27cm"),"",SUBSTITUTE(_xlfn.XLOOKUP(G726,SKUs!$C$2:$C$10001,SKUs!$F$2:$F$10001,"",0), " Accessories",""))</f>
        <v/>
      </c>
      <c r="L726" s="36">
        <f>_xlfn.XLOOKUP(C726,'Project Details'!$C$17:$C$66,'Project Details'!$D$17:$D$66,"",0)</f>
        <v>0</v>
      </c>
      <c r="M726" s="43"/>
    </row>
    <row r="727" spans="1:13" x14ac:dyDescent="0.25">
      <c r="A727" s="43"/>
      <c r="B727" s="43"/>
      <c r="C727" s="16">
        <f t="shared" si="13"/>
        <v>15</v>
      </c>
      <c r="D727" s="16" t="str" cm="1">
        <f t="array" ref="D727">IFERROR(ROUNDUP(_xlfn.IFS(F727="Aluminum Track", _xlfn.XLOOKUP(C727, dd_accsrycalc!$A$2:$A$51, dd_accsrycalc!$B$2:$B$51, "",0), F727="10 x 2 1/2 S (Flat)", _xlfn.XLOOKUP(C727, dd_accsrycalc!$A$2:$A$51, dd_accsrycalc!$C$2:$C$51, "",0), F727="Tox6", _xlfn.XLOOKUP(C727, dd_accsrycalc!$A$2:$A$51, dd_accsrycalc!$D$2:$D$51, "",0), F727="Cover Cap", _xlfn.XLOOKUP(C727, dd_accsrycalc!$A$2:$A$51, dd_accsrycalc!$E$2:$E$51, "",0), F727="Drainage Cover", _xlfn.XLOOKUP(C727, dd_accsrycalc!$A$2:$A$51, dd_accsrycalc!$F$2:$F$51, "",0),AND( F727="Double Adhesive Tape", I727="Roll-up Screen"), _xlfn.XLOOKUP(C727, calc_rusacc!$C$15:$C$65, calc_rusacc!$AD$15:$AD$65, "",0),AND( F727="Sealant", I727="Roll-up Screen"), _xlfn.XLOOKUP(C727, calc_rusacc!$C$15:$C$65, calc_rusacc!$AF$15:$AF$65, "",0),  AND( F727="Main Chain", I727="Accordion Screen"), _xlfn.XLOOKUP(C727, calc_rusacc!$C$15:$C$65, calc_rusacc!$BF$15:$BF$65, "",0), AND( F727="Sealant", I727="Accordion Screen"), _xlfn.XLOOKUP(C727, calc_rusacc!$C$15:$C$65, calc_rusacc!$BJ$15:$BJ$65, "",0),  F727="Sealant", _xlfn.XLOOKUP(C727, dd_accsrycalc!$A$2:$A$51, dd_accsrycalc!$G$2:$G$51, "",0),  F727&lt;&gt;"",L727*_xlfn.XLOOKUP(1, (SKUs!$C$2:$C$10001=G727)*(SKUs!$K$2:$K$10001=I727),SKUs!$E$2:$E$10001)), 0),"")</f>
        <v/>
      </c>
      <c r="E727" s="16" t="str">
        <f>_xlfn.XLOOKUP(F727,dd_item!$B$2:$B$105,dd_item!$C$2:$C$105,"",0)</f>
        <v/>
      </c>
      <c r="F727" s="16"/>
      <c r="G727" s="16" cm="1">
        <f t="array" ref="G727">IFERROR(_xlfn.XLOOKUP(1, (SKUs!$J$2:$J$10001=accsry_unmerged!F727)*IF(H727&lt;&gt;"",(SKUs!$L$2:$L$10001=accsry_unmerged!H727),1)*(SKUs!$K$2:$K$10001=I727),SKUs!$C$2:$C$10001),"")</f>
        <v>0</v>
      </c>
      <c r="H727" s="33" cm="1">
        <f t="array" ref="H727">IFERROR(_xlfn.XLOOKUP(1, (dd_accsryclr!$C$2:$C$1000=accsry_unmerged!F727)*(dd_accsryclr!$B$2:$B$1000=accsry_unmerged!J727),dd_accsryclr!$A$2:$A$1000),"")</f>
        <v>0</v>
      </c>
      <c r="I727" s="16">
        <f>_xlfn.XLOOKUP(C727,'Project Details'!$C$17:$C$66,'Project Details'!$E$17:$E$66,"",0)</f>
        <v>0</v>
      </c>
      <c r="J727" s="16">
        <f>_xlfn.XLOOKUP(C727,'Project Details'!$C$17:$C$66,'Project Details'!$H$17:$H$66,"",0)</f>
        <v>0</v>
      </c>
      <c r="K727" s="33" t="str">
        <f>IF(AND(_xlfn.XLOOKUP(C727,'Project Details'!$C$17:$C$66,'Project Details'!$L$17:$L$66,"",0)&gt;550, F727="Spring-L27cm"),"",SUBSTITUTE(_xlfn.XLOOKUP(G727,SKUs!$C$2:$C$10001,SKUs!$F$2:$F$10001,"",0), " Accessories",""))</f>
        <v/>
      </c>
      <c r="L727" s="33">
        <f>_xlfn.XLOOKUP(C727,'Project Details'!$C$17:$C$66,'Project Details'!$D$17:$D$66,"",0)</f>
        <v>0</v>
      </c>
      <c r="M727" s="43"/>
    </row>
    <row r="728" spans="1:13" x14ac:dyDescent="0.25">
      <c r="A728" s="43"/>
      <c r="B728" s="43"/>
      <c r="C728" s="35">
        <f t="shared" si="13"/>
        <v>15</v>
      </c>
      <c r="D728" s="35" t="str" cm="1">
        <f t="array" ref="D728">IFERROR(ROUNDUP(_xlfn.IFS(F728="Aluminum Track", _xlfn.XLOOKUP(C728, dd_accsrycalc!$A$2:$A$51, dd_accsrycalc!$B$2:$B$51, "",0), F728="10 x 2 1/2 S (Flat)", _xlfn.XLOOKUP(C728, dd_accsrycalc!$A$2:$A$51, dd_accsrycalc!$C$2:$C$51, "",0), F728="Tox6", _xlfn.XLOOKUP(C728, dd_accsrycalc!$A$2:$A$51, dd_accsrycalc!$D$2:$D$51, "",0), F728="Cover Cap", _xlfn.XLOOKUP(C728, dd_accsrycalc!$A$2:$A$51, dd_accsrycalc!$E$2:$E$51, "",0), F728="Drainage Cover", _xlfn.XLOOKUP(C728, dd_accsrycalc!$A$2:$A$51, dd_accsrycalc!$F$2:$F$51, "",0),AND( F728="Double Adhesive Tape", I728="Roll-up Screen"), _xlfn.XLOOKUP(C728, calc_rusacc!$C$15:$C$65, calc_rusacc!$AD$15:$AD$65, "",0),AND( F728="Sealant", I728="Roll-up Screen"), _xlfn.XLOOKUP(C728, calc_rusacc!$C$15:$C$65, calc_rusacc!$AF$15:$AF$65, "",0),  AND( F728="Main Chain", I728="Accordion Screen"), _xlfn.XLOOKUP(C728, calc_rusacc!$C$15:$C$65, calc_rusacc!$BF$15:$BF$65, "",0), AND( F728="Sealant", I728="Accordion Screen"), _xlfn.XLOOKUP(C728, calc_rusacc!$C$15:$C$65, calc_rusacc!$BJ$15:$BJ$65, "",0),  F728="Sealant", _xlfn.XLOOKUP(C728, dd_accsrycalc!$A$2:$A$51, dd_accsrycalc!$G$2:$G$51, "",0),  F728&lt;&gt;"",L728*_xlfn.XLOOKUP(1, (SKUs!$C$2:$C$10001=G728)*(SKUs!$K$2:$K$10001=I728),SKUs!$E$2:$E$10001)), 0),"")</f>
        <v/>
      </c>
      <c r="E728" s="35" t="str">
        <f>_xlfn.XLOOKUP(F728,dd_item!$B$2:$B$105,dd_item!$C$2:$C$105,"",0)</f>
        <v/>
      </c>
      <c r="F728" s="35"/>
      <c r="G728" s="35" cm="1">
        <f t="array" ref="G728">IFERROR(_xlfn.XLOOKUP(1, (SKUs!$J$2:$J$10001=accsry_unmerged!F728)*IF(H728&lt;&gt;"",(SKUs!$L$2:$L$10001=accsry_unmerged!H728),1)*(SKUs!$K$2:$K$10001=I728),SKUs!$C$2:$C$10001),"")</f>
        <v>0</v>
      </c>
      <c r="H728" s="36" cm="1">
        <f t="array" ref="H728">IFERROR(_xlfn.XLOOKUP(1, (dd_accsryclr!$C$2:$C$1000=accsry_unmerged!F728)*(dd_accsryclr!$B$2:$B$1000=accsry_unmerged!J728),dd_accsryclr!$A$2:$A$1000),"")</f>
        <v>0</v>
      </c>
      <c r="I728" s="35">
        <f>_xlfn.XLOOKUP(C728,'Project Details'!$C$17:$C$66,'Project Details'!$E$17:$E$66,"",0)</f>
        <v>0</v>
      </c>
      <c r="J728" s="35">
        <f>_xlfn.XLOOKUP(C728,'Project Details'!$C$17:$C$66,'Project Details'!$H$17:$H$66,"",0)</f>
        <v>0</v>
      </c>
      <c r="K728" s="36" t="str">
        <f>IF(AND(_xlfn.XLOOKUP(C728,'Project Details'!$C$17:$C$66,'Project Details'!$L$17:$L$66,"",0)&gt;550, F728="Spring-L27cm"),"",SUBSTITUTE(_xlfn.XLOOKUP(G728,SKUs!$C$2:$C$10001,SKUs!$F$2:$F$10001,"",0), " Accessories",""))</f>
        <v/>
      </c>
      <c r="L728" s="36">
        <f>_xlfn.XLOOKUP(C728,'Project Details'!$C$17:$C$66,'Project Details'!$D$17:$D$66,"",0)</f>
        <v>0</v>
      </c>
      <c r="M728" s="43"/>
    </row>
    <row r="729" spans="1:13" x14ac:dyDescent="0.25">
      <c r="A729" s="43"/>
      <c r="B729" s="43"/>
      <c r="C729" s="16">
        <f t="shared" si="13"/>
        <v>15</v>
      </c>
      <c r="D729" s="16" t="str" cm="1">
        <f t="array" ref="D729">IFERROR(ROUNDUP(_xlfn.IFS(F729="Aluminum Track", _xlfn.XLOOKUP(C729, dd_accsrycalc!$A$2:$A$51, dd_accsrycalc!$B$2:$B$51, "",0), F729="10 x 2 1/2 S (Flat)", _xlfn.XLOOKUP(C729, dd_accsrycalc!$A$2:$A$51, dd_accsrycalc!$C$2:$C$51, "",0), F729="Tox6", _xlfn.XLOOKUP(C729, dd_accsrycalc!$A$2:$A$51, dd_accsrycalc!$D$2:$D$51, "",0), F729="Cover Cap", _xlfn.XLOOKUP(C729, dd_accsrycalc!$A$2:$A$51, dd_accsrycalc!$E$2:$E$51, "",0), F729="Drainage Cover", _xlfn.XLOOKUP(C729, dd_accsrycalc!$A$2:$A$51, dd_accsrycalc!$F$2:$F$51, "",0),AND( F729="Double Adhesive Tape", I729="Roll-up Screen"), _xlfn.XLOOKUP(C729, calc_rusacc!$C$15:$C$65, calc_rusacc!$AD$15:$AD$65, "",0),AND( F729="Sealant", I729="Roll-up Screen"), _xlfn.XLOOKUP(C729, calc_rusacc!$C$15:$C$65, calc_rusacc!$AF$15:$AF$65, "",0),  AND( F729="Main Chain", I729="Accordion Screen"), _xlfn.XLOOKUP(C729, calc_rusacc!$C$15:$C$65, calc_rusacc!$BF$15:$BF$65, "",0), AND( F729="Sealant", I729="Accordion Screen"), _xlfn.XLOOKUP(C729, calc_rusacc!$C$15:$C$65, calc_rusacc!$BJ$15:$BJ$65, "",0),  F729="Sealant", _xlfn.XLOOKUP(C729, dd_accsrycalc!$A$2:$A$51, dd_accsrycalc!$G$2:$G$51, "",0),  F729&lt;&gt;"",L729*_xlfn.XLOOKUP(1, (SKUs!$C$2:$C$10001=G729)*(SKUs!$K$2:$K$10001=I729),SKUs!$E$2:$E$10001)), 0),"")</f>
        <v/>
      </c>
      <c r="E729" s="16" t="str">
        <f>_xlfn.XLOOKUP(F729,dd_item!$B$2:$B$105,dd_item!$C$2:$C$105,"",0)</f>
        <v/>
      </c>
      <c r="F729" s="16"/>
      <c r="G729" s="16" cm="1">
        <f t="array" ref="G729">IFERROR(_xlfn.XLOOKUP(1, (SKUs!$J$2:$J$10001=accsry_unmerged!F729)*IF(H729&lt;&gt;"",(SKUs!$L$2:$L$10001=accsry_unmerged!H729),1)*(SKUs!$K$2:$K$10001=I729),SKUs!$C$2:$C$10001),"")</f>
        <v>0</v>
      </c>
      <c r="H729" s="33" cm="1">
        <f t="array" ref="H729">IFERROR(_xlfn.XLOOKUP(1, (dd_accsryclr!$C$2:$C$1000=accsry_unmerged!F729)*(dd_accsryclr!$B$2:$B$1000=accsry_unmerged!J729),dd_accsryclr!$A$2:$A$1000),"")</f>
        <v>0</v>
      </c>
      <c r="I729" s="16">
        <f>_xlfn.XLOOKUP(C729,'Project Details'!$C$17:$C$66,'Project Details'!$E$17:$E$66,"",0)</f>
        <v>0</v>
      </c>
      <c r="J729" s="16">
        <f>_xlfn.XLOOKUP(C729,'Project Details'!$C$17:$C$66,'Project Details'!$H$17:$H$66,"",0)</f>
        <v>0</v>
      </c>
      <c r="K729" s="33" t="str">
        <f>IF(AND(_xlfn.XLOOKUP(C729,'Project Details'!$C$17:$C$66,'Project Details'!$L$17:$L$66,"",0)&gt;550, F729="Spring-L27cm"),"",SUBSTITUTE(_xlfn.XLOOKUP(G729,SKUs!$C$2:$C$10001,SKUs!$F$2:$F$10001,"",0), " Accessories",""))</f>
        <v/>
      </c>
      <c r="L729" s="33">
        <f>_xlfn.XLOOKUP(C729,'Project Details'!$C$17:$C$66,'Project Details'!$D$17:$D$66,"",0)</f>
        <v>0</v>
      </c>
      <c r="M729" s="43"/>
    </row>
    <row r="730" spans="1:13" x14ac:dyDescent="0.25">
      <c r="A730" s="43"/>
      <c r="B730" s="43"/>
      <c r="C730" s="35">
        <f t="shared" si="13"/>
        <v>15</v>
      </c>
      <c r="D730" s="35" t="str" cm="1">
        <f t="array" ref="D730">IFERROR(ROUNDUP(_xlfn.IFS(F730="Aluminum Track", _xlfn.XLOOKUP(C730, dd_accsrycalc!$A$2:$A$51, dd_accsrycalc!$B$2:$B$51, "",0), F730="10 x 2 1/2 S (Flat)", _xlfn.XLOOKUP(C730, dd_accsrycalc!$A$2:$A$51, dd_accsrycalc!$C$2:$C$51, "",0), F730="Tox6", _xlfn.XLOOKUP(C730, dd_accsrycalc!$A$2:$A$51, dd_accsrycalc!$D$2:$D$51, "",0), F730="Cover Cap", _xlfn.XLOOKUP(C730, dd_accsrycalc!$A$2:$A$51, dd_accsrycalc!$E$2:$E$51, "",0), F730="Drainage Cover", _xlfn.XLOOKUP(C730, dd_accsrycalc!$A$2:$A$51, dd_accsrycalc!$F$2:$F$51, "",0),AND( F730="Double Adhesive Tape", I730="Roll-up Screen"), _xlfn.XLOOKUP(C730, calc_rusacc!$C$15:$C$65, calc_rusacc!$AD$15:$AD$65, "",0),AND( F730="Sealant", I730="Roll-up Screen"), _xlfn.XLOOKUP(C730, calc_rusacc!$C$15:$C$65, calc_rusacc!$AF$15:$AF$65, "",0),  AND( F730="Main Chain", I730="Accordion Screen"), _xlfn.XLOOKUP(C730, calc_rusacc!$C$15:$C$65, calc_rusacc!$BF$15:$BF$65, "",0), AND( F730="Sealant", I730="Accordion Screen"), _xlfn.XLOOKUP(C730, calc_rusacc!$C$15:$C$65, calc_rusacc!$BJ$15:$BJ$65, "",0),  F730="Sealant", _xlfn.XLOOKUP(C730, dd_accsrycalc!$A$2:$A$51, dd_accsrycalc!$G$2:$G$51, "",0),  F730&lt;&gt;"",L730*_xlfn.XLOOKUP(1, (SKUs!$C$2:$C$10001=G730)*(SKUs!$K$2:$K$10001=I730),SKUs!$E$2:$E$10001)), 0),"")</f>
        <v/>
      </c>
      <c r="E730" s="35" t="str">
        <f>_xlfn.XLOOKUP(F730,dd_item!$B$2:$B$105,dd_item!$C$2:$C$105,"",0)</f>
        <v/>
      </c>
      <c r="F730" s="35"/>
      <c r="G730" s="35" cm="1">
        <f t="array" ref="G730">IFERROR(_xlfn.XLOOKUP(1, (SKUs!$J$2:$J$10001=accsry_unmerged!F730)*IF(H730&lt;&gt;"",(SKUs!$L$2:$L$10001=accsry_unmerged!H730),1)*(SKUs!$K$2:$K$10001=I730),SKUs!$C$2:$C$10001),"")</f>
        <v>0</v>
      </c>
      <c r="H730" s="36" cm="1">
        <f t="array" ref="H730">IFERROR(_xlfn.XLOOKUP(1, (dd_accsryclr!$C$2:$C$1000=accsry_unmerged!F730)*(dd_accsryclr!$B$2:$B$1000=accsry_unmerged!J730),dd_accsryclr!$A$2:$A$1000),"")</f>
        <v>0</v>
      </c>
      <c r="I730" s="35">
        <f>_xlfn.XLOOKUP(C730,'Project Details'!$C$17:$C$66,'Project Details'!$E$17:$E$66,"",0)</f>
        <v>0</v>
      </c>
      <c r="J730" s="35">
        <f>_xlfn.XLOOKUP(C730,'Project Details'!$C$17:$C$66,'Project Details'!$H$17:$H$66,"",0)</f>
        <v>0</v>
      </c>
      <c r="K730" s="36" t="str">
        <f>IF(AND(_xlfn.XLOOKUP(C730,'Project Details'!$C$17:$C$66,'Project Details'!$L$17:$L$66,"",0)&gt;550, F730="Spring-L27cm"),"",SUBSTITUTE(_xlfn.XLOOKUP(G730,SKUs!$C$2:$C$10001,SKUs!$F$2:$F$10001,"",0), " Accessories",""))</f>
        <v/>
      </c>
      <c r="L730" s="36">
        <f>_xlfn.XLOOKUP(C730,'Project Details'!$C$17:$C$66,'Project Details'!$D$17:$D$66,"",0)</f>
        <v>0</v>
      </c>
      <c r="M730" s="43"/>
    </row>
    <row r="731" spans="1:13" x14ac:dyDescent="0.25">
      <c r="A731" s="43"/>
      <c r="B731" s="43"/>
      <c r="C731" s="16">
        <f t="shared" si="13"/>
        <v>15</v>
      </c>
      <c r="D731" s="16" t="str" cm="1">
        <f t="array" ref="D731">IFERROR(ROUNDUP(_xlfn.IFS(F731="Aluminum Track", _xlfn.XLOOKUP(C731, dd_accsrycalc!$A$2:$A$51, dd_accsrycalc!$B$2:$B$51, "",0), F731="10 x 2 1/2 S (Flat)", _xlfn.XLOOKUP(C731, dd_accsrycalc!$A$2:$A$51, dd_accsrycalc!$C$2:$C$51, "",0), F731="Tox6", _xlfn.XLOOKUP(C731, dd_accsrycalc!$A$2:$A$51, dd_accsrycalc!$D$2:$D$51, "",0), F731="Cover Cap", _xlfn.XLOOKUP(C731, dd_accsrycalc!$A$2:$A$51, dd_accsrycalc!$E$2:$E$51, "",0), F731="Drainage Cover", _xlfn.XLOOKUP(C731, dd_accsrycalc!$A$2:$A$51, dd_accsrycalc!$F$2:$F$51, "",0),AND( F731="Double Adhesive Tape", I731="Roll-up Screen"), _xlfn.XLOOKUP(C731, calc_rusacc!$C$15:$C$65, calc_rusacc!$AD$15:$AD$65, "",0),AND( F731="Sealant", I731="Roll-up Screen"), _xlfn.XLOOKUP(C731, calc_rusacc!$C$15:$C$65, calc_rusacc!$AF$15:$AF$65, "",0),  AND( F731="Main Chain", I731="Accordion Screen"), _xlfn.XLOOKUP(C731, calc_rusacc!$C$15:$C$65, calc_rusacc!$BF$15:$BF$65, "",0), AND( F731="Sealant", I731="Accordion Screen"), _xlfn.XLOOKUP(C731, calc_rusacc!$C$15:$C$65, calc_rusacc!$BJ$15:$BJ$65, "",0),  F731="Sealant", _xlfn.XLOOKUP(C731, dd_accsrycalc!$A$2:$A$51, dd_accsrycalc!$G$2:$G$51, "",0),  F731&lt;&gt;"",L731*_xlfn.XLOOKUP(1, (SKUs!$C$2:$C$10001=G731)*(SKUs!$K$2:$K$10001=I731),SKUs!$E$2:$E$10001)), 0),"")</f>
        <v/>
      </c>
      <c r="E731" s="16" t="str">
        <f>_xlfn.XLOOKUP(F731,dd_item!$B$2:$B$105,dd_item!$C$2:$C$105,"",0)</f>
        <v/>
      </c>
      <c r="F731" s="16"/>
      <c r="G731" s="16" cm="1">
        <f t="array" ref="G731">IFERROR(_xlfn.XLOOKUP(1, (SKUs!$J$2:$J$10001=accsry_unmerged!F731)*IF(H731&lt;&gt;"",(SKUs!$L$2:$L$10001=accsry_unmerged!H731),1)*(SKUs!$K$2:$K$10001=I731),SKUs!$C$2:$C$10001),"")</f>
        <v>0</v>
      </c>
      <c r="H731" s="33" cm="1">
        <f t="array" ref="H731">IFERROR(_xlfn.XLOOKUP(1, (dd_accsryclr!$C$2:$C$1000=accsry_unmerged!F731)*(dd_accsryclr!$B$2:$B$1000=accsry_unmerged!J731),dd_accsryclr!$A$2:$A$1000),"")</f>
        <v>0</v>
      </c>
      <c r="I731" s="16">
        <f>_xlfn.XLOOKUP(C731,'Project Details'!$C$17:$C$66,'Project Details'!$E$17:$E$66,"",0)</f>
        <v>0</v>
      </c>
      <c r="J731" s="16">
        <f>_xlfn.XLOOKUP(C731,'Project Details'!$C$17:$C$66,'Project Details'!$H$17:$H$66,"",0)</f>
        <v>0</v>
      </c>
      <c r="K731" s="33" t="str">
        <f>IF(AND(_xlfn.XLOOKUP(C731,'Project Details'!$C$17:$C$66,'Project Details'!$L$17:$L$66,"",0)&gt;550, F731="Spring-L27cm"),"",SUBSTITUTE(_xlfn.XLOOKUP(G731,SKUs!$C$2:$C$10001,SKUs!$F$2:$F$10001,"",0), " Accessories",""))</f>
        <v/>
      </c>
      <c r="L731" s="33">
        <f>_xlfn.XLOOKUP(C731,'Project Details'!$C$17:$C$66,'Project Details'!$D$17:$D$66,"",0)</f>
        <v>0</v>
      </c>
      <c r="M731" s="43"/>
    </row>
    <row r="732" spans="1:13" x14ac:dyDescent="0.25">
      <c r="A732" s="43"/>
      <c r="B732" s="43"/>
      <c r="C732" s="35">
        <f t="shared" si="13"/>
        <v>15</v>
      </c>
      <c r="D732" s="35" t="str" cm="1">
        <f t="array" ref="D732">IFERROR(ROUNDUP(_xlfn.IFS(F732="Aluminum Track", _xlfn.XLOOKUP(C732, dd_accsrycalc!$A$2:$A$51, dd_accsrycalc!$B$2:$B$51, "",0), F732="10 x 2 1/2 S (Flat)", _xlfn.XLOOKUP(C732, dd_accsrycalc!$A$2:$A$51, dd_accsrycalc!$C$2:$C$51, "",0), F732="Tox6", _xlfn.XLOOKUP(C732, dd_accsrycalc!$A$2:$A$51, dd_accsrycalc!$D$2:$D$51, "",0), F732="Cover Cap", _xlfn.XLOOKUP(C732, dd_accsrycalc!$A$2:$A$51, dd_accsrycalc!$E$2:$E$51, "",0), F732="Drainage Cover", _xlfn.XLOOKUP(C732, dd_accsrycalc!$A$2:$A$51, dd_accsrycalc!$F$2:$F$51, "",0),AND( F732="Double Adhesive Tape", I732="Roll-up Screen"), _xlfn.XLOOKUP(C732, calc_rusacc!$C$15:$C$65, calc_rusacc!$AD$15:$AD$65, "",0),AND( F732="Sealant", I732="Roll-up Screen"), _xlfn.XLOOKUP(C732, calc_rusacc!$C$15:$C$65, calc_rusacc!$AF$15:$AF$65, "",0),  AND( F732="Main Chain", I732="Accordion Screen"), _xlfn.XLOOKUP(C732, calc_rusacc!$C$15:$C$65, calc_rusacc!$BF$15:$BF$65, "",0), AND( F732="Sealant", I732="Accordion Screen"), _xlfn.XLOOKUP(C732, calc_rusacc!$C$15:$C$65, calc_rusacc!$BJ$15:$BJ$65, "",0),  F732="Sealant", _xlfn.XLOOKUP(C732, dd_accsrycalc!$A$2:$A$51, dd_accsrycalc!$G$2:$G$51, "",0),  F732&lt;&gt;"",L732*_xlfn.XLOOKUP(1, (SKUs!$C$2:$C$10001=G732)*(SKUs!$K$2:$K$10001=I732),SKUs!$E$2:$E$10001)), 0),"")</f>
        <v/>
      </c>
      <c r="E732" s="35" t="str">
        <f>_xlfn.XLOOKUP(F732,dd_item!$B$2:$B$105,dd_item!$C$2:$C$105,"",0)</f>
        <v/>
      </c>
      <c r="F732" s="35"/>
      <c r="G732" s="35" cm="1">
        <f t="array" ref="G732">IFERROR(_xlfn.XLOOKUP(1, (SKUs!$J$2:$J$10001=accsry_unmerged!F732)*IF(H732&lt;&gt;"",(SKUs!$L$2:$L$10001=accsry_unmerged!H732),1)*(SKUs!$K$2:$K$10001=I732),SKUs!$C$2:$C$10001),"")</f>
        <v>0</v>
      </c>
      <c r="H732" s="36" cm="1">
        <f t="array" ref="H732">IFERROR(_xlfn.XLOOKUP(1, (dd_accsryclr!$C$2:$C$1000=accsry_unmerged!F732)*(dd_accsryclr!$B$2:$B$1000=accsry_unmerged!J732),dd_accsryclr!$A$2:$A$1000),"")</f>
        <v>0</v>
      </c>
      <c r="I732" s="35">
        <f>_xlfn.XLOOKUP(C732,'Project Details'!$C$17:$C$66,'Project Details'!$E$17:$E$66,"",0)</f>
        <v>0</v>
      </c>
      <c r="J732" s="35">
        <f>_xlfn.XLOOKUP(C732,'Project Details'!$C$17:$C$66,'Project Details'!$H$17:$H$66,"",0)</f>
        <v>0</v>
      </c>
      <c r="K732" s="36" t="str">
        <f>IF(AND(_xlfn.XLOOKUP(C732,'Project Details'!$C$17:$C$66,'Project Details'!$L$17:$L$66,"",0)&gt;550, F732="Spring-L27cm"),"",SUBSTITUTE(_xlfn.XLOOKUP(G732,SKUs!$C$2:$C$10001,SKUs!$F$2:$F$10001,"",0), " Accessories",""))</f>
        <v/>
      </c>
      <c r="L732" s="36">
        <f>_xlfn.XLOOKUP(C732,'Project Details'!$C$17:$C$66,'Project Details'!$D$17:$D$66,"",0)</f>
        <v>0</v>
      </c>
      <c r="M732" s="43"/>
    </row>
    <row r="733" spans="1:13" x14ac:dyDescent="0.25">
      <c r="A733" s="43"/>
      <c r="B733" s="43"/>
      <c r="C733" s="16">
        <f t="shared" si="13"/>
        <v>15</v>
      </c>
      <c r="D733" s="16" t="str" cm="1">
        <f t="array" ref="D733">IFERROR(ROUNDUP(_xlfn.IFS(F733="Aluminum Track", _xlfn.XLOOKUP(C733, dd_accsrycalc!$A$2:$A$51, dd_accsrycalc!$B$2:$B$51, "",0), F733="10 x 2 1/2 S (Flat)", _xlfn.XLOOKUP(C733, dd_accsrycalc!$A$2:$A$51, dd_accsrycalc!$C$2:$C$51, "",0), F733="Tox6", _xlfn.XLOOKUP(C733, dd_accsrycalc!$A$2:$A$51, dd_accsrycalc!$D$2:$D$51, "",0), F733="Cover Cap", _xlfn.XLOOKUP(C733, dd_accsrycalc!$A$2:$A$51, dd_accsrycalc!$E$2:$E$51, "",0), F733="Drainage Cover", _xlfn.XLOOKUP(C733, dd_accsrycalc!$A$2:$A$51, dd_accsrycalc!$F$2:$F$51, "",0),AND( F733="Double Adhesive Tape", I733="Roll-up Screen"), _xlfn.XLOOKUP(C733, calc_rusacc!$C$15:$C$65, calc_rusacc!$AD$15:$AD$65, "",0),AND( F733="Sealant", I733="Roll-up Screen"), _xlfn.XLOOKUP(C733, calc_rusacc!$C$15:$C$65, calc_rusacc!$AF$15:$AF$65, "",0),  AND( F733="Main Chain", I733="Accordion Screen"), _xlfn.XLOOKUP(C733, calc_rusacc!$C$15:$C$65, calc_rusacc!$BF$15:$BF$65, "",0), AND( F733="Sealant", I733="Accordion Screen"), _xlfn.XLOOKUP(C733, calc_rusacc!$C$15:$C$65, calc_rusacc!$BJ$15:$BJ$65, "",0),  F733="Sealant", _xlfn.XLOOKUP(C733, dd_accsrycalc!$A$2:$A$51, dd_accsrycalc!$G$2:$G$51, "",0),  F733&lt;&gt;"",L733*_xlfn.XLOOKUP(1, (SKUs!$C$2:$C$10001=G733)*(SKUs!$K$2:$K$10001=I733),SKUs!$E$2:$E$10001)), 0),"")</f>
        <v/>
      </c>
      <c r="E733" s="16" t="str">
        <f>_xlfn.XLOOKUP(F733,dd_item!$B$2:$B$105,dd_item!$C$2:$C$105,"",0)</f>
        <v/>
      </c>
      <c r="F733" s="16"/>
      <c r="G733" s="16" cm="1">
        <f t="array" ref="G733">IFERROR(_xlfn.XLOOKUP(1, (SKUs!$J$2:$J$10001=accsry_unmerged!F733)*IF(H733&lt;&gt;"",(SKUs!$L$2:$L$10001=accsry_unmerged!H733),1)*(SKUs!$K$2:$K$10001=I733),SKUs!$C$2:$C$10001),"")</f>
        <v>0</v>
      </c>
      <c r="H733" s="33" cm="1">
        <f t="array" ref="H733">IFERROR(_xlfn.XLOOKUP(1, (dd_accsryclr!$C$2:$C$1000=accsry_unmerged!F733)*(dd_accsryclr!$B$2:$B$1000=accsry_unmerged!J733),dd_accsryclr!$A$2:$A$1000),"")</f>
        <v>0</v>
      </c>
      <c r="I733" s="16">
        <f>_xlfn.XLOOKUP(C733,'Project Details'!$C$17:$C$66,'Project Details'!$E$17:$E$66,"",0)</f>
        <v>0</v>
      </c>
      <c r="J733" s="16">
        <f>_xlfn.XLOOKUP(C733,'Project Details'!$C$17:$C$66,'Project Details'!$H$17:$H$66,"",0)</f>
        <v>0</v>
      </c>
      <c r="K733" s="33" t="str">
        <f>IF(AND(_xlfn.XLOOKUP(C733,'Project Details'!$C$17:$C$66,'Project Details'!$L$17:$L$66,"",0)&gt;550, F733="Spring-L27cm"),"",SUBSTITUTE(_xlfn.XLOOKUP(G733,SKUs!$C$2:$C$10001,SKUs!$F$2:$F$10001,"",0), " Accessories",""))</f>
        <v/>
      </c>
      <c r="L733" s="33">
        <f>_xlfn.XLOOKUP(C733,'Project Details'!$C$17:$C$66,'Project Details'!$D$17:$D$66,"",0)</f>
        <v>0</v>
      </c>
      <c r="M733" s="43"/>
    </row>
    <row r="734" spans="1:13" ht="13.5" customHeight="1" x14ac:dyDescent="0.25">
      <c r="A734" s="43"/>
      <c r="B734" s="43"/>
      <c r="C734" s="35">
        <f t="shared" si="13"/>
        <v>15</v>
      </c>
      <c r="D734" s="35" t="str" cm="1">
        <f t="array" ref="D734">IFERROR(ROUNDUP(_xlfn.IFS(F734="Aluminum Track", _xlfn.XLOOKUP(C734, dd_accsrycalc!$A$2:$A$51, dd_accsrycalc!$B$2:$B$51, "",0), F734="10 x 2 1/2 S (Flat)", _xlfn.XLOOKUP(C734, dd_accsrycalc!$A$2:$A$51, dd_accsrycalc!$C$2:$C$51, "",0), F734="Tox6", _xlfn.XLOOKUP(C734, dd_accsrycalc!$A$2:$A$51, dd_accsrycalc!$D$2:$D$51, "",0), F734="Cover Cap", _xlfn.XLOOKUP(C734, dd_accsrycalc!$A$2:$A$51, dd_accsrycalc!$E$2:$E$51, "",0), F734="Drainage Cover", _xlfn.XLOOKUP(C734, dd_accsrycalc!$A$2:$A$51, dd_accsrycalc!$F$2:$F$51, "",0),AND( F734="Double Adhesive Tape", I734="Roll-up Screen"), _xlfn.XLOOKUP(C734, calc_rusacc!$C$15:$C$65, calc_rusacc!$AD$15:$AD$65, "",0),AND( F734="Sealant", I734="Roll-up Screen"), _xlfn.XLOOKUP(C734, calc_rusacc!$C$15:$C$65, calc_rusacc!$AF$15:$AF$65, "",0),  AND( F734="Main Chain", I734="Accordion Screen"), _xlfn.XLOOKUP(C734, calc_rusacc!$C$15:$C$65, calc_rusacc!$BF$15:$BF$65, "",0), AND( F734="Sealant", I734="Accordion Screen"), _xlfn.XLOOKUP(C734, calc_rusacc!$C$15:$C$65, calc_rusacc!$BJ$15:$BJ$65, "",0),  F734="Sealant", _xlfn.XLOOKUP(C734, dd_accsrycalc!$A$2:$A$51, dd_accsrycalc!$G$2:$G$51, "",0),  F734&lt;&gt;"",L734*_xlfn.XLOOKUP(1, (SKUs!$C$2:$C$10001=G734)*(SKUs!$K$2:$K$10001=I734),SKUs!$E$2:$E$10001)), 0),"")</f>
        <v/>
      </c>
      <c r="E734" s="35" t="str">
        <f>_xlfn.XLOOKUP(F734,dd_item!$B$2:$B$105,dd_item!$C$2:$C$105,"",0)</f>
        <v/>
      </c>
      <c r="F734" s="35"/>
      <c r="G734" s="35" cm="1">
        <f t="array" ref="G734">IFERROR(_xlfn.XLOOKUP(1, (SKUs!$J$2:$J$10001=accsry_unmerged!F734)*IF(H734&lt;&gt;"",(SKUs!$L$2:$L$10001=accsry_unmerged!H734),1)*(SKUs!$K$2:$K$10001=I734),SKUs!$C$2:$C$10001),"")</f>
        <v>0</v>
      </c>
      <c r="H734" s="36" cm="1">
        <f t="array" ref="H734">IFERROR(_xlfn.XLOOKUP(1, (dd_accsryclr!$C$2:$C$1000=accsry_unmerged!F734)*(dd_accsryclr!$B$2:$B$1000=accsry_unmerged!J734),dd_accsryclr!$A$2:$A$1000),"")</f>
        <v>0</v>
      </c>
      <c r="I734" s="35">
        <f>_xlfn.XLOOKUP(C734,'Project Details'!$C$17:$C$66,'Project Details'!$E$17:$E$66,"",0)</f>
        <v>0</v>
      </c>
      <c r="J734" s="35">
        <f>_xlfn.XLOOKUP(C734,'Project Details'!$C$17:$C$66,'Project Details'!$H$17:$H$66,"",0)</f>
        <v>0</v>
      </c>
      <c r="K734" s="36" t="str">
        <f>IF(AND(_xlfn.XLOOKUP(C734,'Project Details'!$C$17:$C$66,'Project Details'!$L$17:$L$66,"",0)&gt;550, F734="Spring-L27cm"),"",SUBSTITUTE(_xlfn.XLOOKUP(G734,SKUs!$C$2:$C$10001,SKUs!$F$2:$F$10001,"",0), " Accessories",""))</f>
        <v/>
      </c>
      <c r="L734" s="36">
        <f>_xlfn.XLOOKUP(C734,'Project Details'!$C$17:$C$66,'Project Details'!$D$17:$D$66,"",0)</f>
        <v>0</v>
      </c>
      <c r="M734" s="43"/>
    </row>
    <row r="735" spans="1:13" ht="13.5" customHeight="1" x14ac:dyDescent="0.25">
      <c r="A735" s="43"/>
      <c r="B735" s="43"/>
      <c r="C735" s="16">
        <f t="shared" si="13"/>
        <v>15</v>
      </c>
      <c r="D735" s="16" t="str" cm="1">
        <f t="array" ref="D735">IFERROR(ROUNDUP(_xlfn.IFS(F735="Aluminum Track", _xlfn.XLOOKUP(C735, dd_accsrycalc!$A$2:$A$51, dd_accsrycalc!$B$2:$B$51, "",0), F735="10 x 2 1/2 S (Flat)", _xlfn.XLOOKUP(C735, dd_accsrycalc!$A$2:$A$51, dd_accsrycalc!$C$2:$C$51, "",0), F735="Tox6", _xlfn.XLOOKUP(C735, dd_accsrycalc!$A$2:$A$51, dd_accsrycalc!$D$2:$D$51, "",0), F735="Cover Cap", _xlfn.XLOOKUP(C735, dd_accsrycalc!$A$2:$A$51, dd_accsrycalc!$E$2:$E$51, "",0), F735="Drainage Cover", _xlfn.XLOOKUP(C735, dd_accsrycalc!$A$2:$A$51, dd_accsrycalc!$F$2:$F$51, "",0),AND( F735="Double Adhesive Tape", I735="Roll-up Screen"), _xlfn.XLOOKUP(C735, calc_rusacc!$C$15:$C$65, calc_rusacc!$AD$15:$AD$65, "",0),AND( F735="Sealant", I735="Roll-up Screen"), _xlfn.XLOOKUP(C735, calc_rusacc!$C$15:$C$65, calc_rusacc!$AF$15:$AF$65, "",0),  AND( F735="Main Chain", I735="Accordion Screen"), _xlfn.XLOOKUP(C735, calc_rusacc!$C$15:$C$65, calc_rusacc!$BF$15:$BF$65, "",0), AND( F735="Sealant", I735="Accordion Screen"), _xlfn.XLOOKUP(C735, calc_rusacc!$C$15:$C$65, calc_rusacc!$BJ$15:$BJ$65, "",0),  F735="Sealant", _xlfn.XLOOKUP(C735, dd_accsrycalc!$A$2:$A$51, dd_accsrycalc!$G$2:$G$51, "",0),  F735&lt;&gt;"",L735*_xlfn.XLOOKUP(1, (SKUs!$C$2:$C$10001=G735)*(SKUs!$K$2:$K$10001=I735),SKUs!$E$2:$E$10001)), 0),"")</f>
        <v/>
      </c>
      <c r="E735" s="16" t="str">
        <f>_xlfn.XLOOKUP(F735,dd_item!$B$2:$B$105,dd_item!$C$2:$C$105,"",0)</f>
        <v/>
      </c>
      <c r="F735" s="16"/>
      <c r="G735" s="16" cm="1">
        <f t="array" ref="G735">IFERROR(_xlfn.XLOOKUP(1, (SKUs!$J$2:$J$10001=accsry_unmerged!F735)*IF(H735&lt;&gt;"",(SKUs!$L$2:$L$10001=accsry_unmerged!H735),1)*(SKUs!$K$2:$K$10001=I735),SKUs!$C$2:$C$10001),"")</f>
        <v>0</v>
      </c>
      <c r="H735" s="33" cm="1">
        <f t="array" ref="H735">IFERROR(_xlfn.XLOOKUP(1, (dd_accsryclr!$C$2:$C$1000=accsry_unmerged!F735)*(dd_accsryclr!$B$2:$B$1000=accsry_unmerged!J735),dd_accsryclr!$A$2:$A$1000),"")</f>
        <v>0</v>
      </c>
      <c r="I735" s="16">
        <f>_xlfn.XLOOKUP(C735,'Project Details'!$C$17:$C$66,'Project Details'!$E$17:$E$66,"",0)</f>
        <v>0</v>
      </c>
      <c r="J735" s="16">
        <f>_xlfn.XLOOKUP(C735,'Project Details'!$C$17:$C$66,'Project Details'!$H$17:$H$66,"",0)</f>
        <v>0</v>
      </c>
      <c r="K735" s="33" t="str">
        <f>IF(AND(_xlfn.XLOOKUP(C735,'Project Details'!$C$17:$C$66,'Project Details'!$L$17:$L$66,"",0)&gt;550, F735="Spring-L27cm"),"",SUBSTITUTE(_xlfn.XLOOKUP(G735,SKUs!$C$2:$C$10001,SKUs!$F$2:$F$10001,"",0), " Accessories",""))</f>
        <v/>
      </c>
      <c r="L735" s="33">
        <f>_xlfn.XLOOKUP(C735,'Project Details'!$C$17:$C$66,'Project Details'!$D$17:$D$66,"",0)</f>
        <v>0</v>
      </c>
      <c r="M735" s="43"/>
    </row>
    <row r="736" spans="1:13" ht="13.5" customHeight="1" x14ac:dyDescent="0.25">
      <c r="A736" s="43"/>
      <c r="B736" s="43"/>
      <c r="C736" s="35">
        <f t="shared" si="13"/>
        <v>15</v>
      </c>
      <c r="D736" s="35" t="str" cm="1">
        <f t="array" ref="D736">IFERROR(ROUNDUP(_xlfn.IFS(F736="Aluminum Track", _xlfn.XLOOKUP(C736, dd_accsrycalc!$A$2:$A$51, dd_accsrycalc!$B$2:$B$51, "",0), F736="10 x 2 1/2 S (Flat)", _xlfn.XLOOKUP(C736, dd_accsrycalc!$A$2:$A$51, dd_accsrycalc!$C$2:$C$51, "",0), F736="Tox6", _xlfn.XLOOKUP(C736, dd_accsrycalc!$A$2:$A$51, dd_accsrycalc!$D$2:$D$51, "",0), F736="Cover Cap", _xlfn.XLOOKUP(C736, dd_accsrycalc!$A$2:$A$51, dd_accsrycalc!$E$2:$E$51, "",0), F736="Drainage Cover", _xlfn.XLOOKUP(C736, dd_accsrycalc!$A$2:$A$51, dd_accsrycalc!$F$2:$F$51, "",0),AND( F736="Double Adhesive Tape", I736="Roll-up Screen"), _xlfn.XLOOKUP(C736, calc_rusacc!$C$15:$C$65, calc_rusacc!$AD$15:$AD$65, "",0),AND( F736="Sealant", I736="Roll-up Screen"), _xlfn.XLOOKUP(C736, calc_rusacc!$C$15:$C$65, calc_rusacc!$AF$15:$AF$65, "",0),  AND( F736="Main Chain", I736="Accordion Screen"), _xlfn.XLOOKUP(C736, calc_rusacc!$C$15:$C$65, calc_rusacc!$BF$15:$BF$65, "",0), AND( F736="Sealant", I736="Accordion Screen"), _xlfn.XLOOKUP(C736, calc_rusacc!$C$15:$C$65, calc_rusacc!$BJ$15:$BJ$65, "",0),  F736="Sealant", _xlfn.XLOOKUP(C736, dd_accsrycalc!$A$2:$A$51, dd_accsrycalc!$G$2:$G$51, "",0),  F736&lt;&gt;"",L736*_xlfn.XLOOKUP(1, (SKUs!$C$2:$C$10001=G736)*(SKUs!$K$2:$K$10001=I736),SKUs!$E$2:$E$10001)), 0),"")</f>
        <v/>
      </c>
      <c r="E736" s="35" t="str">
        <f>_xlfn.XLOOKUP(F736,dd_item!$B$2:$B$105,dd_item!$C$2:$C$105,"",0)</f>
        <v/>
      </c>
      <c r="F736" s="35"/>
      <c r="G736" s="35" cm="1">
        <f t="array" ref="G736">IFERROR(_xlfn.XLOOKUP(1, (SKUs!$J$2:$J$10001=accsry_unmerged!F736)*IF(H736&lt;&gt;"",(SKUs!$L$2:$L$10001=accsry_unmerged!H736),1)*(SKUs!$K$2:$K$10001=I736),SKUs!$C$2:$C$10001),"")</f>
        <v>0</v>
      </c>
      <c r="H736" s="36" cm="1">
        <f t="array" ref="H736">IFERROR(_xlfn.XLOOKUP(1, (dd_accsryclr!$C$2:$C$1000=accsry_unmerged!F736)*(dd_accsryclr!$B$2:$B$1000=accsry_unmerged!J736),dd_accsryclr!$A$2:$A$1000),"")</f>
        <v>0</v>
      </c>
      <c r="I736" s="35">
        <f>_xlfn.XLOOKUP(C736,'Project Details'!$C$17:$C$66,'Project Details'!$E$17:$E$66,"",0)</f>
        <v>0</v>
      </c>
      <c r="J736" s="35">
        <f>_xlfn.XLOOKUP(C736,'Project Details'!$C$17:$C$66,'Project Details'!$H$17:$H$66,"",0)</f>
        <v>0</v>
      </c>
      <c r="K736" s="36" t="str">
        <f>IF(AND(_xlfn.XLOOKUP(C736,'Project Details'!$C$17:$C$66,'Project Details'!$L$17:$L$66,"",0)&gt;550, F736="Spring-L27cm"),"",SUBSTITUTE(_xlfn.XLOOKUP(G736,SKUs!$C$2:$C$10001,SKUs!$F$2:$F$10001,"",0), " Accessories",""))</f>
        <v/>
      </c>
      <c r="L736" s="36">
        <f>_xlfn.XLOOKUP(C736,'Project Details'!$C$17:$C$66,'Project Details'!$D$17:$D$66,"",0)</f>
        <v>0</v>
      </c>
      <c r="M736" s="43"/>
    </row>
    <row r="737" spans="1:13" ht="13.5" customHeight="1" x14ac:dyDescent="0.25">
      <c r="A737" s="43"/>
      <c r="B737" s="43"/>
      <c r="C737" s="16">
        <f t="shared" si="13"/>
        <v>15</v>
      </c>
      <c r="D737" s="16" t="str" cm="1">
        <f t="array" ref="D737">IFERROR(ROUNDUP(_xlfn.IFS(F737="Aluminum Track", _xlfn.XLOOKUP(C737, dd_accsrycalc!$A$2:$A$51, dd_accsrycalc!$B$2:$B$51, "",0), F737="10 x 2 1/2 S (Flat)", _xlfn.XLOOKUP(C737, dd_accsrycalc!$A$2:$A$51, dd_accsrycalc!$C$2:$C$51, "",0), F737="Tox6", _xlfn.XLOOKUP(C737, dd_accsrycalc!$A$2:$A$51, dd_accsrycalc!$D$2:$D$51, "",0), F737="Cover Cap", _xlfn.XLOOKUP(C737, dd_accsrycalc!$A$2:$A$51, dd_accsrycalc!$E$2:$E$51, "",0), F737="Drainage Cover", _xlfn.XLOOKUP(C737, dd_accsrycalc!$A$2:$A$51, dd_accsrycalc!$F$2:$F$51, "",0),AND( F737="Double Adhesive Tape", I737="Roll-up Screen"), _xlfn.XLOOKUP(C737, calc_rusacc!$C$15:$C$65, calc_rusacc!$AD$15:$AD$65, "",0),AND( F737="Sealant", I737="Roll-up Screen"), _xlfn.XLOOKUP(C737, calc_rusacc!$C$15:$C$65, calc_rusacc!$AF$15:$AF$65, "",0),  AND( F737="Main Chain", I737="Accordion Screen"), _xlfn.XLOOKUP(C737, calc_rusacc!$C$15:$C$65, calc_rusacc!$BF$15:$BF$65, "",0), AND( F737="Sealant", I737="Accordion Screen"), _xlfn.XLOOKUP(C737, calc_rusacc!$C$15:$C$65, calc_rusacc!$BJ$15:$BJ$65, "",0),  F737="Sealant", _xlfn.XLOOKUP(C737, dd_accsrycalc!$A$2:$A$51, dd_accsrycalc!$G$2:$G$51, "",0),  F737&lt;&gt;"",L737*_xlfn.XLOOKUP(1, (SKUs!$C$2:$C$10001=G737)*(SKUs!$K$2:$K$10001=I737),SKUs!$E$2:$E$10001)), 0),"")</f>
        <v/>
      </c>
      <c r="E737" s="16" t="str">
        <f>_xlfn.XLOOKUP(F737,dd_item!$B$2:$B$105,dd_item!$C$2:$C$105,"",0)</f>
        <v/>
      </c>
      <c r="F737" s="16"/>
      <c r="G737" s="16" cm="1">
        <f t="array" ref="G737">IFERROR(_xlfn.XLOOKUP(1, (SKUs!$J$2:$J$10001=accsry_unmerged!F737)*IF(H737&lt;&gt;"",(SKUs!$L$2:$L$10001=accsry_unmerged!H737),1)*(SKUs!$K$2:$K$10001=I737),SKUs!$C$2:$C$10001),"")</f>
        <v>0</v>
      </c>
      <c r="H737" s="33" cm="1">
        <f t="array" ref="H737">IFERROR(_xlfn.XLOOKUP(1, (dd_accsryclr!$C$2:$C$1000=accsry_unmerged!F737)*(dd_accsryclr!$B$2:$B$1000=accsry_unmerged!J737),dd_accsryclr!$A$2:$A$1000),"")</f>
        <v>0</v>
      </c>
      <c r="I737" s="16">
        <f>_xlfn.XLOOKUP(C737,'Project Details'!$C$17:$C$66,'Project Details'!$E$17:$E$66,"",0)</f>
        <v>0</v>
      </c>
      <c r="J737" s="16">
        <f>_xlfn.XLOOKUP(C737,'Project Details'!$C$17:$C$66,'Project Details'!$H$17:$H$66,"",0)</f>
        <v>0</v>
      </c>
      <c r="K737" s="33" t="str">
        <f>IF(AND(_xlfn.XLOOKUP(C737,'Project Details'!$C$17:$C$66,'Project Details'!$L$17:$L$66,"",0)&gt;550, F737="Spring-L27cm"),"",SUBSTITUTE(_xlfn.XLOOKUP(G737,SKUs!$C$2:$C$10001,SKUs!$F$2:$F$10001,"",0), " Accessories",""))</f>
        <v/>
      </c>
      <c r="L737" s="33">
        <f>_xlfn.XLOOKUP(C737,'Project Details'!$C$17:$C$66,'Project Details'!$D$17:$D$66,"",0)</f>
        <v>0</v>
      </c>
      <c r="M737" s="43"/>
    </row>
    <row r="738" spans="1:13" ht="13.5" customHeight="1" x14ac:dyDescent="0.25">
      <c r="A738" s="43"/>
      <c r="B738" s="43"/>
      <c r="C738" s="35">
        <f t="shared" si="13"/>
        <v>15</v>
      </c>
      <c r="D738" s="35" t="str" cm="1">
        <f t="array" ref="D738">IFERROR(ROUNDUP(_xlfn.IFS(F738="Aluminum Track", _xlfn.XLOOKUP(C738, dd_accsrycalc!$A$2:$A$51, dd_accsrycalc!$B$2:$B$51, "",0), F738="10 x 2 1/2 S (Flat)", _xlfn.XLOOKUP(C738, dd_accsrycalc!$A$2:$A$51, dd_accsrycalc!$C$2:$C$51, "",0), F738="Tox6", _xlfn.XLOOKUP(C738, dd_accsrycalc!$A$2:$A$51, dd_accsrycalc!$D$2:$D$51, "",0), F738="Cover Cap", _xlfn.XLOOKUP(C738, dd_accsrycalc!$A$2:$A$51, dd_accsrycalc!$E$2:$E$51, "",0), F738="Drainage Cover", _xlfn.XLOOKUP(C738, dd_accsrycalc!$A$2:$A$51, dd_accsrycalc!$F$2:$F$51, "",0),AND( F738="Double Adhesive Tape", I738="Roll-up Screen"), _xlfn.XLOOKUP(C738, calc_rusacc!$C$15:$C$65, calc_rusacc!$AD$15:$AD$65, "",0),AND( F738="Sealant", I738="Roll-up Screen"), _xlfn.XLOOKUP(C738, calc_rusacc!$C$15:$C$65, calc_rusacc!$AF$15:$AF$65, "",0),  AND( F738="Main Chain", I738="Accordion Screen"), _xlfn.XLOOKUP(C738, calc_rusacc!$C$15:$C$65, calc_rusacc!$BF$15:$BF$65, "",0), AND( F738="Sealant", I738="Accordion Screen"), _xlfn.XLOOKUP(C738, calc_rusacc!$C$15:$C$65, calc_rusacc!$BJ$15:$BJ$65, "",0),  F738="Sealant", _xlfn.XLOOKUP(C738, dd_accsrycalc!$A$2:$A$51, dd_accsrycalc!$G$2:$G$51, "",0),  F738&lt;&gt;"",L738*_xlfn.XLOOKUP(1, (SKUs!$C$2:$C$10001=G738)*(SKUs!$K$2:$K$10001=I738),SKUs!$E$2:$E$10001)), 0),"")</f>
        <v/>
      </c>
      <c r="E738" s="35" t="str">
        <f>_xlfn.XLOOKUP(F738,dd_item!$B$2:$B$105,dd_item!$C$2:$C$105,"",0)</f>
        <v/>
      </c>
      <c r="F738" s="35"/>
      <c r="G738" s="35" cm="1">
        <f t="array" ref="G738">IFERROR(_xlfn.XLOOKUP(1, (SKUs!$J$2:$J$10001=accsry_unmerged!F738)*IF(H738&lt;&gt;"",(SKUs!$L$2:$L$10001=accsry_unmerged!H738),1)*(SKUs!$K$2:$K$10001=I738),SKUs!$C$2:$C$10001),"")</f>
        <v>0</v>
      </c>
      <c r="H738" s="36" cm="1">
        <f t="array" ref="H738">IFERROR(_xlfn.XLOOKUP(1, (dd_accsryclr!$C$2:$C$1000=accsry_unmerged!F738)*(dd_accsryclr!$B$2:$B$1000=accsry_unmerged!J738),dd_accsryclr!$A$2:$A$1000),"")</f>
        <v>0</v>
      </c>
      <c r="I738" s="35">
        <f>_xlfn.XLOOKUP(C738,'Project Details'!$C$17:$C$66,'Project Details'!$E$17:$E$66,"",0)</f>
        <v>0</v>
      </c>
      <c r="J738" s="35">
        <f>_xlfn.XLOOKUP(C738,'Project Details'!$C$17:$C$66,'Project Details'!$H$17:$H$66,"",0)</f>
        <v>0</v>
      </c>
      <c r="K738" s="36" t="str">
        <f>IF(AND(_xlfn.XLOOKUP(C738,'Project Details'!$C$17:$C$66,'Project Details'!$L$17:$L$66,"",0)&gt;550, F738="Spring-L27cm"),"",SUBSTITUTE(_xlfn.XLOOKUP(G738,SKUs!$C$2:$C$10001,SKUs!$F$2:$F$10001,"",0), " Accessories",""))</f>
        <v/>
      </c>
      <c r="L738" s="36">
        <f>_xlfn.XLOOKUP(C738,'Project Details'!$C$17:$C$66,'Project Details'!$D$17:$D$66,"",0)</f>
        <v>0</v>
      </c>
      <c r="M738" s="43"/>
    </row>
    <row r="739" spans="1:13" ht="13.5" customHeight="1" x14ac:dyDescent="0.25">
      <c r="A739" s="43"/>
      <c r="B739" s="43"/>
      <c r="C739" s="16">
        <f t="shared" si="13"/>
        <v>15</v>
      </c>
      <c r="D739" s="16" t="str" cm="1">
        <f t="array" ref="D739">IFERROR(ROUNDUP(_xlfn.IFS(F739="Aluminum Track", _xlfn.XLOOKUP(C739, dd_accsrycalc!$A$2:$A$51, dd_accsrycalc!$B$2:$B$51, "",0), F739="10 x 2 1/2 S (Flat)", _xlfn.XLOOKUP(C739, dd_accsrycalc!$A$2:$A$51, dd_accsrycalc!$C$2:$C$51, "",0), F739="Tox6", _xlfn.XLOOKUP(C739, dd_accsrycalc!$A$2:$A$51, dd_accsrycalc!$D$2:$D$51, "",0), F739="Cover Cap", _xlfn.XLOOKUP(C739, dd_accsrycalc!$A$2:$A$51, dd_accsrycalc!$E$2:$E$51, "",0), F739="Drainage Cover", _xlfn.XLOOKUP(C739, dd_accsrycalc!$A$2:$A$51, dd_accsrycalc!$F$2:$F$51, "",0),AND( F739="Double Adhesive Tape", I739="Roll-up Screen"), _xlfn.XLOOKUP(C739, calc_rusacc!$C$15:$C$65, calc_rusacc!$AD$15:$AD$65, "",0),AND( F739="Sealant", I739="Roll-up Screen"), _xlfn.XLOOKUP(C739, calc_rusacc!$C$15:$C$65, calc_rusacc!$AF$15:$AF$65, "",0),  AND( F739="Main Chain", I739="Accordion Screen"), _xlfn.XLOOKUP(C739, calc_rusacc!$C$15:$C$65, calc_rusacc!$BF$15:$BF$65, "",0), AND( F739="Sealant", I739="Accordion Screen"), _xlfn.XLOOKUP(C739, calc_rusacc!$C$15:$C$65, calc_rusacc!$BJ$15:$BJ$65, "",0),  F739="Sealant", _xlfn.XLOOKUP(C739, dd_accsrycalc!$A$2:$A$51, dd_accsrycalc!$G$2:$G$51, "",0),  F739&lt;&gt;"",L739*_xlfn.XLOOKUP(1, (SKUs!$C$2:$C$10001=G739)*(SKUs!$K$2:$K$10001=I739),SKUs!$E$2:$E$10001)), 0),"")</f>
        <v/>
      </c>
      <c r="E739" s="16" t="str">
        <f>_xlfn.XLOOKUP(F739,dd_item!$B$2:$B$105,dd_item!$C$2:$C$105,"",0)</f>
        <v/>
      </c>
      <c r="F739" s="16"/>
      <c r="G739" s="16" cm="1">
        <f t="array" ref="G739">IFERROR(_xlfn.XLOOKUP(1, (SKUs!$J$2:$J$10001=accsry_unmerged!F739)*IF(H739&lt;&gt;"",(SKUs!$L$2:$L$10001=accsry_unmerged!H739),1)*(SKUs!$K$2:$K$10001=I739),SKUs!$C$2:$C$10001),"")</f>
        <v>0</v>
      </c>
      <c r="H739" s="33" cm="1">
        <f t="array" ref="H739">IFERROR(_xlfn.XLOOKUP(1, (dd_accsryclr!$C$2:$C$1000=accsry_unmerged!F739)*(dd_accsryclr!$B$2:$B$1000=accsry_unmerged!J739),dd_accsryclr!$A$2:$A$1000),"")</f>
        <v>0</v>
      </c>
      <c r="I739" s="16">
        <f>_xlfn.XLOOKUP(C739,'Project Details'!$C$17:$C$66,'Project Details'!$E$17:$E$66,"",0)</f>
        <v>0</v>
      </c>
      <c r="J739" s="16">
        <f>_xlfn.XLOOKUP(C739,'Project Details'!$C$17:$C$66,'Project Details'!$H$17:$H$66,"",0)</f>
        <v>0</v>
      </c>
      <c r="K739" s="33" t="str">
        <f>IF(AND(_xlfn.XLOOKUP(C739,'Project Details'!$C$17:$C$66,'Project Details'!$L$17:$L$66,"",0)&gt;550, F739="Spring-L27cm"),"",SUBSTITUTE(_xlfn.XLOOKUP(G739,SKUs!$C$2:$C$10001,SKUs!$F$2:$F$10001,"",0), " Accessories",""))</f>
        <v/>
      </c>
      <c r="L739" s="33">
        <f>_xlfn.XLOOKUP(C739,'Project Details'!$C$17:$C$66,'Project Details'!$D$17:$D$66,"",0)</f>
        <v>0</v>
      </c>
      <c r="M739" s="43"/>
    </row>
    <row r="740" spans="1:13" ht="13.5" customHeight="1" x14ac:dyDescent="0.25">
      <c r="A740" s="43"/>
      <c r="B740" s="43"/>
      <c r="C740" s="35">
        <f t="shared" si="13"/>
        <v>15</v>
      </c>
      <c r="D740" s="35" t="str" cm="1">
        <f t="array" ref="D740">IFERROR(ROUNDUP(_xlfn.IFS(F740="Aluminum Track", _xlfn.XLOOKUP(C740, dd_accsrycalc!$A$2:$A$51, dd_accsrycalc!$B$2:$B$51, "",0), F740="10 x 2 1/2 S (Flat)", _xlfn.XLOOKUP(C740, dd_accsrycalc!$A$2:$A$51, dd_accsrycalc!$C$2:$C$51, "",0), F740="Tox6", _xlfn.XLOOKUP(C740, dd_accsrycalc!$A$2:$A$51, dd_accsrycalc!$D$2:$D$51, "",0), F740="Cover Cap", _xlfn.XLOOKUP(C740, dd_accsrycalc!$A$2:$A$51, dd_accsrycalc!$E$2:$E$51, "",0), F740="Drainage Cover", _xlfn.XLOOKUP(C740, dd_accsrycalc!$A$2:$A$51, dd_accsrycalc!$F$2:$F$51, "",0),AND( F740="Double Adhesive Tape", I740="Roll-up Screen"), _xlfn.XLOOKUP(C740, calc_rusacc!$C$15:$C$65, calc_rusacc!$AD$15:$AD$65, "",0),AND( F740="Sealant", I740="Roll-up Screen"), _xlfn.XLOOKUP(C740, calc_rusacc!$C$15:$C$65, calc_rusacc!$AF$15:$AF$65, "",0),  AND( F740="Main Chain", I740="Accordion Screen"), _xlfn.XLOOKUP(C740, calc_rusacc!$C$15:$C$65, calc_rusacc!$BF$15:$BF$65, "",0), AND( F740="Sealant", I740="Accordion Screen"), _xlfn.XLOOKUP(C740, calc_rusacc!$C$15:$C$65, calc_rusacc!$BJ$15:$BJ$65, "",0),  F740="Sealant", _xlfn.XLOOKUP(C740, dd_accsrycalc!$A$2:$A$51, dd_accsrycalc!$G$2:$G$51, "",0),  F740&lt;&gt;"",L740*_xlfn.XLOOKUP(1, (SKUs!$C$2:$C$10001=G740)*(SKUs!$K$2:$K$10001=I740),SKUs!$E$2:$E$10001)), 0),"")</f>
        <v/>
      </c>
      <c r="E740" s="35" t="str">
        <f>_xlfn.XLOOKUP(F740,dd_item!$B$2:$B$105,dd_item!$C$2:$C$105,"",0)</f>
        <v/>
      </c>
      <c r="F740" s="35"/>
      <c r="G740" s="35" cm="1">
        <f t="array" ref="G740">IFERROR(_xlfn.XLOOKUP(1, (SKUs!$J$2:$J$10001=accsry_unmerged!F740)*IF(H740&lt;&gt;"",(SKUs!$L$2:$L$10001=accsry_unmerged!H740),1)*(SKUs!$K$2:$K$10001=I740),SKUs!$C$2:$C$10001),"")</f>
        <v>0</v>
      </c>
      <c r="H740" s="36" cm="1">
        <f t="array" ref="H740">IFERROR(_xlfn.XLOOKUP(1, (dd_accsryclr!$C$2:$C$1000=accsry_unmerged!F740)*(dd_accsryclr!$B$2:$B$1000=accsry_unmerged!J740),dd_accsryclr!$A$2:$A$1000),"")</f>
        <v>0</v>
      </c>
      <c r="I740" s="35">
        <f>_xlfn.XLOOKUP(C740,'Project Details'!$C$17:$C$66,'Project Details'!$E$17:$E$66,"",0)</f>
        <v>0</v>
      </c>
      <c r="J740" s="35">
        <f>_xlfn.XLOOKUP(C740,'Project Details'!$C$17:$C$66,'Project Details'!$H$17:$H$66,"",0)</f>
        <v>0</v>
      </c>
      <c r="K740" s="36" t="str">
        <f>IF(AND(_xlfn.XLOOKUP(C740,'Project Details'!$C$17:$C$66,'Project Details'!$L$17:$L$66,"",0)&gt;550, F740="Spring-L27cm"),"",SUBSTITUTE(_xlfn.XLOOKUP(G740,SKUs!$C$2:$C$10001,SKUs!$F$2:$F$10001,"",0), " Accessories",""))</f>
        <v/>
      </c>
      <c r="L740" s="36">
        <f>_xlfn.XLOOKUP(C740,'Project Details'!$C$17:$C$66,'Project Details'!$D$17:$D$66,"",0)</f>
        <v>0</v>
      </c>
      <c r="M740" s="43"/>
    </row>
    <row r="741" spans="1:13" ht="13.5" customHeight="1" x14ac:dyDescent="0.25">
      <c r="A741" s="43"/>
      <c r="B741" s="43"/>
      <c r="C741" s="16">
        <f t="shared" si="13"/>
        <v>15</v>
      </c>
      <c r="D741" s="16" t="str" cm="1">
        <f t="array" ref="D741">IFERROR(ROUNDUP(_xlfn.IFS(F741="Aluminum Track", _xlfn.XLOOKUP(C741, dd_accsrycalc!$A$2:$A$51, dd_accsrycalc!$B$2:$B$51, "",0), F741="10 x 2 1/2 S (Flat)", _xlfn.XLOOKUP(C741, dd_accsrycalc!$A$2:$A$51, dd_accsrycalc!$C$2:$C$51, "",0), F741="Tox6", _xlfn.XLOOKUP(C741, dd_accsrycalc!$A$2:$A$51, dd_accsrycalc!$D$2:$D$51, "",0), F741="Cover Cap", _xlfn.XLOOKUP(C741, dd_accsrycalc!$A$2:$A$51, dd_accsrycalc!$E$2:$E$51, "",0), F741="Drainage Cover", _xlfn.XLOOKUP(C741, dd_accsrycalc!$A$2:$A$51, dd_accsrycalc!$F$2:$F$51, "",0),AND( F741="Double Adhesive Tape", I741="Roll-up Screen"), _xlfn.XLOOKUP(C741, calc_rusacc!$C$15:$C$65, calc_rusacc!$AD$15:$AD$65, "",0),AND( F741="Sealant", I741="Roll-up Screen"), _xlfn.XLOOKUP(C741, calc_rusacc!$C$15:$C$65, calc_rusacc!$AF$15:$AF$65, "",0),  AND( F741="Main Chain", I741="Accordion Screen"), _xlfn.XLOOKUP(C741, calc_rusacc!$C$15:$C$65, calc_rusacc!$BF$15:$BF$65, "",0), AND( F741="Sealant", I741="Accordion Screen"), _xlfn.XLOOKUP(C741, calc_rusacc!$C$15:$C$65, calc_rusacc!$BJ$15:$BJ$65, "",0),  F741="Sealant", _xlfn.XLOOKUP(C741, dd_accsrycalc!$A$2:$A$51, dd_accsrycalc!$G$2:$G$51, "",0),  F741&lt;&gt;"",L741*_xlfn.XLOOKUP(1, (SKUs!$C$2:$C$10001=G741)*(SKUs!$K$2:$K$10001=I741),SKUs!$E$2:$E$10001)), 0),"")</f>
        <v/>
      </c>
      <c r="E741" s="16" t="str">
        <f>_xlfn.XLOOKUP(F741,dd_item!$B$2:$B$105,dd_item!$C$2:$C$105,"",0)</f>
        <v/>
      </c>
      <c r="F741" s="16"/>
      <c r="G741" s="16" cm="1">
        <f t="array" ref="G741">IFERROR(_xlfn.XLOOKUP(1, (SKUs!$J$2:$J$10001=accsry_unmerged!F741)*IF(H741&lt;&gt;"",(SKUs!$L$2:$L$10001=accsry_unmerged!H741),1)*(SKUs!$K$2:$K$10001=I741),SKUs!$C$2:$C$10001),"")</f>
        <v>0</v>
      </c>
      <c r="H741" s="33" cm="1">
        <f t="array" ref="H741">IFERROR(_xlfn.XLOOKUP(1, (dd_accsryclr!$C$2:$C$1000=accsry_unmerged!F741)*(dd_accsryclr!$B$2:$B$1000=accsry_unmerged!J741),dd_accsryclr!$A$2:$A$1000),"")</f>
        <v>0</v>
      </c>
      <c r="I741" s="16">
        <f>_xlfn.XLOOKUP(C741,'Project Details'!$C$17:$C$66,'Project Details'!$E$17:$E$66,"",0)</f>
        <v>0</v>
      </c>
      <c r="J741" s="16">
        <f>_xlfn.XLOOKUP(C741,'Project Details'!$C$17:$C$66,'Project Details'!$H$17:$H$66,"",0)</f>
        <v>0</v>
      </c>
      <c r="K741" s="33" t="str">
        <f>IF(AND(_xlfn.XLOOKUP(C741,'Project Details'!$C$17:$C$66,'Project Details'!$L$17:$L$66,"",0)&gt;550, F741="Spring-L27cm"),"",SUBSTITUTE(_xlfn.XLOOKUP(G741,SKUs!$C$2:$C$10001,SKUs!$F$2:$F$10001,"",0), " Accessories",""))</f>
        <v/>
      </c>
      <c r="L741" s="33">
        <f>_xlfn.XLOOKUP(C741,'Project Details'!$C$17:$C$66,'Project Details'!$D$17:$D$66,"",0)</f>
        <v>0</v>
      </c>
      <c r="M741" s="43"/>
    </row>
    <row r="742" spans="1:13" ht="13.5" customHeight="1" x14ac:dyDescent="0.25">
      <c r="A742" s="43"/>
      <c r="B742" s="43"/>
      <c r="C742" s="35">
        <f t="shared" si="13"/>
        <v>15</v>
      </c>
      <c r="D742" s="35" t="str" cm="1">
        <f t="array" ref="D742">IFERROR(ROUNDUP(_xlfn.IFS(F742="Aluminum Track", _xlfn.XLOOKUP(C742, dd_accsrycalc!$A$2:$A$51, dd_accsrycalc!$B$2:$B$51, "",0), F742="10 x 2 1/2 S (Flat)", _xlfn.XLOOKUP(C742, dd_accsrycalc!$A$2:$A$51, dd_accsrycalc!$C$2:$C$51, "",0), F742="Tox6", _xlfn.XLOOKUP(C742, dd_accsrycalc!$A$2:$A$51, dd_accsrycalc!$D$2:$D$51, "",0), F742="Cover Cap", _xlfn.XLOOKUP(C742, dd_accsrycalc!$A$2:$A$51, dd_accsrycalc!$E$2:$E$51, "",0), F742="Drainage Cover", _xlfn.XLOOKUP(C742, dd_accsrycalc!$A$2:$A$51, dd_accsrycalc!$F$2:$F$51, "",0),AND( F742="Double Adhesive Tape", I742="Roll-up Screen"), _xlfn.XLOOKUP(C742, calc_rusacc!$C$15:$C$65, calc_rusacc!$AD$15:$AD$65, "",0),AND( F742="Sealant", I742="Roll-up Screen"), _xlfn.XLOOKUP(C742, calc_rusacc!$C$15:$C$65, calc_rusacc!$AF$15:$AF$65, "",0),  AND( F742="Main Chain", I742="Accordion Screen"), _xlfn.XLOOKUP(C742, calc_rusacc!$C$15:$C$65, calc_rusacc!$BF$15:$BF$65, "",0), AND( F742="Sealant", I742="Accordion Screen"), _xlfn.XLOOKUP(C742, calc_rusacc!$C$15:$C$65, calc_rusacc!$BJ$15:$BJ$65, "",0),  F742="Sealant", _xlfn.XLOOKUP(C742, dd_accsrycalc!$A$2:$A$51, dd_accsrycalc!$G$2:$G$51, "",0),  F742&lt;&gt;"",L742*_xlfn.XLOOKUP(1, (SKUs!$C$2:$C$10001=G742)*(SKUs!$K$2:$K$10001=I742),SKUs!$E$2:$E$10001)), 0),"")</f>
        <v/>
      </c>
      <c r="E742" s="35" t="str">
        <f>_xlfn.XLOOKUP(F742,dd_item!$B$2:$B$105,dd_item!$C$2:$C$105,"",0)</f>
        <v/>
      </c>
      <c r="F742" s="35"/>
      <c r="G742" s="35" cm="1">
        <f t="array" ref="G742">IFERROR(_xlfn.XLOOKUP(1, (SKUs!$J$2:$J$10001=accsry_unmerged!F742)*IF(H742&lt;&gt;"",(SKUs!$L$2:$L$10001=accsry_unmerged!H742),1)*(SKUs!$K$2:$K$10001=I742),SKUs!$C$2:$C$10001),"")</f>
        <v>0</v>
      </c>
      <c r="H742" s="36" cm="1">
        <f t="array" ref="H742">IFERROR(_xlfn.XLOOKUP(1, (dd_accsryclr!$C$2:$C$1000=accsry_unmerged!F742)*(dd_accsryclr!$B$2:$B$1000=accsry_unmerged!J742),dd_accsryclr!$A$2:$A$1000),"")</f>
        <v>0</v>
      </c>
      <c r="I742" s="35">
        <f>_xlfn.XLOOKUP(C742,'Project Details'!$C$17:$C$66,'Project Details'!$E$17:$E$66,"",0)</f>
        <v>0</v>
      </c>
      <c r="J742" s="35">
        <f>_xlfn.XLOOKUP(C742,'Project Details'!$C$17:$C$66,'Project Details'!$H$17:$H$66,"",0)</f>
        <v>0</v>
      </c>
      <c r="K742" s="36" t="str">
        <f>IF(AND(_xlfn.XLOOKUP(C742,'Project Details'!$C$17:$C$66,'Project Details'!$L$17:$L$66,"",0)&gt;550, F742="Spring-L27cm"),"",SUBSTITUTE(_xlfn.XLOOKUP(G742,SKUs!$C$2:$C$10001,SKUs!$F$2:$F$10001,"",0), " Accessories",""))</f>
        <v/>
      </c>
      <c r="L742" s="36">
        <f>_xlfn.XLOOKUP(C742,'Project Details'!$C$17:$C$66,'Project Details'!$D$17:$D$66,"",0)</f>
        <v>0</v>
      </c>
      <c r="M742" s="43"/>
    </row>
    <row r="743" spans="1:13" ht="13.5" customHeight="1" x14ac:dyDescent="0.25">
      <c r="A743" s="43"/>
      <c r="B743" s="43"/>
      <c r="C743" s="16">
        <f t="shared" si="13"/>
        <v>15</v>
      </c>
      <c r="D743" s="16" t="str" cm="1">
        <f t="array" ref="D743">IFERROR(ROUNDUP(_xlfn.IFS(F743="Aluminum Track", _xlfn.XLOOKUP(C743, dd_accsrycalc!$A$2:$A$51, dd_accsrycalc!$B$2:$B$51, "",0), F743="10 x 2 1/2 S (Flat)", _xlfn.XLOOKUP(C743, dd_accsrycalc!$A$2:$A$51, dd_accsrycalc!$C$2:$C$51, "",0), F743="Tox6", _xlfn.XLOOKUP(C743, dd_accsrycalc!$A$2:$A$51, dd_accsrycalc!$D$2:$D$51, "",0), F743="Cover Cap", _xlfn.XLOOKUP(C743, dd_accsrycalc!$A$2:$A$51, dd_accsrycalc!$E$2:$E$51, "",0), F743="Drainage Cover", _xlfn.XLOOKUP(C743, dd_accsrycalc!$A$2:$A$51, dd_accsrycalc!$F$2:$F$51, "",0),AND( F743="Double Adhesive Tape", I743="Roll-up Screen"), _xlfn.XLOOKUP(C743, calc_rusacc!$C$15:$C$65, calc_rusacc!$AD$15:$AD$65, "",0),AND( F743="Sealant", I743="Roll-up Screen"), _xlfn.XLOOKUP(C743, calc_rusacc!$C$15:$C$65, calc_rusacc!$AF$15:$AF$65, "",0),  AND( F743="Main Chain", I743="Accordion Screen"), _xlfn.XLOOKUP(C743, calc_rusacc!$C$15:$C$65, calc_rusacc!$BF$15:$BF$65, "",0), AND( F743="Sealant", I743="Accordion Screen"), _xlfn.XLOOKUP(C743, calc_rusacc!$C$15:$C$65, calc_rusacc!$BJ$15:$BJ$65, "",0),  F743="Sealant", _xlfn.XLOOKUP(C743, dd_accsrycalc!$A$2:$A$51, dd_accsrycalc!$G$2:$G$51, "",0),  F743&lt;&gt;"",L743*_xlfn.XLOOKUP(1, (SKUs!$C$2:$C$10001=G743)*(SKUs!$K$2:$K$10001=I743),SKUs!$E$2:$E$10001)), 0),"")</f>
        <v/>
      </c>
      <c r="E743" s="16" t="str">
        <f>_xlfn.XLOOKUP(F743,dd_item!$B$2:$B$105,dd_item!$C$2:$C$105,"",0)</f>
        <v/>
      </c>
      <c r="F743" s="16"/>
      <c r="G743" s="16" cm="1">
        <f t="array" ref="G743">IFERROR(_xlfn.XLOOKUP(1, (SKUs!$J$2:$J$10001=accsry_unmerged!F743)*IF(H743&lt;&gt;"",(SKUs!$L$2:$L$10001=accsry_unmerged!H743),1)*(SKUs!$K$2:$K$10001=I743),SKUs!$C$2:$C$10001),"")</f>
        <v>0</v>
      </c>
      <c r="H743" s="33" cm="1">
        <f t="array" ref="H743">IFERROR(_xlfn.XLOOKUP(1, (dd_accsryclr!$C$2:$C$1000=accsry_unmerged!F743)*(dd_accsryclr!$B$2:$B$1000=accsry_unmerged!J743),dd_accsryclr!$A$2:$A$1000),"")</f>
        <v>0</v>
      </c>
      <c r="I743" s="16">
        <f>_xlfn.XLOOKUP(C743,'Project Details'!$C$17:$C$66,'Project Details'!$E$17:$E$66,"",0)</f>
        <v>0</v>
      </c>
      <c r="J743" s="16">
        <f>_xlfn.XLOOKUP(C743,'Project Details'!$C$17:$C$66,'Project Details'!$H$17:$H$66,"",0)</f>
        <v>0</v>
      </c>
      <c r="K743" s="33" t="str">
        <f>IF(AND(_xlfn.XLOOKUP(C743,'Project Details'!$C$17:$C$66,'Project Details'!$L$17:$L$66,"",0)&gt;550, F743="Spring-L27cm"),"",SUBSTITUTE(_xlfn.XLOOKUP(G743,SKUs!$C$2:$C$10001,SKUs!$F$2:$F$10001,"",0), " Accessories",""))</f>
        <v/>
      </c>
      <c r="L743" s="33">
        <f>_xlfn.XLOOKUP(C743,'Project Details'!$C$17:$C$66,'Project Details'!$D$17:$D$66,"",0)</f>
        <v>0</v>
      </c>
      <c r="M743" s="43"/>
    </row>
    <row r="744" spans="1:13" ht="13.5" customHeight="1" x14ac:dyDescent="0.25">
      <c r="A744" s="43"/>
      <c r="B744" s="43"/>
      <c r="C744" s="35">
        <f t="shared" si="13"/>
        <v>15</v>
      </c>
      <c r="D744" s="35" t="str" cm="1">
        <f t="array" ref="D744">IFERROR(ROUNDUP(_xlfn.IFS(F744="Aluminum Track", _xlfn.XLOOKUP(C744, dd_accsrycalc!$A$2:$A$51, dd_accsrycalc!$B$2:$B$51, "",0), F744="10 x 2 1/2 S (Flat)", _xlfn.XLOOKUP(C744, dd_accsrycalc!$A$2:$A$51, dd_accsrycalc!$C$2:$C$51, "",0), F744="Tox6", _xlfn.XLOOKUP(C744, dd_accsrycalc!$A$2:$A$51, dd_accsrycalc!$D$2:$D$51, "",0), F744="Cover Cap", _xlfn.XLOOKUP(C744, dd_accsrycalc!$A$2:$A$51, dd_accsrycalc!$E$2:$E$51, "",0), F744="Drainage Cover", _xlfn.XLOOKUP(C744, dd_accsrycalc!$A$2:$A$51, dd_accsrycalc!$F$2:$F$51, "",0),AND( F744="Double Adhesive Tape", I744="Roll-up Screen"), _xlfn.XLOOKUP(C744, calc_rusacc!$C$15:$C$65, calc_rusacc!$AD$15:$AD$65, "",0),AND( F744="Sealant", I744="Roll-up Screen"), _xlfn.XLOOKUP(C744, calc_rusacc!$C$15:$C$65, calc_rusacc!$AF$15:$AF$65, "",0),  AND( F744="Main Chain", I744="Accordion Screen"), _xlfn.XLOOKUP(C744, calc_rusacc!$C$15:$C$65, calc_rusacc!$BF$15:$BF$65, "",0), AND( F744="Sealant", I744="Accordion Screen"), _xlfn.XLOOKUP(C744, calc_rusacc!$C$15:$C$65, calc_rusacc!$BJ$15:$BJ$65, "",0),  F744="Sealant", _xlfn.XLOOKUP(C744, dd_accsrycalc!$A$2:$A$51, dd_accsrycalc!$G$2:$G$51, "",0),  F744&lt;&gt;"",L744*_xlfn.XLOOKUP(1, (SKUs!$C$2:$C$10001=G744)*(SKUs!$K$2:$K$10001=I744),SKUs!$E$2:$E$10001)), 0),"")</f>
        <v/>
      </c>
      <c r="E744" s="35" t="str">
        <f>_xlfn.XLOOKUP(F744,dd_item!$B$2:$B$105,dd_item!$C$2:$C$105,"",0)</f>
        <v/>
      </c>
      <c r="F744" s="35"/>
      <c r="G744" s="35" cm="1">
        <f t="array" ref="G744">IFERROR(_xlfn.XLOOKUP(1, (SKUs!$J$2:$J$10001=accsry_unmerged!F744)*IF(H744&lt;&gt;"",(SKUs!$L$2:$L$10001=accsry_unmerged!H744),1)*(SKUs!$K$2:$K$10001=I744),SKUs!$C$2:$C$10001),"")</f>
        <v>0</v>
      </c>
      <c r="H744" s="36" cm="1">
        <f t="array" ref="H744">IFERROR(_xlfn.XLOOKUP(1, (dd_accsryclr!$C$2:$C$1000=accsry_unmerged!F744)*(dd_accsryclr!$B$2:$B$1000=accsry_unmerged!J744),dd_accsryclr!$A$2:$A$1000),"")</f>
        <v>0</v>
      </c>
      <c r="I744" s="35">
        <f>_xlfn.XLOOKUP(C744,'Project Details'!$C$17:$C$66,'Project Details'!$E$17:$E$66,"",0)</f>
        <v>0</v>
      </c>
      <c r="J744" s="35">
        <f>_xlfn.XLOOKUP(C744,'Project Details'!$C$17:$C$66,'Project Details'!$H$17:$H$66,"",0)</f>
        <v>0</v>
      </c>
      <c r="K744" s="36" t="str">
        <f>IF(AND(_xlfn.XLOOKUP(C744,'Project Details'!$C$17:$C$66,'Project Details'!$L$17:$L$66,"",0)&gt;550, F744="Spring-L27cm"),"",SUBSTITUTE(_xlfn.XLOOKUP(G744,SKUs!$C$2:$C$10001,SKUs!$F$2:$F$10001,"",0), " Accessories",""))</f>
        <v/>
      </c>
      <c r="L744" s="36">
        <f>_xlfn.XLOOKUP(C744,'Project Details'!$C$17:$C$66,'Project Details'!$D$17:$D$66,"",0)</f>
        <v>0</v>
      </c>
      <c r="M744" s="43"/>
    </row>
    <row r="745" spans="1:13" ht="13.5" customHeight="1" outlineLevel="1" x14ac:dyDescent="0.25">
      <c r="A745" s="43"/>
      <c r="B745" s="43"/>
      <c r="C745" s="16">
        <f t="shared" si="13"/>
        <v>15</v>
      </c>
      <c r="D745" s="16" t="str" cm="1">
        <f t="array" ref="D745">IFERROR(ROUNDUP(_xlfn.IFS(F745="Aluminum Track", _xlfn.XLOOKUP(C745, dd_accsrycalc!$A$2:$A$51, dd_accsrycalc!$B$2:$B$51, "",0), F745="10 x 2 1/2 S (Flat)", _xlfn.XLOOKUP(C745, dd_accsrycalc!$A$2:$A$51, dd_accsrycalc!$C$2:$C$51, "",0), F745="Tox6", _xlfn.XLOOKUP(C745, dd_accsrycalc!$A$2:$A$51, dd_accsrycalc!$D$2:$D$51, "",0), F745="Cover Cap", _xlfn.XLOOKUP(C745, dd_accsrycalc!$A$2:$A$51, dd_accsrycalc!$E$2:$E$51, "",0), F745="Drainage Cover", _xlfn.XLOOKUP(C745, dd_accsrycalc!$A$2:$A$51, dd_accsrycalc!$F$2:$F$51, "",0),AND( F745="Double Adhesive Tape", I745="Roll-up Screen"), _xlfn.XLOOKUP(C745, calc_rusacc!$C$15:$C$65, calc_rusacc!$AD$15:$AD$65, "",0),AND( F745="Sealant", I745="Roll-up Screen"), _xlfn.XLOOKUP(C745, calc_rusacc!$C$15:$C$65, calc_rusacc!$AF$15:$AF$65, "",0),  AND( F745="Main Chain", I745="Accordion Screen"), _xlfn.XLOOKUP(C745, calc_rusacc!$C$15:$C$65, calc_rusacc!$BF$15:$BF$65, "",0), AND( F745="Sealant", I745="Accordion Screen"), _xlfn.XLOOKUP(C745, calc_rusacc!$C$15:$C$65, calc_rusacc!$BJ$15:$BJ$65, "",0),  F745="Sealant", _xlfn.XLOOKUP(C745, dd_accsrycalc!$A$2:$A$51, dd_accsrycalc!$G$2:$G$51, "",0),  F745&lt;&gt;"",L745*_xlfn.XLOOKUP(1, (SKUs!$C$2:$C$10001=G745)*(SKUs!$K$2:$K$10001=I745),SKUs!$E$2:$E$10001)), 0),"")</f>
        <v/>
      </c>
      <c r="E745" s="16" t="str">
        <f>_xlfn.XLOOKUP(F745,dd_item!$B$2:$B$105,dd_item!$C$2:$C$105,"",0)</f>
        <v/>
      </c>
      <c r="F745" s="16"/>
      <c r="G745" s="16" cm="1">
        <f t="array" ref="G745">IFERROR(_xlfn.XLOOKUP(1, (SKUs!$J$2:$J$10001=accsry_unmerged!F745)*IF(H745&lt;&gt;"",(SKUs!$L$2:$L$10001=accsry_unmerged!H745),1)*(SKUs!$K$2:$K$10001=I745),SKUs!$C$2:$C$10001),"")</f>
        <v>0</v>
      </c>
      <c r="H745" s="33" cm="1">
        <f t="array" ref="H745">IFERROR(_xlfn.XLOOKUP(1, (dd_accsryclr!$C$2:$C$1000=accsry_unmerged!F745)*(dd_accsryclr!$B$2:$B$1000=accsry_unmerged!J745),dd_accsryclr!$A$2:$A$1000),"")</f>
        <v>0</v>
      </c>
      <c r="I745" s="16">
        <f>_xlfn.XLOOKUP(C745,'Project Details'!$C$17:$C$66,'Project Details'!$E$17:$E$66,"",0)</f>
        <v>0</v>
      </c>
      <c r="J745" s="16">
        <f>_xlfn.XLOOKUP(C745,'Project Details'!$C$17:$C$66,'Project Details'!$H$17:$H$66,"",0)</f>
        <v>0</v>
      </c>
      <c r="K745" s="33" t="str">
        <f>IF(AND(_xlfn.XLOOKUP(C745,'Project Details'!$C$17:$C$66,'Project Details'!$L$17:$L$66,"",0)&gt;550, F745="Spring-L27cm"),"",SUBSTITUTE(_xlfn.XLOOKUP(G745,SKUs!$C$2:$C$10001,SKUs!$F$2:$F$10001,"",0), " Accessories",""))</f>
        <v/>
      </c>
      <c r="L745" s="33">
        <f>_xlfn.XLOOKUP(C745,'Project Details'!$C$17:$C$66,'Project Details'!$D$17:$D$66,"",0)</f>
        <v>0</v>
      </c>
      <c r="M745" s="43"/>
    </row>
    <row r="746" spans="1:13" ht="13.5" customHeight="1" outlineLevel="1" x14ac:dyDescent="0.25">
      <c r="A746" s="43"/>
      <c r="B746" s="43"/>
      <c r="C746" s="35">
        <f t="shared" si="13"/>
        <v>15</v>
      </c>
      <c r="D746" s="35" t="str" cm="1">
        <f t="array" ref="D746">IFERROR(ROUNDUP(_xlfn.IFS(F746="Aluminum Track", _xlfn.XLOOKUP(C746, dd_accsrycalc!$A$2:$A$51, dd_accsrycalc!$B$2:$B$51, "",0), F746="10 x 2 1/2 S (Flat)", _xlfn.XLOOKUP(C746, dd_accsrycalc!$A$2:$A$51, dd_accsrycalc!$C$2:$C$51, "",0), F746="Tox6", _xlfn.XLOOKUP(C746, dd_accsrycalc!$A$2:$A$51, dd_accsrycalc!$D$2:$D$51, "",0), F746="Cover Cap", _xlfn.XLOOKUP(C746, dd_accsrycalc!$A$2:$A$51, dd_accsrycalc!$E$2:$E$51, "",0), F746="Drainage Cover", _xlfn.XLOOKUP(C746, dd_accsrycalc!$A$2:$A$51, dd_accsrycalc!$F$2:$F$51, "",0),AND( F746="Double Adhesive Tape", I746="Roll-up Screen"), _xlfn.XLOOKUP(C746, calc_rusacc!$C$15:$C$65, calc_rusacc!$AD$15:$AD$65, "",0),AND( F746="Sealant", I746="Roll-up Screen"), _xlfn.XLOOKUP(C746, calc_rusacc!$C$15:$C$65, calc_rusacc!$AF$15:$AF$65, "",0),  AND( F746="Main Chain", I746="Accordion Screen"), _xlfn.XLOOKUP(C746, calc_rusacc!$C$15:$C$65, calc_rusacc!$BF$15:$BF$65, "",0), AND( F746="Sealant", I746="Accordion Screen"), _xlfn.XLOOKUP(C746, calc_rusacc!$C$15:$C$65, calc_rusacc!$BJ$15:$BJ$65, "",0),  F746="Sealant", _xlfn.XLOOKUP(C746, dd_accsrycalc!$A$2:$A$51, dd_accsrycalc!$G$2:$G$51, "",0),  F746&lt;&gt;"",L746*_xlfn.XLOOKUP(1, (SKUs!$C$2:$C$10001=G746)*(SKUs!$K$2:$K$10001=I746),SKUs!$E$2:$E$10001)), 0),"")</f>
        <v/>
      </c>
      <c r="E746" s="35" t="str">
        <f>_xlfn.XLOOKUP(F746,dd_item!$B$2:$B$105,dd_item!$C$2:$C$105,"",0)</f>
        <v/>
      </c>
      <c r="F746" s="35"/>
      <c r="G746" s="35" cm="1">
        <f t="array" ref="G746">IFERROR(_xlfn.XLOOKUP(1, (SKUs!$J$2:$J$10001=accsry_unmerged!F746)*IF(H746&lt;&gt;"",(SKUs!$L$2:$L$10001=accsry_unmerged!H746),1)*(SKUs!$K$2:$K$10001=I746),SKUs!$C$2:$C$10001),"")</f>
        <v>0</v>
      </c>
      <c r="H746" s="36" cm="1">
        <f t="array" ref="H746">IFERROR(_xlfn.XLOOKUP(1, (dd_accsryclr!$C$2:$C$1000=accsry_unmerged!F746)*(dd_accsryclr!$B$2:$B$1000=accsry_unmerged!J746),dd_accsryclr!$A$2:$A$1000),"")</f>
        <v>0</v>
      </c>
      <c r="I746" s="35">
        <f>_xlfn.XLOOKUP(C746,'Project Details'!$C$17:$C$66,'Project Details'!$E$17:$E$66,"",0)</f>
        <v>0</v>
      </c>
      <c r="J746" s="35">
        <f>_xlfn.XLOOKUP(C746,'Project Details'!$C$17:$C$66,'Project Details'!$H$17:$H$66,"",0)</f>
        <v>0</v>
      </c>
      <c r="K746" s="36" t="str">
        <f>IF(AND(_xlfn.XLOOKUP(C746,'Project Details'!$C$17:$C$66,'Project Details'!$L$17:$L$66,"",0)&gt;550, F746="Spring-L27cm"),"",SUBSTITUTE(_xlfn.XLOOKUP(G746,SKUs!$C$2:$C$10001,SKUs!$F$2:$F$10001,"",0), " Accessories",""))</f>
        <v/>
      </c>
      <c r="L746" s="36">
        <f>_xlfn.XLOOKUP(C746,'Project Details'!$C$17:$C$66,'Project Details'!$D$17:$D$66,"",0)</f>
        <v>0</v>
      </c>
      <c r="M746" s="43"/>
    </row>
    <row r="747" spans="1:13" ht="13.5" customHeight="1" outlineLevel="1" x14ac:dyDescent="0.25">
      <c r="A747" s="43"/>
      <c r="B747" s="43"/>
      <c r="C747" s="16">
        <f t="shared" si="13"/>
        <v>15</v>
      </c>
      <c r="D747" s="16" t="str" cm="1">
        <f t="array" ref="D747">IFERROR(ROUNDUP(_xlfn.IFS(F747="Aluminum Track", _xlfn.XLOOKUP(C747, dd_accsrycalc!$A$2:$A$51, dd_accsrycalc!$B$2:$B$51, "",0), F747="10 x 2 1/2 S (Flat)", _xlfn.XLOOKUP(C747, dd_accsrycalc!$A$2:$A$51, dd_accsrycalc!$C$2:$C$51, "",0), F747="Tox6", _xlfn.XLOOKUP(C747, dd_accsrycalc!$A$2:$A$51, dd_accsrycalc!$D$2:$D$51, "",0), F747="Cover Cap", _xlfn.XLOOKUP(C747, dd_accsrycalc!$A$2:$A$51, dd_accsrycalc!$E$2:$E$51, "",0), F747="Drainage Cover", _xlfn.XLOOKUP(C747, dd_accsrycalc!$A$2:$A$51, dd_accsrycalc!$F$2:$F$51, "",0),AND( F747="Double Adhesive Tape", I747="Roll-up Screen"), _xlfn.XLOOKUP(C747, calc_rusacc!$C$15:$C$65, calc_rusacc!$AD$15:$AD$65, "",0),AND( F747="Sealant", I747="Roll-up Screen"), _xlfn.XLOOKUP(C747, calc_rusacc!$C$15:$C$65, calc_rusacc!$AF$15:$AF$65, "",0),  AND( F747="Main Chain", I747="Accordion Screen"), _xlfn.XLOOKUP(C747, calc_rusacc!$C$15:$C$65, calc_rusacc!$BF$15:$BF$65, "",0), AND( F747="Sealant", I747="Accordion Screen"), _xlfn.XLOOKUP(C747, calc_rusacc!$C$15:$C$65, calc_rusacc!$BJ$15:$BJ$65, "",0),  F747="Sealant", _xlfn.XLOOKUP(C747, dd_accsrycalc!$A$2:$A$51, dd_accsrycalc!$G$2:$G$51, "",0),  F747&lt;&gt;"",L747*_xlfn.XLOOKUP(1, (SKUs!$C$2:$C$10001=G747)*(SKUs!$K$2:$K$10001=I747),SKUs!$E$2:$E$10001)), 0),"")</f>
        <v/>
      </c>
      <c r="E747" s="16" t="str">
        <f>_xlfn.XLOOKUP(F747,dd_item!$B$2:$B$105,dd_item!$C$2:$C$105,"",0)</f>
        <v/>
      </c>
      <c r="F747" s="16"/>
      <c r="G747" s="16" cm="1">
        <f t="array" ref="G747">IFERROR(_xlfn.XLOOKUP(1, (SKUs!$J$2:$J$10001=accsry_unmerged!F747)*IF(H747&lt;&gt;"",(SKUs!$L$2:$L$10001=accsry_unmerged!H747),1)*(SKUs!$K$2:$K$10001=I747),SKUs!$C$2:$C$10001),"")</f>
        <v>0</v>
      </c>
      <c r="H747" s="33" cm="1">
        <f t="array" ref="H747">IFERROR(_xlfn.XLOOKUP(1, (dd_accsryclr!$C$2:$C$1000=accsry_unmerged!F747)*(dd_accsryclr!$B$2:$B$1000=accsry_unmerged!J747),dd_accsryclr!$A$2:$A$1000),"")</f>
        <v>0</v>
      </c>
      <c r="I747" s="16">
        <f>_xlfn.XLOOKUP(C747,'Project Details'!$C$17:$C$66,'Project Details'!$E$17:$E$66,"",0)</f>
        <v>0</v>
      </c>
      <c r="J747" s="16">
        <f>_xlfn.XLOOKUP(C747,'Project Details'!$C$17:$C$66,'Project Details'!$H$17:$H$66,"",0)</f>
        <v>0</v>
      </c>
      <c r="K747" s="33" t="str">
        <f>IF(AND(_xlfn.XLOOKUP(C747,'Project Details'!$C$17:$C$66,'Project Details'!$L$17:$L$66,"",0)&gt;550, F747="Spring-L27cm"),"",SUBSTITUTE(_xlfn.XLOOKUP(G747,SKUs!$C$2:$C$10001,SKUs!$F$2:$F$10001,"",0), " Accessories",""))</f>
        <v/>
      </c>
      <c r="L747" s="33">
        <f>_xlfn.XLOOKUP(C747,'Project Details'!$C$17:$C$66,'Project Details'!$D$17:$D$66,"",0)</f>
        <v>0</v>
      </c>
      <c r="M747" s="43"/>
    </row>
    <row r="748" spans="1:13" ht="13.5" customHeight="1" outlineLevel="1" x14ac:dyDescent="0.25">
      <c r="A748" s="43"/>
      <c r="B748" s="43"/>
      <c r="C748" s="35">
        <f t="shared" si="13"/>
        <v>15</v>
      </c>
      <c r="D748" s="35" t="str" cm="1">
        <f t="array" ref="D748">IFERROR(ROUNDUP(_xlfn.IFS(F748="Aluminum Track", _xlfn.XLOOKUP(C748, dd_accsrycalc!$A$2:$A$51, dd_accsrycalc!$B$2:$B$51, "",0), F748="10 x 2 1/2 S (Flat)", _xlfn.XLOOKUP(C748, dd_accsrycalc!$A$2:$A$51, dd_accsrycalc!$C$2:$C$51, "",0), F748="Tox6", _xlfn.XLOOKUP(C748, dd_accsrycalc!$A$2:$A$51, dd_accsrycalc!$D$2:$D$51, "",0), F748="Cover Cap", _xlfn.XLOOKUP(C748, dd_accsrycalc!$A$2:$A$51, dd_accsrycalc!$E$2:$E$51, "",0), F748="Drainage Cover", _xlfn.XLOOKUP(C748, dd_accsrycalc!$A$2:$A$51, dd_accsrycalc!$F$2:$F$51, "",0),AND( F748="Double Adhesive Tape", I748="Roll-up Screen"), _xlfn.XLOOKUP(C748, calc_rusacc!$C$15:$C$65, calc_rusacc!$AD$15:$AD$65, "",0),AND( F748="Sealant", I748="Roll-up Screen"), _xlfn.XLOOKUP(C748, calc_rusacc!$C$15:$C$65, calc_rusacc!$AF$15:$AF$65, "",0),  AND( F748="Main Chain", I748="Accordion Screen"), _xlfn.XLOOKUP(C748, calc_rusacc!$C$15:$C$65, calc_rusacc!$BF$15:$BF$65, "",0), AND( F748="Sealant", I748="Accordion Screen"), _xlfn.XLOOKUP(C748, calc_rusacc!$C$15:$C$65, calc_rusacc!$BJ$15:$BJ$65, "",0),  F748="Sealant", _xlfn.XLOOKUP(C748, dd_accsrycalc!$A$2:$A$51, dd_accsrycalc!$G$2:$G$51, "",0),  F748&lt;&gt;"",L748*_xlfn.XLOOKUP(1, (SKUs!$C$2:$C$10001=G748)*(SKUs!$K$2:$K$10001=I748),SKUs!$E$2:$E$10001)), 0),"")</f>
        <v/>
      </c>
      <c r="E748" s="35" t="str">
        <f>_xlfn.XLOOKUP(F748,dd_item!$B$2:$B$105,dd_item!$C$2:$C$105,"",0)</f>
        <v/>
      </c>
      <c r="F748" s="35"/>
      <c r="G748" s="35" cm="1">
        <f t="array" ref="G748">IFERROR(_xlfn.XLOOKUP(1, (SKUs!$J$2:$J$10001=accsry_unmerged!F748)*IF(H748&lt;&gt;"",(SKUs!$L$2:$L$10001=accsry_unmerged!H748),1)*(SKUs!$K$2:$K$10001=I748),SKUs!$C$2:$C$10001),"")</f>
        <v>0</v>
      </c>
      <c r="H748" s="36" cm="1">
        <f t="array" ref="H748">IFERROR(_xlfn.XLOOKUP(1, (dd_accsryclr!$C$2:$C$1000=accsry_unmerged!F748)*(dd_accsryclr!$B$2:$B$1000=accsry_unmerged!J748),dd_accsryclr!$A$2:$A$1000),"")</f>
        <v>0</v>
      </c>
      <c r="I748" s="35">
        <f>_xlfn.XLOOKUP(C748,'Project Details'!$C$17:$C$66,'Project Details'!$E$17:$E$66,"",0)</f>
        <v>0</v>
      </c>
      <c r="J748" s="35">
        <f>_xlfn.XLOOKUP(C748,'Project Details'!$C$17:$C$66,'Project Details'!$H$17:$H$66,"",0)</f>
        <v>0</v>
      </c>
      <c r="K748" s="36" t="str">
        <f>IF(AND(_xlfn.XLOOKUP(C748,'Project Details'!$C$17:$C$66,'Project Details'!$L$17:$L$66,"",0)&gt;550, F748="Spring-L27cm"),"",SUBSTITUTE(_xlfn.XLOOKUP(G748,SKUs!$C$2:$C$10001,SKUs!$F$2:$F$10001,"",0), " Accessories",""))</f>
        <v/>
      </c>
      <c r="L748" s="36">
        <f>_xlfn.XLOOKUP(C748,'Project Details'!$C$17:$C$66,'Project Details'!$D$17:$D$66,"",0)</f>
        <v>0</v>
      </c>
      <c r="M748" s="43"/>
    </row>
    <row r="749" spans="1:13" ht="13.5" customHeight="1" outlineLevel="1" x14ac:dyDescent="0.25">
      <c r="A749" s="43"/>
      <c r="B749" s="43"/>
      <c r="C749" s="16">
        <f t="shared" si="13"/>
        <v>15</v>
      </c>
      <c r="D749" s="16" t="str" cm="1">
        <f t="array" ref="D749">IFERROR(ROUNDUP(_xlfn.IFS(F749="Aluminum Track", _xlfn.XLOOKUP(C749, dd_accsrycalc!$A$2:$A$51, dd_accsrycalc!$B$2:$B$51, "",0), F749="10 x 2 1/2 S (Flat)", _xlfn.XLOOKUP(C749, dd_accsrycalc!$A$2:$A$51, dd_accsrycalc!$C$2:$C$51, "",0), F749="Tox6", _xlfn.XLOOKUP(C749, dd_accsrycalc!$A$2:$A$51, dd_accsrycalc!$D$2:$D$51, "",0), F749="Cover Cap", _xlfn.XLOOKUP(C749, dd_accsrycalc!$A$2:$A$51, dd_accsrycalc!$E$2:$E$51, "",0), F749="Drainage Cover", _xlfn.XLOOKUP(C749, dd_accsrycalc!$A$2:$A$51, dd_accsrycalc!$F$2:$F$51, "",0),AND( F749="Double Adhesive Tape", I749="Roll-up Screen"), _xlfn.XLOOKUP(C749, calc_rusacc!$C$15:$C$65, calc_rusacc!$AD$15:$AD$65, "",0),AND( F749="Sealant", I749="Roll-up Screen"), _xlfn.XLOOKUP(C749, calc_rusacc!$C$15:$C$65, calc_rusacc!$AF$15:$AF$65, "",0),  AND( F749="Main Chain", I749="Accordion Screen"), _xlfn.XLOOKUP(C749, calc_rusacc!$C$15:$C$65, calc_rusacc!$BF$15:$BF$65, "",0), AND( F749="Sealant", I749="Accordion Screen"), _xlfn.XLOOKUP(C749, calc_rusacc!$C$15:$C$65, calc_rusacc!$BJ$15:$BJ$65, "",0),  F749="Sealant", _xlfn.XLOOKUP(C749, dd_accsrycalc!$A$2:$A$51, dd_accsrycalc!$G$2:$G$51, "",0),  F749&lt;&gt;"",L749*_xlfn.XLOOKUP(1, (SKUs!$C$2:$C$10001=G749)*(SKUs!$K$2:$K$10001=I749),SKUs!$E$2:$E$10001)), 0),"")</f>
        <v/>
      </c>
      <c r="E749" s="16" t="str">
        <f>_xlfn.XLOOKUP(F749,dd_item!$B$2:$B$105,dd_item!$C$2:$C$105,"",0)</f>
        <v/>
      </c>
      <c r="F749" s="16"/>
      <c r="G749" s="16" cm="1">
        <f t="array" ref="G749">IFERROR(_xlfn.XLOOKUP(1, (SKUs!$J$2:$J$10001=accsry_unmerged!F749)*IF(H749&lt;&gt;"",(SKUs!$L$2:$L$10001=accsry_unmerged!H749),1)*(SKUs!$K$2:$K$10001=I749),SKUs!$C$2:$C$10001),"")</f>
        <v>0</v>
      </c>
      <c r="H749" s="33" cm="1">
        <f t="array" ref="H749">IFERROR(_xlfn.XLOOKUP(1, (dd_accsryclr!$C$2:$C$1000=accsry_unmerged!F749)*(dd_accsryclr!$B$2:$B$1000=accsry_unmerged!J749),dd_accsryclr!$A$2:$A$1000),"")</f>
        <v>0</v>
      </c>
      <c r="I749" s="16">
        <f>_xlfn.XLOOKUP(C749,'Project Details'!$C$17:$C$66,'Project Details'!$E$17:$E$66,"",0)</f>
        <v>0</v>
      </c>
      <c r="J749" s="16">
        <f>_xlfn.XLOOKUP(C749,'Project Details'!$C$17:$C$66,'Project Details'!$H$17:$H$66,"",0)</f>
        <v>0</v>
      </c>
      <c r="K749" s="33" t="str">
        <f>IF(AND(_xlfn.XLOOKUP(C749,'Project Details'!$C$17:$C$66,'Project Details'!$L$17:$L$66,"",0)&gt;550, F749="Spring-L27cm"),"",SUBSTITUTE(_xlfn.XLOOKUP(G749,SKUs!$C$2:$C$10001,SKUs!$F$2:$F$10001,"",0), " Accessories",""))</f>
        <v/>
      </c>
      <c r="L749" s="33">
        <f>_xlfn.XLOOKUP(C749,'Project Details'!$C$17:$C$66,'Project Details'!$D$17:$D$66,"",0)</f>
        <v>0</v>
      </c>
      <c r="M749" s="43"/>
    </row>
    <row r="750" spans="1:13" ht="13.5" customHeight="1" outlineLevel="1" x14ac:dyDescent="0.25">
      <c r="A750" s="43"/>
      <c r="B750" s="43"/>
      <c r="C750" s="35">
        <f t="shared" si="13"/>
        <v>15</v>
      </c>
      <c r="D750" s="35" t="str" cm="1">
        <f t="array" ref="D750">IFERROR(ROUNDUP(_xlfn.IFS(F750="Aluminum Track", _xlfn.XLOOKUP(C750, dd_accsrycalc!$A$2:$A$51, dd_accsrycalc!$B$2:$B$51, "",0), F750="10 x 2 1/2 S (Flat)", _xlfn.XLOOKUP(C750, dd_accsrycalc!$A$2:$A$51, dd_accsrycalc!$C$2:$C$51, "",0), F750="Tox6", _xlfn.XLOOKUP(C750, dd_accsrycalc!$A$2:$A$51, dd_accsrycalc!$D$2:$D$51, "",0), F750="Cover Cap", _xlfn.XLOOKUP(C750, dd_accsrycalc!$A$2:$A$51, dd_accsrycalc!$E$2:$E$51, "",0), F750="Drainage Cover", _xlfn.XLOOKUP(C750, dd_accsrycalc!$A$2:$A$51, dd_accsrycalc!$F$2:$F$51, "",0),AND( F750="Double Adhesive Tape", I750="Roll-up Screen"), _xlfn.XLOOKUP(C750, calc_rusacc!$C$15:$C$65, calc_rusacc!$AD$15:$AD$65, "",0),AND( F750="Sealant", I750="Roll-up Screen"), _xlfn.XLOOKUP(C750, calc_rusacc!$C$15:$C$65, calc_rusacc!$AF$15:$AF$65, "",0),  AND( F750="Main Chain", I750="Accordion Screen"), _xlfn.XLOOKUP(C750, calc_rusacc!$C$15:$C$65, calc_rusacc!$BF$15:$BF$65, "",0), AND( F750="Sealant", I750="Accordion Screen"), _xlfn.XLOOKUP(C750, calc_rusacc!$C$15:$C$65, calc_rusacc!$BJ$15:$BJ$65, "",0),  F750="Sealant", _xlfn.XLOOKUP(C750, dd_accsrycalc!$A$2:$A$51, dd_accsrycalc!$G$2:$G$51, "",0),  F750&lt;&gt;"",L750*_xlfn.XLOOKUP(1, (SKUs!$C$2:$C$10001=G750)*(SKUs!$K$2:$K$10001=I750),SKUs!$E$2:$E$10001)), 0),"")</f>
        <v/>
      </c>
      <c r="E750" s="35" t="str">
        <f>_xlfn.XLOOKUP(F750,dd_item!$B$2:$B$105,dd_item!$C$2:$C$105,"",0)</f>
        <v/>
      </c>
      <c r="F750" s="35"/>
      <c r="G750" s="35" cm="1">
        <f t="array" ref="G750">IFERROR(_xlfn.XLOOKUP(1, (SKUs!$J$2:$J$10001=accsry_unmerged!F750)*IF(H750&lt;&gt;"",(SKUs!$L$2:$L$10001=accsry_unmerged!H750),1)*(SKUs!$K$2:$K$10001=I750),SKUs!$C$2:$C$10001),"")</f>
        <v>0</v>
      </c>
      <c r="H750" s="36" cm="1">
        <f t="array" ref="H750">IFERROR(_xlfn.XLOOKUP(1, (dd_accsryclr!$C$2:$C$1000=accsry_unmerged!F750)*(dd_accsryclr!$B$2:$B$1000=accsry_unmerged!J750),dd_accsryclr!$A$2:$A$1000),"")</f>
        <v>0</v>
      </c>
      <c r="I750" s="35">
        <f>_xlfn.XLOOKUP(C750,'Project Details'!$C$17:$C$66,'Project Details'!$E$17:$E$66,"",0)</f>
        <v>0</v>
      </c>
      <c r="J750" s="35">
        <f>_xlfn.XLOOKUP(C750,'Project Details'!$C$17:$C$66,'Project Details'!$H$17:$H$66,"",0)</f>
        <v>0</v>
      </c>
      <c r="K750" s="36" t="str">
        <f>IF(AND(_xlfn.XLOOKUP(C750,'Project Details'!$C$17:$C$66,'Project Details'!$L$17:$L$66,"",0)&gt;550, F750="Spring-L27cm"),"",SUBSTITUTE(_xlfn.XLOOKUP(G750,SKUs!$C$2:$C$10001,SKUs!$F$2:$F$10001,"",0), " Accessories",""))</f>
        <v/>
      </c>
      <c r="L750" s="36">
        <f>_xlfn.XLOOKUP(C750,'Project Details'!$C$17:$C$66,'Project Details'!$D$17:$D$66,"",0)</f>
        <v>0</v>
      </c>
      <c r="M750" s="43"/>
    </row>
    <row r="751" spans="1:13" ht="13.5" customHeight="1" outlineLevel="1" x14ac:dyDescent="0.25">
      <c r="A751" s="43"/>
      <c r="B751" s="43"/>
      <c r="C751" s="16">
        <f t="shared" si="13"/>
        <v>15</v>
      </c>
      <c r="D751" s="16" t="str" cm="1">
        <f t="array" ref="D751">IFERROR(ROUNDUP(_xlfn.IFS(F751="Aluminum Track", _xlfn.XLOOKUP(C751, dd_accsrycalc!$A$2:$A$51, dd_accsrycalc!$B$2:$B$51, "",0), F751="10 x 2 1/2 S (Flat)", _xlfn.XLOOKUP(C751, dd_accsrycalc!$A$2:$A$51, dd_accsrycalc!$C$2:$C$51, "",0), F751="Tox6", _xlfn.XLOOKUP(C751, dd_accsrycalc!$A$2:$A$51, dd_accsrycalc!$D$2:$D$51, "",0), F751="Cover Cap", _xlfn.XLOOKUP(C751, dd_accsrycalc!$A$2:$A$51, dd_accsrycalc!$E$2:$E$51, "",0), F751="Drainage Cover", _xlfn.XLOOKUP(C751, dd_accsrycalc!$A$2:$A$51, dd_accsrycalc!$F$2:$F$51, "",0),AND( F751="Double Adhesive Tape", I751="Roll-up Screen"), _xlfn.XLOOKUP(C751, calc_rusacc!$C$15:$C$65, calc_rusacc!$AD$15:$AD$65, "",0),AND( F751="Sealant", I751="Roll-up Screen"), _xlfn.XLOOKUP(C751, calc_rusacc!$C$15:$C$65, calc_rusacc!$AF$15:$AF$65, "",0),  AND( F751="Main Chain", I751="Accordion Screen"), _xlfn.XLOOKUP(C751, calc_rusacc!$C$15:$C$65, calc_rusacc!$BF$15:$BF$65, "",0), AND( F751="Sealant", I751="Accordion Screen"), _xlfn.XLOOKUP(C751, calc_rusacc!$C$15:$C$65, calc_rusacc!$BJ$15:$BJ$65, "",0),  F751="Sealant", _xlfn.XLOOKUP(C751, dd_accsrycalc!$A$2:$A$51, dd_accsrycalc!$G$2:$G$51, "",0),  F751&lt;&gt;"",L751*_xlfn.XLOOKUP(1, (SKUs!$C$2:$C$10001=G751)*(SKUs!$K$2:$K$10001=I751),SKUs!$E$2:$E$10001)), 0),"")</f>
        <v/>
      </c>
      <c r="E751" s="16" t="str">
        <f>_xlfn.XLOOKUP(F751,dd_item!$B$2:$B$105,dd_item!$C$2:$C$105,"",0)</f>
        <v/>
      </c>
      <c r="F751" s="16"/>
      <c r="G751" s="16" cm="1">
        <f t="array" ref="G751">IFERROR(_xlfn.XLOOKUP(1, (SKUs!$J$2:$J$10001=accsry_unmerged!F751)*IF(H751&lt;&gt;"",(SKUs!$L$2:$L$10001=accsry_unmerged!H751),1)*(SKUs!$K$2:$K$10001=I751),SKUs!$C$2:$C$10001),"")</f>
        <v>0</v>
      </c>
      <c r="H751" s="33" cm="1">
        <f t="array" ref="H751">IFERROR(_xlfn.XLOOKUP(1, (dd_accsryclr!$C$2:$C$1000=accsry_unmerged!F751)*(dd_accsryclr!$B$2:$B$1000=accsry_unmerged!J751),dd_accsryclr!$A$2:$A$1000),"")</f>
        <v>0</v>
      </c>
      <c r="I751" s="16">
        <f>_xlfn.XLOOKUP(C751,'Project Details'!$C$17:$C$66,'Project Details'!$E$17:$E$66,"",0)</f>
        <v>0</v>
      </c>
      <c r="J751" s="16">
        <f>_xlfn.XLOOKUP(C751,'Project Details'!$C$17:$C$66,'Project Details'!$H$17:$H$66,"",0)</f>
        <v>0</v>
      </c>
      <c r="K751" s="33" t="str">
        <f>IF(AND(_xlfn.XLOOKUP(C751,'Project Details'!$C$17:$C$66,'Project Details'!$L$17:$L$66,"",0)&gt;550, F751="Spring-L27cm"),"",SUBSTITUTE(_xlfn.XLOOKUP(G751,SKUs!$C$2:$C$10001,SKUs!$F$2:$F$10001,"",0), " Accessories",""))</f>
        <v/>
      </c>
      <c r="L751" s="33">
        <f>_xlfn.XLOOKUP(C751,'Project Details'!$C$17:$C$66,'Project Details'!$D$17:$D$66,"",0)</f>
        <v>0</v>
      </c>
      <c r="M751" s="43"/>
    </row>
    <row r="752" spans="1:13" ht="13.5" customHeight="1" outlineLevel="1" x14ac:dyDescent="0.25">
      <c r="A752" s="43"/>
      <c r="B752" s="43"/>
      <c r="C752" s="35">
        <f t="shared" si="13"/>
        <v>15</v>
      </c>
      <c r="D752" s="35" t="str" cm="1">
        <f t="array" ref="D752">IFERROR(ROUNDUP(_xlfn.IFS(F752="Aluminum Track", _xlfn.XLOOKUP(C752, dd_accsrycalc!$A$2:$A$51, dd_accsrycalc!$B$2:$B$51, "",0), F752="10 x 2 1/2 S (Flat)", _xlfn.XLOOKUP(C752, dd_accsrycalc!$A$2:$A$51, dd_accsrycalc!$C$2:$C$51, "",0), F752="Tox6", _xlfn.XLOOKUP(C752, dd_accsrycalc!$A$2:$A$51, dd_accsrycalc!$D$2:$D$51, "",0), F752="Cover Cap", _xlfn.XLOOKUP(C752, dd_accsrycalc!$A$2:$A$51, dd_accsrycalc!$E$2:$E$51, "",0), F752="Drainage Cover", _xlfn.XLOOKUP(C752, dd_accsrycalc!$A$2:$A$51, dd_accsrycalc!$F$2:$F$51, "",0),AND( F752="Double Adhesive Tape", I752="Roll-up Screen"), _xlfn.XLOOKUP(C752, calc_rusacc!$C$15:$C$65, calc_rusacc!$AD$15:$AD$65, "",0),AND( F752="Sealant", I752="Roll-up Screen"), _xlfn.XLOOKUP(C752, calc_rusacc!$C$15:$C$65, calc_rusacc!$AF$15:$AF$65, "",0),  AND( F752="Main Chain", I752="Accordion Screen"), _xlfn.XLOOKUP(C752, calc_rusacc!$C$15:$C$65, calc_rusacc!$BF$15:$BF$65, "",0), AND( F752="Sealant", I752="Accordion Screen"), _xlfn.XLOOKUP(C752, calc_rusacc!$C$15:$C$65, calc_rusacc!$BJ$15:$BJ$65, "",0),  F752="Sealant", _xlfn.XLOOKUP(C752, dd_accsrycalc!$A$2:$A$51, dd_accsrycalc!$G$2:$G$51, "",0),  F752&lt;&gt;"",L752*_xlfn.XLOOKUP(1, (SKUs!$C$2:$C$10001=G752)*(SKUs!$K$2:$K$10001=I752),SKUs!$E$2:$E$10001)), 0),"")</f>
        <v/>
      </c>
      <c r="E752" s="35" t="str">
        <f>_xlfn.XLOOKUP(F752,dd_item!$B$2:$B$105,dd_item!$C$2:$C$105,"",0)</f>
        <v/>
      </c>
      <c r="F752" s="35"/>
      <c r="G752" s="35" cm="1">
        <f t="array" ref="G752">IFERROR(_xlfn.XLOOKUP(1, (SKUs!$J$2:$J$10001=accsry_unmerged!F752)*IF(H752&lt;&gt;"",(SKUs!$L$2:$L$10001=accsry_unmerged!H752),1)*(SKUs!$K$2:$K$10001=I752),SKUs!$C$2:$C$10001),"")</f>
        <v>0</v>
      </c>
      <c r="H752" s="36" cm="1">
        <f t="array" ref="H752">IFERROR(_xlfn.XLOOKUP(1, (dd_accsryclr!$C$2:$C$1000=accsry_unmerged!F752)*(dd_accsryclr!$B$2:$B$1000=accsry_unmerged!J752),dd_accsryclr!$A$2:$A$1000),"")</f>
        <v>0</v>
      </c>
      <c r="I752" s="35">
        <f>_xlfn.XLOOKUP(C752,'Project Details'!$C$17:$C$66,'Project Details'!$E$17:$E$66,"",0)</f>
        <v>0</v>
      </c>
      <c r="J752" s="35">
        <f>_xlfn.XLOOKUP(C752,'Project Details'!$C$17:$C$66,'Project Details'!$H$17:$H$66,"",0)</f>
        <v>0</v>
      </c>
      <c r="K752" s="36" t="str">
        <f>IF(AND(_xlfn.XLOOKUP(C752,'Project Details'!$C$17:$C$66,'Project Details'!$L$17:$L$66,"",0)&gt;550, F752="Spring-L27cm"),"",SUBSTITUTE(_xlfn.XLOOKUP(G752,SKUs!$C$2:$C$10001,SKUs!$F$2:$F$10001,"",0), " Accessories",""))</f>
        <v/>
      </c>
      <c r="L752" s="36">
        <f>_xlfn.XLOOKUP(C752,'Project Details'!$C$17:$C$66,'Project Details'!$D$17:$D$66,"",0)</f>
        <v>0</v>
      </c>
      <c r="M752" s="43"/>
    </row>
    <row r="753" spans="1:13" ht="13.5" customHeight="1" outlineLevel="1" x14ac:dyDescent="0.25">
      <c r="A753" s="43"/>
      <c r="B753" s="43"/>
      <c r="C753" s="16">
        <f t="shared" si="13"/>
        <v>15</v>
      </c>
      <c r="D753" s="16" t="str" cm="1">
        <f t="array" ref="D753">IFERROR(ROUNDUP(_xlfn.IFS(F753="Aluminum Track", _xlfn.XLOOKUP(C753, dd_accsrycalc!$A$2:$A$51, dd_accsrycalc!$B$2:$B$51, "",0), F753="10 x 2 1/2 S (Flat)", _xlfn.XLOOKUP(C753, dd_accsrycalc!$A$2:$A$51, dd_accsrycalc!$C$2:$C$51, "",0), F753="Tox6", _xlfn.XLOOKUP(C753, dd_accsrycalc!$A$2:$A$51, dd_accsrycalc!$D$2:$D$51, "",0), F753="Cover Cap", _xlfn.XLOOKUP(C753, dd_accsrycalc!$A$2:$A$51, dd_accsrycalc!$E$2:$E$51, "",0), F753="Drainage Cover", _xlfn.XLOOKUP(C753, dd_accsrycalc!$A$2:$A$51, dd_accsrycalc!$F$2:$F$51, "",0),AND( F753="Double Adhesive Tape", I753="Roll-up Screen"), _xlfn.XLOOKUP(C753, calc_rusacc!$C$15:$C$65, calc_rusacc!$AD$15:$AD$65, "",0),AND( F753="Sealant", I753="Roll-up Screen"), _xlfn.XLOOKUP(C753, calc_rusacc!$C$15:$C$65, calc_rusacc!$AF$15:$AF$65, "",0),  AND( F753="Main Chain", I753="Accordion Screen"), _xlfn.XLOOKUP(C753, calc_rusacc!$C$15:$C$65, calc_rusacc!$BF$15:$BF$65, "",0), AND( F753="Sealant", I753="Accordion Screen"), _xlfn.XLOOKUP(C753, calc_rusacc!$C$15:$C$65, calc_rusacc!$BJ$15:$BJ$65, "",0),  F753="Sealant", _xlfn.XLOOKUP(C753, dd_accsrycalc!$A$2:$A$51, dd_accsrycalc!$G$2:$G$51, "",0),  F753&lt;&gt;"",L753*_xlfn.XLOOKUP(1, (SKUs!$C$2:$C$10001=G753)*(SKUs!$K$2:$K$10001=I753),SKUs!$E$2:$E$10001)), 0),"")</f>
        <v/>
      </c>
      <c r="E753" s="16" t="str">
        <f>_xlfn.XLOOKUP(F753,dd_item!$B$2:$B$105,dd_item!$C$2:$C$105,"",0)</f>
        <v/>
      </c>
      <c r="F753" s="16"/>
      <c r="G753" s="16" cm="1">
        <f t="array" ref="G753">IFERROR(_xlfn.XLOOKUP(1, (SKUs!$J$2:$J$10001=accsry_unmerged!F753)*IF(H753&lt;&gt;"",(SKUs!$L$2:$L$10001=accsry_unmerged!H753),1)*(SKUs!$K$2:$K$10001=I753),SKUs!$C$2:$C$10001),"")</f>
        <v>0</v>
      </c>
      <c r="H753" s="33" cm="1">
        <f t="array" ref="H753">IFERROR(_xlfn.XLOOKUP(1, (dd_accsryclr!$C$2:$C$1000=accsry_unmerged!F753)*(dd_accsryclr!$B$2:$B$1000=accsry_unmerged!J753),dd_accsryclr!$A$2:$A$1000),"")</f>
        <v>0</v>
      </c>
      <c r="I753" s="16">
        <f>_xlfn.XLOOKUP(C753,'Project Details'!$C$17:$C$66,'Project Details'!$E$17:$E$66,"",0)</f>
        <v>0</v>
      </c>
      <c r="J753" s="16">
        <f>_xlfn.XLOOKUP(C753,'Project Details'!$C$17:$C$66,'Project Details'!$H$17:$H$66,"",0)</f>
        <v>0</v>
      </c>
      <c r="K753" s="33" t="str">
        <f>IF(AND(_xlfn.XLOOKUP(C753,'Project Details'!$C$17:$C$66,'Project Details'!$L$17:$L$66,"",0)&gt;550, F753="Spring-L27cm"),"",SUBSTITUTE(_xlfn.XLOOKUP(G753,SKUs!$C$2:$C$10001,SKUs!$F$2:$F$10001,"",0), " Accessories",""))</f>
        <v/>
      </c>
      <c r="L753" s="33">
        <f>_xlfn.XLOOKUP(C753,'Project Details'!$C$17:$C$66,'Project Details'!$D$17:$D$66,"",0)</f>
        <v>0</v>
      </c>
      <c r="M753" s="43"/>
    </row>
    <row r="754" spans="1:13" ht="13.5" customHeight="1" outlineLevel="1" x14ac:dyDescent="0.25">
      <c r="A754" s="43"/>
      <c r="B754" s="43"/>
      <c r="C754" s="35">
        <f t="shared" si="13"/>
        <v>15</v>
      </c>
      <c r="D754" s="35" t="str" cm="1">
        <f t="array" ref="D754">IFERROR(ROUNDUP(_xlfn.IFS(F754="Aluminum Track", _xlfn.XLOOKUP(C754, dd_accsrycalc!$A$2:$A$51, dd_accsrycalc!$B$2:$B$51, "",0), F754="10 x 2 1/2 S (Flat)", _xlfn.XLOOKUP(C754, dd_accsrycalc!$A$2:$A$51, dd_accsrycalc!$C$2:$C$51, "",0), F754="Tox6", _xlfn.XLOOKUP(C754, dd_accsrycalc!$A$2:$A$51, dd_accsrycalc!$D$2:$D$51, "",0), F754="Cover Cap", _xlfn.XLOOKUP(C754, dd_accsrycalc!$A$2:$A$51, dd_accsrycalc!$E$2:$E$51, "",0), F754="Drainage Cover", _xlfn.XLOOKUP(C754, dd_accsrycalc!$A$2:$A$51, dd_accsrycalc!$F$2:$F$51, "",0),AND( F754="Double Adhesive Tape", I754="Roll-up Screen"), _xlfn.XLOOKUP(C754, calc_rusacc!$C$15:$C$65, calc_rusacc!$AD$15:$AD$65, "",0),AND( F754="Sealant", I754="Roll-up Screen"), _xlfn.XLOOKUP(C754, calc_rusacc!$C$15:$C$65, calc_rusacc!$AF$15:$AF$65, "",0),  AND( F754="Main Chain", I754="Accordion Screen"), _xlfn.XLOOKUP(C754, calc_rusacc!$C$15:$C$65, calc_rusacc!$BF$15:$BF$65, "",0), AND( F754="Sealant", I754="Accordion Screen"), _xlfn.XLOOKUP(C754, calc_rusacc!$C$15:$C$65, calc_rusacc!$BJ$15:$BJ$65, "",0),  F754="Sealant", _xlfn.XLOOKUP(C754, dd_accsrycalc!$A$2:$A$51, dd_accsrycalc!$G$2:$G$51, "",0),  F754&lt;&gt;"",L754*_xlfn.XLOOKUP(1, (SKUs!$C$2:$C$10001=G754)*(SKUs!$K$2:$K$10001=I754),SKUs!$E$2:$E$10001)), 0),"")</f>
        <v/>
      </c>
      <c r="E754" s="35" t="str">
        <f>_xlfn.XLOOKUP(F754,dd_item!$B$2:$B$105,dd_item!$C$2:$C$105,"",0)</f>
        <v/>
      </c>
      <c r="F754" s="35"/>
      <c r="G754" s="35" cm="1">
        <f t="array" ref="G754">IFERROR(_xlfn.XLOOKUP(1, (SKUs!$J$2:$J$10001=accsry_unmerged!F754)*IF(H754&lt;&gt;"",(SKUs!$L$2:$L$10001=accsry_unmerged!H754),1)*(SKUs!$K$2:$K$10001=I754),SKUs!$C$2:$C$10001),"")</f>
        <v>0</v>
      </c>
      <c r="H754" s="36" cm="1">
        <f t="array" ref="H754">IFERROR(_xlfn.XLOOKUP(1, (dd_accsryclr!$C$2:$C$1000=accsry_unmerged!F754)*(dd_accsryclr!$B$2:$B$1000=accsry_unmerged!J754),dd_accsryclr!$A$2:$A$1000),"")</f>
        <v>0</v>
      </c>
      <c r="I754" s="35">
        <f>_xlfn.XLOOKUP(C754,'Project Details'!$C$17:$C$66,'Project Details'!$E$17:$E$66,"",0)</f>
        <v>0</v>
      </c>
      <c r="J754" s="35">
        <f>_xlfn.XLOOKUP(C754,'Project Details'!$C$17:$C$66,'Project Details'!$H$17:$H$66,"",0)</f>
        <v>0</v>
      </c>
      <c r="K754" s="36" t="str">
        <f>IF(AND(_xlfn.XLOOKUP(C754,'Project Details'!$C$17:$C$66,'Project Details'!$L$17:$L$66,"",0)&gt;550, F754="Spring-L27cm"),"",SUBSTITUTE(_xlfn.XLOOKUP(G754,SKUs!$C$2:$C$10001,SKUs!$F$2:$F$10001,"",0), " Accessories",""))</f>
        <v/>
      </c>
      <c r="L754" s="36">
        <f>_xlfn.XLOOKUP(C754,'Project Details'!$C$17:$C$66,'Project Details'!$D$17:$D$66,"",0)</f>
        <v>0</v>
      </c>
      <c r="M754" s="43"/>
    </row>
    <row r="755" spans="1:13" ht="13.5" customHeight="1" outlineLevel="1" collapsed="1" x14ac:dyDescent="0.25">
      <c r="A755" s="43"/>
      <c r="B755" s="43"/>
      <c r="C755" s="16">
        <f t="shared" si="13"/>
        <v>15</v>
      </c>
      <c r="D755" s="16" t="str" cm="1">
        <f t="array" ref="D755">IFERROR(ROUNDUP(_xlfn.IFS(F755="Aluminum Track", _xlfn.XLOOKUP(C755, dd_accsrycalc!$A$2:$A$51, dd_accsrycalc!$B$2:$B$51, "",0), F755="10 x 2 1/2 S (Flat)", _xlfn.XLOOKUP(C755, dd_accsrycalc!$A$2:$A$51, dd_accsrycalc!$C$2:$C$51, "",0), F755="Tox6", _xlfn.XLOOKUP(C755, dd_accsrycalc!$A$2:$A$51, dd_accsrycalc!$D$2:$D$51, "",0), F755="Cover Cap", _xlfn.XLOOKUP(C755, dd_accsrycalc!$A$2:$A$51, dd_accsrycalc!$E$2:$E$51, "",0), F755="Drainage Cover", _xlfn.XLOOKUP(C755, dd_accsrycalc!$A$2:$A$51, dd_accsrycalc!$F$2:$F$51, "",0),AND( F755="Double Adhesive Tape", I755="Roll-up Screen"), _xlfn.XLOOKUP(C755, calc_rusacc!$C$15:$C$65, calc_rusacc!$AD$15:$AD$65, "",0),AND( F755="Sealant", I755="Roll-up Screen"), _xlfn.XLOOKUP(C755, calc_rusacc!$C$15:$C$65, calc_rusacc!$AF$15:$AF$65, "",0),  AND( F755="Main Chain", I755="Accordion Screen"), _xlfn.XLOOKUP(C755, calc_rusacc!$C$15:$C$65, calc_rusacc!$BF$15:$BF$65, "",0), AND( F755="Sealant", I755="Accordion Screen"), _xlfn.XLOOKUP(C755, calc_rusacc!$C$15:$C$65, calc_rusacc!$BJ$15:$BJ$65, "",0),  F755="Sealant", _xlfn.XLOOKUP(C755, dd_accsrycalc!$A$2:$A$51, dd_accsrycalc!$G$2:$G$51, "",0),  F755&lt;&gt;"",L755*_xlfn.XLOOKUP(1, (SKUs!$C$2:$C$10001=G755)*(SKUs!$K$2:$K$10001=I755),SKUs!$E$2:$E$10001)), 0),"")</f>
        <v/>
      </c>
      <c r="E755" s="16" t="str">
        <f>_xlfn.XLOOKUP(F755,dd_item!$B$2:$B$105,dd_item!$C$2:$C$105,"",0)</f>
        <v/>
      </c>
      <c r="F755" s="16"/>
      <c r="G755" s="16" cm="1">
        <f t="array" ref="G755">IFERROR(_xlfn.XLOOKUP(1, (SKUs!$J$2:$J$10001=accsry_unmerged!F755)*IF(H755&lt;&gt;"",(SKUs!$L$2:$L$10001=accsry_unmerged!H755),1)*(SKUs!$K$2:$K$10001=I755),SKUs!$C$2:$C$10001),"")</f>
        <v>0</v>
      </c>
      <c r="H755" s="33" cm="1">
        <f t="array" ref="H755">IFERROR(_xlfn.XLOOKUP(1, (dd_accsryclr!$C$2:$C$1000=accsry_unmerged!F755)*(dd_accsryclr!$B$2:$B$1000=accsry_unmerged!J755),dd_accsryclr!$A$2:$A$1000),"")</f>
        <v>0</v>
      </c>
      <c r="I755" s="16">
        <f>_xlfn.XLOOKUP(C755,'Project Details'!$C$17:$C$66,'Project Details'!$E$17:$E$66,"",0)</f>
        <v>0</v>
      </c>
      <c r="J755" s="16">
        <f>_xlfn.XLOOKUP(C755,'Project Details'!$C$17:$C$66,'Project Details'!$H$17:$H$66,"",0)</f>
        <v>0</v>
      </c>
      <c r="K755" s="33" t="str">
        <f>IF(AND(_xlfn.XLOOKUP(C755,'Project Details'!$C$17:$C$66,'Project Details'!$L$17:$L$66,"",0)&gt;550, F755="Spring-L27cm"),"",SUBSTITUTE(_xlfn.XLOOKUP(G755,SKUs!$C$2:$C$10001,SKUs!$F$2:$F$10001,"",0), " Accessories",""))</f>
        <v/>
      </c>
      <c r="L755" s="33">
        <f>_xlfn.XLOOKUP(C755,'Project Details'!$C$17:$C$66,'Project Details'!$D$17:$D$66,"",0)</f>
        <v>0</v>
      </c>
      <c r="M755" s="43"/>
    </row>
    <row r="756" spans="1:13" ht="13.5" customHeight="1" outlineLevel="1" x14ac:dyDescent="0.25">
      <c r="A756" s="43"/>
      <c r="B756" s="43"/>
      <c r="C756" s="35">
        <f t="shared" si="13"/>
        <v>15</v>
      </c>
      <c r="D756" s="35" t="str" cm="1">
        <f t="array" ref="D756">IFERROR(ROUNDUP(_xlfn.IFS(F756="Aluminum Track", _xlfn.XLOOKUP(C756, dd_accsrycalc!$A$2:$A$51, dd_accsrycalc!$B$2:$B$51, "",0), F756="10 x 2 1/2 S (Flat)", _xlfn.XLOOKUP(C756, dd_accsrycalc!$A$2:$A$51, dd_accsrycalc!$C$2:$C$51, "",0), F756="Tox6", _xlfn.XLOOKUP(C756, dd_accsrycalc!$A$2:$A$51, dd_accsrycalc!$D$2:$D$51, "",0), F756="Cover Cap", _xlfn.XLOOKUP(C756, dd_accsrycalc!$A$2:$A$51, dd_accsrycalc!$E$2:$E$51, "",0), F756="Drainage Cover", _xlfn.XLOOKUP(C756, dd_accsrycalc!$A$2:$A$51, dd_accsrycalc!$F$2:$F$51, "",0),AND( F756="Double Adhesive Tape", I756="Roll-up Screen"), _xlfn.XLOOKUP(C756, calc_rusacc!$C$15:$C$65, calc_rusacc!$AD$15:$AD$65, "",0),AND( F756="Sealant", I756="Roll-up Screen"), _xlfn.XLOOKUP(C756, calc_rusacc!$C$15:$C$65, calc_rusacc!$AF$15:$AF$65, "",0),  AND( F756="Main Chain", I756="Accordion Screen"), _xlfn.XLOOKUP(C756, calc_rusacc!$C$15:$C$65, calc_rusacc!$BF$15:$BF$65, "",0), AND( F756="Sealant", I756="Accordion Screen"), _xlfn.XLOOKUP(C756, calc_rusacc!$C$15:$C$65, calc_rusacc!$BJ$15:$BJ$65, "",0),  F756="Sealant", _xlfn.XLOOKUP(C756, dd_accsrycalc!$A$2:$A$51, dd_accsrycalc!$G$2:$G$51, "",0),  F756&lt;&gt;"",L756*_xlfn.XLOOKUP(1, (SKUs!$C$2:$C$10001=G756)*(SKUs!$K$2:$K$10001=I756),SKUs!$E$2:$E$10001)), 0),"")</f>
        <v/>
      </c>
      <c r="E756" s="35" t="str">
        <f>_xlfn.XLOOKUP(F756,dd_item!$B$2:$B$105,dd_item!$C$2:$C$105,"",0)</f>
        <v/>
      </c>
      <c r="F756" s="35"/>
      <c r="G756" s="35" cm="1">
        <f t="array" ref="G756">IFERROR(_xlfn.XLOOKUP(1, (SKUs!$J$2:$J$10001=accsry_unmerged!F756)*IF(H756&lt;&gt;"",(SKUs!$L$2:$L$10001=accsry_unmerged!H756),1)*(SKUs!$K$2:$K$10001=I756),SKUs!$C$2:$C$10001),"")</f>
        <v>0</v>
      </c>
      <c r="H756" s="36" cm="1">
        <f t="array" ref="H756">IFERROR(_xlfn.XLOOKUP(1, (dd_accsryclr!$C$2:$C$1000=accsry_unmerged!F756)*(dd_accsryclr!$B$2:$B$1000=accsry_unmerged!J756),dd_accsryclr!$A$2:$A$1000),"")</f>
        <v>0</v>
      </c>
      <c r="I756" s="35">
        <f>_xlfn.XLOOKUP(C756,'Project Details'!$C$17:$C$66,'Project Details'!$E$17:$E$66,"",0)</f>
        <v>0</v>
      </c>
      <c r="J756" s="35">
        <f>_xlfn.XLOOKUP(C756,'Project Details'!$C$17:$C$66,'Project Details'!$H$17:$H$66,"",0)</f>
        <v>0</v>
      </c>
      <c r="K756" s="36" t="str">
        <f>IF(AND(_xlfn.XLOOKUP(C756,'Project Details'!$C$17:$C$66,'Project Details'!$L$17:$L$66,"",0)&gt;550, F756="Spring-L27cm"),"",SUBSTITUTE(_xlfn.XLOOKUP(G756,SKUs!$C$2:$C$10001,SKUs!$F$2:$F$10001,"",0), " Accessories",""))</f>
        <v/>
      </c>
      <c r="L756" s="36">
        <f>_xlfn.XLOOKUP(C756,'Project Details'!$C$17:$C$66,'Project Details'!$D$17:$D$66,"",0)</f>
        <v>0</v>
      </c>
      <c r="M756" s="43"/>
    </row>
    <row r="757" spans="1:13" ht="13.5" customHeight="1" outlineLevel="1" x14ac:dyDescent="0.25">
      <c r="A757" s="43"/>
      <c r="B757" s="43"/>
      <c r="C757" s="16">
        <f t="shared" si="13"/>
        <v>15</v>
      </c>
      <c r="D757" s="16" t="str" cm="1">
        <f t="array" ref="D757">IFERROR(ROUNDUP(_xlfn.IFS(F757="Aluminum Track", _xlfn.XLOOKUP(C757, dd_accsrycalc!$A$2:$A$51, dd_accsrycalc!$B$2:$B$51, "",0), F757="10 x 2 1/2 S (Flat)", _xlfn.XLOOKUP(C757, dd_accsrycalc!$A$2:$A$51, dd_accsrycalc!$C$2:$C$51, "",0), F757="Tox6", _xlfn.XLOOKUP(C757, dd_accsrycalc!$A$2:$A$51, dd_accsrycalc!$D$2:$D$51, "",0), F757="Cover Cap", _xlfn.XLOOKUP(C757, dd_accsrycalc!$A$2:$A$51, dd_accsrycalc!$E$2:$E$51, "",0), F757="Drainage Cover", _xlfn.XLOOKUP(C757, dd_accsrycalc!$A$2:$A$51, dd_accsrycalc!$F$2:$F$51, "",0),AND( F757="Double Adhesive Tape", I757="Roll-up Screen"), _xlfn.XLOOKUP(C757, calc_rusacc!$C$15:$C$65, calc_rusacc!$AD$15:$AD$65, "",0),AND( F757="Sealant", I757="Roll-up Screen"), _xlfn.XLOOKUP(C757, calc_rusacc!$C$15:$C$65, calc_rusacc!$AF$15:$AF$65, "",0),  AND( F757="Main Chain", I757="Accordion Screen"), _xlfn.XLOOKUP(C757, calc_rusacc!$C$15:$C$65, calc_rusacc!$BF$15:$BF$65, "",0), AND( F757="Sealant", I757="Accordion Screen"), _xlfn.XLOOKUP(C757, calc_rusacc!$C$15:$C$65, calc_rusacc!$BJ$15:$BJ$65, "",0),  F757="Sealant", _xlfn.XLOOKUP(C757, dd_accsrycalc!$A$2:$A$51, dd_accsrycalc!$G$2:$G$51, "",0),  F757&lt;&gt;"",L757*_xlfn.XLOOKUP(1, (SKUs!$C$2:$C$10001=G757)*(SKUs!$K$2:$K$10001=I757),SKUs!$E$2:$E$10001)), 0),"")</f>
        <v/>
      </c>
      <c r="E757" s="16" t="str">
        <f>_xlfn.XLOOKUP(F757,dd_item!$B$2:$B$105,dd_item!$C$2:$C$105,"",0)</f>
        <v/>
      </c>
      <c r="F757" s="16"/>
      <c r="G757" s="16" cm="1">
        <f t="array" ref="G757">IFERROR(_xlfn.XLOOKUP(1, (SKUs!$J$2:$J$10001=accsry_unmerged!F757)*IF(H757&lt;&gt;"",(SKUs!$L$2:$L$10001=accsry_unmerged!H757),1)*(SKUs!$K$2:$K$10001=I757),SKUs!$C$2:$C$10001),"")</f>
        <v>0</v>
      </c>
      <c r="H757" s="33" cm="1">
        <f t="array" ref="H757">IFERROR(_xlfn.XLOOKUP(1, (dd_accsryclr!$C$2:$C$1000=accsry_unmerged!F757)*(dd_accsryclr!$B$2:$B$1000=accsry_unmerged!J757),dd_accsryclr!$A$2:$A$1000),"")</f>
        <v>0</v>
      </c>
      <c r="I757" s="16">
        <f>_xlfn.XLOOKUP(C757,'Project Details'!$C$17:$C$66,'Project Details'!$E$17:$E$66,"",0)</f>
        <v>0</v>
      </c>
      <c r="J757" s="16">
        <f>_xlfn.XLOOKUP(C757,'Project Details'!$C$17:$C$66,'Project Details'!$H$17:$H$66,"",0)</f>
        <v>0</v>
      </c>
      <c r="K757" s="33" t="str">
        <f>IF(AND(_xlfn.XLOOKUP(C757,'Project Details'!$C$17:$C$66,'Project Details'!$L$17:$L$66,"",0)&gt;550, F757="Spring-L27cm"),"",SUBSTITUTE(_xlfn.XLOOKUP(G757,SKUs!$C$2:$C$10001,SKUs!$F$2:$F$10001,"",0), " Accessories",""))</f>
        <v/>
      </c>
      <c r="L757" s="33">
        <f>_xlfn.XLOOKUP(C757,'Project Details'!$C$17:$C$66,'Project Details'!$D$17:$D$66,"",0)</f>
        <v>0</v>
      </c>
      <c r="M757" s="43"/>
    </row>
    <row r="758" spans="1:13" ht="13.5" customHeight="1" outlineLevel="1" x14ac:dyDescent="0.25">
      <c r="A758" s="43"/>
      <c r="B758" s="43"/>
      <c r="C758" s="35">
        <f t="shared" si="13"/>
        <v>15</v>
      </c>
      <c r="D758" s="35" t="str" cm="1">
        <f t="array" ref="D758">IFERROR(ROUNDUP(_xlfn.IFS(F758="Aluminum Track", _xlfn.XLOOKUP(C758, dd_accsrycalc!$A$2:$A$51, dd_accsrycalc!$B$2:$B$51, "",0), F758="10 x 2 1/2 S (Flat)", _xlfn.XLOOKUP(C758, dd_accsrycalc!$A$2:$A$51, dd_accsrycalc!$C$2:$C$51, "",0), F758="Tox6", _xlfn.XLOOKUP(C758, dd_accsrycalc!$A$2:$A$51, dd_accsrycalc!$D$2:$D$51, "",0), F758="Cover Cap", _xlfn.XLOOKUP(C758, dd_accsrycalc!$A$2:$A$51, dd_accsrycalc!$E$2:$E$51, "",0), F758="Drainage Cover", _xlfn.XLOOKUP(C758, dd_accsrycalc!$A$2:$A$51, dd_accsrycalc!$F$2:$F$51, "",0),AND( F758="Double Adhesive Tape", I758="Roll-up Screen"), _xlfn.XLOOKUP(C758, calc_rusacc!$C$15:$C$65, calc_rusacc!$AD$15:$AD$65, "",0),AND( F758="Sealant", I758="Roll-up Screen"), _xlfn.XLOOKUP(C758, calc_rusacc!$C$15:$C$65, calc_rusacc!$AF$15:$AF$65, "",0),  AND( F758="Main Chain", I758="Accordion Screen"), _xlfn.XLOOKUP(C758, calc_rusacc!$C$15:$C$65, calc_rusacc!$BF$15:$BF$65, "",0), AND( F758="Sealant", I758="Accordion Screen"), _xlfn.XLOOKUP(C758, calc_rusacc!$C$15:$C$65, calc_rusacc!$BJ$15:$BJ$65, "",0),  F758="Sealant", _xlfn.XLOOKUP(C758, dd_accsrycalc!$A$2:$A$51, dd_accsrycalc!$G$2:$G$51, "",0),  F758&lt;&gt;"",L758*_xlfn.XLOOKUP(1, (SKUs!$C$2:$C$10001=G758)*(SKUs!$K$2:$K$10001=I758),SKUs!$E$2:$E$10001)), 0),"")</f>
        <v/>
      </c>
      <c r="E758" s="35" t="str">
        <f>_xlfn.XLOOKUP(F758,dd_item!$B$2:$B$105,dd_item!$C$2:$C$105,"",0)</f>
        <v/>
      </c>
      <c r="F758" s="35"/>
      <c r="G758" s="35" cm="1">
        <f t="array" ref="G758">IFERROR(_xlfn.XLOOKUP(1, (SKUs!$J$2:$J$10001=accsry_unmerged!F758)*IF(H758&lt;&gt;"",(SKUs!$L$2:$L$10001=accsry_unmerged!H758),1)*(SKUs!$K$2:$K$10001=I758),SKUs!$C$2:$C$10001),"")</f>
        <v>0</v>
      </c>
      <c r="H758" s="36" cm="1">
        <f t="array" ref="H758">IFERROR(_xlfn.XLOOKUP(1, (dd_accsryclr!$C$2:$C$1000=accsry_unmerged!F758)*(dd_accsryclr!$B$2:$B$1000=accsry_unmerged!J758),dd_accsryclr!$A$2:$A$1000),"")</f>
        <v>0</v>
      </c>
      <c r="I758" s="35">
        <f>_xlfn.XLOOKUP(C758,'Project Details'!$C$17:$C$66,'Project Details'!$E$17:$E$66,"",0)</f>
        <v>0</v>
      </c>
      <c r="J758" s="35">
        <f>_xlfn.XLOOKUP(C758,'Project Details'!$C$17:$C$66,'Project Details'!$H$17:$H$66,"",0)</f>
        <v>0</v>
      </c>
      <c r="K758" s="36" t="str">
        <f>IF(AND(_xlfn.XLOOKUP(C758,'Project Details'!$C$17:$C$66,'Project Details'!$L$17:$L$66,"",0)&gt;550, F758="Spring-L27cm"),"",SUBSTITUTE(_xlfn.XLOOKUP(G758,SKUs!$C$2:$C$10001,SKUs!$F$2:$F$10001,"",0), " Accessories",""))</f>
        <v/>
      </c>
      <c r="L758" s="36">
        <f>_xlfn.XLOOKUP(C758,'Project Details'!$C$17:$C$66,'Project Details'!$D$17:$D$66,"",0)</f>
        <v>0</v>
      </c>
      <c r="M758" s="43"/>
    </row>
    <row r="759" spans="1:13" ht="13.5" customHeight="1" outlineLevel="1" x14ac:dyDescent="0.25">
      <c r="A759" s="43"/>
      <c r="B759" s="43"/>
      <c r="C759" s="16">
        <f t="shared" si="13"/>
        <v>15</v>
      </c>
      <c r="D759" s="16" t="str" cm="1">
        <f t="array" ref="D759">IFERROR(ROUNDUP(_xlfn.IFS(F759="Aluminum Track", _xlfn.XLOOKUP(C759, dd_accsrycalc!$A$2:$A$51, dd_accsrycalc!$B$2:$B$51, "",0), F759="10 x 2 1/2 S (Flat)", _xlfn.XLOOKUP(C759, dd_accsrycalc!$A$2:$A$51, dd_accsrycalc!$C$2:$C$51, "",0), F759="Tox6", _xlfn.XLOOKUP(C759, dd_accsrycalc!$A$2:$A$51, dd_accsrycalc!$D$2:$D$51, "",0), F759="Cover Cap", _xlfn.XLOOKUP(C759, dd_accsrycalc!$A$2:$A$51, dd_accsrycalc!$E$2:$E$51, "",0), F759="Drainage Cover", _xlfn.XLOOKUP(C759, dd_accsrycalc!$A$2:$A$51, dd_accsrycalc!$F$2:$F$51, "",0),AND( F759="Double Adhesive Tape", I759="Roll-up Screen"), _xlfn.XLOOKUP(C759, calc_rusacc!$C$15:$C$65, calc_rusacc!$AD$15:$AD$65, "",0),AND( F759="Sealant", I759="Roll-up Screen"), _xlfn.XLOOKUP(C759, calc_rusacc!$C$15:$C$65, calc_rusacc!$AF$15:$AF$65, "",0),  AND( F759="Main Chain", I759="Accordion Screen"), _xlfn.XLOOKUP(C759, calc_rusacc!$C$15:$C$65, calc_rusacc!$BF$15:$BF$65, "",0), AND( F759="Sealant", I759="Accordion Screen"), _xlfn.XLOOKUP(C759, calc_rusacc!$C$15:$C$65, calc_rusacc!$BJ$15:$BJ$65, "",0),  F759="Sealant", _xlfn.XLOOKUP(C759, dd_accsrycalc!$A$2:$A$51, dd_accsrycalc!$G$2:$G$51, "",0),  F759&lt;&gt;"",L759*_xlfn.XLOOKUP(1, (SKUs!$C$2:$C$10001=G759)*(SKUs!$K$2:$K$10001=I759),SKUs!$E$2:$E$10001)), 0),"")</f>
        <v/>
      </c>
      <c r="E759" s="16" t="str">
        <f>_xlfn.XLOOKUP(F759,dd_item!$B$2:$B$105,dd_item!$C$2:$C$105,"",0)</f>
        <v/>
      </c>
      <c r="F759" s="16"/>
      <c r="G759" s="16" cm="1">
        <f t="array" ref="G759">IFERROR(_xlfn.XLOOKUP(1, (SKUs!$J$2:$J$10001=accsry_unmerged!F759)*IF(H759&lt;&gt;"",(SKUs!$L$2:$L$10001=accsry_unmerged!H759),1)*(SKUs!$K$2:$K$10001=I759),SKUs!$C$2:$C$10001),"")</f>
        <v>0</v>
      </c>
      <c r="H759" s="33" cm="1">
        <f t="array" ref="H759">IFERROR(_xlfn.XLOOKUP(1, (dd_accsryclr!$C$2:$C$1000=accsry_unmerged!F759)*(dd_accsryclr!$B$2:$B$1000=accsry_unmerged!J759),dd_accsryclr!$A$2:$A$1000),"")</f>
        <v>0</v>
      </c>
      <c r="I759" s="16">
        <f>_xlfn.XLOOKUP(C759,'Project Details'!$C$17:$C$66,'Project Details'!$E$17:$E$66,"",0)</f>
        <v>0</v>
      </c>
      <c r="J759" s="16">
        <f>_xlfn.XLOOKUP(C759,'Project Details'!$C$17:$C$66,'Project Details'!$H$17:$H$66,"",0)</f>
        <v>0</v>
      </c>
      <c r="K759" s="33" t="str">
        <f>IF(AND(_xlfn.XLOOKUP(C759,'Project Details'!$C$17:$C$66,'Project Details'!$L$17:$L$66,"",0)&gt;550, F759="Spring-L27cm"),"",SUBSTITUTE(_xlfn.XLOOKUP(G759,SKUs!$C$2:$C$10001,SKUs!$F$2:$F$10001,"",0), " Accessories",""))</f>
        <v/>
      </c>
      <c r="L759" s="33">
        <f>_xlfn.XLOOKUP(C759,'Project Details'!$C$17:$C$66,'Project Details'!$D$17:$D$66,"",0)</f>
        <v>0</v>
      </c>
      <c r="M759" s="43"/>
    </row>
    <row r="760" spans="1:13" ht="13.5" customHeight="1" outlineLevel="1" x14ac:dyDescent="0.25">
      <c r="A760" s="43"/>
      <c r="B760" s="43"/>
      <c r="C760" s="35">
        <f t="shared" si="13"/>
        <v>15</v>
      </c>
      <c r="D760" s="35" t="str" cm="1">
        <f t="array" ref="D760">IFERROR(ROUNDUP(_xlfn.IFS(F760="Aluminum Track", _xlfn.XLOOKUP(C760, dd_accsrycalc!$A$2:$A$51, dd_accsrycalc!$B$2:$B$51, "",0), F760="10 x 2 1/2 S (Flat)", _xlfn.XLOOKUP(C760, dd_accsrycalc!$A$2:$A$51, dd_accsrycalc!$C$2:$C$51, "",0), F760="Tox6", _xlfn.XLOOKUP(C760, dd_accsrycalc!$A$2:$A$51, dd_accsrycalc!$D$2:$D$51, "",0), F760="Cover Cap", _xlfn.XLOOKUP(C760, dd_accsrycalc!$A$2:$A$51, dd_accsrycalc!$E$2:$E$51, "",0), F760="Drainage Cover", _xlfn.XLOOKUP(C760, dd_accsrycalc!$A$2:$A$51, dd_accsrycalc!$F$2:$F$51, "",0),AND( F760="Double Adhesive Tape", I760="Roll-up Screen"), _xlfn.XLOOKUP(C760, calc_rusacc!$C$15:$C$65, calc_rusacc!$AD$15:$AD$65, "",0),AND( F760="Sealant", I760="Roll-up Screen"), _xlfn.XLOOKUP(C760, calc_rusacc!$C$15:$C$65, calc_rusacc!$AF$15:$AF$65, "",0),  AND( F760="Main Chain", I760="Accordion Screen"), _xlfn.XLOOKUP(C760, calc_rusacc!$C$15:$C$65, calc_rusacc!$BF$15:$BF$65, "",0), AND( F760="Sealant", I760="Accordion Screen"), _xlfn.XLOOKUP(C760, calc_rusacc!$C$15:$C$65, calc_rusacc!$BJ$15:$BJ$65, "",0),  F760="Sealant", _xlfn.XLOOKUP(C760, dd_accsrycalc!$A$2:$A$51, dd_accsrycalc!$G$2:$G$51, "",0),  F760&lt;&gt;"",L760*_xlfn.XLOOKUP(1, (SKUs!$C$2:$C$10001=G760)*(SKUs!$K$2:$K$10001=I760),SKUs!$E$2:$E$10001)), 0),"")</f>
        <v/>
      </c>
      <c r="E760" s="35" t="str">
        <f>_xlfn.XLOOKUP(F760,dd_item!$B$2:$B$105,dd_item!$C$2:$C$105,"",0)</f>
        <v/>
      </c>
      <c r="F760" s="35"/>
      <c r="G760" s="35" cm="1">
        <f t="array" ref="G760">IFERROR(_xlfn.XLOOKUP(1, (SKUs!$J$2:$J$10001=accsry_unmerged!F760)*IF(H760&lt;&gt;"",(SKUs!$L$2:$L$10001=accsry_unmerged!H760),1)*(SKUs!$K$2:$K$10001=I760),SKUs!$C$2:$C$10001),"")</f>
        <v>0</v>
      </c>
      <c r="H760" s="36" cm="1">
        <f t="array" ref="H760">IFERROR(_xlfn.XLOOKUP(1, (dd_accsryclr!$C$2:$C$1000=accsry_unmerged!F760)*(dd_accsryclr!$B$2:$B$1000=accsry_unmerged!J760),dd_accsryclr!$A$2:$A$1000),"")</f>
        <v>0</v>
      </c>
      <c r="I760" s="35">
        <f>_xlfn.XLOOKUP(C760,'Project Details'!$C$17:$C$66,'Project Details'!$E$17:$E$66,"",0)</f>
        <v>0</v>
      </c>
      <c r="J760" s="35">
        <f>_xlfn.XLOOKUP(C760,'Project Details'!$C$17:$C$66,'Project Details'!$H$17:$H$66,"",0)</f>
        <v>0</v>
      </c>
      <c r="K760" s="36" t="str">
        <f>IF(AND(_xlfn.XLOOKUP(C760,'Project Details'!$C$17:$C$66,'Project Details'!$L$17:$L$66,"",0)&gt;550, F760="Spring-L27cm"),"",SUBSTITUTE(_xlfn.XLOOKUP(G760,SKUs!$C$2:$C$10001,SKUs!$F$2:$F$10001,"",0), " Accessories",""))</f>
        <v/>
      </c>
      <c r="L760" s="36">
        <f>_xlfn.XLOOKUP(C760,'Project Details'!$C$17:$C$66,'Project Details'!$D$17:$D$66,"",0)</f>
        <v>0</v>
      </c>
      <c r="M760" s="43"/>
    </row>
    <row r="761" spans="1:13" ht="13.5" customHeight="1" outlineLevel="1" x14ac:dyDescent="0.25">
      <c r="A761" s="43"/>
      <c r="B761" s="43"/>
      <c r="C761" s="16">
        <f t="shared" si="13"/>
        <v>15</v>
      </c>
      <c r="D761" s="16" t="str" cm="1">
        <f t="array" ref="D761">IFERROR(ROUNDUP(_xlfn.IFS(F761="Aluminum Track", _xlfn.XLOOKUP(C761, dd_accsrycalc!$A$2:$A$51, dd_accsrycalc!$B$2:$B$51, "",0), F761="10 x 2 1/2 S (Flat)", _xlfn.XLOOKUP(C761, dd_accsrycalc!$A$2:$A$51, dd_accsrycalc!$C$2:$C$51, "",0), F761="Tox6", _xlfn.XLOOKUP(C761, dd_accsrycalc!$A$2:$A$51, dd_accsrycalc!$D$2:$D$51, "",0), F761="Cover Cap", _xlfn.XLOOKUP(C761, dd_accsrycalc!$A$2:$A$51, dd_accsrycalc!$E$2:$E$51, "",0), F761="Drainage Cover", _xlfn.XLOOKUP(C761, dd_accsrycalc!$A$2:$A$51, dd_accsrycalc!$F$2:$F$51, "",0),AND( F761="Double Adhesive Tape", I761="Roll-up Screen"), _xlfn.XLOOKUP(C761, calc_rusacc!$C$15:$C$65, calc_rusacc!$AD$15:$AD$65, "",0),AND( F761="Sealant", I761="Roll-up Screen"), _xlfn.XLOOKUP(C761, calc_rusacc!$C$15:$C$65, calc_rusacc!$AF$15:$AF$65, "",0),  AND( F761="Main Chain", I761="Accordion Screen"), _xlfn.XLOOKUP(C761, calc_rusacc!$C$15:$C$65, calc_rusacc!$BF$15:$BF$65, "",0), AND( F761="Sealant", I761="Accordion Screen"), _xlfn.XLOOKUP(C761, calc_rusacc!$C$15:$C$65, calc_rusacc!$BJ$15:$BJ$65, "",0),  F761="Sealant", _xlfn.XLOOKUP(C761, dd_accsrycalc!$A$2:$A$51, dd_accsrycalc!$G$2:$G$51, "",0),  F761&lt;&gt;"",L761*_xlfn.XLOOKUP(1, (SKUs!$C$2:$C$10001=G761)*(SKUs!$K$2:$K$10001=I761),SKUs!$E$2:$E$10001)), 0),"")</f>
        <v/>
      </c>
      <c r="E761" s="16" t="str">
        <f>_xlfn.XLOOKUP(F761,dd_item!$B$2:$B$105,dd_item!$C$2:$C$105,"",0)</f>
        <v/>
      </c>
      <c r="F761" s="16"/>
      <c r="G761" s="16" cm="1">
        <f t="array" ref="G761">IFERROR(_xlfn.XLOOKUP(1, (SKUs!$J$2:$J$10001=accsry_unmerged!F761)*IF(H761&lt;&gt;"",(SKUs!$L$2:$L$10001=accsry_unmerged!H761),1)*(SKUs!$K$2:$K$10001=I761),SKUs!$C$2:$C$10001),"")</f>
        <v>0</v>
      </c>
      <c r="H761" s="33" cm="1">
        <f t="array" ref="H761">IFERROR(_xlfn.XLOOKUP(1, (dd_accsryclr!$C$2:$C$1000=accsry_unmerged!F761)*(dd_accsryclr!$B$2:$B$1000=accsry_unmerged!J761),dd_accsryclr!$A$2:$A$1000),"")</f>
        <v>0</v>
      </c>
      <c r="I761" s="16">
        <f>_xlfn.XLOOKUP(C761,'Project Details'!$C$17:$C$66,'Project Details'!$E$17:$E$66,"",0)</f>
        <v>0</v>
      </c>
      <c r="J761" s="16">
        <f>_xlfn.XLOOKUP(C761,'Project Details'!$C$17:$C$66,'Project Details'!$H$17:$H$66,"",0)</f>
        <v>0</v>
      </c>
      <c r="K761" s="33" t="str">
        <f>IF(AND(_xlfn.XLOOKUP(C761,'Project Details'!$C$17:$C$66,'Project Details'!$L$17:$L$66,"",0)&gt;550, F761="Spring-L27cm"),"",SUBSTITUTE(_xlfn.XLOOKUP(G761,SKUs!$C$2:$C$10001,SKUs!$F$2:$F$10001,"",0), " Accessories",""))</f>
        <v/>
      </c>
      <c r="L761" s="33">
        <f>_xlfn.XLOOKUP(C761,'Project Details'!$C$17:$C$66,'Project Details'!$D$17:$D$66,"",0)</f>
        <v>0</v>
      </c>
      <c r="M761" s="43"/>
    </row>
    <row r="762" spans="1:13" ht="13.5" customHeight="1" outlineLevel="1" x14ac:dyDescent="0.25">
      <c r="A762" s="43"/>
      <c r="B762" s="43"/>
      <c r="C762" s="35">
        <f t="shared" si="13"/>
        <v>15</v>
      </c>
      <c r="D762" s="35" t="str" cm="1">
        <f t="array" ref="D762">IFERROR(ROUNDUP(_xlfn.IFS(F762="Aluminum Track", _xlfn.XLOOKUP(C762, dd_accsrycalc!$A$2:$A$51, dd_accsrycalc!$B$2:$B$51, "",0), F762="10 x 2 1/2 S (Flat)", _xlfn.XLOOKUP(C762, dd_accsrycalc!$A$2:$A$51, dd_accsrycalc!$C$2:$C$51, "",0), F762="Tox6", _xlfn.XLOOKUP(C762, dd_accsrycalc!$A$2:$A$51, dd_accsrycalc!$D$2:$D$51, "",0), F762="Cover Cap", _xlfn.XLOOKUP(C762, dd_accsrycalc!$A$2:$A$51, dd_accsrycalc!$E$2:$E$51, "",0), F762="Drainage Cover", _xlfn.XLOOKUP(C762, dd_accsrycalc!$A$2:$A$51, dd_accsrycalc!$F$2:$F$51, "",0),AND( F762="Double Adhesive Tape", I762="Roll-up Screen"), _xlfn.XLOOKUP(C762, calc_rusacc!$C$15:$C$65, calc_rusacc!$AD$15:$AD$65, "",0),AND( F762="Sealant", I762="Roll-up Screen"), _xlfn.XLOOKUP(C762, calc_rusacc!$C$15:$C$65, calc_rusacc!$AF$15:$AF$65, "",0),  AND( F762="Main Chain", I762="Accordion Screen"), _xlfn.XLOOKUP(C762, calc_rusacc!$C$15:$C$65, calc_rusacc!$BF$15:$BF$65, "",0), AND( F762="Sealant", I762="Accordion Screen"), _xlfn.XLOOKUP(C762, calc_rusacc!$C$15:$C$65, calc_rusacc!$BJ$15:$BJ$65, "",0),  F762="Sealant", _xlfn.XLOOKUP(C762, dd_accsrycalc!$A$2:$A$51, dd_accsrycalc!$G$2:$G$51, "",0),  F762&lt;&gt;"",L762*_xlfn.XLOOKUP(1, (SKUs!$C$2:$C$10001=G762)*(SKUs!$K$2:$K$10001=I762),SKUs!$E$2:$E$10001)), 0),"")</f>
        <v/>
      </c>
      <c r="E762" s="35" t="str">
        <f>_xlfn.XLOOKUP(F762,dd_item!$B$2:$B$105,dd_item!$C$2:$C$105,"",0)</f>
        <v/>
      </c>
      <c r="F762" s="35"/>
      <c r="G762" s="35" cm="1">
        <f t="array" ref="G762">IFERROR(_xlfn.XLOOKUP(1, (SKUs!$J$2:$J$10001=accsry_unmerged!F762)*IF(H762&lt;&gt;"",(SKUs!$L$2:$L$10001=accsry_unmerged!H762),1)*(SKUs!$K$2:$K$10001=I762),SKUs!$C$2:$C$10001),"")</f>
        <v>0</v>
      </c>
      <c r="H762" s="36" cm="1">
        <f t="array" ref="H762">IFERROR(_xlfn.XLOOKUP(1, (dd_accsryclr!$C$2:$C$1000=accsry_unmerged!F762)*(dd_accsryclr!$B$2:$B$1000=accsry_unmerged!J762),dd_accsryclr!$A$2:$A$1000),"")</f>
        <v>0</v>
      </c>
      <c r="I762" s="35">
        <f>_xlfn.XLOOKUP(C762,'Project Details'!$C$17:$C$66,'Project Details'!$E$17:$E$66,"",0)</f>
        <v>0</v>
      </c>
      <c r="J762" s="35">
        <f>_xlfn.XLOOKUP(C762,'Project Details'!$C$17:$C$66,'Project Details'!$H$17:$H$66,"",0)</f>
        <v>0</v>
      </c>
      <c r="K762" s="36" t="str">
        <f>IF(AND(_xlfn.XLOOKUP(C762,'Project Details'!$C$17:$C$66,'Project Details'!$L$17:$L$66,"",0)&gt;550, F762="Spring-L27cm"),"",SUBSTITUTE(_xlfn.XLOOKUP(G762,SKUs!$C$2:$C$10001,SKUs!$F$2:$F$10001,"",0), " Accessories",""))</f>
        <v/>
      </c>
      <c r="L762" s="36">
        <f>_xlfn.XLOOKUP(C762,'Project Details'!$C$17:$C$66,'Project Details'!$D$17:$D$66,"",0)</f>
        <v>0</v>
      </c>
      <c r="M762" s="43"/>
    </row>
    <row r="763" spans="1:13" ht="13.5" customHeight="1" outlineLevel="1" x14ac:dyDescent="0.25">
      <c r="A763" s="43"/>
      <c r="B763" s="43"/>
      <c r="C763" s="16">
        <f t="shared" si="13"/>
        <v>15</v>
      </c>
      <c r="D763" s="16" t="str" cm="1">
        <f t="array" ref="D763">IFERROR(ROUNDUP(_xlfn.IFS(F763="Aluminum Track", _xlfn.XLOOKUP(C763, dd_accsrycalc!$A$2:$A$51, dd_accsrycalc!$B$2:$B$51, "",0), F763="10 x 2 1/2 S (Flat)", _xlfn.XLOOKUP(C763, dd_accsrycalc!$A$2:$A$51, dd_accsrycalc!$C$2:$C$51, "",0), F763="Tox6", _xlfn.XLOOKUP(C763, dd_accsrycalc!$A$2:$A$51, dd_accsrycalc!$D$2:$D$51, "",0), F763="Cover Cap", _xlfn.XLOOKUP(C763, dd_accsrycalc!$A$2:$A$51, dd_accsrycalc!$E$2:$E$51, "",0), F763="Drainage Cover", _xlfn.XLOOKUP(C763, dd_accsrycalc!$A$2:$A$51, dd_accsrycalc!$F$2:$F$51, "",0),AND( F763="Double Adhesive Tape", I763="Roll-up Screen"), _xlfn.XLOOKUP(C763, calc_rusacc!$C$15:$C$65, calc_rusacc!$AD$15:$AD$65, "",0),AND( F763="Sealant", I763="Roll-up Screen"), _xlfn.XLOOKUP(C763, calc_rusacc!$C$15:$C$65, calc_rusacc!$AF$15:$AF$65, "",0),  AND( F763="Main Chain", I763="Accordion Screen"), _xlfn.XLOOKUP(C763, calc_rusacc!$C$15:$C$65, calc_rusacc!$BF$15:$BF$65, "",0), AND( F763="Sealant", I763="Accordion Screen"), _xlfn.XLOOKUP(C763, calc_rusacc!$C$15:$C$65, calc_rusacc!$BJ$15:$BJ$65, "",0),  F763="Sealant", _xlfn.XLOOKUP(C763, dd_accsrycalc!$A$2:$A$51, dd_accsrycalc!$G$2:$G$51, "",0),  F763&lt;&gt;"",L763*_xlfn.XLOOKUP(1, (SKUs!$C$2:$C$10001=G763)*(SKUs!$K$2:$K$10001=I763),SKUs!$E$2:$E$10001)), 0),"")</f>
        <v/>
      </c>
      <c r="E763" s="16" t="str">
        <f>_xlfn.XLOOKUP(F763,dd_item!$B$2:$B$105,dd_item!$C$2:$C$105,"",0)</f>
        <v/>
      </c>
      <c r="F763" s="16"/>
      <c r="G763" s="16" cm="1">
        <f t="array" ref="G763">IFERROR(_xlfn.XLOOKUP(1, (SKUs!$J$2:$J$10001=accsry_unmerged!F763)*IF(H763&lt;&gt;"",(SKUs!$L$2:$L$10001=accsry_unmerged!H763),1)*(SKUs!$K$2:$K$10001=I763),SKUs!$C$2:$C$10001),"")</f>
        <v>0</v>
      </c>
      <c r="H763" s="33" cm="1">
        <f t="array" ref="H763">IFERROR(_xlfn.XLOOKUP(1, (dd_accsryclr!$C$2:$C$1000=accsry_unmerged!F763)*(dd_accsryclr!$B$2:$B$1000=accsry_unmerged!J763),dd_accsryclr!$A$2:$A$1000),"")</f>
        <v>0</v>
      </c>
      <c r="I763" s="16">
        <f>_xlfn.XLOOKUP(C763,'Project Details'!$C$17:$C$66,'Project Details'!$E$17:$E$66,"",0)</f>
        <v>0</v>
      </c>
      <c r="J763" s="16">
        <f>_xlfn.XLOOKUP(C763,'Project Details'!$C$17:$C$66,'Project Details'!$H$17:$H$66,"",0)</f>
        <v>0</v>
      </c>
      <c r="K763" s="33" t="str">
        <f>IF(AND(_xlfn.XLOOKUP(C763,'Project Details'!$C$17:$C$66,'Project Details'!$L$17:$L$66,"",0)&gt;550, F763="Spring-L27cm"),"",SUBSTITUTE(_xlfn.XLOOKUP(G763,SKUs!$C$2:$C$10001,SKUs!$F$2:$F$10001,"",0), " Accessories",""))</f>
        <v/>
      </c>
      <c r="L763" s="33">
        <f>_xlfn.XLOOKUP(C763,'Project Details'!$C$17:$C$66,'Project Details'!$D$17:$D$66,"",0)</f>
        <v>0</v>
      </c>
      <c r="M763" s="43"/>
    </row>
    <row r="764" spans="1:13" x14ac:dyDescent="0.25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M764" s="43"/>
    </row>
    <row r="765" spans="1:13" x14ac:dyDescent="0.25">
      <c r="A765" s="43"/>
      <c r="B765" s="43"/>
      <c r="C765" s="16">
        <f>C763+1</f>
        <v>16</v>
      </c>
      <c r="D765" s="48" cm="1">
        <f t="array" ref="D765">IFERROR(ROUNDUP(_xlfn.IFS(F765="Aluminum Track", _xlfn.XLOOKUP(C765, dd_accsrycalc!$A$2:$A$51, dd_accsrycalc!$B$2:$B$51, "",0), F765="10 x 2 1/2 S (Flat)", _xlfn.XLOOKUP(C765, dd_accsrycalc!$A$2:$A$51, dd_accsrycalc!$C$2:$C$51, "",0), F765="Tox6", _xlfn.XLOOKUP(C765, dd_accsrycalc!$A$2:$A$51, dd_accsrycalc!$D$2:$D$51, "",0), F765="Cover Cap", _xlfn.XLOOKUP(C765, dd_accsrycalc!$A$2:$A$51, dd_accsrycalc!$E$2:$E$51, "",0), F765="Drainage Cover", _xlfn.XLOOKUP(C765, dd_accsrycalc!$A$2:$A$51, dd_accsrycalc!$F$2:$F$51, "",0),AND( F765="Double Adhesive Tape", I765="Roll-up Screen"), _xlfn.XLOOKUP(C765, calc_rusacc!$C$15:$C$65, calc_rusacc!$AD$15:$AD$65, "",0),AND( F765="Sealant", I765="Roll-up Screen"), _xlfn.XLOOKUP(C765, calc_rusacc!$C$15:$C$65, calc_rusacc!$AF$15:$AF$65, "",0),  AND( F765="Main Chain", I765="Accordion Screen"), _xlfn.XLOOKUP(C765, calc_rusacc!$C$15:$C$65, calc_rusacc!$BF$15:$BF$65, "",0), AND( F765="Sealant", I765="Accordion Screen"), _xlfn.XLOOKUP(C765, calc_rusacc!$C$15:$C$65, calc_rusacc!$BJ$15:$BJ$65, "",0),  F765="Sealant", _xlfn.XLOOKUP(C765, dd_accsrycalc!$A$2:$A$51, dd_accsrycalc!$G$2:$G$51, "",0),  F765&lt;&gt;"",L765*_xlfn.XLOOKUP(1, (SKUs!$C$2:$C$10001=G765)*(SKUs!$K$2:$K$10001=I765),SKUs!$E$2:$E$10001)), 0),"")</f>
        <v>0</v>
      </c>
      <c r="E765" s="48" t="str">
        <f>_xlfn.XLOOKUP(F765,dd_item!$B$2:$B$105,dd_item!$C$2:$C$105,"",0)</f>
        <v/>
      </c>
      <c r="F765" s="48" cm="1">
        <f t="array" ref="F765">IFERROR(_xlfn.UNIQUE(_xlfn._xlws.FILTER(SKUs!$J$2:$J$10001, (SKUs!$F$2:$F$10001&lt;&gt;"Cutting List") * (SKUs!$A$2:$A$10001=_xlfn.XLOOKUP(_xlfn.XLOOKUP(C765,'Project Details'!$C$17:$C$66,'Project Details'!$E$17:$E$66,"",0), dd_design_raw!$A$2:$A$101,dd_design_raw!$C$2:$C$101,"",0)))), "")</f>
        <v>0</v>
      </c>
      <c r="G765" s="16" cm="1">
        <f t="array" ref="G765">IFERROR(_xlfn.XLOOKUP(1, (SKUs!$J$2:$J$10001=accsry_unmerged!F765)*IF(H765&lt;&gt;"",(SKUs!$L$2:$L$10001=accsry_unmerged!H765),1)*(SKUs!$K$2:$K$10001=I765),SKUs!$C$2:$C$10001),"")</f>
        <v>0</v>
      </c>
      <c r="H765" s="16" cm="1">
        <f t="array" ref="H765">IFERROR(_xlfn.XLOOKUP(1, (dd_accsryclr!$C$2:$C$1000=accsry_unmerged!F765)*(dd_accsryclr!$B$2:$B$1000=accsry_unmerged!J765),dd_accsryclr!$A$2:$A$1000),"")</f>
        <v>0</v>
      </c>
      <c r="I765" s="16">
        <f>_xlfn.XLOOKUP(C765,'Project Details'!$C$17:$C$66,'Project Details'!$E$17:$E$66,"",0)</f>
        <v>0</v>
      </c>
      <c r="J765" s="16">
        <f>_xlfn.XLOOKUP(C765,'Project Details'!$C$17:$C$66,'Project Details'!$H$17:$H$66,"",0)</f>
        <v>0</v>
      </c>
      <c r="K765" s="16" t="str">
        <f>IF(AND(_xlfn.XLOOKUP(C765,'Project Details'!$C$17:$C$66,'Project Details'!$L$17:$L$66,"",0)&gt;550, F765="Spring-L27cm"),"",SUBSTITUTE(_xlfn.XLOOKUP(G765,SKUs!$C$2:$C$10001,SKUs!$F$2:$F$10001,"",0), " Accessories",""))</f>
        <v/>
      </c>
      <c r="L765" s="16">
        <f>_xlfn.XLOOKUP(C765,'Project Details'!$C$17:$C$66,'Project Details'!$D$17:$D$66,"",0)</f>
        <v>0</v>
      </c>
      <c r="M765" s="43"/>
    </row>
    <row r="766" spans="1:13" x14ac:dyDescent="0.25">
      <c r="A766" s="43"/>
      <c r="B766" s="43"/>
      <c r="C766" s="35">
        <f>C765</f>
        <v>16</v>
      </c>
      <c r="D766" s="35" t="str" cm="1">
        <f t="array" ref="D766">IFERROR(ROUNDUP(_xlfn.IFS(F766="Aluminum Track", _xlfn.XLOOKUP(C766, dd_accsrycalc!$A$2:$A$51, dd_accsrycalc!$B$2:$B$51, "",0), F766="10 x 2 1/2 S (Flat)", _xlfn.XLOOKUP(C766, dd_accsrycalc!$A$2:$A$51, dd_accsrycalc!$C$2:$C$51, "",0), F766="Tox6", _xlfn.XLOOKUP(C766, dd_accsrycalc!$A$2:$A$51, dd_accsrycalc!$D$2:$D$51, "",0), F766="Cover Cap", _xlfn.XLOOKUP(C766, dd_accsrycalc!$A$2:$A$51, dd_accsrycalc!$E$2:$E$51, "",0), F766="Drainage Cover", _xlfn.XLOOKUP(C766, dd_accsrycalc!$A$2:$A$51, dd_accsrycalc!$F$2:$F$51, "",0),AND( F766="Double Adhesive Tape", I766="Roll-up Screen"), _xlfn.XLOOKUP(C766, calc_rusacc!$C$15:$C$65, calc_rusacc!$AD$15:$AD$65, "",0),AND( F766="Sealant", I766="Roll-up Screen"), _xlfn.XLOOKUP(C766, calc_rusacc!$C$15:$C$65, calc_rusacc!$AF$15:$AF$65, "",0),  AND( F766="Main Chain", I766="Accordion Screen"), _xlfn.XLOOKUP(C766, calc_rusacc!$C$15:$C$65, calc_rusacc!$BF$15:$BF$65, "",0), AND( F766="Sealant", I766="Accordion Screen"), _xlfn.XLOOKUP(C766, calc_rusacc!$C$15:$C$65, calc_rusacc!$BJ$15:$BJ$65, "",0),  F766="Sealant", _xlfn.XLOOKUP(C766, dd_accsrycalc!$A$2:$A$51, dd_accsrycalc!$G$2:$G$51, "",0),  F766&lt;&gt;"",L766*_xlfn.XLOOKUP(1, (SKUs!$C$2:$C$10001=G766)*(SKUs!$K$2:$K$10001=I766),SKUs!$E$2:$E$10001)), 0),"")</f>
        <v/>
      </c>
      <c r="E766" s="35" t="str">
        <f>_xlfn.XLOOKUP(F766,dd_item!$B$2:$B$105,dd_item!$C$2:$C$105,"",0)</f>
        <v/>
      </c>
      <c r="F766" s="35"/>
      <c r="G766" s="35" cm="1">
        <f t="array" ref="G766">IFERROR(_xlfn.XLOOKUP(1, (SKUs!$J$2:$J$10001=accsry_unmerged!F766)*IF(H766&lt;&gt;"",(SKUs!$L$2:$L$10001=accsry_unmerged!H766),1)*(SKUs!$K$2:$K$10001=I766),SKUs!$C$2:$C$10001),"")</f>
        <v>0</v>
      </c>
      <c r="H766" s="36" cm="1">
        <f t="array" ref="H766">IFERROR(_xlfn.XLOOKUP(1, (dd_accsryclr!$C$2:$C$1000=accsry_unmerged!F766)*(dd_accsryclr!$B$2:$B$1000=accsry_unmerged!J766),dd_accsryclr!$A$2:$A$1000),"")</f>
        <v>0</v>
      </c>
      <c r="I766" s="35">
        <f>_xlfn.XLOOKUP(C766,'Project Details'!$C$17:$C$66,'Project Details'!$E$17:$E$66,"",0)</f>
        <v>0</v>
      </c>
      <c r="J766" s="35">
        <f>_xlfn.XLOOKUP(C766,'Project Details'!$C$17:$C$66,'Project Details'!$H$17:$H$66,"",0)</f>
        <v>0</v>
      </c>
      <c r="K766" s="36" t="str">
        <f>IF(AND(_xlfn.XLOOKUP(C766,'Project Details'!$C$17:$C$66,'Project Details'!$L$17:$L$66,"",0)&gt;550, F766="Spring-L27cm"),"",SUBSTITUTE(_xlfn.XLOOKUP(G766,SKUs!$C$2:$C$10001,SKUs!$F$2:$F$10001,"",0), " Accessories",""))</f>
        <v/>
      </c>
      <c r="L766" s="36">
        <f>_xlfn.XLOOKUP(C766,'Project Details'!$C$17:$C$66,'Project Details'!$D$17:$D$66,"",0)</f>
        <v>0</v>
      </c>
      <c r="M766" s="43"/>
    </row>
    <row r="767" spans="1:13" x14ac:dyDescent="0.25">
      <c r="A767" s="43"/>
      <c r="B767" s="43"/>
      <c r="C767" s="16">
        <f t="shared" ref="C767:C813" si="14">C766</f>
        <v>16</v>
      </c>
      <c r="D767" s="16" t="str" cm="1">
        <f t="array" ref="D767">IFERROR(ROUNDUP(_xlfn.IFS(F767="Aluminum Track", _xlfn.XLOOKUP(C767, dd_accsrycalc!$A$2:$A$51, dd_accsrycalc!$B$2:$B$51, "",0), F767="10 x 2 1/2 S (Flat)", _xlfn.XLOOKUP(C767, dd_accsrycalc!$A$2:$A$51, dd_accsrycalc!$C$2:$C$51, "",0), F767="Tox6", _xlfn.XLOOKUP(C767, dd_accsrycalc!$A$2:$A$51, dd_accsrycalc!$D$2:$D$51, "",0), F767="Cover Cap", _xlfn.XLOOKUP(C767, dd_accsrycalc!$A$2:$A$51, dd_accsrycalc!$E$2:$E$51, "",0), F767="Drainage Cover", _xlfn.XLOOKUP(C767, dd_accsrycalc!$A$2:$A$51, dd_accsrycalc!$F$2:$F$51, "",0),AND( F767="Double Adhesive Tape", I767="Roll-up Screen"), _xlfn.XLOOKUP(C767, calc_rusacc!$C$15:$C$65, calc_rusacc!$AD$15:$AD$65, "",0),AND( F767="Sealant", I767="Roll-up Screen"), _xlfn.XLOOKUP(C767, calc_rusacc!$C$15:$C$65, calc_rusacc!$AF$15:$AF$65, "",0),  AND( F767="Main Chain", I767="Accordion Screen"), _xlfn.XLOOKUP(C767, calc_rusacc!$C$15:$C$65, calc_rusacc!$BF$15:$BF$65, "",0), AND( F767="Sealant", I767="Accordion Screen"), _xlfn.XLOOKUP(C767, calc_rusacc!$C$15:$C$65, calc_rusacc!$BJ$15:$BJ$65, "",0),  F767="Sealant", _xlfn.XLOOKUP(C767, dd_accsrycalc!$A$2:$A$51, dd_accsrycalc!$G$2:$G$51, "",0),  F767&lt;&gt;"",L767*_xlfn.XLOOKUP(1, (SKUs!$C$2:$C$10001=G767)*(SKUs!$K$2:$K$10001=I767),SKUs!$E$2:$E$10001)), 0),"")</f>
        <v/>
      </c>
      <c r="E767" s="16" t="str">
        <f>_xlfn.XLOOKUP(F767,dd_item!$B$2:$B$105,dd_item!$C$2:$C$105,"",0)</f>
        <v/>
      </c>
      <c r="F767" s="16"/>
      <c r="G767" s="16" cm="1">
        <f t="array" ref="G767">IFERROR(_xlfn.XLOOKUP(1, (SKUs!$J$2:$J$10001=accsry_unmerged!F767)*IF(H767&lt;&gt;"",(SKUs!$L$2:$L$10001=accsry_unmerged!H767),1)*(SKUs!$K$2:$K$10001=I767),SKUs!$C$2:$C$10001),"")</f>
        <v>0</v>
      </c>
      <c r="H767" s="33" cm="1">
        <f t="array" ref="H767">IFERROR(_xlfn.XLOOKUP(1, (dd_accsryclr!$C$2:$C$1000=accsry_unmerged!F767)*(dd_accsryclr!$B$2:$B$1000=accsry_unmerged!J767),dd_accsryclr!$A$2:$A$1000),"")</f>
        <v>0</v>
      </c>
      <c r="I767" s="16">
        <f>_xlfn.XLOOKUP(C767,'Project Details'!$C$17:$C$66,'Project Details'!$E$17:$E$66,"",0)</f>
        <v>0</v>
      </c>
      <c r="J767" s="16">
        <f>_xlfn.XLOOKUP(C767,'Project Details'!$C$17:$C$66,'Project Details'!$H$17:$H$66,"",0)</f>
        <v>0</v>
      </c>
      <c r="K767" s="33" t="str">
        <f>IF(AND(_xlfn.XLOOKUP(C767,'Project Details'!$C$17:$C$66,'Project Details'!$L$17:$L$66,"",0)&gt;550, F767="Spring-L27cm"),"",SUBSTITUTE(_xlfn.XLOOKUP(G767,SKUs!$C$2:$C$10001,SKUs!$F$2:$F$10001,"",0), " Accessories",""))</f>
        <v/>
      </c>
      <c r="L767" s="33">
        <f>_xlfn.XLOOKUP(C767,'Project Details'!$C$17:$C$66,'Project Details'!$D$17:$D$66,"",0)</f>
        <v>0</v>
      </c>
      <c r="M767" s="43"/>
    </row>
    <row r="768" spans="1:13" x14ac:dyDescent="0.25">
      <c r="A768" s="43"/>
      <c r="B768" s="43"/>
      <c r="C768" s="35">
        <f t="shared" si="14"/>
        <v>16</v>
      </c>
      <c r="D768" s="35" t="str" cm="1">
        <f t="array" ref="D768">IFERROR(ROUNDUP(_xlfn.IFS(F768="Aluminum Track", _xlfn.XLOOKUP(C768, dd_accsrycalc!$A$2:$A$51, dd_accsrycalc!$B$2:$B$51, "",0), F768="10 x 2 1/2 S (Flat)", _xlfn.XLOOKUP(C768, dd_accsrycalc!$A$2:$A$51, dd_accsrycalc!$C$2:$C$51, "",0), F768="Tox6", _xlfn.XLOOKUP(C768, dd_accsrycalc!$A$2:$A$51, dd_accsrycalc!$D$2:$D$51, "",0), F768="Cover Cap", _xlfn.XLOOKUP(C768, dd_accsrycalc!$A$2:$A$51, dd_accsrycalc!$E$2:$E$51, "",0), F768="Drainage Cover", _xlfn.XLOOKUP(C768, dd_accsrycalc!$A$2:$A$51, dd_accsrycalc!$F$2:$F$51, "",0),AND( F768="Double Adhesive Tape", I768="Roll-up Screen"), _xlfn.XLOOKUP(C768, calc_rusacc!$C$15:$C$65, calc_rusacc!$AD$15:$AD$65, "",0),AND( F768="Sealant", I768="Roll-up Screen"), _xlfn.XLOOKUP(C768, calc_rusacc!$C$15:$C$65, calc_rusacc!$AF$15:$AF$65, "",0),  AND( F768="Main Chain", I768="Accordion Screen"), _xlfn.XLOOKUP(C768, calc_rusacc!$C$15:$C$65, calc_rusacc!$BF$15:$BF$65, "",0), AND( F768="Sealant", I768="Accordion Screen"), _xlfn.XLOOKUP(C768, calc_rusacc!$C$15:$C$65, calc_rusacc!$BJ$15:$BJ$65, "",0),  F768="Sealant", _xlfn.XLOOKUP(C768, dd_accsrycalc!$A$2:$A$51, dd_accsrycalc!$G$2:$G$51, "",0),  F768&lt;&gt;"",L768*_xlfn.XLOOKUP(1, (SKUs!$C$2:$C$10001=G768)*(SKUs!$K$2:$K$10001=I768),SKUs!$E$2:$E$10001)), 0),"")</f>
        <v/>
      </c>
      <c r="E768" s="35" t="str">
        <f>_xlfn.XLOOKUP(F768,dd_item!$B$2:$B$105,dd_item!$C$2:$C$105,"",0)</f>
        <v/>
      </c>
      <c r="F768" s="35"/>
      <c r="G768" s="35" cm="1">
        <f t="array" ref="G768">IFERROR(_xlfn.XLOOKUP(1, (SKUs!$J$2:$J$10001=accsry_unmerged!F768)*IF(H768&lt;&gt;"",(SKUs!$L$2:$L$10001=accsry_unmerged!H768),1)*(SKUs!$K$2:$K$10001=I768),SKUs!$C$2:$C$10001),"")</f>
        <v>0</v>
      </c>
      <c r="H768" s="36" cm="1">
        <f t="array" ref="H768">IFERROR(_xlfn.XLOOKUP(1, (dd_accsryclr!$C$2:$C$1000=accsry_unmerged!F768)*(dd_accsryclr!$B$2:$B$1000=accsry_unmerged!J768),dd_accsryclr!$A$2:$A$1000),"")</f>
        <v>0</v>
      </c>
      <c r="I768" s="35">
        <f>_xlfn.XLOOKUP(C768,'Project Details'!$C$17:$C$66,'Project Details'!$E$17:$E$66,"",0)</f>
        <v>0</v>
      </c>
      <c r="J768" s="35">
        <f>_xlfn.XLOOKUP(C768,'Project Details'!$C$17:$C$66,'Project Details'!$H$17:$H$66,"",0)</f>
        <v>0</v>
      </c>
      <c r="K768" s="36" t="str">
        <f>IF(AND(_xlfn.XLOOKUP(C768,'Project Details'!$C$17:$C$66,'Project Details'!$L$17:$L$66,"",0)&gt;550, F768="Spring-L27cm"),"",SUBSTITUTE(_xlfn.XLOOKUP(G768,SKUs!$C$2:$C$10001,SKUs!$F$2:$F$10001,"",0), " Accessories",""))</f>
        <v/>
      </c>
      <c r="L768" s="36">
        <f>_xlfn.XLOOKUP(C768,'Project Details'!$C$17:$C$66,'Project Details'!$D$17:$D$66,"",0)</f>
        <v>0</v>
      </c>
      <c r="M768" s="43"/>
    </row>
    <row r="769" spans="1:13" x14ac:dyDescent="0.25">
      <c r="A769" s="43"/>
      <c r="B769" s="43"/>
      <c r="C769" s="16">
        <f t="shared" si="14"/>
        <v>16</v>
      </c>
      <c r="D769" s="16" t="str" cm="1">
        <f t="array" ref="D769">IFERROR(ROUNDUP(_xlfn.IFS(F769="Aluminum Track", _xlfn.XLOOKUP(C769, dd_accsrycalc!$A$2:$A$51, dd_accsrycalc!$B$2:$B$51, "",0), F769="10 x 2 1/2 S (Flat)", _xlfn.XLOOKUP(C769, dd_accsrycalc!$A$2:$A$51, dd_accsrycalc!$C$2:$C$51, "",0), F769="Tox6", _xlfn.XLOOKUP(C769, dd_accsrycalc!$A$2:$A$51, dd_accsrycalc!$D$2:$D$51, "",0), F769="Cover Cap", _xlfn.XLOOKUP(C769, dd_accsrycalc!$A$2:$A$51, dd_accsrycalc!$E$2:$E$51, "",0), F769="Drainage Cover", _xlfn.XLOOKUP(C769, dd_accsrycalc!$A$2:$A$51, dd_accsrycalc!$F$2:$F$51, "",0),AND( F769="Double Adhesive Tape", I769="Roll-up Screen"), _xlfn.XLOOKUP(C769, calc_rusacc!$C$15:$C$65, calc_rusacc!$AD$15:$AD$65, "",0),AND( F769="Sealant", I769="Roll-up Screen"), _xlfn.XLOOKUP(C769, calc_rusacc!$C$15:$C$65, calc_rusacc!$AF$15:$AF$65, "",0),  AND( F769="Main Chain", I769="Accordion Screen"), _xlfn.XLOOKUP(C769, calc_rusacc!$C$15:$C$65, calc_rusacc!$BF$15:$BF$65, "",0), AND( F769="Sealant", I769="Accordion Screen"), _xlfn.XLOOKUP(C769, calc_rusacc!$C$15:$C$65, calc_rusacc!$BJ$15:$BJ$65, "",0),  F769="Sealant", _xlfn.XLOOKUP(C769, dd_accsrycalc!$A$2:$A$51, dd_accsrycalc!$G$2:$G$51, "",0),  F769&lt;&gt;"",L769*_xlfn.XLOOKUP(1, (SKUs!$C$2:$C$10001=G769)*(SKUs!$K$2:$K$10001=I769),SKUs!$E$2:$E$10001)), 0),"")</f>
        <v/>
      </c>
      <c r="E769" s="16" t="str">
        <f>_xlfn.XLOOKUP(F769,dd_item!$B$2:$B$105,dd_item!$C$2:$C$105,"",0)</f>
        <v/>
      </c>
      <c r="F769" s="16"/>
      <c r="G769" s="16" cm="1">
        <f t="array" ref="G769">IFERROR(_xlfn.XLOOKUP(1, (SKUs!$J$2:$J$10001=accsry_unmerged!F769)*IF(H769&lt;&gt;"",(SKUs!$L$2:$L$10001=accsry_unmerged!H769),1)*(SKUs!$K$2:$K$10001=I769),SKUs!$C$2:$C$10001),"")</f>
        <v>0</v>
      </c>
      <c r="H769" s="33" cm="1">
        <f t="array" ref="H769">IFERROR(_xlfn.XLOOKUP(1, (dd_accsryclr!$C$2:$C$1000=accsry_unmerged!F769)*(dd_accsryclr!$B$2:$B$1000=accsry_unmerged!J769),dd_accsryclr!$A$2:$A$1000),"")</f>
        <v>0</v>
      </c>
      <c r="I769" s="16">
        <f>_xlfn.XLOOKUP(C769,'Project Details'!$C$17:$C$66,'Project Details'!$E$17:$E$66,"",0)</f>
        <v>0</v>
      </c>
      <c r="J769" s="16">
        <f>_xlfn.XLOOKUP(C769,'Project Details'!$C$17:$C$66,'Project Details'!$H$17:$H$66,"",0)</f>
        <v>0</v>
      </c>
      <c r="K769" s="33" t="str">
        <f>IF(AND(_xlfn.XLOOKUP(C769,'Project Details'!$C$17:$C$66,'Project Details'!$L$17:$L$66,"",0)&gt;550, F769="Spring-L27cm"),"",SUBSTITUTE(_xlfn.XLOOKUP(G769,SKUs!$C$2:$C$10001,SKUs!$F$2:$F$10001,"",0), " Accessories",""))</f>
        <v/>
      </c>
      <c r="L769" s="33">
        <f>_xlfn.XLOOKUP(C769,'Project Details'!$C$17:$C$66,'Project Details'!$D$17:$D$66,"",0)</f>
        <v>0</v>
      </c>
      <c r="M769" s="43"/>
    </row>
    <row r="770" spans="1:13" x14ac:dyDescent="0.25">
      <c r="A770" s="43"/>
      <c r="B770" s="43"/>
      <c r="C770" s="35">
        <f t="shared" si="14"/>
        <v>16</v>
      </c>
      <c r="D770" s="35" t="str" cm="1">
        <f t="array" ref="D770">IFERROR(ROUNDUP(_xlfn.IFS(F770="Aluminum Track", _xlfn.XLOOKUP(C770, dd_accsrycalc!$A$2:$A$51, dd_accsrycalc!$B$2:$B$51, "",0), F770="10 x 2 1/2 S (Flat)", _xlfn.XLOOKUP(C770, dd_accsrycalc!$A$2:$A$51, dd_accsrycalc!$C$2:$C$51, "",0), F770="Tox6", _xlfn.XLOOKUP(C770, dd_accsrycalc!$A$2:$A$51, dd_accsrycalc!$D$2:$D$51, "",0), F770="Cover Cap", _xlfn.XLOOKUP(C770, dd_accsrycalc!$A$2:$A$51, dd_accsrycalc!$E$2:$E$51, "",0), F770="Drainage Cover", _xlfn.XLOOKUP(C770, dd_accsrycalc!$A$2:$A$51, dd_accsrycalc!$F$2:$F$51, "",0),AND( F770="Double Adhesive Tape", I770="Roll-up Screen"), _xlfn.XLOOKUP(C770, calc_rusacc!$C$15:$C$65, calc_rusacc!$AD$15:$AD$65, "",0),AND( F770="Sealant", I770="Roll-up Screen"), _xlfn.XLOOKUP(C770, calc_rusacc!$C$15:$C$65, calc_rusacc!$AF$15:$AF$65, "",0),  AND( F770="Main Chain", I770="Accordion Screen"), _xlfn.XLOOKUP(C770, calc_rusacc!$C$15:$C$65, calc_rusacc!$BF$15:$BF$65, "",0), AND( F770="Sealant", I770="Accordion Screen"), _xlfn.XLOOKUP(C770, calc_rusacc!$C$15:$C$65, calc_rusacc!$BJ$15:$BJ$65, "",0),  F770="Sealant", _xlfn.XLOOKUP(C770, dd_accsrycalc!$A$2:$A$51, dd_accsrycalc!$G$2:$G$51, "",0),  F770&lt;&gt;"",L770*_xlfn.XLOOKUP(1, (SKUs!$C$2:$C$10001=G770)*(SKUs!$K$2:$K$10001=I770),SKUs!$E$2:$E$10001)), 0),"")</f>
        <v/>
      </c>
      <c r="E770" s="35" t="str">
        <f>_xlfn.XLOOKUP(F770,dd_item!$B$2:$B$105,dd_item!$C$2:$C$105,"",0)</f>
        <v/>
      </c>
      <c r="F770" s="35"/>
      <c r="G770" s="35" cm="1">
        <f t="array" ref="G770">IFERROR(_xlfn.XLOOKUP(1, (SKUs!$J$2:$J$10001=accsry_unmerged!F770)*IF(H770&lt;&gt;"",(SKUs!$L$2:$L$10001=accsry_unmerged!H770),1)*(SKUs!$K$2:$K$10001=I770),SKUs!$C$2:$C$10001),"")</f>
        <v>0</v>
      </c>
      <c r="H770" s="36" cm="1">
        <f t="array" ref="H770">IFERROR(_xlfn.XLOOKUP(1, (dd_accsryclr!$C$2:$C$1000=accsry_unmerged!F770)*(dd_accsryclr!$B$2:$B$1000=accsry_unmerged!J770),dd_accsryclr!$A$2:$A$1000),"")</f>
        <v>0</v>
      </c>
      <c r="I770" s="35">
        <f>_xlfn.XLOOKUP(C770,'Project Details'!$C$17:$C$66,'Project Details'!$E$17:$E$66,"",0)</f>
        <v>0</v>
      </c>
      <c r="J770" s="35">
        <f>_xlfn.XLOOKUP(C770,'Project Details'!$C$17:$C$66,'Project Details'!$H$17:$H$66,"",0)</f>
        <v>0</v>
      </c>
      <c r="K770" s="36" t="str">
        <f>IF(AND(_xlfn.XLOOKUP(C770,'Project Details'!$C$17:$C$66,'Project Details'!$L$17:$L$66,"",0)&gt;550, F770="Spring-L27cm"),"",SUBSTITUTE(_xlfn.XLOOKUP(G770,SKUs!$C$2:$C$10001,SKUs!$F$2:$F$10001,"",0), " Accessories",""))</f>
        <v/>
      </c>
      <c r="L770" s="36">
        <f>_xlfn.XLOOKUP(C770,'Project Details'!$C$17:$C$66,'Project Details'!$D$17:$D$66,"",0)</f>
        <v>0</v>
      </c>
      <c r="M770" s="43"/>
    </row>
    <row r="771" spans="1:13" x14ac:dyDescent="0.25">
      <c r="A771" s="43"/>
      <c r="B771" s="43"/>
      <c r="C771" s="16">
        <f t="shared" si="14"/>
        <v>16</v>
      </c>
      <c r="D771" s="16" t="str" cm="1">
        <f t="array" ref="D771">IFERROR(ROUNDUP(_xlfn.IFS(F771="Aluminum Track", _xlfn.XLOOKUP(C771, dd_accsrycalc!$A$2:$A$51, dd_accsrycalc!$B$2:$B$51, "",0), F771="10 x 2 1/2 S (Flat)", _xlfn.XLOOKUP(C771, dd_accsrycalc!$A$2:$A$51, dd_accsrycalc!$C$2:$C$51, "",0), F771="Tox6", _xlfn.XLOOKUP(C771, dd_accsrycalc!$A$2:$A$51, dd_accsrycalc!$D$2:$D$51, "",0), F771="Cover Cap", _xlfn.XLOOKUP(C771, dd_accsrycalc!$A$2:$A$51, dd_accsrycalc!$E$2:$E$51, "",0), F771="Drainage Cover", _xlfn.XLOOKUP(C771, dd_accsrycalc!$A$2:$A$51, dd_accsrycalc!$F$2:$F$51, "",0),AND( F771="Double Adhesive Tape", I771="Roll-up Screen"), _xlfn.XLOOKUP(C771, calc_rusacc!$C$15:$C$65, calc_rusacc!$AD$15:$AD$65, "",0),AND( F771="Sealant", I771="Roll-up Screen"), _xlfn.XLOOKUP(C771, calc_rusacc!$C$15:$C$65, calc_rusacc!$AF$15:$AF$65, "",0),  AND( F771="Main Chain", I771="Accordion Screen"), _xlfn.XLOOKUP(C771, calc_rusacc!$C$15:$C$65, calc_rusacc!$BF$15:$BF$65, "",0), AND( F771="Sealant", I771="Accordion Screen"), _xlfn.XLOOKUP(C771, calc_rusacc!$C$15:$C$65, calc_rusacc!$BJ$15:$BJ$65, "",0),  F771="Sealant", _xlfn.XLOOKUP(C771, dd_accsrycalc!$A$2:$A$51, dd_accsrycalc!$G$2:$G$51, "",0),  F771&lt;&gt;"",L771*_xlfn.XLOOKUP(1, (SKUs!$C$2:$C$10001=G771)*(SKUs!$K$2:$K$10001=I771),SKUs!$E$2:$E$10001)), 0),"")</f>
        <v/>
      </c>
      <c r="E771" s="16" t="str">
        <f>_xlfn.XLOOKUP(F771,dd_item!$B$2:$B$105,dd_item!$C$2:$C$105,"",0)</f>
        <v/>
      </c>
      <c r="F771" s="16"/>
      <c r="G771" s="16" cm="1">
        <f t="array" ref="G771">IFERROR(_xlfn.XLOOKUP(1, (SKUs!$J$2:$J$10001=accsry_unmerged!F771)*IF(H771&lt;&gt;"",(SKUs!$L$2:$L$10001=accsry_unmerged!H771),1)*(SKUs!$K$2:$K$10001=I771),SKUs!$C$2:$C$10001),"")</f>
        <v>0</v>
      </c>
      <c r="H771" s="33" cm="1">
        <f t="array" ref="H771">IFERROR(_xlfn.XLOOKUP(1, (dd_accsryclr!$C$2:$C$1000=accsry_unmerged!F771)*(dd_accsryclr!$B$2:$B$1000=accsry_unmerged!J771),dd_accsryclr!$A$2:$A$1000),"")</f>
        <v>0</v>
      </c>
      <c r="I771" s="16">
        <f>_xlfn.XLOOKUP(C771,'Project Details'!$C$17:$C$66,'Project Details'!$E$17:$E$66,"",0)</f>
        <v>0</v>
      </c>
      <c r="J771" s="16">
        <f>_xlfn.XLOOKUP(C771,'Project Details'!$C$17:$C$66,'Project Details'!$H$17:$H$66,"",0)</f>
        <v>0</v>
      </c>
      <c r="K771" s="33" t="str">
        <f>IF(AND(_xlfn.XLOOKUP(C771,'Project Details'!$C$17:$C$66,'Project Details'!$L$17:$L$66,"",0)&gt;550, F771="Spring-L27cm"),"",SUBSTITUTE(_xlfn.XLOOKUP(G771,SKUs!$C$2:$C$10001,SKUs!$F$2:$F$10001,"",0), " Accessories",""))</f>
        <v/>
      </c>
      <c r="L771" s="33">
        <f>_xlfn.XLOOKUP(C771,'Project Details'!$C$17:$C$66,'Project Details'!$D$17:$D$66,"",0)</f>
        <v>0</v>
      </c>
      <c r="M771" s="43"/>
    </row>
    <row r="772" spans="1:13" x14ac:dyDescent="0.25">
      <c r="A772" s="43"/>
      <c r="B772" s="43"/>
      <c r="C772" s="35">
        <f t="shared" si="14"/>
        <v>16</v>
      </c>
      <c r="D772" s="35" t="str" cm="1">
        <f t="array" ref="D772">IFERROR(ROUNDUP(_xlfn.IFS(F772="Aluminum Track", _xlfn.XLOOKUP(C772, dd_accsrycalc!$A$2:$A$51, dd_accsrycalc!$B$2:$B$51, "",0), F772="10 x 2 1/2 S (Flat)", _xlfn.XLOOKUP(C772, dd_accsrycalc!$A$2:$A$51, dd_accsrycalc!$C$2:$C$51, "",0), F772="Tox6", _xlfn.XLOOKUP(C772, dd_accsrycalc!$A$2:$A$51, dd_accsrycalc!$D$2:$D$51, "",0), F772="Cover Cap", _xlfn.XLOOKUP(C772, dd_accsrycalc!$A$2:$A$51, dd_accsrycalc!$E$2:$E$51, "",0), F772="Drainage Cover", _xlfn.XLOOKUP(C772, dd_accsrycalc!$A$2:$A$51, dd_accsrycalc!$F$2:$F$51, "",0),AND( F772="Double Adhesive Tape", I772="Roll-up Screen"), _xlfn.XLOOKUP(C772, calc_rusacc!$C$15:$C$65, calc_rusacc!$AD$15:$AD$65, "",0),AND( F772="Sealant", I772="Roll-up Screen"), _xlfn.XLOOKUP(C772, calc_rusacc!$C$15:$C$65, calc_rusacc!$AF$15:$AF$65, "",0),  AND( F772="Main Chain", I772="Accordion Screen"), _xlfn.XLOOKUP(C772, calc_rusacc!$C$15:$C$65, calc_rusacc!$BF$15:$BF$65, "",0), AND( F772="Sealant", I772="Accordion Screen"), _xlfn.XLOOKUP(C772, calc_rusacc!$C$15:$C$65, calc_rusacc!$BJ$15:$BJ$65, "",0),  F772="Sealant", _xlfn.XLOOKUP(C772, dd_accsrycalc!$A$2:$A$51, dd_accsrycalc!$G$2:$G$51, "",0),  F772&lt;&gt;"",L772*_xlfn.XLOOKUP(1, (SKUs!$C$2:$C$10001=G772)*(SKUs!$K$2:$K$10001=I772),SKUs!$E$2:$E$10001)), 0),"")</f>
        <v/>
      </c>
      <c r="E772" s="35" t="str">
        <f>_xlfn.XLOOKUP(F772,dd_item!$B$2:$B$105,dd_item!$C$2:$C$105,"",0)</f>
        <v/>
      </c>
      <c r="F772" s="35"/>
      <c r="G772" s="35" cm="1">
        <f t="array" ref="G772">IFERROR(_xlfn.XLOOKUP(1, (SKUs!$J$2:$J$10001=accsry_unmerged!F772)*IF(H772&lt;&gt;"",(SKUs!$L$2:$L$10001=accsry_unmerged!H772),1)*(SKUs!$K$2:$K$10001=I772),SKUs!$C$2:$C$10001),"")</f>
        <v>0</v>
      </c>
      <c r="H772" s="36" cm="1">
        <f t="array" ref="H772">IFERROR(_xlfn.XLOOKUP(1, (dd_accsryclr!$C$2:$C$1000=accsry_unmerged!F772)*(dd_accsryclr!$B$2:$B$1000=accsry_unmerged!J772),dd_accsryclr!$A$2:$A$1000),"")</f>
        <v>0</v>
      </c>
      <c r="I772" s="35">
        <f>_xlfn.XLOOKUP(C772,'Project Details'!$C$17:$C$66,'Project Details'!$E$17:$E$66,"",0)</f>
        <v>0</v>
      </c>
      <c r="J772" s="35">
        <f>_xlfn.XLOOKUP(C772,'Project Details'!$C$17:$C$66,'Project Details'!$H$17:$H$66,"",0)</f>
        <v>0</v>
      </c>
      <c r="K772" s="36" t="str">
        <f>IF(AND(_xlfn.XLOOKUP(C772,'Project Details'!$C$17:$C$66,'Project Details'!$L$17:$L$66,"",0)&gt;550, F772="Spring-L27cm"),"",SUBSTITUTE(_xlfn.XLOOKUP(G772,SKUs!$C$2:$C$10001,SKUs!$F$2:$F$10001,"",0), " Accessories",""))</f>
        <v/>
      </c>
      <c r="L772" s="36">
        <f>_xlfn.XLOOKUP(C772,'Project Details'!$C$17:$C$66,'Project Details'!$D$17:$D$66,"",0)</f>
        <v>0</v>
      </c>
      <c r="M772" s="43"/>
    </row>
    <row r="773" spans="1:13" x14ac:dyDescent="0.25">
      <c r="A773" s="43"/>
      <c r="B773" s="43"/>
      <c r="C773" s="16">
        <f t="shared" si="14"/>
        <v>16</v>
      </c>
      <c r="D773" s="16" t="str" cm="1">
        <f t="array" ref="D773">IFERROR(ROUNDUP(_xlfn.IFS(F773="Aluminum Track", _xlfn.XLOOKUP(C773, dd_accsrycalc!$A$2:$A$51, dd_accsrycalc!$B$2:$B$51, "",0), F773="10 x 2 1/2 S (Flat)", _xlfn.XLOOKUP(C773, dd_accsrycalc!$A$2:$A$51, dd_accsrycalc!$C$2:$C$51, "",0), F773="Tox6", _xlfn.XLOOKUP(C773, dd_accsrycalc!$A$2:$A$51, dd_accsrycalc!$D$2:$D$51, "",0), F773="Cover Cap", _xlfn.XLOOKUP(C773, dd_accsrycalc!$A$2:$A$51, dd_accsrycalc!$E$2:$E$51, "",0), F773="Drainage Cover", _xlfn.XLOOKUP(C773, dd_accsrycalc!$A$2:$A$51, dd_accsrycalc!$F$2:$F$51, "",0),AND( F773="Double Adhesive Tape", I773="Roll-up Screen"), _xlfn.XLOOKUP(C773, calc_rusacc!$C$15:$C$65, calc_rusacc!$AD$15:$AD$65, "",0),AND( F773="Sealant", I773="Roll-up Screen"), _xlfn.XLOOKUP(C773, calc_rusacc!$C$15:$C$65, calc_rusacc!$AF$15:$AF$65, "",0),  AND( F773="Main Chain", I773="Accordion Screen"), _xlfn.XLOOKUP(C773, calc_rusacc!$C$15:$C$65, calc_rusacc!$BF$15:$BF$65, "",0), AND( F773="Sealant", I773="Accordion Screen"), _xlfn.XLOOKUP(C773, calc_rusacc!$C$15:$C$65, calc_rusacc!$BJ$15:$BJ$65, "",0),  F773="Sealant", _xlfn.XLOOKUP(C773, dd_accsrycalc!$A$2:$A$51, dd_accsrycalc!$G$2:$G$51, "",0),  F773&lt;&gt;"",L773*_xlfn.XLOOKUP(1, (SKUs!$C$2:$C$10001=G773)*(SKUs!$K$2:$K$10001=I773),SKUs!$E$2:$E$10001)), 0),"")</f>
        <v/>
      </c>
      <c r="E773" s="16" t="str">
        <f>_xlfn.XLOOKUP(F773,dd_item!$B$2:$B$105,dd_item!$C$2:$C$105,"",0)</f>
        <v/>
      </c>
      <c r="F773" s="16"/>
      <c r="G773" s="16" cm="1">
        <f t="array" ref="G773">IFERROR(_xlfn.XLOOKUP(1, (SKUs!$J$2:$J$10001=accsry_unmerged!F773)*IF(H773&lt;&gt;"",(SKUs!$L$2:$L$10001=accsry_unmerged!H773),1)*(SKUs!$K$2:$K$10001=I773),SKUs!$C$2:$C$10001),"")</f>
        <v>0</v>
      </c>
      <c r="H773" s="33" cm="1">
        <f t="array" ref="H773">IFERROR(_xlfn.XLOOKUP(1, (dd_accsryclr!$C$2:$C$1000=accsry_unmerged!F773)*(dd_accsryclr!$B$2:$B$1000=accsry_unmerged!J773),dd_accsryclr!$A$2:$A$1000),"")</f>
        <v>0</v>
      </c>
      <c r="I773" s="16">
        <f>_xlfn.XLOOKUP(C773,'Project Details'!$C$17:$C$66,'Project Details'!$E$17:$E$66,"",0)</f>
        <v>0</v>
      </c>
      <c r="J773" s="16">
        <f>_xlfn.XLOOKUP(C773,'Project Details'!$C$17:$C$66,'Project Details'!$H$17:$H$66,"",0)</f>
        <v>0</v>
      </c>
      <c r="K773" s="33" t="str">
        <f>IF(AND(_xlfn.XLOOKUP(C773,'Project Details'!$C$17:$C$66,'Project Details'!$L$17:$L$66,"",0)&gt;550, F773="Spring-L27cm"),"",SUBSTITUTE(_xlfn.XLOOKUP(G773,SKUs!$C$2:$C$10001,SKUs!$F$2:$F$10001,"",0), " Accessories",""))</f>
        <v/>
      </c>
      <c r="L773" s="33">
        <f>_xlfn.XLOOKUP(C773,'Project Details'!$C$17:$C$66,'Project Details'!$D$17:$D$66,"",0)</f>
        <v>0</v>
      </c>
      <c r="M773" s="43"/>
    </row>
    <row r="774" spans="1:13" x14ac:dyDescent="0.25">
      <c r="A774" s="43"/>
      <c r="B774" s="43"/>
      <c r="C774" s="35">
        <f t="shared" si="14"/>
        <v>16</v>
      </c>
      <c r="D774" s="35" t="str" cm="1">
        <f t="array" ref="D774">IFERROR(ROUNDUP(_xlfn.IFS(F774="Aluminum Track", _xlfn.XLOOKUP(C774, dd_accsrycalc!$A$2:$A$51, dd_accsrycalc!$B$2:$B$51, "",0), F774="10 x 2 1/2 S (Flat)", _xlfn.XLOOKUP(C774, dd_accsrycalc!$A$2:$A$51, dd_accsrycalc!$C$2:$C$51, "",0), F774="Tox6", _xlfn.XLOOKUP(C774, dd_accsrycalc!$A$2:$A$51, dd_accsrycalc!$D$2:$D$51, "",0), F774="Cover Cap", _xlfn.XLOOKUP(C774, dd_accsrycalc!$A$2:$A$51, dd_accsrycalc!$E$2:$E$51, "",0), F774="Drainage Cover", _xlfn.XLOOKUP(C774, dd_accsrycalc!$A$2:$A$51, dd_accsrycalc!$F$2:$F$51, "",0),AND( F774="Double Adhesive Tape", I774="Roll-up Screen"), _xlfn.XLOOKUP(C774, calc_rusacc!$C$15:$C$65, calc_rusacc!$AD$15:$AD$65, "",0),AND( F774="Sealant", I774="Roll-up Screen"), _xlfn.XLOOKUP(C774, calc_rusacc!$C$15:$C$65, calc_rusacc!$AF$15:$AF$65, "",0),  AND( F774="Main Chain", I774="Accordion Screen"), _xlfn.XLOOKUP(C774, calc_rusacc!$C$15:$C$65, calc_rusacc!$BF$15:$BF$65, "",0), AND( F774="Sealant", I774="Accordion Screen"), _xlfn.XLOOKUP(C774, calc_rusacc!$C$15:$C$65, calc_rusacc!$BJ$15:$BJ$65, "",0),  F774="Sealant", _xlfn.XLOOKUP(C774, dd_accsrycalc!$A$2:$A$51, dd_accsrycalc!$G$2:$G$51, "",0),  F774&lt;&gt;"",L774*_xlfn.XLOOKUP(1, (SKUs!$C$2:$C$10001=G774)*(SKUs!$K$2:$K$10001=I774),SKUs!$E$2:$E$10001)), 0),"")</f>
        <v/>
      </c>
      <c r="E774" s="35" t="str">
        <f>_xlfn.XLOOKUP(F774,dd_item!$B$2:$B$105,dd_item!$C$2:$C$105,"",0)</f>
        <v/>
      </c>
      <c r="F774" s="35"/>
      <c r="G774" s="35" cm="1">
        <f t="array" ref="G774">IFERROR(_xlfn.XLOOKUP(1, (SKUs!$J$2:$J$10001=accsry_unmerged!F774)*IF(H774&lt;&gt;"",(SKUs!$L$2:$L$10001=accsry_unmerged!H774),1)*(SKUs!$K$2:$K$10001=I774),SKUs!$C$2:$C$10001),"")</f>
        <v>0</v>
      </c>
      <c r="H774" s="36" cm="1">
        <f t="array" ref="H774">IFERROR(_xlfn.XLOOKUP(1, (dd_accsryclr!$C$2:$C$1000=accsry_unmerged!F774)*(dd_accsryclr!$B$2:$B$1000=accsry_unmerged!J774),dd_accsryclr!$A$2:$A$1000),"")</f>
        <v>0</v>
      </c>
      <c r="I774" s="35">
        <f>_xlfn.XLOOKUP(C774,'Project Details'!$C$17:$C$66,'Project Details'!$E$17:$E$66,"",0)</f>
        <v>0</v>
      </c>
      <c r="J774" s="35">
        <f>_xlfn.XLOOKUP(C774,'Project Details'!$C$17:$C$66,'Project Details'!$H$17:$H$66,"",0)</f>
        <v>0</v>
      </c>
      <c r="K774" s="36" t="str">
        <f>IF(AND(_xlfn.XLOOKUP(C774,'Project Details'!$C$17:$C$66,'Project Details'!$L$17:$L$66,"",0)&gt;550, F774="Spring-L27cm"),"",SUBSTITUTE(_xlfn.XLOOKUP(G774,SKUs!$C$2:$C$10001,SKUs!$F$2:$F$10001,"",0), " Accessories",""))</f>
        <v/>
      </c>
      <c r="L774" s="36">
        <f>_xlfn.XLOOKUP(C774,'Project Details'!$C$17:$C$66,'Project Details'!$D$17:$D$66,"",0)</f>
        <v>0</v>
      </c>
      <c r="M774" s="43"/>
    </row>
    <row r="775" spans="1:13" x14ac:dyDescent="0.25">
      <c r="A775" s="43"/>
      <c r="B775" s="43"/>
      <c r="C775" s="16">
        <f t="shared" si="14"/>
        <v>16</v>
      </c>
      <c r="D775" s="16" t="str" cm="1">
        <f t="array" ref="D775">IFERROR(ROUNDUP(_xlfn.IFS(F775="Aluminum Track", _xlfn.XLOOKUP(C775, dd_accsrycalc!$A$2:$A$51, dd_accsrycalc!$B$2:$B$51, "",0), F775="10 x 2 1/2 S (Flat)", _xlfn.XLOOKUP(C775, dd_accsrycalc!$A$2:$A$51, dd_accsrycalc!$C$2:$C$51, "",0), F775="Tox6", _xlfn.XLOOKUP(C775, dd_accsrycalc!$A$2:$A$51, dd_accsrycalc!$D$2:$D$51, "",0), F775="Cover Cap", _xlfn.XLOOKUP(C775, dd_accsrycalc!$A$2:$A$51, dd_accsrycalc!$E$2:$E$51, "",0), F775="Drainage Cover", _xlfn.XLOOKUP(C775, dd_accsrycalc!$A$2:$A$51, dd_accsrycalc!$F$2:$F$51, "",0),AND( F775="Double Adhesive Tape", I775="Roll-up Screen"), _xlfn.XLOOKUP(C775, calc_rusacc!$C$15:$C$65, calc_rusacc!$AD$15:$AD$65, "",0),AND( F775="Sealant", I775="Roll-up Screen"), _xlfn.XLOOKUP(C775, calc_rusacc!$C$15:$C$65, calc_rusacc!$AF$15:$AF$65, "",0),  AND( F775="Main Chain", I775="Accordion Screen"), _xlfn.XLOOKUP(C775, calc_rusacc!$C$15:$C$65, calc_rusacc!$BF$15:$BF$65, "",0), AND( F775="Sealant", I775="Accordion Screen"), _xlfn.XLOOKUP(C775, calc_rusacc!$C$15:$C$65, calc_rusacc!$BJ$15:$BJ$65, "",0),  F775="Sealant", _xlfn.XLOOKUP(C775, dd_accsrycalc!$A$2:$A$51, dd_accsrycalc!$G$2:$G$51, "",0),  F775&lt;&gt;"",L775*_xlfn.XLOOKUP(1, (SKUs!$C$2:$C$10001=G775)*(SKUs!$K$2:$K$10001=I775),SKUs!$E$2:$E$10001)), 0),"")</f>
        <v/>
      </c>
      <c r="E775" s="16" t="str">
        <f>_xlfn.XLOOKUP(F775,dd_item!$B$2:$B$105,dd_item!$C$2:$C$105,"",0)</f>
        <v/>
      </c>
      <c r="F775" s="16"/>
      <c r="G775" s="16" cm="1">
        <f t="array" ref="G775">IFERROR(_xlfn.XLOOKUP(1, (SKUs!$J$2:$J$10001=accsry_unmerged!F775)*IF(H775&lt;&gt;"",(SKUs!$L$2:$L$10001=accsry_unmerged!H775),1)*(SKUs!$K$2:$K$10001=I775),SKUs!$C$2:$C$10001),"")</f>
        <v>0</v>
      </c>
      <c r="H775" s="33" cm="1">
        <f t="array" ref="H775">IFERROR(_xlfn.XLOOKUP(1, (dd_accsryclr!$C$2:$C$1000=accsry_unmerged!F775)*(dd_accsryclr!$B$2:$B$1000=accsry_unmerged!J775),dd_accsryclr!$A$2:$A$1000),"")</f>
        <v>0</v>
      </c>
      <c r="I775" s="16">
        <f>_xlfn.XLOOKUP(C775,'Project Details'!$C$17:$C$66,'Project Details'!$E$17:$E$66,"",0)</f>
        <v>0</v>
      </c>
      <c r="J775" s="16">
        <f>_xlfn.XLOOKUP(C775,'Project Details'!$C$17:$C$66,'Project Details'!$H$17:$H$66,"",0)</f>
        <v>0</v>
      </c>
      <c r="K775" s="33" t="str">
        <f>IF(AND(_xlfn.XLOOKUP(C775,'Project Details'!$C$17:$C$66,'Project Details'!$L$17:$L$66,"",0)&gt;550, F775="Spring-L27cm"),"",SUBSTITUTE(_xlfn.XLOOKUP(G775,SKUs!$C$2:$C$10001,SKUs!$F$2:$F$10001,"",0), " Accessories",""))</f>
        <v/>
      </c>
      <c r="L775" s="33">
        <f>_xlfn.XLOOKUP(C775,'Project Details'!$C$17:$C$66,'Project Details'!$D$17:$D$66,"",0)</f>
        <v>0</v>
      </c>
      <c r="M775" s="43"/>
    </row>
    <row r="776" spans="1:13" x14ac:dyDescent="0.25">
      <c r="A776" s="43"/>
      <c r="B776" s="43"/>
      <c r="C776" s="35">
        <f t="shared" si="14"/>
        <v>16</v>
      </c>
      <c r="D776" s="35" t="str" cm="1">
        <f t="array" ref="D776">IFERROR(ROUNDUP(_xlfn.IFS(F776="Aluminum Track", _xlfn.XLOOKUP(C776, dd_accsrycalc!$A$2:$A$51, dd_accsrycalc!$B$2:$B$51, "",0), F776="10 x 2 1/2 S (Flat)", _xlfn.XLOOKUP(C776, dd_accsrycalc!$A$2:$A$51, dd_accsrycalc!$C$2:$C$51, "",0), F776="Tox6", _xlfn.XLOOKUP(C776, dd_accsrycalc!$A$2:$A$51, dd_accsrycalc!$D$2:$D$51, "",0), F776="Cover Cap", _xlfn.XLOOKUP(C776, dd_accsrycalc!$A$2:$A$51, dd_accsrycalc!$E$2:$E$51, "",0), F776="Drainage Cover", _xlfn.XLOOKUP(C776, dd_accsrycalc!$A$2:$A$51, dd_accsrycalc!$F$2:$F$51, "",0),AND( F776="Double Adhesive Tape", I776="Roll-up Screen"), _xlfn.XLOOKUP(C776, calc_rusacc!$C$15:$C$65, calc_rusacc!$AD$15:$AD$65, "",0),AND( F776="Sealant", I776="Roll-up Screen"), _xlfn.XLOOKUP(C776, calc_rusacc!$C$15:$C$65, calc_rusacc!$AF$15:$AF$65, "",0),  AND( F776="Main Chain", I776="Accordion Screen"), _xlfn.XLOOKUP(C776, calc_rusacc!$C$15:$C$65, calc_rusacc!$BF$15:$BF$65, "",0), AND( F776="Sealant", I776="Accordion Screen"), _xlfn.XLOOKUP(C776, calc_rusacc!$C$15:$C$65, calc_rusacc!$BJ$15:$BJ$65, "",0),  F776="Sealant", _xlfn.XLOOKUP(C776, dd_accsrycalc!$A$2:$A$51, dd_accsrycalc!$G$2:$G$51, "",0),  F776&lt;&gt;"",L776*_xlfn.XLOOKUP(1, (SKUs!$C$2:$C$10001=G776)*(SKUs!$K$2:$K$10001=I776),SKUs!$E$2:$E$10001)), 0),"")</f>
        <v/>
      </c>
      <c r="E776" s="35" t="str">
        <f>_xlfn.XLOOKUP(F776,dd_item!$B$2:$B$105,dd_item!$C$2:$C$105,"",0)</f>
        <v/>
      </c>
      <c r="F776" s="35"/>
      <c r="G776" s="35" cm="1">
        <f t="array" ref="G776">IFERROR(_xlfn.XLOOKUP(1, (SKUs!$J$2:$J$10001=accsry_unmerged!F776)*IF(H776&lt;&gt;"",(SKUs!$L$2:$L$10001=accsry_unmerged!H776),1)*(SKUs!$K$2:$K$10001=I776),SKUs!$C$2:$C$10001),"")</f>
        <v>0</v>
      </c>
      <c r="H776" s="36" cm="1">
        <f t="array" ref="H776">IFERROR(_xlfn.XLOOKUP(1, (dd_accsryclr!$C$2:$C$1000=accsry_unmerged!F776)*(dd_accsryclr!$B$2:$B$1000=accsry_unmerged!J776),dd_accsryclr!$A$2:$A$1000),"")</f>
        <v>0</v>
      </c>
      <c r="I776" s="35">
        <f>_xlfn.XLOOKUP(C776,'Project Details'!$C$17:$C$66,'Project Details'!$E$17:$E$66,"",0)</f>
        <v>0</v>
      </c>
      <c r="J776" s="35">
        <f>_xlfn.XLOOKUP(C776,'Project Details'!$C$17:$C$66,'Project Details'!$H$17:$H$66,"",0)</f>
        <v>0</v>
      </c>
      <c r="K776" s="36" t="str">
        <f>IF(AND(_xlfn.XLOOKUP(C776,'Project Details'!$C$17:$C$66,'Project Details'!$L$17:$L$66,"",0)&gt;550, F776="Spring-L27cm"),"",SUBSTITUTE(_xlfn.XLOOKUP(G776,SKUs!$C$2:$C$10001,SKUs!$F$2:$F$10001,"",0), " Accessories",""))</f>
        <v/>
      </c>
      <c r="L776" s="36">
        <f>_xlfn.XLOOKUP(C776,'Project Details'!$C$17:$C$66,'Project Details'!$D$17:$D$66,"",0)</f>
        <v>0</v>
      </c>
      <c r="M776" s="43"/>
    </row>
    <row r="777" spans="1:13" x14ac:dyDescent="0.25">
      <c r="A777" s="43"/>
      <c r="B777" s="43"/>
      <c r="C777" s="16">
        <f t="shared" si="14"/>
        <v>16</v>
      </c>
      <c r="D777" s="16" t="str" cm="1">
        <f t="array" ref="D777">IFERROR(ROUNDUP(_xlfn.IFS(F777="Aluminum Track", _xlfn.XLOOKUP(C777, dd_accsrycalc!$A$2:$A$51, dd_accsrycalc!$B$2:$B$51, "",0), F777="10 x 2 1/2 S (Flat)", _xlfn.XLOOKUP(C777, dd_accsrycalc!$A$2:$A$51, dd_accsrycalc!$C$2:$C$51, "",0), F777="Tox6", _xlfn.XLOOKUP(C777, dd_accsrycalc!$A$2:$A$51, dd_accsrycalc!$D$2:$D$51, "",0), F777="Cover Cap", _xlfn.XLOOKUP(C777, dd_accsrycalc!$A$2:$A$51, dd_accsrycalc!$E$2:$E$51, "",0), F777="Drainage Cover", _xlfn.XLOOKUP(C777, dd_accsrycalc!$A$2:$A$51, dd_accsrycalc!$F$2:$F$51, "",0),AND( F777="Double Adhesive Tape", I777="Roll-up Screen"), _xlfn.XLOOKUP(C777, calc_rusacc!$C$15:$C$65, calc_rusacc!$AD$15:$AD$65, "",0),AND( F777="Sealant", I777="Roll-up Screen"), _xlfn.XLOOKUP(C777, calc_rusacc!$C$15:$C$65, calc_rusacc!$AF$15:$AF$65, "",0),  AND( F777="Main Chain", I777="Accordion Screen"), _xlfn.XLOOKUP(C777, calc_rusacc!$C$15:$C$65, calc_rusacc!$BF$15:$BF$65, "",0), AND( F777="Sealant", I777="Accordion Screen"), _xlfn.XLOOKUP(C777, calc_rusacc!$C$15:$C$65, calc_rusacc!$BJ$15:$BJ$65, "",0),  F777="Sealant", _xlfn.XLOOKUP(C777, dd_accsrycalc!$A$2:$A$51, dd_accsrycalc!$G$2:$G$51, "",0),  F777&lt;&gt;"",L777*_xlfn.XLOOKUP(1, (SKUs!$C$2:$C$10001=G777)*(SKUs!$K$2:$K$10001=I777),SKUs!$E$2:$E$10001)), 0),"")</f>
        <v/>
      </c>
      <c r="E777" s="16" t="str">
        <f>_xlfn.XLOOKUP(F777,dd_item!$B$2:$B$105,dd_item!$C$2:$C$105,"",0)</f>
        <v/>
      </c>
      <c r="F777" s="16"/>
      <c r="G777" s="16" cm="1">
        <f t="array" ref="G777">IFERROR(_xlfn.XLOOKUP(1, (SKUs!$J$2:$J$10001=accsry_unmerged!F777)*IF(H777&lt;&gt;"",(SKUs!$L$2:$L$10001=accsry_unmerged!H777),1)*(SKUs!$K$2:$K$10001=I777),SKUs!$C$2:$C$10001),"")</f>
        <v>0</v>
      </c>
      <c r="H777" s="33" cm="1">
        <f t="array" ref="H777">IFERROR(_xlfn.XLOOKUP(1, (dd_accsryclr!$C$2:$C$1000=accsry_unmerged!F777)*(dd_accsryclr!$B$2:$B$1000=accsry_unmerged!J777),dd_accsryclr!$A$2:$A$1000),"")</f>
        <v>0</v>
      </c>
      <c r="I777" s="16">
        <f>_xlfn.XLOOKUP(C777,'Project Details'!$C$17:$C$66,'Project Details'!$E$17:$E$66,"",0)</f>
        <v>0</v>
      </c>
      <c r="J777" s="16">
        <f>_xlfn.XLOOKUP(C777,'Project Details'!$C$17:$C$66,'Project Details'!$H$17:$H$66,"",0)</f>
        <v>0</v>
      </c>
      <c r="K777" s="33" t="str">
        <f>IF(AND(_xlfn.XLOOKUP(C777,'Project Details'!$C$17:$C$66,'Project Details'!$L$17:$L$66,"",0)&gt;550, F777="Spring-L27cm"),"",SUBSTITUTE(_xlfn.XLOOKUP(G777,SKUs!$C$2:$C$10001,SKUs!$F$2:$F$10001,"",0), " Accessories",""))</f>
        <v/>
      </c>
      <c r="L777" s="33">
        <f>_xlfn.XLOOKUP(C777,'Project Details'!$C$17:$C$66,'Project Details'!$D$17:$D$66,"",0)</f>
        <v>0</v>
      </c>
      <c r="M777" s="43"/>
    </row>
    <row r="778" spans="1:13" x14ac:dyDescent="0.25">
      <c r="A778" s="43"/>
      <c r="B778" s="43"/>
      <c r="C778" s="35">
        <f t="shared" si="14"/>
        <v>16</v>
      </c>
      <c r="D778" s="35" t="str" cm="1">
        <f t="array" ref="D778">IFERROR(ROUNDUP(_xlfn.IFS(F778="Aluminum Track", _xlfn.XLOOKUP(C778, dd_accsrycalc!$A$2:$A$51, dd_accsrycalc!$B$2:$B$51, "",0), F778="10 x 2 1/2 S (Flat)", _xlfn.XLOOKUP(C778, dd_accsrycalc!$A$2:$A$51, dd_accsrycalc!$C$2:$C$51, "",0), F778="Tox6", _xlfn.XLOOKUP(C778, dd_accsrycalc!$A$2:$A$51, dd_accsrycalc!$D$2:$D$51, "",0), F778="Cover Cap", _xlfn.XLOOKUP(C778, dd_accsrycalc!$A$2:$A$51, dd_accsrycalc!$E$2:$E$51, "",0), F778="Drainage Cover", _xlfn.XLOOKUP(C778, dd_accsrycalc!$A$2:$A$51, dd_accsrycalc!$F$2:$F$51, "",0),AND( F778="Double Adhesive Tape", I778="Roll-up Screen"), _xlfn.XLOOKUP(C778, calc_rusacc!$C$15:$C$65, calc_rusacc!$AD$15:$AD$65, "",0),AND( F778="Sealant", I778="Roll-up Screen"), _xlfn.XLOOKUP(C778, calc_rusacc!$C$15:$C$65, calc_rusacc!$AF$15:$AF$65, "",0),  AND( F778="Main Chain", I778="Accordion Screen"), _xlfn.XLOOKUP(C778, calc_rusacc!$C$15:$C$65, calc_rusacc!$BF$15:$BF$65, "",0), AND( F778="Sealant", I778="Accordion Screen"), _xlfn.XLOOKUP(C778, calc_rusacc!$C$15:$C$65, calc_rusacc!$BJ$15:$BJ$65, "",0),  F778="Sealant", _xlfn.XLOOKUP(C778, dd_accsrycalc!$A$2:$A$51, dd_accsrycalc!$G$2:$G$51, "",0),  F778&lt;&gt;"",L778*_xlfn.XLOOKUP(1, (SKUs!$C$2:$C$10001=G778)*(SKUs!$K$2:$K$10001=I778),SKUs!$E$2:$E$10001)), 0),"")</f>
        <v/>
      </c>
      <c r="E778" s="35" t="str">
        <f>_xlfn.XLOOKUP(F778,dd_item!$B$2:$B$105,dd_item!$C$2:$C$105,"",0)</f>
        <v/>
      </c>
      <c r="F778" s="35"/>
      <c r="G778" s="35" cm="1">
        <f t="array" ref="G778">IFERROR(_xlfn.XLOOKUP(1, (SKUs!$J$2:$J$10001=accsry_unmerged!F778)*IF(H778&lt;&gt;"",(SKUs!$L$2:$L$10001=accsry_unmerged!H778),1)*(SKUs!$K$2:$K$10001=I778),SKUs!$C$2:$C$10001),"")</f>
        <v>0</v>
      </c>
      <c r="H778" s="36" cm="1">
        <f t="array" ref="H778">IFERROR(_xlfn.XLOOKUP(1, (dd_accsryclr!$C$2:$C$1000=accsry_unmerged!F778)*(dd_accsryclr!$B$2:$B$1000=accsry_unmerged!J778),dd_accsryclr!$A$2:$A$1000),"")</f>
        <v>0</v>
      </c>
      <c r="I778" s="35">
        <f>_xlfn.XLOOKUP(C778,'Project Details'!$C$17:$C$66,'Project Details'!$E$17:$E$66,"",0)</f>
        <v>0</v>
      </c>
      <c r="J778" s="35">
        <f>_xlfn.XLOOKUP(C778,'Project Details'!$C$17:$C$66,'Project Details'!$H$17:$H$66,"",0)</f>
        <v>0</v>
      </c>
      <c r="K778" s="36" t="str">
        <f>IF(AND(_xlfn.XLOOKUP(C778,'Project Details'!$C$17:$C$66,'Project Details'!$L$17:$L$66,"",0)&gt;550, F778="Spring-L27cm"),"",SUBSTITUTE(_xlfn.XLOOKUP(G778,SKUs!$C$2:$C$10001,SKUs!$F$2:$F$10001,"",0), " Accessories",""))</f>
        <v/>
      </c>
      <c r="L778" s="36">
        <f>_xlfn.XLOOKUP(C778,'Project Details'!$C$17:$C$66,'Project Details'!$D$17:$D$66,"",0)</f>
        <v>0</v>
      </c>
      <c r="M778" s="43"/>
    </row>
    <row r="779" spans="1:13" x14ac:dyDescent="0.25">
      <c r="A779" s="43"/>
      <c r="B779" s="43"/>
      <c r="C779" s="16">
        <f t="shared" si="14"/>
        <v>16</v>
      </c>
      <c r="D779" s="16" t="str" cm="1">
        <f t="array" ref="D779">IFERROR(ROUNDUP(_xlfn.IFS(F779="Aluminum Track", _xlfn.XLOOKUP(C779, dd_accsrycalc!$A$2:$A$51, dd_accsrycalc!$B$2:$B$51, "",0), F779="10 x 2 1/2 S (Flat)", _xlfn.XLOOKUP(C779, dd_accsrycalc!$A$2:$A$51, dd_accsrycalc!$C$2:$C$51, "",0), F779="Tox6", _xlfn.XLOOKUP(C779, dd_accsrycalc!$A$2:$A$51, dd_accsrycalc!$D$2:$D$51, "",0), F779="Cover Cap", _xlfn.XLOOKUP(C779, dd_accsrycalc!$A$2:$A$51, dd_accsrycalc!$E$2:$E$51, "",0), F779="Drainage Cover", _xlfn.XLOOKUP(C779, dd_accsrycalc!$A$2:$A$51, dd_accsrycalc!$F$2:$F$51, "",0),AND( F779="Double Adhesive Tape", I779="Roll-up Screen"), _xlfn.XLOOKUP(C779, calc_rusacc!$C$15:$C$65, calc_rusacc!$AD$15:$AD$65, "",0),AND( F779="Sealant", I779="Roll-up Screen"), _xlfn.XLOOKUP(C779, calc_rusacc!$C$15:$C$65, calc_rusacc!$AF$15:$AF$65, "",0),  AND( F779="Main Chain", I779="Accordion Screen"), _xlfn.XLOOKUP(C779, calc_rusacc!$C$15:$C$65, calc_rusacc!$BF$15:$BF$65, "",0), AND( F779="Sealant", I779="Accordion Screen"), _xlfn.XLOOKUP(C779, calc_rusacc!$C$15:$C$65, calc_rusacc!$BJ$15:$BJ$65, "",0),  F779="Sealant", _xlfn.XLOOKUP(C779, dd_accsrycalc!$A$2:$A$51, dd_accsrycalc!$G$2:$G$51, "",0),  F779&lt;&gt;"",L779*_xlfn.XLOOKUP(1, (SKUs!$C$2:$C$10001=G779)*(SKUs!$K$2:$K$10001=I779),SKUs!$E$2:$E$10001)), 0),"")</f>
        <v/>
      </c>
      <c r="E779" s="16" t="str">
        <f>_xlfn.XLOOKUP(F779,dd_item!$B$2:$B$105,dd_item!$C$2:$C$105,"",0)</f>
        <v/>
      </c>
      <c r="F779" s="16"/>
      <c r="G779" s="16" cm="1">
        <f t="array" ref="G779">IFERROR(_xlfn.XLOOKUP(1, (SKUs!$J$2:$J$10001=accsry_unmerged!F779)*IF(H779&lt;&gt;"",(SKUs!$L$2:$L$10001=accsry_unmerged!H779),1)*(SKUs!$K$2:$K$10001=I779),SKUs!$C$2:$C$10001),"")</f>
        <v>0</v>
      </c>
      <c r="H779" s="33" cm="1">
        <f t="array" ref="H779">IFERROR(_xlfn.XLOOKUP(1, (dd_accsryclr!$C$2:$C$1000=accsry_unmerged!F779)*(dd_accsryclr!$B$2:$B$1000=accsry_unmerged!J779),dd_accsryclr!$A$2:$A$1000),"")</f>
        <v>0</v>
      </c>
      <c r="I779" s="16">
        <f>_xlfn.XLOOKUP(C779,'Project Details'!$C$17:$C$66,'Project Details'!$E$17:$E$66,"",0)</f>
        <v>0</v>
      </c>
      <c r="J779" s="16">
        <f>_xlfn.XLOOKUP(C779,'Project Details'!$C$17:$C$66,'Project Details'!$H$17:$H$66,"",0)</f>
        <v>0</v>
      </c>
      <c r="K779" s="33" t="str">
        <f>IF(AND(_xlfn.XLOOKUP(C779,'Project Details'!$C$17:$C$66,'Project Details'!$L$17:$L$66,"",0)&gt;550, F779="Spring-L27cm"),"",SUBSTITUTE(_xlfn.XLOOKUP(G779,SKUs!$C$2:$C$10001,SKUs!$F$2:$F$10001,"",0), " Accessories",""))</f>
        <v/>
      </c>
      <c r="L779" s="33">
        <f>_xlfn.XLOOKUP(C779,'Project Details'!$C$17:$C$66,'Project Details'!$D$17:$D$66,"",0)</f>
        <v>0</v>
      </c>
      <c r="M779" s="43"/>
    </row>
    <row r="780" spans="1:13" x14ac:dyDescent="0.25">
      <c r="A780" s="43"/>
      <c r="B780" s="43"/>
      <c r="C780" s="35">
        <f t="shared" si="14"/>
        <v>16</v>
      </c>
      <c r="D780" s="35" t="str" cm="1">
        <f t="array" ref="D780">IFERROR(ROUNDUP(_xlfn.IFS(F780="Aluminum Track", _xlfn.XLOOKUP(C780, dd_accsrycalc!$A$2:$A$51, dd_accsrycalc!$B$2:$B$51, "",0), F780="10 x 2 1/2 S (Flat)", _xlfn.XLOOKUP(C780, dd_accsrycalc!$A$2:$A$51, dd_accsrycalc!$C$2:$C$51, "",0), F780="Tox6", _xlfn.XLOOKUP(C780, dd_accsrycalc!$A$2:$A$51, dd_accsrycalc!$D$2:$D$51, "",0), F780="Cover Cap", _xlfn.XLOOKUP(C780, dd_accsrycalc!$A$2:$A$51, dd_accsrycalc!$E$2:$E$51, "",0), F780="Drainage Cover", _xlfn.XLOOKUP(C780, dd_accsrycalc!$A$2:$A$51, dd_accsrycalc!$F$2:$F$51, "",0),AND( F780="Double Adhesive Tape", I780="Roll-up Screen"), _xlfn.XLOOKUP(C780, calc_rusacc!$C$15:$C$65, calc_rusacc!$AD$15:$AD$65, "",0),AND( F780="Sealant", I780="Roll-up Screen"), _xlfn.XLOOKUP(C780, calc_rusacc!$C$15:$C$65, calc_rusacc!$AF$15:$AF$65, "",0),  AND( F780="Main Chain", I780="Accordion Screen"), _xlfn.XLOOKUP(C780, calc_rusacc!$C$15:$C$65, calc_rusacc!$BF$15:$BF$65, "",0), AND( F780="Sealant", I780="Accordion Screen"), _xlfn.XLOOKUP(C780, calc_rusacc!$C$15:$C$65, calc_rusacc!$BJ$15:$BJ$65, "",0),  F780="Sealant", _xlfn.XLOOKUP(C780, dd_accsrycalc!$A$2:$A$51, dd_accsrycalc!$G$2:$G$51, "",0),  F780&lt;&gt;"",L780*_xlfn.XLOOKUP(1, (SKUs!$C$2:$C$10001=G780)*(SKUs!$K$2:$K$10001=I780),SKUs!$E$2:$E$10001)), 0),"")</f>
        <v/>
      </c>
      <c r="E780" s="35" t="str">
        <f>_xlfn.XLOOKUP(F780,dd_item!$B$2:$B$105,dd_item!$C$2:$C$105,"",0)</f>
        <v/>
      </c>
      <c r="F780" s="35"/>
      <c r="G780" s="35" cm="1">
        <f t="array" ref="G780">IFERROR(_xlfn.XLOOKUP(1, (SKUs!$J$2:$J$10001=accsry_unmerged!F780)*IF(H780&lt;&gt;"",(SKUs!$L$2:$L$10001=accsry_unmerged!H780),1)*(SKUs!$K$2:$K$10001=I780),SKUs!$C$2:$C$10001),"")</f>
        <v>0</v>
      </c>
      <c r="H780" s="36" cm="1">
        <f t="array" ref="H780">IFERROR(_xlfn.XLOOKUP(1, (dd_accsryclr!$C$2:$C$1000=accsry_unmerged!F780)*(dd_accsryclr!$B$2:$B$1000=accsry_unmerged!J780),dd_accsryclr!$A$2:$A$1000),"")</f>
        <v>0</v>
      </c>
      <c r="I780" s="35">
        <f>_xlfn.XLOOKUP(C780,'Project Details'!$C$17:$C$66,'Project Details'!$E$17:$E$66,"",0)</f>
        <v>0</v>
      </c>
      <c r="J780" s="35">
        <f>_xlfn.XLOOKUP(C780,'Project Details'!$C$17:$C$66,'Project Details'!$H$17:$H$66,"",0)</f>
        <v>0</v>
      </c>
      <c r="K780" s="36" t="str">
        <f>IF(AND(_xlfn.XLOOKUP(C780,'Project Details'!$C$17:$C$66,'Project Details'!$L$17:$L$66,"",0)&gt;550, F780="Spring-L27cm"),"",SUBSTITUTE(_xlfn.XLOOKUP(G780,SKUs!$C$2:$C$10001,SKUs!$F$2:$F$10001,"",0), " Accessories",""))</f>
        <v/>
      </c>
      <c r="L780" s="36">
        <f>_xlfn.XLOOKUP(C780,'Project Details'!$C$17:$C$66,'Project Details'!$D$17:$D$66,"",0)</f>
        <v>0</v>
      </c>
      <c r="M780" s="43"/>
    </row>
    <row r="781" spans="1:13" x14ac:dyDescent="0.25">
      <c r="A781" s="43"/>
      <c r="B781" s="43"/>
      <c r="C781" s="16">
        <f t="shared" si="14"/>
        <v>16</v>
      </c>
      <c r="D781" s="16" t="str" cm="1">
        <f t="array" ref="D781">IFERROR(ROUNDUP(_xlfn.IFS(F781="Aluminum Track", _xlfn.XLOOKUP(C781, dd_accsrycalc!$A$2:$A$51, dd_accsrycalc!$B$2:$B$51, "",0), F781="10 x 2 1/2 S (Flat)", _xlfn.XLOOKUP(C781, dd_accsrycalc!$A$2:$A$51, dd_accsrycalc!$C$2:$C$51, "",0), F781="Tox6", _xlfn.XLOOKUP(C781, dd_accsrycalc!$A$2:$A$51, dd_accsrycalc!$D$2:$D$51, "",0), F781="Cover Cap", _xlfn.XLOOKUP(C781, dd_accsrycalc!$A$2:$A$51, dd_accsrycalc!$E$2:$E$51, "",0), F781="Drainage Cover", _xlfn.XLOOKUP(C781, dd_accsrycalc!$A$2:$A$51, dd_accsrycalc!$F$2:$F$51, "",0),AND( F781="Double Adhesive Tape", I781="Roll-up Screen"), _xlfn.XLOOKUP(C781, calc_rusacc!$C$15:$C$65, calc_rusacc!$AD$15:$AD$65, "",0),AND( F781="Sealant", I781="Roll-up Screen"), _xlfn.XLOOKUP(C781, calc_rusacc!$C$15:$C$65, calc_rusacc!$AF$15:$AF$65, "",0),  AND( F781="Main Chain", I781="Accordion Screen"), _xlfn.XLOOKUP(C781, calc_rusacc!$C$15:$C$65, calc_rusacc!$BF$15:$BF$65, "",0), AND( F781="Sealant", I781="Accordion Screen"), _xlfn.XLOOKUP(C781, calc_rusacc!$C$15:$C$65, calc_rusacc!$BJ$15:$BJ$65, "",0),  F781="Sealant", _xlfn.XLOOKUP(C781, dd_accsrycalc!$A$2:$A$51, dd_accsrycalc!$G$2:$G$51, "",0),  F781&lt;&gt;"",L781*_xlfn.XLOOKUP(1, (SKUs!$C$2:$C$10001=G781)*(SKUs!$K$2:$K$10001=I781),SKUs!$E$2:$E$10001)), 0),"")</f>
        <v/>
      </c>
      <c r="E781" s="16" t="str">
        <f>_xlfn.XLOOKUP(F781,dd_item!$B$2:$B$105,dd_item!$C$2:$C$105,"",0)</f>
        <v/>
      </c>
      <c r="F781" s="16"/>
      <c r="G781" s="16" cm="1">
        <f t="array" ref="G781">IFERROR(_xlfn.XLOOKUP(1, (SKUs!$J$2:$J$10001=accsry_unmerged!F781)*IF(H781&lt;&gt;"",(SKUs!$L$2:$L$10001=accsry_unmerged!H781),1)*(SKUs!$K$2:$K$10001=I781),SKUs!$C$2:$C$10001),"")</f>
        <v>0</v>
      </c>
      <c r="H781" s="33" cm="1">
        <f t="array" ref="H781">IFERROR(_xlfn.XLOOKUP(1, (dd_accsryclr!$C$2:$C$1000=accsry_unmerged!F781)*(dd_accsryclr!$B$2:$B$1000=accsry_unmerged!J781),dd_accsryclr!$A$2:$A$1000),"")</f>
        <v>0</v>
      </c>
      <c r="I781" s="16">
        <f>_xlfn.XLOOKUP(C781,'Project Details'!$C$17:$C$66,'Project Details'!$E$17:$E$66,"",0)</f>
        <v>0</v>
      </c>
      <c r="J781" s="16">
        <f>_xlfn.XLOOKUP(C781,'Project Details'!$C$17:$C$66,'Project Details'!$H$17:$H$66,"",0)</f>
        <v>0</v>
      </c>
      <c r="K781" s="33" t="str">
        <f>IF(AND(_xlfn.XLOOKUP(C781,'Project Details'!$C$17:$C$66,'Project Details'!$L$17:$L$66,"",0)&gt;550, F781="Spring-L27cm"),"",SUBSTITUTE(_xlfn.XLOOKUP(G781,SKUs!$C$2:$C$10001,SKUs!$F$2:$F$10001,"",0), " Accessories",""))</f>
        <v/>
      </c>
      <c r="L781" s="33">
        <f>_xlfn.XLOOKUP(C781,'Project Details'!$C$17:$C$66,'Project Details'!$D$17:$D$66,"",0)</f>
        <v>0</v>
      </c>
      <c r="M781" s="43"/>
    </row>
    <row r="782" spans="1:13" x14ac:dyDescent="0.25">
      <c r="A782" s="43"/>
      <c r="B782" s="43"/>
      <c r="C782" s="35">
        <f t="shared" si="14"/>
        <v>16</v>
      </c>
      <c r="D782" s="35" t="str" cm="1">
        <f t="array" ref="D782">IFERROR(ROUNDUP(_xlfn.IFS(F782="Aluminum Track", _xlfn.XLOOKUP(C782, dd_accsrycalc!$A$2:$A$51, dd_accsrycalc!$B$2:$B$51, "",0), F782="10 x 2 1/2 S (Flat)", _xlfn.XLOOKUP(C782, dd_accsrycalc!$A$2:$A$51, dd_accsrycalc!$C$2:$C$51, "",0), F782="Tox6", _xlfn.XLOOKUP(C782, dd_accsrycalc!$A$2:$A$51, dd_accsrycalc!$D$2:$D$51, "",0), F782="Cover Cap", _xlfn.XLOOKUP(C782, dd_accsrycalc!$A$2:$A$51, dd_accsrycalc!$E$2:$E$51, "",0), F782="Drainage Cover", _xlfn.XLOOKUP(C782, dd_accsrycalc!$A$2:$A$51, dd_accsrycalc!$F$2:$F$51, "",0),AND( F782="Double Adhesive Tape", I782="Roll-up Screen"), _xlfn.XLOOKUP(C782, calc_rusacc!$C$15:$C$65, calc_rusacc!$AD$15:$AD$65, "",0),AND( F782="Sealant", I782="Roll-up Screen"), _xlfn.XLOOKUP(C782, calc_rusacc!$C$15:$C$65, calc_rusacc!$AF$15:$AF$65, "",0),  AND( F782="Main Chain", I782="Accordion Screen"), _xlfn.XLOOKUP(C782, calc_rusacc!$C$15:$C$65, calc_rusacc!$BF$15:$BF$65, "",0), AND( F782="Sealant", I782="Accordion Screen"), _xlfn.XLOOKUP(C782, calc_rusacc!$C$15:$C$65, calc_rusacc!$BJ$15:$BJ$65, "",0),  F782="Sealant", _xlfn.XLOOKUP(C782, dd_accsrycalc!$A$2:$A$51, dd_accsrycalc!$G$2:$G$51, "",0),  F782&lt;&gt;"",L782*_xlfn.XLOOKUP(1, (SKUs!$C$2:$C$10001=G782)*(SKUs!$K$2:$K$10001=I782),SKUs!$E$2:$E$10001)), 0),"")</f>
        <v/>
      </c>
      <c r="E782" s="35" t="str">
        <f>_xlfn.XLOOKUP(F782,dd_item!$B$2:$B$105,dd_item!$C$2:$C$105,"",0)</f>
        <v/>
      </c>
      <c r="F782" s="35"/>
      <c r="G782" s="35" cm="1">
        <f t="array" ref="G782">IFERROR(_xlfn.XLOOKUP(1, (SKUs!$J$2:$J$10001=accsry_unmerged!F782)*IF(H782&lt;&gt;"",(SKUs!$L$2:$L$10001=accsry_unmerged!H782),1)*(SKUs!$K$2:$K$10001=I782),SKUs!$C$2:$C$10001),"")</f>
        <v>0</v>
      </c>
      <c r="H782" s="36" cm="1">
        <f t="array" ref="H782">IFERROR(_xlfn.XLOOKUP(1, (dd_accsryclr!$C$2:$C$1000=accsry_unmerged!F782)*(dd_accsryclr!$B$2:$B$1000=accsry_unmerged!J782),dd_accsryclr!$A$2:$A$1000),"")</f>
        <v>0</v>
      </c>
      <c r="I782" s="35">
        <f>_xlfn.XLOOKUP(C782,'Project Details'!$C$17:$C$66,'Project Details'!$E$17:$E$66,"",0)</f>
        <v>0</v>
      </c>
      <c r="J782" s="35">
        <f>_xlfn.XLOOKUP(C782,'Project Details'!$C$17:$C$66,'Project Details'!$H$17:$H$66,"",0)</f>
        <v>0</v>
      </c>
      <c r="K782" s="36" t="str">
        <f>IF(AND(_xlfn.XLOOKUP(C782,'Project Details'!$C$17:$C$66,'Project Details'!$L$17:$L$66,"",0)&gt;550, F782="Spring-L27cm"),"",SUBSTITUTE(_xlfn.XLOOKUP(G782,SKUs!$C$2:$C$10001,SKUs!$F$2:$F$10001,"",0), " Accessories",""))</f>
        <v/>
      </c>
      <c r="L782" s="36">
        <f>_xlfn.XLOOKUP(C782,'Project Details'!$C$17:$C$66,'Project Details'!$D$17:$D$66,"",0)</f>
        <v>0</v>
      </c>
      <c r="M782" s="43"/>
    </row>
    <row r="783" spans="1:13" x14ac:dyDescent="0.25">
      <c r="A783" s="43"/>
      <c r="B783" s="43"/>
      <c r="C783" s="16">
        <f t="shared" si="14"/>
        <v>16</v>
      </c>
      <c r="D783" s="16" t="str" cm="1">
        <f t="array" ref="D783">IFERROR(ROUNDUP(_xlfn.IFS(F783="Aluminum Track", _xlfn.XLOOKUP(C783, dd_accsrycalc!$A$2:$A$51, dd_accsrycalc!$B$2:$B$51, "",0), F783="10 x 2 1/2 S (Flat)", _xlfn.XLOOKUP(C783, dd_accsrycalc!$A$2:$A$51, dd_accsrycalc!$C$2:$C$51, "",0), F783="Tox6", _xlfn.XLOOKUP(C783, dd_accsrycalc!$A$2:$A$51, dd_accsrycalc!$D$2:$D$51, "",0), F783="Cover Cap", _xlfn.XLOOKUP(C783, dd_accsrycalc!$A$2:$A$51, dd_accsrycalc!$E$2:$E$51, "",0), F783="Drainage Cover", _xlfn.XLOOKUP(C783, dd_accsrycalc!$A$2:$A$51, dd_accsrycalc!$F$2:$F$51, "",0),AND( F783="Double Adhesive Tape", I783="Roll-up Screen"), _xlfn.XLOOKUP(C783, calc_rusacc!$C$15:$C$65, calc_rusacc!$AD$15:$AD$65, "",0),AND( F783="Sealant", I783="Roll-up Screen"), _xlfn.XLOOKUP(C783, calc_rusacc!$C$15:$C$65, calc_rusacc!$AF$15:$AF$65, "",0),  AND( F783="Main Chain", I783="Accordion Screen"), _xlfn.XLOOKUP(C783, calc_rusacc!$C$15:$C$65, calc_rusacc!$BF$15:$BF$65, "",0), AND( F783="Sealant", I783="Accordion Screen"), _xlfn.XLOOKUP(C783, calc_rusacc!$C$15:$C$65, calc_rusacc!$BJ$15:$BJ$65, "",0),  F783="Sealant", _xlfn.XLOOKUP(C783, dd_accsrycalc!$A$2:$A$51, dd_accsrycalc!$G$2:$G$51, "",0),  F783&lt;&gt;"",L783*_xlfn.XLOOKUP(1, (SKUs!$C$2:$C$10001=G783)*(SKUs!$K$2:$K$10001=I783),SKUs!$E$2:$E$10001)), 0),"")</f>
        <v/>
      </c>
      <c r="E783" s="16" t="str">
        <f>_xlfn.XLOOKUP(F783,dd_item!$B$2:$B$105,dd_item!$C$2:$C$105,"",0)</f>
        <v/>
      </c>
      <c r="F783" s="16"/>
      <c r="G783" s="16" cm="1">
        <f t="array" ref="G783">IFERROR(_xlfn.XLOOKUP(1, (SKUs!$J$2:$J$10001=accsry_unmerged!F783)*IF(H783&lt;&gt;"",(SKUs!$L$2:$L$10001=accsry_unmerged!H783),1)*(SKUs!$K$2:$K$10001=I783),SKUs!$C$2:$C$10001),"")</f>
        <v>0</v>
      </c>
      <c r="H783" s="33" cm="1">
        <f t="array" ref="H783">IFERROR(_xlfn.XLOOKUP(1, (dd_accsryclr!$C$2:$C$1000=accsry_unmerged!F783)*(dd_accsryclr!$B$2:$B$1000=accsry_unmerged!J783),dd_accsryclr!$A$2:$A$1000),"")</f>
        <v>0</v>
      </c>
      <c r="I783" s="16">
        <f>_xlfn.XLOOKUP(C783,'Project Details'!$C$17:$C$66,'Project Details'!$E$17:$E$66,"",0)</f>
        <v>0</v>
      </c>
      <c r="J783" s="16">
        <f>_xlfn.XLOOKUP(C783,'Project Details'!$C$17:$C$66,'Project Details'!$H$17:$H$66,"",0)</f>
        <v>0</v>
      </c>
      <c r="K783" s="33" t="str">
        <f>IF(AND(_xlfn.XLOOKUP(C783,'Project Details'!$C$17:$C$66,'Project Details'!$L$17:$L$66,"",0)&gt;550, F783="Spring-L27cm"),"",SUBSTITUTE(_xlfn.XLOOKUP(G783,SKUs!$C$2:$C$10001,SKUs!$F$2:$F$10001,"",0), " Accessories",""))</f>
        <v/>
      </c>
      <c r="L783" s="33">
        <f>_xlfn.XLOOKUP(C783,'Project Details'!$C$17:$C$66,'Project Details'!$D$17:$D$66,"",0)</f>
        <v>0</v>
      </c>
      <c r="M783" s="43"/>
    </row>
    <row r="784" spans="1:13" ht="13.5" customHeight="1" x14ac:dyDescent="0.25">
      <c r="A784" s="43"/>
      <c r="B784" s="43"/>
      <c r="C784" s="35">
        <f t="shared" si="14"/>
        <v>16</v>
      </c>
      <c r="D784" s="35" t="str" cm="1">
        <f t="array" ref="D784">IFERROR(ROUNDUP(_xlfn.IFS(F784="Aluminum Track", _xlfn.XLOOKUP(C784, dd_accsrycalc!$A$2:$A$51, dd_accsrycalc!$B$2:$B$51, "",0), F784="10 x 2 1/2 S (Flat)", _xlfn.XLOOKUP(C784, dd_accsrycalc!$A$2:$A$51, dd_accsrycalc!$C$2:$C$51, "",0), F784="Tox6", _xlfn.XLOOKUP(C784, dd_accsrycalc!$A$2:$A$51, dd_accsrycalc!$D$2:$D$51, "",0), F784="Cover Cap", _xlfn.XLOOKUP(C784, dd_accsrycalc!$A$2:$A$51, dd_accsrycalc!$E$2:$E$51, "",0), F784="Drainage Cover", _xlfn.XLOOKUP(C784, dd_accsrycalc!$A$2:$A$51, dd_accsrycalc!$F$2:$F$51, "",0),AND( F784="Double Adhesive Tape", I784="Roll-up Screen"), _xlfn.XLOOKUP(C784, calc_rusacc!$C$15:$C$65, calc_rusacc!$AD$15:$AD$65, "",0),AND( F784="Sealant", I784="Roll-up Screen"), _xlfn.XLOOKUP(C784, calc_rusacc!$C$15:$C$65, calc_rusacc!$AF$15:$AF$65, "",0),  AND( F784="Main Chain", I784="Accordion Screen"), _xlfn.XLOOKUP(C784, calc_rusacc!$C$15:$C$65, calc_rusacc!$BF$15:$BF$65, "",0), AND( F784="Sealant", I784="Accordion Screen"), _xlfn.XLOOKUP(C784, calc_rusacc!$C$15:$C$65, calc_rusacc!$BJ$15:$BJ$65, "",0),  F784="Sealant", _xlfn.XLOOKUP(C784, dd_accsrycalc!$A$2:$A$51, dd_accsrycalc!$G$2:$G$51, "",0),  F784&lt;&gt;"",L784*_xlfn.XLOOKUP(1, (SKUs!$C$2:$C$10001=G784)*(SKUs!$K$2:$K$10001=I784),SKUs!$E$2:$E$10001)), 0),"")</f>
        <v/>
      </c>
      <c r="E784" s="35" t="str">
        <f>_xlfn.XLOOKUP(F784,dd_item!$B$2:$B$105,dd_item!$C$2:$C$105,"",0)</f>
        <v/>
      </c>
      <c r="F784" s="35"/>
      <c r="G784" s="35" cm="1">
        <f t="array" ref="G784">IFERROR(_xlfn.XLOOKUP(1, (SKUs!$J$2:$J$10001=accsry_unmerged!F784)*IF(H784&lt;&gt;"",(SKUs!$L$2:$L$10001=accsry_unmerged!H784),1)*(SKUs!$K$2:$K$10001=I784),SKUs!$C$2:$C$10001),"")</f>
        <v>0</v>
      </c>
      <c r="H784" s="36" cm="1">
        <f t="array" ref="H784">IFERROR(_xlfn.XLOOKUP(1, (dd_accsryclr!$C$2:$C$1000=accsry_unmerged!F784)*(dd_accsryclr!$B$2:$B$1000=accsry_unmerged!J784),dd_accsryclr!$A$2:$A$1000),"")</f>
        <v>0</v>
      </c>
      <c r="I784" s="35">
        <f>_xlfn.XLOOKUP(C784,'Project Details'!$C$17:$C$66,'Project Details'!$E$17:$E$66,"",0)</f>
        <v>0</v>
      </c>
      <c r="J784" s="35">
        <f>_xlfn.XLOOKUP(C784,'Project Details'!$C$17:$C$66,'Project Details'!$H$17:$H$66,"",0)</f>
        <v>0</v>
      </c>
      <c r="K784" s="36" t="str">
        <f>IF(AND(_xlfn.XLOOKUP(C784,'Project Details'!$C$17:$C$66,'Project Details'!$L$17:$L$66,"",0)&gt;550, F784="Spring-L27cm"),"",SUBSTITUTE(_xlfn.XLOOKUP(G784,SKUs!$C$2:$C$10001,SKUs!$F$2:$F$10001,"",0), " Accessories",""))</f>
        <v/>
      </c>
      <c r="L784" s="36">
        <f>_xlfn.XLOOKUP(C784,'Project Details'!$C$17:$C$66,'Project Details'!$D$17:$D$66,"",0)</f>
        <v>0</v>
      </c>
      <c r="M784" s="43"/>
    </row>
    <row r="785" spans="1:13" ht="13.5" customHeight="1" x14ac:dyDescent="0.25">
      <c r="A785" s="43"/>
      <c r="B785" s="43"/>
      <c r="C785" s="16">
        <f t="shared" si="14"/>
        <v>16</v>
      </c>
      <c r="D785" s="16" t="str" cm="1">
        <f t="array" ref="D785">IFERROR(ROUNDUP(_xlfn.IFS(F785="Aluminum Track", _xlfn.XLOOKUP(C785, dd_accsrycalc!$A$2:$A$51, dd_accsrycalc!$B$2:$B$51, "",0), F785="10 x 2 1/2 S (Flat)", _xlfn.XLOOKUP(C785, dd_accsrycalc!$A$2:$A$51, dd_accsrycalc!$C$2:$C$51, "",0), F785="Tox6", _xlfn.XLOOKUP(C785, dd_accsrycalc!$A$2:$A$51, dd_accsrycalc!$D$2:$D$51, "",0), F785="Cover Cap", _xlfn.XLOOKUP(C785, dd_accsrycalc!$A$2:$A$51, dd_accsrycalc!$E$2:$E$51, "",0), F785="Drainage Cover", _xlfn.XLOOKUP(C785, dd_accsrycalc!$A$2:$A$51, dd_accsrycalc!$F$2:$F$51, "",0),AND( F785="Double Adhesive Tape", I785="Roll-up Screen"), _xlfn.XLOOKUP(C785, calc_rusacc!$C$15:$C$65, calc_rusacc!$AD$15:$AD$65, "",0),AND( F785="Sealant", I785="Roll-up Screen"), _xlfn.XLOOKUP(C785, calc_rusacc!$C$15:$C$65, calc_rusacc!$AF$15:$AF$65, "",0),  AND( F785="Main Chain", I785="Accordion Screen"), _xlfn.XLOOKUP(C785, calc_rusacc!$C$15:$C$65, calc_rusacc!$BF$15:$BF$65, "",0), AND( F785="Sealant", I785="Accordion Screen"), _xlfn.XLOOKUP(C785, calc_rusacc!$C$15:$C$65, calc_rusacc!$BJ$15:$BJ$65, "",0),  F785="Sealant", _xlfn.XLOOKUP(C785, dd_accsrycalc!$A$2:$A$51, dd_accsrycalc!$G$2:$G$51, "",0),  F785&lt;&gt;"",L785*_xlfn.XLOOKUP(1, (SKUs!$C$2:$C$10001=G785)*(SKUs!$K$2:$K$10001=I785),SKUs!$E$2:$E$10001)), 0),"")</f>
        <v/>
      </c>
      <c r="E785" s="16" t="str">
        <f>_xlfn.XLOOKUP(F785,dd_item!$B$2:$B$105,dd_item!$C$2:$C$105,"",0)</f>
        <v/>
      </c>
      <c r="F785" s="16"/>
      <c r="G785" s="16" cm="1">
        <f t="array" ref="G785">IFERROR(_xlfn.XLOOKUP(1, (SKUs!$J$2:$J$10001=accsry_unmerged!F785)*IF(H785&lt;&gt;"",(SKUs!$L$2:$L$10001=accsry_unmerged!H785),1)*(SKUs!$K$2:$K$10001=I785),SKUs!$C$2:$C$10001),"")</f>
        <v>0</v>
      </c>
      <c r="H785" s="33" cm="1">
        <f t="array" ref="H785">IFERROR(_xlfn.XLOOKUP(1, (dd_accsryclr!$C$2:$C$1000=accsry_unmerged!F785)*(dd_accsryclr!$B$2:$B$1000=accsry_unmerged!J785),dd_accsryclr!$A$2:$A$1000),"")</f>
        <v>0</v>
      </c>
      <c r="I785" s="16">
        <f>_xlfn.XLOOKUP(C785,'Project Details'!$C$17:$C$66,'Project Details'!$E$17:$E$66,"",0)</f>
        <v>0</v>
      </c>
      <c r="J785" s="16">
        <f>_xlfn.XLOOKUP(C785,'Project Details'!$C$17:$C$66,'Project Details'!$H$17:$H$66,"",0)</f>
        <v>0</v>
      </c>
      <c r="K785" s="33" t="str">
        <f>IF(AND(_xlfn.XLOOKUP(C785,'Project Details'!$C$17:$C$66,'Project Details'!$L$17:$L$66,"",0)&gt;550, F785="Spring-L27cm"),"",SUBSTITUTE(_xlfn.XLOOKUP(G785,SKUs!$C$2:$C$10001,SKUs!$F$2:$F$10001,"",0), " Accessories",""))</f>
        <v/>
      </c>
      <c r="L785" s="33">
        <f>_xlfn.XLOOKUP(C785,'Project Details'!$C$17:$C$66,'Project Details'!$D$17:$D$66,"",0)</f>
        <v>0</v>
      </c>
      <c r="M785" s="43"/>
    </row>
    <row r="786" spans="1:13" ht="13.5" customHeight="1" x14ac:dyDescent="0.25">
      <c r="A786" s="43"/>
      <c r="B786" s="43"/>
      <c r="C786" s="35">
        <f t="shared" si="14"/>
        <v>16</v>
      </c>
      <c r="D786" s="35" t="str" cm="1">
        <f t="array" ref="D786">IFERROR(ROUNDUP(_xlfn.IFS(F786="Aluminum Track", _xlfn.XLOOKUP(C786, dd_accsrycalc!$A$2:$A$51, dd_accsrycalc!$B$2:$B$51, "",0), F786="10 x 2 1/2 S (Flat)", _xlfn.XLOOKUP(C786, dd_accsrycalc!$A$2:$A$51, dd_accsrycalc!$C$2:$C$51, "",0), F786="Tox6", _xlfn.XLOOKUP(C786, dd_accsrycalc!$A$2:$A$51, dd_accsrycalc!$D$2:$D$51, "",0), F786="Cover Cap", _xlfn.XLOOKUP(C786, dd_accsrycalc!$A$2:$A$51, dd_accsrycalc!$E$2:$E$51, "",0), F786="Drainage Cover", _xlfn.XLOOKUP(C786, dd_accsrycalc!$A$2:$A$51, dd_accsrycalc!$F$2:$F$51, "",0),AND( F786="Double Adhesive Tape", I786="Roll-up Screen"), _xlfn.XLOOKUP(C786, calc_rusacc!$C$15:$C$65, calc_rusacc!$AD$15:$AD$65, "",0),AND( F786="Sealant", I786="Roll-up Screen"), _xlfn.XLOOKUP(C786, calc_rusacc!$C$15:$C$65, calc_rusacc!$AF$15:$AF$65, "",0),  AND( F786="Main Chain", I786="Accordion Screen"), _xlfn.XLOOKUP(C786, calc_rusacc!$C$15:$C$65, calc_rusacc!$BF$15:$BF$65, "",0), AND( F786="Sealant", I786="Accordion Screen"), _xlfn.XLOOKUP(C786, calc_rusacc!$C$15:$C$65, calc_rusacc!$BJ$15:$BJ$65, "",0),  F786="Sealant", _xlfn.XLOOKUP(C786, dd_accsrycalc!$A$2:$A$51, dd_accsrycalc!$G$2:$G$51, "",0),  F786&lt;&gt;"",L786*_xlfn.XLOOKUP(1, (SKUs!$C$2:$C$10001=G786)*(SKUs!$K$2:$K$10001=I786),SKUs!$E$2:$E$10001)), 0),"")</f>
        <v/>
      </c>
      <c r="E786" s="35" t="str">
        <f>_xlfn.XLOOKUP(F786,dd_item!$B$2:$B$105,dd_item!$C$2:$C$105,"",0)</f>
        <v/>
      </c>
      <c r="F786" s="35"/>
      <c r="G786" s="35" cm="1">
        <f t="array" ref="G786">IFERROR(_xlfn.XLOOKUP(1, (SKUs!$J$2:$J$10001=accsry_unmerged!F786)*IF(H786&lt;&gt;"",(SKUs!$L$2:$L$10001=accsry_unmerged!H786),1)*(SKUs!$K$2:$K$10001=I786),SKUs!$C$2:$C$10001),"")</f>
        <v>0</v>
      </c>
      <c r="H786" s="36" cm="1">
        <f t="array" ref="H786">IFERROR(_xlfn.XLOOKUP(1, (dd_accsryclr!$C$2:$C$1000=accsry_unmerged!F786)*(dd_accsryclr!$B$2:$B$1000=accsry_unmerged!J786),dd_accsryclr!$A$2:$A$1000),"")</f>
        <v>0</v>
      </c>
      <c r="I786" s="35">
        <f>_xlfn.XLOOKUP(C786,'Project Details'!$C$17:$C$66,'Project Details'!$E$17:$E$66,"",0)</f>
        <v>0</v>
      </c>
      <c r="J786" s="35">
        <f>_xlfn.XLOOKUP(C786,'Project Details'!$C$17:$C$66,'Project Details'!$H$17:$H$66,"",0)</f>
        <v>0</v>
      </c>
      <c r="K786" s="36" t="str">
        <f>IF(AND(_xlfn.XLOOKUP(C786,'Project Details'!$C$17:$C$66,'Project Details'!$L$17:$L$66,"",0)&gt;550, F786="Spring-L27cm"),"",SUBSTITUTE(_xlfn.XLOOKUP(G786,SKUs!$C$2:$C$10001,SKUs!$F$2:$F$10001,"",0), " Accessories",""))</f>
        <v/>
      </c>
      <c r="L786" s="36">
        <f>_xlfn.XLOOKUP(C786,'Project Details'!$C$17:$C$66,'Project Details'!$D$17:$D$66,"",0)</f>
        <v>0</v>
      </c>
      <c r="M786" s="43"/>
    </row>
    <row r="787" spans="1:13" ht="13.5" customHeight="1" x14ac:dyDescent="0.25">
      <c r="A787" s="43"/>
      <c r="B787" s="43"/>
      <c r="C787" s="16">
        <f t="shared" si="14"/>
        <v>16</v>
      </c>
      <c r="D787" s="16" t="str" cm="1">
        <f t="array" ref="D787">IFERROR(ROUNDUP(_xlfn.IFS(F787="Aluminum Track", _xlfn.XLOOKUP(C787, dd_accsrycalc!$A$2:$A$51, dd_accsrycalc!$B$2:$B$51, "",0), F787="10 x 2 1/2 S (Flat)", _xlfn.XLOOKUP(C787, dd_accsrycalc!$A$2:$A$51, dd_accsrycalc!$C$2:$C$51, "",0), F787="Tox6", _xlfn.XLOOKUP(C787, dd_accsrycalc!$A$2:$A$51, dd_accsrycalc!$D$2:$D$51, "",0), F787="Cover Cap", _xlfn.XLOOKUP(C787, dd_accsrycalc!$A$2:$A$51, dd_accsrycalc!$E$2:$E$51, "",0), F787="Drainage Cover", _xlfn.XLOOKUP(C787, dd_accsrycalc!$A$2:$A$51, dd_accsrycalc!$F$2:$F$51, "",0),AND( F787="Double Adhesive Tape", I787="Roll-up Screen"), _xlfn.XLOOKUP(C787, calc_rusacc!$C$15:$C$65, calc_rusacc!$AD$15:$AD$65, "",0),AND( F787="Sealant", I787="Roll-up Screen"), _xlfn.XLOOKUP(C787, calc_rusacc!$C$15:$C$65, calc_rusacc!$AF$15:$AF$65, "",0),  AND( F787="Main Chain", I787="Accordion Screen"), _xlfn.XLOOKUP(C787, calc_rusacc!$C$15:$C$65, calc_rusacc!$BF$15:$BF$65, "",0), AND( F787="Sealant", I787="Accordion Screen"), _xlfn.XLOOKUP(C787, calc_rusacc!$C$15:$C$65, calc_rusacc!$BJ$15:$BJ$65, "",0),  F787="Sealant", _xlfn.XLOOKUP(C787, dd_accsrycalc!$A$2:$A$51, dd_accsrycalc!$G$2:$G$51, "",0),  F787&lt;&gt;"",L787*_xlfn.XLOOKUP(1, (SKUs!$C$2:$C$10001=G787)*(SKUs!$K$2:$K$10001=I787),SKUs!$E$2:$E$10001)), 0),"")</f>
        <v/>
      </c>
      <c r="E787" s="16" t="str">
        <f>_xlfn.XLOOKUP(F787,dd_item!$B$2:$B$105,dd_item!$C$2:$C$105,"",0)</f>
        <v/>
      </c>
      <c r="F787" s="16"/>
      <c r="G787" s="16" cm="1">
        <f t="array" ref="G787">IFERROR(_xlfn.XLOOKUP(1, (SKUs!$J$2:$J$10001=accsry_unmerged!F787)*IF(H787&lt;&gt;"",(SKUs!$L$2:$L$10001=accsry_unmerged!H787),1)*(SKUs!$K$2:$K$10001=I787),SKUs!$C$2:$C$10001),"")</f>
        <v>0</v>
      </c>
      <c r="H787" s="33" cm="1">
        <f t="array" ref="H787">IFERROR(_xlfn.XLOOKUP(1, (dd_accsryclr!$C$2:$C$1000=accsry_unmerged!F787)*(dd_accsryclr!$B$2:$B$1000=accsry_unmerged!J787),dd_accsryclr!$A$2:$A$1000),"")</f>
        <v>0</v>
      </c>
      <c r="I787" s="16">
        <f>_xlfn.XLOOKUP(C787,'Project Details'!$C$17:$C$66,'Project Details'!$E$17:$E$66,"",0)</f>
        <v>0</v>
      </c>
      <c r="J787" s="16">
        <f>_xlfn.XLOOKUP(C787,'Project Details'!$C$17:$C$66,'Project Details'!$H$17:$H$66,"",0)</f>
        <v>0</v>
      </c>
      <c r="K787" s="33" t="str">
        <f>IF(AND(_xlfn.XLOOKUP(C787,'Project Details'!$C$17:$C$66,'Project Details'!$L$17:$L$66,"",0)&gt;550, F787="Spring-L27cm"),"",SUBSTITUTE(_xlfn.XLOOKUP(G787,SKUs!$C$2:$C$10001,SKUs!$F$2:$F$10001,"",0), " Accessories",""))</f>
        <v/>
      </c>
      <c r="L787" s="33">
        <f>_xlfn.XLOOKUP(C787,'Project Details'!$C$17:$C$66,'Project Details'!$D$17:$D$66,"",0)</f>
        <v>0</v>
      </c>
      <c r="M787" s="43"/>
    </row>
    <row r="788" spans="1:13" ht="13.5" customHeight="1" x14ac:dyDescent="0.25">
      <c r="A788" s="43"/>
      <c r="B788" s="43"/>
      <c r="C788" s="35">
        <f t="shared" si="14"/>
        <v>16</v>
      </c>
      <c r="D788" s="35" t="str" cm="1">
        <f t="array" ref="D788">IFERROR(ROUNDUP(_xlfn.IFS(F788="Aluminum Track", _xlfn.XLOOKUP(C788, dd_accsrycalc!$A$2:$A$51, dd_accsrycalc!$B$2:$B$51, "",0), F788="10 x 2 1/2 S (Flat)", _xlfn.XLOOKUP(C788, dd_accsrycalc!$A$2:$A$51, dd_accsrycalc!$C$2:$C$51, "",0), F788="Tox6", _xlfn.XLOOKUP(C788, dd_accsrycalc!$A$2:$A$51, dd_accsrycalc!$D$2:$D$51, "",0), F788="Cover Cap", _xlfn.XLOOKUP(C788, dd_accsrycalc!$A$2:$A$51, dd_accsrycalc!$E$2:$E$51, "",0), F788="Drainage Cover", _xlfn.XLOOKUP(C788, dd_accsrycalc!$A$2:$A$51, dd_accsrycalc!$F$2:$F$51, "",0),AND( F788="Double Adhesive Tape", I788="Roll-up Screen"), _xlfn.XLOOKUP(C788, calc_rusacc!$C$15:$C$65, calc_rusacc!$AD$15:$AD$65, "",0),AND( F788="Sealant", I788="Roll-up Screen"), _xlfn.XLOOKUP(C788, calc_rusacc!$C$15:$C$65, calc_rusacc!$AF$15:$AF$65, "",0),  AND( F788="Main Chain", I788="Accordion Screen"), _xlfn.XLOOKUP(C788, calc_rusacc!$C$15:$C$65, calc_rusacc!$BF$15:$BF$65, "",0), AND( F788="Sealant", I788="Accordion Screen"), _xlfn.XLOOKUP(C788, calc_rusacc!$C$15:$C$65, calc_rusacc!$BJ$15:$BJ$65, "",0),  F788="Sealant", _xlfn.XLOOKUP(C788, dd_accsrycalc!$A$2:$A$51, dd_accsrycalc!$G$2:$G$51, "",0),  F788&lt;&gt;"",L788*_xlfn.XLOOKUP(1, (SKUs!$C$2:$C$10001=G788)*(SKUs!$K$2:$K$10001=I788),SKUs!$E$2:$E$10001)), 0),"")</f>
        <v/>
      </c>
      <c r="E788" s="35" t="str">
        <f>_xlfn.XLOOKUP(F788,dd_item!$B$2:$B$105,dd_item!$C$2:$C$105,"",0)</f>
        <v/>
      </c>
      <c r="F788" s="35"/>
      <c r="G788" s="35" cm="1">
        <f t="array" ref="G788">IFERROR(_xlfn.XLOOKUP(1, (SKUs!$J$2:$J$10001=accsry_unmerged!F788)*IF(H788&lt;&gt;"",(SKUs!$L$2:$L$10001=accsry_unmerged!H788),1)*(SKUs!$K$2:$K$10001=I788),SKUs!$C$2:$C$10001),"")</f>
        <v>0</v>
      </c>
      <c r="H788" s="36" cm="1">
        <f t="array" ref="H788">IFERROR(_xlfn.XLOOKUP(1, (dd_accsryclr!$C$2:$C$1000=accsry_unmerged!F788)*(dd_accsryclr!$B$2:$B$1000=accsry_unmerged!J788),dd_accsryclr!$A$2:$A$1000),"")</f>
        <v>0</v>
      </c>
      <c r="I788" s="35">
        <f>_xlfn.XLOOKUP(C788,'Project Details'!$C$17:$C$66,'Project Details'!$E$17:$E$66,"",0)</f>
        <v>0</v>
      </c>
      <c r="J788" s="35">
        <f>_xlfn.XLOOKUP(C788,'Project Details'!$C$17:$C$66,'Project Details'!$H$17:$H$66,"",0)</f>
        <v>0</v>
      </c>
      <c r="K788" s="36" t="str">
        <f>IF(AND(_xlfn.XLOOKUP(C788,'Project Details'!$C$17:$C$66,'Project Details'!$L$17:$L$66,"",0)&gt;550, F788="Spring-L27cm"),"",SUBSTITUTE(_xlfn.XLOOKUP(G788,SKUs!$C$2:$C$10001,SKUs!$F$2:$F$10001,"",0), " Accessories",""))</f>
        <v/>
      </c>
      <c r="L788" s="36">
        <f>_xlfn.XLOOKUP(C788,'Project Details'!$C$17:$C$66,'Project Details'!$D$17:$D$66,"",0)</f>
        <v>0</v>
      </c>
      <c r="M788" s="43"/>
    </row>
    <row r="789" spans="1:13" ht="13.5" customHeight="1" x14ac:dyDescent="0.25">
      <c r="A789" s="43"/>
      <c r="B789" s="43"/>
      <c r="C789" s="16">
        <f t="shared" si="14"/>
        <v>16</v>
      </c>
      <c r="D789" s="16" t="str" cm="1">
        <f t="array" ref="D789">IFERROR(ROUNDUP(_xlfn.IFS(F789="Aluminum Track", _xlfn.XLOOKUP(C789, dd_accsrycalc!$A$2:$A$51, dd_accsrycalc!$B$2:$B$51, "",0), F789="10 x 2 1/2 S (Flat)", _xlfn.XLOOKUP(C789, dd_accsrycalc!$A$2:$A$51, dd_accsrycalc!$C$2:$C$51, "",0), F789="Tox6", _xlfn.XLOOKUP(C789, dd_accsrycalc!$A$2:$A$51, dd_accsrycalc!$D$2:$D$51, "",0), F789="Cover Cap", _xlfn.XLOOKUP(C789, dd_accsrycalc!$A$2:$A$51, dd_accsrycalc!$E$2:$E$51, "",0), F789="Drainage Cover", _xlfn.XLOOKUP(C789, dd_accsrycalc!$A$2:$A$51, dd_accsrycalc!$F$2:$F$51, "",0),AND( F789="Double Adhesive Tape", I789="Roll-up Screen"), _xlfn.XLOOKUP(C789, calc_rusacc!$C$15:$C$65, calc_rusacc!$AD$15:$AD$65, "",0),AND( F789="Sealant", I789="Roll-up Screen"), _xlfn.XLOOKUP(C789, calc_rusacc!$C$15:$C$65, calc_rusacc!$AF$15:$AF$65, "",0),  AND( F789="Main Chain", I789="Accordion Screen"), _xlfn.XLOOKUP(C789, calc_rusacc!$C$15:$C$65, calc_rusacc!$BF$15:$BF$65, "",0), AND( F789="Sealant", I789="Accordion Screen"), _xlfn.XLOOKUP(C789, calc_rusacc!$C$15:$C$65, calc_rusacc!$BJ$15:$BJ$65, "",0),  F789="Sealant", _xlfn.XLOOKUP(C789, dd_accsrycalc!$A$2:$A$51, dd_accsrycalc!$G$2:$G$51, "",0),  F789&lt;&gt;"",L789*_xlfn.XLOOKUP(1, (SKUs!$C$2:$C$10001=G789)*(SKUs!$K$2:$K$10001=I789),SKUs!$E$2:$E$10001)), 0),"")</f>
        <v/>
      </c>
      <c r="E789" s="16" t="str">
        <f>_xlfn.XLOOKUP(F789,dd_item!$B$2:$B$105,dd_item!$C$2:$C$105,"",0)</f>
        <v/>
      </c>
      <c r="F789" s="16"/>
      <c r="G789" s="16" cm="1">
        <f t="array" ref="G789">IFERROR(_xlfn.XLOOKUP(1, (SKUs!$J$2:$J$10001=accsry_unmerged!F789)*IF(H789&lt;&gt;"",(SKUs!$L$2:$L$10001=accsry_unmerged!H789),1)*(SKUs!$K$2:$K$10001=I789),SKUs!$C$2:$C$10001),"")</f>
        <v>0</v>
      </c>
      <c r="H789" s="33" cm="1">
        <f t="array" ref="H789">IFERROR(_xlfn.XLOOKUP(1, (dd_accsryclr!$C$2:$C$1000=accsry_unmerged!F789)*(dd_accsryclr!$B$2:$B$1000=accsry_unmerged!J789),dd_accsryclr!$A$2:$A$1000),"")</f>
        <v>0</v>
      </c>
      <c r="I789" s="16">
        <f>_xlfn.XLOOKUP(C789,'Project Details'!$C$17:$C$66,'Project Details'!$E$17:$E$66,"",0)</f>
        <v>0</v>
      </c>
      <c r="J789" s="16">
        <f>_xlfn.XLOOKUP(C789,'Project Details'!$C$17:$C$66,'Project Details'!$H$17:$H$66,"",0)</f>
        <v>0</v>
      </c>
      <c r="K789" s="33" t="str">
        <f>IF(AND(_xlfn.XLOOKUP(C789,'Project Details'!$C$17:$C$66,'Project Details'!$L$17:$L$66,"",0)&gt;550, F789="Spring-L27cm"),"",SUBSTITUTE(_xlfn.XLOOKUP(G789,SKUs!$C$2:$C$10001,SKUs!$F$2:$F$10001,"",0), " Accessories",""))</f>
        <v/>
      </c>
      <c r="L789" s="33">
        <f>_xlfn.XLOOKUP(C789,'Project Details'!$C$17:$C$66,'Project Details'!$D$17:$D$66,"",0)</f>
        <v>0</v>
      </c>
      <c r="M789" s="43"/>
    </row>
    <row r="790" spans="1:13" ht="13.5" customHeight="1" x14ac:dyDescent="0.25">
      <c r="A790" s="43"/>
      <c r="B790" s="43"/>
      <c r="C790" s="35">
        <f t="shared" si="14"/>
        <v>16</v>
      </c>
      <c r="D790" s="35" t="str" cm="1">
        <f t="array" ref="D790">IFERROR(ROUNDUP(_xlfn.IFS(F790="Aluminum Track", _xlfn.XLOOKUP(C790, dd_accsrycalc!$A$2:$A$51, dd_accsrycalc!$B$2:$B$51, "",0), F790="10 x 2 1/2 S (Flat)", _xlfn.XLOOKUP(C790, dd_accsrycalc!$A$2:$A$51, dd_accsrycalc!$C$2:$C$51, "",0), F790="Tox6", _xlfn.XLOOKUP(C790, dd_accsrycalc!$A$2:$A$51, dd_accsrycalc!$D$2:$D$51, "",0), F790="Cover Cap", _xlfn.XLOOKUP(C790, dd_accsrycalc!$A$2:$A$51, dd_accsrycalc!$E$2:$E$51, "",0), F790="Drainage Cover", _xlfn.XLOOKUP(C790, dd_accsrycalc!$A$2:$A$51, dd_accsrycalc!$F$2:$F$51, "",0),AND( F790="Double Adhesive Tape", I790="Roll-up Screen"), _xlfn.XLOOKUP(C790, calc_rusacc!$C$15:$C$65, calc_rusacc!$AD$15:$AD$65, "",0),AND( F790="Sealant", I790="Roll-up Screen"), _xlfn.XLOOKUP(C790, calc_rusacc!$C$15:$C$65, calc_rusacc!$AF$15:$AF$65, "",0),  AND( F790="Main Chain", I790="Accordion Screen"), _xlfn.XLOOKUP(C790, calc_rusacc!$C$15:$C$65, calc_rusacc!$BF$15:$BF$65, "",0), AND( F790="Sealant", I790="Accordion Screen"), _xlfn.XLOOKUP(C790, calc_rusacc!$C$15:$C$65, calc_rusacc!$BJ$15:$BJ$65, "",0),  F790="Sealant", _xlfn.XLOOKUP(C790, dd_accsrycalc!$A$2:$A$51, dd_accsrycalc!$G$2:$G$51, "",0),  F790&lt;&gt;"",L790*_xlfn.XLOOKUP(1, (SKUs!$C$2:$C$10001=G790)*(SKUs!$K$2:$K$10001=I790),SKUs!$E$2:$E$10001)), 0),"")</f>
        <v/>
      </c>
      <c r="E790" s="35" t="str">
        <f>_xlfn.XLOOKUP(F790,dd_item!$B$2:$B$105,dd_item!$C$2:$C$105,"",0)</f>
        <v/>
      </c>
      <c r="F790" s="35"/>
      <c r="G790" s="35" cm="1">
        <f t="array" ref="G790">IFERROR(_xlfn.XLOOKUP(1, (SKUs!$J$2:$J$10001=accsry_unmerged!F790)*IF(H790&lt;&gt;"",(SKUs!$L$2:$L$10001=accsry_unmerged!H790),1)*(SKUs!$K$2:$K$10001=I790),SKUs!$C$2:$C$10001),"")</f>
        <v>0</v>
      </c>
      <c r="H790" s="36" cm="1">
        <f t="array" ref="H790">IFERROR(_xlfn.XLOOKUP(1, (dd_accsryclr!$C$2:$C$1000=accsry_unmerged!F790)*(dd_accsryclr!$B$2:$B$1000=accsry_unmerged!J790),dd_accsryclr!$A$2:$A$1000),"")</f>
        <v>0</v>
      </c>
      <c r="I790" s="35">
        <f>_xlfn.XLOOKUP(C790,'Project Details'!$C$17:$C$66,'Project Details'!$E$17:$E$66,"",0)</f>
        <v>0</v>
      </c>
      <c r="J790" s="35">
        <f>_xlfn.XLOOKUP(C790,'Project Details'!$C$17:$C$66,'Project Details'!$H$17:$H$66,"",0)</f>
        <v>0</v>
      </c>
      <c r="K790" s="36" t="str">
        <f>IF(AND(_xlfn.XLOOKUP(C790,'Project Details'!$C$17:$C$66,'Project Details'!$L$17:$L$66,"",0)&gt;550, F790="Spring-L27cm"),"",SUBSTITUTE(_xlfn.XLOOKUP(G790,SKUs!$C$2:$C$10001,SKUs!$F$2:$F$10001,"",0), " Accessories",""))</f>
        <v/>
      </c>
      <c r="L790" s="36">
        <f>_xlfn.XLOOKUP(C790,'Project Details'!$C$17:$C$66,'Project Details'!$D$17:$D$66,"",0)</f>
        <v>0</v>
      </c>
      <c r="M790" s="43"/>
    </row>
    <row r="791" spans="1:13" ht="13.5" customHeight="1" x14ac:dyDescent="0.25">
      <c r="A791" s="43"/>
      <c r="B791" s="43"/>
      <c r="C791" s="16">
        <f t="shared" si="14"/>
        <v>16</v>
      </c>
      <c r="D791" s="16" t="str" cm="1">
        <f t="array" ref="D791">IFERROR(ROUNDUP(_xlfn.IFS(F791="Aluminum Track", _xlfn.XLOOKUP(C791, dd_accsrycalc!$A$2:$A$51, dd_accsrycalc!$B$2:$B$51, "",0), F791="10 x 2 1/2 S (Flat)", _xlfn.XLOOKUP(C791, dd_accsrycalc!$A$2:$A$51, dd_accsrycalc!$C$2:$C$51, "",0), F791="Tox6", _xlfn.XLOOKUP(C791, dd_accsrycalc!$A$2:$A$51, dd_accsrycalc!$D$2:$D$51, "",0), F791="Cover Cap", _xlfn.XLOOKUP(C791, dd_accsrycalc!$A$2:$A$51, dd_accsrycalc!$E$2:$E$51, "",0), F791="Drainage Cover", _xlfn.XLOOKUP(C791, dd_accsrycalc!$A$2:$A$51, dd_accsrycalc!$F$2:$F$51, "",0),AND( F791="Double Adhesive Tape", I791="Roll-up Screen"), _xlfn.XLOOKUP(C791, calc_rusacc!$C$15:$C$65, calc_rusacc!$AD$15:$AD$65, "",0),AND( F791="Sealant", I791="Roll-up Screen"), _xlfn.XLOOKUP(C791, calc_rusacc!$C$15:$C$65, calc_rusacc!$AF$15:$AF$65, "",0),  AND( F791="Main Chain", I791="Accordion Screen"), _xlfn.XLOOKUP(C791, calc_rusacc!$C$15:$C$65, calc_rusacc!$BF$15:$BF$65, "",0), AND( F791="Sealant", I791="Accordion Screen"), _xlfn.XLOOKUP(C791, calc_rusacc!$C$15:$C$65, calc_rusacc!$BJ$15:$BJ$65, "",0),  F791="Sealant", _xlfn.XLOOKUP(C791, dd_accsrycalc!$A$2:$A$51, dd_accsrycalc!$G$2:$G$51, "",0),  F791&lt;&gt;"",L791*_xlfn.XLOOKUP(1, (SKUs!$C$2:$C$10001=G791)*(SKUs!$K$2:$K$10001=I791),SKUs!$E$2:$E$10001)), 0),"")</f>
        <v/>
      </c>
      <c r="E791" s="16" t="str">
        <f>_xlfn.XLOOKUP(F791,dd_item!$B$2:$B$105,dd_item!$C$2:$C$105,"",0)</f>
        <v/>
      </c>
      <c r="F791" s="16"/>
      <c r="G791" s="16" cm="1">
        <f t="array" ref="G791">IFERROR(_xlfn.XLOOKUP(1, (SKUs!$J$2:$J$10001=accsry_unmerged!F791)*IF(H791&lt;&gt;"",(SKUs!$L$2:$L$10001=accsry_unmerged!H791),1)*(SKUs!$K$2:$K$10001=I791),SKUs!$C$2:$C$10001),"")</f>
        <v>0</v>
      </c>
      <c r="H791" s="33" cm="1">
        <f t="array" ref="H791">IFERROR(_xlfn.XLOOKUP(1, (dd_accsryclr!$C$2:$C$1000=accsry_unmerged!F791)*(dd_accsryclr!$B$2:$B$1000=accsry_unmerged!J791),dd_accsryclr!$A$2:$A$1000),"")</f>
        <v>0</v>
      </c>
      <c r="I791" s="16">
        <f>_xlfn.XLOOKUP(C791,'Project Details'!$C$17:$C$66,'Project Details'!$E$17:$E$66,"",0)</f>
        <v>0</v>
      </c>
      <c r="J791" s="16">
        <f>_xlfn.XLOOKUP(C791,'Project Details'!$C$17:$C$66,'Project Details'!$H$17:$H$66,"",0)</f>
        <v>0</v>
      </c>
      <c r="K791" s="33" t="str">
        <f>IF(AND(_xlfn.XLOOKUP(C791,'Project Details'!$C$17:$C$66,'Project Details'!$L$17:$L$66,"",0)&gt;550, F791="Spring-L27cm"),"",SUBSTITUTE(_xlfn.XLOOKUP(G791,SKUs!$C$2:$C$10001,SKUs!$F$2:$F$10001,"",0), " Accessories",""))</f>
        <v/>
      </c>
      <c r="L791" s="33">
        <f>_xlfn.XLOOKUP(C791,'Project Details'!$C$17:$C$66,'Project Details'!$D$17:$D$66,"",0)</f>
        <v>0</v>
      </c>
      <c r="M791" s="43"/>
    </row>
    <row r="792" spans="1:13" ht="13.5" customHeight="1" x14ac:dyDescent="0.25">
      <c r="A792" s="43"/>
      <c r="B792" s="43"/>
      <c r="C792" s="35">
        <f t="shared" si="14"/>
        <v>16</v>
      </c>
      <c r="D792" s="35" t="str" cm="1">
        <f t="array" ref="D792">IFERROR(ROUNDUP(_xlfn.IFS(F792="Aluminum Track", _xlfn.XLOOKUP(C792, dd_accsrycalc!$A$2:$A$51, dd_accsrycalc!$B$2:$B$51, "",0), F792="10 x 2 1/2 S (Flat)", _xlfn.XLOOKUP(C792, dd_accsrycalc!$A$2:$A$51, dd_accsrycalc!$C$2:$C$51, "",0), F792="Tox6", _xlfn.XLOOKUP(C792, dd_accsrycalc!$A$2:$A$51, dd_accsrycalc!$D$2:$D$51, "",0), F792="Cover Cap", _xlfn.XLOOKUP(C792, dd_accsrycalc!$A$2:$A$51, dd_accsrycalc!$E$2:$E$51, "",0), F792="Drainage Cover", _xlfn.XLOOKUP(C792, dd_accsrycalc!$A$2:$A$51, dd_accsrycalc!$F$2:$F$51, "",0),AND( F792="Double Adhesive Tape", I792="Roll-up Screen"), _xlfn.XLOOKUP(C792, calc_rusacc!$C$15:$C$65, calc_rusacc!$AD$15:$AD$65, "",0),AND( F792="Sealant", I792="Roll-up Screen"), _xlfn.XLOOKUP(C792, calc_rusacc!$C$15:$C$65, calc_rusacc!$AF$15:$AF$65, "",0),  AND( F792="Main Chain", I792="Accordion Screen"), _xlfn.XLOOKUP(C792, calc_rusacc!$C$15:$C$65, calc_rusacc!$BF$15:$BF$65, "",0), AND( F792="Sealant", I792="Accordion Screen"), _xlfn.XLOOKUP(C792, calc_rusacc!$C$15:$C$65, calc_rusacc!$BJ$15:$BJ$65, "",0),  F792="Sealant", _xlfn.XLOOKUP(C792, dd_accsrycalc!$A$2:$A$51, dd_accsrycalc!$G$2:$G$51, "",0),  F792&lt;&gt;"",L792*_xlfn.XLOOKUP(1, (SKUs!$C$2:$C$10001=G792)*(SKUs!$K$2:$K$10001=I792),SKUs!$E$2:$E$10001)), 0),"")</f>
        <v/>
      </c>
      <c r="E792" s="35" t="str">
        <f>_xlfn.XLOOKUP(F792,dd_item!$B$2:$B$105,dd_item!$C$2:$C$105,"",0)</f>
        <v/>
      </c>
      <c r="F792" s="35"/>
      <c r="G792" s="35" cm="1">
        <f t="array" ref="G792">IFERROR(_xlfn.XLOOKUP(1, (SKUs!$J$2:$J$10001=accsry_unmerged!F792)*IF(H792&lt;&gt;"",(SKUs!$L$2:$L$10001=accsry_unmerged!H792),1)*(SKUs!$K$2:$K$10001=I792),SKUs!$C$2:$C$10001),"")</f>
        <v>0</v>
      </c>
      <c r="H792" s="36" cm="1">
        <f t="array" ref="H792">IFERROR(_xlfn.XLOOKUP(1, (dd_accsryclr!$C$2:$C$1000=accsry_unmerged!F792)*(dd_accsryclr!$B$2:$B$1000=accsry_unmerged!J792),dd_accsryclr!$A$2:$A$1000),"")</f>
        <v>0</v>
      </c>
      <c r="I792" s="35">
        <f>_xlfn.XLOOKUP(C792,'Project Details'!$C$17:$C$66,'Project Details'!$E$17:$E$66,"",0)</f>
        <v>0</v>
      </c>
      <c r="J792" s="35">
        <f>_xlfn.XLOOKUP(C792,'Project Details'!$C$17:$C$66,'Project Details'!$H$17:$H$66,"",0)</f>
        <v>0</v>
      </c>
      <c r="K792" s="36" t="str">
        <f>IF(AND(_xlfn.XLOOKUP(C792,'Project Details'!$C$17:$C$66,'Project Details'!$L$17:$L$66,"",0)&gt;550, F792="Spring-L27cm"),"",SUBSTITUTE(_xlfn.XLOOKUP(G792,SKUs!$C$2:$C$10001,SKUs!$F$2:$F$10001,"",0), " Accessories",""))</f>
        <v/>
      </c>
      <c r="L792" s="36">
        <f>_xlfn.XLOOKUP(C792,'Project Details'!$C$17:$C$66,'Project Details'!$D$17:$D$66,"",0)</f>
        <v>0</v>
      </c>
      <c r="M792" s="43"/>
    </row>
    <row r="793" spans="1:13" ht="13.5" customHeight="1" x14ac:dyDescent="0.25">
      <c r="A793" s="43"/>
      <c r="B793" s="43"/>
      <c r="C793" s="16">
        <f t="shared" si="14"/>
        <v>16</v>
      </c>
      <c r="D793" s="16" t="str" cm="1">
        <f t="array" ref="D793">IFERROR(ROUNDUP(_xlfn.IFS(F793="Aluminum Track", _xlfn.XLOOKUP(C793, dd_accsrycalc!$A$2:$A$51, dd_accsrycalc!$B$2:$B$51, "",0), F793="10 x 2 1/2 S (Flat)", _xlfn.XLOOKUP(C793, dd_accsrycalc!$A$2:$A$51, dd_accsrycalc!$C$2:$C$51, "",0), F793="Tox6", _xlfn.XLOOKUP(C793, dd_accsrycalc!$A$2:$A$51, dd_accsrycalc!$D$2:$D$51, "",0), F793="Cover Cap", _xlfn.XLOOKUP(C793, dd_accsrycalc!$A$2:$A$51, dd_accsrycalc!$E$2:$E$51, "",0), F793="Drainage Cover", _xlfn.XLOOKUP(C793, dd_accsrycalc!$A$2:$A$51, dd_accsrycalc!$F$2:$F$51, "",0),AND( F793="Double Adhesive Tape", I793="Roll-up Screen"), _xlfn.XLOOKUP(C793, calc_rusacc!$C$15:$C$65, calc_rusacc!$AD$15:$AD$65, "",0),AND( F793="Sealant", I793="Roll-up Screen"), _xlfn.XLOOKUP(C793, calc_rusacc!$C$15:$C$65, calc_rusacc!$AF$15:$AF$65, "",0),  AND( F793="Main Chain", I793="Accordion Screen"), _xlfn.XLOOKUP(C793, calc_rusacc!$C$15:$C$65, calc_rusacc!$BF$15:$BF$65, "",0), AND( F793="Sealant", I793="Accordion Screen"), _xlfn.XLOOKUP(C793, calc_rusacc!$C$15:$C$65, calc_rusacc!$BJ$15:$BJ$65, "",0),  F793="Sealant", _xlfn.XLOOKUP(C793, dd_accsrycalc!$A$2:$A$51, dd_accsrycalc!$G$2:$G$51, "",0),  F793&lt;&gt;"",L793*_xlfn.XLOOKUP(1, (SKUs!$C$2:$C$10001=G793)*(SKUs!$K$2:$K$10001=I793),SKUs!$E$2:$E$10001)), 0),"")</f>
        <v/>
      </c>
      <c r="E793" s="16" t="str">
        <f>_xlfn.XLOOKUP(F793,dd_item!$B$2:$B$105,dd_item!$C$2:$C$105,"",0)</f>
        <v/>
      </c>
      <c r="F793" s="16"/>
      <c r="G793" s="16" cm="1">
        <f t="array" ref="G793">IFERROR(_xlfn.XLOOKUP(1, (SKUs!$J$2:$J$10001=accsry_unmerged!F793)*IF(H793&lt;&gt;"",(SKUs!$L$2:$L$10001=accsry_unmerged!H793),1)*(SKUs!$K$2:$K$10001=I793),SKUs!$C$2:$C$10001),"")</f>
        <v>0</v>
      </c>
      <c r="H793" s="33" cm="1">
        <f t="array" ref="H793">IFERROR(_xlfn.XLOOKUP(1, (dd_accsryclr!$C$2:$C$1000=accsry_unmerged!F793)*(dd_accsryclr!$B$2:$B$1000=accsry_unmerged!J793),dd_accsryclr!$A$2:$A$1000),"")</f>
        <v>0</v>
      </c>
      <c r="I793" s="16">
        <f>_xlfn.XLOOKUP(C793,'Project Details'!$C$17:$C$66,'Project Details'!$E$17:$E$66,"",0)</f>
        <v>0</v>
      </c>
      <c r="J793" s="16">
        <f>_xlfn.XLOOKUP(C793,'Project Details'!$C$17:$C$66,'Project Details'!$H$17:$H$66,"",0)</f>
        <v>0</v>
      </c>
      <c r="K793" s="33" t="str">
        <f>IF(AND(_xlfn.XLOOKUP(C793,'Project Details'!$C$17:$C$66,'Project Details'!$L$17:$L$66,"",0)&gt;550, F793="Spring-L27cm"),"",SUBSTITUTE(_xlfn.XLOOKUP(G793,SKUs!$C$2:$C$10001,SKUs!$F$2:$F$10001,"",0), " Accessories",""))</f>
        <v/>
      </c>
      <c r="L793" s="33">
        <f>_xlfn.XLOOKUP(C793,'Project Details'!$C$17:$C$66,'Project Details'!$D$17:$D$66,"",0)</f>
        <v>0</v>
      </c>
      <c r="M793" s="43"/>
    </row>
    <row r="794" spans="1:13" ht="13.5" customHeight="1" x14ac:dyDescent="0.25">
      <c r="A794" s="43"/>
      <c r="B794" s="43"/>
      <c r="C794" s="35">
        <f t="shared" si="14"/>
        <v>16</v>
      </c>
      <c r="D794" s="35" t="str" cm="1">
        <f t="array" ref="D794">IFERROR(ROUNDUP(_xlfn.IFS(F794="Aluminum Track", _xlfn.XLOOKUP(C794, dd_accsrycalc!$A$2:$A$51, dd_accsrycalc!$B$2:$B$51, "",0), F794="10 x 2 1/2 S (Flat)", _xlfn.XLOOKUP(C794, dd_accsrycalc!$A$2:$A$51, dd_accsrycalc!$C$2:$C$51, "",0), F794="Tox6", _xlfn.XLOOKUP(C794, dd_accsrycalc!$A$2:$A$51, dd_accsrycalc!$D$2:$D$51, "",0), F794="Cover Cap", _xlfn.XLOOKUP(C794, dd_accsrycalc!$A$2:$A$51, dd_accsrycalc!$E$2:$E$51, "",0), F794="Drainage Cover", _xlfn.XLOOKUP(C794, dd_accsrycalc!$A$2:$A$51, dd_accsrycalc!$F$2:$F$51, "",0),AND( F794="Double Adhesive Tape", I794="Roll-up Screen"), _xlfn.XLOOKUP(C794, calc_rusacc!$C$15:$C$65, calc_rusacc!$AD$15:$AD$65, "",0),AND( F794="Sealant", I794="Roll-up Screen"), _xlfn.XLOOKUP(C794, calc_rusacc!$C$15:$C$65, calc_rusacc!$AF$15:$AF$65, "",0),  AND( F794="Main Chain", I794="Accordion Screen"), _xlfn.XLOOKUP(C794, calc_rusacc!$C$15:$C$65, calc_rusacc!$BF$15:$BF$65, "",0), AND( F794="Sealant", I794="Accordion Screen"), _xlfn.XLOOKUP(C794, calc_rusacc!$C$15:$C$65, calc_rusacc!$BJ$15:$BJ$65, "",0),  F794="Sealant", _xlfn.XLOOKUP(C794, dd_accsrycalc!$A$2:$A$51, dd_accsrycalc!$G$2:$G$51, "",0),  F794&lt;&gt;"",L794*_xlfn.XLOOKUP(1, (SKUs!$C$2:$C$10001=G794)*(SKUs!$K$2:$K$10001=I794),SKUs!$E$2:$E$10001)), 0),"")</f>
        <v/>
      </c>
      <c r="E794" s="35" t="str">
        <f>_xlfn.XLOOKUP(F794,dd_item!$B$2:$B$105,dd_item!$C$2:$C$105,"",0)</f>
        <v/>
      </c>
      <c r="F794" s="35"/>
      <c r="G794" s="35" cm="1">
        <f t="array" ref="G794">IFERROR(_xlfn.XLOOKUP(1, (SKUs!$J$2:$J$10001=accsry_unmerged!F794)*IF(H794&lt;&gt;"",(SKUs!$L$2:$L$10001=accsry_unmerged!H794),1)*(SKUs!$K$2:$K$10001=I794),SKUs!$C$2:$C$10001),"")</f>
        <v>0</v>
      </c>
      <c r="H794" s="36" cm="1">
        <f t="array" ref="H794">IFERROR(_xlfn.XLOOKUP(1, (dd_accsryclr!$C$2:$C$1000=accsry_unmerged!F794)*(dd_accsryclr!$B$2:$B$1000=accsry_unmerged!J794),dd_accsryclr!$A$2:$A$1000),"")</f>
        <v>0</v>
      </c>
      <c r="I794" s="35">
        <f>_xlfn.XLOOKUP(C794,'Project Details'!$C$17:$C$66,'Project Details'!$E$17:$E$66,"",0)</f>
        <v>0</v>
      </c>
      <c r="J794" s="35">
        <f>_xlfn.XLOOKUP(C794,'Project Details'!$C$17:$C$66,'Project Details'!$H$17:$H$66,"",0)</f>
        <v>0</v>
      </c>
      <c r="K794" s="36" t="str">
        <f>IF(AND(_xlfn.XLOOKUP(C794,'Project Details'!$C$17:$C$66,'Project Details'!$L$17:$L$66,"",0)&gt;550, F794="Spring-L27cm"),"",SUBSTITUTE(_xlfn.XLOOKUP(G794,SKUs!$C$2:$C$10001,SKUs!$F$2:$F$10001,"",0), " Accessories",""))</f>
        <v/>
      </c>
      <c r="L794" s="36">
        <f>_xlfn.XLOOKUP(C794,'Project Details'!$C$17:$C$66,'Project Details'!$D$17:$D$66,"",0)</f>
        <v>0</v>
      </c>
      <c r="M794" s="43"/>
    </row>
    <row r="795" spans="1:13" ht="13.5" customHeight="1" outlineLevel="1" x14ac:dyDescent="0.25">
      <c r="A795" s="43"/>
      <c r="B795" s="43"/>
      <c r="C795" s="16">
        <f t="shared" si="14"/>
        <v>16</v>
      </c>
      <c r="D795" s="16" t="str" cm="1">
        <f t="array" ref="D795">IFERROR(ROUNDUP(_xlfn.IFS(F795="Aluminum Track", _xlfn.XLOOKUP(C795, dd_accsrycalc!$A$2:$A$51, dd_accsrycalc!$B$2:$B$51, "",0), F795="10 x 2 1/2 S (Flat)", _xlfn.XLOOKUP(C795, dd_accsrycalc!$A$2:$A$51, dd_accsrycalc!$C$2:$C$51, "",0), F795="Tox6", _xlfn.XLOOKUP(C795, dd_accsrycalc!$A$2:$A$51, dd_accsrycalc!$D$2:$D$51, "",0), F795="Cover Cap", _xlfn.XLOOKUP(C795, dd_accsrycalc!$A$2:$A$51, dd_accsrycalc!$E$2:$E$51, "",0), F795="Drainage Cover", _xlfn.XLOOKUP(C795, dd_accsrycalc!$A$2:$A$51, dd_accsrycalc!$F$2:$F$51, "",0),AND( F795="Double Adhesive Tape", I795="Roll-up Screen"), _xlfn.XLOOKUP(C795, calc_rusacc!$C$15:$C$65, calc_rusacc!$AD$15:$AD$65, "",0),AND( F795="Sealant", I795="Roll-up Screen"), _xlfn.XLOOKUP(C795, calc_rusacc!$C$15:$C$65, calc_rusacc!$AF$15:$AF$65, "",0),  AND( F795="Main Chain", I795="Accordion Screen"), _xlfn.XLOOKUP(C795, calc_rusacc!$C$15:$C$65, calc_rusacc!$BF$15:$BF$65, "",0), AND( F795="Sealant", I795="Accordion Screen"), _xlfn.XLOOKUP(C795, calc_rusacc!$C$15:$C$65, calc_rusacc!$BJ$15:$BJ$65, "",0),  F795="Sealant", _xlfn.XLOOKUP(C795, dd_accsrycalc!$A$2:$A$51, dd_accsrycalc!$G$2:$G$51, "",0),  F795&lt;&gt;"",L795*_xlfn.XLOOKUP(1, (SKUs!$C$2:$C$10001=G795)*(SKUs!$K$2:$K$10001=I795),SKUs!$E$2:$E$10001)), 0),"")</f>
        <v/>
      </c>
      <c r="E795" s="16" t="str">
        <f>_xlfn.XLOOKUP(F795,dd_item!$B$2:$B$105,dd_item!$C$2:$C$105,"",0)</f>
        <v/>
      </c>
      <c r="F795" s="16"/>
      <c r="G795" s="16" cm="1">
        <f t="array" ref="G795">IFERROR(_xlfn.XLOOKUP(1, (SKUs!$J$2:$J$10001=accsry_unmerged!F795)*IF(H795&lt;&gt;"",(SKUs!$L$2:$L$10001=accsry_unmerged!H795),1)*(SKUs!$K$2:$K$10001=I795),SKUs!$C$2:$C$10001),"")</f>
        <v>0</v>
      </c>
      <c r="H795" s="33" cm="1">
        <f t="array" ref="H795">IFERROR(_xlfn.XLOOKUP(1, (dd_accsryclr!$C$2:$C$1000=accsry_unmerged!F795)*(dd_accsryclr!$B$2:$B$1000=accsry_unmerged!J795),dd_accsryclr!$A$2:$A$1000),"")</f>
        <v>0</v>
      </c>
      <c r="I795" s="16">
        <f>_xlfn.XLOOKUP(C795,'Project Details'!$C$17:$C$66,'Project Details'!$E$17:$E$66,"",0)</f>
        <v>0</v>
      </c>
      <c r="J795" s="16">
        <f>_xlfn.XLOOKUP(C795,'Project Details'!$C$17:$C$66,'Project Details'!$H$17:$H$66,"",0)</f>
        <v>0</v>
      </c>
      <c r="K795" s="33" t="str">
        <f>IF(AND(_xlfn.XLOOKUP(C795,'Project Details'!$C$17:$C$66,'Project Details'!$L$17:$L$66,"",0)&gt;550, F795="Spring-L27cm"),"",SUBSTITUTE(_xlfn.XLOOKUP(G795,SKUs!$C$2:$C$10001,SKUs!$F$2:$F$10001,"",0), " Accessories",""))</f>
        <v/>
      </c>
      <c r="L795" s="33">
        <f>_xlfn.XLOOKUP(C795,'Project Details'!$C$17:$C$66,'Project Details'!$D$17:$D$66,"",0)</f>
        <v>0</v>
      </c>
      <c r="M795" s="43"/>
    </row>
    <row r="796" spans="1:13" ht="13.5" customHeight="1" outlineLevel="1" x14ac:dyDescent="0.25">
      <c r="A796" s="43"/>
      <c r="B796" s="43"/>
      <c r="C796" s="35">
        <f t="shared" si="14"/>
        <v>16</v>
      </c>
      <c r="D796" s="35" t="str" cm="1">
        <f t="array" ref="D796">IFERROR(ROUNDUP(_xlfn.IFS(F796="Aluminum Track", _xlfn.XLOOKUP(C796, dd_accsrycalc!$A$2:$A$51, dd_accsrycalc!$B$2:$B$51, "",0), F796="10 x 2 1/2 S (Flat)", _xlfn.XLOOKUP(C796, dd_accsrycalc!$A$2:$A$51, dd_accsrycalc!$C$2:$C$51, "",0), F796="Tox6", _xlfn.XLOOKUP(C796, dd_accsrycalc!$A$2:$A$51, dd_accsrycalc!$D$2:$D$51, "",0), F796="Cover Cap", _xlfn.XLOOKUP(C796, dd_accsrycalc!$A$2:$A$51, dd_accsrycalc!$E$2:$E$51, "",0), F796="Drainage Cover", _xlfn.XLOOKUP(C796, dd_accsrycalc!$A$2:$A$51, dd_accsrycalc!$F$2:$F$51, "",0),AND( F796="Double Adhesive Tape", I796="Roll-up Screen"), _xlfn.XLOOKUP(C796, calc_rusacc!$C$15:$C$65, calc_rusacc!$AD$15:$AD$65, "",0),AND( F796="Sealant", I796="Roll-up Screen"), _xlfn.XLOOKUP(C796, calc_rusacc!$C$15:$C$65, calc_rusacc!$AF$15:$AF$65, "",0),  AND( F796="Main Chain", I796="Accordion Screen"), _xlfn.XLOOKUP(C796, calc_rusacc!$C$15:$C$65, calc_rusacc!$BF$15:$BF$65, "",0), AND( F796="Sealant", I796="Accordion Screen"), _xlfn.XLOOKUP(C796, calc_rusacc!$C$15:$C$65, calc_rusacc!$BJ$15:$BJ$65, "",0),  F796="Sealant", _xlfn.XLOOKUP(C796, dd_accsrycalc!$A$2:$A$51, dd_accsrycalc!$G$2:$G$51, "",0),  F796&lt;&gt;"",L796*_xlfn.XLOOKUP(1, (SKUs!$C$2:$C$10001=G796)*(SKUs!$K$2:$K$10001=I796),SKUs!$E$2:$E$10001)), 0),"")</f>
        <v/>
      </c>
      <c r="E796" s="35" t="str">
        <f>_xlfn.XLOOKUP(F796,dd_item!$B$2:$B$105,dd_item!$C$2:$C$105,"",0)</f>
        <v/>
      </c>
      <c r="F796" s="35"/>
      <c r="G796" s="35" cm="1">
        <f t="array" ref="G796">IFERROR(_xlfn.XLOOKUP(1, (SKUs!$J$2:$J$10001=accsry_unmerged!F796)*IF(H796&lt;&gt;"",(SKUs!$L$2:$L$10001=accsry_unmerged!H796),1)*(SKUs!$K$2:$K$10001=I796),SKUs!$C$2:$C$10001),"")</f>
        <v>0</v>
      </c>
      <c r="H796" s="36" cm="1">
        <f t="array" ref="H796">IFERROR(_xlfn.XLOOKUP(1, (dd_accsryclr!$C$2:$C$1000=accsry_unmerged!F796)*(dd_accsryclr!$B$2:$B$1000=accsry_unmerged!J796),dd_accsryclr!$A$2:$A$1000),"")</f>
        <v>0</v>
      </c>
      <c r="I796" s="35">
        <f>_xlfn.XLOOKUP(C796,'Project Details'!$C$17:$C$66,'Project Details'!$E$17:$E$66,"",0)</f>
        <v>0</v>
      </c>
      <c r="J796" s="35">
        <f>_xlfn.XLOOKUP(C796,'Project Details'!$C$17:$C$66,'Project Details'!$H$17:$H$66,"",0)</f>
        <v>0</v>
      </c>
      <c r="K796" s="36" t="str">
        <f>IF(AND(_xlfn.XLOOKUP(C796,'Project Details'!$C$17:$C$66,'Project Details'!$L$17:$L$66,"",0)&gt;550, F796="Spring-L27cm"),"",SUBSTITUTE(_xlfn.XLOOKUP(G796,SKUs!$C$2:$C$10001,SKUs!$F$2:$F$10001,"",0), " Accessories",""))</f>
        <v/>
      </c>
      <c r="L796" s="36">
        <f>_xlfn.XLOOKUP(C796,'Project Details'!$C$17:$C$66,'Project Details'!$D$17:$D$66,"",0)</f>
        <v>0</v>
      </c>
      <c r="M796" s="43"/>
    </row>
    <row r="797" spans="1:13" ht="13.5" customHeight="1" outlineLevel="1" x14ac:dyDescent="0.25">
      <c r="A797" s="43"/>
      <c r="B797" s="43"/>
      <c r="C797" s="16">
        <f t="shared" si="14"/>
        <v>16</v>
      </c>
      <c r="D797" s="16" t="str" cm="1">
        <f t="array" ref="D797">IFERROR(ROUNDUP(_xlfn.IFS(F797="Aluminum Track", _xlfn.XLOOKUP(C797, dd_accsrycalc!$A$2:$A$51, dd_accsrycalc!$B$2:$B$51, "",0), F797="10 x 2 1/2 S (Flat)", _xlfn.XLOOKUP(C797, dd_accsrycalc!$A$2:$A$51, dd_accsrycalc!$C$2:$C$51, "",0), F797="Tox6", _xlfn.XLOOKUP(C797, dd_accsrycalc!$A$2:$A$51, dd_accsrycalc!$D$2:$D$51, "",0), F797="Cover Cap", _xlfn.XLOOKUP(C797, dd_accsrycalc!$A$2:$A$51, dd_accsrycalc!$E$2:$E$51, "",0), F797="Drainage Cover", _xlfn.XLOOKUP(C797, dd_accsrycalc!$A$2:$A$51, dd_accsrycalc!$F$2:$F$51, "",0),AND( F797="Double Adhesive Tape", I797="Roll-up Screen"), _xlfn.XLOOKUP(C797, calc_rusacc!$C$15:$C$65, calc_rusacc!$AD$15:$AD$65, "",0),AND( F797="Sealant", I797="Roll-up Screen"), _xlfn.XLOOKUP(C797, calc_rusacc!$C$15:$C$65, calc_rusacc!$AF$15:$AF$65, "",0),  AND( F797="Main Chain", I797="Accordion Screen"), _xlfn.XLOOKUP(C797, calc_rusacc!$C$15:$C$65, calc_rusacc!$BF$15:$BF$65, "",0), AND( F797="Sealant", I797="Accordion Screen"), _xlfn.XLOOKUP(C797, calc_rusacc!$C$15:$C$65, calc_rusacc!$BJ$15:$BJ$65, "",0),  F797="Sealant", _xlfn.XLOOKUP(C797, dd_accsrycalc!$A$2:$A$51, dd_accsrycalc!$G$2:$G$51, "",0),  F797&lt;&gt;"",L797*_xlfn.XLOOKUP(1, (SKUs!$C$2:$C$10001=G797)*(SKUs!$K$2:$K$10001=I797),SKUs!$E$2:$E$10001)), 0),"")</f>
        <v/>
      </c>
      <c r="E797" s="16" t="str">
        <f>_xlfn.XLOOKUP(F797,dd_item!$B$2:$B$105,dd_item!$C$2:$C$105,"",0)</f>
        <v/>
      </c>
      <c r="F797" s="16"/>
      <c r="G797" s="16" cm="1">
        <f t="array" ref="G797">IFERROR(_xlfn.XLOOKUP(1, (SKUs!$J$2:$J$10001=accsry_unmerged!F797)*IF(H797&lt;&gt;"",(SKUs!$L$2:$L$10001=accsry_unmerged!H797),1)*(SKUs!$K$2:$K$10001=I797),SKUs!$C$2:$C$10001),"")</f>
        <v>0</v>
      </c>
      <c r="H797" s="33" cm="1">
        <f t="array" ref="H797">IFERROR(_xlfn.XLOOKUP(1, (dd_accsryclr!$C$2:$C$1000=accsry_unmerged!F797)*(dd_accsryclr!$B$2:$B$1000=accsry_unmerged!J797),dd_accsryclr!$A$2:$A$1000),"")</f>
        <v>0</v>
      </c>
      <c r="I797" s="16">
        <f>_xlfn.XLOOKUP(C797,'Project Details'!$C$17:$C$66,'Project Details'!$E$17:$E$66,"",0)</f>
        <v>0</v>
      </c>
      <c r="J797" s="16">
        <f>_xlfn.XLOOKUP(C797,'Project Details'!$C$17:$C$66,'Project Details'!$H$17:$H$66,"",0)</f>
        <v>0</v>
      </c>
      <c r="K797" s="33" t="str">
        <f>IF(AND(_xlfn.XLOOKUP(C797,'Project Details'!$C$17:$C$66,'Project Details'!$L$17:$L$66,"",0)&gt;550, F797="Spring-L27cm"),"",SUBSTITUTE(_xlfn.XLOOKUP(G797,SKUs!$C$2:$C$10001,SKUs!$F$2:$F$10001,"",0), " Accessories",""))</f>
        <v/>
      </c>
      <c r="L797" s="33">
        <f>_xlfn.XLOOKUP(C797,'Project Details'!$C$17:$C$66,'Project Details'!$D$17:$D$66,"",0)</f>
        <v>0</v>
      </c>
      <c r="M797" s="43"/>
    </row>
    <row r="798" spans="1:13" ht="13.5" customHeight="1" outlineLevel="1" x14ac:dyDescent="0.25">
      <c r="A798" s="43"/>
      <c r="B798" s="43"/>
      <c r="C798" s="35">
        <f t="shared" si="14"/>
        <v>16</v>
      </c>
      <c r="D798" s="35" t="str" cm="1">
        <f t="array" ref="D798">IFERROR(ROUNDUP(_xlfn.IFS(F798="Aluminum Track", _xlfn.XLOOKUP(C798, dd_accsrycalc!$A$2:$A$51, dd_accsrycalc!$B$2:$B$51, "",0), F798="10 x 2 1/2 S (Flat)", _xlfn.XLOOKUP(C798, dd_accsrycalc!$A$2:$A$51, dd_accsrycalc!$C$2:$C$51, "",0), F798="Tox6", _xlfn.XLOOKUP(C798, dd_accsrycalc!$A$2:$A$51, dd_accsrycalc!$D$2:$D$51, "",0), F798="Cover Cap", _xlfn.XLOOKUP(C798, dd_accsrycalc!$A$2:$A$51, dd_accsrycalc!$E$2:$E$51, "",0), F798="Drainage Cover", _xlfn.XLOOKUP(C798, dd_accsrycalc!$A$2:$A$51, dd_accsrycalc!$F$2:$F$51, "",0),AND( F798="Double Adhesive Tape", I798="Roll-up Screen"), _xlfn.XLOOKUP(C798, calc_rusacc!$C$15:$C$65, calc_rusacc!$AD$15:$AD$65, "",0),AND( F798="Sealant", I798="Roll-up Screen"), _xlfn.XLOOKUP(C798, calc_rusacc!$C$15:$C$65, calc_rusacc!$AF$15:$AF$65, "",0),  AND( F798="Main Chain", I798="Accordion Screen"), _xlfn.XLOOKUP(C798, calc_rusacc!$C$15:$C$65, calc_rusacc!$BF$15:$BF$65, "",0), AND( F798="Sealant", I798="Accordion Screen"), _xlfn.XLOOKUP(C798, calc_rusacc!$C$15:$C$65, calc_rusacc!$BJ$15:$BJ$65, "",0),  F798="Sealant", _xlfn.XLOOKUP(C798, dd_accsrycalc!$A$2:$A$51, dd_accsrycalc!$G$2:$G$51, "",0),  F798&lt;&gt;"",L798*_xlfn.XLOOKUP(1, (SKUs!$C$2:$C$10001=G798)*(SKUs!$K$2:$K$10001=I798),SKUs!$E$2:$E$10001)), 0),"")</f>
        <v/>
      </c>
      <c r="E798" s="35" t="str">
        <f>_xlfn.XLOOKUP(F798,dd_item!$B$2:$B$105,dd_item!$C$2:$C$105,"",0)</f>
        <v/>
      </c>
      <c r="F798" s="35"/>
      <c r="G798" s="35" cm="1">
        <f t="array" ref="G798">IFERROR(_xlfn.XLOOKUP(1, (SKUs!$J$2:$J$10001=accsry_unmerged!F798)*IF(H798&lt;&gt;"",(SKUs!$L$2:$L$10001=accsry_unmerged!H798),1)*(SKUs!$K$2:$K$10001=I798),SKUs!$C$2:$C$10001),"")</f>
        <v>0</v>
      </c>
      <c r="H798" s="36" cm="1">
        <f t="array" ref="H798">IFERROR(_xlfn.XLOOKUP(1, (dd_accsryclr!$C$2:$C$1000=accsry_unmerged!F798)*(dd_accsryclr!$B$2:$B$1000=accsry_unmerged!J798),dd_accsryclr!$A$2:$A$1000),"")</f>
        <v>0</v>
      </c>
      <c r="I798" s="35">
        <f>_xlfn.XLOOKUP(C798,'Project Details'!$C$17:$C$66,'Project Details'!$E$17:$E$66,"",0)</f>
        <v>0</v>
      </c>
      <c r="J798" s="35">
        <f>_xlfn.XLOOKUP(C798,'Project Details'!$C$17:$C$66,'Project Details'!$H$17:$H$66,"",0)</f>
        <v>0</v>
      </c>
      <c r="K798" s="36" t="str">
        <f>IF(AND(_xlfn.XLOOKUP(C798,'Project Details'!$C$17:$C$66,'Project Details'!$L$17:$L$66,"",0)&gt;550, F798="Spring-L27cm"),"",SUBSTITUTE(_xlfn.XLOOKUP(G798,SKUs!$C$2:$C$10001,SKUs!$F$2:$F$10001,"",0), " Accessories",""))</f>
        <v/>
      </c>
      <c r="L798" s="36">
        <f>_xlfn.XLOOKUP(C798,'Project Details'!$C$17:$C$66,'Project Details'!$D$17:$D$66,"",0)</f>
        <v>0</v>
      </c>
      <c r="M798" s="43"/>
    </row>
    <row r="799" spans="1:13" ht="13.5" customHeight="1" outlineLevel="1" x14ac:dyDescent="0.25">
      <c r="A799" s="43"/>
      <c r="B799" s="43"/>
      <c r="C799" s="16">
        <f t="shared" si="14"/>
        <v>16</v>
      </c>
      <c r="D799" s="16" t="str" cm="1">
        <f t="array" ref="D799">IFERROR(ROUNDUP(_xlfn.IFS(F799="Aluminum Track", _xlfn.XLOOKUP(C799, dd_accsrycalc!$A$2:$A$51, dd_accsrycalc!$B$2:$B$51, "",0), F799="10 x 2 1/2 S (Flat)", _xlfn.XLOOKUP(C799, dd_accsrycalc!$A$2:$A$51, dd_accsrycalc!$C$2:$C$51, "",0), F799="Tox6", _xlfn.XLOOKUP(C799, dd_accsrycalc!$A$2:$A$51, dd_accsrycalc!$D$2:$D$51, "",0), F799="Cover Cap", _xlfn.XLOOKUP(C799, dd_accsrycalc!$A$2:$A$51, dd_accsrycalc!$E$2:$E$51, "",0), F799="Drainage Cover", _xlfn.XLOOKUP(C799, dd_accsrycalc!$A$2:$A$51, dd_accsrycalc!$F$2:$F$51, "",0),AND( F799="Double Adhesive Tape", I799="Roll-up Screen"), _xlfn.XLOOKUP(C799, calc_rusacc!$C$15:$C$65, calc_rusacc!$AD$15:$AD$65, "",0),AND( F799="Sealant", I799="Roll-up Screen"), _xlfn.XLOOKUP(C799, calc_rusacc!$C$15:$C$65, calc_rusacc!$AF$15:$AF$65, "",0),  AND( F799="Main Chain", I799="Accordion Screen"), _xlfn.XLOOKUP(C799, calc_rusacc!$C$15:$C$65, calc_rusacc!$BF$15:$BF$65, "",0), AND( F799="Sealant", I799="Accordion Screen"), _xlfn.XLOOKUP(C799, calc_rusacc!$C$15:$C$65, calc_rusacc!$BJ$15:$BJ$65, "",0),  F799="Sealant", _xlfn.XLOOKUP(C799, dd_accsrycalc!$A$2:$A$51, dd_accsrycalc!$G$2:$G$51, "",0),  F799&lt;&gt;"",L799*_xlfn.XLOOKUP(1, (SKUs!$C$2:$C$10001=G799)*(SKUs!$K$2:$K$10001=I799),SKUs!$E$2:$E$10001)), 0),"")</f>
        <v/>
      </c>
      <c r="E799" s="16" t="str">
        <f>_xlfn.XLOOKUP(F799,dd_item!$B$2:$B$105,dd_item!$C$2:$C$105,"",0)</f>
        <v/>
      </c>
      <c r="F799" s="16"/>
      <c r="G799" s="16" cm="1">
        <f t="array" ref="G799">IFERROR(_xlfn.XLOOKUP(1, (SKUs!$J$2:$J$10001=accsry_unmerged!F799)*IF(H799&lt;&gt;"",(SKUs!$L$2:$L$10001=accsry_unmerged!H799),1)*(SKUs!$K$2:$K$10001=I799),SKUs!$C$2:$C$10001),"")</f>
        <v>0</v>
      </c>
      <c r="H799" s="33" cm="1">
        <f t="array" ref="H799">IFERROR(_xlfn.XLOOKUP(1, (dd_accsryclr!$C$2:$C$1000=accsry_unmerged!F799)*(dd_accsryclr!$B$2:$B$1000=accsry_unmerged!J799),dd_accsryclr!$A$2:$A$1000),"")</f>
        <v>0</v>
      </c>
      <c r="I799" s="16">
        <f>_xlfn.XLOOKUP(C799,'Project Details'!$C$17:$C$66,'Project Details'!$E$17:$E$66,"",0)</f>
        <v>0</v>
      </c>
      <c r="J799" s="16">
        <f>_xlfn.XLOOKUP(C799,'Project Details'!$C$17:$C$66,'Project Details'!$H$17:$H$66,"",0)</f>
        <v>0</v>
      </c>
      <c r="K799" s="33" t="str">
        <f>IF(AND(_xlfn.XLOOKUP(C799,'Project Details'!$C$17:$C$66,'Project Details'!$L$17:$L$66,"",0)&gt;550, F799="Spring-L27cm"),"",SUBSTITUTE(_xlfn.XLOOKUP(G799,SKUs!$C$2:$C$10001,SKUs!$F$2:$F$10001,"",0), " Accessories",""))</f>
        <v/>
      </c>
      <c r="L799" s="33">
        <f>_xlfn.XLOOKUP(C799,'Project Details'!$C$17:$C$66,'Project Details'!$D$17:$D$66,"",0)</f>
        <v>0</v>
      </c>
      <c r="M799" s="43"/>
    </row>
    <row r="800" spans="1:13" ht="13.5" customHeight="1" outlineLevel="1" x14ac:dyDescent="0.25">
      <c r="A800" s="43"/>
      <c r="B800" s="43"/>
      <c r="C800" s="35">
        <f t="shared" si="14"/>
        <v>16</v>
      </c>
      <c r="D800" s="35" t="str" cm="1">
        <f t="array" ref="D800">IFERROR(ROUNDUP(_xlfn.IFS(F800="Aluminum Track", _xlfn.XLOOKUP(C800, dd_accsrycalc!$A$2:$A$51, dd_accsrycalc!$B$2:$B$51, "",0), F800="10 x 2 1/2 S (Flat)", _xlfn.XLOOKUP(C800, dd_accsrycalc!$A$2:$A$51, dd_accsrycalc!$C$2:$C$51, "",0), F800="Tox6", _xlfn.XLOOKUP(C800, dd_accsrycalc!$A$2:$A$51, dd_accsrycalc!$D$2:$D$51, "",0), F800="Cover Cap", _xlfn.XLOOKUP(C800, dd_accsrycalc!$A$2:$A$51, dd_accsrycalc!$E$2:$E$51, "",0), F800="Drainage Cover", _xlfn.XLOOKUP(C800, dd_accsrycalc!$A$2:$A$51, dd_accsrycalc!$F$2:$F$51, "",0),AND( F800="Double Adhesive Tape", I800="Roll-up Screen"), _xlfn.XLOOKUP(C800, calc_rusacc!$C$15:$C$65, calc_rusacc!$AD$15:$AD$65, "",0),AND( F800="Sealant", I800="Roll-up Screen"), _xlfn.XLOOKUP(C800, calc_rusacc!$C$15:$C$65, calc_rusacc!$AF$15:$AF$65, "",0),  AND( F800="Main Chain", I800="Accordion Screen"), _xlfn.XLOOKUP(C800, calc_rusacc!$C$15:$C$65, calc_rusacc!$BF$15:$BF$65, "",0), AND( F800="Sealant", I800="Accordion Screen"), _xlfn.XLOOKUP(C800, calc_rusacc!$C$15:$C$65, calc_rusacc!$BJ$15:$BJ$65, "",0),  F800="Sealant", _xlfn.XLOOKUP(C800, dd_accsrycalc!$A$2:$A$51, dd_accsrycalc!$G$2:$G$51, "",0),  F800&lt;&gt;"",L800*_xlfn.XLOOKUP(1, (SKUs!$C$2:$C$10001=G800)*(SKUs!$K$2:$K$10001=I800),SKUs!$E$2:$E$10001)), 0),"")</f>
        <v/>
      </c>
      <c r="E800" s="35" t="str">
        <f>_xlfn.XLOOKUP(F800,dd_item!$B$2:$B$105,dd_item!$C$2:$C$105,"",0)</f>
        <v/>
      </c>
      <c r="F800" s="35"/>
      <c r="G800" s="35" cm="1">
        <f t="array" ref="G800">IFERROR(_xlfn.XLOOKUP(1, (SKUs!$J$2:$J$10001=accsry_unmerged!F800)*IF(H800&lt;&gt;"",(SKUs!$L$2:$L$10001=accsry_unmerged!H800),1)*(SKUs!$K$2:$K$10001=I800),SKUs!$C$2:$C$10001),"")</f>
        <v>0</v>
      </c>
      <c r="H800" s="36" cm="1">
        <f t="array" ref="H800">IFERROR(_xlfn.XLOOKUP(1, (dd_accsryclr!$C$2:$C$1000=accsry_unmerged!F800)*(dd_accsryclr!$B$2:$B$1000=accsry_unmerged!J800),dd_accsryclr!$A$2:$A$1000),"")</f>
        <v>0</v>
      </c>
      <c r="I800" s="35">
        <f>_xlfn.XLOOKUP(C800,'Project Details'!$C$17:$C$66,'Project Details'!$E$17:$E$66,"",0)</f>
        <v>0</v>
      </c>
      <c r="J800" s="35">
        <f>_xlfn.XLOOKUP(C800,'Project Details'!$C$17:$C$66,'Project Details'!$H$17:$H$66,"",0)</f>
        <v>0</v>
      </c>
      <c r="K800" s="36" t="str">
        <f>IF(AND(_xlfn.XLOOKUP(C800,'Project Details'!$C$17:$C$66,'Project Details'!$L$17:$L$66,"",0)&gt;550, F800="Spring-L27cm"),"",SUBSTITUTE(_xlfn.XLOOKUP(G800,SKUs!$C$2:$C$10001,SKUs!$F$2:$F$10001,"",0), " Accessories",""))</f>
        <v/>
      </c>
      <c r="L800" s="36">
        <f>_xlfn.XLOOKUP(C800,'Project Details'!$C$17:$C$66,'Project Details'!$D$17:$D$66,"",0)</f>
        <v>0</v>
      </c>
      <c r="M800" s="43"/>
    </row>
    <row r="801" spans="1:13" ht="13.5" customHeight="1" outlineLevel="1" x14ac:dyDescent="0.25">
      <c r="A801" s="43"/>
      <c r="B801" s="43"/>
      <c r="C801" s="16">
        <f t="shared" si="14"/>
        <v>16</v>
      </c>
      <c r="D801" s="16" t="str" cm="1">
        <f t="array" ref="D801">IFERROR(ROUNDUP(_xlfn.IFS(F801="Aluminum Track", _xlfn.XLOOKUP(C801, dd_accsrycalc!$A$2:$A$51, dd_accsrycalc!$B$2:$B$51, "",0), F801="10 x 2 1/2 S (Flat)", _xlfn.XLOOKUP(C801, dd_accsrycalc!$A$2:$A$51, dd_accsrycalc!$C$2:$C$51, "",0), F801="Tox6", _xlfn.XLOOKUP(C801, dd_accsrycalc!$A$2:$A$51, dd_accsrycalc!$D$2:$D$51, "",0), F801="Cover Cap", _xlfn.XLOOKUP(C801, dd_accsrycalc!$A$2:$A$51, dd_accsrycalc!$E$2:$E$51, "",0), F801="Drainage Cover", _xlfn.XLOOKUP(C801, dd_accsrycalc!$A$2:$A$51, dd_accsrycalc!$F$2:$F$51, "",0),AND( F801="Double Adhesive Tape", I801="Roll-up Screen"), _xlfn.XLOOKUP(C801, calc_rusacc!$C$15:$C$65, calc_rusacc!$AD$15:$AD$65, "",0),AND( F801="Sealant", I801="Roll-up Screen"), _xlfn.XLOOKUP(C801, calc_rusacc!$C$15:$C$65, calc_rusacc!$AF$15:$AF$65, "",0),  AND( F801="Main Chain", I801="Accordion Screen"), _xlfn.XLOOKUP(C801, calc_rusacc!$C$15:$C$65, calc_rusacc!$BF$15:$BF$65, "",0), AND( F801="Sealant", I801="Accordion Screen"), _xlfn.XLOOKUP(C801, calc_rusacc!$C$15:$C$65, calc_rusacc!$BJ$15:$BJ$65, "",0),  F801="Sealant", _xlfn.XLOOKUP(C801, dd_accsrycalc!$A$2:$A$51, dd_accsrycalc!$G$2:$G$51, "",0),  F801&lt;&gt;"",L801*_xlfn.XLOOKUP(1, (SKUs!$C$2:$C$10001=G801)*(SKUs!$K$2:$K$10001=I801),SKUs!$E$2:$E$10001)), 0),"")</f>
        <v/>
      </c>
      <c r="E801" s="16" t="str">
        <f>_xlfn.XLOOKUP(F801,dd_item!$B$2:$B$105,dd_item!$C$2:$C$105,"",0)</f>
        <v/>
      </c>
      <c r="F801" s="16"/>
      <c r="G801" s="16" cm="1">
        <f t="array" ref="G801">IFERROR(_xlfn.XLOOKUP(1, (SKUs!$J$2:$J$10001=accsry_unmerged!F801)*IF(H801&lt;&gt;"",(SKUs!$L$2:$L$10001=accsry_unmerged!H801),1)*(SKUs!$K$2:$K$10001=I801),SKUs!$C$2:$C$10001),"")</f>
        <v>0</v>
      </c>
      <c r="H801" s="33" cm="1">
        <f t="array" ref="H801">IFERROR(_xlfn.XLOOKUP(1, (dd_accsryclr!$C$2:$C$1000=accsry_unmerged!F801)*(dd_accsryclr!$B$2:$B$1000=accsry_unmerged!J801),dd_accsryclr!$A$2:$A$1000),"")</f>
        <v>0</v>
      </c>
      <c r="I801" s="16">
        <f>_xlfn.XLOOKUP(C801,'Project Details'!$C$17:$C$66,'Project Details'!$E$17:$E$66,"",0)</f>
        <v>0</v>
      </c>
      <c r="J801" s="16">
        <f>_xlfn.XLOOKUP(C801,'Project Details'!$C$17:$C$66,'Project Details'!$H$17:$H$66,"",0)</f>
        <v>0</v>
      </c>
      <c r="K801" s="33" t="str">
        <f>IF(AND(_xlfn.XLOOKUP(C801,'Project Details'!$C$17:$C$66,'Project Details'!$L$17:$L$66,"",0)&gt;550, F801="Spring-L27cm"),"",SUBSTITUTE(_xlfn.XLOOKUP(G801,SKUs!$C$2:$C$10001,SKUs!$F$2:$F$10001,"",0), " Accessories",""))</f>
        <v/>
      </c>
      <c r="L801" s="33">
        <f>_xlfn.XLOOKUP(C801,'Project Details'!$C$17:$C$66,'Project Details'!$D$17:$D$66,"",0)</f>
        <v>0</v>
      </c>
      <c r="M801" s="43"/>
    </row>
    <row r="802" spans="1:13" ht="13.5" customHeight="1" outlineLevel="1" x14ac:dyDescent="0.25">
      <c r="A802" s="43"/>
      <c r="B802" s="43"/>
      <c r="C802" s="35">
        <f t="shared" si="14"/>
        <v>16</v>
      </c>
      <c r="D802" s="35" t="str" cm="1">
        <f t="array" ref="D802">IFERROR(ROUNDUP(_xlfn.IFS(F802="Aluminum Track", _xlfn.XLOOKUP(C802, dd_accsrycalc!$A$2:$A$51, dd_accsrycalc!$B$2:$B$51, "",0), F802="10 x 2 1/2 S (Flat)", _xlfn.XLOOKUP(C802, dd_accsrycalc!$A$2:$A$51, dd_accsrycalc!$C$2:$C$51, "",0), F802="Tox6", _xlfn.XLOOKUP(C802, dd_accsrycalc!$A$2:$A$51, dd_accsrycalc!$D$2:$D$51, "",0), F802="Cover Cap", _xlfn.XLOOKUP(C802, dd_accsrycalc!$A$2:$A$51, dd_accsrycalc!$E$2:$E$51, "",0), F802="Drainage Cover", _xlfn.XLOOKUP(C802, dd_accsrycalc!$A$2:$A$51, dd_accsrycalc!$F$2:$F$51, "",0),AND( F802="Double Adhesive Tape", I802="Roll-up Screen"), _xlfn.XLOOKUP(C802, calc_rusacc!$C$15:$C$65, calc_rusacc!$AD$15:$AD$65, "",0),AND( F802="Sealant", I802="Roll-up Screen"), _xlfn.XLOOKUP(C802, calc_rusacc!$C$15:$C$65, calc_rusacc!$AF$15:$AF$65, "",0),  AND( F802="Main Chain", I802="Accordion Screen"), _xlfn.XLOOKUP(C802, calc_rusacc!$C$15:$C$65, calc_rusacc!$BF$15:$BF$65, "",0), AND( F802="Sealant", I802="Accordion Screen"), _xlfn.XLOOKUP(C802, calc_rusacc!$C$15:$C$65, calc_rusacc!$BJ$15:$BJ$65, "",0),  F802="Sealant", _xlfn.XLOOKUP(C802, dd_accsrycalc!$A$2:$A$51, dd_accsrycalc!$G$2:$G$51, "",0),  F802&lt;&gt;"",L802*_xlfn.XLOOKUP(1, (SKUs!$C$2:$C$10001=G802)*(SKUs!$K$2:$K$10001=I802),SKUs!$E$2:$E$10001)), 0),"")</f>
        <v/>
      </c>
      <c r="E802" s="35" t="str">
        <f>_xlfn.XLOOKUP(F802,dd_item!$B$2:$B$105,dd_item!$C$2:$C$105,"",0)</f>
        <v/>
      </c>
      <c r="F802" s="35"/>
      <c r="G802" s="35" cm="1">
        <f t="array" ref="G802">IFERROR(_xlfn.XLOOKUP(1, (SKUs!$J$2:$J$10001=accsry_unmerged!F802)*IF(H802&lt;&gt;"",(SKUs!$L$2:$L$10001=accsry_unmerged!H802),1)*(SKUs!$K$2:$K$10001=I802),SKUs!$C$2:$C$10001),"")</f>
        <v>0</v>
      </c>
      <c r="H802" s="36" cm="1">
        <f t="array" ref="H802">IFERROR(_xlfn.XLOOKUP(1, (dd_accsryclr!$C$2:$C$1000=accsry_unmerged!F802)*(dd_accsryclr!$B$2:$B$1000=accsry_unmerged!J802),dd_accsryclr!$A$2:$A$1000),"")</f>
        <v>0</v>
      </c>
      <c r="I802" s="35">
        <f>_xlfn.XLOOKUP(C802,'Project Details'!$C$17:$C$66,'Project Details'!$E$17:$E$66,"",0)</f>
        <v>0</v>
      </c>
      <c r="J802" s="35">
        <f>_xlfn.XLOOKUP(C802,'Project Details'!$C$17:$C$66,'Project Details'!$H$17:$H$66,"",0)</f>
        <v>0</v>
      </c>
      <c r="K802" s="36" t="str">
        <f>IF(AND(_xlfn.XLOOKUP(C802,'Project Details'!$C$17:$C$66,'Project Details'!$L$17:$L$66,"",0)&gt;550, F802="Spring-L27cm"),"",SUBSTITUTE(_xlfn.XLOOKUP(G802,SKUs!$C$2:$C$10001,SKUs!$F$2:$F$10001,"",0), " Accessories",""))</f>
        <v/>
      </c>
      <c r="L802" s="36">
        <f>_xlfn.XLOOKUP(C802,'Project Details'!$C$17:$C$66,'Project Details'!$D$17:$D$66,"",0)</f>
        <v>0</v>
      </c>
      <c r="M802" s="43"/>
    </row>
    <row r="803" spans="1:13" ht="13.5" customHeight="1" outlineLevel="1" x14ac:dyDescent="0.25">
      <c r="A803" s="43"/>
      <c r="B803" s="43"/>
      <c r="C803" s="16">
        <f t="shared" si="14"/>
        <v>16</v>
      </c>
      <c r="D803" s="16" t="str" cm="1">
        <f t="array" ref="D803">IFERROR(ROUNDUP(_xlfn.IFS(F803="Aluminum Track", _xlfn.XLOOKUP(C803, dd_accsrycalc!$A$2:$A$51, dd_accsrycalc!$B$2:$B$51, "",0), F803="10 x 2 1/2 S (Flat)", _xlfn.XLOOKUP(C803, dd_accsrycalc!$A$2:$A$51, dd_accsrycalc!$C$2:$C$51, "",0), F803="Tox6", _xlfn.XLOOKUP(C803, dd_accsrycalc!$A$2:$A$51, dd_accsrycalc!$D$2:$D$51, "",0), F803="Cover Cap", _xlfn.XLOOKUP(C803, dd_accsrycalc!$A$2:$A$51, dd_accsrycalc!$E$2:$E$51, "",0), F803="Drainage Cover", _xlfn.XLOOKUP(C803, dd_accsrycalc!$A$2:$A$51, dd_accsrycalc!$F$2:$F$51, "",0),AND( F803="Double Adhesive Tape", I803="Roll-up Screen"), _xlfn.XLOOKUP(C803, calc_rusacc!$C$15:$C$65, calc_rusacc!$AD$15:$AD$65, "",0),AND( F803="Sealant", I803="Roll-up Screen"), _xlfn.XLOOKUP(C803, calc_rusacc!$C$15:$C$65, calc_rusacc!$AF$15:$AF$65, "",0),  AND( F803="Main Chain", I803="Accordion Screen"), _xlfn.XLOOKUP(C803, calc_rusacc!$C$15:$C$65, calc_rusacc!$BF$15:$BF$65, "",0), AND( F803="Sealant", I803="Accordion Screen"), _xlfn.XLOOKUP(C803, calc_rusacc!$C$15:$C$65, calc_rusacc!$BJ$15:$BJ$65, "",0),  F803="Sealant", _xlfn.XLOOKUP(C803, dd_accsrycalc!$A$2:$A$51, dd_accsrycalc!$G$2:$G$51, "",0),  F803&lt;&gt;"",L803*_xlfn.XLOOKUP(1, (SKUs!$C$2:$C$10001=G803)*(SKUs!$K$2:$K$10001=I803),SKUs!$E$2:$E$10001)), 0),"")</f>
        <v/>
      </c>
      <c r="E803" s="16" t="str">
        <f>_xlfn.XLOOKUP(F803,dd_item!$B$2:$B$105,dd_item!$C$2:$C$105,"",0)</f>
        <v/>
      </c>
      <c r="F803" s="16"/>
      <c r="G803" s="16" cm="1">
        <f t="array" ref="G803">IFERROR(_xlfn.XLOOKUP(1, (SKUs!$J$2:$J$10001=accsry_unmerged!F803)*IF(H803&lt;&gt;"",(SKUs!$L$2:$L$10001=accsry_unmerged!H803),1)*(SKUs!$K$2:$K$10001=I803),SKUs!$C$2:$C$10001),"")</f>
        <v>0</v>
      </c>
      <c r="H803" s="33" cm="1">
        <f t="array" ref="H803">IFERROR(_xlfn.XLOOKUP(1, (dd_accsryclr!$C$2:$C$1000=accsry_unmerged!F803)*(dd_accsryclr!$B$2:$B$1000=accsry_unmerged!J803),dd_accsryclr!$A$2:$A$1000),"")</f>
        <v>0</v>
      </c>
      <c r="I803" s="16">
        <f>_xlfn.XLOOKUP(C803,'Project Details'!$C$17:$C$66,'Project Details'!$E$17:$E$66,"",0)</f>
        <v>0</v>
      </c>
      <c r="J803" s="16">
        <f>_xlfn.XLOOKUP(C803,'Project Details'!$C$17:$C$66,'Project Details'!$H$17:$H$66,"",0)</f>
        <v>0</v>
      </c>
      <c r="K803" s="33" t="str">
        <f>IF(AND(_xlfn.XLOOKUP(C803,'Project Details'!$C$17:$C$66,'Project Details'!$L$17:$L$66,"",0)&gt;550, F803="Spring-L27cm"),"",SUBSTITUTE(_xlfn.XLOOKUP(G803,SKUs!$C$2:$C$10001,SKUs!$F$2:$F$10001,"",0), " Accessories",""))</f>
        <v/>
      </c>
      <c r="L803" s="33">
        <f>_xlfn.XLOOKUP(C803,'Project Details'!$C$17:$C$66,'Project Details'!$D$17:$D$66,"",0)</f>
        <v>0</v>
      </c>
      <c r="M803" s="43"/>
    </row>
    <row r="804" spans="1:13" ht="13.5" customHeight="1" outlineLevel="1" x14ac:dyDescent="0.25">
      <c r="A804" s="43"/>
      <c r="B804" s="43"/>
      <c r="C804" s="35">
        <f t="shared" si="14"/>
        <v>16</v>
      </c>
      <c r="D804" s="35" t="str" cm="1">
        <f t="array" ref="D804">IFERROR(ROUNDUP(_xlfn.IFS(F804="Aluminum Track", _xlfn.XLOOKUP(C804, dd_accsrycalc!$A$2:$A$51, dd_accsrycalc!$B$2:$B$51, "",0), F804="10 x 2 1/2 S (Flat)", _xlfn.XLOOKUP(C804, dd_accsrycalc!$A$2:$A$51, dd_accsrycalc!$C$2:$C$51, "",0), F804="Tox6", _xlfn.XLOOKUP(C804, dd_accsrycalc!$A$2:$A$51, dd_accsrycalc!$D$2:$D$51, "",0), F804="Cover Cap", _xlfn.XLOOKUP(C804, dd_accsrycalc!$A$2:$A$51, dd_accsrycalc!$E$2:$E$51, "",0), F804="Drainage Cover", _xlfn.XLOOKUP(C804, dd_accsrycalc!$A$2:$A$51, dd_accsrycalc!$F$2:$F$51, "",0),AND( F804="Double Adhesive Tape", I804="Roll-up Screen"), _xlfn.XLOOKUP(C804, calc_rusacc!$C$15:$C$65, calc_rusacc!$AD$15:$AD$65, "",0),AND( F804="Sealant", I804="Roll-up Screen"), _xlfn.XLOOKUP(C804, calc_rusacc!$C$15:$C$65, calc_rusacc!$AF$15:$AF$65, "",0),  AND( F804="Main Chain", I804="Accordion Screen"), _xlfn.XLOOKUP(C804, calc_rusacc!$C$15:$C$65, calc_rusacc!$BF$15:$BF$65, "",0), AND( F804="Sealant", I804="Accordion Screen"), _xlfn.XLOOKUP(C804, calc_rusacc!$C$15:$C$65, calc_rusacc!$BJ$15:$BJ$65, "",0),  F804="Sealant", _xlfn.XLOOKUP(C804, dd_accsrycalc!$A$2:$A$51, dd_accsrycalc!$G$2:$G$51, "",0),  F804&lt;&gt;"",L804*_xlfn.XLOOKUP(1, (SKUs!$C$2:$C$10001=G804)*(SKUs!$K$2:$K$10001=I804),SKUs!$E$2:$E$10001)), 0),"")</f>
        <v/>
      </c>
      <c r="E804" s="35" t="str">
        <f>_xlfn.XLOOKUP(F804,dd_item!$B$2:$B$105,dd_item!$C$2:$C$105,"",0)</f>
        <v/>
      </c>
      <c r="F804" s="35"/>
      <c r="G804" s="35" cm="1">
        <f t="array" ref="G804">IFERROR(_xlfn.XLOOKUP(1, (SKUs!$J$2:$J$10001=accsry_unmerged!F804)*IF(H804&lt;&gt;"",(SKUs!$L$2:$L$10001=accsry_unmerged!H804),1)*(SKUs!$K$2:$K$10001=I804),SKUs!$C$2:$C$10001),"")</f>
        <v>0</v>
      </c>
      <c r="H804" s="36" cm="1">
        <f t="array" ref="H804">IFERROR(_xlfn.XLOOKUP(1, (dd_accsryclr!$C$2:$C$1000=accsry_unmerged!F804)*(dd_accsryclr!$B$2:$B$1000=accsry_unmerged!J804),dd_accsryclr!$A$2:$A$1000),"")</f>
        <v>0</v>
      </c>
      <c r="I804" s="35">
        <f>_xlfn.XLOOKUP(C804,'Project Details'!$C$17:$C$66,'Project Details'!$E$17:$E$66,"",0)</f>
        <v>0</v>
      </c>
      <c r="J804" s="35">
        <f>_xlfn.XLOOKUP(C804,'Project Details'!$C$17:$C$66,'Project Details'!$H$17:$H$66,"",0)</f>
        <v>0</v>
      </c>
      <c r="K804" s="36" t="str">
        <f>IF(AND(_xlfn.XLOOKUP(C804,'Project Details'!$C$17:$C$66,'Project Details'!$L$17:$L$66,"",0)&gt;550, F804="Spring-L27cm"),"",SUBSTITUTE(_xlfn.XLOOKUP(G804,SKUs!$C$2:$C$10001,SKUs!$F$2:$F$10001,"",0), " Accessories",""))</f>
        <v/>
      </c>
      <c r="L804" s="36">
        <f>_xlfn.XLOOKUP(C804,'Project Details'!$C$17:$C$66,'Project Details'!$D$17:$D$66,"",0)</f>
        <v>0</v>
      </c>
      <c r="M804" s="43"/>
    </row>
    <row r="805" spans="1:13" ht="13.5" customHeight="1" outlineLevel="1" collapsed="1" x14ac:dyDescent="0.25">
      <c r="A805" s="43"/>
      <c r="B805" s="43"/>
      <c r="C805" s="16">
        <f t="shared" si="14"/>
        <v>16</v>
      </c>
      <c r="D805" s="16" t="str" cm="1">
        <f t="array" ref="D805">IFERROR(ROUNDUP(_xlfn.IFS(F805="Aluminum Track", _xlfn.XLOOKUP(C805, dd_accsrycalc!$A$2:$A$51, dd_accsrycalc!$B$2:$B$51, "",0), F805="10 x 2 1/2 S (Flat)", _xlfn.XLOOKUP(C805, dd_accsrycalc!$A$2:$A$51, dd_accsrycalc!$C$2:$C$51, "",0), F805="Tox6", _xlfn.XLOOKUP(C805, dd_accsrycalc!$A$2:$A$51, dd_accsrycalc!$D$2:$D$51, "",0), F805="Cover Cap", _xlfn.XLOOKUP(C805, dd_accsrycalc!$A$2:$A$51, dd_accsrycalc!$E$2:$E$51, "",0), F805="Drainage Cover", _xlfn.XLOOKUP(C805, dd_accsrycalc!$A$2:$A$51, dd_accsrycalc!$F$2:$F$51, "",0),AND( F805="Double Adhesive Tape", I805="Roll-up Screen"), _xlfn.XLOOKUP(C805, calc_rusacc!$C$15:$C$65, calc_rusacc!$AD$15:$AD$65, "",0),AND( F805="Sealant", I805="Roll-up Screen"), _xlfn.XLOOKUP(C805, calc_rusacc!$C$15:$C$65, calc_rusacc!$AF$15:$AF$65, "",0),  AND( F805="Main Chain", I805="Accordion Screen"), _xlfn.XLOOKUP(C805, calc_rusacc!$C$15:$C$65, calc_rusacc!$BF$15:$BF$65, "",0), AND( F805="Sealant", I805="Accordion Screen"), _xlfn.XLOOKUP(C805, calc_rusacc!$C$15:$C$65, calc_rusacc!$BJ$15:$BJ$65, "",0),  F805="Sealant", _xlfn.XLOOKUP(C805, dd_accsrycalc!$A$2:$A$51, dd_accsrycalc!$G$2:$G$51, "",0),  F805&lt;&gt;"",L805*_xlfn.XLOOKUP(1, (SKUs!$C$2:$C$10001=G805)*(SKUs!$K$2:$K$10001=I805),SKUs!$E$2:$E$10001)), 0),"")</f>
        <v/>
      </c>
      <c r="E805" s="16" t="str">
        <f>_xlfn.XLOOKUP(F805,dd_item!$B$2:$B$105,dd_item!$C$2:$C$105,"",0)</f>
        <v/>
      </c>
      <c r="F805" s="16"/>
      <c r="G805" s="16" cm="1">
        <f t="array" ref="G805">IFERROR(_xlfn.XLOOKUP(1, (SKUs!$J$2:$J$10001=accsry_unmerged!F805)*IF(H805&lt;&gt;"",(SKUs!$L$2:$L$10001=accsry_unmerged!H805),1)*(SKUs!$K$2:$K$10001=I805),SKUs!$C$2:$C$10001),"")</f>
        <v>0</v>
      </c>
      <c r="H805" s="33" cm="1">
        <f t="array" ref="H805">IFERROR(_xlfn.XLOOKUP(1, (dd_accsryclr!$C$2:$C$1000=accsry_unmerged!F805)*(dd_accsryclr!$B$2:$B$1000=accsry_unmerged!J805),dd_accsryclr!$A$2:$A$1000),"")</f>
        <v>0</v>
      </c>
      <c r="I805" s="16">
        <f>_xlfn.XLOOKUP(C805,'Project Details'!$C$17:$C$66,'Project Details'!$E$17:$E$66,"",0)</f>
        <v>0</v>
      </c>
      <c r="J805" s="16">
        <f>_xlfn.XLOOKUP(C805,'Project Details'!$C$17:$C$66,'Project Details'!$H$17:$H$66,"",0)</f>
        <v>0</v>
      </c>
      <c r="K805" s="33" t="str">
        <f>IF(AND(_xlfn.XLOOKUP(C805,'Project Details'!$C$17:$C$66,'Project Details'!$L$17:$L$66,"",0)&gt;550, F805="Spring-L27cm"),"",SUBSTITUTE(_xlfn.XLOOKUP(G805,SKUs!$C$2:$C$10001,SKUs!$F$2:$F$10001,"",0), " Accessories",""))</f>
        <v/>
      </c>
      <c r="L805" s="33">
        <f>_xlfn.XLOOKUP(C805,'Project Details'!$C$17:$C$66,'Project Details'!$D$17:$D$66,"",0)</f>
        <v>0</v>
      </c>
      <c r="M805" s="43"/>
    </row>
    <row r="806" spans="1:13" ht="13.5" customHeight="1" outlineLevel="1" x14ac:dyDescent="0.25">
      <c r="A806" s="43"/>
      <c r="B806" s="43"/>
      <c r="C806" s="35">
        <f t="shared" si="14"/>
        <v>16</v>
      </c>
      <c r="D806" s="35" t="str" cm="1">
        <f t="array" ref="D806">IFERROR(ROUNDUP(_xlfn.IFS(F806="Aluminum Track", _xlfn.XLOOKUP(C806, dd_accsrycalc!$A$2:$A$51, dd_accsrycalc!$B$2:$B$51, "",0), F806="10 x 2 1/2 S (Flat)", _xlfn.XLOOKUP(C806, dd_accsrycalc!$A$2:$A$51, dd_accsrycalc!$C$2:$C$51, "",0), F806="Tox6", _xlfn.XLOOKUP(C806, dd_accsrycalc!$A$2:$A$51, dd_accsrycalc!$D$2:$D$51, "",0), F806="Cover Cap", _xlfn.XLOOKUP(C806, dd_accsrycalc!$A$2:$A$51, dd_accsrycalc!$E$2:$E$51, "",0), F806="Drainage Cover", _xlfn.XLOOKUP(C806, dd_accsrycalc!$A$2:$A$51, dd_accsrycalc!$F$2:$F$51, "",0),AND( F806="Double Adhesive Tape", I806="Roll-up Screen"), _xlfn.XLOOKUP(C806, calc_rusacc!$C$15:$C$65, calc_rusacc!$AD$15:$AD$65, "",0),AND( F806="Sealant", I806="Roll-up Screen"), _xlfn.XLOOKUP(C806, calc_rusacc!$C$15:$C$65, calc_rusacc!$AF$15:$AF$65, "",0),  AND( F806="Main Chain", I806="Accordion Screen"), _xlfn.XLOOKUP(C806, calc_rusacc!$C$15:$C$65, calc_rusacc!$BF$15:$BF$65, "",0), AND( F806="Sealant", I806="Accordion Screen"), _xlfn.XLOOKUP(C806, calc_rusacc!$C$15:$C$65, calc_rusacc!$BJ$15:$BJ$65, "",0),  F806="Sealant", _xlfn.XLOOKUP(C806, dd_accsrycalc!$A$2:$A$51, dd_accsrycalc!$G$2:$G$51, "",0),  F806&lt;&gt;"",L806*_xlfn.XLOOKUP(1, (SKUs!$C$2:$C$10001=G806)*(SKUs!$K$2:$K$10001=I806),SKUs!$E$2:$E$10001)), 0),"")</f>
        <v/>
      </c>
      <c r="E806" s="35" t="str">
        <f>_xlfn.XLOOKUP(F806,dd_item!$B$2:$B$105,dd_item!$C$2:$C$105,"",0)</f>
        <v/>
      </c>
      <c r="F806" s="35"/>
      <c r="G806" s="35" cm="1">
        <f t="array" ref="G806">IFERROR(_xlfn.XLOOKUP(1, (SKUs!$J$2:$J$10001=accsry_unmerged!F806)*IF(H806&lt;&gt;"",(SKUs!$L$2:$L$10001=accsry_unmerged!H806),1)*(SKUs!$K$2:$K$10001=I806),SKUs!$C$2:$C$10001),"")</f>
        <v>0</v>
      </c>
      <c r="H806" s="36" cm="1">
        <f t="array" ref="H806">IFERROR(_xlfn.XLOOKUP(1, (dd_accsryclr!$C$2:$C$1000=accsry_unmerged!F806)*(dd_accsryclr!$B$2:$B$1000=accsry_unmerged!J806),dd_accsryclr!$A$2:$A$1000),"")</f>
        <v>0</v>
      </c>
      <c r="I806" s="35">
        <f>_xlfn.XLOOKUP(C806,'Project Details'!$C$17:$C$66,'Project Details'!$E$17:$E$66,"",0)</f>
        <v>0</v>
      </c>
      <c r="J806" s="35">
        <f>_xlfn.XLOOKUP(C806,'Project Details'!$C$17:$C$66,'Project Details'!$H$17:$H$66,"",0)</f>
        <v>0</v>
      </c>
      <c r="K806" s="36" t="str">
        <f>IF(AND(_xlfn.XLOOKUP(C806,'Project Details'!$C$17:$C$66,'Project Details'!$L$17:$L$66,"",0)&gt;550, F806="Spring-L27cm"),"",SUBSTITUTE(_xlfn.XLOOKUP(G806,SKUs!$C$2:$C$10001,SKUs!$F$2:$F$10001,"",0), " Accessories",""))</f>
        <v/>
      </c>
      <c r="L806" s="36">
        <f>_xlfn.XLOOKUP(C806,'Project Details'!$C$17:$C$66,'Project Details'!$D$17:$D$66,"",0)</f>
        <v>0</v>
      </c>
      <c r="M806" s="43"/>
    </row>
    <row r="807" spans="1:13" ht="13.5" customHeight="1" outlineLevel="1" x14ac:dyDescent="0.25">
      <c r="A807" s="43"/>
      <c r="B807" s="43"/>
      <c r="C807" s="16">
        <f t="shared" si="14"/>
        <v>16</v>
      </c>
      <c r="D807" s="16" t="str" cm="1">
        <f t="array" ref="D807">IFERROR(ROUNDUP(_xlfn.IFS(F807="Aluminum Track", _xlfn.XLOOKUP(C807, dd_accsrycalc!$A$2:$A$51, dd_accsrycalc!$B$2:$B$51, "",0), F807="10 x 2 1/2 S (Flat)", _xlfn.XLOOKUP(C807, dd_accsrycalc!$A$2:$A$51, dd_accsrycalc!$C$2:$C$51, "",0), F807="Tox6", _xlfn.XLOOKUP(C807, dd_accsrycalc!$A$2:$A$51, dd_accsrycalc!$D$2:$D$51, "",0), F807="Cover Cap", _xlfn.XLOOKUP(C807, dd_accsrycalc!$A$2:$A$51, dd_accsrycalc!$E$2:$E$51, "",0), F807="Drainage Cover", _xlfn.XLOOKUP(C807, dd_accsrycalc!$A$2:$A$51, dd_accsrycalc!$F$2:$F$51, "",0),AND( F807="Double Adhesive Tape", I807="Roll-up Screen"), _xlfn.XLOOKUP(C807, calc_rusacc!$C$15:$C$65, calc_rusacc!$AD$15:$AD$65, "",0),AND( F807="Sealant", I807="Roll-up Screen"), _xlfn.XLOOKUP(C807, calc_rusacc!$C$15:$C$65, calc_rusacc!$AF$15:$AF$65, "",0),  AND( F807="Main Chain", I807="Accordion Screen"), _xlfn.XLOOKUP(C807, calc_rusacc!$C$15:$C$65, calc_rusacc!$BF$15:$BF$65, "",0), AND( F807="Sealant", I807="Accordion Screen"), _xlfn.XLOOKUP(C807, calc_rusacc!$C$15:$C$65, calc_rusacc!$BJ$15:$BJ$65, "",0),  F807="Sealant", _xlfn.XLOOKUP(C807, dd_accsrycalc!$A$2:$A$51, dd_accsrycalc!$G$2:$G$51, "",0),  F807&lt;&gt;"",L807*_xlfn.XLOOKUP(1, (SKUs!$C$2:$C$10001=G807)*(SKUs!$K$2:$K$10001=I807),SKUs!$E$2:$E$10001)), 0),"")</f>
        <v/>
      </c>
      <c r="E807" s="16" t="str">
        <f>_xlfn.XLOOKUP(F807,dd_item!$B$2:$B$105,dd_item!$C$2:$C$105,"",0)</f>
        <v/>
      </c>
      <c r="F807" s="16"/>
      <c r="G807" s="16" cm="1">
        <f t="array" ref="G807">IFERROR(_xlfn.XLOOKUP(1, (SKUs!$J$2:$J$10001=accsry_unmerged!F807)*IF(H807&lt;&gt;"",(SKUs!$L$2:$L$10001=accsry_unmerged!H807),1)*(SKUs!$K$2:$K$10001=I807),SKUs!$C$2:$C$10001),"")</f>
        <v>0</v>
      </c>
      <c r="H807" s="33" cm="1">
        <f t="array" ref="H807">IFERROR(_xlfn.XLOOKUP(1, (dd_accsryclr!$C$2:$C$1000=accsry_unmerged!F807)*(dd_accsryclr!$B$2:$B$1000=accsry_unmerged!J807),dd_accsryclr!$A$2:$A$1000),"")</f>
        <v>0</v>
      </c>
      <c r="I807" s="16">
        <f>_xlfn.XLOOKUP(C807,'Project Details'!$C$17:$C$66,'Project Details'!$E$17:$E$66,"",0)</f>
        <v>0</v>
      </c>
      <c r="J807" s="16">
        <f>_xlfn.XLOOKUP(C807,'Project Details'!$C$17:$C$66,'Project Details'!$H$17:$H$66,"",0)</f>
        <v>0</v>
      </c>
      <c r="K807" s="33" t="str">
        <f>IF(AND(_xlfn.XLOOKUP(C807,'Project Details'!$C$17:$C$66,'Project Details'!$L$17:$L$66,"",0)&gt;550, F807="Spring-L27cm"),"",SUBSTITUTE(_xlfn.XLOOKUP(G807,SKUs!$C$2:$C$10001,SKUs!$F$2:$F$10001,"",0), " Accessories",""))</f>
        <v/>
      </c>
      <c r="L807" s="33">
        <f>_xlfn.XLOOKUP(C807,'Project Details'!$C$17:$C$66,'Project Details'!$D$17:$D$66,"",0)</f>
        <v>0</v>
      </c>
      <c r="M807" s="43"/>
    </row>
    <row r="808" spans="1:13" ht="13.5" customHeight="1" outlineLevel="1" x14ac:dyDescent="0.25">
      <c r="A808" s="43"/>
      <c r="B808" s="43"/>
      <c r="C808" s="35">
        <f t="shared" si="14"/>
        <v>16</v>
      </c>
      <c r="D808" s="35" t="str" cm="1">
        <f t="array" ref="D808">IFERROR(ROUNDUP(_xlfn.IFS(F808="Aluminum Track", _xlfn.XLOOKUP(C808, dd_accsrycalc!$A$2:$A$51, dd_accsrycalc!$B$2:$B$51, "",0), F808="10 x 2 1/2 S (Flat)", _xlfn.XLOOKUP(C808, dd_accsrycalc!$A$2:$A$51, dd_accsrycalc!$C$2:$C$51, "",0), F808="Tox6", _xlfn.XLOOKUP(C808, dd_accsrycalc!$A$2:$A$51, dd_accsrycalc!$D$2:$D$51, "",0), F808="Cover Cap", _xlfn.XLOOKUP(C808, dd_accsrycalc!$A$2:$A$51, dd_accsrycalc!$E$2:$E$51, "",0), F808="Drainage Cover", _xlfn.XLOOKUP(C808, dd_accsrycalc!$A$2:$A$51, dd_accsrycalc!$F$2:$F$51, "",0),AND( F808="Double Adhesive Tape", I808="Roll-up Screen"), _xlfn.XLOOKUP(C808, calc_rusacc!$C$15:$C$65, calc_rusacc!$AD$15:$AD$65, "",0),AND( F808="Sealant", I808="Roll-up Screen"), _xlfn.XLOOKUP(C808, calc_rusacc!$C$15:$C$65, calc_rusacc!$AF$15:$AF$65, "",0),  AND( F808="Main Chain", I808="Accordion Screen"), _xlfn.XLOOKUP(C808, calc_rusacc!$C$15:$C$65, calc_rusacc!$BF$15:$BF$65, "",0), AND( F808="Sealant", I808="Accordion Screen"), _xlfn.XLOOKUP(C808, calc_rusacc!$C$15:$C$65, calc_rusacc!$BJ$15:$BJ$65, "",0),  F808="Sealant", _xlfn.XLOOKUP(C808, dd_accsrycalc!$A$2:$A$51, dd_accsrycalc!$G$2:$G$51, "",0),  F808&lt;&gt;"",L808*_xlfn.XLOOKUP(1, (SKUs!$C$2:$C$10001=G808)*(SKUs!$K$2:$K$10001=I808),SKUs!$E$2:$E$10001)), 0),"")</f>
        <v/>
      </c>
      <c r="E808" s="35" t="str">
        <f>_xlfn.XLOOKUP(F808,dd_item!$B$2:$B$105,dd_item!$C$2:$C$105,"",0)</f>
        <v/>
      </c>
      <c r="F808" s="35"/>
      <c r="G808" s="35" cm="1">
        <f t="array" ref="G808">IFERROR(_xlfn.XLOOKUP(1, (SKUs!$J$2:$J$10001=accsry_unmerged!F808)*IF(H808&lt;&gt;"",(SKUs!$L$2:$L$10001=accsry_unmerged!H808),1)*(SKUs!$K$2:$K$10001=I808),SKUs!$C$2:$C$10001),"")</f>
        <v>0</v>
      </c>
      <c r="H808" s="36" cm="1">
        <f t="array" ref="H808">IFERROR(_xlfn.XLOOKUP(1, (dd_accsryclr!$C$2:$C$1000=accsry_unmerged!F808)*(dd_accsryclr!$B$2:$B$1000=accsry_unmerged!J808),dd_accsryclr!$A$2:$A$1000),"")</f>
        <v>0</v>
      </c>
      <c r="I808" s="35">
        <f>_xlfn.XLOOKUP(C808,'Project Details'!$C$17:$C$66,'Project Details'!$E$17:$E$66,"",0)</f>
        <v>0</v>
      </c>
      <c r="J808" s="35">
        <f>_xlfn.XLOOKUP(C808,'Project Details'!$C$17:$C$66,'Project Details'!$H$17:$H$66,"",0)</f>
        <v>0</v>
      </c>
      <c r="K808" s="36" t="str">
        <f>IF(AND(_xlfn.XLOOKUP(C808,'Project Details'!$C$17:$C$66,'Project Details'!$L$17:$L$66,"",0)&gt;550, F808="Spring-L27cm"),"",SUBSTITUTE(_xlfn.XLOOKUP(G808,SKUs!$C$2:$C$10001,SKUs!$F$2:$F$10001,"",0), " Accessories",""))</f>
        <v/>
      </c>
      <c r="L808" s="36">
        <f>_xlfn.XLOOKUP(C808,'Project Details'!$C$17:$C$66,'Project Details'!$D$17:$D$66,"",0)</f>
        <v>0</v>
      </c>
      <c r="M808" s="43"/>
    </row>
    <row r="809" spans="1:13" ht="13.5" customHeight="1" outlineLevel="1" x14ac:dyDescent="0.25">
      <c r="A809" s="43"/>
      <c r="B809" s="43"/>
      <c r="C809" s="16">
        <f t="shared" si="14"/>
        <v>16</v>
      </c>
      <c r="D809" s="16" t="str" cm="1">
        <f t="array" ref="D809">IFERROR(ROUNDUP(_xlfn.IFS(F809="Aluminum Track", _xlfn.XLOOKUP(C809, dd_accsrycalc!$A$2:$A$51, dd_accsrycalc!$B$2:$B$51, "",0), F809="10 x 2 1/2 S (Flat)", _xlfn.XLOOKUP(C809, dd_accsrycalc!$A$2:$A$51, dd_accsrycalc!$C$2:$C$51, "",0), F809="Tox6", _xlfn.XLOOKUP(C809, dd_accsrycalc!$A$2:$A$51, dd_accsrycalc!$D$2:$D$51, "",0), F809="Cover Cap", _xlfn.XLOOKUP(C809, dd_accsrycalc!$A$2:$A$51, dd_accsrycalc!$E$2:$E$51, "",0), F809="Drainage Cover", _xlfn.XLOOKUP(C809, dd_accsrycalc!$A$2:$A$51, dd_accsrycalc!$F$2:$F$51, "",0),AND( F809="Double Adhesive Tape", I809="Roll-up Screen"), _xlfn.XLOOKUP(C809, calc_rusacc!$C$15:$C$65, calc_rusacc!$AD$15:$AD$65, "",0),AND( F809="Sealant", I809="Roll-up Screen"), _xlfn.XLOOKUP(C809, calc_rusacc!$C$15:$C$65, calc_rusacc!$AF$15:$AF$65, "",0),  AND( F809="Main Chain", I809="Accordion Screen"), _xlfn.XLOOKUP(C809, calc_rusacc!$C$15:$C$65, calc_rusacc!$BF$15:$BF$65, "",0), AND( F809="Sealant", I809="Accordion Screen"), _xlfn.XLOOKUP(C809, calc_rusacc!$C$15:$C$65, calc_rusacc!$BJ$15:$BJ$65, "",0),  F809="Sealant", _xlfn.XLOOKUP(C809, dd_accsrycalc!$A$2:$A$51, dd_accsrycalc!$G$2:$G$51, "",0),  F809&lt;&gt;"",L809*_xlfn.XLOOKUP(1, (SKUs!$C$2:$C$10001=G809)*(SKUs!$K$2:$K$10001=I809),SKUs!$E$2:$E$10001)), 0),"")</f>
        <v/>
      </c>
      <c r="E809" s="16" t="str">
        <f>_xlfn.XLOOKUP(F809,dd_item!$B$2:$B$105,dd_item!$C$2:$C$105,"",0)</f>
        <v/>
      </c>
      <c r="F809" s="16"/>
      <c r="G809" s="16" cm="1">
        <f t="array" ref="G809">IFERROR(_xlfn.XLOOKUP(1, (SKUs!$J$2:$J$10001=accsry_unmerged!F809)*IF(H809&lt;&gt;"",(SKUs!$L$2:$L$10001=accsry_unmerged!H809),1)*(SKUs!$K$2:$K$10001=I809),SKUs!$C$2:$C$10001),"")</f>
        <v>0</v>
      </c>
      <c r="H809" s="33" cm="1">
        <f t="array" ref="H809">IFERROR(_xlfn.XLOOKUP(1, (dd_accsryclr!$C$2:$C$1000=accsry_unmerged!F809)*(dd_accsryclr!$B$2:$B$1000=accsry_unmerged!J809),dd_accsryclr!$A$2:$A$1000),"")</f>
        <v>0</v>
      </c>
      <c r="I809" s="16">
        <f>_xlfn.XLOOKUP(C809,'Project Details'!$C$17:$C$66,'Project Details'!$E$17:$E$66,"",0)</f>
        <v>0</v>
      </c>
      <c r="J809" s="16">
        <f>_xlfn.XLOOKUP(C809,'Project Details'!$C$17:$C$66,'Project Details'!$H$17:$H$66,"",0)</f>
        <v>0</v>
      </c>
      <c r="K809" s="33" t="str">
        <f>IF(AND(_xlfn.XLOOKUP(C809,'Project Details'!$C$17:$C$66,'Project Details'!$L$17:$L$66,"",0)&gt;550, F809="Spring-L27cm"),"",SUBSTITUTE(_xlfn.XLOOKUP(G809,SKUs!$C$2:$C$10001,SKUs!$F$2:$F$10001,"",0), " Accessories",""))</f>
        <v/>
      </c>
      <c r="L809" s="33">
        <f>_xlfn.XLOOKUP(C809,'Project Details'!$C$17:$C$66,'Project Details'!$D$17:$D$66,"",0)</f>
        <v>0</v>
      </c>
      <c r="M809" s="43"/>
    </row>
    <row r="810" spans="1:13" ht="13.5" customHeight="1" outlineLevel="1" x14ac:dyDescent="0.25">
      <c r="A810" s="43"/>
      <c r="B810" s="43"/>
      <c r="C810" s="35">
        <f t="shared" si="14"/>
        <v>16</v>
      </c>
      <c r="D810" s="35" t="str" cm="1">
        <f t="array" ref="D810">IFERROR(ROUNDUP(_xlfn.IFS(F810="Aluminum Track", _xlfn.XLOOKUP(C810, dd_accsrycalc!$A$2:$A$51, dd_accsrycalc!$B$2:$B$51, "",0), F810="10 x 2 1/2 S (Flat)", _xlfn.XLOOKUP(C810, dd_accsrycalc!$A$2:$A$51, dd_accsrycalc!$C$2:$C$51, "",0), F810="Tox6", _xlfn.XLOOKUP(C810, dd_accsrycalc!$A$2:$A$51, dd_accsrycalc!$D$2:$D$51, "",0), F810="Cover Cap", _xlfn.XLOOKUP(C810, dd_accsrycalc!$A$2:$A$51, dd_accsrycalc!$E$2:$E$51, "",0), F810="Drainage Cover", _xlfn.XLOOKUP(C810, dd_accsrycalc!$A$2:$A$51, dd_accsrycalc!$F$2:$F$51, "",0),AND( F810="Double Adhesive Tape", I810="Roll-up Screen"), _xlfn.XLOOKUP(C810, calc_rusacc!$C$15:$C$65, calc_rusacc!$AD$15:$AD$65, "",0),AND( F810="Sealant", I810="Roll-up Screen"), _xlfn.XLOOKUP(C810, calc_rusacc!$C$15:$C$65, calc_rusacc!$AF$15:$AF$65, "",0),  AND( F810="Main Chain", I810="Accordion Screen"), _xlfn.XLOOKUP(C810, calc_rusacc!$C$15:$C$65, calc_rusacc!$BF$15:$BF$65, "",0), AND( F810="Sealant", I810="Accordion Screen"), _xlfn.XLOOKUP(C810, calc_rusacc!$C$15:$C$65, calc_rusacc!$BJ$15:$BJ$65, "",0),  F810="Sealant", _xlfn.XLOOKUP(C810, dd_accsrycalc!$A$2:$A$51, dd_accsrycalc!$G$2:$G$51, "",0),  F810&lt;&gt;"",L810*_xlfn.XLOOKUP(1, (SKUs!$C$2:$C$10001=G810)*(SKUs!$K$2:$K$10001=I810),SKUs!$E$2:$E$10001)), 0),"")</f>
        <v/>
      </c>
      <c r="E810" s="35" t="str">
        <f>_xlfn.XLOOKUP(F810,dd_item!$B$2:$B$105,dd_item!$C$2:$C$105,"",0)</f>
        <v/>
      </c>
      <c r="F810" s="35"/>
      <c r="G810" s="35" cm="1">
        <f t="array" ref="G810">IFERROR(_xlfn.XLOOKUP(1, (SKUs!$J$2:$J$10001=accsry_unmerged!F810)*IF(H810&lt;&gt;"",(SKUs!$L$2:$L$10001=accsry_unmerged!H810),1)*(SKUs!$K$2:$K$10001=I810),SKUs!$C$2:$C$10001),"")</f>
        <v>0</v>
      </c>
      <c r="H810" s="36" cm="1">
        <f t="array" ref="H810">IFERROR(_xlfn.XLOOKUP(1, (dd_accsryclr!$C$2:$C$1000=accsry_unmerged!F810)*(dd_accsryclr!$B$2:$B$1000=accsry_unmerged!J810),dd_accsryclr!$A$2:$A$1000),"")</f>
        <v>0</v>
      </c>
      <c r="I810" s="35">
        <f>_xlfn.XLOOKUP(C810,'Project Details'!$C$17:$C$66,'Project Details'!$E$17:$E$66,"",0)</f>
        <v>0</v>
      </c>
      <c r="J810" s="35">
        <f>_xlfn.XLOOKUP(C810,'Project Details'!$C$17:$C$66,'Project Details'!$H$17:$H$66,"",0)</f>
        <v>0</v>
      </c>
      <c r="K810" s="36" t="str">
        <f>IF(AND(_xlfn.XLOOKUP(C810,'Project Details'!$C$17:$C$66,'Project Details'!$L$17:$L$66,"",0)&gt;550, F810="Spring-L27cm"),"",SUBSTITUTE(_xlfn.XLOOKUP(G810,SKUs!$C$2:$C$10001,SKUs!$F$2:$F$10001,"",0), " Accessories",""))</f>
        <v/>
      </c>
      <c r="L810" s="36">
        <f>_xlfn.XLOOKUP(C810,'Project Details'!$C$17:$C$66,'Project Details'!$D$17:$D$66,"",0)</f>
        <v>0</v>
      </c>
      <c r="M810" s="43"/>
    </row>
    <row r="811" spans="1:13" ht="13.5" customHeight="1" outlineLevel="1" x14ac:dyDescent="0.25">
      <c r="A811" s="43"/>
      <c r="B811" s="43"/>
      <c r="C811" s="16">
        <f t="shared" si="14"/>
        <v>16</v>
      </c>
      <c r="D811" s="16" t="str" cm="1">
        <f t="array" ref="D811">IFERROR(ROUNDUP(_xlfn.IFS(F811="Aluminum Track", _xlfn.XLOOKUP(C811, dd_accsrycalc!$A$2:$A$51, dd_accsrycalc!$B$2:$B$51, "",0), F811="10 x 2 1/2 S (Flat)", _xlfn.XLOOKUP(C811, dd_accsrycalc!$A$2:$A$51, dd_accsrycalc!$C$2:$C$51, "",0), F811="Tox6", _xlfn.XLOOKUP(C811, dd_accsrycalc!$A$2:$A$51, dd_accsrycalc!$D$2:$D$51, "",0), F811="Cover Cap", _xlfn.XLOOKUP(C811, dd_accsrycalc!$A$2:$A$51, dd_accsrycalc!$E$2:$E$51, "",0), F811="Drainage Cover", _xlfn.XLOOKUP(C811, dd_accsrycalc!$A$2:$A$51, dd_accsrycalc!$F$2:$F$51, "",0),AND( F811="Double Adhesive Tape", I811="Roll-up Screen"), _xlfn.XLOOKUP(C811, calc_rusacc!$C$15:$C$65, calc_rusacc!$AD$15:$AD$65, "",0),AND( F811="Sealant", I811="Roll-up Screen"), _xlfn.XLOOKUP(C811, calc_rusacc!$C$15:$C$65, calc_rusacc!$AF$15:$AF$65, "",0),  AND( F811="Main Chain", I811="Accordion Screen"), _xlfn.XLOOKUP(C811, calc_rusacc!$C$15:$C$65, calc_rusacc!$BF$15:$BF$65, "",0), AND( F811="Sealant", I811="Accordion Screen"), _xlfn.XLOOKUP(C811, calc_rusacc!$C$15:$C$65, calc_rusacc!$BJ$15:$BJ$65, "",0),  F811="Sealant", _xlfn.XLOOKUP(C811, dd_accsrycalc!$A$2:$A$51, dd_accsrycalc!$G$2:$G$51, "",0),  F811&lt;&gt;"",L811*_xlfn.XLOOKUP(1, (SKUs!$C$2:$C$10001=G811)*(SKUs!$K$2:$K$10001=I811),SKUs!$E$2:$E$10001)), 0),"")</f>
        <v/>
      </c>
      <c r="E811" s="16" t="str">
        <f>_xlfn.XLOOKUP(F811,dd_item!$B$2:$B$105,dd_item!$C$2:$C$105,"",0)</f>
        <v/>
      </c>
      <c r="F811" s="16"/>
      <c r="G811" s="16" cm="1">
        <f t="array" ref="G811">IFERROR(_xlfn.XLOOKUP(1, (SKUs!$J$2:$J$10001=accsry_unmerged!F811)*IF(H811&lt;&gt;"",(SKUs!$L$2:$L$10001=accsry_unmerged!H811),1)*(SKUs!$K$2:$K$10001=I811),SKUs!$C$2:$C$10001),"")</f>
        <v>0</v>
      </c>
      <c r="H811" s="33" cm="1">
        <f t="array" ref="H811">IFERROR(_xlfn.XLOOKUP(1, (dd_accsryclr!$C$2:$C$1000=accsry_unmerged!F811)*(dd_accsryclr!$B$2:$B$1000=accsry_unmerged!J811),dd_accsryclr!$A$2:$A$1000),"")</f>
        <v>0</v>
      </c>
      <c r="I811" s="16">
        <f>_xlfn.XLOOKUP(C811,'Project Details'!$C$17:$C$66,'Project Details'!$E$17:$E$66,"",0)</f>
        <v>0</v>
      </c>
      <c r="J811" s="16">
        <f>_xlfn.XLOOKUP(C811,'Project Details'!$C$17:$C$66,'Project Details'!$H$17:$H$66,"",0)</f>
        <v>0</v>
      </c>
      <c r="K811" s="33" t="str">
        <f>IF(AND(_xlfn.XLOOKUP(C811,'Project Details'!$C$17:$C$66,'Project Details'!$L$17:$L$66,"",0)&gt;550, F811="Spring-L27cm"),"",SUBSTITUTE(_xlfn.XLOOKUP(G811,SKUs!$C$2:$C$10001,SKUs!$F$2:$F$10001,"",0), " Accessories",""))</f>
        <v/>
      </c>
      <c r="L811" s="33">
        <f>_xlfn.XLOOKUP(C811,'Project Details'!$C$17:$C$66,'Project Details'!$D$17:$D$66,"",0)</f>
        <v>0</v>
      </c>
      <c r="M811" s="43"/>
    </row>
    <row r="812" spans="1:13" ht="13.5" customHeight="1" outlineLevel="1" x14ac:dyDescent="0.25">
      <c r="A812" s="43"/>
      <c r="B812" s="43"/>
      <c r="C812" s="35">
        <f t="shared" si="14"/>
        <v>16</v>
      </c>
      <c r="D812" s="35" t="str" cm="1">
        <f t="array" ref="D812">IFERROR(ROUNDUP(_xlfn.IFS(F812="Aluminum Track", _xlfn.XLOOKUP(C812, dd_accsrycalc!$A$2:$A$51, dd_accsrycalc!$B$2:$B$51, "",0), F812="10 x 2 1/2 S (Flat)", _xlfn.XLOOKUP(C812, dd_accsrycalc!$A$2:$A$51, dd_accsrycalc!$C$2:$C$51, "",0), F812="Tox6", _xlfn.XLOOKUP(C812, dd_accsrycalc!$A$2:$A$51, dd_accsrycalc!$D$2:$D$51, "",0), F812="Cover Cap", _xlfn.XLOOKUP(C812, dd_accsrycalc!$A$2:$A$51, dd_accsrycalc!$E$2:$E$51, "",0), F812="Drainage Cover", _xlfn.XLOOKUP(C812, dd_accsrycalc!$A$2:$A$51, dd_accsrycalc!$F$2:$F$51, "",0),AND( F812="Double Adhesive Tape", I812="Roll-up Screen"), _xlfn.XLOOKUP(C812, calc_rusacc!$C$15:$C$65, calc_rusacc!$AD$15:$AD$65, "",0),AND( F812="Sealant", I812="Roll-up Screen"), _xlfn.XLOOKUP(C812, calc_rusacc!$C$15:$C$65, calc_rusacc!$AF$15:$AF$65, "",0),  AND( F812="Main Chain", I812="Accordion Screen"), _xlfn.XLOOKUP(C812, calc_rusacc!$C$15:$C$65, calc_rusacc!$BF$15:$BF$65, "",0), AND( F812="Sealant", I812="Accordion Screen"), _xlfn.XLOOKUP(C812, calc_rusacc!$C$15:$C$65, calc_rusacc!$BJ$15:$BJ$65, "",0),  F812="Sealant", _xlfn.XLOOKUP(C812, dd_accsrycalc!$A$2:$A$51, dd_accsrycalc!$G$2:$G$51, "",0),  F812&lt;&gt;"",L812*_xlfn.XLOOKUP(1, (SKUs!$C$2:$C$10001=G812)*(SKUs!$K$2:$K$10001=I812),SKUs!$E$2:$E$10001)), 0),"")</f>
        <v/>
      </c>
      <c r="E812" s="35" t="str">
        <f>_xlfn.XLOOKUP(F812,dd_item!$B$2:$B$105,dd_item!$C$2:$C$105,"",0)</f>
        <v/>
      </c>
      <c r="F812" s="35"/>
      <c r="G812" s="35" cm="1">
        <f t="array" ref="G812">IFERROR(_xlfn.XLOOKUP(1, (SKUs!$J$2:$J$10001=accsry_unmerged!F812)*IF(H812&lt;&gt;"",(SKUs!$L$2:$L$10001=accsry_unmerged!H812),1)*(SKUs!$K$2:$K$10001=I812),SKUs!$C$2:$C$10001),"")</f>
        <v>0</v>
      </c>
      <c r="H812" s="36" cm="1">
        <f t="array" ref="H812">IFERROR(_xlfn.XLOOKUP(1, (dd_accsryclr!$C$2:$C$1000=accsry_unmerged!F812)*(dd_accsryclr!$B$2:$B$1000=accsry_unmerged!J812),dd_accsryclr!$A$2:$A$1000),"")</f>
        <v>0</v>
      </c>
      <c r="I812" s="35">
        <f>_xlfn.XLOOKUP(C812,'Project Details'!$C$17:$C$66,'Project Details'!$E$17:$E$66,"",0)</f>
        <v>0</v>
      </c>
      <c r="J812" s="35">
        <f>_xlfn.XLOOKUP(C812,'Project Details'!$C$17:$C$66,'Project Details'!$H$17:$H$66,"",0)</f>
        <v>0</v>
      </c>
      <c r="K812" s="36" t="str">
        <f>IF(AND(_xlfn.XLOOKUP(C812,'Project Details'!$C$17:$C$66,'Project Details'!$L$17:$L$66,"",0)&gt;550, F812="Spring-L27cm"),"",SUBSTITUTE(_xlfn.XLOOKUP(G812,SKUs!$C$2:$C$10001,SKUs!$F$2:$F$10001,"",0), " Accessories",""))</f>
        <v/>
      </c>
      <c r="L812" s="36">
        <f>_xlfn.XLOOKUP(C812,'Project Details'!$C$17:$C$66,'Project Details'!$D$17:$D$66,"",0)</f>
        <v>0</v>
      </c>
      <c r="M812" s="43"/>
    </row>
    <row r="813" spans="1:13" ht="13.5" customHeight="1" outlineLevel="1" x14ac:dyDescent="0.25">
      <c r="A813" s="43"/>
      <c r="B813" s="43"/>
      <c r="C813" s="16">
        <f t="shared" si="14"/>
        <v>16</v>
      </c>
      <c r="D813" s="16" t="str" cm="1">
        <f t="array" ref="D813">IFERROR(ROUNDUP(_xlfn.IFS(F813="Aluminum Track", _xlfn.XLOOKUP(C813, dd_accsrycalc!$A$2:$A$51, dd_accsrycalc!$B$2:$B$51, "",0), F813="10 x 2 1/2 S (Flat)", _xlfn.XLOOKUP(C813, dd_accsrycalc!$A$2:$A$51, dd_accsrycalc!$C$2:$C$51, "",0), F813="Tox6", _xlfn.XLOOKUP(C813, dd_accsrycalc!$A$2:$A$51, dd_accsrycalc!$D$2:$D$51, "",0), F813="Cover Cap", _xlfn.XLOOKUP(C813, dd_accsrycalc!$A$2:$A$51, dd_accsrycalc!$E$2:$E$51, "",0), F813="Drainage Cover", _xlfn.XLOOKUP(C813, dd_accsrycalc!$A$2:$A$51, dd_accsrycalc!$F$2:$F$51, "",0),AND( F813="Double Adhesive Tape", I813="Roll-up Screen"), _xlfn.XLOOKUP(C813, calc_rusacc!$C$15:$C$65, calc_rusacc!$AD$15:$AD$65, "",0),AND( F813="Sealant", I813="Roll-up Screen"), _xlfn.XLOOKUP(C813, calc_rusacc!$C$15:$C$65, calc_rusacc!$AF$15:$AF$65, "",0),  AND( F813="Main Chain", I813="Accordion Screen"), _xlfn.XLOOKUP(C813, calc_rusacc!$C$15:$C$65, calc_rusacc!$BF$15:$BF$65, "",0), AND( F813="Sealant", I813="Accordion Screen"), _xlfn.XLOOKUP(C813, calc_rusacc!$C$15:$C$65, calc_rusacc!$BJ$15:$BJ$65, "",0),  F813="Sealant", _xlfn.XLOOKUP(C813, dd_accsrycalc!$A$2:$A$51, dd_accsrycalc!$G$2:$G$51, "",0),  F813&lt;&gt;"",L813*_xlfn.XLOOKUP(1, (SKUs!$C$2:$C$10001=G813)*(SKUs!$K$2:$K$10001=I813),SKUs!$E$2:$E$10001)), 0),"")</f>
        <v/>
      </c>
      <c r="E813" s="16" t="str">
        <f>_xlfn.XLOOKUP(F813,dd_item!$B$2:$B$105,dd_item!$C$2:$C$105,"",0)</f>
        <v/>
      </c>
      <c r="F813" s="16"/>
      <c r="G813" s="16" cm="1">
        <f t="array" ref="G813">IFERROR(_xlfn.XLOOKUP(1, (SKUs!$J$2:$J$10001=accsry_unmerged!F813)*IF(H813&lt;&gt;"",(SKUs!$L$2:$L$10001=accsry_unmerged!H813),1)*(SKUs!$K$2:$K$10001=I813),SKUs!$C$2:$C$10001),"")</f>
        <v>0</v>
      </c>
      <c r="H813" s="33" cm="1">
        <f t="array" ref="H813">IFERROR(_xlfn.XLOOKUP(1, (dd_accsryclr!$C$2:$C$1000=accsry_unmerged!F813)*(dd_accsryclr!$B$2:$B$1000=accsry_unmerged!J813),dd_accsryclr!$A$2:$A$1000),"")</f>
        <v>0</v>
      </c>
      <c r="I813" s="16">
        <f>_xlfn.XLOOKUP(C813,'Project Details'!$C$17:$C$66,'Project Details'!$E$17:$E$66,"",0)</f>
        <v>0</v>
      </c>
      <c r="J813" s="16">
        <f>_xlfn.XLOOKUP(C813,'Project Details'!$C$17:$C$66,'Project Details'!$H$17:$H$66,"",0)</f>
        <v>0</v>
      </c>
      <c r="K813" s="33" t="str">
        <f>IF(AND(_xlfn.XLOOKUP(C813,'Project Details'!$C$17:$C$66,'Project Details'!$L$17:$L$66,"",0)&gt;550, F813="Spring-L27cm"),"",SUBSTITUTE(_xlfn.XLOOKUP(G813,SKUs!$C$2:$C$10001,SKUs!$F$2:$F$10001,"",0), " Accessories",""))</f>
        <v/>
      </c>
      <c r="L813" s="33">
        <f>_xlfn.XLOOKUP(C813,'Project Details'!$C$17:$C$66,'Project Details'!$D$17:$D$66,"",0)</f>
        <v>0</v>
      </c>
      <c r="M813" s="43"/>
    </row>
    <row r="814" spans="1:13" x14ac:dyDescent="0.25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</row>
    <row r="815" spans="1:13" x14ac:dyDescent="0.25">
      <c r="A815" s="43"/>
      <c r="B815" s="43"/>
      <c r="C815" s="16">
        <f>C813+1</f>
        <v>17</v>
      </c>
      <c r="D815" s="48" cm="1">
        <f t="array" ref="D815">IFERROR(ROUNDUP(_xlfn.IFS(F815="Aluminum Track", _xlfn.XLOOKUP(C815, dd_accsrycalc!$A$2:$A$51, dd_accsrycalc!$B$2:$B$51, "",0), F815="10 x 2 1/2 S (Flat)", _xlfn.XLOOKUP(C815, dd_accsrycalc!$A$2:$A$51, dd_accsrycalc!$C$2:$C$51, "",0), F815="Tox6", _xlfn.XLOOKUP(C815, dd_accsrycalc!$A$2:$A$51, dd_accsrycalc!$D$2:$D$51, "",0), F815="Cover Cap", _xlfn.XLOOKUP(C815, dd_accsrycalc!$A$2:$A$51, dd_accsrycalc!$E$2:$E$51, "",0), F815="Drainage Cover", _xlfn.XLOOKUP(C815, dd_accsrycalc!$A$2:$A$51, dd_accsrycalc!$F$2:$F$51, "",0),AND( F815="Double Adhesive Tape", I815="Roll-up Screen"), _xlfn.XLOOKUP(C815, calc_rusacc!$C$15:$C$65, calc_rusacc!$AD$15:$AD$65, "",0),AND( F815="Sealant", I815="Roll-up Screen"), _xlfn.XLOOKUP(C815, calc_rusacc!$C$15:$C$65, calc_rusacc!$AF$15:$AF$65, "",0),  AND( F815="Main Chain", I815="Accordion Screen"), _xlfn.XLOOKUP(C815, calc_rusacc!$C$15:$C$65, calc_rusacc!$BF$15:$BF$65, "",0), AND( F815="Sealant", I815="Accordion Screen"), _xlfn.XLOOKUP(C815, calc_rusacc!$C$15:$C$65, calc_rusacc!$BJ$15:$BJ$65, "",0),  F815="Sealant", _xlfn.XLOOKUP(C815, dd_accsrycalc!$A$2:$A$51, dd_accsrycalc!$G$2:$G$51, "",0),  F815&lt;&gt;"",L815*_xlfn.XLOOKUP(1, (SKUs!$C$2:$C$10001=G815)*(SKUs!$K$2:$K$10001=I815),SKUs!$E$2:$E$10001)), 0),"")</f>
        <v>0</v>
      </c>
      <c r="E815" s="48" t="str">
        <f>_xlfn.XLOOKUP(F815,dd_item!$B$2:$B$105,dd_item!$C$2:$C$105,"",0)</f>
        <v/>
      </c>
      <c r="F815" s="48" cm="1">
        <f t="array" ref="F815">IFERROR(_xlfn.UNIQUE(_xlfn._xlws.FILTER(SKUs!$J$2:$J$10001, (SKUs!$F$2:$F$10001&lt;&gt;"Cutting List") * (SKUs!$A$2:$A$10001=_xlfn.XLOOKUP(_xlfn.XLOOKUP(C815,'Project Details'!$C$17:$C$66,'Project Details'!$E$17:$E$66,"",0), dd_design_raw!$A$2:$A$101,dd_design_raw!$C$2:$C$101,"",0)))), "")</f>
        <v>0</v>
      </c>
      <c r="G815" s="16" cm="1">
        <f t="array" ref="G815">IFERROR(_xlfn.XLOOKUP(1, (SKUs!$J$2:$J$10001=accsry_unmerged!F815)*IF(H815&lt;&gt;"",(SKUs!$L$2:$L$10001=accsry_unmerged!H815),1)*(SKUs!$K$2:$K$10001=I815),SKUs!$C$2:$C$10001),"")</f>
        <v>0</v>
      </c>
      <c r="H815" s="16" cm="1">
        <f t="array" ref="H815">IFERROR(_xlfn.XLOOKUP(1, (dd_accsryclr!$C$2:$C$1000=accsry_unmerged!F815)*(dd_accsryclr!$B$2:$B$1000=accsry_unmerged!J815),dd_accsryclr!$A$2:$A$1000),"")</f>
        <v>0</v>
      </c>
      <c r="I815" s="16">
        <f>_xlfn.XLOOKUP(C815,'Project Details'!$C$17:$C$66,'Project Details'!$E$17:$E$66,"",0)</f>
        <v>0</v>
      </c>
      <c r="J815" s="16">
        <f>_xlfn.XLOOKUP(C815,'Project Details'!$C$17:$C$66,'Project Details'!$H$17:$H$66,"",0)</f>
        <v>0</v>
      </c>
      <c r="K815" s="16" t="str">
        <f>IF(AND(_xlfn.XLOOKUP(C815,'Project Details'!$C$17:$C$66,'Project Details'!$L$17:$L$66,"",0)&gt;550, F815="Spring-L27cm"),"",SUBSTITUTE(_xlfn.XLOOKUP(G815,SKUs!$C$2:$C$10001,SKUs!$F$2:$F$10001,"",0), " Accessories",""))</f>
        <v/>
      </c>
      <c r="L815" s="16">
        <f>_xlfn.XLOOKUP(C815,'Project Details'!$C$17:$C$66,'Project Details'!$D$17:$D$66,"",0)</f>
        <v>0</v>
      </c>
      <c r="M815" s="43"/>
    </row>
    <row r="816" spans="1:13" x14ac:dyDescent="0.25">
      <c r="A816" s="43"/>
      <c r="B816" s="43"/>
      <c r="C816" s="35">
        <f>C815</f>
        <v>17</v>
      </c>
      <c r="D816" s="35" t="str" cm="1">
        <f t="array" ref="D816">IFERROR(ROUNDUP(_xlfn.IFS(F816="Aluminum Track", _xlfn.XLOOKUP(C816, dd_accsrycalc!$A$2:$A$51, dd_accsrycalc!$B$2:$B$51, "",0), F816="10 x 2 1/2 S (Flat)", _xlfn.XLOOKUP(C816, dd_accsrycalc!$A$2:$A$51, dd_accsrycalc!$C$2:$C$51, "",0), F816="Tox6", _xlfn.XLOOKUP(C816, dd_accsrycalc!$A$2:$A$51, dd_accsrycalc!$D$2:$D$51, "",0), F816="Cover Cap", _xlfn.XLOOKUP(C816, dd_accsrycalc!$A$2:$A$51, dd_accsrycalc!$E$2:$E$51, "",0), F816="Drainage Cover", _xlfn.XLOOKUP(C816, dd_accsrycalc!$A$2:$A$51, dd_accsrycalc!$F$2:$F$51, "",0),AND( F816="Double Adhesive Tape", I816="Roll-up Screen"), _xlfn.XLOOKUP(C816, calc_rusacc!$C$15:$C$65, calc_rusacc!$AD$15:$AD$65, "",0),AND( F816="Sealant", I816="Roll-up Screen"), _xlfn.XLOOKUP(C816, calc_rusacc!$C$15:$C$65, calc_rusacc!$AF$15:$AF$65, "",0),  AND( F816="Main Chain", I816="Accordion Screen"), _xlfn.XLOOKUP(C816, calc_rusacc!$C$15:$C$65, calc_rusacc!$BF$15:$BF$65, "",0), AND( F816="Sealant", I816="Accordion Screen"), _xlfn.XLOOKUP(C816, calc_rusacc!$C$15:$C$65, calc_rusacc!$BJ$15:$BJ$65, "",0),  F816="Sealant", _xlfn.XLOOKUP(C816, dd_accsrycalc!$A$2:$A$51, dd_accsrycalc!$G$2:$G$51, "",0),  F816&lt;&gt;"",L816*_xlfn.XLOOKUP(1, (SKUs!$C$2:$C$10001=G816)*(SKUs!$K$2:$K$10001=I816),SKUs!$E$2:$E$10001)), 0),"")</f>
        <v/>
      </c>
      <c r="E816" s="35" t="str">
        <f>_xlfn.XLOOKUP(F816,dd_item!$B$2:$B$105,dd_item!$C$2:$C$105,"",0)</f>
        <v/>
      </c>
      <c r="F816" s="35"/>
      <c r="G816" s="35" cm="1">
        <f t="array" ref="G816">IFERROR(_xlfn.XLOOKUP(1, (SKUs!$J$2:$J$10001=accsry_unmerged!F816)*IF(H816&lt;&gt;"",(SKUs!$L$2:$L$10001=accsry_unmerged!H816),1)*(SKUs!$K$2:$K$10001=I816),SKUs!$C$2:$C$10001),"")</f>
        <v>0</v>
      </c>
      <c r="H816" s="36" cm="1">
        <f t="array" ref="H816">IFERROR(_xlfn.XLOOKUP(1, (dd_accsryclr!$C$2:$C$1000=accsry_unmerged!F816)*(dd_accsryclr!$B$2:$B$1000=accsry_unmerged!J816),dd_accsryclr!$A$2:$A$1000),"")</f>
        <v>0</v>
      </c>
      <c r="I816" s="35">
        <f>_xlfn.XLOOKUP(C816,'Project Details'!$C$17:$C$66,'Project Details'!$E$17:$E$66,"",0)</f>
        <v>0</v>
      </c>
      <c r="J816" s="35">
        <f>_xlfn.XLOOKUP(C816,'Project Details'!$C$17:$C$66,'Project Details'!$H$17:$H$66,"",0)</f>
        <v>0</v>
      </c>
      <c r="K816" s="36" t="str">
        <f>IF(AND(_xlfn.XLOOKUP(C816,'Project Details'!$C$17:$C$66,'Project Details'!$L$17:$L$66,"",0)&gt;550, F816="Spring-L27cm"),"",SUBSTITUTE(_xlfn.XLOOKUP(G816,SKUs!$C$2:$C$10001,SKUs!$F$2:$F$10001,"",0), " Accessories",""))</f>
        <v/>
      </c>
      <c r="L816" s="36">
        <f>_xlfn.XLOOKUP(C816,'Project Details'!$C$17:$C$66,'Project Details'!$D$17:$D$66,"",0)</f>
        <v>0</v>
      </c>
      <c r="M816" s="43"/>
    </row>
    <row r="817" spans="1:13" x14ac:dyDescent="0.25">
      <c r="A817" s="43"/>
      <c r="B817" s="43"/>
      <c r="C817" s="16">
        <f t="shared" ref="C817:C863" si="15">C816</f>
        <v>17</v>
      </c>
      <c r="D817" s="16" t="str" cm="1">
        <f t="array" ref="D817">IFERROR(ROUNDUP(_xlfn.IFS(F817="Aluminum Track", _xlfn.XLOOKUP(C817, dd_accsrycalc!$A$2:$A$51, dd_accsrycalc!$B$2:$B$51, "",0), F817="10 x 2 1/2 S (Flat)", _xlfn.XLOOKUP(C817, dd_accsrycalc!$A$2:$A$51, dd_accsrycalc!$C$2:$C$51, "",0), F817="Tox6", _xlfn.XLOOKUP(C817, dd_accsrycalc!$A$2:$A$51, dd_accsrycalc!$D$2:$D$51, "",0), F817="Cover Cap", _xlfn.XLOOKUP(C817, dd_accsrycalc!$A$2:$A$51, dd_accsrycalc!$E$2:$E$51, "",0), F817="Drainage Cover", _xlfn.XLOOKUP(C817, dd_accsrycalc!$A$2:$A$51, dd_accsrycalc!$F$2:$F$51, "",0),AND( F817="Double Adhesive Tape", I817="Roll-up Screen"), _xlfn.XLOOKUP(C817, calc_rusacc!$C$15:$C$65, calc_rusacc!$AD$15:$AD$65, "",0),AND( F817="Sealant", I817="Roll-up Screen"), _xlfn.XLOOKUP(C817, calc_rusacc!$C$15:$C$65, calc_rusacc!$AF$15:$AF$65, "",0),  AND( F817="Main Chain", I817="Accordion Screen"), _xlfn.XLOOKUP(C817, calc_rusacc!$C$15:$C$65, calc_rusacc!$BF$15:$BF$65, "",0), AND( F817="Sealant", I817="Accordion Screen"), _xlfn.XLOOKUP(C817, calc_rusacc!$C$15:$C$65, calc_rusacc!$BJ$15:$BJ$65, "",0),  F817="Sealant", _xlfn.XLOOKUP(C817, dd_accsrycalc!$A$2:$A$51, dd_accsrycalc!$G$2:$G$51, "",0),  F817&lt;&gt;"",L817*_xlfn.XLOOKUP(1, (SKUs!$C$2:$C$10001=G817)*(SKUs!$K$2:$K$10001=I817),SKUs!$E$2:$E$10001)), 0),"")</f>
        <v/>
      </c>
      <c r="E817" s="16" t="str">
        <f>_xlfn.XLOOKUP(F817,dd_item!$B$2:$B$105,dd_item!$C$2:$C$105,"",0)</f>
        <v/>
      </c>
      <c r="F817" s="16"/>
      <c r="G817" s="16" cm="1">
        <f t="array" ref="G817">IFERROR(_xlfn.XLOOKUP(1, (SKUs!$J$2:$J$10001=accsry_unmerged!F817)*IF(H817&lt;&gt;"",(SKUs!$L$2:$L$10001=accsry_unmerged!H817),1)*(SKUs!$K$2:$K$10001=I817),SKUs!$C$2:$C$10001),"")</f>
        <v>0</v>
      </c>
      <c r="H817" s="33" cm="1">
        <f t="array" ref="H817">IFERROR(_xlfn.XLOOKUP(1, (dd_accsryclr!$C$2:$C$1000=accsry_unmerged!F817)*(dd_accsryclr!$B$2:$B$1000=accsry_unmerged!J817),dd_accsryclr!$A$2:$A$1000),"")</f>
        <v>0</v>
      </c>
      <c r="I817" s="16">
        <f>_xlfn.XLOOKUP(C817,'Project Details'!$C$17:$C$66,'Project Details'!$E$17:$E$66,"",0)</f>
        <v>0</v>
      </c>
      <c r="J817" s="16">
        <f>_xlfn.XLOOKUP(C817,'Project Details'!$C$17:$C$66,'Project Details'!$H$17:$H$66,"",0)</f>
        <v>0</v>
      </c>
      <c r="K817" s="33" t="str">
        <f>IF(AND(_xlfn.XLOOKUP(C817,'Project Details'!$C$17:$C$66,'Project Details'!$L$17:$L$66,"",0)&gt;550, F817="Spring-L27cm"),"",SUBSTITUTE(_xlfn.XLOOKUP(G817,SKUs!$C$2:$C$10001,SKUs!$F$2:$F$10001,"",0), " Accessories",""))</f>
        <v/>
      </c>
      <c r="L817" s="33">
        <f>_xlfn.XLOOKUP(C817,'Project Details'!$C$17:$C$66,'Project Details'!$D$17:$D$66,"",0)</f>
        <v>0</v>
      </c>
      <c r="M817" s="43"/>
    </row>
    <row r="818" spans="1:13" x14ac:dyDescent="0.25">
      <c r="A818" s="43"/>
      <c r="B818" s="43"/>
      <c r="C818" s="35">
        <f t="shared" si="15"/>
        <v>17</v>
      </c>
      <c r="D818" s="35" t="str" cm="1">
        <f t="array" ref="D818">IFERROR(ROUNDUP(_xlfn.IFS(F818="Aluminum Track", _xlfn.XLOOKUP(C818, dd_accsrycalc!$A$2:$A$51, dd_accsrycalc!$B$2:$B$51, "",0), F818="10 x 2 1/2 S (Flat)", _xlfn.XLOOKUP(C818, dd_accsrycalc!$A$2:$A$51, dd_accsrycalc!$C$2:$C$51, "",0), F818="Tox6", _xlfn.XLOOKUP(C818, dd_accsrycalc!$A$2:$A$51, dd_accsrycalc!$D$2:$D$51, "",0), F818="Cover Cap", _xlfn.XLOOKUP(C818, dd_accsrycalc!$A$2:$A$51, dd_accsrycalc!$E$2:$E$51, "",0), F818="Drainage Cover", _xlfn.XLOOKUP(C818, dd_accsrycalc!$A$2:$A$51, dd_accsrycalc!$F$2:$F$51, "",0),AND( F818="Double Adhesive Tape", I818="Roll-up Screen"), _xlfn.XLOOKUP(C818, calc_rusacc!$C$15:$C$65, calc_rusacc!$AD$15:$AD$65, "",0),AND( F818="Sealant", I818="Roll-up Screen"), _xlfn.XLOOKUP(C818, calc_rusacc!$C$15:$C$65, calc_rusacc!$AF$15:$AF$65, "",0),  AND( F818="Main Chain", I818="Accordion Screen"), _xlfn.XLOOKUP(C818, calc_rusacc!$C$15:$C$65, calc_rusacc!$BF$15:$BF$65, "",0), AND( F818="Sealant", I818="Accordion Screen"), _xlfn.XLOOKUP(C818, calc_rusacc!$C$15:$C$65, calc_rusacc!$BJ$15:$BJ$65, "",0),  F818="Sealant", _xlfn.XLOOKUP(C818, dd_accsrycalc!$A$2:$A$51, dd_accsrycalc!$G$2:$G$51, "",0),  F818&lt;&gt;"",L818*_xlfn.XLOOKUP(1, (SKUs!$C$2:$C$10001=G818)*(SKUs!$K$2:$K$10001=I818),SKUs!$E$2:$E$10001)), 0),"")</f>
        <v/>
      </c>
      <c r="E818" s="35" t="str">
        <f>_xlfn.XLOOKUP(F818,dd_item!$B$2:$B$105,dd_item!$C$2:$C$105,"",0)</f>
        <v/>
      </c>
      <c r="F818" s="35"/>
      <c r="G818" s="35" cm="1">
        <f t="array" ref="G818">IFERROR(_xlfn.XLOOKUP(1, (SKUs!$J$2:$J$10001=accsry_unmerged!F818)*IF(H818&lt;&gt;"",(SKUs!$L$2:$L$10001=accsry_unmerged!H818),1)*(SKUs!$K$2:$K$10001=I818),SKUs!$C$2:$C$10001),"")</f>
        <v>0</v>
      </c>
      <c r="H818" s="36" cm="1">
        <f t="array" ref="H818">IFERROR(_xlfn.XLOOKUP(1, (dd_accsryclr!$C$2:$C$1000=accsry_unmerged!F818)*(dd_accsryclr!$B$2:$B$1000=accsry_unmerged!J818),dd_accsryclr!$A$2:$A$1000),"")</f>
        <v>0</v>
      </c>
      <c r="I818" s="35">
        <f>_xlfn.XLOOKUP(C818,'Project Details'!$C$17:$C$66,'Project Details'!$E$17:$E$66,"",0)</f>
        <v>0</v>
      </c>
      <c r="J818" s="35">
        <f>_xlfn.XLOOKUP(C818,'Project Details'!$C$17:$C$66,'Project Details'!$H$17:$H$66,"",0)</f>
        <v>0</v>
      </c>
      <c r="K818" s="36" t="str">
        <f>IF(AND(_xlfn.XLOOKUP(C818,'Project Details'!$C$17:$C$66,'Project Details'!$L$17:$L$66,"",0)&gt;550, F818="Spring-L27cm"),"",SUBSTITUTE(_xlfn.XLOOKUP(G818,SKUs!$C$2:$C$10001,SKUs!$F$2:$F$10001,"",0), " Accessories",""))</f>
        <v/>
      </c>
      <c r="L818" s="36">
        <f>_xlfn.XLOOKUP(C818,'Project Details'!$C$17:$C$66,'Project Details'!$D$17:$D$66,"",0)</f>
        <v>0</v>
      </c>
      <c r="M818" s="43"/>
    </row>
    <row r="819" spans="1:13" x14ac:dyDescent="0.25">
      <c r="A819" s="43"/>
      <c r="B819" s="43"/>
      <c r="C819" s="16">
        <f t="shared" si="15"/>
        <v>17</v>
      </c>
      <c r="D819" s="16" t="str" cm="1">
        <f t="array" ref="D819">IFERROR(ROUNDUP(_xlfn.IFS(F819="Aluminum Track", _xlfn.XLOOKUP(C819, dd_accsrycalc!$A$2:$A$51, dd_accsrycalc!$B$2:$B$51, "",0), F819="10 x 2 1/2 S (Flat)", _xlfn.XLOOKUP(C819, dd_accsrycalc!$A$2:$A$51, dd_accsrycalc!$C$2:$C$51, "",0), F819="Tox6", _xlfn.XLOOKUP(C819, dd_accsrycalc!$A$2:$A$51, dd_accsrycalc!$D$2:$D$51, "",0), F819="Cover Cap", _xlfn.XLOOKUP(C819, dd_accsrycalc!$A$2:$A$51, dd_accsrycalc!$E$2:$E$51, "",0), F819="Drainage Cover", _xlfn.XLOOKUP(C819, dd_accsrycalc!$A$2:$A$51, dd_accsrycalc!$F$2:$F$51, "",0),AND( F819="Double Adhesive Tape", I819="Roll-up Screen"), _xlfn.XLOOKUP(C819, calc_rusacc!$C$15:$C$65, calc_rusacc!$AD$15:$AD$65, "",0),AND( F819="Sealant", I819="Roll-up Screen"), _xlfn.XLOOKUP(C819, calc_rusacc!$C$15:$C$65, calc_rusacc!$AF$15:$AF$65, "",0),  AND( F819="Main Chain", I819="Accordion Screen"), _xlfn.XLOOKUP(C819, calc_rusacc!$C$15:$C$65, calc_rusacc!$BF$15:$BF$65, "",0), AND( F819="Sealant", I819="Accordion Screen"), _xlfn.XLOOKUP(C819, calc_rusacc!$C$15:$C$65, calc_rusacc!$BJ$15:$BJ$65, "",0),  F819="Sealant", _xlfn.XLOOKUP(C819, dd_accsrycalc!$A$2:$A$51, dd_accsrycalc!$G$2:$G$51, "",0),  F819&lt;&gt;"",L819*_xlfn.XLOOKUP(1, (SKUs!$C$2:$C$10001=G819)*(SKUs!$K$2:$K$10001=I819),SKUs!$E$2:$E$10001)), 0),"")</f>
        <v/>
      </c>
      <c r="E819" s="16" t="str">
        <f>_xlfn.XLOOKUP(F819,dd_item!$B$2:$B$105,dd_item!$C$2:$C$105,"",0)</f>
        <v/>
      </c>
      <c r="F819" s="16"/>
      <c r="G819" s="16" cm="1">
        <f t="array" ref="G819">IFERROR(_xlfn.XLOOKUP(1, (SKUs!$J$2:$J$10001=accsry_unmerged!F819)*IF(H819&lt;&gt;"",(SKUs!$L$2:$L$10001=accsry_unmerged!H819),1)*(SKUs!$K$2:$K$10001=I819),SKUs!$C$2:$C$10001),"")</f>
        <v>0</v>
      </c>
      <c r="H819" s="33" cm="1">
        <f t="array" ref="H819">IFERROR(_xlfn.XLOOKUP(1, (dd_accsryclr!$C$2:$C$1000=accsry_unmerged!F819)*(dd_accsryclr!$B$2:$B$1000=accsry_unmerged!J819),dd_accsryclr!$A$2:$A$1000),"")</f>
        <v>0</v>
      </c>
      <c r="I819" s="16">
        <f>_xlfn.XLOOKUP(C819,'Project Details'!$C$17:$C$66,'Project Details'!$E$17:$E$66,"",0)</f>
        <v>0</v>
      </c>
      <c r="J819" s="16">
        <f>_xlfn.XLOOKUP(C819,'Project Details'!$C$17:$C$66,'Project Details'!$H$17:$H$66,"",0)</f>
        <v>0</v>
      </c>
      <c r="K819" s="33" t="str">
        <f>IF(AND(_xlfn.XLOOKUP(C819,'Project Details'!$C$17:$C$66,'Project Details'!$L$17:$L$66,"",0)&gt;550, F819="Spring-L27cm"),"",SUBSTITUTE(_xlfn.XLOOKUP(G819,SKUs!$C$2:$C$10001,SKUs!$F$2:$F$10001,"",0), " Accessories",""))</f>
        <v/>
      </c>
      <c r="L819" s="33">
        <f>_xlfn.XLOOKUP(C819,'Project Details'!$C$17:$C$66,'Project Details'!$D$17:$D$66,"",0)</f>
        <v>0</v>
      </c>
      <c r="M819" s="43"/>
    </row>
    <row r="820" spans="1:13" x14ac:dyDescent="0.25">
      <c r="A820" s="43"/>
      <c r="B820" s="43"/>
      <c r="C820" s="35">
        <f t="shared" si="15"/>
        <v>17</v>
      </c>
      <c r="D820" s="35" t="str" cm="1">
        <f t="array" ref="D820">IFERROR(ROUNDUP(_xlfn.IFS(F820="Aluminum Track", _xlfn.XLOOKUP(C820, dd_accsrycalc!$A$2:$A$51, dd_accsrycalc!$B$2:$B$51, "",0), F820="10 x 2 1/2 S (Flat)", _xlfn.XLOOKUP(C820, dd_accsrycalc!$A$2:$A$51, dd_accsrycalc!$C$2:$C$51, "",0), F820="Tox6", _xlfn.XLOOKUP(C820, dd_accsrycalc!$A$2:$A$51, dd_accsrycalc!$D$2:$D$51, "",0), F820="Cover Cap", _xlfn.XLOOKUP(C820, dd_accsrycalc!$A$2:$A$51, dd_accsrycalc!$E$2:$E$51, "",0), F820="Drainage Cover", _xlfn.XLOOKUP(C820, dd_accsrycalc!$A$2:$A$51, dd_accsrycalc!$F$2:$F$51, "",0),AND( F820="Double Adhesive Tape", I820="Roll-up Screen"), _xlfn.XLOOKUP(C820, calc_rusacc!$C$15:$C$65, calc_rusacc!$AD$15:$AD$65, "",0),AND( F820="Sealant", I820="Roll-up Screen"), _xlfn.XLOOKUP(C820, calc_rusacc!$C$15:$C$65, calc_rusacc!$AF$15:$AF$65, "",0),  AND( F820="Main Chain", I820="Accordion Screen"), _xlfn.XLOOKUP(C820, calc_rusacc!$C$15:$C$65, calc_rusacc!$BF$15:$BF$65, "",0), AND( F820="Sealant", I820="Accordion Screen"), _xlfn.XLOOKUP(C820, calc_rusacc!$C$15:$C$65, calc_rusacc!$BJ$15:$BJ$65, "",0),  F820="Sealant", _xlfn.XLOOKUP(C820, dd_accsrycalc!$A$2:$A$51, dd_accsrycalc!$G$2:$G$51, "",0),  F820&lt;&gt;"",L820*_xlfn.XLOOKUP(1, (SKUs!$C$2:$C$10001=G820)*(SKUs!$K$2:$K$10001=I820),SKUs!$E$2:$E$10001)), 0),"")</f>
        <v/>
      </c>
      <c r="E820" s="35" t="str">
        <f>_xlfn.XLOOKUP(F820,dd_item!$B$2:$B$105,dd_item!$C$2:$C$105,"",0)</f>
        <v/>
      </c>
      <c r="F820" s="35"/>
      <c r="G820" s="35" cm="1">
        <f t="array" ref="G820">IFERROR(_xlfn.XLOOKUP(1, (SKUs!$J$2:$J$10001=accsry_unmerged!F820)*IF(H820&lt;&gt;"",(SKUs!$L$2:$L$10001=accsry_unmerged!H820),1)*(SKUs!$K$2:$K$10001=I820),SKUs!$C$2:$C$10001),"")</f>
        <v>0</v>
      </c>
      <c r="H820" s="36" cm="1">
        <f t="array" ref="H820">IFERROR(_xlfn.XLOOKUP(1, (dd_accsryclr!$C$2:$C$1000=accsry_unmerged!F820)*(dd_accsryclr!$B$2:$B$1000=accsry_unmerged!J820),dd_accsryclr!$A$2:$A$1000),"")</f>
        <v>0</v>
      </c>
      <c r="I820" s="35">
        <f>_xlfn.XLOOKUP(C820,'Project Details'!$C$17:$C$66,'Project Details'!$E$17:$E$66,"",0)</f>
        <v>0</v>
      </c>
      <c r="J820" s="35">
        <f>_xlfn.XLOOKUP(C820,'Project Details'!$C$17:$C$66,'Project Details'!$H$17:$H$66,"",0)</f>
        <v>0</v>
      </c>
      <c r="K820" s="36" t="str">
        <f>IF(AND(_xlfn.XLOOKUP(C820,'Project Details'!$C$17:$C$66,'Project Details'!$L$17:$L$66,"",0)&gt;550, F820="Spring-L27cm"),"",SUBSTITUTE(_xlfn.XLOOKUP(G820,SKUs!$C$2:$C$10001,SKUs!$F$2:$F$10001,"",0), " Accessories",""))</f>
        <v/>
      </c>
      <c r="L820" s="36">
        <f>_xlfn.XLOOKUP(C820,'Project Details'!$C$17:$C$66,'Project Details'!$D$17:$D$66,"",0)</f>
        <v>0</v>
      </c>
      <c r="M820" s="43"/>
    </row>
    <row r="821" spans="1:13" x14ac:dyDescent="0.25">
      <c r="A821" s="43"/>
      <c r="B821" s="43"/>
      <c r="C821" s="16">
        <f t="shared" si="15"/>
        <v>17</v>
      </c>
      <c r="D821" s="16" t="str" cm="1">
        <f t="array" ref="D821">IFERROR(ROUNDUP(_xlfn.IFS(F821="Aluminum Track", _xlfn.XLOOKUP(C821, dd_accsrycalc!$A$2:$A$51, dd_accsrycalc!$B$2:$B$51, "",0), F821="10 x 2 1/2 S (Flat)", _xlfn.XLOOKUP(C821, dd_accsrycalc!$A$2:$A$51, dd_accsrycalc!$C$2:$C$51, "",0), F821="Tox6", _xlfn.XLOOKUP(C821, dd_accsrycalc!$A$2:$A$51, dd_accsrycalc!$D$2:$D$51, "",0), F821="Cover Cap", _xlfn.XLOOKUP(C821, dd_accsrycalc!$A$2:$A$51, dd_accsrycalc!$E$2:$E$51, "",0), F821="Drainage Cover", _xlfn.XLOOKUP(C821, dd_accsrycalc!$A$2:$A$51, dd_accsrycalc!$F$2:$F$51, "",0),AND( F821="Double Adhesive Tape", I821="Roll-up Screen"), _xlfn.XLOOKUP(C821, calc_rusacc!$C$15:$C$65, calc_rusacc!$AD$15:$AD$65, "",0),AND( F821="Sealant", I821="Roll-up Screen"), _xlfn.XLOOKUP(C821, calc_rusacc!$C$15:$C$65, calc_rusacc!$AF$15:$AF$65, "",0),  AND( F821="Main Chain", I821="Accordion Screen"), _xlfn.XLOOKUP(C821, calc_rusacc!$C$15:$C$65, calc_rusacc!$BF$15:$BF$65, "",0), AND( F821="Sealant", I821="Accordion Screen"), _xlfn.XLOOKUP(C821, calc_rusacc!$C$15:$C$65, calc_rusacc!$BJ$15:$BJ$65, "",0),  F821="Sealant", _xlfn.XLOOKUP(C821, dd_accsrycalc!$A$2:$A$51, dd_accsrycalc!$G$2:$G$51, "",0),  F821&lt;&gt;"",L821*_xlfn.XLOOKUP(1, (SKUs!$C$2:$C$10001=G821)*(SKUs!$K$2:$K$10001=I821),SKUs!$E$2:$E$10001)), 0),"")</f>
        <v/>
      </c>
      <c r="E821" s="16" t="str">
        <f>_xlfn.XLOOKUP(F821,dd_item!$B$2:$B$105,dd_item!$C$2:$C$105,"",0)</f>
        <v/>
      </c>
      <c r="F821" s="16"/>
      <c r="G821" s="16" cm="1">
        <f t="array" ref="G821">IFERROR(_xlfn.XLOOKUP(1, (SKUs!$J$2:$J$10001=accsry_unmerged!F821)*IF(H821&lt;&gt;"",(SKUs!$L$2:$L$10001=accsry_unmerged!H821),1)*(SKUs!$K$2:$K$10001=I821),SKUs!$C$2:$C$10001),"")</f>
        <v>0</v>
      </c>
      <c r="H821" s="33" cm="1">
        <f t="array" ref="H821">IFERROR(_xlfn.XLOOKUP(1, (dd_accsryclr!$C$2:$C$1000=accsry_unmerged!F821)*(dd_accsryclr!$B$2:$B$1000=accsry_unmerged!J821),dd_accsryclr!$A$2:$A$1000),"")</f>
        <v>0</v>
      </c>
      <c r="I821" s="16">
        <f>_xlfn.XLOOKUP(C821,'Project Details'!$C$17:$C$66,'Project Details'!$E$17:$E$66,"",0)</f>
        <v>0</v>
      </c>
      <c r="J821" s="16">
        <f>_xlfn.XLOOKUP(C821,'Project Details'!$C$17:$C$66,'Project Details'!$H$17:$H$66,"",0)</f>
        <v>0</v>
      </c>
      <c r="K821" s="33" t="str">
        <f>IF(AND(_xlfn.XLOOKUP(C821,'Project Details'!$C$17:$C$66,'Project Details'!$L$17:$L$66,"",0)&gt;550, F821="Spring-L27cm"),"",SUBSTITUTE(_xlfn.XLOOKUP(G821,SKUs!$C$2:$C$10001,SKUs!$F$2:$F$10001,"",0), " Accessories",""))</f>
        <v/>
      </c>
      <c r="L821" s="33">
        <f>_xlfn.XLOOKUP(C821,'Project Details'!$C$17:$C$66,'Project Details'!$D$17:$D$66,"",0)</f>
        <v>0</v>
      </c>
      <c r="M821" s="43"/>
    </row>
    <row r="822" spans="1:13" x14ac:dyDescent="0.25">
      <c r="A822" s="43"/>
      <c r="B822" s="43"/>
      <c r="C822" s="35">
        <f t="shared" si="15"/>
        <v>17</v>
      </c>
      <c r="D822" s="35" t="str" cm="1">
        <f t="array" ref="D822">IFERROR(ROUNDUP(_xlfn.IFS(F822="Aluminum Track", _xlfn.XLOOKUP(C822, dd_accsrycalc!$A$2:$A$51, dd_accsrycalc!$B$2:$B$51, "",0), F822="10 x 2 1/2 S (Flat)", _xlfn.XLOOKUP(C822, dd_accsrycalc!$A$2:$A$51, dd_accsrycalc!$C$2:$C$51, "",0), F822="Tox6", _xlfn.XLOOKUP(C822, dd_accsrycalc!$A$2:$A$51, dd_accsrycalc!$D$2:$D$51, "",0), F822="Cover Cap", _xlfn.XLOOKUP(C822, dd_accsrycalc!$A$2:$A$51, dd_accsrycalc!$E$2:$E$51, "",0), F822="Drainage Cover", _xlfn.XLOOKUP(C822, dd_accsrycalc!$A$2:$A$51, dd_accsrycalc!$F$2:$F$51, "",0),AND( F822="Double Adhesive Tape", I822="Roll-up Screen"), _xlfn.XLOOKUP(C822, calc_rusacc!$C$15:$C$65, calc_rusacc!$AD$15:$AD$65, "",0),AND( F822="Sealant", I822="Roll-up Screen"), _xlfn.XLOOKUP(C822, calc_rusacc!$C$15:$C$65, calc_rusacc!$AF$15:$AF$65, "",0),  AND( F822="Main Chain", I822="Accordion Screen"), _xlfn.XLOOKUP(C822, calc_rusacc!$C$15:$C$65, calc_rusacc!$BF$15:$BF$65, "",0), AND( F822="Sealant", I822="Accordion Screen"), _xlfn.XLOOKUP(C822, calc_rusacc!$C$15:$C$65, calc_rusacc!$BJ$15:$BJ$65, "",0),  F822="Sealant", _xlfn.XLOOKUP(C822, dd_accsrycalc!$A$2:$A$51, dd_accsrycalc!$G$2:$G$51, "",0),  F822&lt;&gt;"",L822*_xlfn.XLOOKUP(1, (SKUs!$C$2:$C$10001=G822)*(SKUs!$K$2:$K$10001=I822),SKUs!$E$2:$E$10001)), 0),"")</f>
        <v/>
      </c>
      <c r="E822" s="35" t="str">
        <f>_xlfn.XLOOKUP(F822,dd_item!$B$2:$B$105,dd_item!$C$2:$C$105,"",0)</f>
        <v/>
      </c>
      <c r="F822" s="35"/>
      <c r="G822" s="35" cm="1">
        <f t="array" ref="G822">IFERROR(_xlfn.XLOOKUP(1, (SKUs!$J$2:$J$10001=accsry_unmerged!F822)*IF(H822&lt;&gt;"",(SKUs!$L$2:$L$10001=accsry_unmerged!H822),1)*(SKUs!$K$2:$K$10001=I822),SKUs!$C$2:$C$10001),"")</f>
        <v>0</v>
      </c>
      <c r="H822" s="36" cm="1">
        <f t="array" ref="H822">IFERROR(_xlfn.XLOOKUP(1, (dd_accsryclr!$C$2:$C$1000=accsry_unmerged!F822)*(dd_accsryclr!$B$2:$B$1000=accsry_unmerged!J822),dd_accsryclr!$A$2:$A$1000),"")</f>
        <v>0</v>
      </c>
      <c r="I822" s="35">
        <f>_xlfn.XLOOKUP(C822,'Project Details'!$C$17:$C$66,'Project Details'!$E$17:$E$66,"",0)</f>
        <v>0</v>
      </c>
      <c r="J822" s="35">
        <f>_xlfn.XLOOKUP(C822,'Project Details'!$C$17:$C$66,'Project Details'!$H$17:$H$66,"",0)</f>
        <v>0</v>
      </c>
      <c r="K822" s="36" t="str">
        <f>IF(AND(_xlfn.XLOOKUP(C822,'Project Details'!$C$17:$C$66,'Project Details'!$L$17:$L$66,"",0)&gt;550, F822="Spring-L27cm"),"",SUBSTITUTE(_xlfn.XLOOKUP(G822,SKUs!$C$2:$C$10001,SKUs!$F$2:$F$10001,"",0), " Accessories",""))</f>
        <v/>
      </c>
      <c r="L822" s="36">
        <f>_xlfn.XLOOKUP(C822,'Project Details'!$C$17:$C$66,'Project Details'!$D$17:$D$66,"",0)</f>
        <v>0</v>
      </c>
      <c r="M822" s="43"/>
    </row>
    <row r="823" spans="1:13" x14ac:dyDescent="0.25">
      <c r="A823" s="43"/>
      <c r="B823" s="43"/>
      <c r="C823" s="16">
        <f t="shared" si="15"/>
        <v>17</v>
      </c>
      <c r="D823" s="16" t="str" cm="1">
        <f t="array" ref="D823">IFERROR(ROUNDUP(_xlfn.IFS(F823="Aluminum Track", _xlfn.XLOOKUP(C823, dd_accsrycalc!$A$2:$A$51, dd_accsrycalc!$B$2:$B$51, "",0), F823="10 x 2 1/2 S (Flat)", _xlfn.XLOOKUP(C823, dd_accsrycalc!$A$2:$A$51, dd_accsrycalc!$C$2:$C$51, "",0), F823="Tox6", _xlfn.XLOOKUP(C823, dd_accsrycalc!$A$2:$A$51, dd_accsrycalc!$D$2:$D$51, "",0), F823="Cover Cap", _xlfn.XLOOKUP(C823, dd_accsrycalc!$A$2:$A$51, dd_accsrycalc!$E$2:$E$51, "",0), F823="Drainage Cover", _xlfn.XLOOKUP(C823, dd_accsrycalc!$A$2:$A$51, dd_accsrycalc!$F$2:$F$51, "",0),AND( F823="Double Adhesive Tape", I823="Roll-up Screen"), _xlfn.XLOOKUP(C823, calc_rusacc!$C$15:$C$65, calc_rusacc!$AD$15:$AD$65, "",0),AND( F823="Sealant", I823="Roll-up Screen"), _xlfn.XLOOKUP(C823, calc_rusacc!$C$15:$C$65, calc_rusacc!$AF$15:$AF$65, "",0),  AND( F823="Main Chain", I823="Accordion Screen"), _xlfn.XLOOKUP(C823, calc_rusacc!$C$15:$C$65, calc_rusacc!$BF$15:$BF$65, "",0), AND( F823="Sealant", I823="Accordion Screen"), _xlfn.XLOOKUP(C823, calc_rusacc!$C$15:$C$65, calc_rusacc!$BJ$15:$BJ$65, "",0),  F823="Sealant", _xlfn.XLOOKUP(C823, dd_accsrycalc!$A$2:$A$51, dd_accsrycalc!$G$2:$G$51, "",0),  F823&lt;&gt;"",L823*_xlfn.XLOOKUP(1, (SKUs!$C$2:$C$10001=G823)*(SKUs!$K$2:$K$10001=I823),SKUs!$E$2:$E$10001)), 0),"")</f>
        <v/>
      </c>
      <c r="E823" s="16" t="str">
        <f>_xlfn.XLOOKUP(F823,dd_item!$B$2:$B$105,dd_item!$C$2:$C$105,"",0)</f>
        <v/>
      </c>
      <c r="F823" s="16"/>
      <c r="G823" s="16" cm="1">
        <f t="array" ref="G823">IFERROR(_xlfn.XLOOKUP(1, (SKUs!$J$2:$J$10001=accsry_unmerged!F823)*IF(H823&lt;&gt;"",(SKUs!$L$2:$L$10001=accsry_unmerged!H823),1)*(SKUs!$K$2:$K$10001=I823),SKUs!$C$2:$C$10001),"")</f>
        <v>0</v>
      </c>
      <c r="H823" s="33" cm="1">
        <f t="array" ref="H823">IFERROR(_xlfn.XLOOKUP(1, (dd_accsryclr!$C$2:$C$1000=accsry_unmerged!F823)*(dd_accsryclr!$B$2:$B$1000=accsry_unmerged!J823),dd_accsryclr!$A$2:$A$1000),"")</f>
        <v>0</v>
      </c>
      <c r="I823" s="16">
        <f>_xlfn.XLOOKUP(C823,'Project Details'!$C$17:$C$66,'Project Details'!$E$17:$E$66,"",0)</f>
        <v>0</v>
      </c>
      <c r="J823" s="16">
        <f>_xlfn.XLOOKUP(C823,'Project Details'!$C$17:$C$66,'Project Details'!$H$17:$H$66,"",0)</f>
        <v>0</v>
      </c>
      <c r="K823" s="33" t="str">
        <f>IF(AND(_xlfn.XLOOKUP(C823,'Project Details'!$C$17:$C$66,'Project Details'!$L$17:$L$66,"",0)&gt;550, F823="Spring-L27cm"),"",SUBSTITUTE(_xlfn.XLOOKUP(G823,SKUs!$C$2:$C$10001,SKUs!$F$2:$F$10001,"",0), " Accessories",""))</f>
        <v/>
      </c>
      <c r="L823" s="33">
        <f>_xlfn.XLOOKUP(C823,'Project Details'!$C$17:$C$66,'Project Details'!$D$17:$D$66,"",0)</f>
        <v>0</v>
      </c>
      <c r="M823" s="43"/>
    </row>
    <row r="824" spans="1:13" x14ac:dyDescent="0.25">
      <c r="A824" s="43"/>
      <c r="B824" s="43"/>
      <c r="C824" s="35">
        <f t="shared" si="15"/>
        <v>17</v>
      </c>
      <c r="D824" s="35" t="str" cm="1">
        <f t="array" ref="D824">IFERROR(ROUNDUP(_xlfn.IFS(F824="Aluminum Track", _xlfn.XLOOKUP(C824, dd_accsrycalc!$A$2:$A$51, dd_accsrycalc!$B$2:$B$51, "",0), F824="10 x 2 1/2 S (Flat)", _xlfn.XLOOKUP(C824, dd_accsrycalc!$A$2:$A$51, dd_accsrycalc!$C$2:$C$51, "",0), F824="Tox6", _xlfn.XLOOKUP(C824, dd_accsrycalc!$A$2:$A$51, dd_accsrycalc!$D$2:$D$51, "",0), F824="Cover Cap", _xlfn.XLOOKUP(C824, dd_accsrycalc!$A$2:$A$51, dd_accsrycalc!$E$2:$E$51, "",0), F824="Drainage Cover", _xlfn.XLOOKUP(C824, dd_accsrycalc!$A$2:$A$51, dd_accsrycalc!$F$2:$F$51, "",0),AND( F824="Double Adhesive Tape", I824="Roll-up Screen"), _xlfn.XLOOKUP(C824, calc_rusacc!$C$15:$C$65, calc_rusacc!$AD$15:$AD$65, "",0),AND( F824="Sealant", I824="Roll-up Screen"), _xlfn.XLOOKUP(C824, calc_rusacc!$C$15:$C$65, calc_rusacc!$AF$15:$AF$65, "",0),  AND( F824="Main Chain", I824="Accordion Screen"), _xlfn.XLOOKUP(C824, calc_rusacc!$C$15:$C$65, calc_rusacc!$BF$15:$BF$65, "",0), AND( F824="Sealant", I824="Accordion Screen"), _xlfn.XLOOKUP(C824, calc_rusacc!$C$15:$C$65, calc_rusacc!$BJ$15:$BJ$65, "",0),  F824="Sealant", _xlfn.XLOOKUP(C824, dd_accsrycalc!$A$2:$A$51, dd_accsrycalc!$G$2:$G$51, "",0),  F824&lt;&gt;"",L824*_xlfn.XLOOKUP(1, (SKUs!$C$2:$C$10001=G824)*(SKUs!$K$2:$K$10001=I824),SKUs!$E$2:$E$10001)), 0),"")</f>
        <v/>
      </c>
      <c r="E824" s="35" t="str">
        <f>_xlfn.XLOOKUP(F824,dd_item!$B$2:$B$105,dd_item!$C$2:$C$105,"",0)</f>
        <v/>
      </c>
      <c r="F824" s="35"/>
      <c r="G824" s="35" cm="1">
        <f t="array" ref="G824">IFERROR(_xlfn.XLOOKUP(1, (SKUs!$J$2:$J$10001=accsry_unmerged!F824)*IF(H824&lt;&gt;"",(SKUs!$L$2:$L$10001=accsry_unmerged!H824),1)*(SKUs!$K$2:$K$10001=I824),SKUs!$C$2:$C$10001),"")</f>
        <v>0</v>
      </c>
      <c r="H824" s="36" cm="1">
        <f t="array" ref="H824">IFERROR(_xlfn.XLOOKUP(1, (dd_accsryclr!$C$2:$C$1000=accsry_unmerged!F824)*(dd_accsryclr!$B$2:$B$1000=accsry_unmerged!J824),dd_accsryclr!$A$2:$A$1000),"")</f>
        <v>0</v>
      </c>
      <c r="I824" s="35">
        <f>_xlfn.XLOOKUP(C824,'Project Details'!$C$17:$C$66,'Project Details'!$E$17:$E$66,"",0)</f>
        <v>0</v>
      </c>
      <c r="J824" s="35">
        <f>_xlfn.XLOOKUP(C824,'Project Details'!$C$17:$C$66,'Project Details'!$H$17:$H$66,"",0)</f>
        <v>0</v>
      </c>
      <c r="K824" s="36" t="str">
        <f>IF(AND(_xlfn.XLOOKUP(C824,'Project Details'!$C$17:$C$66,'Project Details'!$L$17:$L$66,"",0)&gt;550, F824="Spring-L27cm"),"",SUBSTITUTE(_xlfn.XLOOKUP(G824,SKUs!$C$2:$C$10001,SKUs!$F$2:$F$10001,"",0), " Accessories",""))</f>
        <v/>
      </c>
      <c r="L824" s="36">
        <f>_xlfn.XLOOKUP(C824,'Project Details'!$C$17:$C$66,'Project Details'!$D$17:$D$66,"",0)</f>
        <v>0</v>
      </c>
      <c r="M824" s="43"/>
    </row>
    <row r="825" spans="1:13" x14ac:dyDescent="0.25">
      <c r="A825" s="43"/>
      <c r="B825" s="43"/>
      <c r="C825" s="16">
        <f t="shared" si="15"/>
        <v>17</v>
      </c>
      <c r="D825" s="16" t="str" cm="1">
        <f t="array" ref="D825">IFERROR(ROUNDUP(_xlfn.IFS(F825="Aluminum Track", _xlfn.XLOOKUP(C825, dd_accsrycalc!$A$2:$A$51, dd_accsrycalc!$B$2:$B$51, "",0), F825="10 x 2 1/2 S (Flat)", _xlfn.XLOOKUP(C825, dd_accsrycalc!$A$2:$A$51, dd_accsrycalc!$C$2:$C$51, "",0), F825="Tox6", _xlfn.XLOOKUP(C825, dd_accsrycalc!$A$2:$A$51, dd_accsrycalc!$D$2:$D$51, "",0), F825="Cover Cap", _xlfn.XLOOKUP(C825, dd_accsrycalc!$A$2:$A$51, dd_accsrycalc!$E$2:$E$51, "",0), F825="Drainage Cover", _xlfn.XLOOKUP(C825, dd_accsrycalc!$A$2:$A$51, dd_accsrycalc!$F$2:$F$51, "",0),AND( F825="Double Adhesive Tape", I825="Roll-up Screen"), _xlfn.XLOOKUP(C825, calc_rusacc!$C$15:$C$65, calc_rusacc!$AD$15:$AD$65, "",0),AND( F825="Sealant", I825="Roll-up Screen"), _xlfn.XLOOKUP(C825, calc_rusacc!$C$15:$C$65, calc_rusacc!$AF$15:$AF$65, "",0),  AND( F825="Main Chain", I825="Accordion Screen"), _xlfn.XLOOKUP(C825, calc_rusacc!$C$15:$C$65, calc_rusacc!$BF$15:$BF$65, "",0), AND( F825="Sealant", I825="Accordion Screen"), _xlfn.XLOOKUP(C825, calc_rusacc!$C$15:$C$65, calc_rusacc!$BJ$15:$BJ$65, "",0),  F825="Sealant", _xlfn.XLOOKUP(C825, dd_accsrycalc!$A$2:$A$51, dd_accsrycalc!$G$2:$G$51, "",0),  F825&lt;&gt;"",L825*_xlfn.XLOOKUP(1, (SKUs!$C$2:$C$10001=G825)*(SKUs!$K$2:$K$10001=I825),SKUs!$E$2:$E$10001)), 0),"")</f>
        <v/>
      </c>
      <c r="E825" s="16" t="str">
        <f>_xlfn.XLOOKUP(F825,dd_item!$B$2:$B$105,dd_item!$C$2:$C$105,"",0)</f>
        <v/>
      </c>
      <c r="F825" s="16"/>
      <c r="G825" s="16" cm="1">
        <f t="array" ref="G825">IFERROR(_xlfn.XLOOKUP(1, (SKUs!$J$2:$J$10001=accsry_unmerged!F825)*IF(H825&lt;&gt;"",(SKUs!$L$2:$L$10001=accsry_unmerged!H825),1)*(SKUs!$K$2:$K$10001=I825),SKUs!$C$2:$C$10001),"")</f>
        <v>0</v>
      </c>
      <c r="H825" s="33" cm="1">
        <f t="array" ref="H825">IFERROR(_xlfn.XLOOKUP(1, (dd_accsryclr!$C$2:$C$1000=accsry_unmerged!F825)*(dd_accsryclr!$B$2:$B$1000=accsry_unmerged!J825),dd_accsryclr!$A$2:$A$1000),"")</f>
        <v>0</v>
      </c>
      <c r="I825" s="16">
        <f>_xlfn.XLOOKUP(C825,'Project Details'!$C$17:$C$66,'Project Details'!$E$17:$E$66,"",0)</f>
        <v>0</v>
      </c>
      <c r="J825" s="16">
        <f>_xlfn.XLOOKUP(C825,'Project Details'!$C$17:$C$66,'Project Details'!$H$17:$H$66,"",0)</f>
        <v>0</v>
      </c>
      <c r="K825" s="33" t="str">
        <f>IF(AND(_xlfn.XLOOKUP(C825,'Project Details'!$C$17:$C$66,'Project Details'!$L$17:$L$66,"",0)&gt;550, F825="Spring-L27cm"),"",SUBSTITUTE(_xlfn.XLOOKUP(G825,SKUs!$C$2:$C$10001,SKUs!$F$2:$F$10001,"",0), " Accessories",""))</f>
        <v/>
      </c>
      <c r="L825" s="33">
        <f>_xlfn.XLOOKUP(C825,'Project Details'!$C$17:$C$66,'Project Details'!$D$17:$D$66,"",0)</f>
        <v>0</v>
      </c>
      <c r="M825" s="43"/>
    </row>
    <row r="826" spans="1:13" x14ac:dyDescent="0.25">
      <c r="A826" s="43"/>
      <c r="B826" s="43"/>
      <c r="C826" s="35">
        <f t="shared" si="15"/>
        <v>17</v>
      </c>
      <c r="D826" s="35" t="str" cm="1">
        <f t="array" ref="D826">IFERROR(ROUNDUP(_xlfn.IFS(F826="Aluminum Track", _xlfn.XLOOKUP(C826, dd_accsrycalc!$A$2:$A$51, dd_accsrycalc!$B$2:$B$51, "",0), F826="10 x 2 1/2 S (Flat)", _xlfn.XLOOKUP(C826, dd_accsrycalc!$A$2:$A$51, dd_accsrycalc!$C$2:$C$51, "",0), F826="Tox6", _xlfn.XLOOKUP(C826, dd_accsrycalc!$A$2:$A$51, dd_accsrycalc!$D$2:$D$51, "",0), F826="Cover Cap", _xlfn.XLOOKUP(C826, dd_accsrycalc!$A$2:$A$51, dd_accsrycalc!$E$2:$E$51, "",0), F826="Drainage Cover", _xlfn.XLOOKUP(C826, dd_accsrycalc!$A$2:$A$51, dd_accsrycalc!$F$2:$F$51, "",0),AND( F826="Double Adhesive Tape", I826="Roll-up Screen"), _xlfn.XLOOKUP(C826, calc_rusacc!$C$15:$C$65, calc_rusacc!$AD$15:$AD$65, "",0),AND( F826="Sealant", I826="Roll-up Screen"), _xlfn.XLOOKUP(C826, calc_rusacc!$C$15:$C$65, calc_rusacc!$AF$15:$AF$65, "",0),  AND( F826="Main Chain", I826="Accordion Screen"), _xlfn.XLOOKUP(C826, calc_rusacc!$C$15:$C$65, calc_rusacc!$BF$15:$BF$65, "",0), AND( F826="Sealant", I826="Accordion Screen"), _xlfn.XLOOKUP(C826, calc_rusacc!$C$15:$C$65, calc_rusacc!$BJ$15:$BJ$65, "",0),  F826="Sealant", _xlfn.XLOOKUP(C826, dd_accsrycalc!$A$2:$A$51, dd_accsrycalc!$G$2:$G$51, "",0),  F826&lt;&gt;"",L826*_xlfn.XLOOKUP(1, (SKUs!$C$2:$C$10001=G826)*(SKUs!$K$2:$K$10001=I826),SKUs!$E$2:$E$10001)), 0),"")</f>
        <v/>
      </c>
      <c r="E826" s="35" t="str">
        <f>_xlfn.XLOOKUP(F826,dd_item!$B$2:$B$105,dd_item!$C$2:$C$105,"",0)</f>
        <v/>
      </c>
      <c r="F826" s="35"/>
      <c r="G826" s="35" cm="1">
        <f t="array" ref="G826">IFERROR(_xlfn.XLOOKUP(1, (SKUs!$J$2:$J$10001=accsry_unmerged!F826)*IF(H826&lt;&gt;"",(SKUs!$L$2:$L$10001=accsry_unmerged!H826),1)*(SKUs!$K$2:$K$10001=I826),SKUs!$C$2:$C$10001),"")</f>
        <v>0</v>
      </c>
      <c r="H826" s="36" cm="1">
        <f t="array" ref="H826">IFERROR(_xlfn.XLOOKUP(1, (dd_accsryclr!$C$2:$C$1000=accsry_unmerged!F826)*(dd_accsryclr!$B$2:$B$1000=accsry_unmerged!J826),dd_accsryclr!$A$2:$A$1000),"")</f>
        <v>0</v>
      </c>
      <c r="I826" s="35">
        <f>_xlfn.XLOOKUP(C826,'Project Details'!$C$17:$C$66,'Project Details'!$E$17:$E$66,"",0)</f>
        <v>0</v>
      </c>
      <c r="J826" s="35">
        <f>_xlfn.XLOOKUP(C826,'Project Details'!$C$17:$C$66,'Project Details'!$H$17:$H$66,"",0)</f>
        <v>0</v>
      </c>
      <c r="K826" s="36" t="str">
        <f>IF(AND(_xlfn.XLOOKUP(C826,'Project Details'!$C$17:$C$66,'Project Details'!$L$17:$L$66,"",0)&gt;550, F826="Spring-L27cm"),"",SUBSTITUTE(_xlfn.XLOOKUP(G826,SKUs!$C$2:$C$10001,SKUs!$F$2:$F$10001,"",0), " Accessories",""))</f>
        <v/>
      </c>
      <c r="L826" s="36">
        <f>_xlfn.XLOOKUP(C826,'Project Details'!$C$17:$C$66,'Project Details'!$D$17:$D$66,"",0)</f>
        <v>0</v>
      </c>
      <c r="M826" s="43"/>
    </row>
    <row r="827" spans="1:13" x14ac:dyDescent="0.25">
      <c r="A827" s="43"/>
      <c r="B827" s="43"/>
      <c r="C827" s="16">
        <f t="shared" si="15"/>
        <v>17</v>
      </c>
      <c r="D827" s="16" t="str" cm="1">
        <f t="array" ref="D827">IFERROR(ROUNDUP(_xlfn.IFS(F827="Aluminum Track", _xlfn.XLOOKUP(C827, dd_accsrycalc!$A$2:$A$51, dd_accsrycalc!$B$2:$B$51, "",0), F827="10 x 2 1/2 S (Flat)", _xlfn.XLOOKUP(C827, dd_accsrycalc!$A$2:$A$51, dd_accsrycalc!$C$2:$C$51, "",0), F827="Tox6", _xlfn.XLOOKUP(C827, dd_accsrycalc!$A$2:$A$51, dd_accsrycalc!$D$2:$D$51, "",0), F827="Cover Cap", _xlfn.XLOOKUP(C827, dd_accsrycalc!$A$2:$A$51, dd_accsrycalc!$E$2:$E$51, "",0), F827="Drainage Cover", _xlfn.XLOOKUP(C827, dd_accsrycalc!$A$2:$A$51, dd_accsrycalc!$F$2:$F$51, "",0),AND( F827="Double Adhesive Tape", I827="Roll-up Screen"), _xlfn.XLOOKUP(C827, calc_rusacc!$C$15:$C$65, calc_rusacc!$AD$15:$AD$65, "",0),AND( F827="Sealant", I827="Roll-up Screen"), _xlfn.XLOOKUP(C827, calc_rusacc!$C$15:$C$65, calc_rusacc!$AF$15:$AF$65, "",0),  AND( F827="Main Chain", I827="Accordion Screen"), _xlfn.XLOOKUP(C827, calc_rusacc!$C$15:$C$65, calc_rusacc!$BF$15:$BF$65, "",0), AND( F827="Sealant", I827="Accordion Screen"), _xlfn.XLOOKUP(C827, calc_rusacc!$C$15:$C$65, calc_rusacc!$BJ$15:$BJ$65, "",0),  F827="Sealant", _xlfn.XLOOKUP(C827, dd_accsrycalc!$A$2:$A$51, dd_accsrycalc!$G$2:$G$51, "",0),  F827&lt;&gt;"",L827*_xlfn.XLOOKUP(1, (SKUs!$C$2:$C$10001=G827)*(SKUs!$K$2:$K$10001=I827),SKUs!$E$2:$E$10001)), 0),"")</f>
        <v/>
      </c>
      <c r="E827" s="16" t="str">
        <f>_xlfn.XLOOKUP(F827,dd_item!$B$2:$B$105,dd_item!$C$2:$C$105,"",0)</f>
        <v/>
      </c>
      <c r="F827" s="16"/>
      <c r="G827" s="16" cm="1">
        <f t="array" ref="G827">IFERROR(_xlfn.XLOOKUP(1, (SKUs!$J$2:$J$10001=accsry_unmerged!F827)*IF(H827&lt;&gt;"",(SKUs!$L$2:$L$10001=accsry_unmerged!H827),1)*(SKUs!$K$2:$K$10001=I827),SKUs!$C$2:$C$10001),"")</f>
        <v>0</v>
      </c>
      <c r="H827" s="33" cm="1">
        <f t="array" ref="H827">IFERROR(_xlfn.XLOOKUP(1, (dd_accsryclr!$C$2:$C$1000=accsry_unmerged!F827)*(dd_accsryclr!$B$2:$B$1000=accsry_unmerged!J827),dd_accsryclr!$A$2:$A$1000),"")</f>
        <v>0</v>
      </c>
      <c r="I827" s="16">
        <f>_xlfn.XLOOKUP(C827,'Project Details'!$C$17:$C$66,'Project Details'!$E$17:$E$66,"",0)</f>
        <v>0</v>
      </c>
      <c r="J827" s="16">
        <f>_xlfn.XLOOKUP(C827,'Project Details'!$C$17:$C$66,'Project Details'!$H$17:$H$66,"",0)</f>
        <v>0</v>
      </c>
      <c r="K827" s="33" t="str">
        <f>IF(AND(_xlfn.XLOOKUP(C827,'Project Details'!$C$17:$C$66,'Project Details'!$L$17:$L$66,"",0)&gt;550, F827="Spring-L27cm"),"",SUBSTITUTE(_xlfn.XLOOKUP(G827,SKUs!$C$2:$C$10001,SKUs!$F$2:$F$10001,"",0), " Accessories",""))</f>
        <v/>
      </c>
      <c r="L827" s="33">
        <f>_xlfn.XLOOKUP(C827,'Project Details'!$C$17:$C$66,'Project Details'!$D$17:$D$66,"",0)</f>
        <v>0</v>
      </c>
      <c r="M827" s="43"/>
    </row>
    <row r="828" spans="1:13" x14ac:dyDescent="0.25">
      <c r="A828" s="43"/>
      <c r="B828" s="43"/>
      <c r="C828" s="35">
        <f t="shared" si="15"/>
        <v>17</v>
      </c>
      <c r="D828" s="35" t="str" cm="1">
        <f t="array" ref="D828">IFERROR(ROUNDUP(_xlfn.IFS(F828="Aluminum Track", _xlfn.XLOOKUP(C828, dd_accsrycalc!$A$2:$A$51, dd_accsrycalc!$B$2:$B$51, "",0), F828="10 x 2 1/2 S (Flat)", _xlfn.XLOOKUP(C828, dd_accsrycalc!$A$2:$A$51, dd_accsrycalc!$C$2:$C$51, "",0), F828="Tox6", _xlfn.XLOOKUP(C828, dd_accsrycalc!$A$2:$A$51, dd_accsrycalc!$D$2:$D$51, "",0), F828="Cover Cap", _xlfn.XLOOKUP(C828, dd_accsrycalc!$A$2:$A$51, dd_accsrycalc!$E$2:$E$51, "",0), F828="Drainage Cover", _xlfn.XLOOKUP(C828, dd_accsrycalc!$A$2:$A$51, dd_accsrycalc!$F$2:$F$51, "",0),AND( F828="Double Adhesive Tape", I828="Roll-up Screen"), _xlfn.XLOOKUP(C828, calc_rusacc!$C$15:$C$65, calc_rusacc!$AD$15:$AD$65, "",0),AND( F828="Sealant", I828="Roll-up Screen"), _xlfn.XLOOKUP(C828, calc_rusacc!$C$15:$C$65, calc_rusacc!$AF$15:$AF$65, "",0),  AND( F828="Main Chain", I828="Accordion Screen"), _xlfn.XLOOKUP(C828, calc_rusacc!$C$15:$C$65, calc_rusacc!$BF$15:$BF$65, "",0), AND( F828="Sealant", I828="Accordion Screen"), _xlfn.XLOOKUP(C828, calc_rusacc!$C$15:$C$65, calc_rusacc!$BJ$15:$BJ$65, "",0),  F828="Sealant", _xlfn.XLOOKUP(C828, dd_accsrycalc!$A$2:$A$51, dd_accsrycalc!$G$2:$G$51, "",0),  F828&lt;&gt;"",L828*_xlfn.XLOOKUP(1, (SKUs!$C$2:$C$10001=G828)*(SKUs!$K$2:$K$10001=I828),SKUs!$E$2:$E$10001)), 0),"")</f>
        <v/>
      </c>
      <c r="E828" s="35" t="str">
        <f>_xlfn.XLOOKUP(F828,dd_item!$B$2:$B$105,dd_item!$C$2:$C$105,"",0)</f>
        <v/>
      </c>
      <c r="F828" s="35"/>
      <c r="G828" s="35" cm="1">
        <f t="array" ref="G828">IFERROR(_xlfn.XLOOKUP(1, (SKUs!$J$2:$J$10001=accsry_unmerged!F828)*IF(H828&lt;&gt;"",(SKUs!$L$2:$L$10001=accsry_unmerged!H828),1)*(SKUs!$K$2:$K$10001=I828),SKUs!$C$2:$C$10001),"")</f>
        <v>0</v>
      </c>
      <c r="H828" s="36" cm="1">
        <f t="array" ref="H828">IFERROR(_xlfn.XLOOKUP(1, (dd_accsryclr!$C$2:$C$1000=accsry_unmerged!F828)*(dd_accsryclr!$B$2:$B$1000=accsry_unmerged!J828),dd_accsryclr!$A$2:$A$1000),"")</f>
        <v>0</v>
      </c>
      <c r="I828" s="35">
        <f>_xlfn.XLOOKUP(C828,'Project Details'!$C$17:$C$66,'Project Details'!$E$17:$E$66,"",0)</f>
        <v>0</v>
      </c>
      <c r="J828" s="35">
        <f>_xlfn.XLOOKUP(C828,'Project Details'!$C$17:$C$66,'Project Details'!$H$17:$H$66,"",0)</f>
        <v>0</v>
      </c>
      <c r="K828" s="36" t="str">
        <f>IF(AND(_xlfn.XLOOKUP(C828,'Project Details'!$C$17:$C$66,'Project Details'!$L$17:$L$66,"",0)&gt;550, F828="Spring-L27cm"),"",SUBSTITUTE(_xlfn.XLOOKUP(G828,SKUs!$C$2:$C$10001,SKUs!$F$2:$F$10001,"",0), " Accessories",""))</f>
        <v/>
      </c>
      <c r="L828" s="36">
        <f>_xlfn.XLOOKUP(C828,'Project Details'!$C$17:$C$66,'Project Details'!$D$17:$D$66,"",0)</f>
        <v>0</v>
      </c>
      <c r="M828" s="43"/>
    </row>
    <row r="829" spans="1:13" x14ac:dyDescent="0.25">
      <c r="A829" s="43"/>
      <c r="B829" s="43"/>
      <c r="C829" s="16">
        <f t="shared" si="15"/>
        <v>17</v>
      </c>
      <c r="D829" s="16" t="str" cm="1">
        <f t="array" ref="D829">IFERROR(ROUNDUP(_xlfn.IFS(F829="Aluminum Track", _xlfn.XLOOKUP(C829, dd_accsrycalc!$A$2:$A$51, dd_accsrycalc!$B$2:$B$51, "",0), F829="10 x 2 1/2 S (Flat)", _xlfn.XLOOKUP(C829, dd_accsrycalc!$A$2:$A$51, dd_accsrycalc!$C$2:$C$51, "",0), F829="Tox6", _xlfn.XLOOKUP(C829, dd_accsrycalc!$A$2:$A$51, dd_accsrycalc!$D$2:$D$51, "",0), F829="Cover Cap", _xlfn.XLOOKUP(C829, dd_accsrycalc!$A$2:$A$51, dd_accsrycalc!$E$2:$E$51, "",0), F829="Drainage Cover", _xlfn.XLOOKUP(C829, dd_accsrycalc!$A$2:$A$51, dd_accsrycalc!$F$2:$F$51, "",0),AND( F829="Double Adhesive Tape", I829="Roll-up Screen"), _xlfn.XLOOKUP(C829, calc_rusacc!$C$15:$C$65, calc_rusacc!$AD$15:$AD$65, "",0),AND( F829="Sealant", I829="Roll-up Screen"), _xlfn.XLOOKUP(C829, calc_rusacc!$C$15:$C$65, calc_rusacc!$AF$15:$AF$65, "",0),  AND( F829="Main Chain", I829="Accordion Screen"), _xlfn.XLOOKUP(C829, calc_rusacc!$C$15:$C$65, calc_rusacc!$BF$15:$BF$65, "",0), AND( F829="Sealant", I829="Accordion Screen"), _xlfn.XLOOKUP(C829, calc_rusacc!$C$15:$C$65, calc_rusacc!$BJ$15:$BJ$65, "",0),  F829="Sealant", _xlfn.XLOOKUP(C829, dd_accsrycalc!$A$2:$A$51, dd_accsrycalc!$G$2:$G$51, "",0),  F829&lt;&gt;"",L829*_xlfn.XLOOKUP(1, (SKUs!$C$2:$C$10001=G829)*(SKUs!$K$2:$K$10001=I829),SKUs!$E$2:$E$10001)), 0),"")</f>
        <v/>
      </c>
      <c r="E829" s="16" t="str">
        <f>_xlfn.XLOOKUP(F829,dd_item!$B$2:$B$105,dd_item!$C$2:$C$105,"",0)</f>
        <v/>
      </c>
      <c r="F829" s="16"/>
      <c r="G829" s="16" cm="1">
        <f t="array" ref="G829">IFERROR(_xlfn.XLOOKUP(1, (SKUs!$J$2:$J$10001=accsry_unmerged!F829)*IF(H829&lt;&gt;"",(SKUs!$L$2:$L$10001=accsry_unmerged!H829),1)*(SKUs!$K$2:$K$10001=I829),SKUs!$C$2:$C$10001),"")</f>
        <v>0</v>
      </c>
      <c r="H829" s="33" cm="1">
        <f t="array" ref="H829">IFERROR(_xlfn.XLOOKUP(1, (dd_accsryclr!$C$2:$C$1000=accsry_unmerged!F829)*(dd_accsryclr!$B$2:$B$1000=accsry_unmerged!J829),dd_accsryclr!$A$2:$A$1000),"")</f>
        <v>0</v>
      </c>
      <c r="I829" s="16">
        <f>_xlfn.XLOOKUP(C829,'Project Details'!$C$17:$C$66,'Project Details'!$E$17:$E$66,"",0)</f>
        <v>0</v>
      </c>
      <c r="J829" s="16">
        <f>_xlfn.XLOOKUP(C829,'Project Details'!$C$17:$C$66,'Project Details'!$H$17:$H$66,"",0)</f>
        <v>0</v>
      </c>
      <c r="K829" s="33" t="str">
        <f>IF(AND(_xlfn.XLOOKUP(C829,'Project Details'!$C$17:$C$66,'Project Details'!$L$17:$L$66,"",0)&gt;550, F829="Spring-L27cm"),"",SUBSTITUTE(_xlfn.XLOOKUP(G829,SKUs!$C$2:$C$10001,SKUs!$F$2:$F$10001,"",0), " Accessories",""))</f>
        <v/>
      </c>
      <c r="L829" s="33">
        <f>_xlfn.XLOOKUP(C829,'Project Details'!$C$17:$C$66,'Project Details'!$D$17:$D$66,"",0)</f>
        <v>0</v>
      </c>
      <c r="M829" s="43"/>
    </row>
    <row r="830" spans="1:13" x14ac:dyDescent="0.25">
      <c r="A830" s="43"/>
      <c r="B830" s="43"/>
      <c r="C830" s="35">
        <f t="shared" si="15"/>
        <v>17</v>
      </c>
      <c r="D830" s="35" t="str" cm="1">
        <f t="array" ref="D830">IFERROR(ROUNDUP(_xlfn.IFS(F830="Aluminum Track", _xlfn.XLOOKUP(C830, dd_accsrycalc!$A$2:$A$51, dd_accsrycalc!$B$2:$B$51, "",0), F830="10 x 2 1/2 S (Flat)", _xlfn.XLOOKUP(C830, dd_accsrycalc!$A$2:$A$51, dd_accsrycalc!$C$2:$C$51, "",0), F830="Tox6", _xlfn.XLOOKUP(C830, dd_accsrycalc!$A$2:$A$51, dd_accsrycalc!$D$2:$D$51, "",0), F830="Cover Cap", _xlfn.XLOOKUP(C830, dd_accsrycalc!$A$2:$A$51, dd_accsrycalc!$E$2:$E$51, "",0), F830="Drainage Cover", _xlfn.XLOOKUP(C830, dd_accsrycalc!$A$2:$A$51, dd_accsrycalc!$F$2:$F$51, "",0),AND( F830="Double Adhesive Tape", I830="Roll-up Screen"), _xlfn.XLOOKUP(C830, calc_rusacc!$C$15:$C$65, calc_rusacc!$AD$15:$AD$65, "",0),AND( F830="Sealant", I830="Roll-up Screen"), _xlfn.XLOOKUP(C830, calc_rusacc!$C$15:$C$65, calc_rusacc!$AF$15:$AF$65, "",0),  AND( F830="Main Chain", I830="Accordion Screen"), _xlfn.XLOOKUP(C830, calc_rusacc!$C$15:$C$65, calc_rusacc!$BF$15:$BF$65, "",0), AND( F830="Sealant", I830="Accordion Screen"), _xlfn.XLOOKUP(C830, calc_rusacc!$C$15:$C$65, calc_rusacc!$BJ$15:$BJ$65, "",0),  F830="Sealant", _xlfn.XLOOKUP(C830, dd_accsrycalc!$A$2:$A$51, dd_accsrycalc!$G$2:$G$51, "",0),  F830&lt;&gt;"",L830*_xlfn.XLOOKUP(1, (SKUs!$C$2:$C$10001=G830)*(SKUs!$K$2:$K$10001=I830),SKUs!$E$2:$E$10001)), 0),"")</f>
        <v/>
      </c>
      <c r="E830" s="35" t="str">
        <f>_xlfn.XLOOKUP(F830,dd_item!$B$2:$B$105,dd_item!$C$2:$C$105,"",0)</f>
        <v/>
      </c>
      <c r="F830" s="35"/>
      <c r="G830" s="35" cm="1">
        <f t="array" ref="G830">IFERROR(_xlfn.XLOOKUP(1, (SKUs!$J$2:$J$10001=accsry_unmerged!F830)*IF(H830&lt;&gt;"",(SKUs!$L$2:$L$10001=accsry_unmerged!H830),1)*(SKUs!$K$2:$K$10001=I830),SKUs!$C$2:$C$10001),"")</f>
        <v>0</v>
      </c>
      <c r="H830" s="36" cm="1">
        <f t="array" ref="H830">IFERROR(_xlfn.XLOOKUP(1, (dd_accsryclr!$C$2:$C$1000=accsry_unmerged!F830)*(dd_accsryclr!$B$2:$B$1000=accsry_unmerged!J830),dd_accsryclr!$A$2:$A$1000),"")</f>
        <v>0</v>
      </c>
      <c r="I830" s="35">
        <f>_xlfn.XLOOKUP(C830,'Project Details'!$C$17:$C$66,'Project Details'!$E$17:$E$66,"",0)</f>
        <v>0</v>
      </c>
      <c r="J830" s="35">
        <f>_xlfn.XLOOKUP(C830,'Project Details'!$C$17:$C$66,'Project Details'!$H$17:$H$66,"",0)</f>
        <v>0</v>
      </c>
      <c r="K830" s="36" t="str">
        <f>IF(AND(_xlfn.XLOOKUP(C830,'Project Details'!$C$17:$C$66,'Project Details'!$L$17:$L$66,"",0)&gt;550, F830="Spring-L27cm"),"",SUBSTITUTE(_xlfn.XLOOKUP(G830,SKUs!$C$2:$C$10001,SKUs!$F$2:$F$10001,"",0), " Accessories",""))</f>
        <v/>
      </c>
      <c r="L830" s="36">
        <f>_xlfn.XLOOKUP(C830,'Project Details'!$C$17:$C$66,'Project Details'!$D$17:$D$66,"",0)</f>
        <v>0</v>
      </c>
      <c r="M830" s="43"/>
    </row>
    <row r="831" spans="1:13" x14ac:dyDescent="0.25">
      <c r="A831" s="43"/>
      <c r="B831" s="43"/>
      <c r="C831" s="16">
        <f t="shared" si="15"/>
        <v>17</v>
      </c>
      <c r="D831" s="16" t="str" cm="1">
        <f t="array" ref="D831">IFERROR(ROUNDUP(_xlfn.IFS(F831="Aluminum Track", _xlfn.XLOOKUP(C831, dd_accsrycalc!$A$2:$A$51, dd_accsrycalc!$B$2:$B$51, "",0), F831="10 x 2 1/2 S (Flat)", _xlfn.XLOOKUP(C831, dd_accsrycalc!$A$2:$A$51, dd_accsrycalc!$C$2:$C$51, "",0), F831="Tox6", _xlfn.XLOOKUP(C831, dd_accsrycalc!$A$2:$A$51, dd_accsrycalc!$D$2:$D$51, "",0), F831="Cover Cap", _xlfn.XLOOKUP(C831, dd_accsrycalc!$A$2:$A$51, dd_accsrycalc!$E$2:$E$51, "",0), F831="Drainage Cover", _xlfn.XLOOKUP(C831, dd_accsrycalc!$A$2:$A$51, dd_accsrycalc!$F$2:$F$51, "",0),AND( F831="Double Adhesive Tape", I831="Roll-up Screen"), _xlfn.XLOOKUP(C831, calc_rusacc!$C$15:$C$65, calc_rusacc!$AD$15:$AD$65, "",0),AND( F831="Sealant", I831="Roll-up Screen"), _xlfn.XLOOKUP(C831, calc_rusacc!$C$15:$C$65, calc_rusacc!$AF$15:$AF$65, "",0),  AND( F831="Main Chain", I831="Accordion Screen"), _xlfn.XLOOKUP(C831, calc_rusacc!$C$15:$C$65, calc_rusacc!$BF$15:$BF$65, "",0), AND( F831="Sealant", I831="Accordion Screen"), _xlfn.XLOOKUP(C831, calc_rusacc!$C$15:$C$65, calc_rusacc!$BJ$15:$BJ$65, "",0),  F831="Sealant", _xlfn.XLOOKUP(C831, dd_accsrycalc!$A$2:$A$51, dd_accsrycalc!$G$2:$G$51, "",0),  F831&lt;&gt;"",L831*_xlfn.XLOOKUP(1, (SKUs!$C$2:$C$10001=G831)*(SKUs!$K$2:$K$10001=I831),SKUs!$E$2:$E$10001)), 0),"")</f>
        <v/>
      </c>
      <c r="E831" s="16" t="str">
        <f>_xlfn.XLOOKUP(F831,dd_item!$B$2:$B$105,dd_item!$C$2:$C$105,"",0)</f>
        <v/>
      </c>
      <c r="F831" s="16"/>
      <c r="G831" s="16" cm="1">
        <f t="array" ref="G831">IFERROR(_xlfn.XLOOKUP(1, (SKUs!$J$2:$J$10001=accsry_unmerged!F831)*IF(H831&lt;&gt;"",(SKUs!$L$2:$L$10001=accsry_unmerged!H831),1)*(SKUs!$K$2:$K$10001=I831),SKUs!$C$2:$C$10001),"")</f>
        <v>0</v>
      </c>
      <c r="H831" s="33" cm="1">
        <f t="array" ref="H831">IFERROR(_xlfn.XLOOKUP(1, (dd_accsryclr!$C$2:$C$1000=accsry_unmerged!F831)*(dd_accsryclr!$B$2:$B$1000=accsry_unmerged!J831),dd_accsryclr!$A$2:$A$1000),"")</f>
        <v>0</v>
      </c>
      <c r="I831" s="16">
        <f>_xlfn.XLOOKUP(C831,'Project Details'!$C$17:$C$66,'Project Details'!$E$17:$E$66,"",0)</f>
        <v>0</v>
      </c>
      <c r="J831" s="16">
        <f>_xlfn.XLOOKUP(C831,'Project Details'!$C$17:$C$66,'Project Details'!$H$17:$H$66,"",0)</f>
        <v>0</v>
      </c>
      <c r="K831" s="33" t="str">
        <f>IF(AND(_xlfn.XLOOKUP(C831,'Project Details'!$C$17:$C$66,'Project Details'!$L$17:$L$66,"",0)&gt;550, F831="Spring-L27cm"),"",SUBSTITUTE(_xlfn.XLOOKUP(G831,SKUs!$C$2:$C$10001,SKUs!$F$2:$F$10001,"",0), " Accessories",""))</f>
        <v/>
      </c>
      <c r="L831" s="33">
        <f>_xlfn.XLOOKUP(C831,'Project Details'!$C$17:$C$66,'Project Details'!$D$17:$D$66,"",0)</f>
        <v>0</v>
      </c>
      <c r="M831" s="43"/>
    </row>
    <row r="832" spans="1:13" x14ac:dyDescent="0.25">
      <c r="A832" s="43"/>
      <c r="B832" s="43"/>
      <c r="C832" s="35">
        <f t="shared" si="15"/>
        <v>17</v>
      </c>
      <c r="D832" s="35" t="str" cm="1">
        <f t="array" ref="D832">IFERROR(ROUNDUP(_xlfn.IFS(F832="Aluminum Track", _xlfn.XLOOKUP(C832, dd_accsrycalc!$A$2:$A$51, dd_accsrycalc!$B$2:$B$51, "",0), F832="10 x 2 1/2 S (Flat)", _xlfn.XLOOKUP(C832, dd_accsrycalc!$A$2:$A$51, dd_accsrycalc!$C$2:$C$51, "",0), F832="Tox6", _xlfn.XLOOKUP(C832, dd_accsrycalc!$A$2:$A$51, dd_accsrycalc!$D$2:$D$51, "",0), F832="Cover Cap", _xlfn.XLOOKUP(C832, dd_accsrycalc!$A$2:$A$51, dd_accsrycalc!$E$2:$E$51, "",0), F832="Drainage Cover", _xlfn.XLOOKUP(C832, dd_accsrycalc!$A$2:$A$51, dd_accsrycalc!$F$2:$F$51, "",0),AND( F832="Double Adhesive Tape", I832="Roll-up Screen"), _xlfn.XLOOKUP(C832, calc_rusacc!$C$15:$C$65, calc_rusacc!$AD$15:$AD$65, "",0),AND( F832="Sealant", I832="Roll-up Screen"), _xlfn.XLOOKUP(C832, calc_rusacc!$C$15:$C$65, calc_rusacc!$AF$15:$AF$65, "",0),  AND( F832="Main Chain", I832="Accordion Screen"), _xlfn.XLOOKUP(C832, calc_rusacc!$C$15:$C$65, calc_rusacc!$BF$15:$BF$65, "",0), AND( F832="Sealant", I832="Accordion Screen"), _xlfn.XLOOKUP(C832, calc_rusacc!$C$15:$C$65, calc_rusacc!$BJ$15:$BJ$65, "",0),  F832="Sealant", _xlfn.XLOOKUP(C832, dd_accsrycalc!$A$2:$A$51, dd_accsrycalc!$G$2:$G$51, "",0),  F832&lt;&gt;"",L832*_xlfn.XLOOKUP(1, (SKUs!$C$2:$C$10001=G832)*(SKUs!$K$2:$K$10001=I832),SKUs!$E$2:$E$10001)), 0),"")</f>
        <v/>
      </c>
      <c r="E832" s="35" t="str">
        <f>_xlfn.XLOOKUP(F832,dd_item!$B$2:$B$105,dd_item!$C$2:$C$105,"",0)</f>
        <v/>
      </c>
      <c r="F832" s="35"/>
      <c r="G832" s="35" cm="1">
        <f t="array" ref="G832">IFERROR(_xlfn.XLOOKUP(1, (SKUs!$J$2:$J$10001=accsry_unmerged!F832)*IF(H832&lt;&gt;"",(SKUs!$L$2:$L$10001=accsry_unmerged!H832),1)*(SKUs!$K$2:$K$10001=I832),SKUs!$C$2:$C$10001),"")</f>
        <v>0</v>
      </c>
      <c r="H832" s="36" cm="1">
        <f t="array" ref="H832">IFERROR(_xlfn.XLOOKUP(1, (dd_accsryclr!$C$2:$C$1000=accsry_unmerged!F832)*(dd_accsryclr!$B$2:$B$1000=accsry_unmerged!J832),dd_accsryclr!$A$2:$A$1000),"")</f>
        <v>0</v>
      </c>
      <c r="I832" s="35">
        <f>_xlfn.XLOOKUP(C832,'Project Details'!$C$17:$C$66,'Project Details'!$E$17:$E$66,"",0)</f>
        <v>0</v>
      </c>
      <c r="J832" s="35">
        <f>_xlfn.XLOOKUP(C832,'Project Details'!$C$17:$C$66,'Project Details'!$H$17:$H$66,"",0)</f>
        <v>0</v>
      </c>
      <c r="K832" s="36" t="str">
        <f>IF(AND(_xlfn.XLOOKUP(C832,'Project Details'!$C$17:$C$66,'Project Details'!$L$17:$L$66,"",0)&gt;550, F832="Spring-L27cm"),"",SUBSTITUTE(_xlfn.XLOOKUP(G832,SKUs!$C$2:$C$10001,SKUs!$F$2:$F$10001,"",0), " Accessories",""))</f>
        <v/>
      </c>
      <c r="L832" s="36">
        <f>_xlfn.XLOOKUP(C832,'Project Details'!$C$17:$C$66,'Project Details'!$D$17:$D$66,"",0)</f>
        <v>0</v>
      </c>
      <c r="M832" s="43"/>
    </row>
    <row r="833" spans="1:13" x14ac:dyDescent="0.25">
      <c r="A833" s="43"/>
      <c r="B833" s="43"/>
      <c r="C833" s="16">
        <f t="shared" si="15"/>
        <v>17</v>
      </c>
      <c r="D833" s="16" t="str" cm="1">
        <f t="array" ref="D833">IFERROR(ROUNDUP(_xlfn.IFS(F833="Aluminum Track", _xlfn.XLOOKUP(C833, dd_accsrycalc!$A$2:$A$51, dd_accsrycalc!$B$2:$B$51, "",0), F833="10 x 2 1/2 S (Flat)", _xlfn.XLOOKUP(C833, dd_accsrycalc!$A$2:$A$51, dd_accsrycalc!$C$2:$C$51, "",0), F833="Tox6", _xlfn.XLOOKUP(C833, dd_accsrycalc!$A$2:$A$51, dd_accsrycalc!$D$2:$D$51, "",0), F833="Cover Cap", _xlfn.XLOOKUP(C833, dd_accsrycalc!$A$2:$A$51, dd_accsrycalc!$E$2:$E$51, "",0), F833="Drainage Cover", _xlfn.XLOOKUP(C833, dd_accsrycalc!$A$2:$A$51, dd_accsrycalc!$F$2:$F$51, "",0),AND( F833="Double Adhesive Tape", I833="Roll-up Screen"), _xlfn.XLOOKUP(C833, calc_rusacc!$C$15:$C$65, calc_rusacc!$AD$15:$AD$65, "",0),AND( F833="Sealant", I833="Roll-up Screen"), _xlfn.XLOOKUP(C833, calc_rusacc!$C$15:$C$65, calc_rusacc!$AF$15:$AF$65, "",0),  AND( F833="Main Chain", I833="Accordion Screen"), _xlfn.XLOOKUP(C833, calc_rusacc!$C$15:$C$65, calc_rusacc!$BF$15:$BF$65, "",0), AND( F833="Sealant", I833="Accordion Screen"), _xlfn.XLOOKUP(C833, calc_rusacc!$C$15:$C$65, calc_rusacc!$BJ$15:$BJ$65, "",0),  F833="Sealant", _xlfn.XLOOKUP(C833, dd_accsrycalc!$A$2:$A$51, dd_accsrycalc!$G$2:$G$51, "",0),  F833&lt;&gt;"",L833*_xlfn.XLOOKUP(1, (SKUs!$C$2:$C$10001=G833)*(SKUs!$K$2:$K$10001=I833),SKUs!$E$2:$E$10001)), 0),"")</f>
        <v/>
      </c>
      <c r="E833" s="16" t="str">
        <f>_xlfn.XLOOKUP(F833,dd_item!$B$2:$B$105,dd_item!$C$2:$C$105,"",0)</f>
        <v/>
      </c>
      <c r="F833" s="16"/>
      <c r="G833" s="16" cm="1">
        <f t="array" ref="G833">IFERROR(_xlfn.XLOOKUP(1, (SKUs!$J$2:$J$10001=accsry_unmerged!F833)*IF(H833&lt;&gt;"",(SKUs!$L$2:$L$10001=accsry_unmerged!H833),1)*(SKUs!$K$2:$K$10001=I833),SKUs!$C$2:$C$10001),"")</f>
        <v>0</v>
      </c>
      <c r="H833" s="33" cm="1">
        <f t="array" ref="H833">IFERROR(_xlfn.XLOOKUP(1, (dd_accsryclr!$C$2:$C$1000=accsry_unmerged!F833)*(dd_accsryclr!$B$2:$B$1000=accsry_unmerged!J833),dd_accsryclr!$A$2:$A$1000),"")</f>
        <v>0</v>
      </c>
      <c r="I833" s="16">
        <f>_xlfn.XLOOKUP(C833,'Project Details'!$C$17:$C$66,'Project Details'!$E$17:$E$66,"",0)</f>
        <v>0</v>
      </c>
      <c r="J833" s="16">
        <f>_xlfn.XLOOKUP(C833,'Project Details'!$C$17:$C$66,'Project Details'!$H$17:$H$66,"",0)</f>
        <v>0</v>
      </c>
      <c r="K833" s="33" t="str">
        <f>IF(AND(_xlfn.XLOOKUP(C833,'Project Details'!$C$17:$C$66,'Project Details'!$L$17:$L$66,"",0)&gt;550, F833="Spring-L27cm"),"",SUBSTITUTE(_xlfn.XLOOKUP(G833,SKUs!$C$2:$C$10001,SKUs!$F$2:$F$10001,"",0), " Accessories",""))</f>
        <v/>
      </c>
      <c r="L833" s="33">
        <f>_xlfn.XLOOKUP(C833,'Project Details'!$C$17:$C$66,'Project Details'!$D$17:$D$66,"",0)</f>
        <v>0</v>
      </c>
      <c r="M833" s="43"/>
    </row>
    <row r="834" spans="1:13" ht="13.5" customHeight="1" x14ac:dyDescent="0.25">
      <c r="A834" s="43"/>
      <c r="B834" s="43"/>
      <c r="C834" s="35">
        <f t="shared" si="15"/>
        <v>17</v>
      </c>
      <c r="D834" s="35" t="str" cm="1">
        <f t="array" ref="D834">IFERROR(ROUNDUP(_xlfn.IFS(F834="Aluminum Track", _xlfn.XLOOKUP(C834, dd_accsrycalc!$A$2:$A$51, dd_accsrycalc!$B$2:$B$51, "",0), F834="10 x 2 1/2 S (Flat)", _xlfn.XLOOKUP(C834, dd_accsrycalc!$A$2:$A$51, dd_accsrycalc!$C$2:$C$51, "",0), F834="Tox6", _xlfn.XLOOKUP(C834, dd_accsrycalc!$A$2:$A$51, dd_accsrycalc!$D$2:$D$51, "",0), F834="Cover Cap", _xlfn.XLOOKUP(C834, dd_accsrycalc!$A$2:$A$51, dd_accsrycalc!$E$2:$E$51, "",0), F834="Drainage Cover", _xlfn.XLOOKUP(C834, dd_accsrycalc!$A$2:$A$51, dd_accsrycalc!$F$2:$F$51, "",0),AND( F834="Double Adhesive Tape", I834="Roll-up Screen"), _xlfn.XLOOKUP(C834, calc_rusacc!$C$15:$C$65, calc_rusacc!$AD$15:$AD$65, "",0),AND( F834="Sealant", I834="Roll-up Screen"), _xlfn.XLOOKUP(C834, calc_rusacc!$C$15:$C$65, calc_rusacc!$AF$15:$AF$65, "",0),  AND( F834="Main Chain", I834="Accordion Screen"), _xlfn.XLOOKUP(C834, calc_rusacc!$C$15:$C$65, calc_rusacc!$BF$15:$BF$65, "",0), AND( F834="Sealant", I834="Accordion Screen"), _xlfn.XLOOKUP(C834, calc_rusacc!$C$15:$C$65, calc_rusacc!$BJ$15:$BJ$65, "",0),  F834="Sealant", _xlfn.XLOOKUP(C834, dd_accsrycalc!$A$2:$A$51, dd_accsrycalc!$G$2:$G$51, "",0),  F834&lt;&gt;"",L834*_xlfn.XLOOKUP(1, (SKUs!$C$2:$C$10001=G834)*(SKUs!$K$2:$K$10001=I834),SKUs!$E$2:$E$10001)), 0),"")</f>
        <v/>
      </c>
      <c r="E834" s="35" t="str">
        <f>_xlfn.XLOOKUP(F834,dd_item!$B$2:$B$105,dd_item!$C$2:$C$105,"",0)</f>
        <v/>
      </c>
      <c r="F834" s="35"/>
      <c r="G834" s="35" cm="1">
        <f t="array" ref="G834">IFERROR(_xlfn.XLOOKUP(1, (SKUs!$J$2:$J$10001=accsry_unmerged!F834)*IF(H834&lt;&gt;"",(SKUs!$L$2:$L$10001=accsry_unmerged!H834),1)*(SKUs!$K$2:$K$10001=I834),SKUs!$C$2:$C$10001),"")</f>
        <v>0</v>
      </c>
      <c r="H834" s="36" cm="1">
        <f t="array" ref="H834">IFERROR(_xlfn.XLOOKUP(1, (dd_accsryclr!$C$2:$C$1000=accsry_unmerged!F834)*(dd_accsryclr!$B$2:$B$1000=accsry_unmerged!J834),dd_accsryclr!$A$2:$A$1000),"")</f>
        <v>0</v>
      </c>
      <c r="I834" s="35">
        <f>_xlfn.XLOOKUP(C834,'Project Details'!$C$17:$C$66,'Project Details'!$E$17:$E$66,"",0)</f>
        <v>0</v>
      </c>
      <c r="J834" s="35">
        <f>_xlfn.XLOOKUP(C834,'Project Details'!$C$17:$C$66,'Project Details'!$H$17:$H$66,"",0)</f>
        <v>0</v>
      </c>
      <c r="K834" s="36" t="str">
        <f>IF(AND(_xlfn.XLOOKUP(C834,'Project Details'!$C$17:$C$66,'Project Details'!$L$17:$L$66,"",0)&gt;550, F834="Spring-L27cm"),"",SUBSTITUTE(_xlfn.XLOOKUP(G834,SKUs!$C$2:$C$10001,SKUs!$F$2:$F$10001,"",0), " Accessories",""))</f>
        <v/>
      </c>
      <c r="L834" s="36">
        <f>_xlfn.XLOOKUP(C834,'Project Details'!$C$17:$C$66,'Project Details'!$D$17:$D$66,"",0)</f>
        <v>0</v>
      </c>
      <c r="M834" s="43"/>
    </row>
    <row r="835" spans="1:13" ht="13.5" customHeight="1" x14ac:dyDescent="0.25">
      <c r="A835" s="43"/>
      <c r="B835" s="43"/>
      <c r="C835" s="16">
        <f t="shared" si="15"/>
        <v>17</v>
      </c>
      <c r="D835" s="16" t="str" cm="1">
        <f t="array" ref="D835">IFERROR(ROUNDUP(_xlfn.IFS(F835="Aluminum Track", _xlfn.XLOOKUP(C835, dd_accsrycalc!$A$2:$A$51, dd_accsrycalc!$B$2:$B$51, "",0), F835="10 x 2 1/2 S (Flat)", _xlfn.XLOOKUP(C835, dd_accsrycalc!$A$2:$A$51, dd_accsrycalc!$C$2:$C$51, "",0), F835="Tox6", _xlfn.XLOOKUP(C835, dd_accsrycalc!$A$2:$A$51, dd_accsrycalc!$D$2:$D$51, "",0), F835="Cover Cap", _xlfn.XLOOKUP(C835, dd_accsrycalc!$A$2:$A$51, dd_accsrycalc!$E$2:$E$51, "",0), F835="Drainage Cover", _xlfn.XLOOKUP(C835, dd_accsrycalc!$A$2:$A$51, dd_accsrycalc!$F$2:$F$51, "",0),AND( F835="Double Adhesive Tape", I835="Roll-up Screen"), _xlfn.XLOOKUP(C835, calc_rusacc!$C$15:$C$65, calc_rusacc!$AD$15:$AD$65, "",0),AND( F835="Sealant", I835="Roll-up Screen"), _xlfn.XLOOKUP(C835, calc_rusacc!$C$15:$C$65, calc_rusacc!$AF$15:$AF$65, "",0),  AND( F835="Main Chain", I835="Accordion Screen"), _xlfn.XLOOKUP(C835, calc_rusacc!$C$15:$C$65, calc_rusacc!$BF$15:$BF$65, "",0), AND( F835="Sealant", I835="Accordion Screen"), _xlfn.XLOOKUP(C835, calc_rusacc!$C$15:$C$65, calc_rusacc!$BJ$15:$BJ$65, "",0),  F835="Sealant", _xlfn.XLOOKUP(C835, dd_accsrycalc!$A$2:$A$51, dd_accsrycalc!$G$2:$G$51, "",0),  F835&lt;&gt;"",L835*_xlfn.XLOOKUP(1, (SKUs!$C$2:$C$10001=G835)*(SKUs!$K$2:$K$10001=I835),SKUs!$E$2:$E$10001)), 0),"")</f>
        <v/>
      </c>
      <c r="E835" s="16" t="str">
        <f>_xlfn.XLOOKUP(F835,dd_item!$B$2:$B$105,dd_item!$C$2:$C$105,"",0)</f>
        <v/>
      </c>
      <c r="F835" s="16"/>
      <c r="G835" s="16" cm="1">
        <f t="array" ref="G835">IFERROR(_xlfn.XLOOKUP(1, (SKUs!$J$2:$J$10001=accsry_unmerged!F835)*IF(H835&lt;&gt;"",(SKUs!$L$2:$L$10001=accsry_unmerged!H835),1)*(SKUs!$K$2:$K$10001=I835),SKUs!$C$2:$C$10001),"")</f>
        <v>0</v>
      </c>
      <c r="H835" s="33" cm="1">
        <f t="array" ref="H835">IFERROR(_xlfn.XLOOKUP(1, (dd_accsryclr!$C$2:$C$1000=accsry_unmerged!F835)*(dd_accsryclr!$B$2:$B$1000=accsry_unmerged!J835),dd_accsryclr!$A$2:$A$1000),"")</f>
        <v>0</v>
      </c>
      <c r="I835" s="16">
        <f>_xlfn.XLOOKUP(C835,'Project Details'!$C$17:$C$66,'Project Details'!$E$17:$E$66,"",0)</f>
        <v>0</v>
      </c>
      <c r="J835" s="16">
        <f>_xlfn.XLOOKUP(C835,'Project Details'!$C$17:$C$66,'Project Details'!$H$17:$H$66,"",0)</f>
        <v>0</v>
      </c>
      <c r="K835" s="33" t="str">
        <f>IF(AND(_xlfn.XLOOKUP(C835,'Project Details'!$C$17:$C$66,'Project Details'!$L$17:$L$66,"",0)&gt;550, F835="Spring-L27cm"),"",SUBSTITUTE(_xlfn.XLOOKUP(G835,SKUs!$C$2:$C$10001,SKUs!$F$2:$F$10001,"",0), " Accessories",""))</f>
        <v/>
      </c>
      <c r="L835" s="33">
        <f>_xlfn.XLOOKUP(C835,'Project Details'!$C$17:$C$66,'Project Details'!$D$17:$D$66,"",0)</f>
        <v>0</v>
      </c>
      <c r="M835" s="43"/>
    </row>
    <row r="836" spans="1:13" ht="13.5" customHeight="1" x14ac:dyDescent="0.25">
      <c r="A836" s="43"/>
      <c r="B836" s="43"/>
      <c r="C836" s="35">
        <f t="shared" si="15"/>
        <v>17</v>
      </c>
      <c r="D836" s="35" t="str" cm="1">
        <f t="array" ref="D836">IFERROR(ROUNDUP(_xlfn.IFS(F836="Aluminum Track", _xlfn.XLOOKUP(C836, dd_accsrycalc!$A$2:$A$51, dd_accsrycalc!$B$2:$B$51, "",0), F836="10 x 2 1/2 S (Flat)", _xlfn.XLOOKUP(C836, dd_accsrycalc!$A$2:$A$51, dd_accsrycalc!$C$2:$C$51, "",0), F836="Tox6", _xlfn.XLOOKUP(C836, dd_accsrycalc!$A$2:$A$51, dd_accsrycalc!$D$2:$D$51, "",0), F836="Cover Cap", _xlfn.XLOOKUP(C836, dd_accsrycalc!$A$2:$A$51, dd_accsrycalc!$E$2:$E$51, "",0), F836="Drainage Cover", _xlfn.XLOOKUP(C836, dd_accsrycalc!$A$2:$A$51, dd_accsrycalc!$F$2:$F$51, "",0),AND( F836="Double Adhesive Tape", I836="Roll-up Screen"), _xlfn.XLOOKUP(C836, calc_rusacc!$C$15:$C$65, calc_rusacc!$AD$15:$AD$65, "",0),AND( F836="Sealant", I836="Roll-up Screen"), _xlfn.XLOOKUP(C836, calc_rusacc!$C$15:$C$65, calc_rusacc!$AF$15:$AF$65, "",0),  AND( F836="Main Chain", I836="Accordion Screen"), _xlfn.XLOOKUP(C836, calc_rusacc!$C$15:$C$65, calc_rusacc!$BF$15:$BF$65, "",0), AND( F836="Sealant", I836="Accordion Screen"), _xlfn.XLOOKUP(C836, calc_rusacc!$C$15:$C$65, calc_rusacc!$BJ$15:$BJ$65, "",0),  F836="Sealant", _xlfn.XLOOKUP(C836, dd_accsrycalc!$A$2:$A$51, dd_accsrycalc!$G$2:$G$51, "",0),  F836&lt;&gt;"",L836*_xlfn.XLOOKUP(1, (SKUs!$C$2:$C$10001=G836)*(SKUs!$K$2:$K$10001=I836),SKUs!$E$2:$E$10001)), 0),"")</f>
        <v/>
      </c>
      <c r="E836" s="35" t="str">
        <f>_xlfn.XLOOKUP(F836,dd_item!$B$2:$B$105,dd_item!$C$2:$C$105,"",0)</f>
        <v/>
      </c>
      <c r="F836" s="35"/>
      <c r="G836" s="35" cm="1">
        <f t="array" ref="G836">IFERROR(_xlfn.XLOOKUP(1, (SKUs!$J$2:$J$10001=accsry_unmerged!F836)*IF(H836&lt;&gt;"",(SKUs!$L$2:$L$10001=accsry_unmerged!H836),1)*(SKUs!$K$2:$K$10001=I836),SKUs!$C$2:$C$10001),"")</f>
        <v>0</v>
      </c>
      <c r="H836" s="36" cm="1">
        <f t="array" ref="H836">IFERROR(_xlfn.XLOOKUP(1, (dd_accsryclr!$C$2:$C$1000=accsry_unmerged!F836)*(dd_accsryclr!$B$2:$B$1000=accsry_unmerged!J836),dd_accsryclr!$A$2:$A$1000),"")</f>
        <v>0</v>
      </c>
      <c r="I836" s="35">
        <f>_xlfn.XLOOKUP(C836,'Project Details'!$C$17:$C$66,'Project Details'!$E$17:$E$66,"",0)</f>
        <v>0</v>
      </c>
      <c r="J836" s="35">
        <f>_xlfn.XLOOKUP(C836,'Project Details'!$C$17:$C$66,'Project Details'!$H$17:$H$66,"",0)</f>
        <v>0</v>
      </c>
      <c r="K836" s="36" t="str">
        <f>IF(AND(_xlfn.XLOOKUP(C836,'Project Details'!$C$17:$C$66,'Project Details'!$L$17:$L$66,"",0)&gt;550, F836="Spring-L27cm"),"",SUBSTITUTE(_xlfn.XLOOKUP(G836,SKUs!$C$2:$C$10001,SKUs!$F$2:$F$10001,"",0), " Accessories",""))</f>
        <v/>
      </c>
      <c r="L836" s="36">
        <f>_xlfn.XLOOKUP(C836,'Project Details'!$C$17:$C$66,'Project Details'!$D$17:$D$66,"",0)</f>
        <v>0</v>
      </c>
      <c r="M836" s="43"/>
    </row>
    <row r="837" spans="1:13" ht="13.5" customHeight="1" x14ac:dyDescent="0.25">
      <c r="A837" s="43"/>
      <c r="B837" s="43"/>
      <c r="C837" s="16">
        <f t="shared" si="15"/>
        <v>17</v>
      </c>
      <c r="D837" s="16" t="str" cm="1">
        <f t="array" ref="D837">IFERROR(ROUNDUP(_xlfn.IFS(F837="Aluminum Track", _xlfn.XLOOKUP(C837, dd_accsrycalc!$A$2:$A$51, dd_accsrycalc!$B$2:$B$51, "",0), F837="10 x 2 1/2 S (Flat)", _xlfn.XLOOKUP(C837, dd_accsrycalc!$A$2:$A$51, dd_accsrycalc!$C$2:$C$51, "",0), F837="Tox6", _xlfn.XLOOKUP(C837, dd_accsrycalc!$A$2:$A$51, dd_accsrycalc!$D$2:$D$51, "",0), F837="Cover Cap", _xlfn.XLOOKUP(C837, dd_accsrycalc!$A$2:$A$51, dd_accsrycalc!$E$2:$E$51, "",0), F837="Drainage Cover", _xlfn.XLOOKUP(C837, dd_accsrycalc!$A$2:$A$51, dd_accsrycalc!$F$2:$F$51, "",0),AND( F837="Double Adhesive Tape", I837="Roll-up Screen"), _xlfn.XLOOKUP(C837, calc_rusacc!$C$15:$C$65, calc_rusacc!$AD$15:$AD$65, "",0),AND( F837="Sealant", I837="Roll-up Screen"), _xlfn.XLOOKUP(C837, calc_rusacc!$C$15:$C$65, calc_rusacc!$AF$15:$AF$65, "",0),  AND( F837="Main Chain", I837="Accordion Screen"), _xlfn.XLOOKUP(C837, calc_rusacc!$C$15:$C$65, calc_rusacc!$BF$15:$BF$65, "",0), AND( F837="Sealant", I837="Accordion Screen"), _xlfn.XLOOKUP(C837, calc_rusacc!$C$15:$C$65, calc_rusacc!$BJ$15:$BJ$65, "",0),  F837="Sealant", _xlfn.XLOOKUP(C837, dd_accsrycalc!$A$2:$A$51, dd_accsrycalc!$G$2:$G$51, "",0),  F837&lt;&gt;"",L837*_xlfn.XLOOKUP(1, (SKUs!$C$2:$C$10001=G837)*(SKUs!$K$2:$K$10001=I837),SKUs!$E$2:$E$10001)), 0),"")</f>
        <v/>
      </c>
      <c r="E837" s="16" t="str">
        <f>_xlfn.XLOOKUP(F837,dd_item!$B$2:$B$105,dd_item!$C$2:$C$105,"",0)</f>
        <v/>
      </c>
      <c r="F837" s="16"/>
      <c r="G837" s="16" cm="1">
        <f t="array" ref="G837">IFERROR(_xlfn.XLOOKUP(1, (SKUs!$J$2:$J$10001=accsry_unmerged!F837)*IF(H837&lt;&gt;"",(SKUs!$L$2:$L$10001=accsry_unmerged!H837),1)*(SKUs!$K$2:$K$10001=I837),SKUs!$C$2:$C$10001),"")</f>
        <v>0</v>
      </c>
      <c r="H837" s="33" cm="1">
        <f t="array" ref="H837">IFERROR(_xlfn.XLOOKUP(1, (dd_accsryclr!$C$2:$C$1000=accsry_unmerged!F837)*(dd_accsryclr!$B$2:$B$1000=accsry_unmerged!J837),dd_accsryclr!$A$2:$A$1000),"")</f>
        <v>0</v>
      </c>
      <c r="I837" s="16">
        <f>_xlfn.XLOOKUP(C837,'Project Details'!$C$17:$C$66,'Project Details'!$E$17:$E$66,"",0)</f>
        <v>0</v>
      </c>
      <c r="J837" s="16">
        <f>_xlfn.XLOOKUP(C837,'Project Details'!$C$17:$C$66,'Project Details'!$H$17:$H$66,"",0)</f>
        <v>0</v>
      </c>
      <c r="K837" s="33" t="str">
        <f>IF(AND(_xlfn.XLOOKUP(C837,'Project Details'!$C$17:$C$66,'Project Details'!$L$17:$L$66,"",0)&gt;550, F837="Spring-L27cm"),"",SUBSTITUTE(_xlfn.XLOOKUP(G837,SKUs!$C$2:$C$10001,SKUs!$F$2:$F$10001,"",0), " Accessories",""))</f>
        <v/>
      </c>
      <c r="L837" s="33">
        <f>_xlfn.XLOOKUP(C837,'Project Details'!$C$17:$C$66,'Project Details'!$D$17:$D$66,"",0)</f>
        <v>0</v>
      </c>
      <c r="M837" s="43"/>
    </row>
    <row r="838" spans="1:13" ht="13.5" customHeight="1" x14ac:dyDescent="0.25">
      <c r="A838" s="43"/>
      <c r="B838" s="43"/>
      <c r="C838" s="35">
        <f t="shared" si="15"/>
        <v>17</v>
      </c>
      <c r="D838" s="35" t="str" cm="1">
        <f t="array" ref="D838">IFERROR(ROUNDUP(_xlfn.IFS(F838="Aluminum Track", _xlfn.XLOOKUP(C838, dd_accsrycalc!$A$2:$A$51, dd_accsrycalc!$B$2:$B$51, "",0), F838="10 x 2 1/2 S (Flat)", _xlfn.XLOOKUP(C838, dd_accsrycalc!$A$2:$A$51, dd_accsrycalc!$C$2:$C$51, "",0), F838="Tox6", _xlfn.XLOOKUP(C838, dd_accsrycalc!$A$2:$A$51, dd_accsrycalc!$D$2:$D$51, "",0), F838="Cover Cap", _xlfn.XLOOKUP(C838, dd_accsrycalc!$A$2:$A$51, dd_accsrycalc!$E$2:$E$51, "",0), F838="Drainage Cover", _xlfn.XLOOKUP(C838, dd_accsrycalc!$A$2:$A$51, dd_accsrycalc!$F$2:$F$51, "",0),AND( F838="Double Adhesive Tape", I838="Roll-up Screen"), _xlfn.XLOOKUP(C838, calc_rusacc!$C$15:$C$65, calc_rusacc!$AD$15:$AD$65, "",0),AND( F838="Sealant", I838="Roll-up Screen"), _xlfn.XLOOKUP(C838, calc_rusacc!$C$15:$C$65, calc_rusacc!$AF$15:$AF$65, "",0),  AND( F838="Main Chain", I838="Accordion Screen"), _xlfn.XLOOKUP(C838, calc_rusacc!$C$15:$C$65, calc_rusacc!$BF$15:$BF$65, "",0), AND( F838="Sealant", I838="Accordion Screen"), _xlfn.XLOOKUP(C838, calc_rusacc!$C$15:$C$65, calc_rusacc!$BJ$15:$BJ$65, "",0),  F838="Sealant", _xlfn.XLOOKUP(C838, dd_accsrycalc!$A$2:$A$51, dd_accsrycalc!$G$2:$G$51, "",0),  F838&lt;&gt;"",L838*_xlfn.XLOOKUP(1, (SKUs!$C$2:$C$10001=G838)*(SKUs!$K$2:$K$10001=I838),SKUs!$E$2:$E$10001)), 0),"")</f>
        <v/>
      </c>
      <c r="E838" s="35" t="str">
        <f>_xlfn.XLOOKUP(F838,dd_item!$B$2:$B$105,dd_item!$C$2:$C$105,"",0)</f>
        <v/>
      </c>
      <c r="F838" s="35"/>
      <c r="G838" s="35" cm="1">
        <f t="array" ref="G838">IFERROR(_xlfn.XLOOKUP(1, (SKUs!$J$2:$J$10001=accsry_unmerged!F838)*IF(H838&lt;&gt;"",(SKUs!$L$2:$L$10001=accsry_unmerged!H838),1)*(SKUs!$K$2:$K$10001=I838),SKUs!$C$2:$C$10001),"")</f>
        <v>0</v>
      </c>
      <c r="H838" s="36" cm="1">
        <f t="array" ref="H838">IFERROR(_xlfn.XLOOKUP(1, (dd_accsryclr!$C$2:$C$1000=accsry_unmerged!F838)*(dd_accsryclr!$B$2:$B$1000=accsry_unmerged!J838),dd_accsryclr!$A$2:$A$1000),"")</f>
        <v>0</v>
      </c>
      <c r="I838" s="35">
        <f>_xlfn.XLOOKUP(C838,'Project Details'!$C$17:$C$66,'Project Details'!$E$17:$E$66,"",0)</f>
        <v>0</v>
      </c>
      <c r="J838" s="35">
        <f>_xlfn.XLOOKUP(C838,'Project Details'!$C$17:$C$66,'Project Details'!$H$17:$H$66,"",0)</f>
        <v>0</v>
      </c>
      <c r="K838" s="36" t="str">
        <f>IF(AND(_xlfn.XLOOKUP(C838,'Project Details'!$C$17:$C$66,'Project Details'!$L$17:$L$66,"",0)&gt;550, F838="Spring-L27cm"),"",SUBSTITUTE(_xlfn.XLOOKUP(G838,SKUs!$C$2:$C$10001,SKUs!$F$2:$F$10001,"",0), " Accessories",""))</f>
        <v/>
      </c>
      <c r="L838" s="36">
        <f>_xlfn.XLOOKUP(C838,'Project Details'!$C$17:$C$66,'Project Details'!$D$17:$D$66,"",0)</f>
        <v>0</v>
      </c>
      <c r="M838" s="43"/>
    </row>
    <row r="839" spans="1:13" ht="13.5" customHeight="1" x14ac:dyDescent="0.25">
      <c r="A839" s="43"/>
      <c r="B839" s="43"/>
      <c r="C839" s="16">
        <f t="shared" si="15"/>
        <v>17</v>
      </c>
      <c r="D839" s="16" t="str" cm="1">
        <f t="array" ref="D839">IFERROR(ROUNDUP(_xlfn.IFS(F839="Aluminum Track", _xlfn.XLOOKUP(C839, dd_accsrycalc!$A$2:$A$51, dd_accsrycalc!$B$2:$B$51, "",0), F839="10 x 2 1/2 S (Flat)", _xlfn.XLOOKUP(C839, dd_accsrycalc!$A$2:$A$51, dd_accsrycalc!$C$2:$C$51, "",0), F839="Tox6", _xlfn.XLOOKUP(C839, dd_accsrycalc!$A$2:$A$51, dd_accsrycalc!$D$2:$D$51, "",0), F839="Cover Cap", _xlfn.XLOOKUP(C839, dd_accsrycalc!$A$2:$A$51, dd_accsrycalc!$E$2:$E$51, "",0), F839="Drainage Cover", _xlfn.XLOOKUP(C839, dd_accsrycalc!$A$2:$A$51, dd_accsrycalc!$F$2:$F$51, "",0),AND( F839="Double Adhesive Tape", I839="Roll-up Screen"), _xlfn.XLOOKUP(C839, calc_rusacc!$C$15:$C$65, calc_rusacc!$AD$15:$AD$65, "",0),AND( F839="Sealant", I839="Roll-up Screen"), _xlfn.XLOOKUP(C839, calc_rusacc!$C$15:$C$65, calc_rusacc!$AF$15:$AF$65, "",0),  AND( F839="Main Chain", I839="Accordion Screen"), _xlfn.XLOOKUP(C839, calc_rusacc!$C$15:$C$65, calc_rusacc!$BF$15:$BF$65, "",0), AND( F839="Sealant", I839="Accordion Screen"), _xlfn.XLOOKUP(C839, calc_rusacc!$C$15:$C$65, calc_rusacc!$BJ$15:$BJ$65, "",0),  F839="Sealant", _xlfn.XLOOKUP(C839, dd_accsrycalc!$A$2:$A$51, dd_accsrycalc!$G$2:$G$51, "",0),  F839&lt;&gt;"",L839*_xlfn.XLOOKUP(1, (SKUs!$C$2:$C$10001=G839)*(SKUs!$K$2:$K$10001=I839),SKUs!$E$2:$E$10001)), 0),"")</f>
        <v/>
      </c>
      <c r="E839" s="16" t="str">
        <f>_xlfn.XLOOKUP(F839,dd_item!$B$2:$B$105,dd_item!$C$2:$C$105,"",0)</f>
        <v/>
      </c>
      <c r="F839" s="16"/>
      <c r="G839" s="16" cm="1">
        <f t="array" ref="G839">IFERROR(_xlfn.XLOOKUP(1, (SKUs!$J$2:$J$10001=accsry_unmerged!F839)*IF(H839&lt;&gt;"",(SKUs!$L$2:$L$10001=accsry_unmerged!H839),1)*(SKUs!$K$2:$K$10001=I839),SKUs!$C$2:$C$10001),"")</f>
        <v>0</v>
      </c>
      <c r="H839" s="33" cm="1">
        <f t="array" ref="H839">IFERROR(_xlfn.XLOOKUP(1, (dd_accsryclr!$C$2:$C$1000=accsry_unmerged!F839)*(dd_accsryclr!$B$2:$B$1000=accsry_unmerged!J839),dd_accsryclr!$A$2:$A$1000),"")</f>
        <v>0</v>
      </c>
      <c r="I839" s="16">
        <f>_xlfn.XLOOKUP(C839,'Project Details'!$C$17:$C$66,'Project Details'!$E$17:$E$66,"",0)</f>
        <v>0</v>
      </c>
      <c r="J839" s="16">
        <f>_xlfn.XLOOKUP(C839,'Project Details'!$C$17:$C$66,'Project Details'!$H$17:$H$66,"",0)</f>
        <v>0</v>
      </c>
      <c r="K839" s="33" t="str">
        <f>IF(AND(_xlfn.XLOOKUP(C839,'Project Details'!$C$17:$C$66,'Project Details'!$L$17:$L$66,"",0)&gt;550, F839="Spring-L27cm"),"",SUBSTITUTE(_xlfn.XLOOKUP(G839,SKUs!$C$2:$C$10001,SKUs!$F$2:$F$10001,"",0), " Accessories",""))</f>
        <v/>
      </c>
      <c r="L839" s="33">
        <f>_xlfn.XLOOKUP(C839,'Project Details'!$C$17:$C$66,'Project Details'!$D$17:$D$66,"",0)</f>
        <v>0</v>
      </c>
      <c r="M839" s="43"/>
    </row>
    <row r="840" spans="1:13" ht="13.5" customHeight="1" x14ac:dyDescent="0.25">
      <c r="A840" s="43"/>
      <c r="B840" s="43"/>
      <c r="C840" s="35">
        <f t="shared" si="15"/>
        <v>17</v>
      </c>
      <c r="D840" s="35" t="str" cm="1">
        <f t="array" ref="D840">IFERROR(ROUNDUP(_xlfn.IFS(F840="Aluminum Track", _xlfn.XLOOKUP(C840, dd_accsrycalc!$A$2:$A$51, dd_accsrycalc!$B$2:$B$51, "",0), F840="10 x 2 1/2 S (Flat)", _xlfn.XLOOKUP(C840, dd_accsrycalc!$A$2:$A$51, dd_accsrycalc!$C$2:$C$51, "",0), F840="Tox6", _xlfn.XLOOKUP(C840, dd_accsrycalc!$A$2:$A$51, dd_accsrycalc!$D$2:$D$51, "",0), F840="Cover Cap", _xlfn.XLOOKUP(C840, dd_accsrycalc!$A$2:$A$51, dd_accsrycalc!$E$2:$E$51, "",0), F840="Drainage Cover", _xlfn.XLOOKUP(C840, dd_accsrycalc!$A$2:$A$51, dd_accsrycalc!$F$2:$F$51, "",0),AND( F840="Double Adhesive Tape", I840="Roll-up Screen"), _xlfn.XLOOKUP(C840, calc_rusacc!$C$15:$C$65, calc_rusacc!$AD$15:$AD$65, "",0),AND( F840="Sealant", I840="Roll-up Screen"), _xlfn.XLOOKUP(C840, calc_rusacc!$C$15:$C$65, calc_rusacc!$AF$15:$AF$65, "",0),  AND( F840="Main Chain", I840="Accordion Screen"), _xlfn.XLOOKUP(C840, calc_rusacc!$C$15:$C$65, calc_rusacc!$BF$15:$BF$65, "",0), AND( F840="Sealant", I840="Accordion Screen"), _xlfn.XLOOKUP(C840, calc_rusacc!$C$15:$C$65, calc_rusacc!$BJ$15:$BJ$65, "",0),  F840="Sealant", _xlfn.XLOOKUP(C840, dd_accsrycalc!$A$2:$A$51, dd_accsrycalc!$G$2:$G$51, "",0),  F840&lt;&gt;"",L840*_xlfn.XLOOKUP(1, (SKUs!$C$2:$C$10001=G840)*(SKUs!$K$2:$K$10001=I840),SKUs!$E$2:$E$10001)), 0),"")</f>
        <v/>
      </c>
      <c r="E840" s="35" t="str">
        <f>_xlfn.XLOOKUP(F840,dd_item!$B$2:$B$105,dd_item!$C$2:$C$105,"",0)</f>
        <v/>
      </c>
      <c r="F840" s="35"/>
      <c r="G840" s="35" cm="1">
        <f t="array" ref="G840">IFERROR(_xlfn.XLOOKUP(1, (SKUs!$J$2:$J$10001=accsry_unmerged!F840)*IF(H840&lt;&gt;"",(SKUs!$L$2:$L$10001=accsry_unmerged!H840),1)*(SKUs!$K$2:$K$10001=I840),SKUs!$C$2:$C$10001),"")</f>
        <v>0</v>
      </c>
      <c r="H840" s="36" cm="1">
        <f t="array" ref="H840">IFERROR(_xlfn.XLOOKUP(1, (dd_accsryclr!$C$2:$C$1000=accsry_unmerged!F840)*(dd_accsryclr!$B$2:$B$1000=accsry_unmerged!J840),dd_accsryclr!$A$2:$A$1000),"")</f>
        <v>0</v>
      </c>
      <c r="I840" s="35">
        <f>_xlfn.XLOOKUP(C840,'Project Details'!$C$17:$C$66,'Project Details'!$E$17:$E$66,"",0)</f>
        <v>0</v>
      </c>
      <c r="J840" s="35">
        <f>_xlfn.XLOOKUP(C840,'Project Details'!$C$17:$C$66,'Project Details'!$H$17:$H$66,"",0)</f>
        <v>0</v>
      </c>
      <c r="K840" s="36" t="str">
        <f>IF(AND(_xlfn.XLOOKUP(C840,'Project Details'!$C$17:$C$66,'Project Details'!$L$17:$L$66,"",0)&gt;550, F840="Spring-L27cm"),"",SUBSTITUTE(_xlfn.XLOOKUP(G840,SKUs!$C$2:$C$10001,SKUs!$F$2:$F$10001,"",0), " Accessories",""))</f>
        <v/>
      </c>
      <c r="L840" s="36">
        <f>_xlfn.XLOOKUP(C840,'Project Details'!$C$17:$C$66,'Project Details'!$D$17:$D$66,"",0)</f>
        <v>0</v>
      </c>
      <c r="M840" s="43"/>
    </row>
    <row r="841" spans="1:13" ht="13.5" customHeight="1" x14ac:dyDescent="0.25">
      <c r="A841" s="43"/>
      <c r="B841" s="43"/>
      <c r="C841" s="16">
        <f t="shared" si="15"/>
        <v>17</v>
      </c>
      <c r="D841" s="16" t="str" cm="1">
        <f t="array" ref="D841">IFERROR(ROUNDUP(_xlfn.IFS(F841="Aluminum Track", _xlfn.XLOOKUP(C841, dd_accsrycalc!$A$2:$A$51, dd_accsrycalc!$B$2:$B$51, "",0), F841="10 x 2 1/2 S (Flat)", _xlfn.XLOOKUP(C841, dd_accsrycalc!$A$2:$A$51, dd_accsrycalc!$C$2:$C$51, "",0), F841="Tox6", _xlfn.XLOOKUP(C841, dd_accsrycalc!$A$2:$A$51, dd_accsrycalc!$D$2:$D$51, "",0), F841="Cover Cap", _xlfn.XLOOKUP(C841, dd_accsrycalc!$A$2:$A$51, dd_accsrycalc!$E$2:$E$51, "",0), F841="Drainage Cover", _xlfn.XLOOKUP(C841, dd_accsrycalc!$A$2:$A$51, dd_accsrycalc!$F$2:$F$51, "",0),AND( F841="Double Adhesive Tape", I841="Roll-up Screen"), _xlfn.XLOOKUP(C841, calc_rusacc!$C$15:$C$65, calc_rusacc!$AD$15:$AD$65, "",0),AND( F841="Sealant", I841="Roll-up Screen"), _xlfn.XLOOKUP(C841, calc_rusacc!$C$15:$C$65, calc_rusacc!$AF$15:$AF$65, "",0),  AND( F841="Main Chain", I841="Accordion Screen"), _xlfn.XLOOKUP(C841, calc_rusacc!$C$15:$C$65, calc_rusacc!$BF$15:$BF$65, "",0), AND( F841="Sealant", I841="Accordion Screen"), _xlfn.XLOOKUP(C841, calc_rusacc!$C$15:$C$65, calc_rusacc!$BJ$15:$BJ$65, "",0),  F841="Sealant", _xlfn.XLOOKUP(C841, dd_accsrycalc!$A$2:$A$51, dd_accsrycalc!$G$2:$G$51, "",0),  F841&lt;&gt;"",L841*_xlfn.XLOOKUP(1, (SKUs!$C$2:$C$10001=G841)*(SKUs!$K$2:$K$10001=I841),SKUs!$E$2:$E$10001)), 0),"")</f>
        <v/>
      </c>
      <c r="E841" s="16" t="str">
        <f>_xlfn.XLOOKUP(F841,dd_item!$B$2:$B$105,dd_item!$C$2:$C$105,"",0)</f>
        <v/>
      </c>
      <c r="F841" s="16"/>
      <c r="G841" s="16" cm="1">
        <f t="array" ref="G841">IFERROR(_xlfn.XLOOKUP(1, (SKUs!$J$2:$J$10001=accsry_unmerged!F841)*IF(H841&lt;&gt;"",(SKUs!$L$2:$L$10001=accsry_unmerged!H841),1)*(SKUs!$K$2:$K$10001=I841),SKUs!$C$2:$C$10001),"")</f>
        <v>0</v>
      </c>
      <c r="H841" s="33" cm="1">
        <f t="array" ref="H841">IFERROR(_xlfn.XLOOKUP(1, (dd_accsryclr!$C$2:$C$1000=accsry_unmerged!F841)*(dd_accsryclr!$B$2:$B$1000=accsry_unmerged!J841),dd_accsryclr!$A$2:$A$1000),"")</f>
        <v>0</v>
      </c>
      <c r="I841" s="16">
        <f>_xlfn.XLOOKUP(C841,'Project Details'!$C$17:$C$66,'Project Details'!$E$17:$E$66,"",0)</f>
        <v>0</v>
      </c>
      <c r="J841" s="16">
        <f>_xlfn.XLOOKUP(C841,'Project Details'!$C$17:$C$66,'Project Details'!$H$17:$H$66,"",0)</f>
        <v>0</v>
      </c>
      <c r="K841" s="33" t="str">
        <f>IF(AND(_xlfn.XLOOKUP(C841,'Project Details'!$C$17:$C$66,'Project Details'!$L$17:$L$66,"",0)&gt;550, F841="Spring-L27cm"),"",SUBSTITUTE(_xlfn.XLOOKUP(G841,SKUs!$C$2:$C$10001,SKUs!$F$2:$F$10001,"",0), " Accessories",""))</f>
        <v/>
      </c>
      <c r="L841" s="33">
        <f>_xlfn.XLOOKUP(C841,'Project Details'!$C$17:$C$66,'Project Details'!$D$17:$D$66,"",0)</f>
        <v>0</v>
      </c>
      <c r="M841" s="43"/>
    </row>
    <row r="842" spans="1:13" ht="13.5" customHeight="1" x14ac:dyDescent="0.25">
      <c r="A842" s="43"/>
      <c r="B842" s="43"/>
      <c r="C842" s="35">
        <f t="shared" si="15"/>
        <v>17</v>
      </c>
      <c r="D842" s="35" t="str" cm="1">
        <f t="array" ref="D842">IFERROR(ROUNDUP(_xlfn.IFS(F842="Aluminum Track", _xlfn.XLOOKUP(C842, dd_accsrycalc!$A$2:$A$51, dd_accsrycalc!$B$2:$B$51, "",0), F842="10 x 2 1/2 S (Flat)", _xlfn.XLOOKUP(C842, dd_accsrycalc!$A$2:$A$51, dd_accsrycalc!$C$2:$C$51, "",0), F842="Tox6", _xlfn.XLOOKUP(C842, dd_accsrycalc!$A$2:$A$51, dd_accsrycalc!$D$2:$D$51, "",0), F842="Cover Cap", _xlfn.XLOOKUP(C842, dd_accsrycalc!$A$2:$A$51, dd_accsrycalc!$E$2:$E$51, "",0), F842="Drainage Cover", _xlfn.XLOOKUP(C842, dd_accsrycalc!$A$2:$A$51, dd_accsrycalc!$F$2:$F$51, "",0),AND( F842="Double Adhesive Tape", I842="Roll-up Screen"), _xlfn.XLOOKUP(C842, calc_rusacc!$C$15:$C$65, calc_rusacc!$AD$15:$AD$65, "",0),AND( F842="Sealant", I842="Roll-up Screen"), _xlfn.XLOOKUP(C842, calc_rusacc!$C$15:$C$65, calc_rusacc!$AF$15:$AF$65, "",0),  AND( F842="Main Chain", I842="Accordion Screen"), _xlfn.XLOOKUP(C842, calc_rusacc!$C$15:$C$65, calc_rusacc!$BF$15:$BF$65, "",0), AND( F842="Sealant", I842="Accordion Screen"), _xlfn.XLOOKUP(C842, calc_rusacc!$C$15:$C$65, calc_rusacc!$BJ$15:$BJ$65, "",0),  F842="Sealant", _xlfn.XLOOKUP(C842, dd_accsrycalc!$A$2:$A$51, dd_accsrycalc!$G$2:$G$51, "",0),  F842&lt;&gt;"",L842*_xlfn.XLOOKUP(1, (SKUs!$C$2:$C$10001=G842)*(SKUs!$K$2:$K$10001=I842),SKUs!$E$2:$E$10001)), 0),"")</f>
        <v/>
      </c>
      <c r="E842" s="35" t="str">
        <f>_xlfn.XLOOKUP(F842,dd_item!$B$2:$B$105,dd_item!$C$2:$C$105,"",0)</f>
        <v/>
      </c>
      <c r="F842" s="35"/>
      <c r="G842" s="35" cm="1">
        <f t="array" ref="G842">IFERROR(_xlfn.XLOOKUP(1, (SKUs!$J$2:$J$10001=accsry_unmerged!F842)*IF(H842&lt;&gt;"",(SKUs!$L$2:$L$10001=accsry_unmerged!H842),1)*(SKUs!$K$2:$K$10001=I842),SKUs!$C$2:$C$10001),"")</f>
        <v>0</v>
      </c>
      <c r="H842" s="36" cm="1">
        <f t="array" ref="H842">IFERROR(_xlfn.XLOOKUP(1, (dd_accsryclr!$C$2:$C$1000=accsry_unmerged!F842)*(dd_accsryclr!$B$2:$B$1000=accsry_unmerged!J842),dd_accsryclr!$A$2:$A$1000),"")</f>
        <v>0</v>
      </c>
      <c r="I842" s="35">
        <f>_xlfn.XLOOKUP(C842,'Project Details'!$C$17:$C$66,'Project Details'!$E$17:$E$66,"",0)</f>
        <v>0</v>
      </c>
      <c r="J842" s="35">
        <f>_xlfn.XLOOKUP(C842,'Project Details'!$C$17:$C$66,'Project Details'!$H$17:$H$66,"",0)</f>
        <v>0</v>
      </c>
      <c r="K842" s="36" t="str">
        <f>IF(AND(_xlfn.XLOOKUP(C842,'Project Details'!$C$17:$C$66,'Project Details'!$L$17:$L$66,"",0)&gt;550, F842="Spring-L27cm"),"",SUBSTITUTE(_xlfn.XLOOKUP(G842,SKUs!$C$2:$C$10001,SKUs!$F$2:$F$10001,"",0), " Accessories",""))</f>
        <v/>
      </c>
      <c r="L842" s="36">
        <f>_xlfn.XLOOKUP(C842,'Project Details'!$C$17:$C$66,'Project Details'!$D$17:$D$66,"",0)</f>
        <v>0</v>
      </c>
      <c r="M842" s="43"/>
    </row>
    <row r="843" spans="1:13" ht="13.5" customHeight="1" x14ac:dyDescent="0.25">
      <c r="A843" s="43"/>
      <c r="B843" s="43"/>
      <c r="C843" s="16">
        <f t="shared" si="15"/>
        <v>17</v>
      </c>
      <c r="D843" s="16" t="str" cm="1">
        <f t="array" ref="D843">IFERROR(ROUNDUP(_xlfn.IFS(F843="Aluminum Track", _xlfn.XLOOKUP(C843, dd_accsrycalc!$A$2:$A$51, dd_accsrycalc!$B$2:$B$51, "",0), F843="10 x 2 1/2 S (Flat)", _xlfn.XLOOKUP(C843, dd_accsrycalc!$A$2:$A$51, dd_accsrycalc!$C$2:$C$51, "",0), F843="Tox6", _xlfn.XLOOKUP(C843, dd_accsrycalc!$A$2:$A$51, dd_accsrycalc!$D$2:$D$51, "",0), F843="Cover Cap", _xlfn.XLOOKUP(C843, dd_accsrycalc!$A$2:$A$51, dd_accsrycalc!$E$2:$E$51, "",0), F843="Drainage Cover", _xlfn.XLOOKUP(C843, dd_accsrycalc!$A$2:$A$51, dd_accsrycalc!$F$2:$F$51, "",0),AND( F843="Double Adhesive Tape", I843="Roll-up Screen"), _xlfn.XLOOKUP(C843, calc_rusacc!$C$15:$C$65, calc_rusacc!$AD$15:$AD$65, "",0),AND( F843="Sealant", I843="Roll-up Screen"), _xlfn.XLOOKUP(C843, calc_rusacc!$C$15:$C$65, calc_rusacc!$AF$15:$AF$65, "",0),  AND( F843="Main Chain", I843="Accordion Screen"), _xlfn.XLOOKUP(C843, calc_rusacc!$C$15:$C$65, calc_rusacc!$BF$15:$BF$65, "",0), AND( F843="Sealant", I843="Accordion Screen"), _xlfn.XLOOKUP(C843, calc_rusacc!$C$15:$C$65, calc_rusacc!$BJ$15:$BJ$65, "",0),  F843="Sealant", _xlfn.XLOOKUP(C843, dd_accsrycalc!$A$2:$A$51, dd_accsrycalc!$G$2:$G$51, "",0),  F843&lt;&gt;"",L843*_xlfn.XLOOKUP(1, (SKUs!$C$2:$C$10001=G843)*(SKUs!$K$2:$K$10001=I843),SKUs!$E$2:$E$10001)), 0),"")</f>
        <v/>
      </c>
      <c r="E843" s="16" t="str">
        <f>_xlfn.XLOOKUP(F843,dd_item!$B$2:$B$105,dd_item!$C$2:$C$105,"",0)</f>
        <v/>
      </c>
      <c r="F843" s="16"/>
      <c r="G843" s="16" cm="1">
        <f t="array" ref="G843">IFERROR(_xlfn.XLOOKUP(1, (SKUs!$J$2:$J$10001=accsry_unmerged!F843)*IF(H843&lt;&gt;"",(SKUs!$L$2:$L$10001=accsry_unmerged!H843),1)*(SKUs!$K$2:$K$10001=I843),SKUs!$C$2:$C$10001),"")</f>
        <v>0</v>
      </c>
      <c r="H843" s="33" cm="1">
        <f t="array" ref="H843">IFERROR(_xlfn.XLOOKUP(1, (dd_accsryclr!$C$2:$C$1000=accsry_unmerged!F843)*(dd_accsryclr!$B$2:$B$1000=accsry_unmerged!J843),dd_accsryclr!$A$2:$A$1000),"")</f>
        <v>0</v>
      </c>
      <c r="I843" s="16">
        <f>_xlfn.XLOOKUP(C843,'Project Details'!$C$17:$C$66,'Project Details'!$E$17:$E$66,"",0)</f>
        <v>0</v>
      </c>
      <c r="J843" s="16">
        <f>_xlfn.XLOOKUP(C843,'Project Details'!$C$17:$C$66,'Project Details'!$H$17:$H$66,"",0)</f>
        <v>0</v>
      </c>
      <c r="K843" s="33" t="str">
        <f>IF(AND(_xlfn.XLOOKUP(C843,'Project Details'!$C$17:$C$66,'Project Details'!$L$17:$L$66,"",0)&gt;550, F843="Spring-L27cm"),"",SUBSTITUTE(_xlfn.XLOOKUP(G843,SKUs!$C$2:$C$10001,SKUs!$F$2:$F$10001,"",0), " Accessories",""))</f>
        <v/>
      </c>
      <c r="L843" s="33">
        <f>_xlfn.XLOOKUP(C843,'Project Details'!$C$17:$C$66,'Project Details'!$D$17:$D$66,"",0)</f>
        <v>0</v>
      </c>
      <c r="M843" s="43"/>
    </row>
    <row r="844" spans="1:13" ht="13.5" customHeight="1" x14ac:dyDescent="0.25">
      <c r="A844" s="43"/>
      <c r="B844" s="43"/>
      <c r="C844" s="35">
        <f t="shared" si="15"/>
        <v>17</v>
      </c>
      <c r="D844" s="35" t="str" cm="1">
        <f t="array" ref="D844">IFERROR(ROUNDUP(_xlfn.IFS(F844="Aluminum Track", _xlfn.XLOOKUP(C844, dd_accsrycalc!$A$2:$A$51, dd_accsrycalc!$B$2:$B$51, "",0), F844="10 x 2 1/2 S (Flat)", _xlfn.XLOOKUP(C844, dd_accsrycalc!$A$2:$A$51, dd_accsrycalc!$C$2:$C$51, "",0), F844="Tox6", _xlfn.XLOOKUP(C844, dd_accsrycalc!$A$2:$A$51, dd_accsrycalc!$D$2:$D$51, "",0), F844="Cover Cap", _xlfn.XLOOKUP(C844, dd_accsrycalc!$A$2:$A$51, dd_accsrycalc!$E$2:$E$51, "",0), F844="Drainage Cover", _xlfn.XLOOKUP(C844, dd_accsrycalc!$A$2:$A$51, dd_accsrycalc!$F$2:$F$51, "",0),AND( F844="Double Adhesive Tape", I844="Roll-up Screen"), _xlfn.XLOOKUP(C844, calc_rusacc!$C$15:$C$65, calc_rusacc!$AD$15:$AD$65, "",0),AND( F844="Sealant", I844="Roll-up Screen"), _xlfn.XLOOKUP(C844, calc_rusacc!$C$15:$C$65, calc_rusacc!$AF$15:$AF$65, "",0),  AND( F844="Main Chain", I844="Accordion Screen"), _xlfn.XLOOKUP(C844, calc_rusacc!$C$15:$C$65, calc_rusacc!$BF$15:$BF$65, "",0), AND( F844="Sealant", I844="Accordion Screen"), _xlfn.XLOOKUP(C844, calc_rusacc!$C$15:$C$65, calc_rusacc!$BJ$15:$BJ$65, "",0),  F844="Sealant", _xlfn.XLOOKUP(C844, dd_accsrycalc!$A$2:$A$51, dd_accsrycalc!$G$2:$G$51, "",0),  F844&lt;&gt;"",L844*_xlfn.XLOOKUP(1, (SKUs!$C$2:$C$10001=G844)*(SKUs!$K$2:$K$10001=I844),SKUs!$E$2:$E$10001)), 0),"")</f>
        <v/>
      </c>
      <c r="E844" s="35" t="str">
        <f>_xlfn.XLOOKUP(F844,dd_item!$B$2:$B$105,dd_item!$C$2:$C$105,"",0)</f>
        <v/>
      </c>
      <c r="F844" s="35"/>
      <c r="G844" s="35" cm="1">
        <f t="array" ref="G844">IFERROR(_xlfn.XLOOKUP(1, (SKUs!$J$2:$J$10001=accsry_unmerged!F844)*IF(H844&lt;&gt;"",(SKUs!$L$2:$L$10001=accsry_unmerged!H844),1)*(SKUs!$K$2:$K$10001=I844),SKUs!$C$2:$C$10001),"")</f>
        <v>0</v>
      </c>
      <c r="H844" s="36" cm="1">
        <f t="array" ref="H844">IFERROR(_xlfn.XLOOKUP(1, (dd_accsryclr!$C$2:$C$1000=accsry_unmerged!F844)*(dd_accsryclr!$B$2:$B$1000=accsry_unmerged!J844),dd_accsryclr!$A$2:$A$1000),"")</f>
        <v>0</v>
      </c>
      <c r="I844" s="35">
        <f>_xlfn.XLOOKUP(C844,'Project Details'!$C$17:$C$66,'Project Details'!$E$17:$E$66,"",0)</f>
        <v>0</v>
      </c>
      <c r="J844" s="35">
        <f>_xlfn.XLOOKUP(C844,'Project Details'!$C$17:$C$66,'Project Details'!$H$17:$H$66,"",0)</f>
        <v>0</v>
      </c>
      <c r="K844" s="36" t="str">
        <f>IF(AND(_xlfn.XLOOKUP(C844,'Project Details'!$C$17:$C$66,'Project Details'!$L$17:$L$66,"",0)&gt;550, F844="Spring-L27cm"),"",SUBSTITUTE(_xlfn.XLOOKUP(G844,SKUs!$C$2:$C$10001,SKUs!$F$2:$F$10001,"",0), " Accessories",""))</f>
        <v/>
      </c>
      <c r="L844" s="36">
        <f>_xlfn.XLOOKUP(C844,'Project Details'!$C$17:$C$66,'Project Details'!$D$17:$D$66,"",0)</f>
        <v>0</v>
      </c>
      <c r="M844" s="43"/>
    </row>
    <row r="845" spans="1:13" ht="13.5" customHeight="1" outlineLevel="1" x14ac:dyDescent="0.25">
      <c r="A845" s="43"/>
      <c r="B845" s="43"/>
      <c r="C845" s="16">
        <f t="shared" si="15"/>
        <v>17</v>
      </c>
      <c r="D845" s="16" t="str" cm="1">
        <f t="array" ref="D845">IFERROR(ROUNDUP(_xlfn.IFS(F845="Aluminum Track", _xlfn.XLOOKUP(C845, dd_accsrycalc!$A$2:$A$51, dd_accsrycalc!$B$2:$B$51, "",0), F845="10 x 2 1/2 S (Flat)", _xlfn.XLOOKUP(C845, dd_accsrycalc!$A$2:$A$51, dd_accsrycalc!$C$2:$C$51, "",0), F845="Tox6", _xlfn.XLOOKUP(C845, dd_accsrycalc!$A$2:$A$51, dd_accsrycalc!$D$2:$D$51, "",0), F845="Cover Cap", _xlfn.XLOOKUP(C845, dd_accsrycalc!$A$2:$A$51, dd_accsrycalc!$E$2:$E$51, "",0), F845="Drainage Cover", _xlfn.XLOOKUP(C845, dd_accsrycalc!$A$2:$A$51, dd_accsrycalc!$F$2:$F$51, "",0),AND( F845="Double Adhesive Tape", I845="Roll-up Screen"), _xlfn.XLOOKUP(C845, calc_rusacc!$C$15:$C$65, calc_rusacc!$AD$15:$AD$65, "",0),AND( F845="Sealant", I845="Roll-up Screen"), _xlfn.XLOOKUP(C845, calc_rusacc!$C$15:$C$65, calc_rusacc!$AF$15:$AF$65, "",0),  AND( F845="Main Chain", I845="Accordion Screen"), _xlfn.XLOOKUP(C845, calc_rusacc!$C$15:$C$65, calc_rusacc!$BF$15:$BF$65, "",0), AND( F845="Sealant", I845="Accordion Screen"), _xlfn.XLOOKUP(C845, calc_rusacc!$C$15:$C$65, calc_rusacc!$BJ$15:$BJ$65, "",0),  F845="Sealant", _xlfn.XLOOKUP(C845, dd_accsrycalc!$A$2:$A$51, dd_accsrycalc!$G$2:$G$51, "",0),  F845&lt;&gt;"",L845*_xlfn.XLOOKUP(1, (SKUs!$C$2:$C$10001=G845)*(SKUs!$K$2:$K$10001=I845),SKUs!$E$2:$E$10001)), 0),"")</f>
        <v/>
      </c>
      <c r="E845" s="16" t="str">
        <f>_xlfn.XLOOKUP(F845,dd_item!$B$2:$B$105,dd_item!$C$2:$C$105,"",0)</f>
        <v/>
      </c>
      <c r="F845" s="16"/>
      <c r="G845" s="16" cm="1">
        <f t="array" ref="G845">IFERROR(_xlfn.XLOOKUP(1, (SKUs!$J$2:$J$10001=accsry_unmerged!F845)*IF(H845&lt;&gt;"",(SKUs!$L$2:$L$10001=accsry_unmerged!H845),1)*(SKUs!$K$2:$K$10001=I845),SKUs!$C$2:$C$10001),"")</f>
        <v>0</v>
      </c>
      <c r="H845" s="33" cm="1">
        <f t="array" ref="H845">IFERROR(_xlfn.XLOOKUP(1, (dd_accsryclr!$C$2:$C$1000=accsry_unmerged!F845)*(dd_accsryclr!$B$2:$B$1000=accsry_unmerged!J845),dd_accsryclr!$A$2:$A$1000),"")</f>
        <v>0</v>
      </c>
      <c r="I845" s="16">
        <f>_xlfn.XLOOKUP(C845,'Project Details'!$C$17:$C$66,'Project Details'!$E$17:$E$66,"",0)</f>
        <v>0</v>
      </c>
      <c r="J845" s="16">
        <f>_xlfn.XLOOKUP(C845,'Project Details'!$C$17:$C$66,'Project Details'!$H$17:$H$66,"",0)</f>
        <v>0</v>
      </c>
      <c r="K845" s="33" t="str">
        <f>IF(AND(_xlfn.XLOOKUP(C845,'Project Details'!$C$17:$C$66,'Project Details'!$L$17:$L$66,"",0)&gt;550, F845="Spring-L27cm"),"",SUBSTITUTE(_xlfn.XLOOKUP(G845,SKUs!$C$2:$C$10001,SKUs!$F$2:$F$10001,"",0), " Accessories",""))</f>
        <v/>
      </c>
      <c r="L845" s="33">
        <f>_xlfn.XLOOKUP(C845,'Project Details'!$C$17:$C$66,'Project Details'!$D$17:$D$66,"",0)</f>
        <v>0</v>
      </c>
      <c r="M845" s="43"/>
    </row>
    <row r="846" spans="1:13" ht="13.5" customHeight="1" outlineLevel="1" x14ac:dyDescent="0.25">
      <c r="A846" s="43"/>
      <c r="B846" s="43"/>
      <c r="C846" s="35">
        <f t="shared" si="15"/>
        <v>17</v>
      </c>
      <c r="D846" s="35" t="str" cm="1">
        <f t="array" ref="D846">IFERROR(ROUNDUP(_xlfn.IFS(F846="Aluminum Track", _xlfn.XLOOKUP(C846, dd_accsrycalc!$A$2:$A$51, dd_accsrycalc!$B$2:$B$51, "",0), F846="10 x 2 1/2 S (Flat)", _xlfn.XLOOKUP(C846, dd_accsrycalc!$A$2:$A$51, dd_accsrycalc!$C$2:$C$51, "",0), F846="Tox6", _xlfn.XLOOKUP(C846, dd_accsrycalc!$A$2:$A$51, dd_accsrycalc!$D$2:$D$51, "",0), F846="Cover Cap", _xlfn.XLOOKUP(C846, dd_accsrycalc!$A$2:$A$51, dd_accsrycalc!$E$2:$E$51, "",0), F846="Drainage Cover", _xlfn.XLOOKUP(C846, dd_accsrycalc!$A$2:$A$51, dd_accsrycalc!$F$2:$F$51, "",0),AND( F846="Double Adhesive Tape", I846="Roll-up Screen"), _xlfn.XLOOKUP(C846, calc_rusacc!$C$15:$C$65, calc_rusacc!$AD$15:$AD$65, "",0),AND( F846="Sealant", I846="Roll-up Screen"), _xlfn.XLOOKUP(C846, calc_rusacc!$C$15:$C$65, calc_rusacc!$AF$15:$AF$65, "",0),  AND( F846="Main Chain", I846="Accordion Screen"), _xlfn.XLOOKUP(C846, calc_rusacc!$C$15:$C$65, calc_rusacc!$BF$15:$BF$65, "",0), AND( F846="Sealant", I846="Accordion Screen"), _xlfn.XLOOKUP(C846, calc_rusacc!$C$15:$C$65, calc_rusacc!$BJ$15:$BJ$65, "",0),  F846="Sealant", _xlfn.XLOOKUP(C846, dd_accsrycalc!$A$2:$A$51, dd_accsrycalc!$G$2:$G$51, "",0),  F846&lt;&gt;"",L846*_xlfn.XLOOKUP(1, (SKUs!$C$2:$C$10001=G846)*(SKUs!$K$2:$K$10001=I846),SKUs!$E$2:$E$10001)), 0),"")</f>
        <v/>
      </c>
      <c r="E846" s="35" t="str">
        <f>_xlfn.XLOOKUP(F846,dd_item!$B$2:$B$105,dd_item!$C$2:$C$105,"",0)</f>
        <v/>
      </c>
      <c r="F846" s="35"/>
      <c r="G846" s="35" cm="1">
        <f t="array" ref="G846">IFERROR(_xlfn.XLOOKUP(1, (SKUs!$J$2:$J$10001=accsry_unmerged!F846)*IF(H846&lt;&gt;"",(SKUs!$L$2:$L$10001=accsry_unmerged!H846),1)*(SKUs!$K$2:$K$10001=I846),SKUs!$C$2:$C$10001),"")</f>
        <v>0</v>
      </c>
      <c r="H846" s="36" cm="1">
        <f t="array" ref="H846">IFERROR(_xlfn.XLOOKUP(1, (dd_accsryclr!$C$2:$C$1000=accsry_unmerged!F846)*(dd_accsryclr!$B$2:$B$1000=accsry_unmerged!J846),dd_accsryclr!$A$2:$A$1000),"")</f>
        <v>0</v>
      </c>
      <c r="I846" s="35">
        <f>_xlfn.XLOOKUP(C846,'Project Details'!$C$17:$C$66,'Project Details'!$E$17:$E$66,"",0)</f>
        <v>0</v>
      </c>
      <c r="J846" s="35">
        <f>_xlfn.XLOOKUP(C846,'Project Details'!$C$17:$C$66,'Project Details'!$H$17:$H$66,"",0)</f>
        <v>0</v>
      </c>
      <c r="K846" s="36" t="str">
        <f>IF(AND(_xlfn.XLOOKUP(C846,'Project Details'!$C$17:$C$66,'Project Details'!$L$17:$L$66,"",0)&gt;550, F846="Spring-L27cm"),"",SUBSTITUTE(_xlfn.XLOOKUP(G846,SKUs!$C$2:$C$10001,SKUs!$F$2:$F$10001,"",0), " Accessories",""))</f>
        <v/>
      </c>
      <c r="L846" s="36">
        <f>_xlfn.XLOOKUP(C846,'Project Details'!$C$17:$C$66,'Project Details'!$D$17:$D$66,"",0)</f>
        <v>0</v>
      </c>
      <c r="M846" s="43"/>
    </row>
    <row r="847" spans="1:13" ht="13.5" customHeight="1" outlineLevel="1" x14ac:dyDescent="0.25">
      <c r="A847" s="43"/>
      <c r="B847" s="43"/>
      <c r="C847" s="16">
        <f t="shared" si="15"/>
        <v>17</v>
      </c>
      <c r="D847" s="16" t="str" cm="1">
        <f t="array" ref="D847">IFERROR(ROUNDUP(_xlfn.IFS(F847="Aluminum Track", _xlfn.XLOOKUP(C847, dd_accsrycalc!$A$2:$A$51, dd_accsrycalc!$B$2:$B$51, "",0), F847="10 x 2 1/2 S (Flat)", _xlfn.XLOOKUP(C847, dd_accsrycalc!$A$2:$A$51, dd_accsrycalc!$C$2:$C$51, "",0), F847="Tox6", _xlfn.XLOOKUP(C847, dd_accsrycalc!$A$2:$A$51, dd_accsrycalc!$D$2:$D$51, "",0), F847="Cover Cap", _xlfn.XLOOKUP(C847, dd_accsrycalc!$A$2:$A$51, dd_accsrycalc!$E$2:$E$51, "",0), F847="Drainage Cover", _xlfn.XLOOKUP(C847, dd_accsrycalc!$A$2:$A$51, dd_accsrycalc!$F$2:$F$51, "",0),AND( F847="Double Adhesive Tape", I847="Roll-up Screen"), _xlfn.XLOOKUP(C847, calc_rusacc!$C$15:$C$65, calc_rusacc!$AD$15:$AD$65, "",0),AND( F847="Sealant", I847="Roll-up Screen"), _xlfn.XLOOKUP(C847, calc_rusacc!$C$15:$C$65, calc_rusacc!$AF$15:$AF$65, "",0),  AND( F847="Main Chain", I847="Accordion Screen"), _xlfn.XLOOKUP(C847, calc_rusacc!$C$15:$C$65, calc_rusacc!$BF$15:$BF$65, "",0), AND( F847="Sealant", I847="Accordion Screen"), _xlfn.XLOOKUP(C847, calc_rusacc!$C$15:$C$65, calc_rusacc!$BJ$15:$BJ$65, "",0),  F847="Sealant", _xlfn.XLOOKUP(C847, dd_accsrycalc!$A$2:$A$51, dd_accsrycalc!$G$2:$G$51, "",0),  F847&lt;&gt;"",L847*_xlfn.XLOOKUP(1, (SKUs!$C$2:$C$10001=G847)*(SKUs!$K$2:$K$10001=I847),SKUs!$E$2:$E$10001)), 0),"")</f>
        <v/>
      </c>
      <c r="E847" s="16" t="str">
        <f>_xlfn.XLOOKUP(F847,dd_item!$B$2:$B$105,dd_item!$C$2:$C$105,"",0)</f>
        <v/>
      </c>
      <c r="F847" s="16"/>
      <c r="G847" s="16" cm="1">
        <f t="array" ref="G847">IFERROR(_xlfn.XLOOKUP(1, (SKUs!$J$2:$J$10001=accsry_unmerged!F847)*IF(H847&lt;&gt;"",(SKUs!$L$2:$L$10001=accsry_unmerged!H847),1)*(SKUs!$K$2:$K$10001=I847),SKUs!$C$2:$C$10001),"")</f>
        <v>0</v>
      </c>
      <c r="H847" s="33" cm="1">
        <f t="array" ref="H847">IFERROR(_xlfn.XLOOKUP(1, (dd_accsryclr!$C$2:$C$1000=accsry_unmerged!F847)*(dd_accsryclr!$B$2:$B$1000=accsry_unmerged!J847),dd_accsryclr!$A$2:$A$1000),"")</f>
        <v>0</v>
      </c>
      <c r="I847" s="16">
        <f>_xlfn.XLOOKUP(C847,'Project Details'!$C$17:$C$66,'Project Details'!$E$17:$E$66,"",0)</f>
        <v>0</v>
      </c>
      <c r="J847" s="16">
        <f>_xlfn.XLOOKUP(C847,'Project Details'!$C$17:$C$66,'Project Details'!$H$17:$H$66,"",0)</f>
        <v>0</v>
      </c>
      <c r="K847" s="33" t="str">
        <f>IF(AND(_xlfn.XLOOKUP(C847,'Project Details'!$C$17:$C$66,'Project Details'!$L$17:$L$66,"",0)&gt;550, F847="Spring-L27cm"),"",SUBSTITUTE(_xlfn.XLOOKUP(G847,SKUs!$C$2:$C$10001,SKUs!$F$2:$F$10001,"",0), " Accessories",""))</f>
        <v/>
      </c>
      <c r="L847" s="33">
        <f>_xlfn.XLOOKUP(C847,'Project Details'!$C$17:$C$66,'Project Details'!$D$17:$D$66,"",0)</f>
        <v>0</v>
      </c>
      <c r="M847" s="43"/>
    </row>
    <row r="848" spans="1:13" ht="13.5" customHeight="1" outlineLevel="1" x14ac:dyDescent="0.25">
      <c r="A848" s="43"/>
      <c r="B848" s="43"/>
      <c r="C848" s="35">
        <f t="shared" si="15"/>
        <v>17</v>
      </c>
      <c r="D848" s="35" t="str" cm="1">
        <f t="array" ref="D848">IFERROR(ROUNDUP(_xlfn.IFS(F848="Aluminum Track", _xlfn.XLOOKUP(C848, dd_accsrycalc!$A$2:$A$51, dd_accsrycalc!$B$2:$B$51, "",0), F848="10 x 2 1/2 S (Flat)", _xlfn.XLOOKUP(C848, dd_accsrycalc!$A$2:$A$51, dd_accsrycalc!$C$2:$C$51, "",0), F848="Tox6", _xlfn.XLOOKUP(C848, dd_accsrycalc!$A$2:$A$51, dd_accsrycalc!$D$2:$D$51, "",0), F848="Cover Cap", _xlfn.XLOOKUP(C848, dd_accsrycalc!$A$2:$A$51, dd_accsrycalc!$E$2:$E$51, "",0), F848="Drainage Cover", _xlfn.XLOOKUP(C848, dd_accsrycalc!$A$2:$A$51, dd_accsrycalc!$F$2:$F$51, "",0),AND( F848="Double Adhesive Tape", I848="Roll-up Screen"), _xlfn.XLOOKUP(C848, calc_rusacc!$C$15:$C$65, calc_rusacc!$AD$15:$AD$65, "",0),AND( F848="Sealant", I848="Roll-up Screen"), _xlfn.XLOOKUP(C848, calc_rusacc!$C$15:$C$65, calc_rusacc!$AF$15:$AF$65, "",0),  AND( F848="Main Chain", I848="Accordion Screen"), _xlfn.XLOOKUP(C848, calc_rusacc!$C$15:$C$65, calc_rusacc!$BF$15:$BF$65, "",0), AND( F848="Sealant", I848="Accordion Screen"), _xlfn.XLOOKUP(C848, calc_rusacc!$C$15:$C$65, calc_rusacc!$BJ$15:$BJ$65, "",0),  F848="Sealant", _xlfn.XLOOKUP(C848, dd_accsrycalc!$A$2:$A$51, dd_accsrycalc!$G$2:$G$51, "",0),  F848&lt;&gt;"",L848*_xlfn.XLOOKUP(1, (SKUs!$C$2:$C$10001=G848)*(SKUs!$K$2:$K$10001=I848),SKUs!$E$2:$E$10001)), 0),"")</f>
        <v/>
      </c>
      <c r="E848" s="35" t="str">
        <f>_xlfn.XLOOKUP(F848,dd_item!$B$2:$B$105,dd_item!$C$2:$C$105,"",0)</f>
        <v/>
      </c>
      <c r="F848" s="35"/>
      <c r="G848" s="35" cm="1">
        <f t="array" ref="G848">IFERROR(_xlfn.XLOOKUP(1, (SKUs!$J$2:$J$10001=accsry_unmerged!F848)*IF(H848&lt;&gt;"",(SKUs!$L$2:$L$10001=accsry_unmerged!H848),1)*(SKUs!$K$2:$K$10001=I848),SKUs!$C$2:$C$10001),"")</f>
        <v>0</v>
      </c>
      <c r="H848" s="36" cm="1">
        <f t="array" ref="H848">IFERROR(_xlfn.XLOOKUP(1, (dd_accsryclr!$C$2:$C$1000=accsry_unmerged!F848)*(dd_accsryclr!$B$2:$B$1000=accsry_unmerged!J848),dd_accsryclr!$A$2:$A$1000),"")</f>
        <v>0</v>
      </c>
      <c r="I848" s="35">
        <f>_xlfn.XLOOKUP(C848,'Project Details'!$C$17:$C$66,'Project Details'!$E$17:$E$66,"",0)</f>
        <v>0</v>
      </c>
      <c r="J848" s="35">
        <f>_xlfn.XLOOKUP(C848,'Project Details'!$C$17:$C$66,'Project Details'!$H$17:$H$66,"",0)</f>
        <v>0</v>
      </c>
      <c r="K848" s="36" t="str">
        <f>IF(AND(_xlfn.XLOOKUP(C848,'Project Details'!$C$17:$C$66,'Project Details'!$L$17:$L$66,"",0)&gt;550, F848="Spring-L27cm"),"",SUBSTITUTE(_xlfn.XLOOKUP(G848,SKUs!$C$2:$C$10001,SKUs!$F$2:$F$10001,"",0), " Accessories",""))</f>
        <v/>
      </c>
      <c r="L848" s="36">
        <f>_xlfn.XLOOKUP(C848,'Project Details'!$C$17:$C$66,'Project Details'!$D$17:$D$66,"",0)</f>
        <v>0</v>
      </c>
      <c r="M848" s="43"/>
    </row>
    <row r="849" spans="1:13" ht="13.5" customHeight="1" outlineLevel="1" x14ac:dyDescent="0.25">
      <c r="A849" s="43"/>
      <c r="B849" s="43"/>
      <c r="C849" s="16">
        <f t="shared" si="15"/>
        <v>17</v>
      </c>
      <c r="D849" s="16" t="str" cm="1">
        <f t="array" ref="D849">IFERROR(ROUNDUP(_xlfn.IFS(F849="Aluminum Track", _xlfn.XLOOKUP(C849, dd_accsrycalc!$A$2:$A$51, dd_accsrycalc!$B$2:$B$51, "",0), F849="10 x 2 1/2 S (Flat)", _xlfn.XLOOKUP(C849, dd_accsrycalc!$A$2:$A$51, dd_accsrycalc!$C$2:$C$51, "",0), F849="Tox6", _xlfn.XLOOKUP(C849, dd_accsrycalc!$A$2:$A$51, dd_accsrycalc!$D$2:$D$51, "",0), F849="Cover Cap", _xlfn.XLOOKUP(C849, dd_accsrycalc!$A$2:$A$51, dd_accsrycalc!$E$2:$E$51, "",0), F849="Drainage Cover", _xlfn.XLOOKUP(C849, dd_accsrycalc!$A$2:$A$51, dd_accsrycalc!$F$2:$F$51, "",0),AND( F849="Double Adhesive Tape", I849="Roll-up Screen"), _xlfn.XLOOKUP(C849, calc_rusacc!$C$15:$C$65, calc_rusacc!$AD$15:$AD$65, "",0),AND( F849="Sealant", I849="Roll-up Screen"), _xlfn.XLOOKUP(C849, calc_rusacc!$C$15:$C$65, calc_rusacc!$AF$15:$AF$65, "",0),  AND( F849="Main Chain", I849="Accordion Screen"), _xlfn.XLOOKUP(C849, calc_rusacc!$C$15:$C$65, calc_rusacc!$BF$15:$BF$65, "",0), AND( F849="Sealant", I849="Accordion Screen"), _xlfn.XLOOKUP(C849, calc_rusacc!$C$15:$C$65, calc_rusacc!$BJ$15:$BJ$65, "",0),  F849="Sealant", _xlfn.XLOOKUP(C849, dd_accsrycalc!$A$2:$A$51, dd_accsrycalc!$G$2:$G$51, "",0),  F849&lt;&gt;"",L849*_xlfn.XLOOKUP(1, (SKUs!$C$2:$C$10001=G849)*(SKUs!$K$2:$K$10001=I849),SKUs!$E$2:$E$10001)), 0),"")</f>
        <v/>
      </c>
      <c r="E849" s="16" t="str">
        <f>_xlfn.XLOOKUP(F849,dd_item!$B$2:$B$105,dd_item!$C$2:$C$105,"",0)</f>
        <v/>
      </c>
      <c r="F849" s="16"/>
      <c r="G849" s="16" cm="1">
        <f t="array" ref="G849">IFERROR(_xlfn.XLOOKUP(1, (SKUs!$J$2:$J$10001=accsry_unmerged!F849)*IF(H849&lt;&gt;"",(SKUs!$L$2:$L$10001=accsry_unmerged!H849),1)*(SKUs!$K$2:$K$10001=I849),SKUs!$C$2:$C$10001),"")</f>
        <v>0</v>
      </c>
      <c r="H849" s="33" cm="1">
        <f t="array" ref="H849">IFERROR(_xlfn.XLOOKUP(1, (dd_accsryclr!$C$2:$C$1000=accsry_unmerged!F849)*(dd_accsryclr!$B$2:$B$1000=accsry_unmerged!J849),dd_accsryclr!$A$2:$A$1000),"")</f>
        <v>0</v>
      </c>
      <c r="I849" s="16">
        <f>_xlfn.XLOOKUP(C849,'Project Details'!$C$17:$C$66,'Project Details'!$E$17:$E$66,"",0)</f>
        <v>0</v>
      </c>
      <c r="J849" s="16">
        <f>_xlfn.XLOOKUP(C849,'Project Details'!$C$17:$C$66,'Project Details'!$H$17:$H$66,"",0)</f>
        <v>0</v>
      </c>
      <c r="K849" s="33" t="str">
        <f>IF(AND(_xlfn.XLOOKUP(C849,'Project Details'!$C$17:$C$66,'Project Details'!$L$17:$L$66,"",0)&gt;550, F849="Spring-L27cm"),"",SUBSTITUTE(_xlfn.XLOOKUP(G849,SKUs!$C$2:$C$10001,SKUs!$F$2:$F$10001,"",0), " Accessories",""))</f>
        <v/>
      </c>
      <c r="L849" s="33">
        <f>_xlfn.XLOOKUP(C849,'Project Details'!$C$17:$C$66,'Project Details'!$D$17:$D$66,"",0)</f>
        <v>0</v>
      </c>
      <c r="M849" s="43"/>
    </row>
    <row r="850" spans="1:13" ht="13.5" customHeight="1" outlineLevel="1" x14ac:dyDescent="0.25">
      <c r="A850" s="43"/>
      <c r="B850" s="43"/>
      <c r="C850" s="35">
        <f t="shared" si="15"/>
        <v>17</v>
      </c>
      <c r="D850" s="35" t="str" cm="1">
        <f t="array" ref="D850">IFERROR(ROUNDUP(_xlfn.IFS(F850="Aluminum Track", _xlfn.XLOOKUP(C850, dd_accsrycalc!$A$2:$A$51, dd_accsrycalc!$B$2:$B$51, "",0), F850="10 x 2 1/2 S (Flat)", _xlfn.XLOOKUP(C850, dd_accsrycalc!$A$2:$A$51, dd_accsrycalc!$C$2:$C$51, "",0), F850="Tox6", _xlfn.XLOOKUP(C850, dd_accsrycalc!$A$2:$A$51, dd_accsrycalc!$D$2:$D$51, "",0), F850="Cover Cap", _xlfn.XLOOKUP(C850, dd_accsrycalc!$A$2:$A$51, dd_accsrycalc!$E$2:$E$51, "",0), F850="Drainage Cover", _xlfn.XLOOKUP(C850, dd_accsrycalc!$A$2:$A$51, dd_accsrycalc!$F$2:$F$51, "",0),AND( F850="Double Adhesive Tape", I850="Roll-up Screen"), _xlfn.XLOOKUP(C850, calc_rusacc!$C$15:$C$65, calc_rusacc!$AD$15:$AD$65, "",0),AND( F850="Sealant", I850="Roll-up Screen"), _xlfn.XLOOKUP(C850, calc_rusacc!$C$15:$C$65, calc_rusacc!$AF$15:$AF$65, "",0),  AND( F850="Main Chain", I850="Accordion Screen"), _xlfn.XLOOKUP(C850, calc_rusacc!$C$15:$C$65, calc_rusacc!$BF$15:$BF$65, "",0), AND( F850="Sealant", I850="Accordion Screen"), _xlfn.XLOOKUP(C850, calc_rusacc!$C$15:$C$65, calc_rusacc!$BJ$15:$BJ$65, "",0),  F850="Sealant", _xlfn.XLOOKUP(C850, dd_accsrycalc!$A$2:$A$51, dd_accsrycalc!$G$2:$G$51, "",0),  F850&lt;&gt;"",L850*_xlfn.XLOOKUP(1, (SKUs!$C$2:$C$10001=G850)*(SKUs!$K$2:$K$10001=I850),SKUs!$E$2:$E$10001)), 0),"")</f>
        <v/>
      </c>
      <c r="E850" s="35" t="str">
        <f>_xlfn.XLOOKUP(F850,dd_item!$B$2:$B$105,dd_item!$C$2:$C$105,"",0)</f>
        <v/>
      </c>
      <c r="F850" s="35"/>
      <c r="G850" s="35" cm="1">
        <f t="array" ref="G850">IFERROR(_xlfn.XLOOKUP(1, (SKUs!$J$2:$J$10001=accsry_unmerged!F850)*IF(H850&lt;&gt;"",(SKUs!$L$2:$L$10001=accsry_unmerged!H850),1)*(SKUs!$K$2:$K$10001=I850),SKUs!$C$2:$C$10001),"")</f>
        <v>0</v>
      </c>
      <c r="H850" s="36" cm="1">
        <f t="array" ref="H850">IFERROR(_xlfn.XLOOKUP(1, (dd_accsryclr!$C$2:$C$1000=accsry_unmerged!F850)*(dd_accsryclr!$B$2:$B$1000=accsry_unmerged!J850),dd_accsryclr!$A$2:$A$1000),"")</f>
        <v>0</v>
      </c>
      <c r="I850" s="35">
        <f>_xlfn.XLOOKUP(C850,'Project Details'!$C$17:$C$66,'Project Details'!$E$17:$E$66,"",0)</f>
        <v>0</v>
      </c>
      <c r="J850" s="35">
        <f>_xlfn.XLOOKUP(C850,'Project Details'!$C$17:$C$66,'Project Details'!$H$17:$H$66,"",0)</f>
        <v>0</v>
      </c>
      <c r="K850" s="36" t="str">
        <f>IF(AND(_xlfn.XLOOKUP(C850,'Project Details'!$C$17:$C$66,'Project Details'!$L$17:$L$66,"",0)&gt;550, F850="Spring-L27cm"),"",SUBSTITUTE(_xlfn.XLOOKUP(G850,SKUs!$C$2:$C$10001,SKUs!$F$2:$F$10001,"",0), " Accessories",""))</f>
        <v/>
      </c>
      <c r="L850" s="36">
        <f>_xlfn.XLOOKUP(C850,'Project Details'!$C$17:$C$66,'Project Details'!$D$17:$D$66,"",0)</f>
        <v>0</v>
      </c>
      <c r="M850" s="43"/>
    </row>
    <row r="851" spans="1:13" ht="13.5" customHeight="1" outlineLevel="1" x14ac:dyDescent="0.25">
      <c r="A851" s="43"/>
      <c r="B851" s="43"/>
      <c r="C851" s="16">
        <f t="shared" si="15"/>
        <v>17</v>
      </c>
      <c r="D851" s="16" t="str" cm="1">
        <f t="array" ref="D851">IFERROR(ROUNDUP(_xlfn.IFS(F851="Aluminum Track", _xlfn.XLOOKUP(C851, dd_accsrycalc!$A$2:$A$51, dd_accsrycalc!$B$2:$B$51, "",0), F851="10 x 2 1/2 S (Flat)", _xlfn.XLOOKUP(C851, dd_accsrycalc!$A$2:$A$51, dd_accsrycalc!$C$2:$C$51, "",0), F851="Tox6", _xlfn.XLOOKUP(C851, dd_accsrycalc!$A$2:$A$51, dd_accsrycalc!$D$2:$D$51, "",0), F851="Cover Cap", _xlfn.XLOOKUP(C851, dd_accsrycalc!$A$2:$A$51, dd_accsrycalc!$E$2:$E$51, "",0), F851="Drainage Cover", _xlfn.XLOOKUP(C851, dd_accsrycalc!$A$2:$A$51, dd_accsrycalc!$F$2:$F$51, "",0),AND( F851="Double Adhesive Tape", I851="Roll-up Screen"), _xlfn.XLOOKUP(C851, calc_rusacc!$C$15:$C$65, calc_rusacc!$AD$15:$AD$65, "",0),AND( F851="Sealant", I851="Roll-up Screen"), _xlfn.XLOOKUP(C851, calc_rusacc!$C$15:$C$65, calc_rusacc!$AF$15:$AF$65, "",0),  AND( F851="Main Chain", I851="Accordion Screen"), _xlfn.XLOOKUP(C851, calc_rusacc!$C$15:$C$65, calc_rusacc!$BF$15:$BF$65, "",0), AND( F851="Sealant", I851="Accordion Screen"), _xlfn.XLOOKUP(C851, calc_rusacc!$C$15:$C$65, calc_rusacc!$BJ$15:$BJ$65, "",0),  F851="Sealant", _xlfn.XLOOKUP(C851, dd_accsrycalc!$A$2:$A$51, dd_accsrycalc!$G$2:$G$51, "",0),  F851&lt;&gt;"",L851*_xlfn.XLOOKUP(1, (SKUs!$C$2:$C$10001=G851)*(SKUs!$K$2:$K$10001=I851),SKUs!$E$2:$E$10001)), 0),"")</f>
        <v/>
      </c>
      <c r="E851" s="16" t="str">
        <f>_xlfn.XLOOKUP(F851,dd_item!$B$2:$B$105,dd_item!$C$2:$C$105,"",0)</f>
        <v/>
      </c>
      <c r="F851" s="16"/>
      <c r="G851" s="16" cm="1">
        <f t="array" ref="G851">IFERROR(_xlfn.XLOOKUP(1, (SKUs!$J$2:$J$10001=accsry_unmerged!F851)*IF(H851&lt;&gt;"",(SKUs!$L$2:$L$10001=accsry_unmerged!H851),1)*(SKUs!$K$2:$K$10001=I851),SKUs!$C$2:$C$10001),"")</f>
        <v>0</v>
      </c>
      <c r="H851" s="33" cm="1">
        <f t="array" ref="H851">IFERROR(_xlfn.XLOOKUP(1, (dd_accsryclr!$C$2:$C$1000=accsry_unmerged!F851)*(dd_accsryclr!$B$2:$B$1000=accsry_unmerged!J851),dd_accsryclr!$A$2:$A$1000),"")</f>
        <v>0</v>
      </c>
      <c r="I851" s="16">
        <f>_xlfn.XLOOKUP(C851,'Project Details'!$C$17:$C$66,'Project Details'!$E$17:$E$66,"",0)</f>
        <v>0</v>
      </c>
      <c r="J851" s="16">
        <f>_xlfn.XLOOKUP(C851,'Project Details'!$C$17:$C$66,'Project Details'!$H$17:$H$66,"",0)</f>
        <v>0</v>
      </c>
      <c r="K851" s="33" t="str">
        <f>IF(AND(_xlfn.XLOOKUP(C851,'Project Details'!$C$17:$C$66,'Project Details'!$L$17:$L$66,"",0)&gt;550, F851="Spring-L27cm"),"",SUBSTITUTE(_xlfn.XLOOKUP(G851,SKUs!$C$2:$C$10001,SKUs!$F$2:$F$10001,"",0), " Accessories",""))</f>
        <v/>
      </c>
      <c r="L851" s="33">
        <f>_xlfn.XLOOKUP(C851,'Project Details'!$C$17:$C$66,'Project Details'!$D$17:$D$66,"",0)</f>
        <v>0</v>
      </c>
      <c r="M851" s="43"/>
    </row>
    <row r="852" spans="1:13" ht="13.5" customHeight="1" outlineLevel="1" x14ac:dyDescent="0.25">
      <c r="A852" s="43"/>
      <c r="B852" s="43"/>
      <c r="C852" s="35">
        <f t="shared" si="15"/>
        <v>17</v>
      </c>
      <c r="D852" s="35" t="str" cm="1">
        <f t="array" ref="D852">IFERROR(ROUNDUP(_xlfn.IFS(F852="Aluminum Track", _xlfn.XLOOKUP(C852, dd_accsrycalc!$A$2:$A$51, dd_accsrycalc!$B$2:$B$51, "",0), F852="10 x 2 1/2 S (Flat)", _xlfn.XLOOKUP(C852, dd_accsrycalc!$A$2:$A$51, dd_accsrycalc!$C$2:$C$51, "",0), F852="Tox6", _xlfn.XLOOKUP(C852, dd_accsrycalc!$A$2:$A$51, dd_accsrycalc!$D$2:$D$51, "",0), F852="Cover Cap", _xlfn.XLOOKUP(C852, dd_accsrycalc!$A$2:$A$51, dd_accsrycalc!$E$2:$E$51, "",0), F852="Drainage Cover", _xlfn.XLOOKUP(C852, dd_accsrycalc!$A$2:$A$51, dd_accsrycalc!$F$2:$F$51, "",0),AND( F852="Double Adhesive Tape", I852="Roll-up Screen"), _xlfn.XLOOKUP(C852, calc_rusacc!$C$15:$C$65, calc_rusacc!$AD$15:$AD$65, "",0),AND( F852="Sealant", I852="Roll-up Screen"), _xlfn.XLOOKUP(C852, calc_rusacc!$C$15:$C$65, calc_rusacc!$AF$15:$AF$65, "",0),  AND( F852="Main Chain", I852="Accordion Screen"), _xlfn.XLOOKUP(C852, calc_rusacc!$C$15:$C$65, calc_rusacc!$BF$15:$BF$65, "",0), AND( F852="Sealant", I852="Accordion Screen"), _xlfn.XLOOKUP(C852, calc_rusacc!$C$15:$C$65, calc_rusacc!$BJ$15:$BJ$65, "",0),  F852="Sealant", _xlfn.XLOOKUP(C852, dd_accsrycalc!$A$2:$A$51, dd_accsrycalc!$G$2:$G$51, "",0),  F852&lt;&gt;"",L852*_xlfn.XLOOKUP(1, (SKUs!$C$2:$C$10001=G852)*(SKUs!$K$2:$K$10001=I852),SKUs!$E$2:$E$10001)), 0),"")</f>
        <v/>
      </c>
      <c r="E852" s="35" t="str">
        <f>_xlfn.XLOOKUP(F852,dd_item!$B$2:$B$105,dd_item!$C$2:$C$105,"",0)</f>
        <v/>
      </c>
      <c r="F852" s="35"/>
      <c r="G852" s="35" cm="1">
        <f t="array" ref="G852">IFERROR(_xlfn.XLOOKUP(1, (SKUs!$J$2:$J$10001=accsry_unmerged!F852)*IF(H852&lt;&gt;"",(SKUs!$L$2:$L$10001=accsry_unmerged!H852),1)*(SKUs!$K$2:$K$10001=I852),SKUs!$C$2:$C$10001),"")</f>
        <v>0</v>
      </c>
      <c r="H852" s="36" cm="1">
        <f t="array" ref="H852">IFERROR(_xlfn.XLOOKUP(1, (dd_accsryclr!$C$2:$C$1000=accsry_unmerged!F852)*(dd_accsryclr!$B$2:$B$1000=accsry_unmerged!J852),dd_accsryclr!$A$2:$A$1000),"")</f>
        <v>0</v>
      </c>
      <c r="I852" s="35">
        <f>_xlfn.XLOOKUP(C852,'Project Details'!$C$17:$C$66,'Project Details'!$E$17:$E$66,"",0)</f>
        <v>0</v>
      </c>
      <c r="J852" s="35">
        <f>_xlfn.XLOOKUP(C852,'Project Details'!$C$17:$C$66,'Project Details'!$H$17:$H$66,"",0)</f>
        <v>0</v>
      </c>
      <c r="K852" s="36" t="str">
        <f>IF(AND(_xlfn.XLOOKUP(C852,'Project Details'!$C$17:$C$66,'Project Details'!$L$17:$L$66,"",0)&gt;550, F852="Spring-L27cm"),"",SUBSTITUTE(_xlfn.XLOOKUP(G852,SKUs!$C$2:$C$10001,SKUs!$F$2:$F$10001,"",0), " Accessories",""))</f>
        <v/>
      </c>
      <c r="L852" s="36">
        <f>_xlfn.XLOOKUP(C852,'Project Details'!$C$17:$C$66,'Project Details'!$D$17:$D$66,"",0)</f>
        <v>0</v>
      </c>
      <c r="M852" s="43"/>
    </row>
    <row r="853" spans="1:13" ht="13.5" customHeight="1" outlineLevel="1" x14ac:dyDescent="0.25">
      <c r="A853" s="43"/>
      <c r="B853" s="43"/>
      <c r="C853" s="16">
        <f t="shared" si="15"/>
        <v>17</v>
      </c>
      <c r="D853" s="16" t="str" cm="1">
        <f t="array" ref="D853">IFERROR(ROUNDUP(_xlfn.IFS(F853="Aluminum Track", _xlfn.XLOOKUP(C853, dd_accsrycalc!$A$2:$A$51, dd_accsrycalc!$B$2:$B$51, "",0), F853="10 x 2 1/2 S (Flat)", _xlfn.XLOOKUP(C853, dd_accsrycalc!$A$2:$A$51, dd_accsrycalc!$C$2:$C$51, "",0), F853="Tox6", _xlfn.XLOOKUP(C853, dd_accsrycalc!$A$2:$A$51, dd_accsrycalc!$D$2:$D$51, "",0), F853="Cover Cap", _xlfn.XLOOKUP(C853, dd_accsrycalc!$A$2:$A$51, dd_accsrycalc!$E$2:$E$51, "",0), F853="Drainage Cover", _xlfn.XLOOKUP(C853, dd_accsrycalc!$A$2:$A$51, dd_accsrycalc!$F$2:$F$51, "",0),AND( F853="Double Adhesive Tape", I853="Roll-up Screen"), _xlfn.XLOOKUP(C853, calc_rusacc!$C$15:$C$65, calc_rusacc!$AD$15:$AD$65, "",0),AND( F853="Sealant", I853="Roll-up Screen"), _xlfn.XLOOKUP(C853, calc_rusacc!$C$15:$C$65, calc_rusacc!$AF$15:$AF$65, "",0),  AND( F853="Main Chain", I853="Accordion Screen"), _xlfn.XLOOKUP(C853, calc_rusacc!$C$15:$C$65, calc_rusacc!$BF$15:$BF$65, "",0), AND( F853="Sealant", I853="Accordion Screen"), _xlfn.XLOOKUP(C853, calc_rusacc!$C$15:$C$65, calc_rusacc!$BJ$15:$BJ$65, "",0),  F853="Sealant", _xlfn.XLOOKUP(C853, dd_accsrycalc!$A$2:$A$51, dd_accsrycalc!$G$2:$G$51, "",0),  F853&lt;&gt;"",L853*_xlfn.XLOOKUP(1, (SKUs!$C$2:$C$10001=G853)*(SKUs!$K$2:$K$10001=I853),SKUs!$E$2:$E$10001)), 0),"")</f>
        <v/>
      </c>
      <c r="E853" s="16" t="str">
        <f>_xlfn.XLOOKUP(F853,dd_item!$B$2:$B$105,dd_item!$C$2:$C$105,"",0)</f>
        <v/>
      </c>
      <c r="F853" s="16"/>
      <c r="G853" s="16" cm="1">
        <f t="array" ref="G853">IFERROR(_xlfn.XLOOKUP(1, (SKUs!$J$2:$J$10001=accsry_unmerged!F853)*IF(H853&lt;&gt;"",(SKUs!$L$2:$L$10001=accsry_unmerged!H853),1)*(SKUs!$K$2:$K$10001=I853),SKUs!$C$2:$C$10001),"")</f>
        <v>0</v>
      </c>
      <c r="H853" s="33" cm="1">
        <f t="array" ref="H853">IFERROR(_xlfn.XLOOKUP(1, (dd_accsryclr!$C$2:$C$1000=accsry_unmerged!F853)*(dd_accsryclr!$B$2:$B$1000=accsry_unmerged!J853),dd_accsryclr!$A$2:$A$1000),"")</f>
        <v>0</v>
      </c>
      <c r="I853" s="16">
        <f>_xlfn.XLOOKUP(C853,'Project Details'!$C$17:$C$66,'Project Details'!$E$17:$E$66,"",0)</f>
        <v>0</v>
      </c>
      <c r="J853" s="16">
        <f>_xlfn.XLOOKUP(C853,'Project Details'!$C$17:$C$66,'Project Details'!$H$17:$H$66,"",0)</f>
        <v>0</v>
      </c>
      <c r="K853" s="33" t="str">
        <f>IF(AND(_xlfn.XLOOKUP(C853,'Project Details'!$C$17:$C$66,'Project Details'!$L$17:$L$66,"",0)&gt;550, F853="Spring-L27cm"),"",SUBSTITUTE(_xlfn.XLOOKUP(G853,SKUs!$C$2:$C$10001,SKUs!$F$2:$F$10001,"",0), " Accessories",""))</f>
        <v/>
      </c>
      <c r="L853" s="33">
        <f>_xlfn.XLOOKUP(C853,'Project Details'!$C$17:$C$66,'Project Details'!$D$17:$D$66,"",0)</f>
        <v>0</v>
      </c>
      <c r="M853" s="43"/>
    </row>
    <row r="854" spans="1:13" ht="13.5" customHeight="1" outlineLevel="1" x14ac:dyDescent="0.25">
      <c r="A854" s="43"/>
      <c r="B854" s="43"/>
      <c r="C854" s="35">
        <f t="shared" si="15"/>
        <v>17</v>
      </c>
      <c r="D854" s="35" t="str" cm="1">
        <f t="array" ref="D854">IFERROR(ROUNDUP(_xlfn.IFS(F854="Aluminum Track", _xlfn.XLOOKUP(C854, dd_accsrycalc!$A$2:$A$51, dd_accsrycalc!$B$2:$B$51, "",0), F854="10 x 2 1/2 S (Flat)", _xlfn.XLOOKUP(C854, dd_accsrycalc!$A$2:$A$51, dd_accsrycalc!$C$2:$C$51, "",0), F854="Tox6", _xlfn.XLOOKUP(C854, dd_accsrycalc!$A$2:$A$51, dd_accsrycalc!$D$2:$D$51, "",0), F854="Cover Cap", _xlfn.XLOOKUP(C854, dd_accsrycalc!$A$2:$A$51, dd_accsrycalc!$E$2:$E$51, "",0), F854="Drainage Cover", _xlfn.XLOOKUP(C854, dd_accsrycalc!$A$2:$A$51, dd_accsrycalc!$F$2:$F$51, "",0),AND( F854="Double Adhesive Tape", I854="Roll-up Screen"), _xlfn.XLOOKUP(C854, calc_rusacc!$C$15:$C$65, calc_rusacc!$AD$15:$AD$65, "",0),AND( F854="Sealant", I854="Roll-up Screen"), _xlfn.XLOOKUP(C854, calc_rusacc!$C$15:$C$65, calc_rusacc!$AF$15:$AF$65, "",0),  AND( F854="Main Chain", I854="Accordion Screen"), _xlfn.XLOOKUP(C854, calc_rusacc!$C$15:$C$65, calc_rusacc!$BF$15:$BF$65, "",0), AND( F854="Sealant", I854="Accordion Screen"), _xlfn.XLOOKUP(C854, calc_rusacc!$C$15:$C$65, calc_rusacc!$BJ$15:$BJ$65, "",0),  F854="Sealant", _xlfn.XLOOKUP(C854, dd_accsrycalc!$A$2:$A$51, dd_accsrycalc!$G$2:$G$51, "",0),  F854&lt;&gt;"",L854*_xlfn.XLOOKUP(1, (SKUs!$C$2:$C$10001=G854)*(SKUs!$K$2:$K$10001=I854),SKUs!$E$2:$E$10001)), 0),"")</f>
        <v/>
      </c>
      <c r="E854" s="35" t="str">
        <f>_xlfn.XLOOKUP(F854,dd_item!$B$2:$B$105,dd_item!$C$2:$C$105,"",0)</f>
        <v/>
      </c>
      <c r="F854" s="35"/>
      <c r="G854" s="35" cm="1">
        <f t="array" ref="G854">IFERROR(_xlfn.XLOOKUP(1, (SKUs!$J$2:$J$10001=accsry_unmerged!F854)*IF(H854&lt;&gt;"",(SKUs!$L$2:$L$10001=accsry_unmerged!H854),1)*(SKUs!$K$2:$K$10001=I854),SKUs!$C$2:$C$10001),"")</f>
        <v>0</v>
      </c>
      <c r="H854" s="36" cm="1">
        <f t="array" ref="H854">IFERROR(_xlfn.XLOOKUP(1, (dd_accsryclr!$C$2:$C$1000=accsry_unmerged!F854)*(dd_accsryclr!$B$2:$B$1000=accsry_unmerged!J854),dd_accsryclr!$A$2:$A$1000),"")</f>
        <v>0</v>
      </c>
      <c r="I854" s="35">
        <f>_xlfn.XLOOKUP(C854,'Project Details'!$C$17:$C$66,'Project Details'!$E$17:$E$66,"",0)</f>
        <v>0</v>
      </c>
      <c r="J854" s="35">
        <f>_xlfn.XLOOKUP(C854,'Project Details'!$C$17:$C$66,'Project Details'!$H$17:$H$66,"",0)</f>
        <v>0</v>
      </c>
      <c r="K854" s="36" t="str">
        <f>IF(AND(_xlfn.XLOOKUP(C854,'Project Details'!$C$17:$C$66,'Project Details'!$L$17:$L$66,"",0)&gt;550, F854="Spring-L27cm"),"",SUBSTITUTE(_xlfn.XLOOKUP(G854,SKUs!$C$2:$C$10001,SKUs!$F$2:$F$10001,"",0), " Accessories",""))</f>
        <v/>
      </c>
      <c r="L854" s="36">
        <f>_xlfn.XLOOKUP(C854,'Project Details'!$C$17:$C$66,'Project Details'!$D$17:$D$66,"",0)</f>
        <v>0</v>
      </c>
      <c r="M854" s="43"/>
    </row>
    <row r="855" spans="1:13" ht="13.5" customHeight="1" outlineLevel="1" collapsed="1" x14ac:dyDescent="0.25">
      <c r="A855" s="43"/>
      <c r="B855" s="43"/>
      <c r="C855" s="16">
        <f t="shared" si="15"/>
        <v>17</v>
      </c>
      <c r="D855" s="16" t="str" cm="1">
        <f t="array" ref="D855">IFERROR(ROUNDUP(_xlfn.IFS(F855="Aluminum Track", _xlfn.XLOOKUP(C855, dd_accsrycalc!$A$2:$A$51, dd_accsrycalc!$B$2:$B$51, "",0), F855="10 x 2 1/2 S (Flat)", _xlfn.XLOOKUP(C855, dd_accsrycalc!$A$2:$A$51, dd_accsrycalc!$C$2:$C$51, "",0), F855="Tox6", _xlfn.XLOOKUP(C855, dd_accsrycalc!$A$2:$A$51, dd_accsrycalc!$D$2:$D$51, "",0), F855="Cover Cap", _xlfn.XLOOKUP(C855, dd_accsrycalc!$A$2:$A$51, dd_accsrycalc!$E$2:$E$51, "",0), F855="Drainage Cover", _xlfn.XLOOKUP(C855, dd_accsrycalc!$A$2:$A$51, dd_accsrycalc!$F$2:$F$51, "",0),AND( F855="Double Adhesive Tape", I855="Roll-up Screen"), _xlfn.XLOOKUP(C855, calc_rusacc!$C$15:$C$65, calc_rusacc!$AD$15:$AD$65, "",0),AND( F855="Sealant", I855="Roll-up Screen"), _xlfn.XLOOKUP(C855, calc_rusacc!$C$15:$C$65, calc_rusacc!$AF$15:$AF$65, "",0),  AND( F855="Main Chain", I855="Accordion Screen"), _xlfn.XLOOKUP(C855, calc_rusacc!$C$15:$C$65, calc_rusacc!$BF$15:$BF$65, "",0), AND( F855="Sealant", I855="Accordion Screen"), _xlfn.XLOOKUP(C855, calc_rusacc!$C$15:$C$65, calc_rusacc!$BJ$15:$BJ$65, "",0),  F855="Sealant", _xlfn.XLOOKUP(C855, dd_accsrycalc!$A$2:$A$51, dd_accsrycalc!$G$2:$G$51, "",0),  F855&lt;&gt;"",L855*_xlfn.XLOOKUP(1, (SKUs!$C$2:$C$10001=G855)*(SKUs!$K$2:$K$10001=I855),SKUs!$E$2:$E$10001)), 0),"")</f>
        <v/>
      </c>
      <c r="E855" s="16" t="str">
        <f>_xlfn.XLOOKUP(F855,dd_item!$B$2:$B$105,dd_item!$C$2:$C$105,"",0)</f>
        <v/>
      </c>
      <c r="F855" s="16"/>
      <c r="G855" s="16" cm="1">
        <f t="array" ref="G855">IFERROR(_xlfn.XLOOKUP(1, (SKUs!$J$2:$J$10001=accsry_unmerged!F855)*IF(H855&lt;&gt;"",(SKUs!$L$2:$L$10001=accsry_unmerged!H855),1)*(SKUs!$K$2:$K$10001=I855),SKUs!$C$2:$C$10001),"")</f>
        <v>0</v>
      </c>
      <c r="H855" s="33" cm="1">
        <f t="array" ref="H855">IFERROR(_xlfn.XLOOKUP(1, (dd_accsryclr!$C$2:$C$1000=accsry_unmerged!F855)*(dd_accsryclr!$B$2:$B$1000=accsry_unmerged!J855),dd_accsryclr!$A$2:$A$1000),"")</f>
        <v>0</v>
      </c>
      <c r="I855" s="16">
        <f>_xlfn.XLOOKUP(C855,'Project Details'!$C$17:$C$66,'Project Details'!$E$17:$E$66,"",0)</f>
        <v>0</v>
      </c>
      <c r="J855" s="16">
        <f>_xlfn.XLOOKUP(C855,'Project Details'!$C$17:$C$66,'Project Details'!$H$17:$H$66,"",0)</f>
        <v>0</v>
      </c>
      <c r="K855" s="33" t="str">
        <f>IF(AND(_xlfn.XLOOKUP(C855,'Project Details'!$C$17:$C$66,'Project Details'!$L$17:$L$66,"",0)&gt;550, F855="Spring-L27cm"),"",SUBSTITUTE(_xlfn.XLOOKUP(G855,SKUs!$C$2:$C$10001,SKUs!$F$2:$F$10001,"",0), " Accessories",""))</f>
        <v/>
      </c>
      <c r="L855" s="33">
        <f>_xlfn.XLOOKUP(C855,'Project Details'!$C$17:$C$66,'Project Details'!$D$17:$D$66,"",0)</f>
        <v>0</v>
      </c>
      <c r="M855" s="43"/>
    </row>
    <row r="856" spans="1:13" ht="13.5" customHeight="1" outlineLevel="1" x14ac:dyDescent="0.25">
      <c r="A856" s="43"/>
      <c r="B856" s="43"/>
      <c r="C856" s="35">
        <f t="shared" si="15"/>
        <v>17</v>
      </c>
      <c r="D856" s="35" t="str" cm="1">
        <f t="array" ref="D856">IFERROR(ROUNDUP(_xlfn.IFS(F856="Aluminum Track", _xlfn.XLOOKUP(C856, dd_accsrycalc!$A$2:$A$51, dd_accsrycalc!$B$2:$B$51, "",0), F856="10 x 2 1/2 S (Flat)", _xlfn.XLOOKUP(C856, dd_accsrycalc!$A$2:$A$51, dd_accsrycalc!$C$2:$C$51, "",0), F856="Tox6", _xlfn.XLOOKUP(C856, dd_accsrycalc!$A$2:$A$51, dd_accsrycalc!$D$2:$D$51, "",0), F856="Cover Cap", _xlfn.XLOOKUP(C856, dd_accsrycalc!$A$2:$A$51, dd_accsrycalc!$E$2:$E$51, "",0), F856="Drainage Cover", _xlfn.XLOOKUP(C856, dd_accsrycalc!$A$2:$A$51, dd_accsrycalc!$F$2:$F$51, "",0),AND( F856="Double Adhesive Tape", I856="Roll-up Screen"), _xlfn.XLOOKUP(C856, calc_rusacc!$C$15:$C$65, calc_rusacc!$AD$15:$AD$65, "",0),AND( F856="Sealant", I856="Roll-up Screen"), _xlfn.XLOOKUP(C856, calc_rusacc!$C$15:$C$65, calc_rusacc!$AF$15:$AF$65, "",0),  AND( F856="Main Chain", I856="Accordion Screen"), _xlfn.XLOOKUP(C856, calc_rusacc!$C$15:$C$65, calc_rusacc!$BF$15:$BF$65, "",0), AND( F856="Sealant", I856="Accordion Screen"), _xlfn.XLOOKUP(C856, calc_rusacc!$C$15:$C$65, calc_rusacc!$BJ$15:$BJ$65, "",0),  F856="Sealant", _xlfn.XLOOKUP(C856, dd_accsrycalc!$A$2:$A$51, dd_accsrycalc!$G$2:$G$51, "",0),  F856&lt;&gt;"",L856*_xlfn.XLOOKUP(1, (SKUs!$C$2:$C$10001=G856)*(SKUs!$K$2:$K$10001=I856),SKUs!$E$2:$E$10001)), 0),"")</f>
        <v/>
      </c>
      <c r="E856" s="35" t="str">
        <f>_xlfn.XLOOKUP(F856,dd_item!$B$2:$B$105,dd_item!$C$2:$C$105,"",0)</f>
        <v/>
      </c>
      <c r="F856" s="35"/>
      <c r="G856" s="35" cm="1">
        <f t="array" ref="G856">IFERROR(_xlfn.XLOOKUP(1, (SKUs!$J$2:$J$10001=accsry_unmerged!F856)*IF(H856&lt;&gt;"",(SKUs!$L$2:$L$10001=accsry_unmerged!H856),1)*(SKUs!$K$2:$K$10001=I856),SKUs!$C$2:$C$10001),"")</f>
        <v>0</v>
      </c>
      <c r="H856" s="36" cm="1">
        <f t="array" ref="H856">IFERROR(_xlfn.XLOOKUP(1, (dd_accsryclr!$C$2:$C$1000=accsry_unmerged!F856)*(dd_accsryclr!$B$2:$B$1000=accsry_unmerged!J856),dd_accsryclr!$A$2:$A$1000),"")</f>
        <v>0</v>
      </c>
      <c r="I856" s="35">
        <f>_xlfn.XLOOKUP(C856,'Project Details'!$C$17:$C$66,'Project Details'!$E$17:$E$66,"",0)</f>
        <v>0</v>
      </c>
      <c r="J856" s="35">
        <f>_xlfn.XLOOKUP(C856,'Project Details'!$C$17:$C$66,'Project Details'!$H$17:$H$66,"",0)</f>
        <v>0</v>
      </c>
      <c r="K856" s="36" t="str">
        <f>IF(AND(_xlfn.XLOOKUP(C856,'Project Details'!$C$17:$C$66,'Project Details'!$L$17:$L$66,"",0)&gt;550, F856="Spring-L27cm"),"",SUBSTITUTE(_xlfn.XLOOKUP(G856,SKUs!$C$2:$C$10001,SKUs!$F$2:$F$10001,"",0), " Accessories",""))</f>
        <v/>
      </c>
      <c r="L856" s="36">
        <f>_xlfn.XLOOKUP(C856,'Project Details'!$C$17:$C$66,'Project Details'!$D$17:$D$66,"",0)</f>
        <v>0</v>
      </c>
      <c r="M856" s="43"/>
    </row>
    <row r="857" spans="1:13" ht="13.5" customHeight="1" outlineLevel="1" x14ac:dyDescent="0.25">
      <c r="A857" s="43"/>
      <c r="B857" s="43"/>
      <c r="C857" s="16">
        <f t="shared" si="15"/>
        <v>17</v>
      </c>
      <c r="D857" s="16" t="str" cm="1">
        <f t="array" ref="D857">IFERROR(ROUNDUP(_xlfn.IFS(F857="Aluminum Track", _xlfn.XLOOKUP(C857, dd_accsrycalc!$A$2:$A$51, dd_accsrycalc!$B$2:$B$51, "",0), F857="10 x 2 1/2 S (Flat)", _xlfn.XLOOKUP(C857, dd_accsrycalc!$A$2:$A$51, dd_accsrycalc!$C$2:$C$51, "",0), F857="Tox6", _xlfn.XLOOKUP(C857, dd_accsrycalc!$A$2:$A$51, dd_accsrycalc!$D$2:$D$51, "",0), F857="Cover Cap", _xlfn.XLOOKUP(C857, dd_accsrycalc!$A$2:$A$51, dd_accsrycalc!$E$2:$E$51, "",0), F857="Drainage Cover", _xlfn.XLOOKUP(C857, dd_accsrycalc!$A$2:$A$51, dd_accsrycalc!$F$2:$F$51, "",0),AND( F857="Double Adhesive Tape", I857="Roll-up Screen"), _xlfn.XLOOKUP(C857, calc_rusacc!$C$15:$C$65, calc_rusacc!$AD$15:$AD$65, "",0),AND( F857="Sealant", I857="Roll-up Screen"), _xlfn.XLOOKUP(C857, calc_rusacc!$C$15:$C$65, calc_rusacc!$AF$15:$AF$65, "",0),  AND( F857="Main Chain", I857="Accordion Screen"), _xlfn.XLOOKUP(C857, calc_rusacc!$C$15:$C$65, calc_rusacc!$BF$15:$BF$65, "",0), AND( F857="Sealant", I857="Accordion Screen"), _xlfn.XLOOKUP(C857, calc_rusacc!$C$15:$C$65, calc_rusacc!$BJ$15:$BJ$65, "",0),  F857="Sealant", _xlfn.XLOOKUP(C857, dd_accsrycalc!$A$2:$A$51, dd_accsrycalc!$G$2:$G$51, "",0),  F857&lt;&gt;"",L857*_xlfn.XLOOKUP(1, (SKUs!$C$2:$C$10001=G857)*(SKUs!$K$2:$K$10001=I857),SKUs!$E$2:$E$10001)), 0),"")</f>
        <v/>
      </c>
      <c r="E857" s="16" t="str">
        <f>_xlfn.XLOOKUP(F857,dd_item!$B$2:$B$105,dd_item!$C$2:$C$105,"",0)</f>
        <v/>
      </c>
      <c r="F857" s="16"/>
      <c r="G857" s="16" cm="1">
        <f t="array" ref="G857">IFERROR(_xlfn.XLOOKUP(1, (SKUs!$J$2:$J$10001=accsry_unmerged!F857)*IF(H857&lt;&gt;"",(SKUs!$L$2:$L$10001=accsry_unmerged!H857),1)*(SKUs!$K$2:$K$10001=I857),SKUs!$C$2:$C$10001),"")</f>
        <v>0</v>
      </c>
      <c r="H857" s="33" cm="1">
        <f t="array" ref="H857">IFERROR(_xlfn.XLOOKUP(1, (dd_accsryclr!$C$2:$C$1000=accsry_unmerged!F857)*(dd_accsryclr!$B$2:$B$1000=accsry_unmerged!J857),dd_accsryclr!$A$2:$A$1000),"")</f>
        <v>0</v>
      </c>
      <c r="I857" s="16">
        <f>_xlfn.XLOOKUP(C857,'Project Details'!$C$17:$C$66,'Project Details'!$E$17:$E$66,"",0)</f>
        <v>0</v>
      </c>
      <c r="J857" s="16">
        <f>_xlfn.XLOOKUP(C857,'Project Details'!$C$17:$C$66,'Project Details'!$H$17:$H$66,"",0)</f>
        <v>0</v>
      </c>
      <c r="K857" s="33" t="str">
        <f>IF(AND(_xlfn.XLOOKUP(C857,'Project Details'!$C$17:$C$66,'Project Details'!$L$17:$L$66,"",0)&gt;550, F857="Spring-L27cm"),"",SUBSTITUTE(_xlfn.XLOOKUP(G857,SKUs!$C$2:$C$10001,SKUs!$F$2:$F$10001,"",0), " Accessories",""))</f>
        <v/>
      </c>
      <c r="L857" s="33">
        <f>_xlfn.XLOOKUP(C857,'Project Details'!$C$17:$C$66,'Project Details'!$D$17:$D$66,"",0)</f>
        <v>0</v>
      </c>
      <c r="M857" s="43"/>
    </row>
    <row r="858" spans="1:13" ht="13.5" customHeight="1" outlineLevel="1" x14ac:dyDescent="0.25">
      <c r="A858" s="43"/>
      <c r="B858" s="43"/>
      <c r="C858" s="35">
        <f t="shared" si="15"/>
        <v>17</v>
      </c>
      <c r="D858" s="35" t="str" cm="1">
        <f t="array" ref="D858">IFERROR(ROUNDUP(_xlfn.IFS(F858="Aluminum Track", _xlfn.XLOOKUP(C858, dd_accsrycalc!$A$2:$A$51, dd_accsrycalc!$B$2:$B$51, "",0), F858="10 x 2 1/2 S (Flat)", _xlfn.XLOOKUP(C858, dd_accsrycalc!$A$2:$A$51, dd_accsrycalc!$C$2:$C$51, "",0), F858="Tox6", _xlfn.XLOOKUP(C858, dd_accsrycalc!$A$2:$A$51, dd_accsrycalc!$D$2:$D$51, "",0), F858="Cover Cap", _xlfn.XLOOKUP(C858, dd_accsrycalc!$A$2:$A$51, dd_accsrycalc!$E$2:$E$51, "",0), F858="Drainage Cover", _xlfn.XLOOKUP(C858, dd_accsrycalc!$A$2:$A$51, dd_accsrycalc!$F$2:$F$51, "",0),AND( F858="Double Adhesive Tape", I858="Roll-up Screen"), _xlfn.XLOOKUP(C858, calc_rusacc!$C$15:$C$65, calc_rusacc!$AD$15:$AD$65, "",0),AND( F858="Sealant", I858="Roll-up Screen"), _xlfn.XLOOKUP(C858, calc_rusacc!$C$15:$C$65, calc_rusacc!$AF$15:$AF$65, "",0),  AND( F858="Main Chain", I858="Accordion Screen"), _xlfn.XLOOKUP(C858, calc_rusacc!$C$15:$C$65, calc_rusacc!$BF$15:$BF$65, "",0), AND( F858="Sealant", I858="Accordion Screen"), _xlfn.XLOOKUP(C858, calc_rusacc!$C$15:$C$65, calc_rusacc!$BJ$15:$BJ$65, "",0),  F858="Sealant", _xlfn.XLOOKUP(C858, dd_accsrycalc!$A$2:$A$51, dd_accsrycalc!$G$2:$G$51, "",0),  F858&lt;&gt;"",L858*_xlfn.XLOOKUP(1, (SKUs!$C$2:$C$10001=G858)*(SKUs!$K$2:$K$10001=I858),SKUs!$E$2:$E$10001)), 0),"")</f>
        <v/>
      </c>
      <c r="E858" s="35" t="str">
        <f>_xlfn.XLOOKUP(F858,dd_item!$B$2:$B$105,dd_item!$C$2:$C$105,"",0)</f>
        <v/>
      </c>
      <c r="F858" s="35"/>
      <c r="G858" s="35" cm="1">
        <f t="array" ref="G858">IFERROR(_xlfn.XLOOKUP(1, (SKUs!$J$2:$J$10001=accsry_unmerged!F858)*IF(H858&lt;&gt;"",(SKUs!$L$2:$L$10001=accsry_unmerged!H858),1)*(SKUs!$K$2:$K$10001=I858),SKUs!$C$2:$C$10001),"")</f>
        <v>0</v>
      </c>
      <c r="H858" s="36" cm="1">
        <f t="array" ref="H858">IFERROR(_xlfn.XLOOKUP(1, (dd_accsryclr!$C$2:$C$1000=accsry_unmerged!F858)*(dd_accsryclr!$B$2:$B$1000=accsry_unmerged!J858),dd_accsryclr!$A$2:$A$1000),"")</f>
        <v>0</v>
      </c>
      <c r="I858" s="35">
        <f>_xlfn.XLOOKUP(C858,'Project Details'!$C$17:$C$66,'Project Details'!$E$17:$E$66,"",0)</f>
        <v>0</v>
      </c>
      <c r="J858" s="35">
        <f>_xlfn.XLOOKUP(C858,'Project Details'!$C$17:$C$66,'Project Details'!$H$17:$H$66,"",0)</f>
        <v>0</v>
      </c>
      <c r="K858" s="36" t="str">
        <f>IF(AND(_xlfn.XLOOKUP(C858,'Project Details'!$C$17:$C$66,'Project Details'!$L$17:$L$66,"",0)&gt;550, F858="Spring-L27cm"),"",SUBSTITUTE(_xlfn.XLOOKUP(G858,SKUs!$C$2:$C$10001,SKUs!$F$2:$F$10001,"",0), " Accessories",""))</f>
        <v/>
      </c>
      <c r="L858" s="36">
        <f>_xlfn.XLOOKUP(C858,'Project Details'!$C$17:$C$66,'Project Details'!$D$17:$D$66,"",0)</f>
        <v>0</v>
      </c>
      <c r="M858" s="43"/>
    </row>
    <row r="859" spans="1:13" ht="13.5" customHeight="1" outlineLevel="1" x14ac:dyDescent="0.25">
      <c r="A859" s="43"/>
      <c r="B859" s="43"/>
      <c r="C859" s="16">
        <f t="shared" si="15"/>
        <v>17</v>
      </c>
      <c r="D859" s="16" t="str" cm="1">
        <f t="array" ref="D859">IFERROR(ROUNDUP(_xlfn.IFS(F859="Aluminum Track", _xlfn.XLOOKUP(C859, dd_accsrycalc!$A$2:$A$51, dd_accsrycalc!$B$2:$B$51, "",0), F859="10 x 2 1/2 S (Flat)", _xlfn.XLOOKUP(C859, dd_accsrycalc!$A$2:$A$51, dd_accsrycalc!$C$2:$C$51, "",0), F859="Tox6", _xlfn.XLOOKUP(C859, dd_accsrycalc!$A$2:$A$51, dd_accsrycalc!$D$2:$D$51, "",0), F859="Cover Cap", _xlfn.XLOOKUP(C859, dd_accsrycalc!$A$2:$A$51, dd_accsrycalc!$E$2:$E$51, "",0), F859="Drainage Cover", _xlfn.XLOOKUP(C859, dd_accsrycalc!$A$2:$A$51, dd_accsrycalc!$F$2:$F$51, "",0),AND( F859="Double Adhesive Tape", I859="Roll-up Screen"), _xlfn.XLOOKUP(C859, calc_rusacc!$C$15:$C$65, calc_rusacc!$AD$15:$AD$65, "",0),AND( F859="Sealant", I859="Roll-up Screen"), _xlfn.XLOOKUP(C859, calc_rusacc!$C$15:$C$65, calc_rusacc!$AF$15:$AF$65, "",0),  AND( F859="Main Chain", I859="Accordion Screen"), _xlfn.XLOOKUP(C859, calc_rusacc!$C$15:$C$65, calc_rusacc!$BF$15:$BF$65, "",0), AND( F859="Sealant", I859="Accordion Screen"), _xlfn.XLOOKUP(C859, calc_rusacc!$C$15:$C$65, calc_rusacc!$BJ$15:$BJ$65, "",0),  F859="Sealant", _xlfn.XLOOKUP(C859, dd_accsrycalc!$A$2:$A$51, dd_accsrycalc!$G$2:$G$51, "",0),  F859&lt;&gt;"",L859*_xlfn.XLOOKUP(1, (SKUs!$C$2:$C$10001=G859)*(SKUs!$K$2:$K$10001=I859),SKUs!$E$2:$E$10001)), 0),"")</f>
        <v/>
      </c>
      <c r="E859" s="16" t="str">
        <f>_xlfn.XLOOKUP(F859,dd_item!$B$2:$B$105,dd_item!$C$2:$C$105,"",0)</f>
        <v/>
      </c>
      <c r="F859" s="16"/>
      <c r="G859" s="16" cm="1">
        <f t="array" ref="G859">IFERROR(_xlfn.XLOOKUP(1, (SKUs!$J$2:$J$10001=accsry_unmerged!F859)*IF(H859&lt;&gt;"",(SKUs!$L$2:$L$10001=accsry_unmerged!H859),1)*(SKUs!$K$2:$K$10001=I859),SKUs!$C$2:$C$10001),"")</f>
        <v>0</v>
      </c>
      <c r="H859" s="33" cm="1">
        <f t="array" ref="H859">IFERROR(_xlfn.XLOOKUP(1, (dd_accsryclr!$C$2:$C$1000=accsry_unmerged!F859)*(dd_accsryclr!$B$2:$B$1000=accsry_unmerged!J859),dd_accsryclr!$A$2:$A$1000),"")</f>
        <v>0</v>
      </c>
      <c r="I859" s="16">
        <f>_xlfn.XLOOKUP(C859,'Project Details'!$C$17:$C$66,'Project Details'!$E$17:$E$66,"",0)</f>
        <v>0</v>
      </c>
      <c r="J859" s="16">
        <f>_xlfn.XLOOKUP(C859,'Project Details'!$C$17:$C$66,'Project Details'!$H$17:$H$66,"",0)</f>
        <v>0</v>
      </c>
      <c r="K859" s="33" t="str">
        <f>IF(AND(_xlfn.XLOOKUP(C859,'Project Details'!$C$17:$C$66,'Project Details'!$L$17:$L$66,"",0)&gt;550, F859="Spring-L27cm"),"",SUBSTITUTE(_xlfn.XLOOKUP(G859,SKUs!$C$2:$C$10001,SKUs!$F$2:$F$10001,"",0), " Accessories",""))</f>
        <v/>
      </c>
      <c r="L859" s="33">
        <f>_xlfn.XLOOKUP(C859,'Project Details'!$C$17:$C$66,'Project Details'!$D$17:$D$66,"",0)</f>
        <v>0</v>
      </c>
      <c r="M859" s="43"/>
    </row>
    <row r="860" spans="1:13" ht="13.5" customHeight="1" outlineLevel="1" x14ac:dyDescent="0.25">
      <c r="A860" s="43"/>
      <c r="B860" s="43"/>
      <c r="C860" s="35">
        <f t="shared" si="15"/>
        <v>17</v>
      </c>
      <c r="D860" s="35" t="str" cm="1">
        <f t="array" ref="D860">IFERROR(ROUNDUP(_xlfn.IFS(F860="Aluminum Track", _xlfn.XLOOKUP(C860, dd_accsrycalc!$A$2:$A$51, dd_accsrycalc!$B$2:$B$51, "",0), F860="10 x 2 1/2 S (Flat)", _xlfn.XLOOKUP(C860, dd_accsrycalc!$A$2:$A$51, dd_accsrycalc!$C$2:$C$51, "",0), F860="Tox6", _xlfn.XLOOKUP(C860, dd_accsrycalc!$A$2:$A$51, dd_accsrycalc!$D$2:$D$51, "",0), F860="Cover Cap", _xlfn.XLOOKUP(C860, dd_accsrycalc!$A$2:$A$51, dd_accsrycalc!$E$2:$E$51, "",0), F860="Drainage Cover", _xlfn.XLOOKUP(C860, dd_accsrycalc!$A$2:$A$51, dd_accsrycalc!$F$2:$F$51, "",0),AND( F860="Double Adhesive Tape", I860="Roll-up Screen"), _xlfn.XLOOKUP(C860, calc_rusacc!$C$15:$C$65, calc_rusacc!$AD$15:$AD$65, "",0),AND( F860="Sealant", I860="Roll-up Screen"), _xlfn.XLOOKUP(C860, calc_rusacc!$C$15:$C$65, calc_rusacc!$AF$15:$AF$65, "",0),  AND( F860="Main Chain", I860="Accordion Screen"), _xlfn.XLOOKUP(C860, calc_rusacc!$C$15:$C$65, calc_rusacc!$BF$15:$BF$65, "",0), AND( F860="Sealant", I860="Accordion Screen"), _xlfn.XLOOKUP(C860, calc_rusacc!$C$15:$C$65, calc_rusacc!$BJ$15:$BJ$65, "",0),  F860="Sealant", _xlfn.XLOOKUP(C860, dd_accsrycalc!$A$2:$A$51, dd_accsrycalc!$G$2:$G$51, "",0),  F860&lt;&gt;"",L860*_xlfn.XLOOKUP(1, (SKUs!$C$2:$C$10001=G860)*(SKUs!$K$2:$K$10001=I860),SKUs!$E$2:$E$10001)), 0),"")</f>
        <v/>
      </c>
      <c r="E860" s="35" t="str">
        <f>_xlfn.XLOOKUP(F860,dd_item!$B$2:$B$105,dd_item!$C$2:$C$105,"",0)</f>
        <v/>
      </c>
      <c r="F860" s="35"/>
      <c r="G860" s="35" cm="1">
        <f t="array" ref="G860">IFERROR(_xlfn.XLOOKUP(1, (SKUs!$J$2:$J$10001=accsry_unmerged!F860)*IF(H860&lt;&gt;"",(SKUs!$L$2:$L$10001=accsry_unmerged!H860),1)*(SKUs!$K$2:$K$10001=I860),SKUs!$C$2:$C$10001),"")</f>
        <v>0</v>
      </c>
      <c r="H860" s="36" cm="1">
        <f t="array" ref="H860">IFERROR(_xlfn.XLOOKUP(1, (dd_accsryclr!$C$2:$C$1000=accsry_unmerged!F860)*(dd_accsryclr!$B$2:$B$1000=accsry_unmerged!J860),dd_accsryclr!$A$2:$A$1000),"")</f>
        <v>0</v>
      </c>
      <c r="I860" s="35">
        <f>_xlfn.XLOOKUP(C860,'Project Details'!$C$17:$C$66,'Project Details'!$E$17:$E$66,"",0)</f>
        <v>0</v>
      </c>
      <c r="J860" s="35">
        <f>_xlfn.XLOOKUP(C860,'Project Details'!$C$17:$C$66,'Project Details'!$H$17:$H$66,"",0)</f>
        <v>0</v>
      </c>
      <c r="K860" s="36" t="str">
        <f>IF(AND(_xlfn.XLOOKUP(C860,'Project Details'!$C$17:$C$66,'Project Details'!$L$17:$L$66,"",0)&gt;550, F860="Spring-L27cm"),"",SUBSTITUTE(_xlfn.XLOOKUP(G860,SKUs!$C$2:$C$10001,SKUs!$F$2:$F$10001,"",0), " Accessories",""))</f>
        <v/>
      </c>
      <c r="L860" s="36">
        <f>_xlfn.XLOOKUP(C860,'Project Details'!$C$17:$C$66,'Project Details'!$D$17:$D$66,"",0)</f>
        <v>0</v>
      </c>
      <c r="M860" s="43"/>
    </row>
    <row r="861" spans="1:13" ht="13.5" customHeight="1" outlineLevel="1" x14ac:dyDescent="0.25">
      <c r="A861" s="43"/>
      <c r="B861" s="43"/>
      <c r="C861" s="16">
        <f t="shared" si="15"/>
        <v>17</v>
      </c>
      <c r="D861" s="16" t="str" cm="1">
        <f t="array" ref="D861">IFERROR(ROUNDUP(_xlfn.IFS(F861="Aluminum Track", _xlfn.XLOOKUP(C861, dd_accsrycalc!$A$2:$A$51, dd_accsrycalc!$B$2:$B$51, "",0), F861="10 x 2 1/2 S (Flat)", _xlfn.XLOOKUP(C861, dd_accsrycalc!$A$2:$A$51, dd_accsrycalc!$C$2:$C$51, "",0), F861="Tox6", _xlfn.XLOOKUP(C861, dd_accsrycalc!$A$2:$A$51, dd_accsrycalc!$D$2:$D$51, "",0), F861="Cover Cap", _xlfn.XLOOKUP(C861, dd_accsrycalc!$A$2:$A$51, dd_accsrycalc!$E$2:$E$51, "",0), F861="Drainage Cover", _xlfn.XLOOKUP(C861, dd_accsrycalc!$A$2:$A$51, dd_accsrycalc!$F$2:$F$51, "",0),AND( F861="Double Adhesive Tape", I861="Roll-up Screen"), _xlfn.XLOOKUP(C861, calc_rusacc!$C$15:$C$65, calc_rusacc!$AD$15:$AD$65, "",0),AND( F861="Sealant", I861="Roll-up Screen"), _xlfn.XLOOKUP(C861, calc_rusacc!$C$15:$C$65, calc_rusacc!$AF$15:$AF$65, "",0),  AND( F861="Main Chain", I861="Accordion Screen"), _xlfn.XLOOKUP(C861, calc_rusacc!$C$15:$C$65, calc_rusacc!$BF$15:$BF$65, "",0), AND( F861="Sealant", I861="Accordion Screen"), _xlfn.XLOOKUP(C861, calc_rusacc!$C$15:$C$65, calc_rusacc!$BJ$15:$BJ$65, "",0),  F861="Sealant", _xlfn.XLOOKUP(C861, dd_accsrycalc!$A$2:$A$51, dd_accsrycalc!$G$2:$G$51, "",0),  F861&lt;&gt;"",L861*_xlfn.XLOOKUP(1, (SKUs!$C$2:$C$10001=G861)*(SKUs!$K$2:$K$10001=I861),SKUs!$E$2:$E$10001)), 0),"")</f>
        <v/>
      </c>
      <c r="E861" s="16" t="str">
        <f>_xlfn.XLOOKUP(F861,dd_item!$B$2:$B$105,dd_item!$C$2:$C$105,"",0)</f>
        <v/>
      </c>
      <c r="F861" s="16"/>
      <c r="G861" s="16" cm="1">
        <f t="array" ref="G861">IFERROR(_xlfn.XLOOKUP(1, (SKUs!$J$2:$J$10001=accsry_unmerged!F861)*IF(H861&lt;&gt;"",(SKUs!$L$2:$L$10001=accsry_unmerged!H861),1)*(SKUs!$K$2:$K$10001=I861),SKUs!$C$2:$C$10001),"")</f>
        <v>0</v>
      </c>
      <c r="H861" s="33" cm="1">
        <f t="array" ref="H861">IFERROR(_xlfn.XLOOKUP(1, (dd_accsryclr!$C$2:$C$1000=accsry_unmerged!F861)*(dd_accsryclr!$B$2:$B$1000=accsry_unmerged!J861),dd_accsryclr!$A$2:$A$1000),"")</f>
        <v>0</v>
      </c>
      <c r="I861" s="16">
        <f>_xlfn.XLOOKUP(C861,'Project Details'!$C$17:$C$66,'Project Details'!$E$17:$E$66,"",0)</f>
        <v>0</v>
      </c>
      <c r="J861" s="16">
        <f>_xlfn.XLOOKUP(C861,'Project Details'!$C$17:$C$66,'Project Details'!$H$17:$H$66,"",0)</f>
        <v>0</v>
      </c>
      <c r="K861" s="33" t="str">
        <f>IF(AND(_xlfn.XLOOKUP(C861,'Project Details'!$C$17:$C$66,'Project Details'!$L$17:$L$66,"",0)&gt;550, F861="Spring-L27cm"),"",SUBSTITUTE(_xlfn.XLOOKUP(G861,SKUs!$C$2:$C$10001,SKUs!$F$2:$F$10001,"",0), " Accessories",""))</f>
        <v/>
      </c>
      <c r="L861" s="33">
        <f>_xlfn.XLOOKUP(C861,'Project Details'!$C$17:$C$66,'Project Details'!$D$17:$D$66,"",0)</f>
        <v>0</v>
      </c>
      <c r="M861" s="43"/>
    </row>
    <row r="862" spans="1:13" ht="13.5" customHeight="1" outlineLevel="1" x14ac:dyDescent="0.25">
      <c r="A862" s="43"/>
      <c r="B862" s="43"/>
      <c r="C862" s="35">
        <f t="shared" si="15"/>
        <v>17</v>
      </c>
      <c r="D862" s="35" t="str" cm="1">
        <f t="array" ref="D862">IFERROR(ROUNDUP(_xlfn.IFS(F862="Aluminum Track", _xlfn.XLOOKUP(C862, dd_accsrycalc!$A$2:$A$51, dd_accsrycalc!$B$2:$B$51, "",0), F862="10 x 2 1/2 S (Flat)", _xlfn.XLOOKUP(C862, dd_accsrycalc!$A$2:$A$51, dd_accsrycalc!$C$2:$C$51, "",0), F862="Tox6", _xlfn.XLOOKUP(C862, dd_accsrycalc!$A$2:$A$51, dd_accsrycalc!$D$2:$D$51, "",0), F862="Cover Cap", _xlfn.XLOOKUP(C862, dd_accsrycalc!$A$2:$A$51, dd_accsrycalc!$E$2:$E$51, "",0), F862="Drainage Cover", _xlfn.XLOOKUP(C862, dd_accsrycalc!$A$2:$A$51, dd_accsrycalc!$F$2:$F$51, "",0),AND( F862="Double Adhesive Tape", I862="Roll-up Screen"), _xlfn.XLOOKUP(C862, calc_rusacc!$C$15:$C$65, calc_rusacc!$AD$15:$AD$65, "",0),AND( F862="Sealant", I862="Roll-up Screen"), _xlfn.XLOOKUP(C862, calc_rusacc!$C$15:$C$65, calc_rusacc!$AF$15:$AF$65, "",0),  AND( F862="Main Chain", I862="Accordion Screen"), _xlfn.XLOOKUP(C862, calc_rusacc!$C$15:$C$65, calc_rusacc!$BF$15:$BF$65, "",0), AND( F862="Sealant", I862="Accordion Screen"), _xlfn.XLOOKUP(C862, calc_rusacc!$C$15:$C$65, calc_rusacc!$BJ$15:$BJ$65, "",0),  F862="Sealant", _xlfn.XLOOKUP(C862, dd_accsrycalc!$A$2:$A$51, dd_accsrycalc!$G$2:$G$51, "",0),  F862&lt;&gt;"",L862*_xlfn.XLOOKUP(1, (SKUs!$C$2:$C$10001=G862)*(SKUs!$K$2:$K$10001=I862),SKUs!$E$2:$E$10001)), 0),"")</f>
        <v/>
      </c>
      <c r="E862" s="35" t="str">
        <f>_xlfn.XLOOKUP(F862,dd_item!$B$2:$B$105,dd_item!$C$2:$C$105,"",0)</f>
        <v/>
      </c>
      <c r="F862" s="35"/>
      <c r="G862" s="35" cm="1">
        <f t="array" ref="G862">IFERROR(_xlfn.XLOOKUP(1, (SKUs!$J$2:$J$10001=accsry_unmerged!F862)*IF(H862&lt;&gt;"",(SKUs!$L$2:$L$10001=accsry_unmerged!H862),1)*(SKUs!$K$2:$K$10001=I862),SKUs!$C$2:$C$10001),"")</f>
        <v>0</v>
      </c>
      <c r="H862" s="36" cm="1">
        <f t="array" ref="H862">IFERROR(_xlfn.XLOOKUP(1, (dd_accsryclr!$C$2:$C$1000=accsry_unmerged!F862)*(dd_accsryclr!$B$2:$B$1000=accsry_unmerged!J862),dd_accsryclr!$A$2:$A$1000),"")</f>
        <v>0</v>
      </c>
      <c r="I862" s="35">
        <f>_xlfn.XLOOKUP(C862,'Project Details'!$C$17:$C$66,'Project Details'!$E$17:$E$66,"",0)</f>
        <v>0</v>
      </c>
      <c r="J862" s="35">
        <f>_xlfn.XLOOKUP(C862,'Project Details'!$C$17:$C$66,'Project Details'!$H$17:$H$66,"",0)</f>
        <v>0</v>
      </c>
      <c r="K862" s="36" t="str">
        <f>IF(AND(_xlfn.XLOOKUP(C862,'Project Details'!$C$17:$C$66,'Project Details'!$L$17:$L$66,"",0)&gt;550, F862="Spring-L27cm"),"",SUBSTITUTE(_xlfn.XLOOKUP(G862,SKUs!$C$2:$C$10001,SKUs!$F$2:$F$10001,"",0), " Accessories",""))</f>
        <v/>
      </c>
      <c r="L862" s="36">
        <f>_xlfn.XLOOKUP(C862,'Project Details'!$C$17:$C$66,'Project Details'!$D$17:$D$66,"",0)</f>
        <v>0</v>
      </c>
      <c r="M862" s="43"/>
    </row>
    <row r="863" spans="1:13" ht="13.5" customHeight="1" outlineLevel="1" x14ac:dyDescent="0.25">
      <c r="A863" s="43"/>
      <c r="B863" s="43"/>
      <c r="C863" s="16">
        <f t="shared" si="15"/>
        <v>17</v>
      </c>
      <c r="D863" s="16" t="str" cm="1">
        <f t="array" ref="D863">IFERROR(ROUNDUP(_xlfn.IFS(F863="Aluminum Track", _xlfn.XLOOKUP(C863, dd_accsrycalc!$A$2:$A$51, dd_accsrycalc!$B$2:$B$51, "",0), F863="10 x 2 1/2 S (Flat)", _xlfn.XLOOKUP(C863, dd_accsrycalc!$A$2:$A$51, dd_accsrycalc!$C$2:$C$51, "",0), F863="Tox6", _xlfn.XLOOKUP(C863, dd_accsrycalc!$A$2:$A$51, dd_accsrycalc!$D$2:$D$51, "",0), F863="Cover Cap", _xlfn.XLOOKUP(C863, dd_accsrycalc!$A$2:$A$51, dd_accsrycalc!$E$2:$E$51, "",0), F863="Drainage Cover", _xlfn.XLOOKUP(C863, dd_accsrycalc!$A$2:$A$51, dd_accsrycalc!$F$2:$F$51, "",0),AND( F863="Double Adhesive Tape", I863="Roll-up Screen"), _xlfn.XLOOKUP(C863, calc_rusacc!$C$15:$C$65, calc_rusacc!$AD$15:$AD$65, "",0),AND( F863="Sealant", I863="Roll-up Screen"), _xlfn.XLOOKUP(C863, calc_rusacc!$C$15:$C$65, calc_rusacc!$AF$15:$AF$65, "",0),  AND( F863="Main Chain", I863="Accordion Screen"), _xlfn.XLOOKUP(C863, calc_rusacc!$C$15:$C$65, calc_rusacc!$BF$15:$BF$65, "",0), AND( F863="Sealant", I863="Accordion Screen"), _xlfn.XLOOKUP(C863, calc_rusacc!$C$15:$C$65, calc_rusacc!$BJ$15:$BJ$65, "",0),  F863="Sealant", _xlfn.XLOOKUP(C863, dd_accsrycalc!$A$2:$A$51, dd_accsrycalc!$G$2:$G$51, "",0),  F863&lt;&gt;"",L863*_xlfn.XLOOKUP(1, (SKUs!$C$2:$C$10001=G863)*(SKUs!$K$2:$K$10001=I863),SKUs!$E$2:$E$10001)), 0),"")</f>
        <v/>
      </c>
      <c r="E863" s="16" t="str">
        <f>_xlfn.XLOOKUP(F863,dd_item!$B$2:$B$105,dd_item!$C$2:$C$105,"",0)</f>
        <v/>
      </c>
      <c r="F863" s="16"/>
      <c r="G863" s="16" cm="1">
        <f t="array" ref="G863">IFERROR(_xlfn.XLOOKUP(1, (SKUs!$J$2:$J$10001=accsry_unmerged!F863)*IF(H863&lt;&gt;"",(SKUs!$L$2:$L$10001=accsry_unmerged!H863),1)*(SKUs!$K$2:$K$10001=I863),SKUs!$C$2:$C$10001),"")</f>
        <v>0</v>
      </c>
      <c r="H863" s="33" cm="1">
        <f t="array" ref="H863">IFERROR(_xlfn.XLOOKUP(1, (dd_accsryclr!$C$2:$C$1000=accsry_unmerged!F863)*(dd_accsryclr!$B$2:$B$1000=accsry_unmerged!J863),dd_accsryclr!$A$2:$A$1000),"")</f>
        <v>0</v>
      </c>
      <c r="I863" s="16">
        <f>_xlfn.XLOOKUP(C863,'Project Details'!$C$17:$C$66,'Project Details'!$E$17:$E$66,"",0)</f>
        <v>0</v>
      </c>
      <c r="J863" s="16">
        <f>_xlfn.XLOOKUP(C863,'Project Details'!$C$17:$C$66,'Project Details'!$H$17:$H$66,"",0)</f>
        <v>0</v>
      </c>
      <c r="K863" s="33" t="str">
        <f>IF(AND(_xlfn.XLOOKUP(C863,'Project Details'!$C$17:$C$66,'Project Details'!$L$17:$L$66,"",0)&gt;550, F863="Spring-L27cm"),"",SUBSTITUTE(_xlfn.XLOOKUP(G863,SKUs!$C$2:$C$10001,SKUs!$F$2:$F$10001,"",0), " Accessories",""))</f>
        <v/>
      </c>
      <c r="L863" s="33">
        <f>_xlfn.XLOOKUP(C863,'Project Details'!$C$17:$C$66,'Project Details'!$D$17:$D$66,"",0)</f>
        <v>0</v>
      </c>
      <c r="M863" s="43"/>
    </row>
    <row r="864" spans="1:13" x14ac:dyDescent="0.25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</row>
    <row r="865" spans="1:13" x14ac:dyDescent="0.25">
      <c r="A865" s="43"/>
      <c r="B865" s="43"/>
      <c r="C865" s="16">
        <f>C863+1</f>
        <v>18</v>
      </c>
      <c r="D865" s="48" cm="1">
        <f t="array" ref="D865">IFERROR(ROUNDUP(_xlfn.IFS(F865="Aluminum Track", _xlfn.XLOOKUP(C865, dd_accsrycalc!$A$2:$A$51, dd_accsrycalc!$B$2:$B$51, "",0), F865="10 x 2 1/2 S (Flat)", _xlfn.XLOOKUP(C865, dd_accsrycalc!$A$2:$A$51, dd_accsrycalc!$C$2:$C$51, "",0), F865="Tox6", _xlfn.XLOOKUP(C865, dd_accsrycalc!$A$2:$A$51, dd_accsrycalc!$D$2:$D$51, "",0), F865="Cover Cap", _xlfn.XLOOKUP(C865, dd_accsrycalc!$A$2:$A$51, dd_accsrycalc!$E$2:$E$51, "",0), F865="Drainage Cover", _xlfn.XLOOKUP(C865, dd_accsrycalc!$A$2:$A$51, dd_accsrycalc!$F$2:$F$51, "",0),AND( F865="Double Adhesive Tape", I865="Roll-up Screen"), _xlfn.XLOOKUP(C865, calc_rusacc!$C$15:$C$65, calc_rusacc!$AD$15:$AD$65, "",0),AND( F865="Sealant", I865="Roll-up Screen"), _xlfn.XLOOKUP(C865, calc_rusacc!$C$15:$C$65, calc_rusacc!$AF$15:$AF$65, "",0),  AND( F865="Main Chain", I865="Accordion Screen"), _xlfn.XLOOKUP(C865, calc_rusacc!$C$15:$C$65, calc_rusacc!$BF$15:$BF$65, "",0), AND( F865="Sealant", I865="Accordion Screen"), _xlfn.XLOOKUP(C865, calc_rusacc!$C$15:$C$65, calc_rusacc!$BJ$15:$BJ$65, "",0),  F865="Sealant", _xlfn.XLOOKUP(C865, dd_accsrycalc!$A$2:$A$51, dd_accsrycalc!$G$2:$G$51, "",0),  F865&lt;&gt;"",L865*_xlfn.XLOOKUP(1, (SKUs!$C$2:$C$10001=G865)*(SKUs!$K$2:$K$10001=I865),SKUs!$E$2:$E$10001)), 0),"")</f>
        <v>0</v>
      </c>
      <c r="E865" s="48" t="str">
        <f>_xlfn.XLOOKUP(F865,dd_item!$B$2:$B$105,dd_item!$C$2:$C$105,"",0)</f>
        <v/>
      </c>
      <c r="F865" s="48" cm="1">
        <f t="array" ref="F865">IFERROR(_xlfn.UNIQUE(_xlfn._xlws.FILTER(SKUs!$J$2:$J$10001, (SKUs!$F$2:$F$10001&lt;&gt;"Cutting List") * (SKUs!$A$2:$A$10001=_xlfn.XLOOKUP(_xlfn.XLOOKUP(C865,'Project Details'!$C$17:$C$66,'Project Details'!$E$17:$E$66,"",0), dd_design_raw!$A$2:$A$101,dd_design_raw!$C$2:$C$101,"",0)))), "")</f>
        <v>0</v>
      </c>
      <c r="G865" s="16" cm="1">
        <f t="array" ref="G865">IFERROR(_xlfn.XLOOKUP(1, (SKUs!$J$2:$J$10001=accsry_unmerged!F865)*IF(H865&lt;&gt;"",(SKUs!$L$2:$L$10001=accsry_unmerged!H865),1)*(SKUs!$K$2:$K$10001=I865),SKUs!$C$2:$C$10001),"")</f>
        <v>0</v>
      </c>
      <c r="H865" s="16" cm="1">
        <f t="array" ref="H865">IFERROR(_xlfn.XLOOKUP(1, (dd_accsryclr!$C$2:$C$1000=accsry_unmerged!F865)*(dd_accsryclr!$B$2:$B$1000=accsry_unmerged!J865),dd_accsryclr!$A$2:$A$1000),"")</f>
        <v>0</v>
      </c>
      <c r="I865" s="16">
        <f>_xlfn.XLOOKUP(C865,'Project Details'!$C$17:$C$66,'Project Details'!$E$17:$E$66,"",0)</f>
        <v>0</v>
      </c>
      <c r="J865" s="16">
        <f>_xlfn.XLOOKUP(C865,'Project Details'!$C$17:$C$66,'Project Details'!$H$17:$H$66,"",0)</f>
        <v>0</v>
      </c>
      <c r="K865" s="16" t="str">
        <f>IF(AND(_xlfn.XLOOKUP(C865,'Project Details'!$C$17:$C$66,'Project Details'!$L$17:$L$66,"",0)&gt;550, F865="Spring-L27cm"),"",SUBSTITUTE(_xlfn.XLOOKUP(G865,SKUs!$C$2:$C$10001,SKUs!$F$2:$F$10001,"",0), " Accessories",""))</f>
        <v/>
      </c>
      <c r="L865" s="16">
        <f>_xlfn.XLOOKUP(C865,'Project Details'!$C$17:$C$66,'Project Details'!$D$17:$D$66,"",0)</f>
        <v>0</v>
      </c>
      <c r="M865" s="43"/>
    </row>
    <row r="866" spans="1:13" x14ac:dyDescent="0.25">
      <c r="A866" s="43"/>
      <c r="B866" s="43"/>
      <c r="C866" s="35">
        <f>C865</f>
        <v>18</v>
      </c>
      <c r="D866" s="35" t="str" cm="1">
        <f t="array" ref="D866">IFERROR(ROUNDUP(_xlfn.IFS(F866="Aluminum Track", _xlfn.XLOOKUP(C866, dd_accsrycalc!$A$2:$A$51, dd_accsrycalc!$B$2:$B$51, "",0), F866="10 x 2 1/2 S (Flat)", _xlfn.XLOOKUP(C866, dd_accsrycalc!$A$2:$A$51, dd_accsrycalc!$C$2:$C$51, "",0), F866="Tox6", _xlfn.XLOOKUP(C866, dd_accsrycalc!$A$2:$A$51, dd_accsrycalc!$D$2:$D$51, "",0), F866="Cover Cap", _xlfn.XLOOKUP(C866, dd_accsrycalc!$A$2:$A$51, dd_accsrycalc!$E$2:$E$51, "",0), F866="Drainage Cover", _xlfn.XLOOKUP(C866, dd_accsrycalc!$A$2:$A$51, dd_accsrycalc!$F$2:$F$51, "",0),AND( F866="Double Adhesive Tape", I866="Roll-up Screen"), _xlfn.XLOOKUP(C866, calc_rusacc!$C$15:$C$65, calc_rusacc!$AD$15:$AD$65, "",0),AND( F866="Sealant", I866="Roll-up Screen"), _xlfn.XLOOKUP(C866, calc_rusacc!$C$15:$C$65, calc_rusacc!$AF$15:$AF$65, "",0),  AND( F866="Main Chain", I866="Accordion Screen"), _xlfn.XLOOKUP(C866, calc_rusacc!$C$15:$C$65, calc_rusacc!$BF$15:$BF$65, "",0), AND( F866="Sealant", I866="Accordion Screen"), _xlfn.XLOOKUP(C866, calc_rusacc!$C$15:$C$65, calc_rusacc!$BJ$15:$BJ$65, "",0),  F866="Sealant", _xlfn.XLOOKUP(C866, dd_accsrycalc!$A$2:$A$51, dd_accsrycalc!$G$2:$G$51, "",0),  F866&lt;&gt;"",L866*_xlfn.XLOOKUP(1, (SKUs!$C$2:$C$10001=G866)*(SKUs!$K$2:$K$10001=I866),SKUs!$E$2:$E$10001)), 0),"")</f>
        <v/>
      </c>
      <c r="E866" s="35" t="str">
        <f>_xlfn.XLOOKUP(F866,dd_item!$B$2:$B$105,dd_item!$C$2:$C$105,"",0)</f>
        <v/>
      </c>
      <c r="F866" s="35"/>
      <c r="G866" s="35" cm="1">
        <f t="array" ref="G866">IFERROR(_xlfn.XLOOKUP(1, (SKUs!$J$2:$J$10001=accsry_unmerged!F866)*IF(H866&lt;&gt;"",(SKUs!$L$2:$L$10001=accsry_unmerged!H866),1)*(SKUs!$K$2:$K$10001=I866),SKUs!$C$2:$C$10001),"")</f>
        <v>0</v>
      </c>
      <c r="H866" s="36" cm="1">
        <f t="array" ref="H866">IFERROR(_xlfn.XLOOKUP(1, (dd_accsryclr!$C$2:$C$1000=accsry_unmerged!F866)*(dd_accsryclr!$B$2:$B$1000=accsry_unmerged!J866),dd_accsryclr!$A$2:$A$1000),"")</f>
        <v>0</v>
      </c>
      <c r="I866" s="35">
        <f>_xlfn.XLOOKUP(C866,'Project Details'!$C$17:$C$66,'Project Details'!$E$17:$E$66,"",0)</f>
        <v>0</v>
      </c>
      <c r="J866" s="35">
        <f>_xlfn.XLOOKUP(C866,'Project Details'!$C$17:$C$66,'Project Details'!$H$17:$H$66,"",0)</f>
        <v>0</v>
      </c>
      <c r="K866" s="36" t="str">
        <f>IF(AND(_xlfn.XLOOKUP(C866,'Project Details'!$C$17:$C$66,'Project Details'!$L$17:$L$66,"",0)&gt;550, F866="Spring-L27cm"),"",SUBSTITUTE(_xlfn.XLOOKUP(G866,SKUs!$C$2:$C$10001,SKUs!$F$2:$F$10001,"",0), " Accessories",""))</f>
        <v/>
      </c>
      <c r="L866" s="36">
        <f>_xlfn.XLOOKUP(C866,'Project Details'!$C$17:$C$66,'Project Details'!$D$17:$D$66,"",0)</f>
        <v>0</v>
      </c>
      <c r="M866" s="43"/>
    </row>
    <row r="867" spans="1:13" x14ac:dyDescent="0.25">
      <c r="A867" s="43"/>
      <c r="B867" s="43"/>
      <c r="C867" s="16">
        <f t="shared" ref="C867:C913" si="16">C866</f>
        <v>18</v>
      </c>
      <c r="D867" s="16" t="str" cm="1">
        <f t="array" ref="D867">IFERROR(ROUNDUP(_xlfn.IFS(F867="Aluminum Track", _xlfn.XLOOKUP(C867, dd_accsrycalc!$A$2:$A$51, dd_accsrycalc!$B$2:$B$51, "",0), F867="10 x 2 1/2 S (Flat)", _xlfn.XLOOKUP(C867, dd_accsrycalc!$A$2:$A$51, dd_accsrycalc!$C$2:$C$51, "",0), F867="Tox6", _xlfn.XLOOKUP(C867, dd_accsrycalc!$A$2:$A$51, dd_accsrycalc!$D$2:$D$51, "",0), F867="Cover Cap", _xlfn.XLOOKUP(C867, dd_accsrycalc!$A$2:$A$51, dd_accsrycalc!$E$2:$E$51, "",0), F867="Drainage Cover", _xlfn.XLOOKUP(C867, dd_accsrycalc!$A$2:$A$51, dd_accsrycalc!$F$2:$F$51, "",0),AND( F867="Double Adhesive Tape", I867="Roll-up Screen"), _xlfn.XLOOKUP(C867, calc_rusacc!$C$15:$C$65, calc_rusacc!$AD$15:$AD$65, "",0),AND( F867="Sealant", I867="Roll-up Screen"), _xlfn.XLOOKUP(C867, calc_rusacc!$C$15:$C$65, calc_rusacc!$AF$15:$AF$65, "",0),  AND( F867="Main Chain", I867="Accordion Screen"), _xlfn.XLOOKUP(C867, calc_rusacc!$C$15:$C$65, calc_rusacc!$BF$15:$BF$65, "",0), AND( F867="Sealant", I867="Accordion Screen"), _xlfn.XLOOKUP(C867, calc_rusacc!$C$15:$C$65, calc_rusacc!$BJ$15:$BJ$65, "",0),  F867="Sealant", _xlfn.XLOOKUP(C867, dd_accsrycalc!$A$2:$A$51, dd_accsrycalc!$G$2:$G$51, "",0),  F867&lt;&gt;"",L867*_xlfn.XLOOKUP(1, (SKUs!$C$2:$C$10001=G867)*(SKUs!$K$2:$K$10001=I867),SKUs!$E$2:$E$10001)), 0),"")</f>
        <v/>
      </c>
      <c r="E867" s="16" t="str">
        <f>_xlfn.XLOOKUP(F867,dd_item!$B$2:$B$105,dd_item!$C$2:$C$105,"",0)</f>
        <v/>
      </c>
      <c r="F867" s="16"/>
      <c r="G867" s="16" cm="1">
        <f t="array" ref="G867">IFERROR(_xlfn.XLOOKUP(1, (SKUs!$J$2:$J$10001=accsry_unmerged!F867)*IF(H867&lt;&gt;"",(SKUs!$L$2:$L$10001=accsry_unmerged!H867),1)*(SKUs!$K$2:$K$10001=I867),SKUs!$C$2:$C$10001),"")</f>
        <v>0</v>
      </c>
      <c r="H867" s="33" cm="1">
        <f t="array" ref="H867">IFERROR(_xlfn.XLOOKUP(1, (dd_accsryclr!$C$2:$C$1000=accsry_unmerged!F867)*(dd_accsryclr!$B$2:$B$1000=accsry_unmerged!J867),dd_accsryclr!$A$2:$A$1000),"")</f>
        <v>0</v>
      </c>
      <c r="I867" s="16">
        <f>_xlfn.XLOOKUP(C867,'Project Details'!$C$17:$C$66,'Project Details'!$E$17:$E$66,"",0)</f>
        <v>0</v>
      </c>
      <c r="J867" s="16">
        <f>_xlfn.XLOOKUP(C867,'Project Details'!$C$17:$C$66,'Project Details'!$H$17:$H$66,"",0)</f>
        <v>0</v>
      </c>
      <c r="K867" s="33" t="str">
        <f>IF(AND(_xlfn.XLOOKUP(C867,'Project Details'!$C$17:$C$66,'Project Details'!$L$17:$L$66,"",0)&gt;550, F867="Spring-L27cm"),"",SUBSTITUTE(_xlfn.XLOOKUP(G867,SKUs!$C$2:$C$10001,SKUs!$F$2:$F$10001,"",0), " Accessories",""))</f>
        <v/>
      </c>
      <c r="L867" s="33">
        <f>_xlfn.XLOOKUP(C867,'Project Details'!$C$17:$C$66,'Project Details'!$D$17:$D$66,"",0)</f>
        <v>0</v>
      </c>
      <c r="M867" s="43"/>
    </row>
    <row r="868" spans="1:13" x14ac:dyDescent="0.25">
      <c r="A868" s="43"/>
      <c r="B868" s="43"/>
      <c r="C868" s="35">
        <f t="shared" si="16"/>
        <v>18</v>
      </c>
      <c r="D868" s="35" t="str" cm="1">
        <f t="array" ref="D868">IFERROR(ROUNDUP(_xlfn.IFS(F868="Aluminum Track", _xlfn.XLOOKUP(C868, dd_accsrycalc!$A$2:$A$51, dd_accsrycalc!$B$2:$B$51, "",0), F868="10 x 2 1/2 S (Flat)", _xlfn.XLOOKUP(C868, dd_accsrycalc!$A$2:$A$51, dd_accsrycalc!$C$2:$C$51, "",0), F868="Tox6", _xlfn.XLOOKUP(C868, dd_accsrycalc!$A$2:$A$51, dd_accsrycalc!$D$2:$D$51, "",0), F868="Cover Cap", _xlfn.XLOOKUP(C868, dd_accsrycalc!$A$2:$A$51, dd_accsrycalc!$E$2:$E$51, "",0), F868="Drainage Cover", _xlfn.XLOOKUP(C868, dd_accsrycalc!$A$2:$A$51, dd_accsrycalc!$F$2:$F$51, "",0),AND( F868="Double Adhesive Tape", I868="Roll-up Screen"), _xlfn.XLOOKUP(C868, calc_rusacc!$C$15:$C$65, calc_rusacc!$AD$15:$AD$65, "",0),AND( F868="Sealant", I868="Roll-up Screen"), _xlfn.XLOOKUP(C868, calc_rusacc!$C$15:$C$65, calc_rusacc!$AF$15:$AF$65, "",0),  AND( F868="Main Chain", I868="Accordion Screen"), _xlfn.XLOOKUP(C868, calc_rusacc!$C$15:$C$65, calc_rusacc!$BF$15:$BF$65, "",0), AND( F868="Sealant", I868="Accordion Screen"), _xlfn.XLOOKUP(C868, calc_rusacc!$C$15:$C$65, calc_rusacc!$BJ$15:$BJ$65, "",0),  F868="Sealant", _xlfn.XLOOKUP(C868, dd_accsrycalc!$A$2:$A$51, dd_accsrycalc!$G$2:$G$51, "",0),  F868&lt;&gt;"",L868*_xlfn.XLOOKUP(1, (SKUs!$C$2:$C$10001=G868)*(SKUs!$K$2:$K$10001=I868),SKUs!$E$2:$E$10001)), 0),"")</f>
        <v/>
      </c>
      <c r="E868" s="35" t="str">
        <f>_xlfn.XLOOKUP(F868,dd_item!$B$2:$B$105,dd_item!$C$2:$C$105,"",0)</f>
        <v/>
      </c>
      <c r="F868" s="35"/>
      <c r="G868" s="35" cm="1">
        <f t="array" ref="G868">IFERROR(_xlfn.XLOOKUP(1, (SKUs!$J$2:$J$10001=accsry_unmerged!F868)*IF(H868&lt;&gt;"",(SKUs!$L$2:$L$10001=accsry_unmerged!H868),1)*(SKUs!$K$2:$K$10001=I868),SKUs!$C$2:$C$10001),"")</f>
        <v>0</v>
      </c>
      <c r="H868" s="36" cm="1">
        <f t="array" ref="H868">IFERROR(_xlfn.XLOOKUP(1, (dd_accsryclr!$C$2:$C$1000=accsry_unmerged!F868)*(dd_accsryclr!$B$2:$B$1000=accsry_unmerged!J868),dd_accsryclr!$A$2:$A$1000),"")</f>
        <v>0</v>
      </c>
      <c r="I868" s="35">
        <f>_xlfn.XLOOKUP(C868,'Project Details'!$C$17:$C$66,'Project Details'!$E$17:$E$66,"",0)</f>
        <v>0</v>
      </c>
      <c r="J868" s="35">
        <f>_xlfn.XLOOKUP(C868,'Project Details'!$C$17:$C$66,'Project Details'!$H$17:$H$66,"",0)</f>
        <v>0</v>
      </c>
      <c r="K868" s="36" t="str">
        <f>IF(AND(_xlfn.XLOOKUP(C868,'Project Details'!$C$17:$C$66,'Project Details'!$L$17:$L$66,"",0)&gt;550, F868="Spring-L27cm"),"",SUBSTITUTE(_xlfn.XLOOKUP(G868,SKUs!$C$2:$C$10001,SKUs!$F$2:$F$10001,"",0), " Accessories",""))</f>
        <v/>
      </c>
      <c r="L868" s="36">
        <f>_xlfn.XLOOKUP(C868,'Project Details'!$C$17:$C$66,'Project Details'!$D$17:$D$66,"",0)</f>
        <v>0</v>
      </c>
      <c r="M868" s="43"/>
    </row>
    <row r="869" spans="1:13" x14ac:dyDescent="0.25">
      <c r="A869" s="43"/>
      <c r="B869" s="43"/>
      <c r="C869" s="16">
        <f t="shared" si="16"/>
        <v>18</v>
      </c>
      <c r="D869" s="16" t="str" cm="1">
        <f t="array" ref="D869">IFERROR(ROUNDUP(_xlfn.IFS(F869="Aluminum Track", _xlfn.XLOOKUP(C869, dd_accsrycalc!$A$2:$A$51, dd_accsrycalc!$B$2:$B$51, "",0), F869="10 x 2 1/2 S (Flat)", _xlfn.XLOOKUP(C869, dd_accsrycalc!$A$2:$A$51, dd_accsrycalc!$C$2:$C$51, "",0), F869="Tox6", _xlfn.XLOOKUP(C869, dd_accsrycalc!$A$2:$A$51, dd_accsrycalc!$D$2:$D$51, "",0), F869="Cover Cap", _xlfn.XLOOKUP(C869, dd_accsrycalc!$A$2:$A$51, dd_accsrycalc!$E$2:$E$51, "",0), F869="Drainage Cover", _xlfn.XLOOKUP(C869, dd_accsrycalc!$A$2:$A$51, dd_accsrycalc!$F$2:$F$51, "",0),AND( F869="Double Adhesive Tape", I869="Roll-up Screen"), _xlfn.XLOOKUP(C869, calc_rusacc!$C$15:$C$65, calc_rusacc!$AD$15:$AD$65, "",0),AND( F869="Sealant", I869="Roll-up Screen"), _xlfn.XLOOKUP(C869, calc_rusacc!$C$15:$C$65, calc_rusacc!$AF$15:$AF$65, "",0),  AND( F869="Main Chain", I869="Accordion Screen"), _xlfn.XLOOKUP(C869, calc_rusacc!$C$15:$C$65, calc_rusacc!$BF$15:$BF$65, "",0), AND( F869="Sealant", I869="Accordion Screen"), _xlfn.XLOOKUP(C869, calc_rusacc!$C$15:$C$65, calc_rusacc!$BJ$15:$BJ$65, "",0),  F869="Sealant", _xlfn.XLOOKUP(C869, dd_accsrycalc!$A$2:$A$51, dd_accsrycalc!$G$2:$G$51, "",0),  F869&lt;&gt;"",L869*_xlfn.XLOOKUP(1, (SKUs!$C$2:$C$10001=G869)*(SKUs!$K$2:$K$10001=I869),SKUs!$E$2:$E$10001)), 0),"")</f>
        <v/>
      </c>
      <c r="E869" s="16" t="str">
        <f>_xlfn.XLOOKUP(F869,dd_item!$B$2:$B$105,dd_item!$C$2:$C$105,"",0)</f>
        <v/>
      </c>
      <c r="F869" s="16"/>
      <c r="G869" s="16" cm="1">
        <f t="array" ref="G869">IFERROR(_xlfn.XLOOKUP(1, (SKUs!$J$2:$J$10001=accsry_unmerged!F869)*IF(H869&lt;&gt;"",(SKUs!$L$2:$L$10001=accsry_unmerged!H869),1)*(SKUs!$K$2:$K$10001=I869),SKUs!$C$2:$C$10001),"")</f>
        <v>0</v>
      </c>
      <c r="H869" s="33" cm="1">
        <f t="array" ref="H869">IFERROR(_xlfn.XLOOKUP(1, (dd_accsryclr!$C$2:$C$1000=accsry_unmerged!F869)*(dd_accsryclr!$B$2:$B$1000=accsry_unmerged!J869),dd_accsryclr!$A$2:$A$1000),"")</f>
        <v>0</v>
      </c>
      <c r="I869" s="16">
        <f>_xlfn.XLOOKUP(C869,'Project Details'!$C$17:$C$66,'Project Details'!$E$17:$E$66,"",0)</f>
        <v>0</v>
      </c>
      <c r="J869" s="16">
        <f>_xlfn.XLOOKUP(C869,'Project Details'!$C$17:$C$66,'Project Details'!$H$17:$H$66,"",0)</f>
        <v>0</v>
      </c>
      <c r="K869" s="33" t="str">
        <f>IF(AND(_xlfn.XLOOKUP(C869,'Project Details'!$C$17:$C$66,'Project Details'!$L$17:$L$66,"",0)&gt;550, F869="Spring-L27cm"),"",SUBSTITUTE(_xlfn.XLOOKUP(G869,SKUs!$C$2:$C$10001,SKUs!$F$2:$F$10001,"",0), " Accessories",""))</f>
        <v/>
      </c>
      <c r="L869" s="33">
        <f>_xlfn.XLOOKUP(C869,'Project Details'!$C$17:$C$66,'Project Details'!$D$17:$D$66,"",0)</f>
        <v>0</v>
      </c>
      <c r="M869" s="43"/>
    </row>
    <row r="870" spans="1:13" x14ac:dyDescent="0.25">
      <c r="A870" s="43"/>
      <c r="B870" s="43"/>
      <c r="C870" s="35">
        <f t="shared" si="16"/>
        <v>18</v>
      </c>
      <c r="D870" s="35" t="str" cm="1">
        <f t="array" ref="D870">IFERROR(ROUNDUP(_xlfn.IFS(F870="Aluminum Track", _xlfn.XLOOKUP(C870, dd_accsrycalc!$A$2:$A$51, dd_accsrycalc!$B$2:$B$51, "",0), F870="10 x 2 1/2 S (Flat)", _xlfn.XLOOKUP(C870, dd_accsrycalc!$A$2:$A$51, dd_accsrycalc!$C$2:$C$51, "",0), F870="Tox6", _xlfn.XLOOKUP(C870, dd_accsrycalc!$A$2:$A$51, dd_accsrycalc!$D$2:$D$51, "",0), F870="Cover Cap", _xlfn.XLOOKUP(C870, dd_accsrycalc!$A$2:$A$51, dd_accsrycalc!$E$2:$E$51, "",0), F870="Drainage Cover", _xlfn.XLOOKUP(C870, dd_accsrycalc!$A$2:$A$51, dd_accsrycalc!$F$2:$F$51, "",0),AND( F870="Double Adhesive Tape", I870="Roll-up Screen"), _xlfn.XLOOKUP(C870, calc_rusacc!$C$15:$C$65, calc_rusacc!$AD$15:$AD$65, "",0),AND( F870="Sealant", I870="Roll-up Screen"), _xlfn.XLOOKUP(C870, calc_rusacc!$C$15:$C$65, calc_rusacc!$AF$15:$AF$65, "",0),  AND( F870="Main Chain", I870="Accordion Screen"), _xlfn.XLOOKUP(C870, calc_rusacc!$C$15:$C$65, calc_rusacc!$BF$15:$BF$65, "",0), AND( F870="Sealant", I870="Accordion Screen"), _xlfn.XLOOKUP(C870, calc_rusacc!$C$15:$C$65, calc_rusacc!$BJ$15:$BJ$65, "",0),  F870="Sealant", _xlfn.XLOOKUP(C870, dd_accsrycalc!$A$2:$A$51, dd_accsrycalc!$G$2:$G$51, "",0),  F870&lt;&gt;"",L870*_xlfn.XLOOKUP(1, (SKUs!$C$2:$C$10001=G870)*(SKUs!$K$2:$K$10001=I870),SKUs!$E$2:$E$10001)), 0),"")</f>
        <v/>
      </c>
      <c r="E870" s="35" t="str">
        <f>_xlfn.XLOOKUP(F870,dd_item!$B$2:$B$105,dd_item!$C$2:$C$105,"",0)</f>
        <v/>
      </c>
      <c r="F870" s="35"/>
      <c r="G870" s="35" cm="1">
        <f t="array" ref="G870">IFERROR(_xlfn.XLOOKUP(1, (SKUs!$J$2:$J$10001=accsry_unmerged!F870)*IF(H870&lt;&gt;"",(SKUs!$L$2:$L$10001=accsry_unmerged!H870),1)*(SKUs!$K$2:$K$10001=I870),SKUs!$C$2:$C$10001),"")</f>
        <v>0</v>
      </c>
      <c r="H870" s="36" cm="1">
        <f t="array" ref="H870">IFERROR(_xlfn.XLOOKUP(1, (dd_accsryclr!$C$2:$C$1000=accsry_unmerged!F870)*(dd_accsryclr!$B$2:$B$1000=accsry_unmerged!J870),dd_accsryclr!$A$2:$A$1000),"")</f>
        <v>0</v>
      </c>
      <c r="I870" s="35">
        <f>_xlfn.XLOOKUP(C870,'Project Details'!$C$17:$C$66,'Project Details'!$E$17:$E$66,"",0)</f>
        <v>0</v>
      </c>
      <c r="J870" s="35">
        <f>_xlfn.XLOOKUP(C870,'Project Details'!$C$17:$C$66,'Project Details'!$H$17:$H$66,"",0)</f>
        <v>0</v>
      </c>
      <c r="K870" s="36" t="str">
        <f>IF(AND(_xlfn.XLOOKUP(C870,'Project Details'!$C$17:$C$66,'Project Details'!$L$17:$L$66,"",0)&gt;550, F870="Spring-L27cm"),"",SUBSTITUTE(_xlfn.XLOOKUP(G870,SKUs!$C$2:$C$10001,SKUs!$F$2:$F$10001,"",0), " Accessories",""))</f>
        <v/>
      </c>
      <c r="L870" s="36">
        <f>_xlfn.XLOOKUP(C870,'Project Details'!$C$17:$C$66,'Project Details'!$D$17:$D$66,"",0)</f>
        <v>0</v>
      </c>
      <c r="M870" s="43"/>
    </row>
    <row r="871" spans="1:13" x14ac:dyDescent="0.25">
      <c r="A871" s="43"/>
      <c r="B871" s="43"/>
      <c r="C871" s="16">
        <f t="shared" si="16"/>
        <v>18</v>
      </c>
      <c r="D871" s="16" t="str" cm="1">
        <f t="array" ref="D871">IFERROR(ROUNDUP(_xlfn.IFS(F871="Aluminum Track", _xlfn.XLOOKUP(C871, dd_accsrycalc!$A$2:$A$51, dd_accsrycalc!$B$2:$B$51, "",0), F871="10 x 2 1/2 S (Flat)", _xlfn.XLOOKUP(C871, dd_accsrycalc!$A$2:$A$51, dd_accsrycalc!$C$2:$C$51, "",0), F871="Tox6", _xlfn.XLOOKUP(C871, dd_accsrycalc!$A$2:$A$51, dd_accsrycalc!$D$2:$D$51, "",0), F871="Cover Cap", _xlfn.XLOOKUP(C871, dd_accsrycalc!$A$2:$A$51, dd_accsrycalc!$E$2:$E$51, "",0), F871="Drainage Cover", _xlfn.XLOOKUP(C871, dd_accsrycalc!$A$2:$A$51, dd_accsrycalc!$F$2:$F$51, "",0),AND( F871="Double Adhesive Tape", I871="Roll-up Screen"), _xlfn.XLOOKUP(C871, calc_rusacc!$C$15:$C$65, calc_rusacc!$AD$15:$AD$65, "",0),AND( F871="Sealant", I871="Roll-up Screen"), _xlfn.XLOOKUP(C871, calc_rusacc!$C$15:$C$65, calc_rusacc!$AF$15:$AF$65, "",0),  AND( F871="Main Chain", I871="Accordion Screen"), _xlfn.XLOOKUP(C871, calc_rusacc!$C$15:$C$65, calc_rusacc!$BF$15:$BF$65, "",0), AND( F871="Sealant", I871="Accordion Screen"), _xlfn.XLOOKUP(C871, calc_rusacc!$C$15:$C$65, calc_rusacc!$BJ$15:$BJ$65, "",0),  F871="Sealant", _xlfn.XLOOKUP(C871, dd_accsrycalc!$A$2:$A$51, dd_accsrycalc!$G$2:$G$51, "",0),  F871&lt;&gt;"",L871*_xlfn.XLOOKUP(1, (SKUs!$C$2:$C$10001=G871)*(SKUs!$K$2:$K$10001=I871),SKUs!$E$2:$E$10001)), 0),"")</f>
        <v/>
      </c>
      <c r="E871" s="16" t="str">
        <f>_xlfn.XLOOKUP(F871,dd_item!$B$2:$B$105,dd_item!$C$2:$C$105,"",0)</f>
        <v/>
      </c>
      <c r="F871" s="16"/>
      <c r="G871" s="16" cm="1">
        <f t="array" ref="G871">IFERROR(_xlfn.XLOOKUP(1, (SKUs!$J$2:$J$10001=accsry_unmerged!F871)*IF(H871&lt;&gt;"",(SKUs!$L$2:$L$10001=accsry_unmerged!H871),1)*(SKUs!$K$2:$K$10001=I871),SKUs!$C$2:$C$10001),"")</f>
        <v>0</v>
      </c>
      <c r="H871" s="33" cm="1">
        <f t="array" ref="H871">IFERROR(_xlfn.XLOOKUP(1, (dd_accsryclr!$C$2:$C$1000=accsry_unmerged!F871)*(dd_accsryclr!$B$2:$B$1000=accsry_unmerged!J871),dd_accsryclr!$A$2:$A$1000),"")</f>
        <v>0</v>
      </c>
      <c r="I871" s="16">
        <f>_xlfn.XLOOKUP(C871,'Project Details'!$C$17:$C$66,'Project Details'!$E$17:$E$66,"",0)</f>
        <v>0</v>
      </c>
      <c r="J871" s="16">
        <f>_xlfn.XLOOKUP(C871,'Project Details'!$C$17:$C$66,'Project Details'!$H$17:$H$66,"",0)</f>
        <v>0</v>
      </c>
      <c r="K871" s="33" t="str">
        <f>IF(AND(_xlfn.XLOOKUP(C871,'Project Details'!$C$17:$C$66,'Project Details'!$L$17:$L$66,"",0)&gt;550, F871="Spring-L27cm"),"",SUBSTITUTE(_xlfn.XLOOKUP(G871,SKUs!$C$2:$C$10001,SKUs!$F$2:$F$10001,"",0), " Accessories",""))</f>
        <v/>
      </c>
      <c r="L871" s="33">
        <f>_xlfn.XLOOKUP(C871,'Project Details'!$C$17:$C$66,'Project Details'!$D$17:$D$66,"",0)</f>
        <v>0</v>
      </c>
      <c r="M871" s="43"/>
    </row>
    <row r="872" spans="1:13" x14ac:dyDescent="0.25">
      <c r="A872" s="43"/>
      <c r="B872" s="43"/>
      <c r="C872" s="35">
        <f t="shared" si="16"/>
        <v>18</v>
      </c>
      <c r="D872" s="35" t="str" cm="1">
        <f t="array" ref="D872">IFERROR(ROUNDUP(_xlfn.IFS(F872="Aluminum Track", _xlfn.XLOOKUP(C872, dd_accsrycalc!$A$2:$A$51, dd_accsrycalc!$B$2:$B$51, "",0), F872="10 x 2 1/2 S (Flat)", _xlfn.XLOOKUP(C872, dd_accsrycalc!$A$2:$A$51, dd_accsrycalc!$C$2:$C$51, "",0), F872="Tox6", _xlfn.XLOOKUP(C872, dd_accsrycalc!$A$2:$A$51, dd_accsrycalc!$D$2:$D$51, "",0), F872="Cover Cap", _xlfn.XLOOKUP(C872, dd_accsrycalc!$A$2:$A$51, dd_accsrycalc!$E$2:$E$51, "",0), F872="Drainage Cover", _xlfn.XLOOKUP(C872, dd_accsrycalc!$A$2:$A$51, dd_accsrycalc!$F$2:$F$51, "",0),AND( F872="Double Adhesive Tape", I872="Roll-up Screen"), _xlfn.XLOOKUP(C872, calc_rusacc!$C$15:$C$65, calc_rusacc!$AD$15:$AD$65, "",0),AND( F872="Sealant", I872="Roll-up Screen"), _xlfn.XLOOKUP(C872, calc_rusacc!$C$15:$C$65, calc_rusacc!$AF$15:$AF$65, "",0),  AND( F872="Main Chain", I872="Accordion Screen"), _xlfn.XLOOKUP(C872, calc_rusacc!$C$15:$C$65, calc_rusacc!$BF$15:$BF$65, "",0), AND( F872="Sealant", I872="Accordion Screen"), _xlfn.XLOOKUP(C872, calc_rusacc!$C$15:$C$65, calc_rusacc!$BJ$15:$BJ$65, "",0),  F872="Sealant", _xlfn.XLOOKUP(C872, dd_accsrycalc!$A$2:$A$51, dd_accsrycalc!$G$2:$G$51, "",0),  F872&lt;&gt;"",L872*_xlfn.XLOOKUP(1, (SKUs!$C$2:$C$10001=G872)*(SKUs!$K$2:$K$10001=I872),SKUs!$E$2:$E$10001)), 0),"")</f>
        <v/>
      </c>
      <c r="E872" s="35" t="str">
        <f>_xlfn.XLOOKUP(F872,dd_item!$B$2:$B$105,dd_item!$C$2:$C$105,"",0)</f>
        <v/>
      </c>
      <c r="F872" s="35"/>
      <c r="G872" s="35" cm="1">
        <f t="array" ref="G872">IFERROR(_xlfn.XLOOKUP(1, (SKUs!$J$2:$J$10001=accsry_unmerged!F872)*IF(H872&lt;&gt;"",(SKUs!$L$2:$L$10001=accsry_unmerged!H872),1)*(SKUs!$K$2:$K$10001=I872),SKUs!$C$2:$C$10001),"")</f>
        <v>0</v>
      </c>
      <c r="H872" s="36" cm="1">
        <f t="array" ref="H872">IFERROR(_xlfn.XLOOKUP(1, (dd_accsryclr!$C$2:$C$1000=accsry_unmerged!F872)*(dd_accsryclr!$B$2:$B$1000=accsry_unmerged!J872),dd_accsryclr!$A$2:$A$1000),"")</f>
        <v>0</v>
      </c>
      <c r="I872" s="35">
        <f>_xlfn.XLOOKUP(C872,'Project Details'!$C$17:$C$66,'Project Details'!$E$17:$E$66,"",0)</f>
        <v>0</v>
      </c>
      <c r="J872" s="35">
        <f>_xlfn.XLOOKUP(C872,'Project Details'!$C$17:$C$66,'Project Details'!$H$17:$H$66,"",0)</f>
        <v>0</v>
      </c>
      <c r="K872" s="36" t="str">
        <f>IF(AND(_xlfn.XLOOKUP(C872,'Project Details'!$C$17:$C$66,'Project Details'!$L$17:$L$66,"",0)&gt;550, F872="Spring-L27cm"),"",SUBSTITUTE(_xlfn.XLOOKUP(G872,SKUs!$C$2:$C$10001,SKUs!$F$2:$F$10001,"",0), " Accessories",""))</f>
        <v/>
      </c>
      <c r="L872" s="36">
        <f>_xlfn.XLOOKUP(C872,'Project Details'!$C$17:$C$66,'Project Details'!$D$17:$D$66,"",0)</f>
        <v>0</v>
      </c>
      <c r="M872" s="43"/>
    </row>
    <row r="873" spans="1:13" x14ac:dyDescent="0.25">
      <c r="A873" s="43"/>
      <c r="B873" s="43"/>
      <c r="C873" s="16">
        <f t="shared" si="16"/>
        <v>18</v>
      </c>
      <c r="D873" s="16" t="str" cm="1">
        <f t="array" ref="D873">IFERROR(ROUNDUP(_xlfn.IFS(F873="Aluminum Track", _xlfn.XLOOKUP(C873, dd_accsrycalc!$A$2:$A$51, dd_accsrycalc!$B$2:$B$51, "",0), F873="10 x 2 1/2 S (Flat)", _xlfn.XLOOKUP(C873, dd_accsrycalc!$A$2:$A$51, dd_accsrycalc!$C$2:$C$51, "",0), F873="Tox6", _xlfn.XLOOKUP(C873, dd_accsrycalc!$A$2:$A$51, dd_accsrycalc!$D$2:$D$51, "",0), F873="Cover Cap", _xlfn.XLOOKUP(C873, dd_accsrycalc!$A$2:$A$51, dd_accsrycalc!$E$2:$E$51, "",0), F873="Drainage Cover", _xlfn.XLOOKUP(C873, dd_accsrycalc!$A$2:$A$51, dd_accsrycalc!$F$2:$F$51, "",0),AND( F873="Double Adhesive Tape", I873="Roll-up Screen"), _xlfn.XLOOKUP(C873, calc_rusacc!$C$15:$C$65, calc_rusacc!$AD$15:$AD$65, "",0),AND( F873="Sealant", I873="Roll-up Screen"), _xlfn.XLOOKUP(C873, calc_rusacc!$C$15:$C$65, calc_rusacc!$AF$15:$AF$65, "",0),  AND( F873="Main Chain", I873="Accordion Screen"), _xlfn.XLOOKUP(C873, calc_rusacc!$C$15:$C$65, calc_rusacc!$BF$15:$BF$65, "",0), AND( F873="Sealant", I873="Accordion Screen"), _xlfn.XLOOKUP(C873, calc_rusacc!$C$15:$C$65, calc_rusacc!$BJ$15:$BJ$65, "",0),  F873="Sealant", _xlfn.XLOOKUP(C873, dd_accsrycalc!$A$2:$A$51, dd_accsrycalc!$G$2:$G$51, "",0),  F873&lt;&gt;"",L873*_xlfn.XLOOKUP(1, (SKUs!$C$2:$C$10001=G873)*(SKUs!$K$2:$K$10001=I873),SKUs!$E$2:$E$10001)), 0),"")</f>
        <v/>
      </c>
      <c r="E873" s="16" t="str">
        <f>_xlfn.XLOOKUP(F873,dd_item!$B$2:$B$105,dd_item!$C$2:$C$105,"",0)</f>
        <v/>
      </c>
      <c r="F873" s="16"/>
      <c r="G873" s="16" cm="1">
        <f t="array" ref="G873">IFERROR(_xlfn.XLOOKUP(1, (SKUs!$J$2:$J$10001=accsry_unmerged!F873)*IF(H873&lt;&gt;"",(SKUs!$L$2:$L$10001=accsry_unmerged!H873),1)*(SKUs!$K$2:$K$10001=I873),SKUs!$C$2:$C$10001),"")</f>
        <v>0</v>
      </c>
      <c r="H873" s="33" cm="1">
        <f t="array" ref="H873">IFERROR(_xlfn.XLOOKUP(1, (dd_accsryclr!$C$2:$C$1000=accsry_unmerged!F873)*(dd_accsryclr!$B$2:$B$1000=accsry_unmerged!J873),dd_accsryclr!$A$2:$A$1000),"")</f>
        <v>0</v>
      </c>
      <c r="I873" s="16">
        <f>_xlfn.XLOOKUP(C873,'Project Details'!$C$17:$C$66,'Project Details'!$E$17:$E$66,"",0)</f>
        <v>0</v>
      </c>
      <c r="J873" s="16">
        <f>_xlfn.XLOOKUP(C873,'Project Details'!$C$17:$C$66,'Project Details'!$H$17:$H$66,"",0)</f>
        <v>0</v>
      </c>
      <c r="K873" s="33" t="str">
        <f>IF(AND(_xlfn.XLOOKUP(C873,'Project Details'!$C$17:$C$66,'Project Details'!$L$17:$L$66,"",0)&gt;550, F873="Spring-L27cm"),"",SUBSTITUTE(_xlfn.XLOOKUP(G873,SKUs!$C$2:$C$10001,SKUs!$F$2:$F$10001,"",0), " Accessories",""))</f>
        <v/>
      </c>
      <c r="L873" s="33">
        <f>_xlfn.XLOOKUP(C873,'Project Details'!$C$17:$C$66,'Project Details'!$D$17:$D$66,"",0)</f>
        <v>0</v>
      </c>
      <c r="M873" s="43"/>
    </row>
    <row r="874" spans="1:13" x14ac:dyDescent="0.25">
      <c r="A874" s="43"/>
      <c r="B874" s="43"/>
      <c r="C874" s="35">
        <f t="shared" si="16"/>
        <v>18</v>
      </c>
      <c r="D874" s="35" t="str" cm="1">
        <f t="array" ref="D874">IFERROR(ROUNDUP(_xlfn.IFS(F874="Aluminum Track", _xlfn.XLOOKUP(C874, dd_accsrycalc!$A$2:$A$51, dd_accsrycalc!$B$2:$B$51, "",0), F874="10 x 2 1/2 S (Flat)", _xlfn.XLOOKUP(C874, dd_accsrycalc!$A$2:$A$51, dd_accsrycalc!$C$2:$C$51, "",0), F874="Tox6", _xlfn.XLOOKUP(C874, dd_accsrycalc!$A$2:$A$51, dd_accsrycalc!$D$2:$D$51, "",0), F874="Cover Cap", _xlfn.XLOOKUP(C874, dd_accsrycalc!$A$2:$A$51, dd_accsrycalc!$E$2:$E$51, "",0), F874="Drainage Cover", _xlfn.XLOOKUP(C874, dd_accsrycalc!$A$2:$A$51, dd_accsrycalc!$F$2:$F$51, "",0),AND( F874="Double Adhesive Tape", I874="Roll-up Screen"), _xlfn.XLOOKUP(C874, calc_rusacc!$C$15:$C$65, calc_rusacc!$AD$15:$AD$65, "",0),AND( F874="Sealant", I874="Roll-up Screen"), _xlfn.XLOOKUP(C874, calc_rusacc!$C$15:$C$65, calc_rusacc!$AF$15:$AF$65, "",0),  AND( F874="Main Chain", I874="Accordion Screen"), _xlfn.XLOOKUP(C874, calc_rusacc!$C$15:$C$65, calc_rusacc!$BF$15:$BF$65, "",0), AND( F874="Sealant", I874="Accordion Screen"), _xlfn.XLOOKUP(C874, calc_rusacc!$C$15:$C$65, calc_rusacc!$BJ$15:$BJ$65, "",0),  F874="Sealant", _xlfn.XLOOKUP(C874, dd_accsrycalc!$A$2:$A$51, dd_accsrycalc!$G$2:$G$51, "",0),  F874&lt;&gt;"",L874*_xlfn.XLOOKUP(1, (SKUs!$C$2:$C$10001=G874)*(SKUs!$K$2:$K$10001=I874),SKUs!$E$2:$E$10001)), 0),"")</f>
        <v/>
      </c>
      <c r="E874" s="35" t="str">
        <f>_xlfn.XLOOKUP(F874,dd_item!$B$2:$B$105,dd_item!$C$2:$C$105,"",0)</f>
        <v/>
      </c>
      <c r="F874" s="35"/>
      <c r="G874" s="35" cm="1">
        <f t="array" ref="G874">IFERROR(_xlfn.XLOOKUP(1, (SKUs!$J$2:$J$10001=accsry_unmerged!F874)*IF(H874&lt;&gt;"",(SKUs!$L$2:$L$10001=accsry_unmerged!H874),1)*(SKUs!$K$2:$K$10001=I874),SKUs!$C$2:$C$10001),"")</f>
        <v>0</v>
      </c>
      <c r="H874" s="36" cm="1">
        <f t="array" ref="H874">IFERROR(_xlfn.XLOOKUP(1, (dd_accsryclr!$C$2:$C$1000=accsry_unmerged!F874)*(dd_accsryclr!$B$2:$B$1000=accsry_unmerged!J874),dd_accsryclr!$A$2:$A$1000),"")</f>
        <v>0</v>
      </c>
      <c r="I874" s="35">
        <f>_xlfn.XLOOKUP(C874,'Project Details'!$C$17:$C$66,'Project Details'!$E$17:$E$66,"",0)</f>
        <v>0</v>
      </c>
      <c r="J874" s="35">
        <f>_xlfn.XLOOKUP(C874,'Project Details'!$C$17:$C$66,'Project Details'!$H$17:$H$66,"",0)</f>
        <v>0</v>
      </c>
      <c r="K874" s="36" t="str">
        <f>IF(AND(_xlfn.XLOOKUP(C874,'Project Details'!$C$17:$C$66,'Project Details'!$L$17:$L$66,"",0)&gt;550, F874="Spring-L27cm"),"",SUBSTITUTE(_xlfn.XLOOKUP(G874,SKUs!$C$2:$C$10001,SKUs!$F$2:$F$10001,"",0), " Accessories",""))</f>
        <v/>
      </c>
      <c r="L874" s="36">
        <f>_xlfn.XLOOKUP(C874,'Project Details'!$C$17:$C$66,'Project Details'!$D$17:$D$66,"",0)</f>
        <v>0</v>
      </c>
      <c r="M874" s="43"/>
    </row>
    <row r="875" spans="1:13" x14ac:dyDescent="0.25">
      <c r="A875" s="43"/>
      <c r="B875" s="43"/>
      <c r="C875" s="16">
        <f t="shared" si="16"/>
        <v>18</v>
      </c>
      <c r="D875" s="16" t="str" cm="1">
        <f t="array" ref="D875">IFERROR(ROUNDUP(_xlfn.IFS(F875="Aluminum Track", _xlfn.XLOOKUP(C875, dd_accsrycalc!$A$2:$A$51, dd_accsrycalc!$B$2:$B$51, "",0), F875="10 x 2 1/2 S (Flat)", _xlfn.XLOOKUP(C875, dd_accsrycalc!$A$2:$A$51, dd_accsrycalc!$C$2:$C$51, "",0), F875="Tox6", _xlfn.XLOOKUP(C875, dd_accsrycalc!$A$2:$A$51, dd_accsrycalc!$D$2:$D$51, "",0), F875="Cover Cap", _xlfn.XLOOKUP(C875, dd_accsrycalc!$A$2:$A$51, dd_accsrycalc!$E$2:$E$51, "",0), F875="Drainage Cover", _xlfn.XLOOKUP(C875, dd_accsrycalc!$A$2:$A$51, dd_accsrycalc!$F$2:$F$51, "",0),AND( F875="Double Adhesive Tape", I875="Roll-up Screen"), _xlfn.XLOOKUP(C875, calc_rusacc!$C$15:$C$65, calc_rusacc!$AD$15:$AD$65, "",0),AND( F875="Sealant", I875="Roll-up Screen"), _xlfn.XLOOKUP(C875, calc_rusacc!$C$15:$C$65, calc_rusacc!$AF$15:$AF$65, "",0),  AND( F875="Main Chain", I875="Accordion Screen"), _xlfn.XLOOKUP(C875, calc_rusacc!$C$15:$C$65, calc_rusacc!$BF$15:$BF$65, "",0), AND( F875="Sealant", I875="Accordion Screen"), _xlfn.XLOOKUP(C875, calc_rusacc!$C$15:$C$65, calc_rusacc!$BJ$15:$BJ$65, "",0),  F875="Sealant", _xlfn.XLOOKUP(C875, dd_accsrycalc!$A$2:$A$51, dd_accsrycalc!$G$2:$G$51, "",0),  F875&lt;&gt;"",L875*_xlfn.XLOOKUP(1, (SKUs!$C$2:$C$10001=G875)*(SKUs!$K$2:$K$10001=I875),SKUs!$E$2:$E$10001)), 0),"")</f>
        <v/>
      </c>
      <c r="E875" s="16" t="str">
        <f>_xlfn.XLOOKUP(F875,dd_item!$B$2:$B$105,dd_item!$C$2:$C$105,"",0)</f>
        <v/>
      </c>
      <c r="F875" s="16"/>
      <c r="G875" s="16" cm="1">
        <f t="array" ref="G875">IFERROR(_xlfn.XLOOKUP(1, (SKUs!$J$2:$J$10001=accsry_unmerged!F875)*IF(H875&lt;&gt;"",(SKUs!$L$2:$L$10001=accsry_unmerged!H875),1)*(SKUs!$K$2:$K$10001=I875),SKUs!$C$2:$C$10001),"")</f>
        <v>0</v>
      </c>
      <c r="H875" s="33" cm="1">
        <f t="array" ref="H875">IFERROR(_xlfn.XLOOKUP(1, (dd_accsryclr!$C$2:$C$1000=accsry_unmerged!F875)*(dd_accsryclr!$B$2:$B$1000=accsry_unmerged!J875),dd_accsryclr!$A$2:$A$1000),"")</f>
        <v>0</v>
      </c>
      <c r="I875" s="16">
        <f>_xlfn.XLOOKUP(C875,'Project Details'!$C$17:$C$66,'Project Details'!$E$17:$E$66,"",0)</f>
        <v>0</v>
      </c>
      <c r="J875" s="16">
        <f>_xlfn.XLOOKUP(C875,'Project Details'!$C$17:$C$66,'Project Details'!$H$17:$H$66,"",0)</f>
        <v>0</v>
      </c>
      <c r="K875" s="33" t="str">
        <f>IF(AND(_xlfn.XLOOKUP(C875,'Project Details'!$C$17:$C$66,'Project Details'!$L$17:$L$66,"",0)&gt;550, F875="Spring-L27cm"),"",SUBSTITUTE(_xlfn.XLOOKUP(G875,SKUs!$C$2:$C$10001,SKUs!$F$2:$F$10001,"",0), " Accessories",""))</f>
        <v/>
      </c>
      <c r="L875" s="33">
        <f>_xlfn.XLOOKUP(C875,'Project Details'!$C$17:$C$66,'Project Details'!$D$17:$D$66,"",0)</f>
        <v>0</v>
      </c>
      <c r="M875" s="43"/>
    </row>
    <row r="876" spans="1:13" x14ac:dyDescent="0.25">
      <c r="A876" s="43"/>
      <c r="B876" s="43"/>
      <c r="C876" s="35">
        <f t="shared" si="16"/>
        <v>18</v>
      </c>
      <c r="D876" s="35" t="str" cm="1">
        <f t="array" ref="D876">IFERROR(ROUNDUP(_xlfn.IFS(F876="Aluminum Track", _xlfn.XLOOKUP(C876, dd_accsrycalc!$A$2:$A$51, dd_accsrycalc!$B$2:$B$51, "",0), F876="10 x 2 1/2 S (Flat)", _xlfn.XLOOKUP(C876, dd_accsrycalc!$A$2:$A$51, dd_accsrycalc!$C$2:$C$51, "",0), F876="Tox6", _xlfn.XLOOKUP(C876, dd_accsrycalc!$A$2:$A$51, dd_accsrycalc!$D$2:$D$51, "",0), F876="Cover Cap", _xlfn.XLOOKUP(C876, dd_accsrycalc!$A$2:$A$51, dd_accsrycalc!$E$2:$E$51, "",0), F876="Drainage Cover", _xlfn.XLOOKUP(C876, dd_accsrycalc!$A$2:$A$51, dd_accsrycalc!$F$2:$F$51, "",0),AND( F876="Double Adhesive Tape", I876="Roll-up Screen"), _xlfn.XLOOKUP(C876, calc_rusacc!$C$15:$C$65, calc_rusacc!$AD$15:$AD$65, "",0),AND( F876="Sealant", I876="Roll-up Screen"), _xlfn.XLOOKUP(C876, calc_rusacc!$C$15:$C$65, calc_rusacc!$AF$15:$AF$65, "",0),  AND( F876="Main Chain", I876="Accordion Screen"), _xlfn.XLOOKUP(C876, calc_rusacc!$C$15:$C$65, calc_rusacc!$BF$15:$BF$65, "",0), AND( F876="Sealant", I876="Accordion Screen"), _xlfn.XLOOKUP(C876, calc_rusacc!$C$15:$C$65, calc_rusacc!$BJ$15:$BJ$65, "",0),  F876="Sealant", _xlfn.XLOOKUP(C876, dd_accsrycalc!$A$2:$A$51, dd_accsrycalc!$G$2:$G$51, "",0),  F876&lt;&gt;"",L876*_xlfn.XLOOKUP(1, (SKUs!$C$2:$C$10001=G876)*(SKUs!$K$2:$K$10001=I876),SKUs!$E$2:$E$10001)), 0),"")</f>
        <v/>
      </c>
      <c r="E876" s="35" t="str">
        <f>_xlfn.XLOOKUP(F876,dd_item!$B$2:$B$105,dd_item!$C$2:$C$105,"",0)</f>
        <v/>
      </c>
      <c r="F876" s="35"/>
      <c r="G876" s="35" cm="1">
        <f t="array" ref="G876">IFERROR(_xlfn.XLOOKUP(1, (SKUs!$J$2:$J$10001=accsry_unmerged!F876)*IF(H876&lt;&gt;"",(SKUs!$L$2:$L$10001=accsry_unmerged!H876),1)*(SKUs!$K$2:$K$10001=I876),SKUs!$C$2:$C$10001),"")</f>
        <v>0</v>
      </c>
      <c r="H876" s="36" cm="1">
        <f t="array" ref="H876">IFERROR(_xlfn.XLOOKUP(1, (dd_accsryclr!$C$2:$C$1000=accsry_unmerged!F876)*(dd_accsryclr!$B$2:$B$1000=accsry_unmerged!J876),dd_accsryclr!$A$2:$A$1000),"")</f>
        <v>0</v>
      </c>
      <c r="I876" s="35">
        <f>_xlfn.XLOOKUP(C876,'Project Details'!$C$17:$C$66,'Project Details'!$E$17:$E$66,"",0)</f>
        <v>0</v>
      </c>
      <c r="J876" s="35">
        <f>_xlfn.XLOOKUP(C876,'Project Details'!$C$17:$C$66,'Project Details'!$H$17:$H$66,"",0)</f>
        <v>0</v>
      </c>
      <c r="K876" s="36" t="str">
        <f>IF(AND(_xlfn.XLOOKUP(C876,'Project Details'!$C$17:$C$66,'Project Details'!$L$17:$L$66,"",0)&gt;550, F876="Spring-L27cm"),"",SUBSTITUTE(_xlfn.XLOOKUP(G876,SKUs!$C$2:$C$10001,SKUs!$F$2:$F$10001,"",0), " Accessories",""))</f>
        <v/>
      </c>
      <c r="L876" s="36">
        <f>_xlfn.XLOOKUP(C876,'Project Details'!$C$17:$C$66,'Project Details'!$D$17:$D$66,"",0)</f>
        <v>0</v>
      </c>
      <c r="M876" s="43"/>
    </row>
    <row r="877" spans="1:13" x14ac:dyDescent="0.25">
      <c r="A877" s="43"/>
      <c r="B877" s="43"/>
      <c r="C877" s="16">
        <f t="shared" si="16"/>
        <v>18</v>
      </c>
      <c r="D877" s="16" t="str" cm="1">
        <f t="array" ref="D877">IFERROR(ROUNDUP(_xlfn.IFS(F877="Aluminum Track", _xlfn.XLOOKUP(C877, dd_accsrycalc!$A$2:$A$51, dd_accsrycalc!$B$2:$B$51, "",0), F877="10 x 2 1/2 S (Flat)", _xlfn.XLOOKUP(C877, dd_accsrycalc!$A$2:$A$51, dd_accsrycalc!$C$2:$C$51, "",0), F877="Tox6", _xlfn.XLOOKUP(C877, dd_accsrycalc!$A$2:$A$51, dd_accsrycalc!$D$2:$D$51, "",0), F877="Cover Cap", _xlfn.XLOOKUP(C877, dd_accsrycalc!$A$2:$A$51, dd_accsrycalc!$E$2:$E$51, "",0), F877="Drainage Cover", _xlfn.XLOOKUP(C877, dd_accsrycalc!$A$2:$A$51, dd_accsrycalc!$F$2:$F$51, "",0),AND( F877="Double Adhesive Tape", I877="Roll-up Screen"), _xlfn.XLOOKUP(C877, calc_rusacc!$C$15:$C$65, calc_rusacc!$AD$15:$AD$65, "",0),AND( F877="Sealant", I877="Roll-up Screen"), _xlfn.XLOOKUP(C877, calc_rusacc!$C$15:$C$65, calc_rusacc!$AF$15:$AF$65, "",0),  AND( F877="Main Chain", I877="Accordion Screen"), _xlfn.XLOOKUP(C877, calc_rusacc!$C$15:$C$65, calc_rusacc!$BF$15:$BF$65, "",0), AND( F877="Sealant", I877="Accordion Screen"), _xlfn.XLOOKUP(C877, calc_rusacc!$C$15:$C$65, calc_rusacc!$BJ$15:$BJ$65, "",0),  F877="Sealant", _xlfn.XLOOKUP(C877, dd_accsrycalc!$A$2:$A$51, dd_accsrycalc!$G$2:$G$51, "",0),  F877&lt;&gt;"",L877*_xlfn.XLOOKUP(1, (SKUs!$C$2:$C$10001=G877)*(SKUs!$K$2:$K$10001=I877),SKUs!$E$2:$E$10001)), 0),"")</f>
        <v/>
      </c>
      <c r="E877" s="16" t="str">
        <f>_xlfn.XLOOKUP(F877,dd_item!$B$2:$B$105,dd_item!$C$2:$C$105,"",0)</f>
        <v/>
      </c>
      <c r="F877" s="16"/>
      <c r="G877" s="16" cm="1">
        <f t="array" ref="G877">IFERROR(_xlfn.XLOOKUP(1, (SKUs!$J$2:$J$10001=accsry_unmerged!F877)*IF(H877&lt;&gt;"",(SKUs!$L$2:$L$10001=accsry_unmerged!H877),1)*(SKUs!$K$2:$K$10001=I877),SKUs!$C$2:$C$10001),"")</f>
        <v>0</v>
      </c>
      <c r="H877" s="33" cm="1">
        <f t="array" ref="H877">IFERROR(_xlfn.XLOOKUP(1, (dd_accsryclr!$C$2:$C$1000=accsry_unmerged!F877)*(dd_accsryclr!$B$2:$B$1000=accsry_unmerged!J877),dd_accsryclr!$A$2:$A$1000),"")</f>
        <v>0</v>
      </c>
      <c r="I877" s="16">
        <f>_xlfn.XLOOKUP(C877,'Project Details'!$C$17:$C$66,'Project Details'!$E$17:$E$66,"",0)</f>
        <v>0</v>
      </c>
      <c r="J877" s="16">
        <f>_xlfn.XLOOKUP(C877,'Project Details'!$C$17:$C$66,'Project Details'!$H$17:$H$66,"",0)</f>
        <v>0</v>
      </c>
      <c r="K877" s="33" t="str">
        <f>IF(AND(_xlfn.XLOOKUP(C877,'Project Details'!$C$17:$C$66,'Project Details'!$L$17:$L$66,"",0)&gt;550, F877="Spring-L27cm"),"",SUBSTITUTE(_xlfn.XLOOKUP(G877,SKUs!$C$2:$C$10001,SKUs!$F$2:$F$10001,"",0), " Accessories",""))</f>
        <v/>
      </c>
      <c r="L877" s="33">
        <f>_xlfn.XLOOKUP(C877,'Project Details'!$C$17:$C$66,'Project Details'!$D$17:$D$66,"",0)</f>
        <v>0</v>
      </c>
      <c r="M877" s="43"/>
    </row>
    <row r="878" spans="1:13" x14ac:dyDescent="0.25">
      <c r="A878" s="43"/>
      <c r="B878" s="43"/>
      <c r="C878" s="35">
        <f t="shared" si="16"/>
        <v>18</v>
      </c>
      <c r="D878" s="35" t="str" cm="1">
        <f t="array" ref="D878">IFERROR(ROUNDUP(_xlfn.IFS(F878="Aluminum Track", _xlfn.XLOOKUP(C878, dd_accsrycalc!$A$2:$A$51, dd_accsrycalc!$B$2:$B$51, "",0), F878="10 x 2 1/2 S (Flat)", _xlfn.XLOOKUP(C878, dd_accsrycalc!$A$2:$A$51, dd_accsrycalc!$C$2:$C$51, "",0), F878="Tox6", _xlfn.XLOOKUP(C878, dd_accsrycalc!$A$2:$A$51, dd_accsrycalc!$D$2:$D$51, "",0), F878="Cover Cap", _xlfn.XLOOKUP(C878, dd_accsrycalc!$A$2:$A$51, dd_accsrycalc!$E$2:$E$51, "",0), F878="Drainage Cover", _xlfn.XLOOKUP(C878, dd_accsrycalc!$A$2:$A$51, dd_accsrycalc!$F$2:$F$51, "",0),AND( F878="Double Adhesive Tape", I878="Roll-up Screen"), _xlfn.XLOOKUP(C878, calc_rusacc!$C$15:$C$65, calc_rusacc!$AD$15:$AD$65, "",0),AND( F878="Sealant", I878="Roll-up Screen"), _xlfn.XLOOKUP(C878, calc_rusacc!$C$15:$C$65, calc_rusacc!$AF$15:$AF$65, "",0),  AND( F878="Main Chain", I878="Accordion Screen"), _xlfn.XLOOKUP(C878, calc_rusacc!$C$15:$C$65, calc_rusacc!$BF$15:$BF$65, "",0), AND( F878="Sealant", I878="Accordion Screen"), _xlfn.XLOOKUP(C878, calc_rusacc!$C$15:$C$65, calc_rusacc!$BJ$15:$BJ$65, "",0),  F878="Sealant", _xlfn.XLOOKUP(C878, dd_accsrycalc!$A$2:$A$51, dd_accsrycalc!$G$2:$G$51, "",0),  F878&lt;&gt;"",L878*_xlfn.XLOOKUP(1, (SKUs!$C$2:$C$10001=G878)*(SKUs!$K$2:$K$10001=I878),SKUs!$E$2:$E$10001)), 0),"")</f>
        <v/>
      </c>
      <c r="E878" s="35" t="str">
        <f>_xlfn.XLOOKUP(F878,dd_item!$B$2:$B$105,dd_item!$C$2:$C$105,"",0)</f>
        <v/>
      </c>
      <c r="F878" s="35"/>
      <c r="G878" s="35" cm="1">
        <f t="array" ref="G878">IFERROR(_xlfn.XLOOKUP(1, (SKUs!$J$2:$J$10001=accsry_unmerged!F878)*IF(H878&lt;&gt;"",(SKUs!$L$2:$L$10001=accsry_unmerged!H878),1)*(SKUs!$K$2:$K$10001=I878),SKUs!$C$2:$C$10001),"")</f>
        <v>0</v>
      </c>
      <c r="H878" s="36" cm="1">
        <f t="array" ref="H878">IFERROR(_xlfn.XLOOKUP(1, (dd_accsryclr!$C$2:$C$1000=accsry_unmerged!F878)*(dd_accsryclr!$B$2:$B$1000=accsry_unmerged!J878),dd_accsryclr!$A$2:$A$1000),"")</f>
        <v>0</v>
      </c>
      <c r="I878" s="35">
        <f>_xlfn.XLOOKUP(C878,'Project Details'!$C$17:$C$66,'Project Details'!$E$17:$E$66,"",0)</f>
        <v>0</v>
      </c>
      <c r="J878" s="35">
        <f>_xlfn.XLOOKUP(C878,'Project Details'!$C$17:$C$66,'Project Details'!$H$17:$H$66,"",0)</f>
        <v>0</v>
      </c>
      <c r="K878" s="36" t="str">
        <f>IF(AND(_xlfn.XLOOKUP(C878,'Project Details'!$C$17:$C$66,'Project Details'!$L$17:$L$66,"",0)&gt;550, F878="Spring-L27cm"),"",SUBSTITUTE(_xlfn.XLOOKUP(G878,SKUs!$C$2:$C$10001,SKUs!$F$2:$F$10001,"",0), " Accessories",""))</f>
        <v/>
      </c>
      <c r="L878" s="36">
        <f>_xlfn.XLOOKUP(C878,'Project Details'!$C$17:$C$66,'Project Details'!$D$17:$D$66,"",0)</f>
        <v>0</v>
      </c>
      <c r="M878" s="43"/>
    </row>
    <row r="879" spans="1:13" x14ac:dyDescent="0.25">
      <c r="A879" s="43"/>
      <c r="B879" s="43"/>
      <c r="C879" s="16">
        <f t="shared" si="16"/>
        <v>18</v>
      </c>
      <c r="D879" s="16" t="str" cm="1">
        <f t="array" ref="D879">IFERROR(ROUNDUP(_xlfn.IFS(F879="Aluminum Track", _xlfn.XLOOKUP(C879, dd_accsrycalc!$A$2:$A$51, dd_accsrycalc!$B$2:$B$51, "",0), F879="10 x 2 1/2 S (Flat)", _xlfn.XLOOKUP(C879, dd_accsrycalc!$A$2:$A$51, dd_accsrycalc!$C$2:$C$51, "",0), F879="Tox6", _xlfn.XLOOKUP(C879, dd_accsrycalc!$A$2:$A$51, dd_accsrycalc!$D$2:$D$51, "",0), F879="Cover Cap", _xlfn.XLOOKUP(C879, dd_accsrycalc!$A$2:$A$51, dd_accsrycalc!$E$2:$E$51, "",0), F879="Drainage Cover", _xlfn.XLOOKUP(C879, dd_accsrycalc!$A$2:$A$51, dd_accsrycalc!$F$2:$F$51, "",0),AND( F879="Double Adhesive Tape", I879="Roll-up Screen"), _xlfn.XLOOKUP(C879, calc_rusacc!$C$15:$C$65, calc_rusacc!$AD$15:$AD$65, "",0),AND( F879="Sealant", I879="Roll-up Screen"), _xlfn.XLOOKUP(C879, calc_rusacc!$C$15:$C$65, calc_rusacc!$AF$15:$AF$65, "",0),  AND( F879="Main Chain", I879="Accordion Screen"), _xlfn.XLOOKUP(C879, calc_rusacc!$C$15:$C$65, calc_rusacc!$BF$15:$BF$65, "",0), AND( F879="Sealant", I879="Accordion Screen"), _xlfn.XLOOKUP(C879, calc_rusacc!$C$15:$C$65, calc_rusacc!$BJ$15:$BJ$65, "",0),  F879="Sealant", _xlfn.XLOOKUP(C879, dd_accsrycalc!$A$2:$A$51, dd_accsrycalc!$G$2:$G$51, "",0),  F879&lt;&gt;"",L879*_xlfn.XLOOKUP(1, (SKUs!$C$2:$C$10001=G879)*(SKUs!$K$2:$K$10001=I879),SKUs!$E$2:$E$10001)), 0),"")</f>
        <v/>
      </c>
      <c r="E879" s="16" t="str">
        <f>_xlfn.XLOOKUP(F879,dd_item!$B$2:$B$105,dd_item!$C$2:$C$105,"",0)</f>
        <v/>
      </c>
      <c r="F879" s="16"/>
      <c r="G879" s="16" cm="1">
        <f t="array" ref="G879">IFERROR(_xlfn.XLOOKUP(1, (SKUs!$J$2:$J$10001=accsry_unmerged!F879)*IF(H879&lt;&gt;"",(SKUs!$L$2:$L$10001=accsry_unmerged!H879),1)*(SKUs!$K$2:$K$10001=I879),SKUs!$C$2:$C$10001),"")</f>
        <v>0</v>
      </c>
      <c r="H879" s="33" cm="1">
        <f t="array" ref="H879">IFERROR(_xlfn.XLOOKUP(1, (dd_accsryclr!$C$2:$C$1000=accsry_unmerged!F879)*(dd_accsryclr!$B$2:$B$1000=accsry_unmerged!J879),dd_accsryclr!$A$2:$A$1000),"")</f>
        <v>0</v>
      </c>
      <c r="I879" s="16">
        <f>_xlfn.XLOOKUP(C879,'Project Details'!$C$17:$C$66,'Project Details'!$E$17:$E$66,"",0)</f>
        <v>0</v>
      </c>
      <c r="J879" s="16">
        <f>_xlfn.XLOOKUP(C879,'Project Details'!$C$17:$C$66,'Project Details'!$H$17:$H$66,"",0)</f>
        <v>0</v>
      </c>
      <c r="K879" s="33" t="str">
        <f>IF(AND(_xlfn.XLOOKUP(C879,'Project Details'!$C$17:$C$66,'Project Details'!$L$17:$L$66,"",0)&gt;550, F879="Spring-L27cm"),"",SUBSTITUTE(_xlfn.XLOOKUP(G879,SKUs!$C$2:$C$10001,SKUs!$F$2:$F$10001,"",0), " Accessories",""))</f>
        <v/>
      </c>
      <c r="L879" s="33">
        <f>_xlfn.XLOOKUP(C879,'Project Details'!$C$17:$C$66,'Project Details'!$D$17:$D$66,"",0)</f>
        <v>0</v>
      </c>
      <c r="M879" s="43"/>
    </row>
    <row r="880" spans="1:13" x14ac:dyDescent="0.25">
      <c r="A880" s="43"/>
      <c r="B880" s="43"/>
      <c r="C880" s="35">
        <f t="shared" si="16"/>
        <v>18</v>
      </c>
      <c r="D880" s="35" t="str" cm="1">
        <f t="array" ref="D880">IFERROR(ROUNDUP(_xlfn.IFS(F880="Aluminum Track", _xlfn.XLOOKUP(C880, dd_accsrycalc!$A$2:$A$51, dd_accsrycalc!$B$2:$B$51, "",0), F880="10 x 2 1/2 S (Flat)", _xlfn.XLOOKUP(C880, dd_accsrycalc!$A$2:$A$51, dd_accsrycalc!$C$2:$C$51, "",0), F880="Tox6", _xlfn.XLOOKUP(C880, dd_accsrycalc!$A$2:$A$51, dd_accsrycalc!$D$2:$D$51, "",0), F880="Cover Cap", _xlfn.XLOOKUP(C880, dd_accsrycalc!$A$2:$A$51, dd_accsrycalc!$E$2:$E$51, "",0), F880="Drainage Cover", _xlfn.XLOOKUP(C880, dd_accsrycalc!$A$2:$A$51, dd_accsrycalc!$F$2:$F$51, "",0),AND( F880="Double Adhesive Tape", I880="Roll-up Screen"), _xlfn.XLOOKUP(C880, calc_rusacc!$C$15:$C$65, calc_rusacc!$AD$15:$AD$65, "",0),AND( F880="Sealant", I880="Roll-up Screen"), _xlfn.XLOOKUP(C880, calc_rusacc!$C$15:$C$65, calc_rusacc!$AF$15:$AF$65, "",0),  AND( F880="Main Chain", I880="Accordion Screen"), _xlfn.XLOOKUP(C880, calc_rusacc!$C$15:$C$65, calc_rusacc!$BF$15:$BF$65, "",0), AND( F880="Sealant", I880="Accordion Screen"), _xlfn.XLOOKUP(C880, calc_rusacc!$C$15:$C$65, calc_rusacc!$BJ$15:$BJ$65, "",0),  F880="Sealant", _xlfn.XLOOKUP(C880, dd_accsrycalc!$A$2:$A$51, dd_accsrycalc!$G$2:$G$51, "",0),  F880&lt;&gt;"",L880*_xlfn.XLOOKUP(1, (SKUs!$C$2:$C$10001=G880)*(SKUs!$K$2:$K$10001=I880),SKUs!$E$2:$E$10001)), 0),"")</f>
        <v/>
      </c>
      <c r="E880" s="35" t="str">
        <f>_xlfn.XLOOKUP(F880,dd_item!$B$2:$B$105,dd_item!$C$2:$C$105,"",0)</f>
        <v/>
      </c>
      <c r="F880" s="35"/>
      <c r="G880" s="35" cm="1">
        <f t="array" ref="G880">IFERROR(_xlfn.XLOOKUP(1, (SKUs!$J$2:$J$10001=accsry_unmerged!F880)*IF(H880&lt;&gt;"",(SKUs!$L$2:$L$10001=accsry_unmerged!H880),1)*(SKUs!$K$2:$K$10001=I880),SKUs!$C$2:$C$10001),"")</f>
        <v>0</v>
      </c>
      <c r="H880" s="36" cm="1">
        <f t="array" ref="H880">IFERROR(_xlfn.XLOOKUP(1, (dd_accsryclr!$C$2:$C$1000=accsry_unmerged!F880)*(dd_accsryclr!$B$2:$B$1000=accsry_unmerged!J880),dd_accsryclr!$A$2:$A$1000),"")</f>
        <v>0</v>
      </c>
      <c r="I880" s="35">
        <f>_xlfn.XLOOKUP(C880,'Project Details'!$C$17:$C$66,'Project Details'!$E$17:$E$66,"",0)</f>
        <v>0</v>
      </c>
      <c r="J880" s="35">
        <f>_xlfn.XLOOKUP(C880,'Project Details'!$C$17:$C$66,'Project Details'!$H$17:$H$66,"",0)</f>
        <v>0</v>
      </c>
      <c r="K880" s="36" t="str">
        <f>IF(AND(_xlfn.XLOOKUP(C880,'Project Details'!$C$17:$C$66,'Project Details'!$L$17:$L$66,"",0)&gt;550, F880="Spring-L27cm"),"",SUBSTITUTE(_xlfn.XLOOKUP(G880,SKUs!$C$2:$C$10001,SKUs!$F$2:$F$10001,"",0), " Accessories",""))</f>
        <v/>
      </c>
      <c r="L880" s="36">
        <f>_xlfn.XLOOKUP(C880,'Project Details'!$C$17:$C$66,'Project Details'!$D$17:$D$66,"",0)</f>
        <v>0</v>
      </c>
      <c r="M880" s="43"/>
    </row>
    <row r="881" spans="1:13" x14ac:dyDescent="0.25">
      <c r="A881" s="43"/>
      <c r="B881" s="43"/>
      <c r="C881" s="16">
        <f t="shared" si="16"/>
        <v>18</v>
      </c>
      <c r="D881" s="16" t="str" cm="1">
        <f t="array" ref="D881">IFERROR(ROUNDUP(_xlfn.IFS(F881="Aluminum Track", _xlfn.XLOOKUP(C881, dd_accsrycalc!$A$2:$A$51, dd_accsrycalc!$B$2:$B$51, "",0), F881="10 x 2 1/2 S (Flat)", _xlfn.XLOOKUP(C881, dd_accsrycalc!$A$2:$A$51, dd_accsrycalc!$C$2:$C$51, "",0), F881="Tox6", _xlfn.XLOOKUP(C881, dd_accsrycalc!$A$2:$A$51, dd_accsrycalc!$D$2:$D$51, "",0), F881="Cover Cap", _xlfn.XLOOKUP(C881, dd_accsrycalc!$A$2:$A$51, dd_accsrycalc!$E$2:$E$51, "",0), F881="Drainage Cover", _xlfn.XLOOKUP(C881, dd_accsrycalc!$A$2:$A$51, dd_accsrycalc!$F$2:$F$51, "",0),AND( F881="Double Adhesive Tape", I881="Roll-up Screen"), _xlfn.XLOOKUP(C881, calc_rusacc!$C$15:$C$65, calc_rusacc!$AD$15:$AD$65, "",0),AND( F881="Sealant", I881="Roll-up Screen"), _xlfn.XLOOKUP(C881, calc_rusacc!$C$15:$C$65, calc_rusacc!$AF$15:$AF$65, "",0),  AND( F881="Main Chain", I881="Accordion Screen"), _xlfn.XLOOKUP(C881, calc_rusacc!$C$15:$C$65, calc_rusacc!$BF$15:$BF$65, "",0), AND( F881="Sealant", I881="Accordion Screen"), _xlfn.XLOOKUP(C881, calc_rusacc!$C$15:$C$65, calc_rusacc!$BJ$15:$BJ$65, "",0),  F881="Sealant", _xlfn.XLOOKUP(C881, dd_accsrycalc!$A$2:$A$51, dd_accsrycalc!$G$2:$G$51, "",0),  F881&lt;&gt;"",L881*_xlfn.XLOOKUP(1, (SKUs!$C$2:$C$10001=G881)*(SKUs!$K$2:$K$10001=I881),SKUs!$E$2:$E$10001)), 0),"")</f>
        <v/>
      </c>
      <c r="E881" s="16" t="str">
        <f>_xlfn.XLOOKUP(F881,dd_item!$B$2:$B$105,dd_item!$C$2:$C$105,"",0)</f>
        <v/>
      </c>
      <c r="F881" s="16"/>
      <c r="G881" s="16" cm="1">
        <f t="array" ref="G881">IFERROR(_xlfn.XLOOKUP(1, (SKUs!$J$2:$J$10001=accsry_unmerged!F881)*IF(H881&lt;&gt;"",(SKUs!$L$2:$L$10001=accsry_unmerged!H881),1)*(SKUs!$K$2:$K$10001=I881),SKUs!$C$2:$C$10001),"")</f>
        <v>0</v>
      </c>
      <c r="H881" s="33" cm="1">
        <f t="array" ref="H881">IFERROR(_xlfn.XLOOKUP(1, (dd_accsryclr!$C$2:$C$1000=accsry_unmerged!F881)*(dd_accsryclr!$B$2:$B$1000=accsry_unmerged!J881),dd_accsryclr!$A$2:$A$1000),"")</f>
        <v>0</v>
      </c>
      <c r="I881" s="16">
        <f>_xlfn.XLOOKUP(C881,'Project Details'!$C$17:$C$66,'Project Details'!$E$17:$E$66,"",0)</f>
        <v>0</v>
      </c>
      <c r="J881" s="16">
        <f>_xlfn.XLOOKUP(C881,'Project Details'!$C$17:$C$66,'Project Details'!$H$17:$H$66,"",0)</f>
        <v>0</v>
      </c>
      <c r="K881" s="33" t="str">
        <f>IF(AND(_xlfn.XLOOKUP(C881,'Project Details'!$C$17:$C$66,'Project Details'!$L$17:$L$66,"",0)&gt;550, F881="Spring-L27cm"),"",SUBSTITUTE(_xlfn.XLOOKUP(G881,SKUs!$C$2:$C$10001,SKUs!$F$2:$F$10001,"",0), " Accessories",""))</f>
        <v/>
      </c>
      <c r="L881" s="33">
        <f>_xlfn.XLOOKUP(C881,'Project Details'!$C$17:$C$66,'Project Details'!$D$17:$D$66,"",0)</f>
        <v>0</v>
      </c>
      <c r="M881" s="43"/>
    </row>
    <row r="882" spans="1:13" x14ac:dyDescent="0.25">
      <c r="A882" s="43"/>
      <c r="B882" s="43"/>
      <c r="C882" s="35">
        <f t="shared" si="16"/>
        <v>18</v>
      </c>
      <c r="D882" s="35" t="str" cm="1">
        <f t="array" ref="D882">IFERROR(ROUNDUP(_xlfn.IFS(F882="Aluminum Track", _xlfn.XLOOKUP(C882, dd_accsrycalc!$A$2:$A$51, dd_accsrycalc!$B$2:$B$51, "",0), F882="10 x 2 1/2 S (Flat)", _xlfn.XLOOKUP(C882, dd_accsrycalc!$A$2:$A$51, dd_accsrycalc!$C$2:$C$51, "",0), F882="Tox6", _xlfn.XLOOKUP(C882, dd_accsrycalc!$A$2:$A$51, dd_accsrycalc!$D$2:$D$51, "",0), F882="Cover Cap", _xlfn.XLOOKUP(C882, dd_accsrycalc!$A$2:$A$51, dd_accsrycalc!$E$2:$E$51, "",0), F882="Drainage Cover", _xlfn.XLOOKUP(C882, dd_accsrycalc!$A$2:$A$51, dd_accsrycalc!$F$2:$F$51, "",0),AND( F882="Double Adhesive Tape", I882="Roll-up Screen"), _xlfn.XLOOKUP(C882, calc_rusacc!$C$15:$C$65, calc_rusacc!$AD$15:$AD$65, "",0),AND( F882="Sealant", I882="Roll-up Screen"), _xlfn.XLOOKUP(C882, calc_rusacc!$C$15:$C$65, calc_rusacc!$AF$15:$AF$65, "",0),  AND( F882="Main Chain", I882="Accordion Screen"), _xlfn.XLOOKUP(C882, calc_rusacc!$C$15:$C$65, calc_rusacc!$BF$15:$BF$65, "",0), AND( F882="Sealant", I882="Accordion Screen"), _xlfn.XLOOKUP(C882, calc_rusacc!$C$15:$C$65, calc_rusacc!$BJ$15:$BJ$65, "",0),  F882="Sealant", _xlfn.XLOOKUP(C882, dd_accsrycalc!$A$2:$A$51, dd_accsrycalc!$G$2:$G$51, "",0),  F882&lt;&gt;"",L882*_xlfn.XLOOKUP(1, (SKUs!$C$2:$C$10001=G882)*(SKUs!$K$2:$K$10001=I882),SKUs!$E$2:$E$10001)), 0),"")</f>
        <v/>
      </c>
      <c r="E882" s="35" t="str">
        <f>_xlfn.XLOOKUP(F882,dd_item!$B$2:$B$105,dd_item!$C$2:$C$105,"",0)</f>
        <v/>
      </c>
      <c r="F882" s="35"/>
      <c r="G882" s="35" cm="1">
        <f t="array" ref="G882">IFERROR(_xlfn.XLOOKUP(1, (SKUs!$J$2:$J$10001=accsry_unmerged!F882)*IF(H882&lt;&gt;"",(SKUs!$L$2:$L$10001=accsry_unmerged!H882),1)*(SKUs!$K$2:$K$10001=I882),SKUs!$C$2:$C$10001),"")</f>
        <v>0</v>
      </c>
      <c r="H882" s="36" cm="1">
        <f t="array" ref="H882">IFERROR(_xlfn.XLOOKUP(1, (dd_accsryclr!$C$2:$C$1000=accsry_unmerged!F882)*(dd_accsryclr!$B$2:$B$1000=accsry_unmerged!J882),dd_accsryclr!$A$2:$A$1000),"")</f>
        <v>0</v>
      </c>
      <c r="I882" s="35">
        <f>_xlfn.XLOOKUP(C882,'Project Details'!$C$17:$C$66,'Project Details'!$E$17:$E$66,"",0)</f>
        <v>0</v>
      </c>
      <c r="J882" s="35">
        <f>_xlfn.XLOOKUP(C882,'Project Details'!$C$17:$C$66,'Project Details'!$H$17:$H$66,"",0)</f>
        <v>0</v>
      </c>
      <c r="K882" s="36" t="str">
        <f>IF(AND(_xlfn.XLOOKUP(C882,'Project Details'!$C$17:$C$66,'Project Details'!$L$17:$L$66,"",0)&gt;550, F882="Spring-L27cm"),"",SUBSTITUTE(_xlfn.XLOOKUP(G882,SKUs!$C$2:$C$10001,SKUs!$F$2:$F$10001,"",0), " Accessories",""))</f>
        <v/>
      </c>
      <c r="L882" s="36">
        <f>_xlfn.XLOOKUP(C882,'Project Details'!$C$17:$C$66,'Project Details'!$D$17:$D$66,"",0)</f>
        <v>0</v>
      </c>
      <c r="M882" s="43"/>
    </row>
    <row r="883" spans="1:13" x14ac:dyDescent="0.25">
      <c r="A883" s="43"/>
      <c r="B883" s="43"/>
      <c r="C883" s="16">
        <f t="shared" si="16"/>
        <v>18</v>
      </c>
      <c r="D883" s="16" t="str" cm="1">
        <f t="array" ref="D883">IFERROR(ROUNDUP(_xlfn.IFS(F883="Aluminum Track", _xlfn.XLOOKUP(C883, dd_accsrycalc!$A$2:$A$51, dd_accsrycalc!$B$2:$B$51, "",0), F883="10 x 2 1/2 S (Flat)", _xlfn.XLOOKUP(C883, dd_accsrycalc!$A$2:$A$51, dd_accsrycalc!$C$2:$C$51, "",0), F883="Tox6", _xlfn.XLOOKUP(C883, dd_accsrycalc!$A$2:$A$51, dd_accsrycalc!$D$2:$D$51, "",0), F883="Cover Cap", _xlfn.XLOOKUP(C883, dd_accsrycalc!$A$2:$A$51, dd_accsrycalc!$E$2:$E$51, "",0), F883="Drainage Cover", _xlfn.XLOOKUP(C883, dd_accsrycalc!$A$2:$A$51, dd_accsrycalc!$F$2:$F$51, "",0),AND( F883="Double Adhesive Tape", I883="Roll-up Screen"), _xlfn.XLOOKUP(C883, calc_rusacc!$C$15:$C$65, calc_rusacc!$AD$15:$AD$65, "",0),AND( F883="Sealant", I883="Roll-up Screen"), _xlfn.XLOOKUP(C883, calc_rusacc!$C$15:$C$65, calc_rusacc!$AF$15:$AF$65, "",0),  AND( F883="Main Chain", I883="Accordion Screen"), _xlfn.XLOOKUP(C883, calc_rusacc!$C$15:$C$65, calc_rusacc!$BF$15:$BF$65, "",0), AND( F883="Sealant", I883="Accordion Screen"), _xlfn.XLOOKUP(C883, calc_rusacc!$C$15:$C$65, calc_rusacc!$BJ$15:$BJ$65, "",0),  F883="Sealant", _xlfn.XLOOKUP(C883, dd_accsrycalc!$A$2:$A$51, dd_accsrycalc!$G$2:$G$51, "",0),  F883&lt;&gt;"",L883*_xlfn.XLOOKUP(1, (SKUs!$C$2:$C$10001=G883)*(SKUs!$K$2:$K$10001=I883),SKUs!$E$2:$E$10001)), 0),"")</f>
        <v/>
      </c>
      <c r="E883" s="16" t="str">
        <f>_xlfn.XLOOKUP(F883,dd_item!$B$2:$B$105,dd_item!$C$2:$C$105,"",0)</f>
        <v/>
      </c>
      <c r="F883" s="16"/>
      <c r="G883" s="16" cm="1">
        <f t="array" ref="G883">IFERROR(_xlfn.XLOOKUP(1, (SKUs!$J$2:$J$10001=accsry_unmerged!F883)*IF(H883&lt;&gt;"",(SKUs!$L$2:$L$10001=accsry_unmerged!H883),1)*(SKUs!$K$2:$K$10001=I883),SKUs!$C$2:$C$10001),"")</f>
        <v>0</v>
      </c>
      <c r="H883" s="33" cm="1">
        <f t="array" ref="H883">IFERROR(_xlfn.XLOOKUP(1, (dd_accsryclr!$C$2:$C$1000=accsry_unmerged!F883)*(dd_accsryclr!$B$2:$B$1000=accsry_unmerged!J883),dd_accsryclr!$A$2:$A$1000),"")</f>
        <v>0</v>
      </c>
      <c r="I883" s="16">
        <f>_xlfn.XLOOKUP(C883,'Project Details'!$C$17:$C$66,'Project Details'!$E$17:$E$66,"",0)</f>
        <v>0</v>
      </c>
      <c r="J883" s="16">
        <f>_xlfn.XLOOKUP(C883,'Project Details'!$C$17:$C$66,'Project Details'!$H$17:$H$66,"",0)</f>
        <v>0</v>
      </c>
      <c r="K883" s="33" t="str">
        <f>IF(AND(_xlfn.XLOOKUP(C883,'Project Details'!$C$17:$C$66,'Project Details'!$L$17:$L$66,"",0)&gt;550, F883="Spring-L27cm"),"",SUBSTITUTE(_xlfn.XLOOKUP(G883,SKUs!$C$2:$C$10001,SKUs!$F$2:$F$10001,"",0), " Accessories",""))</f>
        <v/>
      </c>
      <c r="L883" s="33">
        <f>_xlfn.XLOOKUP(C883,'Project Details'!$C$17:$C$66,'Project Details'!$D$17:$D$66,"",0)</f>
        <v>0</v>
      </c>
      <c r="M883" s="43"/>
    </row>
    <row r="884" spans="1:13" ht="13.5" customHeight="1" x14ac:dyDescent="0.25">
      <c r="A884" s="43"/>
      <c r="B884" s="43"/>
      <c r="C884" s="35">
        <f t="shared" si="16"/>
        <v>18</v>
      </c>
      <c r="D884" s="35" t="str" cm="1">
        <f t="array" ref="D884">IFERROR(ROUNDUP(_xlfn.IFS(F884="Aluminum Track", _xlfn.XLOOKUP(C884, dd_accsrycalc!$A$2:$A$51, dd_accsrycalc!$B$2:$B$51, "",0), F884="10 x 2 1/2 S (Flat)", _xlfn.XLOOKUP(C884, dd_accsrycalc!$A$2:$A$51, dd_accsrycalc!$C$2:$C$51, "",0), F884="Tox6", _xlfn.XLOOKUP(C884, dd_accsrycalc!$A$2:$A$51, dd_accsrycalc!$D$2:$D$51, "",0), F884="Cover Cap", _xlfn.XLOOKUP(C884, dd_accsrycalc!$A$2:$A$51, dd_accsrycalc!$E$2:$E$51, "",0), F884="Drainage Cover", _xlfn.XLOOKUP(C884, dd_accsrycalc!$A$2:$A$51, dd_accsrycalc!$F$2:$F$51, "",0),AND( F884="Double Adhesive Tape", I884="Roll-up Screen"), _xlfn.XLOOKUP(C884, calc_rusacc!$C$15:$C$65, calc_rusacc!$AD$15:$AD$65, "",0),AND( F884="Sealant", I884="Roll-up Screen"), _xlfn.XLOOKUP(C884, calc_rusacc!$C$15:$C$65, calc_rusacc!$AF$15:$AF$65, "",0),  AND( F884="Main Chain", I884="Accordion Screen"), _xlfn.XLOOKUP(C884, calc_rusacc!$C$15:$C$65, calc_rusacc!$BF$15:$BF$65, "",0), AND( F884="Sealant", I884="Accordion Screen"), _xlfn.XLOOKUP(C884, calc_rusacc!$C$15:$C$65, calc_rusacc!$BJ$15:$BJ$65, "",0),  F884="Sealant", _xlfn.XLOOKUP(C884, dd_accsrycalc!$A$2:$A$51, dd_accsrycalc!$G$2:$G$51, "",0),  F884&lt;&gt;"",L884*_xlfn.XLOOKUP(1, (SKUs!$C$2:$C$10001=G884)*(SKUs!$K$2:$K$10001=I884),SKUs!$E$2:$E$10001)), 0),"")</f>
        <v/>
      </c>
      <c r="E884" s="35" t="str">
        <f>_xlfn.XLOOKUP(F884,dd_item!$B$2:$B$105,dd_item!$C$2:$C$105,"",0)</f>
        <v/>
      </c>
      <c r="F884" s="35"/>
      <c r="G884" s="35" cm="1">
        <f t="array" ref="G884">IFERROR(_xlfn.XLOOKUP(1, (SKUs!$J$2:$J$10001=accsry_unmerged!F884)*IF(H884&lt;&gt;"",(SKUs!$L$2:$L$10001=accsry_unmerged!H884),1)*(SKUs!$K$2:$K$10001=I884),SKUs!$C$2:$C$10001),"")</f>
        <v>0</v>
      </c>
      <c r="H884" s="36" cm="1">
        <f t="array" ref="H884">IFERROR(_xlfn.XLOOKUP(1, (dd_accsryclr!$C$2:$C$1000=accsry_unmerged!F884)*(dd_accsryclr!$B$2:$B$1000=accsry_unmerged!J884),dd_accsryclr!$A$2:$A$1000),"")</f>
        <v>0</v>
      </c>
      <c r="I884" s="35">
        <f>_xlfn.XLOOKUP(C884,'Project Details'!$C$17:$C$66,'Project Details'!$E$17:$E$66,"",0)</f>
        <v>0</v>
      </c>
      <c r="J884" s="35">
        <f>_xlfn.XLOOKUP(C884,'Project Details'!$C$17:$C$66,'Project Details'!$H$17:$H$66,"",0)</f>
        <v>0</v>
      </c>
      <c r="K884" s="36" t="str">
        <f>IF(AND(_xlfn.XLOOKUP(C884,'Project Details'!$C$17:$C$66,'Project Details'!$L$17:$L$66,"",0)&gt;550, F884="Spring-L27cm"),"",SUBSTITUTE(_xlfn.XLOOKUP(G884,SKUs!$C$2:$C$10001,SKUs!$F$2:$F$10001,"",0), " Accessories",""))</f>
        <v/>
      </c>
      <c r="L884" s="36">
        <f>_xlfn.XLOOKUP(C884,'Project Details'!$C$17:$C$66,'Project Details'!$D$17:$D$66,"",0)</f>
        <v>0</v>
      </c>
      <c r="M884" s="43"/>
    </row>
    <row r="885" spans="1:13" ht="13.5" customHeight="1" x14ac:dyDescent="0.25">
      <c r="A885" s="43"/>
      <c r="B885" s="43"/>
      <c r="C885" s="16">
        <f t="shared" si="16"/>
        <v>18</v>
      </c>
      <c r="D885" s="16" t="str" cm="1">
        <f t="array" ref="D885">IFERROR(ROUNDUP(_xlfn.IFS(F885="Aluminum Track", _xlfn.XLOOKUP(C885, dd_accsrycalc!$A$2:$A$51, dd_accsrycalc!$B$2:$B$51, "",0), F885="10 x 2 1/2 S (Flat)", _xlfn.XLOOKUP(C885, dd_accsrycalc!$A$2:$A$51, dd_accsrycalc!$C$2:$C$51, "",0), F885="Tox6", _xlfn.XLOOKUP(C885, dd_accsrycalc!$A$2:$A$51, dd_accsrycalc!$D$2:$D$51, "",0), F885="Cover Cap", _xlfn.XLOOKUP(C885, dd_accsrycalc!$A$2:$A$51, dd_accsrycalc!$E$2:$E$51, "",0), F885="Drainage Cover", _xlfn.XLOOKUP(C885, dd_accsrycalc!$A$2:$A$51, dd_accsrycalc!$F$2:$F$51, "",0),AND( F885="Double Adhesive Tape", I885="Roll-up Screen"), _xlfn.XLOOKUP(C885, calc_rusacc!$C$15:$C$65, calc_rusacc!$AD$15:$AD$65, "",0),AND( F885="Sealant", I885="Roll-up Screen"), _xlfn.XLOOKUP(C885, calc_rusacc!$C$15:$C$65, calc_rusacc!$AF$15:$AF$65, "",0),  AND( F885="Main Chain", I885="Accordion Screen"), _xlfn.XLOOKUP(C885, calc_rusacc!$C$15:$C$65, calc_rusacc!$BF$15:$BF$65, "",0), AND( F885="Sealant", I885="Accordion Screen"), _xlfn.XLOOKUP(C885, calc_rusacc!$C$15:$C$65, calc_rusacc!$BJ$15:$BJ$65, "",0),  F885="Sealant", _xlfn.XLOOKUP(C885, dd_accsrycalc!$A$2:$A$51, dd_accsrycalc!$G$2:$G$51, "",0),  F885&lt;&gt;"",L885*_xlfn.XLOOKUP(1, (SKUs!$C$2:$C$10001=G885)*(SKUs!$K$2:$K$10001=I885),SKUs!$E$2:$E$10001)), 0),"")</f>
        <v/>
      </c>
      <c r="E885" s="16" t="str">
        <f>_xlfn.XLOOKUP(F885,dd_item!$B$2:$B$105,dd_item!$C$2:$C$105,"",0)</f>
        <v/>
      </c>
      <c r="F885" s="16"/>
      <c r="G885" s="16" cm="1">
        <f t="array" ref="G885">IFERROR(_xlfn.XLOOKUP(1, (SKUs!$J$2:$J$10001=accsry_unmerged!F885)*IF(H885&lt;&gt;"",(SKUs!$L$2:$L$10001=accsry_unmerged!H885),1)*(SKUs!$K$2:$K$10001=I885),SKUs!$C$2:$C$10001),"")</f>
        <v>0</v>
      </c>
      <c r="H885" s="33" cm="1">
        <f t="array" ref="H885">IFERROR(_xlfn.XLOOKUP(1, (dd_accsryclr!$C$2:$C$1000=accsry_unmerged!F885)*(dd_accsryclr!$B$2:$B$1000=accsry_unmerged!J885),dd_accsryclr!$A$2:$A$1000),"")</f>
        <v>0</v>
      </c>
      <c r="I885" s="16">
        <f>_xlfn.XLOOKUP(C885,'Project Details'!$C$17:$C$66,'Project Details'!$E$17:$E$66,"",0)</f>
        <v>0</v>
      </c>
      <c r="J885" s="16">
        <f>_xlfn.XLOOKUP(C885,'Project Details'!$C$17:$C$66,'Project Details'!$H$17:$H$66,"",0)</f>
        <v>0</v>
      </c>
      <c r="K885" s="33" t="str">
        <f>IF(AND(_xlfn.XLOOKUP(C885,'Project Details'!$C$17:$C$66,'Project Details'!$L$17:$L$66,"",0)&gt;550, F885="Spring-L27cm"),"",SUBSTITUTE(_xlfn.XLOOKUP(G885,SKUs!$C$2:$C$10001,SKUs!$F$2:$F$10001,"",0), " Accessories",""))</f>
        <v/>
      </c>
      <c r="L885" s="33">
        <f>_xlfn.XLOOKUP(C885,'Project Details'!$C$17:$C$66,'Project Details'!$D$17:$D$66,"",0)</f>
        <v>0</v>
      </c>
      <c r="M885" s="43"/>
    </row>
    <row r="886" spans="1:13" ht="13.5" customHeight="1" x14ac:dyDescent="0.25">
      <c r="A886" s="43"/>
      <c r="B886" s="43"/>
      <c r="C886" s="35">
        <f t="shared" si="16"/>
        <v>18</v>
      </c>
      <c r="D886" s="35" t="str" cm="1">
        <f t="array" ref="D886">IFERROR(ROUNDUP(_xlfn.IFS(F886="Aluminum Track", _xlfn.XLOOKUP(C886, dd_accsrycalc!$A$2:$A$51, dd_accsrycalc!$B$2:$B$51, "",0), F886="10 x 2 1/2 S (Flat)", _xlfn.XLOOKUP(C886, dd_accsrycalc!$A$2:$A$51, dd_accsrycalc!$C$2:$C$51, "",0), F886="Tox6", _xlfn.XLOOKUP(C886, dd_accsrycalc!$A$2:$A$51, dd_accsrycalc!$D$2:$D$51, "",0), F886="Cover Cap", _xlfn.XLOOKUP(C886, dd_accsrycalc!$A$2:$A$51, dd_accsrycalc!$E$2:$E$51, "",0), F886="Drainage Cover", _xlfn.XLOOKUP(C886, dd_accsrycalc!$A$2:$A$51, dd_accsrycalc!$F$2:$F$51, "",0),AND( F886="Double Adhesive Tape", I886="Roll-up Screen"), _xlfn.XLOOKUP(C886, calc_rusacc!$C$15:$C$65, calc_rusacc!$AD$15:$AD$65, "",0),AND( F886="Sealant", I886="Roll-up Screen"), _xlfn.XLOOKUP(C886, calc_rusacc!$C$15:$C$65, calc_rusacc!$AF$15:$AF$65, "",0),  AND( F886="Main Chain", I886="Accordion Screen"), _xlfn.XLOOKUP(C886, calc_rusacc!$C$15:$C$65, calc_rusacc!$BF$15:$BF$65, "",0), AND( F886="Sealant", I886="Accordion Screen"), _xlfn.XLOOKUP(C886, calc_rusacc!$C$15:$C$65, calc_rusacc!$BJ$15:$BJ$65, "",0),  F886="Sealant", _xlfn.XLOOKUP(C886, dd_accsrycalc!$A$2:$A$51, dd_accsrycalc!$G$2:$G$51, "",0),  F886&lt;&gt;"",L886*_xlfn.XLOOKUP(1, (SKUs!$C$2:$C$10001=G886)*(SKUs!$K$2:$K$10001=I886),SKUs!$E$2:$E$10001)), 0),"")</f>
        <v/>
      </c>
      <c r="E886" s="35" t="str">
        <f>_xlfn.XLOOKUP(F886,dd_item!$B$2:$B$105,dd_item!$C$2:$C$105,"",0)</f>
        <v/>
      </c>
      <c r="F886" s="35"/>
      <c r="G886" s="35" cm="1">
        <f t="array" ref="G886">IFERROR(_xlfn.XLOOKUP(1, (SKUs!$J$2:$J$10001=accsry_unmerged!F886)*IF(H886&lt;&gt;"",(SKUs!$L$2:$L$10001=accsry_unmerged!H886),1)*(SKUs!$K$2:$K$10001=I886),SKUs!$C$2:$C$10001),"")</f>
        <v>0</v>
      </c>
      <c r="H886" s="36" cm="1">
        <f t="array" ref="H886">IFERROR(_xlfn.XLOOKUP(1, (dd_accsryclr!$C$2:$C$1000=accsry_unmerged!F886)*(dd_accsryclr!$B$2:$B$1000=accsry_unmerged!J886),dd_accsryclr!$A$2:$A$1000),"")</f>
        <v>0</v>
      </c>
      <c r="I886" s="35">
        <f>_xlfn.XLOOKUP(C886,'Project Details'!$C$17:$C$66,'Project Details'!$E$17:$E$66,"",0)</f>
        <v>0</v>
      </c>
      <c r="J886" s="35">
        <f>_xlfn.XLOOKUP(C886,'Project Details'!$C$17:$C$66,'Project Details'!$H$17:$H$66,"",0)</f>
        <v>0</v>
      </c>
      <c r="K886" s="36" t="str">
        <f>IF(AND(_xlfn.XLOOKUP(C886,'Project Details'!$C$17:$C$66,'Project Details'!$L$17:$L$66,"",0)&gt;550, F886="Spring-L27cm"),"",SUBSTITUTE(_xlfn.XLOOKUP(G886,SKUs!$C$2:$C$10001,SKUs!$F$2:$F$10001,"",0), " Accessories",""))</f>
        <v/>
      </c>
      <c r="L886" s="36">
        <f>_xlfn.XLOOKUP(C886,'Project Details'!$C$17:$C$66,'Project Details'!$D$17:$D$66,"",0)</f>
        <v>0</v>
      </c>
      <c r="M886" s="43"/>
    </row>
    <row r="887" spans="1:13" ht="13.5" customHeight="1" x14ac:dyDescent="0.25">
      <c r="A887" s="43"/>
      <c r="B887" s="43"/>
      <c r="C887" s="16">
        <f t="shared" si="16"/>
        <v>18</v>
      </c>
      <c r="D887" s="16" t="str" cm="1">
        <f t="array" ref="D887">IFERROR(ROUNDUP(_xlfn.IFS(F887="Aluminum Track", _xlfn.XLOOKUP(C887, dd_accsrycalc!$A$2:$A$51, dd_accsrycalc!$B$2:$B$51, "",0), F887="10 x 2 1/2 S (Flat)", _xlfn.XLOOKUP(C887, dd_accsrycalc!$A$2:$A$51, dd_accsrycalc!$C$2:$C$51, "",0), F887="Tox6", _xlfn.XLOOKUP(C887, dd_accsrycalc!$A$2:$A$51, dd_accsrycalc!$D$2:$D$51, "",0), F887="Cover Cap", _xlfn.XLOOKUP(C887, dd_accsrycalc!$A$2:$A$51, dd_accsrycalc!$E$2:$E$51, "",0), F887="Drainage Cover", _xlfn.XLOOKUP(C887, dd_accsrycalc!$A$2:$A$51, dd_accsrycalc!$F$2:$F$51, "",0),AND( F887="Double Adhesive Tape", I887="Roll-up Screen"), _xlfn.XLOOKUP(C887, calc_rusacc!$C$15:$C$65, calc_rusacc!$AD$15:$AD$65, "",0),AND( F887="Sealant", I887="Roll-up Screen"), _xlfn.XLOOKUP(C887, calc_rusacc!$C$15:$C$65, calc_rusacc!$AF$15:$AF$65, "",0),  AND( F887="Main Chain", I887="Accordion Screen"), _xlfn.XLOOKUP(C887, calc_rusacc!$C$15:$C$65, calc_rusacc!$BF$15:$BF$65, "",0), AND( F887="Sealant", I887="Accordion Screen"), _xlfn.XLOOKUP(C887, calc_rusacc!$C$15:$C$65, calc_rusacc!$BJ$15:$BJ$65, "",0),  F887="Sealant", _xlfn.XLOOKUP(C887, dd_accsrycalc!$A$2:$A$51, dd_accsrycalc!$G$2:$G$51, "",0),  F887&lt;&gt;"",L887*_xlfn.XLOOKUP(1, (SKUs!$C$2:$C$10001=G887)*(SKUs!$K$2:$K$10001=I887),SKUs!$E$2:$E$10001)), 0),"")</f>
        <v/>
      </c>
      <c r="E887" s="16" t="str">
        <f>_xlfn.XLOOKUP(F887,dd_item!$B$2:$B$105,dd_item!$C$2:$C$105,"",0)</f>
        <v/>
      </c>
      <c r="F887" s="16"/>
      <c r="G887" s="16" cm="1">
        <f t="array" ref="G887">IFERROR(_xlfn.XLOOKUP(1, (SKUs!$J$2:$J$10001=accsry_unmerged!F887)*IF(H887&lt;&gt;"",(SKUs!$L$2:$L$10001=accsry_unmerged!H887),1)*(SKUs!$K$2:$K$10001=I887),SKUs!$C$2:$C$10001),"")</f>
        <v>0</v>
      </c>
      <c r="H887" s="33" cm="1">
        <f t="array" ref="H887">IFERROR(_xlfn.XLOOKUP(1, (dd_accsryclr!$C$2:$C$1000=accsry_unmerged!F887)*(dd_accsryclr!$B$2:$B$1000=accsry_unmerged!J887),dd_accsryclr!$A$2:$A$1000),"")</f>
        <v>0</v>
      </c>
      <c r="I887" s="16">
        <f>_xlfn.XLOOKUP(C887,'Project Details'!$C$17:$C$66,'Project Details'!$E$17:$E$66,"",0)</f>
        <v>0</v>
      </c>
      <c r="J887" s="16">
        <f>_xlfn.XLOOKUP(C887,'Project Details'!$C$17:$C$66,'Project Details'!$H$17:$H$66,"",0)</f>
        <v>0</v>
      </c>
      <c r="K887" s="33" t="str">
        <f>IF(AND(_xlfn.XLOOKUP(C887,'Project Details'!$C$17:$C$66,'Project Details'!$L$17:$L$66,"",0)&gt;550, F887="Spring-L27cm"),"",SUBSTITUTE(_xlfn.XLOOKUP(G887,SKUs!$C$2:$C$10001,SKUs!$F$2:$F$10001,"",0), " Accessories",""))</f>
        <v/>
      </c>
      <c r="L887" s="33">
        <f>_xlfn.XLOOKUP(C887,'Project Details'!$C$17:$C$66,'Project Details'!$D$17:$D$66,"",0)</f>
        <v>0</v>
      </c>
      <c r="M887" s="43"/>
    </row>
    <row r="888" spans="1:13" ht="13.5" customHeight="1" x14ac:dyDescent="0.25">
      <c r="A888" s="43"/>
      <c r="B888" s="43"/>
      <c r="C888" s="35">
        <f t="shared" si="16"/>
        <v>18</v>
      </c>
      <c r="D888" s="35" t="str" cm="1">
        <f t="array" ref="D888">IFERROR(ROUNDUP(_xlfn.IFS(F888="Aluminum Track", _xlfn.XLOOKUP(C888, dd_accsrycalc!$A$2:$A$51, dd_accsrycalc!$B$2:$B$51, "",0), F888="10 x 2 1/2 S (Flat)", _xlfn.XLOOKUP(C888, dd_accsrycalc!$A$2:$A$51, dd_accsrycalc!$C$2:$C$51, "",0), F888="Tox6", _xlfn.XLOOKUP(C888, dd_accsrycalc!$A$2:$A$51, dd_accsrycalc!$D$2:$D$51, "",0), F888="Cover Cap", _xlfn.XLOOKUP(C888, dd_accsrycalc!$A$2:$A$51, dd_accsrycalc!$E$2:$E$51, "",0), F888="Drainage Cover", _xlfn.XLOOKUP(C888, dd_accsrycalc!$A$2:$A$51, dd_accsrycalc!$F$2:$F$51, "",0),AND( F888="Double Adhesive Tape", I888="Roll-up Screen"), _xlfn.XLOOKUP(C888, calc_rusacc!$C$15:$C$65, calc_rusacc!$AD$15:$AD$65, "",0),AND( F888="Sealant", I888="Roll-up Screen"), _xlfn.XLOOKUP(C888, calc_rusacc!$C$15:$C$65, calc_rusacc!$AF$15:$AF$65, "",0),  AND( F888="Main Chain", I888="Accordion Screen"), _xlfn.XLOOKUP(C888, calc_rusacc!$C$15:$C$65, calc_rusacc!$BF$15:$BF$65, "",0), AND( F888="Sealant", I888="Accordion Screen"), _xlfn.XLOOKUP(C888, calc_rusacc!$C$15:$C$65, calc_rusacc!$BJ$15:$BJ$65, "",0),  F888="Sealant", _xlfn.XLOOKUP(C888, dd_accsrycalc!$A$2:$A$51, dd_accsrycalc!$G$2:$G$51, "",0),  F888&lt;&gt;"",L888*_xlfn.XLOOKUP(1, (SKUs!$C$2:$C$10001=G888)*(SKUs!$K$2:$K$10001=I888),SKUs!$E$2:$E$10001)), 0),"")</f>
        <v/>
      </c>
      <c r="E888" s="35" t="str">
        <f>_xlfn.XLOOKUP(F888,dd_item!$B$2:$B$105,dd_item!$C$2:$C$105,"",0)</f>
        <v/>
      </c>
      <c r="F888" s="35"/>
      <c r="G888" s="35" cm="1">
        <f t="array" ref="G888">IFERROR(_xlfn.XLOOKUP(1, (SKUs!$J$2:$J$10001=accsry_unmerged!F888)*IF(H888&lt;&gt;"",(SKUs!$L$2:$L$10001=accsry_unmerged!H888),1)*(SKUs!$K$2:$K$10001=I888),SKUs!$C$2:$C$10001),"")</f>
        <v>0</v>
      </c>
      <c r="H888" s="36" cm="1">
        <f t="array" ref="H888">IFERROR(_xlfn.XLOOKUP(1, (dd_accsryclr!$C$2:$C$1000=accsry_unmerged!F888)*(dd_accsryclr!$B$2:$B$1000=accsry_unmerged!J888),dd_accsryclr!$A$2:$A$1000),"")</f>
        <v>0</v>
      </c>
      <c r="I888" s="35">
        <f>_xlfn.XLOOKUP(C888,'Project Details'!$C$17:$C$66,'Project Details'!$E$17:$E$66,"",0)</f>
        <v>0</v>
      </c>
      <c r="J888" s="35">
        <f>_xlfn.XLOOKUP(C888,'Project Details'!$C$17:$C$66,'Project Details'!$H$17:$H$66,"",0)</f>
        <v>0</v>
      </c>
      <c r="K888" s="36" t="str">
        <f>IF(AND(_xlfn.XLOOKUP(C888,'Project Details'!$C$17:$C$66,'Project Details'!$L$17:$L$66,"",0)&gt;550, F888="Spring-L27cm"),"",SUBSTITUTE(_xlfn.XLOOKUP(G888,SKUs!$C$2:$C$10001,SKUs!$F$2:$F$10001,"",0), " Accessories",""))</f>
        <v/>
      </c>
      <c r="L888" s="36">
        <f>_xlfn.XLOOKUP(C888,'Project Details'!$C$17:$C$66,'Project Details'!$D$17:$D$66,"",0)</f>
        <v>0</v>
      </c>
      <c r="M888" s="43"/>
    </row>
    <row r="889" spans="1:13" ht="13.5" customHeight="1" x14ac:dyDescent="0.25">
      <c r="A889" s="43"/>
      <c r="B889" s="43"/>
      <c r="C889" s="16">
        <f t="shared" si="16"/>
        <v>18</v>
      </c>
      <c r="D889" s="16" t="str" cm="1">
        <f t="array" ref="D889">IFERROR(ROUNDUP(_xlfn.IFS(F889="Aluminum Track", _xlfn.XLOOKUP(C889, dd_accsrycalc!$A$2:$A$51, dd_accsrycalc!$B$2:$B$51, "",0), F889="10 x 2 1/2 S (Flat)", _xlfn.XLOOKUP(C889, dd_accsrycalc!$A$2:$A$51, dd_accsrycalc!$C$2:$C$51, "",0), F889="Tox6", _xlfn.XLOOKUP(C889, dd_accsrycalc!$A$2:$A$51, dd_accsrycalc!$D$2:$D$51, "",0), F889="Cover Cap", _xlfn.XLOOKUP(C889, dd_accsrycalc!$A$2:$A$51, dd_accsrycalc!$E$2:$E$51, "",0), F889="Drainage Cover", _xlfn.XLOOKUP(C889, dd_accsrycalc!$A$2:$A$51, dd_accsrycalc!$F$2:$F$51, "",0),AND( F889="Double Adhesive Tape", I889="Roll-up Screen"), _xlfn.XLOOKUP(C889, calc_rusacc!$C$15:$C$65, calc_rusacc!$AD$15:$AD$65, "",0),AND( F889="Sealant", I889="Roll-up Screen"), _xlfn.XLOOKUP(C889, calc_rusacc!$C$15:$C$65, calc_rusacc!$AF$15:$AF$65, "",0),  AND( F889="Main Chain", I889="Accordion Screen"), _xlfn.XLOOKUP(C889, calc_rusacc!$C$15:$C$65, calc_rusacc!$BF$15:$BF$65, "",0), AND( F889="Sealant", I889="Accordion Screen"), _xlfn.XLOOKUP(C889, calc_rusacc!$C$15:$C$65, calc_rusacc!$BJ$15:$BJ$65, "",0),  F889="Sealant", _xlfn.XLOOKUP(C889, dd_accsrycalc!$A$2:$A$51, dd_accsrycalc!$G$2:$G$51, "",0),  F889&lt;&gt;"",L889*_xlfn.XLOOKUP(1, (SKUs!$C$2:$C$10001=G889)*(SKUs!$K$2:$K$10001=I889),SKUs!$E$2:$E$10001)), 0),"")</f>
        <v/>
      </c>
      <c r="E889" s="16" t="str">
        <f>_xlfn.XLOOKUP(F889,dd_item!$B$2:$B$105,dd_item!$C$2:$C$105,"",0)</f>
        <v/>
      </c>
      <c r="F889" s="16"/>
      <c r="G889" s="16" cm="1">
        <f t="array" ref="G889">IFERROR(_xlfn.XLOOKUP(1, (SKUs!$J$2:$J$10001=accsry_unmerged!F889)*IF(H889&lt;&gt;"",(SKUs!$L$2:$L$10001=accsry_unmerged!H889),1)*(SKUs!$K$2:$K$10001=I889),SKUs!$C$2:$C$10001),"")</f>
        <v>0</v>
      </c>
      <c r="H889" s="33" cm="1">
        <f t="array" ref="H889">IFERROR(_xlfn.XLOOKUP(1, (dd_accsryclr!$C$2:$C$1000=accsry_unmerged!F889)*(dd_accsryclr!$B$2:$B$1000=accsry_unmerged!J889),dd_accsryclr!$A$2:$A$1000),"")</f>
        <v>0</v>
      </c>
      <c r="I889" s="16">
        <f>_xlfn.XLOOKUP(C889,'Project Details'!$C$17:$C$66,'Project Details'!$E$17:$E$66,"",0)</f>
        <v>0</v>
      </c>
      <c r="J889" s="16">
        <f>_xlfn.XLOOKUP(C889,'Project Details'!$C$17:$C$66,'Project Details'!$H$17:$H$66,"",0)</f>
        <v>0</v>
      </c>
      <c r="K889" s="33" t="str">
        <f>IF(AND(_xlfn.XLOOKUP(C889,'Project Details'!$C$17:$C$66,'Project Details'!$L$17:$L$66,"",0)&gt;550, F889="Spring-L27cm"),"",SUBSTITUTE(_xlfn.XLOOKUP(G889,SKUs!$C$2:$C$10001,SKUs!$F$2:$F$10001,"",0), " Accessories",""))</f>
        <v/>
      </c>
      <c r="L889" s="33">
        <f>_xlfn.XLOOKUP(C889,'Project Details'!$C$17:$C$66,'Project Details'!$D$17:$D$66,"",0)</f>
        <v>0</v>
      </c>
      <c r="M889" s="43"/>
    </row>
    <row r="890" spans="1:13" ht="13.5" customHeight="1" x14ac:dyDescent="0.25">
      <c r="A890" s="43"/>
      <c r="B890" s="43"/>
      <c r="C890" s="35">
        <f t="shared" si="16"/>
        <v>18</v>
      </c>
      <c r="D890" s="35" t="str" cm="1">
        <f t="array" ref="D890">IFERROR(ROUNDUP(_xlfn.IFS(F890="Aluminum Track", _xlfn.XLOOKUP(C890, dd_accsrycalc!$A$2:$A$51, dd_accsrycalc!$B$2:$B$51, "",0), F890="10 x 2 1/2 S (Flat)", _xlfn.XLOOKUP(C890, dd_accsrycalc!$A$2:$A$51, dd_accsrycalc!$C$2:$C$51, "",0), F890="Tox6", _xlfn.XLOOKUP(C890, dd_accsrycalc!$A$2:$A$51, dd_accsrycalc!$D$2:$D$51, "",0), F890="Cover Cap", _xlfn.XLOOKUP(C890, dd_accsrycalc!$A$2:$A$51, dd_accsrycalc!$E$2:$E$51, "",0), F890="Drainage Cover", _xlfn.XLOOKUP(C890, dd_accsrycalc!$A$2:$A$51, dd_accsrycalc!$F$2:$F$51, "",0),AND( F890="Double Adhesive Tape", I890="Roll-up Screen"), _xlfn.XLOOKUP(C890, calc_rusacc!$C$15:$C$65, calc_rusacc!$AD$15:$AD$65, "",0),AND( F890="Sealant", I890="Roll-up Screen"), _xlfn.XLOOKUP(C890, calc_rusacc!$C$15:$C$65, calc_rusacc!$AF$15:$AF$65, "",0),  AND( F890="Main Chain", I890="Accordion Screen"), _xlfn.XLOOKUP(C890, calc_rusacc!$C$15:$C$65, calc_rusacc!$BF$15:$BF$65, "",0), AND( F890="Sealant", I890="Accordion Screen"), _xlfn.XLOOKUP(C890, calc_rusacc!$C$15:$C$65, calc_rusacc!$BJ$15:$BJ$65, "",0),  F890="Sealant", _xlfn.XLOOKUP(C890, dd_accsrycalc!$A$2:$A$51, dd_accsrycalc!$G$2:$G$51, "",0),  F890&lt;&gt;"",L890*_xlfn.XLOOKUP(1, (SKUs!$C$2:$C$10001=G890)*(SKUs!$K$2:$K$10001=I890),SKUs!$E$2:$E$10001)), 0),"")</f>
        <v/>
      </c>
      <c r="E890" s="35" t="str">
        <f>_xlfn.XLOOKUP(F890,dd_item!$B$2:$B$105,dd_item!$C$2:$C$105,"",0)</f>
        <v/>
      </c>
      <c r="F890" s="35"/>
      <c r="G890" s="35" cm="1">
        <f t="array" ref="G890">IFERROR(_xlfn.XLOOKUP(1, (SKUs!$J$2:$J$10001=accsry_unmerged!F890)*IF(H890&lt;&gt;"",(SKUs!$L$2:$L$10001=accsry_unmerged!H890),1)*(SKUs!$K$2:$K$10001=I890),SKUs!$C$2:$C$10001),"")</f>
        <v>0</v>
      </c>
      <c r="H890" s="36" cm="1">
        <f t="array" ref="H890">IFERROR(_xlfn.XLOOKUP(1, (dd_accsryclr!$C$2:$C$1000=accsry_unmerged!F890)*(dd_accsryclr!$B$2:$B$1000=accsry_unmerged!J890),dd_accsryclr!$A$2:$A$1000),"")</f>
        <v>0</v>
      </c>
      <c r="I890" s="35">
        <f>_xlfn.XLOOKUP(C890,'Project Details'!$C$17:$C$66,'Project Details'!$E$17:$E$66,"",0)</f>
        <v>0</v>
      </c>
      <c r="J890" s="35">
        <f>_xlfn.XLOOKUP(C890,'Project Details'!$C$17:$C$66,'Project Details'!$H$17:$H$66,"",0)</f>
        <v>0</v>
      </c>
      <c r="K890" s="36" t="str">
        <f>IF(AND(_xlfn.XLOOKUP(C890,'Project Details'!$C$17:$C$66,'Project Details'!$L$17:$L$66,"",0)&gt;550, F890="Spring-L27cm"),"",SUBSTITUTE(_xlfn.XLOOKUP(G890,SKUs!$C$2:$C$10001,SKUs!$F$2:$F$10001,"",0), " Accessories",""))</f>
        <v/>
      </c>
      <c r="L890" s="36">
        <f>_xlfn.XLOOKUP(C890,'Project Details'!$C$17:$C$66,'Project Details'!$D$17:$D$66,"",0)</f>
        <v>0</v>
      </c>
      <c r="M890" s="43"/>
    </row>
    <row r="891" spans="1:13" ht="13.5" customHeight="1" x14ac:dyDescent="0.25">
      <c r="A891" s="43"/>
      <c r="B891" s="43"/>
      <c r="C891" s="16">
        <f t="shared" si="16"/>
        <v>18</v>
      </c>
      <c r="D891" s="16" t="str" cm="1">
        <f t="array" ref="D891">IFERROR(ROUNDUP(_xlfn.IFS(F891="Aluminum Track", _xlfn.XLOOKUP(C891, dd_accsrycalc!$A$2:$A$51, dd_accsrycalc!$B$2:$B$51, "",0), F891="10 x 2 1/2 S (Flat)", _xlfn.XLOOKUP(C891, dd_accsrycalc!$A$2:$A$51, dd_accsrycalc!$C$2:$C$51, "",0), F891="Tox6", _xlfn.XLOOKUP(C891, dd_accsrycalc!$A$2:$A$51, dd_accsrycalc!$D$2:$D$51, "",0), F891="Cover Cap", _xlfn.XLOOKUP(C891, dd_accsrycalc!$A$2:$A$51, dd_accsrycalc!$E$2:$E$51, "",0), F891="Drainage Cover", _xlfn.XLOOKUP(C891, dd_accsrycalc!$A$2:$A$51, dd_accsrycalc!$F$2:$F$51, "",0),AND( F891="Double Adhesive Tape", I891="Roll-up Screen"), _xlfn.XLOOKUP(C891, calc_rusacc!$C$15:$C$65, calc_rusacc!$AD$15:$AD$65, "",0),AND( F891="Sealant", I891="Roll-up Screen"), _xlfn.XLOOKUP(C891, calc_rusacc!$C$15:$C$65, calc_rusacc!$AF$15:$AF$65, "",0),  AND( F891="Main Chain", I891="Accordion Screen"), _xlfn.XLOOKUP(C891, calc_rusacc!$C$15:$C$65, calc_rusacc!$BF$15:$BF$65, "",0), AND( F891="Sealant", I891="Accordion Screen"), _xlfn.XLOOKUP(C891, calc_rusacc!$C$15:$C$65, calc_rusacc!$BJ$15:$BJ$65, "",0),  F891="Sealant", _xlfn.XLOOKUP(C891, dd_accsrycalc!$A$2:$A$51, dd_accsrycalc!$G$2:$G$51, "",0),  F891&lt;&gt;"",L891*_xlfn.XLOOKUP(1, (SKUs!$C$2:$C$10001=G891)*(SKUs!$K$2:$K$10001=I891),SKUs!$E$2:$E$10001)), 0),"")</f>
        <v/>
      </c>
      <c r="E891" s="16" t="str">
        <f>_xlfn.XLOOKUP(F891,dd_item!$B$2:$B$105,dd_item!$C$2:$C$105,"",0)</f>
        <v/>
      </c>
      <c r="F891" s="16"/>
      <c r="G891" s="16" cm="1">
        <f t="array" ref="G891">IFERROR(_xlfn.XLOOKUP(1, (SKUs!$J$2:$J$10001=accsry_unmerged!F891)*IF(H891&lt;&gt;"",(SKUs!$L$2:$L$10001=accsry_unmerged!H891),1)*(SKUs!$K$2:$K$10001=I891),SKUs!$C$2:$C$10001),"")</f>
        <v>0</v>
      </c>
      <c r="H891" s="33" cm="1">
        <f t="array" ref="H891">IFERROR(_xlfn.XLOOKUP(1, (dd_accsryclr!$C$2:$C$1000=accsry_unmerged!F891)*(dd_accsryclr!$B$2:$B$1000=accsry_unmerged!J891),dd_accsryclr!$A$2:$A$1000),"")</f>
        <v>0</v>
      </c>
      <c r="I891" s="16">
        <f>_xlfn.XLOOKUP(C891,'Project Details'!$C$17:$C$66,'Project Details'!$E$17:$E$66,"",0)</f>
        <v>0</v>
      </c>
      <c r="J891" s="16">
        <f>_xlfn.XLOOKUP(C891,'Project Details'!$C$17:$C$66,'Project Details'!$H$17:$H$66,"",0)</f>
        <v>0</v>
      </c>
      <c r="K891" s="33" t="str">
        <f>IF(AND(_xlfn.XLOOKUP(C891,'Project Details'!$C$17:$C$66,'Project Details'!$L$17:$L$66,"",0)&gt;550, F891="Spring-L27cm"),"",SUBSTITUTE(_xlfn.XLOOKUP(G891,SKUs!$C$2:$C$10001,SKUs!$F$2:$F$10001,"",0), " Accessories",""))</f>
        <v/>
      </c>
      <c r="L891" s="33">
        <f>_xlfn.XLOOKUP(C891,'Project Details'!$C$17:$C$66,'Project Details'!$D$17:$D$66,"",0)</f>
        <v>0</v>
      </c>
      <c r="M891" s="43"/>
    </row>
    <row r="892" spans="1:13" ht="13.5" customHeight="1" x14ac:dyDescent="0.25">
      <c r="A892" s="43"/>
      <c r="B892" s="43"/>
      <c r="C892" s="35">
        <f t="shared" si="16"/>
        <v>18</v>
      </c>
      <c r="D892" s="35" t="str" cm="1">
        <f t="array" ref="D892">IFERROR(ROUNDUP(_xlfn.IFS(F892="Aluminum Track", _xlfn.XLOOKUP(C892, dd_accsrycalc!$A$2:$A$51, dd_accsrycalc!$B$2:$B$51, "",0), F892="10 x 2 1/2 S (Flat)", _xlfn.XLOOKUP(C892, dd_accsrycalc!$A$2:$A$51, dd_accsrycalc!$C$2:$C$51, "",0), F892="Tox6", _xlfn.XLOOKUP(C892, dd_accsrycalc!$A$2:$A$51, dd_accsrycalc!$D$2:$D$51, "",0), F892="Cover Cap", _xlfn.XLOOKUP(C892, dd_accsrycalc!$A$2:$A$51, dd_accsrycalc!$E$2:$E$51, "",0), F892="Drainage Cover", _xlfn.XLOOKUP(C892, dd_accsrycalc!$A$2:$A$51, dd_accsrycalc!$F$2:$F$51, "",0),AND( F892="Double Adhesive Tape", I892="Roll-up Screen"), _xlfn.XLOOKUP(C892, calc_rusacc!$C$15:$C$65, calc_rusacc!$AD$15:$AD$65, "",0),AND( F892="Sealant", I892="Roll-up Screen"), _xlfn.XLOOKUP(C892, calc_rusacc!$C$15:$C$65, calc_rusacc!$AF$15:$AF$65, "",0),  AND( F892="Main Chain", I892="Accordion Screen"), _xlfn.XLOOKUP(C892, calc_rusacc!$C$15:$C$65, calc_rusacc!$BF$15:$BF$65, "",0), AND( F892="Sealant", I892="Accordion Screen"), _xlfn.XLOOKUP(C892, calc_rusacc!$C$15:$C$65, calc_rusacc!$BJ$15:$BJ$65, "",0),  F892="Sealant", _xlfn.XLOOKUP(C892, dd_accsrycalc!$A$2:$A$51, dd_accsrycalc!$G$2:$G$51, "",0),  F892&lt;&gt;"",L892*_xlfn.XLOOKUP(1, (SKUs!$C$2:$C$10001=G892)*(SKUs!$K$2:$K$10001=I892),SKUs!$E$2:$E$10001)), 0),"")</f>
        <v/>
      </c>
      <c r="E892" s="35" t="str">
        <f>_xlfn.XLOOKUP(F892,dd_item!$B$2:$B$105,dd_item!$C$2:$C$105,"",0)</f>
        <v/>
      </c>
      <c r="F892" s="35"/>
      <c r="G892" s="35" cm="1">
        <f t="array" ref="G892">IFERROR(_xlfn.XLOOKUP(1, (SKUs!$J$2:$J$10001=accsry_unmerged!F892)*IF(H892&lt;&gt;"",(SKUs!$L$2:$L$10001=accsry_unmerged!H892),1)*(SKUs!$K$2:$K$10001=I892),SKUs!$C$2:$C$10001),"")</f>
        <v>0</v>
      </c>
      <c r="H892" s="36" cm="1">
        <f t="array" ref="H892">IFERROR(_xlfn.XLOOKUP(1, (dd_accsryclr!$C$2:$C$1000=accsry_unmerged!F892)*(dd_accsryclr!$B$2:$B$1000=accsry_unmerged!J892),dd_accsryclr!$A$2:$A$1000),"")</f>
        <v>0</v>
      </c>
      <c r="I892" s="35">
        <f>_xlfn.XLOOKUP(C892,'Project Details'!$C$17:$C$66,'Project Details'!$E$17:$E$66,"",0)</f>
        <v>0</v>
      </c>
      <c r="J892" s="35">
        <f>_xlfn.XLOOKUP(C892,'Project Details'!$C$17:$C$66,'Project Details'!$H$17:$H$66,"",0)</f>
        <v>0</v>
      </c>
      <c r="K892" s="36" t="str">
        <f>IF(AND(_xlfn.XLOOKUP(C892,'Project Details'!$C$17:$C$66,'Project Details'!$L$17:$L$66,"",0)&gt;550, F892="Spring-L27cm"),"",SUBSTITUTE(_xlfn.XLOOKUP(G892,SKUs!$C$2:$C$10001,SKUs!$F$2:$F$10001,"",0), " Accessories",""))</f>
        <v/>
      </c>
      <c r="L892" s="36">
        <f>_xlfn.XLOOKUP(C892,'Project Details'!$C$17:$C$66,'Project Details'!$D$17:$D$66,"",0)</f>
        <v>0</v>
      </c>
      <c r="M892" s="43"/>
    </row>
    <row r="893" spans="1:13" ht="13.5" customHeight="1" x14ac:dyDescent="0.25">
      <c r="A893" s="43"/>
      <c r="B893" s="43"/>
      <c r="C893" s="16">
        <f t="shared" si="16"/>
        <v>18</v>
      </c>
      <c r="D893" s="16" t="str" cm="1">
        <f t="array" ref="D893">IFERROR(ROUNDUP(_xlfn.IFS(F893="Aluminum Track", _xlfn.XLOOKUP(C893, dd_accsrycalc!$A$2:$A$51, dd_accsrycalc!$B$2:$B$51, "",0), F893="10 x 2 1/2 S (Flat)", _xlfn.XLOOKUP(C893, dd_accsrycalc!$A$2:$A$51, dd_accsrycalc!$C$2:$C$51, "",0), F893="Tox6", _xlfn.XLOOKUP(C893, dd_accsrycalc!$A$2:$A$51, dd_accsrycalc!$D$2:$D$51, "",0), F893="Cover Cap", _xlfn.XLOOKUP(C893, dd_accsrycalc!$A$2:$A$51, dd_accsrycalc!$E$2:$E$51, "",0), F893="Drainage Cover", _xlfn.XLOOKUP(C893, dd_accsrycalc!$A$2:$A$51, dd_accsrycalc!$F$2:$F$51, "",0),AND( F893="Double Adhesive Tape", I893="Roll-up Screen"), _xlfn.XLOOKUP(C893, calc_rusacc!$C$15:$C$65, calc_rusacc!$AD$15:$AD$65, "",0),AND( F893="Sealant", I893="Roll-up Screen"), _xlfn.XLOOKUP(C893, calc_rusacc!$C$15:$C$65, calc_rusacc!$AF$15:$AF$65, "",0),  AND( F893="Main Chain", I893="Accordion Screen"), _xlfn.XLOOKUP(C893, calc_rusacc!$C$15:$C$65, calc_rusacc!$BF$15:$BF$65, "",0), AND( F893="Sealant", I893="Accordion Screen"), _xlfn.XLOOKUP(C893, calc_rusacc!$C$15:$C$65, calc_rusacc!$BJ$15:$BJ$65, "",0),  F893="Sealant", _xlfn.XLOOKUP(C893, dd_accsrycalc!$A$2:$A$51, dd_accsrycalc!$G$2:$G$51, "",0),  F893&lt;&gt;"",L893*_xlfn.XLOOKUP(1, (SKUs!$C$2:$C$10001=G893)*(SKUs!$K$2:$K$10001=I893),SKUs!$E$2:$E$10001)), 0),"")</f>
        <v/>
      </c>
      <c r="E893" s="16" t="str">
        <f>_xlfn.XLOOKUP(F893,dd_item!$B$2:$B$105,dd_item!$C$2:$C$105,"",0)</f>
        <v/>
      </c>
      <c r="F893" s="16"/>
      <c r="G893" s="16" cm="1">
        <f t="array" ref="G893">IFERROR(_xlfn.XLOOKUP(1, (SKUs!$J$2:$J$10001=accsry_unmerged!F893)*IF(H893&lt;&gt;"",(SKUs!$L$2:$L$10001=accsry_unmerged!H893),1)*(SKUs!$K$2:$K$10001=I893),SKUs!$C$2:$C$10001),"")</f>
        <v>0</v>
      </c>
      <c r="H893" s="33" cm="1">
        <f t="array" ref="H893">IFERROR(_xlfn.XLOOKUP(1, (dd_accsryclr!$C$2:$C$1000=accsry_unmerged!F893)*(dd_accsryclr!$B$2:$B$1000=accsry_unmerged!J893),dd_accsryclr!$A$2:$A$1000),"")</f>
        <v>0</v>
      </c>
      <c r="I893" s="16">
        <f>_xlfn.XLOOKUP(C893,'Project Details'!$C$17:$C$66,'Project Details'!$E$17:$E$66,"",0)</f>
        <v>0</v>
      </c>
      <c r="J893" s="16">
        <f>_xlfn.XLOOKUP(C893,'Project Details'!$C$17:$C$66,'Project Details'!$H$17:$H$66,"",0)</f>
        <v>0</v>
      </c>
      <c r="K893" s="33" t="str">
        <f>IF(AND(_xlfn.XLOOKUP(C893,'Project Details'!$C$17:$C$66,'Project Details'!$L$17:$L$66,"",0)&gt;550, F893="Spring-L27cm"),"",SUBSTITUTE(_xlfn.XLOOKUP(G893,SKUs!$C$2:$C$10001,SKUs!$F$2:$F$10001,"",0), " Accessories",""))</f>
        <v/>
      </c>
      <c r="L893" s="33">
        <f>_xlfn.XLOOKUP(C893,'Project Details'!$C$17:$C$66,'Project Details'!$D$17:$D$66,"",0)</f>
        <v>0</v>
      </c>
      <c r="M893" s="43"/>
    </row>
    <row r="894" spans="1:13" ht="13.5" customHeight="1" x14ac:dyDescent="0.25">
      <c r="A894" s="43"/>
      <c r="B894" s="43"/>
      <c r="C894" s="35">
        <f t="shared" si="16"/>
        <v>18</v>
      </c>
      <c r="D894" s="35" t="str" cm="1">
        <f t="array" ref="D894">IFERROR(ROUNDUP(_xlfn.IFS(F894="Aluminum Track", _xlfn.XLOOKUP(C894, dd_accsrycalc!$A$2:$A$51, dd_accsrycalc!$B$2:$B$51, "",0), F894="10 x 2 1/2 S (Flat)", _xlfn.XLOOKUP(C894, dd_accsrycalc!$A$2:$A$51, dd_accsrycalc!$C$2:$C$51, "",0), F894="Tox6", _xlfn.XLOOKUP(C894, dd_accsrycalc!$A$2:$A$51, dd_accsrycalc!$D$2:$D$51, "",0), F894="Cover Cap", _xlfn.XLOOKUP(C894, dd_accsrycalc!$A$2:$A$51, dd_accsrycalc!$E$2:$E$51, "",0), F894="Drainage Cover", _xlfn.XLOOKUP(C894, dd_accsrycalc!$A$2:$A$51, dd_accsrycalc!$F$2:$F$51, "",0),AND( F894="Double Adhesive Tape", I894="Roll-up Screen"), _xlfn.XLOOKUP(C894, calc_rusacc!$C$15:$C$65, calc_rusacc!$AD$15:$AD$65, "",0),AND( F894="Sealant", I894="Roll-up Screen"), _xlfn.XLOOKUP(C894, calc_rusacc!$C$15:$C$65, calc_rusacc!$AF$15:$AF$65, "",0),  AND( F894="Main Chain", I894="Accordion Screen"), _xlfn.XLOOKUP(C894, calc_rusacc!$C$15:$C$65, calc_rusacc!$BF$15:$BF$65, "",0), AND( F894="Sealant", I894="Accordion Screen"), _xlfn.XLOOKUP(C894, calc_rusacc!$C$15:$C$65, calc_rusacc!$BJ$15:$BJ$65, "",0),  F894="Sealant", _xlfn.XLOOKUP(C894, dd_accsrycalc!$A$2:$A$51, dd_accsrycalc!$G$2:$G$51, "",0),  F894&lt;&gt;"",L894*_xlfn.XLOOKUP(1, (SKUs!$C$2:$C$10001=G894)*(SKUs!$K$2:$K$10001=I894),SKUs!$E$2:$E$10001)), 0),"")</f>
        <v/>
      </c>
      <c r="E894" s="35" t="str">
        <f>_xlfn.XLOOKUP(F894,dd_item!$B$2:$B$105,dd_item!$C$2:$C$105,"",0)</f>
        <v/>
      </c>
      <c r="F894" s="35"/>
      <c r="G894" s="35" cm="1">
        <f t="array" ref="G894">IFERROR(_xlfn.XLOOKUP(1, (SKUs!$J$2:$J$10001=accsry_unmerged!F894)*IF(H894&lt;&gt;"",(SKUs!$L$2:$L$10001=accsry_unmerged!H894),1)*(SKUs!$K$2:$K$10001=I894),SKUs!$C$2:$C$10001),"")</f>
        <v>0</v>
      </c>
      <c r="H894" s="36" cm="1">
        <f t="array" ref="H894">IFERROR(_xlfn.XLOOKUP(1, (dd_accsryclr!$C$2:$C$1000=accsry_unmerged!F894)*(dd_accsryclr!$B$2:$B$1000=accsry_unmerged!J894),dd_accsryclr!$A$2:$A$1000),"")</f>
        <v>0</v>
      </c>
      <c r="I894" s="35">
        <f>_xlfn.XLOOKUP(C894,'Project Details'!$C$17:$C$66,'Project Details'!$E$17:$E$66,"",0)</f>
        <v>0</v>
      </c>
      <c r="J894" s="35">
        <f>_xlfn.XLOOKUP(C894,'Project Details'!$C$17:$C$66,'Project Details'!$H$17:$H$66,"",0)</f>
        <v>0</v>
      </c>
      <c r="K894" s="36" t="str">
        <f>IF(AND(_xlfn.XLOOKUP(C894,'Project Details'!$C$17:$C$66,'Project Details'!$L$17:$L$66,"",0)&gt;550, F894="Spring-L27cm"),"",SUBSTITUTE(_xlfn.XLOOKUP(G894,SKUs!$C$2:$C$10001,SKUs!$F$2:$F$10001,"",0), " Accessories",""))</f>
        <v/>
      </c>
      <c r="L894" s="36">
        <f>_xlfn.XLOOKUP(C894,'Project Details'!$C$17:$C$66,'Project Details'!$D$17:$D$66,"",0)</f>
        <v>0</v>
      </c>
      <c r="M894" s="43"/>
    </row>
    <row r="895" spans="1:13" ht="13.5" customHeight="1" outlineLevel="1" x14ac:dyDescent="0.25">
      <c r="A895" s="43"/>
      <c r="B895" s="43"/>
      <c r="C895" s="16">
        <f t="shared" si="16"/>
        <v>18</v>
      </c>
      <c r="D895" s="16" t="str" cm="1">
        <f t="array" ref="D895">IFERROR(ROUNDUP(_xlfn.IFS(F895="Aluminum Track", _xlfn.XLOOKUP(C895, dd_accsrycalc!$A$2:$A$51, dd_accsrycalc!$B$2:$B$51, "",0), F895="10 x 2 1/2 S (Flat)", _xlfn.XLOOKUP(C895, dd_accsrycalc!$A$2:$A$51, dd_accsrycalc!$C$2:$C$51, "",0), F895="Tox6", _xlfn.XLOOKUP(C895, dd_accsrycalc!$A$2:$A$51, dd_accsrycalc!$D$2:$D$51, "",0), F895="Cover Cap", _xlfn.XLOOKUP(C895, dd_accsrycalc!$A$2:$A$51, dd_accsrycalc!$E$2:$E$51, "",0), F895="Drainage Cover", _xlfn.XLOOKUP(C895, dd_accsrycalc!$A$2:$A$51, dd_accsrycalc!$F$2:$F$51, "",0),AND( F895="Double Adhesive Tape", I895="Roll-up Screen"), _xlfn.XLOOKUP(C895, calc_rusacc!$C$15:$C$65, calc_rusacc!$AD$15:$AD$65, "",0),AND( F895="Sealant", I895="Roll-up Screen"), _xlfn.XLOOKUP(C895, calc_rusacc!$C$15:$C$65, calc_rusacc!$AF$15:$AF$65, "",0),  AND( F895="Main Chain", I895="Accordion Screen"), _xlfn.XLOOKUP(C895, calc_rusacc!$C$15:$C$65, calc_rusacc!$BF$15:$BF$65, "",0), AND( F895="Sealant", I895="Accordion Screen"), _xlfn.XLOOKUP(C895, calc_rusacc!$C$15:$C$65, calc_rusacc!$BJ$15:$BJ$65, "",0),  F895="Sealant", _xlfn.XLOOKUP(C895, dd_accsrycalc!$A$2:$A$51, dd_accsrycalc!$G$2:$G$51, "",0),  F895&lt;&gt;"",L895*_xlfn.XLOOKUP(1, (SKUs!$C$2:$C$10001=G895)*(SKUs!$K$2:$K$10001=I895),SKUs!$E$2:$E$10001)), 0),"")</f>
        <v/>
      </c>
      <c r="E895" s="16" t="str">
        <f>_xlfn.XLOOKUP(F895,dd_item!$B$2:$B$105,dd_item!$C$2:$C$105,"",0)</f>
        <v/>
      </c>
      <c r="F895" s="16"/>
      <c r="G895" s="16" cm="1">
        <f t="array" ref="G895">IFERROR(_xlfn.XLOOKUP(1, (SKUs!$J$2:$J$10001=accsry_unmerged!F895)*IF(H895&lt;&gt;"",(SKUs!$L$2:$L$10001=accsry_unmerged!H895),1)*(SKUs!$K$2:$K$10001=I895),SKUs!$C$2:$C$10001),"")</f>
        <v>0</v>
      </c>
      <c r="H895" s="33" cm="1">
        <f t="array" ref="H895">IFERROR(_xlfn.XLOOKUP(1, (dd_accsryclr!$C$2:$C$1000=accsry_unmerged!F895)*(dd_accsryclr!$B$2:$B$1000=accsry_unmerged!J895),dd_accsryclr!$A$2:$A$1000),"")</f>
        <v>0</v>
      </c>
      <c r="I895" s="16">
        <f>_xlfn.XLOOKUP(C895,'Project Details'!$C$17:$C$66,'Project Details'!$E$17:$E$66,"",0)</f>
        <v>0</v>
      </c>
      <c r="J895" s="16">
        <f>_xlfn.XLOOKUP(C895,'Project Details'!$C$17:$C$66,'Project Details'!$H$17:$H$66,"",0)</f>
        <v>0</v>
      </c>
      <c r="K895" s="33" t="str">
        <f>IF(AND(_xlfn.XLOOKUP(C895,'Project Details'!$C$17:$C$66,'Project Details'!$L$17:$L$66,"",0)&gt;550, F895="Spring-L27cm"),"",SUBSTITUTE(_xlfn.XLOOKUP(G895,SKUs!$C$2:$C$10001,SKUs!$F$2:$F$10001,"",0), " Accessories",""))</f>
        <v/>
      </c>
      <c r="L895" s="33">
        <f>_xlfn.XLOOKUP(C895,'Project Details'!$C$17:$C$66,'Project Details'!$D$17:$D$66,"",0)</f>
        <v>0</v>
      </c>
      <c r="M895" s="43"/>
    </row>
    <row r="896" spans="1:13" ht="13.5" customHeight="1" outlineLevel="1" x14ac:dyDescent="0.25">
      <c r="A896" s="43"/>
      <c r="B896" s="43"/>
      <c r="C896" s="35">
        <f t="shared" si="16"/>
        <v>18</v>
      </c>
      <c r="D896" s="35" t="str" cm="1">
        <f t="array" ref="D896">IFERROR(ROUNDUP(_xlfn.IFS(F896="Aluminum Track", _xlfn.XLOOKUP(C896, dd_accsrycalc!$A$2:$A$51, dd_accsrycalc!$B$2:$B$51, "",0), F896="10 x 2 1/2 S (Flat)", _xlfn.XLOOKUP(C896, dd_accsrycalc!$A$2:$A$51, dd_accsrycalc!$C$2:$C$51, "",0), F896="Tox6", _xlfn.XLOOKUP(C896, dd_accsrycalc!$A$2:$A$51, dd_accsrycalc!$D$2:$D$51, "",0), F896="Cover Cap", _xlfn.XLOOKUP(C896, dd_accsrycalc!$A$2:$A$51, dd_accsrycalc!$E$2:$E$51, "",0), F896="Drainage Cover", _xlfn.XLOOKUP(C896, dd_accsrycalc!$A$2:$A$51, dd_accsrycalc!$F$2:$F$51, "",0),AND( F896="Double Adhesive Tape", I896="Roll-up Screen"), _xlfn.XLOOKUP(C896, calc_rusacc!$C$15:$C$65, calc_rusacc!$AD$15:$AD$65, "",0),AND( F896="Sealant", I896="Roll-up Screen"), _xlfn.XLOOKUP(C896, calc_rusacc!$C$15:$C$65, calc_rusacc!$AF$15:$AF$65, "",0),  AND( F896="Main Chain", I896="Accordion Screen"), _xlfn.XLOOKUP(C896, calc_rusacc!$C$15:$C$65, calc_rusacc!$BF$15:$BF$65, "",0), AND( F896="Sealant", I896="Accordion Screen"), _xlfn.XLOOKUP(C896, calc_rusacc!$C$15:$C$65, calc_rusacc!$BJ$15:$BJ$65, "",0),  F896="Sealant", _xlfn.XLOOKUP(C896, dd_accsrycalc!$A$2:$A$51, dd_accsrycalc!$G$2:$G$51, "",0),  F896&lt;&gt;"",L896*_xlfn.XLOOKUP(1, (SKUs!$C$2:$C$10001=G896)*(SKUs!$K$2:$K$10001=I896),SKUs!$E$2:$E$10001)), 0),"")</f>
        <v/>
      </c>
      <c r="E896" s="35" t="str">
        <f>_xlfn.XLOOKUP(F896,dd_item!$B$2:$B$105,dd_item!$C$2:$C$105,"",0)</f>
        <v/>
      </c>
      <c r="F896" s="35"/>
      <c r="G896" s="35" cm="1">
        <f t="array" ref="G896">IFERROR(_xlfn.XLOOKUP(1, (SKUs!$J$2:$J$10001=accsry_unmerged!F896)*IF(H896&lt;&gt;"",(SKUs!$L$2:$L$10001=accsry_unmerged!H896),1)*(SKUs!$K$2:$K$10001=I896),SKUs!$C$2:$C$10001),"")</f>
        <v>0</v>
      </c>
      <c r="H896" s="36" cm="1">
        <f t="array" ref="H896">IFERROR(_xlfn.XLOOKUP(1, (dd_accsryclr!$C$2:$C$1000=accsry_unmerged!F896)*(dd_accsryclr!$B$2:$B$1000=accsry_unmerged!J896),dd_accsryclr!$A$2:$A$1000),"")</f>
        <v>0</v>
      </c>
      <c r="I896" s="35">
        <f>_xlfn.XLOOKUP(C896,'Project Details'!$C$17:$C$66,'Project Details'!$E$17:$E$66,"",0)</f>
        <v>0</v>
      </c>
      <c r="J896" s="35">
        <f>_xlfn.XLOOKUP(C896,'Project Details'!$C$17:$C$66,'Project Details'!$H$17:$H$66,"",0)</f>
        <v>0</v>
      </c>
      <c r="K896" s="36" t="str">
        <f>IF(AND(_xlfn.XLOOKUP(C896,'Project Details'!$C$17:$C$66,'Project Details'!$L$17:$L$66,"",0)&gt;550, F896="Spring-L27cm"),"",SUBSTITUTE(_xlfn.XLOOKUP(G896,SKUs!$C$2:$C$10001,SKUs!$F$2:$F$10001,"",0), " Accessories",""))</f>
        <v/>
      </c>
      <c r="L896" s="36">
        <f>_xlfn.XLOOKUP(C896,'Project Details'!$C$17:$C$66,'Project Details'!$D$17:$D$66,"",0)</f>
        <v>0</v>
      </c>
      <c r="M896" s="43"/>
    </row>
    <row r="897" spans="1:13" ht="13.5" customHeight="1" outlineLevel="1" x14ac:dyDescent="0.25">
      <c r="A897" s="43"/>
      <c r="B897" s="43"/>
      <c r="C897" s="16">
        <f t="shared" si="16"/>
        <v>18</v>
      </c>
      <c r="D897" s="16" t="str" cm="1">
        <f t="array" ref="D897">IFERROR(ROUNDUP(_xlfn.IFS(F897="Aluminum Track", _xlfn.XLOOKUP(C897, dd_accsrycalc!$A$2:$A$51, dd_accsrycalc!$B$2:$B$51, "",0), F897="10 x 2 1/2 S (Flat)", _xlfn.XLOOKUP(C897, dd_accsrycalc!$A$2:$A$51, dd_accsrycalc!$C$2:$C$51, "",0), F897="Tox6", _xlfn.XLOOKUP(C897, dd_accsrycalc!$A$2:$A$51, dd_accsrycalc!$D$2:$D$51, "",0), F897="Cover Cap", _xlfn.XLOOKUP(C897, dd_accsrycalc!$A$2:$A$51, dd_accsrycalc!$E$2:$E$51, "",0), F897="Drainage Cover", _xlfn.XLOOKUP(C897, dd_accsrycalc!$A$2:$A$51, dd_accsrycalc!$F$2:$F$51, "",0),AND( F897="Double Adhesive Tape", I897="Roll-up Screen"), _xlfn.XLOOKUP(C897, calc_rusacc!$C$15:$C$65, calc_rusacc!$AD$15:$AD$65, "",0),AND( F897="Sealant", I897="Roll-up Screen"), _xlfn.XLOOKUP(C897, calc_rusacc!$C$15:$C$65, calc_rusacc!$AF$15:$AF$65, "",0),  AND( F897="Main Chain", I897="Accordion Screen"), _xlfn.XLOOKUP(C897, calc_rusacc!$C$15:$C$65, calc_rusacc!$BF$15:$BF$65, "",0), AND( F897="Sealant", I897="Accordion Screen"), _xlfn.XLOOKUP(C897, calc_rusacc!$C$15:$C$65, calc_rusacc!$BJ$15:$BJ$65, "",0),  F897="Sealant", _xlfn.XLOOKUP(C897, dd_accsrycalc!$A$2:$A$51, dd_accsrycalc!$G$2:$G$51, "",0),  F897&lt;&gt;"",L897*_xlfn.XLOOKUP(1, (SKUs!$C$2:$C$10001=G897)*(SKUs!$K$2:$K$10001=I897),SKUs!$E$2:$E$10001)), 0),"")</f>
        <v/>
      </c>
      <c r="E897" s="16" t="str">
        <f>_xlfn.XLOOKUP(F897,dd_item!$B$2:$B$105,dd_item!$C$2:$C$105,"",0)</f>
        <v/>
      </c>
      <c r="F897" s="16"/>
      <c r="G897" s="16" cm="1">
        <f t="array" ref="G897">IFERROR(_xlfn.XLOOKUP(1, (SKUs!$J$2:$J$10001=accsry_unmerged!F897)*IF(H897&lt;&gt;"",(SKUs!$L$2:$L$10001=accsry_unmerged!H897),1)*(SKUs!$K$2:$K$10001=I897),SKUs!$C$2:$C$10001),"")</f>
        <v>0</v>
      </c>
      <c r="H897" s="33" cm="1">
        <f t="array" ref="H897">IFERROR(_xlfn.XLOOKUP(1, (dd_accsryclr!$C$2:$C$1000=accsry_unmerged!F897)*(dd_accsryclr!$B$2:$B$1000=accsry_unmerged!J897),dd_accsryclr!$A$2:$A$1000),"")</f>
        <v>0</v>
      </c>
      <c r="I897" s="16">
        <f>_xlfn.XLOOKUP(C897,'Project Details'!$C$17:$C$66,'Project Details'!$E$17:$E$66,"",0)</f>
        <v>0</v>
      </c>
      <c r="J897" s="16">
        <f>_xlfn.XLOOKUP(C897,'Project Details'!$C$17:$C$66,'Project Details'!$H$17:$H$66,"",0)</f>
        <v>0</v>
      </c>
      <c r="K897" s="33" t="str">
        <f>IF(AND(_xlfn.XLOOKUP(C897,'Project Details'!$C$17:$C$66,'Project Details'!$L$17:$L$66,"",0)&gt;550, F897="Spring-L27cm"),"",SUBSTITUTE(_xlfn.XLOOKUP(G897,SKUs!$C$2:$C$10001,SKUs!$F$2:$F$10001,"",0), " Accessories",""))</f>
        <v/>
      </c>
      <c r="L897" s="33">
        <f>_xlfn.XLOOKUP(C897,'Project Details'!$C$17:$C$66,'Project Details'!$D$17:$D$66,"",0)</f>
        <v>0</v>
      </c>
      <c r="M897" s="43"/>
    </row>
    <row r="898" spans="1:13" ht="13.5" customHeight="1" outlineLevel="1" x14ac:dyDescent="0.25">
      <c r="A898" s="43"/>
      <c r="B898" s="43"/>
      <c r="C898" s="35">
        <f t="shared" si="16"/>
        <v>18</v>
      </c>
      <c r="D898" s="35" t="str" cm="1">
        <f t="array" ref="D898">IFERROR(ROUNDUP(_xlfn.IFS(F898="Aluminum Track", _xlfn.XLOOKUP(C898, dd_accsrycalc!$A$2:$A$51, dd_accsrycalc!$B$2:$B$51, "",0), F898="10 x 2 1/2 S (Flat)", _xlfn.XLOOKUP(C898, dd_accsrycalc!$A$2:$A$51, dd_accsrycalc!$C$2:$C$51, "",0), F898="Tox6", _xlfn.XLOOKUP(C898, dd_accsrycalc!$A$2:$A$51, dd_accsrycalc!$D$2:$D$51, "",0), F898="Cover Cap", _xlfn.XLOOKUP(C898, dd_accsrycalc!$A$2:$A$51, dd_accsrycalc!$E$2:$E$51, "",0), F898="Drainage Cover", _xlfn.XLOOKUP(C898, dd_accsrycalc!$A$2:$A$51, dd_accsrycalc!$F$2:$F$51, "",0),AND( F898="Double Adhesive Tape", I898="Roll-up Screen"), _xlfn.XLOOKUP(C898, calc_rusacc!$C$15:$C$65, calc_rusacc!$AD$15:$AD$65, "",0),AND( F898="Sealant", I898="Roll-up Screen"), _xlfn.XLOOKUP(C898, calc_rusacc!$C$15:$C$65, calc_rusacc!$AF$15:$AF$65, "",0),  AND( F898="Main Chain", I898="Accordion Screen"), _xlfn.XLOOKUP(C898, calc_rusacc!$C$15:$C$65, calc_rusacc!$BF$15:$BF$65, "",0), AND( F898="Sealant", I898="Accordion Screen"), _xlfn.XLOOKUP(C898, calc_rusacc!$C$15:$C$65, calc_rusacc!$BJ$15:$BJ$65, "",0),  F898="Sealant", _xlfn.XLOOKUP(C898, dd_accsrycalc!$A$2:$A$51, dd_accsrycalc!$G$2:$G$51, "",0),  F898&lt;&gt;"",L898*_xlfn.XLOOKUP(1, (SKUs!$C$2:$C$10001=G898)*(SKUs!$K$2:$K$10001=I898),SKUs!$E$2:$E$10001)), 0),"")</f>
        <v/>
      </c>
      <c r="E898" s="35" t="str">
        <f>_xlfn.XLOOKUP(F898,dd_item!$B$2:$B$105,dd_item!$C$2:$C$105,"",0)</f>
        <v/>
      </c>
      <c r="F898" s="35"/>
      <c r="G898" s="35" cm="1">
        <f t="array" ref="G898">IFERROR(_xlfn.XLOOKUP(1, (SKUs!$J$2:$J$10001=accsry_unmerged!F898)*IF(H898&lt;&gt;"",(SKUs!$L$2:$L$10001=accsry_unmerged!H898),1)*(SKUs!$K$2:$K$10001=I898),SKUs!$C$2:$C$10001),"")</f>
        <v>0</v>
      </c>
      <c r="H898" s="36" cm="1">
        <f t="array" ref="H898">IFERROR(_xlfn.XLOOKUP(1, (dd_accsryclr!$C$2:$C$1000=accsry_unmerged!F898)*(dd_accsryclr!$B$2:$B$1000=accsry_unmerged!J898),dd_accsryclr!$A$2:$A$1000),"")</f>
        <v>0</v>
      </c>
      <c r="I898" s="35">
        <f>_xlfn.XLOOKUP(C898,'Project Details'!$C$17:$C$66,'Project Details'!$E$17:$E$66,"",0)</f>
        <v>0</v>
      </c>
      <c r="J898" s="35">
        <f>_xlfn.XLOOKUP(C898,'Project Details'!$C$17:$C$66,'Project Details'!$H$17:$H$66,"",0)</f>
        <v>0</v>
      </c>
      <c r="K898" s="36" t="str">
        <f>IF(AND(_xlfn.XLOOKUP(C898,'Project Details'!$C$17:$C$66,'Project Details'!$L$17:$L$66,"",0)&gt;550, F898="Spring-L27cm"),"",SUBSTITUTE(_xlfn.XLOOKUP(G898,SKUs!$C$2:$C$10001,SKUs!$F$2:$F$10001,"",0), " Accessories",""))</f>
        <v/>
      </c>
      <c r="L898" s="36">
        <f>_xlfn.XLOOKUP(C898,'Project Details'!$C$17:$C$66,'Project Details'!$D$17:$D$66,"",0)</f>
        <v>0</v>
      </c>
      <c r="M898" s="43"/>
    </row>
    <row r="899" spans="1:13" ht="13.5" customHeight="1" outlineLevel="1" x14ac:dyDescent="0.25">
      <c r="A899" s="43"/>
      <c r="B899" s="43"/>
      <c r="C899" s="16">
        <f t="shared" si="16"/>
        <v>18</v>
      </c>
      <c r="D899" s="16" t="str" cm="1">
        <f t="array" ref="D899">IFERROR(ROUNDUP(_xlfn.IFS(F899="Aluminum Track", _xlfn.XLOOKUP(C899, dd_accsrycalc!$A$2:$A$51, dd_accsrycalc!$B$2:$B$51, "",0), F899="10 x 2 1/2 S (Flat)", _xlfn.XLOOKUP(C899, dd_accsrycalc!$A$2:$A$51, dd_accsrycalc!$C$2:$C$51, "",0), F899="Tox6", _xlfn.XLOOKUP(C899, dd_accsrycalc!$A$2:$A$51, dd_accsrycalc!$D$2:$D$51, "",0), F899="Cover Cap", _xlfn.XLOOKUP(C899, dd_accsrycalc!$A$2:$A$51, dd_accsrycalc!$E$2:$E$51, "",0), F899="Drainage Cover", _xlfn.XLOOKUP(C899, dd_accsrycalc!$A$2:$A$51, dd_accsrycalc!$F$2:$F$51, "",0),AND( F899="Double Adhesive Tape", I899="Roll-up Screen"), _xlfn.XLOOKUP(C899, calc_rusacc!$C$15:$C$65, calc_rusacc!$AD$15:$AD$65, "",0),AND( F899="Sealant", I899="Roll-up Screen"), _xlfn.XLOOKUP(C899, calc_rusacc!$C$15:$C$65, calc_rusacc!$AF$15:$AF$65, "",0),  AND( F899="Main Chain", I899="Accordion Screen"), _xlfn.XLOOKUP(C899, calc_rusacc!$C$15:$C$65, calc_rusacc!$BF$15:$BF$65, "",0), AND( F899="Sealant", I899="Accordion Screen"), _xlfn.XLOOKUP(C899, calc_rusacc!$C$15:$C$65, calc_rusacc!$BJ$15:$BJ$65, "",0),  F899="Sealant", _xlfn.XLOOKUP(C899, dd_accsrycalc!$A$2:$A$51, dd_accsrycalc!$G$2:$G$51, "",0),  F899&lt;&gt;"",L899*_xlfn.XLOOKUP(1, (SKUs!$C$2:$C$10001=G899)*(SKUs!$K$2:$K$10001=I899),SKUs!$E$2:$E$10001)), 0),"")</f>
        <v/>
      </c>
      <c r="E899" s="16" t="str">
        <f>_xlfn.XLOOKUP(F899,dd_item!$B$2:$B$105,dd_item!$C$2:$C$105,"",0)</f>
        <v/>
      </c>
      <c r="F899" s="16"/>
      <c r="G899" s="16" cm="1">
        <f t="array" ref="G899">IFERROR(_xlfn.XLOOKUP(1, (SKUs!$J$2:$J$10001=accsry_unmerged!F899)*IF(H899&lt;&gt;"",(SKUs!$L$2:$L$10001=accsry_unmerged!H899),1)*(SKUs!$K$2:$K$10001=I899),SKUs!$C$2:$C$10001),"")</f>
        <v>0</v>
      </c>
      <c r="H899" s="33" cm="1">
        <f t="array" ref="H899">IFERROR(_xlfn.XLOOKUP(1, (dd_accsryclr!$C$2:$C$1000=accsry_unmerged!F899)*(dd_accsryclr!$B$2:$B$1000=accsry_unmerged!J899),dd_accsryclr!$A$2:$A$1000),"")</f>
        <v>0</v>
      </c>
      <c r="I899" s="16">
        <f>_xlfn.XLOOKUP(C899,'Project Details'!$C$17:$C$66,'Project Details'!$E$17:$E$66,"",0)</f>
        <v>0</v>
      </c>
      <c r="J899" s="16">
        <f>_xlfn.XLOOKUP(C899,'Project Details'!$C$17:$C$66,'Project Details'!$H$17:$H$66,"",0)</f>
        <v>0</v>
      </c>
      <c r="K899" s="33" t="str">
        <f>IF(AND(_xlfn.XLOOKUP(C899,'Project Details'!$C$17:$C$66,'Project Details'!$L$17:$L$66,"",0)&gt;550, F899="Spring-L27cm"),"",SUBSTITUTE(_xlfn.XLOOKUP(G899,SKUs!$C$2:$C$10001,SKUs!$F$2:$F$10001,"",0), " Accessories",""))</f>
        <v/>
      </c>
      <c r="L899" s="33">
        <f>_xlfn.XLOOKUP(C899,'Project Details'!$C$17:$C$66,'Project Details'!$D$17:$D$66,"",0)</f>
        <v>0</v>
      </c>
      <c r="M899" s="43"/>
    </row>
    <row r="900" spans="1:13" ht="13.5" customHeight="1" outlineLevel="1" x14ac:dyDescent="0.25">
      <c r="A900" s="43"/>
      <c r="B900" s="43"/>
      <c r="C900" s="35">
        <f t="shared" si="16"/>
        <v>18</v>
      </c>
      <c r="D900" s="35" t="str" cm="1">
        <f t="array" ref="D900">IFERROR(ROUNDUP(_xlfn.IFS(F900="Aluminum Track", _xlfn.XLOOKUP(C900, dd_accsrycalc!$A$2:$A$51, dd_accsrycalc!$B$2:$B$51, "",0), F900="10 x 2 1/2 S (Flat)", _xlfn.XLOOKUP(C900, dd_accsrycalc!$A$2:$A$51, dd_accsrycalc!$C$2:$C$51, "",0), F900="Tox6", _xlfn.XLOOKUP(C900, dd_accsrycalc!$A$2:$A$51, dd_accsrycalc!$D$2:$D$51, "",0), F900="Cover Cap", _xlfn.XLOOKUP(C900, dd_accsrycalc!$A$2:$A$51, dd_accsrycalc!$E$2:$E$51, "",0), F900="Drainage Cover", _xlfn.XLOOKUP(C900, dd_accsrycalc!$A$2:$A$51, dd_accsrycalc!$F$2:$F$51, "",0),AND( F900="Double Adhesive Tape", I900="Roll-up Screen"), _xlfn.XLOOKUP(C900, calc_rusacc!$C$15:$C$65, calc_rusacc!$AD$15:$AD$65, "",0),AND( F900="Sealant", I900="Roll-up Screen"), _xlfn.XLOOKUP(C900, calc_rusacc!$C$15:$C$65, calc_rusacc!$AF$15:$AF$65, "",0),  AND( F900="Main Chain", I900="Accordion Screen"), _xlfn.XLOOKUP(C900, calc_rusacc!$C$15:$C$65, calc_rusacc!$BF$15:$BF$65, "",0), AND( F900="Sealant", I900="Accordion Screen"), _xlfn.XLOOKUP(C900, calc_rusacc!$C$15:$C$65, calc_rusacc!$BJ$15:$BJ$65, "",0),  F900="Sealant", _xlfn.XLOOKUP(C900, dd_accsrycalc!$A$2:$A$51, dd_accsrycalc!$G$2:$G$51, "",0),  F900&lt;&gt;"",L900*_xlfn.XLOOKUP(1, (SKUs!$C$2:$C$10001=G900)*(SKUs!$K$2:$K$10001=I900),SKUs!$E$2:$E$10001)), 0),"")</f>
        <v/>
      </c>
      <c r="E900" s="35" t="str">
        <f>_xlfn.XLOOKUP(F900,dd_item!$B$2:$B$105,dd_item!$C$2:$C$105,"",0)</f>
        <v/>
      </c>
      <c r="F900" s="35"/>
      <c r="G900" s="35" cm="1">
        <f t="array" ref="G900">IFERROR(_xlfn.XLOOKUP(1, (SKUs!$J$2:$J$10001=accsry_unmerged!F900)*IF(H900&lt;&gt;"",(SKUs!$L$2:$L$10001=accsry_unmerged!H900),1)*(SKUs!$K$2:$K$10001=I900),SKUs!$C$2:$C$10001),"")</f>
        <v>0</v>
      </c>
      <c r="H900" s="36" cm="1">
        <f t="array" ref="H900">IFERROR(_xlfn.XLOOKUP(1, (dd_accsryclr!$C$2:$C$1000=accsry_unmerged!F900)*(dd_accsryclr!$B$2:$B$1000=accsry_unmerged!J900),dd_accsryclr!$A$2:$A$1000),"")</f>
        <v>0</v>
      </c>
      <c r="I900" s="35">
        <f>_xlfn.XLOOKUP(C900,'Project Details'!$C$17:$C$66,'Project Details'!$E$17:$E$66,"",0)</f>
        <v>0</v>
      </c>
      <c r="J900" s="35">
        <f>_xlfn.XLOOKUP(C900,'Project Details'!$C$17:$C$66,'Project Details'!$H$17:$H$66,"",0)</f>
        <v>0</v>
      </c>
      <c r="K900" s="36" t="str">
        <f>IF(AND(_xlfn.XLOOKUP(C900,'Project Details'!$C$17:$C$66,'Project Details'!$L$17:$L$66,"",0)&gt;550, F900="Spring-L27cm"),"",SUBSTITUTE(_xlfn.XLOOKUP(G900,SKUs!$C$2:$C$10001,SKUs!$F$2:$F$10001,"",0), " Accessories",""))</f>
        <v/>
      </c>
      <c r="L900" s="36">
        <f>_xlfn.XLOOKUP(C900,'Project Details'!$C$17:$C$66,'Project Details'!$D$17:$D$66,"",0)</f>
        <v>0</v>
      </c>
      <c r="M900" s="43"/>
    </row>
    <row r="901" spans="1:13" ht="13.5" customHeight="1" outlineLevel="1" x14ac:dyDescent="0.25">
      <c r="A901" s="43"/>
      <c r="B901" s="43"/>
      <c r="C901" s="16">
        <f t="shared" si="16"/>
        <v>18</v>
      </c>
      <c r="D901" s="16" t="str" cm="1">
        <f t="array" ref="D901">IFERROR(ROUNDUP(_xlfn.IFS(F901="Aluminum Track", _xlfn.XLOOKUP(C901, dd_accsrycalc!$A$2:$A$51, dd_accsrycalc!$B$2:$B$51, "",0), F901="10 x 2 1/2 S (Flat)", _xlfn.XLOOKUP(C901, dd_accsrycalc!$A$2:$A$51, dd_accsrycalc!$C$2:$C$51, "",0), F901="Tox6", _xlfn.XLOOKUP(C901, dd_accsrycalc!$A$2:$A$51, dd_accsrycalc!$D$2:$D$51, "",0), F901="Cover Cap", _xlfn.XLOOKUP(C901, dd_accsrycalc!$A$2:$A$51, dd_accsrycalc!$E$2:$E$51, "",0), F901="Drainage Cover", _xlfn.XLOOKUP(C901, dd_accsrycalc!$A$2:$A$51, dd_accsrycalc!$F$2:$F$51, "",0),AND( F901="Double Adhesive Tape", I901="Roll-up Screen"), _xlfn.XLOOKUP(C901, calc_rusacc!$C$15:$C$65, calc_rusacc!$AD$15:$AD$65, "",0),AND( F901="Sealant", I901="Roll-up Screen"), _xlfn.XLOOKUP(C901, calc_rusacc!$C$15:$C$65, calc_rusacc!$AF$15:$AF$65, "",0),  AND( F901="Main Chain", I901="Accordion Screen"), _xlfn.XLOOKUP(C901, calc_rusacc!$C$15:$C$65, calc_rusacc!$BF$15:$BF$65, "",0), AND( F901="Sealant", I901="Accordion Screen"), _xlfn.XLOOKUP(C901, calc_rusacc!$C$15:$C$65, calc_rusacc!$BJ$15:$BJ$65, "",0),  F901="Sealant", _xlfn.XLOOKUP(C901, dd_accsrycalc!$A$2:$A$51, dd_accsrycalc!$G$2:$G$51, "",0),  F901&lt;&gt;"",L901*_xlfn.XLOOKUP(1, (SKUs!$C$2:$C$10001=G901)*(SKUs!$K$2:$K$10001=I901),SKUs!$E$2:$E$10001)), 0),"")</f>
        <v/>
      </c>
      <c r="E901" s="16" t="str">
        <f>_xlfn.XLOOKUP(F901,dd_item!$B$2:$B$105,dd_item!$C$2:$C$105,"",0)</f>
        <v/>
      </c>
      <c r="F901" s="16"/>
      <c r="G901" s="16" cm="1">
        <f t="array" ref="G901">IFERROR(_xlfn.XLOOKUP(1, (SKUs!$J$2:$J$10001=accsry_unmerged!F901)*IF(H901&lt;&gt;"",(SKUs!$L$2:$L$10001=accsry_unmerged!H901),1)*(SKUs!$K$2:$K$10001=I901),SKUs!$C$2:$C$10001),"")</f>
        <v>0</v>
      </c>
      <c r="H901" s="33" cm="1">
        <f t="array" ref="H901">IFERROR(_xlfn.XLOOKUP(1, (dd_accsryclr!$C$2:$C$1000=accsry_unmerged!F901)*(dd_accsryclr!$B$2:$B$1000=accsry_unmerged!J901),dd_accsryclr!$A$2:$A$1000),"")</f>
        <v>0</v>
      </c>
      <c r="I901" s="16">
        <f>_xlfn.XLOOKUP(C901,'Project Details'!$C$17:$C$66,'Project Details'!$E$17:$E$66,"",0)</f>
        <v>0</v>
      </c>
      <c r="J901" s="16">
        <f>_xlfn.XLOOKUP(C901,'Project Details'!$C$17:$C$66,'Project Details'!$H$17:$H$66,"",0)</f>
        <v>0</v>
      </c>
      <c r="K901" s="33" t="str">
        <f>IF(AND(_xlfn.XLOOKUP(C901,'Project Details'!$C$17:$C$66,'Project Details'!$L$17:$L$66,"",0)&gt;550, F901="Spring-L27cm"),"",SUBSTITUTE(_xlfn.XLOOKUP(G901,SKUs!$C$2:$C$10001,SKUs!$F$2:$F$10001,"",0), " Accessories",""))</f>
        <v/>
      </c>
      <c r="L901" s="33">
        <f>_xlfn.XLOOKUP(C901,'Project Details'!$C$17:$C$66,'Project Details'!$D$17:$D$66,"",0)</f>
        <v>0</v>
      </c>
      <c r="M901" s="43"/>
    </row>
    <row r="902" spans="1:13" ht="13.5" customHeight="1" outlineLevel="1" x14ac:dyDescent="0.25">
      <c r="A902" s="43"/>
      <c r="B902" s="43"/>
      <c r="C902" s="35">
        <f t="shared" si="16"/>
        <v>18</v>
      </c>
      <c r="D902" s="35" t="str" cm="1">
        <f t="array" ref="D902">IFERROR(ROUNDUP(_xlfn.IFS(F902="Aluminum Track", _xlfn.XLOOKUP(C902, dd_accsrycalc!$A$2:$A$51, dd_accsrycalc!$B$2:$B$51, "",0), F902="10 x 2 1/2 S (Flat)", _xlfn.XLOOKUP(C902, dd_accsrycalc!$A$2:$A$51, dd_accsrycalc!$C$2:$C$51, "",0), F902="Tox6", _xlfn.XLOOKUP(C902, dd_accsrycalc!$A$2:$A$51, dd_accsrycalc!$D$2:$D$51, "",0), F902="Cover Cap", _xlfn.XLOOKUP(C902, dd_accsrycalc!$A$2:$A$51, dd_accsrycalc!$E$2:$E$51, "",0), F902="Drainage Cover", _xlfn.XLOOKUP(C902, dd_accsrycalc!$A$2:$A$51, dd_accsrycalc!$F$2:$F$51, "",0),AND( F902="Double Adhesive Tape", I902="Roll-up Screen"), _xlfn.XLOOKUP(C902, calc_rusacc!$C$15:$C$65, calc_rusacc!$AD$15:$AD$65, "",0),AND( F902="Sealant", I902="Roll-up Screen"), _xlfn.XLOOKUP(C902, calc_rusacc!$C$15:$C$65, calc_rusacc!$AF$15:$AF$65, "",0),  AND( F902="Main Chain", I902="Accordion Screen"), _xlfn.XLOOKUP(C902, calc_rusacc!$C$15:$C$65, calc_rusacc!$BF$15:$BF$65, "",0), AND( F902="Sealant", I902="Accordion Screen"), _xlfn.XLOOKUP(C902, calc_rusacc!$C$15:$C$65, calc_rusacc!$BJ$15:$BJ$65, "",0),  F902="Sealant", _xlfn.XLOOKUP(C902, dd_accsrycalc!$A$2:$A$51, dd_accsrycalc!$G$2:$G$51, "",0),  F902&lt;&gt;"",L902*_xlfn.XLOOKUP(1, (SKUs!$C$2:$C$10001=G902)*(SKUs!$K$2:$K$10001=I902),SKUs!$E$2:$E$10001)), 0),"")</f>
        <v/>
      </c>
      <c r="E902" s="35" t="str">
        <f>_xlfn.XLOOKUP(F902,dd_item!$B$2:$B$105,dd_item!$C$2:$C$105,"",0)</f>
        <v/>
      </c>
      <c r="F902" s="35"/>
      <c r="G902" s="35" cm="1">
        <f t="array" ref="G902">IFERROR(_xlfn.XLOOKUP(1, (SKUs!$J$2:$J$10001=accsry_unmerged!F902)*IF(H902&lt;&gt;"",(SKUs!$L$2:$L$10001=accsry_unmerged!H902),1)*(SKUs!$K$2:$K$10001=I902),SKUs!$C$2:$C$10001),"")</f>
        <v>0</v>
      </c>
      <c r="H902" s="36" cm="1">
        <f t="array" ref="H902">IFERROR(_xlfn.XLOOKUP(1, (dd_accsryclr!$C$2:$C$1000=accsry_unmerged!F902)*(dd_accsryclr!$B$2:$B$1000=accsry_unmerged!J902),dd_accsryclr!$A$2:$A$1000),"")</f>
        <v>0</v>
      </c>
      <c r="I902" s="35">
        <f>_xlfn.XLOOKUP(C902,'Project Details'!$C$17:$C$66,'Project Details'!$E$17:$E$66,"",0)</f>
        <v>0</v>
      </c>
      <c r="J902" s="35">
        <f>_xlfn.XLOOKUP(C902,'Project Details'!$C$17:$C$66,'Project Details'!$H$17:$H$66,"",0)</f>
        <v>0</v>
      </c>
      <c r="K902" s="36" t="str">
        <f>IF(AND(_xlfn.XLOOKUP(C902,'Project Details'!$C$17:$C$66,'Project Details'!$L$17:$L$66,"",0)&gt;550, F902="Spring-L27cm"),"",SUBSTITUTE(_xlfn.XLOOKUP(G902,SKUs!$C$2:$C$10001,SKUs!$F$2:$F$10001,"",0), " Accessories",""))</f>
        <v/>
      </c>
      <c r="L902" s="36">
        <f>_xlfn.XLOOKUP(C902,'Project Details'!$C$17:$C$66,'Project Details'!$D$17:$D$66,"",0)</f>
        <v>0</v>
      </c>
      <c r="M902" s="43"/>
    </row>
    <row r="903" spans="1:13" ht="13.5" customHeight="1" outlineLevel="1" x14ac:dyDescent="0.25">
      <c r="A903" s="43"/>
      <c r="B903" s="43"/>
      <c r="C903" s="16">
        <f t="shared" si="16"/>
        <v>18</v>
      </c>
      <c r="D903" s="16" t="str" cm="1">
        <f t="array" ref="D903">IFERROR(ROUNDUP(_xlfn.IFS(F903="Aluminum Track", _xlfn.XLOOKUP(C903, dd_accsrycalc!$A$2:$A$51, dd_accsrycalc!$B$2:$B$51, "",0), F903="10 x 2 1/2 S (Flat)", _xlfn.XLOOKUP(C903, dd_accsrycalc!$A$2:$A$51, dd_accsrycalc!$C$2:$C$51, "",0), F903="Tox6", _xlfn.XLOOKUP(C903, dd_accsrycalc!$A$2:$A$51, dd_accsrycalc!$D$2:$D$51, "",0), F903="Cover Cap", _xlfn.XLOOKUP(C903, dd_accsrycalc!$A$2:$A$51, dd_accsrycalc!$E$2:$E$51, "",0), F903="Drainage Cover", _xlfn.XLOOKUP(C903, dd_accsrycalc!$A$2:$A$51, dd_accsrycalc!$F$2:$F$51, "",0),AND( F903="Double Adhesive Tape", I903="Roll-up Screen"), _xlfn.XLOOKUP(C903, calc_rusacc!$C$15:$C$65, calc_rusacc!$AD$15:$AD$65, "",0),AND( F903="Sealant", I903="Roll-up Screen"), _xlfn.XLOOKUP(C903, calc_rusacc!$C$15:$C$65, calc_rusacc!$AF$15:$AF$65, "",0),  AND( F903="Main Chain", I903="Accordion Screen"), _xlfn.XLOOKUP(C903, calc_rusacc!$C$15:$C$65, calc_rusacc!$BF$15:$BF$65, "",0), AND( F903="Sealant", I903="Accordion Screen"), _xlfn.XLOOKUP(C903, calc_rusacc!$C$15:$C$65, calc_rusacc!$BJ$15:$BJ$65, "",0),  F903="Sealant", _xlfn.XLOOKUP(C903, dd_accsrycalc!$A$2:$A$51, dd_accsrycalc!$G$2:$G$51, "",0),  F903&lt;&gt;"",L903*_xlfn.XLOOKUP(1, (SKUs!$C$2:$C$10001=G903)*(SKUs!$K$2:$K$10001=I903),SKUs!$E$2:$E$10001)), 0),"")</f>
        <v/>
      </c>
      <c r="E903" s="16" t="str">
        <f>_xlfn.XLOOKUP(F903,dd_item!$B$2:$B$105,dd_item!$C$2:$C$105,"",0)</f>
        <v/>
      </c>
      <c r="F903" s="16"/>
      <c r="G903" s="16" cm="1">
        <f t="array" ref="G903">IFERROR(_xlfn.XLOOKUP(1, (SKUs!$J$2:$J$10001=accsry_unmerged!F903)*IF(H903&lt;&gt;"",(SKUs!$L$2:$L$10001=accsry_unmerged!H903),1)*(SKUs!$K$2:$K$10001=I903),SKUs!$C$2:$C$10001),"")</f>
        <v>0</v>
      </c>
      <c r="H903" s="33" cm="1">
        <f t="array" ref="H903">IFERROR(_xlfn.XLOOKUP(1, (dd_accsryclr!$C$2:$C$1000=accsry_unmerged!F903)*(dd_accsryclr!$B$2:$B$1000=accsry_unmerged!J903),dd_accsryclr!$A$2:$A$1000),"")</f>
        <v>0</v>
      </c>
      <c r="I903" s="16">
        <f>_xlfn.XLOOKUP(C903,'Project Details'!$C$17:$C$66,'Project Details'!$E$17:$E$66,"",0)</f>
        <v>0</v>
      </c>
      <c r="J903" s="16">
        <f>_xlfn.XLOOKUP(C903,'Project Details'!$C$17:$C$66,'Project Details'!$H$17:$H$66,"",0)</f>
        <v>0</v>
      </c>
      <c r="K903" s="33" t="str">
        <f>IF(AND(_xlfn.XLOOKUP(C903,'Project Details'!$C$17:$C$66,'Project Details'!$L$17:$L$66,"",0)&gt;550, F903="Spring-L27cm"),"",SUBSTITUTE(_xlfn.XLOOKUP(G903,SKUs!$C$2:$C$10001,SKUs!$F$2:$F$10001,"",0), " Accessories",""))</f>
        <v/>
      </c>
      <c r="L903" s="33">
        <f>_xlfn.XLOOKUP(C903,'Project Details'!$C$17:$C$66,'Project Details'!$D$17:$D$66,"",0)</f>
        <v>0</v>
      </c>
      <c r="M903" s="43"/>
    </row>
    <row r="904" spans="1:13" ht="13.5" customHeight="1" outlineLevel="1" x14ac:dyDescent="0.25">
      <c r="A904" s="43"/>
      <c r="B904" s="43"/>
      <c r="C904" s="35">
        <f t="shared" si="16"/>
        <v>18</v>
      </c>
      <c r="D904" s="35" t="str" cm="1">
        <f t="array" ref="D904">IFERROR(ROUNDUP(_xlfn.IFS(F904="Aluminum Track", _xlfn.XLOOKUP(C904, dd_accsrycalc!$A$2:$A$51, dd_accsrycalc!$B$2:$B$51, "",0), F904="10 x 2 1/2 S (Flat)", _xlfn.XLOOKUP(C904, dd_accsrycalc!$A$2:$A$51, dd_accsrycalc!$C$2:$C$51, "",0), F904="Tox6", _xlfn.XLOOKUP(C904, dd_accsrycalc!$A$2:$A$51, dd_accsrycalc!$D$2:$D$51, "",0), F904="Cover Cap", _xlfn.XLOOKUP(C904, dd_accsrycalc!$A$2:$A$51, dd_accsrycalc!$E$2:$E$51, "",0), F904="Drainage Cover", _xlfn.XLOOKUP(C904, dd_accsrycalc!$A$2:$A$51, dd_accsrycalc!$F$2:$F$51, "",0),AND( F904="Double Adhesive Tape", I904="Roll-up Screen"), _xlfn.XLOOKUP(C904, calc_rusacc!$C$15:$C$65, calc_rusacc!$AD$15:$AD$65, "",0),AND( F904="Sealant", I904="Roll-up Screen"), _xlfn.XLOOKUP(C904, calc_rusacc!$C$15:$C$65, calc_rusacc!$AF$15:$AF$65, "",0),  AND( F904="Main Chain", I904="Accordion Screen"), _xlfn.XLOOKUP(C904, calc_rusacc!$C$15:$C$65, calc_rusacc!$BF$15:$BF$65, "",0), AND( F904="Sealant", I904="Accordion Screen"), _xlfn.XLOOKUP(C904, calc_rusacc!$C$15:$C$65, calc_rusacc!$BJ$15:$BJ$65, "",0),  F904="Sealant", _xlfn.XLOOKUP(C904, dd_accsrycalc!$A$2:$A$51, dd_accsrycalc!$G$2:$G$51, "",0),  F904&lt;&gt;"",L904*_xlfn.XLOOKUP(1, (SKUs!$C$2:$C$10001=G904)*(SKUs!$K$2:$K$10001=I904),SKUs!$E$2:$E$10001)), 0),"")</f>
        <v/>
      </c>
      <c r="E904" s="35" t="str">
        <f>_xlfn.XLOOKUP(F904,dd_item!$B$2:$B$105,dd_item!$C$2:$C$105,"",0)</f>
        <v/>
      </c>
      <c r="F904" s="35"/>
      <c r="G904" s="35" cm="1">
        <f t="array" ref="G904">IFERROR(_xlfn.XLOOKUP(1, (SKUs!$J$2:$J$10001=accsry_unmerged!F904)*IF(H904&lt;&gt;"",(SKUs!$L$2:$L$10001=accsry_unmerged!H904),1)*(SKUs!$K$2:$K$10001=I904),SKUs!$C$2:$C$10001),"")</f>
        <v>0</v>
      </c>
      <c r="H904" s="36" cm="1">
        <f t="array" ref="H904">IFERROR(_xlfn.XLOOKUP(1, (dd_accsryclr!$C$2:$C$1000=accsry_unmerged!F904)*(dd_accsryclr!$B$2:$B$1000=accsry_unmerged!J904),dd_accsryclr!$A$2:$A$1000),"")</f>
        <v>0</v>
      </c>
      <c r="I904" s="35">
        <f>_xlfn.XLOOKUP(C904,'Project Details'!$C$17:$C$66,'Project Details'!$E$17:$E$66,"",0)</f>
        <v>0</v>
      </c>
      <c r="J904" s="35">
        <f>_xlfn.XLOOKUP(C904,'Project Details'!$C$17:$C$66,'Project Details'!$H$17:$H$66,"",0)</f>
        <v>0</v>
      </c>
      <c r="K904" s="36" t="str">
        <f>IF(AND(_xlfn.XLOOKUP(C904,'Project Details'!$C$17:$C$66,'Project Details'!$L$17:$L$66,"",0)&gt;550, F904="Spring-L27cm"),"",SUBSTITUTE(_xlfn.XLOOKUP(G904,SKUs!$C$2:$C$10001,SKUs!$F$2:$F$10001,"",0), " Accessories",""))</f>
        <v/>
      </c>
      <c r="L904" s="36">
        <f>_xlfn.XLOOKUP(C904,'Project Details'!$C$17:$C$66,'Project Details'!$D$17:$D$66,"",0)</f>
        <v>0</v>
      </c>
      <c r="M904" s="43"/>
    </row>
    <row r="905" spans="1:13" ht="13.5" customHeight="1" outlineLevel="1" collapsed="1" x14ac:dyDescent="0.25">
      <c r="A905" s="43"/>
      <c r="B905" s="43"/>
      <c r="C905" s="16">
        <f t="shared" si="16"/>
        <v>18</v>
      </c>
      <c r="D905" s="16" t="str" cm="1">
        <f t="array" ref="D905">IFERROR(ROUNDUP(_xlfn.IFS(F905="Aluminum Track", _xlfn.XLOOKUP(C905, dd_accsrycalc!$A$2:$A$51, dd_accsrycalc!$B$2:$B$51, "",0), F905="10 x 2 1/2 S (Flat)", _xlfn.XLOOKUP(C905, dd_accsrycalc!$A$2:$A$51, dd_accsrycalc!$C$2:$C$51, "",0), F905="Tox6", _xlfn.XLOOKUP(C905, dd_accsrycalc!$A$2:$A$51, dd_accsrycalc!$D$2:$D$51, "",0), F905="Cover Cap", _xlfn.XLOOKUP(C905, dd_accsrycalc!$A$2:$A$51, dd_accsrycalc!$E$2:$E$51, "",0), F905="Drainage Cover", _xlfn.XLOOKUP(C905, dd_accsrycalc!$A$2:$A$51, dd_accsrycalc!$F$2:$F$51, "",0),AND( F905="Double Adhesive Tape", I905="Roll-up Screen"), _xlfn.XLOOKUP(C905, calc_rusacc!$C$15:$C$65, calc_rusacc!$AD$15:$AD$65, "",0),AND( F905="Sealant", I905="Roll-up Screen"), _xlfn.XLOOKUP(C905, calc_rusacc!$C$15:$C$65, calc_rusacc!$AF$15:$AF$65, "",0),  AND( F905="Main Chain", I905="Accordion Screen"), _xlfn.XLOOKUP(C905, calc_rusacc!$C$15:$C$65, calc_rusacc!$BF$15:$BF$65, "",0), AND( F905="Sealant", I905="Accordion Screen"), _xlfn.XLOOKUP(C905, calc_rusacc!$C$15:$C$65, calc_rusacc!$BJ$15:$BJ$65, "",0),  F905="Sealant", _xlfn.XLOOKUP(C905, dd_accsrycalc!$A$2:$A$51, dd_accsrycalc!$G$2:$G$51, "",0),  F905&lt;&gt;"",L905*_xlfn.XLOOKUP(1, (SKUs!$C$2:$C$10001=G905)*(SKUs!$K$2:$K$10001=I905),SKUs!$E$2:$E$10001)), 0),"")</f>
        <v/>
      </c>
      <c r="E905" s="16" t="str">
        <f>_xlfn.XLOOKUP(F905,dd_item!$B$2:$B$105,dd_item!$C$2:$C$105,"",0)</f>
        <v/>
      </c>
      <c r="F905" s="16"/>
      <c r="G905" s="16" cm="1">
        <f t="array" ref="G905">IFERROR(_xlfn.XLOOKUP(1, (SKUs!$J$2:$J$10001=accsry_unmerged!F905)*IF(H905&lt;&gt;"",(SKUs!$L$2:$L$10001=accsry_unmerged!H905),1)*(SKUs!$K$2:$K$10001=I905),SKUs!$C$2:$C$10001),"")</f>
        <v>0</v>
      </c>
      <c r="H905" s="33" cm="1">
        <f t="array" ref="H905">IFERROR(_xlfn.XLOOKUP(1, (dd_accsryclr!$C$2:$C$1000=accsry_unmerged!F905)*(dd_accsryclr!$B$2:$B$1000=accsry_unmerged!J905),dd_accsryclr!$A$2:$A$1000),"")</f>
        <v>0</v>
      </c>
      <c r="I905" s="16">
        <f>_xlfn.XLOOKUP(C905,'Project Details'!$C$17:$C$66,'Project Details'!$E$17:$E$66,"",0)</f>
        <v>0</v>
      </c>
      <c r="J905" s="16">
        <f>_xlfn.XLOOKUP(C905,'Project Details'!$C$17:$C$66,'Project Details'!$H$17:$H$66,"",0)</f>
        <v>0</v>
      </c>
      <c r="K905" s="33" t="str">
        <f>IF(AND(_xlfn.XLOOKUP(C905,'Project Details'!$C$17:$C$66,'Project Details'!$L$17:$L$66,"",0)&gt;550, F905="Spring-L27cm"),"",SUBSTITUTE(_xlfn.XLOOKUP(G905,SKUs!$C$2:$C$10001,SKUs!$F$2:$F$10001,"",0), " Accessories",""))</f>
        <v/>
      </c>
      <c r="L905" s="33">
        <f>_xlfn.XLOOKUP(C905,'Project Details'!$C$17:$C$66,'Project Details'!$D$17:$D$66,"",0)</f>
        <v>0</v>
      </c>
      <c r="M905" s="43"/>
    </row>
    <row r="906" spans="1:13" ht="13.5" customHeight="1" outlineLevel="1" x14ac:dyDescent="0.25">
      <c r="A906" s="43"/>
      <c r="B906" s="43"/>
      <c r="C906" s="35">
        <f t="shared" si="16"/>
        <v>18</v>
      </c>
      <c r="D906" s="35" t="str" cm="1">
        <f t="array" ref="D906">IFERROR(ROUNDUP(_xlfn.IFS(F906="Aluminum Track", _xlfn.XLOOKUP(C906, dd_accsrycalc!$A$2:$A$51, dd_accsrycalc!$B$2:$B$51, "",0), F906="10 x 2 1/2 S (Flat)", _xlfn.XLOOKUP(C906, dd_accsrycalc!$A$2:$A$51, dd_accsrycalc!$C$2:$C$51, "",0), F906="Tox6", _xlfn.XLOOKUP(C906, dd_accsrycalc!$A$2:$A$51, dd_accsrycalc!$D$2:$D$51, "",0), F906="Cover Cap", _xlfn.XLOOKUP(C906, dd_accsrycalc!$A$2:$A$51, dd_accsrycalc!$E$2:$E$51, "",0), F906="Drainage Cover", _xlfn.XLOOKUP(C906, dd_accsrycalc!$A$2:$A$51, dd_accsrycalc!$F$2:$F$51, "",0),AND( F906="Double Adhesive Tape", I906="Roll-up Screen"), _xlfn.XLOOKUP(C906, calc_rusacc!$C$15:$C$65, calc_rusacc!$AD$15:$AD$65, "",0),AND( F906="Sealant", I906="Roll-up Screen"), _xlfn.XLOOKUP(C906, calc_rusacc!$C$15:$C$65, calc_rusacc!$AF$15:$AF$65, "",0),  AND( F906="Main Chain", I906="Accordion Screen"), _xlfn.XLOOKUP(C906, calc_rusacc!$C$15:$C$65, calc_rusacc!$BF$15:$BF$65, "",0), AND( F906="Sealant", I906="Accordion Screen"), _xlfn.XLOOKUP(C906, calc_rusacc!$C$15:$C$65, calc_rusacc!$BJ$15:$BJ$65, "",0),  F906="Sealant", _xlfn.XLOOKUP(C906, dd_accsrycalc!$A$2:$A$51, dd_accsrycalc!$G$2:$G$51, "",0),  F906&lt;&gt;"",L906*_xlfn.XLOOKUP(1, (SKUs!$C$2:$C$10001=G906)*(SKUs!$K$2:$K$10001=I906),SKUs!$E$2:$E$10001)), 0),"")</f>
        <v/>
      </c>
      <c r="E906" s="35" t="str">
        <f>_xlfn.XLOOKUP(F906,dd_item!$B$2:$B$105,dd_item!$C$2:$C$105,"",0)</f>
        <v/>
      </c>
      <c r="F906" s="35"/>
      <c r="G906" s="35" cm="1">
        <f t="array" ref="G906">IFERROR(_xlfn.XLOOKUP(1, (SKUs!$J$2:$J$10001=accsry_unmerged!F906)*IF(H906&lt;&gt;"",(SKUs!$L$2:$L$10001=accsry_unmerged!H906),1)*(SKUs!$K$2:$K$10001=I906),SKUs!$C$2:$C$10001),"")</f>
        <v>0</v>
      </c>
      <c r="H906" s="36" cm="1">
        <f t="array" ref="H906">IFERROR(_xlfn.XLOOKUP(1, (dd_accsryclr!$C$2:$C$1000=accsry_unmerged!F906)*(dd_accsryclr!$B$2:$B$1000=accsry_unmerged!J906),dd_accsryclr!$A$2:$A$1000),"")</f>
        <v>0</v>
      </c>
      <c r="I906" s="35">
        <f>_xlfn.XLOOKUP(C906,'Project Details'!$C$17:$C$66,'Project Details'!$E$17:$E$66,"",0)</f>
        <v>0</v>
      </c>
      <c r="J906" s="35">
        <f>_xlfn.XLOOKUP(C906,'Project Details'!$C$17:$C$66,'Project Details'!$H$17:$H$66,"",0)</f>
        <v>0</v>
      </c>
      <c r="K906" s="36" t="str">
        <f>IF(AND(_xlfn.XLOOKUP(C906,'Project Details'!$C$17:$C$66,'Project Details'!$L$17:$L$66,"",0)&gt;550, F906="Spring-L27cm"),"",SUBSTITUTE(_xlfn.XLOOKUP(G906,SKUs!$C$2:$C$10001,SKUs!$F$2:$F$10001,"",0), " Accessories",""))</f>
        <v/>
      </c>
      <c r="L906" s="36">
        <f>_xlfn.XLOOKUP(C906,'Project Details'!$C$17:$C$66,'Project Details'!$D$17:$D$66,"",0)</f>
        <v>0</v>
      </c>
      <c r="M906" s="43"/>
    </row>
    <row r="907" spans="1:13" ht="13.5" customHeight="1" outlineLevel="1" x14ac:dyDescent="0.25">
      <c r="A907" s="43"/>
      <c r="B907" s="43"/>
      <c r="C907" s="16">
        <f t="shared" si="16"/>
        <v>18</v>
      </c>
      <c r="D907" s="16" t="str" cm="1">
        <f t="array" ref="D907">IFERROR(ROUNDUP(_xlfn.IFS(F907="Aluminum Track", _xlfn.XLOOKUP(C907, dd_accsrycalc!$A$2:$A$51, dd_accsrycalc!$B$2:$B$51, "",0), F907="10 x 2 1/2 S (Flat)", _xlfn.XLOOKUP(C907, dd_accsrycalc!$A$2:$A$51, dd_accsrycalc!$C$2:$C$51, "",0), F907="Tox6", _xlfn.XLOOKUP(C907, dd_accsrycalc!$A$2:$A$51, dd_accsrycalc!$D$2:$D$51, "",0), F907="Cover Cap", _xlfn.XLOOKUP(C907, dd_accsrycalc!$A$2:$A$51, dd_accsrycalc!$E$2:$E$51, "",0), F907="Drainage Cover", _xlfn.XLOOKUP(C907, dd_accsrycalc!$A$2:$A$51, dd_accsrycalc!$F$2:$F$51, "",0),AND( F907="Double Adhesive Tape", I907="Roll-up Screen"), _xlfn.XLOOKUP(C907, calc_rusacc!$C$15:$C$65, calc_rusacc!$AD$15:$AD$65, "",0),AND( F907="Sealant", I907="Roll-up Screen"), _xlfn.XLOOKUP(C907, calc_rusacc!$C$15:$C$65, calc_rusacc!$AF$15:$AF$65, "",0),  AND( F907="Main Chain", I907="Accordion Screen"), _xlfn.XLOOKUP(C907, calc_rusacc!$C$15:$C$65, calc_rusacc!$BF$15:$BF$65, "",0), AND( F907="Sealant", I907="Accordion Screen"), _xlfn.XLOOKUP(C907, calc_rusacc!$C$15:$C$65, calc_rusacc!$BJ$15:$BJ$65, "",0),  F907="Sealant", _xlfn.XLOOKUP(C907, dd_accsrycalc!$A$2:$A$51, dd_accsrycalc!$G$2:$G$51, "",0),  F907&lt;&gt;"",L907*_xlfn.XLOOKUP(1, (SKUs!$C$2:$C$10001=G907)*(SKUs!$K$2:$K$10001=I907),SKUs!$E$2:$E$10001)), 0),"")</f>
        <v/>
      </c>
      <c r="E907" s="16" t="str">
        <f>_xlfn.XLOOKUP(F907,dd_item!$B$2:$B$105,dd_item!$C$2:$C$105,"",0)</f>
        <v/>
      </c>
      <c r="F907" s="16"/>
      <c r="G907" s="16" cm="1">
        <f t="array" ref="G907">IFERROR(_xlfn.XLOOKUP(1, (SKUs!$J$2:$J$10001=accsry_unmerged!F907)*IF(H907&lt;&gt;"",(SKUs!$L$2:$L$10001=accsry_unmerged!H907),1)*(SKUs!$K$2:$K$10001=I907),SKUs!$C$2:$C$10001),"")</f>
        <v>0</v>
      </c>
      <c r="H907" s="33" cm="1">
        <f t="array" ref="H907">IFERROR(_xlfn.XLOOKUP(1, (dd_accsryclr!$C$2:$C$1000=accsry_unmerged!F907)*(dd_accsryclr!$B$2:$B$1000=accsry_unmerged!J907),dd_accsryclr!$A$2:$A$1000),"")</f>
        <v>0</v>
      </c>
      <c r="I907" s="16">
        <f>_xlfn.XLOOKUP(C907,'Project Details'!$C$17:$C$66,'Project Details'!$E$17:$E$66,"",0)</f>
        <v>0</v>
      </c>
      <c r="J907" s="16">
        <f>_xlfn.XLOOKUP(C907,'Project Details'!$C$17:$C$66,'Project Details'!$H$17:$H$66,"",0)</f>
        <v>0</v>
      </c>
      <c r="K907" s="33" t="str">
        <f>IF(AND(_xlfn.XLOOKUP(C907,'Project Details'!$C$17:$C$66,'Project Details'!$L$17:$L$66,"",0)&gt;550, F907="Spring-L27cm"),"",SUBSTITUTE(_xlfn.XLOOKUP(G907,SKUs!$C$2:$C$10001,SKUs!$F$2:$F$10001,"",0), " Accessories",""))</f>
        <v/>
      </c>
      <c r="L907" s="33">
        <f>_xlfn.XLOOKUP(C907,'Project Details'!$C$17:$C$66,'Project Details'!$D$17:$D$66,"",0)</f>
        <v>0</v>
      </c>
      <c r="M907" s="43"/>
    </row>
    <row r="908" spans="1:13" ht="13.5" customHeight="1" outlineLevel="1" x14ac:dyDescent="0.25">
      <c r="A908" s="43"/>
      <c r="B908" s="43"/>
      <c r="C908" s="35">
        <f t="shared" si="16"/>
        <v>18</v>
      </c>
      <c r="D908" s="35" t="str" cm="1">
        <f t="array" ref="D908">IFERROR(ROUNDUP(_xlfn.IFS(F908="Aluminum Track", _xlfn.XLOOKUP(C908, dd_accsrycalc!$A$2:$A$51, dd_accsrycalc!$B$2:$B$51, "",0), F908="10 x 2 1/2 S (Flat)", _xlfn.XLOOKUP(C908, dd_accsrycalc!$A$2:$A$51, dd_accsrycalc!$C$2:$C$51, "",0), F908="Tox6", _xlfn.XLOOKUP(C908, dd_accsrycalc!$A$2:$A$51, dd_accsrycalc!$D$2:$D$51, "",0), F908="Cover Cap", _xlfn.XLOOKUP(C908, dd_accsrycalc!$A$2:$A$51, dd_accsrycalc!$E$2:$E$51, "",0), F908="Drainage Cover", _xlfn.XLOOKUP(C908, dd_accsrycalc!$A$2:$A$51, dd_accsrycalc!$F$2:$F$51, "",0),AND( F908="Double Adhesive Tape", I908="Roll-up Screen"), _xlfn.XLOOKUP(C908, calc_rusacc!$C$15:$C$65, calc_rusacc!$AD$15:$AD$65, "",0),AND( F908="Sealant", I908="Roll-up Screen"), _xlfn.XLOOKUP(C908, calc_rusacc!$C$15:$C$65, calc_rusacc!$AF$15:$AF$65, "",0),  AND( F908="Main Chain", I908="Accordion Screen"), _xlfn.XLOOKUP(C908, calc_rusacc!$C$15:$C$65, calc_rusacc!$BF$15:$BF$65, "",0), AND( F908="Sealant", I908="Accordion Screen"), _xlfn.XLOOKUP(C908, calc_rusacc!$C$15:$C$65, calc_rusacc!$BJ$15:$BJ$65, "",0),  F908="Sealant", _xlfn.XLOOKUP(C908, dd_accsrycalc!$A$2:$A$51, dd_accsrycalc!$G$2:$G$51, "",0),  F908&lt;&gt;"",L908*_xlfn.XLOOKUP(1, (SKUs!$C$2:$C$10001=G908)*(SKUs!$K$2:$K$10001=I908),SKUs!$E$2:$E$10001)), 0),"")</f>
        <v/>
      </c>
      <c r="E908" s="35" t="str">
        <f>_xlfn.XLOOKUP(F908,dd_item!$B$2:$B$105,dd_item!$C$2:$C$105,"",0)</f>
        <v/>
      </c>
      <c r="F908" s="35"/>
      <c r="G908" s="35" cm="1">
        <f t="array" ref="G908">IFERROR(_xlfn.XLOOKUP(1, (SKUs!$J$2:$J$10001=accsry_unmerged!F908)*IF(H908&lt;&gt;"",(SKUs!$L$2:$L$10001=accsry_unmerged!H908),1)*(SKUs!$K$2:$K$10001=I908),SKUs!$C$2:$C$10001),"")</f>
        <v>0</v>
      </c>
      <c r="H908" s="36" cm="1">
        <f t="array" ref="H908">IFERROR(_xlfn.XLOOKUP(1, (dd_accsryclr!$C$2:$C$1000=accsry_unmerged!F908)*(dd_accsryclr!$B$2:$B$1000=accsry_unmerged!J908),dd_accsryclr!$A$2:$A$1000),"")</f>
        <v>0</v>
      </c>
      <c r="I908" s="35">
        <f>_xlfn.XLOOKUP(C908,'Project Details'!$C$17:$C$66,'Project Details'!$E$17:$E$66,"",0)</f>
        <v>0</v>
      </c>
      <c r="J908" s="35">
        <f>_xlfn.XLOOKUP(C908,'Project Details'!$C$17:$C$66,'Project Details'!$H$17:$H$66,"",0)</f>
        <v>0</v>
      </c>
      <c r="K908" s="36" t="str">
        <f>IF(AND(_xlfn.XLOOKUP(C908,'Project Details'!$C$17:$C$66,'Project Details'!$L$17:$L$66,"",0)&gt;550, F908="Spring-L27cm"),"",SUBSTITUTE(_xlfn.XLOOKUP(G908,SKUs!$C$2:$C$10001,SKUs!$F$2:$F$10001,"",0), " Accessories",""))</f>
        <v/>
      </c>
      <c r="L908" s="36">
        <f>_xlfn.XLOOKUP(C908,'Project Details'!$C$17:$C$66,'Project Details'!$D$17:$D$66,"",0)</f>
        <v>0</v>
      </c>
      <c r="M908" s="43"/>
    </row>
    <row r="909" spans="1:13" ht="13.5" customHeight="1" outlineLevel="1" x14ac:dyDescent="0.25">
      <c r="A909" s="43"/>
      <c r="B909" s="43"/>
      <c r="C909" s="16">
        <f t="shared" si="16"/>
        <v>18</v>
      </c>
      <c r="D909" s="16" t="str" cm="1">
        <f t="array" ref="D909">IFERROR(ROUNDUP(_xlfn.IFS(F909="Aluminum Track", _xlfn.XLOOKUP(C909, dd_accsrycalc!$A$2:$A$51, dd_accsrycalc!$B$2:$B$51, "",0), F909="10 x 2 1/2 S (Flat)", _xlfn.XLOOKUP(C909, dd_accsrycalc!$A$2:$A$51, dd_accsrycalc!$C$2:$C$51, "",0), F909="Tox6", _xlfn.XLOOKUP(C909, dd_accsrycalc!$A$2:$A$51, dd_accsrycalc!$D$2:$D$51, "",0), F909="Cover Cap", _xlfn.XLOOKUP(C909, dd_accsrycalc!$A$2:$A$51, dd_accsrycalc!$E$2:$E$51, "",0), F909="Drainage Cover", _xlfn.XLOOKUP(C909, dd_accsrycalc!$A$2:$A$51, dd_accsrycalc!$F$2:$F$51, "",0),AND( F909="Double Adhesive Tape", I909="Roll-up Screen"), _xlfn.XLOOKUP(C909, calc_rusacc!$C$15:$C$65, calc_rusacc!$AD$15:$AD$65, "",0),AND( F909="Sealant", I909="Roll-up Screen"), _xlfn.XLOOKUP(C909, calc_rusacc!$C$15:$C$65, calc_rusacc!$AF$15:$AF$65, "",0),  AND( F909="Main Chain", I909="Accordion Screen"), _xlfn.XLOOKUP(C909, calc_rusacc!$C$15:$C$65, calc_rusacc!$BF$15:$BF$65, "",0), AND( F909="Sealant", I909="Accordion Screen"), _xlfn.XLOOKUP(C909, calc_rusacc!$C$15:$C$65, calc_rusacc!$BJ$15:$BJ$65, "",0),  F909="Sealant", _xlfn.XLOOKUP(C909, dd_accsrycalc!$A$2:$A$51, dd_accsrycalc!$G$2:$G$51, "",0),  F909&lt;&gt;"",L909*_xlfn.XLOOKUP(1, (SKUs!$C$2:$C$10001=G909)*(SKUs!$K$2:$K$10001=I909),SKUs!$E$2:$E$10001)), 0),"")</f>
        <v/>
      </c>
      <c r="E909" s="16" t="str">
        <f>_xlfn.XLOOKUP(F909,dd_item!$B$2:$B$105,dd_item!$C$2:$C$105,"",0)</f>
        <v/>
      </c>
      <c r="F909" s="16"/>
      <c r="G909" s="16" cm="1">
        <f t="array" ref="G909">IFERROR(_xlfn.XLOOKUP(1, (SKUs!$J$2:$J$10001=accsry_unmerged!F909)*IF(H909&lt;&gt;"",(SKUs!$L$2:$L$10001=accsry_unmerged!H909),1)*(SKUs!$K$2:$K$10001=I909),SKUs!$C$2:$C$10001),"")</f>
        <v>0</v>
      </c>
      <c r="H909" s="33" cm="1">
        <f t="array" ref="H909">IFERROR(_xlfn.XLOOKUP(1, (dd_accsryclr!$C$2:$C$1000=accsry_unmerged!F909)*(dd_accsryclr!$B$2:$B$1000=accsry_unmerged!J909),dd_accsryclr!$A$2:$A$1000),"")</f>
        <v>0</v>
      </c>
      <c r="I909" s="16">
        <f>_xlfn.XLOOKUP(C909,'Project Details'!$C$17:$C$66,'Project Details'!$E$17:$E$66,"",0)</f>
        <v>0</v>
      </c>
      <c r="J909" s="16">
        <f>_xlfn.XLOOKUP(C909,'Project Details'!$C$17:$C$66,'Project Details'!$H$17:$H$66,"",0)</f>
        <v>0</v>
      </c>
      <c r="K909" s="33" t="str">
        <f>IF(AND(_xlfn.XLOOKUP(C909,'Project Details'!$C$17:$C$66,'Project Details'!$L$17:$L$66,"",0)&gt;550, F909="Spring-L27cm"),"",SUBSTITUTE(_xlfn.XLOOKUP(G909,SKUs!$C$2:$C$10001,SKUs!$F$2:$F$10001,"",0), " Accessories",""))</f>
        <v/>
      </c>
      <c r="L909" s="33">
        <f>_xlfn.XLOOKUP(C909,'Project Details'!$C$17:$C$66,'Project Details'!$D$17:$D$66,"",0)</f>
        <v>0</v>
      </c>
      <c r="M909" s="43"/>
    </row>
    <row r="910" spans="1:13" ht="13.5" customHeight="1" outlineLevel="1" x14ac:dyDescent="0.25">
      <c r="A910" s="43"/>
      <c r="B910" s="43"/>
      <c r="C910" s="35">
        <f t="shared" si="16"/>
        <v>18</v>
      </c>
      <c r="D910" s="35" t="str" cm="1">
        <f t="array" ref="D910">IFERROR(ROUNDUP(_xlfn.IFS(F910="Aluminum Track", _xlfn.XLOOKUP(C910, dd_accsrycalc!$A$2:$A$51, dd_accsrycalc!$B$2:$B$51, "",0), F910="10 x 2 1/2 S (Flat)", _xlfn.XLOOKUP(C910, dd_accsrycalc!$A$2:$A$51, dd_accsrycalc!$C$2:$C$51, "",0), F910="Tox6", _xlfn.XLOOKUP(C910, dd_accsrycalc!$A$2:$A$51, dd_accsrycalc!$D$2:$D$51, "",0), F910="Cover Cap", _xlfn.XLOOKUP(C910, dd_accsrycalc!$A$2:$A$51, dd_accsrycalc!$E$2:$E$51, "",0), F910="Drainage Cover", _xlfn.XLOOKUP(C910, dd_accsrycalc!$A$2:$A$51, dd_accsrycalc!$F$2:$F$51, "",0),AND( F910="Double Adhesive Tape", I910="Roll-up Screen"), _xlfn.XLOOKUP(C910, calc_rusacc!$C$15:$C$65, calc_rusacc!$AD$15:$AD$65, "",0),AND( F910="Sealant", I910="Roll-up Screen"), _xlfn.XLOOKUP(C910, calc_rusacc!$C$15:$C$65, calc_rusacc!$AF$15:$AF$65, "",0),  AND( F910="Main Chain", I910="Accordion Screen"), _xlfn.XLOOKUP(C910, calc_rusacc!$C$15:$C$65, calc_rusacc!$BF$15:$BF$65, "",0), AND( F910="Sealant", I910="Accordion Screen"), _xlfn.XLOOKUP(C910, calc_rusacc!$C$15:$C$65, calc_rusacc!$BJ$15:$BJ$65, "",0),  F910="Sealant", _xlfn.XLOOKUP(C910, dd_accsrycalc!$A$2:$A$51, dd_accsrycalc!$G$2:$G$51, "",0),  F910&lt;&gt;"",L910*_xlfn.XLOOKUP(1, (SKUs!$C$2:$C$10001=G910)*(SKUs!$K$2:$K$10001=I910),SKUs!$E$2:$E$10001)), 0),"")</f>
        <v/>
      </c>
      <c r="E910" s="35" t="str">
        <f>_xlfn.XLOOKUP(F910,dd_item!$B$2:$B$105,dd_item!$C$2:$C$105,"",0)</f>
        <v/>
      </c>
      <c r="F910" s="35"/>
      <c r="G910" s="35" cm="1">
        <f t="array" ref="G910">IFERROR(_xlfn.XLOOKUP(1, (SKUs!$J$2:$J$10001=accsry_unmerged!F910)*IF(H910&lt;&gt;"",(SKUs!$L$2:$L$10001=accsry_unmerged!H910),1)*(SKUs!$K$2:$K$10001=I910),SKUs!$C$2:$C$10001),"")</f>
        <v>0</v>
      </c>
      <c r="H910" s="36" cm="1">
        <f t="array" ref="H910">IFERROR(_xlfn.XLOOKUP(1, (dd_accsryclr!$C$2:$C$1000=accsry_unmerged!F910)*(dd_accsryclr!$B$2:$B$1000=accsry_unmerged!J910),dd_accsryclr!$A$2:$A$1000),"")</f>
        <v>0</v>
      </c>
      <c r="I910" s="35">
        <f>_xlfn.XLOOKUP(C910,'Project Details'!$C$17:$C$66,'Project Details'!$E$17:$E$66,"",0)</f>
        <v>0</v>
      </c>
      <c r="J910" s="35">
        <f>_xlfn.XLOOKUP(C910,'Project Details'!$C$17:$C$66,'Project Details'!$H$17:$H$66,"",0)</f>
        <v>0</v>
      </c>
      <c r="K910" s="36" t="str">
        <f>IF(AND(_xlfn.XLOOKUP(C910,'Project Details'!$C$17:$C$66,'Project Details'!$L$17:$L$66,"",0)&gt;550, F910="Spring-L27cm"),"",SUBSTITUTE(_xlfn.XLOOKUP(G910,SKUs!$C$2:$C$10001,SKUs!$F$2:$F$10001,"",0), " Accessories",""))</f>
        <v/>
      </c>
      <c r="L910" s="36">
        <f>_xlfn.XLOOKUP(C910,'Project Details'!$C$17:$C$66,'Project Details'!$D$17:$D$66,"",0)</f>
        <v>0</v>
      </c>
      <c r="M910" s="43"/>
    </row>
    <row r="911" spans="1:13" ht="13.5" customHeight="1" outlineLevel="1" x14ac:dyDescent="0.25">
      <c r="A911" s="43"/>
      <c r="B911" s="43"/>
      <c r="C911" s="16">
        <f t="shared" si="16"/>
        <v>18</v>
      </c>
      <c r="D911" s="16" t="str" cm="1">
        <f t="array" ref="D911">IFERROR(ROUNDUP(_xlfn.IFS(F911="Aluminum Track", _xlfn.XLOOKUP(C911, dd_accsrycalc!$A$2:$A$51, dd_accsrycalc!$B$2:$B$51, "",0), F911="10 x 2 1/2 S (Flat)", _xlfn.XLOOKUP(C911, dd_accsrycalc!$A$2:$A$51, dd_accsrycalc!$C$2:$C$51, "",0), F911="Tox6", _xlfn.XLOOKUP(C911, dd_accsrycalc!$A$2:$A$51, dd_accsrycalc!$D$2:$D$51, "",0), F911="Cover Cap", _xlfn.XLOOKUP(C911, dd_accsrycalc!$A$2:$A$51, dd_accsrycalc!$E$2:$E$51, "",0), F911="Drainage Cover", _xlfn.XLOOKUP(C911, dd_accsrycalc!$A$2:$A$51, dd_accsrycalc!$F$2:$F$51, "",0),AND( F911="Double Adhesive Tape", I911="Roll-up Screen"), _xlfn.XLOOKUP(C911, calc_rusacc!$C$15:$C$65, calc_rusacc!$AD$15:$AD$65, "",0),AND( F911="Sealant", I911="Roll-up Screen"), _xlfn.XLOOKUP(C911, calc_rusacc!$C$15:$C$65, calc_rusacc!$AF$15:$AF$65, "",0),  AND( F911="Main Chain", I911="Accordion Screen"), _xlfn.XLOOKUP(C911, calc_rusacc!$C$15:$C$65, calc_rusacc!$BF$15:$BF$65, "",0), AND( F911="Sealant", I911="Accordion Screen"), _xlfn.XLOOKUP(C911, calc_rusacc!$C$15:$C$65, calc_rusacc!$BJ$15:$BJ$65, "",0),  F911="Sealant", _xlfn.XLOOKUP(C911, dd_accsrycalc!$A$2:$A$51, dd_accsrycalc!$G$2:$G$51, "",0),  F911&lt;&gt;"",L911*_xlfn.XLOOKUP(1, (SKUs!$C$2:$C$10001=G911)*(SKUs!$K$2:$K$10001=I911),SKUs!$E$2:$E$10001)), 0),"")</f>
        <v/>
      </c>
      <c r="E911" s="16" t="str">
        <f>_xlfn.XLOOKUP(F911,dd_item!$B$2:$B$105,dd_item!$C$2:$C$105,"",0)</f>
        <v/>
      </c>
      <c r="F911" s="16"/>
      <c r="G911" s="16" cm="1">
        <f t="array" ref="G911">IFERROR(_xlfn.XLOOKUP(1, (SKUs!$J$2:$J$10001=accsry_unmerged!F911)*IF(H911&lt;&gt;"",(SKUs!$L$2:$L$10001=accsry_unmerged!H911),1)*(SKUs!$K$2:$K$10001=I911),SKUs!$C$2:$C$10001),"")</f>
        <v>0</v>
      </c>
      <c r="H911" s="33" cm="1">
        <f t="array" ref="H911">IFERROR(_xlfn.XLOOKUP(1, (dd_accsryclr!$C$2:$C$1000=accsry_unmerged!F911)*(dd_accsryclr!$B$2:$B$1000=accsry_unmerged!J911),dd_accsryclr!$A$2:$A$1000),"")</f>
        <v>0</v>
      </c>
      <c r="I911" s="16">
        <f>_xlfn.XLOOKUP(C911,'Project Details'!$C$17:$C$66,'Project Details'!$E$17:$E$66,"",0)</f>
        <v>0</v>
      </c>
      <c r="J911" s="16">
        <f>_xlfn.XLOOKUP(C911,'Project Details'!$C$17:$C$66,'Project Details'!$H$17:$H$66,"",0)</f>
        <v>0</v>
      </c>
      <c r="K911" s="33" t="str">
        <f>IF(AND(_xlfn.XLOOKUP(C911,'Project Details'!$C$17:$C$66,'Project Details'!$L$17:$L$66,"",0)&gt;550, F911="Spring-L27cm"),"",SUBSTITUTE(_xlfn.XLOOKUP(G911,SKUs!$C$2:$C$10001,SKUs!$F$2:$F$10001,"",0), " Accessories",""))</f>
        <v/>
      </c>
      <c r="L911" s="33">
        <f>_xlfn.XLOOKUP(C911,'Project Details'!$C$17:$C$66,'Project Details'!$D$17:$D$66,"",0)</f>
        <v>0</v>
      </c>
      <c r="M911" s="43"/>
    </row>
    <row r="912" spans="1:13" ht="13.5" customHeight="1" outlineLevel="1" x14ac:dyDescent="0.25">
      <c r="A912" s="43"/>
      <c r="B912" s="43"/>
      <c r="C912" s="35">
        <f t="shared" si="16"/>
        <v>18</v>
      </c>
      <c r="D912" s="35" t="str" cm="1">
        <f t="array" ref="D912">IFERROR(ROUNDUP(_xlfn.IFS(F912="Aluminum Track", _xlfn.XLOOKUP(C912, dd_accsrycalc!$A$2:$A$51, dd_accsrycalc!$B$2:$B$51, "",0), F912="10 x 2 1/2 S (Flat)", _xlfn.XLOOKUP(C912, dd_accsrycalc!$A$2:$A$51, dd_accsrycalc!$C$2:$C$51, "",0), F912="Tox6", _xlfn.XLOOKUP(C912, dd_accsrycalc!$A$2:$A$51, dd_accsrycalc!$D$2:$D$51, "",0), F912="Cover Cap", _xlfn.XLOOKUP(C912, dd_accsrycalc!$A$2:$A$51, dd_accsrycalc!$E$2:$E$51, "",0), F912="Drainage Cover", _xlfn.XLOOKUP(C912, dd_accsrycalc!$A$2:$A$51, dd_accsrycalc!$F$2:$F$51, "",0),AND( F912="Double Adhesive Tape", I912="Roll-up Screen"), _xlfn.XLOOKUP(C912, calc_rusacc!$C$15:$C$65, calc_rusacc!$AD$15:$AD$65, "",0),AND( F912="Sealant", I912="Roll-up Screen"), _xlfn.XLOOKUP(C912, calc_rusacc!$C$15:$C$65, calc_rusacc!$AF$15:$AF$65, "",0),  AND( F912="Main Chain", I912="Accordion Screen"), _xlfn.XLOOKUP(C912, calc_rusacc!$C$15:$C$65, calc_rusacc!$BF$15:$BF$65, "",0), AND( F912="Sealant", I912="Accordion Screen"), _xlfn.XLOOKUP(C912, calc_rusacc!$C$15:$C$65, calc_rusacc!$BJ$15:$BJ$65, "",0),  F912="Sealant", _xlfn.XLOOKUP(C912, dd_accsrycalc!$A$2:$A$51, dd_accsrycalc!$G$2:$G$51, "",0),  F912&lt;&gt;"",L912*_xlfn.XLOOKUP(1, (SKUs!$C$2:$C$10001=G912)*(SKUs!$K$2:$K$10001=I912),SKUs!$E$2:$E$10001)), 0),"")</f>
        <v/>
      </c>
      <c r="E912" s="35" t="str">
        <f>_xlfn.XLOOKUP(F912,dd_item!$B$2:$B$105,dd_item!$C$2:$C$105,"",0)</f>
        <v/>
      </c>
      <c r="F912" s="35"/>
      <c r="G912" s="35" cm="1">
        <f t="array" ref="G912">IFERROR(_xlfn.XLOOKUP(1, (SKUs!$J$2:$J$10001=accsry_unmerged!F912)*IF(H912&lt;&gt;"",(SKUs!$L$2:$L$10001=accsry_unmerged!H912),1)*(SKUs!$K$2:$K$10001=I912),SKUs!$C$2:$C$10001),"")</f>
        <v>0</v>
      </c>
      <c r="H912" s="36" cm="1">
        <f t="array" ref="H912">IFERROR(_xlfn.XLOOKUP(1, (dd_accsryclr!$C$2:$C$1000=accsry_unmerged!F912)*(dd_accsryclr!$B$2:$B$1000=accsry_unmerged!J912),dd_accsryclr!$A$2:$A$1000),"")</f>
        <v>0</v>
      </c>
      <c r="I912" s="35">
        <f>_xlfn.XLOOKUP(C912,'Project Details'!$C$17:$C$66,'Project Details'!$E$17:$E$66,"",0)</f>
        <v>0</v>
      </c>
      <c r="J912" s="35">
        <f>_xlfn.XLOOKUP(C912,'Project Details'!$C$17:$C$66,'Project Details'!$H$17:$H$66,"",0)</f>
        <v>0</v>
      </c>
      <c r="K912" s="36" t="str">
        <f>IF(AND(_xlfn.XLOOKUP(C912,'Project Details'!$C$17:$C$66,'Project Details'!$L$17:$L$66,"",0)&gt;550, F912="Spring-L27cm"),"",SUBSTITUTE(_xlfn.XLOOKUP(G912,SKUs!$C$2:$C$10001,SKUs!$F$2:$F$10001,"",0), " Accessories",""))</f>
        <v/>
      </c>
      <c r="L912" s="36">
        <f>_xlfn.XLOOKUP(C912,'Project Details'!$C$17:$C$66,'Project Details'!$D$17:$D$66,"",0)</f>
        <v>0</v>
      </c>
      <c r="M912" s="43"/>
    </row>
    <row r="913" spans="1:13" ht="13.5" customHeight="1" outlineLevel="1" x14ac:dyDescent="0.25">
      <c r="A913" s="43"/>
      <c r="B913" s="43"/>
      <c r="C913" s="16">
        <f t="shared" si="16"/>
        <v>18</v>
      </c>
      <c r="D913" s="16" t="str" cm="1">
        <f t="array" ref="D913">IFERROR(ROUNDUP(_xlfn.IFS(F913="Aluminum Track", _xlfn.XLOOKUP(C913, dd_accsrycalc!$A$2:$A$51, dd_accsrycalc!$B$2:$B$51, "",0), F913="10 x 2 1/2 S (Flat)", _xlfn.XLOOKUP(C913, dd_accsrycalc!$A$2:$A$51, dd_accsrycalc!$C$2:$C$51, "",0), F913="Tox6", _xlfn.XLOOKUP(C913, dd_accsrycalc!$A$2:$A$51, dd_accsrycalc!$D$2:$D$51, "",0), F913="Cover Cap", _xlfn.XLOOKUP(C913, dd_accsrycalc!$A$2:$A$51, dd_accsrycalc!$E$2:$E$51, "",0), F913="Drainage Cover", _xlfn.XLOOKUP(C913, dd_accsrycalc!$A$2:$A$51, dd_accsrycalc!$F$2:$F$51, "",0),AND( F913="Double Adhesive Tape", I913="Roll-up Screen"), _xlfn.XLOOKUP(C913, calc_rusacc!$C$15:$C$65, calc_rusacc!$AD$15:$AD$65, "",0),AND( F913="Sealant", I913="Roll-up Screen"), _xlfn.XLOOKUP(C913, calc_rusacc!$C$15:$C$65, calc_rusacc!$AF$15:$AF$65, "",0),  AND( F913="Main Chain", I913="Accordion Screen"), _xlfn.XLOOKUP(C913, calc_rusacc!$C$15:$C$65, calc_rusacc!$BF$15:$BF$65, "",0), AND( F913="Sealant", I913="Accordion Screen"), _xlfn.XLOOKUP(C913, calc_rusacc!$C$15:$C$65, calc_rusacc!$BJ$15:$BJ$65, "",0),  F913="Sealant", _xlfn.XLOOKUP(C913, dd_accsrycalc!$A$2:$A$51, dd_accsrycalc!$G$2:$G$51, "",0),  F913&lt;&gt;"",L913*_xlfn.XLOOKUP(1, (SKUs!$C$2:$C$10001=G913)*(SKUs!$K$2:$K$10001=I913),SKUs!$E$2:$E$10001)), 0),"")</f>
        <v/>
      </c>
      <c r="E913" s="16" t="str">
        <f>_xlfn.XLOOKUP(F913,dd_item!$B$2:$B$105,dd_item!$C$2:$C$105,"",0)</f>
        <v/>
      </c>
      <c r="F913" s="16"/>
      <c r="G913" s="16" cm="1">
        <f t="array" ref="G913">IFERROR(_xlfn.XLOOKUP(1, (SKUs!$J$2:$J$10001=accsry_unmerged!F913)*IF(H913&lt;&gt;"",(SKUs!$L$2:$L$10001=accsry_unmerged!H913),1)*(SKUs!$K$2:$K$10001=I913),SKUs!$C$2:$C$10001),"")</f>
        <v>0</v>
      </c>
      <c r="H913" s="33" cm="1">
        <f t="array" ref="H913">IFERROR(_xlfn.XLOOKUP(1, (dd_accsryclr!$C$2:$C$1000=accsry_unmerged!F913)*(dd_accsryclr!$B$2:$B$1000=accsry_unmerged!J913),dd_accsryclr!$A$2:$A$1000),"")</f>
        <v>0</v>
      </c>
      <c r="I913" s="16">
        <f>_xlfn.XLOOKUP(C913,'Project Details'!$C$17:$C$66,'Project Details'!$E$17:$E$66,"",0)</f>
        <v>0</v>
      </c>
      <c r="J913" s="16">
        <f>_xlfn.XLOOKUP(C913,'Project Details'!$C$17:$C$66,'Project Details'!$H$17:$H$66,"",0)</f>
        <v>0</v>
      </c>
      <c r="K913" s="33" t="str">
        <f>IF(AND(_xlfn.XLOOKUP(C913,'Project Details'!$C$17:$C$66,'Project Details'!$L$17:$L$66,"",0)&gt;550, F913="Spring-L27cm"),"",SUBSTITUTE(_xlfn.XLOOKUP(G913,SKUs!$C$2:$C$10001,SKUs!$F$2:$F$10001,"",0), " Accessories",""))</f>
        <v/>
      </c>
      <c r="L913" s="33">
        <f>_xlfn.XLOOKUP(C913,'Project Details'!$C$17:$C$66,'Project Details'!$D$17:$D$66,"",0)</f>
        <v>0</v>
      </c>
      <c r="M913" s="43"/>
    </row>
    <row r="914" spans="1:13" x14ac:dyDescent="0.25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</row>
    <row r="915" spans="1:13" x14ac:dyDescent="0.25">
      <c r="A915" s="43"/>
      <c r="B915" s="43"/>
      <c r="C915" s="16">
        <f>C913+1</f>
        <v>19</v>
      </c>
      <c r="D915" s="48" cm="1">
        <f t="array" ref="D915">IFERROR(ROUNDUP(_xlfn.IFS(F915="Aluminum Track", _xlfn.XLOOKUP(C915, dd_accsrycalc!$A$2:$A$51, dd_accsrycalc!$B$2:$B$51, "",0), F915="10 x 2 1/2 S (Flat)", _xlfn.XLOOKUP(C915, dd_accsrycalc!$A$2:$A$51, dd_accsrycalc!$C$2:$C$51, "",0), F915="Tox6", _xlfn.XLOOKUP(C915, dd_accsrycalc!$A$2:$A$51, dd_accsrycalc!$D$2:$D$51, "",0), F915="Cover Cap", _xlfn.XLOOKUP(C915, dd_accsrycalc!$A$2:$A$51, dd_accsrycalc!$E$2:$E$51, "",0), F915="Drainage Cover", _xlfn.XLOOKUP(C915, dd_accsrycalc!$A$2:$A$51, dd_accsrycalc!$F$2:$F$51, "",0),AND( F915="Double Adhesive Tape", I915="Roll-up Screen"), _xlfn.XLOOKUP(C915, calc_rusacc!$C$15:$C$65, calc_rusacc!$AD$15:$AD$65, "",0),AND( F915="Sealant", I915="Roll-up Screen"), _xlfn.XLOOKUP(C915, calc_rusacc!$C$15:$C$65, calc_rusacc!$AF$15:$AF$65, "",0),  AND( F915="Main Chain", I915="Accordion Screen"), _xlfn.XLOOKUP(C915, calc_rusacc!$C$15:$C$65, calc_rusacc!$BF$15:$BF$65, "",0), AND( F915="Sealant", I915="Accordion Screen"), _xlfn.XLOOKUP(C915, calc_rusacc!$C$15:$C$65, calc_rusacc!$BJ$15:$BJ$65, "",0),  F915="Sealant", _xlfn.XLOOKUP(C915, dd_accsrycalc!$A$2:$A$51, dd_accsrycalc!$G$2:$G$51, "",0),  F915&lt;&gt;"",L915*_xlfn.XLOOKUP(1, (SKUs!$C$2:$C$10001=G915)*(SKUs!$K$2:$K$10001=I915),SKUs!$E$2:$E$10001)), 0),"")</f>
        <v>0</v>
      </c>
      <c r="E915" s="48" t="str">
        <f>_xlfn.XLOOKUP(F915,dd_item!$B$2:$B$105,dd_item!$C$2:$C$105,"",0)</f>
        <v/>
      </c>
      <c r="F915" s="48" cm="1">
        <f t="array" ref="F915">IFERROR(_xlfn.UNIQUE(_xlfn._xlws.FILTER(SKUs!$J$2:$J$10001, (SKUs!$F$2:$F$10001&lt;&gt;"Cutting List") * (SKUs!$A$2:$A$10001=_xlfn.XLOOKUP(_xlfn.XLOOKUP(C915,'Project Details'!$C$17:$C$66,'Project Details'!$E$17:$E$66,"",0), dd_design_raw!$A$2:$A$101,dd_design_raw!$C$2:$C$101,"",0)))), "")</f>
        <v>0</v>
      </c>
      <c r="G915" s="16" cm="1">
        <f t="array" ref="G915">IFERROR(_xlfn.XLOOKUP(1, (SKUs!$J$2:$J$10001=accsry_unmerged!F915)*IF(H915&lt;&gt;"",(SKUs!$L$2:$L$10001=accsry_unmerged!H915),1)*(SKUs!$K$2:$K$10001=I915),SKUs!$C$2:$C$10001),"")</f>
        <v>0</v>
      </c>
      <c r="H915" s="16" cm="1">
        <f t="array" ref="H915">IFERROR(_xlfn.XLOOKUP(1, (dd_accsryclr!$C$2:$C$1000=accsry_unmerged!F915)*(dd_accsryclr!$B$2:$B$1000=accsry_unmerged!J915),dd_accsryclr!$A$2:$A$1000),"")</f>
        <v>0</v>
      </c>
      <c r="I915" s="16">
        <f>_xlfn.XLOOKUP(C915,'Project Details'!$C$17:$C$66,'Project Details'!$E$17:$E$66,"",0)</f>
        <v>0</v>
      </c>
      <c r="J915" s="16">
        <f>_xlfn.XLOOKUP(C915,'Project Details'!$C$17:$C$66,'Project Details'!$H$17:$H$66,"",0)</f>
        <v>0</v>
      </c>
      <c r="K915" s="16" t="str">
        <f>IF(AND(_xlfn.XLOOKUP(C915,'Project Details'!$C$17:$C$66,'Project Details'!$L$17:$L$66,"",0)&gt;550, F915="Spring-L27cm"),"",SUBSTITUTE(_xlfn.XLOOKUP(G915,SKUs!$C$2:$C$10001,SKUs!$F$2:$F$10001,"",0), " Accessories",""))</f>
        <v/>
      </c>
      <c r="L915" s="16">
        <f>_xlfn.XLOOKUP(C915,'Project Details'!$C$17:$C$66,'Project Details'!$D$17:$D$66,"",0)</f>
        <v>0</v>
      </c>
      <c r="M915" s="43"/>
    </row>
    <row r="916" spans="1:13" x14ac:dyDescent="0.25">
      <c r="A916" s="43"/>
      <c r="B916" s="43"/>
      <c r="C916" s="35">
        <f>C915</f>
        <v>19</v>
      </c>
      <c r="D916" s="35" t="str" cm="1">
        <f t="array" ref="D916">IFERROR(ROUNDUP(_xlfn.IFS(F916="Aluminum Track", _xlfn.XLOOKUP(C916, dd_accsrycalc!$A$2:$A$51, dd_accsrycalc!$B$2:$B$51, "",0), F916="10 x 2 1/2 S (Flat)", _xlfn.XLOOKUP(C916, dd_accsrycalc!$A$2:$A$51, dd_accsrycalc!$C$2:$C$51, "",0), F916="Tox6", _xlfn.XLOOKUP(C916, dd_accsrycalc!$A$2:$A$51, dd_accsrycalc!$D$2:$D$51, "",0), F916="Cover Cap", _xlfn.XLOOKUP(C916, dd_accsrycalc!$A$2:$A$51, dd_accsrycalc!$E$2:$E$51, "",0), F916="Drainage Cover", _xlfn.XLOOKUP(C916, dd_accsrycalc!$A$2:$A$51, dd_accsrycalc!$F$2:$F$51, "",0),AND( F916="Double Adhesive Tape", I916="Roll-up Screen"), _xlfn.XLOOKUP(C916, calc_rusacc!$C$15:$C$65, calc_rusacc!$AD$15:$AD$65, "",0),AND( F916="Sealant", I916="Roll-up Screen"), _xlfn.XLOOKUP(C916, calc_rusacc!$C$15:$C$65, calc_rusacc!$AF$15:$AF$65, "",0),  AND( F916="Main Chain", I916="Accordion Screen"), _xlfn.XLOOKUP(C916, calc_rusacc!$C$15:$C$65, calc_rusacc!$BF$15:$BF$65, "",0), AND( F916="Sealant", I916="Accordion Screen"), _xlfn.XLOOKUP(C916, calc_rusacc!$C$15:$C$65, calc_rusacc!$BJ$15:$BJ$65, "",0),  F916="Sealant", _xlfn.XLOOKUP(C916, dd_accsrycalc!$A$2:$A$51, dd_accsrycalc!$G$2:$G$51, "",0),  F916&lt;&gt;"",L916*_xlfn.XLOOKUP(1, (SKUs!$C$2:$C$10001=G916)*(SKUs!$K$2:$K$10001=I916),SKUs!$E$2:$E$10001)), 0),"")</f>
        <v/>
      </c>
      <c r="E916" s="35" t="str">
        <f>_xlfn.XLOOKUP(F916,dd_item!$B$2:$B$105,dd_item!$C$2:$C$105,"",0)</f>
        <v/>
      </c>
      <c r="F916" s="35"/>
      <c r="G916" s="35" cm="1">
        <f t="array" ref="G916">IFERROR(_xlfn.XLOOKUP(1, (SKUs!$J$2:$J$10001=accsry_unmerged!F916)*IF(H916&lt;&gt;"",(SKUs!$L$2:$L$10001=accsry_unmerged!H916),1)*(SKUs!$K$2:$K$10001=I916),SKUs!$C$2:$C$10001),"")</f>
        <v>0</v>
      </c>
      <c r="H916" s="36" cm="1">
        <f t="array" ref="H916">IFERROR(_xlfn.XLOOKUP(1, (dd_accsryclr!$C$2:$C$1000=accsry_unmerged!F916)*(dd_accsryclr!$B$2:$B$1000=accsry_unmerged!J916),dd_accsryclr!$A$2:$A$1000),"")</f>
        <v>0</v>
      </c>
      <c r="I916" s="35">
        <f>_xlfn.XLOOKUP(C916,'Project Details'!$C$17:$C$66,'Project Details'!$E$17:$E$66,"",0)</f>
        <v>0</v>
      </c>
      <c r="J916" s="35">
        <f>_xlfn.XLOOKUP(C916,'Project Details'!$C$17:$C$66,'Project Details'!$H$17:$H$66,"",0)</f>
        <v>0</v>
      </c>
      <c r="K916" s="36" t="str">
        <f>IF(AND(_xlfn.XLOOKUP(C916,'Project Details'!$C$17:$C$66,'Project Details'!$L$17:$L$66,"",0)&gt;550, F916="Spring-L27cm"),"",SUBSTITUTE(_xlfn.XLOOKUP(G916,SKUs!$C$2:$C$10001,SKUs!$F$2:$F$10001,"",0), " Accessories",""))</f>
        <v/>
      </c>
      <c r="L916" s="36">
        <f>_xlfn.XLOOKUP(C916,'Project Details'!$C$17:$C$66,'Project Details'!$D$17:$D$66,"",0)</f>
        <v>0</v>
      </c>
      <c r="M916" s="43"/>
    </row>
    <row r="917" spans="1:13" x14ac:dyDescent="0.25">
      <c r="A917" s="43"/>
      <c r="B917" s="43"/>
      <c r="C917" s="16">
        <f t="shared" ref="C917:C963" si="17">C916</f>
        <v>19</v>
      </c>
      <c r="D917" s="16" t="str" cm="1">
        <f t="array" ref="D917">IFERROR(ROUNDUP(_xlfn.IFS(F917="Aluminum Track", _xlfn.XLOOKUP(C917, dd_accsrycalc!$A$2:$A$51, dd_accsrycalc!$B$2:$B$51, "",0), F917="10 x 2 1/2 S (Flat)", _xlfn.XLOOKUP(C917, dd_accsrycalc!$A$2:$A$51, dd_accsrycalc!$C$2:$C$51, "",0), F917="Tox6", _xlfn.XLOOKUP(C917, dd_accsrycalc!$A$2:$A$51, dd_accsrycalc!$D$2:$D$51, "",0), F917="Cover Cap", _xlfn.XLOOKUP(C917, dd_accsrycalc!$A$2:$A$51, dd_accsrycalc!$E$2:$E$51, "",0), F917="Drainage Cover", _xlfn.XLOOKUP(C917, dd_accsrycalc!$A$2:$A$51, dd_accsrycalc!$F$2:$F$51, "",0),AND( F917="Double Adhesive Tape", I917="Roll-up Screen"), _xlfn.XLOOKUP(C917, calc_rusacc!$C$15:$C$65, calc_rusacc!$AD$15:$AD$65, "",0),AND( F917="Sealant", I917="Roll-up Screen"), _xlfn.XLOOKUP(C917, calc_rusacc!$C$15:$C$65, calc_rusacc!$AF$15:$AF$65, "",0),  AND( F917="Main Chain", I917="Accordion Screen"), _xlfn.XLOOKUP(C917, calc_rusacc!$C$15:$C$65, calc_rusacc!$BF$15:$BF$65, "",0), AND( F917="Sealant", I917="Accordion Screen"), _xlfn.XLOOKUP(C917, calc_rusacc!$C$15:$C$65, calc_rusacc!$BJ$15:$BJ$65, "",0),  F917="Sealant", _xlfn.XLOOKUP(C917, dd_accsrycalc!$A$2:$A$51, dd_accsrycalc!$G$2:$G$51, "",0),  F917&lt;&gt;"",L917*_xlfn.XLOOKUP(1, (SKUs!$C$2:$C$10001=G917)*(SKUs!$K$2:$K$10001=I917),SKUs!$E$2:$E$10001)), 0),"")</f>
        <v/>
      </c>
      <c r="E917" s="16" t="str">
        <f>_xlfn.XLOOKUP(F917,dd_item!$B$2:$B$105,dd_item!$C$2:$C$105,"",0)</f>
        <v/>
      </c>
      <c r="F917" s="16"/>
      <c r="G917" s="16" cm="1">
        <f t="array" ref="G917">IFERROR(_xlfn.XLOOKUP(1, (SKUs!$J$2:$J$10001=accsry_unmerged!F917)*IF(H917&lt;&gt;"",(SKUs!$L$2:$L$10001=accsry_unmerged!H917),1)*(SKUs!$K$2:$K$10001=I917),SKUs!$C$2:$C$10001),"")</f>
        <v>0</v>
      </c>
      <c r="H917" s="33" cm="1">
        <f t="array" ref="H917">IFERROR(_xlfn.XLOOKUP(1, (dd_accsryclr!$C$2:$C$1000=accsry_unmerged!F917)*(dd_accsryclr!$B$2:$B$1000=accsry_unmerged!J917),dd_accsryclr!$A$2:$A$1000),"")</f>
        <v>0</v>
      </c>
      <c r="I917" s="16">
        <f>_xlfn.XLOOKUP(C917,'Project Details'!$C$17:$C$66,'Project Details'!$E$17:$E$66,"",0)</f>
        <v>0</v>
      </c>
      <c r="J917" s="16">
        <f>_xlfn.XLOOKUP(C917,'Project Details'!$C$17:$C$66,'Project Details'!$H$17:$H$66,"",0)</f>
        <v>0</v>
      </c>
      <c r="K917" s="33" t="str">
        <f>IF(AND(_xlfn.XLOOKUP(C917,'Project Details'!$C$17:$C$66,'Project Details'!$L$17:$L$66,"",0)&gt;550, F917="Spring-L27cm"),"",SUBSTITUTE(_xlfn.XLOOKUP(G917,SKUs!$C$2:$C$10001,SKUs!$F$2:$F$10001,"",0), " Accessories",""))</f>
        <v/>
      </c>
      <c r="L917" s="33">
        <f>_xlfn.XLOOKUP(C917,'Project Details'!$C$17:$C$66,'Project Details'!$D$17:$D$66,"",0)</f>
        <v>0</v>
      </c>
      <c r="M917" s="43"/>
    </row>
    <row r="918" spans="1:13" x14ac:dyDescent="0.25">
      <c r="A918" s="43"/>
      <c r="B918" s="43"/>
      <c r="C918" s="35">
        <f t="shared" si="17"/>
        <v>19</v>
      </c>
      <c r="D918" s="35" t="str" cm="1">
        <f t="array" ref="D918">IFERROR(ROUNDUP(_xlfn.IFS(F918="Aluminum Track", _xlfn.XLOOKUP(C918, dd_accsrycalc!$A$2:$A$51, dd_accsrycalc!$B$2:$B$51, "",0), F918="10 x 2 1/2 S (Flat)", _xlfn.XLOOKUP(C918, dd_accsrycalc!$A$2:$A$51, dd_accsrycalc!$C$2:$C$51, "",0), F918="Tox6", _xlfn.XLOOKUP(C918, dd_accsrycalc!$A$2:$A$51, dd_accsrycalc!$D$2:$D$51, "",0), F918="Cover Cap", _xlfn.XLOOKUP(C918, dd_accsrycalc!$A$2:$A$51, dd_accsrycalc!$E$2:$E$51, "",0), F918="Drainage Cover", _xlfn.XLOOKUP(C918, dd_accsrycalc!$A$2:$A$51, dd_accsrycalc!$F$2:$F$51, "",0),AND( F918="Double Adhesive Tape", I918="Roll-up Screen"), _xlfn.XLOOKUP(C918, calc_rusacc!$C$15:$C$65, calc_rusacc!$AD$15:$AD$65, "",0),AND( F918="Sealant", I918="Roll-up Screen"), _xlfn.XLOOKUP(C918, calc_rusacc!$C$15:$C$65, calc_rusacc!$AF$15:$AF$65, "",0),  AND( F918="Main Chain", I918="Accordion Screen"), _xlfn.XLOOKUP(C918, calc_rusacc!$C$15:$C$65, calc_rusacc!$BF$15:$BF$65, "",0), AND( F918="Sealant", I918="Accordion Screen"), _xlfn.XLOOKUP(C918, calc_rusacc!$C$15:$C$65, calc_rusacc!$BJ$15:$BJ$65, "",0),  F918="Sealant", _xlfn.XLOOKUP(C918, dd_accsrycalc!$A$2:$A$51, dd_accsrycalc!$G$2:$G$51, "",0),  F918&lt;&gt;"",L918*_xlfn.XLOOKUP(1, (SKUs!$C$2:$C$10001=G918)*(SKUs!$K$2:$K$10001=I918),SKUs!$E$2:$E$10001)), 0),"")</f>
        <v/>
      </c>
      <c r="E918" s="35" t="str">
        <f>_xlfn.XLOOKUP(F918,dd_item!$B$2:$B$105,dd_item!$C$2:$C$105,"",0)</f>
        <v/>
      </c>
      <c r="F918" s="35"/>
      <c r="G918" s="35" cm="1">
        <f t="array" ref="G918">IFERROR(_xlfn.XLOOKUP(1, (SKUs!$J$2:$J$10001=accsry_unmerged!F918)*IF(H918&lt;&gt;"",(SKUs!$L$2:$L$10001=accsry_unmerged!H918),1)*(SKUs!$K$2:$K$10001=I918),SKUs!$C$2:$C$10001),"")</f>
        <v>0</v>
      </c>
      <c r="H918" s="36" cm="1">
        <f t="array" ref="H918">IFERROR(_xlfn.XLOOKUP(1, (dd_accsryclr!$C$2:$C$1000=accsry_unmerged!F918)*(dd_accsryclr!$B$2:$B$1000=accsry_unmerged!J918),dd_accsryclr!$A$2:$A$1000),"")</f>
        <v>0</v>
      </c>
      <c r="I918" s="35">
        <f>_xlfn.XLOOKUP(C918,'Project Details'!$C$17:$C$66,'Project Details'!$E$17:$E$66,"",0)</f>
        <v>0</v>
      </c>
      <c r="J918" s="35">
        <f>_xlfn.XLOOKUP(C918,'Project Details'!$C$17:$C$66,'Project Details'!$H$17:$H$66,"",0)</f>
        <v>0</v>
      </c>
      <c r="K918" s="36" t="str">
        <f>IF(AND(_xlfn.XLOOKUP(C918,'Project Details'!$C$17:$C$66,'Project Details'!$L$17:$L$66,"",0)&gt;550, F918="Spring-L27cm"),"",SUBSTITUTE(_xlfn.XLOOKUP(G918,SKUs!$C$2:$C$10001,SKUs!$F$2:$F$10001,"",0), " Accessories",""))</f>
        <v/>
      </c>
      <c r="L918" s="36">
        <f>_xlfn.XLOOKUP(C918,'Project Details'!$C$17:$C$66,'Project Details'!$D$17:$D$66,"",0)</f>
        <v>0</v>
      </c>
      <c r="M918" s="43"/>
    </row>
    <row r="919" spans="1:13" x14ac:dyDescent="0.25">
      <c r="A919" s="43"/>
      <c r="B919" s="43"/>
      <c r="C919" s="16">
        <f t="shared" si="17"/>
        <v>19</v>
      </c>
      <c r="D919" s="16" t="str" cm="1">
        <f t="array" ref="D919">IFERROR(ROUNDUP(_xlfn.IFS(F919="Aluminum Track", _xlfn.XLOOKUP(C919, dd_accsrycalc!$A$2:$A$51, dd_accsrycalc!$B$2:$B$51, "",0), F919="10 x 2 1/2 S (Flat)", _xlfn.XLOOKUP(C919, dd_accsrycalc!$A$2:$A$51, dd_accsrycalc!$C$2:$C$51, "",0), F919="Tox6", _xlfn.XLOOKUP(C919, dd_accsrycalc!$A$2:$A$51, dd_accsrycalc!$D$2:$D$51, "",0), F919="Cover Cap", _xlfn.XLOOKUP(C919, dd_accsrycalc!$A$2:$A$51, dd_accsrycalc!$E$2:$E$51, "",0), F919="Drainage Cover", _xlfn.XLOOKUP(C919, dd_accsrycalc!$A$2:$A$51, dd_accsrycalc!$F$2:$F$51, "",0),AND( F919="Double Adhesive Tape", I919="Roll-up Screen"), _xlfn.XLOOKUP(C919, calc_rusacc!$C$15:$C$65, calc_rusacc!$AD$15:$AD$65, "",0),AND( F919="Sealant", I919="Roll-up Screen"), _xlfn.XLOOKUP(C919, calc_rusacc!$C$15:$C$65, calc_rusacc!$AF$15:$AF$65, "",0),  AND( F919="Main Chain", I919="Accordion Screen"), _xlfn.XLOOKUP(C919, calc_rusacc!$C$15:$C$65, calc_rusacc!$BF$15:$BF$65, "",0), AND( F919="Sealant", I919="Accordion Screen"), _xlfn.XLOOKUP(C919, calc_rusacc!$C$15:$C$65, calc_rusacc!$BJ$15:$BJ$65, "",0),  F919="Sealant", _xlfn.XLOOKUP(C919, dd_accsrycalc!$A$2:$A$51, dd_accsrycalc!$G$2:$G$51, "",0),  F919&lt;&gt;"",L919*_xlfn.XLOOKUP(1, (SKUs!$C$2:$C$10001=G919)*(SKUs!$K$2:$K$10001=I919),SKUs!$E$2:$E$10001)), 0),"")</f>
        <v/>
      </c>
      <c r="E919" s="16" t="str">
        <f>_xlfn.XLOOKUP(F919,dd_item!$B$2:$B$105,dd_item!$C$2:$C$105,"",0)</f>
        <v/>
      </c>
      <c r="F919" s="16"/>
      <c r="G919" s="16" cm="1">
        <f t="array" ref="G919">IFERROR(_xlfn.XLOOKUP(1, (SKUs!$J$2:$J$10001=accsry_unmerged!F919)*IF(H919&lt;&gt;"",(SKUs!$L$2:$L$10001=accsry_unmerged!H919),1)*(SKUs!$K$2:$K$10001=I919),SKUs!$C$2:$C$10001),"")</f>
        <v>0</v>
      </c>
      <c r="H919" s="33" cm="1">
        <f t="array" ref="H919">IFERROR(_xlfn.XLOOKUP(1, (dd_accsryclr!$C$2:$C$1000=accsry_unmerged!F919)*(dd_accsryclr!$B$2:$B$1000=accsry_unmerged!J919),dd_accsryclr!$A$2:$A$1000),"")</f>
        <v>0</v>
      </c>
      <c r="I919" s="16">
        <f>_xlfn.XLOOKUP(C919,'Project Details'!$C$17:$C$66,'Project Details'!$E$17:$E$66,"",0)</f>
        <v>0</v>
      </c>
      <c r="J919" s="16">
        <f>_xlfn.XLOOKUP(C919,'Project Details'!$C$17:$C$66,'Project Details'!$H$17:$H$66,"",0)</f>
        <v>0</v>
      </c>
      <c r="K919" s="33" t="str">
        <f>IF(AND(_xlfn.XLOOKUP(C919,'Project Details'!$C$17:$C$66,'Project Details'!$L$17:$L$66,"",0)&gt;550, F919="Spring-L27cm"),"",SUBSTITUTE(_xlfn.XLOOKUP(G919,SKUs!$C$2:$C$10001,SKUs!$F$2:$F$10001,"",0), " Accessories",""))</f>
        <v/>
      </c>
      <c r="L919" s="33">
        <f>_xlfn.XLOOKUP(C919,'Project Details'!$C$17:$C$66,'Project Details'!$D$17:$D$66,"",0)</f>
        <v>0</v>
      </c>
      <c r="M919" s="43"/>
    </row>
    <row r="920" spans="1:13" x14ac:dyDescent="0.25">
      <c r="A920" s="43"/>
      <c r="B920" s="43"/>
      <c r="C920" s="35">
        <f t="shared" si="17"/>
        <v>19</v>
      </c>
      <c r="D920" s="35" t="str" cm="1">
        <f t="array" ref="D920">IFERROR(ROUNDUP(_xlfn.IFS(F920="Aluminum Track", _xlfn.XLOOKUP(C920, dd_accsrycalc!$A$2:$A$51, dd_accsrycalc!$B$2:$B$51, "",0), F920="10 x 2 1/2 S (Flat)", _xlfn.XLOOKUP(C920, dd_accsrycalc!$A$2:$A$51, dd_accsrycalc!$C$2:$C$51, "",0), F920="Tox6", _xlfn.XLOOKUP(C920, dd_accsrycalc!$A$2:$A$51, dd_accsrycalc!$D$2:$D$51, "",0), F920="Cover Cap", _xlfn.XLOOKUP(C920, dd_accsrycalc!$A$2:$A$51, dd_accsrycalc!$E$2:$E$51, "",0), F920="Drainage Cover", _xlfn.XLOOKUP(C920, dd_accsrycalc!$A$2:$A$51, dd_accsrycalc!$F$2:$F$51, "",0),AND( F920="Double Adhesive Tape", I920="Roll-up Screen"), _xlfn.XLOOKUP(C920, calc_rusacc!$C$15:$C$65, calc_rusacc!$AD$15:$AD$65, "",0),AND( F920="Sealant", I920="Roll-up Screen"), _xlfn.XLOOKUP(C920, calc_rusacc!$C$15:$C$65, calc_rusacc!$AF$15:$AF$65, "",0),  AND( F920="Main Chain", I920="Accordion Screen"), _xlfn.XLOOKUP(C920, calc_rusacc!$C$15:$C$65, calc_rusacc!$BF$15:$BF$65, "",0), AND( F920="Sealant", I920="Accordion Screen"), _xlfn.XLOOKUP(C920, calc_rusacc!$C$15:$C$65, calc_rusacc!$BJ$15:$BJ$65, "",0),  F920="Sealant", _xlfn.XLOOKUP(C920, dd_accsrycalc!$A$2:$A$51, dd_accsrycalc!$G$2:$G$51, "",0),  F920&lt;&gt;"",L920*_xlfn.XLOOKUP(1, (SKUs!$C$2:$C$10001=G920)*(SKUs!$K$2:$K$10001=I920),SKUs!$E$2:$E$10001)), 0),"")</f>
        <v/>
      </c>
      <c r="E920" s="35" t="str">
        <f>_xlfn.XLOOKUP(F920,dd_item!$B$2:$B$105,dd_item!$C$2:$C$105,"",0)</f>
        <v/>
      </c>
      <c r="F920" s="35"/>
      <c r="G920" s="35" cm="1">
        <f t="array" ref="G920">IFERROR(_xlfn.XLOOKUP(1, (SKUs!$J$2:$J$10001=accsry_unmerged!F920)*IF(H920&lt;&gt;"",(SKUs!$L$2:$L$10001=accsry_unmerged!H920),1)*(SKUs!$K$2:$K$10001=I920),SKUs!$C$2:$C$10001),"")</f>
        <v>0</v>
      </c>
      <c r="H920" s="36" cm="1">
        <f t="array" ref="H920">IFERROR(_xlfn.XLOOKUP(1, (dd_accsryclr!$C$2:$C$1000=accsry_unmerged!F920)*(dd_accsryclr!$B$2:$B$1000=accsry_unmerged!J920),dd_accsryclr!$A$2:$A$1000),"")</f>
        <v>0</v>
      </c>
      <c r="I920" s="35">
        <f>_xlfn.XLOOKUP(C920,'Project Details'!$C$17:$C$66,'Project Details'!$E$17:$E$66,"",0)</f>
        <v>0</v>
      </c>
      <c r="J920" s="35">
        <f>_xlfn.XLOOKUP(C920,'Project Details'!$C$17:$C$66,'Project Details'!$H$17:$H$66,"",0)</f>
        <v>0</v>
      </c>
      <c r="K920" s="36" t="str">
        <f>IF(AND(_xlfn.XLOOKUP(C920,'Project Details'!$C$17:$C$66,'Project Details'!$L$17:$L$66,"",0)&gt;550, F920="Spring-L27cm"),"",SUBSTITUTE(_xlfn.XLOOKUP(G920,SKUs!$C$2:$C$10001,SKUs!$F$2:$F$10001,"",0), " Accessories",""))</f>
        <v/>
      </c>
      <c r="L920" s="36">
        <f>_xlfn.XLOOKUP(C920,'Project Details'!$C$17:$C$66,'Project Details'!$D$17:$D$66,"",0)</f>
        <v>0</v>
      </c>
      <c r="M920" s="43"/>
    </row>
    <row r="921" spans="1:13" x14ac:dyDescent="0.25">
      <c r="A921" s="43"/>
      <c r="B921" s="43"/>
      <c r="C921" s="16">
        <f t="shared" si="17"/>
        <v>19</v>
      </c>
      <c r="D921" s="16" t="str" cm="1">
        <f t="array" ref="D921">IFERROR(ROUNDUP(_xlfn.IFS(F921="Aluminum Track", _xlfn.XLOOKUP(C921, dd_accsrycalc!$A$2:$A$51, dd_accsrycalc!$B$2:$B$51, "",0), F921="10 x 2 1/2 S (Flat)", _xlfn.XLOOKUP(C921, dd_accsrycalc!$A$2:$A$51, dd_accsrycalc!$C$2:$C$51, "",0), F921="Tox6", _xlfn.XLOOKUP(C921, dd_accsrycalc!$A$2:$A$51, dd_accsrycalc!$D$2:$D$51, "",0), F921="Cover Cap", _xlfn.XLOOKUP(C921, dd_accsrycalc!$A$2:$A$51, dd_accsrycalc!$E$2:$E$51, "",0), F921="Drainage Cover", _xlfn.XLOOKUP(C921, dd_accsrycalc!$A$2:$A$51, dd_accsrycalc!$F$2:$F$51, "",0),AND( F921="Double Adhesive Tape", I921="Roll-up Screen"), _xlfn.XLOOKUP(C921, calc_rusacc!$C$15:$C$65, calc_rusacc!$AD$15:$AD$65, "",0),AND( F921="Sealant", I921="Roll-up Screen"), _xlfn.XLOOKUP(C921, calc_rusacc!$C$15:$C$65, calc_rusacc!$AF$15:$AF$65, "",0),  AND( F921="Main Chain", I921="Accordion Screen"), _xlfn.XLOOKUP(C921, calc_rusacc!$C$15:$C$65, calc_rusacc!$BF$15:$BF$65, "",0), AND( F921="Sealant", I921="Accordion Screen"), _xlfn.XLOOKUP(C921, calc_rusacc!$C$15:$C$65, calc_rusacc!$BJ$15:$BJ$65, "",0),  F921="Sealant", _xlfn.XLOOKUP(C921, dd_accsrycalc!$A$2:$A$51, dd_accsrycalc!$G$2:$G$51, "",0),  F921&lt;&gt;"",L921*_xlfn.XLOOKUP(1, (SKUs!$C$2:$C$10001=G921)*(SKUs!$K$2:$K$10001=I921),SKUs!$E$2:$E$10001)), 0),"")</f>
        <v/>
      </c>
      <c r="E921" s="16" t="str">
        <f>_xlfn.XLOOKUP(F921,dd_item!$B$2:$B$105,dd_item!$C$2:$C$105,"",0)</f>
        <v/>
      </c>
      <c r="F921" s="16"/>
      <c r="G921" s="16" cm="1">
        <f t="array" ref="G921">IFERROR(_xlfn.XLOOKUP(1, (SKUs!$J$2:$J$10001=accsry_unmerged!F921)*IF(H921&lt;&gt;"",(SKUs!$L$2:$L$10001=accsry_unmerged!H921),1)*(SKUs!$K$2:$K$10001=I921),SKUs!$C$2:$C$10001),"")</f>
        <v>0</v>
      </c>
      <c r="H921" s="33" cm="1">
        <f t="array" ref="H921">IFERROR(_xlfn.XLOOKUP(1, (dd_accsryclr!$C$2:$C$1000=accsry_unmerged!F921)*(dd_accsryclr!$B$2:$B$1000=accsry_unmerged!J921),dd_accsryclr!$A$2:$A$1000),"")</f>
        <v>0</v>
      </c>
      <c r="I921" s="16">
        <f>_xlfn.XLOOKUP(C921,'Project Details'!$C$17:$C$66,'Project Details'!$E$17:$E$66,"",0)</f>
        <v>0</v>
      </c>
      <c r="J921" s="16">
        <f>_xlfn.XLOOKUP(C921,'Project Details'!$C$17:$C$66,'Project Details'!$H$17:$H$66,"",0)</f>
        <v>0</v>
      </c>
      <c r="K921" s="33" t="str">
        <f>IF(AND(_xlfn.XLOOKUP(C921,'Project Details'!$C$17:$C$66,'Project Details'!$L$17:$L$66,"",0)&gt;550, F921="Spring-L27cm"),"",SUBSTITUTE(_xlfn.XLOOKUP(G921,SKUs!$C$2:$C$10001,SKUs!$F$2:$F$10001,"",0), " Accessories",""))</f>
        <v/>
      </c>
      <c r="L921" s="33">
        <f>_xlfn.XLOOKUP(C921,'Project Details'!$C$17:$C$66,'Project Details'!$D$17:$D$66,"",0)</f>
        <v>0</v>
      </c>
      <c r="M921" s="43"/>
    </row>
    <row r="922" spans="1:13" x14ac:dyDescent="0.25">
      <c r="A922" s="43"/>
      <c r="B922" s="43"/>
      <c r="C922" s="35">
        <f t="shared" si="17"/>
        <v>19</v>
      </c>
      <c r="D922" s="35" t="str" cm="1">
        <f t="array" ref="D922">IFERROR(ROUNDUP(_xlfn.IFS(F922="Aluminum Track", _xlfn.XLOOKUP(C922, dd_accsrycalc!$A$2:$A$51, dd_accsrycalc!$B$2:$B$51, "",0), F922="10 x 2 1/2 S (Flat)", _xlfn.XLOOKUP(C922, dd_accsrycalc!$A$2:$A$51, dd_accsrycalc!$C$2:$C$51, "",0), F922="Tox6", _xlfn.XLOOKUP(C922, dd_accsrycalc!$A$2:$A$51, dd_accsrycalc!$D$2:$D$51, "",0), F922="Cover Cap", _xlfn.XLOOKUP(C922, dd_accsrycalc!$A$2:$A$51, dd_accsrycalc!$E$2:$E$51, "",0), F922="Drainage Cover", _xlfn.XLOOKUP(C922, dd_accsrycalc!$A$2:$A$51, dd_accsrycalc!$F$2:$F$51, "",0),AND( F922="Double Adhesive Tape", I922="Roll-up Screen"), _xlfn.XLOOKUP(C922, calc_rusacc!$C$15:$C$65, calc_rusacc!$AD$15:$AD$65, "",0),AND( F922="Sealant", I922="Roll-up Screen"), _xlfn.XLOOKUP(C922, calc_rusacc!$C$15:$C$65, calc_rusacc!$AF$15:$AF$65, "",0),  AND( F922="Main Chain", I922="Accordion Screen"), _xlfn.XLOOKUP(C922, calc_rusacc!$C$15:$C$65, calc_rusacc!$BF$15:$BF$65, "",0), AND( F922="Sealant", I922="Accordion Screen"), _xlfn.XLOOKUP(C922, calc_rusacc!$C$15:$C$65, calc_rusacc!$BJ$15:$BJ$65, "",0),  F922="Sealant", _xlfn.XLOOKUP(C922, dd_accsrycalc!$A$2:$A$51, dd_accsrycalc!$G$2:$G$51, "",0),  F922&lt;&gt;"",L922*_xlfn.XLOOKUP(1, (SKUs!$C$2:$C$10001=G922)*(SKUs!$K$2:$K$10001=I922),SKUs!$E$2:$E$10001)), 0),"")</f>
        <v/>
      </c>
      <c r="E922" s="35" t="str">
        <f>_xlfn.XLOOKUP(F922,dd_item!$B$2:$B$105,dd_item!$C$2:$C$105,"",0)</f>
        <v/>
      </c>
      <c r="F922" s="35"/>
      <c r="G922" s="35" cm="1">
        <f t="array" ref="G922">IFERROR(_xlfn.XLOOKUP(1, (SKUs!$J$2:$J$10001=accsry_unmerged!F922)*IF(H922&lt;&gt;"",(SKUs!$L$2:$L$10001=accsry_unmerged!H922),1)*(SKUs!$K$2:$K$10001=I922),SKUs!$C$2:$C$10001),"")</f>
        <v>0</v>
      </c>
      <c r="H922" s="36" cm="1">
        <f t="array" ref="H922">IFERROR(_xlfn.XLOOKUP(1, (dd_accsryclr!$C$2:$C$1000=accsry_unmerged!F922)*(dd_accsryclr!$B$2:$B$1000=accsry_unmerged!J922),dd_accsryclr!$A$2:$A$1000),"")</f>
        <v>0</v>
      </c>
      <c r="I922" s="35">
        <f>_xlfn.XLOOKUP(C922,'Project Details'!$C$17:$C$66,'Project Details'!$E$17:$E$66,"",0)</f>
        <v>0</v>
      </c>
      <c r="J922" s="35">
        <f>_xlfn.XLOOKUP(C922,'Project Details'!$C$17:$C$66,'Project Details'!$H$17:$H$66,"",0)</f>
        <v>0</v>
      </c>
      <c r="K922" s="36" t="str">
        <f>IF(AND(_xlfn.XLOOKUP(C922,'Project Details'!$C$17:$C$66,'Project Details'!$L$17:$L$66,"",0)&gt;550, F922="Spring-L27cm"),"",SUBSTITUTE(_xlfn.XLOOKUP(G922,SKUs!$C$2:$C$10001,SKUs!$F$2:$F$10001,"",0), " Accessories",""))</f>
        <v/>
      </c>
      <c r="L922" s="36">
        <f>_xlfn.XLOOKUP(C922,'Project Details'!$C$17:$C$66,'Project Details'!$D$17:$D$66,"",0)</f>
        <v>0</v>
      </c>
      <c r="M922" s="43"/>
    </row>
    <row r="923" spans="1:13" x14ac:dyDescent="0.25">
      <c r="A923" s="43"/>
      <c r="B923" s="43"/>
      <c r="C923" s="16">
        <f t="shared" si="17"/>
        <v>19</v>
      </c>
      <c r="D923" s="16" t="str" cm="1">
        <f t="array" ref="D923">IFERROR(ROUNDUP(_xlfn.IFS(F923="Aluminum Track", _xlfn.XLOOKUP(C923, dd_accsrycalc!$A$2:$A$51, dd_accsrycalc!$B$2:$B$51, "",0), F923="10 x 2 1/2 S (Flat)", _xlfn.XLOOKUP(C923, dd_accsrycalc!$A$2:$A$51, dd_accsrycalc!$C$2:$C$51, "",0), F923="Tox6", _xlfn.XLOOKUP(C923, dd_accsrycalc!$A$2:$A$51, dd_accsrycalc!$D$2:$D$51, "",0), F923="Cover Cap", _xlfn.XLOOKUP(C923, dd_accsrycalc!$A$2:$A$51, dd_accsrycalc!$E$2:$E$51, "",0), F923="Drainage Cover", _xlfn.XLOOKUP(C923, dd_accsrycalc!$A$2:$A$51, dd_accsrycalc!$F$2:$F$51, "",0),AND( F923="Double Adhesive Tape", I923="Roll-up Screen"), _xlfn.XLOOKUP(C923, calc_rusacc!$C$15:$C$65, calc_rusacc!$AD$15:$AD$65, "",0),AND( F923="Sealant", I923="Roll-up Screen"), _xlfn.XLOOKUP(C923, calc_rusacc!$C$15:$C$65, calc_rusacc!$AF$15:$AF$65, "",0),  AND( F923="Main Chain", I923="Accordion Screen"), _xlfn.XLOOKUP(C923, calc_rusacc!$C$15:$C$65, calc_rusacc!$BF$15:$BF$65, "",0), AND( F923="Sealant", I923="Accordion Screen"), _xlfn.XLOOKUP(C923, calc_rusacc!$C$15:$C$65, calc_rusacc!$BJ$15:$BJ$65, "",0),  F923="Sealant", _xlfn.XLOOKUP(C923, dd_accsrycalc!$A$2:$A$51, dd_accsrycalc!$G$2:$G$51, "",0),  F923&lt;&gt;"",L923*_xlfn.XLOOKUP(1, (SKUs!$C$2:$C$10001=G923)*(SKUs!$K$2:$K$10001=I923),SKUs!$E$2:$E$10001)), 0),"")</f>
        <v/>
      </c>
      <c r="E923" s="16" t="str">
        <f>_xlfn.XLOOKUP(F923,dd_item!$B$2:$B$105,dd_item!$C$2:$C$105,"",0)</f>
        <v/>
      </c>
      <c r="F923" s="16"/>
      <c r="G923" s="16" cm="1">
        <f t="array" ref="G923">IFERROR(_xlfn.XLOOKUP(1, (SKUs!$J$2:$J$10001=accsry_unmerged!F923)*IF(H923&lt;&gt;"",(SKUs!$L$2:$L$10001=accsry_unmerged!H923),1)*(SKUs!$K$2:$K$10001=I923),SKUs!$C$2:$C$10001),"")</f>
        <v>0</v>
      </c>
      <c r="H923" s="33" cm="1">
        <f t="array" ref="H923">IFERROR(_xlfn.XLOOKUP(1, (dd_accsryclr!$C$2:$C$1000=accsry_unmerged!F923)*(dd_accsryclr!$B$2:$B$1000=accsry_unmerged!J923),dd_accsryclr!$A$2:$A$1000),"")</f>
        <v>0</v>
      </c>
      <c r="I923" s="16">
        <f>_xlfn.XLOOKUP(C923,'Project Details'!$C$17:$C$66,'Project Details'!$E$17:$E$66,"",0)</f>
        <v>0</v>
      </c>
      <c r="J923" s="16">
        <f>_xlfn.XLOOKUP(C923,'Project Details'!$C$17:$C$66,'Project Details'!$H$17:$H$66,"",0)</f>
        <v>0</v>
      </c>
      <c r="K923" s="33" t="str">
        <f>IF(AND(_xlfn.XLOOKUP(C923,'Project Details'!$C$17:$C$66,'Project Details'!$L$17:$L$66,"",0)&gt;550, F923="Spring-L27cm"),"",SUBSTITUTE(_xlfn.XLOOKUP(G923,SKUs!$C$2:$C$10001,SKUs!$F$2:$F$10001,"",0), " Accessories",""))</f>
        <v/>
      </c>
      <c r="L923" s="33">
        <f>_xlfn.XLOOKUP(C923,'Project Details'!$C$17:$C$66,'Project Details'!$D$17:$D$66,"",0)</f>
        <v>0</v>
      </c>
      <c r="M923" s="43"/>
    </row>
    <row r="924" spans="1:13" x14ac:dyDescent="0.25">
      <c r="A924" s="43"/>
      <c r="B924" s="43"/>
      <c r="C924" s="35">
        <f t="shared" si="17"/>
        <v>19</v>
      </c>
      <c r="D924" s="35" t="str" cm="1">
        <f t="array" ref="D924">IFERROR(ROUNDUP(_xlfn.IFS(F924="Aluminum Track", _xlfn.XLOOKUP(C924, dd_accsrycalc!$A$2:$A$51, dd_accsrycalc!$B$2:$B$51, "",0), F924="10 x 2 1/2 S (Flat)", _xlfn.XLOOKUP(C924, dd_accsrycalc!$A$2:$A$51, dd_accsrycalc!$C$2:$C$51, "",0), F924="Tox6", _xlfn.XLOOKUP(C924, dd_accsrycalc!$A$2:$A$51, dd_accsrycalc!$D$2:$D$51, "",0), F924="Cover Cap", _xlfn.XLOOKUP(C924, dd_accsrycalc!$A$2:$A$51, dd_accsrycalc!$E$2:$E$51, "",0), F924="Drainage Cover", _xlfn.XLOOKUP(C924, dd_accsrycalc!$A$2:$A$51, dd_accsrycalc!$F$2:$F$51, "",0),AND( F924="Double Adhesive Tape", I924="Roll-up Screen"), _xlfn.XLOOKUP(C924, calc_rusacc!$C$15:$C$65, calc_rusacc!$AD$15:$AD$65, "",0),AND( F924="Sealant", I924="Roll-up Screen"), _xlfn.XLOOKUP(C924, calc_rusacc!$C$15:$C$65, calc_rusacc!$AF$15:$AF$65, "",0),  AND( F924="Main Chain", I924="Accordion Screen"), _xlfn.XLOOKUP(C924, calc_rusacc!$C$15:$C$65, calc_rusacc!$BF$15:$BF$65, "",0), AND( F924="Sealant", I924="Accordion Screen"), _xlfn.XLOOKUP(C924, calc_rusacc!$C$15:$C$65, calc_rusacc!$BJ$15:$BJ$65, "",0),  F924="Sealant", _xlfn.XLOOKUP(C924, dd_accsrycalc!$A$2:$A$51, dd_accsrycalc!$G$2:$G$51, "",0),  F924&lt;&gt;"",L924*_xlfn.XLOOKUP(1, (SKUs!$C$2:$C$10001=G924)*(SKUs!$K$2:$K$10001=I924),SKUs!$E$2:$E$10001)), 0),"")</f>
        <v/>
      </c>
      <c r="E924" s="35" t="str">
        <f>_xlfn.XLOOKUP(F924,dd_item!$B$2:$B$105,dd_item!$C$2:$C$105,"",0)</f>
        <v/>
      </c>
      <c r="F924" s="35"/>
      <c r="G924" s="35" cm="1">
        <f t="array" ref="G924">IFERROR(_xlfn.XLOOKUP(1, (SKUs!$J$2:$J$10001=accsry_unmerged!F924)*IF(H924&lt;&gt;"",(SKUs!$L$2:$L$10001=accsry_unmerged!H924),1)*(SKUs!$K$2:$K$10001=I924),SKUs!$C$2:$C$10001),"")</f>
        <v>0</v>
      </c>
      <c r="H924" s="36" cm="1">
        <f t="array" ref="H924">IFERROR(_xlfn.XLOOKUP(1, (dd_accsryclr!$C$2:$C$1000=accsry_unmerged!F924)*(dd_accsryclr!$B$2:$B$1000=accsry_unmerged!J924),dd_accsryclr!$A$2:$A$1000),"")</f>
        <v>0</v>
      </c>
      <c r="I924" s="35">
        <f>_xlfn.XLOOKUP(C924,'Project Details'!$C$17:$C$66,'Project Details'!$E$17:$E$66,"",0)</f>
        <v>0</v>
      </c>
      <c r="J924" s="35">
        <f>_xlfn.XLOOKUP(C924,'Project Details'!$C$17:$C$66,'Project Details'!$H$17:$H$66,"",0)</f>
        <v>0</v>
      </c>
      <c r="K924" s="36" t="str">
        <f>IF(AND(_xlfn.XLOOKUP(C924,'Project Details'!$C$17:$C$66,'Project Details'!$L$17:$L$66,"",0)&gt;550, F924="Spring-L27cm"),"",SUBSTITUTE(_xlfn.XLOOKUP(G924,SKUs!$C$2:$C$10001,SKUs!$F$2:$F$10001,"",0), " Accessories",""))</f>
        <v/>
      </c>
      <c r="L924" s="36">
        <f>_xlfn.XLOOKUP(C924,'Project Details'!$C$17:$C$66,'Project Details'!$D$17:$D$66,"",0)</f>
        <v>0</v>
      </c>
      <c r="M924" s="43"/>
    </row>
    <row r="925" spans="1:13" x14ac:dyDescent="0.25">
      <c r="A925" s="43"/>
      <c r="B925" s="43"/>
      <c r="C925" s="16">
        <f t="shared" si="17"/>
        <v>19</v>
      </c>
      <c r="D925" s="16" t="str" cm="1">
        <f t="array" ref="D925">IFERROR(ROUNDUP(_xlfn.IFS(F925="Aluminum Track", _xlfn.XLOOKUP(C925, dd_accsrycalc!$A$2:$A$51, dd_accsrycalc!$B$2:$B$51, "",0), F925="10 x 2 1/2 S (Flat)", _xlfn.XLOOKUP(C925, dd_accsrycalc!$A$2:$A$51, dd_accsrycalc!$C$2:$C$51, "",0), F925="Tox6", _xlfn.XLOOKUP(C925, dd_accsrycalc!$A$2:$A$51, dd_accsrycalc!$D$2:$D$51, "",0), F925="Cover Cap", _xlfn.XLOOKUP(C925, dd_accsrycalc!$A$2:$A$51, dd_accsrycalc!$E$2:$E$51, "",0), F925="Drainage Cover", _xlfn.XLOOKUP(C925, dd_accsrycalc!$A$2:$A$51, dd_accsrycalc!$F$2:$F$51, "",0),AND( F925="Double Adhesive Tape", I925="Roll-up Screen"), _xlfn.XLOOKUP(C925, calc_rusacc!$C$15:$C$65, calc_rusacc!$AD$15:$AD$65, "",0),AND( F925="Sealant", I925="Roll-up Screen"), _xlfn.XLOOKUP(C925, calc_rusacc!$C$15:$C$65, calc_rusacc!$AF$15:$AF$65, "",0),  AND( F925="Main Chain", I925="Accordion Screen"), _xlfn.XLOOKUP(C925, calc_rusacc!$C$15:$C$65, calc_rusacc!$BF$15:$BF$65, "",0), AND( F925="Sealant", I925="Accordion Screen"), _xlfn.XLOOKUP(C925, calc_rusacc!$C$15:$C$65, calc_rusacc!$BJ$15:$BJ$65, "",0),  F925="Sealant", _xlfn.XLOOKUP(C925, dd_accsrycalc!$A$2:$A$51, dd_accsrycalc!$G$2:$G$51, "",0),  F925&lt;&gt;"",L925*_xlfn.XLOOKUP(1, (SKUs!$C$2:$C$10001=G925)*(SKUs!$K$2:$K$10001=I925),SKUs!$E$2:$E$10001)), 0),"")</f>
        <v/>
      </c>
      <c r="E925" s="16" t="str">
        <f>_xlfn.XLOOKUP(F925,dd_item!$B$2:$B$105,dd_item!$C$2:$C$105,"",0)</f>
        <v/>
      </c>
      <c r="F925" s="16"/>
      <c r="G925" s="16" cm="1">
        <f t="array" ref="G925">IFERROR(_xlfn.XLOOKUP(1, (SKUs!$J$2:$J$10001=accsry_unmerged!F925)*IF(H925&lt;&gt;"",(SKUs!$L$2:$L$10001=accsry_unmerged!H925),1)*(SKUs!$K$2:$K$10001=I925),SKUs!$C$2:$C$10001),"")</f>
        <v>0</v>
      </c>
      <c r="H925" s="33" cm="1">
        <f t="array" ref="H925">IFERROR(_xlfn.XLOOKUP(1, (dd_accsryclr!$C$2:$C$1000=accsry_unmerged!F925)*(dd_accsryclr!$B$2:$B$1000=accsry_unmerged!J925),dd_accsryclr!$A$2:$A$1000),"")</f>
        <v>0</v>
      </c>
      <c r="I925" s="16">
        <f>_xlfn.XLOOKUP(C925,'Project Details'!$C$17:$C$66,'Project Details'!$E$17:$E$66,"",0)</f>
        <v>0</v>
      </c>
      <c r="J925" s="16">
        <f>_xlfn.XLOOKUP(C925,'Project Details'!$C$17:$C$66,'Project Details'!$H$17:$H$66,"",0)</f>
        <v>0</v>
      </c>
      <c r="K925" s="33" t="str">
        <f>IF(AND(_xlfn.XLOOKUP(C925,'Project Details'!$C$17:$C$66,'Project Details'!$L$17:$L$66,"",0)&gt;550, F925="Spring-L27cm"),"",SUBSTITUTE(_xlfn.XLOOKUP(G925,SKUs!$C$2:$C$10001,SKUs!$F$2:$F$10001,"",0), " Accessories",""))</f>
        <v/>
      </c>
      <c r="L925" s="33">
        <f>_xlfn.XLOOKUP(C925,'Project Details'!$C$17:$C$66,'Project Details'!$D$17:$D$66,"",0)</f>
        <v>0</v>
      </c>
      <c r="M925" s="43"/>
    </row>
    <row r="926" spans="1:13" x14ac:dyDescent="0.25">
      <c r="A926" s="43"/>
      <c r="B926" s="43"/>
      <c r="C926" s="35">
        <f t="shared" si="17"/>
        <v>19</v>
      </c>
      <c r="D926" s="35" t="str" cm="1">
        <f t="array" ref="D926">IFERROR(ROUNDUP(_xlfn.IFS(F926="Aluminum Track", _xlfn.XLOOKUP(C926, dd_accsrycalc!$A$2:$A$51, dd_accsrycalc!$B$2:$B$51, "",0), F926="10 x 2 1/2 S (Flat)", _xlfn.XLOOKUP(C926, dd_accsrycalc!$A$2:$A$51, dd_accsrycalc!$C$2:$C$51, "",0), F926="Tox6", _xlfn.XLOOKUP(C926, dd_accsrycalc!$A$2:$A$51, dd_accsrycalc!$D$2:$D$51, "",0), F926="Cover Cap", _xlfn.XLOOKUP(C926, dd_accsrycalc!$A$2:$A$51, dd_accsrycalc!$E$2:$E$51, "",0), F926="Drainage Cover", _xlfn.XLOOKUP(C926, dd_accsrycalc!$A$2:$A$51, dd_accsrycalc!$F$2:$F$51, "",0),AND( F926="Double Adhesive Tape", I926="Roll-up Screen"), _xlfn.XLOOKUP(C926, calc_rusacc!$C$15:$C$65, calc_rusacc!$AD$15:$AD$65, "",0),AND( F926="Sealant", I926="Roll-up Screen"), _xlfn.XLOOKUP(C926, calc_rusacc!$C$15:$C$65, calc_rusacc!$AF$15:$AF$65, "",0),  AND( F926="Main Chain", I926="Accordion Screen"), _xlfn.XLOOKUP(C926, calc_rusacc!$C$15:$C$65, calc_rusacc!$BF$15:$BF$65, "",0), AND( F926="Sealant", I926="Accordion Screen"), _xlfn.XLOOKUP(C926, calc_rusacc!$C$15:$C$65, calc_rusacc!$BJ$15:$BJ$65, "",0),  F926="Sealant", _xlfn.XLOOKUP(C926, dd_accsrycalc!$A$2:$A$51, dd_accsrycalc!$G$2:$G$51, "",0),  F926&lt;&gt;"",L926*_xlfn.XLOOKUP(1, (SKUs!$C$2:$C$10001=G926)*(SKUs!$K$2:$K$10001=I926),SKUs!$E$2:$E$10001)), 0),"")</f>
        <v/>
      </c>
      <c r="E926" s="35" t="str">
        <f>_xlfn.XLOOKUP(F926,dd_item!$B$2:$B$105,dd_item!$C$2:$C$105,"",0)</f>
        <v/>
      </c>
      <c r="F926" s="35"/>
      <c r="G926" s="35" cm="1">
        <f t="array" ref="G926">IFERROR(_xlfn.XLOOKUP(1, (SKUs!$J$2:$J$10001=accsry_unmerged!F926)*IF(H926&lt;&gt;"",(SKUs!$L$2:$L$10001=accsry_unmerged!H926),1)*(SKUs!$K$2:$K$10001=I926),SKUs!$C$2:$C$10001),"")</f>
        <v>0</v>
      </c>
      <c r="H926" s="36" cm="1">
        <f t="array" ref="H926">IFERROR(_xlfn.XLOOKUP(1, (dd_accsryclr!$C$2:$C$1000=accsry_unmerged!F926)*(dd_accsryclr!$B$2:$B$1000=accsry_unmerged!J926),dd_accsryclr!$A$2:$A$1000),"")</f>
        <v>0</v>
      </c>
      <c r="I926" s="35">
        <f>_xlfn.XLOOKUP(C926,'Project Details'!$C$17:$C$66,'Project Details'!$E$17:$E$66,"",0)</f>
        <v>0</v>
      </c>
      <c r="J926" s="35">
        <f>_xlfn.XLOOKUP(C926,'Project Details'!$C$17:$C$66,'Project Details'!$H$17:$H$66,"",0)</f>
        <v>0</v>
      </c>
      <c r="K926" s="36" t="str">
        <f>IF(AND(_xlfn.XLOOKUP(C926,'Project Details'!$C$17:$C$66,'Project Details'!$L$17:$L$66,"",0)&gt;550, F926="Spring-L27cm"),"",SUBSTITUTE(_xlfn.XLOOKUP(G926,SKUs!$C$2:$C$10001,SKUs!$F$2:$F$10001,"",0), " Accessories",""))</f>
        <v/>
      </c>
      <c r="L926" s="36">
        <f>_xlfn.XLOOKUP(C926,'Project Details'!$C$17:$C$66,'Project Details'!$D$17:$D$66,"",0)</f>
        <v>0</v>
      </c>
      <c r="M926" s="43"/>
    </row>
    <row r="927" spans="1:13" x14ac:dyDescent="0.25">
      <c r="A927" s="43"/>
      <c r="B927" s="43"/>
      <c r="C927" s="16">
        <f t="shared" si="17"/>
        <v>19</v>
      </c>
      <c r="D927" s="16" t="str" cm="1">
        <f t="array" ref="D927">IFERROR(ROUNDUP(_xlfn.IFS(F927="Aluminum Track", _xlfn.XLOOKUP(C927, dd_accsrycalc!$A$2:$A$51, dd_accsrycalc!$B$2:$B$51, "",0), F927="10 x 2 1/2 S (Flat)", _xlfn.XLOOKUP(C927, dd_accsrycalc!$A$2:$A$51, dd_accsrycalc!$C$2:$C$51, "",0), F927="Tox6", _xlfn.XLOOKUP(C927, dd_accsrycalc!$A$2:$A$51, dd_accsrycalc!$D$2:$D$51, "",0), F927="Cover Cap", _xlfn.XLOOKUP(C927, dd_accsrycalc!$A$2:$A$51, dd_accsrycalc!$E$2:$E$51, "",0), F927="Drainage Cover", _xlfn.XLOOKUP(C927, dd_accsrycalc!$A$2:$A$51, dd_accsrycalc!$F$2:$F$51, "",0),AND( F927="Double Adhesive Tape", I927="Roll-up Screen"), _xlfn.XLOOKUP(C927, calc_rusacc!$C$15:$C$65, calc_rusacc!$AD$15:$AD$65, "",0),AND( F927="Sealant", I927="Roll-up Screen"), _xlfn.XLOOKUP(C927, calc_rusacc!$C$15:$C$65, calc_rusacc!$AF$15:$AF$65, "",0),  AND( F927="Main Chain", I927="Accordion Screen"), _xlfn.XLOOKUP(C927, calc_rusacc!$C$15:$C$65, calc_rusacc!$BF$15:$BF$65, "",0), AND( F927="Sealant", I927="Accordion Screen"), _xlfn.XLOOKUP(C927, calc_rusacc!$C$15:$C$65, calc_rusacc!$BJ$15:$BJ$65, "",0),  F927="Sealant", _xlfn.XLOOKUP(C927, dd_accsrycalc!$A$2:$A$51, dd_accsrycalc!$G$2:$G$51, "",0),  F927&lt;&gt;"",L927*_xlfn.XLOOKUP(1, (SKUs!$C$2:$C$10001=G927)*(SKUs!$K$2:$K$10001=I927),SKUs!$E$2:$E$10001)), 0),"")</f>
        <v/>
      </c>
      <c r="E927" s="16" t="str">
        <f>_xlfn.XLOOKUP(F927,dd_item!$B$2:$B$105,dd_item!$C$2:$C$105,"",0)</f>
        <v/>
      </c>
      <c r="F927" s="16"/>
      <c r="G927" s="16" cm="1">
        <f t="array" ref="G927">IFERROR(_xlfn.XLOOKUP(1, (SKUs!$J$2:$J$10001=accsry_unmerged!F927)*IF(H927&lt;&gt;"",(SKUs!$L$2:$L$10001=accsry_unmerged!H927),1)*(SKUs!$K$2:$K$10001=I927),SKUs!$C$2:$C$10001),"")</f>
        <v>0</v>
      </c>
      <c r="H927" s="33" cm="1">
        <f t="array" ref="H927">IFERROR(_xlfn.XLOOKUP(1, (dd_accsryclr!$C$2:$C$1000=accsry_unmerged!F927)*(dd_accsryclr!$B$2:$B$1000=accsry_unmerged!J927),dd_accsryclr!$A$2:$A$1000),"")</f>
        <v>0</v>
      </c>
      <c r="I927" s="16">
        <f>_xlfn.XLOOKUP(C927,'Project Details'!$C$17:$C$66,'Project Details'!$E$17:$E$66,"",0)</f>
        <v>0</v>
      </c>
      <c r="J927" s="16">
        <f>_xlfn.XLOOKUP(C927,'Project Details'!$C$17:$C$66,'Project Details'!$H$17:$H$66,"",0)</f>
        <v>0</v>
      </c>
      <c r="K927" s="33" t="str">
        <f>IF(AND(_xlfn.XLOOKUP(C927,'Project Details'!$C$17:$C$66,'Project Details'!$L$17:$L$66,"",0)&gt;550, F927="Spring-L27cm"),"",SUBSTITUTE(_xlfn.XLOOKUP(G927,SKUs!$C$2:$C$10001,SKUs!$F$2:$F$10001,"",0), " Accessories",""))</f>
        <v/>
      </c>
      <c r="L927" s="33">
        <f>_xlfn.XLOOKUP(C927,'Project Details'!$C$17:$C$66,'Project Details'!$D$17:$D$66,"",0)</f>
        <v>0</v>
      </c>
      <c r="M927" s="43"/>
    </row>
    <row r="928" spans="1:13" x14ac:dyDescent="0.25">
      <c r="A928" s="43"/>
      <c r="B928" s="43"/>
      <c r="C928" s="35">
        <f t="shared" si="17"/>
        <v>19</v>
      </c>
      <c r="D928" s="35" t="str" cm="1">
        <f t="array" ref="D928">IFERROR(ROUNDUP(_xlfn.IFS(F928="Aluminum Track", _xlfn.XLOOKUP(C928, dd_accsrycalc!$A$2:$A$51, dd_accsrycalc!$B$2:$B$51, "",0), F928="10 x 2 1/2 S (Flat)", _xlfn.XLOOKUP(C928, dd_accsrycalc!$A$2:$A$51, dd_accsrycalc!$C$2:$C$51, "",0), F928="Tox6", _xlfn.XLOOKUP(C928, dd_accsrycalc!$A$2:$A$51, dd_accsrycalc!$D$2:$D$51, "",0), F928="Cover Cap", _xlfn.XLOOKUP(C928, dd_accsrycalc!$A$2:$A$51, dd_accsrycalc!$E$2:$E$51, "",0), F928="Drainage Cover", _xlfn.XLOOKUP(C928, dd_accsrycalc!$A$2:$A$51, dd_accsrycalc!$F$2:$F$51, "",0),AND( F928="Double Adhesive Tape", I928="Roll-up Screen"), _xlfn.XLOOKUP(C928, calc_rusacc!$C$15:$C$65, calc_rusacc!$AD$15:$AD$65, "",0),AND( F928="Sealant", I928="Roll-up Screen"), _xlfn.XLOOKUP(C928, calc_rusacc!$C$15:$C$65, calc_rusacc!$AF$15:$AF$65, "",0),  AND( F928="Main Chain", I928="Accordion Screen"), _xlfn.XLOOKUP(C928, calc_rusacc!$C$15:$C$65, calc_rusacc!$BF$15:$BF$65, "",0), AND( F928="Sealant", I928="Accordion Screen"), _xlfn.XLOOKUP(C928, calc_rusacc!$C$15:$C$65, calc_rusacc!$BJ$15:$BJ$65, "",0),  F928="Sealant", _xlfn.XLOOKUP(C928, dd_accsrycalc!$A$2:$A$51, dd_accsrycalc!$G$2:$G$51, "",0),  F928&lt;&gt;"",L928*_xlfn.XLOOKUP(1, (SKUs!$C$2:$C$10001=G928)*(SKUs!$K$2:$K$10001=I928),SKUs!$E$2:$E$10001)), 0),"")</f>
        <v/>
      </c>
      <c r="E928" s="35" t="str">
        <f>_xlfn.XLOOKUP(F928,dd_item!$B$2:$B$105,dd_item!$C$2:$C$105,"",0)</f>
        <v/>
      </c>
      <c r="F928" s="35"/>
      <c r="G928" s="35" cm="1">
        <f t="array" ref="G928">IFERROR(_xlfn.XLOOKUP(1, (SKUs!$J$2:$J$10001=accsry_unmerged!F928)*IF(H928&lt;&gt;"",(SKUs!$L$2:$L$10001=accsry_unmerged!H928),1)*(SKUs!$K$2:$K$10001=I928),SKUs!$C$2:$C$10001),"")</f>
        <v>0</v>
      </c>
      <c r="H928" s="36" cm="1">
        <f t="array" ref="H928">IFERROR(_xlfn.XLOOKUP(1, (dd_accsryclr!$C$2:$C$1000=accsry_unmerged!F928)*(dd_accsryclr!$B$2:$B$1000=accsry_unmerged!J928),dd_accsryclr!$A$2:$A$1000),"")</f>
        <v>0</v>
      </c>
      <c r="I928" s="35">
        <f>_xlfn.XLOOKUP(C928,'Project Details'!$C$17:$C$66,'Project Details'!$E$17:$E$66,"",0)</f>
        <v>0</v>
      </c>
      <c r="J928" s="35">
        <f>_xlfn.XLOOKUP(C928,'Project Details'!$C$17:$C$66,'Project Details'!$H$17:$H$66,"",0)</f>
        <v>0</v>
      </c>
      <c r="K928" s="36" t="str">
        <f>IF(AND(_xlfn.XLOOKUP(C928,'Project Details'!$C$17:$C$66,'Project Details'!$L$17:$L$66,"",0)&gt;550, F928="Spring-L27cm"),"",SUBSTITUTE(_xlfn.XLOOKUP(G928,SKUs!$C$2:$C$10001,SKUs!$F$2:$F$10001,"",0), " Accessories",""))</f>
        <v/>
      </c>
      <c r="L928" s="36">
        <f>_xlfn.XLOOKUP(C928,'Project Details'!$C$17:$C$66,'Project Details'!$D$17:$D$66,"",0)</f>
        <v>0</v>
      </c>
      <c r="M928" s="43"/>
    </row>
    <row r="929" spans="1:13" x14ac:dyDescent="0.25">
      <c r="A929" s="43"/>
      <c r="B929" s="43"/>
      <c r="C929" s="16">
        <f t="shared" si="17"/>
        <v>19</v>
      </c>
      <c r="D929" s="16" t="str" cm="1">
        <f t="array" ref="D929">IFERROR(ROUNDUP(_xlfn.IFS(F929="Aluminum Track", _xlfn.XLOOKUP(C929, dd_accsrycalc!$A$2:$A$51, dd_accsrycalc!$B$2:$B$51, "",0), F929="10 x 2 1/2 S (Flat)", _xlfn.XLOOKUP(C929, dd_accsrycalc!$A$2:$A$51, dd_accsrycalc!$C$2:$C$51, "",0), F929="Tox6", _xlfn.XLOOKUP(C929, dd_accsrycalc!$A$2:$A$51, dd_accsrycalc!$D$2:$D$51, "",0), F929="Cover Cap", _xlfn.XLOOKUP(C929, dd_accsrycalc!$A$2:$A$51, dd_accsrycalc!$E$2:$E$51, "",0), F929="Drainage Cover", _xlfn.XLOOKUP(C929, dd_accsrycalc!$A$2:$A$51, dd_accsrycalc!$F$2:$F$51, "",0),AND( F929="Double Adhesive Tape", I929="Roll-up Screen"), _xlfn.XLOOKUP(C929, calc_rusacc!$C$15:$C$65, calc_rusacc!$AD$15:$AD$65, "",0),AND( F929="Sealant", I929="Roll-up Screen"), _xlfn.XLOOKUP(C929, calc_rusacc!$C$15:$C$65, calc_rusacc!$AF$15:$AF$65, "",0),  AND( F929="Main Chain", I929="Accordion Screen"), _xlfn.XLOOKUP(C929, calc_rusacc!$C$15:$C$65, calc_rusacc!$BF$15:$BF$65, "",0), AND( F929="Sealant", I929="Accordion Screen"), _xlfn.XLOOKUP(C929, calc_rusacc!$C$15:$C$65, calc_rusacc!$BJ$15:$BJ$65, "",0),  F929="Sealant", _xlfn.XLOOKUP(C929, dd_accsrycalc!$A$2:$A$51, dd_accsrycalc!$G$2:$G$51, "",0),  F929&lt;&gt;"",L929*_xlfn.XLOOKUP(1, (SKUs!$C$2:$C$10001=G929)*(SKUs!$K$2:$K$10001=I929),SKUs!$E$2:$E$10001)), 0),"")</f>
        <v/>
      </c>
      <c r="E929" s="16" t="str">
        <f>_xlfn.XLOOKUP(F929,dd_item!$B$2:$B$105,dd_item!$C$2:$C$105,"",0)</f>
        <v/>
      </c>
      <c r="F929" s="16"/>
      <c r="G929" s="16" cm="1">
        <f t="array" ref="G929">IFERROR(_xlfn.XLOOKUP(1, (SKUs!$J$2:$J$10001=accsry_unmerged!F929)*IF(H929&lt;&gt;"",(SKUs!$L$2:$L$10001=accsry_unmerged!H929),1)*(SKUs!$K$2:$K$10001=I929),SKUs!$C$2:$C$10001),"")</f>
        <v>0</v>
      </c>
      <c r="H929" s="33" cm="1">
        <f t="array" ref="H929">IFERROR(_xlfn.XLOOKUP(1, (dd_accsryclr!$C$2:$C$1000=accsry_unmerged!F929)*(dd_accsryclr!$B$2:$B$1000=accsry_unmerged!J929),dd_accsryclr!$A$2:$A$1000),"")</f>
        <v>0</v>
      </c>
      <c r="I929" s="16">
        <f>_xlfn.XLOOKUP(C929,'Project Details'!$C$17:$C$66,'Project Details'!$E$17:$E$66,"",0)</f>
        <v>0</v>
      </c>
      <c r="J929" s="16">
        <f>_xlfn.XLOOKUP(C929,'Project Details'!$C$17:$C$66,'Project Details'!$H$17:$H$66,"",0)</f>
        <v>0</v>
      </c>
      <c r="K929" s="33" t="str">
        <f>IF(AND(_xlfn.XLOOKUP(C929,'Project Details'!$C$17:$C$66,'Project Details'!$L$17:$L$66,"",0)&gt;550, F929="Spring-L27cm"),"",SUBSTITUTE(_xlfn.XLOOKUP(G929,SKUs!$C$2:$C$10001,SKUs!$F$2:$F$10001,"",0), " Accessories",""))</f>
        <v/>
      </c>
      <c r="L929" s="33">
        <f>_xlfn.XLOOKUP(C929,'Project Details'!$C$17:$C$66,'Project Details'!$D$17:$D$66,"",0)</f>
        <v>0</v>
      </c>
      <c r="M929" s="43"/>
    </row>
    <row r="930" spans="1:13" x14ac:dyDescent="0.25">
      <c r="A930" s="43"/>
      <c r="B930" s="43"/>
      <c r="C930" s="35">
        <f t="shared" si="17"/>
        <v>19</v>
      </c>
      <c r="D930" s="35" t="str" cm="1">
        <f t="array" ref="D930">IFERROR(ROUNDUP(_xlfn.IFS(F930="Aluminum Track", _xlfn.XLOOKUP(C930, dd_accsrycalc!$A$2:$A$51, dd_accsrycalc!$B$2:$B$51, "",0), F930="10 x 2 1/2 S (Flat)", _xlfn.XLOOKUP(C930, dd_accsrycalc!$A$2:$A$51, dd_accsrycalc!$C$2:$C$51, "",0), F930="Tox6", _xlfn.XLOOKUP(C930, dd_accsrycalc!$A$2:$A$51, dd_accsrycalc!$D$2:$D$51, "",0), F930="Cover Cap", _xlfn.XLOOKUP(C930, dd_accsrycalc!$A$2:$A$51, dd_accsrycalc!$E$2:$E$51, "",0), F930="Drainage Cover", _xlfn.XLOOKUP(C930, dd_accsrycalc!$A$2:$A$51, dd_accsrycalc!$F$2:$F$51, "",0),AND( F930="Double Adhesive Tape", I930="Roll-up Screen"), _xlfn.XLOOKUP(C930, calc_rusacc!$C$15:$C$65, calc_rusacc!$AD$15:$AD$65, "",0),AND( F930="Sealant", I930="Roll-up Screen"), _xlfn.XLOOKUP(C930, calc_rusacc!$C$15:$C$65, calc_rusacc!$AF$15:$AF$65, "",0),  AND( F930="Main Chain", I930="Accordion Screen"), _xlfn.XLOOKUP(C930, calc_rusacc!$C$15:$C$65, calc_rusacc!$BF$15:$BF$65, "",0), AND( F930="Sealant", I930="Accordion Screen"), _xlfn.XLOOKUP(C930, calc_rusacc!$C$15:$C$65, calc_rusacc!$BJ$15:$BJ$65, "",0),  F930="Sealant", _xlfn.XLOOKUP(C930, dd_accsrycalc!$A$2:$A$51, dd_accsrycalc!$G$2:$G$51, "",0),  F930&lt;&gt;"",L930*_xlfn.XLOOKUP(1, (SKUs!$C$2:$C$10001=G930)*(SKUs!$K$2:$K$10001=I930),SKUs!$E$2:$E$10001)), 0),"")</f>
        <v/>
      </c>
      <c r="E930" s="35" t="str">
        <f>_xlfn.XLOOKUP(F930,dd_item!$B$2:$B$105,dd_item!$C$2:$C$105,"",0)</f>
        <v/>
      </c>
      <c r="F930" s="35"/>
      <c r="G930" s="35" cm="1">
        <f t="array" ref="G930">IFERROR(_xlfn.XLOOKUP(1, (SKUs!$J$2:$J$10001=accsry_unmerged!F930)*IF(H930&lt;&gt;"",(SKUs!$L$2:$L$10001=accsry_unmerged!H930),1)*(SKUs!$K$2:$K$10001=I930),SKUs!$C$2:$C$10001),"")</f>
        <v>0</v>
      </c>
      <c r="H930" s="36" cm="1">
        <f t="array" ref="H930">IFERROR(_xlfn.XLOOKUP(1, (dd_accsryclr!$C$2:$C$1000=accsry_unmerged!F930)*(dd_accsryclr!$B$2:$B$1000=accsry_unmerged!J930),dd_accsryclr!$A$2:$A$1000),"")</f>
        <v>0</v>
      </c>
      <c r="I930" s="35">
        <f>_xlfn.XLOOKUP(C930,'Project Details'!$C$17:$C$66,'Project Details'!$E$17:$E$66,"",0)</f>
        <v>0</v>
      </c>
      <c r="J930" s="35">
        <f>_xlfn.XLOOKUP(C930,'Project Details'!$C$17:$C$66,'Project Details'!$H$17:$H$66,"",0)</f>
        <v>0</v>
      </c>
      <c r="K930" s="36" t="str">
        <f>IF(AND(_xlfn.XLOOKUP(C930,'Project Details'!$C$17:$C$66,'Project Details'!$L$17:$L$66,"",0)&gt;550, F930="Spring-L27cm"),"",SUBSTITUTE(_xlfn.XLOOKUP(G930,SKUs!$C$2:$C$10001,SKUs!$F$2:$F$10001,"",0), " Accessories",""))</f>
        <v/>
      </c>
      <c r="L930" s="36">
        <f>_xlfn.XLOOKUP(C930,'Project Details'!$C$17:$C$66,'Project Details'!$D$17:$D$66,"",0)</f>
        <v>0</v>
      </c>
      <c r="M930" s="43"/>
    </row>
    <row r="931" spans="1:13" x14ac:dyDescent="0.25">
      <c r="A931" s="43"/>
      <c r="B931" s="43"/>
      <c r="C931" s="16">
        <f t="shared" si="17"/>
        <v>19</v>
      </c>
      <c r="D931" s="16" t="str" cm="1">
        <f t="array" ref="D931">IFERROR(ROUNDUP(_xlfn.IFS(F931="Aluminum Track", _xlfn.XLOOKUP(C931, dd_accsrycalc!$A$2:$A$51, dd_accsrycalc!$B$2:$B$51, "",0), F931="10 x 2 1/2 S (Flat)", _xlfn.XLOOKUP(C931, dd_accsrycalc!$A$2:$A$51, dd_accsrycalc!$C$2:$C$51, "",0), F931="Tox6", _xlfn.XLOOKUP(C931, dd_accsrycalc!$A$2:$A$51, dd_accsrycalc!$D$2:$D$51, "",0), F931="Cover Cap", _xlfn.XLOOKUP(C931, dd_accsrycalc!$A$2:$A$51, dd_accsrycalc!$E$2:$E$51, "",0), F931="Drainage Cover", _xlfn.XLOOKUP(C931, dd_accsrycalc!$A$2:$A$51, dd_accsrycalc!$F$2:$F$51, "",0),AND( F931="Double Adhesive Tape", I931="Roll-up Screen"), _xlfn.XLOOKUP(C931, calc_rusacc!$C$15:$C$65, calc_rusacc!$AD$15:$AD$65, "",0),AND( F931="Sealant", I931="Roll-up Screen"), _xlfn.XLOOKUP(C931, calc_rusacc!$C$15:$C$65, calc_rusacc!$AF$15:$AF$65, "",0),  AND( F931="Main Chain", I931="Accordion Screen"), _xlfn.XLOOKUP(C931, calc_rusacc!$C$15:$C$65, calc_rusacc!$BF$15:$BF$65, "",0), AND( F931="Sealant", I931="Accordion Screen"), _xlfn.XLOOKUP(C931, calc_rusacc!$C$15:$C$65, calc_rusacc!$BJ$15:$BJ$65, "",0),  F931="Sealant", _xlfn.XLOOKUP(C931, dd_accsrycalc!$A$2:$A$51, dd_accsrycalc!$G$2:$G$51, "",0),  F931&lt;&gt;"",L931*_xlfn.XLOOKUP(1, (SKUs!$C$2:$C$10001=G931)*(SKUs!$K$2:$K$10001=I931),SKUs!$E$2:$E$10001)), 0),"")</f>
        <v/>
      </c>
      <c r="E931" s="16" t="str">
        <f>_xlfn.XLOOKUP(F931,dd_item!$B$2:$B$105,dd_item!$C$2:$C$105,"",0)</f>
        <v/>
      </c>
      <c r="F931" s="16"/>
      <c r="G931" s="16" cm="1">
        <f t="array" ref="G931">IFERROR(_xlfn.XLOOKUP(1, (SKUs!$J$2:$J$10001=accsry_unmerged!F931)*IF(H931&lt;&gt;"",(SKUs!$L$2:$L$10001=accsry_unmerged!H931),1)*(SKUs!$K$2:$K$10001=I931),SKUs!$C$2:$C$10001),"")</f>
        <v>0</v>
      </c>
      <c r="H931" s="33" cm="1">
        <f t="array" ref="H931">IFERROR(_xlfn.XLOOKUP(1, (dd_accsryclr!$C$2:$C$1000=accsry_unmerged!F931)*(dd_accsryclr!$B$2:$B$1000=accsry_unmerged!J931),dd_accsryclr!$A$2:$A$1000),"")</f>
        <v>0</v>
      </c>
      <c r="I931" s="16">
        <f>_xlfn.XLOOKUP(C931,'Project Details'!$C$17:$C$66,'Project Details'!$E$17:$E$66,"",0)</f>
        <v>0</v>
      </c>
      <c r="J931" s="16">
        <f>_xlfn.XLOOKUP(C931,'Project Details'!$C$17:$C$66,'Project Details'!$H$17:$H$66,"",0)</f>
        <v>0</v>
      </c>
      <c r="K931" s="33" t="str">
        <f>IF(AND(_xlfn.XLOOKUP(C931,'Project Details'!$C$17:$C$66,'Project Details'!$L$17:$L$66,"",0)&gt;550, F931="Spring-L27cm"),"",SUBSTITUTE(_xlfn.XLOOKUP(G931,SKUs!$C$2:$C$10001,SKUs!$F$2:$F$10001,"",0), " Accessories",""))</f>
        <v/>
      </c>
      <c r="L931" s="33">
        <f>_xlfn.XLOOKUP(C931,'Project Details'!$C$17:$C$66,'Project Details'!$D$17:$D$66,"",0)</f>
        <v>0</v>
      </c>
      <c r="M931" s="43"/>
    </row>
    <row r="932" spans="1:13" x14ac:dyDescent="0.25">
      <c r="A932" s="43"/>
      <c r="B932" s="43"/>
      <c r="C932" s="35">
        <f t="shared" si="17"/>
        <v>19</v>
      </c>
      <c r="D932" s="35" t="str" cm="1">
        <f t="array" ref="D932">IFERROR(ROUNDUP(_xlfn.IFS(F932="Aluminum Track", _xlfn.XLOOKUP(C932, dd_accsrycalc!$A$2:$A$51, dd_accsrycalc!$B$2:$B$51, "",0), F932="10 x 2 1/2 S (Flat)", _xlfn.XLOOKUP(C932, dd_accsrycalc!$A$2:$A$51, dd_accsrycalc!$C$2:$C$51, "",0), F932="Tox6", _xlfn.XLOOKUP(C932, dd_accsrycalc!$A$2:$A$51, dd_accsrycalc!$D$2:$D$51, "",0), F932="Cover Cap", _xlfn.XLOOKUP(C932, dd_accsrycalc!$A$2:$A$51, dd_accsrycalc!$E$2:$E$51, "",0), F932="Drainage Cover", _xlfn.XLOOKUP(C932, dd_accsrycalc!$A$2:$A$51, dd_accsrycalc!$F$2:$F$51, "",0),AND( F932="Double Adhesive Tape", I932="Roll-up Screen"), _xlfn.XLOOKUP(C932, calc_rusacc!$C$15:$C$65, calc_rusacc!$AD$15:$AD$65, "",0),AND( F932="Sealant", I932="Roll-up Screen"), _xlfn.XLOOKUP(C932, calc_rusacc!$C$15:$C$65, calc_rusacc!$AF$15:$AF$65, "",0),  AND( F932="Main Chain", I932="Accordion Screen"), _xlfn.XLOOKUP(C932, calc_rusacc!$C$15:$C$65, calc_rusacc!$BF$15:$BF$65, "",0), AND( F932="Sealant", I932="Accordion Screen"), _xlfn.XLOOKUP(C932, calc_rusacc!$C$15:$C$65, calc_rusacc!$BJ$15:$BJ$65, "",0),  F932="Sealant", _xlfn.XLOOKUP(C932, dd_accsrycalc!$A$2:$A$51, dd_accsrycalc!$G$2:$G$51, "",0),  F932&lt;&gt;"",L932*_xlfn.XLOOKUP(1, (SKUs!$C$2:$C$10001=G932)*(SKUs!$K$2:$K$10001=I932),SKUs!$E$2:$E$10001)), 0),"")</f>
        <v/>
      </c>
      <c r="E932" s="35" t="str">
        <f>_xlfn.XLOOKUP(F932,dd_item!$B$2:$B$105,dd_item!$C$2:$C$105,"",0)</f>
        <v/>
      </c>
      <c r="F932" s="35"/>
      <c r="G932" s="35" cm="1">
        <f t="array" ref="G932">IFERROR(_xlfn.XLOOKUP(1, (SKUs!$J$2:$J$10001=accsry_unmerged!F932)*IF(H932&lt;&gt;"",(SKUs!$L$2:$L$10001=accsry_unmerged!H932),1)*(SKUs!$K$2:$K$10001=I932),SKUs!$C$2:$C$10001),"")</f>
        <v>0</v>
      </c>
      <c r="H932" s="36" cm="1">
        <f t="array" ref="H932">IFERROR(_xlfn.XLOOKUP(1, (dd_accsryclr!$C$2:$C$1000=accsry_unmerged!F932)*(dd_accsryclr!$B$2:$B$1000=accsry_unmerged!J932),dd_accsryclr!$A$2:$A$1000),"")</f>
        <v>0</v>
      </c>
      <c r="I932" s="35">
        <f>_xlfn.XLOOKUP(C932,'Project Details'!$C$17:$C$66,'Project Details'!$E$17:$E$66,"",0)</f>
        <v>0</v>
      </c>
      <c r="J932" s="35">
        <f>_xlfn.XLOOKUP(C932,'Project Details'!$C$17:$C$66,'Project Details'!$H$17:$H$66,"",0)</f>
        <v>0</v>
      </c>
      <c r="K932" s="36" t="str">
        <f>IF(AND(_xlfn.XLOOKUP(C932,'Project Details'!$C$17:$C$66,'Project Details'!$L$17:$L$66,"",0)&gt;550, F932="Spring-L27cm"),"",SUBSTITUTE(_xlfn.XLOOKUP(G932,SKUs!$C$2:$C$10001,SKUs!$F$2:$F$10001,"",0), " Accessories",""))</f>
        <v/>
      </c>
      <c r="L932" s="36">
        <f>_xlfn.XLOOKUP(C932,'Project Details'!$C$17:$C$66,'Project Details'!$D$17:$D$66,"",0)</f>
        <v>0</v>
      </c>
      <c r="M932" s="43"/>
    </row>
    <row r="933" spans="1:13" x14ac:dyDescent="0.25">
      <c r="A933" s="43"/>
      <c r="B933" s="43"/>
      <c r="C933" s="16">
        <f t="shared" si="17"/>
        <v>19</v>
      </c>
      <c r="D933" s="16" t="str" cm="1">
        <f t="array" ref="D933">IFERROR(ROUNDUP(_xlfn.IFS(F933="Aluminum Track", _xlfn.XLOOKUP(C933, dd_accsrycalc!$A$2:$A$51, dd_accsrycalc!$B$2:$B$51, "",0), F933="10 x 2 1/2 S (Flat)", _xlfn.XLOOKUP(C933, dd_accsrycalc!$A$2:$A$51, dd_accsrycalc!$C$2:$C$51, "",0), F933="Tox6", _xlfn.XLOOKUP(C933, dd_accsrycalc!$A$2:$A$51, dd_accsrycalc!$D$2:$D$51, "",0), F933="Cover Cap", _xlfn.XLOOKUP(C933, dd_accsrycalc!$A$2:$A$51, dd_accsrycalc!$E$2:$E$51, "",0), F933="Drainage Cover", _xlfn.XLOOKUP(C933, dd_accsrycalc!$A$2:$A$51, dd_accsrycalc!$F$2:$F$51, "",0),AND( F933="Double Adhesive Tape", I933="Roll-up Screen"), _xlfn.XLOOKUP(C933, calc_rusacc!$C$15:$C$65, calc_rusacc!$AD$15:$AD$65, "",0),AND( F933="Sealant", I933="Roll-up Screen"), _xlfn.XLOOKUP(C933, calc_rusacc!$C$15:$C$65, calc_rusacc!$AF$15:$AF$65, "",0),  AND( F933="Main Chain", I933="Accordion Screen"), _xlfn.XLOOKUP(C933, calc_rusacc!$C$15:$C$65, calc_rusacc!$BF$15:$BF$65, "",0), AND( F933="Sealant", I933="Accordion Screen"), _xlfn.XLOOKUP(C933, calc_rusacc!$C$15:$C$65, calc_rusacc!$BJ$15:$BJ$65, "",0),  F933="Sealant", _xlfn.XLOOKUP(C933, dd_accsrycalc!$A$2:$A$51, dd_accsrycalc!$G$2:$G$51, "",0),  F933&lt;&gt;"",L933*_xlfn.XLOOKUP(1, (SKUs!$C$2:$C$10001=G933)*(SKUs!$K$2:$K$10001=I933),SKUs!$E$2:$E$10001)), 0),"")</f>
        <v/>
      </c>
      <c r="E933" s="16" t="str">
        <f>_xlfn.XLOOKUP(F933,dd_item!$B$2:$B$105,dd_item!$C$2:$C$105,"",0)</f>
        <v/>
      </c>
      <c r="F933" s="16"/>
      <c r="G933" s="16" cm="1">
        <f t="array" ref="G933">IFERROR(_xlfn.XLOOKUP(1, (SKUs!$J$2:$J$10001=accsry_unmerged!F933)*IF(H933&lt;&gt;"",(SKUs!$L$2:$L$10001=accsry_unmerged!H933),1)*(SKUs!$K$2:$K$10001=I933),SKUs!$C$2:$C$10001),"")</f>
        <v>0</v>
      </c>
      <c r="H933" s="33" cm="1">
        <f t="array" ref="H933">IFERROR(_xlfn.XLOOKUP(1, (dd_accsryclr!$C$2:$C$1000=accsry_unmerged!F933)*(dd_accsryclr!$B$2:$B$1000=accsry_unmerged!J933),dd_accsryclr!$A$2:$A$1000),"")</f>
        <v>0</v>
      </c>
      <c r="I933" s="16">
        <f>_xlfn.XLOOKUP(C933,'Project Details'!$C$17:$C$66,'Project Details'!$E$17:$E$66,"",0)</f>
        <v>0</v>
      </c>
      <c r="J933" s="16">
        <f>_xlfn.XLOOKUP(C933,'Project Details'!$C$17:$C$66,'Project Details'!$H$17:$H$66,"",0)</f>
        <v>0</v>
      </c>
      <c r="K933" s="33" t="str">
        <f>IF(AND(_xlfn.XLOOKUP(C933,'Project Details'!$C$17:$C$66,'Project Details'!$L$17:$L$66,"",0)&gt;550, F933="Spring-L27cm"),"",SUBSTITUTE(_xlfn.XLOOKUP(G933,SKUs!$C$2:$C$10001,SKUs!$F$2:$F$10001,"",0), " Accessories",""))</f>
        <v/>
      </c>
      <c r="L933" s="33">
        <f>_xlfn.XLOOKUP(C933,'Project Details'!$C$17:$C$66,'Project Details'!$D$17:$D$66,"",0)</f>
        <v>0</v>
      </c>
      <c r="M933" s="43"/>
    </row>
    <row r="934" spans="1:13" ht="13.5" customHeight="1" x14ac:dyDescent="0.25">
      <c r="A934" s="43"/>
      <c r="B934" s="43"/>
      <c r="C934" s="35">
        <f t="shared" si="17"/>
        <v>19</v>
      </c>
      <c r="D934" s="35" t="str" cm="1">
        <f t="array" ref="D934">IFERROR(ROUNDUP(_xlfn.IFS(F934="Aluminum Track", _xlfn.XLOOKUP(C934, dd_accsrycalc!$A$2:$A$51, dd_accsrycalc!$B$2:$B$51, "",0), F934="10 x 2 1/2 S (Flat)", _xlfn.XLOOKUP(C934, dd_accsrycalc!$A$2:$A$51, dd_accsrycalc!$C$2:$C$51, "",0), F934="Tox6", _xlfn.XLOOKUP(C934, dd_accsrycalc!$A$2:$A$51, dd_accsrycalc!$D$2:$D$51, "",0), F934="Cover Cap", _xlfn.XLOOKUP(C934, dd_accsrycalc!$A$2:$A$51, dd_accsrycalc!$E$2:$E$51, "",0), F934="Drainage Cover", _xlfn.XLOOKUP(C934, dd_accsrycalc!$A$2:$A$51, dd_accsrycalc!$F$2:$F$51, "",0),AND( F934="Double Adhesive Tape", I934="Roll-up Screen"), _xlfn.XLOOKUP(C934, calc_rusacc!$C$15:$C$65, calc_rusacc!$AD$15:$AD$65, "",0),AND( F934="Sealant", I934="Roll-up Screen"), _xlfn.XLOOKUP(C934, calc_rusacc!$C$15:$C$65, calc_rusacc!$AF$15:$AF$65, "",0),  AND( F934="Main Chain", I934="Accordion Screen"), _xlfn.XLOOKUP(C934, calc_rusacc!$C$15:$C$65, calc_rusacc!$BF$15:$BF$65, "",0), AND( F934="Sealant", I934="Accordion Screen"), _xlfn.XLOOKUP(C934, calc_rusacc!$C$15:$C$65, calc_rusacc!$BJ$15:$BJ$65, "",0),  F934="Sealant", _xlfn.XLOOKUP(C934, dd_accsrycalc!$A$2:$A$51, dd_accsrycalc!$G$2:$G$51, "",0),  F934&lt;&gt;"",L934*_xlfn.XLOOKUP(1, (SKUs!$C$2:$C$10001=G934)*(SKUs!$K$2:$K$10001=I934),SKUs!$E$2:$E$10001)), 0),"")</f>
        <v/>
      </c>
      <c r="E934" s="35" t="str">
        <f>_xlfn.XLOOKUP(F934,dd_item!$B$2:$B$105,dd_item!$C$2:$C$105,"",0)</f>
        <v/>
      </c>
      <c r="F934" s="35"/>
      <c r="G934" s="35" cm="1">
        <f t="array" ref="G934">IFERROR(_xlfn.XLOOKUP(1, (SKUs!$J$2:$J$10001=accsry_unmerged!F934)*IF(H934&lt;&gt;"",(SKUs!$L$2:$L$10001=accsry_unmerged!H934),1)*(SKUs!$K$2:$K$10001=I934),SKUs!$C$2:$C$10001),"")</f>
        <v>0</v>
      </c>
      <c r="H934" s="36" cm="1">
        <f t="array" ref="H934">IFERROR(_xlfn.XLOOKUP(1, (dd_accsryclr!$C$2:$C$1000=accsry_unmerged!F934)*(dd_accsryclr!$B$2:$B$1000=accsry_unmerged!J934),dd_accsryclr!$A$2:$A$1000),"")</f>
        <v>0</v>
      </c>
      <c r="I934" s="35">
        <f>_xlfn.XLOOKUP(C934,'Project Details'!$C$17:$C$66,'Project Details'!$E$17:$E$66,"",0)</f>
        <v>0</v>
      </c>
      <c r="J934" s="35">
        <f>_xlfn.XLOOKUP(C934,'Project Details'!$C$17:$C$66,'Project Details'!$H$17:$H$66,"",0)</f>
        <v>0</v>
      </c>
      <c r="K934" s="36" t="str">
        <f>IF(AND(_xlfn.XLOOKUP(C934,'Project Details'!$C$17:$C$66,'Project Details'!$L$17:$L$66,"",0)&gt;550, F934="Spring-L27cm"),"",SUBSTITUTE(_xlfn.XLOOKUP(G934,SKUs!$C$2:$C$10001,SKUs!$F$2:$F$10001,"",0), " Accessories",""))</f>
        <v/>
      </c>
      <c r="L934" s="36">
        <f>_xlfn.XLOOKUP(C934,'Project Details'!$C$17:$C$66,'Project Details'!$D$17:$D$66,"",0)</f>
        <v>0</v>
      </c>
      <c r="M934" s="43"/>
    </row>
    <row r="935" spans="1:13" ht="13.5" customHeight="1" x14ac:dyDescent="0.25">
      <c r="A935" s="43"/>
      <c r="B935" s="43"/>
      <c r="C935" s="16">
        <f t="shared" si="17"/>
        <v>19</v>
      </c>
      <c r="D935" s="16" t="str" cm="1">
        <f t="array" ref="D935">IFERROR(ROUNDUP(_xlfn.IFS(F935="Aluminum Track", _xlfn.XLOOKUP(C935, dd_accsrycalc!$A$2:$A$51, dd_accsrycalc!$B$2:$B$51, "",0), F935="10 x 2 1/2 S (Flat)", _xlfn.XLOOKUP(C935, dd_accsrycalc!$A$2:$A$51, dd_accsrycalc!$C$2:$C$51, "",0), F935="Tox6", _xlfn.XLOOKUP(C935, dd_accsrycalc!$A$2:$A$51, dd_accsrycalc!$D$2:$D$51, "",0), F935="Cover Cap", _xlfn.XLOOKUP(C935, dd_accsrycalc!$A$2:$A$51, dd_accsrycalc!$E$2:$E$51, "",0), F935="Drainage Cover", _xlfn.XLOOKUP(C935, dd_accsrycalc!$A$2:$A$51, dd_accsrycalc!$F$2:$F$51, "",0),AND( F935="Double Adhesive Tape", I935="Roll-up Screen"), _xlfn.XLOOKUP(C935, calc_rusacc!$C$15:$C$65, calc_rusacc!$AD$15:$AD$65, "",0),AND( F935="Sealant", I935="Roll-up Screen"), _xlfn.XLOOKUP(C935, calc_rusacc!$C$15:$C$65, calc_rusacc!$AF$15:$AF$65, "",0),  AND( F935="Main Chain", I935="Accordion Screen"), _xlfn.XLOOKUP(C935, calc_rusacc!$C$15:$C$65, calc_rusacc!$BF$15:$BF$65, "",0), AND( F935="Sealant", I935="Accordion Screen"), _xlfn.XLOOKUP(C935, calc_rusacc!$C$15:$C$65, calc_rusacc!$BJ$15:$BJ$65, "",0),  F935="Sealant", _xlfn.XLOOKUP(C935, dd_accsrycalc!$A$2:$A$51, dd_accsrycalc!$G$2:$G$51, "",0),  F935&lt;&gt;"",L935*_xlfn.XLOOKUP(1, (SKUs!$C$2:$C$10001=G935)*(SKUs!$K$2:$K$10001=I935),SKUs!$E$2:$E$10001)), 0),"")</f>
        <v/>
      </c>
      <c r="E935" s="16" t="str">
        <f>_xlfn.XLOOKUP(F935,dd_item!$B$2:$B$105,dd_item!$C$2:$C$105,"",0)</f>
        <v/>
      </c>
      <c r="F935" s="16"/>
      <c r="G935" s="16" cm="1">
        <f t="array" ref="G935">IFERROR(_xlfn.XLOOKUP(1, (SKUs!$J$2:$J$10001=accsry_unmerged!F935)*IF(H935&lt;&gt;"",(SKUs!$L$2:$L$10001=accsry_unmerged!H935),1)*(SKUs!$K$2:$K$10001=I935),SKUs!$C$2:$C$10001),"")</f>
        <v>0</v>
      </c>
      <c r="H935" s="33" cm="1">
        <f t="array" ref="H935">IFERROR(_xlfn.XLOOKUP(1, (dd_accsryclr!$C$2:$C$1000=accsry_unmerged!F935)*(dd_accsryclr!$B$2:$B$1000=accsry_unmerged!J935),dd_accsryclr!$A$2:$A$1000),"")</f>
        <v>0</v>
      </c>
      <c r="I935" s="16">
        <f>_xlfn.XLOOKUP(C935,'Project Details'!$C$17:$C$66,'Project Details'!$E$17:$E$66,"",0)</f>
        <v>0</v>
      </c>
      <c r="J935" s="16">
        <f>_xlfn.XLOOKUP(C935,'Project Details'!$C$17:$C$66,'Project Details'!$H$17:$H$66,"",0)</f>
        <v>0</v>
      </c>
      <c r="K935" s="33" t="str">
        <f>IF(AND(_xlfn.XLOOKUP(C935,'Project Details'!$C$17:$C$66,'Project Details'!$L$17:$L$66,"",0)&gt;550, F935="Spring-L27cm"),"",SUBSTITUTE(_xlfn.XLOOKUP(G935,SKUs!$C$2:$C$10001,SKUs!$F$2:$F$10001,"",0), " Accessories",""))</f>
        <v/>
      </c>
      <c r="L935" s="33">
        <f>_xlfn.XLOOKUP(C935,'Project Details'!$C$17:$C$66,'Project Details'!$D$17:$D$66,"",0)</f>
        <v>0</v>
      </c>
      <c r="M935" s="43"/>
    </row>
    <row r="936" spans="1:13" ht="13.5" customHeight="1" x14ac:dyDescent="0.25">
      <c r="A936" s="43"/>
      <c r="B936" s="43"/>
      <c r="C936" s="35">
        <f t="shared" si="17"/>
        <v>19</v>
      </c>
      <c r="D936" s="35" t="str" cm="1">
        <f t="array" ref="D936">IFERROR(ROUNDUP(_xlfn.IFS(F936="Aluminum Track", _xlfn.XLOOKUP(C936, dd_accsrycalc!$A$2:$A$51, dd_accsrycalc!$B$2:$B$51, "",0), F936="10 x 2 1/2 S (Flat)", _xlfn.XLOOKUP(C936, dd_accsrycalc!$A$2:$A$51, dd_accsrycalc!$C$2:$C$51, "",0), F936="Tox6", _xlfn.XLOOKUP(C936, dd_accsrycalc!$A$2:$A$51, dd_accsrycalc!$D$2:$D$51, "",0), F936="Cover Cap", _xlfn.XLOOKUP(C936, dd_accsrycalc!$A$2:$A$51, dd_accsrycalc!$E$2:$E$51, "",0), F936="Drainage Cover", _xlfn.XLOOKUP(C936, dd_accsrycalc!$A$2:$A$51, dd_accsrycalc!$F$2:$F$51, "",0),AND( F936="Double Adhesive Tape", I936="Roll-up Screen"), _xlfn.XLOOKUP(C936, calc_rusacc!$C$15:$C$65, calc_rusacc!$AD$15:$AD$65, "",0),AND( F936="Sealant", I936="Roll-up Screen"), _xlfn.XLOOKUP(C936, calc_rusacc!$C$15:$C$65, calc_rusacc!$AF$15:$AF$65, "",0),  AND( F936="Main Chain", I936="Accordion Screen"), _xlfn.XLOOKUP(C936, calc_rusacc!$C$15:$C$65, calc_rusacc!$BF$15:$BF$65, "",0), AND( F936="Sealant", I936="Accordion Screen"), _xlfn.XLOOKUP(C936, calc_rusacc!$C$15:$C$65, calc_rusacc!$BJ$15:$BJ$65, "",0),  F936="Sealant", _xlfn.XLOOKUP(C936, dd_accsrycalc!$A$2:$A$51, dd_accsrycalc!$G$2:$G$51, "",0),  F936&lt;&gt;"",L936*_xlfn.XLOOKUP(1, (SKUs!$C$2:$C$10001=G936)*(SKUs!$K$2:$K$10001=I936),SKUs!$E$2:$E$10001)), 0),"")</f>
        <v/>
      </c>
      <c r="E936" s="35" t="str">
        <f>_xlfn.XLOOKUP(F936,dd_item!$B$2:$B$105,dd_item!$C$2:$C$105,"",0)</f>
        <v/>
      </c>
      <c r="F936" s="35"/>
      <c r="G936" s="35" cm="1">
        <f t="array" ref="G936">IFERROR(_xlfn.XLOOKUP(1, (SKUs!$J$2:$J$10001=accsry_unmerged!F936)*IF(H936&lt;&gt;"",(SKUs!$L$2:$L$10001=accsry_unmerged!H936),1)*(SKUs!$K$2:$K$10001=I936),SKUs!$C$2:$C$10001),"")</f>
        <v>0</v>
      </c>
      <c r="H936" s="36" cm="1">
        <f t="array" ref="H936">IFERROR(_xlfn.XLOOKUP(1, (dd_accsryclr!$C$2:$C$1000=accsry_unmerged!F936)*(dd_accsryclr!$B$2:$B$1000=accsry_unmerged!J936),dd_accsryclr!$A$2:$A$1000),"")</f>
        <v>0</v>
      </c>
      <c r="I936" s="35">
        <f>_xlfn.XLOOKUP(C936,'Project Details'!$C$17:$C$66,'Project Details'!$E$17:$E$66,"",0)</f>
        <v>0</v>
      </c>
      <c r="J936" s="35">
        <f>_xlfn.XLOOKUP(C936,'Project Details'!$C$17:$C$66,'Project Details'!$H$17:$H$66,"",0)</f>
        <v>0</v>
      </c>
      <c r="K936" s="36" t="str">
        <f>IF(AND(_xlfn.XLOOKUP(C936,'Project Details'!$C$17:$C$66,'Project Details'!$L$17:$L$66,"",0)&gt;550, F936="Spring-L27cm"),"",SUBSTITUTE(_xlfn.XLOOKUP(G936,SKUs!$C$2:$C$10001,SKUs!$F$2:$F$10001,"",0), " Accessories",""))</f>
        <v/>
      </c>
      <c r="L936" s="36">
        <f>_xlfn.XLOOKUP(C936,'Project Details'!$C$17:$C$66,'Project Details'!$D$17:$D$66,"",0)</f>
        <v>0</v>
      </c>
      <c r="M936" s="43"/>
    </row>
    <row r="937" spans="1:13" ht="13.5" customHeight="1" x14ac:dyDescent="0.25">
      <c r="A937" s="43"/>
      <c r="B937" s="43"/>
      <c r="C937" s="16">
        <f t="shared" si="17"/>
        <v>19</v>
      </c>
      <c r="D937" s="16" t="str" cm="1">
        <f t="array" ref="D937">IFERROR(ROUNDUP(_xlfn.IFS(F937="Aluminum Track", _xlfn.XLOOKUP(C937, dd_accsrycalc!$A$2:$A$51, dd_accsrycalc!$B$2:$B$51, "",0), F937="10 x 2 1/2 S (Flat)", _xlfn.XLOOKUP(C937, dd_accsrycalc!$A$2:$A$51, dd_accsrycalc!$C$2:$C$51, "",0), F937="Tox6", _xlfn.XLOOKUP(C937, dd_accsrycalc!$A$2:$A$51, dd_accsrycalc!$D$2:$D$51, "",0), F937="Cover Cap", _xlfn.XLOOKUP(C937, dd_accsrycalc!$A$2:$A$51, dd_accsrycalc!$E$2:$E$51, "",0), F937="Drainage Cover", _xlfn.XLOOKUP(C937, dd_accsrycalc!$A$2:$A$51, dd_accsrycalc!$F$2:$F$51, "",0),AND( F937="Double Adhesive Tape", I937="Roll-up Screen"), _xlfn.XLOOKUP(C937, calc_rusacc!$C$15:$C$65, calc_rusacc!$AD$15:$AD$65, "",0),AND( F937="Sealant", I937="Roll-up Screen"), _xlfn.XLOOKUP(C937, calc_rusacc!$C$15:$C$65, calc_rusacc!$AF$15:$AF$65, "",0),  AND( F937="Main Chain", I937="Accordion Screen"), _xlfn.XLOOKUP(C937, calc_rusacc!$C$15:$C$65, calc_rusacc!$BF$15:$BF$65, "",0), AND( F937="Sealant", I937="Accordion Screen"), _xlfn.XLOOKUP(C937, calc_rusacc!$C$15:$C$65, calc_rusacc!$BJ$15:$BJ$65, "",0),  F937="Sealant", _xlfn.XLOOKUP(C937, dd_accsrycalc!$A$2:$A$51, dd_accsrycalc!$G$2:$G$51, "",0),  F937&lt;&gt;"",L937*_xlfn.XLOOKUP(1, (SKUs!$C$2:$C$10001=G937)*(SKUs!$K$2:$K$10001=I937),SKUs!$E$2:$E$10001)), 0),"")</f>
        <v/>
      </c>
      <c r="E937" s="16" t="str">
        <f>_xlfn.XLOOKUP(F937,dd_item!$B$2:$B$105,dd_item!$C$2:$C$105,"",0)</f>
        <v/>
      </c>
      <c r="F937" s="16"/>
      <c r="G937" s="16" cm="1">
        <f t="array" ref="G937">IFERROR(_xlfn.XLOOKUP(1, (SKUs!$J$2:$J$10001=accsry_unmerged!F937)*IF(H937&lt;&gt;"",(SKUs!$L$2:$L$10001=accsry_unmerged!H937),1)*(SKUs!$K$2:$K$10001=I937),SKUs!$C$2:$C$10001),"")</f>
        <v>0</v>
      </c>
      <c r="H937" s="33" cm="1">
        <f t="array" ref="H937">IFERROR(_xlfn.XLOOKUP(1, (dd_accsryclr!$C$2:$C$1000=accsry_unmerged!F937)*(dd_accsryclr!$B$2:$B$1000=accsry_unmerged!J937),dd_accsryclr!$A$2:$A$1000),"")</f>
        <v>0</v>
      </c>
      <c r="I937" s="16">
        <f>_xlfn.XLOOKUP(C937,'Project Details'!$C$17:$C$66,'Project Details'!$E$17:$E$66,"",0)</f>
        <v>0</v>
      </c>
      <c r="J937" s="16">
        <f>_xlfn.XLOOKUP(C937,'Project Details'!$C$17:$C$66,'Project Details'!$H$17:$H$66,"",0)</f>
        <v>0</v>
      </c>
      <c r="K937" s="33" t="str">
        <f>IF(AND(_xlfn.XLOOKUP(C937,'Project Details'!$C$17:$C$66,'Project Details'!$L$17:$L$66,"",0)&gt;550, F937="Spring-L27cm"),"",SUBSTITUTE(_xlfn.XLOOKUP(G937,SKUs!$C$2:$C$10001,SKUs!$F$2:$F$10001,"",0), " Accessories",""))</f>
        <v/>
      </c>
      <c r="L937" s="33">
        <f>_xlfn.XLOOKUP(C937,'Project Details'!$C$17:$C$66,'Project Details'!$D$17:$D$66,"",0)</f>
        <v>0</v>
      </c>
      <c r="M937" s="43"/>
    </row>
    <row r="938" spans="1:13" ht="13.5" customHeight="1" x14ac:dyDescent="0.25">
      <c r="A938" s="43"/>
      <c r="B938" s="43"/>
      <c r="C938" s="35">
        <f t="shared" si="17"/>
        <v>19</v>
      </c>
      <c r="D938" s="35" t="str" cm="1">
        <f t="array" ref="D938">IFERROR(ROUNDUP(_xlfn.IFS(F938="Aluminum Track", _xlfn.XLOOKUP(C938, dd_accsrycalc!$A$2:$A$51, dd_accsrycalc!$B$2:$B$51, "",0), F938="10 x 2 1/2 S (Flat)", _xlfn.XLOOKUP(C938, dd_accsrycalc!$A$2:$A$51, dd_accsrycalc!$C$2:$C$51, "",0), F938="Tox6", _xlfn.XLOOKUP(C938, dd_accsrycalc!$A$2:$A$51, dd_accsrycalc!$D$2:$D$51, "",0), F938="Cover Cap", _xlfn.XLOOKUP(C938, dd_accsrycalc!$A$2:$A$51, dd_accsrycalc!$E$2:$E$51, "",0), F938="Drainage Cover", _xlfn.XLOOKUP(C938, dd_accsrycalc!$A$2:$A$51, dd_accsrycalc!$F$2:$F$51, "",0),AND( F938="Double Adhesive Tape", I938="Roll-up Screen"), _xlfn.XLOOKUP(C938, calc_rusacc!$C$15:$C$65, calc_rusacc!$AD$15:$AD$65, "",0),AND( F938="Sealant", I938="Roll-up Screen"), _xlfn.XLOOKUP(C938, calc_rusacc!$C$15:$C$65, calc_rusacc!$AF$15:$AF$65, "",0),  AND( F938="Main Chain", I938="Accordion Screen"), _xlfn.XLOOKUP(C938, calc_rusacc!$C$15:$C$65, calc_rusacc!$BF$15:$BF$65, "",0), AND( F938="Sealant", I938="Accordion Screen"), _xlfn.XLOOKUP(C938, calc_rusacc!$C$15:$C$65, calc_rusacc!$BJ$15:$BJ$65, "",0),  F938="Sealant", _xlfn.XLOOKUP(C938, dd_accsrycalc!$A$2:$A$51, dd_accsrycalc!$G$2:$G$51, "",0),  F938&lt;&gt;"",L938*_xlfn.XLOOKUP(1, (SKUs!$C$2:$C$10001=G938)*(SKUs!$K$2:$K$10001=I938),SKUs!$E$2:$E$10001)), 0),"")</f>
        <v/>
      </c>
      <c r="E938" s="35" t="str">
        <f>_xlfn.XLOOKUP(F938,dd_item!$B$2:$B$105,dd_item!$C$2:$C$105,"",0)</f>
        <v/>
      </c>
      <c r="F938" s="35"/>
      <c r="G938" s="35" cm="1">
        <f t="array" ref="G938">IFERROR(_xlfn.XLOOKUP(1, (SKUs!$J$2:$J$10001=accsry_unmerged!F938)*IF(H938&lt;&gt;"",(SKUs!$L$2:$L$10001=accsry_unmerged!H938),1)*(SKUs!$K$2:$K$10001=I938),SKUs!$C$2:$C$10001),"")</f>
        <v>0</v>
      </c>
      <c r="H938" s="36" cm="1">
        <f t="array" ref="H938">IFERROR(_xlfn.XLOOKUP(1, (dd_accsryclr!$C$2:$C$1000=accsry_unmerged!F938)*(dd_accsryclr!$B$2:$B$1000=accsry_unmerged!J938),dd_accsryclr!$A$2:$A$1000),"")</f>
        <v>0</v>
      </c>
      <c r="I938" s="35">
        <f>_xlfn.XLOOKUP(C938,'Project Details'!$C$17:$C$66,'Project Details'!$E$17:$E$66,"",0)</f>
        <v>0</v>
      </c>
      <c r="J938" s="35">
        <f>_xlfn.XLOOKUP(C938,'Project Details'!$C$17:$C$66,'Project Details'!$H$17:$H$66,"",0)</f>
        <v>0</v>
      </c>
      <c r="K938" s="36" t="str">
        <f>IF(AND(_xlfn.XLOOKUP(C938,'Project Details'!$C$17:$C$66,'Project Details'!$L$17:$L$66,"",0)&gt;550, F938="Spring-L27cm"),"",SUBSTITUTE(_xlfn.XLOOKUP(G938,SKUs!$C$2:$C$10001,SKUs!$F$2:$F$10001,"",0), " Accessories",""))</f>
        <v/>
      </c>
      <c r="L938" s="36">
        <f>_xlfn.XLOOKUP(C938,'Project Details'!$C$17:$C$66,'Project Details'!$D$17:$D$66,"",0)</f>
        <v>0</v>
      </c>
      <c r="M938" s="43"/>
    </row>
    <row r="939" spans="1:13" ht="13.5" customHeight="1" x14ac:dyDescent="0.25">
      <c r="A939" s="43"/>
      <c r="B939" s="43"/>
      <c r="C939" s="16">
        <f t="shared" si="17"/>
        <v>19</v>
      </c>
      <c r="D939" s="16" t="str" cm="1">
        <f t="array" ref="D939">IFERROR(ROUNDUP(_xlfn.IFS(F939="Aluminum Track", _xlfn.XLOOKUP(C939, dd_accsrycalc!$A$2:$A$51, dd_accsrycalc!$B$2:$B$51, "",0), F939="10 x 2 1/2 S (Flat)", _xlfn.XLOOKUP(C939, dd_accsrycalc!$A$2:$A$51, dd_accsrycalc!$C$2:$C$51, "",0), F939="Tox6", _xlfn.XLOOKUP(C939, dd_accsrycalc!$A$2:$A$51, dd_accsrycalc!$D$2:$D$51, "",0), F939="Cover Cap", _xlfn.XLOOKUP(C939, dd_accsrycalc!$A$2:$A$51, dd_accsrycalc!$E$2:$E$51, "",0), F939="Drainage Cover", _xlfn.XLOOKUP(C939, dd_accsrycalc!$A$2:$A$51, dd_accsrycalc!$F$2:$F$51, "",0),AND( F939="Double Adhesive Tape", I939="Roll-up Screen"), _xlfn.XLOOKUP(C939, calc_rusacc!$C$15:$C$65, calc_rusacc!$AD$15:$AD$65, "",0),AND( F939="Sealant", I939="Roll-up Screen"), _xlfn.XLOOKUP(C939, calc_rusacc!$C$15:$C$65, calc_rusacc!$AF$15:$AF$65, "",0),  AND( F939="Main Chain", I939="Accordion Screen"), _xlfn.XLOOKUP(C939, calc_rusacc!$C$15:$C$65, calc_rusacc!$BF$15:$BF$65, "",0), AND( F939="Sealant", I939="Accordion Screen"), _xlfn.XLOOKUP(C939, calc_rusacc!$C$15:$C$65, calc_rusacc!$BJ$15:$BJ$65, "",0),  F939="Sealant", _xlfn.XLOOKUP(C939, dd_accsrycalc!$A$2:$A$51, dd_accsrycalc!$G$2:$G$51, "",0),  F939&lt;&gt;"",L939*_xlfn.XLOOKUP(1, (SKUs!$C$2:$C$10001=G939)*(SKUs!$K$2:$K$10001=I939),SKUs!$E$2:$E$10001)), 0),"")</f>
        <v/>
      </c>
      <c r="E939" s="16" t="str">
        <f>_xlfn.XLOOKUP(F939,dd_item!$B$2:$B$105,dd_item!$C$2:$C$105,"",0)</f>
        <v/>
      </c>
      <c r="F939" s="16"/>
      <c r="G939" s="16" cm="1">
        <f t="array" ref="G939">IFERROR(_xlfn.XLOOKUP(1, (SKUs!$J$2:$J$10001=accsry_unmerged!F939)*IF(H939&lt;&gt;"",(SKUs!$L$2:$L$10001=accsry_unmerged!H939),1)*(SKUs!$K$2:$K$10001=I939),SKUs!$C$2:$C$10001),"")</f>
        <v>0</v>
      </c>
      <c r="H939" s="33" cm="1">
        <f t="array" ref="H939">IFERROR(_xlfn.XLOOKUP(1, (dd_accsryclr!$C$2:$C$1000=accsry_unmerged!F939)*(dd_accsryclr!$B$2:$B$1000=accsry_unmerged!J939),dd_accsryclr!$A$2:$A$1000),"")</f>
        <v>0</v>
      </c>
      <c r="I939" s="16">
        <f>_xlfn.XLOOKUP(C939,'Project Details'!$C$17:$C$66,'Project Details'!$E$17:$E$66,"",0)</f>
        <v>0</v>
      </c>
      <c r="J939" s="16">
        <f>_xlfn.XLOOKUP(C939,'Project Details'!$C$17:$C$66,'Project Details'!$H$17:$H$66,"",0)</f>
        <v>0</v>
      </c>
      <c r="K939" s="33" t="str">
        <f>IF(AND(_xlfn.XLOOKUP(C939,'Project Details'!$C$17:$C$66,'Project Details'!$L$17:$L$66,"",0)&gt;550, F939="Spring-L27cm"),"",SUBSTITUTE(_xlfn.XLOOKUP(G939,SKUs!$C$2:$C$10001,SKUs!$F$2:$F$10001,"",0), " Accessories",""))</f>
        <v/>
      </c>
      <c r="L939" s="33">
        <f>_xlfn.XLOOKUP(C939,'Project Details'!$C$17:$C$66,'Project Details'!$D$17:$D$66,"",0)</f>
        <v>0</v>
      </c>
      <c r="M939" s="43"/>
    </row>
    <row r="940" spans="1:13" ht="13.5" customHeight="1" x14ac:dyDescent="0.25">
      <c r="A940" s="43"/>
      <c r="B940" s="43"/>
      <c r="C940" s="35">
        <f t="shared" si="17"/>
        <v>19</v>
      </c>
      <c r="D940" s="35" t="str" cm="1">
        <f t="array" ref="D940">IFERROR(ROUNDUP(_xlfn.IFS(F940="Aluminum Track", _xlfn.XLOOKUP(C940, dd_accsrycalc!$A$2:$A$51, dd_accsrycalc!$B$2:$B$51, "",0), F940="10 x 2 1/2 S (Flat)", _xlfn.XLOOKUP(C940, dd_accsrycalc!$A$2:$A$51, dd_accsrycalc!$C$2:$C$51, "",0), F940="Tox6", _xlfn.XLOOKUP(C940, dd_accsrycalc!$A$2:$A$51, dd_accsrycalc!$D$2:$D$51, "",0), F940="Cover Cap", _xlfn.XLOOKUP(C940, dd_accsrycalc!$A$2:$A$51, dd_accsrycalc!$E$2:$E$51, "",0), F940="Drainage Cover", _xlfn.XLOOKUP(C940, dd_accsrycalc!$A$2:$A$51, dd_accsrycalc!$F$2:$F$51, "",0),AND( F940="Double Adhesive Tape", I940="Roll-up Screen"), _xlfn.XLOOKUP(C940, calc_rusacc!$C$15:$C$65, calc_rusacc!$AD$15:$AD$65, "",0),AND( F940="Sealant", I940="Roll-up Screen"), _xlfn.XLOOKUP(C940, calc_rusacc!$C$15:$C$65, calc_rusacc!$AF$15:$AF$65, "",0),  AND( F940="Main Chain", I940="Accordion Screen"), _xlfn.XLOOKUP(C940, calc_rusacc!$C$15:$C$65, calc_rusacc!$BF$15:$BF$65, "",0), AND( F940="Sealant", I940="Accordion Screen"), _xlfn.XLOOKUP(C940, calc_rusacc!$C$15:$C$65, calc_rusacc!$BJ$15:$BJ$65, "",0),  F940="Sealant", _xlfn.XLOOKUP(C940, dd_accsrycalc!$A$2:$A$51, dd_accsrycalc!$G$2:$G$51, "",0),  F940&lt;&gt;"",L940*_xlfn.XLOOKUP(1, (SKUs!$C$2:$C$10001=G940)*(SKUs!$K$2:$K$10001=I940),SKUs!$E$2:$E$10001)), 0),"")</f>
        <v/>
      </c>
      <c r="E940" s="35" t="str">
        <f>_xlfn.XLOOKUP(F940,dd_item!$B$2:$B$105,dd_item!$C$2:$C$105,"",0)</f>
        <v/>
      </c>
      <c r="F940" s="35"/>
      <c r="G940" s="35" cm="1">
        <f t="array" ref="G940">IFERROR(_xlfn.XLOOKUP(1, (SKUs!$J$2:$J$10001=accsry_unmerged!F940)*IF(H940&lt;&gt;"",(SKUs!$L$2:$L$10001=accsry_unmerged!H940),1)*(SKUs!$K$2:$K$10001=I940),SKUs!$C$2:$C$10001),"")</f>
        <v>0</v>
      </c>
      <c r="H940" s="36" cm="1">
        <f t="array" ref="H940">IFERROR(_xlfn.XLOOKUP(1, (dd_accsryclr!$C$2:$C$1000=accsry_unmerged!F940)*(dd_accsryclr!$B$2:$B$1000=accsry_unmerged!J940),dd_accsryclr!$A$2:$A$1000),"")</f>
        <v>0</v>
      </c>
      <c r="I940" s="35">
        <f>_xlfn.XLOOKUP(C940,'Project Details'!$C$17:$C$66,'Project Details'!$E$17:$E$66,"",0)</f>
        <v>0</v>
      </c>
      <c r="J940" s="35">
        <f>_xlfn.XLOOKUP(C940,'Project Details'!$C$17:$C$66,'Project Details'!$H$17:$H$66,"",0)</f>
        <v>0</v>
      </c>
      <c r="K940" s="36" t="str">
        <f>IF(AND(_xlfn.XLOOKUP(C940,'Project Details'!$C$17:$C$66,'Project Details'!$L$17:$L$66,"",0)&gt;550, F940="Spring-L27cm"),"",SUBSTITUTE(_xlfn.XLOOKUP(G940,SKUs!$C$2:$C$10001,SKUs!$F$2:$F$10001,"",0), " Accessories",""))</f>
        <v/>
      </c>
      <c r="L940" s="36">
        <f>_xlfn.XLOOKUP(C940,'Project Details'!$C$17:$C$66,'Project Details'!$D$17:$D$66,"",0)</f>
        <v>0</v>
      </c>
      <c r="M940" s="43"/>
    </row>
    <row r="941" spans="1:13" ht="13.5" customHeight="1" x14ac:dyDescent="0.25">
      <c r="A941" s="43"/>
      <c r="B941" s="43"/>
      <c r="C941" s="16">
        <f t="shared" si="17"/>
        <v>19</v>
      </c>
      <c r="D941" s="16" t="str" cm="1">
        <f t="array" ref="D941">IFERROR(ROUNDUP(_xlfn.IFS(F941="Aluminum Track", _xlfn.XLOOKUP(C941, dd_accsrycalc!$A$2:$A$51, dd_accsrycalc!$B$2:$B$51, "",0), F941="10 x 2 1/2 S (Flat)", _xlfn.XLOOKUP(C941, dd_accsrycalc!$A$2:$A$51, dd_accsrycalc!$C$2:$C$51, "",0), F941="Tox6", _xlfn.XLOOKUP(C941, dd_accsrycalc!$A$2:$A$51, dd_accsrycalc!$D$2:$D$51, "",0), F941="Cover Cap", _xlfn.XLOOKUP(C941, dd_accsrycalc!$A$2:$A$51, dd_accsrycalc!$E$2:$E$51, "",0), F941="Drainage Cover", _xlfn.XLOOKUP(C941, dd_accsrycalc!$A$2:$A$51, dd_accsrycalc!$F$2:$F$51, "",0),AND( F941="Double Adhesive Tape", I941="Roll-up Screen"), _xlfn.XLOOKUP(C941, calc_rusacc!$C$15:$C$65, calc_rusacc!$AD$15:$AD$65, "",0),AND( F941="Sealant", I941="Roll-up Screen"), _xlfn.XLOOKUP(C941, calc_rusacc!$C$15:$C$65, calc_rusacc!$AF$15:$AF$65, "",0),  AND( F941="Main Chain", I941="Accordion Screen"), _xlfn.XLOOKUP(C941, calc_rusacc!$C$15:$C$65, calc_rusacc!$BF$15:$BF$65, "",0), AND( F941="Sealant", I941="Accordion Screen"), _xlfn.XLOOKUP(C941, calc_rusacc!$C$15:$C$65, calc_rusacc!$BJ$15:$BJ$65, "",0),  F941="Sealant", _xlfn.XLOOKUP(C941, dd_accsrycalc!$A$2:$A$51, dd_accsrycalc!$G$2:$G$51, "",0),  F941&lt;&gt;"",L941*_xlfn.XLOOKUP(1, (SKUs!$C$2:$C$10001=G941)*(SKUs!$K$2:$K$10001=I941),SKUs!$E$2:$E$10001)), 0),"")</f>
        <v/>
      </c>
      <c r="E941" s="16" t="str">
        <f>_xlfn.XLOOKUP(F941,dd_item!$B$2:$B$105,dd_item!$C$2:$C$105,"",0)</f>
        <v/>
      </c>
      <c r="F941" s="16"/>
      <c r="G941" s="16" cm="1">
        <f t="array" ref="G941">IFERROR(_xlfn.XLOOKUP(1, (SKUs!$J$2:$J$10001=accsry_unmerged!F941)*IF(H941&lt;&gt;"",(SKUs!$L$2:$L$10001=accsry_unmerged!H941),1)*(SKUs!$K$2:$K$10001=I941),SKUs!$C$2:$C$10001),"")</f>
        <v>0</v>
      </c>
      <c r="H941" s="33" cm="1">
        <f t="array" ref="H941">IFERROR(_xlfn.XLOOKUP(1, (dd_accsryclr!$C$2:$C$1000=accsry_unmerged!F941)*(dd_accsryclr!$B$2:$B$1000=accsry_unmerged!J941),dd_accsryclr!$A$2:$A$1000),"")</f>
        <v>0</v>
      </c>
      <c r="I941" s="16">
        <f>_xlfn.XLOOKUP(C941,'Project Details'!$C$17:$C$66,'Project Details'!$E$17:$E$66,"",0)</f>
        <v>0</v>
      </c>
      <c r="J941" s="16">
        <f>_xlfn.XLOOKUP(C941,'Project Details'!$C$17:$C$66,'Project Details'!$H$17:$H$66,"",0)</f>
        <v>0</v>
      </c>
      <c r="K941" s="33" t="str">
        <f>IF(AND(_xlfn.XLOOKUP(C941,'Project Details'!$C$17:$C$66,'Project Details'!$L$17:$L$66,"",0)&gt;550, F941="Spring-L27cm"),"",SUBSTITUTE(_xlfn.XLOOKUP(G941,SKUs!$C$2:$C$10001,SKUs!$F$2:$F$10001,"",0), " Accessories",""))</f>
        <v/>
      </c>
      <c r="L941" s="33">
        <f>_xlfn.XLOOKUP(C941,'Project Details'!$C$17:$C$66,'Project Details'!$D$17:$D$66,"",0)</f>
        <v>0</v>
      </c>
      <c r="M941" s="43"/>
    </row>
    <row r="942" spans="1:13" ht="13.5" customHeight="1" x14ac:dyDescent="0.25">
      <c r="A942" s="43"/>
      <c r="B942" s="43"/>
      <c r="C942" s="35">
        <f t="shared" si="17"/>
        <v>19</v>
      </c>
      <c r="D942" s="35" t="str" cm="1">
        <f t="array" ref="D942">IFERROR(ROUNDUP(_xlfn.IFS(F942="Aluminum Track", _xlfn.XLOOKUP(C942, dd_accsrycalc!$A$2:$A$51, dd_accsrycalc!$B$2:$B$51, "",0), F942="10 x 2 1/2 S (Flat)", _xlfn.XLOOKUP(C942, dd_accsrycalc!$A$2:$A$51, dd_accsrycalc!$C$2:$C$51, "",0), F942="Tox6", _xlfn.XLOOKUP(C942, dd_accsrycalc!$A$2:$A$51, dd_accsrycalc!$D$2:$D$51, "",0), F942="Cover Cap", _xlfn.XLOOKUP(C942, dd_accsrycalc!$A$2:$A$51, dd_accsrycalc!$E$2:$E$51, "",0), F942="Drainage Cover", _xlfn.XLOOKUP(C942, dd_accsrycalc!$A$2:$A$51, dd_accsrycalc!$F$2:$F$51, "",0),AND( F942="Double Adhesive Tape", I942="Roll-up Screen"), _xlfn.XLOOKUP(C942, calc_rusacc!$C$15:$C$65, calc_rusacc!$AD$15:$AD$65, "",0),AND( F942="Sealant", I942="Roll-up Screen"), _xlfn.XLOOKUP(C942, calc_rusacc!$C$15:$C$65, calc_rusacc!$AF$15:$AF$65, "",0),  AND( F942="Main Chain", I942="Accordion Screen"), _xlfn.XLOOKUP(C942, calc_rusacc!$C$15:$C$65, calc_rusacc!$BF$15:$BF$65, "",0), AND( F942="Sealant", I942="Accordion Screen"), _xlfn.XLOOKUP(C942, calc_rusacc!$C$15:$C$65, calc_rusacc!$BJ$15:$BJ$65, "",0),  F942="Sealant", _xlfn.XLOOKUP(C942, dd_accsrycalc!$A$2:$A$51, dd_accsrycalc!$G$2:$G$51, "",0),  F942&lt;&gt;"",L942*_xlfn.XLOOKUP(1, (SKUs!$C$2:$C$10001=G942)*(SKUs!$K$2:$K$10001=I942),SKUs!$E$2:$E$10001)), 0),"")</f>
        <v/>
      </c>
      <c r="E942" s="35" t="str">
        <f>_xlfn.XLOOKUP(F942,dd_item!$B$2:$B$105,dd_item!$C$2:$C$105,"",0)</f>
        <v/>
      </c>
      <c r="F942" s="35"/>
      <c r="G942" s="35" cm="1">
        <f t="array" ref="G942">IFERROR(_xlfn.XLOOKUP(1, (SKUs!$J$2:$J$10001=accsry_unmerged!F942)*IF(H942&lt;&gt;"",(SKUs!$L$2:$L$10001=accsry_unmerged!H942),1)*(SKUs!$K$2:$K$10001=I942),SKUs!$C$2:$C$10001),"")</f>
        <v>0</v>
      </c>
      <c r="H942" s="36" cm="1">
        <f t="array" ref="H942">IFERROR(_xlfn.XLOOKUP(1, (dd_accsryclr!$C$2:$C$1000=accsry_unmerged!F942)*(dd_accsryclr!$B$2:$B$1000=accsry_unmerged!J942),dd_accsryclr!$A$2:$A$1000),"")</f>
        <v>0</v>
      </c>
      <c r="I942" s="35">
        <f>_xlfn.XLOOKUP(C942,'Project Details'!$C$17:$C$66,'Project Details'!$E$17:$E$66,"",0)</f>
        <v>0</v>
      </c>
      <c r="J942" s="35">
        <f>_xlfn.XLOOKUP(C942,'Project Details'!$C$17:$C$66,'Project Details'!$H$17:$H$66,"",0)</f>
        <v>0</v>
      </c>
      <c r="K942" s="36" t="str">
        <f>IF(AND(_xlfn.XLOOKUP(C942,'Project Details'!$C$17:$C$66,'Project Details'!$L$17:$L$66,"",0)&gt;550, F942="Spring-L27cm"),"",SUBSTITUTE(_xlfn.XLOOKUP(G942,SKUs!$C$2:$C$10001,SKUs!$F$2:$F$10001,"",0), " Accessories",""))</f>
        <v/>
      </c>
      <c r="L942" s="36">
        <f>_xlfn.XLOOKUP(C942,'Project Details'!$C$17:$C$66,'Project Details'!$D$17:$D$66,"",0)</f>
        <v>0</v>
      </c>
      <c r="M942" s="43"/>
    </row>
    <row r="943" spans="1:13" ht="13.5" customHeight="1" x14ac:dyDescent="0.25">
      <c r="A943" s="43"/>
      <c r="B943" s="43"/>
      <c r="C943" s="16">
        <f t="shared" si="17"/>
        <v>19</v>
      </c>
      <c r="D943" s="16" t="str" cm="1">
        <f t="array" ref="D943">IFERROR(ROUNDUP(_xlfn.IFS(F943="Aluminum Track", _xlfn.XLOOKUP(C943, dd_accsrycalc!$A$2:$A$51, dd_accsrycalc!$B$2:$B$51, "",0), F943="10 x 2 1/2 S (Flat)", _xlfn.XLOOKUP(C943, dd_accsrycalc!$A$2:$A$51, dd_accsrycalc!$C$2:$C$51, "",0), F943="Tox6", _xlfn.XLOOKUP(C943, dd_accsrycalc!$A$2:$A$51, dd_accsrycalc!$D$2:$D$51, "",0), F943="Cover Cap", _xlfn.XLOOKUP(C943, dd_accsrycalc!$A$2:$A$51, dd_accsrycalc!$E$2:$E$51, "",0), F943="Drainage Cover", _xlfn.XLOOKUP(C943, dd_accsrycalc!$A$2:$A$51, dd_accsrycalc!$F$2:$F$51, "",0),AND( F943="Double Adhesive Tape", I943="Roll-up Screen"), _xlfn.XLOOKUP(C943, calc_rusacc!$C$15:$C$65, calc_rusacc!$AD$15:$AD$65, "",0),AND( F943="Sealant", I943="Roll-up Screen"), _xlfn.XLOOKUP(C943, calc_rusacc!$C$15:$C$65, calc_rusacc!$AF$15:$AF$65, "",0),  AND( F943="Main Chain", I943="Accordion Screen"), _xlfn.XLOOKUP(C943, calc_rusacc!$C$15:$C$65, calc_rusacc!$BF$15:$BF$65, "",0), AND( F943="Sealant", I943="Accordion Screen"), _xlfn.XLOOKUP(C943, calc_rusacc!$C$15:$C$65, calc_rusacc!$BJ$15:$BJ$65, "",0),  F943="Sealant", _xlfn.XLOOKUP(C943, dd_accsrycalc!$A$2:$A$51, dd_accsrycalc!$G$2:$G$51, "",0),  F943&lt;&gt;"",L943*_xlfn.XLOOKUP(1, (SKUs!$C$2:$C$10001=G943)*(SKUs!$K$2:$K$10001=I943),SKUs!$E$2:$E$10001)), 0),"")</f>
        <v/>
      </c>
      <c r="E943" s="16" t="str">
        <f>_xlfn.XLOOKUP(F943,dd_item!$B$2:$B$105,dd_item!$C$2:$C$105,"",0)</f>
        <v/>
      </c>
      <c r="F943" s="16"/>
      <c r="G943" s="16" cm="1">
        <f t="array" ref="G943">IFERROR(_xlfn.XLOOKUP(1, (SKUs!$J$2:$J$10001=accsry_unmerged!F943)*IF(H943&lt;&gt;"",(SKUs!$L$2:$L$10001=accsry_unmerged!H943),1)*(SKUs!$K$2:$K$10001=I943),SKUs!$C$2:$C$10001),"")</f>
        <v>0</v>
      </c>
      <c r="H943" s="33" cm="1">
        <f t="array" ref="H943">IFERROR(_xlfn.XLOOKUP(1, (dd_accsryclr!$C$2:$C$1000=accsry_unmerged!F943)*(dd_accsryclr!$B$2:$B$1000=accsry_unmerged!J943),dd_accsryclr!$A$2:$A$1000),"")</f>
        <v>0</v>
      </c>
      <c r="I943" s="16">
        <f>_xlfn.XLOOKUP(C943,'Project Details'!$C$17:$C$66,'Project Details'!$E$17:$E$66,"",0)</f>
        <v>0</v>
      </c>
      <c r="J943" s="16">
        <f>_xlfn.XLOOKUP(C943,'Project Details'!$C$17:$C$66,'Project Details'!$H$17:$H$66,"",0)</f>
        <v>0</v>
      </c>
      <c r="K943" s="33" t="str">
        <f>IF(AND(_xlfn.XLOOKUP(C943,'Project Details'!$C$17:$C$66,'Project Details'!$L$17:$L$66,"",0)&gt;550, F943="Spring-L27cm"),"",SUBSTITUTE(_xlfn.XLOOKUP(G943,SKUs!$C$2:$C$10001,SKUs!$F$2:$F$10001,"",0), " Accessories",""))</f>
        <v/>
      </c>
      <c r="L943" s="33">
        <f>_xlfn.XLOOKUP(C943,'Project Details'!$C$17:$C$66,'Project Details'!$D$17:$D$66,"",0)</f>
        <v>0</v>
      </c>
      <c r="M943" s="43"/>
    </row>
    <row r="944" spans="1:13" ht="13.5" customHeight="1" x14ac:dyDescent="0.25">
      <c r="A944" s="43"/>
      <c r="B944" s="43"/>
      <c r="C944" s="35">
        <f t="shared" si="17"/>
        <v>19</v>
      </c>
      <c r="D944" s="35" t="str" cm="1">
        <f t="array" ref="D944">IFERROR(ROUNDUP(_xlfn.IFS(F944="Aluminum Track", _xlfn.XLOOKUP(C944, dd_accsrycalc!$A$2:$A$51, dd_accsrycalc!$B$2:$B$51, "",0), F944="10 x 2 1/2 S (Flat)", _xlfn.XLOOKUP(C944, dd_accsrycalc!$A$2:$A$51, dd_accsrycalc!$C$2:$C$51, "",0), F944="Tox6", _xlfn.XLOOKUP(C944, dd_accsrycalc!$A$2:$A$51, dd_accsrycalc!$D$2:$D$51, "",0), F944="Cover Cap", _xlfn.XLOOKUP(C944, dd_accsrycalc!$A$2:$A$51, dd_accsrycalc!$E$2:$E$51, "",0), F944="Drainage Cover", _xlfn.XLOOKUP(C944, dd_accsrycalc!$A$2:$A$51, dd_accsrycalc!$F$2:$F$51, "",0),AND( F944="Double Adhesive Tape", I944="Roll-up Screen"), _xlfn.XLOOKUP(C944, calc_rusacc!$C$15:$C$65, calc_rusacc!$AD$15:$AD$65, "",0),AND( F944="Sealant", I944="Roll-up Screen"), _xlfn.XLOOKUP(C944, calc_rusacc!$C$15:$C$65, calc_rusacc!$AF$15:$AF$65, "",0),  AND( F944="Main Chain", I944="Accordion Screen"), _xlfn.XLOOKUP(C944, calc_rusacc!$C$15:$C$65, calc_rusacc!$BF$15:$BF$65, "",0), AND( F944="Sealant", I944="Accordion Screen"), _xlfn.XLOOKUP(C944, calc_rusacc!$C$15:$C$65, calc_rusacc!$BJ$15:$BJ$65, "",0),  F944="Sealant", _xlfn.XLOOKUP(C944, dd_accsrycalc!$A$2:$A$51, dd_accsrycalc!$G$2:$G$51, "",0),  F944&lt;&gt;"",L944*_xlfn.XLOOKUP(1, (SKUs!$C$2:$C$10001=G944)*(SKUs!$K$2:$K$10001=I944),SKUs!$E$2:$E$10001)), 0),"")</f>
        <v/>
      </c>
      <c r="E944" s="35" t="str">
        <f>_xlfn.XLOOKUP(F944,dd_item!$B$2:$B$105,dd_item!$C$2:$C$105,"",0)</f>
        <v/>
      </c>
      <c r="F944" s="35"/>
      <c r="G944" s="35" cm="1">
        <f t="array" ref="G944">IFERROR(_xlfn.XLOOKUP(1, (SKUs!$J$2:$J$10001=accsry_unmerged!F944)*IF(H944&lt;&gt;"",(SKUs!$L$2:$L$10001=accsry_unmerged!H944),1)*(SKUs!$K$2:$K$10001=I944),SKUs!$C$2:$C$10001),"")</f>
        <v>0</v>
      </c>
      <c r="H944" s="36" cm="1">
        <f t="array" ref="H944">IFERROR(_xlfn.XLOOKUP(1, (dd_accsryclr!$C$2:$C$1000=accsry_unmerged!F944)*(dd_accsryclr!$B$2:$B$1000=accsry_unmerged!J944),dd_accsryclr!$A$2:$A$1000),"")</f>
        <v>0</v>
      </c>
      <c r="I944" s="35">
        <f>_xlfn.XLOOKUP(C944,'Project Details'!$C$17:$C$66,'Project Details'!$E$17:$E$66,"",0)</f>
        <v>0</v>
      </c>
      <c r="J944" s="35">
        <f>_xlfn.XLOOKUP(C944,'Project Details'!$C$17:$C$66,'Project Details'!$H$17:$H$66,"",0)</f>
        <v>0</v>
      </c>
      <c r="K944" s="36" t="str">
        <f>IF(AND(_xlfn.XLOOKUP(C944,'Project Details'!$C$17:$C$66,'Project Details'!$L$17:$L$66,"",0)&gt;550, F944="Spring-L27cm"),"",SUBSTITUTE(_xlfn.XLOOKUP(G944,SKUs!$C$2:$C$10001,SKUs!$F$2:$F$10001,"",0), " Accessories",""))</f>
        <v/>
      </c>
      <c r="L944" s="36">
        <f>_xlfn.XLOOKUP(C944,'Project Details'!$C$17:$C$66,'Project Details'!$D$17:$D$66,"",0)</f>
        <v>0</v>
      </c>
      <c r="M944" s="43"/>
    </row>
    <row r="945" spans="1:13" ht="13.5" customHeight="1" outlineLevel="1" x14ac:dyDescent="0.25">
      <c r="A945" s="43"/>
      <c r="B945" s="43"/>
      <c r="C945" s="16">
        <f t="shared" si="17"/>
        <v>19</v>
      </c>
      <c r="D945" s="16" t="str" cm="1">
        <f t="array" ref="D945">IFERROR(ROUNDUP(_xlfn.IFS(F945="Aluminum Track", _xlfn.XLOOKUP(C945, dd_accsrycalc!$A$2:$A$51, dd_accsrycalc!$B$2:$B$51, "",0), F945="10 x 2 1/2 S (Flat)", _xlfn.XLOOKUP(C945, dd_accsrycalc!$A$2:$A$51, dd_accsrycalc!$C$2:$C$51, "",0), F945="Tox6", _xlfn.XLOOKUP(C945, dd_accsrycalc!$A$2:$A$51, dd_accsrycalc!$D$2:$D$51, "",0), F945="Cover Cap", _xlfn.XLOOKUP(C945, dd_accsrycalc!$A$2:$A$51, dd_accsrycalc!$E$2:$E$51, "",0), F945="Drainage Cover", _xlfn.XLOOKUP(C945, dd_accsrycalc!$A$2:$A$51, dd_accsrycalc!$F$2:$F$51, "",0),AND( F945="Double Adhesive Tape", I945="Roll-up Screen"), _xlfn.XLOOKUP(C945, calc_rusacc!$C$15:$C$65, calc_rusacc!$AD$15:$AD$65, "",0),AND( F945="Sealant", I945="Roll-up Screen"), _xlfn.XLOOKUP(C945, calc_rusacc!$C$15:$C$65, calc_rusacc!$AF$15:$AF$65, "",0),  AND( F945="Main Chain", I945="Accordion Screen"), _xlfn.XLOOKUP(C945, calc_rusacc!$C$15:$C$65, calc_rusacc!$BF$15:$BF$65, "",0), AND( F945="Sealant", I945="Accordion Screen"), _xlfn.XLOOKUP(C945, calc_rusacc!$C$15:$C$65, calc_rusacc!$BJ$15:$BJ$65, "",0),  F945="Sealant", _xlfn.XLOOKUP(C945, dd_accsrycalc!$A$2:$A$51, dd_accsrycalc!$G$2:$G$51, "",0),  F945&lt;&gt;"",L945*_xlfn.XLOOKUP(1, (SKUs!$C$2:$C$10001=G945)*(SKUs!$K$2:$K$10001=I945),SKUs!$E$2:$E$10001)), 0),"")</f>
        <v/>
      </c>
      <c r="E945" s="16" t="str">
        <f>_xlfn.XLOOKUP(F945,dd_item!$B$2:$B$105,dd_item!$C$2:$C$105,"",0)</f>
        <v/>
      </c>
      <c r="F945" s="16"/>
      <c r="G945" s="16" cm="1">
        <f t="array" ref="G945">IFERROR(_xlfn.XLOOKUP(1, (SKUs!$J$2:$J$10001=accsry_unmerged!F945)*IF(H945&lt;&gt;"",(SKUs!$L$2:$L$10001=accsry_unmerged!H945),1)*(SKUs!$K$2:$K$10001=I945),SKUs!$C$2:$C$10001),"")</f>
        <v>0</v>
      </c>
      <c r="H945" s="33" cm="1">
        <f t="array" ref="H945">IFERROR(_xlfn.XLOOKUP(1, (dd_accsryclr!$C$2:$C$1000=accsry_unmerged!F945)*(dd_accsryclr!$B$2:$B$1000=accsry_unmerged!J945),dd_accsryclr!$A$2:$A$1000),"")</f>
        <v>0</v>
      </c>
      <c r="I945" s="16">
        <f>_xlfn.XLOOKUP(C945,'Project Details'!$C$17:$C$66,'Project Details'!$E$17:$E$66,"",0)</f>
        <v>0</v>
      </c>
      <c r="J945" s="16">
        <f>_xlfn.XLOOKUP(C945,'Project Details'!$C$17:$C$66,'Project Details'!$H$17:$H$66,"",0)</f>
        <v>0</v>
      </c>
      <c r="K945" s="33" t="str">
        <f>IF(AND(_xlfn.XLOOKUP(C945,'Project Details'!$C$17:$C$66,'Project Details'!$L$17:$L$66,"",0)&gt;550, F945="Spring-L27cm"),"",SUBSTITUTE(_xlfn.XLOOKUP(G945,SKUs!$C$2:$C$10001,SKUs!$F$2:$F$10001,"",0), " Accessories",""))</f>
        <v/>
      </c>
      <c r="L945" s="33">
        <f>_xlfn.XLOOKUP(C945,'Project Details'!$C$17:$C$66,'Project Details'!$D$17:$D$66,"",0)</f>
        <v>0</v>
      </c>
      <c r="M945" s="43"/>
    </row>
    <row r="946" spans="1:13" ht="13.5" customHeight="1" outlineLevel="1" x14ac:dyDescent="0.25">
      <c r="A946" s="43"/>
      <c r="B946" s="43"/>
      <c r="C946" s="35">
        <f t="shared" si="17"/>
        <v>19</v>
      </c>
      <c r="D946" s="35" t="str" cm="1">
        <f t="array" ref="D946">IFERROR(ROUNDUP(_xlfn.IFS(F946="Aluminum Track", _xlfn.XLOOKUP(C946, dd_accsrycalc!$A$2:$A$51, dd_accsrycalc!$B$2:$B$51, "",0), F946="10 x 2 1/2 S (Flat)", _xlfn.XLOOKUP(C946, dd_accsrycalc!$A$2:$A$51, dd_accsrycalc!$C$2:$C$51, "",0), F946="Tox6", _xlfn.XLOOKUP(C946, dd_accsrycalc!$A$2:$A$51, dd_accsrycalc!$D$2:$D$51, "",0), F946="Cover Cap", _xlfn.XLOOKUP(C946, dd_accsrycalc!$A$2:$A$51, dd_accsrycalc!$E$2:$E$51, "",0), F946="Drainage Cover", _xlfn.XLOOKUP(C946, dd_accsrycalc!$A$2:$A$51, dd_accsrycalc!$F$2:$F$51, "",0),AND( F946="Double Adhesive Tape", I946="Roll-up Screen"), _xlfn.XLOOKUP(C946, calc_rusacc!$C$15:$C$65, calc_rusacc!$AD$15:$AD$65, "",0),AND( F946="Sealant", I946="Roll-up Screen"), _xlfn.XLOOKUP(C946, calc_rusacc!$C$15:$C$65, calc_rusacc!$AF$15:$AF$65, "",0),  AND( F946="Main Chain", I946="Accordion Screen"), _xlfn.XLOOKUP(C946, calc_rusacc!$C$15:$C$65, calc_rusacc!$BF$15:$BF$65, "",0), AND( F946="Sealant", I946="Accordion Screen"), _xlfn.XLOOKUP(C946, calc_rusacc!$C$15:$C$65, calc_rusacc!$BJ$15:$BJ$65, "",0),  F946="Sealant", _xlfn.XLOOKUP(C946, dd_accsrycalc!$A$2:$A$51, dd_accsrycalc!$G$2:$G$51, "",0),  F946&lt;&gt;"",L946*_xlfn.XLOOKUP(1, (SKUs!$C$2:$C$10001=G946)*(SKUs!$K$2:$K$10001=I946),SKUs!$E$2:$E$10001)), 0),"")</f>
        <v/>
      </c>
      <c r="E946" s="35" t="str">
        <f>_xlfn.XLOOKUP(F946,dd_item!$B$2:$B$105,dd_item!$C$2:$C$105,"",0)</f>
        <v/>
      </c>
      <c r="F946" s="35"/>
      <c r="G946" s="35" cm="1">
        <f t="array" ref="G946">IFERROR(_xlfn.XLOOKUP(1, (SKUs!$J$2:$J$10001=accsry_unmerged!F946)*IF(H946&lt;&gt;"",(SKUs!$L$2:$L$10001=accsry_unmerged!H946),1)*(SKUs!$K$2:$K$10001=I946),SKUs!$C$2:$C$10001),"")</f>
        <v>0</v>
      </c>
      <c r="H946" s="36" cm="1">
        <f t="array" ref="H946">IFERROR(_xlfn.XLOOKUP(1, (dd_accsryclr!$C$2:$C$1000=accsry_unmerged!F946)*(dd_accsryclr!$B$2:$B$1000=accsry_unmerged!J946),dd_accsryclr!$A$2:$A$1000),"")</f>
        <v>0</v>
      </c>
      <c r="I946" s="35">
        <f>_xlfn.XLOOKUP(C946,'Project Details'!$C$17:$C$66,'Project Details'!$E$17:$E$66,"",0)</f>
        <v>0</v>
      </c>
      <c r="J946" s="35">
        <f>_xlfn.XLOOKUP(C946,'Project Details'!$C$17:$C$66,'Project Details'!$H$17:$H$66,"",0)</f>
        <v>0</v>
      </c>
      <c r="K946" s="36" t="str">
        <f>IF(AND(_xlfn.XLOOKUP(C946,'Project Details'!$C$17:$C$66,'Project Details'!$L$17:$L$66,"",0)&gt;550, F946="Spring-L27cm"),"",SUBSTITUTE(_xlfn.XLOOKUP(G946,SKUs!$C$2:$C$10001,SKUs!$F$2:$F$10001,"",0), " Accessories",""))</f>
        <v/>
      </c>
      <c r="L946" s="36">
        <f>_xlfn.XLOOKUP(C946,'Project Details'!$C$17:$C$66,'Project Details'!$D$17:$D$66,"",0)</f>
        <v>0</v>
      </c>
      <c r="M946" s="43"/>
    </row>
    <row r="947" spans="1:13" ht="13.5" customHeight="1" outlineLevel="1" x14ac:dyDescent="0.25">
      <c r="A947" s="43"/>
      <c r="B947" s="43"/>
      <c r="C947" s="16">
        <f t="shared" si="17"/>
        <v>19</v>
      </c>
      <c r="D947" s="16" t="str" cm="1">
        <f t="array" ref="D947">IFERROR(ROUNDUP(_xlfn.IFS(F947="Aluminum Track", _xlfn.XLOOKUP(C947, dd_accsrycalc!$A$2:$A$51, dd_accsrycalc!$B$2:$B$51, "",0), F947="10 x 2 1/2 S (Flat)", _xlfn.XLOOKUP(C947, dd_accsrycalc!$A$2:$A$51, dd_accsrycalc!$C$2:$C$51, "",0), F947="Tox6", _xlfn.XLOOKUP(C947, dd_accsrycalc!$A$2:$A$51, dd_accsrycalc!$D$2:$D$51, "",0), F947="Cover Cap", _xlfn.XLOOKUP(C947, dd_accsrycalc!$A$2:$A$51, dd_accsrycalc!$E$2:$E$51, "",0), F947="Drainage Cover", _xlfn.XLOOKUP(C947, dd_accsrycalc!$A$2:$A$51, dd_accsrycalc!$F$2:$F$51, "",0),AND( F947="Double Adhesive Tape", I947="Roll-up Screen"), _xlfn.XLOOKUP(C947, calc_rusacc!$C$15:$C$65, calc_rusacc!$AD$15:$AD$65, "",0),AND( F947="Sealant", I947="Roll-up Screen"), _xlfn.XLOOKUP(C947, calc_rusacc!$C$15:$C$65, calc_rusacc!$AF$15:$AF$65, "",0),  AND( F947="Main Chain", I947="Accordion Screen"), _xlfn.XLOOKUP(C947, calc_rusacc!$C$15:$C$65, calc_rusacc!$BF$15:$BF$65, "",0), AND( F947="Sealant", I947="Accordion Screen"), _xlfn.XLOOKUP(C947, calc_rusacc!$C$15:$C$65, calc_rusacc!$BJ$15:$BJ$65, "",0),  F947="Sealant", _xlfn.XLOOKUP(C947, dd_accsrycalc!$A$2:$A$51, dd_accsrycalc!$G$2:$G$51, "",0),  F947&lt;&gt;"",L947*_xlfn.XLOOKUP(1, (SKUs!$C$2:$C$10001=G947)*(SKUs!$K$2:$K$10001=I947),SKUs!$E$2:$E$10001)), 0),"")</f>
        <v/>
      </c>
      <c r="E947" s="16" t="str">
        <f>_xlfn.XLOOKUP(F947,dd_item!$B$2:$B$105,dd_item!$C$2:$C$105,"",0)</f>
        <v/>
      </c>
      <c r="F947" s="16"/>
      <c r="G947" s="16" cm="1">
        <f t="array" ref="G947">IFERROR(_xlfn.XLOOKUP(1, (SKUs!$J$2:$J$10001=accsry_unmerged!F947)*IF(H947&lt;&gt;"",(SKUs!$L$2:$L$10001=accsry_unmerged!H947),1)*(SKUs!$K$2:$K$10001=I947),SKUs!$C$2:$C$10001),"")</f>
        <v>0</v>
      </c>
      <c r="H947" s="33" cm="1">
        <f t="array" ref="H947">IFERROR(_xlfn.XLOOKUP(1, (dd_accsryclr!$C$2:$C$1000=accsry_unmerged!F947)*(dd_accsryclr!$B$2:$B$1000=accsry_unmerged!J947),dd_accsryclr!$A$2:$A$1000),"")</f>
        <v>0</v>
      </c>
      <c r="I947" s="16">
        <f>_xlfn.XLOOKUP(C947,'Project Details'!$C$17:$C$66,'Project Details'!$E$17:$E$66,"",0)</f>
        <v>0</v>
      </c>
      <c r="J947" s="16">
        <f>_xlfn.XLOOKUP(C947,'Project Details'!$C$17:$C$66,'Project Details'!$H$17:$H$66,"",0)</f>
        <v>0</v>
      </c>
      <c r="K947" s="33" t="str">
        <f>IF(AND(_xlfn.XLOOKUP(C947,'Project Details'!$C$17:$C$66,'Project Details'!$L$17:$L$66,"",0)&gt;550, F947="Spring-L27cm"),"",SUBSTITUTE(_xlfn.XLOOKUP(G947,SKUs!$C$2:$C$10001,SKUs!$F$2:$F$10001,"",0), " Accessories",""))</f>
        <v/>
      </c>
      <c r="L947" s="33">
        <f>_xlfn.XLOOKUP(C947,'Project Details'!$C$17:$C$66,'Project Details'!$D$17:$D$66,"",0)</f>
        <v>0</v>
      </c>
      <c r="M947" s="43"/>
    </row>
    <row r="948" spans="1:13" ht="13.5" customHeight="1" outlineLevel="1" x14ac:dyDescent="0.25">
      <c r="A948" s="43"/>
      <c r="B948" s="43"/>
      <c r="C948" s="35">
        <f t="shared" si="17"/>
        <v>19</v>
      </c>
      <c r="D948" s="35" t="str" cm="1">
        <f t="array" ref="D948">IFERROR(ROUNDUP(_xlfn.IFS(F948="Aluminum Track", _xlfn.XLOOKUP(C948, dd_accsrycalc!$A$2:$A$51, dd_accsrycalc!$B$2:$B$51, "",0), F948="10 x 2 1/2 S (Flat)", _xlfn.XLOOKUP(C948, dd_accsrycalc!$A$2:$A$51, dd_accsrycalc!$C$2:$C$51, "",0), F948="Tox6", _xlfn.XLOOKUP(C948, dd_accsrycalc!$A$2:$A$51, dd_accsrycalc!$D$2:$D$51, "",0), F948="Cover Cap", _xlfn.XLOOKUP(C948, dd_accsrycalc!$A$2:$A$51, dd_accsrycalc!$E$2:$E$51, "",0), F948="Drainage Cover", _xlfn.XLOOKUP(C948, dd_accsrycalc!$A$2:$A$51, dd_accsrycalc!$F$2:$F$51, "",0),AND( F948="Double Adhesive Tape", I948="Roll-up Screen"), _xlfn.XLOOKUP(C948, calc_rusacc!$C$15:$C$65, calc_rusacc!$AD$15:$AD$65, "",0),AND( F948="Sealant", I948="Roll-up Screen"), _xlfn.XLOOKUP(C948, calc_rusacc!$C$15:$C$65, calc_rusacc!$AF$15:$AF$65, "",0),  AND( F948="Main Chain", I948="Accordion Screen"), _xlfn.XLOOKUP(C948, calc_rusacc!$C$15:$C$65, calc_rusacc!$BF$15:$BF$65, "",0), AND( F948="Sealant", I948="Accordion Screen"), _xlfn.XLOOKUP(C948, calc_rusacc!$C$15:$C$65, calc_rusacc!$BJ$15:$BJ$65, "",0),  F948="Sealant", _xlfn.XLOOKUP(C948, dd_accsrycalc!$A$2:$A$51, dd_accsrycalc!$G$2:$G$51, "",0),  F948&lt;&gt;"",L948*_xlfn.XLOOKUP(1, (SKUs!$C$2:$C$10001=G948)*(SKUs!$K$2:$K$10001=I948),SKUs!$E$2:$E$10001)), 0),"")</f>
        <v/>
      </c>
      <c r="E948" s="35" t="str">
        <f>_xlfn.XLOOKUP(F948,dd_item!$B$2:$B$105,dd_item!$C$2:$C$105,"",0)</f>
        <v/>
      </c>
      <c r="F948" s="35"/>
      <c r="G948" s="35" cm="1">
        <f t="array" ref="G948">IFERROR(_xlfn.XLOOKUP(1, (SKUs!$J$2:$J$10001=accsry_unmerged!F948)*IF(H948&lt;&gt;"",(SKUs!$L$2:$L$10001=accsry_unmerged!H948),1)*(SKUs!$K$2:$K$10001=I948),SKUs!$C$2:$C$10001),"")</f>
        <v>0</v>
      </c>
      <c r="H948" s="36" cm="1">
        <f t="array" ref="H948">IFERROR(_xlfn.XLOOKUP(1, (dd_accsryclr!$C$2:$C$1000=accsry_unmerged!F948)*(dd_accsryclr!$B$2:$B$1000=accsry_unmerged!J948),dd_accsryclr!$A$2:$A$1000),"")</f>
        <v>0</v>
      </c>
      <c r="I948" s="35">
        <f>_xlfn.XLOOKUP(C948,'Project Details'!$C$17:$C$66,'Project Details'!$E$17:$E$66,"",0)</f>
        <v>0</v>
      </c>
      <c r="J948" s="35">
        <f>_xlfn.XLOOKUP(C948,'Project Details'!$C$17:$C$66,'Project Details'!$H$17:$H$66,"",0)</f>
        <v>0</v>
      </c>
      <c r="K948" s="36" t="str">
        <f>IF(AND(_xlfn.XLOOKUP(C948,'Project Details'!$C$17:$C$66,'Project Details'!$L$17:$L$66,"",0)&gt;550, F948="Spring-L27cm"),"",SUBSTITUTE(_xlfn.XLOOKUP(G948,SKUs!$C$2:$C$10001,SKUs!$F$2:$F$10001,"",0), " Accessories",""))</f>
        <v/>
      </c>
      <c r="L948" s="36">
        <f>_xlfn.XLOOKUP(C948,'Project Details'!$C$17:$C$66,'Project Details'!$D$17:$D$66,"",0)</f>
        <v>0</v>
      </c>
      <c r="M948" s="43"/>
    </row>
    <row r="949" spans="1:13" ht="13.5" customHeight="1" outlineLevel="1" x14ac:dyDescent="0.25">
      <c r="A949" s="43"/>
      <c r="B949" s="43"/>
      <c r="C949" s="16">
        <f t="shared" si="17"/>
        <v>19</v>
      </c>
      <c r="D949" s="16" t="str" cm="1">
        <f t="array" ref="D949">IFERROR(ROUNDUP(_xlfn.IFS(F949="Aluminum Track", _xlfn.XLOOKUP(C949, dd_accsrycalc!$A$2:$A$51, dd_accsrycalc!$B$2:$B$51, "",0), F949="10 x 2 1/2 S (Flat)", _xlfn.XLOOKUP(C949, dd_accsrycalc!$A$2:$A$51, dd_accsrycalc!$C$2:$C$51, "",0), F949="Tox6", _xlfn.XLOOKUP(C949, dd_accsrycalc!$A$2:$A$51, dd_accsrycalc!$D$2:$D$51, "",0), F949="Cover Cap", _xlfn.XLOOKUP(C949, dd_accsrycalc!$A$2:$A$51, dd_accsrycalc!$E$2:$E$51, "",0), F949="Drainage Cover", _xlfn.XLOOKUP(C949, dd_accsrycalc!$A$2:$A$51, dd_accsrycalc!$F$2:$F$51, "",0),AND( F949="Double Adhesive Tape", I949="Roll-up Screen"), _xlfn.XLOOKUP(C949, calc_rusacc!$C$15:$C$65, calc_rusacc!$AD$15:$AD$65, "",0),AND( F949="Sealant", I949="Roll-up Screen"), _xlfn.XLOOKUP(C949, calc_rusacc!$C$15:$C$65, calc_rusacc!$AF$15:$AF$65, "",0),  AND( F949="Main Chain", I949="Accordion Screen"), _xlfn.XLOOKUP(C949, calc_rusacc!$C$15:$C$65, calc_rusacc!$BF$15:$BF$65, "",0), AND( F949="Sealant", I949="Accordion Screen"), _xlfn.XLOOKUP(C949, calc_rusacc!$C$15:$C$65, calc_rusacc!$BJ$15:$BJ$65, "",0),  F949="Sealant", _xlfn.XLOOKUP(C949, dd_accsrycalc!$A$2:$A$51, dd_accsrycalc!$G$2:$G$51, "",0),  F949&lt;&gt;"",L949*_xlfn.XLOOKUP(1, (SKUs!$C$2:$C$10001=G949)*(SKUs!$K$2:$K$10001=I949),SKUs!$E$2:$E$10001)), 0),"")</f>
        <v/>
      </c>
      <c r="E949" s="16" t="str">
        <f>_xlfn.XLOOKUP(F949,dd_item!$B$2:$B$105,dd_item!$C$2:$C$105,"",0)</f>
        <v/>
      </c>
      <c r="F949" s="16"/>
      <c r="G949" s="16" cm="1">
        <f t="array" ref="G949">IFERROR(_xlfn.XLOOKUP(1, (SKUs!$J$2:$J$10001=accsry_unmerged!F949)*IF(H949&lt;&gt;"",(SKUs!$L$2:$L$10001=accsry_unmerged!H949),1)*(SKUs!$K$2:$K$10001=I949),SKUs!$C$2:$C$10001),"")</f>
        <v>0</v>
      </c>
      <c r="H949" s="33" cm="1">
        <f t="array" ref="H949">IFERROR(_xlfn.XLOOKUP(1, (dd_accsryclr!$C$2:$C$1000=accsry_unmerged!F949)*(dd_accsryclr!$B$2:$B$1000=accsry_unmerged!J949),dd_accsryclr!$A$2:$A$1000),"")</f>
        <v>0</v>
      </c>
      <c r="I949" s="16">
        <f>_xlfn.XLOOKUP(C949,'Project Details'!$C$17:$C$66,'Project Details'!$E$17:$E$66,"",0)</f>
        <v>0</v>
      </c>
      <c r="J949" s="16">
        <f>_xlfn.XLOOKUP(C949,'Project Details'!$C$17:$C$66,'Project Details'!$H$17:$H$66,"",0)</f>
        <v>0</v>
      </c>
      <c r="K949" s="33" t="str">
        <f>IF(AND(_xlfn.XLOOKUP(C949,'Project Details'!$C$17:$C$66,'Project Details'!$L$17:$L$66,"",0)&gt;550, F949="Spring-L27cm"),"",SUBSTITUTE(_xlfn.XLOOKUP(G949,SKUs!$C$2:$C$10001,SKUs!$F$2:$F$10001,"",0), " Accessories",""))</f>
        <v/>
      </c>
      <c r="L949" s="33">
        <f>_xlfn.XLOOKUP(C949,'Project Details'!$C$17:$C$66,'Project Details'!$D$17:$D$66,"",0)</f>
        <v>0</v>
      </c>
      <c r="M949" s="43"/>
    </row>
    <row r="950" spans="1:13" ht="13.5" customHeight="1" outlineLevel="1" x14ac:dyDescent="0.25">
      <c r="A950" s="43"/>
      <c r="B950" s="43"/>
      <c r="C950" s="35">
        <f t="shared" si="17"/>
        <v>19</v>
      </c>
      <c r="D950" s="35" t="str" cm="1">
        <f t="array" ref="D950">IFERROR(ROUNDUP(_xlfn.IFS(F950="Aluminum Track", _xlfn.XLOOKUP(C950, dd_accsrycalc!$A$2:$A$51, dd_accsrycalc!$B$2:$B$51, "",0), F950="10 x 2 1/2 S (Flat)", _xlfn.XLOOKUP(C950, dd_accsrycalc!$A$2:$A$51, dd_accsrycalc!$C$2:$C$51, "",0), F950="Tox6", _xlfn.XLOOKUP(C950, dd_accsrycalc!$A$2:$A$51, dd_accsrycalc!$D$2:$D$51, "",0), F950="Cover Cap", _xlfn.XLOOKUP(C950, dd_accsrycalc!$A$2:$A$51, dd_accsrycalc!$E$2:$E$51, "",0), F950="Drainage Cover", _xlfn.XLOOKUP(C950, dd_accsrycalc!$A$2:$A$51, dd_accsrycalc!$F$2:$F$51, "",0),AND( F950="Double Adhesive Tape", I950="Roll-up Screen"), _xlfn.XLOOKUP(C950, calc_rusacc!$C$15:$C$65, calc_rusacc!$AD$15:$AD$65, "",0),AND( F950="Sealant", I950="Roll-up Screen"), _xlfn.XLOOKUP(C950, calc_rusacc!$C$15:$C$65, calc_rusacc!$AF$15:$AF$65, "",0),  AND( F950="Main Chain", I950="Accordion Screen"), _xlfn.XLOOKUP(C950, calc_rusacc!$C$15:$C$65, calc_rusacc!$BF$15:$BF$65, "",0), AND( F950="Sealant", I950="Accordion Screen"), _xlfn.XLOOKUP(C950, calc_rusacc!$C$15:$C$65, calc_rusacc!$BJ$15:$BJ$65, "",0),  F950="Sealant", _xlfn.XLOOKUP(C950, dd_accsrycalc!$A$2:$A$51, dd_accsrycalc!$G$2:$G$51, "",0),  F950&lt;&gt;"",L950*_xlfn.XLOOKUP(1, (SKUs!$C$2:$C$10001=G950)*(SKUs!$K$2:$K$10001=I950),SKUs!$E$2:$E$10001)), 0),"")</f>
        <v/>
      </c>
      <c r="E950" s="35" t="str">
        <f>_xlfn.XLOOKUP(F950,dd_item!$B$2:$B$105,dd_item!$C$2:$C$105,"",0)</f>
        <v/>
      </c>
      <c r="F950" s="35"/>
      <c r="G950" s="35" cm="1">
        <f t="array" ref="G950">IFERROR(_xlfn.XLOOKUP(1, (SKUs!$J$2:$J$10001=accsry_unmerged!F950)*IF(H950&lt;&gt;"",(SKUs!$L$2:$L$10001=accsry_unmerged!H950),1)*(SKUs!$K$2:$K$10001=I950),SKUs!$C$2:$C$10001),"")</f>
        <v>0</v>
      </c>
      <c r="H950" s="36" cm="1">
        <f t="array" ref="H950">IFERROR(_xlfn.XLOOKUP(1, (dd_accsryclr!$C$2:$C$1000=accsry_unmerged!F950)*(dd_accsryclr!$B$2:$B$1000=accsry_unmerged!J950),dd_accsryclr!$A$2:$A$1000),"")</f>
        <v>0</v>
      </c>
      <c r="I950" s="35">
        <f>_xlfn.XLOOKUP(C950,'Project Details'!$C$17:$C$66,'Project Details'!$E$17:$E$66,"",0)</f>
        <v>0</v>
      </c>
      <c r="J950" s="35">
        <f>_xlfn.XLOOKUP(C950,'Project Details'!$C$17:$C$66,'Project Details'!$H$17:$H$66,"",0)</f>
        <v>0</v>
      </c>
      <c r="K950" s="36" t="str">
        <f>IF(AND(_xlfn.XLOOKUP(C950,'Project Details'!$C$17:$C$66,'Project Details'!$L$17:$L$66,"",0)&gt;550, F950="Spring-L27cm"),"",SUBSTITUTE(_xlfn.XLOOKUP(G950,SKUs!$C$2:$C$10001,SKUs!$F$2:$F$10001,"",0), " Accessories",""))</f>
        <v/>
      </c>
      <c r="L950" s="36">
        <f>_xlfn.XLOOKUP(C950,'Project Details'!$C$17:$C$66,'Project Details'!$D$17:$D$66,"",0)</f>
        <v>0</v>
      </c>
      <c r="M950" s="43"/>
    </row>
    <row r="951" spans="1:13" ht="13.5" customHeight="1" outlineLevel="1" x14ac:dyDescent="0.25">
      <c r="A951" s="43"/>
      <c r="B951" s="43"/>
      <c r="C951" s="16">
        <f t="shared" si="17"/>
        <v>19</v>
      </c>
      <c r="D951" s="16" t="str" cm="1">
        <f t="array" ref="D951">IFERROR(ROUNDUP(_xlfn.IFS(F951="Aluminum Track", _xlfn.XLOOKUP(C951, dd_accsrycalc!$A$2:$A$51, dd_accsrycalc!$B$2:$B$51, "",0), F951="10 x 2 1/2 S (Flat)", _xlfn.XLOOKUP(C951, dd_accsrycalc!$A$2:$A$51, dd_accsrycalc!$C$2:$C$51, "",0), F951="Tox6", _xlfn.XLOOKUP(C951, dd_accsrycalc!$A$2:$A$51, dd_accsrycalc!$D$2:$D$51, "",0), F951="Cover Cap", _xlfn.XLOOKUP(C951, dd_accsrycalc!$A$2:$A$51, dd_accsrycalc!$E$2:$E$51, "",0), F951="Drainage Cover", _xlfn.XLOOKUP(C951, dd_accsrycalc!$A$2:$A$51, dd_accsrycalc!$F$2:$F$51, "",0),AND( F951="Double Adhesive Tape", I951="Roll-up Screen"), _xlfn.XLOOKUP(C951, calc_rusacc!$C$15:$C$65, calc_rusacc!$AD$15:$AD$65, "",0),AND( F951="Sealant", I951="Roll-up Screen"), _xlfn.XLOOKUP(C951, calc_rusacc!$C$15:$C$65, calc_rusacc!$AF$15:$AF$65, "",0),  AND( F951="Main Chain", I951="Accordion Screen"), _xlfn.XLOOKUP(C951, calc_rusacc!$C$15:$C$65, calc_rusacc!$BF$15:$BF$65, "",0), AND( F951="Sealant", I951="Accordion Screen"), _xlfn.XLOOKUP(C951, calc_rusacc!$C$15:$C$65, calc_rusacc!$BJ$15:$BJ$65, "",0),  F951="Sealant", _xlfn.XLOOKUP(C951, dd_accsrycalc!$A$2:$A$51, dd_accsrycalc!$G$2:$G$51, "",0),  F951&lt;&gt;"",L951*_xlfn.XLOOKUP(1, (SKUs!$C$2:$C$10001=G951)*(SKUs!$K$2:$K$10001=I951),SKUs!$E$2:$E$10001)), 0),"")</f>
        <v/>
      </c>
      <c r="E951" s="16" t="str">
        <f>_xlfn.XLOOKUP(F951,dd_item!$B$2:$B$105,dd_item!$C$2:$C$105,"",0)</f>
        <v/>
      </c>
      <c r="F951" s="16"/>
      <c r="G951" s="16" cm="1">
        <f t="array" ref="G951">IFERROR(_xlfn.XLOOKUP(1, (SKUs!$J$2:$J$10001=accsry_unmerged!F951)*IF(H951&lt;&gt;"",(SKUs!$L$2:$L$10001=accsry_unmerged!H951),1)*(SKUs!$K$2:$K$10001=I951),SKUs!$C$2:$C$10001),"")</f>
        <v>0</v>
      </c>
      <c r="H951" s="33" cm="1">
        <f t="array" ref="H951">IFERROR(_xlfn.XLOOKUP(1, (dd_accsryclr!$C$2:$C$1000=accsry_unmerged!F951)*(dd_accsryclr!$B$2:$B$1000=accsry_unmerged!J951),dd_accsryclr!$A$2:$A$1000),"")</f>
        <v>0</v>
      </c>
      <c r="I951" s="16">
        <f>_xlfn.XLOOKUP(C951,'Project Details'!$C$17:$C$66,'Project Details'!$E$17:$E$66,"",0)</f>
        <v>0</v>
      </c>
      <c r="J951" s="16">
        <f>_xlfn.XLOOKUP(C951,'Project Details'!$C$17:$C$66,'Project Details'!$H$17:$H$66,"",0)</f>
        <v>0</v>
      </c>
      <c r="K951" s="33" t="str">
        <f>IF(AND(_xlfn.XLOOKUP(C951,'Project Details'!$C$17:$C$66,'Project Details'!$L$17:$L$66,"",0)&gt;550, F951="Spring-L27cm"),"",SUBSTITUTE(_xlfn.XLOOKUP(G951,SKUs!$C$2:$C$10001,SKUs!$F$2:$F$10001,"",0), " Accessories",""))</f>
        <v/>
      </c>
      <c r="L951" s="33">
        <f>_xlfn.XLOOKUP(C951,'Project Details'!$C$17:$C$66,'Project Details'!$D$17:$D$66,"",0)</f>
        <v>0</v>
      </c>
      <c r="M951" s="43"/>
    </row>
    <row r="952" spans="1:13" ht="13.5" customHeight="1" outlineLevel="1" x14ac:dyDescent="0.25">
      <c r="A952" s="43"/>
      <c r="B952" s="43"/>
      <c r="C952" s="35">
        <f t="shared" si="17"/>
        <v>19</v>
      </c>
      <c r="D952" s="35" t="str" cm="1">
        <f t="array" ref="D952">IFERROR(ROUNDUP(_xlfn.IFS(F952="Aluminum Track", _xlfn.XLOOKUP(C952, dd_accsrycalc!$A$2:$A$51, dd_accsrycalc!$B$2:$B$51, "",0), F952="10 x 2 1/2 S (Flat)", _xlfn.XLOOKUP(C952, dd_accsrycalc!$A$2:$A$51, dd_accsrycalc!$C$2:$C$51, "",0), F952="Tox6", _xlfn.XLOOKUP(C952, dd_accsrycalc!$A$2:$A$51, dd_accsrycalc!$D$2:$D$51, "",0), F952="Cover Cap", _xlfn.XLOOKUP(C952, dd_accsrycalc!$A$2:$A$51, dd_accsrycalc!$E$2:$E$51, "",0), F952="Drainage Cover", _xlfn.XLOOKUP(C952, dd_accsrycalc!$A$2:$A$51, dd_accsrycalc!$F$2:$F$51, "",0),AND( F952="Double Adhesive Tape", I952="Roll-up Screen"), _xlfn.XLOOKUP(C952, calc_rusacc!$C$15:$C$65, calc_rusacc!$AD$15:$AD$65, "",0),AND( F952="Sealant", I952="Roll-up Screen"), _xlfn.XLOOKUP(C952, calc_rusacc!$C$15:$C$65, calc_rusacc!$AF$15:$AF$65, "",0),  AND( F952="Main Chain", I952="Accordion Screen"), _xlfn.XLOOKUP(C952, calc_rusacc!$C$15:$C$65, calc_rusacc!$BF$15:$BF$65, "",0), AND( F952="Sealant", I952="Accordion Screen"), _xlfn.XLOOKUP(C952, calc_rusacc!$C$15:$C$65, calc_rusacc!$BJ$15:$BJ$65, "",0),  F952="Sealant", _xlfn.XLOOKUP(C952, dd_accsrycalc!$A$2:$A$51, dd_accsrycalc!$G$2:$G$51, "",0),  F952&lt;&gt;"",L952*_xlfn.XLOOKUP(1, (SKUs!$C$2:$C$10001=G952)*(SKUs!$K$2:$K$10001=I952),SKUs!$E$2:$E$10001)), 0),"")</f>
        <v/>
      </c>
      <c r="E952" s="35" t="str">
        <f>_xlfn.XLOOKUP(F952,dd_item!$B$2:$B$105,dd_item!$C$2:$C$105,"",0)</f>
        <v/>
      </c>
      <c r="F952" s="35"/>
      <c r="G952" s="35" cm="1">
        <f t="array" ref="G952">IFERROR(_xlfn.XLOOKUP(1, (SKUs!$J$2:$J$10001=accsry_unmerged!F952)*IF(H952&lt;&gt;"",(SKUs!$L$2:$L$10001=accsry_unmerged!H952),1)*(SKUs!$K$2:$K$10001=I952),SKUs!$C$2:$C$10001),"")</f>
        <v>0</v>
      </c>
      <c r="H952" s="36" cm="1">
        <f t="array" ref="H952">IFERROR(_xlfn.XLOOKUP(1, (dd_accsryclr!$C$2:$C$1000=accsry_unmerged!F952)*(dd_accsryclr!$B$2:$B$1000=accsry_unmerged!J952),dd_accsryclr!$A$2:$A$1000),"")</f>
        <v>0</v>
      </c>
      <c r="I952" s="35">
        <f>_xlfn.XLOOKUP(C952,'Project Details'!$C$17:$C$66,'Project Details'!$E$17:$E$66,"",0)</f>
        <v>0</v>
      </c>
      <c r="J952" s="35">
        <f>_xlfn.XLOOKUP(C952,'Project Details'!$C$17:$C$66,'Project Details'!$H$17:$H$66,"",0)</f>
        <v>0</v>
      </c>
      <c r="K952" s="36" t="str">
        <f>IF(AND(_xlfn.XLOOKUP(C952,'Project Details'!$C$17:$C$66,'Project Details'!$L$17:$L$66,"",0)&gt;550, F952="Spring-L27cm"),"",SUBSTITUTE(_xlfn.XLOOKUP(G952,SKUs!$C$2:$C$10001,SKUs!$F$2:$F$10001,"",0), " Accessories",""))</f>
        <v/>
      </c>
      <c r="L952" s="36">
        <f>_xlfn.XLOOKUP(C952,'Project Details'!$C$17:$C$66,'Project Details'!$D$17:$D$66,"",0)</f>
        <v>0</v>
      </c>
      <c r="M952" s="43"/>
    </row>
    <row r="953" spans="1:13" ht="13.5" customHeight="1" outlineLevel="1" x14ac:dyDescent="0.25">
      <c r="A953" s="43"/>
      <c r="B953" s="43"/>
      <c r="C953" s="16">
        <f t="shared" si="17"/>
        <v>19</v>
      </c>
      <c r="D953" s="16" t="str" cm="1">
        <f t="array" ref="D953">IFERROR(ROUNDUP(_xlfn.IFS(F953="Aluminum Track", _xlfn.XLOOKUP(C953, dd_accsrycalc!$A$2:$A$51, dd_accsrycalc!$B$2:$B$51, "",0), F953="10 x 2 1/2 S (Flat)", _xlfn.XLOOKUP(C953, dd_accsrycalc!$A$2:$A$51, dd_accsrycalc!$C$2:$C$51, "",0), F953="Tox6", _xlfn.XLOOKUP(C953, dd_accsrycalc!$A$2:$A$51, dd_accsrycalc!$D$2:$D$51, "",0), F953="Cover Cap", _xlfn.XLOOKUP(C953, dd_accsrycalc!$A$2:$A$51, dd_accsrycalc!$E$2:$E$51, "",0), F953="Drainage Cover", _xlfn.XLOOKUP(C953, dd_accsrycalc!$A$2:$A$51, dd_accsrycalc!$F$2:$F$51, "",0),AND( F953="Double Adhesive Tape", I953="Roll-up Screen"), _xlfn.XLOOKUP(C953, calc_rusacc!$C$15:$C$65, calc_rusacc!$AD$15:$AD$65, "",0),AND( F953="Sealant", I953="Roll-up Screen"), _xlfn.XLOOKUP(C953, calc_rusacc!$C$15:$C$65, calc_rusacc!$AF$15:$AF$65, "",0),  AND( F953="Main Chain", I953="Accordion Screen"), _xlfn.XLOOKUP(C953, calc_rusacc!$C$15:$C$65, calc_rusacc!$BF$15:$BF$65, "",0), AND( F953="Sealant", I953="Accordion Screen"), _xlfn.XLOOKUP(C953, calc_rusacc!$C$15:$C$65, calc_rusacc!$BJ$15:$BJ$65, "",0),  F953="Sealant", _xlfn.XLOOKUP(C953, dd_accsrycalc!$A$2:$A$51, dd_accsrycalc!$G$2:$G$51, "",0),  F953&lt;&gt;"",L953*_xlfn.XLOOKUP(1, (SKUs!$C$2:$C$10001=G953)*(SKUs!$K$2:$K$10001=I953),SKUs!$E$2:$E$10001)), 0),"")</f>
        <v/>
      </c>
      <c r="E953" s="16" t="str">
        <f>_xlfn.XLOOKUP(F953,dd_item!$B$2:$B$105,dd_item!$C$2:$C$105,"",0)</f>
        <v/>
      </c>
      <c r="F953" s="16"/>
      <c r="G953" s="16" cm="1">
        <f t="array" ref="G953">IFERROR(_xlfn.XLOOKUP(1, (SKUs!$J$2:$J$10001=accsry_unmerged!F953)*IF(H953&lt;&gt;"",(SKUs!$L$2:$L$10001=accsry_unmerged!H953),1)*(SKUs!$K$2:$K$10001=I953),SKUs!$C$2:$C$10001),"")</f>
        <v>0</v>
      </c>
      <c r="H953" s="33" cm="1">
        <f t="array" ref="H953">IFERROR(_xlfn.XLOOKUP(1, (dd_accsryclr!$C$2:$C$1000=accsry_unmerged!F953)*(dd_accsryclr!$B$2:$B$1000=accsry_unmerged!J953),dd_accsryclr!$A$2:$A$1000),"")</f>
        <v>0</v>
      </c>
      <c r="I953" s="16">
        <f>_xlfn.XLOOKUP(C953,'Project Details'!$C$17:$C$66,'Project Details'!$E$17:$E$66,"",0)</f>
        <v>0</v>
      </c>
      <c r="J953" s="16">
        <f>_xlfn.XLOOKUP(C953,'Project Details'!$C$17:$C$66,'Project Details'!$H$17:$H$66,"",0)</f>
        <v>0</v>
      </c>
      <c r="K953" s="33" t="str">
        <f>IF(AND(_xlfn.XLOOKUP(C953,'Project Details'!$C$17:$C$66,'Project Details'!$L$17:$L$66,"",0)&gt;550, F953="Spring-L27cm"),"",SUBSTITUTE(_xlfn.XLOOKUP(G953,SKUs!$C$2:$C$10001,SKUs!$F$2:$F$10001,"",0), " Accessories",""))</f>
        <v/>
      </c>
      <c r="L953" s="33">
        <f>_xlfn.XLOOKUP(C953,'Project Details'!$C$17:$C$66,'Project Details'!$D$17:$D$66,"",0)</f>
        <v>0</v>
      </c>
      <c r="M953" s="43"/>
    </row>
    <row r="954" spans="1:13" ht="13.5" customHeight="1" outlineLevel="1" x14ac:dyDescent="0.25">
      <c r="A954" s="43"/>
      <c r="B954" s="43"/>
      <c r="C954" s="35">
        <f t="shared" si="17"/>
        <v>19</v>
      </c>
      <c r="D954" s="35" t="str" cm="1">
        <f t="array" ref="D954">IFERROR(ROUNDUP(_xlfn.IFS(F954="Aluminum Track", _xlfn.XLOOKUP(C954, dd_accsrycalc!$A$2:$A$51, dd_accsrycalc!$B$2:$B$51, "",0), F954="10 x 2 1/2 S (Flat)", _xlfn.XLOOKUP(C954, dd_accsrycalc!$A$2:$A$51, dd_accsrycalc!$C$2:$C$51, "",0), F954="Tox6", _xlfn.XLOOKUP(C954, dd_accsrycalc!$A$2:$A$51, dd_accsrycalc!$D$2:$D$51, "",0), F954="Cover Cap", _xlfn.XLOOKUP(C954, dd_accsrycalc!$A$2:$A$51, dd_accsrycalc!$E$2:$E$51, "",0), F954="Drainage Cover", _xlfn.XLOOKUP(C954, dd_accsrycalc!$A$2:$A$51, dd_accsrycalc!$F$2:$F$51, "",0),AND( F954="Double Adhesive Tape", I954="Roll-up Screen"), _xlfn.XLOOKUP(C954, calc_rusacc!$C$15:$C$65, calc_rusacc!$AD$15:$AD$65, "",0),AND( F954="Sealant", I954="Roll-up Screen"), _xlfn.XLOOKUP(C954, calc_rusacc!$C$15:$C$65, calc_rusacc!$AF$15:$AF$65, "",0),  AND( F954="Main Chain", I954="Accordion Screen"), _xlfn.XLOOKUP(C954, calc_rusacc!$C$15:$C$65, calc_rusacc!$BF$15:$BF$65, "",0), AND( F954="Sealant", I954="Accordion Screen"), _xlfn.XLOOKUP(C954, calc_rusacc!$C$15:$C$65, calc_rusacc!$BJ$15:$BJ$65, "",0),  F954="Sealant", _xlfn.XLOOKUP(C954, dd_accsrycalc!$A$2:$A$51, dd_accsrycalc!$G$2:$G$51, "",0),  F954&lt;&gt;"",L954*_xlfn.XLOOKUP(1, (SKUs!$C$2:$C$10001=G954)*(SKUs!$K$2:$K$10001=I954),SKUs!$E$2:$E$10001)), 0),"")</f>
        <v/>
      </c>
      <c r="E954" s="35" t="str">
        <f>_xlfn.XLOOKUP(F954,dd_item!$B$2:$B$105,dd_item!$C$2:$C$105,"",0)</f>
        <v/>
      </c>
      <c r="F954" s="35"/>
      <c r="G954" s="35" cm="1">
        <f t="array" ref="G954">IFERROR(_xlfn.XLOOKUP(1, (SKUs!$J$2:$J$10001=accsry_unmerged!F954)*IF(H954&lt;&gt;"",(SKUs!$L$2:$L$10001=accsry_unmerged!H954),1)*(SKUs!$K$2:$K$10001=I954),SKUs!$C$2:$C$10001),"")</f>
        <v>0</v>
      </c>
      <c r="H954" s="36" cm="1">
        <f t="array" ref="H954">IFERROR(_xlfn.XLOOKUP(1, (dd_accsryclr!$C$2:$C$1000=accsry_unmerged!F954)*(dd_accsryclr!$B$2:$B$1000=accsry_unmerged!J954),dd_accsryclr!$A$2:$A$1000),"")</f>
        <v>0</v>
      </c>
      <c r="I954" s="35">
        <f>_xlfn.XLOOKUP(C954,'Project Details'!$C$17:$C$66,'Project Details'!$E$17:$E$66,"",0)</f>
        <v>0</v>
      </c>
      <c r="J954" s="35">
        <f>_xlfn.XLOOKUP(C954,'Project Details'!$C$17:$C$66,'Project Details'!$H$17:$H$66,"",0)</f>
        <v>0</v>
      </c>
      <c r="K954" s="36" t="str">
        <f>IF(AND(_xlfn.XLOOKUP(C954,'Project Details'!$C$17:$C$66,'Project Details'!$L$17:$L$66,"",0)&gt;550, F954="Spring-L27cm"),"",SUBSTITUTE(_xlfn.XLOOKUP(G954,SKUs!$C$2:$C$10001,SKUs!$F$2:$F$10001,"",0), " Accessories",""))</f>
        <v/>
      </c>
      <c r="L954" s="36">
        <f>_xlfn.XLOOKUP(C954,'Project Details'!$C$17:$C$66,'Project Details'!$D$17:$D$66,"",0)</f>
        <v>0</v>
      </c>
      <c r="M954" s="43"/>
    </row>
    <row r="955" spans="1:13" ht="13.5" customHeight="1" outlineLevel="1" collapsed="1" x14ac:dyDescent="0.25">
      <c r="A955" s="43"/>
      <c r="B955" s="43"/>
      <c r="C955" s="16">
        <f t="shared" si="17"/>
        <v>19</v>
      </c>
      <c r="D955" s="16" t="str" cm="1">
        <f t="array" ref="D955">IFERROR(ROUNDUP(_xlfn.IFS(F955="Aluminum Track", _xlfn.XLOOKUP(C955, dd_accsrycalc!$A$2:$A$51, dd_accsrycalc!$B$2:$B$51, "",0), F955="10 x 2 1/2 S (Flat)", _xlfn.XLOOKUP(C955, dd_accsrycalc!$A$2:$A$51, dd_accsrycalc!$C$2:$C$51, "",0), F955="Tox6", _xlfn.XLOOKUP(C955, dd_accsrycalc!$A$2:$A$51, dd_accsrycalc!$D$2:$D$51, "",0), F955="Cover Cap", _xlfn.XLOOKUP(C955, dd_accsrycalc!$A$2:$A$51, dd_accsrycalc!$E$2:$E$51, "",0), F955="Drainage Cover", _xlfn.XLOOKUP(C955, dd_accsrycalc!$A$2:$A$51, dd_accsrycalc!$F$2:$F$51, "",0),AND( F955="Double Adhesive Tape", I955="Roll-up Screen"), _xlfn.XLOOKUP(C955, calc_rusacc!$C$15:$C$65, calc_rusacc!$AD$15:$AD$65, "",0),AND( F955="Sealant", I955="Roll-up Screen"), _xlfn.XLOOKUP(C955, calc_rusacc!$C$15:$C$65, calc_rusacc!$AF$15:$AF$65, "",0),  AND( F955="Main Chain", I955="Accordion Screen"), _xlfn.XLOOKUP(C955, calc_rusacc!$C$15:$C$65, calc_rusacc!$BF$15:$BF$65, "",0), AND( F955="Sealant", I955="Accordion Screen"), _xlfn.XLOOKUP(C955, calc_rusacc!$C$15:$C$65, calc_rusacc!$BJ$15:$BJ$65, "",0),  F955="Sealant", _xlfn.XLOOKUP(C955, dd_accsrycalc!$A$2:$A$51, dd_accsrycalc!$G$2:$G$51, "",0),  F955&lt;&gt;"",L955*_xlfn.XLOOKUP(1, (SKUs!$C$2:$C$10001=G955)*(SKUs!$K$2:$K$10001=I955),SKUs!$E$2:$E$10001)), 0),"")</f>
        <v/>
      </c>
      <c r="E955" s="16" t="str">
        <f>_xlfn.XLOOKUP(F955,dd_item!$B$2:$B$105,dd_item!$C$2:$C$105,"",0)</f>
        <v/>
      </c>
      <c r="F955" s="16"/>
      <c r="G955" s="16" cm="1">
        <f t="array" ref="G955">IFERROR(_xlfn.XLOOKUP(1, (SKUs!$J$2:$J$10001=accsry_unmerged!F955)*IF(H955&lt;&gt;"",(SKUs!$L$2:$L$10001=accsry_unmerged!H955),1)*(SKUs!$K$2:$K$10001=I955),SKUs!$C$2:$C$10001),"")</f>
        <v>0</v>
      </c>
      <c r="H955" s="33" cm="1">
        <f t="array" ref="H955">IFERROR(_xlfn.XLOOKUP(1, (dd_accsryclr!$C$2:$C$1000=accsry_unmerged!F955)*(dd_accsryclr!$B$2:$B$1000=accsry_unmerged!J955),dd_accsryclr!$A$2:$A$1000),"")</f>
        <v>0</v>
      </c>
      <c r="I955" s="16">
        <f>_xlfn.XLOOKUP(C955,'Project Details'!$C$17:$C$66,'Project Details'!$E$17:$E$66,"",0)</f>
        <v>0</v>
      </c>
      <c r="J955" s="16">
        <f>_xlfn.XLOOKUP(C955,'Project Details'!$C$17:$C$66,'Project Details'!$H$17:$H$66,"",0)</f>
        <v>0</v>
      </c>
      <c r="K955" s="33" t="str">
        <f>IF(AND(_xlfn.XLOOKUP(C955,'Project Details'!$C$17:$C$66,'Project Details'!$L$17:$L$66,"",0)&gt;550, F955="Spring-L27cm"),"",SUBSTITUTE(_xlfn.XLOOKUP(G955,SKUs!$C$2:$C$10001,SKUs!$F$2:$F$10001,"",0), " Accessories",""))</f>
        <v/>
      </c>
      <c r="L955" s="33">
        <f>_xlfn.XLOOKUP(C955,'Project Details'!$C$17:$C$66,'Project Details'!$D$17:$D$66,"",0)</f>
        <v>0</v>
      </c>
      <c r="M955" s="43"/>
    </row>
    <row r="956" spans="1:13" ht="13.5" customHeight="1" outlineLevel="1" x14ac:dyDescent="0.25">
      <c r="A956" s="43"/>
      <c r="B956" s="43"/>
      <c r="C956" s="35">
        <f t="shared" si="17"/>
        <v>19</v>
      </c>
      <c r="D956" s="35" t="str" cm="1">
        <f t="array" ref="D956">IFERROR(ROUNDUP(_xlfn.IFS(F956="Aluminum Track", _xlfn.XLOOKUP(C956, dd_accsrycalc!$A$2:$A$51, dd_accsrycalc!$B$2:$B$51, "",0), F956="10 x 2 1/2 S (Flat)", _xlfn.XLOOKUP(C956, dd_accsrycalc!$A$2:$A$51, dd_accsrycalc!$C$2:$C$51, "",0), F956="Tox6", _xlfn.XLOOKUP(C956, dd_accsrycalc!$A$2:$A$51, dd_accsrycalc!$D$2:$D$51, "",0), F956="Cover Cap", _xlfn.XLOOKUP(C956, dd_accsrycalc!$A$2:$A$51, dd_accsrycalc!$E$2:$E$51, "",0), F956="Drainage Cover", _xlfn.XLOOKUP(C956, dd_accsrycalc!$A$2:$A$51, dd_accsrycalc!$F$2:$F$51, "",0),AND( F956="Double Adhesive Tape", I956="Roll-up Screen"), _xlfn.XLOOKUP(C956, calc_rusacc!$C$15:$C$65, calc_rusacc!$AD$15:$AD$65, "",0),AND( F956="Sealant", I956="Roll-up Screen"), _xlfn.XLOOKUP(C956, calc_rusacc!$C$15:$C$65, calc_rusacc!$AF$15:$AF$65, "",0),  AND( F956="Main Chain", I956="Accordion Screen"), _xlfn.XLOOKUP(C956, calc_rusacc!$C$15:$C$65, calc_rusacc!$BF$15:$BF$65, "",0), AND( F956="Sealant", I956="Accordion Screen"), _xlfn.XLOOKUP(C956, calc_rusacc!$C$15:$C$65, calc_rusacc!$BJ$15:$BJ$65, "",0),  F956="Sealant", _xlfn.XLOOKUP(C956, dd_accsrycalc!$A$2:$A$51, dd_accsrycalc!$G$2:$G$51, "",0),  F956&lt;&gt;"",L956*_xlfn.XLOOKUP(1, (SKUs!$C$2:$C$10001=G956)*(SKUs!$K$2:$K$10001=I956),SKUs!$E$2:$E$10001)), 0),"")</f>
        <v/>
      </c>
      <c r="E956" s="35" t="str">
        <f>_xlfn.XLOOKUP(F956,dd_item!$B$2:$B$105,dd_item!$C$2:$C$105,"",0)</f>
        <v/>
      </c>
      <c r="F956" s="35"/>
      <c r="G956" s="35" cm="1">
        <f t="array" ref="G956">IFERROR(_xlfn.XLOOKUP(1, (SKUs!$J$2:$J$10001=accsry_unmerged!F956)*IF(H956&lt;&gt;"",(SKUs!$L$2:$L$10001=accsry_unmerged!H956),1)*(SKUs!$K$2:$K$10001=I956),SKUs!$C$2:$C$10001),"")</f>
        <v>0</v>
      </c>
      <c r="H956" s="36" cm="1">
        <f t="array" ref="H956">IFERROR(_xlfn.XLOOKUP(1, (dd_accsryclr!$C$2:$C$1000=accsry_unmerged!F956)*(dd_accsryclr!$B$2:$B$1000=accsry_unmerged!J956),dd_accsryclr!$A$2:$A$1000),"")</f>
        <v>0</v>
      </c>
      <c r="I956" s="35">
        <f>_xlfn.XLOOKUP(C956,'Project Details'!$C$17:$C$66,'Project Details'!$E$17:$E$66,"",0)</f>
        <v>0</v>
      </c>
      <c r="J956" s="35">
        <f>_xlfn.XLOOKUP(C956,'Project Details'!$C$17:$C$66,'Project Details'!$H$17:$H$66,"",0)</f>
        <v>0</v>
      </c>
      <c r="K956" s="36" t="str">
        <f>IF(AND(_xlfn.XLOOKUP(C956,'Project Details'!$C$17:$C$66,'Project Details'!$L$17:$L$66,"",0)&gt;550, F956="Spring-L27cm"),"",SUBSTITUTE(_xlfn.XLOOKUP(G956,SKUs!$C$2:$C$10001,SKUs!$F$2:$F$10001,"",0), " Accessories",""))</f>
        <v/>
      </c>
      <c r="L956" s="36">
        <f>_xlfn.XLOOKUP(C956,'Project Details'!$C$17:$C$66,'Project Details'!$D$17:$D$66,"",0)</f>
        <v>0</v>
      </c>
      <c r="M956" s="43"/>
    </row>
    <row r="957" spans="1:13" ht="13.5" customHeight="1" outlineLevel="1" x14ac:dyDescent="0.25">
      <c r="A957" s="43"/>
      <c r="B957" s="43"/>
      <c r="C957" s="16">
        <f t="shared" si="17"/>
        <v>19</v>
      </c>
      <c r="D957" s="16" t="str" cm="1">
        <f t="array" ref="D957">IFERROR(ROUNDUP(_xlfn.IFS(F957="Aluminum Track", _xlfn.XLOOKUP(C957, dd_accsrycalc!$A$2:$A$51, dd_accsrycalc!$B$2:$B$51, "",0), F957="10 x 2 1/2 S (Flat)", _xlfn.XLOOKUP(C957, dd_accsrycalc!$A$2:$A$51, dd_accsrycalc!$C$2:$C$51, "",0), F957="Tox6", _xlfn.XLOOKUP(C957, dd_accsrycalc!$A$2:$A$51, dd_accsrycalc!$D$2:$D$51, "",0), F957="Cover Cap", _xlfn.XLOOKUP(C957, dd_accsrycalc!$A$2:$A$51, dd_accsrycalc!$E$2:$E$51, "",0), F957="Drainage Cover", _xlfn.XLOOKUP(C957, dd_accsrycalc!$A$2:$A$51, dd_accsrycalc!$F$2:$F$51, "",0),AND( F957="Double Adhesive Tape", I957="Roll-up Screen"), _xlfn.XLOOKUP(C957, calc_rusacc!$C$15:$C$65, calc_rusacc!$AD$15:$AD$65, "",0),AND( F957="Sealant", I957="Roll-up Screen"), _xlfn.XLOOKUP(C957, calc_rusacc!$C$15:$C$65, calc_rusacc!$AF$15:$AF$65, "",0),  AND( F957="Main Chain", I957="Accordion Screen"), _xlfn.XLOOKUP(C957, calc_rusacc!$C$15:$C$65, calc_rusacc!$BF$15:$BF$65, "",0), AND( F957="Sealant", I957="Accordion Screen"), _xlfn.XLOOKUP(C957, calc_rusacc!$C$15:$C$65, calc_rusacc!$BJ$15:$BJ$65, "",0),  F957="Sealant", _xlfn.XLOOKUP(C957, dd_accsrycalc!$A$2:$A$51, dd_accsrycalc!$G$2:$G$51, "",0),  F957&lt;&gt;"",L957*_xlfn.XLOOKUP(1, (SKUs!$C$2:$C$10001=G957)*(SKUs!$K$2:$K$10001=I957),SKUs!$E$2:$E$10001)), 0),"")</f>
        <v/>
      </c>
      <c r="E957" s="16" t="str">
        <f>_xlfn.XLOOKUP(F957,dd_item!$B$2:$B$105,dd_item!$C$2:$C$105,"",0)</f>
        <v/>
      </c>
      <c r="F957" s="16"/>
      <c r="G957" s="16" cm="1">
        <f t="array" ref="G957">IFERROR(_xlfn.XLOOKUP(1, (SKUs!$J$2:$J$10001=accsry_unmerged!F957)*IF(H957&lt;&gt;"",(SKUs!$L$2:$L$10001=accsry_unmerged!H957),1)*(SKUs!$K$2:$K$10001=I957),SKUs!$C$2:$C$10001),"")</f>
        <v>0</v>
      </c>
      <c r="H957" s="33" cm="1">
        <f t="array" ref="H957">IFERROR(_xlfn.XLOOKUP(1, (dd_accsryclr!$C$2:$C$1000=accsry_unmerged!F957)*(dd_accsryclr!$B$2:$B$1000=accsry_unmerged!J957),dd_accsryclr!$A$2:$A$1000),"")</f>
        <v>0</v>
      </c>
      <c r="I957" s="16">
        <f>_xlfn.XLOOKUP(C957,'Project Details'!$C$17:$C$66,'Project Details'!$E$17:$E$66,"",0)</f>
        <v>0</v>
      </c>
      <c r="J957" s="16">
        <f>_xlfn.XLOOKUP(C957,'Project Details'!$C$17:$C$66,'Project Details'!$H$17:$H$66,"",0)</f>
        <v>0</v>
      </c>
      <c r="K957" s="33" t="str">
        <f>IF(AND(_xlfn.XLOOKUP(C957,'Project Details'!$C$17:$C$66,'Project Details'!$L$17:$L$66,"",0)&gt;550, F957="Spring-L27cm"),"",SUBSTITUTE(_xlfn.XLOOKUP(G957,SKUs!$C$2:$C$10001,SKUs!$F$2:$F$10001,"",0), " Accessories",""))</f>
        <v/>
      </c>
      <c r="L957" s="33">
        <f>_xlfn.XLOOKUP(C957,'Project Details'!$C$17:$C$66,'Project Details'!$D$17:$D$66,"",0)</f>
        <v>0</v>
      </c>
      <c r="M957" s="43"/>
    </row>
    <row r="958" spans="1:13" ht="13.5" customHeight="1" outlineLevel="1" x14ac:dyDescent="0.25">
      <c r="A958" s="43"/>
      <c r="B958" s="43"/>
      <c r="C958" s="35">
        <f t="shared" si="17"/>
        <v>19</v>
      </c>
      <c r="D958" s="35" t="str" cm="1">
        <f t="array" ref="D958">IFERROR(ROUNDUP(_xlfn.IFS(F958="Aluminum Track", _xlfn.XLOOKUP(C958, dd_accsrycalc!$A$2:$A$51, dd_accsrycalc!$B$2:$B$51, "",0), F958="10 x 2 1/2 S (Flat)", _xlfn.XLOOKUP(C958, dd_accsrycalc!$A$2:$A$51, dd_accsrycalc!$C$2:$C$51, "",0), F958="Tox6", _xlfn.XLOOKUP(C958, dd_accsrycalc!$A$2:$A$51, dd_accsrycalc!$D$2:$D$51, "",0), F958="Cover Cap", _xlfn.XLOOKUP(C958, dd_accsrycalc!$A$2:$A$51, dd_accsrycalc!$E$2:$E$51, "",0), F958="Drainage Cover", _xlfn.XLOOKUP(C958, dd_accsrycalc!$A$2:$A$51, dd_accsrycalc!$F$2:$F$51, "",0),AND( F958="Double Adhesive Tape", I958="Roll-up Screen"), _xlfn.XLOOKUP(C958, calc_rusacc!$C$15:$C$65, calc_rusacc!$AD$15:$AD$65, "",0),AND( F958="Sealant", I958="Roll-up Screen"), _xlfn.XLOOKUP(C958, calc_rusacc!$C$15:$C$65, calc_rusacc!$AF$15:$AF$65, "",0),  AND( F958="Main Chain", I958="Accordion Screen"), _xlfn.XLOOKUP(C958, calc_rusacc!$C$15:$C$65, calc_rusacc!$BF$15:$BF$65, "",0), AND( F958="Sealant", I958="Accordion Screen"), _xlfn.XLOOKUP(C958, calc_rusacc!$C$15:$C$65, calc_rusacc!$BJ$15:$BJ$65, "",0),  F958="Sealant", _xlfn.XLOOKUP(C958, dd_accsrycalc!$A$2:$A$51, dd_accsrycalc!$G$2:$G$51, "",0),  F958&lt;&gt;"",L958*_xlfn.XLOOKUP(1, (SKUs!$C$2:$C$10001=G958)*(SKUs!$K$2:$K$10001=I958),SKUs!$E$2:$E$10001)), 0),"")</f>
        <v/>
      </c>
      <c r="E958" s="35" t="str">
        <f>_xlfn.XLOOKUP(F958,dd_item!$B$2:$B$105,dd_item!$C$2:$C$105,"",0)</f>
        <v/>
      </c>
      <c r="F958" s="35"/>
      <c r="G958" s="35" cm="1">
        <f t="array" ref="G958">IFERROR(_xlfn.XLOOKUP(1, (SKUs!$J$2:$J$10001=accsry_unmerged!F958)*IF(H958&lt;&gt;"",(SKUs!$L$2:$L$10001=accsry_unmerged!H958),1)*(SKUs!$K$2:$K$10001=I958),SKUs!$C$2:$C$10001),"")</f>
        <v>0</v>
      </c>
      <c r="H958" s="36" cm="1">
        <f t="array" ref="H958">IFERROR(_xlfn.XLOOKUP(1, (dd_accsryclr!$C$2:$C$1000=accsry_unmerged!F958)*(dd_accsryclr!$B$2:$B$1000=accsry_unmerged!J958),dd_accsryclr!$A$2:$A$1000),"")</f>
        <v>0</v>
      </c>
      <c r="I958" s="35">
        <f>_xlfn.XLOOKUP(C958,'Project Details'!$C$17:$C$66,'Project Details'!$E$17:$E$66,"",0)</f>
        <v>0</v>
      </c>
      <c r="J958" s="35">
        <f>_xlfn.XLOOKUP(C958,'Project Details'!$C$17:$C$66,'Project Details'!$H$17:$H$66,"",0)</f>
        <v>0</v>
      </c>
      <c r="K958" s="36" t="str">
        <f>IF(AND(_xlfn.XLOOKUP(C958,'Project Details'!$C$17:$C$66,'Project Details'!$L$17:$L$66,"",0)&gt;550, F958="Spring-L27cm"),"",SUBSTITUTE(_xlfn.XLOOKUP(G958,SKUs!$C$2:$C$10001,SKUs!$F$2:$F$10001,"",0), " Accessories",""))</f>
        <v/>
      </c>
      <c r="L958" s="36">
        <f>_xlfn.XLOOKUP(C958,'Project Details'!$C$17:$C$66,'Project Details'!$D$17:$D$66,"",0)</f>
        <v>0</v>
      </c>
      <c r="M958" s="43"/>
    </row>
    <row r="959" spans="1:13" ht="13.5" customHeight="1" outlineLevel="1" x14ac:dyDescent="0.25">
      <c r="A959" s="43"/>
      <c r="B959" s="43"/>
      <c r="C959" s="16">
        <f t="shared" si="17"/>
        <v>19</v>
      </c>
      <c r="D959" s="16" t="str" cm="1">
        <f t="array" ref="D959">IFERROR(ROUNDUP(_xlfn.IFS(F959="Aluminum Track", _xlfn.XLOOKUP(C959, dd_accsrycalc!$A$2:$A$51, dd_accsrycalc!$B$2:$B$51, "",0), F959="10 x 2 1/2 S (Flat)", _xlfn.XLOOKUP(C959, dd_accsrycalc!$A$2:$A$51, dd_accsrycalc!$C$2:$C$51, "",0), F959="Tox6", _xlfn.XLOOKUP(C959, dd_accsrycalc!$A$2:$A$51, dd_accsrycalc!$D$2:$D$51, "",0), F959="Cover Cap", _xlfn.XLOOKUP(C959, dd_accsrycalc!$A$2:$A$51, dd_accsrycalc!$E$2:$E$51, "",0), F959="Drainage Cover", _xlfn.XLOOKUP(C959, dd_accsrycalc!$A$2:$A$51, dd_accsrycalc!$F$2:$F$51, "",0),AND( F959="Double Adhesive Tape", I959="Roll-up Screen"), _xlfn.XLOOKUP(C959, calc_rusacc!$C$15:$C$65, calc_rusacc!$AD$15:$AD$65, "",0),AND( F959="Sealant", I959="Roll-up Screen"), _xlfn.XLOOKUP(C959, calc_rusacc!$C$15:$C$65, calc_rusacc!$AF$15:$AF$65, "",0),  AND( F959="Main Chain", I959="Accordion Screen"), _xlfn.XLOOKUP(C959, calc_rusacc!$C$15:$C$65, calc_rusacc!$BF$15:$BF$65, "",0), AND( F959="Sealant", I959="Accordion Screen"), _xlfn.XLOOKUP(C959, calc_rusacc!$C$15:$C$65, calc_rusacc!$BJ$15:$BJ$65, "",0),  F959="Sealant", _xlfn.XLOOKUP(C959, dd_accsrycalc!$A$2:$A$51, dd_accsrycalc!$G$2:$G$51, "",0),  F959&lt;&gt;"",L959*_xlfn.XLOOKUP(1, (SKUs!$C$2:$C$10001=G959)*(SKUs!$K$2:$K$10001=I959),SKUs!$E$2:$E$10001)), 0),"")</f>
        <v/>
      </c>
      <c r="E959" s="16" t="str">
        <f>_xlfn.XLOOKUP(F959,dd_item!$B$2:$B$105,dd_item!$C$2:$C$105,"",0)</f>
        <v/>
      </c>
      <c r="F959" s="16"/>
      <c r="G959" s="16" cm="1">
        <f t="array" ref="G959">IFERROR(_xlfn.XLOOKUP(1, (SKUs!$J$2:$J$10001=accsry_unmerged!F959)*IF(H959&lt;&gt;"",(SKUs!$L$2:$L$10001=accsry_unmerged!H959),1)*(SKUs!$K$2:$K$10001=I959),SKUs!$C$2:$C$10001),"")</f>
        <v>0</v>
      </c>
      <c r="H959" s="33" cm="1">
        <f t="array" ref="H959">IFERROR(_xlfn.XLOOKUP(1, (dd_accsryclr!$C$2:$C$1000=accsry_unmerged!F959)*(dd_accsryclr!$B$2:$B$1000=accsry_unmerged!J959),dd_accsryclr!$A$2:$A$1000),"")</f>
        <v>0</v>
      </c>
      <c r="I959" s="16">
        <f>_xlfn.XLOOKUP(C959,'Project Details'!$C$17:$C$66,'Project Details'!$E$17:$E$66,"",0)</f>
        <v>0</v>
      </c>
      <c r="J959" s="16">
        <f>_xlfn.XLOOKUP(C959,'Project Details'!$C$17:$C$66,'Project Details'!$H$17:$H$66,"",0)</f>
        <v>0</v>
      </c>
      <c r="K959" s="33" t="str">
        <f>IF(AND(_xlfn.XLOOKUP(C959,'Project Details'!$C$17:$C$66,'Project Details'!$L$17:$L$66,"",0)&gt;550, F959="Spring-L27cm"),"",SUBSTITUTE(_xlfn.XLOOKUP(G959,SKUs!$C$2:$C$10001,SKUs!$F$2:$F$10001,"",0), " Accessories",""))</f>
        <v/>
      </c>
      <c r="L959" s="33">
        <f>_xlfn.XLOOKUP(C959,'Project Details'!$C$17:$C$66,'Project Details'!$D$17:$D$66,"",0)</f>
        <v>0</v>
      </c>
      <c r="M959" s="43"/>
    </row>
    <row r="960" spans="1:13" ht="13.5" customHeight="1" outlineLevel="1" x14ac:dyDescent="0.25">
      <c r="A960" s="43"/>
      <c r="B960" s="43"/>
      <c r="C960" s="35">
        <f t="shared" si="17"/>
        <v>19</v>
      </c>
      <c r="D960" s="35" t="str" cm="1">
        <f t="array" ref="D960">IFERROR(ROUNDUP(_xlfn.IFS(F960="Aluminum Track", _xlfn.XLOOKUP(C960, dd_accsrycalc!$A$2:$A$51, dd_accsrycalc!$B$2:$B$51, "",0), F960="10 x 2 1/2 S (Flat)", _xlfn.XLOOKUP(C960, dd_accsrycalc!$A$2:$A$51, dd_accsrycalc!$C$2:$C$51, "",0), F960="Tox6", _xlfn.XLOOKUP(C960, dd_accsrycalc!$A$2:$A$51, dd_accsrycalc!$D$2:$D$51, "",0), F960="Cover Cap", _xlfn.XLOOKUP(C960, dd_accsrycalc!$A$2:$A$51, dd_accsrycalc!$E$2:$E$51, "",0), F960="Drainage Cover", _xlfn.XLOOKUP(C960, dd_accsrycalc!$A$2:$A$51, dd_accsrycalc!$F$2:$F$51, "",0),AND( F960="Double Adhesive Tape", I960="Roll-up Screen"), _xlfn.XLOOKUP(C960, calc_rusacc!$C$15:$C$65, calc_rusacc!$AD$15:$AD$65, "",0),AND( F960="Sealant", I960="Roll-up Screen"), _xlfn.XLOOKUP(C960, calc_rusacc!$C$15:$C$65, calc_rusacc!$AF$15:$AF$65, "",0),  AND( F960="Main Chain", I960="Accordion Screen"), _xlfn.XLOOKUP(C960, calc_rusacc!$C$15:$C$65, calc_rusacc!$BF$15:$BF$65, "",0), AND( F960="Sealant", I960="Accordion Screen"), _xlfn.XLOOKUP(C960, calc_rusacc!$C$15:$C$65, calc_rusacc!$BJ$15:$BJ$65, "",0),  F960="Sealant", _xlfn.XLOOKUP(C960, dd_accsrycalc!$A$2:$A$51, dd_accsrycalc!$G$2:$G$51, "",0),  F960&lt;&gt;"",L960*_xlfn.XLOOKUP(1, (SKUs!$C$2:$C$10001=G960)*(SKUs!$K$2:$K$10001=I960),SKUs!$E$2:$E$10001)), 0),"")</f>
        <v/>
      </c>
      <c r="E960" s="35" t="str">
        <f>_xlfn.XLOOKUP(F960,dd_item!$B$2:$B$105,dd_item!$C$2:$C$105,"",0)</f>
        <v/>
      </c>
      <c r="F960" s="35"/>
      <c r="G960" s="35" cm="1">
        <f t="array" ref="G960">IFERROR(_xlfn.XLOOKUP(1, (SKUs!$J$2:$J$10001=accsry_unmerged!F960)*IF(H960&lt;&gt;"",(SKUs!$L$2:$L$10001=accsry_unmerged!H960),1)*(SKUs!$K$2:$K$10001=I960),SKUs!$C$2:$C$10001),"")</f>
        <v>0</v>
      </c>
      <c r="H960" s="36" cm="1">
        <f t="array" ref="H960">IFERROR(_xlfn.XLOOKUP(1, (dd_accsryclr!$C$2:$C$1000=accsry_unmerged!F960)*(dd_accsryclr!$B$2:$B$1000=accsry_unmerged!J960),dd_accsryclr!$A$2:$A$1000),"")</f>
        <v>0</v>
      </c>
      <c r="I960" s="35">
        <f>_xlfn.XLOOKUP(C960,'Project Details'!$C$17:$C$66,'Project Details'!$E$17:$E$66,"",0)</f>
        <v>0</v>
      </c>
      <c r="J960" s="35">
        <f>_xlfn.XLOOKUP(C960,'Project Details'!$C$17:$C$66,'Project Details'!$H$17:$H$66,"",0)</f>
        <v>0</v>
      </c>
      <c r="K960" s="36" t="str">
        <f>IF(AND(_xlfn.XLOOKUP(C960,'Project Details'!$C$17:$C$66,'Project Details'!$L$17:$L$66,"",0)&gt;550, F960="Spring-L27cm"),"",SUBSTITUTE(_xlfn.XLOOKUP(G960,SKUs!$C$2:$C$10001,SKUs!$F$2:$F$10001,"",0), " Accessories",""))</f>
        <v/>
      </c>
      <c r="L960" s="36">
        <f>_xlfn.XLOOKUP(C960,'Project Details'!$C$17:$C$66,'Project Details'!$D$17:$D$66,"",0)</f>
        <v>0</v>
      </c>
      <c r="M960" s="43"/>
    </row>
    <row r="961" spans="1:13" ht="13.5" customHeight="1" outlineLevel="1" x14ac:dyDescent="0.25">
      <c r="A961" s="43"/>
      <c r="B961" s="43"/>
      <c r="C961" s="16">
        <f t="shared" si="17"/>
        <v>19</v>
      </c>
      <c r="D961" s="16" t="str" cm="1">
        <f t="array" ref="D961">IFERROR(ROUNDUP(_xlfn.IFS(F961="Aluminum Track", _xlfn.XLOOKUP(C961, dd_accsrycalc!$A$2:$A$51, dd_accsrycalc!$B$2:$B$51, "",0), F961="10 x 2 1/2 S (Flat)", _xlfn.XLOOKUP(C961, dd_accsrycalc!$A$2:$A$51, dd_accsrycalc!$C$2:$C$51, "",0), F961="Tox6", _xlfn.XLOOKUP(C961, dd_accsrycalc!$A$2:$A$51, dd_accsrycalc!$D$2:$D$51, "",0), F961="Cover Cap", _xlfn.XLOOKUP(C961, dd_accsrycalc!$A$2:$A$51, dd_accsrycalc!$E$2:$E$51, "",0), F961="Drainage Cover", _xlfn.XLOOKUP(C961, dd_accsrycalc!$A$2:$A$51, dd_accsrycalc!$F$2:$F$51, "",0),AND( F961="Double Adhesive Tape", I961="Roll-up Screen"), _xlfn.XLOOKUP(C961, calc_rusacc!$C$15:$C$65, calc_rusacc!$AD$15:$AD$65, "",0),AND( F961="Sealant", I961="Roll-up Screen"), _xlfn.XLOOKUP(C961, calc_rusacc!$C$15:$C$65, calc_rusacc!$AF$15:$AF$65, "",0),  AND( F961="Main Chain", I961="Accordion Screen"), _xlfn.XLOOKUP(C961, calc_rusacc!$C$15:$C$65, calc_rusacc!$BF$15:$BF$65, "",0), AND( F961="Sealant", I961="Accordion Screen"), _xlfn.XLOOKUP(C961, calc_rusacc!$C$15:$C$65, calc_rusacc!$BJ$15:$BJ$65, "",0),  F961="Sealant", _xlfn.XLOOKUP(C961, dd_accsrycalc!$A$2:$A$51, dd_accsrycalc!$G$2:$G$51, "",0),  F961&lt;&gt;"",L961*_xlfn.XLOOKUP(1, (SKUs!$C$2:$C$10001=G961)*(SKUs!$K$2:$K$10001=I961),SKUs!$E$2:$E$10001)), 0),"")</f>
        <v/>
      </c>
      <c r="E961" s="16" t="str">
        <f>_xlfn.XLOOKUP(F961,dd_item!$B$2:$B$105,dd_item!$C$2:$C$105,"",0)</f>
        <v/>
      </c>
      <c r="F961" s="16"/>
      <c r="G961" s="16" cm="1">
        <f t="array" ref="G961">IFERROR(_xlfn.XLOOKUP(1, (SKUs!$J$2:$J$10001=accsry_unmerged!F961)*IF(H961&lt;&gt;"",(SKUs!$L$2:$L$10001=accsry_unmerged!H961),1)*(SKUs!$K$2:$K$10001=I961),SKUs!$C$2:$C$10001),"")</f>
        <v>0</v>
      </c>
      <c r="H961" s="33" cm="1">
        <f t="array" ref="H961">IFERROR(_xlfn.XLOOKUP(1, (dd_accsryclr!$C$2:$C$1000=accsry_unmerged!F961)*(dd_accsryclr!$B$2:$B$1000=accsry_unmerged!J961),dd_accsryclr!$A$2:$A$1000),"")</f>
        <v>0</v>
      </c>
      <c r="I961" s="16">
        <f>_xlfn.XLOOKUP(C961,'Project Details'!$C$17:$C$66,'Project Details'!$E$17:$E$66,"",0)</f>
        <v>0</v>
      </c>
      <c r="J961" s="16">
        <f>_xlfn.XLOOKUP(C961,'Project Details'!$C$17:$C$66,'Project Details'!$H$17:$H$66,"",0)</f>
        <v>0</v>
      </c>
      <c r="K961" s="33" t="str">
        <f>IF(AND(_xlfn.XLOOKUP(C961,'Project Details'!$C$17:$C$66,'Project Details'!$L$17:$L$66,"",0)&gt;550, F961="Spring-L27cm"),"",SUBSTITUTE(_xlfn.XLOOKUP(G961,SKUs!$C$2:$C$10001,SKUs!$F$2:$F$10001,"",0), " Accessories",""))</f>
        <v/>
      </c>
      <c r="L961" s="33">
        <f>_xlfn.XLOOKUP(C961,'Project Details'!$C$17:$C$66,'Project Details'!$D$17:$D$66,"",0)</f>
        <v>0</v>
      </c>
      <c r="M961" s="43"/>
    </row>
    <row r="962" spans="1:13" ht="13.5" customHeight="1" outlineLevel="1" x14ac:dyDescent="0.25">
      <c r="A962" s="43"/>
      <c r="B962" s="43"/>
      <c r="C962" s="35">
        <f t="shared" si="17"/>
        <v>19</v>
      </c>
      <c r="D962" s="35" t="str" cm="1">
        <f t="array" ref="D962">IFERROR(ROUNDUP(_xlfn.IFS(F962="Aluminum Track", _xlfn.XLOOKUP(C962, dd_accsrycalc!$A$2:$A$51, dd_accsrycalc!$B$2:$B$51, "",0), F962="10 x 2 1/2 S (Flat)", _xlfn.XLOOKUP(C962, dd_accsrycalc!$A$2:$A$51, dd_accsrycalc!$C$2:$C$51, "",0), F962="Tox6", _xlfn.XLOOKUP(C962, dd_accsrycalc!$A$2:$A$51, dd_accsrycalc!$D$2:$D$51, "",0), F962="Cover Cap", _xlfn.XLOOKUP(C962, dd_accsrycalc!$A$2:$A$51, dd_accsrycalc!$E$2:$E$51, "",0), F962="Drainage Cover", _xlfn.XLOOKUP(C962, dd_accsrycalc!$A$2:$A$51, dd_accsrycalc!$F$2:$F$51, "",0),AND( F962="Double Adhesive Tape", I962="Roll-up Screen"), _xlfn.XLOOKUP(C962, calc_rusacc!$C$15:$C$65, calc_rusacc!$AD$15:$AD$65, "",0),AND( F962="Sealant", I962="Roll-up Screen"), _xlfn.XLOOKUP(C962, calc_rusacc!$C$15:$C$65, calc_rusacc!$AF$15:$AF$65, "",0),  AND( F962="Main Chain", I962="Accordion Screen"), _xlfn.XLOOKUP(C962, calc_rusacc!$C$15:$C$65, calc_rusacc!$BF$15:$BF$65, "",0), AND( F962="Sealant", I962="Accordion Screen"), _xlfn.XLOOKUP(C962, calc_rusacc!$C$15:$C$65, calc_rusacc!$BJ$15:$BJ$65, "",0),  F962="Sealant", _xlfn.XLOOKUP(C962, dd_accsrycalc!$A$2:$A$51, dd_accsrycalc!$G$2:$G$51, "",0),  F962&lt;&gt;"",L962*_xlfn.XLOOKUP(1, (SKUs!$C$2:$C$10001=G962)*(SKUs!$K$2:$K$10001=I962),SKUs!$E$2:$E$10001)), 0),"")</f>
        <v/>
      </c>
      <c r="E962" s="35" t="str">
        <f>_xlfn.XLOOKUP(F962,dd_item!$B$2:$B$105,dd_item!$C$2:$C$105,"",0)</f>
        <v/>
      </c>
      <c r="F962" s="35"/>
      <c r="G962" s="35" cm="1">
        <f t="array" ref="G962">IFERROR(_xlfn.XLOOKUP(1, (SKUs!$J$2:$J$10001=accsry_unmerged!F962)*IF(H962&lt;&gt;"",(SKUs!$L$2:$L$10001=accsry_unmerged!H962),1)*(SKUs!$K$2:$K$10001=I962),SKUs!$C$2:$C$10001),"")</f>
        <v>0</v>
      </c>
      <c r="H962" s="36" cm="1">
        <f t="array" ref="H962">IFERROR(_xlfn.XLOOKUP(1, (dd_accsryclr!$C$2:$C$1000=accsry_unmerged!F962)*(dd_accsryclr!$B$2:$B$1000=accsry_unmerged!J962),dd_accsryclr!$A$2:$A$1000),"")</f>
        <v>0</v>
      </c>
      <c r="I962" s="35">
        <f>_xlfn.XLOOKUP(C962,'Project Details'!$C$17:$C$66,'Project Details'!$E$17:$E$66,"",0)</f>
        <v>0</v>
      </c>
      <c r="J962" s="35">
        <f>_xlfn.XLOOKUP(C962,'Project Details'!$C$17:$C$66,'Project Details'!$H$17:$H$66,"",0)</f>
        <v>0</v>
      </c>
      <c r="K962" s="36" t="str">
        <f>IF(AND(_xlfn.XLOOKUP(C962,'Project Details'!$C$17:$C$66,'Project Details'!$L$17:$L$66,"",0)&gt;550, F962="Spring-L27cm"),"",SUBSTITUTE(_xlfn.XLOOKUP(G962,SKUs!$C$2:$C$10001,SKUs!$F$2:$F$10001,"",0), " Accessories",""))</f>
        <v/>
      </c>
      <c r="L962" s="36">
        <f>_xlfn.XLOOKUP(C962,'Project Details'!$C$17:$C$66,'Project Details'!$D$17:$D$66,"",0)</f>
        <v>0</v>
      </c>
      <c r="M962" s="43"/>
    </row>
    <row r="963" spans="1:13" ht="13.5" customHeight="1" outlineLevel="1" x14ac:dyDescent="0.25">
      <c r="A963" s="43"/>
      <c r="B963" s="43"/>
      <c r="C963" s="16">
        <f t="shared" si="17"/>
        <v>19</v>
      </c>
      <c r="D963" s="16" t="str" cm="1">
        <f t="array" ref="D963">IFERROR(ROUNDUP(_xlfn.IFS(F963="Aluminum Track", _xlfn.XLOOKUP(C963, dd_accsrycalc!$A$2:$A$51, dd_accsrycalc!$B$2:$B$51, "",0), F963="10 x 2 1/2 S (Flat)", _xlfn.XLOOKUP(C963, dd_accsrycalc!$A$2:$A$51, dd_accsrycalc!$C$2:$C$51, "",0), F963="Tox6", _xlfn.XLOOKUP(C963, dd_accsrycalc!$A$2:$A$51, dd_accsrycalc!$D$2:$D$51, "",0), F963="Cover Cap", _xlfn.XLOOKUP(C963, dd_accsrycalc!$A$2:$A$51, dd_accsrycalc!$E$2:$E$51, "",0), F963="Drainage Cover", _xlfn.XLOOKUP(C963, dd_accsrycalc!$A$2:$A$51, dd_accsrycalc!$F$2:$F$51, "",0),AND( F963="Double Adhesive Tape", I963="Roll-up Screen"), _xlfn.XLOOKUP(C963, calc_rusacc!$C$15:$C$65, calc_rusacc!$AD$15:$AD$65, "",0),AND( F963="Sealant", I963="Roll-up Screen"), _xlfn.XLOOKUP(C963, calc_rusacc!$C$15:$C$65, calc_rusacc!$AF$15:$AF$65, "",0),  AND( F963="Main Chain", I963="Accordion Screen"), _xlfn.XLOOKUP(C963, calc_rusacc!$C$15:$C$65, calc_rusacc!$BF$15:$BF$65, "",0), AND( F963="Sealant", I963="Accordion Screen"), _xlfn.XLOOKUP(C963, calc_rusacc!$C$15:$C$65, calc_rusacc!$BJ$15:$BJ$65, "",0),  F963="Sealant", _xlfn.XLOOKUP(C963, dd_accsrycalc!$A$2:$A$51, dd_accsrycalc!$G$2:$G$51, "",0),  F963&lt;&gt;"",L963*_xlfn.XLOOKUP(1, (SKUs!$C$2:$C$10001=G963)*(SKUs!$K$2:$K$10001=I963),SKUs!$E$2:$E$10001)), 0),"")</f>
        <v/>
      </c>
      <c r="E963" s="16" t="str">
        <f>_xlfn.XLOOKUP(F963,dd_item!$B$2:$B$105,dd_item!$C$2:$C$105,"",0)</f>
        <v/>
      </c>
      <c r="F963" s="16"/>
      <c r="G963" s="16" cm="1">
        <f t="array" ref="G963">IFERROR(_xlfn.XLOOKUP(1, (SKUs!$J$2:$J$10001=accsry_unmerged!F963)*IF(H963&lt;&gt;"",(SKUs!$L$2:$L$10001=accsry_unmerged!H963),1)*(SKUs!$K$2:$K$10001=I963),SKUs!$C$2:$C$10001),"")</f>
        <v>0</v>
      </c>
      <c r="H963" s="33" cm="1">
        <f t="array" ref="H963">IFERROR(_xlfn.XLOOKUP(1, (dd_accsryclr!$C$2:$C$1000=accsry_unmerged!F963)*(dd_accsryclr!$B$2:$B$1000=accsry_unmerged!J963),dd_accsryclr!$A$2:$A$1000),"")</f>
        <v>0</v>
      </c>
      <c r="I963" s="16">
        <f>_xlfn.XLOOKUP(C963,'Project Details'!$C$17:$C$66,'Project Details'!$E$17:$E$66,"",0)</f>
        <v>0</v>
      </c>
      <c r="J963" s="16">
        <f>_xlfn.XLOOKUP(C963,'Project Details'!$C$17:$C$66,'Project Details'!$H$17:$H$66,"",0)</f>
        <v>0</v>
      </c>
      <c r="K963" s="33" t="str">
        <f>IF(AND(_xlfn.XLOOKUP(C963,'Project Details'!$C$17:$C$66,'Project Details'!$L$17:$L$66,"",0)&gt;550, F963="Spring-L27cm"),"",SUBSTITUTE(_xlfn.XLOOKUP(G963,SKUs!$C$2:$C$10001,SKUs!$F$2:$F$10001,"",0), " Accessories",""))</f>
        <v/>
      </c>
      <c r="L963" s="33">
        <f>_xlfn.XLOOKUP(C963,'Project Details'!$C$17:$C$66,'Project Details'!$D$17:$D$66,"",0)</f>
        <v>0</v>
      </c>
      <c r="M963" s="43"/>
    </row>
    <row r="964" spans="1:13" x14ac:dyDescent="0.25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</row>
    <row r="965" spans="1:13" x14ac:dyDescent="0.25">
      <c r="A965" s="43"/>
      <c r="B965" s="43"/>
      <c r="C965" s="16">
        <f>C963+1</f>
        <v>20</v>
      </c>
      <c r="D965" s="48" cm="1">
        <f t="array" ref="D965">IFERROR(ROUNDUP(_xlfn.IFS(F965="Aluminum Track", _xlfn.XLOOKUP(C965, dd_accsrycalc!$A$2:$A$51, dd_accsrycalc!$B$2:$B$51, "",0), F965="10 x 2 1/2 S (Flat)", _xlfn.XLOOKUP(C965, dd_accsrycalc!$A$2:$A$51, dd_accsrycalc!$C$2:$C$51, "",0), F965="Tox6", _xlfn.XLOOKUP(C965, dd_accsrycalc!$A$2:$A$51, dd_accsrycalc!$D$2:$D$51, "",0), F965="Cover Cap", _xlfn.XLOOKUP(C965, dd_accsrycalc!$A$2:$A$51, dd_accsrycalc!$E$2:$E$51, "",0), F965="Drainage Cover", _xlfn.XLOOKUP(C965, dd_accsrycalc!$A$2:$A$51, dd_accsrycalc!$F$2:$F$51, "",0),AND( F965="Double Adhesive Tape", I965="Roll-up Screen"), _xlfn.XLOOKUP(C965, calc_rusacc!$C$15:$C$65, calc_rusacc!$AD$15:$AD$65, "",0),AND( F965="Sealant", I965="Roll-up Screen"), _xlfn.XLOOKUP(C965, calc_rusacc!$C$15:$C$65, calc_rusacc!$AF$15:$AF$65, "",0),  AND( F965="Main Chain", I965="Accordion Screen"), _xlfn.XLOOKUP(C965, calc_rusacc!$C$15:$C$65, calc_rusacc!$BF$15:$BF$65, "",0), AND( F965="Sealant", I965="Accordion Screen"), _xlfn.XLOOKUP(C965, calc_rusacc!$C$15:$C$65, calc_rusacc!$BJ$15:$BJ$65, "",0),  F965="Sealant", _xlfn.XLOOKUP(C965, dd_accsrycalc!$A$2:$A$51, dd_accsrycalc!$G$2:$G$51, "",0),  F965&lt;&gt;"",L965*_xlfn.XLOOKUP(1, (SKUs!$C$2:$C$10001=G965)*(SKUs!$K$2:$K$10001=I965),SKUs!$E$2:$E$10001)), 0),"")</f>
        <v>0</v>
      </c>
      <c r="E965" s="48" t="str">
        <f>_xlfn.XLOOKUP(F965,dd_item!$B$2:$B$105,dd_item!$C$2:$C$105,"",0)</f>
        <v/>
      </c>
      <c r="F965" s="48" cm="1">
        <f t="array" ref="F965">IFERROR(_xlfn.UNIQUE(_xlfn._xlws.FILTER(SKUs!$J$2:$J$10001, (SKUs!$F$2:$F$10001&lt;&gt;"Cutting List") * (SKUs!$A$2:$A$10001=_xlfn.XLOOKUP(_xlfn.XLOOKUP(C965,'Project Details'!$C$17:$C$66,'Project Details'!$E$17:$E$66,"",0), dd_design_raw!$A$2:$A$101,dd_design_raw!$C$2:$C$101,"",0)))), "")</f>
        <v>0</v>
      </c>
      <c r="G965" s="16" cm="1">
        <f t="array" ref="G965">IFERROR(_xlfn.XLOOKUP(1, (SKUs!$J$2:$J$10001=accsry_unmerged!F965)*IF(H965&lt;&gt;"",(SKUs!$L$2:$L$10001=accsry_unmerged!H965),1)*(SKUs!$K$2:$K$10001=I965),SKUs!$C$2:$C$10001),"")</f>
        <v>0</v>
      </c>
      <c r="H965" s="16" cm="1">
        <f t="array" ref="H965">IFERROR(_xlfn.XLOOKUP(1, (dd_accsryclr!$C$2:$C$1000=accsry_unmerged!F965)*(dd_accsryclr!$B$2:$B$1000=accsry_unmerged!J965),dd_accsryclr!$A$2:$A$1000),"")</f>
        <v>0</v>
      </c>
      <c r="I965" s="16">
        <f>_xlfn.XLOOKUP(C965,'Project Details'!$C$17:$C$66,'Project Details'!$E$17:$E$66,"",0)</f>
        <v>0</v>
      </c>
      <c r="J965" s="16">
        <f>_xlfn.XLOOKUP(C965,'Project Details'!$C$17:$C$66,'Project Details'!$H$17:$H$66,"",0)</f>
        <v>0</v>
      </c>
      <c r="K965" s="16" t="str">
        <f>IF(AND(_xlfn.XLOOKUP(C965,'Project Details'!$C$17:$C$66,'Project Details'!$L$17:$L$66,"",0)&gt;550, F965="Spring-L27cm"),"",SUBSTITUTE(_xlfn.XLOOKUP(G965,SKUs!$C$2:$C$10001,SKUs!$F$2:$F$10001,"",0), " Accessories",""))</f>
        <v/>
      </c>
      <c r="L965" s="16">
        <f>_xlfn.XLOOKUP(C965,'Project Details'!$C$17:$C$66,'Project Details'!$D$17:$D$66,"",0)</f>
        <v>0</v>
      </c>
      <c r="M965" s="43"/>
    </row>
    <row r="966" spans="1:13" x14ac:dyDescent="0.25">
      <c r="A966" s="43"/>
      <c r="B966" s="43"/>
      <c r="C966" s="35">
        <f>C965</f>
        <v>20</v>
      </c>
      <c r="D966" s="35" t="str" cm="1">
        <f t="array" ref="D966">IFERROR(ROUNDUP(_xlfn.IFS(F966="Aluminum Track", _xlfn.XLOOKUP(C966, dd_accsrycalc!$A$2:$A$51, dd_accsrycalc!$B$2:$B$51, "",0), F966="10 x 2 1/2 S (Flat)", _xlfn.XLOOKUP(C966, dd_accsrycalc!$A$2:$A$51, dd_accsrycalc!$C$2:$C$51, "",0), F966="Tox6", _xlfn.XLOOKUP(C966, dd_accsrycalc!$A$2:$A$51, dd_accsrycalc!$D$2:$D$51, "",0), F966="Cover Cap", _xlfn.XLOOKUP(C966, dd_accsrycalc!$A$2:$A$51, dd_accsrycalc!$E$2:$E$51, "",0), F966="Drainage Cover", _xlfn.XLOOKUP(C966, dd_accsrycalc!$A$2:$A$51, dd_accsrycalc!$F$2:$F$51, "",0),AND( F966="Double Adhesive Tape", I966="Roll-up Screen"), _xlfn.XLOOKUP(C966, calc_rusacc!$C$15:$C$65, calc_rusacc!$AD$15:$AD$65, "",0),AND( F966="Sealant", I966="Roll-up Screen"), _xlfn.XLOOKUP(C966, calc_rusacc!$C$15:$C$65, calc_rusacc!$AF$15:$AF$65, "",0),  AND( F966="Main Chain", I966="Accordion Screen"), _xlfn.XLOOKUP(C966, calc_rusacc!$C$15:$C$65, calc_rusacc!$BF$15:$BF$65, "",0), AND( F966="Sealant", I966="Accordion Screen"), _xlfn.XLOOKUP(C966, calc_rusacc!$C$15:$C$65, calc_rusacc!$BJ$15:$BJ$65, "",0),  F966="Sealant", _xlfn.XLOOKUP(C966, dd_accsrycalc!$A$2:$A$51, dd_accsrycalc!$G$2:$G$51, "",0),  F966&lt;&gt;"",L966*_xlfn.XLOOKUP(1, (SKUs!$C$2:$C$10001=G966)*(SKUs!$K$2:$K$10001=I966),SKUs!$E$2:$E$10001)), 0),"")</f>
        <v/>
      </c>
      <c r="E966" s="35" t="str">
        <f>_xlfn.XLOOKUP(F966,dd_item!$B$2:$B$105,dd_item!$C$2:$C$105,"",0)</f>
        <v/>
      </c>
      <c r="F966" s="35"/>
      <c r="G966" s="35" cm="1">
        <f t="array" ref="G966">IFERROR(_xlfn.XLOOKUP(1, (SKUs!$J$2:$J$10001=accsry_unmerged!F966)*IF(H966&lt;&gt;"",(SKUs!$L$2:$L$10001=accsry_unmerged!H966),1)*(SKUs!$K$2:$K$10001=I966),SKUs!$C$2:$C$10001),"")</f>
        <v>0</v>
      </c>
      <c r="H966" s="36" cm="1">
        <f t="array" ref="H966">IFERROR(_xlfn.XLOOKUP(1, (dd_accsryclr!$C$2:$C$1000=accsry_unmerged!F966)*(dd_accsryclr!$B$2:$B$1000=accsry_unmerged!J966),dd_accsryclr!$A$2:$A$1000),"")</f>
        <v>0</v>
      </c>
      <c r="I966" s="35">
        <f>_xlfn.XLOOKUP(C966,'Project Details'!$C$17:$C$66,'Project Details'!$E$17:$E$66,"",0)</f>
        <v>0</v>
      </c>
      <c r="J966" s="35">
        <f>_xlfn.XLOOKUP(C966,'Project Details'!$C$17:$C$66,'Project Details'!$H$17:$H$66,"",0)</f>
        <v>0</v>
      </c>
      <c r="K966" s="36" t="str">
        <f>IF(AND(_xlfn.XLOOKUP(C966,'Project Details'!$C$17:$C$66,'Project Details'!$L$17:$L$66,"",0)&gt;550, F966="Spring-L27cm"),"",SUBSTITUTE(_xlfn.XLOOKUP(G966,SKUs!$C$2:$C$10001,SKUs!$F$2:$F$10001,"",0), " Accessories",""))</f>
        <v/>
      </c>
      <c r="L966" s="36">
        <f>_xlfn.XLOOKUP(C966,'Project Details'!$C$17:$C$66,'Project Details'!$D$17:$D$66,"",0)</f>
        <v>0</v>
      </c>
      <c r="M966" s="43"/>
    </row>
    <row r="967" spans="1:13" x14ac:dyDescent="0.25">
      <c r="A967" s="43"/>
      <c r="B967" s="43"/>
      <c r="C967" s="16">
        <f t="shared" ref="C967:C1013" si="18">C966</f>
        <v>20</v>
      </c>
      <c r="D967" s="16" t="str" cm="1">
        <f t="array" ref="D967">IFERROR(ROUNDUP(_xlfn.IFS(F967="Aluminum Track", _xlfn.XLOOKUP(C967, dd_accsrycalc!$A$2:$A$51, dd_accsrycalc!$B$2:$B$51, "",0), F967="10 x 2 1/2 S (Flat)", _xlfn.XLOOKUP(C967, dd_accsrycalc!$A$2:$A$51, dd_accsrycalc!$C$2:$C$51, "",0), F967="Tox6", _xlfn.XLOOKUP(C967, dd_accsrycalc!$A$2:$A$51, dd_accsrycalc!$D$2:$D$51, "",0), F967="Cover Cap", _xlfn.XLOOKUP(C967, dd_accsrycalc!$A$2:$A$51, dd_accsrycalc!$E$2:$E$51, "",0), F967="Drainage Cover", _xlfn.XLOOKUP(C967, dd_accsrycalc!$A$2:$A$51, dd_accsrycalc!$F$2:$F$51, "",0),AND( F967="Double Adhesive Tape", I967="Roll-up Screen"), _xlfn.XLOOKUP(C967, calc_rusacc!$C$15:$C$65, calc_rusacc!$AD$15:$AD$65, "",0),AND( F967="Sealant", I967="Roll-up Screen"), _xlfn.XLOOKUP(C967, calc_rusacc!$C$15:$C$65, calc_rusacc!$AF$15:$AF$65, "",0),  AND( F967="Main Chain", I967="Accordion Screen"), _xlfn.XLOOKUP(C967, calc_rusacc!$C$15:$C$65, calc_rusacc!$BF$15:$BF$65, "",0), AND( F967="Sealant", I967="Accordion Screen"), _xlfn.XLOOKUP(C967, calc_rusacc!$C$15:$C$65, calc_rusacc!$BJ$15:$BJ$65, "",0),  F967="Sealant", _xlfn.XLOOKUP(C967, dd_accsrycalc!$A$2:$A$51, dd_accsrycalc!$G$2:$G$51, "",0),  F967&lt;&gt;"",L967*_xlfn.XLOOKUP(1, (SKUs!$C$2:$C$10001=G967)*(SKUs!$K$2:$K$10001=I967),SKUs!$E$2:$E$10001)), 0),"")</f>
        <v/>
      </c>
      <c r="E967" s="16" t="str">
        <f>_xlfn.XLOOKUP(F967,dd_item!$B$2:$B$105,dd_item!$C$2:$C$105,"",0)</f>
        <v/>
      </c>
      <c r="F967" s="16"/>
      <c r="G967" s="16" cm="1">
        <f t="array" ref="G967">IFERROR(_xlfn.XLOOKUP(1, (SKUs!$J$2:$J$10001=accsry_unmerged!F967)*IF(H967&lt;&gt;"",(SKUs!$L$2:$L$10001=accsry_unmerged!H967),1)*(SKUs!$K$2:$K$10001=I967),SKUs!$C$2:$C$10001),"")</f>
        <v>0</v>
      </c>
      <c r="H967" s="33" cm="1">
        <f t="array" ref="H967">IFERROR(_xlfn.XLOOKUP(1, (dd_accsryclr!$C$2:$C$1000=accsry_unmerged!F967)*(dd_accsryclr!$B$2:$B$1000=accsry_unmerged!J967),dd_accsryclr!$A$2:$A$1000),"")</f>
        <v>0</v>
      </c>
      <c r="I967" s="16">
        <f>_xlfn.XLOOKUP(C967,'Project Details'!$C$17:$C$66,'Project Details'!$E$17:$E$66,"",0)</f>
        <v>0</v>
      </c>
      <c r="J967" s="16">
        <f>_xlfn.XLOOKUP(C967,'Project Details'!$C$17:$C$66,'Project Details'!$H$17:$H$66,"",0)</f>
        <v>0</v>
      </c>
      <c r="K967" s="33" t="str">
        <f>IF(AND(_xlfn.XLOOKUP(C967,'Project Details'!$C$17:$C$66,'Project Details'!$L$17:$L$66,"",0)&gt;550, F967="Spring-L27cm"),"",SUBSTITUTE(_xlfn.XLOOKUP(G967,SKUs!$C$2:$C$10001,SKUs!$F$2:$F$10001,"",0), " Accessories",""))</f>
        <v/>
      </c>
      <c r="L967" s="33">
        <f>_xlfn.XLOOKUP(C967,'Project Details'!$C$17:$C$66,'Project Details'!$D$17:$D$66,"",0)</f>
        <v>0</v>
      </c>
      <c r="M967" s="43"/>
    </row>
    <row r="968" spans="1:13" x14ac:dyDescent="0.25">
      <c r="A968" s="43"/>
      <c r="B968" s="43"/>
      <c r="C968" s="35">
        <f t="shared" si="18"/>
        <v>20</v>
      </c>
      <c r="D968" s="35" t="str" cm="1">
        <f t="array" ref="D968">IFERROR(ROUNDUP(_xlfn.IFS(F968="Aluminum Track", _xlfn.XLOOKUP(C968, dd_accsrycalc!$A$2:$A$51, dd_accsrycalc!$B$2:$B$51, "",0), F968="10 x 2 1/2 S (Flat)", _xlfn.XLOOKUP(C968, dd_accsrycalc!$A$2:$A$51, dd_accsrycalc!$C$2:$C$51, "",0), F968="Tox6", _xlfn.XLOOKUP(C968, dd_accsrycalc!$A$2:$A$51, dd_accsrycalc!$D$2:$D$51, "",0), F968="Cover Cap", _xlfn.XLOOKUP(C968, dd_accsrycalc!$A$2:$A$51, dd_accsrycalc!$E$2:$E$51, "",0), F968="Drainage Cover", _xlfn.XLOOKUP(C968, dd_accsrycalc!$A$2:$A$51, dd_accsrycalc!$F$2:$F$51, "",0),AND( F968="Double Adhesive Tape", I968="Roll-up Screen"), _xlfn.XLOOKUP(C968, calc_rusacc!$C$15:$C$65, calc_rusacc!$AD$15:$AD$65, "",0),AND( F968="Sealant", I968="Roll-up Screen"), _xlfn.XLOOKUP(C968, calc_rusacc!$C$15:$C$65, calc_rusacc!$AF$15:$AF$65, "",0),  AND( F968="Main Chain", I968="Accordion Screen"), _xlfn.XLOOKUP(C968, calc_rusacc!$C$15:$C$65, calc_rusacc!$BF$15:$BF$65, "",0), AND( F968="Sealant", I968="Accordion Screen"), _xlfn.XLOOKUP(C968, calc_rusacc!$C$15:$C$65, calc_rusacc!$BJ$15:$BJ$65, "",0),  F968="Sealant", _xlfn.XLOOKUP(C968, dd_accsrycalc!$A$2:$A$51, dd_accsrycalc!$G$2:$G$51, "",0),  F968&lt;&gt;"",L968*_xlfn.XLOOKUP(1, (SKUs!$C$2:$C$10001=G968)*(SKUs!$K$2:$K$10001=I968),SKUs!$E$2:$E$10001)), 0),"")</f>
        <v/>
      </c>
      <c r="E968" s="35" t="str">
        <f>_xlfn.XLOOKUP(F968,dd_item!$B$2:$B$105,dd_item!$C$2:$C$105,"",0)</f>
        <v/>
      </c>
      <c r="F968" s="35"/>
      <c r="G968" s="35" cm="1">
        <f t="array" ref="G968">IFERROR(_xlfn.XLOOKUP(1, (SKUs!$J$2:$J$10001=accsry_unmerged!F968)*IF(H968&lt;&gt;"",(SKUs!$L$2:$L$10001=accsry_unmerged!H968),1)*(SKUs!$K$2:$K$10001=I968),SKUs!$C$2:$C$10001),"")</f>
        <v>0</v>
      </c>
      <c r="H968" s="36" cm="1">
        <f t="array" ref="H968">IFERROR(_xlfn.XLOOKUP(1, (dd_accsryclr!$C$2:$C$1000=accsry_unmerged!F968)*(dd_accsryclr!$B$2:$B$1000=accsry_unmerged!J968),dd_accsryclr!$A$2:$A$1000),"")</f>
        <v>0</v>
      </c>
      <c r="I968" s="35">
        <f>_xlfn.XLOOKUP(C968,'Project Details'!$C$17:$C$66,'Project Details'!$E$17:$E$66,"",0)</f>
        <v>0</v>
      </c>
      <c r="J968" s="35">
        <f>_xlfn.XLOOKUP(C968,'Project Details'!$C$17:$C$66,'Project Details'!$H$17:$H$66,"",0)</f>
        <v>0</v>
      </c>
      <c r="K968" s="36" t="str">
        <f>IF(AND(_xlfn.XLOOKUP(C968,'Project Details'!$C$17:$C$66,'Project Details'!$L$17:$L$66,"",0)&gt;550, F968="Spring-L27cm"),"",SUBSTITUTE(_xlfn.XLOOKUP(G968,SKUs!$C$2:$C$10001,SKUs!$F$2:$F$10001,"",0), " Accessories",""))</f>
        <v/>
      </c>
      <c r="L968" s="36">
        <f>_xlfn.XLOOKUP(C968,'Project Details'!$C$17:$C$66,'Project Details'!$D$17:$D$66,"",0)</f>
        <v>0</v>
      </c>
      <c r="M968" s="43"/>
    </row>
    <row r="969" spans="1:13" x14ac:dyDescent="0.25">
      <c r="A969" s="43"/>
      <c r="B969" s="43"/>
      <c r="C969" s="16">
        <f t="shared" si="18"/>
        <v>20</v>
      </c>
      <c r="D969" s="16" t="str" cm="1">
        <f t="array" ref="D969">IFERROR(ROUNDUP(_xlfn.IFS(F969="Aluminum Track", _xlfn.XLOOKUP(C969, dd_accsrycalc!$A$2:$A$51, dd_accsrycalc!$B$2:$B$51, "",0), F969="10 x 2 1/2 S (Flat)", _xlfn.XLOOKUP(C969, dd_accsrycalc!$A$2:$A$51, dd_accsrycalc!$C$2:$C$51, "",0), F969="Tox6", _xlfn.XLOOKUP(C969, dd_accsrycalc!$A$2:$A$51, dd_accsrycalc!$D$2:$D$51, "",0), F969="Cover Cap", _xlfn.XLOOKUP(C969, dd_accsrycalc!$A$2:$A$51, dd_accsrycalc!$E$2:$E$51, "",0), F969="Drainage Cover", _xlfn.XLOOKUP(C969, dd_accsrycalc!$A$2:$A$51, dd_accsrycalc!$F$2:$F$51, "",0),AND( F969="Double Adhesive Tape", I969="Roll-up Screen"), _xlfn.XLOOKUP(C969, calc_rusacc!$C$15:$C$65, calc_rusacc!$AD$15:$AD$65, "",0),AND( F969="Sealant", I969="Roll-up Screen"), _xlfn.XLOOKUP(C969, calc_rusacc!$C$15:$C$65, calc_rusacc!$AF$15:$AF$65, "",0),  AND( F969="Main Chain", I969="Accordion Screen"), _xlfn.XLOOKUP(C969, calc_rusacc!$C$15:$C$65, calc_rusacc!$BF$15:$BF$65, "",0), AND( F969="Sealant", I969="Accordion Screen"), _xlfn.XLOOKUP(C969, calc_rusacc!$C$15:$C$65, calc_rusacc!$BJ$15:$BJ$65, "",0),  F969="Sealant", _xlfn.XLOOKUP(C969, dd_accsrycalc!$A$2:$A$51, dd_accsrycalc!$G$2:$G$51, "",0),  F969&lt;&gt;"",L969*_xlfn.XLOOKUP(1, (SKUs!$C$2:$C$10001=G969)*(SKUs!$K$2:$K$10001=I969),SKUs!$E$2:$E$10001)), 0),"")</f>
        <v/>
      </c>
      <c r="E969" s="16" t="str">
        <f>_xlfn.XLOOKUP(F969,dd_item!$B$2:$B$105,dd_item!$C$2:$C$105,"",0)</f>
        <v/>
      </c>
      <c r="F969" s="16"/>
      <c r="G969" s="16" cm="1">
        <f t="array" ref="G969">IFERROR(_xlfn.XLOOKUP(1, (SKUs!$J$2:$J$10001=accsry_unmerged!F969)*IF(H969&lt;&gt;"",(SKUs!$L$2:$L$10001=accsry_unmerged!H969),1)*(SKUs!$K$2:$K$10001=I969),SKUs!$C$2:$C$10001),"")</f>
        <v>0</v>
      </c>
      <c r="H969" s="33" cm="1">
        <f t="array" ref="H969">IFERROR(_xlfn.XLOOKUP(1, (dd_accsryclr!$C$2:$C$1000=accsry_unmerged!F969)*(dd_accsryclr!$B$2:$B$1000=accsry_unmerged!J969),dd_accsryclr!$A$2:$A$1000),"")</f>
        <v>0</v>
      </c>
      <c r="I969" s="16">
        <f>_xlfn.XLOOKUP(C969,'Project Details'!$C$17:$C$66,'Project Details'!$E$17:$E$66,"",0)</f>
        <v>0</v>
      </c>
      <c r="J969" s="16">
        <f>_xlfn.XLOOKUP(C969,'Project Details'!$C$17:$C$66,'Project Details'!$H$17:$H$66,"",0)</f>
        <v>0</v>
      </c>
      <c r="K969" s="33" t="str">
        <f>IF(AND(_xlfn.XLOOKUP(C969,'Project Details'!$C$17:$C$66,'Project Details'!$L$17:$L$66,"",0)&gt;550, F969="Spring-L27cm"),"",SUBSTITUTE(_xlfn.XLOOKUP(G969,SKUs!$C$2:$C$10001,SKUs!$F$2:$F$10001,"",0), " Accessories",""))</f>
        <v/>
      </c>
      <c r="L969" s="33">
        <f>_xlfn.XLOOKUP(C969,'Project Details'!$C$17:$C$66,'Project Details'!$D$17:$D$66,"",0)</f>
        <v>0</v>
      </c>
      <c r="M969" s="43"/>
    </row>
    <row r="970" spans="1:13" x14ac:dyDescent="0.25">
      <c r="A970" s="43"/>
      <c r="B970" s="43"/>
      <c r="C970" s="35">
        <f t="shared" si="18"/>
        <v>20</v>
      </c>
      <c r="D970" s="35" t="str" cm="1">
        <f t="array" ref="D970">IFERROR(ROUNDUP(_xlfn.IFS(F970="Aluminum Track", _xlfn.XLOOKUP(C970, dd_accsrycalc!$A$2:$A$51, dd_accsrycalc!$B$2:$B$51, "",0), F970="10 x 2 1/2 S (Flat)", _xlfn.XLOOKUP(C970, dd_accsrycalc!$A$2:$A$51, dd_accsrycalc!$C$2:$C$51, "",0), F970="Tox6", _xlfn.XLOOKUP(C970, dd_accsrycalc!$A$2:$A$51, dd_accsrycalc!$D$2:$D$51, "",0), F970="Cover Cap", _xlfn.XLOOKUP(C970, dd_accsrycalc!$A$2:$A$51, dd_accsrycalc!$E$2:$E$51, "",0), F970="Drainage Cover", _xlfn.XLOOKUP(C970, dd_accsrycalc!$A$2:$A$51, dd_accsrycalc!$F$2:$F$51, "",0),AND( F970="Double Adhesive Tape", I970="Roll-up Screen"), _xlfn.XLOOKUP(C970, calc_rusacc!$C$15:$C$65, calc_rusacc!$AD$15:$AD$65, "",0),AND( F970="Sealant", I970="Roll-up Screen"), _xlfn.XLOOKUP(C970, calc_rusacc!$C$15:$C$65, calc_rusacc!$AF$15:$AF$65, "",0),  AND( F970="Main Chain", I970="Accordion Screen"), _xlfn.XLOOKUP(C970, calc_rusacc!$C$15:$C$65, calc_rusacc!$BF$15:$BF$65, "",0), AND( F970="Sealant", I970="Accordion Screen"), _xlfn.XLOOKUP(C970, calc_rusacc!$C$15:$C$65, calc_rusacc!$BJ$15:$BJ$65, "",0),  F970="Sealant", _xlfn.XLOOKUP(C970, dd_accsrycalc!$A$2:$A$51, dd_accsrycalc!$G$2:$G$51, "",0),  F970&lt;&gt;"",L970*_xlfn.XLOOKUP(1, (SKUs!$C$2:$C$10001=G970)*(SKUs!$K$2:$K$10001=I970),SKUs!$E$2:$E$10001)), 0),"")</f>
        <v/>
      </c>
      <c r="E970" s="35" t="str">
        <f>_xlfn.XLOOKUP(F970,dd_item!$B$2:$B$105,dd_item!$C$2:$C$105,"",0)</f>
        <v/>
      </c>
      <c r="F970" s="35"/>
      <c r="G970" s="35" cm="1">
        <f t="array" ref="G970">IFERROR(_xlfn.XLOOKUP(1, (SKUs!$J$2:$J$10001=accsry_unmerged!F970)*IF(H970&lt;&gt;"",(SKUs!$L$2:$L$10001=accsry_unmerged!H970),1)*(SKUs!$K$2:$K$10001=I970),SKUs!$C$2:$C$10001),"")</f>
        <v>0</v>
      </c>
      <c r="H970" s="36" cm="1">
        <f t="array" ref="H970">IFERROR(_xlfn.XLOOKUP(1, (dd_accsryclr!$C$2:$C$1000=accsry_unmerged!F970)*(dd_accsryclr!$B$2:$B$1000=accsry_unmerged!J970),dd_accsryclr!$A$2:$A$1000),"")</f>
        <v>0</v>
      </c>
      <c r="I970" s="35">
        <f>_xlfn.XLOOKUP(C970,'Project Details'!$C$17:$C$66,'Project Details'!$E$17:$E$66,"",0)</f>
        <v>0</v>
      </c>
      <c r="J970" s="35">
        <f>_xlfn.XLOOKUP(C970,'Project Details'!$C$17:$C$66,'Project Details'!$H$17:$H$66,"",0)</f>
        <v>0</v>
      </c>
      <c r="K970" s="36" t="str">
        <f>IF(AND(_xlfn.XLOOKUP(C970,'Project Details'!$C$17:$C$66,'Project Details'!$L$17:$L$66,"",0)&gt;550, F970="Spring-L27cm"),"",SUBSTITUTE(_xlfn.XLOOKUP(G970,SKUs!$C$2:$C$10001,SKUs!$F$2:$F$10001,"",0), " Accessories",""))</f>
        <v/>
      </c>
      <c r="L970" s="36">
        <f>_xlfn.XLOOKUP(C970,'Project Details'!$C$17:$C$66,'Project Details'!$D$17:$D$66,"",0)</f>
        <v>0</v>
      </c>
      <c r="M970" s="43"/>
    </row>
    <row r="971" spans="1:13" x14ac:dyDescent="0.25">
      <c r="A971" s="43"/>
      <c r="B971" s="43"/>
      <c r="C971" s="16">
        <f t="shared" si="18"/>
        <v>20</v>
      </c>
      <c r="D971" s="16" t="str" cm="1">
        <f t="array" ref="D971">IFERROR(ROUNDUP(_xlfn.IFS(F971="Aluminum Track", _xlfn.XLOOKUP(C971, dd_accsrycalc!$A$2:$A$51, dd_accsrycalc!$B$2:$B$51, "",0), F971="10 x 2 1/2 S (Flat)", _xlfn.XLOOKUP(C971, dd_accsrycalc!$A$2:$A$51, dd_accsrycalc!$C$2:$C$51, "",0), F971="Tox6", _xlfn.XLOOKUP(C971, dd_accsrycalc!$A$2:$A$51, dd_accsrycalc!$D$2:$D$51, "",0), F971="Cover Cap", _xlfn.XLOOKUP(C971, dd_accsrycalc!$A$2:$A$51, dd_accsrycalc!$E$2:$E$51, "",0), F971="Drainage Cover", _xlfn.XLOOKUP(C971, dd_accsrycalc!$A$2:$A$51, dd_accsrycalc!$F$2:$F$51, "",0),AND( F971="Double Adhesive Tape", I971="Roll-up Screen"), _xlfn.XLOOKUP(C971, calc_rusacc!$C$15:$C$65, calc_rusacc!$AD$15:$AD$65, "",0),AND( F971="Sealant", I971="Roll-up Screen"), _xlfn.XLOOKUP(C971, calc_rusacc!$C$15:$C$65, calc_rusacc!$AF$15:$AF$65, "",0),  AND( F971="Main Chain", I971="Accordion Screen"), _xlfn.XLOOKUP(C971, calc_rusacc!$C$15:$C$65, calc_rusacc!$BF$15:$BF$65, "",0), AND( F971="Sealant", I971="Accordion Screen"), _xlfn.XLOOKUP(C971, calc_rusacc!$C$15:$C$65, calc_rusacc!$BJ$15:$BJ$65, "",0),  F971="Sealant", _xlfn.XLOOKUP(C971, dd_accsrycalc!$A$2:$A$51, dd_accsrycalc!$G$2:$G$51, "",0),  F971&lt;&gt;"",L971*_xlfn.XLOOKUP(1, (SKUs!$C$2:$C$10001=G971)*(SKUs!$K$2:$K$10001=I971),SKUs!$E$2:$E$10001)), 0),"")</f>
        <v/>
      </c>
      <c r="E971" s="16" t="str">
        <f>_xlfn.XLOOKUP(F971,dd_item!$B$2:$B$105,dd_item!$C$2:$C$105,"",0)</f>
        <v/>
      </c>
      <c r="F971" s="16"/>
      <c r="G971" s="16" cm="1">
        <f t="array" ref="G971">IFERROR(_xlfn.XLOOKUP(1, (SKUs!$J$2:$J$10001=accsry_unmerged!F971)*IF(H971&lt;&gt;"",(SKUs!$L$2:$L$10001=accsry_unmerged!H971),1)*(SKUs!$K$2:$K$10001=I971),SKUs!$C$2:$C$10001),"")</f>
        <v>0</v>
      </c>
      <c r="H971" s="33" cm="1">
        <f t="array" ref="H971">IFERROR(_xlfn.XLOOKUP(1, (dd_accsryclr!$C$2:$C$1000=accsry_unmerged!F971)*(dd_accsryclr!$B$2:$B$1000=accsry_unmerged!J971),dd_accsryclr!$A$2:$A$1000),"")</f>
        <v>0</v>
      </c>
      <c r="I971" s="16">
        <f>_xlfn.XLOOKUP(C971,'Project Details'!$C$17:$C$66,'Project Details'!$E$17:$E$66,"",0)</f>
        <v>0</v>
      </c>
      <c r="J971" s="16">
        <f>_xlfn.XLOOKUP(C971,'Project Details'!$C$17:$C$66,'Project Details'!$H$17:$H$66,"",0)</f>
        <v>0</v>
      </c>
      <c r="K971" s="33" t="str">
        <f>IF(AND(_xlfn.XLOOKUP(C971,'Project Details'!$C$17:$C$66,'Project Details'!$L$17:$L$66,"",0)&gt;550, F971="Spring-L27cm"),"",SUBSTITUTE(_xlfn.XLOOKUP(G971,SKUs!$C$2:$C$10001,SKUs!$F$2:$F$10001,"",0), " Accessories",""))</f>
        <v/>
      </c>
      <c r="L971" s="33">
        <f>_xlfn.XLOOKUP(C971,'Project Details'!$C$17:$C$66,'Project Details'!$D$17:$D$66,"",0)</f>
        <v>0</v>
      </c>
      <c r="M971" s="43"/>
    </row>
    <row r="972" spans="1:13" x14ac:dyDescent="0.25">
      <c r="A972" s="43"/>
      <c r="B972" s="43"/>
      <c r="C972" s="35">
        <f t="shared" si="18"/>
        <v>20</v>
      </c>
      <c r="D972" s="35" t="str" cm="1">
        <f t="array" ref="D972">IFERROR(ROUNDUP(_xlfn.IFS(F972="Aluminum Track", _xlfn.XLOOKUP(C972, dd_accsrycalc!$A$2:$A$51, dd_accsrycalc!$B$2:$B$51, "",0), F972="10 x 2 1/2 S (Flat)", _xlfn.XLOOKUP(C972, dd_accsrycalc!$A$2:$A$51, dd_accsrycalc!$C$2:$C$51, "",0), F972="Tox6", _xlfn.XLOOKUP(C972, dd_accsrycalc!$A$2:$A$51, dd_accsrycalc!$D$2:$D$51, "",0), F972="Cover Cap", _xlfn.XLOOKUP(C972, dd_accsrycalc!$A$2:$A$51, dd_accsrycalc!$E$2:$E$51, "",0), F972="Drainage Cover", _xlfn.XLOOKUP(C972, dd_accsrycalc!$A$2:$A$51, dd_accsrycalc!$F$2:$F$51, "",0),AND( F972="Double Adhesive Tape", I972="Roll-up Screen"), _xlfn.XLOOKUP(C972, calc_rusacc!$C$15:$C$65, calc_rusacc!$AD$15:$AD$65, "",0),AND( F972="Sealant", I972="Roll-up Screen"), _xlfn.XLOOKUP(C972, calc_rusacc!$C$15:$C$65, calc_rusacc!$AF$15:$AF$65, "",0),  AND( F972="Main Chain", I972="Accordion Screen"), _xlfn.XLOOKUP(C972, calc_rusacc!$C$15:$C$65, calc_rusacc!$BF$15:$BF$65, "",0), AND( F972="Sealant", I972="Accordion Screen"), _xlfn.XLOOKUP(C972, calc_rusacc!$C$15:$C$65, calc_rusacc!$BJ$15:$BJ$65, "",0),  F972="Sealant", _xlfn.XLOOKUP(C972, dd_accsrycalc!$A$2:$A$51, dd_accsrycalc!$G$2:$G$51, "",0),  F972&lt;&gt;"",L972*_xlfn.XLOOKUP(1, (SKUs!$C$2:$C$10001=G972)*(SKUs!$K$2:$K$10001=I972),SKUs!$E$2:$E$10001)), 0),"")</f>
        <v/>
      </c>
      <c r="E972" s="35" t="str">
        <f>_xlfn.XLOOKUP(F972,dd_item!$B$2:$B$105,dd_item!$C$2:$C$105,"",0)</f>
        <v/>
      </c>
      <c r="F972" s="35"/>
      <c r="G972" s="35" cm="1">
        <f t="array" ref="G972">IFERROR(_xlfn.XLOOKUP(1, (SKUs!$J$2:$J$10001=accsry_unmerged!F972)*IF(H972&lt;&gt;"",(SKUs!$L$2:$L$10001=accsry_unmerged!H972),1)*(SKUs!$K$2:$K$10001=I972),SKUs!$C$2:$C$10001),"")</f>
        <v>0</v>
      </c>
      <c r="H972" s="36" cm="1">
        <f t="array" ref="H972">IFERROR(_xlfn.XLOOKUP(1, (dd_accsryclr!$C$2:$C$1000=accsry_unmerged!F972)*(dd_accsryclr!$B$2:$B$1000=accsry_unmerged!J972),dd_accsryclr!$A$2:$A$1000),"")</f>
        <v>0</v>
      </c>
      <c r="I972" s="35">
        <f>_xlfn.XLOOKUP(C972,'Project Details'!$C$17:$C$66,'Project Details'!$E$17:$E$66,"",0)</f>
        <v>0</v>
      </c>
      <c r="J972" s="35">
        <f>_xlfn.XLOOKUP(C972,'Project Details'!$C$17:$C$66,'Project Details'!$H$17:$H$66,"",0)</f>
        <v>0</v>
      </c>
      <c r="K972" s="36" t="str">
        <f>IF(AND(_xlfn.XLOOKUP(C972,'Project Details'!$C$17:$C$66,'Project Details'!$L$17:$L$66,"",0)&gt;550, F972="Spring-L27cm"),"",SUBSTITUTE(_xlfn.XLOOKUP(G972,SKUs!$C$2:$C$10001,SKUs!$F$2:$F$10001,"",0), " Accessories",""))</f>
        <v/>
      </c>
      <c r="L972" s="36">
        <f>_xlfn.XLOOKUP(C972,'Project Details'!$C$17:$C$66,'Project Details'!$D$17:$D$66,"",0)</f>
        <v>0</v>
      </c>
      <c r="M972" s="43"/>
    </row>
    <row r="973" spans="1:13" x14ac:dyDescent="0.25">
      <c r="A973" s="43"/>
      <c r="B973" s="43"/>
      <c r="C973" s="16">
        <f t="shared" si="18"/>
        <v>20</v>
      </c>
      <c r="D973" s="16" t="str" cm="1">
        <f t="array" ref="D973">IFERROR(ROUNDUP(_xlfn.IFS(F973="Aluminum Track", _xlfn.XLOOKUP(C973, dd_accsrycalc!$A$2:$A$51, dd_accsrycalc!$B$2:$B$51, "",0), F973="10 x 2 1/2 S (Flat)", _xlfn.XLOOKUP(C973, dd_accsrycalc!$A$2:$A$51, dd_accsrycalc!$C$2:$C$51, "",0), F973="Tox6", _xlfn.XLOOKUP(C973, dd_accsrycalc!$A$2:$A$51, dd_accsrycalc!$D$2:$D$51, "",0), F973="Cover Cap", _xlfn.XLOOKUP(C973, dd_accsrycalc!$A$2:$A$51, dd_accsrycalc!$E$2:$E$51, "",0), F973="Drainage Cover", _xlfn.XLOOKUP(C973, dd_accsrycalc!$A$2:$A$51, dd_accsrycalc!$F$2:$F$51, "",0),AND( F973="Double Adhesive Tape", I973="Roll-up Screen"), _xlfn.XLOOKUP(C973, calc_rusacc!$C$15:$C$65, calc_rusacc!$AD$15:$AD$65, "",0),AND( F973="Sealant", I973="Roll-up Screen"), _xlfn.XLOOKUP(C973, calc_rusacc!$C$15:$C$65, calc_rusacc!$AF$15:$AF$65, "",0),  AND( F973="Main Chain", I973="Accordion Screen"), _xlfn.XLOOKUP(C973, calc_rusacc!$C$15:$C$65, calc_rusacc!$BF$15:$BF$65, "",0), AND( F973="Sealant", I973="Accordion Screen"), _xlfn.XLOOKUP(C973, calc_rusacc!$C$15:$C$65, calc_rusacc!$BJ$15:$BJ$65, "",0),  F973="Sealant", _xlfn.XLOOKUP(C973, dd_accsrycalc!$A$2:$A$51, dd_accsrycalc!$G$2:$G$51, "",0),  F973&lt;&gt;"",L973*_xlfn.XLOOKUP(1, (SKUs!$C$2:$C$10001=G973)*(SKUs!$K$2:$K$10001=I973),SKUs!$E$2:$E$10001)), 0),"")</f>
        <v/>
      </c>
      <c r="E973" s="16" t="str">
        <f>_xlfn.XLOOKUP(F973,dd_item!$B$2:$B$105,dd_item!$C$2:$C$105,"",0)</f>
        <v/>
      </c>
      <c r="F973" s="16"/>
      <c r="G973" s="16" cm="1">
        <f t="array" ref="G973">IFERROR(_xlfn.XLOOKUP(1, (SKUs!$J$2:$J$10001=accsry_unmerged!F973)*IF(H973&lt;&gt;"",(SKUs!$L$2:$L$10001=accsry_unmerged!H973),1)*(SKUs!$K$2:$K$10001=I973),SKUs!$C$2:$C$10001),"")</f>
        <v>0</v>
      </c>
      <c r="H973" s="33" cm="1">
        <f t="array" ref="H973">IFERROR(_xlfn.XLOOKUP(1, (dd_accsryclr!$C$2:$C$1000=accsry_unmerged!F973)*(dd_accsryclr!$B$2:$B$1000=accsry_unmerged!J973),dd_accsryclr!$A$2:$A$1000),"")</f>
        <v>0</v>
      </c>
      <c r="I973" s="16">
        <f>_xlfn.XLOOKUP(C973,'Project Details'!$C$17:$C$66,'Project Details'!$E$17:$E$66,"",0)</f>
        <v>0</v>
      </c>
      <c r="J973" s="16">
        <f>_xlfn.XLOOKUP(C973,'Project Details'!$C$17:$C$66,'Project Details'!$H$17:$H$66,"",0)</f>
        <v>0</v>
      </c>
      <c r="K973" s="33" t="str">
        <f>IF(AND(_xlfn.XLOOKUP(C973,'Project Details'!$C$17:$C$66,'Project Details'!$L$17:$L$66,"",0)&gt;550, F973="Spring-L27cm"),"",SUBSTITUTE(_xlfn.XLOOKUP(G973,SKUs!$C$2:$C$10001,SKUs!$F$2:$F$10001,"",0), " Accessories",""))</f>
        <v/>
      </c>
      <c r="L973" s="33">
        <f>_xlfn.XLOOKUP(C973,'Project Details'!$C$17:$C$66,'Project Details'!$D$17:$D$66,"",0)</f>
        <v>0</v>
      </c>
      <c r="M973" s="43"/>
    </row>
    <row r="974" spans="1:13" x14ac:dyDescent="0.25">
      <c r="A974" s="43"/>
      <c r="B974" s="43"/>
      <c r="C974" s="35">
        <f t="shared" si="18"/>
        <v>20</v>
      </c>
      <c r="D974" s="35" t="str" cm="1">
        <f t="array" ref="D974">IFERROR(ROUNDUP(_xlfn.IFS(F974="Aluminum Track", _xlfn.XLOOKUP(C974, dd_accsrycalc!$A$2:$A$51, dd_accsrycalc!$B$2:$B$51, "",0), F974="10 x 2 1/2 S (Flat)", _xlfn.XLOOKUP(C974, dd_accsrycalc!$A$2:$A$51, dd_accsrycalc!$C$2:$C$51, "",0), F974="Tox6", _xlfn.XLOOKUP(C974, dd_accsrycalc!$A$2:$A$51, dd_accsrycalc!$D$2:$D$51, "",0), F974="Cover Cap", _xlfn.XLOOKUP(C974, dd_accsrycalc!$A$2:$A$51, dd_accsrycalc!$E$2:$E$51, "",0), F974="Drainage Cover", _xlfn.XLOOKUP(C974, dd_accsrycalc!$A$2:$A$51, dd_accsrycalc!$F$2:$F$51, "",0),AND( F974="Double Adhesive Tape", I974="Roll-up Screen"), _xlfn.XLOOKUP(C974, calc_rusacc!$C$15:$C$65, calc_rusacc!$AD$15:$AD$65, "",0),AND( F974="Sealant", I974="Roll-up Screen"), _xlfn.XLOOKUP(C974, calc_rusacc!$C$15:$C$65, calc_rusacc!$AF$15:$AF$65, "",0),  AND( F974="Main Chain", I974="Accordion Screen"), _xlfn.XLOOKUP(C974, calc_rusacc!$C$15:$C$65, calc_rusacc!$BF$15:$BF$65, "",0), AND( F974="Sealant", I974="Accordion Screen"), _xlfn.XLOOKUP(C974, calc_rusacc!$C$15:$C$65, calc_rusacc!$BJ$15:$BJ$65, "",0),  F974="Sealant", _xlfn.XLOOKUP(C974, dd_accsrycalc!$A$2:$A$51, dd_accsrycalc!$G$2:$G$51, "",0),  F974&lt;&gt;"",L974*_xlfn.XLOOKUP(1, (SKUs!$C$2:$C$10001=G974)*(SKUs!$K$2:$K$10001=I974),SKUs!$E$2:$E$10001)), 0),"")</f>
        <v/>
      </c>
      <c r="E974" s="35" t="str">
        <f>_xlfn.XLOOKUP(F974,dd_item!$B$2:$B$105,dd_item!$C$2:$C$105,"",0)</f>
        <v/>
      </c>
      <c r="F974" s="35"/>
      <c r="G974" s="35" cm="1">
        <f t="array" ref="G974">IFERROR(_xlfn.XLOOKUP(1, (SKUs!$J$2:$J$10001=accsry_unmerged!F974)*IF(H974&lt;&gt;"",(SKUs!$L$2:$L$10001=accsry_unmerged!H974),1)*(SKUs!$K$2:$K$10001=I974),SKUs!$C$2:$C$10001),"")</f>
        <v>0</v>
      </c>
      <c r="H974" s="36" cm="1">
        <f t="array" ref="H974">IFERROR(_xlfn.XLOOKUP(1, (dd_accsryclr!$C$2:$C$1000=accsry_unmerged!F974)*(dd_accsryclr!$B$2:$B$1000=accsry_unmerged!J974),dd_accsryclr!$A$2:$A$1000),"")</f>
        <v>0</v>
      </c>
      <c r="I974" s="35">
        <f>_xlfn.XLOOKUP(C974,'Project Details'!$C$17:$C$66,'Project Details'!$E$17:$E$66,"",0)</f>
        <v>0</v>
      </c>
      <c r="J974" s="35">
        <f>_xlfn.XLOOKUP(C974,'Project Details'!$C$17:$C$66,'Project Details'!$H$17:$H$66,"",0)</f>
        <v>0</v>
      </c>
      <c r="K974" s="36" t="str">
        <f>IF(AND(_xlfn.XLOOKUP(C974,'Project Details'!$C$17:$C$66,'Project Details'!$L$17:$L$66,"",0)&gt;550, F974="Spring-L27cm"),"",SUBSTITUTE(_xlfn.XLOOKUP(G974,SKUs!$C$2:$C$10001,SKUs!$F$2:$F$10001,"",0), " Accessories",""))</f>
        <v/>
      </c>
      <c r="L974" s="36">
        <f>_xlfn.XLOOKUP(C974,'Project Details'!$C$17:$C$66,'Project Details'!$D$17:$D$66,"",0)</f>
        <v>0</v>
      </c>
      <c r="M974" s="43"/>
    </row>
    <row r="975" spans="1:13" x14ac:dyDescent="0.25">
      <c r="A975" s="43"/>
      <c r="B975" s="43"/>
      <c r="C975" s="16">
        <f t="shared" si="18"/>
        <v>20</v>
      </c>
      <c r="D975" s="16" t="str" cm="1">
        <f t="array" ref="D975">IFERROR(ROUNDUP(_xlfn.IFS(F975="Aluminum Track", _xlfn.XLOOKUP(C975, dd_accsrycalc!$A$2:$A$51, dd_accsrycalc!$B$2:$B$51, "",0), F975="10 x 2 1/2 S (Flat)", _xlfn.XLOOKUP(C975, dd_accsrycalc!$A$2:$A$51, dd_accsrycalc!$C$2:$C$51, "",0), F975="Tox6", _xlfn.XLOOKUP(C975, dd_accsrycalc!$A$2:$A$51, dd_accsrycalc!$D$2:$D$51, "",0), F975="Cover Cap", _xlfn.XLOOKUP(C975, dd_accsrycalc!$A$2:$A$51, dd_accsrycalc!$E$2:$E$51, "",0), F975="Drainage Cover", _xlfn.XLOOKUP(C975, dd_accsrycalc!$A$2:$A$51, dd_accsrycalc!$F$2:$F$51, "",0),AND( F975="Double Adhesive Tape", I975="Roll-up Screen"), _xlfn.XLOOKUP(C975, calc_rusacc!$C$15:$C$65, calc_rusacc!$AD$15:$AD$65, "",0),AND( F975="Sealant", I975="Roll-up Screen"), _xlfn.XLOOKUP(C975, calc_rusacc!$C$15:$C$65, calc_rusacc!$AF$15:$AF$65, "",0),  AND( F975="Main Chain", I975="Accordion Screen"), _xlfn.XLOOKUP(C975, calc_rusacc!$C$15:$C$65, calc_rusacc!$BF$15:$BF$65, "",0), AND( F975="Sealant", I975="Accordion Screen"), _xlfn.XLOOKUP(C975, calc_rusacc!$C$15:$C$65, calc_rusacc!$BJ$15:$BJ$65, "",0),  F975="Sealant", _xlfn.XLOOKUP(C975, dd_accsrycalc!$A$2:$A$51, dd_accsrycalc!$G$2:$G$51, "",0),  F975&lt;&gt;"",L975*_xlfn.XLOOKUP(1, (SKUs!$C$2:$C$10001=G975)*(SKUs!$K$2:$K$10001=I975),SKUs!$E$2:$E$10001)), 0),"")</f>
        <v/>
      </c>
      <c r="E975" s="16" t="str">
        <f>_xlfn.XLOOKUP(F975,dd_item!$B$2:$B$105,dd_item!$C$2:$C$105,"",0)</f>
        <v/>
      </c>
      <c r="F975" s="16"/>
      <c r="G975" s="16" cm="1">
        <f t="array" ref="G975">IFERROR(_xlfn.XLOOKUP(1, (SKUs!$J$2:$J$10001=accsry_unmerged!F975)*IF(H975&lt;&gt;"",(SKUs!$L$2:$L$10001=accsry_unmerged!H975),1)*(SKUs!$K$2:$K$10001=I975),SKUs!$C$2:$C$10001),"")</f>
        <v>0</v>
      </c>
      <c r="H975" s="33" cm="1">
        <f t="array" ref="H975">IFERROR(_xlfn.XLOOKUP(1, (dd_accsryclr!$C$2:$C$1000=accsry_unmerged!F975)*(dd_accsryclr!$B$2:$B$1000=accsry_unmerged!J975),dd_accsryclr!$A$2:$A$1000),"")</f>
        <v>0</v>
      </c>
      <c r="I975" s="16">
        <f>_xlfn.XLOOKUP(C975,'Project Details'!$C$17:$C$66,'Project Details'!$E$17:$E$66,"",0)</f>
        <v>0</v>
      </c>
      <c r="J975" s="16">
        <f>_xlfn.XLOOKUP(C975,'Project Details'!$C$17:$C$66,'Project Details'!$H$17:$H$66,"",0)</f>
        <v>0</v>
      </c>
      <c r="K975" s="33" t="str">
        <f>IF(AND(_xlfn.XLOOKUP(C975,'Project Details'!$C$17:$C$66,'Project Details'!$L$17:$L$66,"",0)&gt;550, F975="Spring-L27cm"),"",SUBSTITUTE(_xlfn.XLOOKUP(G975,SKUs!$C$2:$C$10001,SKUs!$F$2:$F$10001,"",0), " Accessories",""))</f>
        <v/>
      </c>
      <c r="L975" s="33">
        <f>_xlfn.XLOOKUP(C975,'Project Details'!$C$17:$C$66,'Project Details'!$D$17:$D$66,"",0)</f>
        <v>0</v>
      </c>
      <c r="M975" s="43"/>
    </row>
    <row r="976" spans="1:13" x14ac:dyDescent="0.25">
      <c r="A976" s="43"/>
      <c r="B976" s="43"/>
      <c r="C976" s="35">
        <f t="shared" si="18"/>
        <v>20</v>
      </c>
      <c r="D976" s="35" t="str" cm="1">
        <f t="array" ref="D976">IFERROR(ROUNDUP(_xlfn.IFS(F976="Aluminum Track", _xlfn.XLOOKUP(C976, dd_accsrycalc!$A$2:$A$51, dd_accsrycalc!$B$2:$B$51, "",0), F976="10 x 2 1/2 S (Flat)", _xlfn.XLOOKUP(C976, dd_accsrycalc!$A$2:$A$51, dd_accsrycalc!$C$2:$C$51, "",0), F976="Tox6", _xlfn.XLOOKUP(C976, dd_accsrycalc!$A$2:$A$51, dd_accsrycalc!$D$2:$D$51, "",0), F976="Cover Cap", _xlfn.XLOOKUP(C976, dd_accsrycalc!$A$2:$A$51, dd_accsrycalc!$E$2:$E$51, "",0), F976="Drainage Cover", _xlfn.XLOOKUP(C976, dd_accsrycalc!$A$2:$A$51, dd_accsrycalc!$F$2:$F$51, "",0),AND( F976="Double Adhesive Tape", I976="Roll-up Screen"), _xlfn.XLOOKUP(C976, calc_rusacc!$C$15:$C$65, calc_rusacc!$AD$15:$AD$65, "",0),AND( F976="Sealant", I976="Roll-up Screen"), _xlfn.XLOOKUP(C976, calc_rusacc!$C$15:$C$65, calc_rusacc!$AF$15:$AF$65, "",0),  AND( F976="Main Chain", I976="Accordion Screen"), _xlfn.XLOOKUP(C976, calc_rusacc!$C$15:$C$65, calc_rusacc!$BF$15:$BF$65, "",0), AND( F976="Sealant", I976="Accordion Screen"), _xlfn.XLOOKUP(C976, calc_rusacc!$C$15:$C$65, calc_rusacc!$BJ$15:$BJ$65, "",0),  F976="Sealant", _xlfn.XLOOKUP(C976, dd_accsrycalc!$A$2:$A$51, dd_accsrycalc!$G$2:$G$51, "",0),  F976&lt;&gt;"",L976*_xlfn.XLOOKUP(1, (SKUs!$C$2:$C$10001=G976)*(SKUs!$K$2:$K$10001=I976),SKUs!$E$2:$E$10001)), 0),"")</f>
        <v/>
      </c>
      <c r="E976" s="35" t="str">
        <f>_xlfn.XLOOKUP(F976,dd_item!$B$2:$B$105,dd_item!$C$2:$C$105,"",0)</f>
        <v/>
      </c>
      <c r="F976" s="35"/>
      <c r="G976" s="35" cm="1">
        <f t="array" ref="G976">IFERROR(_xlfn.XLOOKUP(1, (SKUs!$J$2:$J$10001=accsry_unmerged!F976)*IF(H976&lt;&gt;"",(SKUs!$L$2:$L$10001=accsry_unmerged!H976),1)*(SKUs!$K$2:$K$10001=I976),SKUs!$C$2:$C$10001),"")</f>
        <v>0</v>
      </c>
      <c r="H976" s="36" cm="1">
        <f t="array" ref="H976">IFERROR(_xlfn.XLOOKUP(1, (dd_accsryclr!$C$2:$C$1000=accsry_unmerged!F976)*(dd_accsryclr!$B$2:$B$1000=accsry_unmerged!J976),dd_accsryclr!$A$2:$A$1000),"")</f>
        <v>0</v>
      </c>
      <c r="I976" s="35">
        <f>_xlfn.XLOOKUP(C976,'Project Details'!$C$17:$C$66,'Project Details'!$E$17:$E$66,"",0)</f>
        <v>0</v>
      </c>
      <c r="J976" s="35">
        <f>_xlfn.XLOOKUP(C976,'Project Details'!$C$17:$C$66,'Project Details'!$H$17:$H$66,"",0)</f>
        <v>0</v>
      </c>
      <c r="K976" s="36" t="str">
        <f>IF(AND(_xlfn.XLOOKUP(C976,'Project Details'!$C$17:$C$66,'Project Details'!$L$17:$L$66,"",0)&gt;550, F976="Spring-L27cm"),"",SUBSTITUTE(_xlfn.XLOOKUP(G976,SKUs!$C$2:$C$10001,SKUs!$F$2:$F$10001,"",0), " Accessories",""))</f>
        <v/>
      </c>
      <c r="L976" s="36">
        <f>_xlfn.XLOOKUP(C976,'Project Details'!$C$17:$C$66,'Project Details'!$D$17:$D$66,"",0)</f>
        <v>0</v>
      </c>
      <c r="M976" s="43"/>
    </row>
    <row r="977" spans="1:13" x14ac:dyDescent="0.25">
      <c r="A977" s="43"/>
      <c r="B977" s="43"/>
      <c r="C977" s="16">
        <f t="shared" si="18"/>
        <v>20</v>
      </c>
      <c r="D977" s="16" t="str" cm="1">
        <f t="array" ref="D977">IFERROR(ROUNDUP(_xlfn.IFS(F977="Aluminum Track", _xlfn.XLOOKUP(C977, dd_accsrycalc!$A$2:$A$51, dd_accsrycalc!$B$2:$B$51, "",0), F977="10 x 2 1/2 S (Flat)", _xlfn.XLOOKUP(C977, dd_accsrycalc!$A$2:$A$51, dd_accsrycalc!$C$2:$C$51, "",0), F977="Tox6", _xlfn.XLOOKUP(C977, dd_accsrycalc!$A$2:$A$51, dd_accsrycalc!$D$2:$D$51, "",0), F977="Cover Cap", _xlfn.XLOOKUP(C977, dd_accsrycalc!$A$2:$A$51, dd_accsrycalc!$E$2:$E$51, "",0), F977="Drainage Cover", _xlfn.XLOOKUP(C977, dd_accsrycalc!$A$2:$A$51, dd_accsrycalc!$F$2:$F$51, "",0),AND( F977="Double Adhesive Tape", I977="Roll-up Screen"), _xlfn.XLOOKUP(C977, calc_rusacc!$C$15:$C$65, calc_rusacc!$AD$15:$AD$65, "",0),AND( F977="Sealant", I977="Roll-up Screen"), _xlfn.XLOOKUP(C977, calc_rusacc!$C$15:$C$65, calc_rusacc!$AF$15:$AF$65, "",0),  AND( F977="Main Chain", I977="Accordion Screen"), _xlfn.XLOOKUP(C977, calc_rusacc!$C$15:$C$65, calc_rusacc!$BF$15:$BF$65, "",0), AND( F977="Sealant", I977="Accordion Screen"), _xlfn.XLOOKUP(C977, calc_rusacc!$C$15:$C$65, calc_rusacc!$BJ$15:$BJ$65, "",0),  F977="Sealant", _xlfn.XLOOKUP(C977, dd_accsrycalc!$A$2:$A$51, dd_accsrycalc!$G$2:$G$51, "",0),  F977&lt;&gt;"",L977*_xlfn.XLOOKUP(1, (SKUs!$C$2:$C$10001=G977)*(SKUs!$K$2:$K$10001=I977),SKUs!$E$2:$E$10001)), 0),"")</f>
        <v/>
      </c>
      <c r="E977" s="16" t="str">
        <f>_xlfn.XLOOKUP(F977,dd_item!$B$2:$B$105,dd_item!$C$2:$C$105,"",0)</f>
        <v/>
      </c>
      <c r="F977" s="16"/>
      <c r="G977" s="16" cm="1">
        <f t="array" ref="G977">IFERROR(_xlfn.XLOOKUP(1, (SKUs!$J$2:$J$10001=accsry_unmerged!F977)*IF(H977&lt;&gt;"",(SKUs!$L$2:$L$10001=accsry_unmerged!H977),1)*(SKUs!$K$2:$K$10001=I977),SKUs!$C$2:$C$10001),"")</f>
        <v>0</v>
      </c>
      <c r="H977" s="33" cm="1">
        <f t="array" ref="H977">IFERROR(_xlfn.XLOOKUP(1, (dd_accsryclr!$C$2:$C$1000=accsry_unmerged!F977)*(dd_accsryclr!$B$2:$B$1000=accsry_unmerged!J977),dd_accsryclr!$A$2:$A$1000),"")</f>
        <v>0</v>
      </c>
      <c r="I977" s="16">
        <f>_xlfn.XLOOKUP(C977,'Project Details'!$C$17:$C$66,'Project Details'!$E$17:$E$66,"",0)</f>
        <v>0</v>
      </c>
      <c r="J977" s="16">
        <f>_xlfn.XLOOKUP(C977,'Project Details'!$C$17:$C$66,'Project Details'!$H$17:$H$66,"",0)</f>
        <v>0</v>
      </c>
      <c r="K977" s="33" t="str">
        <f>IF(AND(_xlfn.XLOOKUP(C977,'Project Details'!$C$17:$C$66,'Project Details'!$L$17:$L$66,"",0)&gt;550, F977="Spring-L27cm"),"",SUBSTITUTE(_xlfn.XLOOKUP(G977,SKUs!$C$2:$C$10001,SKUs!$F$2:$F$10001,"",0), " Accessories",""))</f>
        <v/>
      </c>
      <c r="L977" s="33">
        <f>_xlfn.XLOOKUP(C977,'Project Details'!$C$17:$C$66,'Project Details'!$D$17:$D$66,"",0)</f>
        <v>0</v>
      </c>
      <c r="M977" s="43"/>
    </row>
    <row r="978" spans="1:13" x14ac:dyDescent="0.25">
      <c r="A978" s="43"/>
      <c r="B978" s="43"/>
      <c r="C978" s="35">
        <f t="shared" si="18"/>
        <v>20</v>
      </c>
      <c r="D978" s="35" t="str" cm="1">
        <f t="array" ref="D978">IFERROR(ROUNDUP(_xlfn.IFS(F978="Aluminum Track", _xlfn.XLOOKUP(C978, dd_accsrycalc!$A$2:$A$51, dd_accsrycalc!$B$2:$B$51, "",0), F978="10 x 2 1/2 S (Flat)", _xlfn.XLOOKUP(C978, dd_accsrycalc!$A$2:$A$51, dd_accsrycalc!$C$2:$C$51, "",0), F978="Tox6", _xlfn.XLOOKUP(C978, dd_accsrycalc!$A$2:$A$51, dd_accsrycalc!$D$2:$D$51, "",0), F978="Cover Cap", _xlfn.XLOOKUP(C978, dd_accsrycalc!$A$2:$A$51, dd_accsrycalc!$E$2:$E$51, "",0), F978="Drainage Cover", _xlfn.XLOOKUP(C978, dd_accsrycalc!$A$2:$A$51, dd_accsrycalc!$F$2:$F$51, "",0),AND( F978="Double Adhesive Tape", I978="Roll-up Screen"), _xlfn.XLOOKUP(C978, calc_rusacc!$C$15:$C$65, calc_rusacc!$AD$15:$AD$65, "",0),AND( F978="Sealant", I978="Roll-up Screen"), _xlfn.XLOOKUP(C978, calc_rusacc!$C$15:$C$65, calc_rusacc!$AF$15:$AF$65, "",0),  AND( F978="Main Chain", I978="Accordion Screen"), _xlfn.XLOOKUP(C978, calc_rusacc!$C$15:$C$65, calc_rusacc!$BF$15:$BF$65, "",0), AND( F978="Sealant", I978="Accordion Screen"), _xlfn.XLOOKUP(C978, calc_rusacc!$C$15:$C$65, calc_rusacc!$BJ$15:$BJ$65, "",0),  F978="Sealant", _xlfn.XLOOKUP(C978, dd_accsrycalc!$A$2:$A$51, dd_accsrycalc!$G$2:$G$51, "",0),  F978&lt;&gt;"",L978*_xlfn.XLOOKUP(1, (SKUs!$C$2:$C$10001=G978)*(SKUs!$K$2:$K$10001=I978),SKUs!$E$2:$E$10001)), 0),"")</f>
        <v/>
      </c>
      <c r="E978" s="35" t="str">
        <f>_xlfn.XLOOKUP(F978,dd_item!$B$2:$B$105,dd_item!$C$2:$C$105,"",0)</f>
        <v/>
      </c>
      <c r="F978" s="35"/>
      <c r="G978" s="35" cm="1">
        <f t="array" ref="G978">IFERROR(_xlfn.XLOOKUP(1, (SKUs!$J$2:$J$10001=accsry_unmerged!F978)*IF(H978&lt;&gt;"",(SKUs!$L$2:$L$10001=accsry_unmerged!H978),1)*(SKUs!$K$2:$K$10001=I978),SKUs!$C$2:$C$10001),"")</f>
        <v>0</v>
      </c>
      <c r="H978" s="36" cm="1">
        <f t="array" ref="H978">IFERROR(_xlfn.XLOOKUP(1, (dd_accsryclr!$C$2:$C$1000=accsry_unmerged!F978)*(dd_accsryclr!$B$2:$B$1000=accsry_unmerged!J978),dd_accsryclr!$A$2:$A$1000),"")</f>
        <v>0</v>
      </c>
      <c r="I978" s="35">
        <f>_xlfn.XLOOKUP(C978,'Project Details'!$C$17:$C$66,'Project Details'!$E$17:$E$66,"",0)</f>
        <v>0</v>
      </c>
      <c r="J978" s="35">
        <f>_xlfn.XLOOKUP(C978,'Project Details'!$C$17:$C$66,'Project Details'!$H$17:$H$66,"",0)</f>
        <v>0</v>
      </c>
      <c r="K978" s="36" t="str">
        <f>IF(AND(_xlfn.XLOOKUP(C978,'Project Details'!$C$17:$C$66,'Project Details'!$L$17:$L$66,"",0)&gt;550, F978="Spring-L27cm"),"",SUBSTITUTE(_xlfn.XLOOKUP(G978,SKUs!$C$2:$C$10001,SKUs!$F$2:$F$10001,"",0), " Accessories",""))</f>
        <v/>
      </c>
      <c r="L978" s="36">
        <f>_xlfn.XLOOKUP(C978,'Project Details'!$C$17:$C$66,'Project Details'!$D$17:$D$66,"",0)</f>
        <v>0</v>
      </c>
      <c r="M978" s="43"/>
    </row>
    <row r="979" spans="1:13" x14ac:dyDescent="0.25">
      <c r="A979" s="43"/>
      <c r="B979" s="43"/>
      <c r="C979" s="16">
        <f t="shared" si="18"/>
        <v>20</v>
      </c>
      <c r="D979" s="16" t="str" cm="1">
        <f t="array" ref="D979">IFERROR(ROUNDUP(_xlfn.IFS(F979="Aluminum Track", _xlfn.XLOOKUP(C979, dd_accsrycalc!$A$2:$A$51, dd_accsrycalc!$B$2:$B$51, "",0), F979="10 x 2 1/2 S (Flat)", _xlfn.XLOOKUP(C979, dd_accsrycalc!$A$2:$A$51, dd_accsrycalc!$C$2:$C$51, "",0), F979="Tox6", _xlfn.XLOOKUP(C979, dd_accsrycalc!$A$2:$A$51, dd_accsrycalc!$D$2:$D$51, "",0), F979="Cover Cap", _xlfn.XLOOKUP(C979, dd_accsrycalc!$A$2:$A$51, dd_accsrycalc!$E$2:$E$51, "",0), F979="Drainage Cover", _xlfn.XLOOKUP(C979, dd_accsrycalc!$A$2:$A$51, dd_accsrycalc!$F$2:$F$51, "",0),AND( F979="Double Adhesive Tape", I979="Roll-up Screen"), _xlfn.XLOOKUP(C979, calc_rusacc!$C$15:$C$65, calc_rusacc!$AD$15:$AD$65, "",0),AND( F979="Sealant", I979="Roll-up Screen"), _xlfn.XLOOKUP(C979, calc_rusacc!$C$15:$C$65, calc_rusacc!$AF$15:$AF$65, "",0),  AND( F979="Main Chain", I979="Accordion Screen"), _xlfn.XLOOKUP(C979, calc_rusacc!$C$15:$C$65, calc_rusacc!$BF$15:$BF$65, "",0), AND( F979="Sealant", I979="Accordion Screen"), _xlfn.XLOOKUP(C979, calc_rusacc!$C$15:$C$65, calc_rusacc!$BJ$15:$BJ$65, "",0),  F979="Sealant", _xlfn.XLOOKUP(C979, dd_accsrycalc!$A$2:$A$51, dd_accsrycalc!$G$2:$G$51, "",0),  F979&lt;&gt;"",L979*_xlfn.XLOOKUP(1, (SKUs!$C$2:$C$10001=G979)*(SKUs!$K$2:$K$10001=I979),SKUs!$E$2:$E$10001)), 0),"")</f>
        <v/>
      </c>
      <c r="E979" s="16" t="str">
        <f>_xlfn.XLOOKUP(F979,dd_item!$B$2:$B$105,dd_item!$C$2:$C$105,"",0)</f>
        <v/>
      </c>
      <c r="F979" s="16"/>
      <c r="G979" s="16" cm="1">
        <f t="array" ref="G979">IFERROR(_xlfn.XLOOKUP(1, (SKUs!$J$2:$J$10001=accsry_unmerged!F979)*IF(H979&lt;&gt;"",(SKUs!$L$2:$L$10001=accsry_unmerged!H979),1)*(SKUs!$K$2:$K$10001=I979),SKUs!$C$2:$C$10001),"")</f>
        <v>0</v>
      </c>
      <c r="H979" s="33" cm="1">
        <f t="array" ref="H979">IFERROR(_xlfn.XLOOKUP(1, (dd_accsryclr!$C$2:$C$1000=accsry_unmerged!F979)*(dd_accsryclr!$B$2:$B$1000=accsry_unmerged!J979),dd_accsryclr!$A$2:$A$1000),"")</f>
        <v>0</v>
      </c>
      <c r="I979" s="16">
        <f>_xlfn.XLOOKUP(C979,'Project Details'!$C$17:$C$66,'Project Details'!$E$17:$E$66,"",0)</f>
        <v>0</v>
      </c>
      <c r="J979" s="16">
        <f>_xlfn.XLOOKUP(C979,'Project Details'!$C$17:$C$66,'Project Details'!$H$17:$H$66,"",0)</f>
        <v>0</v>
      </c>
      <c r="K979" s="33" t="str">
        <f>IF(AND(_xlfn.XLOOKUP(C979,'Project Details'!$C$17:$C$66,'Project Details'!$L$17:$L$66,"",0)&gt;550, F979="Spring-L27cm"),"",SUBSTITUTE(_xlfn.XLOOKUP(G979,SKUs!$C$2:$C$10001,SKUs!$F$2:$F$10001,"",0), " Accessories",""))</f>
        <v/>
      </c>
      <c r="L979" s="33">
        <f>_xlfn.XLOOKUP(C979,'Project Details'!$C$17:$C$66,'Project Details'!$D$17:$D$66,"",0)</f>
        <v>0</v>
      </c>
      <c r="M979" s="43"/>
    </row>
    <row r="980" spans="1:13" x14ac:dyDescent="0.25">
      <c r="A980" s="43"/>
      <c r="B980" s="43"/>
      <c r="C980" s="35">
        <f t="shared" si="18"/>
        <v>20</v>
      </c>
      <c r="D980" s="35" t="str" cm="1">
        <f t="array" ref="D980">IFERROR(ROUNDUP(_xlfn.IFS(F980="Aluminum Track", _xlfn.XLOOKUP(C980, dd_accsrycalc!$A$2:$A$51, dd_accsrycalc!$B$2:$B$51, "",0), F980="10 x 2 1/2 S (Flat)", _xlfn.XLOOKUP(C980, dd_accsrycalc!$A$2:$A$51, dd_accsrycalc!$C$2:$C$51, "",0), F980="Tox6", _xlfn.XLOOKUP(C980, dd_accsrycalc!$A$2:$A$51, dd_accsrycalc!$D$2:$D$51, "",0), F980="Cover Cap", _xlfn.XLOOKUP(C980, dd_accsrycalc!$A$2:$A$51, dd_accsrycalc!$E$2:$E$51, "",0), F980="Drainage Cover", _xlfn.XLOOKUP(C980, dd_accsrycalc!$A$2:$A$51, dd_accsrycalc!$F$2:$F$51, "",0),AND( F980="Double Adhesive Tape", I980="Roll-up Screen"), _xlfn.XLOOKUP(C980, calc_rusacc!$C$15:$C$65, calc_rusacc!$AD$15:$AD$65, "",0),AND( F980="Sealant", I980="Roll-up Screen"), _xlfn.XLOOKUP(C980, calc_rusacc!$C$15:$C$65, calc_rusacc!$AF$15:$AF$65, "",0),  AND( F980="Main Chain", I980="Accordion Screen"), _xlfn.XLOOKUP(C980, calc_rusacc!$C$15:$C$65, calc_rusacc!$BF$15:$BF$65, "",0), AND( F980="Sealant", I980="Accordion Screen"), _xlfn.XLOOKUP(C980, calc_rusacc!$C$15:$C$65, calc_rusacc!$BJ$15:$BJ$65, "",0),  F980="Sealant", _xlfn.XLOOKUP(C980, dd_accsrycalc!$A$2:$A$51, dd_accsrycalc!$G$2:$G$51, "",0),  F980&lt;&gt;"",L980*_xlfn.XLOOKUP(1, (SKUs!$C$2:$C$10001=G980)*(SKUs!$K$2:$K$10001=I980),SKUs!$E$2:$E$10001)), 0),"")</f>
        <v/>
      </c>
      <c r="E980" s="35" t="str">
        <f>_xlfn.XLOOKUP(F980,dd_item!$B$2:$B$105,dd_item!$C$2:$C$105,"",0)</f>
        <v/>
      </c>
      <c r="F980" s="35"/>
      <c r="G980" s="35" cm="1">
        <f t="array" ref="G980">IFERROR(_xlfn.XLOOKUP(1, (SKUs!$J$2:$J$10001=accsry_unmerged!F980)*IF(H980&lt;&gt;"",(SKUs!$L$2:$L$10001=accsry_unmerged!H980),1)*(SKUs!$K$2:$K$10001=I980),SKUs!$C$2:$C$10001),"")</f>
        <v>0</v>
      </c>
      <c r="H980" s="36" cm="1">
        <f t="array" ref="H980">IFERROR(_xlfn.XLOOKUP(1, (dd_accsryclr!$C$2:$C$1000=accsry_unmerged!F980)*(dd_accsryclr!$B$2:$B$1000=accsry_unmerged!J980),dd_accsryclr!$A$2:$A$1000),"")</f>
        <v>0</v>
      </c>
      <c r="I980" s="35">
        <f>_xlfn.XLOOKUP(C980,'Project Details'!$C$17:$C$66,'Project Details'!$E$17:$E$66,"",0)</f>
        <v>0</v>
      </c>
      <c r="J980" s="35">
        <f>_xlfn.XLOOKUP(C980,'Project Details'!$C$17:$C$66,'Project Details'!$H$17:$H$66,"",0)</f>
        <v>0</v>
      </c>
      <c r="K980" s="36" t="str">
        <f>IF(AND(_xlfn.XLOOKUP(C980,'Project Details'!$C$17:$C$66,'Project Details'!$L$17:$L$66,"",0)&gt;550, F980="Spring-L27cm"),"",SUBSTITUTE(_xlfn.XLOOKUP(G980,SKUs!$C$2:$C$10001,SKUs!$F$2:$F$10001,"",0), " Accessories",""))</f>
        <v/>
      </c>
      <c r="L980" s="36">
        <f>_xlfn.XLOOKUP(C980,'Project Details'!$C$17:$C$66,'Project Details'!$D$17:$D$66,"",0)</f>
        <v>0</v>
      </c>
      <c r="M980" s="43"/>
    </row>
    <row r="981" spans="1:13" x14ac:dyDescent="0.25">
      <c r="A981" s="43"/>
      <c r="B981" s="43"/>
      <c r="C981" s="16">
        <f t="shared" si="18"/>
        <v>20</v>
      </c>
      <c r="D981" s="16" t="str" cm="1">
        <f t="array" ref="D981">IFERROR(ROUNDUP(_xlfn.IFS(F981="Aluminum Track", _xlfn.XLOOKUP(C981, dd_accsrycalc!$A$2:$A$51, dd_accsrycalc!$B$2:$B$51, "",0), F981="10 x 2 1/2 S (Flat)", _xlfn.XLOOKUP(C981, dd_accsrycalc!$A$2:$A$51, dd_accsrycalc!$C$2:$C$51, "",0), F981="Tox6", _xlfn.XLOOKUP(C981, dd_accsrycalc!$A$2:$A$51, dd_accsrycalc!$D$2:$D$51, "",0), F981="Cover Cap", _xlfn.XLOOKUP(C981, dd_accsrycalc!$A$2:$A$51, dd_accsrycalc!$E$2:$E$51, "",0), F981="Drainage Cover", _xlfn.XLOOKUP(C981, dd_accsrycalc!$A$2:$A$51, dd_accsrycalc!$F$2:$F$51, "",0),AND( F981="Double Adhesive Tape", I981="Roll-up Screen"), _xlfn.XLOOKUP(C981, calc_rusacc!$C$15:$C$65, calc_rusacc!$AD$15:$AD$65, "",0),AND( F981="Sealant", I981="Roll-up Screen"), _xlfn.XLOOKUP(C981, calc_rusacc!$C$15:$C$65, calc_rusacc!$AF$15:$AF$65, "",0),  AND( F981="Main Chain", I981="Accordion Screen"), _xlfn.XLOOKUP(C981, calc_rusacc!$C$15:$C$65, calc_rusacc!$BF$15:$BF$65, "",0), AND( F981="Sealant", I981="Accordion Screen"), _xlfn.XLOOKUP(C981, calc_rusacc!$C$15:$C$65, calc_rusacc!$BJ$15:$BJ$65, "",0),  F981="Sealant", _xlfn.XLOOKUP(C981, dd_accsrycalc!$A$2:$A$51, dd_accsrycalc!$G$2:$G$51, "",0),  F981&lt;&gt;"",L981*_xlfn.XLOOKUP(1, (SKUs!$C$2:$C$10001=G981)*(SKUs!$K$2:$K$10001=I981),SKUs!$E$2:$E$10001)), 0),"")</f>
        <v/>
      </c>
      <c r="E981" s="16" t="str">
        <f>_xlfn.XLOOKUP(F981,dd_item!$B$2:$B$105,dd_item!$C$2:$C$105,"",0)</f>
        <v/>
      </c>
      <c r="F981" s="16"/>
      <c r="G981" s="16" cm="1">
        <f t="array" ref="G981">IFERROR(_xlfn.XLOOKUP(1, (SKUs!$J$2:$J$10001=accsry_unmerged!F981)*IF(H981&lt;&gt;"",(SKUs!$L$2:$L$10001=accsry_unmerged!H981),1)*(SKUs!$K$2:$K$10001=I981),SKUs!$C$2:$C$10001),"")</f>
        <v>0</v>
      </c>
      <c r="H981" s="33" cm="1">
        <f t="array" ref="H981">IFERROR(_xlfn.XLOOKUP(1, (dd_accsryclr!$C$2:$C$1000=accsry_unmerged!F981)*(dd_accsryclr!$B$2:$B$1000=accsry_unmerged!J981),dd_accsryclr!$A$2:$A$1000),"")</f>
        <v>0</v>
      </c>
      <c r="I981" s="16">
        <f>_xlfn.XLOOKUP(C981,'Project Details'!$C$17:$C$66,'Project Details'!$E$17:$E$66,"",0)</f>
        <v>0</v>
      </c>
      <c r="J981" s="16">
        <f>_xlfn.XLOOKUP(C981,'Project Details'!$C$17:$C$66,'Project Details'!$H$17:$H$66,"",0)</f>
        <v>0</v>
      </c>
      <c r="K981" s="33" t="str">
        <f>IF(AND(_xlfn.XLOOKUP(C981,'Project Details'!$C$17:$C$66,'Project Details'!$L$17:$L$66,"",0)&gt;550, F981="Spring-L27cm"),"",SUBSTITUTE(_xlfn.XLOOKUP(G981,SKUs!$C$2:$C$10001,SKUs!$F$2:$F$10001,"",0), " Accessories",""))</f>
        <v/>
      </c>
      <c r="L981" s="33">
        <f>_xlfn.XLOOKUP(C981,'Project Details'!$C$17:$C$66,'Project Details'!$D$17:$D$66,"",0)</f>
        <v>0</v>
      </c>
      <c r="M981" s="43"/>
    </row>
    <row r="982" spans="1:13" x14ac:dyDescent="0.25">
      <c r="A982" s="43"/>
      <c r="B982" s="43"/>
      <c r="C982" s="35">
        <f t="shared" si="18"/>
        <v>20</v>
      </c>
      <c r="D982" s="35" t="str" cm="1">
        <f t="array" ref="D982">IFERROR(ROUNDUP(_xlfn.IFS(F982="Aluminum Track", _xlfn.XLOOKUP(C982, dd_accsrycalc!$A$2:$A$51, dd_accsrycalc!$B$2:$B$51, "",0), F982="10 x 2 1/2 S (Flat)", _xlfn.XLOOKUP(C982, dd_accsrycalc!$A$2:$A$51, dd_accsrycalc!$C$2:$C$51, "",0), F982="Tox6", _xlfn.XLOOKUP(C982, dd_accsrycalc!$A$2:$A$51, dd_accsrycalc!$D$2:$D$51, "",0), F982="Cover Cap", _xlfn.XLOOKUP(C982, dd_accsrycalc!$A$2:$A$51, dd_accsrycalc!$E$2:$E$51, "",0), F982="Drainage Cover", _xlfn.XLOOKUP(C982, dd_accsrycalc!$A$2:$A$51, dd_accsrycalc!$F$2:$F$51, "",0),AND( F982="Double Adhesive Tape", I982="Roll-up Screen"), _xlfn.XLOOKUP(C982, calc_rusacc!$C$15:$C$65, calc_rusacc!$AD$15:$AD$65, "",0),AND( F982="Sealant", I982="Roll-up Screen"), _xlfn.XLOOKUP(C982, calc_rusacc!$C$15:$C$65, calc_rusacc!$AF$15:$AF$65, "",0),  AND( F982="Main Chain", I982="Accordion Screen"), _xlfn.XLOOKUP(C982, calc_rusacc!$C$15:$C$65, calc_rusacc!$BF$15:$BF$65, "",0), AND( F982="Sealant", I982="Accordion Screen"), _xlfn.XLOOKUP(C982, calc_rusacc!$C$15:$C$65, calc_rusacc!$BJ$15:$BJ$65, "",0),  F982="Sealant", _xlfn.XLOOKUP(C982, dd_accsrycalc!$A$2:$A$51, dd_accsrycalc!$G$2:$G$51, "",0),  F982&lt;&gt;"",L982*_xlfn.XLOOKUP(1, (SKUs!$C$2:$C$10001=G982)*(SKUs!$K$2:$K$10001=I982),SKUs!$E$2:$E$10001)), 0),"")</f>
        <v/>
      </c>
      <c r="E982" s="35" t="str">
        <f>_xlfn.XLOOKUP(F982,dd_item!$B$2:$B$105,dd_item!$C$2:$C$105,"",0)</f>
        <v/>
      </c>
      <c r="F982" s="35"/>
      <c r="G982" s="35" cm="1">
        <f t="array" ref="G982">IFERROR(_xlfn.XLOOKUP(1, (SKUs!$J$2:$J$10001=accsry_unmerged!F982)*IF(H982&lt;&gt;"",(SKUs!$L$2:$L$10001=accsry_unmerged!H982),1)*(SKUs!$K$2:$K$10001=I982),SKUs!$C$2:$C$10001),"")</f>
        <v>0</v>
      </c>
      <c r="H982" s="36" cm="1">
        <f t="array" ref="H982">IFERROR(_xlfn.XLOOKUP(1, (dd_accsryclr!$C$2:$C$1000=accsry_unmerged!F982)*(dd_accsryclr!$B$2:$B$1000=accsry_unmerged!J982),dd_accsryclr!$A$2:$A$1000),"")</f>
        <v>0</v>
      </c>
      <c r="I982" s="35">
        <f>_xlfn.XLOOKUP(C982,'Project Details'!$C$17:$C$66,'Project Details'!$E$17:$E$66,"",0)</f>
        <v>0</v>
      </c>
      <c r="J982" s="35">
        <f>_xlfn.XLOOKUP(C982,'Project Details'!$C$17:$C$66,'Project Details'!$H$17:$H$66,"",0)</f>
        <v>0</v>
      </c>
      <c r="K982" s="36" t="str">
        <f>IF(AND(_xlfn.XLOOKUP(C982,'Project Details'!$C$17:$C$66,'Project Details'!$L$17:$L$66,"",0)&gt;550, F982="Spring-L27cm"),"",SUBSTITUTE(_xlfn.XLOOKUP(G982,SKUs!$C$2:$C$10001,SKUs!$F$2:$F$10001,"",0), " Accessories",""))</f>
        <v/>
      </c>
      <c r="L982" s="36">
        <f>_xlfn.XLOOKUP(C982,'Project Details'!$C$17:$C$66,'Project Details'!$D$17:$D$66,"",0)</f>
        <v>0</v>
      </c>
      <c r="M982" s="43"/>
    </row>
    <row r="983" spans="1:13" x14ac:dyDescent="0.25">
      <c r="A983" s="43"/>
      <c r="B983" s="43"/>
      <c r="C983" s="16">
        <f t="shared" si="18"/>
        <v>20</v>
      </c>
      <c r="D983" s="16" t="str" cm="1">
        <f t="array" ref="D983">IFERROR(ROUNDUP(_xlfn.IFS(F983="Aluminum Track", _xlfn.XLOOKUP(C983, dd_accsrycalc!$A$2:$A$51, dd_accsrycalc!$B$2:$B$51, "",0), F983="10 x 2 1/2 S (Flat)", _xlfn.XLOOKUP(C983, dd_accsrycalc!$A$2:$A$51, dd_accsrycalc!$C$2:$C$51, "",0), F983="Tox6", _xlfn.XLOOKUP(C983, dd_accsrycalc!$A$2:$A$51, dd_accsrycalc!$D$2:$D$51, "",0), F983="Cover Cap", _xlfn.XLOOKUP(C983, dd_accsrycalc!$A$2:$A$51, dd_accsrycalc!$E$2:$E$51, "",0), F983="Drainage Cover", _xlfn.XLOOKUP(C983, dd_accsrycalc!$A$2:$A$51, dd_accsrycalc!$F$2:$F$51, "",0),AND( F983="Double Adhesive Tape", I983="Roll-up Screen"), _xlfn.XLOOKUP(C983, calc_rusacc!$C$15:$C$65, calc_rusacc!$AD$15:$AD$65, "",0),AND( F983="Sealant", I983="Roll-up Screen"), _xlfn.XLOOKUP(C983, calc_rusacc!$C$15:$C$65, calc_rusacc!$AF$15:$AF$65, "",0),  AND( F983="Main Chain", I983="Accordion Screen"), _xlfn.XLOOKUP(C983, calc_rusacc!$C$15:$C$65, calc_rusacc!$BF$15:$BF$65, "",0), AND( F983="Sealant", I983="Accordion Screen"), _xlfn.XLOOKUP(C983, calc_rusacc!$C$15:$C$65, calc_rusacc!$BJ$15:$BJ$65, "",0),  F983="Sealant", _xlfn.XLOOKUP(C983, dd_accsrycalc!$A$2:$A$51, dd_accsrycalc!$G$2:$G$51, "",0),  F983&lt;&gt;"",L983*_xlfn.XLOOKUP(1, (SKUs!$C$2:$C$10001=G983)*(SKUs!$K$2:$K$10001=I983),SKUs!$E$2:$E$10001)), 0),"")</f>
        <v/>
      </c>
      <c r="E983" s="16" t="str">
        <f>_xlfn.XLOOKUP(F983,dd_item!$B$2:$B$105,dd_item!$C$2:$C$105,"",0)</f>
        <v/>
      </c>
      <c r="F983" s="16"/>
      <c r="G983" s="16" cm="1">
        <f t="array" ref="G983">IFERROR(_xlfn.XLOOKUP(1, (SKUs!$J$2:$J$10001=accsry_unmerged!F983)*IF(H983&lt;&gt;"",(SKUs!$L$2:$L$10001=accsry_unmerged!H983),1)*(SKUs!$K$2:$K$10001=I983),SKUs!$C$2:$C$10001),"")</f>
        <v>0</v>
      </c>
      <c r="H983" s="33" cm="1">
        <f t="array" ref="H983">IFERROR(_xlfn.XLOOKUP(1, (dd_accsryclr!$C$2:$C$1000=accsry_unmerged!F983)*(dd_accsryclr!$B$2:$B$1000=accsry_unmerged!J983),dd_accsryclr!$A$2:$A$1000),"")</f>
        <v>0</v>
      </c>
      <c r="I983" s="16">
        <f>_xlfn.XLOOKUP(C983,'Project Details'!$C$17:$C$66,'Project Details'!$E$17:$E$66,"",0)</f>
        <v>0</v>
      </c>
      <c r="J983" s="16">
        <f>_xlfn.XLOOKUP(C983,'Project Details'!$C$17:$C$66,'Project Details'!$H$17:$H$66,"",0)</f>
        <v>0</v>
      </c>
      <c r="K983" s="33" t="str">
        <f>IF(AND(_xlfn.XLOOKUP(C983,'Project Details'!$C$17:$C$66,'Project Details'!$L$17:$L$66,"",0)&gt;550, F983="Spring-L27cm"),"",SUBSTITUTE(_xlfn.XLOOKUP(G983,SKUs!$C$2:$C$10001,SKUs!$F$2:$F$10001,"",0), " Accessories",""))</f>
        <v/>
      </c>
      <c r="L983" s="33">
        <f>_xlfn.XLOOKUP(C983,'Project Details'!$C$17:$C$66,'Project Details'!$D$17:$D$66,"",0)</f>
        <v>0</v>
      </c>
      <c r="M983" s="43"/>
    </row>
    <row r="984" spans="1:13" ht="13.5" customHeight="1" x14ac:dyDescent="0.25">
      <c r="A984" s="43"/>
      <c r="B984" s="43"/>
      <c r="C984" s="35">
        <f t="shared" si="18"/>
        <v>20</v>
      </c>
      <c r="D984" s="35" t="str" cm="1">
        <f t="array" ref="D984">IFERROR(ROUNDUP(_xlfn.IFS(F984="Aluminum Track", _xlfn.XLOOKUP(C984, dd_accsrycalc!$A$2:$A$51, dd_accsrycalc!$B$2:$B$51, "",0), F984="10 x 2 1/2 S (Flat)", _xlfn.XLOOKUP(C984, dd_accsrycalc!$A$2:$A$51, dd_accsrycalc!$C$2:$C$51, "",0), F984="Tox6", _xlfn.XLOOKUP(C984, dd_accsrycalc!$A$2:$A$51, dd_accsrycalc!$D$2:$D$51, "",0), F984="Cover Cap", _xlfn.XLOOKUP(C984, dd_accsrycalc!$A$2:$A$51, dd_accsrycalc!$E$2:$E$51, "",0), F984="Drainage Cover", _xlfn.XLOOKUP(C984, dd_accsrycalc!$A$2:$A$51, dd_accsrycalc!$F$2:$F$51, "",0),AND( F984="Double Adhesive Tape", I984="Roll-up Screen"), _xlfn.XLOOKUP(C984, calc_rusacc!$C$15:$C$65, calc_rusacc!$AD$15:$AD$65, "",0),AND( F984="Sealant", I984="Roll-up Screen"), _xlfn.XLOOKUP(C984, calc_rusacc!$C$15:$C$65, calc_rusacc!$AF$15:$AF$65, "",0),  AND( F984="Main Chain", I984="Accordion Screen"), _xlfn.XLOOKUP(C984, calc_rusacc!$C$15:$C$65, calc_rusacc!$BF$15:$BF$65, "",0), AND( F984="Sealant", I984="Accordion Screen"), _xlfn.XLOOKUP(C984, calc_rusacc!$C$15:$C$65, calc_rusacc!$BJ$15:$BJ$65, "",0),  F984="Sealant", _xlfn.XLOOKUP(C984, dd_accsrycalc!$A$2:$A$51, dd_accsrycalc!$G$2:$G$51, "",0),  F984&lt;&gt;"",L984*_xlfn.XLOOKUP(1, (SKUs!$C$2:$C$10001=G984)*(SKUs!$K$2:$K$10001=I984),SKUs!$E$2:$E$10001)), 0),"")</f>
        <v/>
      </c>
      <c r="E984" s="35" t="str">
        <f>_xlfn.XLOOKUP(F984,dd_item!$B$2:$B$105,dd_item!$C$2:$C$105,"",0)</f>
        <v/>
      </c>
      <c r="F984" s="35"/>
      <c r="G984" s="35" cm="1">
        <f t="array" ref="G984">IFERROR(_xlfn.XLOOKUP(1, (SKUs!$J$2:$J$10001=accsry_unmerged!F984)*IF(H984&lt;&gt;"",(SKUs!$L$2:$L$10001=accsry_unmerged!H984),1)*(SKUs!$K$2:$K$10001=I984),SKUs!$C$2:$C$10001),"")</f>
        <v>0</v>
      </c>
      <c r="H984" s="36" cm="1">
        <f t="array" ref="H984">IFERROR(_xlfn.XLOOKUP(1, (dd_accsryclr!$C$2:$C$1000=accsry_unmerged!F984)*(dd_accsryclr!$B$2:$B$1000=accsry_unmerged!J984),dd_accsryclr!$A$2:$A$1000),"")</f>
        <v>0</v>
      </c>
      <c r="I984" s="35">
        <f>_xlfn.XLOOKUP(C984,'Project Details'!$C$17:$C$66,'Project Details'!$E$17:$E$66,"",0)</f>
        <v>0</v>
      </c>
      <c r="J984" s="35">
        <f>_xlfn.XLOOKUP(C984,'Project Details'!$C$17:$C$66,'Project Details'!$H$17:$H$66,"",0)</f>
        <v>0</v>
      </c>
      <c r="K984" s="36" t="str">
        <f>IF(AND(_xlfn.XLOOKUP(C984,'Project Details'!$C$17:$C$66,'Project Details'!$L$17:$L$66,"",0)&gt;550, F984="Spring-L27cm"),"",SUBSTITUTE(_xlfn.XLOOKUP(G984,SKUs!$C$2:$C$10001,SKUs!$F$2:$F$10001,"",0), " Accessories",""))</f>
        <v/>
      </c>
      <c r="L984" s="36">
        <f>_xlfn.XLOOKUP(C984,'Project Details'!$C$17:$C$66,'Project Details'!$D$17:$D$66,"",0)</f>
        <v>0</v>
      </c>
      <c r="M984" s="43"/>
    </row>
    <row r="985" spans="1:13" ht="13.5" customHeight="1" x14ac:dyDescent="0.25">
      <c r="A985" s="43"/>
      <c r="B985" s="43"/>
      <c r="C985" s="16">
        <f t="shared" si="18"/>
        <v>20</v>
      </c>
      <c r="D985" s="16" t="str" cm="1">
        <f t="array" ref="D985">IFERROR(ROUNDUP(_xlfn.IFS(F985="Aluminum Track", _xlfn.XLOOKUP(C985, dd_accsrycalc!$A$2:$A$51, dd_accsrycalc!$B$2:$B$51, "",0), F985="10 x 2 1/2 S (Flat)", _xlfn.XLOOKUP(C985, dd_accsrycalc!$A$2:$A$51, dd_accsrycalc!$C$2:$C$51, "",0), F985="Tox6", _xlfn.XLOOKUP(C985, dd_accsrycalc!$A$2:$A$51, dd_accsrycalc!$D$2:$D$51, "",0), F985="Cover Cap", _xlfn.XLOOKUP(C985, dd_accsrycalc!$A$2:$A$51, dd_accsrycalc!$E$2:$E$51, "",0), F985="Drainage Cover", _xlfn.XLOOKUP(C985, dd_accsrycalc!$A$2:$A$51, dd_accsrycalc!$F$2:$F$51, "",0),AND( F985="Double Adhesive Tape", I985="Roll-up Screen"), _xlfn.XLOOKUP(C985, calc_rusacc!$C$15:$C$65, calc_rusacc!$AD$15:$AD$65, "",0),AND( F985="Sealant", I985="Roll-up Screen"), _xlfn.XLOOKUP(C985, calc_rusacc!$C$15:$C$65, calc_rusacc!$AF$15:$AF$65, "",0),  AND( F985="Main Chain", I985="Accordion Screen"), _xlfn.XLOOKUP(C985, calc_rusacc!$C$15:$C$65, calc_rusacc!$BF$15:$BF$65, "",0), AND( F985="Sealant", I985="Accordion Screen"), _xlfn.XLOOKUP(C985, calc_rusacc!$C$15:$C$65, calc_rusacc!$BJ$15:$BJ$65, "",0),  F985="Sealant", _xlfn.XLOOKUP(C985, dd_accsrycalc!$A$2:$A$51, dd_accsrycalc!$G$2:$G$51, "",0),  F985&lt;&gt;"",L985*_xlfn.XLOOKUP(1, (SKUs!$C$2:$C$10001=G985)*(SKUs!$K$2:$K$10001=I985),SKUs!$E$2:$E$10001)), 0),"")</f>
        <v/>
      </c>
      <c r="E985" s="16" t="str">
        <f>_xlfn.XLOOKUP(F985,dd_item!$B$2:$B$105,dd_item!$C$2:$C$105,"",0)</f>
        <v/>
      </c>
      <c r="F985" s="16"/>
      <c r="G985" s="16" cm="1">
        <f t="array" ref="G985">IFERROR(_xlfn.XLOOKUP(1, (SKUs!$J$2:$J$10001=accsry_unmerged!F985)*IF(H985&lt;&gt;"",(SKUs!$L$2:$L$10001=accsry_unmerged!H985),1)*(SKUs!$K$2:$K$10001=I985),SKUs!$C$2:$C$10001),"")</f>
        <v>0</v>
      </c>
      <c r="H985" s="33" cm="1">
        <f t="array" ref="H985">IFERROR(_xlfn.XLOOKUP(1, (dd_accsryclr!$C$2:$C$1000=accsry_unmerged!F985)*(dd_accsryclr!$B$2:$B$1000=accsry_unmerged!J985),dd_accsryclr!$A$2:$A$1000),"")</f>
        <v>0</v>
      </c>
      <c r="I985" s="16">
        <f>_xlfn.XLOOKUP(C985,'Project Details'!$C$17:$C$66,'Project Details'!$E$17:$E$66,"",0)</f>
        <v>0</v>
      </c>
      <c r="J985" s="16">
        <f>_xlfn.XLOOKUP(C985,'Project Details'!$C$17:$C$66,'Project Details'!$H$17:$H$66,"",0)</f>
        <v>0</v>
      </c>
      <c r="K985" s="33" t="str">
        <f>IF(AND(_xlfn.XLOOKUP(C985,'Project Details'!$C$17:$C$66,'Project Details'!$L$17:$L$66,"",0)&gt;550, F985="Spring-L27cm"),"",SUBSTITUTE(_xlfn.XLOOKUP(G985,SKUs!$C$2:$C$10001,SKUs!$F$2:$F$10001,"",0), " Accessories",""))</f>
        <v/>
      </c>
      <c r="L985" s="33">
        <f>_xlfn.XLOOKUP(C985,'Project Details'!$C$17:$C$66,'Project Details'!$D$17:$D$66,"",0)</f>
        <v>0</v>
      </c>
      <c r="M985" s="43"/>
    </row>
    <row r="986" spans="1:13" ht="13.5" customHeight="1" x14ac:dyDescent="0.25">
      <c r="A986" s="43"/>
      <c r="B986" s="43"/>
      <c r="C986" s="35">
        <f t="shared" si="18"/>
        <v>20</v>
      </c>
      <c r="D986" s="35" t="str" cm="1">
        <f t="array" ref="D986">IFERROR(ROUNDUP(_xlfn.IFS(F986="Aluminum Track", _xlfn.XLOOKUP(C986, dd_accsrycalc!$A$2:$A$51, dd_accsrycalc!$B$2:$B$51, "",0), F986="10 x 2 1/2 S (Flat)", _xlfn.XLOOKUP(C986, dd_accsrycalc!$A$2:$A$51, dd_accsrycalc!$C$2:$C$51, "",0), F986="Tox6", _xlfn.XLOOKUP(C986, dd_accsrycalc!$A$2:$A$51, dd_accsrycalc!$D$2:$D$51, "",0), F986="Cover Cap", _xlfn.XLOOKUP(C986, dd_accsrycalc!$A$2:$A$51, dd_accsrycalc!$E$2:$E$51, "",0), F986="Drainage Cover", _xlfn.XLOOKUP(C986, dd_accsrycalc!$A$2:$A$51, dd_accsrycalc!$F$2:$F$51, "",0),AND( F986="Double Adhesive Tape", I986="Roll-up Screen"), _xlfn.XLOOKUP(C986, calc_rusacc!$C$15:$C$65, calc_rusacc!$AD$15:$AD$65, "",0),AND( F986="Sealant", I986="Roll-up Screen"), _xlfn.XLOOKUP(C986, calc_rusacc!$C$15:$C$65, calc_rusacc!$AF$15:$AF$65, "",0),  AND( F986="Main Chain", I986="Accordion Screen"), _xlfn.XLOOKUP(C986, calc_rusacc!$C$15:$C$65, calc_rusacc!$BF$15:$BF$65, "",0), AND( F986="Sealant", I986="Accordion Screen"), _xlfn.XLOOKUP(C986, calc_rusacc!$C$15:$C$65, calc_rusacc!$BJ$15:$BJ$65, "",0),  F986="Sealant", _xlfn.XLOOKUP(C986, dd_accsrycalc!$A$2:$A$51, dd_accsrycalc!$G$2:$G$51, "",0),  F986&lt;&gt;"",L986*_xlfn.XLOOKUP(1, (SKUs!$C$2:$C$10001=G986)*(SKUs!$K$2:$K$10001=I986),SKUs!$E$2:$E$10001)), 0),"")</f>
        <v/>
      </c>
      <c r="E986" s="35" t="str">
        <f>_xlfn.XLOOKUP(F986,dd_item!$B$2:$B$105,dd_item!$C$2:$C$105,"",0)</f>
        <v/>
      </c>
      <c r="F986" s="35"/>
      <c r="G986" s="35" cm="1">
        <f t="array" ref="G986">IFERROR(_xlfn.XLOOKUP(1, (SKUs!$J$2:$J$10001=accsry_unmerged!F986)*IF(H986&lt;&gt;"",(SKUs!$L$2:$L$10001=accsry_unmerged!H986),1)*(SKUs!$K$2:$K$10001=I986),SKUs!$C$2:$C$10001),"")</f>
        <v>0</v>
      </c>
      <c r="H986" s="36" cm="1">
        <f t="array" ref="H986">IFERROR(_xlfn.XLOOKUP(1, (dd_accsryclr!$C$2:$C$1000=accsry_unmerged!F986)*(dd_accsryclr!$B$2:$B$1000=accsry_unmerged!J986),dd_accsryclr!$A$2:$A$1000),"")</f>
        <v>0</v>
      </c>
      <c r="I986" s="35">
        <f>_xlfn.XLOOKUP(C986,'Project Details'!$C$17:$C$66,'Project Details'!$E$17:$E$66,"",0)</f>
        <v>0</v>
      </c>
      <c r="J986" s="35">
        <f>_xlfn.XLOOKUP(C986,'Project Details'!$C$17:$C$66,'Project Details'!$H$17:$H$66,"",0)</f>
        <v>0</v>
      </c>
      <c r="K986" s="36" t="str">
        <f>IF(AND(_xlfn.XLOOKUP(C986,'Project Details'!$C$17:$C$66,'Project Details'!$L$17:$L$66,"",0)&gt;550, F986="Spring-L27cm"),"",SUBSTITUTE(_xlfn.XLOOKUP(G986,SKUs!$C$2:$C$10001,SKUs!$F$2:$F$10001,"",0), " Accessories",""))</f>
        <v/>
      </c>
      <c r="L986" s="36">
        <f>_xlfn.XLOOKUP(C986,'Project Details'!$C$17:$C$66,'Project Details'!$D$17:$D$66,"",0)</f>
        <v>0</v>
      </c>
      <c r="M986" s="43"/>
    </row>
    <row r="987" spans="1:13" ht="13.5" customHeight="1" x14ac:dyDescent="0.25">
      <c r="A987" s="43"/>
      <c r="B987" s="43"/>
      <c r="C987" s="16">
        <f t="shared" si="18"/>
        <v>20</v>
      </c>
      <c r="D987" s="16" t="str" cm="1">
        <f t="array" ref="D987">IFERROR(ROUNDUP(_xlfn.IFS(F987="Aluminum Track", _xlfn.XLOOKUP(C987, dd_accsrycalc!$A$2:$A$51, dd_accsrycalc!$B$2:$B$51, "",0), F987="10 x 2 1/2 S (Flat)", _xlfn.XLOOKUP(C987, dd_accsrycalc!$A$2:$A$51, dd_accsrycalc!$C$2:$C$51, "",0), F987="Tox6", _xlfn.XLOOKUP(C987, dd_accsrycalc!$A$2:$A$51, dd_accsrycalc!$D$2:$D$51, "",0), F987="Cover Cap", _xlfn.XLOOKUP(C987, dd_accsrycalc!$A$2:$A$51, dd_accsrycalc!$E$2:$E$51, "",0), F987="Drainage Cover", _xlfn.XLOOKUP(C987, dd_accsrycalc!$A$2:$A$51, dd_accsrycalc!$F$2:$F$51, "",0),AND( F987="Double Adhesive Tape", I987="Roll-up Screen"), _xlfn.XLOOKUP(C987, calc_rusacc!$C$15:$C$65, calc_rusacc!$AD$15:$AD$65, "",0),AND( F987="Sealant", I987="Roll-up Screen"), _xlfn.XLOOKUP(C987, calc_rusacc!$C$15:$C$65, calc_rusacc!$AF$15:$AF$65, "",0),  AND( F987="Main Chain", I987="Accordion Screen"), _xlfn.XLOOKUP(C987, calc_rusacc!$C$15:$C$65, calc_rusacc!$BF$15:$BF$65, "",0), AND( F987="Sealant", I987="Accordion Screen"), _xlfn.XLOOKUP(C987, calc_rusacc!$C$15:$C$65, calc_rusacc!$BJ$15:$BJ$65, "",0),  F987="Sealant", _xlfn.XLOOKUP(C987, dd_accsrycalc!$A$2:$A$51, dd_accsrycalc!$G$2:$G$51, "",0),  F987&lt;&gt;"",L987*_xlfn.XLOOKUP(1, (SKUs!$C$2:$C$10001=G987)*(SKUs!$K$2:$K$10001=I987),SKUs!$E$2:$E$10001)), 0),"")</f>
        <v/>
      </c>
      <c r="E987" s="16" t="str">
        <f>_xlfn.XLOOKUP(F987,dd_item!$B$2:$B$105,dd_item!$C$2:$C$105,"",0)</f>
        <v/>
      </c>
      <c r="F987" s="16"/>
      <c r="G987" s="16" cm="1">
        <f t="array" ref="G987">IFERROR(_xlfn.XLOOKUP(1, (SKUs!$J$2:$J$10001=accsry_unmerged!F987)*IF(H987&lt;&gt;"",(SKUs!$L$2:$L$10001=accsry_unmerged!H987),1)*(SKUs!$K$2:$K$10001=I987),SKUs!$C$2:$C$10001),"")</f>
        <v>0</v>
      </c>
      <c r="H987" s="33" cm="1">
        <f t="array" ref="H987">IFERROR(_xlfn.XLOOKUP(1, (dd_accsryclr!$C$2:$C$1000=accsry_unmerged!F987)*(dd_accsryclr!$B$2:$B$1000=accsry_unmerged!J987),dd_accsryclr!$A$2:$A$1000),"")</f>
        <v>0</v>
      </c>
      <c r="I987" s="16">
        <f>_xlfn.XLOOKUP(C987,'Project Details'!$C$17:$C$66,'Project Details'!$E$17:$E$66,"",0)</f>
        <v>0</v>
      </c>
      <c r="J987" s="16">
        <f>_xlfn.XLOOKUP(C987,'Project Details'!$C$17:$C$66,'Project Details'!$H$17:$H$66,"",0)</f>
        <v>0</v>
      </c>
      <c r="K987" s="33" t="str">
        <f>IF(AND(_xlfn.XLOOKUP(C987,'Project Details'!$C$17:$C$66,'Project Details'!$L$17:$L$66,"",0)&gt;550, F987="Spring-L27cm"),"",SUBSTITUTE(_xlfn.XLOOKUP(G987,SKUs!$C$2:$C$10001,SKUs!$F$2:$F$10001,"",0), " Accessories",""))</f>
        <v/>
      </c>
      <c r="L987" s="33">
        <f>_xlfn.XLOOKUP(C987,'Project Details'!$C$17:$C$66,'Project Details'!$D$17:$D$66,"",0)</f>
        <v>0</v>
      </c>
      <c r="M987" s="43"/>
    </row>
    <row r="988" spans="1:13" ht="13.5" customHeight="1" x14ac:dyDescent="0.25">
      <c r="A988" s="43"/>
      <c r="B988" s="43"/>
      <c r="C988" s="35">
        <f t="shared" si="18"/>
        <v>20</v>
      </c>
      <c r="D988" s="35" t="str" cm="1">
        <f t="array" ref="D988">IFERROR(ROUNDUP(_xlfn.IFS(F988="Aluminum Track", _xlfn.XLOOKUP(C988, dd_accsrycalc!$A$2:$A$51, dd_accsrycalc!$B$2:$B$51, "",0), F988="10 x 2 1/2 S (Flat)", _xlfn.XLOOKUP(C988, dd_accsrycalc!$A$2:$A$51, dd_accsrycalc!$C$2:$C$51, "",0), F988="Tox6", _xlfn.XLOOKUP(C988, dd_accsrycalc!$A$2:$A$51, dd_accsrycalc!$D$2:$D$51, "",0), F988="Cover Cap", _xlfn.XLOOKUP(C988, dd_accsrycalc!$A$2:$A$51, dd_accsrycalc!$E$2:$E$51, "",0), F988="Drainage Cover", _xlfn.XLOOKUP(C988, dd_accsrycalc!$A$2:$A$51, dd_accsrycalc!$F$2:$F$51, "",0),AND( F988="Double Adhesive Tape", I988="Roll-up Screen"), _xlfn.XLOOKUP(C988, calc_rusacc!$C$15:$C$65, calc_rusacc!$AD$15:$AD$65, "",0),AND( F988="Sealant", I988="Roll-up Screen"), _xlfn.XLOOKUP(C988, calc_rusacc!$C$15:$C$65, calc_rusacc!$AF$15:$AF$65, "",0),  AND( F988="Main Chain", I988="Accordion Screen"), _xlfn.XLOOKUP(C988, calc_rusacc!$C$15:$C$65, calc_rusacc!$BF$15:$BF$65, "",0), AND( F988="Sealant", I988="Accordion Screen"), _xlfn.XLOOKUP(C988, calc_rusacc!$C$15:$C$65, calc_rusacc!$BJ$15:$BJ$65, "",0),  F988="Sealant", _xlfn.XLOOKUP(C988, dd_accsrycalc!$A$2:$A$51, dd_accsrycalc!$G$2:$G$51, "",0),  F988&lt;&gt;"",L988*_xlfn.XLOOKUP(1, (SKUs!$C$2:$C$10001=G988)*(SKUs!$K$2:$K$10001=I988),SKUs!$E$2:$E$10001)), 0),"")</f>
        <v/>
      </c>
      <c r="E988" s="35" t="str">
        <f>_xlfn.XLOOKUP(F988,dd_item!$B$2:$B$105,dd_item!$C$2:$C$105,"",0)</f>
        <v/>
      </c>
      <c r="F988" s="35"/>
      <c r="G988" s="35" cm="1">
        <f t="array" ref="G988">IFERROR(_xlfn.XLOOKUP(1, (SKUs!$J$2:$J$10001=accsry_unmerged!F988)*IF(H988&lt;&gt;"",(SKUs!$L$2:$L$10001=accsry_unmerged!H988),1)*(SKUs!$K$2:$K$10001=I988),SKUs!$C$2:$C$10001),"")</f>
        <v>0</v>
      </c>
      <c r="H988" s="36" cm="1">
        <f t="array" ref="H988">IFERROR(_xlfn.XLOOKUP(1, (dd_accsryclr!$C$2:$C$1000=accsry_unmerged!F988)*(dd_accsryclr!$B$2:$B$1000=accsry_unmerged!J988),dd_accsryclr!$A$2:$A$1000),"")</f>
        <v>0</v>
      </c>
      <c r="I988" s="35">
        <f>_xlfn.XLOOKUP(C988,'Project Details'!$C$17:$C$66,'Project Details'!$E$17:$E$66,"",0)</f>
        <v>0</v>
      </c>
      <c r="J988" s="35">
        <f>_xlfn.XLOOKUP(C988,'Project Details'!$C$17:$C$66,'Project Details'!$H$17:$H$66,"",0)</f>
        <v>0</v>
      </c>
      <c r="K988" s="36" t="str">
        <f>IF(AND(_xlfn.XLOOKUP(C988,'Project Details'!$C$17:$C$66,'Project Details'!$L$17:$L$66,"",0)&gt;550, F988="Spring-L27cm"),"",SUBSTITUTE(_xlfn.XLOOKUP(G988,SKUs!$C$2:$C$10001,SKUs!$F$2:$F$10001,"",0), " Accessories",""))</f>
        <v/>
      </c>
      <c r="L988" s="36">
        <f>_xlfn.XLOOKUP(C988,'Project Details'!$C$17:$C$66,'Project Details'!$D$17:$D$66,"",0)</f>
        <v>0</v>
      </c>
      <c r="M988" s="43"/>
    </row>
    <row r="989" spans="1:13" ht="13.5" customHeight="1" x14ac:dyDescent="0.25">
      <c r="A989" s="43"/>
      <c r="B989" s="43"/>
      <c r="C989" s="16">
        <f t="shared" si="18"/>
        <v>20</v>
      </c>
      <c r="D989" s="16" t="str" cm="1">
        <f t="array" ref="D989">IFERROR(ROUNDUP(_xlfn.IFS(F989="Aluminum Track", _xlfn.XLOOKUP(C989, dd_accsrycalc!$A$2:$A$51, dd_accsrycalc!$B$2:$B$51, "",0), F989="10 x 2 1/2 S (Flat)", _xlfn.XLOOKUP(C989, dd_accsrycalc!$A$2:$A$51, dd_accsrycalc!$C$2:$C$51, "",0), F989="Tox6", _xlfn.XLOOKUP(C989, dd_accsrycalc!$A$2:$A$51, dd_accsrycalc!$D$2:$D$51, "",0), F989="Cover Cap", _xlfn.XLOOKUP(C989, dd_accsrycalc!$A$2:$A$51, dd_accsrycalc!$E$2:$E$51, "",0), F989="Drainage Cover", _xlfn.XLOOKUP(C989, dd_accsrycalc!$A$2:$A$51, dd_accsrycalc!$F$2:$F$51, "",0),AND( F989="Double Adhesive Tape", I989="Roll-up Screen"), _xlfn.XLOOKUP(C989, calc_rusacc!$C$15:$C$65, calc_rusacc!$AD$15:$AD$65, "",0),AND( F989="Sealant", I989="Roll-up Screen"), _xlfn.XLOOKUP(C989, calc_rusacc!$C$15:$C$65, calc_rusacc!$AF$15:$AF$65, "",0),  AND( F989="Main Chain", I989="Accordion Screen"), _xlfn.XLOOKUP(C989, calc_rusacc!$C$15:$C$65, calc_rusacc!$BF$15:$BF$65, "",0), AND( F989="Sealant", I989="Accordion Screen"), _xlfn.XLOOKUP(C989, calc_rusacc!$C$15:$C$65, calc_rusacc!$BJ$15:$BJ$65, "",0),  F989="Sealant", _xlfn.XLOOKUP(C989, dd_accsrycalc!$A$2:$A$51, dd_accsrycalc!$G$2:$G$51, "",0),  F989&lt;&gt;"",L989*_xlfn.XLOOKUP(1, (SKUs!$C$2:$C$10001=G989)*(SKUs!$K$2:$K$10001=I989),SKUs!$E$2:$E$10001)), 0),"")</f>
        <v/>
      </c>
      <c r="E989" s="16" t="str">
        <f>_xlfn.XLOOKUP(F989,dd_item!$B$2:$B$105,dd_item!$C$2:$C$105,"",0)</f>
        <v/>
      </c>
      <c r="F989" s="16"/>
      <c r="G989" s="16" cm="1">
        <f t="array" ref="G989">IFERROR(_xlfn.XLOOKUP(1, (SKUs!$J$2:$J$10001=accsry_unmerged!F989)*IF(H989&lt;&gt;"",(SKUs!$L$2:$L$10001=accsry_unmerged!H989),1)*(SKUs!$K$2:$K$10001=I989),SKUs!$C$2:$C$10001),"")</f>
        <v>0</v>
      </c>
      <c r="H989" s="33" cm="1">
        <f t="array" ref="H989">IFERROR(_xlfn.XLOOKUP(1, (dd_accsryclr!$C$2:$C$1000=accsry_unmerged!F989)*(dd_accsryclr!$B$2:$B$1000=accsry_unmerged!J989),dd_accsryclr!$A$2:$A$1000),"")</f>
        <v>0</v>
      </c>
      <c r="I989" s="16">
        <f>_xlfn.XLOOKUP(C989,'Project Details'!$C$17:$C$66,'Project Details'!$E$17:$E$66,"",0)</f>
        <v>0</v>
      </c>
      <c r="J989" s="16">
        <f>_xlfn.XLOOKUP(C989,'Project Details'!$C$17:$C$66,'Project Details'!$H$17:$H$66,"",0)</f>
        <v>0</v>
      </c>
      <c r="K989" s="33" t="str">
        <f>IF(AND(_xlfn.XLOOKUP(C989,'Project Details'!$C$17:$C$66,'Project Details'!$L$17:$L$66,"",0)&gt;550, F989="Spring-L27cm"),"",SUBSTITUTE(_xlfn.XLOOKUP(G989,SKUs!$C$2:$C$10001,SKUs!$F$2:$F$10001,"",0), " Accessories",""))</f>
        <v/>
      </c>
      <c r="L989" s="33">
        <f>_xlfn.XLOOKUP(C989,'Project Details'!$C$17:$C$66,'Project Details'!$D$17:$D$66,"",0)</f>
        <v>0</v>
      </c>
      <c r="M989" s="43"/>
    </row>
    <row r="990" spans="1:13" ht="13.5" customHeight="1" x14ac:dyDescent="0.25">
      <c r="A990" s="43"/>
      <c r="B990" s="43"/>
      <c r="C990" s="35">
        <f t="shared" si="18"/>
        <v>20</v>
      </c>
      <c r="D990" s="35" t="str" cm="1">
        <f t="array" ref="D990">IFERROR(ROUNDUP(_xlfn.IFS(F990="Aluminum Track", _xlfn.XLOOKUP(C990, dd_accsrycalc!$A$2:$A$51, dd_accsrycalc!$B$2:$B$51, "",0), F990="10 x 2 1/2 S (Flat)", _xlfn.XLOOKUP(C990, dd_accsrycalc!$A$2:$A$51, dd_accsrycalc!$C$2:$C$51, "",0), F990="Tox6", _xlfn.XLOOKUP(C990, dd_accsrycalc!$A$2:$A$51, dd_accsrycalc!$D$2:$D$51, "",0), F990="Cover Cap", _xlfn.XLOOKUP(C990, dd_accsrycalc!$A$2:$A$51, dd_accsrycalc!$E$2:$E$51, "",0), F990="Drainage Cover", _xlfn.XLOOKUP(C990, dd_accsrycalc!$A$2:$A$51, dd_accsrycalc!$F$2:$F$51, "",0),AND( F990="Double Adhesive Tape", I990="Roll-up Screen"), _xlfn.XLOOKUP(C990, calc_rusacc!$C$15:$C$65, calc_rusacc!$AD$15:$AD$65, "",0),AND( F990="Sealant", I990="Roll-up Screen"), _xlfn.XLOOKUP(C990, calc_rusacc!$C$15:$C$65, calc_rusacc!$AF$15:$AF$65, "",0),  AND( F990="Main Chain", I990="Accordion Screen"), _xlfn.XLOOKUP(C990, calc_rusacc!$C$15:$C$65, calc_rusacc!$BF$15:$BF$65, "",0), AND( F990="Sealant", I990="Accordion Screen"), _xlfn.XLOOKUP(C990, calc_rusacc!$C$15:$C$65, calc_rusacc!$BJ$15:$BJ$65, "",0),  F990="Sealant", _xlfn.XLOOKUP(C990, dd_accsrycalc!$A$2:$A$51, dd_accsrycalc!$G$2:$G$51, "",0),  F990&lt;&gt;"",L990*_xlfn.XLOOKUP(1, (SKUs!$C$2:$C$10001=G990)*(SKUs!$K$2:$K$10001=I990),SKUs!$E$2:$E$10001)), 0),"")</f>
        <v/>
      </c>
      <c r="E990" s="35" t="str">
        <f>_xlfn.XLOOKUP(F990,dd_item!$B$2:$B$105,dd_item!$C$2:$C$105,"",0)</f>
        <v/>
      </c>
      <c r="F990" s="35"/>
      <c r="G990" s="35" cm="1">
        <f t="array" ref="G990">IFERROR(_xlfn.XLOOKUP(1, (SKUs!$J$2:$J$10001=accsry_unmerged!F990)*IF(H990&lt;&gt;"",(SKUs!$L$2:$L$10001=accsry_unmerged!H990),1)*(SKUs!$K$2:$K$10001=I990),SKUs!$C$2:$C$10001),"")</f>
        <v>0</v>
      </c>
      <c r="H990" s="36" cm="1">
        <f t="array" ref="H990">IFERROR(_xlfn.XLOOKUP(1, (dd_accsryclr!$C$2:$C$1000=accsry_unmerged!F990)*(dd_accsryclr!$B$2:$B$1000=accsry_unmerged!J990),dd_accsryclr!$A$2:$A$1000),"")</f>
        <v>0</v>
      </c>
      <c r="I990" s="35">
        <f>_xlfn.XLOOKUP(C990,'Project Details'!$C$17:$C$66,'Project Details'!$E$17:$E$66,"",0)</f>
        <v>0</v>
      </c>
      <c r="J990" s="35">
        <f>_xlfn.XLOOKUP(C990,'Project Details'!$C$17:$C$66,'Project Details'!$H$17:$H$66,"",0)</f>
        <v>0</v>
      </c>
      <c r="K990" s="36" t="str">
        <f>IF(AND(_xlfn.XLOOKUP(C990,'Project Details'!$C$17:$C$66,'Project Details'!$L$17:$L$66,"",0)&gt;550, F990="Spring-L27cm"),"",SUBSTITUTE(_xlfn.XLOOKUP(G990,SKUs!$C$2:$C$10001,SKUs!$F$2:$F$10001,"",0), " Accessories",""))</f>
        <v/>
      </c>
      <c r="L990" s="36">
        <f>_xlfn.XLOOKUP(C990,'Project Details'!$C$17:$C$66,'Project Details'!$D$17:$D$66,"",0)</f>
        <v>0</v>
      </c>
      <c r="M990" s="43"/>
    </row>
    <row r="991" spans="1:13" ht="13.5" customHeight="1" x14ac:dyDescent="0.25">
      <c r="A991" s="43"/>
      <c r="B991" s="43"/>
      <c r="C991" s="16">
        <f t="shared" si="18"/>
        <v>20</v>
      </c>
      <c r="D991" s="16" t="str" cm="1">
        <f t="array" ref="D991">IFERROR(ROUNDUP(_xlfn.IFS(F991="Aluminum Track", _xlfn.XLOOKUP(C991, dd_accsrycalc!$A$2:$A$51, dd_accsrycalc!$B$2:$B$51, "",0), F991="10 x 2 1/2 S (Flat)", _xlfn.XLOOKUP(C991, dd_accsrycalc!$A$2:$A$51, dd_accsrycalc!$C$2:$C$51, "",0), F991="Tox6", _xlfn.XLOOKUP(C991, dd_accsrycalc!$A$2:$A$51, dd_accsrycalc!$D$2:$D$51, "",0), F991="Cover Cap", _xlfn.XLOOKUP(C991, dd_accsrycalc!$A$2:$A$51, dd_accsrycalc!$E$2:$E$51, "",0), F991="Drainage Cover", _xlfn.XLOOKUP(C991, dd_accsrycalc!$A$2:$A$51, dd_accsrycalc!$F$2:$F$51, "",0),AND( F991="Double Adhesive Tape", I991="Roll-up Screen"), _xlfn.XLOOKUP(C991, calc_rusacc!$C$15:$C$65, calc_rusacc!$AD$15:$AD$65, "",0),AND( F991="Sealant", I991="Roll-up Screen"), _xlfn.XLOOKUP(C991, calc_rusacc!$C$15:$C$65, calc_rusacc!$AF$15:$AF$65, "",0),  AND( F991="Main Chain", I991="Accordion Screen"), _xlfn.XLOOKUP(C991, calc_rusacc!$C$15:$C$65, calc_rusacc!$BF$15:$BF$65, "",0), AND( F991="Sealant", I991="Accordion Screen"), _xlfn.XLOOKUP(C991, calc_rusacc!$C$15:$C$65, calc_rusacc!$BJ$15:$BJ$65, "",0),  F991="Sealant", _xlfn.XLOOKUP(C991, dd_accsrycalc!$A$2:$A$51, dd_accsrycalc!$G$2:$G$51, "",0),  F991&lt;&gt;"",L991*_xlfn.XLOOKUP(1, (SKUs!$C$2:$C$10001=G991)*(SKUs!$K$2:$K$10001=I991),SKUs!$E$2:$E$10001)), 0),"")</f>
        <v/>
      </c>
      <c r="E991" s="16" t="str">
        <f>_xlfn.XLOOKUP(F991,dd_item!$B$2:$B$105,dd_item!$C$2:$C$105,"",0)</f>
        <v/>
      </c>
      <c r="F991" s="16"/>
      <c r="G991" s="16" cm="1">
        <f t="array" ref="G991">IFERROR(_xlfn.XLOOKUP(1, (SKUs!$J$2:$J$10001=accsry_unmerged!F991)*IF(H991&lt;&gt;"",(SKUs!$L$2:$L$10001=accsry_unmerged!H991),1)*(SKUs!$K$2:$K$10001=I991),SKUs!$C$2:$C$10001),"")</f>
        <v>0</v>
      </c>
      <c r="H991" s="33" cm="1">
        <f t="array" ref="H991">IFERROR(_xlfn.XLOOKUP(1, (dd_accsryclr!$C$2:$C$1000=accsry_unmerged!F991)*(dd_accsryclr!$B$2:$B$1000=accsry_unmerged!J991),dd_accsryclr!$A$2:$A$1000),"")</f>
        <v>0</v>
      </c>
      <c r="I991" s="16">
        <f>_xlfn.XLOOKUP(C991,'Project Details'!$C$17:$C$66,'Project Details'!$E$17:$E$66,"",0)</f>
        <v>0</v>
      </c>
      <c r="J991" s="16">
        <f>_xlfn.XLOOKUP(C991,'Project Details'!$C$17:$C$66,'Project Details'!$H$17:$H$66,"",0)</f>
        <v>0</v>
      </c>
      <c r="K991" s="33" t="str">
        <f>IF(AND(_xlfn.XLOOKUP(C991,'Project Details'!$C$17:$C$66,'Project Details'!$L$17:$L$66,"",0)&gt;550, F991="Spring-L27cm"),"",SUBSTITUTE(_xlfn.XLOOKUP(G991,SKUs!$C$2:$C$10001,SKUs!$F$2:$F$10001,"",0), " Accessories",""))</f>
        <v/>
      </c>
      <c r="L991" s="33">
        <f>_xlfn.XLOOKUP(C991,'Project Details'!$C$17:$C$66,'Project Details'!$D$17:$D$66,"",0)</f>
        <v>0</v>
      </c>
      <c r="M991" s="43"/>
    </row>
    <row r="992" spans="1:13" ht="13.5" customHeight="1" x14ac:dyDescent="0.25">
      <c r="A992" s="43"/>
      <c r="B992" s="43"/>
      <c r="C992" s="35">
        <f t="shared" si="18"/>
        <v>20</v>
      </c>
      <c r="D992" s="35" t="str" cm="1">
        <f t="array" ref="D992">IFERROR(ROUNDUP(_xlfn.IFS(F992="Aluminum Track", _xlfn.XLOOKUP(C992, dd_accsrycalc!$A$2:$A$51, dd_accsrycalc!$B$2:$B$51, "",0), F992="10 x 2 1/2 S (Flat)", _xlfn.XLOOKUP(C992, dd_accsrycalc!$A$2:$A$51, dd_accsrycalc!$C$2:$C$51, "",0), F992="Tox6", _xlfn.XLOOKUP(C992, dd_accsrycalc!$A$2:$A$51, dd_accsrycalc!$D$2:$D$51, "",0), F992="Cover Cap", _xlfn.XLOOKUP(C992, dd_accsrycalc!$A$2:$A$51, dd_accsrycalc!$E$2:$E$51, "",0), F992="Drainage Cover", _xlfn.XLOOKUP(C992, dd_accsrycalc!$A$2:$A$51, dd_accsrycalc!$F$2:$F$51, "",0),AND( F992="Double Adhesive Tape", I992="Roll-up Screen"), _xlfn.XLOOKUP(C992, calc_rusacc!$C$15:$C$65, calc_rusacc!$AD$15:$AD$65, "",0),AND( F992="Sealant", I992="Roll-up Screen"), _xlfn.XLOOKUP(C992, calc_rusacc!$C$15:$C$65, calc_rusacc!$AF$15:$AF$65, "",0),  AND( F992="Main Chain", I992="Accordion Screen"), _xlfn.XLOOKUP(C992, calc_rusacc!$C$15:$C$65, calc_rusacc!$BF$15:$BF$65, "",0), AND( F992="Sealant", I992="Accordion Screen"), _xlfn.XLOOKUP(C992, calc_rusacc!$C$15:$C$65, calc_rusacc!$BJ$15:$BJ$65, "",0),  F992="Sealant", _xlfn.XLOOKUP(C992, dd_accsrycalc!$A$2:$A$51, dd_accsrycalc!$G$2:$G$51, "",0),  F992&lt;&gt;"",L992*_xlfn.XLOOKUP(1, (SKUs!$C$2:$C$10001=G992)*(SKUs!$K$2:$K$10001=I992),SKUs!$E$2:$E$10001)), 0),"")</f>
        <v/>
      </c>
      <c r="E992" s="35" t="str">
        <f>_xlfn.XLOOKUP(F992,dd_item!$B$2:$B$105,dd_item!$C$2:$C$105,"",0)</f>
        <v/>
      </c>
      <c r="F992" s="35"/>
      <c r="G992" s="35" cm="1">
        <f t="array" ref="G992">IFERROR(_xlfn.XLOOKUP(1, (SKUs!$J$2:$J$10001=accsry_unmerged!F992)*IF(H992&lt;&gt;"",(SKUs!$L$2:$L$10001=accsry_unmerged!H992),1)*(SKUs!$K$2:$K$10001=I992),SKUs!$C$2:$C$10001),"")</f>
        <v>0</v>
      </c>
      <c r="H992" s="36" cm="1">
        <f t="array" ref="H992">IFERROR(_xlfn.XLOOKUP(1, (dd_accsryclr!$C$2:$C$1000=accsry_unmerged!F992)*(dd_accsryclr!$B$2:$B$1000=accsry_unmerged!J992),dd_accsryclr!$A$2:$A$1000),"")</f>
        <v>0</v>
      </c>
      <c r="I992" s="35">
        <f>_xlfn.XLOOKUP(C992,'Project Details'!$C$17:$C$66,'Project Details'!$E$17:$E$66,"",0)</f>
        <v>0</v>
      </c>
      <c r="J992" s="35">
        <f>_xlfn.XLOOKUP(C992,'Project Details'!$C$17:$C$66,'Project Details'!$H$17:$H$66,"",0)</f>
        <v>0</v>
      </c>
      <c r="K992" s="36" t="str">
        <f>IF(AND(_xlfn.XLOOKUP(C992,'Project Details'!$C$17:$C$66,'Project Details'!$L$17:$L$66,"",0)&gt;550, F992="Spring-L27cm"),"",SUBSTITUTE(_xlfn.XLOOKUP(G992,SKUs!$C$2:$C$10001,SKUs!$F$2:$F$10001,"",0), " Accessories",""))</f>
        <v/>
      </c>
      <c r="L992" s="36">
        <f>_xlfn.XLOOKUP(C992,'Project Details'!$C$17:$C$66,'Project Details'!$D$17:$D$66,"",0)</f>
        <v>0</v>
      </c>
      <c r="M992" s="43"/>
    </row>
    <row r="993" spans="1:13" ht="13.5" customHeight="1" x14ac:dyDescent="0.25">
      <c r="A993" s="43"/>
      <c r="B993" s="43"/>
      <c r="C993" s="16">
        <f t="shared" si="18"/>
        <v>20</v>
      </c>
      <c r="D993" s="16" t="str" cm="1">
        <f t="array" ref="D993">IFERROR(ROUNDUP(_xlfn.IFS(F993="Aluminum Track", _xlfn.XLOOKUP(C993, dd_accsrycalc!$A$2:$A$51, dd_accsrycalc!$B$2:$B$51, "",0), F993="10 x 2 1/2 S (Flat)", _xlfn.XLOOKUP(C993, dd_accsrycalc!$A$2:$A$51, dd_accsrycalc!$C$2:$C$51, "",0), F993="Tox6", _xlfn.XLOOKUP(C993, dd_accsrycalc!$A$2:$A$51, dd_accsrycalc!$D$2:$D$51, "",0), F993="Cover Cap", _xlfn.XLOOKUP(C993, dd_accsrycalc!$A$2:$A$51, dd_accsrycalc!$E$2:$E$51, "",0), F993="Drainage Cover", _xlfn.XLOOKUP(C993, dd_accsrycalc!$A$2:$A$51, dd_accsrycalc!$F$2:$F$51, "",0),AND( F993="Double Adhesive Tape", I993="Roll-up Screen"), _xlfn.XLOOKUP(C993, calc_rusacc!$C$15:$C$65, calc_rusacc!$AD$15:$AD$65, "",0),AND( F993="Sealant", I993="Roll-up Screen"), _xlfn.XLOOKUP(C993, calc_rusacc!$C$15:$C$65, calc_rusacc!$AF$15:$AF$65, "",0),  AND( F993="Main Chain", I993="Accordion Screen"), _xlfn.XLOOKUP(C993, calc_rusacc!$C$15:$C$65, calc_rusacc!$BF$15:$BF$65, "",0), AND( F993="Sealant", I993="Accordion Screen"), _xlfn.XLOOKUP(C993, calc_rusacc!$C$15:$C$65, calc_rusacc!$BJ$15:$BJ$65, "",0),  F993="Sealant", _xlfn.XLOOKUP(C993, dd_accsrycalc!$A$2:$A$51, dd_accsrycalc!$G$2:$G$51, "",0),  F993&lt;&gt;"",L993*_xlfn.XLOOKUP(1, (SKUs!$C$2:$C$10001=G993)*(SKUs!$K$2:$K$10001=I993),SKUs!$E$2:$E$10001)), 0),"")</f>
        <v/>
      </c>
      <c r="E993" s="16" t="str">
        <f>_xlfn.XLOOKUP(F993,dd_item!$B$2:$B$105,dd_item!$C$2:$C$105,"",0)</f>
        <v/>
      </c>
      <c r="F993" s="16"/>
      <c r="G993" s="16" cm="1">
        <f t="array" ref="G993">IFERROR(_xlfn.XLOOKUP(1, (SKUs!$J$2:$J$10001=accsry_unmerged!F993)*IF(H993&lt;&gt;"",(SKUs!$L$2:$L$10001=accsry_unmerged!H993),1)*(SKUs!$K$2:$K$10001=I993),SKUs!$C$2:$C$10001),"")</f>
        <v>0</v>
      </c>
      <c r="H993" s="33" cm="1">
        <f t="array" ref="H993">IFERROR(_xlfn.XLOOKUP(1, (dd_accsryclr!$C$2:$C$1000=accsry_unmerged!F993)*(dd_accsryclr!$B$2:$B$1000=accsry_unmerged!J993),dd_accsryclr!$A$2:$A$1000),"")</f>
        <v>0</v>
      </c>
      <c r="I993" s="16">
        <f>_xlfn.XLOOKUP(C993,'Project Details'!$C$17:$C$66,'Project Details'!$E$17:$E$66,"",0)</f>
        <v>0</v>
      </c>
      <c r="J993" s="16">
        <f>_xlfn.XLOOKUP(C993,'Project Details'!$C$17:$C$66,'Project Details'!$H$17:$H$66,"",0)</f>
        <v>0</v>
      </c>
      <c r="K993" s="33" t="str">
        <f>IF(AND(_xlfn.XLOOKUP(C993,'Project Details'!$C$17:$C$66,'Project Details'!$L$17:$L$66,"",0)&gt;550, F993="Spring-L27cm"),"",SUBSTITUTE(_xlfn.XLOOKUP(G993,SKUs!$C$2:$C$10001,SKUs!$F$2:$F$10001,"",0), " Accessories",""))</f>
        <v/>
      </c>
      <c r="L993" s="33">
        <f>_xlfn.XLOOKUP(C993,'Project Details'!$C$17:$C$66,'Project Details'!$D$17:$D$66,"",0)</f>
        <v>0</v>
      </c>
      <c r="M993" s="43"/>
    </row>
    <row r="994" spans="1:13" ht="13.5" customHeight="1" x14ac:dyDescent="0.25">
      <c r="A994" s="43"/>
      <c r="B994" s="43"/>
      <c r="C994" s="35">
        <f t="shared" si="18"/>
        <v>20</v>
      </c>
      <c r="D994" s="35" t="str" cm="1">
        <f t="array" ref="D994">IFERROR(ROUNDUP(_xlfn.IFS(F994="Aluminum Track", _xlfn.XLOOKUP(C994, dd_accsrycalc!$A$2:$A$51, dd_accsrycalc!$B$2:$B$51, "",0), F994="10 x 2 1/2 S (Flat)", _xlfn.XLOOKUP(C994, dd_accsrycalc!$A$2:$A$51, dd_accsrycalc!$C$2:$C$51, "",0), F994="Tox6", _xlfn.XLOOKUP(C994, dd_accsrycalc!$A$2:$A$51, dd_accsrycalc!$D$2:$D$51, "",0), F994="Cover Cap", _xlfn.XLOOKUP(C994, dd_accsrycalc!$A$2:$A$51, dd_accsrycalc!$E$2:$E$51, "",0), F994="Drainage Cover", _xlfn.XLOOKUP(C994, dd_accsrycalc!$A$2:$A$51, dd_accsrycalc!$F$2:$F$51, "",0),AND( F994="Double Adhesive Tape", I994="Roll-up Screen"), _xlfn.XLOOKUP(C994, calc_rusacc!$C$15:$C$65, calc_rusacc!$AD$15:$AD$65, "",0),AND( F994="Sealant", I994="Roll-up Screen"), _xlfn.XLOOKUP(C994, calc_rusacc!$C$15:$C$65, calc_rusacc!$AF$15:$AF$65, "",0),  AND( F994="Main Chain", I994="Accordion Screen"), _xlfn.XLOOKUP(C994, calc_rusacc!$C$15:$C$65, calc_rusacc!$BF$15:$BF$65, "",0), AND( F994="Sealant", I994="Accordion Screen"), _xlfn.XLOOKUP(C994, calc_rusacc!$C$15:$C$65, calc_rusacc!$BJ$15:$BJ$65, "",0),  F994="Sealant", _xlfn.XLOOKUP(C994, dd_accsrycalc!$A$2:$A$51, dd_accsrycalc!$G$2:$G$51, "",0),  F994&lt;&gt;"",L994*_xlfn.XLOOKUP(1, (SKUs!$C$2:$C$10001=G994)*(SKUs!$K$2:$K$10001=I994),SKUs!$E$2:$E$10001)), 0),"")</f>
        <v/>
      </c>
      <c r="E994" s="35" t="str">
        <f>_xlfn.XLOOKUP(F994,dd_item!$B$2:$B$105,dd_item!$C$2:$C$105,"",0)</f>
        <v/>
      </c>
      <c r="F994" s="35"/>
      <c r="G994" s="35" cm="1">
        <f t="array" ref="G994">IFERROR(_xlfn.XLOOKUP(1, (SKUs!$J$2:$J$10001=accsry_unmerged!F994)*IF(H994&lt;&gt;"",(SKUs!$L$2:$L$10001=accsry_unmerged!H994),1)*(SKUs!$K$2:$K$10001=I994),SKUs!$C$2:$C$10001),"")</f>
        <v>0</v>
      </c>
      <c r="H994" s="36" cm="1">
        <f t="array" ref="H994">IFERROR(_xlfn.XLOOKUP(1, (dd_accsryclr!$C$2:$C$1000=accsry_unmerged!F994)*(dd_accsryclr!$B$2:$B$1000=accsry_unmerged!J994),dd_accsryclr!$A$2:$A$1000),"")</f>
        <v>0</v>
      </c>
      <c r="I994" s="35">
        <f>_xlfn.XLOOKUP(C994,'Project Details'!$C$17:$C$66,'Project Details'!$E$17:$E$66,"",0)</f>
        <v>0</v>
      </c>
      <c r="J994" s="35">
        <f>_xlfn.XLOOKUP(C994,'Project Details'!$C$17:$C$66,'Project Details'!$H$17:$H$66,"",0)</f>
        <v>0</v>
      </c>
      <c r="K994" s="36" t="str">
        <f>IF(AND(_xlfn.XLOOKUP(C994,'Project Details'!$C$17:$C$66,'Project Details'!$L$17:$L$66,"",0)&gt;550, F994="Spring-L27cm"),"",SUBSTITUTE(_xlfn.XLOOKUP(G994,SKUs!$C$2:$C$10001,SKUs!$F$2:$F$10001,"",0), " Accessories",""))</f>
        <v/>
      </c>
      <c r="L994" s="36">
        <f>_xlfn.XLOOKUP(C994,'Project Details'!$C$17:$C$66,'Project Details'!$D$17:$D$66,"",0)</f>
        <v>0</v>
      </c>
      <c r="M994" s="43"/>
    </row>
    <row r="995" spans="1:13" ht="13.5" customHeight="1" outlineLevel="1" x14ac:dyDescent="0.25">
      <c r="A995" s="43"/>
      <c r="B995" s="43"/>
      <c r="C995" s="16">
        <f t="shared" si="18"/>
        <v>20</v>
      </c>
      <c r="D995" s="16" t="str" cm="1">
        <f t="array" ref="D995">IFERROR(ROUNDUP(_xlfn.IFS(F995="Aluminum Track", _xlfn.XLOOKUP(C995, dd_accsrycalc!$A$2:$A$51, dd_accsrycalc!$B$2:$B$51, "",0), F995="10 x 2 1/2 S (Flat)", _xlfn.XLOOKUP(C995, dd_accsrycalc!$A$2:$A$51, dd_accsrycalc!$C$2:$C$51, "",0), F995="Tox6", _xlfn.XLOOKUP(C995, dd_accsrycalc!$A$2:$A$51, dd_accsrycalc!$D$2:$D$51, "",0), F995="Cover Cap", _xlfn.XLOOKUP(C995, dd_accsrycalc!$A$2:$A$51, dd_accsrycalc!$E$2:$E$51, "",0), F995="Drainage Cover", _xlfn.XLOOKUP(C995, dd_accsrycalc!$A$2:$A$51, dd_accsrycalc!$F$2:$F$51, "",0),AND( F995="Double Adhesive Tape", I995="Roll-up Screen"), _xlfn.XLOOKUP(C995, calc_rusacc!$C$15:$C$65, calc_rusacc!$AD$15:$AD$65, "",0),AND( F995="Sealant", I995="Roll-up Screen"), _xlfn.XLOOKUP(C995, calc_rusacc!$C$15:$C$65, calc_rusacc!$AF$15:$AF$65, "",0),  AND( F995="Main Chain", I995="Accordion Screen"), _xlfn.XLOOKUP(C995, calc_rusacc!$C$15:$C$65, calc_rusacc!$BF$15:$BF$65, "",0), AND( F995="Sealant", I995="Accordion Screen"), _xlfn.XLOOKUP(C995, calc_rusacc!$C$15:$C$65, calc_rusacc!$BJ$15:$BJ$65, "",0),  F995="Sealant", _xlfn.XLOOKUP(C995, dd_accsrycalc!$A$2:$A$51, dd_accsrycalc!$G$2:$G$51, "",0),  F995&lt;&gt;"",L995*_xlfn.XLOOKUP(1, (SKUs!$C$2:$C$10001=G995)*(SKUs!$K$2:$K$10001=I995),SKUs!$E$2:$E$10001)), 0),"")</f>
        <v/>
      </c>
      <c r="E995" s="16" t="str">
        <f>_xlfn.XLOOKUP(F995,dd_item!$B$2:$B$105,dd_item!$C$2:$C$105,"",0)</f>
        <v/>
      </c>
      <c r="F995" s="16"/>
      <c r="G995" s="16" cm="1">
        <f t="array" ref="G995">IFERROR(_xlfn.XLOOKUP(1, (SKUs!$J$2:$J$10001=accsry_unmerged!F995)*IF(H995&lt;&gt;"",(SKUs!$L$2:$L$10001=accsry_unmerged!H995),1)*(SKUs!$K$2:$K$10001=I995),SKUs!$C$2:$C$10001),"")</f>
        <v>0</v>
      </c>
      <c r="H995" s="33" cm="1">
        <f t="array" ref="H995">IFERROR(_xlfn.XLOOKUP(1, (dd_accsryclr!$C$2:$C$1000=accsry_unmerged!F995)*(dd_accsryclr!$B$2:$B$1000=accsry_unmerged!J995),dd_accsryclr!$A$2:$A$1000),"")</f>
        <v>0</v>
      </c>
      <c r="I995" s="16">
        <f>_xlfn.XLOOKUP(C995,'Project Details'!$C$17:$C$66,'Project Details'!$E$17:$E$66,"",0)</f>
        <v>0</v>
      </c>
      <c r="J995" s="16">
        <f>_xlfn.XLOOKUP(C995,'Project Details'!$C$17:$C$66,'Project Details'!$H$17:$H$66,"",0)</f>
        <v>0</v>
      </c>
      <c r="K995" s="33" t="str">
        <f>IF(AND(_xlfn.XLOOKUP(C995,'Project Details'!$C$17:$C$66,'Project Details'!$L$17:$L$66,"",0)&gt;550, F995="Spring-L27cm"),"",SUBSTITUTE(_xlfn.XLOOKUP(G995,SKUs!$C$2:$C$10001,SKUs!$F$2:$F$10001,"",0), " Accessories",""))</f>
        <v/>
      </c>
      <c r="L995" s="33">
        <f>_xlfn.XLOOKUP(C995,'Project Details'!$C$17:$C$66,'Project Details'!$D$17:$D$66,"",0)</f>
        <v>0</v>
      </c>
      <c r="M995" s="43"/>
    </row>
    <row r="996" spans="1:13" ht="13.5" customHeight="1" outlineLevel="1" x14ac:dyDescent="0.25">
      <c r="A996" s="43"/>
      <c r="B996" s="43"/>
      <c r="C996" s="35">
        <f t="shared" si="18"/>
        <v>20</v>
      </c>
      <c r="D996" s="35" t="str" cm="1">
        <f t="array" ref="D996">IFERROR(ROUNDUP(_xlfn.IFS(F996="Aluminum Track", _xlfn.XLOOKUP(C996, dd_accsrycalc!$A$2:$A$51, dd_accsrycalc!$B$2:$B$51, "",0), F996="10 x 2 1/2 S (Flat)", _xlfn.XLOOKUP(C996, dd_accsrycalc!$A$2:$A$51, dd_accsrycalc!$C$2:$C$51, "",0), F996="Tox6", _xlfn.XLOOKUP(C996, dd_accsrycalc!$A$2:$A$51, dd_accsrycalc!$D$2:$D$51, "",0), F996="Cover Cap", _xlfn.XLOOKUP(C996, dd_accsrycalc!$A$2:$A$51, dd_accsrycalc!$E$2:$E$51, "",0), F996="Drainage Cover", _xlfn.XLOOKUP(C996, dd_accsrycalc!$A$2:$A$51, dd_accsrycalc!$F$2:$F$51, "",0),AND( F996="Double Adhesive Tape", I996="Roll-up Screen"), _xlfn.XLOOKUP(C996, calc_rusacc!$C$15:$C$65, calc_rusacc!$AD$15:$AD$65, "",0),AND( F996="Sealant", I996="Roll-up Screen"), _xlfn.XLOOKUP(C996, calc_rusacc!$C$15:$C$65, calc_rusacc!$AF$15:$AF$65, "",0),  AND( F996="Main Chain", I996="Accordion Screen"), _xlfn.XLOOKUP(C996, calc_rusacc!$C$15:$C$65, calc_rusacc!$BF$15:$BF$65, "",0), AND( F996="Sealant", I996="Accordion Screen"), _xlfn.XLOOKUP(C996, calc_rusacc!$C$15:$C$65, calc_rusacc!$BJ$15:$BJ$65, "",0),  F996="Sealant", _xlfn.XLOOKUP(C996, dd_accsrycalc!$A$2:$A$51, dd_accsrycalc!$G$2:$G$51, "",0),  F996&lt;&gt;"",L996*_xlfn.XLOOKUP(1, (SKUs!$C$2:$C$10001=G996)*(SKUs!$K$2:$K$10001=I996),SKUs!$E$2:$E$10001)), 0),"")</f>
        <v/>
      </c>
      <c r="E996" s="35" t="str">
        <f>_xlfn.XLOOKUP(F996,dd_item!$B$2:$B$105,dd_item!$C$2:$C$105,"",0)</f>
        <v/>
      </c>
      <c r="F996" s="35"/>
      <c r="G996" s="35" cm="1">
        <f t="array" ref="G996">IFERROR(_xlfn.XLOOKUP(1, (SKUs!$J$2:$J$10001=accsry_unmerged!F996)*IF(H996&lt;&gt;"",(SKUs!$L$2:$L$10001=accsry_unmerged!H996),1)*(SKUs!$K$2:$K$10001=I996),SKUs!$C$2:$C$10001),"")</f>
        <v>0</v>
      </c>
      <c r="H996" s="36" cm="1">
        <f t="array" ref="H996">IFERROR(_xlfn.XLOOKUP(1, (dd_accsryclr!$C$2:$C$1000=accsry_unmerged!F996)*(dd_accsryclr!$B$2:$B$1000=accsry_unmerged!J996),dd_accsryclr!$A$2:$A$1000),"")</f>
        <v>0</v>
      </c>
      <c r="I996" s="35">
        <f>_xlfn.XLOOKUP(C996,'Project Details'!$C$17:$C$66,'Project Details'!$E$17:$E$66,"",0)</f>
        <v>0</v>
      </c>
      <c r="J996" s="35">
        <f>_xlfn.XLOOKUP(C996,'Project Details'!$C$17:$C$66,'Project Details'!$H$17:$H$66,"",0)</f>
        <v>0</v>
      </c>
      <c r="K996" s="36" t="str">
        <f>IF(AND(_xlfn.XLOOKUP(C996,'Project Details'!$C$17:$C$66,'Project Details'!$L$17:$L$66,"",0)&gt;550, F996="Spring-L27cm"),"",SUBSTITUTE(_xlfn.XLOOKUP(G996,SKUs!$C$2:$C$10001,SKUs!$F$2:$F$10001,"",0), " Accessories",""))</f>
        <v/>
      </c>
      <c r="L996" s="36">
        <f>_xlfn.XLOOKUP(C996,'Project Details'!$C$17:$C$66,'Project Details'!$D$17:$D$66,"",0)</f>
        <v>0</v>
      </c>
      <c r="M996" s="43"/>
    </row>
    <row r="997" spans="1:13" ht="13.5" customHeight="1" outlineLevel="1" x14ac:dyDescent="0.25">
      <c r="A997" s="43"/>
      <c r="B997" s="43"/>
      <c r="C997" s="16">
        <f t="shared" si="18"/>
        <v>20</v>
      </c>
      <c r="D997" s="16" t="str" cm="1">
        <f t="array" ref="D997">IFERROR(ROUNDUP(_xlfn.IFS(F997="Aluminum Track", _xlfn.XLOOKUP(C997, dd_accsrycalc!$A$2:$A$51, dd_accsrycalc!$B$2:$B$51, "",0), F997="10 x 2 1/2 S (Flat)", _xlfn.XLOOKUP(C997, dd_accsrycalc!$A$2:$A$51, dd_accsrycalc!$C$2:$C$51, "",0), F997="Tox6", _xlfn.XLOOKUP(C997, dd_accsrycalc!$A$2:$A$51, dd_accsrycalc!$D$2:$D$51, "",0), F997="Cover Cap", _xlfn.XLOOKUP(C997, dd_accsrycalc!$A$2:$A$51, dd_accsrycalc!$E$2:$E$51, "",0), F997="Drainage Cover", _xlfn.XLOOKUP(C997, dd_accsrycalc!$A$2:$A$51, dd_accsrycalc!$F$2:$F$51, "",0),AND( F997="Double Adhesive Tape", I997="Roll-up Screen"), _xlfn.XLOOKUP(C997, calc_rusacc!$C$15:$C$65, calc_rusacc!$AD$15:$AD$65, "",0),AND( F997="Sealant", I997="Roll-up Screen"), _xlfn.XLOOKUP(C997, calc_rusacc!$C$15:$C$65, calc_rusacc!$AF$15:$AF$65, "",0),  AND( F997="Main Chain", I997="Accordion Screen"), _xlfn.XLOOKUP(C997, calc_rusacc!$C$15:$C$65, calc_rusacc!$BF$15:$BF$65, "",0), AND( F997="Sealant", I997="Accordion Screen"), _xlfn.XLOOKUP(C997, calc_rusacc!$C$15:$C$65, calc_rusacc!$BJ$15:$BJ$65, "",0),  F997="Sealant", _xlfn.XLOOKUP(C997, dd_accsrycalc!$A$2:$A$51, dd_accsrycalc!$G$2:$G$51, "",0),  F997&lt;&gt;"",L997*_xlfn.XLOOKUP(1, (SKUs!$C$2:$C$10001=G997)*(SKUs!$K$2:$K$10001=I997),SKUs!$E$2:$E$10001)), 0),"")</f>
        <v/>
      </c>
      <c r="E997" s="16" t="str">
        <f>_xlfn.XLOOKUP(F997,dd_item!$B$2:$B$105,dd_item!$C$2:$C$105,"",0)</f>
        <v/>
      </c>
      <c r="F997" s="16"/>
      <c r="G997" s="16" cm="1">
        <f t="array" ref="G997">IFERROR(_xlfn.XLOOKUP(1, (SKUs!$J$2:$J$10001=accsry_unmerged!F997)*IF(H997&lt;&gt;"",(SKUs!$L$2:$L$10001=accsry_unmerged!H997),1)*(SKUs!$K$2:$K$10001=I997),SKUs!$C$2:$C$10001),"")</f>
        <v>0</v>
      </c>
      <c r="H997" s="33" cm="1">
        <f t="array" ref="H997">IFERROR(_xlfn.XLOOKUP(1, (dd_accsryclr!$C$2:$C$1000=accsry_unmerged!F997)*(dd_accsryclr!$B$2:$B$1000=accsry_unmerged!J997),dd_accsryclr!$A$2:$A$1000),"")</f>
        <v>0</v>
      </c>
      <c r="I997" s="16">
        <f>_xlfn.XLOOKUP(C997,'Project Details'!$C$17:$C$66,'Project Details'!$E$17:$E$66,"",0)</f>
        <v>0</v>
      </c>
      <c r="J997" s="16">
        <f>_xlfn.XLOOKUP(C997,'Project Details'!$C$17:$C$66,'Project Details'!$H$17:$H$66,"",0)</f>
        <v>0</v>
      </c>
      <c r="K997" s="33" t="str">
        <f>IF(AND(_xlfn.XLOOKUP(C997,'Project Details'!$C$17:$C$66,'Project Details'!$L$17:$L$66,"",0)&gt;550, F997="Spring-L27cm"),"",SUBSTITUTE(_xlfn.XLOOKUP(G997,SKUs!$C$2:$C$10001,SKUs!$F$2:$F$10001,"",0), " Accessories",""))</f>
        <v/>
      </c>
      <c r="L997" s="33">
        <f>_xlfn.XLOOKUP(C997,'Project Details'!$C$17:$C$66,'Project Details'!$D$17:$D$66,"",0)</f>
        <v>0</v>
      </c>
      <c r="M997" s="43"/>
    </row>
    <row r="998" spans="1:13" ht="13.5" customHeight="1" outlineLevel="1" x14ac:dyDescent="0.25">
      <c r="A998" s="43"/>
      <c r="B998" s="43"/>
      <c r="C998" s="35">
        <f t="shared" si="18"/>
        <v>20</v>
      </c>
      <c r="D998" s="35" t="str" cm="1">
        <f t="array" ref="D998">IFERROR(ROUNDUP(_xlfn.IFS(F998="Aluminum Track", _xlfn.XLOOKUP(C998, dd_accsrycalc!$A$2:$A$51, dd_accsrycalc!$B$2:$B$51, "",0), F998="10 x 2 1/2 S (Flat)", _xlfn.XLOOKUP(C998, dd_accsrycalc!$A$2:$A$51, dd_accsrycalc!$C$2:$C$51, "",0), F998="Tox6", _xlfn.XLOOKUP(C998, dd_accsrycalc!$A$2:$A$51, dd_accsrycalc!$D$2:$D$51, "",0), F998="Cover Cap", _xlfn.XLOOKUP(C998, dd_accsrycalc!$A$2:$A$51, dd_accsrycalc!$E$2:$E$51, "",0), F998="Drainage Cover", _xlfn.XLOOKUP(C998, dd_accsrycalc!$A$2:$A$51, dd_accsrycalc!$F$2:$F$51, "",0),AND( F998="Double Adhesive Tape", I998="Roll-up Screen"), _xlfn.XLOOKUP(C998, calc_rusacc!$C$15:$C$65, calc_rusacc!$AD$15:$AD$65, "",0),AND( F998="Sealant", I998="Roll-up Screen"), _xlfn.XLOOKUP(C998, calc_rusacc!$C$15:$C$65, calc_rusacc!$AF$15:$AF$65, "",0),  AND( F998="Main Chain", I998="Accordion Screen"), _xlfn.XLOOKUP(C998, calc_rusacc!$C$15:$C$65, calc_rusacc!$BF$15:$BF$65, "",0), AND( F998="Sealant", I998="Accordion Screen"), _xlfn.XLOOKUP(C998, calc_rusacc!$C$15:$C$65, calc_rusacc!$BJ$15:$BJ$65, "",0),  F998="Sealant", _xlfn.XLOOKUP(C998, dd_accsrycalc!$A$2:$A$51, dd_accsrycalc!$G$2:$G$51, "",0),  F998&lt;&gt;"",L998*_xlfn.XLOOKUP(1, (SKUs!$C$2:$C$10001=G998)*(SKUs!$K$2:$K$10001=I998),SKUs!$E$2:$E$10001)), 0),"")</f>
        <v/>
      </c>
      <c r="E998" s="35" t="str">
        <f>_xlfn.XLOOKUP(F998,dd_item!$B$2:$B$105,dd_item!$C$2:$C$105,"",0)</f>
        <v/>
      </c>
      <c r="F998" s="35"/>
      <c r="G998" s="35" cm="1">
        <f t="array" ref="G998">IFERROR(_xlfn.XLOOKUP(1, (SKUs!$J$2:$J$10001=accsry_unmerged!F998)*IF(H998&lt;&gt;"",(SKUs!$L$2:$L$10001=accsry_unmerged!H998),1)*(SKUs!$K$2:$K$10001=I998),SKUs!$C$2:$C$10001),"")</f>
        <v>0</v>
      </c>
      <c r="H998" s="36" cm="1">
        <f t="array" ref="H998">IFERROR(_xlfn.XLOOKUP(1, (dd_accsryclr!$C$2:$C$1000=accsry_unmerged!F998)*(dd_accsryclr!$B$2:$B$1000=accsry_unmerged!J998),dd_accsryclr!$A$2:$A$1000),"")</f>
        <v>0</v>
      </c>
      <c r="I998" s="35">
        <f>_xlfn.XLOOKUP(C998,'Project Details'!$C$17:$C$66,'Project Details'!$E$17:$E$66,"",0)</f>
        <v>0</v>
      </c>
      <c r="J998" s="35">
        <f>_xlfn.XLOOKUP(C998,'Project Details'!$C$17:$C$66,'Project Details'!$H$17:$H$66,"",0)</f>
        <v>0</v>
      </c>
      <c r="K998" s="36" t="str">
        <f>IF(AND(_xlfn.XLOOKUP(C998,'Project Details'!$C$17:$C$66,'Project Details'!$L$17:$L$66,"",0)&gt;550, F998="Spring-L27cm"),"",SUBSTITUTE(_xlfn.XLOOKUP(G998,SKUs!$C$2:$C$10001,SKUs!$F$2:$F$10001,"",0), " Accessories",""))</f>
        <v/>
      </c>
      <c r="L998" s="36">
        <f>_xlfn.XLOOKUP(C998,'Project Details'!$C$17:$C$66,'Project Details'!$D$17:$D$66,"",0)</f>
        <v>0</v>
      </c>
      <c r="M998" s="43"/>
    </row>
    <row r="999" spans="1:13" ht="13.5" customHeight="1" outlineLevel="1" x14ac:dyDescent="0.25">
      <c r="A999" s="43"/>
      <c r="B999" s="43"/>
      <c r="C999" s="16">
        <f t="shared" si="18"/>
        <v>20</v>
      </c>
      <c r="D999" s="16" t="str" cm="1">
        <f t="array" ref="D999">IFERROR(ROUNDUP(_xlfn.IFS(F999="Aluminum Track", _xlfn.XLOOKUP(C999, dd_accsrycalc!$A$2:$A$51, dd_accsrycalc!$B$2:$B$51, "",0), F999="10 x 2 1/2 S (Flat)", _xlfn.XLOOKUP(C999, dd_accsrycalc!$A$2:$A$51, dd_accsrycalc!$C$2:$C$51, "",0), F999="Tox6", _xlfn.XLOOKUP(C999, dd_accsrycalc!$A$2:$A$51, dd_accsrycalc!$D$2:$D$51, "",0), F999="Cover Cap", _xlfn.XLOOKUP(C999, dd_accsrycalc!$A$2:$A$51, dd_accsrycalc!$E$2:$E$51, "",0), F999="Drainage Cover", _xlfn.XLOOKUP(C999, dd_accsrycalc!$A$2:$A$51, dd_accsrycalc!$F$2:$F$51, "",0),AND( F999="Double Adhesive Tape", I999="Roll-up Screen"), _xlfn.XLOOKUP(C999, calc_rusacc!$C$15:$C$65, calc_rusacc!$AD$15:$AD$65, "",0),AND( F999="Sealant", I999="Roll-up Screen"), _xlfn.XLOOKUP(C999, calc_rusacc!$C$15:$C$65, calc_rusacc!$AF$15:$AF$65, "",0),  AND( F999="Main Chain", I999="Accordion Screen"), _xlfn.XLOOKUP(C999, calc_rusacc!$C$15:$C$65, calc_rusacc!$BF$15:$BF$65, "",0), AND( F999="Sealant", I999="Accordion Screen"), _xlfn.XLOOKUP(C999, calc_rusacc!$C$15:$C$65, calc_rusacc!$BJ$15:$BJ$65, "",0),  F999="Sealant", _xlfn.XLOOKUP(C999, dd_accsrycalc!$A$2:$A$51, dd_accsrycalc!$G$2:$G$51, "",0),  F999&lt;&gt;"",L999*_xlfn.XLOOKUP(1, (SKUs!$C$2:$C$10001=G999)*(SKUs!$K$2:$K$10001=I999),SKUs!$E$2:$E$10001)), 0),"")</f>
        <v/>
      </c>
      <c r="E999" s="16" t="str">
        <f>_xlfn.XLOOKUP(F999,dd_item!$B$2:$B$105,dd_item!$C$2:$C$105,"",0)</f>
        <v/>
      </c>
      <c r="F999" s="16"/>
      <c r="G999" s="16" cm="1">
        <f t="array" ref="G999">IFERROR(_xlfn.XLOOKUP(1, (SKUs!$J$2:$J$10001=accsry_unmerged!F999)*IF(H999&lt;&gt;"",(SKUs!$L$2:$L$10001=accsry_unmerged!H999),1)*(SKUs!$K$2:$K$10001=I999),SKUs!$C$2:$C$10001),"")</f>
        <v>0</v>
      </c>
      <c r="H999" s="33" cm="1">
        <f t="array" ref="H999">IFERROR(_xlfn.XLOOKUP(1, (dd_accsryclr!$C$2:$C$1000=accsry_unmerged!F999)*(dd_accsryclr!$B$2:$B$1000=accsry_unmerged!J999),dd_accsryclr!$A$2:$A$1000),"")</f>
        <v>0</v>
      </c>
      <c r="I999" s="16">
        <f>_xlfn.XLOOKUP(C999,'Project Details'!$C$17:$C$66,'Project Details'!$E$17:$E$66,"",0)</f>
        <v>0</v>
      </c>
      <c r="J999" s="16">
        <f>_xlfn.XLOOKUP(C999,'Project Details'!$C$17:$C$66,'Project Details'!$H$17:$H$66,"",0)</f>
        <v>0</v>
      </c>
      <c r="K999" s="33" t="str">
        <f>IF(AND(_xlfn.XLOOKUP(C999,'Project Details'!$C$17:$C$66,'Project Details'!$L$17:$L$66,"",0)&gt;550, F999="Spring-L27cm"),"",SUBSTITUTE(_xlfn.XLOOKUP(G999,SKUs!$C$2:$C$10001,SKUs!$F$2:$F$10001,"",0), " Accessories",""))</f>
        <v/>
      </c>
      <c r="L999" s="33">
        <f>_xlfn.XLOOKUP(C999,'Project Details'!$C$17:$C$66,'Project Details'!$D$17:$D$66,"",0)</f>
        <v>0</v>
      </c>
      <c r="M999" s="43"/>
    </row>
    <row r="1000" spans="1:13" ht="13.5" customHeight="1" outlineLevel="1" x14ac:dyDescent="0.25">
      <c r="A1000" s="43"/>
      <c r="B1000" s="43"/>
      <c r="C1000" s="35">
        <f t="shared" si="18"/>
        <v>20</v>
      </c>
      <c r="D1000" s="35" t="str" cm="1">
        <f t="array" ref="D1000">IFERROR(ROUNDUP(_xlfn.IFS(F1000="Aluminum Track", _xlfn.XLOOKUP(C1000, dd_accsrycalc!$A$2:$A$51, dd_accsrycalc!$B$2:$B$51, "",0), F1000="10 x 2 1/2 S (Flat)", _xlfn.XLOOKUP(C1000, dd_accsrycalc!$A$2:$A$51, dd_accsrycalc!$C$2:$C$51, "",0), F1000="Tox6", _xlfn.XLOOKUP(C1000, dd_accsrycalc!$A$2:$A$51, dd_accsrycalc!$D$2:$D$51, "",0), F1000="Cover Cap", _xlfn.XLOOKUP(C1000, dd_accsrycalc!$A$2:$A$51, dd_accsrycalc!$E$2:$E$51, "",0), F1000="Drainage Cover", _xlfn.XLOOKUP(C1000, dd_accsrycalc!$A$2:$A$51, dd_accsrycalc!$F$2:$F$51, "",0),AND( F1000="Double Adhesive Tape", I1000="Roll-up Screen"), _xlfn.XLOOKUP(C1000, calc_rusacc!$C$15:$C$65, calc_rusacc!$AD$15:$AD$65, "",0),AND( F1000="Sealant", I1000="Roll-up Screen"), _xlfn.XLOOKUP(C1000, calc_rusacc!$C$15:$C$65, calc_rusacc!$AF$15:$AF$65, "",0),  AND( F1000="Main Chain", I1000="Accordion Screen"), _xlfn.XLOOKUP(C1000, calc_rusacc!$C$15:$C$65, calc_rusacc!$BF$15:$BF$65, "",0), AND( F1000="Sealant", I1000="Accordion Screen"), _xlfn.XLOOKUP(C1000, calc_rusacc!$C$15:$C$65, calc_rusacc!$BJ$15:$BJ$65, "",0),  F1000="Sealant", _xlfn.XLOOKUP(C1000, dd_accsrycalc!$A$2:$A$51, dd_accsrycalc!$G$2:$G$51, "",0),  F1000&lt;&gt;"",L1000*_xlfn.XLOOKUP(1, (SKUs!$C$2:$C$10001=G1000)*(SKUs!$K$2:$K$10001=I1000),SKUs!$E$2:$E$10001)), 0),"")</f>
        <v/>
      </c>
      <c r="E1000" s="35" t="str">
        <f>_xlfn.XLOOKUP(F1000,dd_item!$B$2:$B$105,dd_item!$C$2:$C$105,"",0)</f>
        <v/>
      </c>
      <c r="F1000" s="35"/>
      <c r="G1000" s="35" cm="1">
        <f t="array" ref="G1000">IFERROR(_xlfn.XLOOKUP(1, (SKUs!$J$2:$J$10001=accsry_unmerged!F1000)*IF(H1000&lt;&gt;"",(SKUs!$L$2:$L$10001=accsry_unmerged!H1000),1)*(SKUs!$K$2:$K$10001=I1000),SKUs!$C$2:$C$10001),"")</f>
        <v>0</v>
      </c>
      <c r="H1000" s="36" cm="1">
        <f t="array" ref="H1000">IFERROR(_xlfn.XLOOKUP(1, (dd_accsryclr!$C$2:$C$1000=accsry_unmerged!F1000)*(dd_accsryclr!$B$2:$B$1000=accsry_unmerged!J1000),dd_accsryclr!$A$2:$A$1000),"")</f>
        <v>0</v>
      </c>
      <c r="I1000" s="35">
        <f>_xlfn.XLOOKUP(C1000,'Project Details'!$C$17:$C$66,'Project Details'!$E$17:$E$66,"",0)</f>
        <v>0</v>
      </c>
      <c r="J1000" s="35">
        <f>_xlfn.XLOOKUP(C1000,'Project Details'!$C$17:$C$66,'Project Details'!$H$17:$H$66,"",0)</f>
        <v>0</v>
      </c>
      <c r="K1000" s="36" t="str">
        <f>IF(AND(_xlfn.XLOOKUP(C1000,'Project Details'!$C$17:$C$66,'Project Details'!$L$17:$L$66,"",0)&gt;550, F1000="Spring-L27cm"),"",SUBSTITUTE(_xlfn.XLOOKUP(G1000,SKUs!$C$2:$C$10001,SKUs!$F$2:$F$10001,"",0), " Accessories",""))</f>
        <v/>
      </c>
      <c r="L1000" s="36">
        <f>_xlfn.XLOOKUP(C1000,'Project Details'!$C$17:$C$66,'Project Details'!$D$17:$D$66,"",0)</f>
        <v>0</v>
      </c>
      <c r="M1000" s="43"/>
    </row>
    <row r="1001" spans="1:13" ht="13.5" customHeight="1" outlineLevel="1" x14ac:dyDescent="0.25">
      <c r="A1001" s="43"/>
      <c r="B1001" s="43"/>
      <c r="C1001" s="16">
        <f t="shared" si="18"/>
        <v>20</v>
      </c>
      <c r="D1001" s="16" t="str" cm="1">
        <f t="array" ref="D1001">IFERROR(ROUNDUP(_xlfn.IFS(F1001="Aluminum Track", _xlfn.XLOOKUP(C1001, dd_accsrycalc!$A$2:$A$51, dd_accsrycalc!$B$2:$B$51, "",0), F1001="10 x 2 1/2 S (Flat)", _xlfn.XLOOKUP(C1001, dd_accsrycalc!$A$2:$A$51, dd_accsrycalc!$C$2:$C$51, "",0), F1001="Tox6", _xlfn.XLOOKUP(C1001, dd_accsrycalc!$A$2:$A$51, dd_accsrycalc!$D$2:$D$51, "",0), F1001="Cover Cap", _xlfn.XLOOKUP(C1001, dd_accsrycalc!$A$2:$A$51, dd_accsrycalc!$E$2:$E$51, "",0), F1001="Drainage Cover", _xlfn.XLOOKUP(C1001, dd_accsrycalc!$A$2:$A$51, dd_accsrycalc!$F$2:$F$51, "",0),AND( F1001="Double Adhesive Tape", I1001="Roll-up Screen"), _xlfn.XLOOKUP(C1001, calc_rusacc!$C$15:$C$65, calc_rusacc!$AD$15:$AD$65, "",0),AND( F1001="Sealant", I1001="Roll-up Screen"), _xlfn.XLOOKUP(C1001, calc_rusacc!$C$15:$C$65, calc_rusacc!$AF$15:$AF$65, "",0),  AND( F1001="Main Chain", I1001="Accordion Screen"), _xlfn.XLOOKUP(C1001, calc_rusacc!$C$15:$C$65, calc_rusacc!$BF$15:$BF$65, "",0), AND( F1001="Sealant", I1001="Accordion Screen"), _xlfn.XLOOKUP(C1001, calc_rusacc!$C$15:$C$65, calc_rusacc!$BJ$15:$BJ$65, "",0),  F1001="Sealant", _xlfn.XLOOKUP(C1001, dd_accsrycalc!$A$2:$A$51, dd_accsrycalc!$G$2:$G$51, "",0),  F1001&lt;&gt;"",L1001*_xlfn.XLOOKUP(1, (SKUs!$C$2:$C$10001=G1001)*(SKUs!$K$2:$K$10001=I1001),SKUs!$E$2:$E$10001)), 0),"")</f>
        <v/>
      </c>
      <c r="E1001" s="16" t="str">
        <f>_xlfn.XLOOKUP(F1001,dd_item!$B$2:$B$105,dd_item!$C$2:$C$105,"",0)</f>
        <v/>
      </c>
      <c r="F1001" s="16"/>
      <c r="G1001" s="16" cm="1">
        <f t="array" ref="G1001">IFERROR(_xlfn.XLOOKUP(1, (SKUs!$J$2:$J$10001=accsry_unmerged!F1001)*IF(H1001&lt;&gt;"",(SKUs!$L$2:$L$10001=accsry_unmerged!H1001),1)*(SKUs!$K$2:$K$10001=I1001),SKUs!$C$2:$C$10001),"")</f>
        <v>0</v>
      </c>
      <c r="H1001" s="33" cm="1">
        <f t="array" ref="H1001">IFERROR(_xlfn.XLOOKUP(1, (dd_accsryclr!$C$2:$C$1000=accsry_unmerged!F1001)*(dd_accsryclr!$B$2:$B$1000=accsry_unmerged!J1001),dd_accsryclr!$A$2:$A$1000),"")</f>
        <v>0</v>
      </c>
      <c r="I1001" s="16">
        <f>_xlfn.XLOOKUP(C1001,'Project Details'!$C$17:$C$66,'Project Details'!$E$17:$E$66,"",0)</f>
        <v>0</v>
      </c>
      <c r="J1001" s="16">
        <f>_xlfn.XLOOKUP(C1001,'Project Details'!$C$17:$C$66,'Project Details'!$H$17:$H$66,"",0)</f>
        <v>0</v>
      </c>
      <c r="K1001" s="33" t="str">
        <f>IF(AND(_xlfn.XLOOKUP(C1001,'Project Details'!$C$17:$C$66,'Project Details'!$L$17:$L$66,"",0)&gt;550, F1001="Spring-L27cm"),"",SUBSTITUTE(_xlfn.XLOOKUP(G1001,SKUs!$C$2:$C$10001,SKUs!$F$2:$F$10001,"",0), " Accessories",""))</f>
        <v/>
      </c>
      <c r="L1001" s="33">
        <f>_xlfn.XLOOKUP(C1001,'Project Details'!$C$17:$C$66,'Project Details'!$D$17:$D$66,"",0)</f>
        <v>0</v>
      </c>
      <c r="M1001" s="43"/>
    </row>
    <row r="1002" spans="1:13" ht="13.5" customHeight="1" outlineLevel="1" x14ac:dyDescent="0.25">
      <c r="A1002" s="43"/>
      <c r="B1002" s="43"/>
      <c r="C1002" s="35">
        <f t="shared" si="18"/>
        <v>20</v>
      </c>
      <c r="D1002" s="35" t="str" cm="1">
        <f t="array" ref="D1002">IFERROR(ROUNDUP(_xlfn.IFS(F1002="Aluminum Track", _xlfn.XLOOKUP(C1002, dd_accsrycalc!$A$2:$A$51, dd_accsrycalc!$B$2:$B$51, "",0), F1002="10 x 2 1/2 S (Flat)", _xlfn.XLOOKUP(C1002, dd_accsrycalc!$A$2:$A$51, dd_accsrycalc!$C$2:$C$51, "",0), F1002="Tox6", _xlfn.XLOOKUP(C1002, dd_accsrycalc!$A$2:$A$51, dd_accsrycalc!$D$2:$D$51, "",0), F1002="Cover Cap", _xlfn.XLOOKUP(C1002, dd_accsrycalc!$A$2:$A$51, dd_accsrycalc!$E$2:$E$51, "",0), F1002="Drainage Cover", _xlfn.XLOOKUP(C1002, dd_accsrycalc!$A$2:$A$51, dd_accsrycalc!$F$2:$F$51, "",0),AND( F1002="Double Adhesive Tape", I1002="Roll-up Screen"), _xlfn.XLOOKUP(C1002, calc_rusacc!$C$15:$C$65, calc_rusacc!$AD$15:$AD$65, "",0),AND( F1002="Sealant", I1002="Roll-up Screen"), _xlfn.XLOOKUP(C1002, calc_rusacc!$C$15:$C$65, calc_rusacc!$AF$15:$AF$65, "",0),  AND( F1002="Main Chain", I1002="Accordion Screen"), _xlfn.XLOOKUP(C1002, calc_rusacc!$C$15:$C$65, calc_rusacc!$BF$15:$BF$65, "",0), AND( F1002="Sealant", I1002="Accordion Screen"), _xlfn.XLOOKUP(C1002, calc_rusacc!$C$15:$C$65, calc_rusacc!$BJ$15:$BJ$65, "",0),  F1002="Sealant", _xlfn.XLOOKUP(C1002, dd_accsrycalc!$A$2:$A$51, dd_accsrycalc!$G$2:$G$51, "",0),  F1002&lt;&gt;"",L1002*_xlfn.XLOOKUP(1, (SKUs!$C$2:$C$10001=G1002)*(SKUs!$K$2:$K$10001=I1002),SKUs!$E$2:$E$10001)), 0),"")</f>
        <v/>
      </c>
      <c r="E1002" s="35" t="str">
        <f>_xlfn.XLOOKUP(F1002,dd_item!$B$2:$B$105,dd_item!$C$2:$C$105,"",0)</f>
        <v/>
      </c>
      <c r="F1002" s="35"/>
      <c r="G1002" s="35" cm="1">
        <f t="array" ref="G1002">IFERROR(_xlfn.XLOOKUP(1, (SKUs!$J$2:$J$10001=accsry_unmerged!F1002)*IF(H1002&lt;&gt;"",(SKUs!$L$2:$L$10001=accsry_unmerged!H1002),1)*(SKUs!$K$2:$K$10001=I1002),SKUs!$C$2:$C$10001),"")</f>
        <v>0</v>
      </c>
      <c r="H1002" s="36" cm="1">
        <f t="array" ref="H1002">IFERROR(_xlfn.XLOOKUP(1, (dd_accsryclr!$C$2:$C$1000=accsry_unmerged!F1002)*(dd_accsryclr!$B$2:$B$1000=accsry_unmerged!J1002),dd_accsryclr!$A$2:$A$1000),"")</f>
        <v>0</v>
      </c>
      <c r="I1002" s="35">
        <f>_xlfn.XLOOKUP(C1002,'Project Details'!$C$17:$C$66,'Project Details'!$E$17:$E$66,"",0)</f>
        <v>0</v>
      </c>
      <c r="J1002" s="35">
        <f>_xlfn.XLOOKUP(C1002,'Project Details'!$C$17:$C$66,'Project Details'!$H$17:$H$66,"",0)</f>
        <v>0</v>
      </c>
      <c r="K1002" s="36" t="str">
        <f>IF(AND(_xlfn.XLOOKUP(C1002,'Project Details'!$C$17:$C$66,'Project Details'!$L$17:$L$66,"",0)&gt;550, F1002="Spring-L27cm"),"",SUBSTITUTE(_xlfn.XLOOKUP(G1002,SKUs!$C$2:$C$10001,SKUs!$F$2:$F$10001,"",0), " Accessories",""))</f>
        <v/>
      </c>
      <c r="L1002" s="36">
        <f>_xlfn.XLOOKUP(C1002,'Project Details'!$C$17:$C$66,'Project Details'!$D$17:$D$66,"",0)</f>
        <v>0</v>
      </c>
      <c r="M1002" s="43"/>
    </row>
    <row r="1003" spans="1:13" ht="13.5" customHeight="1" outlineLevel="1" x14ac:dyDescent="0.25">
      <c r="A1003" s="43"/>
      <c r="B1003" s="43"/>
      <c r="C1003" s="16">
        <f t="shared" si="18"/>
        <v>20</v>
      </c>
      <c r="D1003" s="16" t="str" cm="1">
        <f t="array" ref="D1003">IFERROR(ROUNDUP(_xlfn.IFS(F1003="Aluminum Track", _xlfn.XLOOKUP(C1003, dd_accsrycalc!$A$2:$A$51, dd_accsrycalc!$B$2:$B$51, "",0), F1003="10 x 2 1/2 S (Flat)", _xlfn.XLOOKUP(C1003, dd_accsrycalc!$A$2:$A$51, dd_accsrycalc!$C$2:$C$51, "",0), F1003="Tox6", _xlfn.XLOOKUP(C1003, dd_accsrycalc!$A$2:$A$51, dd_accsrycalc!$D$2:$D$51, "",0), F1003="Cover Cap", _xlfn.XLOOKUP(C1003, dd_accsrycalc!$A$2:$A$51, dd_accsrycalc!$E$2:$E$51, "",0), F1003="Drainage Cover", _xlfn.XLOOKUP(C1003, dd_accsrycalc!$A$2:$A$51, dd_accsrycalc!$F$2:$F$51, "",0),AND( F1003="Double Adhesive Tape", I1003="Roll-up Screen"), _xlfn.XLOOKUP(C1003, calc_rusacc!$C$15:$C$65, calc_rusacc!$AD$15:$AD$65, "",0),AND( F1003="Sealant", I1003="Roll-up Screen"), _xlfn.XLOOKUP(C1003, calc_rusacc!$C$15:$C$65, calc_rusacc!$AF$15:$AF$65, "",0),  AND( F1003="Main Chain", I1003="Accordion Screen"), _xlfn.XLOOKUP(C1003, calc_rusacc!$C$15:$C$65, calc_rusacc!$BF$15:$BF$65, "",0), AND( F1003="Sealant", I1003="Accordion Screen"), _xlfn.XLOOKUP(C1003, calc_rusacc!$C$15:$C$65, calc_rusacc!$BJ$15:$BJ$65, "",0),  F1003="Sealant", _xlfn.XLOOKUP(C1003, dd_accsrycalc!$A$2:$A$51, dd_accsrycalc!$G$2:$G$51, "",0),  F1003&lt;&gt;"",L1003*_xlfn.XLOOKUP(1, (SKUs!$C$2:$C$10001=G1003)*(SKUs!$K$2:$K$10001=I1003),SKUs!$E$2:$E$10001)), 0),"")</f>
        <v/>
      </c>
      <c r="E1003" s="16" t="str">
        <f>_xlfn.XLOOKUP(F1003,dd_item!$B$2:$B$105,dd_item!$C$2:$C$105,"",0)</f>
        <v/>
      </c>
      <c r="F1003" s="16"/>
      <c r="G1003" s="16" cm="1">
        <f t="array" ref="G1003">IFERROR(_xlfn.XLOOKUP(1, (SKUs!$J$2:$J$10001=accsry_unmerged!F1003)*IF(H1003&lt;&gt;"",(SKUs!$L$2:$L$10001=accsry_unmerged!H1003),1)*(SKUs!$K$2:$K$10001=I1003),SKUs!$C$2:$C$10001),"")</f>
        <v>0</v>
      </c>
      <c r="H1003" s="33" cm="1">
        <f t="array" ref="H1003">IFERROR(_xlfn.XLOOKUP(1, (dd_accsryclr!$C$2:$C$1000=accsry_unmerged!F1003)*(dd_accsryclr!$B$2:$B$1000=accsry_unmerged!J1003),dd_accsryclr!$A$2:$A$1000),"")</f>
        <v>0</v>
      </c>
      <c r="I1003" s="16">
        <f>_xlfn.XLOOKUP(C1003,'Project Details'!$C$17:$C$66,'Project Details'!$E$17:$E$66,"",0)</f>
        <v>0</v>
      </c>
      <c r="J1003" s="16">
        <f>_xlfn.XLOOKUP(C1003,'Project Details'!$C$17:$C$66,'Project Details'!$H$17:$H$66,"",0)</f>
        <v>0</v>
      </c>
      <c r="K1003" s="33" t="str">
        <f>IF(AND(_xlfn.XLOOKUP(C1003,'Project Details'!$C$17:$C$66,'Project Details'!$L$17:$L$66,"",0)&gt;550, F1003="Spring-L27cm"),"",SUBSTITUTE(_xlfn.XLOOKUP(G1003,SKUs!$C$2:$C$10001,SKUs!$F$2:$F$10001,"",0), " Accessories",""))</f>
        <v/>
      </c>
      <c r="L1003" s="33">
        <f>_xlfn.XLOOKUP(C1003,'Project Details'!$C$17:$C$66,'Project Details'!$D$17:$D$66,"",0)</f>
        <v>0</v>
      </c>
      <c r="M1003" s="43"/>
    </row>
    <row r="1004" spans="1:13" ht="13.5" customHeight="1" outlineLevel="1" x14ac:dyDescent="0.25">
      <c r="A1004" s="43"/>
      <c r="B1004" s="43"/>
      <c r="C1004" s="35">
        <f t="shared" si="18"/>
        <v>20</v>
      </c>
      <c r="D1004" s="35" t="str" cm="1">
        <f t="array" ref="D1004">IFERROR(ROUNDUP(_xlfn.IFS(F1004="Aluminum Track", _xlfn.XLOOKUP(C1004, dd_accsrycalc!$A$2:$A$51, dd_accsrycalc!$B$2:$B$51, "",0), F1004="10 x 2 1/2 S (Flat)", _xlfn.XLOOKUP(C1004, dd_accsrycalc!$A$2:$A$51, dd_accsrycalc!$C$2:$C$51, "",0), F1004="Tox6", _xlfn.XLOOKUP(C1004, dd_accsrycalc!$A$2:$A$51, dd_accsrycalc!$D$2:$D$51, "",0), F1004="Cover Cap", _xlfn.XLOOKUP(C1004, dd_accsrycalc!$A$2:$A$51, dd_accsrycalc!$E$2:$E$51, "",0), F1004="Drainage Cover", _xlfn.XLOOKUP(C1004, dd_accsrycalc!$A$2:$A$51, dd_accsrycalc!$F$2:$F$51, "",0),AND( F1004="Double Adhesive Tape", I1004="Roll-up Screen"), _xlfn.XLOOKUP(C1004, calc_rusacc!$C$15:$C$65, calc_rusacc!$AD$15:$AD$65, "",0),AND( F1004="Sealant", I1004="Roll-up Screen"), _xlfn.XLOOKUP(C1004, calc_rusacc!$C$15:$C$65, calc_rusacc!$AF$15:$AF$65, "",0),  AND( F1004="Main Chain", I1004="Accordion Screen"), _xlfn.XLOOKUP(C1004, calc_rusacc!$C$15:$C$65, calc_rusacc!$BF$15:$BF$65, "",0), AND( F1004="Sealant", I1004="Accordion Screen"), _xlfn.XLOOKUP(C1004, calc_rusacc!$C$15:$C$65, calc_rusacc!$BJ$15:$BJ$65, "",0),  F1004="Sealant", _xlfn.XLOOKUP(C1004, dd_accsrycalc!$A$2:$A$51, dd_accsrycalc!$G$2:$G$51, "",0),  F1004&lt;&gt;"",L1004*_xlfn.XLOOKUP(1, (SKUs!$C$2:$C$10001=G1004)*(SKUs!$K$2:$K$10001=I1004),SKUs!$E$2:$E$10001)), 0),"")</f>
        <v/>
      </c>
      <c r="E1004" s="35" t="str">
        <f>_xlfn.XLOOKUP(F1004,dd_item!$B$2:$B$105,dd_item!$C$2:$C$105,"",0)</f>
        <v/>
      </c>
      <c r="F1004" s="35"/>
      <c r="G1004" s="35" cm="1">
        <f t="array" ref="G1004">IFERROR(_xlfn.XLOOKUP(1, (SKUs!$J$2:$J$10001=accsry_unmerged!F1004)*IF(H1004&lt;&gt;"",(SKUs!$L$2:$L$10001=accsry_unmerged!H1004),1)*(SKUs!$K$2:$K$10001=I1004),SKUs!$C$2:$C$10001),"")</f>
        <v>0</v>
      </c>
      <c r="H1004" s="36" cm="1">
        <f t="array" ref="H1004">IFERROR(_xlfn.XLOOKUP(1, (dd_accsryclr!$C$2:$C$1000=accsry_unmerged!F1004)*(dd_accsryclr!$B$2:$B$1000=accsry_unmerged!J1004),dd_accsryclr!$A$2:$A$1000),"")</f>
        <v>0</v>
      </c>
      <c r="I1004" s="35">
        <f>_xlfn.XLOOKUP(C1004,'Project Details'!$C$17:$C$66,'Project Details'!$E$17:$E$66,"",0)</f>
        <v>0</v>
      </c>
      <c r="J1004" s="35">
        <f>_xlfn.XLOOKUP(C1004,'Project Details'!$C$17:$C$66,'Project Details'!$H$17:$H$66,"",0)</f>
        <v>0</v>
      </c>
      <c r="K1004" s="36" t="str">
        <f>IF(AND(_xlfn.XLOOKUP(C1004,'Project Details'!$C$17:$C$66,'Project Details'!$L$17:$L$66,"",0)&gt;550, F1004="Spring-L27cm"),"",SUBSTITUTE(_xlfn.XLOOKUP(G1004,SKUs!$C$2:$C$10001,SKUs!$F$2:$F$10001,"",0), " Accessories",""))</f>
        <v/>
      </c>
      <c r="L1004" s="36">
        <f>_xlfn.XLOOKUP(C1004,'Project Details'!$C$17:$C$66,'Project Details'!$D$17:$D$66,"",0)</f>
        <v>0</v>
      </c>
      <c r="M1004" s="43"/>
    </row>
    <row r="1005" spans="1:13" ht="13.5" customHeight="1" outlineLevel="1" collapsed="1" x14ac:dyDescent="0.25">
      <c r="A1005" s="43"/>
      <c r="B1005" s="43"/>
      <c r="C1005" s="16">
        <f t="shared" si="18"/>
        <v>20</v>
      </c>
      <c r="D1005" s="16" t="str" cm="1">
        <f t="array" ref="D1005">IFERROR(ROUNDUP(_xlfn.IFS(F1005="Aluminum Track", _xlfn.XLOOKUP(C1005, dd_accsrycalc!$A$2:$A$51, dd_accsrycalc!$B$2:$B$51, "",0), F1005="10 x 2 1/2 S (Flat)", _xlfn.XLOOKUP(C1005, dd_accsrycalc!$A$2:$A$51, dd_accsrycalc!$C$2:$C$51, "",0), F1005="Tox6", _xlfn.XLOOKUP(C1005, dd_accsrycalc!$A$2:$A$51, dd_accsrycalc!$D$2:$D$51, "",0), F1005="Cover Cap", _xlfn.XLOOKUP(C1005, dd_accsrycalc!$A$2:$A$51, dd_accsrycalc!$E$2:$E$51, "",0), F1005="Drainage Cover", _xlfn.XLOOKUP(C1005, dd_accsrycalc!$A$2:$A$51, dd_accsrycalc!$F$2:$F$51, "",0),AND( F1005="Double Adhesive Tape", I1005="Roll-up Screen"), _xlfn.XLOOKUP(C1005, calc_rusacc!$C$15:$C$65, calc_rusacc!$AD$15:$AD$65, "",0),AND( F1005="Sealant", I1005="Roll-up Screen"), _xlfn.XLOOKUP(C1005, calc_rusacc!$C$15:$C$65, calc_rusacc!$AF$15:$AF$65, "",0),  AND( F1005="Main Chain", I1005="Accordion Screen"), _xlfn.XLOOKUP(C1005, calc_rusacc!$C$15:$C$65, calc_rusacc!$BF$15:$BF$65, "",0), AND( F1005="Sealant", I1005="Accordion Screen"), _xlfn.XLOOKUP(C1005, calc_rusacc!$C$15:$C$65, calc_rusacc!$BJ$15:$BJ$65, "",0),  F1005="Sealant", _xlfn.XLOOKUP(C1005, dd_accsrycalc!$A$2:$A$51, dd_accsrycalc!$G$2:$G$51, "",0),  F1005&lt;&gt;"",L1005*_xlfn.XLOOKUP(1, (SKUs!$C$2:$C$10001=G1005)*(SKUs!$K$2:$K$10001=I1005),SKUs!$E$2:$E$10001)), 0),"")</f>
        <v/>
      </c>
      <c r="E1005" s="16" t="str">
        <f>_xlfn.XLOOKUP(F1005,dd_item!$B$2:$B$105,dd_item!$C$2:$C$105,"",0)</f>
        <v/>
      </c>
      <c r="F1005" s="16"/>
      <c r="G1005" s="16" cm="1">
        <f t="array" ref="G1005">IFERROR(_xlfn.XLOOKUP(1, (SKUs!$J$2:$J$10001=accsry_unmerged!F1005)*IF(H1005&lt;&gt;"",(SKUs!$L$2:$L$10001=accsry_unmerged!H1005),1)*(SKUs!$K$2:$K$10001=I1005),SKUs!$C$2:$C$10001),"")</f>
        <v>0</v>
      </c>
      <c r="H1005" s="33" cm="1">
        <f t="array" ref="H1005">IFERROR(_xlfn.XLOOKUP(1, (dd_accsryclr!$C$2:$C$1000=accsry_unmerged!F1005)*(dd_accsryclr!$B$2:$B$1000=accsry_unmerged!J1005),dd_accsryclr!$A$2:$A$1000),"")</f>
        <v>0</v>
      </c>
      <c r="I1005" s="16">
        <f>_xlfn.XLOOKUP(C1005,'Project Details'!$C$17:$C$66,'Project Details'!$E$17:$E$66,"",0)</f>
        <v>0</v>
      </c>
      <c r="J1005" s="16">
        <f>_xlfn.XLOOKUP(C1005,'Project Details'!$C$17:$C$66,'Project Details'!$H$17:$H$66,"",0)</f>
        <v>0</v>
      </c>
      <c r="K1005" s="33" t="str">
        <f>IF(AND(_xlfn.XLOOKUP(C1005,'Project Details'!$C$17:$C$66,'Project Details'!$L$17:$L$66,"",0)&gt;550, F1005="Spring-L27cm"),"",SUBSTITUTE(_xlfn.XLOOKUP(G1005,SKUs!$C$2:$C$10001,SKUs!$F$2:$F$10001,"",0), " Accessories",""))</f>
        <v/>
      </c>
      <c r="L1005" s="33">
        <f>_xlfn.XLOOKUP(C1005,'Project Details'!$C$17:$C$66,'Project Details'!$D$17:$D$66,"",0)</f>
        <v>0</v>
      </c>
      <c r="M1005" s="43"/>
    </row>
    <row r="1006" spans="1:13" ht="13.5" customHeight="1" outlineLevel="1" x14ac:dyDescent="0.25">
      <c r="A1006" s="43"/>
      <c r="B1006" s="43"/>
      <c r="C1006" s="35">
        <f t="shared" si="18"/>
        <v>20</v>
      </c>
      <c r="D1006" s="35" t="str" cm="1">
        <f t="array" ref="D1006">IFERROR(ROUNDUP(_xlfn.IFS(F1006="Aluminum Track", _xlfn.XLOOKUP(C1006, dd_accsrycalc!$A$2:$A$51, dd_accsrycalc!$B$2:$B$51, "",0), F1006="10 x 2 1/2 S (Flat)", _xlfn.XLOOKUP(C1006, dd_accsrycalc!$A$2:$A$51, dd_accsrycalc!$C$2:$C$51, "",0), F1006="Tox6", _xlfn.XLOOKUP(C1006, dd_accsrycalc!$A$2:$A$51, dd_accsrycalc!$D$2:$D$51, "",0), F1006="Cover Cap", _xlfn.XLOOKUP(C1006, dd_accsrycalc!$A$2:$A$51, dd_accsrycalc!$E$2:$E$51, "",0), F1006="Drainage Cover", _xlfn.XLOOKUP(C1006, dd_accsrycalc!$A$2:$A$51, dd_accsrycalc!$F$2:$F$51, "",0),AND( F1006="Double Adhesive Tape", I1006="Roll-up Screen"), _xlfn.XLOOKUP(C1006, calc_rusacc!$C$15:$C$65, calc_rusacc!$AD$15:$AD$65, "",0),AND( F1006="Sealant", I1006="Roll-up Screen"), _xlfn.XLOOKUP(C1006, calc_rusacc!$C$15:$C$65, calc_rusacc!$AF$15:$AF$65, "",0),  AND( F1006="Main Chain", I1006="Accordion Screen"), _xlfn.XLOOKUP(C1006, calc_rusacc!$C$15:$C$65, calc_rusacc!$BF$15:$BF$65, "",0), AND( F1006="Sealant", I1006="Accordion Screen"), _xlfn.XLOOKUP(C1006, calc_rusacc!$C$15:$C$65, calc_rusacc!$BJ$15:$BJ$65, "",0),  F1006="Sealant", _xlfn.XLOOKUP(C1006, dd_accsrycalc!$A$2:$A$51, dd_accsrycalc!$G$2:$G$51, "",0),  F1006&lt;&gt;"",L1006*_xlfn.XLOOKUP(1, (SKUs!$C$2:$C$10001=G1006)*(SKUs!$K$2:$K$10001=I1006),SKUs!$E$2:$E$10001)), 0),"")</f>
        <v/>
      </c>
      <c r="E1006" s="35" t="str">
        <f>_xlfn.XLOOKUP(F1006,dd_item!$B$2:$B$105,dd_item!$C$2:$C$105,"",0)</f>
        <v/>
      </c>
      <c r="F1006" s="35"/>
      <c r="G1006" s="35" cm="1">
        <f t="array" ref="G1006">IFERROR(_xlfn.XLOOKUP(1, (SKUs!$J$2:$J$10001=accsry_unmerged!F1006)*IF(H1006&lt;&gt;"",(SKUs!$L$2:$L$10001=accsry_unmerged!H1006),1)*(SKUs!$K$2:$K$10001=I1006),SKUs!$C$2:$C$10001),"")</f>
        <v>0</v>
      </c>
      <c r="H1006" s="36" cm="1">
        <f t="array" ref="H1006">IFERROR(_xlfn.XLOOKUP(1, (dd_accsryclr!$C$2:$C$1000=accsry_unmerged!F1006)*(dd_accsryclr!$B$2:$B$1000=accsry_unmerged!J1006),dd_accsryclr!$A$2:$A$1000),"")</f>
        <v>0</v>
      </c>
      <c r="I1006" s="35">
        <f>_xlfn.XLOOKUP(C1006,'Project Details'!$C$17:$C$66,'Project Details'!$E$17:$E$66,"",0)</f>
        <v>0</v>
      </c>
      <c r="J1006" s="35">
        <f>_xlfn.XLOOKUP(C1006,'Project Details'!$C$17:$C$66,'Project Details'!$H$17:$H$66,"",0)</f>
        <v>0</v>
      </c>
      <c r="K1006" s="36" t="str">
        <f>IF(AND(_xlfn.XLOOKUP(C1006,'Project Details'!$C$17:$C$66,'Project Details'!$L$17:$L$66,"",0)&gt;550, F1006="Spring-L27cm"),"",SUBSTITUTE(_xlfn.XLOOKUP(G1006,SKUs!$C$2:$C$10001,SKUs!$F$2:$F$10001,"",0), " Accessories",""))</f>
        <v/>
      </c>
      <c r="L1006" s="36">
        <f>_xlfn.XLOOKUP(C1006,'Project Details'!$C$17:$C$66,'Project Details'!$D$17:$D$66,"",0)</f>
        <v>0</v>
      </c>
      <c r="M1006" s="43"/>
    </row>
    <row r="1007" spans="1:13" ht="13.5" customHeight="1" outlineLevel="1" x14ac:dyDescent="0.25">
      <c r="A1007" s="43"/>
      <c r="B1007" s="43"/>
      <c r="C1007" s="16">
        <f t="shared" si="18"/>
        <v>20</v>
      </c>
      <c r="D1007" s="16" t="str" cm="1">
        <f t="array" ref="D1007">IFERROR(ROUNDUP(_xlfn.IFS(F1007="Aluminum Track", _xlfn.XLOOKUP(C1007, dd_accsrycalc!$A$2:$A$51, dd_accsrycalc!$B$2:$B$51, "",0), F1007="10 x 2 1/2 S (Flat)", _xlfn.XLOOKUP(C1007, dd_accsrycalc!$A$2:$A$51, dd_accsrycalc!$C$2:$C$51, "",0), F1007="Tox6", _xlfn.XLOOKUP(C1007, dd_accsrycalc!$A$2:$A$51, dd_accsrycalc!$D$2:$D$51, "",0), F1007="Cover Cap", _xlfn.XLOOKUP(C1007, dd_accsrycalc!$A$2:$A$51, dd_accsrycalc!$E$2:$E$51, "",0), F1007="Drainage Cover", _xlfn.XLOOKUP(C1007, dd_accsrycalc!$A$2:$A$51, dd_accsrycalc!$F$2:$F$51, "",0),AND( F1007="Double Adhesive Tape", I1007="Roll-up Screen"), _xlfn.XLOOKUP(C1007, calc_rusacc!$C$15:$C$65, calc_rusacc!$AD$15:$AD$65, "",0),AND( F1007="Sealant", I1007="Roll-up Screen"), _xlfn.XLOOKUP(C1007, calc_rusacc!$C$15:$C$65, calc_rusacc!$AF$15:$AF$65, "",0),  AND( F1007="Main Chain", I1007="Accordion Screen"), _xlfn.XLOOKUP(C1007, calc_rusacc!$C$15:$C$65, calc_rusacc!$BF$15:$BF$65, "",0), AND( F1007="Sealant", I1007="Accordion Screen"), _xlfn.XLOOKUP(C1007, calc_rusacc!$C$15:$C$65, calc_rusacc!$BJ$15:$BJ$65, "",0),  F1007="Sealant", _xlfn.XLOOKUP(C1007, dd_accsrycalc!$A$2:$A$51, dd_accsrycalc!$G$2:$G$51, "",0),  F1007&lt;&gt;"",L1007*_xlfn.XLOOKUP(1, (SKUs!$C$2:$C$10001=G1007)*(SKUs!$K$2:$K$10001=I1007),SKUs!$E$2:$E$10001)), 0),"")</f>
        <v/>
      </c>
      <c r="E1007" s="16" t="str">
        <f>_xlfn.XLOOKUP(F1007,dd_item!$B$2:$B$105,dd_item!$C$2:$C$105,"",0)</f>
        <v/>
      </c>
      <c r="F1007" s="16"/>
      <c r="G1007" s="16" cm="1">
        <f t="array" ref="G1007">IFERROR(_xlfn.XLOOKUP(1, (SKUs!$J$2:$J$10001=accsry_unmerged!F1007)*IF(H1007&lt;&gt;"",(SKUs!$L$2:$L$10001=accsry_unmerged!H1007),1)*(SKUs!$K$2:$K$10001=I1007),SKUs!$C$2:$C$10001),"")</f>
        <v>0</v>
      </c>
      <c r="H1007" s="33" cm="1">
        <f t="array" ref="H1007">IFERROR(_xlfn.XLOOKUP(1, (dd_accsryclr!$C$2:$C$1000=accsry_unmerged!F1007)*(dd_accsryclr!$B$2:$B$1000=accsry_unmerged!J1007),dd_accsryclr!$A$2:$A$1000),"")</f>
        <v>0</v>
      </c>
      <c r="I1007" s="16">
        <f>_xlfn.XLOOKUP(C1007,'Project Details'!$C$17:$C$66,'Project Details'!$E$17:$E$66,"",0)</f>
        <v>0</v>
      </c>
      <c r="J1007" s="16">
        <f>_xlfn.XLOOKUP(C1007,'Project Details'!$C$17:$C$66,'Project Details'!$H$17:$H$66,"",0)</f>
        <v>0</v>
      </c>
      <c r="K1007" s="33" t="str">
        <f>IF(AND(_xlfn.XLOOKUP(C1007,'Project Details'!$C$17:$C$66,'Project Details'!$L$17:$L$66,"",0)&gt;550, F1007="Spring-L27cm"),"",SUBSTITUTE(_xlfn.XLOOKUP(G1007,SKUs!$C$2:$C$10001,SKUs!$F$2:$F$10001,"",0), " Accessories",""))</f>
        <v/>
      </c>
      <c r="L1007" s="33">
        <f>_xlfn.XLOOKUP(C1007,'Project Details'!$C$17:$C$66,'Project Details'!$D$17:$D$66,"",0)</f>
        <v>0</v>
      </c>
      <c r="M1007" s="43"/>
    </row>
    <row r="1008" spans="1:13" ht="13.5" customHeight="1" outlineLevel="1" x14ac:dyDescent="0.25">
      <c r="A1008" s="43"/>
      <c r="B1008" s="43"/>
      <c r="C1008" s="35">
        <f t="shared" si="18"/>
        <v>20</v>
      </c>
      <c r="D1008" s="35" t="str" cm="1">
        <f t="array" ref="D1008">IFERROR(ROUNDUP(_xlfn.IFS(F1008="Aluminum Track", _xlfn.XLOOKUP(C1008, dd_accsrycalc!$A$2:$A$51, dd_accsrycalc!$B$2:$B$51, "",0), F1008="10 x 2 1/2 S (Flat)", _xlfn.XLOOKUP(C1008, dd_accsrycalc!$A$2:$A$51, dd_accsrycalc!$C$2:$C$51, "",0), F1008="Tox6", _xlfn.XLOOKUP(C1008, dd_accsrycalc!$A$2:$A$51, dd_accsrycalc!$D$2:$D$51, "",0), F1008="Cover Cap", _xlfn.XLOOKUP(C1008, dd_accsrycalc!$A$2:$A$51, dd_accsrycalc!$E$2:$E$51, "",0), F1008="Drainage Cover", _xlfn.XLOOKUP(C1008, dd_accsrycalc!$A$2:$A$51, dd_accsrycalc!$F$2:$F$51, "",0),AND( F1008="Double Adhesive Tape", I1008="Roll-up Screen"), _xlfn.XLOOKUP(C1008, calc_rusacc!$C$15:$C$65, calc_rusacc!$AD$15:$AD$65, "",0),AND( F1008="Sealant", I1008="Roll-up Screen"), _xlfn.XLOOKUP(C1008, calc_rusacc!$C$15:$C$65, calc_rusacc!$AF$15:$AF$65, "",0),  AND( F1008="Main Chain", I1008="Accordion Screen"), _xlfn.XLOOKUP(C1008, calc_rusacc!$C$15:$C$65, calc_rusacc!$BF$15:$BF$65, "",0), AND( F1008="Sealant", I1008="Accordion Screen"), _xlfn.XLOOKUP(C1008, calc_rusacc!$C$15:$C$65, calc_rusacc!$BJ$15:$BJ$65, "",0),  F1008="Sealant", _xlfn.XLOOKUP(C1008, dd_accsrycalc!$A$2:$A$51, dd_accsrycalc!$G$2:$G$51, "",0),  F1008&lt;&gt;"",L1008*_xlfn.XLOOKUP(1, (SKUs!$C$2:$C$10001=G1008)*(SKUs!$K$2:$K$10001=I1008),SKUs!$E$2:$E$10001)), 0),"")</f>
        <v/>
      </c>
      <c r="E1008" s="35" t="str">
        <f>_xlfn.XLOOKUP(F1008,dd_item!$B$2:$B$105,dd_item!$C$2:$C$105,"",0)</f>
        <v/>
      </c>
      <c r="F1008" s="35"/>
      <c r="G1008" s="35" cm="1">
        <f t="array" ref="G1008">IFERROR(_xlfn.XLOOKUP(1, (SKUs!$J$2:$J$10001=accsry_unmerged!F1008)*IF(H1008&lt;&gt;"",(SKUs!$L$2:$L$10001=accsry_unmerged!H1008),1)*(SKUs!$K$2:$K$10001=I1008),SKUs!$C$2:$C$10001),"")</f>
        <v>0</v>
      </c>
      <c r="H1008" s="36" cm="1">
        <f t="array" ref="H1008">IFERROR(_xlfn.XLOOKUP(1, (dd_accsryclr!$C$2:$C$1000=accsry_unmerged!F1008)*(dd_accsryclr!$B$2:$B$1000=accsry_unmerged!J1008),dd_accsryclr!$A$2:$A$1000),"")</f>
        <v>0</v>
      </c>
      <c r="I1008" s="35">
        <f>_xlfn.XLOOKUP(C1008,'Project Details'!$C$17:$C$66,'Project Details'!$E$17:$E$66,"",0)</f>
        <v>0</v>
      </c>
      <c r="J1008" s="35">
        <f>_xlfn.XLOOKUP(C1008,'Project Details'!$C$17:$C$66,'Project Details'!$H$17:$H$66,"",0)</f>
        <v>0</v>
      </c>
      <c r="K1008" s="36" t="str">
        <f>IF(AND(_xlfn.XLOOKUP(C1008,'Project Details'!$C$17:$C$66,'Project Details'!$L$17:$L$66,"",0)&gt;550, F1008="Spring-L27cm"),"",SUBSTITUTE(_xlfn.XLOOKUP(G1008,SKUs!$C$2:$C$10001,SKUs!$F$2:$F$10001,"",0), " Accessories",""))</f>
        <v/>
      </c>
      <c r="L1008" s="36">
        <f>_xlfn.XLOOKUP(C1008,'Project Details'!$C$17:$C$66,'Project Details'!$D$17:$D$66,"",0)</f>
        <v>0</v>
      </c>
      <c r="M1008" s="43"/>
    </row>
    <row r="1009" spans="1:13" ht="13.5" customHeight="1" outlineLevel="1" x14ac:dyDescent="0.25">
      <c r="A1009" s="43"/>
      <c r="B1009" s="43"/>
      <c r="C1009" s="16">
        <f t="shared" si="18"/>
        <v>20</v>
      </c>
      <c r="D1009" s="16" t="str" cm="1">
        <f t="array" ref="D1009">IFERROR(ROUNDUP(_xlfn.IFS(F1009="Aluminum Track", _xlfn.XLOOKUP(C1009, dd_accsrycalc!$A$2:$A$51, dd_accsrycalc!$B$2:$B$51, "",0), F1009="10 x 2 1/2 S (Flat)", _xlfn.XLOOKUP(C1009, dd_accsrycalc!$A$2:$A$51, dd_accsrycalc!$C$2:$C$51, "",0), F1009="Tox6", _xlfn.XLOOKUP(C1009, dd_accsrycalc!$A$2:$A$51, dd_accsrycalc!$D$2:$D$51, "",0), F1009="Cover Cap", _xlfn.XLOOKUP(C1009, dd_accsrycalc!$A$2:$A$51, dd_accsrycalc!$E$2:$E$51, "",0), F1009="Drainage Cover", _xlfn.XLOOKUP(C1009, dd_accsrycalc!$A$2:$A$51, dd_accsrycalc!$F$2:$F$51, "",0),AND( F1009="Double Adhesive Tape", I1009="Roll-up Screen"), _xlfn.XLOOKUP(C1009, calc_rusacc!$C$15:$C$65, calc_rusacc!$AD$15:$AD$65, "",0),AND( F1009="Sealant", I1009="Roll-up Screen"), _xlfn.XLOOKUP(C1009, calc_rusacc!$C$15:$C$65, calc_rusacc!$AF$15:$AF$65, "",0),  AND( F1009="Main Chain", I1009="Accordion Screen"), _xlfn.XLOOKUP(C1009, calc_rusacc!$C$15:$C$65, calc_rusacc!$BF$15:$BF$65, "",0), AND( F1009="Sealant", I1009="Accordion Screen"), _xlfn.XLOOKUP(C1009, calc_rusacc!$C$15:$C$65, calc_rusacc!$BJ$15:$BJ$65, "",0),  F1009="Sealant", _xlfn.XLOOKUP(C1009, dd_accsrycalc!$A$2:$A$51, dd_accsrycalc!$G$2:$G$51, "",0),  F1009&lt;&gt;"",L1009*_xlfn.XLOOKUP(1, (SKUs!$C$2:$C$10001=G1009)*(SKUs!$K$2:$K$10001=I1009),SKUs!$E$2:$E$10001)), 0),"")</f>
        <v/>
      </c>
      <c r="E1009" s="16" t="str">
        <f>_xlfn.XLOOKUP(F1009,dd_item!$B$2:$B$105,dd_item!$C$2:$C$105,"",0)</f>
        <v/>
      </c>
      <c r="F1009" s="16"/>
      <c r="G1009" s="16" cm="1">
        <f t="array" ref="G1009">IFERROR(_xlfn.XLOOKUP(1, (SKUs!$J$2:$J$10001=accsry_unmerged!F1009)*IF(H1009&lt;&gt;"",(SKUs!$L$2:$L$10001=accsry_unmerged!H1009),1)*(SKUs!$K$2:$K$10001=I1009),SKUs!$C$2:$C$10001),"")</f>
        <v>0</v>
      </c>
      <c r="H1009" s="33" cm="1">
        <f t="array" ref="H1009">IFERROR(_xlfn.XLOOKUP(1, (dd_accsryclr!$C$2:$C$1000=accsry_unmerged!F1009)*(dd_accsryclr!$B$2:$B$1000=accsry_unmerged!J1009),dd_accsryclr!$A$2:$A$1000),"")</f>
        <v>0</v>
      </c>
      <c r="I1009" s="16">
        <f>_xlfn.XLOOKUP(C1009,'Project Details'!$C$17:$C$66,'Project Details'!$E$17:$E$66,"",0)</f>
        <v>0</v>
      </c>
      <c r="J1009" s="16">
        <f>_xlfn.XLOOKUP(C1009,'Project Details'!$C$17:$C$66,'Project Details'!$H$17:$H$66,"",0)</f>
        <v>0</v>
      </c>
      <c r="K1009" s="33" t="str">
        <f>IF(AND(_xlfn.XLOOKUP(C1009,'Project Details'!$C$17:$C$66,'Project Details'!$L$17:$L$66,"",0)&gt;550, F1009="Spring-L27cm"),"",SUBSTITUTE(_xlfn.XLOOKUP(G1009,SKUs!$C$2:$C$10001,SKUs!$F$2:$F$10001,"",0), " Accessories",""))</f>
        <v/>
      </c>
      <c r="L1009" s="33">
        <f>_xlfn.XLOOKUP(C1009,'Project Details'!$C$17:$C$66,'Project Details'!$D$17:$D$66,"",0)</f>
        <v>0</v>
      </c>
      <c r="M1009" s="43"/>
    </row>
    <row r="1010" spans="1:13" ht="13.5" customHeight="1" outlineLevel="1" x14ac:dyDescent="0.25">
      <c r="A1010" s="43"/>
      <c r="B1010" s="43"/>
      <c r="C1010" s="35">
        <f t="shared" si="18"/>
        <v>20</v>
      </c>
      <c r="D1010" s="35" t="str" cm="1">
        <f t="array" ref="D1010">IFERROR(ROUNDUP(_xlfn.IFS(F1010="Aluminum Track", _xlfn.XLOOKUP(C1010, dd_accsrycalc!$A$2:$A$51, dd_accsrycalc!$B$2:$B$51, "",0), F1010="10 x 2 1/2 S (Flat)", _xlfn.XLOOKUP(C1010, dd_accsrycalc!$A$2:$A$51, dd_accsrycalc!$C$2:$C$51, "",0), F1010="Tox6", _xlfn.XLOOKUP(C1010, dd_accsrycalc!$A$2:$A$51, dd_accsrycalc!$D$2:$D$51, "",0), F1010="Cover Cap", _xlfn.XLOOKUP(C1010, dd_accsrycalc!$A$2:$A$51, dd_accsrycalc!$E$2:$E$51, "",0), F1010="Drainage Cover", _xlfn.XLOOKUP(C1010, dd_accsrycalc!$A$2:$A$51, dd_accsrycalc!$F$2:$F$51, "",0),AND( F1010="Double Adhesive Tape", I1010="Roll-up Screen"), _xlfn.XLOOKUP(C1010, calc_rusacc!$C$15:$C$65, calc_rusacc!$AD$15:$AD$65, "",0),AND( F1010="Sealant", I1010="Roll-up Screen"), _xlfn.XLOOKUP(C1010, calc_rusacc!$C$15:$C$65, calc_rusacc!$AF$15:$AF$65, "",0),  AND( F1010="Main Chain", I1010="Accordion Screen"), _xlfn.XLOOKUP(C1010, calc_rusacc!$C$15:$C$65, calc_rusacc!$BF$15:$BF$65, "",0), AND( F1010="Sealant", I1010="Accordion Screen"), _xlfn.XLOOKUP(C1010, calc_rusacc!$C$15:$C$65, calc_rusacc!$BJ$15:$BJ$65, "",0),  F1010="Sealant", _xlfn.XLOOKUP(C1010, dd_accsrycalc!$A$2:$A$51, dd_accsrycalc!$G$2:$G$51, "",0),  F1010&lt;&gt;"",L1010*_xlfn.XLOOKUP(1, (SKUs!$C$2:$C$10001=G1010)*(SKUs!$K$2:$K$10001=I1010),SKUs!$E$2:$E$10001)), 0),"")</f>
        <v/>
      </c>
      <c r="E1010" s="35" t="str">
        <f>_xlfn.XLOOKUP(F1010,dd_item!$B$2:$B$105,dd_item!$C$2:$C$105,"",0)</f>
        <v/>
      </c>
      <c r="F1010" s="35"/>
      <c r="G1010" s="35" cm="1">
        <f t="array" ref="G1010">IFERROR(_xlfn.XLOOKUP(1, (SKUs!$J$2:$J$10001=accsry_unmerged!F1010)*IF(H1010&lt;&gt;"",(SKUs!$L$2:$L$10001=accsry_unmerged!H1010),1)*(SKUs!$K$2:$K$10001=I1010),SKUs!$C$2:$C$10001),"")</f>
        <v>0</v>
      </c>
      <c r="H1010" s="36" cm="1">
        <f t="array" ref="H1010">IFERROR(_xlfn.XLOOKUP(1, (dd_accsryclr!$C$2:$C$1000=accsry_unmerged!F1010)*(dd_accsryclr!$B$2:$B$1000=accsry_unmerged!J1010),dd_accsryclr!$A$2:$A$1000),"")</f>
        <v>0</v>
      </c>
      <c r="I1010" s="35">
        <f>_xlfn.XLOOKUP(C1010,'Project Details'!$C$17:$C$66,'Project Details'!$E$17:$E$66,"",0)</f>
        <v>0</v>
      </c>
      <c r="J1010" s="35">
        <f>_xlfn.XLOOKUP(C1010,'Project Details'!$C$17:$C$66,'Project Details'!$H$17:$H$66,"",0)</f>
        <v>0</v>
      </c>
      <c r="K1010" s="36" t="str">
        <f>IF(AND(_xlfn.XLOOKUP(C1010,'Project Details'!$C$17:$C$66,'Project Details'!$L$17:$L$66,"",0)&gt;550, F1010="Spring-L27cm"),"",SUBSTITUTE(_xlfn.XLOOKUP(G1010,SKUs!$C$2:$C$10001,SKUs!$F$2:$F$10001,"",0), " Accessories",""))</f>
        <v/>
      </c>
      <c r="L1010" s="36">
        <f>_xlfn.XLOOKUP(C1010,'Project Details'!$C$17:$C$66,'Project Details'!$D$17:$D$66,"",0)</f>
        <v>0</v>
      </c>
      <c r="M1010" s="43"/>
    </row>
    <row r="1011" spans="1:13" ht="13.5" customHeight="1" outlineLevel="1" x14ac:dyDescent="0.25">
      <c r="A1011" s="43"/>
      <c r="B1011" s="43"/>
      <c r="C1011" s="16">
        <f t="shared" si="18"/>
        <v>20</v>
      </c>
      <c r="D1011" s="16" t="str" cm="1">
        <f t="array" ref="D1011">IFERROR(ROUNDUP(_xlfn.IFS(F1011="Aluminum Track", _xlfn.XLOOKUP(C1011, dd_accsrycalc!$A$2:$A$51, dd_accsrycalc!$B$2:$B$51, "",0), F1011="10 x 2 1/2 S (Flat)", _xlfn.XLOOKUP(C1011, dd_accsrycalc!$A$2:$A$51, dd_accsrycalc!$C$2:$C$51, "",0), F1011="Tox6", _xlfn.XLOOKUP(C1011, dd_accsrycalc!$A$2:$A$51, dd_accsrycalc!$D$2:$D$51, "",0), F1011="Cover Cap", _xlfn.XLOOKUP(C1011, dd_accsrycalc!$A$2:$A$51, dd_accsrycalc!$E$2:$E$51, "",0), F1011="Drainage Cover", _xlfn.XLOOKUP(C1011, dd_accsrycalc!$A$2:$A$51, dd_accsrycalc!$F$2:$F$51, "",0),AND( F1011="Double Adhesive Tape", I1011="Roll-up Screen"), _xlfn.XLOOKUP(C1011, calc_rusacc!$C$15:$C$65, calc_rusacc!$AD$15:$AD$65, "",0),AND( F1011="Sealant", I1011="Roll-up Screen"), _xlfn.XLOOKUP(C1011, calc_rusacc!$C$15:$C$65, calc_rusacc!$AF$15:$AF$65, "",0),  AND( F1011="Main Chain", I1011="Accordion Screen"), _xlfn.XLOOKUP(C1011, calc_rusacc!$C$15:$C$65, calc_rusacc!$BF$15:$BF$65, "",0), AND( F1011="Sealant", I1011="Accordion Screen"), _xlfn.XLOOKUP(C1011, calc_rusacc!$C$15:$C$65, calc_rusacc!$BJ$15:$BJ$65, "",0),  F1011="Sealant", _xlfn.XLOOKUP(C1011, dd_accsrycalc!$A$2:$A$51, dd_accsrycalc!$G$2:$G$51, "",0),  F1011&lt;&gt;"",L1011*_xlfn.XLOOKUP(1, (SKUs!$C$2:$C$10001=G1011)*(SKUs!$K$2:$K$10001=I1011),SKUs!$E$2:$E$10001)), 0),"")</f>
        <v/>
      </c>
      <c r="E1011" s="16" t="str">
        <f>_xlfn.XLOOKUP(F1011,dd_item!$B$2:$B$105,dd_item!$C$2:$C$105,"",0)</f>
        <v/>
      </c>
      <c r="F1011" s="16"/>
      <c r="G1011" s="16" cm="1">
        <f t="array" ref="G1011">IFERROR(_xlfn.XLOOKUP(1, (SKUs!$J$2:$J$10001=accsry_unmerged!F1011)*IF(H1011&lt;&gt;"",(SKUs!$L$2:$L$10001=accsry_unmerged!H1011),1)*(SKUs!$K$2:$K$10001=I1011),SKUs!$C$2:$C$10001),"")</f>
        <v>0</v>
      </c>
      <c r="H1011" s="33" cm="1">
        <f t="array" ref="H1011">IFERROR(_xlfn.XLOOKUP(1, (dd_accsryclr!$C$2:$C$1000=accsry_unmerged!F1011)*(dd_accsryclr!$B$2:$B$1000=accsry_unmerged!J1011),dd_accsryclr!$A$2:$A$1000),"")</f>
        <v>0</v>
      </c>
      <c r="I1011" s="16">
        <f>_xlfn.XLOOKUP(C1011,'Project Details'!$C$17:$C$66,'Project Details'!$E$17:$E$66,"",0)</f>
        <v>0</v>
      </c>
      <c r="J1011" s="16">
        <f>_xlfn.XLOOKUP(C1011,'Project Details'!$C$17:$C$66,'Project Details'!$H$17:$H$66,"",0)</f>
        <v>0</v>
      </c>
      <c r="K1011" s="33" t="str">
        <f>IF(AND(_xlfn.XLOOKUP(C1011,'Project Details'!$C$17:$C$66,'Project Details'!$L$17:$L$66,"",0)&gt;550, F1011="Spring-L27cm"),"",SUBSTITUTE(_xlfn.XLOOKUP(G1011,SKUs!$C$2:$C$10001,SKUs!$F$2:$F$10001,"",0), " Accessories",""))</f>
        <v/>
      </c>
      <c r="L1011" s="33">
        <f>_xlfn.XLOOKUP(C1011,'Project Details'!$C$17:$C$66,'Project Details'!$D$17:$D$66,"",0)</f>
        <v>0</v>
      </c>
      <c r="M1011" s="43"/>
    </row>
    <row r="1012" spans="1:13" ht="13.5" customHeight="1" outlineLevel="1" x14ac:dyDescent="0.25">
      <c r="A1012" s="43"/>
      <c r="B1012" s="43"/>
      <c r="C1012" s="35">
        <f t="shared" si="18"/>
        <v>20</v>
      </c>
      <c r="D1012" s="35" t="str" cm="1">
        <f t="array" ref="D1012">IFERROR(ROUNDUP(_xlfn.IFS(F1012="Aluminum Track", _xlfn.XLOOKUP(C1012, dd_accsrycalc!$A$2:$A$51, dd_accsrycalc!$B$2:$B$51, "",0), F1012="10 x 2 1/2 S (Flat)", _xlfn.XLOOKUP(C1012, dd_accsrycalc!$A$2:$A$51, dd_accsrycalc!$C$2:$C$51, "",0), F1012="Tox6", _xlfn.XLOOKUP(C1012, dd_accsrycalc!$A$2:$A$51, dd_accsrycalc!$D$2:$D$51, "",0), F1012="Cover Cap", _xlfn.XLOOKUP(C1012, dd_accsrycalc!$A$2:$A$51, dd_accsrycalc!$E$2:$E$51, "",0), F1012="Drainage Cover", _xlfn.XLOOKUP(C1012, dd_accsrycalc!$A$2:$A$51, dd_accsrycalc!$F$2:$F$51, "",0),AND( F1012="Double Adhesive Tape", I1012="Roll-up Screen"), _xlfn.XLOOKUP(C1012, calc_rusacc!$C$15:$C$65, calc_rusacc!$AD$15:$AD$65, "",0),AND( F1012="Sealant", I1012="Roll-up Screen"), _xlfn.XLOOKUP(C1012, calc_rusacc!$C$15:$C$65, calc_rusacc!$AF$15:$AF$65, "",0),  AND( F1012="Main Chain", I1012="Accordion Screen"), _xlfn.XLOOKUP(C1012, calc_rusacc!$C$15:$C$65, calc_rusacc!$BF$15:$BF$65, "",0), AND( F1012="Sealant", I1012="Accordion Screen"), _xlfn.XLOOKUP(C1012, calc_rusacc!$C$15:$C$65, calc_rusacc!$BJ$15:$BJ$65, "",0),  F1012="Sealant", _xlfn.XLOOKUP(C1012, dd_accsrycalc!$A$2:$A$51, dd_accsrycalc!$G$2:$G$51, "",0),  F1012&lt;&gt;"",L1012*_xlfn.XLOOKUP(1, (SKUs!$C$2:$C$10001=G1012)*(SKUs!$K$2:$K$10001=I1012),SKUs!$E$2:$E$10001)), 0),"")</f>
        <v/>
      </c>
      <c r="E1012" s="35" t="str">
        <f>_xlfn.XLOOKUP(F1012,dd_item!$B$2:$B$105,dd_item!$C$2:$C$105,"",0)</f>
        <v/>
      </c>
      <c r="F1012" s="35"/>
      <c r="G1012" s="35" cm="1">
        <f t="array" ref="G1012">IFERROR(_xlfn.XLOOKUP(1, (SKUs!$J$2:$J$10001=accsry_unmerged!F1012)*IF(H1012&lt;&gt;"",(SKUs!$L$2:$L$10001=accsry_unmerged!H1012),1)*(SKUs!$K$2:$K$10001=I1012),SKUs!$C$2:$C$10001),"")</f>
        <v>0</v>
      </c>
      <c r="H1012" s="36" cm="1">
        <f t="array" ref="H1012">IFERROR(_xlfn.XLOOKUP(1, (dd_accsryclr!$C$2:$C$1000=accsry_unmerged!F1012)*(dd_accsryclr!$B$2:$B$1000=accsry_unmerged!J1012),dd_accsryclr!$A$2:$A$1000),"")</f>
        <v>0</v>
      </c>
      <c r="I1012" s="35">
        <f>_xlfn.XLOOKUP(C1012,'Project Details'!$C$17:$C$66,'Project Details'!$E$17:$E$66,"",0)</f>
        <v>0</v>
      </c>
      <c r="J1012" s="35">
        <f>_xlfn.XLOOKUP(C1012,'Project Details'!$C$17:$C$66,'Project Details'!$H$17:$H$66,"",0)</f>
        <v>0</v>
      </c>
      <c r="K1012" s="36" t="str">
        <f>IF(AND(_xlfn.XLOOKUP(C1012,'Project Details'!$C$17:$C$66,'Project Details'!$L$17:$L$66,"",0)&gt;550, F1012="Spring-L27cm"),"",SUBSTITUTE(_xlfn.XLOOKUP(G1012,SKUs!$C$2:$C$10001,SKUs!$F$2:$F$10001,"",0), " Accessories",""))</f>
        <v/>
      </c>
      <c r="L1012" s="36">
        <f>_xlfn.XLOOKUP(C1012,'Project Details'!$C$17:$C$66,'Project Details'!$D$17:$D$66,"",0)</f>
        <v>0</v>
      </c>
      <c r="M1012" s="43"/>
    </row>
    <row r="1013" spans="1:13" ht="13.5" customHeight="1" outlineLevel="1" x14ac:dyDescent="0.25">
      <c r="A1013" s="43"/>
      <c r="B1013" s="43"/>
      <c r="C1013" s="16">
        <f t="shared" si="18"/>
        <v>20</v>
      </c>
      <c r="D1013" s="16" t="str" cm="1">
        <f t="array" ref="D1013">IFERROR(ROUNDUP(_xlfn.IFS(F1013="Aluminum Track", _xlfn.XLOOKUP(C1013, dd_accsrycalc!$A$2:$A$51, dd_accsrycalc!$B$2:$B$51, "",0), F1013="10 x 2 1/2 S (Flat)", _xlfn.XLOOKUP(C1013, dd_accsrycalc!$A$2:$A$51, dd_accsrycalc!$C$2:$C$51, "",0), F1013="Tox6", _xlfn.XLOOKUP(C1013, dd_accsrycalc!$A$2:$A$51, dd_accsrycalc!$D$2:$D$51, "",0), F1013="Cover Cap", _xlfn.XLOOKUP(C1013, dd_accsrycalc!$A$2:$A$51, dd_accsrycalc!$E$2:$E$51, "",0), F1013="Drainage Cover", _xlfn.XLOOKUP(C1013, dd_accsrycalc!$A$2:$A$51, dd_accsrycalc!$F$2:$F$51, "",0),AND( F1013="Double Adhesive Tape", I1013="Roll-up Screen"), _xlfn.XLOOKUP(C1013, calc_rusacc!$C$15:$C$65, calc_rusacc!$AD$15:$AD$65, "",0),AND( F1013="Sealant", I1013="Roll-up Screen"), _xlfn.XLOOKUP(C1013, calc_rusacc!$C$15:$C$65, calc_rusacc!$AF$15:$AF$65, "",0),  AND( F1013="Main Chain", I1013="Accordion Screen"), _xlfn.XLOOKUP(C1013, calc_rusacc!$C$15:$C$65, calc_rusacc!$BF$15:$BF$65, "",0), AND( F1013="Sealant", I1013="Accordion Screen"), _xlfn.XLOOKUP(C1013, calc_rusacc!$C$15:$C$65, calc_rusacc!$BJ$15:$BJ$65, "",0),  F1013="Sealant", _xlfn.XLOOKUP(C1013, dd_accsrycalc!$A$2:$A$51, dd_accsrycalc!$G$2:$G$51, "",0),  F1013&lt;&gt;"",L1013*_xlfn.XLOOKUP(1, (SKUs!$C$2:$C$10001=G1013)*(SKUs!$K$2:$K$10001=I1013),SKUs!$E$2:$E$10001)), 0),"")</f>
        <v/>
      </c>
      <c r="E1013" s="16" t="str">
        <f>_xlfn.XLOOKUP(F1013,dd_item!$B$2:$B$105,dd_item!$C$2:$C$105,"",0)</f>
        <v/>
      </c>
      <c r="F1013" s="16"/>
      <c r="G1013" s="16" cm="1">
        <f t="array" ref="G1013">IFERROR(_xlfn.XLOOKUP(1, (SKUs!$J$2:$J$10001=accsry_unmerged!F1013)*IF(H1013&lt;&gt;"",(SKUs!$L$2:$L$10001=accsry_unmerged!H1013),1)*(SKUs!$K$2:$K$10001=I1013),SKUs!$C$2:$C$10001),"")</f>
        <v>0</v>
      </c>
      <c r="H1013" s="33" cm="1">
        <f t="array" ref="H1013">IFERROR(_xlfn.XLOOKUP(1, (dd_accsryclr!$C$2:$C$1000=accsry_unmerged!F1013)*(dd_accsryclr!$B$2:$B$1000=accsry_unmerged!J1013),dd_accsryclr!$A$2:$A$1000),"")</f>
        <v>0</v>
      </c>
      <c r="I1013" s="16">
        <f>_xlfn.XLOOKUP(C1013,'Project Details'!$C$17:$C$66,'Project Details'!$E$17:$E$66,"",0)</f>
        <v>0</v>
      </c>
      <c r="J1013" s="16">
        <f>_xlfn.XLOOKUP(C1013,'Project Details'!$C$17:$C$66,'Project Details'!$H$17:$H$66,"",0)</f>
        <v>0</v>
      </c>
      <c r="K1013" s="33" t="str">
        <f>IF(AND(_xlfn.XLOOKUP(C1013,'Project Details'!$C$17:$C$66,'Project Details'!$L$17:$L$66,"",0)&gt;550, F1013="Spring-L27cm"),"",SUBSTITUTE(_xlfn.XLOOKUP(G1013,SKUs!$C$2:$C$10001,SKUs!$F$2:$F$10001,"",0), " Accessories",""))</f>
        <v/>
      </c>
      <c r="L1013" s="33">
        <f>_xlfn.XLOOKUP(C1013,'Project Details'!$C$17:$C$66,'Project Details'!$D$17:$D$66,"",0)</f>
        <v>0</v>
      </c>
      <c r="M1013" s="43"/>
    </row>
    <row r="1014" spans="1:13" x14ac:dyDescent="0.25">
      <c r="A1014" s="43"/>
      <c r="B1014" s="43"/>
      <c r="C1014" s="43"/>
      <c r="D1014" s="43"/>
      <c r="E1014" s="43"/>
      <c r="F1014" s="43"/>
      <c r="G1014" s="43"/>
      <c r="H1014" s="43"/>
      <c r="I1014" s="43"/>
      <c r="J1014" s="43"/>
      <c r="K1014" s="43"/>
      <c r="L1014" s="43"/>
      <c r="M1014" s="43"/>
    </row>
    <row r="1015" spans="1:13" x14ac:dyDescent="0.25">
      <c r="A1015" s="43"/>
      <c r="B1015" s="43"/>
      <c r="C1015" s="16">
        <f>C1013+1</f>
        <v>21</v>
      </c>
      <c r="D1015" s="48" cm="1">
        <f t="array" ref="D1015">IFERROR(ROUNDUP(_xlfn.IFS(F1015="Aluminum Track", _xlfn.XLOOKUP(C1015, dd_accsrycalc!$A$2:$A$51, dd_accsrycalc!$B$2:$B$51, "",0), F1015="10 x 2 1/2 S (Flat)", _xlfn.XLOOKUP(C1015, dd_accsrycalc!$A$2:$A$51, dd_accsrycalc!$C$2:$C$51, "",0), F1015="Tox6", _xlfn.XLOOKUP(C1015, dd_accsrycalc!$A$2:$A$51, dd_accsrycalc!$D$2:$D$51, "",0), F1015="Cover Cap", _xlfn.XLOOKUP(C1015, dd_accsrycalc!$A$2:$A$51, dd_accsrycalc!$E$2:$E$51, "",0), F1015="Drainage Cover", _xlfn.XLOOKUP(C1015, dd_accsrycalc!$A$2:$A$51, dd_accsrycalc!$F$2:$F$51, "",0),AND( F1015="Double Adhesive Tape", I1015="Roll-up Screen"), _xlfn.XLOOKUP(C1015, calc_rusacc!$C$15:$C$65, calc_rusacc!$AD$15:$AD$65, "",0),AND( F1015="Sealant", I1015="Roll-up Screen"), _xlfn.XLOOKUP(C1015, calc_rusacc!$C$15:$C$65, calc_rusacc!$AF$15:$AF$65, "",0),  AND( F1015="Main Chain", I1015="Accordion Screen"), _xlfn.XLOOKUP(C1015, calc_rusacc!$C$15:$C$65, calc_rusacc!$BF$15:$BF$65, "",0), AND( F1015="Sealant", I1015="Accordion Screen"), _xlfn.XLOOKUP(C1015, calc_rusacc!$C$15:$C$65, calc_rusacc!$BJ$15:$BJ$65, "",0),  F1015="Sealant", _xlfn.XLOOKUP(C1015, dd_accsrycalc!$A$2:$A$51, dd_accsrycalc!$G$2:$G$51, "",0),  F1015&lt;&gt;"",L1015*_xlfn.XLOOKUP(1, (SKUs!$C$2:$C$10001=G1015)*(SKUs!$K$2:$K$10001=I1015),SKUs!$E$2:$E$10001)), 0),"")</f>
        <v>0</v>
      </c>
      <c r="E1015" s="48" t="str">
        <f>_xlfn.XLOOKUP(F1015,dd_item!$B$2:$B$105,dd_item!$C$2:$C$105,"",0)</f>
        <v/>
      </c>
      <c r="F1015" s="48" cm="1">
        <f t="array" ref="F1015">IFERROR(_xlfn.UNIQUE(_xlfn._xlws.FILTER(SKUs!$J$2:$J$10001, (SKUs!$F$2:$F$10001&lt;&gt;"Cutting List") * (SKUs!$A$2:$A$10001=_xlfn.XLOOKUP(_xlfn.XLOOKUP(C1015,'Project Details'!$C$17:$C$66,'Project Details'!$E$17:$E$66,"",0), dd_design_raw!$A$2:$A$101,dd_design_raw!$C$2:$C$101,"",0)))), "")</f>
        <v>0</v>
      </c>
      <c r="G1015" s="16" cm="1">
        <f t="array" ref="G1015">IFERROR(_xlfn.XLOOKUP(1, (SKUs!$J$2:$J$10001=accsry_unmerged!F1015)*IF(H1015&lt;&gt;"",(SKUs!$L$2:$L$10001=accsry_unmerged!H1015),1)*(SKUs!$K$2:$K$10001=I1015),SKUs!$C$2:$C$10001),"")</f>
        <v>0</v>
      </c>
      <c r="H1015" s="16" cm="1">
        <f t="array" ref="H1015">IFERROR(_xlfn.XLOOKUP(1, (dd_accsryclr!$C$2:$C$1000=accsry_unmerged!F1015)*(dd_accsryclr!$B$2:$B$1000=accsry_unmerged!J1015),dd_accsryclr!$A$2:$A$1000),"")</f>
        <v>0</v>
      </c>
      <c r="I1015" s="16">
        <f>_xlfn.XLOOKUP(C1015,'Project Details'!$C$17:$C$66,'Project Details'!$E$17:$E$66,"",0)</f>
        <v>0</v>
      </c>
      <c r="J1015" s="16">
        <f>_xlfn.XLOOKUP(C1015,'Project Details'!$C$17:$C$66,'Project Details'!$H$17:$H$66,"",0)</f>
        <v>0</v>
      </c>
      <c r="K1015" s="16" t="str">
        <f>IF(AND(_xlfn.XLOOKUP(C1015,'Project Details'!$C$17:$C$66,'Project Details'!$L$17:$L$66,"",0)&gt;550, F1015="Spring-L27cm"),"",SUBSTITUTE(_xlfn.XLOOKUP(G1015,SKUs!$C$2:$C$10001,SKUs!$F$2:$F$10001,"",0), " Accessories",""))</f>
        <v/>
      </c>
      <c r="L1015" s="16">
        <f>_xlfn.XLOOKUP(C1015,'Project Details'!$C$17:$C$66,'Project Details'!$D$17:$D$66,"",0)</f>
        <v>0</v>
      </c>
      <c r="M1015" s="43"/>
    </row>
    <row r="1016" spans="1:13" x14ac:dyDescent="0.25">
      <c r="A1016" s="43"/>
      <c r="B1016" s="43"/>
      <c r="C1016" s="35">
        <f>C1015</f>
        <v>21</v>
      </c>
      <c r="D1016" s="35" t="str" cm="1">
        <f t="array" ref="D1016">IFERROR(ROUNDUP(_xlfn.IFS(F1016="Aluminum Track", _xlfn.XLOOKUP(C1016, dd_accsrycalc!$A$2:$A$51, dd_accsrycalc!$B$2:$B$51, "",0), F1016="10 x 2 1/2 S (Flat)", _xlfn.XLOOKUP(C1016, dd_accsrycalc!$A$2:$A$51, dd_accsrycalc!$C$2:$C$51, "",0), F1016="Tox6", _xlfn.XLOOKUP(C1016, dd_accsrycalc!$A$2:$A$51, dd_accsrycalc!$D$2:$D$51, "",0), F1016="Cover Cap", _xlfn.XLOOKUP(C1016, dd_accsrycalc!$A$2:$A$51, dd_accsrycalc!$E$2:$E$51, "",0), F1016="Drainage Cover", _xlfn.XLOOKUP(C1016, dd_accsrycalc!$A$2:$A$51, dd_accsrycalc!$F$2:$F$51, "",0),AND( F1016="Double Adhesive Tape", I1016="Roll-up Screen"), _xlfn.XLOOKUP(C1016, calc_rusacc!$C$15:$C$65, calc_rusacc!$AD$15:$AD$65, "",0),AND( F1016="Sealant", I1016="Roll-up Screen"), _xlfn.XLOOKUP(C1016, calc_rusacc!$C$15:$C$65, calc_rusacc!$AF$15:$AF$65, "",0),  AND( F1016="Main Chain", I1016="Accordion Screen"), _xlfn.XLOOKUP(C1016, calc_rusacc!$C$15:$C$65, calc_rusacc!$BF$15:$BF$65, "",0), AND( F1016="Sealant", I1016="Accordion Screen"), _xlfn.XLOOKUP(C1016, calc_rusacc!$C$15:$C$65, calc_rusacc!$BJ$15:$BJ$65, "",0),  F1016="Sealant", _xlfn.XLOOKUP(C1016, dd_accsrycalc!$A$2:$A$51, dd_accsrycalc!$G$2:$G$51, "",0),  F1016&lt;&gt;"",L1016*_xlfn.XLOOKUP(1, (SKUs!$C$2:$C$10001=G1016)*(SKUs!$K$2:$K$10001=I1016),SKUs!$E$2:$E$10001)), 0),"")</f>
        <v/>
      </c>
      <c r="E1016" s="35" t="str">
        <f>_xlfn.XLOOKUP(F1016,dd_item!$B$2:$B$105,dd_item!$C$2:$C$105,"",0)</f>
        <v/>
      </c>
      <c r="F1016" s="35"/>
      <c r="G1016" s="35" cm="1">
        <f t="array" ref="G1016">IFERROR(_xlfn.XLOOKUP(1, (SKUs!$J$2:$J$10001=accsry_unmerged!F1016)*IF(H1016&lt;&gt;"",(SKUs!$L$2:$L$10001=accsry_unmerged!H1016),1)*(SKUs!$K$2:$K$10001=I1016),SKUs!$C$2:$C$10001),"")</f>
        <v>0</v>
      </c>
      <c r="H1016" s="36" cm="1">
        <f t="array" ref="H1016">IFERROR(_xlfn.XLOOKUP(1, (dd_accsryclr!$C$2:$C$1000=accsry_unmerged!F1016)*(dd_accsryclr!$B$2:$B$1000=accsry_unmerged!J1016),dd_accsryclr!$A$2:$A$1000),"")</f>
        <v>0</v>
      </c>
      <c r="I1016" s="35">
        <f>_xlfn.XLOOKUP(C1016,'Project Details'!$C$17:$C$66,'Project Details'!$E$17:$E$66,"",0)</f>
        <v>0</v>
      </c>
      <c r="J1016" s="35">
        <f>_xlfn.XLOOKUP(C1016,'Project Details'!$C$17:$C$66,'Project Details'!$H$17:$H$66,"",0)</f>
        <v>0</v>
      </c>
      <c r="K1016" s="36" t="str">
        <f>IF(AND(_xlfn.XLOOKUP(C1016,'Project Details'!$C$17:$C$66,'Project Details'!$L$17:$L$66,"",0)&gt;550, F1016="Spring-L27cm"),"",SUBSTITUTE(_xlfn.XLOOKUP(G1016,SKUs!$C$2:$C$10001,SKUs!$F$2:$F$10001,"",0), " Accessories",""))</f>
        <v/>
      </c>
      <c r="L1016" s="36">
        <f>_xlfn.XLOOKUP(C1016,'Project Details'!$C$17:$C$66,'Project Details'!$D$17:$D$66,"",0)</f>
        <v>0</v>
      </c>
      <c r="M1016" s="43"/>
    </row>
    <row r="1017" spans="1:13" x14ac:dyDescent="0.25">
      <c r="A1017" s="43"/>
      <c r="B1017" s="43"/>
      <c r="C1017" s="16">
        <f t="shared" ref="C1017:C1063" si="19">C1016</f>
        <v>21</v>
      </c>
      <c r="D1017" s="16" t="str" cm="1">
        <f t="array" ref="D1017">IFERROR(ROUNDUP(_xlfn.IFS(F1017="Aluminum Track", _xlfn.XLOOKUP(C1017, dd_accsrycalc!$A$2:$A$51, dd_accsrycalc!$B$2:$B$51, "",0), F1017="10 x 2 1/2 S (Flat)", _xlfn.XLOOKUP(C1017, dd_accsrycalc!$A$2:$A$51, dd_accsrycalc!$C$2:$C$51, "",0), F1017="Tox6", _xlfn.XLOOKUP(C1017, dd_accsrycalc!$A$2:$A$51, dd_accsrycalc!$D$2:$D$51, "",0), F1017="Cover Cap", _xlfn.XLOOKUP(C1017, dd_accsrycalc!$A$2:$A$51, dd_accsrycalc!$E$2:$E$51, "",0), F1017="Drainage Cover", _xlfn.XLOOKUP(C1017, dd_accsrycalc!$A$2:$A$51, dd_accsrycalc!$F$2:$F$51, "",0),AND( F1017="Double Adhesive Tape", I1017="Roll-up Screen"), _xlfn.XLOOKUP(C1017, calc_rusacc!$C$15:$C$65, calc_rusacc!$AD$15:$AD$65, "",0),AND( F1017="Sealant", I1017="Roll-up Screen"), _xlfn.XLOOKUP(C1017, calc_rusacc!$C$15:$C$65, calc_rusacc!$AF$15:$AF$65, "",0),  AND( F1017="Main Chain", I1017="Accordion Screen"), _xlfn.XLOOKUP(C1017, calc_rusacc!$C$15:$C$65, calc_rusacc!$BF$15:$BF$65, "",0), AND( F1017="Sealant", I1017="Accordion Screen"), _xlfn.XLOOKUP(C1017, calc_rusacc!$C$15:$C$65, calc_rusacc!$BJ$15:$BJ$65, "",0),  F1017="Sealant", _xlfn.XLOOKUP(C1017, dd_accsrycalc!$A$2:$A$51, dd_accsrycalc!$G$2:$G$51, "",0),  F1017&lt;&gt;"",L1017*_xlfn.XLOOKUP(1, (SKUs!$C$2:$C$10001=G1017)*(SKUs!$K$2:$K$10001=I1017),SKUs!$E$2:$E$10001)), 0),"")</f>
        <v/>
      </c>
      <c r="E1017" s="16" t="str">
        <f>_xlfn.XLOOKUP(F1017,dd_item!$B$2:$B$105,dd_item!$C$2:$C$105,"",0)</f>
        <v/>
      </c>
      <c r="F1017" s="16"/>
      <c r="G1017" s="16" cm="1">
        <f t="array" ref="G1017">IFERROR(_xlfn.XLOOKUP(1, (SKUs!$J$2:$J$10001=accsry_unmerged!F1017)*IF(H1017&lt;&gt;"",(SKUs!$L$2:$L$10001=accsry_unmerged!H1017),1)*(SKUs!$K$2:$K$10001=I1017),SKUs!$C$2:$C$10001),"")</f>
        <v>0</v>
      </c>
      <c r="H1017" s="33" cm="1">
        <f t="array" ref="H1017">IFERROR(_xlfn.XLOOKUP(1, (dd_accsryclr!$C$2:$C$1000=accsry_unmerged!F1017)*(dd_accsryclr!$B$2:$B$1000=accsry_unmerged!J1017),dd_accsryclr!$A$2:$A$1000),"")</f>
        <v>0</v>
      </c>
      <c r="I1017" s="16">
        <f>_xlfn.XLOOKUP(C1017,'Project Details'!$C$17:$C$66,'Project Details'!$E$17:$E$66,"",0)</f>
        <v>0</v>
      </c>
      <c r="J1017" s="16">
        <f>_xlfn.XLOOKUP(C1017,'Project Details'!$C$17:$C$66,'Project Details'!$H$17:$H$66,"",0)</f>
        <v>0</v>
      </c>
      <c r="K1017" s="33" t="str">
        <f>IF(AND(_xlfn.XLOOKUP(C1017,'Project Details'!$C$17:$C$66,'Project Details'!$L$17:$L$66,"",0)&gt;550, F1017="Spring-L27cm"),"",SUBSTITUTE(_xlfn.XLOOKUP(G1017,SKUs!$C$2:$C$10001,SKUs!$F$2:$F$10001,"",0), " Accessories",""))</f>
        <v/>
      </c>
      <c r="L1017" s="33">
        <f>_xlfn.XLOOKUP(C1017,'Project Details'!$C$17:$C$66,'Project Details'!$D$17:$D$66,"",0)</f>
        <v>0</v>
      </c>
      <c r="M1017" s="43"/>
    </row>
    <row r="1018" spans="1:13" x14ac:dyDescent="0.25">
      <c r="A1018" s="43"/>
      <c r="B1018" s="43"/>
      <c r="C1018" s="35">
        <f t="shared" si="19"/>
        <v>21</v>
      </c>
      <c r="D1018" s="35" t="str" cm="1">
        <f t="array" ref="D1018">IFERROR(ROUNDUP(_xlfn.IFS(F1018="Aluminum Track", _xlfn.XLOOKUP(C1018, dd_accsrycalc!$A$2:$A$51, dd_accsrycalc!$B$2:$B$51, "",0), F1018="10 x 2 1/2 S (Flat)", _xlfn.XLOOKUP(C1018, dd_accsrycalc!$A$2:$A$51, dd_accsrycalc!$C$2:$C$51, "",0), F1018="Tox6", _xlfn.XLOOKUP(C1018, dd_accsrycalc!$A$2:$A$51, dd_accsrycalc!$D$2:$D$51, "",0), F1018="Cover Cap", _xlfn.XLOOKUP(C1018, dd_accsrycalc!$A$2:$A$51, dd_accsrycalc!$E$2:$E$51, "",0), F1018="Drainage Cover", _xlfn.XLOOKUP(C1018, dd_accsrycalc!$A$2:$A$51, dd_accsrycalc!$F$2:$F$51, "",0),AND( F1018="Double Adhesive Tape", I1018="Roll-up Screen"), _xlfn.XLOOKUP(C1018, calc_rusacc!$C$15:$C$65, calc_rusacc!$AD$15:$AD$65, "",0),AND( F1018="Sealant", I1018="Roll-up Screen"), _xlfn.XLOOKUP(C1018, calc_rusacc!$C$15:$C$65, calc_rusacc!$AF$15:$AF$65, "",0),  AND( F1018="Main Chain", I1018="Accordion Screen"), _xlfn.XLOOKUP(C1018, calc_rusacc!$C$15:$C$65, calc_rusacc!$BF$15:$BF$65, "",0), AND( F1018="Sealant", I1018="Accordion Screen"), _xlfn.XLOOKUP(C1018, calc_rusacc!$C$15:$C$65, calc_rusacc!$BJ$15:$BJ$65, "",0),  F1018="Sealant", _xlfn.XLOOKUP(C1018, dd_accsrycalc!$A$2:$A$51, dd_accsrycalc!$G$2:$G$51, "",0),  F1018&lt;&gt;"",L1018*_xlfn.XLOOKUP(1, (SKUs!$C$2:$C$10001=G1018)*(SKUs!$K$2:$K$10001=I1018),SKUs!$E$2:$E$10001)), 0),"")</f>
        <v/>
      </c>
      <c r="E1018" s="35" t="str">
        <f>_xlfn.XLOOKUP(F1018,dd_item!$B$2:$B$105,dd_item!$C$2:$C$105,"",0)</f>
        <v/>
      </c>
      <c r="F1018" s="35"/>
      <c r="G1018" s="35" cm="1">
        <f t="array" ref="G1018">IFERROR(_xlfn.XLOOKUP(1, (SKUs!$J$2:$J$10001=accsry_unmerged!F1018)*IF(H1018&lt;&gt;"",(SKUs!$L$2:$L$10001=accsry_unmerged!H1018),1)*(SKUs!$K$2:$K$10001=I1018),SKUs!$C$2:$C$10001),"")</f>
        <v>0</v>
      </c>
      <c r="H1018" s="36" cm="1">
        <f t="array" ref="H1018">IFERROR(_xlfn.XLOOKUP(1, (dd_accsryclr!$C$2:$C$1000=accsry_unmerged!F1018)*(dd_accsryclr!$B$2:$B$1000=accsry_unmerged!J1018),dd_accsryclr!$A$2:$A$1000),"")</f>
        <v>0</v>
      </c>
      <c r="I1018" s="35">
        <f>_xlfn.XLOOKUP(C1018,'Project Details'!$C$17:$C$66,'Project Details'!$E$17:$E$66,"",0)</f>
        <v>0</v>
      </c>
      <c r="J1018" s="35">
        <f>_xlfn.XLOOKUP(C1018,'Project Details'!$C$17:$C$66,'Project Details'!$H$17:$H$66,"",0)</f>
        <v>0</v>
      </c>
      <c r="K1018" s="36" t="str">
        <f>IF(AND(_xlfn.XLOOKUP(C1018,'Project Details'!$C$17:$C$66,'Project Details'!$L$17:$L$66,"",0)&gt;550, F1018="Spring-L27cm"),"",SUBSTITUTE(_xlfn.XLOOKUP(G1018,SKUs!$C$2:$C$10001,SKUs!$F$2:$F$10001,"",0), " Accessories",""))</f>
        <v/>
      </c>
      <c r="L1018" s="36">
        <f>_xlfn.XLOOKUP(C1018,'Project Details'!$C$17:$C$66,'Project Details'!$D$17:$D$66,"",0)</f>
        <v>0</v>
      </c>
      <c r="M1018" s="43"/>
    </row>
    <row r="1019" spans="1:13" x14ac:dyDescent="0.25">
      <c r="A1019" s="43"/>
      <c r="B1019" s="43"/>
      <c r="C1019" s="16">
        <f t="shared" si="19"/>
        <v>21</v>
      </c>
      <c r="D1019" s="16" t="str" cm="1">
        <f t="array" ref="D1019">IFERROR(ROUNDUP(_xlfn.IFS(F1019="Aluminum Track", _xlfn.XLOOKUP(C1019, dd_accsrycalc!$A$2:$A$51, dd_accsrycalc!$B$2:$B$51, "",0), F1019="10 x 2 1/2 S (Flat)", _xlfn.XLOOKUP(C1019, dd_accsrycalc!$A$2:$A$51, dd_accsrycalc!$C$2:$C$51, "",0), F1019="Tox6", _xlfn.XLOOKUP(C1019, dd_accsrycalc!$A$2:$A$51, dd_accsrycalc!$D$2:$D$51, "",0), F1019="Cover Cap", _xlfn.XLOOKUP(C1019, dd_accsrycalc!$A$2:$A$51, dd_accsrycalc!$E$2:$E$51, "",0), F1019="Drainage Cover", _xlfn.XLOOKUP(C1019, dd_accsrycalc!$A$2:$A$51, dd_accsrycalc!$F$2:$F$51, "",0),AND( F1019="Double Adhesive Tape", I1019="Roll-up Screen"), _xlfn.XLOOKUP(C1019, calc_rusacc!$C$15:$C$65, calc_rusacc!$AD$15:$AD$65, "",0),AND( F1019="Sealant", I1019="Roll-up Screen"), _xlfn.XLOOKUP(C1019, calc_rusacc!$C$15:$C$65, calc_rusacc!$AF$15:$AF$65, "",0),  AND( F1019="Main Chain", I1019="Accordion Screen"), _xlfn.XLOOKUP(C1019, calc_rusacc!$C$15:$C$65, calc_rusacc!$BF$15:$BF$65, "",0), AND( F1019="Sealant", I1019="Accordion Screen"), _xlfn.XLOOKUP(C1019, calc_rusacc!$C$15:$C$65, calc_rusacc!$BJ$15:$BJ$65, "",0),  F1019="Sealant", _xlfn.XLOOKUP(C1019, dd_accsrycalc!$A$2:$A$51, dd_accsrycalc!$G$2:$G$51, "",0),  F1019&lt;&gt;"",L1019*_xlfn.XLOOKUP(1, (SKUs!$C$2:$C$10001=G1019)*(SKUs!$K$2:$K$10001=I1019),SKUs!$E$2:$E$10001)), 0),"")</f>
        <v/>
      </c>
      <c r="E1019" s="16" t="str">
        <f>_xlfn.XLOOKUP(F1019,dd_item!$B$2:$B$105,dd_item!$C$2:$C$105,"",0)</f>
        <v/>
      </c>
      <c r="F1019" s="16"/>
      <c r="G1019" s="16" cm="1">
        <f t="array" ref="G1019">IFERROR(_xlfn.XLOOKUP(1, (SKUs!$J$2:$J$10001=accsry_unmerged!F1019)*IF(H1019&lt;&gt;"",(SKUs!$L$2:$L$10001=accsry_unmerged!H1019),1)*(SKUs!$K$2:$K$10001=I1019),SKUs!$C$2:$C$10001),"")</f>
        <v>0</v>
      </c>
      <c r="H1019" s="33" cm="1">
        <f t="array" ref="H1019">IFERROR(_xlfn.XLOOKUP(1, (dd_accsryclr!$C$2:$C$1000=accsry_unmerged!F1019)*(dd_accsryclr!$B$2:$B$1000=accsry_unmerged!J1019),dd_accsryclr!$A$2:$A$1000),"")</f>
        <v>0</v>
      </c>
      <c r="I1019" s="16">
        <f>_xlfn.XLOOKUP(C1019,'Project Details'!$C$17:$C$66,'Project Details'!$E$17:$E$66,"",0)</f>
        <v>0</v>
      </c>
      <c r="J1019" s="16">
        <f>_xlfn.XLOOKUP(C1019,'Project Details'!$C$17:$C$66,'Project Details'!$H$17:$H$66,"",0)</f>
        <v>0</v>
      </c>
      <c r="K1019" s="33" t="str">
        <f>IF(AND(_xlfn.XLOOKUP(C1019,'Project Details'!$C$17:$C$66,'Project Details'!$L$17:$L$66,"",0)&gt;550, F1019="Spring-L27cm"),"",SUBSTITUTE(_xlfn.XLOOKUP(G1019,SKUs!$C$2:$C$10001,SKUs!$F$2:$F$10001,"",0), " Accessories",""))</f>
        <v/>
      </c>
      <c r="L1019" s="33">
        <f>_xlfn.XLOOKUP(C1019,'Project Details'!$C$17:$C$66,'Project Details'!$D$17:$D$66,"",0)</f>
        <v>0</v>
      </c>
      <c r="M1019" s="43"/>
    </row>
    <row r="1020" spans="1:13" x14ac:dyDescent="0.25">
      <c r="A1020" s="43"/>
      <c r="B1020" s="43"/>
      <c r="C1020" s="35">
        <f t="shared" si="19"/>
        <v>21</v>
      </c>
      <c r="D1020" s="35" t="str" cm="1">
        <f t="array" ref="D1020">IFERROR(ROUNDUP(_xlfn.IFS(F1020="Aluminum Track", _xlfn.XLOOKUP(C1020, dd_accsrycalc!$A$2:$A$51, dd_accsrycalc!$B$2:$B$51, "",0), F1020="10 x 2 1/2 S (Flat)", _xlfn.XLOOKUP(C1020, dd_accsrycalc!$A$2:$A$51, dd_accsrycalc!$C$2:$C$51, "",0), F1020="Tox6", _xlfn.XLOOKUP(C1020, dd_accsrycalc!$A$2:$A$51, dd_accsrycalc!$D$2:$D$51, "",0), F1020="Cover Cap", _xlfn.XLOOKUP(C1020, dd_accsrycalc!$A$2:$A$51, dd_accsrycalc!$E$2:$E$51, "",0), F1020="Drainage Cover", _xlfn.XLOOKUP(C1020, dd_accsrycalc!$A$2:$A$51, dd_accsrycalc!$F$2:$F$51, "",0),AND( F1020="Double Adhesive Tape", I1020="Roll-up Screen"), _xlfn.XLOOKUP(C1020, calc_rusacc!$C$15:$C$65, calc_rusacc!$AD$15:$AD$65, "",0),AND( F1020="Sealant", I1020="Roll-up Screen"), _xlfn.XLOOKUP(C1020, calc_rusacc!$C$15:$C$65, calc_rusacc!$AF$15:$AF$65, "",0),  AND( F1020="Main Chain", I1020="Accordion Screen"), _xlfn.XLOOKUP(C1020, calc_rusacc!$C$15:$C$65, calc_rusacc!$BF$15:$BF$65, "",0), AND( F1020="Sealant", I1020="Accordion Screen"), _xlfn.XLOOKUP(C1020, calc_rusacc!$C$15:$C$65, calc_rusacc!$BJ$15:$BJ$65, "",0),  F1020="Sealant", _xlfn.XLOOKUP(C1020, dd_accsrycalc!$A$2:$A$51, dd_accsrycalc!$G$2:$G$51, "",0),  F1020&lt;&gt;"",L1020*_xlfn.XLOOKUP(1, (SKUs!$C$2:$C$10001=G1020)*(SKUs!$K$2:$K$10001=I1020),SKUs!$E$2:$E$10001)), 0),"")</f>
        <v/>
      </c>
      <c r="E1020" s="35" t="str">
        <f>_xlfn.XLOOKUP(F1020,dd_item!$B$2:$B$105,dd_item!$C$2:$C$105,"",0)</f>
        <v/>
      </c>
      <c r="F1020" s="35"/>
      <c r="G1020" s="35" cm="1">
        <f t="array" ref="G1020">IFERROR(_xlfn.XLOOKUP(1, (SKUs!$J$2:$J$10001=accsry_unmerged!F1020)*IF(H1020&lt;&gt;"",(SKUs!$L$2:$L$10001=accsry_unmerged!H1020),1)*(SKUs!$K$2:$K$10001=I1020),SKUs!$C$2:$C$10001),"")</f>
        <v>0</v>
      </c>
      <c r="H1020" s="36" cm="1">
        <f t="array" ref="H1020">IFERROR(_xlfn.XLOOKUP(1, (dd_accsryclr!$C$2:$C$1000=accsry_unmerged!F1020)*(dd_accsryclr!$B$2:$B$1000=accsry_unmerged!J1020),dd_accsryclr!$A$2:$A$1000),"")</f>
        <v>0</v>
      </c>
      <c r="I1020" s="35">
        <f>_xlfn.XLOOKUP(C1020,'Project Details'!$C$17:$C$66,'Project Details'!$E$17:$E$66,"",0)</f>
        <v>0</v>
      </c>
      <c r="J1020" s="35">
        <f>_xlfn.XLOOKUP(C1020,'Project Details'!$C$17:$C$66,'Project Details'!$H$17:$H$66,"",0)</f>
        <v>0</v>
      </c>
      <c r="K1020" s="36" t="str">
        <f>IF(AND(_xlfn.XLOOKUP(C1020,'Project Details'!$C$17:$C$66,'Project Details'!$L$17:$L$66,"",0)&gt;550, F1020="Spring-L27cm"),"",SUBSTITUTE(_xlfn.XLOOKUP(G1020,SKUs!$C$2:$C$10001,SKUs!$F$2:$F$10001,"",0), " Accessories",""))</f>
        <v/>
      </c>
      <c r="L1020" s="36">
        <f>_xlfn.XLOOKUP(C1020,'Project Details'!$C$17:$C$66,'Project Details'!$D$17:$D$66,"",0)</f>
        <v>0</v>
      </c>
      <c r="M1020" s="43"/>
    </row>
    <row r="1021" spans="1:13" x14ac:dyDescent="0.25">
      <c r="A1021" s="43"/>
      <c r="B1021" s="43"/>
      <c r="C1021" s="16">
        <f t="shared" si="19"/>
        <v>21</v>
      </c>
      <c r="D1021" s="16" t="str" cm="1">
        <f t="array" ref="D1021">IFERROR(ROUNDUP(_xlfn.IFS(F1021="Aluminum Track", _xlfn.XLOOKUP(C1021, dd_accsrycalc!$A$2:$A$51, dd_accsrycalc!$B$2:$B$51, "",0), F1021="10 x 2 1/2 S (Flat)", _xlfn.XLOOKUP(C1021, dd_accsrycalc!$A$2:$A$51, dd_accsrycalc!$C$2:$C$51, "",0), F1021="Tox6", _xlfn.XLOOKUP(C1021, dd_accsrycalc!$A$2:$A$51, dd_accsrycalc!$D$2:$D$51, "",0), F1021="Cover Cap", _xlfn.XLOOKUP(C1021, dd_accsrycalc!$A$2:$A$51, dd_accsrycalc!$E$2:$E$51, "",0), F1021="Drainage Cover", _xlfn.XLOOKUP(C1021, dd_accsrycalc!$A$2:$A$51, dd_accsrycalc!$F$2:$F$51, "",0),AND( F1021="Double Adhesive Tape", I1021="Roll-up Screen"), _xlfn.XLOOKUP(C1021, calc_rusacc!$C$15:$C$65, calc_rusacc!$AD$15:$AD$65, "",0),AND( F1021="Sealant", I1021="Roll-up Screen"), _xlfn.XLOOKUP(C1021, calc_rusacc!$C$15:$C$65, calc_rusacc!$AF$15:$AF$65, "",0),  AND( F1021="Main Chain", I1021="Accordion Screen"), _xlfn.XLOOKUP(C1021, calc_rusacc!$C$15:$C$65, calc_rusacc!$BF$15:$BF$65, "",0), AND( F1021="Sealant", I1021="Accordion Screen"), _xlfn.XLOOKUP(C1021, calc_rusacc!$C$15:$C$65, calc_rusacc!$BJ$15:$BJ$65, "",0),  F1021="Sealant", _xlfn.XLOOKUP(C1021, dd_accsrycalc!$A$2:$A$51, dd_accsrycalc!$G$2:$G$51, "",0),  F1021&lt;&gt;"",L1021*_xlfn.XLOOKUP(1, (SKUs!$C$2:$C$10001=G1021)*(SKUs!$K$2:$K$10001=I1021),SKUs!$E$2:$E$10001)), 0),"")</f>
        <v/>
      </c>
      <c r="E1021" s="16" t="str">
        <f>_xlfn.XLOOKUP(F1021,dd_item!$B$2:$B$105,dd_item!$C$2:$C$105,"",0)</f>
        <v/>
      </c>
      <c r="F1021" s="16"/>
      <c r="G1021" s="16" cm="1">
        <f t="array" ref="G1021">IFERROR(_xlfn.XLOOKUP(1, (SKUs!$J$2:$J$10001=accsry_unmerged!F1021)*IF(H1021&lt;&gt;"",(SKUs!$L$2:$L$10001=accsry_unmerged!H1021),1)*(SKUs!$K$2:$K$10001=I1021),SKUs!$C$2:$C$10001),"")</f>
        <v>0</v>
      </c>
      <c r="H1021" s="33" cm="1">
        <f t="array" ref="H1021">IFERROR(_xlfn.XLOOKUP(1, (dd_accsryclr!$C$2:$C$1000=accsry_unmerged!F1021)*(dd_accsryclr!$B$2:$B$1000=accsry_unmerged!J1021),dd_accsryclr!$A$2:$A$1000),"")</f>
        <v>0</v>
      </c>
      <c r="I1021" s="16">
        <f>_xlfn.XLOOKUP(C1021,'Project Details'!$C$17:$C$66,'Project Details'!$E$17:$E$66,"",0)</f>
        <v>0</v>
      </c>
      <c r="J1021" s="16">
        <f>_xlfn.XLOOKUP(C1021,'Project Details'!$C$17:$C$66,'Project Details'!$H$17:$H$66,"",0)</f>
        <v>0</v>
      </c>
      <c r="K1021" s="33" t="str">
        <f>IF(AND(_xlfn.XLOOKUP(C1021,'Project Details'!$C$17:$C$66,'Project Details'!$L$17:$L$66,"",0)&gt;550, F1021="Spring-L27cm"),"",SUBSTITUTE(_xlfn.XLOOKUP(G1021,SKUs!$C$2:$C$10001,SKUs!$F$2:$F$10001,"",0), " Accessories",""))</f>
        <v/>
      </c>
      <c r="L1021" s="33">
        <f>_xlfn.XLOOKUP(C1021,'Project Details'!$C$17:$C$66,'Project Details'!$D$17:$D$66,"",0)</f>
        <v>0</v>
      </c>
      <c r="M1021" s="43"/>
    </row>
    <row r="1022" spans="1:13" x14ac:dyDescent="0.25">
      <c r="A1022" s="43"/>
      <c r="B1022" s="43"/>
      <c r="C1022" s="35">
        <f t="shared" si="19"/>
        <v>21</v>
      </c>
      <c r="D1022" s="35" t="str" cm="1">
        <f t="array" ref="D1022">IFERROR(ROUNDUP(_xlfn.IFS(F1022="Aluminum Track", _xlfn.XLOOKUP(C1022, dd_accsrycalc!$A$2:$A$51, dd_accsrycalc!$B$2:$B$51, "",0), F1022="10 x 2 1/2 S (Flat)", _xlfn.XLOOKUP(C1022, dd_accsrycalc!$A$2:$A$51, dd_accsrycalc!$C$2:$C$51, "",0), F1022="Tox6", _xlfn.XLOOKUP(C1022, dd_accsrycalc!$A$2:$A$51, dd_accsrycalc!$D$2:$D$51, "",0), F1022="Cover Cap", _xlfn.XLOOKUP(C1022, dd_accsrycalc!$A$2:$A$51, dd_accsrycalc!$E$2:$E$51, "",0), F1022="Drainage Cover", _xlfn.XLOOKUP(C1022, dd_accsrycalc!$A$2:$A$51, dd_accsrycalc!$F$2:$F$51, "",0),AND( F1022="Double Adhesive Tape", I1022="Roll-up Screen"), _xlfn.XLOOKUP(C1022, calc_rusacc!$C$15:$C$65, calc_rusacc!$AD$15:$AD$65, "",0),AND( F1022="Sealant", I1022="Roll-up Screen"), _xlfn.XLOOKUP(C1022, calc_rusacc!$C$15:$C$65, calc_rusacc!$AF$15:$AF$65, "",0),  AND( F1022="Main Chain", I1022="Accordion Screen"), _xlfn.XLOOKUP(C1022, calc_rusacc!$C$15:$C$65, calc_rusacc!$BF$15:$BF$65, "",0), AND( F1022="Sealant", I1022="Accordion Screen"), _xlfn.XLOOKUP(C1022, calc_rusacc!$C$15:$C$65, calc_rusacc!$BJ$15:$BJ$65, "",0),  F1022="Sealant", _xlfn.XLOOKUP(C1022, dd_accsrycalc!$A$2:$A$51, dd_accsrycalc!$G$2:$G$51, "",0),  F1022&lt;&gt;"",L1022*_xlfn.XLOOKUP(1, (SKUs!$C$2:$C$10001=G1022)*(SKUs!$K$2:$K$10001=I1022),SKUs!$E$2:$E$10001)), 0),"")</f>
        <v/>
      </c>
      <c r="E1022" s="35" t="str">
        <f>_xlfn.XLOOKUP(F1022,dd_item!$B$2:$B$105,dd_item!$C$2:$C$105,"",0)</f>
        <v/>
      </c>
      <c r="F1022" s="35"/>
      <c r="G1022" s="35" cm="1">
        <f t="array" ref="G1022">IFERROR(_xlfn.XLOOKUP(1, (SKUs!$J$2:$J$10001=accsry_unmerged!F1022)*IF(H1022&lt;&gt;"",(SKUs!$L$2:$L$10001=accsry_unmerged!H1022),1)*(SKUs!$K$2:$K$10001=I1022),SKUs!$C$2:$C$10001),"")</f>
        <v>0</v>
      </c>
      <c r="H1022" s="36" cm="1">
        <f t="array" ref="H1022">IFERROR(_xlfn.XLOOKUP(1, (dd_accsryclr!$C$2:$C$1000=accsry_unmerged!F1022)*(dd_accsryclr!$B$2:$B$1000=accsry_unmerged!J1022),dd_accsryclr!$A$2:$A$1000),"")</f>
        <v>0</v>
      </c>
      <c r="I1022" s="35">
        <f>_xlfn.XLOOKUP(C1022,'Project Details'!$C$17:$C$66,'Project Details'!$E$17:$E$66,"",0)</f>
        <v>0</v>
      </c>
      <c r="J1022" s="35">
        <f>_xlfn.XLOOKUP(C1022,'Project Details'!$C$17:$C$66,'Project Details'!$H$17:$H$66,"",0)</f>
        <v>0</v>
      </c>
      <c r="K1022" s="36" t="str">
        <f>IF(AND(_xlfn.XLOOKUP(C1022,'Project Details'!$C$17:$C$66,'Project Details'!$L$17:$L$66,"",0)&gt;550, F1022="Spring-L27cm"),"",SUBSTITUTE(_xlfn.XLOOKUP(G1022,SKUs!$C$2:$C$10001,SKUs!$F$2:$F$10001,"",0), " Accessories",""))</f>
        <v/>
      </c>
      <c r="L1022" s="36">
        <f>_xlfn.XLOOKUP(C1022,'Project Details'!$C$17:$C$66,'Project Details'!$D$17:$D$66,"",0)</f>
        <v>0</v>
      </c>
      <c r="M1022" s="43"/>
    </row>
    <row r="1023" spans="1:13" x14ac:dyDescent="0.25">
      <c r="A1023" s="43"/>
      <c r="B1023" s="43"/>
      <c r="C1023" s="16">
        <f t="shared" si="19"/>
        <v>21</v>
      </c>
      <c r="D1023" s="16" t="str" cm="1">
        <f t="array" ref="D1023">IFERROR(ROUNDUP(_xlfn.IFS(F1023="Aluminum Track", _xlfn.XLOOKUP(C1023, dd_accsrycalc!$A$2:$A$51, dd_accsrycalc!$B$2:$B$51, "",0), F1023="10 x 2 1/2 S (Flat)", _xlfn.XLOOKUP(C1023, dd_accsrycalc!$A$2:$A$51, dd_accsrycalc!$C$2:$C$51, "",0), F1023="Tox6", _xlfn.XLOOKUP(C1023, dd_accsrycalc!$A$2:$A$51, dd_accsrycalc!$D$2:$D$51, "",0), F1023="Cover Cap", _xlfn.XLOOKUP(C1023, dd_accsrycalc!$A$2:$A$51, dd_accsrycalc!$E$2:$E$51, "",0), F1023="Drainage Cover", _xlfn.XLOOKUP(C1023, dd_accsrycalc!$A$2:$A$51, dd_accsrycalc!$F$2:$F$51, "",0),AND( F1023="Double Adhesive Tape", I1023="Roll-up Screen"), _xlfn.XLOOKUP(C1023, calc_rusacc!$C$15:$C$65, calc_rusacc!$AD$15:$AD$65, "",0),AND( F1023="Sealant", I1023="Roll-up Screen"), _xlfn.XLOOKUP(C1023, calc_rusacc!$C$15:$C$65, calc_rusacc!$AF$15:$AF$65, "",0),  AND( F1023="Main Chain", I1023="Accordion Screen"), _xlfn.XLOOKUP(C1023, calc_rusacc!$C$15:$C$65, calc_rusacc!$BF$15:$BF$65, "",0), AND( F1023="Sealant", I1023="Accordion Screen"), _xlfn.XLOOKUP(C1023, calc_rusacc!$C$15:$C$65, calc_rusacc!$BJ$15:$BJ$65, "",0),  F1023="Sealant", _xlfn.XLOOKUP(C1023, dd_accsrycalc!$A$2:$A$51, dd_accsrycalc!$G$2:$G$51, "",0),  F1023&lt;&gt;"",L1023*_xlfn.XLOOKUP(1, (SKUs!$C$2:$C$10001=G1023)*(SKUs!$K$2:$K$10001=I1023),SKUs!$E$2:$E$10001)), 0),"")</f>
        <v/>
      </c>
      <c r="E1023" s="16" t="str">
        <f>_xlfn.XLOOKUP(F1023,dd_item!$B$2:$B$105,dd_item!$C$2:$C$105,"",0)</f>
        <v/>
      </c>
      <c r="F1023" s="16"/>
      <c r="G1023" s="16" cm="1">
        <f t="array" ref="G1023">IFERROR(_xlfn.XLOOKUP(1, (SKUs!$J$2:$J$10001=accsry_unmerged!F1023)*IF(H1023&lt;&gt;"",(SKUs!$L$2:$L$10001=accsry_unmerged!H1023),1)*(SKUs!$K$2:$K$10001=I1023),SKUs!$C$2:$C$10001),"")</f>
        <v>0</v>
      </c>
      <c r="H1023" s="33" cm="1">
        <f t="array" ref="H1023">IFERROR(_xlfn.XLOOKUP(1, (dd_accsryclr!$C$2:$C$1000=accsry_unmerged!F1023)*(dd_accsryclr!$B$2:$B$1000=accsry_unmerged!J1023),dd_accsryclr!$A$2:$A$1000),"")</f>
        <v>0</v>
      </c>
      <c r="I1023" s="16">
        <f>_xlfn.XLOOKUP(C1023,'Project Details'!$C$17:$C$66,'Project Details'!$E$17:$E$66,"",0)</f>
        <v>0</v>
      </c>
      <c r="J1023" s="16">
        <f>_xlfn.XLOOKUP(C1023,'Project Details'!$C$17:$C$66,'Project Details'!$H$17:$H$66,"",0)</f>
        <v>0</v>
      </c>
      <c r="K1023" s="33" t="str">
        <f>IF(AND(_xlfn.XLOOKUP(C1023,'Project Details'!$C$17:$C$66,'Project Details'!$L$17:$L$66,"",0)&gt;550, F1023="Spring-L27cm"),"",SUBSTITUTE(_xlfn.XLOOKUP(G1023,SKUs!$C$2:$C$10001,SKUs!$F$2:$F$10001,"",0), " Accessories",""))</f>
        <v/>
      </c>
      <c r="L1023" s="33">
        <f>_xlfn.XLOOKUP(C1023,'Project Details'!$C$17:$C$66,'Project Details'!$D$17:$D$66,"",0)</f>
        <v>0</v>
      </c>
      <c r="M1023" s="43"/>
    </row>
    <row r="1024" spans="1:13" x14ac:dyDescent="0.25">
      <c r="A1024" s="43"/>
      <c r="B1024" s="43"/>
      <c r="C1024" s="35">
        <f t="shared" si="19"/>
        <v>21</v>
      </c>
      <c r="D1024" s="35" t="str" cm="1">
        <f t="array" ref="D1024">IFERROR(ROUNDUP(_xlfn.IFS(F1024="Aluminum Track", _xlfn.XLOOKUP(C1024, dd_accsrycalc!$A$2:$A$51, dd_accsrycalc!$B$2:$B$51, "",0), F1024="10 x 2 1/2 S (Flat)", _xlfn.XLOOKUP(C1024, dd_accsrycalc!$A$2:$A$51, dd_accsrycalc!$C$2:$C$51, "",0), F1024="Tox6", _xlfn.XLOOKUP(C1024, dd_accsrycalc!$A$2:$A$51, dd_accsrycalc!$D$2:$D$51, "",0), F1024="Cover Cap", _xlfn.XLOOKUP(C1024, dd_accsrycalc!$A$2:$A$51, dd_accsrycalc!$E$2:$E$51, "",0), F1024="Drainage Cover", _xlfn.XLOOKUP(C1024, dd_accsrycalc!$A$2:$A$51, dd_accsrycalc!$F$2:$F$51, "",0),AND( F1024="Double Adhesive Tape", I1024="Roll-up Screen"), _xlfn.XLOOKUP(C1024, calc_rusacc!$C$15:$C$65, calc_rusacc!$AD$15:$AD$65, "",0),AND( F1024="Sealant", I1024="Roll-up Screen"), _xlfn.XLOOKUP(C1024, calc_rusacc!$C$15:$C$65, calc_rusacc!$AF$15:$AF$65, "",0),  AND( F1024="Main Chain", I1024="Accordion Screen"), _xlfn.XLOOKUP(C1024, calc_rusacc!$C$15:$C$65, calc_rusacc!$BF$15:$BF$65, "",0), AND( F1024="Sealant", I1024="Accordion Screen"), _xlfn.XLOOKUP(C1024, calc_rusacc!$C$15:$C$65, calc_rusacc!$BJ$15:$BJ$65, "",0),  F1024="Sealant", _xlfn.XLOOKUP(C1024, dd_accsrycalc!$A$2:$A$51, dd_accsrycalc!$G$2:$G$51, "",0),  F1024&lt;&gt;"",L1024*_xlfn.XLOOKUP(1, (SKUs!$C$2:$C$10001=G1024)*(SKUs!$K$2:$K$10001=I1024),SKUs!$E$2:$E$10001)), 0),"")</f>
        <v/>
      </c>
      <c r="E1024" s="35" t="str">
        <f>_xlfn.XLOOKUP(F1024,dd_item!$B$2:$B$105,dd_item!$C$2:$C$105,"",0)</f>
        <v/>
      </c>
      <c r="F1024" s="35"/>
      <c r="G1024" s="35" cm="1">
        <f t="array" ref="G1024">IFERROR(_xlfn.XLOOKUP(1, (SKUs!$J$2:$J$10001=accsry_unmerged!F1024)*IF(H1024&lt;&gt;"",(SKUs!$L$2:$L$10001=accsry_unmerged!H1024),1)*(SKUs!$K$2:$K$10001=I1024),SKUs!$C$2:$C$10001),"")</f>
        <v>0</v>
      </c>
      <c r="H1024" s="36" cm="1">
        <f t="array" ref="H1024">IFERROR(_xlfn.XLOOKUP(1, (dd_accsryclr!$C$2:$C$1000=accsry_unmerged!F1024)*(dd_accsryclr!$B$2:$B$1000=accsry_unmerged!J1024),dd_accsryclr!$A$2:$A$1000),"")</f>
        <v>0</v>
      </c>
      <c r="I1024" s="35">
        <f>_xlfn.XLOOKUP(C1024,'Project Details'!$C$17:$C$66,'Project Details'!$E$17:$E$66,"",0)</f>
        <v>0</v>
      </c>
      <c r="J1024" s="35">
        <f>_xlfn.XLOOKUP(C1024,'Project Details'!$C$17:$C$66,'Project Details'!$H$17:$H$66,"",0)</f>
        <v>0</v>
      </c>
      <c r="K1024" s="36" t="str">
        <f>IF(AND(_xlfn.XLOOKUP(C1024,'Project Details'!$C$17:$C$66,'Project Details'!$L$17:$L$66,"",0)&gt;550, F1024="Spring-L27cm"),"",SUBSTITUTE(_xlfn.XLOOKUP(G1024,SKUs!$C$2:$C$10001,SKUs!$F$2:$F$10001,"",0), " Accessories",""))</f>
        <v/>
      </c>
      <c r="L1024" s="36">
        <f>_xlfn.XLOOKUP(C1024,'Project Details'!$C$17:$C$66,'Project Details'!$D$17:$D$66,"",0)</f>
        <v>0</v>
      </c>
      <c r="M1024" s="43"/>
    </row>
    <row r="1025" spans="1:13" x14ac:dyDescent="0.25">
      <c r="A1025" s="43"/>
      <c r="B1025" s="43"/>
      <c r="C1025" s="16">
        <f t="shared" si="19"/>
        <v>21</v>
      </c>
      <c r="D1025" s="16" t="str" cm="1">
        <f t="array" ref="D1025">IFERROR(ROUNDUP(_xlfn.IFS(F1025="Aluminum Track", _xlfn.XLOOKUP(C1025, dd_accsrycalc!$A$2:$A$51, dd_accsrycalc!$B$2:$B$51, "",0), F1025="10 x 2 1/2 S (Flat)", _xlfn.XLOOKUP(C1025, dd_accsrycalc!$A$2:$A$51, dd_accsrycalc!$C$2:$C$51, "",0), F1025="Tox6", _xlfn.XLOOKUP(C1025, dd_accsrycalc!$A$2:$A$51, dd_accsrycalc!$D$2:$D$51, "",0), F1025="Cover Cap", _xlfn.XLOOKUP(C1025, dd_accsrycalc!$A$2:$A$51, dd_accsrycalc!$E$2:$E$51, "",0), F1025="Drainage Cover", _xlfn.XLOOKUP(C1025, dd_accsrycalc!$A$2:$A$51, dd_accsrycalc!$F$2:$F$51, "",0),AND( F1025="Double Adhesive Tape", I1025="Roll-up Screen"), _xlfn.XLOOKUP(C1025, calc_rusacc!$C$15:$C$65, calc_rusacc!$AD$15:$AD$65, "",0),AND( F1025="Sealant", I1025="Roll-up Screen"), _xlfn.XLOOKUP(C1025, calc_rusacc!$C$15:$C$65, calc_rusacc!$AF$15:$AF$65, "",0),  AND( F1025="Main Chain", I1025="Accordion Screen"), _xlfn.XLOOKUP(C1025, calc_rusacc!$C$15:$C$65, calc_rusacc!$BF$15:$BF$65, "",0), AND( F1025="Sealant", I1025="Accordion Screen"), _xlfn.XLOOKUP(C1025, calc_rusacc!$C$15:$C$65, calc_rusacc!$BJ$15:$BJ$65, "",0),  F1025="Sealant", _xlfn.XLOOKUP(C1025, dd_accsrycalc!$A$2:$A$51, dd_accsrycalc!$G$2:$G$51, "",0),  F1025&lt;&gt;"",L1025*_xlfn.XLOOKUP(1, (SKUs!$C$2:$C$10001=G1025)*(SKUs!$K$2:$K$10001=I1025),SKUs!$E$2:$E$10001)), 0),"")</f>
        <v/>
      </c>
      <c r="E1025" s="16" t="str">
        <f>_xlfn.XLOOKUP(F1025,dd_item!$B$2:$B$105,dd_item!$C$2:$C$105,"",0)</f>
        <v/>
      </c>
      <c r="F1025" s="16"/>
      <c r="G1025" s="16" cm="1">
        <f t="array" ref="G1025">IFERROR(_xlfn.XLOOKUP(1, (SKUs!$J$2:$J$10001=accsry_unmerged!F1025)*IF(H1025&lt;&gt;"",(SKUs!$L$2:$L$10001=accsry_unmerged!H1025),1)*(SKUs!$K$2:$K$10001=I1025),SKUs!$C$2:$C$10001),"")</f>
        <v>0</v>
      </c>
      <c r="H1025" s="33" cm="1">
        <f t="array" ref="H1025">IFERROR(_xlfn.XLOOKUP(1, (dd_accsryclr!$C$2:$C$1000=accsry_unmerged!F1025)*(dd_accsryclr!$B$2:$B$1000=accsry_unmerged!J1025),dd_accsryclr!$A$2:$A$1000),"")</f>
        <v>0</v>
      </c>
      <c r="I1025" s="16">
        <f>_xlfn.XLOOKUP(C1025,'Project Details'!$C$17:$C$66,'Project Details'!$E$17:$E$66,"",0)</f>
        <v>0</v>
      </c>
      <c r="J1025" s="16">
        <f>_xlfn.XLOOKUP(C1025,'Project Details'!$C$17:$C$66,'Project Details'!$H$17:$H$66,"",0)</f>
        <v>0</v>
      </c>
      <c r="K1025" s="33" t="str">
        <f>IF(AND(_xlfn.XLOOKUP(C1025,'Project Details'!$C$17:$C$66,'Project Details'!$L$17:$L$66,"",0)&gt;550, F1025="Spring-L27cm"),"",SUBSTITUTE(_xlfn.XLOOKUP(G1025,SKUs!$C$2:$C$10001,SKUs!$F$2:$F$10001,"",0), " Accessories",""))</f>
        <v/>
      </c>
      <c r="L1025" s="33">
        <f>_xlfn.XLOOKUP(C1025,'Project Details'!$C$17:$C$66,'Project Details'!$D$17:$D$66,"",0)</f>
        <v>0</v>
      </c>
      <c r="M1025" s="43"/>
    </row>
    <row r="1026" spans="1:13" x14ac:dyDescent="0.25">
      <c r="A1026" s="43"/>
      <c r="B1026" s="43"/>
      <c r="C1026" s="35">
        <f t="shared" si="19"/>
        <v>21</v>
      </c>
      <c r="D1026" s="35" t="str" cm="1">
        <f t="array" ref="D1026">IFERROR(ROUNDUP(_xlfn.IFS(F1026="Aluminum Track", _xlfn.XLOOKUP(C1026, dd_accsrycalc!$A$2:$A$51, dd_accsrycalc!$B$2:$B$51, "",0), F1026="10 x 2 1/2 S (Flat)", _xlfn.XLOOKUP(C1026, dd_accsrycalc!$A$2:$A$51, dd_accsrycalc!$C$2:$C$51, "",0), F1026="Tox6", _xlfn.XLOOKUP(C1026, dd_accsrycalc!$A$2:$A$51, dd_accsrycalc!$D$2:$D$51, "",0), F1026="Cover Cap", _xlfn.XLOOKUP(C1026, dd_accsrycalc!$A$2:$A$51, dd_accsrycalc!$E$2:$E$51, "",0), F1026="Drainage Cover", _xlfn.XLOOKUP(C1026, dd_accsrycalc!$A$2:$A$51, dd_accsrycalc!$F$2:$F$51, "",0),AND( F1026="Double Adhesive Tape", I1026="Roll-up Screen"), _xlfn.XLOOKUP(C1026, calc_rusacc!$C$15:$C$65, calc_rusacc!$AD$15:$AD$65, "",0),AND( F1026="Sealant", I1026="Roll-up Screen"), _xlfn.XLOOKUP(C1026, calc_rusacc!$C$15:$C$65, calc_rusacc!$AF$15:$AF$65, "",0),  AND( F1026="Main Chain", I1026="Accordion Screen"), _xlfn.XLOOKUP(C1026, calc_rusacc!$C$15:$C$65, calc_rusacc!$BF$15:$BF$65, "",0), AND( F1026="Sealant", I1026="Accordion Screen"), _xlfn.XLOOKUP(C1026, calc_rusacc!$C$15:$C$65, calc_rusacc!$BJ$15:$BJ$65, "",0),  F1026="Sealant", _xlfn.XLOOKUP(C1026, dd_accsrycalc!$A$2:$A$51, dd_accsrycalc!$G$2:$G$51, "",0),  F1026&lt;&gt;"",L1026*_xlfn.XLOOKUP(1, (SKUs!$C$2:$C$10001=G1026)*(SKUs!$K$2:$K$10001=I1026),SKUs!$E$2:$E$10001)), 0),"")</f>
        <v/>
      </c>
      <c r="E1026" s="35" t="str">
        <f>_xlfn.XLOOKUP(F1026,dd_item!$B$2:$B$105,dd_item!$C$2:$C$105,"",0)</f>
        <v/>
      </c>
      <c r="F1026" s="35"/>
      <c r="G1026" s="35" cm="1">
        <f t="array" ref="G1026">IFERROR(_xlfn.XLOOKUP(1, (SKUs!$J$2:$J$10001=accsry_unmerged!F1026)*IF(H1026&lt;&gt;"",(SKUs!$L$2:$L$10001=accsry_unmerged!H1026),1)*(SKUs!$K$2:$K$10001=I1026),SKUs!$C$2:$C$10001),"")</f>
        <v>0</v>
      </c>
      <c r="H1026" s="36" cm="1">
        <f t="array" ref="H1026">IFERROR(_xlfn.XLOOKUP(1, (dd_accsryclr!$C$2:$C$1000=accsry_unmerged!F1026)*(dd_accsryclr!$B$2:$B$1000=accsry_unmerged!J1026),dd_accsryclr!$A$2:$A$1000),"")</f>
        <v>0</v>
      </c>
      <c r="I1026" s="35">
        <f>_xlfn.XLOOKUP(C1026,'Project Details'!$C$17:$C$66,'Project Details'!$E$17:$E$66,"",0)</f>
        <v>0</v>
      </c>
      <c r="J1026" s="35">
        <f>_xlfn.XLOOKUP(C1026,'Project Details'!$C$17:$C$66,'Project Details'!$H$17:$H$66,"",0)</f>
        <v>0</v>
      </c>
      <c r="K1026" s="36" t="str">
        <f>IF(AND(_xlfn.XLOOKUP(C1026,'Project Details'!$C$17:$C$66,'Project Details'!$L$17:$L$66,"",0)&gt;550, F1026="Spring-L27cm"),"",SUBSTITUTE(_xlfn.XLOOKUP(G1026,SKUs!$C$2:$C$10001,SKUs!$F$2:$F$10001,"",0), " Accessories",""))</f>
        <v/>
      </c>
      <c r="L1026" s="36">
        <f>_xlfn.XLOOKUP(C1026,'Project Details'!$C$17:$C$66,'Project Details'!$D$17:$D$66,"",0)</f>
        <v>0</v>
      </c>
      <c r="M1026" s="43"/>
    </row>
    <row r="1027" spans="1:13" x14ac:dyDescent="0.25">
      <c r="A1027" s="43"/>
      <c r="B1027" s="43"/>
      <c r="C1027" s="16">
        <f t="shared" si="19"/>
        <v>21</v>
      </c>
      <c r="D1027" s="16" t="str" cm="1">
        <f t="array" ref="D1027">IFERROR(ROUNDUP(_xlfn.IFS(F1027="Aluminum Track", _xlfn.XLOOKUP(C1027, dd_accsrycalc!$A$2:$A$51, dd_accsrycalc!$B$2:$B$51, "",0), F1027="10 x 2 1/2 S (Flat)", _xlfn.XLOOKUP(C1027, dd_accsrycalc!$A$2:$A$51, dd_accsrycalc!$C$2:$C$51, "",0), F1027="Tox6", _xlfn.XLOOKUP(C1027, dd_accsrycalc!$A$2:$A$51, dd_accsrycalc!$D$2:$D$51, "",0), F1027="Cover Cap", _xlfn.XLOOKUP(C1027, dd_accsrycalc!$A$2:$A$51, dd_accsrycalc!$E$2:$E$51, "",0), F1027="Drainage Cover", _xlfn.XLOOKUP(C1027, dd_accsrycalc!$A$2:$A$51, dd_accsrycalc!$F$2:$F$51, "",0),AND( F1027="Double Adhesive Tape", I1027="Roll-up Screen"), _xlfn.XLOOKUP(C1027, calc_rusacc!$C$15:$C$65, calc_rusacc!$AD$15:$AD$65, "",0),AND( F1027="Sealant", I1027="Roll-up Screen"), _xlfn.XLOOKUP(C1027, calc_rusacc!$C$15:$C$65, calc_rusacc!$AF$15:$AF$65, "",0),  AND( F1027="Main Chain", I1027="Accordion Screen"), _xlfn.XLOOKUP(C1027, calc_rusacc!$C$15:$C$65, calc_rusacc!$BF$15:$BF$65, "",0), AND( F1027="Sealant", I1027="Accordion Screen"), _xlfn.XLOOKUP(C1027, calc_rusacc!$C$15:$C$65, calc_rusacc!$BJ$15:$BJ$65, "",0),  F1027="Sealant", _xlfn.XLOOKUP(C1027, dd_accsrycalc!$A$2:$A$51, dd_accsrycalc!$G$2:$G$51, "",0),  F1027&lt;&gt;"",L1027*_xlfn.XLOOKUP(1, (SKUs!$C$2:$C$10001=G1027)*(SKUs!$K$2:$K$10001=I1027),SKUs!$E$2:$E$10001)), 0),"")</f>
        <v/>
      </c>
      <c r="E1027" s="16" t="str">
        <f>_xlfn.XLOOKUP(F1027,dd_item!$B$2:$B$105,dd_item!$C$2:$C$105,"",0)</f>
        <v/>
      </c>
      <c r="F1027" s="16"/>
      <c r="G1027" s="16" cm="1">
        <f t="array" ref="G1027">IFERROR(_xlfn.XLOOKUP(1, (SKUs!$J$2:$J$10001=accsry_unmerged!F1027)*IF(H1027&lt;&gt;"",(SKUs!$L$2:$L$10001=accsry_unmerged!H1027),1)*(SKUs!$K$2:$K$10001=I1027),SKUs!$C$2:$C$10001),"")</f>
        <v>0</v>
      </c>
      <c r="H1027" s="33" cm="1">
        <f t="array" ref="H1027">IFERROR(_xlfn.XLOOKUP(1, (dd_accsryclr!$C$2:$C$1000=accsry_unmerged!F1027)*(dd_accsryclr!$B$2:$B$1000=accsry_unmerged!J1027),dd_accsryclr!$A$2:$A$1000),"")</f>
        <v>0</v>
      </c>
      <c r="I1027" s="16">
        <f>_xlfn.XLOOKUP(C1027,'Project Details'!$C$17:$C$66,'Project Details'!$E$17:$E$66,"",0)</f>
        <v>0</v>
      </c>
      <c r="J1027" s="16">
        <f>_xlfn.XLOOKUP(C1027,'Project Details'!$C$17:$C$66,'Project Details'!$H$17:$H$66,"",0)</f>
        <v>0</v>
      </c>
      <c r="K1027" s="33" t="str">
        <f>IF(AND(_xlfn.XLOOKUP(C1027,'Project Details'!$C$17:$C$66,'Project Details'!$L$17:$L$66,"",0)&gt;550, F1027="Spring-L27cm"),"",SUBSTITUTE(_xlfn.XLOOKUP(G1027,SKUs!$C$2:$C$10001,SKUs!$F$2:$F$10001,"",0), " Accessories",""))</f>
        <v/>
      </c>
      <c r="L1027" s="33">
        <f>_xlfn.XLOOKUP(C1027,'Project Details'!$C$17:$C$66,'Project Details'!$D$17:$D$66,"",0)</f>
        <v>0</v>
      </c>
      <c r="M1027" s="43"/>
    </row>
    <row r="1028" spans="1:13" x14ac:dyDescent="0.25">
      <c r="A1028" s="43"/>
      <c r="B1028" s="43"/>
      <c r="C1028" s="35">
        <f t="shared" si="19"/>
        <v>21</v>
      </c>
      <c r="D1028" s="35" t="str" cm="1">
        <f t="array" ref="D1028">IFERROR(ROUNDUP(_xlfn.IFS(F1028="Aluminum Track", _xlfn.XLOOKUP(C1028, dd_accsrycalc!$A$2:$A$51, dd_accsrycalc!$B$2:$B$51, "",0), F1028="10 x 2 1/2 S (Flat)", _xlfn.XLOOKUP(C1028, dd_accsrycalc!$A$2:$A$51, dd_accsrycalc!$C$2:$C$51, "",0), F1028="Tox6", _xlfn.XLOOKUP(C1028, dd_accsrycalc!$A$2:$A$51, dd_accsrycalc!$D$2:$D$51, "",0), F1028="Cover Cap", _xlfn.XLOOKUP(C1028, dd_accsrycalc!$A$2:$A$51, dd_accsrycalc!$E$2:$E$51, "",0), F1028="Drainage Cover", _xlfn.XLOOKUP(C1028, dd_accsrycalc!$A$2:$A$51, dd_accsrycalc!$F$2:$F$51, "",0),AND( F1028="Double Adhesive Tape", I1028="Roll-up Screen"), _xlfn.XLOOKUP(C1028, calc_rusacc!$C$15:$C$65, calc_rusacc!$AD$15:$AD$65, "",0),AND( F1028="Sealant", I1028="Roll-up Screen"), _xlfn.XLOOKUP(C1028, calc_rusacc!$C$15:$C$65, calc_rusacc!$AF$15:$AF$65, "",0),  AND( F1028="Main Chain", I1028="Accordion Screen"), _xlfn.XLOOKUP(C1028, calc_rusacc!$C$15:$C$65, calc_rusacc!$BF$15:$BF$65, "",0), AND( F1028="Sealant", I1028="Accordion Screen"), _xlfn.XLOOKUP(C1028, calc_rusacc!$C$15:$C$65, calc_rusacc!$BJ$15:$BJ$65, "",0),  F1028="Sealant", _xlfn.XLOOKUP(C1028, dd_accsrycalc!$A$2:$A$51, dd_accsrycalc!$G$2:$G$51, "",0),  F1028&lt;&gt;"",L1028*_xlfn.XLOOKUP(1, (SKUs!$C$2:$C$10001=G1028)*(SKUs!$K$2:$K$10001=I1028),SKUs!$E$2:$E$10001)), 0),"")</f>
        <v/>
      </c>
      <c r="E1028" s="35" t="str">
        <f>_xlfn.XLOOKUP(F1028,dd_item!$B$2:$B$105,dd_item!$C$2:$C$105,"",0)</f>
        <v/>
      </c>
      <c r="F1028" s="35"/>
      <c r="G1028" s="35" cm="1">
        <f t="array" ref="G1028">IFERROR(_xlfn.XLOOKUP(1, (SKUs!$J$2:$J$10001=accsry_unmerged!F1028)*IF(H1028&lt;&gt;"",(SKUs!$L$2:$L$10001=accsry_unmerged!H1028),1)*(SKUs!$K$2:$K$10001=I1028),SKUs!$C$2:$C$10001),"")</f>
        <v>0</v>
      </c>
      <c r="H1028" s="36" cm="1">
        <f t="array" ref="H1028">IFERROR(_xlfn.XLOOKUP(1, (dd_accsryclr!$C$2:$C$1000=accsry_unmerged!F1028)*(dd_accsryclr!$B$2:$B$1000=accsry_unmerged!J1028),dd_accsryclr!$A$2:$A$1000),"")</f>
        <v>0</v>
      </c>
      <c r="I1028" s="35">
        <f>_xlfn.XLOOKUP(C1028,'Project Details'!$C$17:$C$66,'Project Details'!$E$17:$E$66,"",0)</f>
        <v>0</v>
      </c>
      <c r="J1028" s="35">
        <f>_xlfn.XLOOKUP(C1028,'Project Details'!$C$17:$C$66,'Project Details'!$H$17:$H$66,"",0)</f>
        <v>0</v>
      </c>
      <c r="K1028" s="36" t="str">
        <f>IF(AND(_xlfn.XLOOKUP(C1028,'Project Details'!$C$17:$C$66,'Project Details'!$L$17:$L$66,"",0)&gt;550, F1028="Spring-L27cm"),"",SUBSTITUTE(_xlfn.XLOOKUP(G1028,SKUs!$C$2:$C$10001,SKUs!$F$2:$F$10001,"",0), " Accessories",""))</f>
        <v/>
      </c>
      <c r="L1028" s="36">
        <f>_xlfn.XLOOKUP(C1028,'Project Details'!$C$17:$C$66,'Project Details'!$D$17:$D$66,"",0)</f>
        <v>0</v>
      </c>
      <c r="M1028" s="43"/>
    </row>
    <row r="1029" spans="1:13" x14ac:dyDescent="0.25">
      <c r="A1029" s="43"/>
      <c r="B1029" s="43"/>
      <c r="C1029" s="16">
        <f t="shared" si="19"/>
        <v>21</v>
      </c>
      <c r="D1029" s="16" t="str" cm="1">
        <f t="array" ref="D1029">IFERROR(ROUNDUP(_xlfn.IFS(F1029="Aluminum Track", _xlfn.XLOOKUP(C1029, dd_accsrycalc!$A$2:$A$51, dd_accsrycalc!$B$2:$B$51, "",0), F1029="10 x 2 1/2 S (Flat)", _xlfn.XLOOKUP(C1029, dd_accsrycalc!$A$2:$A$51, dd_accsrycalc!$C$2:$C$51, "",0), F1029="Tox6", _xlfn.XLOOKUP(C1029, dd_accsrycalc!$A$2:$A$51, dd_accsrycalc!$D$2:$D$51, "",0), F1029="Cover Cap", _xlfn.XLOOKUP(C1029, dd_accsrycalc!$A$2:$A$51, dd_accsrycalc!$E$2:$E$51, "",0), F1029="Drainage Cover", _xlfn.XLOOKUP(C1029, dd_accsrycalc!$A$2:$A$51, dd_accsrycalc!$F$2:$F$51, "",0),AND( F1029="Double Adhesive Tape", I1029="Roll-up Screen"), _xlfn.XLOOKUP(C1029, calc_rusacc!$C$15:$C$65, calc_rusacc!$AD$15:$AD$65, "",0),AND( F1029="Sealant", I1029="Roll-up Screen"), _xlfn.XLOOKUP(C1029, calc_rusacc!$C$15:$C$65, calc_rusacc!$AF$15:$AF$65, "",0),  AND( F1029="Main Chain", I1029="Accordion Screen"), _xlfn.XLOOKUP(C1029, calc_rusacc!$C$15:$C$65, calc_rusacc!$BF$15:$BF$65, "",0), AND( F1029="Sealant", I1029="Accordion Screen"), _xlfn.XLOOKUP(C1029, calc_rusacc!$C$15:$C$65, calc_rusacc!$BJ$15:$BJ$65, "",0),  F1029="Sealant", _xlfn.XLOOKUP(C1029, dd_accsrycalc!$A$2:$A$51, dd_accsrycalc!$G$2:$G$51, "",0),  F1029&lt;&gt;"",L1029*_xlfn.XLOOKUP(1, (SKUs!$C$2:$C$10001=G1029)*(SKUs!$K$2:$K$10001=I1029),SKUs!$E$2:$E$10001)), 0),"")</f>
        <v/>
      </c>
      <c r="E1029" s="16" t="str">
        <f>_xlfn.XLOOKUP(F1029,dd_item!$B$2:$B$105,dd_item!$C$2:$C$105,"",0)</f>
        <v/>
      </c>
      <c r="F1029" s="16"/>
      <c r="G1029" s="16" cm="1">
        <f t="array" ref="G1029">IFERROR(_xlfn.XLOOKUP(1, (SKUs!$J$2:$J$10001=accsry_unmerged!F1029)*IF(H1029&lt;&gt;"",(SKUs!$L$2:$L$10001=accsry_unmerged!H1029),1)*(SKUs!$K$2:$K$10001=I1029),SKUs!$C$2:$C$10001),"")</f>
        <v>0</v>
      </c>
      <c r="H1029" s="33" cm="1">
        <f t="array" ref="H1029">IFERROR(_xlfn.XLOOKUP(1, (dd_accsryclr!$C$2:$C$1000=accsry_unmerged!F1029)*(dd_accsryclr!$B$2:$B$1000=accsry_unmerged!J1029),dd_accsryclr!$A$2:$A$1000),"")</f>
        <v>0</v>
      </c>
      <c r="I1029" s="16">
        <f>_xlfn.XLOOKUP(C1029,'Project Details'!$C$17:$C$66,'Project Details'!$E$17:$E$66,"",0)</f>
        <v>0</v>
      </c>
      <c r="J1029" s="16">
        <f>_xlfn.XLOOKUP(C1029,'Project Details'!$C$17:$C$66,'Project Details'!$H$17:$H$66,"",0)</f>
        <v>0</v>
      </c>
      <c r="K1029" s="33" t="str">
        <f>IF(AND(_xlfn.XLOOKUP(C1029,'Project Details'!$C$17:$C$66,'Project Details'!$L$17:$L$66,"",0)&gt;550, F1029="Spring-L27cm"),"",SUBSTITUTE(_xlfn.XLOOKUP(G1029,SKUs!$C$2:$C$10001,SKUs!$F$2:$F$10001,"",0), " Accessories",""))</f>
        <v/>
      </c>
      <c r="L1029" s="33">
        <f>_xlfn.XLOOKUP(C1029,'Project Details'!$C$17:$C$66,'Project Details'!$D$17:$D$66,"",0)</f>
        <v>0</v>
      </c>
      <c r="M1029" s="43"/>
    </row>
    <row r="1030" spans="1:13" x14ac:dyDescent="0.25">
      <c r="A1030" s="43"/>
      <c r="B1030" s="43"/>
      <c r="C1030" s="35">
        <f t="shared" si="19"/>
        <v>21</v>
      </c>
      <c r="D1030" s="35" t="str" cm="1">
        <f t="array" ref="D1030">IFERROR(ROUNDUP(_xlfn.IFS(F1030="Aluminum Track", _xlfn.XLOOKUP(C1030, dd_accsrycalc!$A$2:$A$51, dd_accsrycalc!$B$2:$B$51, "",0), F1030="10 x 2 1/2 S (Flat)", _xlfn.XLOOKUP(C1030, dd_accsrycalc!$A$2:$A$51, dd_accsrycalc!$C$2:$C$51, "",0), F1030="Tox6", _xlfn.XLOOKUP(C1030, dd_accsrycalc!$A$2:$A$51, dd_accsrycalc!$D$2:$D$51, "",0), F1030="Cover Cap", _xlfn.XLOOKUP(C1030, dd_accsrycalc!$A$2:$A$51, dd_accsrycalc!$E$2:$E$51, "",0), F1030="Drainage Cover", _xlfn.XLOOKUP(C1030, dd_accsrycalc!$A$2:$A$51, dd_accsrycalc!$F$2:$F$51, "",0),AND( F1030="Double Adhesive Tape", I1030="Roll-up Screen"), _xlfn.XLOOKUP(C1030, calc_rusacc!$C$15:$C$65, calc_rusacc!$AD$15:$AD$65, "",0),AND( F1030="Sealant", I1030="Roll-up Screen"), _xlfn.XLOOKUP(C1030, calc_rusacc!$C$15:$C$65, calc_rusacc!$AF$15:$AF$65, "",0),  AND( F1030="Main Chain", I1030="Accordion Screen"), _xlfn.XLOOKUP(C1030, calc_rusacc!$C$15:$C$65, calc_rusacc!$BF$15:$BF$65, "",0), AND( F1030="Sealant", I1030="Accordion Screen"), _xlfn.XLOOKUP(C1030, calc_rusacc!$C$15:$C$65, calc_rusacc!$BJ$15:$BJ$65, "",0),  F1030="Sealant", _xlfn.XLOOKUP(C1030, dd_accsrycalc!$A$2:$A$51, dd_accsrycalc!$G$2:$G$51, "",0),  F1030&lt;&gt;"",L1030*_xlfn.XLOOKUP(1, (SKUs!$C$2:$C$10001=G1030)*(SKUs!$K$2:$K$10001=I1030),SKUs!$E$2:$E$10001)), 0),"")</f>
        <v/>
      </c>
      <c r="E1030" s="35" t="str">
        <f>_xlfn.XLOOKUP(F1030,dd_item!$B$2:$B$105,dd_item!$C$2:$C$105,"",0)</f>
        <v/>
      </c>
      <c r="F1030" s="35"/>
      <c r="G1030" s="35" cm="1">
        <f t="array" ref="G1030">IFERROR(_xlfn.XLOOKUP(1, (SKUs!$J$2:$J$10001=accsry_unmerged!F1030)*IF(H1030&lt;&gt;"",(SKUs!$L$2:$L$10001=accsry_unmerged!H1030),1)*(SKUs!$K$2:$K$10001=I1030),SKUs!$C$2:$C$10001),"")</f>
        <v>0</v>
      </c>
      <c r="H1030" s="36" cm="1">
        <f t="array" ref="H1030">IFERROR(_xlfn.XLOOKUP(1, (dd_accsryclr!$C$2:$C$1000=accsry_unmerged!F1030)*(dd_accsryclr!$B$2:$B$1000=accsry_unmerged!J1030),dd_accsryclr!$A$2:$A$1000),"")</f>
        <v>0</v>
      </c>
      <c r="I1030" s="35">
        <f>_xlfn.XLOOKUP(C1030,'Project Details'!$C$17:$C$66,'Project Details'!$E$17:$E$66,"",0)</f>
        <v>0</v>
      </c>
      <c r="J1030" s="35">
        <f>_xlfn.XLOOKUP(C1030,'Project Details'!$C$17:$C$66,'Project Details'!$H$17:$H$66,"",0)</f>
        <v>0</v>
      </c>
      <c r="K1030" s="36" t="str">
        <f>IF(AND(_xlfn.XLOOKUP(C1030,'Project Details'!$C$17:$C$66,'Project Details'!$L$17:$L$66,"",0)&gt;550, F1030="Spring-L27cm"),"",SUBSTITUTE(_xlfn.XLOOKUP(G1030,SKUs!$C$2:$C$10001,SKUs!$F$2:$F$10001,"",0), " Accessories",""))</f>
        <v/>
      </c>
      <c r="L1030" s="36">
        <f>_xlfn.XLOOKUP(C1030,'Project Details'!$C$17:$C$66,'Project Details'!$D$17:$D$66,"",0)</f>
        <v>0</v>
      </c>
      <c r="M1030" s="43"/>
    </row>
    <row r="1031" spans="1:13" x14ac:dyDescent="0.25">
      <c r="A1031" s="43"/>
      <c r="B1031" s="43"/>
      <c r="C1031" s="16">
        <f t="shared" si="19"/>
        <v>21</v>
      </c>
      <c r="D1031" s="16" t="str" cm="1">
        <f t="array" ref="D1031">IFERROR(ROUNDUP(_xlfn.IFS(F1031="Aluminum Track", _xlfn.XLOOKUP(C1031, dd_accsrycalc!$A$2:$A$51, dd_accsrycalc!$B$2:$B$51, "",0), F1031="10 x 2 1/2 S (Flat)", _xlfn.XLOOKUP(C1031, dd_accsrycalc!$A$2:$A$51, dd_accsrycalc!$C$2:$C$51, "",0), F1031="Tox6", _xlfn.XLOOKUP(C1031, dd_accsrycalc!$A$2:$A$51, dd_accsrycalc!$D$2:$D$51, "",0), F1031="Cover Cap", _xlfn.XLOOKUP(C1031, dd_accsrycalc!$A$2:$A$51, dd_accsrycalc!$E$2:$E$51, "",0), F1031="Drainage Cover", _xlfn.XLOOKUP(C1031, dd_accsrycalc!$A$2:$A$51, dd_accsrycalc!$F$2:$F$51, "",0),AND( F1031="Double Adhesive Tape", I1031="Roll-up Screen"), _xlfn.XLOOKUP(C1031, calc_rusacc!$C$15:$C$65, calc_rusacc!$AD$15:$AD$65, "",0),AND( F1031="Sealant", I1031="Roll-up Screen"), _xlfn.XLOOKUP(C1031, calc_rusacc!$C$15:$C$65, calc_rusacc!$AF$15:$AF$65, "",0),  AND( F1031="Main Chain", I1031="Accordion Screen"), _xlfn.XLOOKUP(C1031, calc_rusacc!$C$15:$C$65, calc_rusacc!$BF$15:$BF$65, "",0), AND( F1031="Sealant", I1031="Accordion Screen"), _xlfn.XLOOKUP(C1031, calc_rusacc!$C$15:$C$65, calc_rusacc!$BJ$15:$BJ$65, "",0),  F1031="Sealant", _xlfn.XLOOKUP(C1031, dd_accsrycalc!$A$2:$A$51, dd_accsrycalc!$G$2:$G$51, "",0),  F1031&lt;&gt;"",L1031*_xlfn.XLOOKUP(1, (SKUs!$C$2:$C$10001=G1031)*(SKUs!$K$2:$K$10001=I1031),SKUs!$E$2:$E$10001)), 0),"")</f>
        <v/>
      </c>
      <c r="E1031" s="16" t="str">
        <f>_xlfn.XLOOKUP(F1031,dd_item!$B$2:$B$105,dd_item!$C$2:$C$105,"",0)</f>
        <v/>
      </c>
      <c r="F1031" s="16"/>
      <c r="G1031" s="16" cm="1">
        <f t="array" ref="G1031">IFERROR(_xlfn.XLOOKUP(1, (SKUs!$J$2:$J$10001=accsry_unmerged!F1031)*IF(H1031&lt;&gt;"",(SKUs!$L$2:$L$10001=accsry_unmerged!H1031),1)*(SKUs!$K$2:$K$10001=I1031),SKUs!$C$2:$C$10001),"")</f>
        <v>0</v>
      </c>
      <c r="H1031" s="33" cm="1">
        <f t="array" ref="H1031">IFERROR(_xlfn.XLOOKUP(1, (dd_accsryclr!$C$2:$C$1000=accsry_unmerged!F1031)*(dd_accsryclr!$B$2:$B$1000=accsry_unmerged!J1031),dd_accsryclr!$A$2:$A$1000),"")</f>
        <v>0</v>
      </c>
      <c r="I1031" s="16">
        <f>_xlfn.XLOOKUP(C1031,'Project Details'!$C$17:$C$66,'Project Details'!$E$17:$E$66,"",0)</f>
        <v>0</v>
      </c>
      <c r="J1031" s="16">
        <f>_xlfn.XLOOKUP(C1031,'Project Details'!$C$17:$C$66,'Project Details'!$H$17:$H$66,"",0)</f>
        <v>0</v>
      </c>
      <c r="K1031" s="33" t="str">
        <f>IF(AND(_xlfn.XLOOKUP(C1031,'Project Details'!$C$17:$C$66,'Project Details'!$L$17:$L$66,"",0)&gt;550, F1031="Spring-L27cm"),"",SUBSTITUTE(_xlfn.XLOOKUP(G1031,SKUs!$C$2:$C$10001,SKUs!$F$2:$F$10001,"",0), " Accessories",""))</f>
        <v/>
      </c>
      <c r="L1031" s="33">
        <f>_xlfn.XLOOKUP(C1031,'Project Details'!$C$17:$C$66,'Project Details'!$D$17:$D$66,"",0)</f>
        <v>0</v>
      </c>
      <c r="M1031" s="43"/>
    </row>
    <row r="1032" spans="1:13" x14ac:dyDescent="0.25">
      <c r="A1032" s="43"/>
      <c r="B1032" s="43"/>
      <c r="C1032" s="35">
        <f t="shared" si="19"/>
        <v>21</v>
      </c>
      <c r="D1032" s="35" t="str" cm="1">
        <f t="array" ref="D1032">IFERROR(ROUNDUP(_xlfn.IFS(F1032="Aluminum Track", _xlfn.XLOOKUP(C1032, dd_accsrycalc!$A$2:$A$51, dd_accsrycalc!$B$2:$B$51, "",0), F1032="10 x 2 1/2 S (Flat)", _xlfn.XLOOKUP(C1032, dd_accsrycalc!$A$2:$A$51, dd_accsrycalc!$C$2:$C$51, "",0), F1032="Tox6", _xlfn.XLOOKUP(C1032, dd_accsrycalc!$A$2:$A$51, dd_accsrycalc!$D$2:$D$51, "",0), F1032="Cover Cap", _xlfn.XLOOKUP(C1032, dd_accsrycalc!$A$2:$A$51, dd_accsrycalc!$E$2:$E$51, "",0), F1032="Drainage Cover", _xlfn.XLOOKUP(C1032, dd_accsrycalc!$A$2:$A$51, dd_accsrycalc!$F$2:$F$51, "",0),AND( F1032="Double Adhesive Tape", I1032="Roll-up Screen"), _xlfn.XLOOKUP(C1032, calc_rusacc!$C$15:$C$65, calc_rusacc!$AD$15:$AD$65, "",0),AND( F1032="Sealant", I1032="Roll-up Screen"), _xlfn.XLOOKUP(C1032, calc_rusacc!$C$15:$C$65, calc_rusacc!$AF$15:$AF$65, "",0),  AND( F1032="Main Chain", I1032="Accordion Screen"), _xlfn.XLOOKUP(C1032, calc_rusacc!$C$15:$C$65, calc_rusacc!$BF$15:$BF$65, "",0), AND( F1032="Sealant", I1032="Accordion Screen"), _xlfn.XLOOKUP(C1032, calc_rusacc!$C$15:$C$65, calc_rusacc!$BJ$15:$BJ$65, "",0),  F1032="Sealant", _xlfn.XLOOKUP(C1032, dd_accsrycalc!$A$2:$A$51, dd_accsrycalc!$G$2:$G$51, "",0),  F1032&lt;&gt;"",L1032*_xlfn.XLOOKUP(1, (SKUs!$C$2:$C$10001=G1032)*(SKUs!$K$2:$K$10001=I1032),SKUs!$E$2:$E$10001)), 0),"")</f>
        <v/>
      </c>
      <c r="E1032" s="35" t="str">
        <f>_xlfn.XLOOKUP(F1032,dd_item!$B$2:$B$105,dd_item!$C$2:$C$105,"",0)</f>
        <v/>
      </c>
      <c r="F1032" s="35"/>
      <c r="G1032" s="35" cm="1">
        <f t="array" ref="G1032">IFERROR(_xlfn.XLOOKUP(1, (SKUs!$J$2:$J$10001=accsry_unmerged!F1032)*IF(H1032&lt;&gt;"",(SKUs!$L$2:$L$10001=accsry_unmerged!H1032),1)*(SKUs!$K$2:$K$10001=I1032),SKUs!$C$2:$C$10001),"")</f>
        <v>0</v>
      </c>
      <c r="H1032" s="36" cm="1">
        <f t="array" ref="H1032">IFERROR(_xlfn.XLOOKUP(1, (dd_accsryclr!$C$2:$C$1000=accsry_unmerged!F1032)*(dd_accsryclr!$B$2:$B$1000=accsry_unmerged!J1032),dd_accsryclr!$A$2:$A$1000),"")</f>
        <v>0</v>
      </c>
      <c r="I1032" s="35">
        <f>_xlfn.XLOOKUP(C1032,'Project Details'!$C$17:$C$66,'Project Details'!$E$17:$E$66,"",0)</f>
        <v>0</v>
      </c>
      <c r="J1032" s="35">
        <f>_xlfn.XLOOKUP(C1032,'Project Details'!$C$17:$C$66,'Project Details'!$H$17:$H$66,"",0)</f>
        <v>0</v>
      </c>
      <c r="K1032" s="36" t="str">
        <f>IF(AND(_xlfn.XLOOKUP(C1032,'Project Details'!$C$17:$C$66,'Project Details'!$L$17:$L$66,"",0)&gt;550, F1032="Spring-L27cm"),"",SUBSTITUTE(_xlfn.XLOOKUP(G1032,SKUs!$C$2:$C$10001,SKUs!$F$2:$F$10001,"",0), " Accessories",""))</f>
        <v/>
      </c>
      <c r="L1032" s="36">
        <f>_xlfn.XLOOKUP(C1032,'Project Details'!$C$17:$C$66,'Project Details'!$D$17:$D$66,"",0)</f>
        <v>0</v>
      </c>
      <c r="M1032" s="43"/>
    </row>
    <row r="1033" spans="1:13" x14ac:dyDescent="0.25">
      <c r="A1033" s="43"/>
      <c r="B1033" s="43"/>
      <c r="C1033" s="16">
        <f t="shared" si="19"/>
        <v>21</v>
      </c>
      <c r="D1033" s="16" t="str" cm="1">
        <f t="array" ref="D1033">IFERROR(ROUNDUP(_xlfn.IFS(F1033="Aluminum Track", _xlfn.XLOOKUP(C1033, dd_accsrycalc!$A$2:$A$51, dd_accsrycalc!$B$2:$B$51, "",0), F1033="10 x 2 1/2 S (Flat)", _xlfn.XLOOKUP(C1033, dd_accsrycalc!$A$2:$A$51, dd_accsrycalc!$C$2:$C$51, "",0), F1033="Tox6", _xlfn.XLOOKUP(C1033, dd_accsrycalc!$A$2:$A$51, dd_accsrycalc!$D$2:$D$51, "",0), F1033="Cover Cap", _xlfn.XLOOKUP(C1033, dd_accsrycalc!$A$2:$A$51, dd_accsrycalc!$E$2:$E$51, "",0), F1033="Drainage Cover", _xlfn.XLOOKUP(C1033, dd_accsrycalc!$A$2:$A$51, dd_accsrycalc!$F$2:$F$51, "",0),AND( F1033="Double Adhesive Tape", I1033="Roll-up Screen"), _xlfn.XLOOKUP(C1033, calc_rusacc!$C$15:$C$65, calc_rusacc!$AD$15:$AD$65, "",0),AND( F1033="Sealant", I1033="Roll-up Screen"), _xlfn.XLOOKUP(C1033, calc_rusacc!$C$15:$C$65, calc_rusacc!$AF$15:$AF$65, "",0),  AND( F1033="Main Chain", I1033="Accordion Screen"), _xlfn.XLOOKUP(C1033, calc_rusacc!$C$15:$C$65, calc_rusacc!$BF$15:$BF$65, "",0), AND( F1033="Sealant", I1033="Accordion Screen"), _xlfn.XLOOKUP(C1033, calc_rusacc!$C$15:$C$65, calc_rusacc!$BJ$15:$BJ$65, "",0),  F1033="Sealant", _xlfn.XLOOKUP(C1033, dd_accsrycalc!$A$2:$A$51, dd_accsrycalc!$G$2:$G$51, "",0),  F1033&lt;&gt;"",L1033*_xlfn.XLOOKUP(1, (SKUs!$C$2:$C$10001=G1033)*(SKUs!$K$2:$K$10001=I1033),SKUs!$E$2:$E$10001)), 0),"")</f>
        <v/>
      </c>
      <c r="E1033" s="16" t="str">
        <f>_xlfn.XLOOKUP(F1033,dd_item!$B$2:$B$105,dd_item!$C$2:$C$105,"",0)</f>
        <v/>
      </c>
      <c r="F1033" s="16"/>
      <c r="G1033" s="16" cm="1">
        <f t="array" ref="G1033">IFERROR(_xlfn.XLOOKUP(1, (SKUs!$J$2:$J$10001=accsry_unmerged!F1033)*IF(H1033&lt;&gt;"",(SKUs!$L$2:$L$10001=accsry_unmerged!H1033),1)*(SKUs!$K$2:$K$10001=I1033),SKUs!$C$2:$C$10001),"")</f>
        <v>0</v>
      </c>
      <c r="H1033" s="33" cm="1">
        <f t="array" ref="H1033">IFERROR(_xlfn.XLOOKUP(1, (dd_accsryclr!$C$2:$C$1000=accsry_unmerged!F1033)*(dd_accsryclr!$B$2:$B$1000=accsry_unmerged!J1033),dd_accsryclr!$A$2:$A$1000),"")</f>
        <v>0</v>
      </c>
      <c r="I1033" s="16">
        <f>_xlfn.XLOOKUP(C1033,'Project Details'!$C$17:$C$66,'Project Details'!$E$17:$E$66,"",0)</f>
        <v>0</v>
      </c>
      <c r="J1033" s="16">
        <f>_xlfn.XLOOKUP(C1033,'Project Details'!$C$17:$C$66,'Project Details'!$H$17:$H$66,"",0)</f>
        <v>0</v>
      </c>
      <c r="K1033" s="33" t="str">
        <f>IF(AND(_xlfn.XLOOKUP(C1033,'Project Details'!$C$17:$C$66,'Project Details'!$L$17:$L$66,"",0)&gt;550, F1033="Spring-L27cm"),"",SUBSTITUTE(_xlfn.XLOOKUP(G1033,SKUs!$C$2:$C$10001,SKUs!$F$2:$F$10001,"",0), " Accessories",""))</f>
        <v/>
      </c>
      <c r="L1033" s="33">
        <f>_xlfn.XLOOKUP(C1033,'Project Details'!$C$17:$C$66,'Project Details'!$D$17:$D$66,"",0)</f>
        <v>0</v>
      </c>
      <c r="M1033" s="43"/>
    </row>
    <row r="1034" spans="1:13" ht="13.5" customHeight="1" x14ac:dyDescent="0.25">
      <c r="A1034" s="43"/>
      <c r="B1034" s="43"/>
      <c r="C1034" s="35">
        <f t="shared" si="19"/>
        <v>21</v>
      </c>
      <c r="D1034" s="35" t="str" cm="1">
        <f t="array" ref="D1034">IFERROR(ROUNDUP(_xlfn.IFS(F1034="Aluminum Track", _xlfn.XLOOKUP(C1034, dd_accsrycalc!$A$2:$A$51, dd_accsrycalc!$B$2:$B$51, "",0), F1034="10 x 2 1/2 S (Flat)", _xlfn.XLOOKUP(C1034, dd_accsrycalc!$A$2:$A$51, dd_accsrycalc!$C$2:$C$51, "",0), F1034="Tox6", _xlfn.XLOOKUP(C1034, dd_accsrycalc!$A$2:$A$51, dd_accsrycalc!$D$2:$D$51, "",0), F1034="Cover Cap", _xlfn.XLOOKUP(C1034, dd_accsrycalc!$A$2:$A$51, dd_accsrycalc!$E$2:$E$51, "",0), F1034="Drainage Cover", _xlfn.XLOOKUP(C1034, dd_accsrycalc!$A$2:$A$51, dd_accsrycalc!$F$2:$F$51, "",0),AND( F1034="Double Adhesive Tape", I1034="Roll-up Screen"), _xlfn.XLOOKUP(C1034, calc_rusacc!$C$15:$C$65, calc_rusacc!$AD$15:$AD$65, "",0),AND( F1034="Sealant", I1034="Roll-up Screen"), _xlfn.XLOOKUP(C1034, calc_rusacc!$C$15:$C$65, calc_rusacc!$AF$15:$AF$65, "",0),  AND( F1034="Main Chain", I1034="Accordion Screen"), _xlfn.XLOOKUP(C1034, calc_rusacc!$C$15:$C$65, calc_rusacc!$BF$15:$BF$65, "",0), AND( F1034="Sealant", I1034="Accordion Screen"), _xlfn.XLOOKUP(C1034, calc_rusacc!$C$15:$C$65, calc_rusacc!$BJ$15:$BJ$65, "",0),  F1034="Sealant", _xlfn.XLOOKUP(C1034, dd_accsrycalc!$A$2:$A$51, dd_accsrycalc!$G$2:$G$51, "",0),  F1034&lt;&gt;"",L1034*_xlfn.XLOOKUP(1, (SKUs!$C$2:$C$10001=G1034)*(SKUs!$K$2:$K$10001=I1034),SKUs!$E$2:$E$10001)), 0),"")</f>
        <v/>
      </c>
      <c r="E1034" s="35" t="str">
        <f>_xlfn.XLOOKUP(F1034,dd_item!$B$2:$B$105,dd_item!$C$2:$C$105,"",0)</f>
        <v/>
      </c>
      <c r="F1034" s="35"/>
      <c r="G1034" s="35" cm="1">
        <f t="array" ref="G1034">IFERROR(_xlfn.XLOOKUP(1, (SKUs!$J$2:$J$10001=accsry_unmerged!F1034)*IF(H1034&lt;&gt;"",(SKUs!$L$2:$L$10001=accsry_unmerged!H1034),1)*(SKUs!$K$2:$K$10001=I1034),SKUs!$C$2:$C$10001),"")</f>
        <v>0</v>
      </c>
      <c r="H1034" s="36" cm="1">
        <f t="array" ref="H1034">IFERROR(_xlfn.XLOOKUP(1, (dd_accsryclr!$C$2:$C$1000=accsry_unmerged!F1034)*(dd_accsryclr!$B$2:$B$1000=accsry_unmerged!J1034),dd_accsryclr!$A$2:$A$1000),"")</f>
        <v>0</v>
      </c>
      <c r="I1034" s="35">
        <f>_xlfn.XLOOKUP(C1034,'Project Details'!$C$17:$C$66,'Project Details'!$E$17:$E$66,"",0)</f>
        <v>0</v>
      </c>
      <c r="J1034" s="35">
        <f>_xlfn.XLOOKUP(C1034,'Project Details'!$C$17:$C$66,'Project Details'!$H$17:$H$66,"",0)</f>
        <v>0</v>
      </c>
      <c r="K1034" s="36" t="str">
        <f>IF(AND(_xlfn.XLOOKUP(C1034,'Project Details'!$C$17:$C$66,'Project Details'!$L$17:$L$66,"",0)&gt;550, F1034="Spring-L27cm"),"",SUBSTITUTE(_xlfn.XLOOKUP(G1034,SKUs!$C$2:$C$10001,SKUs!$F$2:$F$10001,"",0), " Accessories",""))</f>
        <v/>
      </c>
      <c r="L1034" s="36">
        <f>_xlfn.XLOOKUP(C1034,'Project Details'!$C$17:$C$66,'Project Details'!$D$17:$D$66,"",0)</f>
        <v>0</v>
      </c>
      <c r="M1034" s="43"/>
    </row>
    <row r="1035" spans="1:13" ht="13.5" customHeight="1" x14ac:dyDescent="0.25">
      <c r="A1035" s="43"/>
      <c r="B1035" s="43"/>
      <c r="C1035" s="16">
        <f t="shared" si="19"/>
        <v>21</v>
      </c>
      <c r="D1035" s="16" t="str" cm="1">
        <f t="array" ref="D1035">IFERROR(ROUNDUP(_xlfn.IFS(F1035="Aluminum Track", _xlfn.XLOOKUP(C1035, dd_accsrycalc!$A$2:$A$51, dd_accsrycalc!$B$2:$B$51, "",0), F1035="10 x 2 1/2 S (Flat)", _xlfn.XLOOKUP(C1035, dd_accsrycalc!$A$2:$A$51, dd_accsrycalc!$C$2:$C$51, "",0), F1035="Tox6", _xlfn.XLOOKUP(C1035, dd_accsrycalc!$A$2:$A$51, dd_accsrycalc!$D$2:$D$51, "",0), F1035="Cover Cap", _xlfn.XLOOKUP(C1035, dd_accsrycalc!$A$2:$A$51, dd_accsrycalc!$E$2:$E$51, "",0), F1035="Drainage Cover", _xlfn.XLOOKUP(C1035, dd_accsrycalc!$A$2:$A$51, dd_accsrycalc!$F$2:$F$51, "",0),AND( F1035="Double Adhesive Tape", I1035="Roll-up Screen"), _xlfn.XLOOKUP(C1035, calc_rusacc!$C$15:$C$65, calc_rusacc!$AD$15:$AD$65, "",0),AND( F1035="Sealant", I1035="Roll-up Screen"), _xlfn.XLOOKUP(C1035, calc_rusacc!$C$15:$C$65, calc_rusacc!$AF$15:$AF$65, "",0),  AND( F1035="Main Chain", I1035="Accordion Screen"), _xlfn.XLOOKUP(C1035, calc_rusacc!$C$15:$C$65, calc_rusacc!$BF$15:$BF$65, "",0), AND( F1035="Sealant", I1035="Accordion Screen"), _xlfn.XLOOKUP(C1035, calc_rusacc!$C$15:$C$65, calc_rusacc!$BJ$15:$BJ$65, "",0),  F1035="Sealant", _xlfn.XLOOKUP(C1035, dd_accsrycalc!$A$2:$A$51, dd_accsrycalc!$G$2:$G$51, "",0),  F1035&lt;&gt;"",L1035*_xlfn.XLOOKUP(1, (SKUs!$C$2:$C$10001=G1035)*(SKUs!$K$2:$K$10001=I1035),SKUs!$E$2:$E$10001)), 0),"")</f>
        <v/>
      </c>
      <c r="E1035" s="16" t="str">
        <f>_xlfn.XLOOKUP(F1035,dd_item!$B$2:$B$105,dd_item!$C$2:$C$105,"",0)</f>
        <v/>
      </c>
      <c r="F1035" s="16"/>
      <c r="G1035" s="16" cm="1">
        <f t="array" ref="G1035">IFERROR(_xlfn.XLOOKUP(1, (SKUs!$J$2:$J$10001=accsry_unmerged!F1035)*IF(H1035&lt;&gt;"",(SKUs!$L$2:$L$10001=accsry_unmerged!H1035),1)*(SKUs!$K$2:$K$10001=I1035),SKUs!$C$2:$C$10001),"")</f>
        <v>0</v>
      </c>
      <c r="H1035" s="33" cm="1">
        <f t="array" ref="H1035">IFERROR(_xlfn.XLOOKUP(1, (dd_accsryclr!$C$2:$C$1000=accsry_unmerged!F1035)*(dd_accsryclr!$B$2:$B$1000=accsry_unmerged!J1035),dd_accsryclr!$A$2:$A$1000),"")</f>
        <v>0</v>
      </c>
      <c r="I1035" s="16">
        <f>_xlfn.XLOOKUP(C1035,'Project Details'!$C$17:$C$66,'Project Details'!$E$17:$E$66,"",0)</f>
        <v>0</v>
      </c>
      <c r="J1035" s="16">
        <f>_xlfn.XLOOKUP(C1035,'Project Details'!$C$17:$C$66,'Project Details'!$H$17:$H$66,"",0)</f>
        <v>0</v>
      </c>
      <c r="K1035" s="33" t="str">
        <f>IF(AND(_xlfn.XLOOKUP(C1035,'Project Details'!$C$17:$C$66,'Project Details'!$L$17:$L$66,"",0)&gt;550, F1035="Spring-L27cm"),"",SUBSTITUTE(_xlfn.XLOOKUP(G1035,SKUs!$C$2:$C$10001,SKUs!$F$2:$F$10001,"",0), " Accessories",""))</f>
        <v/>
      </c>
      <c r="L1035" s="33">
        <f>_xlfn.XLOOKUP(C1035,'Project Details'!$C$17:$C$66,'Project Details'!$D$17:$D$66,"",0)</f>
        <v>0</v>
      </c>
      <c r="M1035" s="43"/>
    </row>
    <row r="1036" spans="1:13" ht="13.5" customHeight="1" x14ac:dyDescent="0.25">
      <c r="A1036" s="43"/>
      <c r="B1036" s="43"/>
      <c r="C1036" s="35">
        <f t="shared" si="19"/>
        <v>21</v>
      </c>
      <c r="D1036" s="35" t="str" cm="1">
        <f t="array" ref="D1036">IFERROR(ROUNDUP(_xlfn.IFS(F1036="Aluminum Track", _xlfn.XLOOKUP(C1036, dd_accsrycalc!$A$2:$A$51, dd_accsrycalc!$B$2:$B$51, "",0), F1036="10 x 2 1/2 S (Flat)", _xlfn.XLOOKUP(C1036, dd_accsrycalc!$A$2:$A$51, dd_accsrycalc!$C$2:$C$51, "",0), F1036="Tox6", _xlfn.XLOOKUP(C1036, dd_accsrycalc!$A$2:$A$51, dd_accsrycalc!$D$2:$D$51, "",0), F1036="Cover Cap", _xlfn.XLOOKUP(C1036, dd_accsrycalc!$A$2:$A$51, dd_accsrycalc!$E$2:$E$51, "",0), F1036="Drainage Cover", _xlfn.XLOOKUP(C1036, dd_accsrycalc!$A$2:$A$51, dd_accsrycalc!$F$2:$F$51, "",0),AND( F1036="Double Adhesive Tape", I1036="Roll-up Screen"), _xlfn.XLOOKUP(C1036, calc_rusacc!$C$15:$C$65, calc_rusacc!$AD$15:$AD$65, "",0),AND( F1036="Sealant", I1036="Roll-up Screen"), _xlfn.XLOOKUP(C1036, calc_rusacc!$C$15:$C$65, calc_rusacc!$AF$15:$AF$65, "",0),  AND( F1036="Main Chain", I1036="Accordion Screen"), _xlfn.XLOOKUP(C1036, calc_rusacc!$C$15:$C$65, calc_rusacc!$BF$15:$BF$65, "",0), AND( F1036="Sealant", I1036="Accordion Screen"), _xlfn.XLOOKUP(C1036, calc_rusacc!$C$15:$C$65, calc_rusacc!$BJ$15:$BJ$65, "",0),  F1036="Sealant", _xlfn.XLOOKUP(C1036, dd_accsrycalc!$A$2:$A$51, dd_accsrycalc!$G$2:$G$51, "",0),  F1036&lt;&gt;"",L1036*_xlfn.XLOOKUP(1, (SKUs!$C$2:$C$10001=G1036)*(SKUs!$K$2:$K$10001=I1036),SKUs!$E$2:$E$10001)), 0),"")</f>
        <v/>
      </c>
      <c r="E1036" s="35" t="str">
        <f>_xlfn.XLOOKUP(F1036,dd_item!$B$2:$B$105,dd_item!$C$2:$C$105,"",0)</f>
        <v/>
      </c>
      <c r="F1036" s="35"/>
      <c r="G1036" s="35" cm="1">
        <f t="array" ref="G1036">IFERROR(_xlfn.XLOOKUP(1, (SKUs!$J$2:$J$10001=accsry_unmerged!F1036)*IF(H1036&lt;&gt;"",(SKUs!$L$2:$L$10001=accsry_unmerged!H1036),1)*(SKUs!$K$2:$K$10001=I1036),SKUs!$C$2:$C$10001),"")</f>
        <v>0</v>
      </c>
      <c r="H1036" s="36" cm="1">
        <f t="array" ref="H1036">IFERROR(_xlfn.XLOOKUP(1, (dd_accsryclr!$C$2:$C$1000=accsry_unmerged!F1036)*(dd_accsryclr!$B$2:$B$1000=accsry_unmerged!J1036),dd_accsryclr!$A$2:$A$1000),"")</f>
        <v>0</v>
      </c>
      <c r="I1036" s="35">
        <f>_xlfn.XLOOKUP(C1036,'Project Details'!$C$17:$C$66,'Project Details'!$E$17:$E$66,"",0)</f>
        <v>0</v>
      </c>
      <c r="J1036" s="35">
        <f>_xlfn.XLOOKUP(C1036,'Project Details'!$C$17:$C$66,'Project Details'!$H$17:$H$66,"",0)</f>
        <v>0</v>
      </c>
      <c r="K1036" s="36" t="str">
        <f>IF(AND(_xlfn.XLOOKUP(C1036,'Project Details'!$C$17:$C$66,'Project Details'!$L$17:$L$66,"",0)&gt;550, F1036="Spring-L27cm"),"",SUBSTITUTE(_xlfn.XLOOKUP(G1036,SKUs!$C$2:$C$10001,SKUs!$F$2:$F$10001,"",0), " Accessories",""))</f>
        <v/>
      </c>
      <c r="L1036" s="36">
        <f>_xlfn.XLOOKUP(C1036,'Project Details'!$C$17:$C$66,'Project Details'!$D$17:$D$66,"",0)</f>
        <v>0</v>
      </c>
      <c r="M1036" s="43"/>
    </row>
    <row r="1037" spans="1:13" ht="13.5" customHeight="1" x14ac:dyDescent="0.25">
      <c r="A1037" s="43"/>
      <c r="B1037" s="43"/>
      <c r="C1037" s="16">
        <f t="shared" si="19"/>
        <v>21</v>
      </c>
      <c r="D1037" s="16" t="str" cm="1">
        <f t="array" ref="D1037">IFERROR(ROUNDUP(_xlfn.IFS(F1037="Aluminum Track", _xlfn.XLOOKUP(C1037, dd_accsrycalc!$A$2:$A$51, dd_accsrycalc!$B$2:$B$51, "",0), F1037="10 x 2 1/2 S (Flat)", _xlfn.XLOOKUP(C1037, dd_accsrycalc!$A$2:$A$51, dd_accsrycalc!$C$2:$C$51, "",0), F1037="Tox6", _xlfn.XLOOKUP(C1037, dd_accsrycalc!$A$2:$A$51, dd_accsrycalc!$D$2:$D$51, "",0), F1037="Cover Cap", _xlfn.XLOOKUP(C1037, dd_accsrycalc!$A$2:$A$51, dd_accsrycalc!$E$2:$E$51, "",0), F1037="Drainage Cover", _xlfn.XLOOKUP(C1037, dd_accsrycalc!$A$2:$A$51, dd_accsrycalc!$F$2:$F$51, "",0),AND( F1037="Double Adhesive Tape", I1037="Roll-up Screen"), _xlfn.XLOOKUP(C1037, calc_rusacc!$C$15:$C$65, calc_rusacc!$AD$15:$AD$65, "",0),AND( F1037="Sealant", I1037="Roll-up Screen"), _xlfn.XLOOKUP(C1037, calc_rusacc!$C$15:$C$65, calc_rusacc!$AF$15:$AF$65, "",0),  AND( F1037="Main Chain", I1037="Accordion Screen"), _xlfn.XLOOKUP(C1037, calc_rusacc!$C$15:$C$65, calc_rusacc!$BF$15:$BF$65, "",0), AND( F1037="Sealant", I1037="Accordion Screen"), _xlfn.XLOOKUP(C1037, calc_rusacc!$C$15:$C$65, calc_rusacc!$BJ$15:$BJ$65, "",0),  F1037="Sealant", _xlfn.XLOOKUP(C1037, dd_accsrycalc!$A$2:$A$51, dd_accsrycalc!$G$2:$G$51, "",0),  F1037&lt;&gt;"",L1037*_xlfn.XLOOKUP(1, (SKUs!$C$2:$C$10001=G1037)*(SKUs!$K$2:$K$10001=I1037),SKUs!$E$2:$E$10001)), 0),"")</f>
        <v/>
      </c>
      <c r="E1037" s="16" t="str">
        <f>_xlfn.XLOOKUP(F1037,dd_item!$B$2:$B$105,dd_item!$C$2:$C$105,"",0)</f>
        <v/>
      </c>
      <c r="F1037" s="16"/>
      <c r="G1037" s="16" cm="1">
        <f t="array" ref="G1037">IFERROR(_xlfn.XLOOKUP(1, (SKUs!$J$2:$J$10001=accsry_unmerged!F1037)*IF(H1037&lt;&gt;"",(SKUs!$L$2:$L$10001=accsry_unmerged!H1037),1)*(SKUs!$K$2:$K$10001=I1037),SKUs!$C$2:$C$10001),"")</f>
        <v>0</v>
      </c>
      <c r="H1037" s="33" cm="1">
        <f t="array" ref="H1037">IFERROR(_xlfn.XLOOKUP(1, (dd_accsryclr!$C$2:$C$1000=accsry_unmerged!F1037)*(dd_accsryclr!$B$2:$B$1000=accsry_unmerged!J1037),dd_accsryclr!$A$2:$A$1000),"")</f>
        <v>0</v>
      </c>
      <c r="I1037" s="16">
        <f>_xlfn.XLOOKUP(C1037,'Project Details'!$C$17:$C$66,'Project Details'!$E$17:$E$66,"",0)</f>
        <v>0</v>
      </c>
      <c r="J1037" s="16">
        <f>_xlfn.XLOOKUP(C1037,'Project Details'!$C$17:$C$66,'Project Details'!$H$17:$H$66,"",0)</f>
        <v>0</v>
      </c>
      <c r="K1037" s="33" t="str">
        <f>IF(AND(_xlfn.XLOOKUP(C1037,'Project Details'!$C$17:$C$66,'Project Details'!$L$17:$L$66,"",0)&gt;550, F1037="Spring-L27cm"),"",SUBSTITUTE(_xlfn.XLOOKUP(G1037,SKUs!$C$2:$C$10001,SKUs!$F$2:$F$10001,"",0), " Accessories",""))</f>
        <v/>
      </c>
      <c r="L1037" s="33">
        <f>_xlfn.XLOOKUP(C1037,'Project Details'!$C$17:$C$66,'Project Details'!$D$17:$D$66,"",0)</f>
        <v>0</v>
      </c>
      <c r="M1037" s="43"/>
    </row>
    <row r="1038" spans="1:13" ht="13.5" customHeight="1" x14ac:dyDescent="0.25">
      <c r="A1038" s="43"/>
      <c r="B1038" s="43"/>
      <c r="C1038" s="35">
        <f t="shared" si="19"/>
        <v>21</v>
      </c>
      <c r="D1038" s="35" t="str" cm="1">
        <f t="array" ref="D1038">IFERROR(ROUNDUP(_xlfn.IFS(F1038="Aluminum Track", _xlfn.XLOOKUP(C1038, dd_accsrycalc!$A$2:$A$51, dd_accsrycalc!$B$2:$B$51, "",0), F1038="10 x 2 1/2 S (Flat)", _xlfn.XLOOKUP(C1038, dd_accsrycalc!$A$2:$A$51, dd_accsrycalc!$C$2:$C$51, "",0), F1038="Tox6", _xlfn.XLOOKUP(C1038, dd_accsrycalc!$A$2:$A$51, dd_accsrycalc!$D$2:$D$51, "",0), F1038="Cover Cap", _xlfn.XLOOKUP(C1038, dd_accsrycalc!$A$2:$A$51, dd_accsrycalc!$E$2:$E$51, "",0), F1038="Drainage Cover", _xlfn.XLOOKUP(C1038, dd_accsrycalc!$A$2:$A$51, dd_accsrycalc!$F$2:$F$51, "",0),AND( F1038="Double Adhesive Tape", I1038="Roll-up Screen"), _xlfn.XLOOKUP(C1038, calc_rusacc!$C$15:$C$65, calc_rusacc!$AD$15:$AD$65, "",0),AND( F1038="Sealant", I1038="Roll-up Screen"), _xlfn.XLOOKUP(C1038, calc_rusacc!$C$15:$C$65, calc_rusacc!$AF$15:$AF$65, "",0),  AND( F1038="Main Chain", I1038="Accordion Screen"), _xlfn.XLOOKUP(C1038, calc_rusacc!$C$15:$C$65, calc_rusacc!$BF$15:$BF$65, "",0), AND( F1038="Sealant", I1038="Accordion Screen"), _xlfn.XLOOKUP(C1038, calc_rusacc!$C$15:$C$65, calc_rusacc!$BJ$15:$BJ$65, "",0),  F1038="Sealant", _xlfn.XLOOKUP(C1038, dd_accsrycalc!$A$2:$A$51, dd_accsrycalc!$G$2:$G$51, "",0),  F1038&lt;&gt;"",L1038*_xlfn.XLOOKUP(1, (SKUs!$C$2:$C$10001=G1038)*(SKUs!$K$2:$K$10001=I1038),SKUs!$E$2:$E$10001)), 0),"")</f>
        <v/>
      </c>
      <c r="E1038" s="35" t="str">
        <f>_xlfn.XLOOKUP(F1038,dd_item!$B$2:$B$105,dd_item!$C$2:$C$105,"",0)</f>
        <v/>
      </c>
      <c r="F1038" s="35"/>
      <c r="G1038" s="35" cm="1">
        <f t="array" ref="G1038">IFERROR(_xlfn.XLOOKUP(1, (SKUs!$J$2:$J$10001=accsry_unmerged!F1038)*IF(H1038&lt;&gt;"",(SKUs!$L$2:$L$10001=accsry_unmerged!H1038),1)*(SKUs!$K$2:$K$10001=I1038),SKUs!$C$2:$C$10001),"")</f>
        <v>0</v>
      </c>
      <c r="H1038" s="36" cm="1">
        <f t="array" ref="H1038">IFERROR(_xlfn.XLOOKUP(1, (dd_accsryclr!$C$2:$C$1000=accsry_unmerged!F1038)*(dd_accsryclr!$B$2:$B$1000=accsry_unmerged!J1038),dd_accsryclr!$A$2:$A$1000),"")</f>
        <v>0</v>
      </c>
      <c r="I1038" s="35">
        <f>_xlfn.XLOOKUP(C1038,'Project Details'!$C$17:$C$66,'Project Details'!$E$17:$E$66,"",0)</f>
        <v>0</v>
      </c>
      <c r="J1038" s="35">
        <f>_xlfn.XLOOKUP(C1038,'Project Details'!$C$17:$C$66,'Project Details'!$H$17:$H$66,"",0)</f>
        <v>0</v>
      </c>
      <c r="K1038" s="36" t="str">
        <f>IF(AND(_xlfn.XLOOKUP(C1038,'Project Details'!$C$17:$C$66,'Project Details'!$L$17:$L$66,"",0)&gt;550, F1038="Spring-L27cm"),"",SUBSTITUTE(_xlfn.XLOOKUP(G1038,SKUs!$C$2:$C$10001,SKUs!$F$2:$F$10001,"",0), " Accessories",""))</f>
        <v/>
      </c>
      <c r="L1038" s="36">
        <f>_xlfn.XLOOKUP(C1038,'Project Details'!$C$17:$C$66,'Project Details'!$D$17:$D$66,"",0)</f>
        <v>0</v>
      </c>
      <c r="M1038" s="43"/>
    </row>
    <row r="1039" spans="1:13" ht="13.5" customHeight="1" x14ac:dyDescent="0.25">
      <c r="A1039" s="43"/>
      <c r="B1039" s="43"/>
      <c r="C1039" s="16">
        <f t="shared" si="19"/>
        <v>21</v>
      </c>
      <c r="D1039" s="16" t="str" cm="1">
        <f t="array" ref="D1039">IFERROR(ROUNDUP(_xlfn.IFS(F1039="Aluminum Track", _xlfn.XLOOKUP(C1039, dd_accsrycalc!$A$2:$A$51, dd_accsrycalc!$B$2:$B$51, "",0), F1039="10 x 2 1/2 S (Flat)", _xlfn.XLOOKUP(C1039, dd_accsrycalc!$A$2:$A$51, dd_accsrycalc!$C$2:$C$51, "",0), F1039="Tox6", _xlfn.XLOOKUP(C1039, dd_accsrycalc!$A$2:$A$51, dd_accsrycalc!$D$2:$D$51, "",0), F1039="Cover Cap", _xlfn.XLOOKUP(C1039, dd_accsrycalc!$A$2:$A$51, dd_accsrycalc!$E$2:$E$51, "",0), F1039="Drainage Cover", _xlfn.XLOOKUP(C1039, dd_accsrycalc!$A$2:$A$51, dd_accsrycalc!$F$2:$F$51, "",0),AND( F1039="Double Adhesive Tape", I1039="Roll-up Screen"), _xlfn.XLOOKUP(C1039, calc_rusacc!$C$15:$C$65, calc_rusacc!$AD$15:$AD$65, "",0),AND( F1039="Sealant", I1039="Roll-up Screen"), _xlfn.XLOOKUP(C1039, calc_rusacc!$C$15:$C$65, calc_rusacc!$AF$15:$AF$65, "",0),  AND( F1039="Main Chain", I1039="Accordion Screen"), _xlfn.XLOOKUP(C1039, calc_rusacc!$C$15:$C$65, calc_rusacc!$BF$15:$BF$65, "",0), AND( F1039="Sealant", I1039="Accordion Screen"), _xlfn.XLOOKUP(C1039, calc_rusacc!$C$15:$C$65, calc_rusacc!$BJ$15:$BJ$65, "",0),  F1039="Sealant", _xlfn.XLOOKUP(C1039, dd_accsrycalc!$A$2:$A$51, dd_accsrycalc!$G$2:$G$51, "",0),  F1039&lt;&gt;"",L1039*_xlfn.XLOOKUP(1, (SKUs!$C$2:$C$10001=G1039)*(SKUs!$K$2:$K$10001=I1039),SKUs!$E$2:$E$10001)), 0),"")</f>
        <v/>
      </c>
      <c r="E1039" s="16" t="str">
        <f>_xlfn.XLOOKUP(F1039,dd_item!$B$2:$B$105,dd_item!$C$2:$C$105,"",0)</f>
        <v/>
      </c>
      <c r="F1039" s="16"/>
      <c r="G1039" s="16" cm="1">
        <f t="array" ref="G1039">IFERROR(_xlfn.XLOOKUP(1, (SKUs!$J$2:$J$10001=accsry_unmerged!F1039)*IF(H1039&lt;&gt;"",(SKUs!$L$2:$L$10001=accsry_unmerged!H1039),1)*(SKUs!$K$2:$K$10001=I1039),SKUs!$C$2:$C$10001),"")</f>
        <v>0</v>
      </c>
      <c r="H1039" s="33" cm="1">
        <f t="array" ref="H1039">IFERROR(_xlfn.XLOOKUP(1, (dd_accsryclr!$C$2:$C$1000=accsry_unmerged!F1039)*(dd_accsryclr!$B$2:$B$1000=accsry_unmerged!J1039),dd_accsryclr!$A$2:$A$1000),"")</f>
        <v>0</v>
      </c>
      <c r="I1039" s="16">
        <f>_xlfn.XLOOKUP(C1039,'Project Details'!$C$17:$C$66,'Project Details'!$E$17:$E$66,"",0)</f>
        <v>0</v>
      </c>
      <c r="J1039" s="16">
        <f>_xlfn.XLOOKUP(C1039,'Project Details'!$C$17:$C$66,'Project Details'!$H$17:$H$66,"",0)</f>
        <v>0</v>
      </c>
      <c r="K1039" s="33" t="str">
        <f>IF(AND(_xlfn.XLOOKUP(C1039,'Project Details'!$C$17:$C$66,'Project Details'!$L$17:$L$66,"",0)&gt;550, F1039="Spring-L27cm"),"",SUBSTITUTE(_xlfn.XLOOKUP(G1039,SKUs!$C$2:$C$10001,SKUs!$F$2:$F$10001,"",0), " Accessories",""))</f>
        <v/>
      </c>
      <c r="L1039" s="33">
        <f>_xlfn.XLOOKUP(C1039,'Project Details'!$C$17:$C$66,'Project Details'!$D$17:$D$66,"",0)</f>
        <v>0</v>
      </c>
      <c r="M1039" s="43"/>
    </row>
    <row r="1040" spans="1:13" ht="13.5" customHeight="1" x14ac:dyDescent="0.25">
      <c r="A1040" s="43"/>
      <c r="B1040" s="43"/>
      <c r="C1040" s="35">
        <f t="shared" si="19"/>
        <v>21</v>
      </c>
      <c r="D1040" s="35" t="str" cm="1">
        <f t="array" ref="D1040">IFERROR(ROUNDUP(_xlfn.IFS(F1040="Aluminum Track", _xlfn.XLOOKUP(C1040, dd_accsrycalc!$A$2:$A$51, dd_accsrycalc!$B$2:$B$51, "",0), F1040="10 x 2 1/2 S (Flat)", _xlfn.XLOOKUP(C1040, dd_accsrycalc!$A$2:$A$51, dd_accsrycalc!$C$2:$C$51, "",0), F1040="Tox6", _xlfn.XLOOKUP(C1040, dd_accsrycalc!$A$2:$A$51, dd_accsrycalc!$D$2:$D$51, "",0), F1040="Cover Cap", _xlfn.XLOOKUP(C1040, dd_accsrycalc!$A$2:$A$51, dd_accsrycalc!$E$2:$E$51, "",0), F1040="Drainage Cover", _xlfn.XLOOKUP(C1040, dd_accsrycalc!$A$2:$A$51, dd_accsrycalc!$F$2:$F$51, "",0),AND( F1040="Double Adhesive Tape", I1040="Roll-up Screen"), _xlfn.XLOOKUP(C1040, calc_rusacc!$C$15:$C$65, calc_rusacc!$AD$15:$AD$65, "",0),AND( F1040="Sealant", I1040="Roll-up Screen"), _xlfn.XLOOKUP(C1040, calc_rusacc!$C$15:$C$65, calc_rusacc!$AF$15:$AF$65, "",0),  AND( F1040="Main Chain", I1040="Accordion Screen"), _xlfn.XLOOKUP(C1040, calc_rusacc!$C$15:$C$65, calc_rusacc!$BF$15:$BF$65, "",0), AND( F1040="Sealant", I1040="Accordion Screen"), _xlfn.XLOOKUP(C1040, calc_rusacc!$C$15:$C$65, calc_rusacc!$BJ$15:$BJ$65, "",0),  F1040="Sealant", _xlfn.XLOOKUP(C1040, dd_accsrycalc!$A$2:$A$51, dd_accsrycalc!$G$2:$G$51, "",0),  F1040&lt;&gt;"",L1040*_xlfn.XLOOKUP(1, (SKUs!$C$2:$C$10001=G1040)*(SKUs!$K$2:$K$10001=I1040),SKUs!$E$2:$E$10001)), 0),"")</f>
        <v/>
      </c>
      <c r="E1040" s="35" t="str">
        <f>_xlfn.XLOOKUP(F1040,dd_item!$B$2:$B$105,dd_item!$C$2:$C$105,"",0)</f>
        <v/>
      </c>
      <c r="F1040" s="35"/>
      <c r="G1040" s="35" cm="1">
        <f t="array" ref="G1040">IFERROR(_xlfn.XLOOKUP(1, (SKUs!$J$2:$J$10001=accsry_unmerged!F1040)*IF(H1040&lt;&gt;"",(SKUs!$L$2:$L$10001=accsry_unmerged!H1040),1)*(SKUs!$K$2:$K$10001=I1040),SKUs!$C$2:$C$10001),"")</f>
        <v>0</v>
      </c>
      <c r="H1040" s="36" cm="1">
        <f t="array" ref="H1040">IFERROR(_xlfn.XLOOKUP(1, (dd_accsryclr!$C$2:$C$1000=accsry_unmerged!F1040)*(dd_accsryclr!$B$2:$B$1000=accsry_unmerged!J1040),dd_accsryclr!$A$2:$A$1000),"")</f>
        <v>0</v>
      </c>
      <c r="I1040" s="35">
        <f>_xlfn.XLOOKUP(C1040,'Project Details'!$C$17:$C$66,'Project Details'!$E$17:$E$66,"",0)</f>
        <v>0</v>
      </c>
      <c r="J1040" s="35">
        <f>_xlfn.XLOOKUP(C1040,'Project Details'!$C$17:$C$66,'Project Details'!$H$17:$H$66,"",0)</f>
        <v>0</v>
      </c>
      <c r="K1040" s="36" t="str">
        <f>IF(AND(_xlfn.XLOOKUP(C1040,'Project Details'!$C$17:$C$66,'Project Details'!$L$17:$L$66,"",0)&gt;550, F1040="Spring-L27cm"),"",SUBSTITUTE(_xlfn.XLOOKUP(G1040,SKUs!$C$2:$C$10001,SKUs!$F$2:$F$10001,"",0), " Accessories",""))</f>
        <v/>
      </c>
      <c r="L1040" s="36">
        <f>_xlfn.XLOOKUP(C1040,'Project Details'!$C$17:$C$66,'Project Details'!$D$17:$D$66,"",0)</f>
        <v>0</v>
      </c>
      <c r="M1040" s="43"/>
    </row>
    <row r="1041" spans="1:13" ht="13.5" customHeight="1" x14ac:dyDescent="0.25">
      <c r="A1041" s="43"/>
      <c r="B1041" s="43"/>
      <c r="C1041" s="16">
        <f t="shared" si="19"/>
        <v>21</v>
      </c>
      <c r="D1041" s="16" t="str" cm="1">
        <f t="array" ref="D1041">IFERROR(ROUNDUP(_xlfn.IFS(F1041="Aluminum Track", _xlfn.XLOOKUP(C1041, dd_accsrycalc!$A$2:$A$51, dd_accsrycalc!$B$2:$B$51, "",0), F1041="10 x 2 1/2 S (Flat)", _xlfn.XLOOKUP(C1041, dd_accsrycalc!$A$2:$A$51, dd_accsrycalc!$C$2:$C$51, "",0), F1041="Tox6", _xlfn.XLOOKUP(C1041, dd_accsrycalc!$A$2:$A$51, dd_accsrycalc!$D$2:$D$51, "",0), F1041="Cover Cap", _xlfn.XLOOKUP(C1041, dd_accsrycalc!$A$2:$A$51, dd_accsrycalc!$E$2:$E$51, "",0), F1041="Drainage Cover", _xlfn.XLOOKUP(C1041, dd_accsrycalc!$A$2:$A$51, dd_accsrycalc!$F$2:$F$51, "",0),AND( F1041="Double Adhesive Tape", I1041="Roll-up Screen"), _xlfn.XLOOKUP(C1041, calc_rusacc!$C$15:$C$65, calc_rusacc!$AD$15:$AD$65, "",0),AND( F1041="Sealant", I1041="Roll-up Screen"), _xlfn.XLOOKUP(C1041, calc_rusacc!$C$15:$C$65, calc_rusacc!$AF$15:$AF$65, "",0),  AND( F1041="Main Chain", I1041="Accordion Screen"), _xlfn.XLOOKUP(C1041, calc_rusacc!$C$15:$C$65, calc_rusacc!$BF$15:$BF$65, "",0), AND( F1041="Sealant", I1041="Accordion Screen"), _xlfn.XLOOKUP(C1041, calc_rusacc!$C$15:$C$65, calc_rusacc!$BJ$15:$BJ$65, "",0),  F1041="Sealant", _xlfn.XLOOKUP(C1041, dd_accsrycalc!$A$2:$A$51, dd_accsrycalc!$G$2:$G$51, "",0),  F1041&lt;&gt;"",L1041*_xlfn.XLOOKUP(1, (SKUs!$C$2:$C$10001=G1041)*(SKUs!$K$2:$K$10001=I1041),SKUs!$E$2:$E$10001)), 0),"")</f>
        <v/>
      </c>
      <c r="E1041" s="16" t="str">
        <f>_xlfn.XLOOKUP(F1041,dd_item!$B$2:$B$105,dd_item!$C$2:$C$105,"",0)</f>
        <v/>
      </c>
      <c r="F1041" s="16"/>
      <c r="G1041" s="16" cm="1">
        <f t="array" ref="G1041">IFERROR(_xlfn.XLOOKUP(1, (SKUs!$J$2:$J$10001=accsry_unmerged!F1041)*IF(H1041&lt;&gt;"",(SKUs!$L$2:$L$10001=accsry_unmerged!H1041),1)*(SKUs!$K$2:$K$10001=I1041),SKUs!$C$2:$C$10001),"")</f>
        <v>0</v>
      </c>
      <c r="H1041" s="33" cm="1">
        <f t="array" ref="H1041">IFERROR(_xlfn.XLOOKUP(1, (dd_accsryclr!$C$2:$C$1000=accsry_unmerged!F1041)*(dd_accsryclr!$B$2:$B$1000=accsry_unmerged!J1041),dd_accsryclr!$A$2:$A$1000),"")</f>
        <v>0</v>
      </c>
      <c r="I1041" s="16">
        <f>_xlfn.XLOOKUP(C1041,'Project Details'!$C$17:$C$66,'Project Details'!$E$17:$E$66,"",0)</f>
        <v>0</v>
      </c>
      <c r="J1041" s="16">
        <f>_xlfn.XLOOKUP(C1041,'Project Details'!$C$17:$C$66,'Project Details'!$H$17:$H$66,"",0)</f>
        <v>0</v>
      </c>
      <c r="K1041" s="33" t="str">
        <f>IF(AND(_xlfn.XLOOKUP(C1041,'Project Details'!$C$17:$C$66,'Project Details'!$L$17:$L$66,"",0)&gt;550, F1041="Spring-L27cm"),"",SUBSTITUTE(_xlfn.XLOOKUP(G1041,SKUs!$C$2:$C$10001,SKUs!$F$2:$F$10001,"",0), " Accessories",""))</f>
        <v/>
      </c>
      <c r="L1041" s="33">
        <f>_xlfn.XLOOKUP(C1041,'Project Details'!$C$17:$C$66,'Project Details'!$D$17:$D$66,"",0)</f>
        <v>0</v>
      </c>
      <c r="M1041" s="43"/>
    </row>
    <row r="1042" spans="1:13" ht="13.5" customHeight="1" x14ac:dyDescent="0.25">
      <c r="A1042" s="43"/>
      <c r="B1042" s="43"/>
      <c r="C1042" s="35">
        <f t="shared" si="19"/>
        <v>21</v>
      </c>
      <c r="D1042" s="35" t="str" cm="1">
        <f t="array" ref="D1042">IFERROR(ROUNDUP(_xlfn.IFS(F1042="Aluminum Track", _xlfn.XLOOKUP(C1042, dd_accsrycalc!$A$2:$A$51, dd_accsrycalc!$B$2:$B$51, "",0), F1042="10 x 2 1/2 S (Flat)", _xlfn.XLOOKUP(C1042, dd_accsrycalc!$A$2:$A$51, dd_accsrycalc!$C$2:$C$51, "",0), F1042="Tox6", _xlfn.XLOOKUP(C1042, dd_accsrycalc!$A$2:$A$51, dd_accsrycalc!$D$2:$D$51, "",0), F1042="Cover Cap", _xlfn.XLOOKUP(C1042, dd_accsrycalc!$A$2:$A$51, dd_accsrycalc!$E$2:$E$51, "",0), F1042="Drainage Cover", _xlfn.XLOOKUP(C1042, dd_accsrycalc!$A$2:$A$51, dd_accsrycalc!$F$2:$F$51, "",0),AND( F1042="Double Adhesive Tape", I1042="Roll-up Screen"), _xlfn.XLOOKUP(C1042, calc_rusacc!$C$15:$C$65, calc_rusacc!$AD$15:$AD$65, "",0),AND( F1042="Sealant", I1042="Roll-up Screen"), _xlfn.XLOOKUP(C1042, calc_rusacc!$C$15:$C$65, calc_rusacc!$AF$15:$AF$65, "",0),  AND( F1042="Main Chain", I1042="Accordion Screen"), _xlfn.XLOOKUP(C1042, calc_rusacc!$C$15:$C$65, calc_rusacc!$BF$15:$BF$65, "",0), AND( F1042="Sealant", I1042="Accordion Screen"), _xlfn.XLOOKUP(C1042, calc_rusacc!$C$15:$C$65, calc_rusacc!$BJ$15:$BJ$65, "",0),  F1042="Sealant", _xlfn.XLOOKUP(C1042, dd_accsrycalc!$A$2:$A$51, dd_accsrycalc!$G$2:$G$51, "",0),  F1042&lt;&gt;"",L1042*_xlfn.XLOOKUP(1, (SKUs!$C$2:$C$10001=G1042)*(SKUs!$K$2:$K$10001=I1042),SKUs!$E$2:$E$10001)), 0),"")</f>
        <v/>
      </c>
      <c r="E1042" s="35" t="str">
        <f>_xlfn.XLOOKUP(F1042,dd_item!$B$2:$B$105,dd_item!$C$2:$C$105,"",0)</f>
        <v/>
      </c>
      <c r="F1042" s="35"/>
      <c r="G1042" s="35" cm="1">
        <f t="array" ref="G1042">IFERROR(_xlfn.XLOOKUP(1, (SKUs!$J$2:$J$10001=accsry_unmerged!F1042)*IF(H1042&lt;&gt;"",(SKUs!$L$2:$L$10001=accsry_unmerged!H1042),1)*(SKUs!$K$2:$K$10001=I1042),SKUs!$C$2:$C$10001),"")</f>
        <v>0</v>
      </c>
      <c r="H1042" s="36" cm="1">
        <f t="array" ref="H1042">IFERROR(_xlfn.XLOOKUP(1, (dd_accsryclr!$C$2:$C$1000=accsry_unmerged!F1042)*(dd_accsryclr!$B$2:$B$1000=accsry_unmerged!J1042),dd_accsryclr!$A$2:$A$1000),"")</f>
        <v>0</v>
      </c>
      <c r="I1042" s="35">
        <f>_xlfn.XLOOKUP(C1042,'Project Details'!$C$17:$C$66,'Project Details'!$E$17:$E$66,"",0)</f>
        <v>0</v>
      </c>
      <c r="J1042" s="35">
        <f>_xlfn.XLOOKUP(C1042,'Project Details'!$C$17:$C$66,'Project Details'!$H$17:$H$66,"",0)</f>
        <v>0</v>
      </c>
      <c r="K1042" s="36" t="str">
        <f>IF(AND(_xlfn.XLOOKUP(C1042,'Project Details'!$C$17:$C$66,'Project Details'!$L$17:$L$66,"",0)&gt;550, F1042="Spring-L27cm"),"",SUBSTITUTE(_xlfn.XLOOKUP(G1042,SKUs!$C$2:$C$10001,SKUs!$F$2:$F$10001,"",0), " Accessories",""))</f>
        <v/>
      </c>
      <c r="L1042" s="36">
        <f>_xlfn.XLOOKUP(C1042,'Project Details'!$C$17:$C$66,'Project Details'!$D$17:$D$66,"",0)</f>
        <v>0</v>
      </c>
      <c r="M1042" s="43"/>
    </row>
    <row r="1043" spans="1:13" ht="13.5" customHeight="1" x14ac:dyDescent="0.25">
      <c r="A1043" s="43"/>
      <c r="B1043" s="43"/>
      <c r="C1043" s="16">
        <f t="shared" si="19"/>
        <v>21</v>
      </c>
      <c r="D1043" s="16" t="str" cm="1">
        <f t="array" ref="D1043">IFERROR(ROUNDUP(_xlfn.IFS(F1043="Aluminum Track", _xlfn.XLOOKUP(C1043, dd_accsrycalc!$A$2:$A$51, dd_accsrycalc!$B$2:$B$51, "",0), F1043="10 x 2 1/2 S (Flat)", _xlfn.XLOOKUP(C1043, dd_accsrycalc!$A$2:$A$51, dd_accsrycalc!$C$2:$C$51, "",0), F1043="Tox6", _xlfn.XLOOKUP(C1043, dd_accsrycalc!$A$2:$A$51, dd_accsrycalc!$D$2:$D$51, "",0), F1043="Cover Cap", _xlfn.XLOOKUP(C1043, dd_accsrycalc!$A$2:$A$51, dd_accsrycalc!$E$2:$E$51, "",0), F1043="Drainage Cover", _xlfn.XLOOKUP(C1043, dd_accsrycalc!$A$2:$A$51, dd_accsrycalc!$F$2:$F$51, "",0),AND( F1043="Double Adhesive Tape", I1043="Roll-up Screen"), _xlfn.XLOOKUP(C1043, calc_rusacc!$C$15:$C$65, calc_rusacc!$AD$15:$AD$65, "",0),AND( F1043="Sealant", I1043="Roll-up Screen"), _xlfn.XLOOKUP(C1043, calc_rusacc!$C$15:$C$65, calc_rusacc!$AF$15:$AF$65, "",0),  AND( F1043="Main Chain", I1043="Accordion Screen"), _xlfn.XLOOKUP(C1043, calc_rusacc!$C$15:$C$65, calc_rusacc!$BF$15:$BF$65, "",0), AND( F1043="Sealant", I1043="Accordion Screen"), _xlfn.XLOOKUP(C1043, calc_rusacc!$C$15:$C$65, calc_rusacc!$BJ$15:$BJ$65, "",0),  F1043="Sealant", _xlfn.XLOOKUP(C1043, dd_accsrycalc!$A$2:$A$51, dd_accsrycalc!$G$2:$G$51, "",0),  F1043&lt;&gt;"",L1043*_xlfn.XLOOKUP(1, (SKUs!$C$2:$C$10001=G1043)*(SKUs!$K$2:$K$10001=I1043),SKUs!$E$2:$E$10001)), 0),"")</f>
        <v/>
      </c>
      <c r="E1043" s="16" t="str">
        <f>_xlfn.XLOOKUP(F1043,dd_item!$B$2:$B$105,dd_item!$C$2:$C$105,"",0)</f>
        <v/>
      </c>
      <c r="F1043" s="16"/>
      <c r="G1043" s="16" cm="1">
        <f t="array" ref="G1043">IFERROR(_xlfn.XLOOKUP(1, (SKUs!$J$2:$J$10001=accsry_unmerged!F1043)*IF(H1043&lt;&gt;"",(SKUs!$L$2:$L$10001=accsry_unmerged!H1043),1)*(SKUs!$K$2:$K$10001=I1043),SKUs!$C$2:$C$10001),"")</f>
        <v>0</v>
      </c>
      <c r="H1043" s="33" cm="1">
        <f t="array" ref="H1043">IFERROR(_xlfn.XLOOKUP(1, (dd_accsryclr!$C$2:$C$1000=accsry_unmerged!F1043)*(dd_accsryclr!$B$2:$B$1000=accsry_unmerged!J1043),dd_accsryclr!$A$2:$A$1000),"")</f>
        <v>0</v>
      </c>
      <c r="I1043" s="16">
        <f>_xlfn.XLOOKUP(C1043,'Project Details'!$C$17:$C$66,'Project Details'!$E$17:$E$66,"",0)</f>
        <v>0</v>
      </c>
      <c r="J1043" s="16">
        <f>_xlfn.XLOOKUP(C1043,'Project Details'!$C$17:$C$66,'Project Details'!$H$17:$H$66,"",0)</f>
        <v>0</v>
      </c>
      <c r="K1043" s="33" t="str">
        <f>IF(AND(_xlfn.XLOOKUP(C1043,'Project Details'!$C$17:$C$66,'Project Details'!$L$17:$L$66,"",0)&gt;550, F1043="Spring-L27cm"),"",SUBSTITUTE(_xlfn.XLOOKUP(G1043,SKUs!$C$2:$C$10001,SKUs!$F$2:$F$10001,"",0), " Accessories",""))</f>
        <v/>
      </c>
      <c r="L1043" s="33">
        <f>_xlfn.XLOOKUP(C1043,'Project Details'!$C$17:$C$66,'Project Details'!$D$17:$D$66,"",0)</f>
        <v>0</v>
      </c>
      <c r="M1043" s="43"/>
    </row>
    <row r="1044" spans="1:13" ht="13.5" customHeight="1" x14ac:dyDescent="0.25">
      <c r="A1044" s="43"/>
      <c r="B1044" s="43"/>
      <c r="C1044" s="35">
        <f t="shared" si="19"/>
        <v>21</v>
      </c>
      <c r="D1044" s="35" t="str" cm="1">
        <f t="array" ref="D1044">IFERROR(ROUNDUP(_xlfn.IFS(F1044="Aluminum Track", _xlfn.XLOOKUP(C1044, dd_accsrycalc!$A$2:$A$51, dd_accsrycalc!$B$2:$B$51, "",0), F1044="10 x 2 1/2 S (Flat)", _xlfn.XLOOKUP(C1044, dd_accsrycalc!$A$2:$A$51, dd_accsrycalc!$C$2:$C$51, "",0), F1044="Tox6", _xlfn.XLOOKUP(C1044, dd_accsrycalc!$A$2:$A$51, dd_accsrycalc!$D$2:$D$51, "",0), F1044="Cover Cap", _xlfn.XLOOKUP(C1044, dd_accsrycalc!$A$2:$A$51, dd_accsrycalc!$E$2:$E$51, "",0), F1044="Drainage Cover", _xlfn.XLOOKUP(C1044, dd_accsrycalc!$A$2:$A$51, dd_accsrycalc!$F$2:$F$51, "",0),AND( F1044="Double Adhesive Tape", I1044="Roll-up Screen"), _xlfn.XLOOKUP(C1044, calc_rusacc!$C$15:$C$65, calc_rusacc!$AD$15:$AD$65, "",0),AND( F1044="Sealant", I1044="Roll-up Screen"), _xlfn.XLOOKUP(C1044, calc_rusacc!$C$15:$C$65, calc_rusacc!$AF$15:$AF$65, "",0),  AND( F1044="Main Chain", I1044="Accordion Screen"), _xlfn.XLOOKUP(C1044, calc_rusacc!$C$15:$C$65, calc_rusacc!$BF$15:$BF$65, "",0), AND( F1044="Sealant", I1044="Accordion Screen"), _xlfn.XLOOKUP(C1044, calc_rusacc!$C$15:$C$65, calc_rusacc!$BJ$15:$BJ$65, "",0),  F1044="Sealant", _xlfn.XLOOKUP(C1044, dd_accsrycalc!$A$2:$A$51, dd_accsrycalc!$G$2:$G$51, "",0),  F1044&lt;&gt;"",L1044*_xlfn.XLOOKUP(1, (SKUs!$C$2:$C$10001=G1044)*(SKUs!$K$2:$K$10001=I1044),SKUs!$E$2:$E$10001)), 0),"")</f>
        <v/>
      </c>
      <c r="E1044" s="35" t="str">
        <f>_xlfn.XLOOKUP(F1044,dd_item!$B$2:$B$105,dd_item!$C$2:$C$105,"",0)</f>
        <v/>
      </c>
      <c r="F1044" s="35"/>
      <c r="G1044" s="35" cm="1">
        <f t="array" ref="G1044">IFERROR(_xlfn.XLOOKUP(1, (SKUs!$J$2:$J$10001=accsry_unmerged!F1044)*IF(H1044&lt;&gt;"",(SKUs!$L$2:$L$10001=accsry_unmerged!H1044),1)*(SKUs!$K$2:$K$10001=I1044),SKUs!$C$2:$C$10001),"")</f>
        <v>0</v>
      </c>
      <c r="H1044" s="36" cm="1">
        <f t="array" ref="H1044">IFERROR(_xlfn.XLOOKUP(1, (dd_accsryclr!$C$2:$C$1000=accsry_unmerged!F1044)*(dd_accsryclr!$B$2:$B$1000=accsry_unmerged!J1044),dd_accsryclr!$A$2:$A$1000),"")</f>
        <v>0</v>
      </c>
      <c r="I1044" s="35">
        <f>_xlfn.XLOOKUP(C1044,'Project Details'!$C$17:$C$66,'Project Details'!$E$17:$E$66,"",0)</f>
        <v>0</v>
      </c>
      <c r="J1044" s="35">
        <f>_xlfn.XLOOKUP(C1044,'Project Details'!$C$17:$C$66,'Project Details'!$H$17:$H$66,"",0)</f>
        <v>0</v>
      </c>
      <c r="K1044" s="36" t="str">
        <f>IF(AND(_xlfn.XLOOKUP(C1044,'Project Details'!$C$17:$C$66,'Project Details'!$L$17:$L$66,"",0)&gt;550, F1044="Spring-L27cm"),"",SUBSTITUTE(_xlfn.XLOOKUP(G1044,SKUs!$C$2:$C$10001,SKUs!$F$2:$F$10001,"",0), " Accessories",""))</f>
        <v/>
      </c>
      <c r="L1044" s="36">
        <f>_xlfn.XLOOKUP(C1044,'Project Details'!$C$17:$C$66,'Project Details'!$D$17:$D$66,"",0)</f>
        <v>0</v>
      </c>
      <c r="M1044" s="43"/>
    </row>
    <row r="1045" spans="1:13" ht="13.5" customHeight="1" outlineLevel="1" x14ac:dyDescent="0.25">
      <c r="A1045" s="43"/>
      <c r="B1045" s="43"/>
      <c r="C1045" s="16">
        <f t="shared" si="19"/>
        <v>21</v>
      </c>
      <c r="D1045" s="16" t="str" cm="1">
        <f t="array" ref="D1045">IFERROR(ROUNDUP(_xlfn.IFS(F1045="Aluminum Track", _xlfn.XLOOKUP(C1045, dd_accsrycalc!$A$2:$A$51, dd_accsrycalc!$B$2:$B$51, "",0), F1045="10 x 2 1/2 S (Flat)", _xlfn.XLOOKUP(C1045, dd_accsrycalc!$A$2:$A$51, dd_accsrycalc!$C$2:$C$51, "",0), F1045="Tox6", _xlfn.XLOOKUP(C1045, dd_accsrycalc!$A$2:$A$51, dd_accsrycalc!$D$2:$D$51, "",0), F1045="Cover Cap", _xlfn.XLOOKUP(C1045, dd_accsrycalc!$A$2:$A$51, dd_accsrycalc!$E$2:$E$51, "",0), F1045="Drainage Cover", _xlfn.XLOOKUP(C1045, dd_accsrycalc!$A$2:$A$51, dd_accsrycalc!$F$2:$F$51, "",0),AND( F1045="Double Adhesive Tape", I1045="Roll-up Screen"), _xlfn.XLOOKUP(C1045, calc_rusacc!$C$15:$C$65, calc_rusacc!$AD$15:$AD$65, "",0),AND( F1045="Sealant", I1045="Roll-up Screen"), _xlfn.XLOOKUP(C1045, calc_rusacc!$C$15:$C$65, calc_rusacc!$AF$15:$AF$65, "",0),  AND( F1045="Main Chain", I1045="Accordion Screen"), _xlfn.XLOOKUP(C1045, calc_rusacc!$C$15:$C$65, calc_rusacc!$BF$15:$BF$65, "",0), AND( F1045="Sealant", I1045="Accordion Screen"), _xlfn.XLOOKUP(C1045, calc_rusacc!$C$15:$C$65, calc_rusacc!$BJ$15:$BJ$65, "",0),  F1045="Sealant", _xlfn.XLOOKUP(C1045, dd_accsrycalc!$A$2:$A$51, dd_accsrycalc!$G$2:$G$51, "",0),  F1045&lt;&gt;"",L1045*_xlfn.XLOOKUP(1, (SKUs!$C$2:$C$10001=G1045)*(SKUs!$K$2:$K$10001=I1045),SKUs!$E$2:$E$10001)), 0),"")</f>
        <v/>
      </c>
      <c r="E1045" s="16" t="str">
        <f>_xlfn.XLOOKUP(F1045,dd_item!$B$2:$B$105,dd_item!$C$2:$C$105,"",0)</f>
        <v/>
      </c>
      <c r="F1045" s="16"/>
      <c r="G1045" s="16" cm="1">
        <f t="array" ref="G1045">IFERROR(_xlfn.XLOOKUP(1, (SKUs!$J$2:$J$10001=accsry_unmerged!F1045)*IF(H1045&lt;&gt;"",(SKUs!$L$2:$L$10001=accsry_unmerged!H1045),1)*(SKUs!$K$2:$K$10001=I1045),SKUs!$C$2:$C$10001),"")</f>
        <v>0</v>
      </c>
      <c r="H1045" s="33" cm="1">
        <f t="array" ref="H1045">IFERROR(_xlfn.XLOOKUP(1, (dd_accsryclr!$C$2:$C$1000=accsry_unmerged!F1045)*(dd_accsryclr!$B$2:$B$1000=accsry_unmerged!J1045),dd_accsryclr!$A$2:$A$1000),"")</f>
        <v>0</v>
      </c>
      <c r="I1045" s="16">
        <f>_xlfn.XLOOKUP(C1045,'Project Details'!$C$17:$C$66,'Project Details'!$E$17:$E$66,"",0)</f>
        <v>0</v>
      </c>
      <c r="J1045" s="16">
        <f>_xlfn.XLOOKUP(C1045,'Project Details'!$C$17:$C$66,'Project Details'!$H$17:$H$66,"",0)</f>
        <v>0</v>
      </c>
      <c r="K1045" s="33" t="str">
        <f>IF(AND(_xlfn.XLOOKUP(C1045,'Project Details'!$C$17:$C$66,'Project Details'!$L$17:$L$66,"",0)&gt;550, F1045="Spring-L27cm"),"",SUBSTITUTE(_xlfn.XLOOKUP(G1045,SKUs!$C$2:$C$10001,SKUs!$F$2:$F$10001,"",0), " Accessories",""))</f>
        <v/>
      </c>
      <c r="L1045" s="33">
        <f>_xlfn.XLOOKUP(C1045,'Project Details'!$C$17:$C$66,'Project Details'!$D$17:$D$66,"",0)</f>
        <v>0</v>
      </c>
      <c r="M1045" s="43"/>
    </row>
    <row r="1046" spans="1:13" ht="13.5" customHeight="1" outlineLevel="1" x14ac:dyDescent="0.25">
      <c r="A1046" s="43"/>
      <c r="B1046" s="43"/>
      <c r="C1046" s="35">
        <f t="shared" si="19"/>
        <v>21</v>
      </c>
      <c r="D1046" s="35" t="str" cm="1">
        <f t="array" ref="D1046">IFERROR(ROUNDUP(_xlfn.IFS(F1046="Aluminum Track", _xlfn.XLOOKUP(C1046, dd_accsrycalc!$A$2:$A$51, dd_accsrycalc!$B$2:$B$51, "",0), F1046="10 x 2 1/2 S (Flat)", _xlfn.XLOOKUP(C1046, dd_accsrycalc!$A$2:$A$51, dd_accsrycalc!$C$2:$C$51, "",0), F1046="Tox6", _xlfn.XLOOKUP(C1046, dd_accsrycalc!$A$2:$A$51, dd_accsrycalc!$D$2:$D$51, "",0), F1046="Cover Cap", _xlfn.XLOOKUP(C1046, dd_accsrycalc!$A$2:$A$51, dd_accsrycalc!$E$2:$E$51, "",0), F1046="Drainage Cover", _xlfn.XLOOKUP(C1046, dd_accsrycalc!$A$2:$A$51, dd_accsrycalc!$F$2:$F$51, "",0),AND( F1046="Double Adhesive Tape", I1046="Roll-up Screen"), _xlfn.XLOOKUP(C1046, calc_rusacc!$C$15:$C$65, calc_rusacc!$AD$15:$AD$65, "",0),AND( F1046="Sealant", I1046="Roll-up Screen"), _xlfn.XLOOKUP(C1046, calc_rusacc!$C$15:$C$65, calc_rusacc!$AF$15:$AF$65, "",0),  AND( F1046="Main Chain", I1046="Accordion Screen"), _xlfn.XLOOKUP(C1046, calc_rusacc!$C$15:$C$65, calc_rusacc!$BF$15:$BF$65, "",0), AND( F1046="Sealant", I1046="Accordion Screen"), _xlfn.XLOOKUP(C1046, calc_rusacc!$C$15:$C$65, calc_rusacc!$BJ$15:$BJ$65, "",0),  F1046="Sealant", _xlfn.XLOOKUP(C1046, dd_accsrycalc!$A$2:$A$51, dd_accsrycalc!$G$2:$G$51, "",0),  F1046&lt;&gt;"",L1046*_xlfn.XLOOKUP(1, (SKUs!$C$2:$C$10001=G1046)*(SKUs!$K$2:$K$10001=I1046),SKUs!$E$2:$E$10001)), 0),"")</f>
        <v/>
      </c>
      <c r="E1046" s="35" t="str">
        <f>_xlfn.XLOOKUP(F1046,dd_item!$B$2:$B$105,dd_item!$C$2:$C$105,"",0)</f>
        <v/>
      </c>
      <c r="F1046" s="35"/>
      <c r="G1046" s="35" cm="1">
        <f t="array" ref="G1046">IFERROR(_xlfn.XLOOKUP(1, (SKUs!$J$2:$J$10001=accsry_unmerged!F1046)*IF(H1046&lt;&gt;"",(SKUs!$L$2:$L$10001=accsry_unmerged!H1046),1)*(SKUs!$K$2:$K$10001=I1046),SKUs!$C$2:$C$10001),"")</f>
        <v>0</v>
      </c>
      <c r="H1046" s="36" cm="1">
        <f t="array" ref="H1046">IFERROR(_xlfn.XLOOKUP(1, (dd_accsryclr!$C$2:$C$1000=accsry_unmerged!F1046)*(dd_accsryclr!$B$2:$B$1000=accsry_unmerged!J1046),dd_accsryclr!$A$2:$A$1000),"")</f>
        <v>0</v>
      </c>
      <c r="I1046" s="35">
        <f>_xlfn.XLOOKUP(C1046,'Project Details'!$C$17:$C$66,'Project Details'!$E$17:$E$66,"",0)</f>
        <v>0</v>
      </c>
      <c r="J1046" s="35">
        <f>_xlfn.XLOOKUP(C1046,'Project Details'!$C$17:$C$66,'Project Details'!$H$17:$H$66,"",0)</f>
        <v>0</v>
      </c>
      <c r="K1046" s="36" t="str">
        <f>IF(AND(_xlfn.XLOOKUP(C1046,'Project Details'!$C$17:$C$66,'Project Details'!$L$17:$L$66,"",0)&gt;550, F1046="Spring-L27cm"),"",SUBSTITUTE(_xlfn.XLOOKUP(G1046,SKUs!$C$2:$C$10001,SKUs!$F$2:$F$10001,"",0), " Accessories",""))</f>
        <v/>
      </c>
      <c r="L1046" s="36">
        <f>_xlfn.XLOOKUP(C1046,'Project Details'!$C$17:$C$66,'Project Details'!$D$17:$D$66,"",0)</f>
        <v>0</v>
      </c>
      <c r="M1046" s="43"/>
    </row>
    <row r="1047" spans="1:13" ht="13.5" customHeight="1" outlineLevel="1" x14ac:dyDescent="0.25">
      <c r="A1047" s="43"/>
      <c r="B1047" s="43"/>
      <c r="C1047" s="16">
        <f t="shared" si="19"/>
        <v>21</v>
      </c>
      <c r="D1047" s="16" t="str" cm="1">
        <f t="array" ref="D1047">IFERROR(ROUNDUP(_xlfn.IFS(F1047="Aluminum Track", _xlfn.XLOOKUP(C1047, dd_accsrycalc!$A$2:$A$51, dd_accsrycalc!$B$2:$B$51, "",0), F1047="10 x 2 1/2 S (Flat)", _xlfn.XLOOKUP(C1047, dd_accsrycalc!$A$2:$A$51, dd_accsrycalc!$C$2:$C$51, "",0), F1047="Tox6", _xlfn.XLOOKUP(C1047, dd_accsrycalc!$A$2:$A$51, dd_accsrycalc!$D$2:$D$51, "",0), F1047="Cover Cap", _xlfn.XLOOKUP(C1047, dd_accsrycalc!$A$2:$A$51, dd_accsrycalc!$E$2:$E$51, "",0), F1047="Drainage Cover", _xlfn.XLOOKUP(C1047, dd_accsrycalc!$A$2:$A$51, dd_accsrycalc!$F$2:$F$51, "",0),AND( F1047="Double Adhesive Tape", I1047="Roll-up Screen"), _xlfn.XLOOKUP(C1047, calc_rusacc!$C$15:$C$65, calc_rusacc!$AD$15:$AD$65, "",0),AND( F1047="Sealant", I1047="Roll-up Screen"), _xlfn.XLOOKUP(C1047, calc_rusacc!$C$15:$C$65, calc_rusacc!$AF$15:$AF$65, "",0),  AND( F1047="Main Chain", I1047="Accordion Screen"), _xlfn.XLOOKUP(C1047, calc_rusacc!$C$15:$C$65, calc_rusacc!$BF$15:$BF$65, "",0), AND( F1047="Sealant", I1047="Accordion Screen"), _xlfn.XLOOKUP(C1047, calc_rusacc!$C$15:$C$65, calc_rusacc!$BJ$15:$BJ$65, "",0),  F1047="Sealant", _xlfn.XLOOKUP(C1047, dd_accsrycalc!$A$2:$A$51, dd_accsrycalc!$G$2:$G$51, "",0),  F1047&lt;&gt;"",L1047*_xlfn.XLOOKUP(1, (SKUs!$C$2:$C$10001=G1047)*(SKUs!$K$2:$K$10001=I1047),SKUs!$E$2:$E$10001)), 0),"")</f>
        <v/>
      </c>
      <c r="E1047" s="16" t="str">
        <f>_xlfn.XLOOKUP(F1047,dd_item!$B$2:$B$105,dd_item!$C$2:$C$105,"",0)</f>
        <v/>
      </c>
      <c r="F1047" s="16"/>
      <c r="G1047" s="16" cm="1">
        <f t="array" ref="G1047">IFERROR(_xlfn.XLOOKUP(1, (SKUs!$J$2:$J$10001=accsry_unmerged!F1047)*IF(H1047&lt;&gt;"",(SKUs!$L$2:$L$10001=accsry_unmerged!H1047),1)*(SKUs!$K$2:$K$10001=I1047),SKUs!$C$2:$C$10001),"")</f>
        <v>0</v>
      </c>
      <c r="H1047" s="33" cm="1">
        <f t="array" ref="H1047">IFERROR(_xlfn.XLOOKUP(1, (dd_accsryclr!$C$2:$C$1000=accsry_unmerged!F1047)*(dd_accsryclr!$B$2:$B$1000=accsry_unmerged!J1047),dd_accsryclr!$A$2:$A$1000),"")</f>
        <v>0</v>
      </c>
      <c r="I1047" s="16">
        <f>_xlfn.XLOOKUP(C1047,'Project Details'!$C$17:$C$66,'Project Details'!$E$17:$E$66,"",0)</f>
        <v>0</v>
      </c>
      <c r="J1047" s="16">
        <f>_xlfn.XLOOKUP(C1047,'Project Details'!$C$17:$C$66,'Project Details'!$H$17:$H$66,"",0)</f>
        <v>0</v>
      </c>
      <c r="K1047" s="33" t="str">
        <f>IF(AND(_xlfn.XLOOKUP(C1047,'Project Details'!$C$17:$C$66,'Project Details'!$L$17:$L$66,"",0)&gt;550, F1047="Spring-L27cm"),"",SUBSTITUTE(_xlfn.XLOOKUP(G1047,SKUs!$C$2:$C$10001,SKUs!$F$2:$F$10001,"",0), " Accessories",""))</f>
        <v/>
      </c>
      <c r="L1047" s="33">
        <f>_xlfn.XLOOKUP(C1047,'Project Details'!$C$17:$C$66,'Project Details'!$D$17:$D$66,"",0)</f>
        <v>0</v>
      </c>
      <c r="M1047" s="43"/>
    </row>
    <row r="1048" spans="1:13" ht="13.5" customHeight="1" outlineLevel="1" x14ac:dyDescent="0.25">
      <c r="A1048" s="43"/>
      <c r="B1048" s="43"/>
      <c r="C1048" s="35">
        <f t="shared" si="19"/>
        <v>21</v>
      </c>
      <c r="D1048" s="35" t="str" cm="1">
        <f t="array" ref="D1048">IFERROR(ROUNDUP(_xlfn.IFS(F1048="Aluminum Track", _xlfn.XLOOKUP(C1048, dd_accsrycalc!$A$2:$A$51, dd_accsrycalc!$B$2:$B$51, "",0), F1048="10 x 2 1/2 S (Flat)", _xlfn.XLOOKUP(C1048, dd_accsrycalc!$A$2:$A$51, dd_accsrycalc!$C$2:$C$51, "",0), F1048="Tox6", _xlfn.XLOOKUP(C1048, dd_accsrycalc!$A$2:$A$51, dd_accsrycalc!$D$2:$D$51, "",0), F1048="Cover Cap", _xlfn.XLOOKUP(C1048, dd_accsrycalc!$A$2:$A$51, dd_accsrycalc!$E$2:$E$51, "",0), F1048="Drainage Cover", _xlfn.XLOOKUP(C1048, dd_accsrycalc!$A$2:$A$51, dd_accsrycalc!$F$2:$F$51, "",0),AND( F1048="Double Adhesive Tape", I1048="Roll-up Screen"), _xlfn.XLOOKUP(C1048, calc_rusacc!$C$15:$C$65, calc_rusacc!$AD$15:$AD$65, "",0),AND( F1048="Sealant", I1048="Roll-up Screen"), _xlfn.XLOOKUP(C1048, calc_rusacc!$C$15:$C$65, calc_rusacc!$AF$15:$AF$65, "",0),  AND( F1048="Main Chain", I1048="Accordion Screen"), _xlfn.XLOOKUP(C1048, calc_rusacc!$C$15:$C$65, calc_rusacc!$BF$15:$BF$65, "",0), AND( F1048="Sealant", I1048="Accordion Screen"), _xlfn.XLOOKUP(C1048, calc_rusacc!$C$15:$C$65, calc_rusacc!$BJ$15:$BJ$65, "",0),  F1048="Sealant", _xlfn.XLOOKUP(C1048, dd_accsrycalc!$A$2:$A$51, dd_accsrycalc!$G$2:$G$51, "",0),  F1048&lt;&gt;"",L1048*_xlfn.XLOOKUP(1, (SKUs!$C$2:$C$10001=G1048)*(SKUs!$K$2:$K$10001=I1048),SKUs!$E$2:$E$10001)), 0),"")</f>
        <v/>
      </c>
      <c r="E1048" s="35" t="str">
        <f>_xlfn.XLOOKUP(F1048,dd_item!$B$2:$B$105,dd_item!$C$2:$C$105,"",0)</f>
        <v/>
      </c>
      <c r="F1048" s="35"/>
      <c r="G1048" s="35" cm="1">
        <f t="array" ref="G1048">IFERROR(_xlfn.XLOOKUP(1, (SKUs!$J$2:$J$10001=accsry_unmerged!F1048)*IF(H1048&lt;&gt;"",(SKUs!$L$2:$L$10001=accsry_unmerged!H1048),1)*(SKUs!$K$2:$K$10001=I1048),SKUs!$C$2:$C$10001),"")</f>
        <v>0</v>
      </c>
      <c r="H1048" s="36" cm="1">
        <f t="array" ref="H1048">IFERROR(_xlfn.XLOOKUP(1, (dd_accsryclr!$C$2:$C$1000=accsry_unmerged!F1048)*(dd_accsryclr!$B$2:$B$1000=accsry_unmerged!J1048),dd_accsryclr!$A$2:$A$1000),"")</f>
        <v>0</v>
      </c>
      <c r="I1048" s="35">
        <f>_xlfn.XLOOKUP(C1048,'Project Details'!$C$17:$C$66,'Project Details'!$E$17:$E$66,"",0)</f>
        <v>0</v>
      </c>
      <c r="J1048" s="35">
        <f>_xlfn.XLOOKUP(C1048,'Project Details'!$C$17:$C$66,'Project Details'!$H$17:$H$66,"",0)</f>
        <v>0</v>
      </c>
      <c r="K1048" s="36" t="str">
        <f>IF(AND(_xlfn.XLOOKUP(C1048,'Project Details'!$C$17:$C$66,'Project Details'!$L$17:$L$66,"",0)&gt;550, F1048="Spring-L27cm"),"",SUBSTITUTE(_xlfn.XLOOKUP(G1048,SKUs!$C$2:$C$10001,SKUs!$F$2:$F$10001,"",0), " Accessories",""))</f>
        <v/>
      </c>
      <c r="L1048" s="36">
        <f>_xlfn.XLOOKUP(C1048,'Project Details'!$C$17:$C$66,'Project Details'!$D$17:$D$66,"",0)</f>
        <v>0</v>
      </c>
      <c r="M1048" s="43"/>
    </row>
    <row r="1049" spans="1:13" ht="13.5" customHeight="1" outlineLevel="1" x14ac:dyDescent="0.25">
      <c r="A1049" s="43"/>
      <c r="B1049" s="43"/>
      <c r="C1049" s="16">
        <f t="shared" si="19"/>
        <v>21</v>
      </c>
      <c r="D1049" s="16" t="str" cm="1">
        <f t="array" ref="D1049">IFERROR(ROUNDUP(_xlfn.IFS(F1049="Aluminum Track", _xlfn.XLOOKUP(C1049, dd_accsrycalc!$A$2:$A$51, dd_accsrycalc!$B$2:$B$51, "",0), F1049="10 x 2 1/2 S (Flat)", _xlfn.XLOOKUP(C1049, dd_accsrycalc!$A$2:$A$51, dd_accsrycalc!$C$2:$C$51, "",0), F1049="Tox6", _xlfn.XLOOKUP(C1049, dd_accsrycalc!$A$2:$A$51, dd_accsrycalc!$D$2:$D$51, "",0), F1049="Cover Cap", _xlfn.XLOOKUP(C1049, dd_accsrycalc!$A$2:$A$51, dd_accsrycalc!$E$2:$E$51, "",0), F1049="Drainage Cover", _xlfn.XLOOKUP(C1049, dd_accsrycalc!$A$2:$A$51, dd_accsrycalc!$F$2:$F$51, "",0),AND( F1049="Double Adhesive Tape", I1049="Roll-up Screen"), _xlfn.XLOOKUP(C1049, calc_rusacc!$C$15:$C$65, calc_rusacc!$AD$15:$AD$65, "",0),AND( F1049="Sealant", I1049="Roll-up Screen"), _xlfn.XLOOKUP(C1049, calc_rusacc!$C$15:$C$65, calc_rusacc!$AF$15:$AF$65, "",0),  AND( F1049="Main Chain", I1049="Accordion Screen"), _xlfn.XLOOKUP(C1049, calc_rusacc!$C$15:$C$65, calc_rusacc!$BF$15:$BF$65, "",0), AND( F1049="Sealant", I1049="Accordion Screen"), _xlfn.XLOOKUP(C1049, calc_rusacc!$C$15:$C$65, calc_rusacc!$BJ$15:$BJ$65, "",0),  F1049="Sealant", _xlfn.XLOOKUP(C1049, dd_accsrycalc!$A$2:$A$51, dd_accsrycalc!$G$2:$G$51, "",0),  F1049&lt;&gt;"",L1049*_xlfn.XLOOKUP(1, (SKUs!$C$2:$C$10001=G1049)*(SKUs!$K$2:$K$10001=I1049),SKUs!$E$2:$E$10001)), 0),"")</f>
        <v/>
      </c>
      <c r="E1049" s="16" t="str">
        <f>_xlfn.XLOOKUP(F1049,dd_item!$B$2:$B$105,dd_item!$C$2:$C$105,"",0)</f>
        <v/>
      </c>
      <c r="F1049" s="16"/>
      <c r="G1049" s="16" cm="1">
        <f t="array" ref="G1049">IFERROR(_xlfn.XLOOKUP(1, (SKUs!$J$2:$J$10001=accsry_unmerged!F1049)*IF(H1049&lt;&gt;"",(SKUs!$L$2:$L$10001=accsry_unmerged!H1049),1)*(SKUs!$K$2:$K$10001=I1049),SKUs!$C$2:$C$10001),"")</f>
        <v>0</v>
      </c>
      <c r="H1049" s="33" cm="1">
        <f t="array" ref="H1049">IFERROR(_xlfn.XLOOKUP(1, (dd_accsryclr!$C$2:$C$1000=accsry_unmerged!F1049)*(dd_accsryclr!$B$2:$B$1000=accsry_unmerged!J1049),dd_accsryclr!$A$2:$A$1000),"")</f>
        <v>0</v>
      </c>
      <c r="I1049" s="16">
        <f>_xlfn.XLOOKUP(C1049,'Project Details'!$C$17:$C$66,'Project Details'!$E$17:$E$66,"",0)</f>
        <v>0</v>
      </c>
      <c r="J1049" s="16">
        <f>_xlfn.XLOOKUP(C1049,'Project Details'!$C$17:$C$66,'Project Details'!$H$17:$H$66,"",0)</f>
        <v>0</v>
      </c>
      <c r="K1049" s="33" t="str">
        <f>IF(AND(_xlfn.XLOOKUP(C1049,'Project Details'!$C$17:$C$66,'Project Details'!$L$17:$L$66,"",0)&gt;550, F1049="Spring-L27cm"),"",SUBSTITUTE(_xlfn.XLOOKUP(G1049,SKUs!$C$2:$C$10001,SKUs!$F$2:$F$10001,"",0), " Accessories",""))</f>
        <v/>
      </c>
      <c r="L1049" s="33">
        <f>_xlfn.XLOOKUP(C1049,'Project Details'!$C$17:$C$66,'Project Details'!$D$17:$D$66,"",0)</f>
        <v>0</v>
      </c>
      <c r="M1049" s="43"/>
    </row>
    <row r="1050" spans="1:13" ht="13.5" customHeight="1" outlineLevel="1" x14ac:dyDescent="0.25">
      <c r="A1050" s="43"/>
      <c r="B1050" s="43"/>
      <c r="C1050" s="35">
        <f t="shared" si="19"/>
        <v>21</v>
      </c>
      <c r="D1050" s="35" t="str" cm="1">
        <f t="array" ref="D1050">IFERROR(ROUNDUP(_xlfn.IFS(F1050="Aluminum Track", _xlfn.XLOOKUP(C1050, dd_accsrycalc!$A$2:$A$51, dd_accsrycalc!$B$2:$B$51, "",0), F1050="10 x 2 1/2 S (Flat)", _xlfn.XLOOKUP(C1050, dd_accsrycalc!$A$2:$A$51, dd_accsrycalc!$C$2:$C$51, "",0), F1050="Tox6", _xlfn.XLOOKUP(C1050, dd_accsrycalc!$A$2:$A$51, dd_accsrycalc!$D$2:$D$51, "",0), F1050="Cover Cap", _xlfn.XLOOKUP(C1050, dd_accsrycalc!$A$2:$A$51, dd_accsrycalc!$E$2:$E$51, "",0), F1050="Drainage Cover", _xlfn.XLOOKUP(C1050, dd_accsrycalc!$A$2:$A$51, dd_accsrycalc!$F$2:$F$51, "",0),AND( F1050="Double Adhesive Tape", I1050="Roll-up Screen"), _xlfn.XLOOKUP(C1050, calc_rusacc!$C$15:$C$65, calc_rusacc!$AD$15:$AD$65, "",0),AND( F1050="Sealant", I1050="Roll-up Screen"), _xlfn.XLOOKUP(C1050, calc_rusacc!$C$15:$C$65, calc_rusacc!$AF$15:$AF$65, "",0),  AND( F1050="Main Chain", I1050="Accordion Screen"), _xlfn.XLOOKUP(C1050, calc_rusacc!$C$15:$C$65, calc_rusacc!$BF$15:$BF$65, "",0), AND( F1050="Sealant", I1050="Accordion Screen"), _xlfn.XLOOKUP(C1050, calc_rusacc!$C$15:$C$65, calc_rusacc!$BJ$15:$BJ$65, "",0),  F1050="Sealant", _xlfn.XLOOKUP(C1050, dd_accsrycalc!$A$2:$A$51, dd_accsrycalc!$G$2:$G$51, "",0),  F1050&lt;&gt;"",L1050*_xlfn.XLOOKUP(1, (SKUs!$C$2:$C$10001=G1050)*(SKUs!$K$2:$K$10001=I1050),SKUs!$E$2:$E$10001)), 0),"")</f>
        <v/>
      </c>
      <c r="E1050" s="35" t="str">
        <f>_xlfn.XLOOKUP(F1050,dd_item!$B$2:$B$105,dd_item!$C$2:$C$105,"",0)</f>
        <v/>
      </c>
      <c r="F1050" s="35"/>
      <c r="G1050" s="35" cm="1">
        <f t="array" ref="G1050">IFERROR(_xlfn.XLOOKUP(1, (SKUs!$J$2:$J$10001=accsry_unmerged!F1050)*IF(H1050&lt;&gt;"",(SKUs!$L$2:$L$10001=accsry_unmerged!H1050),1)*(SKUs!$K$2:$K$10001=I1050),SKUs!$C$2:$C$10001),"")</f>
        <v>0</v>
      </c>
      <c r="H1050" s="36" cm="1">
        <f t="array" ref="H1050">IFERROR(_xlfn.XLOOKUP(1, (dd_accsryclr!$C$2:$C$1000=accsry_unmerged!F1050)*(dd_accsryclr!$B$2:$B$1000=accsry_unmerged!J1050),dd_accsryclr!$A$2:$A$1000),"")</f>
        <v>0</v>
      </c>
      <c r="I1050" s="35">
        <f>_xlfn.XLOOKUP(C1050,'Project Details'!$C$17:$C$66,'Project Details'!$E$17:$E$66,"",0)</f>
        <v>0</v>
      </c>
      <c r="J1050" s="35">
        <f>_xlfn.XLOOKUP(C1050,'Project Details'!$C$17:$C$66,'Project Details'!$H$17:$H$66,"",0)</f>
        <v>0</v>
      </c>
      <c r="K1050" s="36" t="str">
        <f>IF(AND(_xlfn.XLOOKUP(C1050,'Project Details'!$C$17:$C$66,'Project Details'!$L$17:$L$66,"",0)&gt;550, F1050="Spring-L27cm"),"",SUBSTITUTE(_xlfn.XLOOKUP(G1050,SKUs!$C$2:$C$10001,SKUs!$F$2:$F$10001,"",0), " Accessories",""))</f>
        <v/>
      </c>
      <c r="L1050" s="36">
        <f>_xlfn.XLOOKUP(C1050,'Project Details'!$C$17:$C$66,'Project Details'!$D$17:$D$66,"",0)</f>
        <v>0</v>
      </c>
      <c r="M1050" s="43"/>
    </row>
    <row r="1051" spans="1:13" ht="13.5" customHeight="1" outlineLevel="1" x14ac:dyDescent="0.25">
      <c r="A1051" s="43"/>
      <c r="B1051" s="43"/>
      <c r="C1051" s="16">
        <f t="shared" si="19"/>
        <v>21</v>
      </c>
      <c r="D1051" s="16" t="str" cm="1">
        <f t="array" ref="D1051">IFERROR(ROUNDUP(_xlfn.IFS(F1051="Aluminum Track", _xlfn.XLOOKUP(C1051, dd_accsrycalc!$A$2:$A$51, dd_accsrycalc!$B$2:$B$51, "",0), F1051="10 x 2 1/2 S (Flat)", _xlfn.XLOOKUP(C1051, dd_accsrycalc!$A$2:$A$51, dd_accsrycalc!$C$2:$C$51, "",0), F1051="Tox6", _xlfn.XLOOKUP(C1051, dd_accsrycalc!$A$2:$A$51, dd_accsrycalc!$D$2:$D$51, "",0), F1051="Cover Cap", _xlfn.XLOOKUP(C1051, dd_accsrycalc!$A$2:$A$51, dd_accsrycalc!$E$2:$E$51, "",0), F1051="Drainage Cover", _xlfn.XLOOKUP(C1051, dd_accsrycalc!$A$2:$A$51, dd_accsrycalc!$F$2:$F$51, "",0),AND( F1051="Double Adhesive Tape", I1051="Roll-up Screen"), _xlfn.XLOOKUP(C1051, calc_rusacc!$C$15:$C$65, calc_rusacc!$AD$15:$AD$65, "",0),AND( F1051="Sealant", I1051="Roll-up Screen"), _xlfn.XLOOKUP(C1051, calc_rusacc!$C$15:$C$65, calc_rusacc!$AF$15:$AF$65, "",0),  AND( F1051="Main Chain", I1051="Accordion Screen"), _xlfn.XLOOKUP(C1051, calc_rusacc!$C$15:$C$65, calc_rusacc!$BF$15:$BF$65, "",0), AND( F1051="Sealant", I1051="Accordion Screen"), _xlfn.XLOOKUP(C1051, calc_rusacc!$C$15:$C$65, calc_rusacc!$BJ$15:$BJ$65, "",0),  F1051="Sealant", _xlfn.XLOOKUP(C1051, dd_accsrycalc!$A$2:$A$51, dd_accsrycalc!$G$2:$G$51, "",0),  F1051&lt;&gt;"",L1051*_xlfn.XLOOKUP(1, (SKUs!$C$2:$C$10001=G1051)*(SKUs!$K$2:$K$10001=I1051),SKUs!$E$2:$E$10001)), 0),"")</f>
        <v/>
      </c>
      <c r="E1051" s="16" t="str">
        <f>_xlfn.XLOOKUP(F1051,dd_item!$B$2:$B$105,dd_item!$C$2:$C$105,"",0)</f>
        <v/>
      </c>
      <c r="F1051" s="16"/>
      <c r="G1051" s="16" cm="1">
        <f t="array" ref="G1051">IFERROR(_xlfn.XLOOKUP(1, (SKUs!$J$2:$J$10001=accsry_unmerged!F1051)*IF(H1051&lt;&gt;"",(SKUs!$L$2:$L$10001=accsry_unmerged!H1051),1)*(SKUs!$K$2:$K$10001=I1051),SKUs!$C$2:$C$10001),"")</f>
        <v>0</v>
      </c>
      <c r="H1051" s="33" cm="1">
        <f t="array" ref="H1051">IFERROR(_xlfn.XLOOKUP(1, (dd_accsryclr!$C$2:$C$1000=accsry_unmerged!F1051)*(dd_accsryclr!$B$2:$B$1000=accsry_unmerged!J1051),dd_accsryclr!$A$2:$A$1000),"")</f>
        <v>0</v>
      </c>
      <c r="I1051" s="16">
        <f>_xlfn.XLOOKUP(C1051,'Project Details'!$C$17:$C$66,'Project Details'!$E$17:$E$66,"",0)</f>
        <v>0</v>
      </c>
      <c r="J1051" s="16">
        <f>_xlfn.XLOOKUP(C1051,'Project Details'!$C$17:$C$66,'Project Details'!$H$17:$H$66,"",0)</f>
        <v>0</v>
      </c>
      <c r="K1051" s="33" t="str">
        <f>IF(AND(_xlfn.XLOOKUP(C1051,'Project Details'!$C$17:$C$66,'Project Details'!$L$17:$L$66,"",0)&gt;550, F1051="Spring-L27cm"),"",SUBSTITUTE(_xlfn.XLOOKUP(G1051,SKUs!$C$2:$C$10001,SKUs!$F$2:$F$10001,"",0), " Accessories",""))</f>
        <v/>
      </c>
      <c r="L1051" s="33">
        <f>_xlfn.XLOOKUP(C1051,'Project Details'!$C$17:$C$66,'Project Details'!$D$17:$D$66,"",0)</f>
        <v>0</v>
      </c>
      <c r="M1051" s="43"/>
    </row>
    <row r="1052" spans="1:13" ht="13.5" customHeight="1" outlineLevel="1" x14ac:dyDescent="0.25">
      <c r="A1052" s="43"/>
      <c r="B1052" s="43"/>
      <c r="C1052" s="35">
        <f t="shared" si="19"/>
        <v>21</v>
      </c>
      <c r="D1052" s="35" t="str" cm="1">
        <f t="array" ref="D1052">IFERROR(ROUNDUP(_xlfn.IFS(F1052="Aluminum Track", _xlfn.XLOOKUP(C1052, dd_accsrycalc!$A$2:$A$51, dd_accsrycalc!$B$2:$B$51, "",0), F1052="10 x 2 1/2 S (Flat)", _xlfn.XLOOKUP(C1052, dd_accsrycalc!$A$2:$A$51, dd_accsrycalc!$C$2:$C$51, "",0), F1052="Tox6", _xlfn.XLOOKUP(C1052, dd_accsrycalc!$A$2:$A$51, dd_accsrycalc!$D$2:$D$51, "",0), F1052="Cover Cap", _xlfn.XLOOKUP(C1052, dd_accsrycalc!$A$2:$A$51, dd_accsrycalc!$E$2:$E$51, "",0), F1052="Drainage Cover", _xlfn.XLOOKUP(C1052, dd_accsrycalc!$A$2:$A$51, dd_accsrycalc!$F$2:$F$51, "",0),AND( F1052="Double Adhesive Tape", I1052="Roll-up Screen"), _xlfn.XLOOKUP(C1052, calc_rusacc!$C$15:$C$65, calc_rusacc!$AD$15:$AD$65, "",0),AND( F1052="Sealant", I1052="Roll-up Screen"), _xlfn.XLOOKUP(C1052, calc_rusacc!$C$15:$C$65, calc_rusacc!$AF$15:$AF$65, "",0),  AND( F1052="Main Chain", I1052="Accordion Screen"), _xlfn.XLOOKUP(C1052, calc_rusacc!$C$15:$C$65, calc_rusacc!$BF$15:$BF$65, "",0), AND( F1052="Sealant", I1052="Accordion Screen"), _xlfn.XLOOKUP(C1052, calc_rusacc!$C$15:$C$65, calc_rusacc!$BJ$15:$BJ$65, "",0),  F1052="Sealant", _xlfn.XLOOKUP(C1052, dd_accsrycalc!$A$2:$A$51, dd_accsrycalc!$G$2:$G$51, "",0),  F1052&lt;&gt;"",L1052*_xlfn.XLOOKUP(1, (SKUs!$C$2:$C$10001=G1052)*(SKUs!$K$2:$K$10001=I1052),SKUs!$E$2:$E$10001)), 0),"")</f>
        <v/>
      </c>
      <c r="E1052" s="35" t="str">
        <f>_xlfn.XLOOKUP(F1052,dd_item!$B$2:$B$105,dd_item!$C$2:$C$105,"",0)</f>
        <v/>
      </c>
      <c r="F1052" s="35"/>
      <c r="G1052" s="35" cm="1">
        <f t="array" ref="G1052">IFERROR(_xlfn.XLOOKUP(1, (SKUs!$J$2:$J$10001=accsry_unmerged!F1052)*IF(H1052&lt;&gt;"",(SKUs!$L$2:$L$10001=accsry_unmerged!H1052),1)*(SKUs!$K$2:$K$10001=I1052),SKUs!$C$2:$C$10001),"")</f>
        <v>0</v>
      </c>
      <c r="H1052" s="36" cm="1">
        <f t="array" ref="H1052">IFERROR(_xlfn.XLOOKUP(1, (dd_accsryclr!$C$2:$C$1000=accsry_unmerged!F1052)*(dd_accsryclr!$B$2:$B$1000=accsry_unmerged!J1052),dd_accsryclr!$A$2:$A$1000),"")</f>
        <v>0</v>
      </c>
      <c r="I1052" s="35">
        <f>_xlfn.XLOOKUP(C1052,'Project Details'!$C$17:$C$66,'Project Details'!$E$17:$E$66,"",0)</f>
        <v>0</v>
      </c>
      <c r="J1052" s="35">
        <f>_xlfn.XLOOKUP(C1052,'Project Details'!$C$17:$C$66,'Project Details'!$H$17:$H$66,"",0)</f>
        <v>0</v>
      </c>
      <c r="K1052" s="36" t="str">
        <f>IF(AND(_xlfn.XLOOKUP(C1052,'Project Details'!$C$17:$C$66,'Project Details'!$L$17:$L$66,"",0)&gt;550, F1052="Spring-L27cm"),"",SUBSTITUTE(_xlfn.XLOOKUP(G1052,SKUs!$C$2:$C$10001,SKUs!$F$2:$F$10001,"",0), " Accessories",""))</f>
        <v/>
      </c>
      <c r="L1052" s="36">
        <f>_xlfn.XLOOKUP(C1052,'Project Details'!$C$17:$C$66,'Project Details'!$D$17:$D$66,"",0)</f>
        <v>0</v>
      </c>
      <c r="M1052" s="43"/>
    </row>
    <row r="1053" spans="1:13" ht="13.5" customHeight="1" outlineLevel="1" x14ac:dyDescent="0.25">
      <c r="A1053" s="43"/>
      <c r="B1053" s="43"/>
      <c r="C1053" s="16">
        <f t="shared" si="19"/>
        <v>21</v>
      </c>
      <c r="D1053" s="16" t="str" cm="1">
        <f t="array" ref="D1053">IFERROR(ROUNDUP(_xlfn.IFS(F1053="Aluminum Track", _xlfn.XLOOKUP(C1053, dd_accsrycalc!$A$2:$A$51, dd_accsrycalc!$B$2:$B$51, "",0), F1053="10 x 2 1/2 S (Flat)", _xlfn.XLOOKUP(C1053, dd_accsrycalc!$A$2:$A$51, dd_accsrycalc!$C$2:$C$51, "",0), F1053="Tox6", _xlfn.XLOOKUP(C1053, dd_accsrycalc!$A$2:$A$51, dd_accsrycalc!$D$2:$D$51, "",0), F1053="Cover Cap", _xlfn.XLOOKUP(C1053, dd_accsrycalc!$A$2:$A$51, dd_accsrycalc!$E$2:$E$51, "",0), F1053="Drainage Cover", _xlfn.XLOOKUP(C1053, dd_accsrycalc!$A$2:$A$51, dd_accsrycalc!$F$2:$F$51, "",0),AND( F1053="Double Adhesive Tape", I1053="Roll-up Screen"), _xlfn.XLOOKUP(C1053, calc_rusacc!$C$15:$C$65, calc_rusacc!$AD$15:$AD$65, "",0),AND( F1053="Sealant", I1053="Roll-up Screen"), _xlfn.XLOOKUP(C1053, calc_rusacc!$C$15:$C$65, calc_rusacc!$AF$15:$AF$65, "",0),  AND( F1053="Main Chain", I1053="Accordion Screen"), _xlfn.XLOOKUP(C1053, calc_rusacc!$C$15:$C$65, calc_rusacc!$BF$15:$BF$65, "",0), AND( F1053="Sealant", I1053="Accordion Screen"), _xlfn.XLOOKUP(C1053, calc_rusacc!$C$15:$C$65, calc_rusacc!$BJ$15:$BJ$65, "",0),  F1053="Sealant", _xlfn.XLOOKUP(C1053, dd_accsrycalc!$A$2:$A$51, dd_accsrycalc!$G$2:$G$51, "",0),  F1053&lt;&gt;"",L1053*_xlfn.XLOOKUP(1, (SKUs!$C$2:$C$10001=G1053)*(SKUs!$K$2:$K$10001=I1053),SKUs!$E$2:$E$10001)), 0),"")</f>
        <v/>
      </c>
      <c r="E1053" s="16" t="str">
        <f>_xlfn.XLOOKUP(F1053,dd_item!$B$2:$B$105,dd_item!$C$2:$C$105,"",0)</f>
        <v/>
      </c>
      <c r="F1053" s="16"/>
      <c r="G1053" s="16" cm="1">
        <f t="array" ref="G1053">IFERROR(_xlfn.XLOOKUP(1, (SKUs!$J$2:$J$10001=accsry_unmerged!F1053)*IF(H1053&lt;&gt;"",(SKUs!$L$2:$L$10001=accsry_unmerged!H1053),1)*(SKUs!$K$2:$K$10001=I1053),SKUs!$C$2:$C$10001),"")</f>
        <v>0</v>
      </c>
      <c r="H1053" s="33" cm="1">
        <f t="array" ref="H1053">IFERROR(_xlfn.XLOOKUP(1, (dd_accsryclr!$C$2:$C$1000=accsry_unmerged!F1053)*(dd_accsryclr!$B$2:$B$1000=accsry_unmerged!J1053),dd_accsryclr!$A$2:$A$1000),"")</f>
        <v>0</v>
      </c>
      <c r="I1053" s="16">
        <f>_xlfn.XLOOKUP(C1053,'Project Details'!$C$17:$C$66,'Project Details'!$E$17:$E$66,"",0)</f>
        <v>0</v>
      </c>
      <c r="J1053" s="16">
        <f>_xlfn.XLOOKUP(C1053,'Project Details'!$C$17:$C$66,'Project Details'!$H$17:$H$66,"",0)</f>
        <v>0</v>
      </c>
      <c r="K1053" s="33" t="str">
        <f>IF(AND(_xlfn.XLOOKUP(C1053,'Project Details'!$C$17:$C$66,'Project Details'!$L$17:$L$66,"",0)&gt;550, F1053="Spring-L27cm"),"",SUBSTITUTE(_xlfn.XLOOKUP(G1053,SKUs!$C$2:$C$10001,SKUs!$F$2:$F$10001,"",0), " Accessories",""))</f>
        <v/>
      </c>
      <c r="L1053" s="33">
        <f>_xlfn.XLOOKUP(C1053,'Project Details'!$C$17:$C$66,'Project Details'!$D$17:$D$66,"",0)</f>
        <v>0</v>
      </c>
      <c r="M1053" s="43"/>
    </row>
    <row r="1054" spans="1:13" ht="13.5" customHeight="1" outlineLevel="1" x14ac:dyDescent="0.25">
      <c r="A1054" s="43"/>
      <c r="B1054" s="43"/>
      <c r="C1054" s="35">
        <f t="shared" si="19"/>
        <v>21</v>
      </c>
      <c r="D1054" s="35" t="str" cm="1">
        <f t="array" ref="D1054">IFERROR(ROUNDUP(_xlfn.IFS(F1054="Aluminum Track", _xlfn.XLOOKUP(C1054, dd_accsrycalc!$A$2:$A$51, dd_accsrycalc!$B$2:$B$51, "",0), F1054="10 x 2 1/2 S (Flat)", _xlfn.XLOOKUP(C1054, dd_accsrycalc!$A$2:$A$51, dd_accsrycalc!$C$2:$C$51, "",0), F1054="Tox6", _xlfn.XLOOKUP(C1054, dd_accsrycalc!$A$2:$A$51, dd_accsrycalc!$D$2:$D$51, "",0), F1054="Cover Cap", _xlfn.XLOOKUP(C1054, dd_accsrycalc!$A$2:$A$51, dd_accsrycalc!$E$2:$E$51, "",0), F1054="Drainage Cover", _xlfn.XLOOKUP(C1054, dd_accsrycalc!$A$2:$A$51, dd_accsrycalc!$F$2:$F$51, "",0),AND( F1054="Double Adhesive Tape", I1054="Roll-up Screen"), _xlfn.XLOOKUP(C1054, calc_rusacc!$C$15:$C$65, calc_rusacc!$AD$15:$AD$65, "",0),AND( F1054="Sealant", I1054="Roll-up Screen"), _xlfn.XLOOKUP(C1054, calc_rusacc!$C$15:$C$65, calc_rusacc!$AF$15:$AF$65, "",0),  AND( F1054="Main Chain", I1054="Accordion Screen"), _xlfn.XLOOKUP(C1054, calc_rusacc!$C$15:$C$65, calc_rusacc!$BF$15:$BF$65, "",0), AND( F1054="Sealant", I1054="Accordion Screen"), _xlfn.XLOOKUP(C1054, calc_rusacc!$C$15:$C$65, calc_rusacc!$BJ$15:$BJ$65, "",0),  F1054="Sealant", _xlfn.XLOOKUP(C1054, dd_accsrycalc!$A$2:$A$51, dd_accsrycalc!$G$2:$G$51, "",0),  F1054&lt;&gt;"",L1054*_xlfn.XLOOKUP(1, (SKUs!$C$2:$C$10001=G1054)*(SKUs!$K$2:$K$10001=I1054),SKUs!$E$2:$E$10001)), 0),"")</f>
        <v/>
      </c>
      <c r="E1054" s="35" t="str">
        <f>_xlfn.XLOOKUP(F1054,dd_item!$B$2:$B$105,dd_item!$C$2:$C$105,"",0)</f>
        <v/>
      </c>
      <c r="F1054" s="35"/>
      <c r="G1054" s="35" cm="1">
        <f t="array" ref="G1054">IFERROR(_xlfn.XLOOKUP(1, (SKUs!$J$2:$J$10001=accsry_unmerged!F1054)*IF(H1054&lt;&gt;"",(SKUs!$L$2:$L$10001=accsry_unmerged!H1054),1)*(SKUs!$K$2:$K$10001=I1054),SKUs!$C$2:$C$10001),"")</f>
        <v>0</v>
      </c>
      <c r="H1054" s="36" cm="1">
        <f t="array" ref="H1054">IFERROR(_xlfn.XLOOKUP(1, (dd_accsryclr!$C$2:$C$1000=accsry_unmerged!F1054)*(dd_accsryclr!$B$2:$B$1000=accsry_unmerged!J1054),dd_accsryclr!$A$2:$A$1000),"")</f>
        <v>0</v>
      </c>
      <c r="I1054" s="35">
        <f>_xlfn.XLOOKUP(C1054,'Project Details'!$C$17:$C$66,'Project Details'!$E$17:$E$66,"",0)</f>
        <v>0</v>
      </c>
      <c r="J1054" s="35">
        <f>_xlfn.XLOOKUP(C1054,'Project Details'!$C$17:$C$66,'Project Details'!$H$17:$H$66,"",0)</f>
        <v>0</v>
      </c>
      <c r="K1054" s="36" t="str">
        <f>IF(AND(_xlfn.XLOOKUP(C1054,'Project Details'!$C$17:$C$66,'Project Details'!$L$17:$L$66,"",0)&gt;550, F1054="Spring-L27cm"),"",SUBSTITUTE(_xlfn.XLOOKUP(G1054,SKUs!$C$2:$C$10001,SKUs!$F$2:$F$10001,"",0), " Accessories",""))</f>
        <v/>
      </c>
      <c r="L1054" s="36">
        <f>_xlfn.XLOOKUP(C1054,'Project Details'!$C$17:$C$66,'Project Details'!$D$17:$D$66,"",0)</f>
        <v>0</v>
      </c>
      <c r="M1054" s="43"/>
    </row>
    <row r="1055" spans="1:13" ht="13.5" customHeight="1" outlineLevel="1" collapsed="1" x14ac:dyDescent="0.25">
      <c r="A1055" s="43"/>
      <c r="B1055" s="43"/>
      <c r="C1055" s="16">
        <f t="shared" si="19"/>
        <v>21</v>
      </c>
      <c r="D1055" s="16" t="str" cm="1">
        <f t="array" ref="D1055">IFERROR(ROUNDUP(_xlfn.IFS(F1055="Aluminum Track", _xlfn.XLOOKUP(C1055, dd_accsrycalc!$A$2:$A$51, dd_accsrycalc!$B$2:$B$51, "",0), F1055="10 x 2 1/2 S (Flat)", _xlfn.XLOOKUP(C1055, dd_accsrycalc!$A$2:$A$51, dd_accsrycalc!$C$2:$C$51, "",0), F1055="Tox6", _xlfn.XLOOKUP(C1055, dd_accsrycalc!$A$2:$A$51, dd_accsrycalc!$D$2:$D$51, "",0), F1055="Cover Cap", _xlfn.XLOOKUP(C1055, dd_accsrycalc!$A$2:$A$51, dd_accsrycalc!$E$2:$E$51, "",0), F1055="Drainage Cover", _xlfn.XLOOKUP(C1055, dd_accsrycalc!$A$2:$A$51, dd_accsrycalc!$F$2:$F$51, "",0),AND( F1055="Double Adhesive Tape", I1055="Roll-up Screen"), _xlfn.XLOOKUP(C1055, calc_rusacc!$C$15:$C$65, calc_rusacc!$AD$15:$AD$65, "",0),AND( F1055="Sealant", I1055="Roll-up Screen"), _xlfn.XLOOKUP(C1055, calc_rusacc!$C$15:$C$65, calc_rusacc!$AF$15:$AF$65, "",0),  AND( F1055="Main Chain", I1055="Accordion Screen"), _xlfn.XLOOKUP(C1055, calc_rusacc!$C$15:$C$65, calc_rusacc!$BF$15:$BF$65, "",0), AND( F1055="Sealant", I1055="Accordion Screen"), _xlfn.XLOOKUP(C1055, calc_rusacc!$C$15:$C$65, calc_rusacc!$BJ$15:$BJ$65, "",0),  F1055="Sealant", _xlfn.XLOOKUP(C1055, dd_accsrycalc!$A$2:$A$51, dd_accsrycalc!$G$2:$G$51, "",0),  F1055&lt;&gt;"",L1055*_xlfn.XLOOKUP(1, (SKUs!$C$2:$C$10001=G1055)*(SKUs!$K$2:$K$10001=I1055),SKUs!$E$2:$E$10001)), 0),"")</f>
        <v/>
      </c>
      <c r="E1055" s="16" t="str">
        <f>_xlfn.XLOOKUP(F1055,dd_item!$B$2:$B$105,dd_item!$C$2:$C$105,"",0)</f>
        <v/>
      </c>
      <c r="F1055" s="16"/>
      <c r="G1055" s="16" cm="1">
        <f t="array" ref="G1055">IFERROR(_xlfn.XLOOKUP(1, (SKUs!$J$2:$J$10001=accsry_unmerged!F1055)*IF(H1055&lt;&gt;"",(SKUs!$L$2:$L$10001=accsry_unmerged!H1055),1)*(SKUs!$K$2:$K$10001=I1055),SKUs!$C$2:$C$10001),"")</f>
        <v>0</v>
      </c>
      <c r="H1055" s="33" cm="1">
        <f t="array" ref="H1055">IFERROR(_xlfn.XLOOKUP(1, (dd_accsryclr!$C$2:$C$1000=accsry_unmerged!F1055)*(dd_accsryclr!$B$2:$B$1000=accsry_unmerged!J1055),dd_accsryclr!$A$2:$A$1000),"")</f>
        <v>0</v>
      </c>
      <c r="I1055" s="16">
        <f>_xlfn.XLOOKUP(C1055,'Project Details'!$C$17:$C$66,'Project Details'!$E$17:$E$66,"",0)</f>
        <v>0</v>
      </c>
      <c r="J1055" s="16">
        <f>_xlfn.XLOOKUP(C1055,'Project Details'!$C$17:$C$66,'Project Details'!$H$17:$H$66,"",0)</f>
        <v>0</v>
      </c>
      <c r="K1055" s="33" t="str">
        <f>IF(AND(_xlfn.XLOOKUP(C1055,'Project Details'!$C$17:$C$66,'Project Details'!$L$17:$L$66,"",0)&gt;550, F1055="Spring-L27cm"),"",SUBSTITUTE(_xlfn.XLOOKUP(G1055,SKUs!$C$2:$C$10001,SKUs!$F$2:$F$10001,"",0), " Accessories",""))</f>
        <v/>
      </c>
      <c r="L1055" s="33">
        <f>_xlfn.XLOOKUP(C1055,'Project Details'!$C$17:$C$66,'Project Details'!$D$17:$D$66,"",0)</f>
        <v>0</v>
      </c>
      <c r="M1055" s="43"/>
    </row>
    <row r="1056" spans="1:13" ht="13.5" customHeight="1" outlineLevel="1" x14ac:dyDescent="0.25">
      <c r="A1056" s="43"/>
      <c r="B1056" s="43"/>
      <c r="C1056" s="35">
        <f t="shared" si="19"/>
        <v>21</v>
      </c>
      <c r="D1056" s="35" t="str" cm="1">
        <f t="array" ref="D1056">IFERROR(ROUNDUP(_xlfn.IFS(F1056="Aluminum Track", _xlfn.XLOOKUP(C1056, dd_accsrycalc!$A$2:$A$51, dd_accsrycalc!$B$2:$B$51, "",0), F1056="10 x 2 1/2 S (Flat)", _xlfn.XLOOKUP(C1056, dd_accsrycalc!$A$2:$A$51, dd_accsrycalc!$C$2:$C$51, "",0), F1056="Tox6", _xlfn.XLOOKUP(C1056, dd_accsrycalc!$A$2:$A$51, dd_accsrycalc!$D$2:$D$51, "",0), F1056="Cover Cap", _xlfn.XLOOKUP(C1056, dd_accsrycalc!$A$2:$A$51, dd_accsrycalc!$E$2:$E$51, "",0), F1056="Drainage Cover", _xlfn.XLOOKUP(C1056, dd_accsrycalc!$A$2:$A$51, dd_accsrycalc!$F$2:$F$51, "",0),AND( F1056="Double Adhesive Tape", I1056="Roll-up Screen"), _xlfn.XLOOKUP(C1056, calc_rusacc!$C$15:$C$65, calc_rusacc!$AD$15:$AD$65, "",0),AND( F1056="Sealant", I1056="Roll-up Screen"), _xlfn.XLOOKUP(C1056, calc_rusacc!$C$15:$C$65, calc_rusacc!$AF$15:$AF$65, "",0),  AND( F1056="Main Chain", I1056="Accordion Screen"), _xlfn.XLOOKUP(C1056, calc_rusacc!$C$15:$C$65, calc_rusacc!$BF$15:$BF$65, "",0), AND( F1056="Sealant", I1056="Accordion Screen"), _xlfn.XLOOKUP(C1056, calc_rusacc!$C$15:$C$65, calc_rusacc!$BJ$15:$BJ$65, "",0),  F1056="Sealant", _xlfn.XLOOKUP(C1056, dd_accsrycalc!$A$2:$A$51, dd_accsrycalc!$G$2:$G$51, "",0),  F1056&lt;&gt;"",L1056*_xlfn.XLOOKUP(1, (SKUs!$C$2:$C$10001=G1056)*(SKUs!$K$2:$K$10001=I1056),SKUs!$E$2:$E$10001)), 0),"")</f>
        <v/>
      </c>
      <c r="E1056" s="35" t="str">
        <f>_xlfn.XLOOKUP(F1056,dd_item!$B$2:$B$105,dd_item!$C$2:$C$105,"",0)</f>
        <v/>
      </c>
      <c r="F1056" s="35"/>
      <c r="G1056" s="35" cm="1">
        <f t="array" ref="G1056">IFERROR(_xlfn.XLOOKUP(1, (SKUs!$J$2:$J$10001=accsry_unmerged!F1056)*IF(H1056&lt;&gt;"",(SKUs!$L$2:$L$10001=accsry_unmerged!H1056),1)*(SKUs!$K$2:$K$10001=I1056),SKUs!$C$2:$C$10001),"")</f>
        <v>0</v>
      </c>
      <c r="H1056" s="36" cm="1">
        <f t="array" ref="H1056">IFERROR(_xlfn.XLOOKUP(1, (dd_accsryclr!$C$2:$C$1000=accsry_unmerged!F1056)*(dd_accsryclr!$B$2:$B$1000=accsry_unmerged!J1056),dd_accsryclr!$A$2:$A$1000),"")</f>
        <v>0</v>
      </c>
      <c r="I1056" s="35">
        <f>_xlfn.XLOOKUP(C1056,'Project Details'!$C$17:$C$66,'Project Details'!$E$17:$E$66,"",0)</f>
        <v>0</v>
      </c>
      <c r="J1056" s="35">
        <f>_xlfn.XLOOKUP(C1056,'Project Details'!$C$17:$C$66,'Project Details'!$H$17:$H$66,"",0)</f>
        <v>0</v>
      </c>
      <c r="K1056" s="36" t="str">
        <f>IF(AND(_xlfn.XLOOKUP(C1056,'Project Details'!$C$17:$C$66,'Project Details'!$L$17:$L$66,"",0)&gt;550, F1056="Spring-L27cm"),"",SUBSTITUTE(_xlfn.XLOOKUP(G1056,SKUs!$C$2:$C$10001,SKUs!$F$2:$F$10001,"",0), " Accessories",""))</f>
        <v/>
      </c>
      <c r="L1056" s="36">
        <f>_xlfn.XLOOKUP(C1056,'Project Details'!$C$17:$C$66,'Project Details'!$D$17:$D$66,"",0)</f>
        <v>0</v>
      </c>
      <c r="M1056" s="43"/>
    </row>
    <row r="1057" spans="1:13" ht="13.5" customHeight="1" outlineLevel="1" x14ac:dyDescent="0.25">
      <c r="A1057" s="43"/>
      <c r="B1057" s="43"/>
      <c r="C1057" s="16">
        <f t="shared" si="19"/>
        <v>21</v>
      </c>
      <c r="D1057" s="16" t="str" cm="1">
        <f t="array" ref="D1057">IFERROR(ROUNDUP(_xlfn.IFS(F1057="Aluminum Track", _xlfn.XLOOKUP(C1057, dd_accsrycalc!$A$2:$A$51, dd_accsrycalc!$B$2:$B$51, "",0), F1057="10 x 2 1/2 S (Flat)", _xlfn.XLOOKUP(C1057, dd_accsrycalc!$A$2:$A$51, dd_accsrycalc!$C$2:$C$51, "",0), F1057="Tox6", _xlfn.XLOOKUP(C1057, dd_accsrycalc!$A$2:$A$51, dd_accsrycalc!$D$2:$D$51, "",0), F1057="Cover Cap", _xlfn.XLOOKUP(C1057, dd_accsrycalc!$A$2:$A$51, dd_accsrycalc!$E$2:$E$51, "",0), F1057="Drainage Cover", _xlfn.XLOOKUP(C1057, dd_accsrycalc!$A$2:$A$51, dd_accsrycalc!$F$2:$F$51, "",0),AND( F1057="Double Adhesive Tape", I1057="Roll-up Screen"), _xlfn.XLOOKUP(C1057, calc_rusacc!$C$15:$C$65, calc_rusacc!$AD$15:$AD$65, "",0),AND( F1057="Sealant", I1057="Roll-up Screen"), _xlfn.XLOOKUP(C1057, calc_rusacc!$C$15:$C$65, calc_rusacc!$AF$15:$AF$65, "",0),  AND( F1057="Main Chain", I1057="Accordion Screen"), _xlfn.XLOOKUP(C1057, calc_rusacc!$C$15:$C$65, calc_rusacc!$BF$15:$BF$65, "",0), AND( F1057="Sealant", I1057="Accordion Screen"), _xlfn.XLOOKUP(C1057, calc_rusacc!$C$15:$C$65, calc_rusacc!$BJ$15:$BJ$65, "",0),  F1057="Sealant", _xlfn.XLOOKUP(C1057, dd_accsrycalc!$A$2:$A$51, dd_accsrycalc!$G$2:$G$51, "",0),  F1057&lt;&gt;"",L1057*_xlfn.XLOOKUP(1, (SKUs!$C$2:$C$10001=G1057)*(SKUs!$K$2:$K$10001=I1057),SKUs!$E$2:$E$10001)), 0),"")</f>
        <v/>
      </c>
      <c r="E1057" s="16" t="str">
        <f>_xlfn.XLOOKUP(F1057,dd_item!$B$2:$B$105,dd_item!$C$2:$C$105,"",0)</f>
        <v/>
      </c>
      <c r="F1057" s="16"/>
      <c r="G1057" s="16" cm="1">
        <f t="array" ref="G1057">IFERROR(_xlfn.XLOOKUP(1, (SKUs!$J$2:$J$10001=accsry_unmerged!F1057)*IF(H1057&lt;&gt;"",(SKUs!$L$2:$L$10001=accsry_unmerged!H1057),1)*(SKUs!$K$2:$K$10001=I1057),SKUs!$C$2:$C$10001),"")</f>
        <v>0</v>
      </c>
      <c r="H1057" s="33" cm="1">
        <f t="array" ref="H1057">IFERROR(_xlfn.XLOOKUP(1, (dd_accsryclr!$C$2:$C$1000=accsry_unmerged!F1057)*(dd_accsryclr!$B$2:$B$1000=accsry_unmerged!J1057),dd_accsryclr!$A$2:$A$1000),"")</f>
        <v>0</v>
      </c>
      <c r="I1057" s="16">
        <f>_xlfn.XLOOKUP(C1057,'Project Details'!$C$17:$C$66,'Project Details'!$E$17:$E$66,"",0)</f>
        <v>0</v>
      </c>
      <c r="J1057" s="16">
        <f>_xlfn.XLOOKUP(C1057,'Project Details'!$C$17:$C$66,'Project Details'!$H$17:$H$66,"",0)</f>
        <v>0</v>
      </c>
      <c r="K1057" s="33" t="str">
        <f>IF(AND(_xlfn.XLOOKUP(C1057,'Project Details'!$C$17:$C$66,'Project Details'!$L$17:$L$66,"",0)&gt;550, F1057="Spring-L27cm"),"",SUBSTITUTE(_xlfn.XLOOKUP(G1057,SKUs!$C$2:$C$10001,SKUs!$F$2:$F$10001,"",0), " Accessories",""))</f>
        <v/>
      </c>
      <c r="L1057" s="33">
        <f>_xlfn.XLOOKUP(C1057,'Project Details'!$C$17:$C$66,'Project Details'!$D$17:$D$66,"",0)</f>
        <v>0</v>
      </c>
      <c r="M1057" s="43"/>
    </row>
    <row r="1058" spans="1:13" ht="13.5" customHeight="1" outlineLevel="1" x14ac:dyDescent="0.25">
      <c r="A1058" s="43"/>
      <c r="B1058" s="43"/>
      <c r="C1058" s="35">
        <f t="shared" si="19"/>
        <v>21</v>
      </c>
      <c r="D1058" s="35" t="str" cm="1">
        <f t="array" ref="D1058">IFERROR(ROUNDUP(_xlfn.IFS(F1058="Aluminum Track", _xlfn.XLOOKUP(C1058, dd_accsrycalc!$A$2:$A$51, dd_accsrycalc!$B$2:$B$51, "",0), F1058="10 x 2 1/2 S (Flat)", _xlfn.XLOOKUP(C1058, dd_accsrycalc!$A$2:$A$51, dd_accsrycalc!$C$2:$C$51, "",0), F1058="Tox6", _xlfn.XLOOKUP(C1058, dd_accsrycalc!$A$2:$A$51, dd_accsrycalc!$D$2:$D$51, "",0), F1058="Cover Cap", _xlfn.XLOOKUP(C1058, dd_accsrycalc!$A$2:$A$51, dd_accsrycalc!$E$2:$E$51, "",0), F1058="Drainage Cover", _xlfn.XLOOKUP(C1058, dd_accsrycalc!$A$2:$A$51, dd_accsrycalc!$F$2:$F$51, "",0),AND( F1058="Double Adhesive Tape", I1058="Roll-up Screen"), _xlfn.XLOOKUP(C1058, calc_rusacc!$C$15:$C$65, calc_rusacc!$AD$15:$AD$65, "",0),AND( F1058="Sealant", I1058="Roll-up Screen"), _xlfn.XLOOKUP(C1058, calc_rusacc!$C$15:$C$65, calc_rusacc!$AF$15:$AF$65, "",0),  AND( F1058="Main Chain", I1058="Accordion Screen"), _xlfn.XLOOKUP(C1058, calc_rusacc!$C$15:$C$65, calc_rusacc!$BF$15:$BF$65, "",0), AND( F1058="Sealant", I1058="Accordion Screen"), _xlfn.XLOOKUP(C1058, calc_rusacc!$C$15:$C$65, calc_rusacc!$BJ$15:$BJ$65, "",0),  F1058="Sealant", _xlfn.XLOOKUP(C1058, dd_accsrycalc!$A$2:$A$51, dd_accsrycalc!$G$2:$G$51, "",0),  F1058&lt;&gt;"",L1058*_xlfn.XLOOKUP(1, (SKUs!$C$2:$C$10001=G1058)*(SKUs!$K$2:$K$10001=I1058),SKUs!$E$2:$E$10001)), 0),"")</f>
        <v/>
      </c>
      <c r="E1058" s="35" t="str">
        <f>_xlfn.XLOOKUP(F1058,dd_item!$B$2:$B$105,dd_item!$C$2:$C$105,"",0)</f>
        <v/>
      </c>
      <c r="F1058" s="35"/>
      <c r="G1058" s="35" cm="1">
        <f t="array" ref="G1058">IFERROR(_xlfn.XLOOKUP(1, (SKUs!$J$2:$J$10001=accsry_unmerged!F1058)*IF(H1058&lt;&gt;"",(SKUs!$L$2:$L$10001=accsry_unmerged!H1058),1)*(SKUs!$K$2:$K$10001=I1058),SKUs!$C$2:$C$10001),"")</f>
        <v>0</v>
      </c>
      <c r="H1058" s="36" cm="1">
        <f t="array" ref="H1058">IFERROR(_xlfn.XLOOKUP(1, (dd_accsryclr!$C$2:$C$1000=accsry_unmerged!F1058)*(dd_accsryclr!$B$2:$B$1000=accsry_unmerged!J1058),dd_accsryclr!$A$2:$A$1000),"")</f>
        <v>0</v>
      </c>
      <c r="I1058" s="35">
        <f>_xlfn.XLOOKUP(C1058,'Project Details'!$C$17:$C$66,'Project Details'!$E$17:$E$66,"",0)</f>
        <v>0</v>
      </c>
      <c r="J1058" s="35">
        <f>_xlfn.XLOOKUP(C1058,'Project Details'!$C$17:$C$66,'Project Details'!$H$17:$H$66,"",0)</f>
        <v>0</v>
      </c>
      <c r="K1058" s="36" t="str">
        <f>IF(AND(_xlfn.XLOOKUP(C1058,'Project Details'!$C$17:$C$66,'Project Details'!$L$17:$L$66,"",0)&gt;550, F1058="Spring-L27cm"),"",SUBSTITUTE(_xlfn.XLOOKUP(G1058,SKUs!$C$2:$C$10001,SKUs!$F$2:$F$10001,"",0), " Accessories",""))</f>
        <v/>
      </c>
      <c r="L1058" s="36">
        <f>_xlfn.XLOOKUP(C1058,'Project Details'!$C$17:$C$66,'Project Details'!$D$17:$D$66,"",0)</f>
        <v>0</v>
      </c>
      <c r="M1058" s="43"/>
    </row>
    <row r="1059" spans="1:13" ht="13.5" customHeight="1" outlineLevel="1" x14ac:dyDescent="0.25">
      <c r="A1059" s="43"/>
      <c r="B1059" s="43"/>
      <c r="C1059" s="16">
        <f t="shared" si="19"/>
        <v>21</v>
      </c>
      <c r="D1059" s="16" t="str" cm="1">
        <f t="array" ref="D1059">IFERROR(ROUNDUP(_xlfn.IFS(F1059="Aluminum Track", _xlfn.XLOOKUP(C1059, dd_accsrycalc!$A$2:$A$51, dd_accsrycalc!$B$2:$B$51, "",0), F1059="10 x 2 1/2 S (Flat)", _xlfn.XLOOKUP(C1059, dd_accsrycalc!$A$2:$A$51, dd_accsrycalc!$C$2:$C$51, "",0), F1059="Tox6", _xlfn.XLOOKUP(C1059, dd_accsrycalc!$A$2:$A$51, dd_accsrycalc!$D$2:$D$51, "",0), F1059="Cover Cap", _xlfn.XLOOKUP(C1059, dd_accsrycalc!$A$2:$A$51, dd_accsrycalc!$E$2:$E$51, "",0), F1059="Drainage Cover", _xlfn.XLOOKUP(C1059, dd_accsrycalc!$A$2:$A$51, dd_accsrycalc!$F$2:$F$51, "",0),AND( F1059="Double Adhesive Tape", I1059="Roll-up Screen"), _xlfn.XLOOKUP(C1059, calc_rusacc!$C$15:$C$65, calc_rusacc!$AD$15:$AD$65, "",0),AND( F1059="Sealant", I1059="Roll-up Screen"), _xlfn.XLOOKUP(C1059, calc_rusacc!$C$15:$C$65, calc_rusacc!$AF$15:$AF$65, "",0),  AND( F1059="Main Chain", I1059="Accordion Screen"), _xlfn.XLOOKUP(C1059, calc_rusacc!$C$15:$C$65, calc_rusacc!$BF$15:$BF$65, "",0), AND( F1059="Sealant", I1059="Accordion Screen"), _xlfn.XLOOKUP(C1059, calc_rusacc!$C$15:$C$65, calc_rusacc!$BJ$15:$BJ$65, "",0),  F1059="Sealant", _xlfn.XLOOKUP(C1059, dd_accsrycalc!$A$2:$A$51, dd_accsrycalc!$G$2:$G$51, "",0),  F1059&lt;&gt;"",L1059*_xlfn.XLOOKUP(1, (SKUs!$C$2:$C$10001=G1059)*(SKUs!$K$2:$K$10001=I1059),SKUs!$E$2:$E$10001)), 0),"")</f>
        <v/>
      </c>
      <c r="E1059" s="16" t="str">
        <f>_xlfn.XLOOKUP(F1059,dd_item!$B$2:$B$105,dd_item!$C$2:$C$105,"",0)</f>
        <v/>
      </c>
      <c r="F1059" s="16"/>
      <c r="G1059" s="16" cm="1">
        <f t="array" ref="G1059">IFERROR(_xlfn.XLOOKUP(1, (SKUs!$J$2:$J$10001=accsry_unmerged!F1059)*IF(H1059&lt;&gt;"",(SKUs!$L$2:$L$10001=accsry_unmerged!H1059),1)*(SKUs!$K$2:$K$10001=I1059),SKUs!$C$2:$C$10001),"")</f>
        <v>0</v>
      </c>
      <c r="H1059" s="33" cm="1">
        <f t="array" ref="H1059">IFERROR(_xlfn.XLOOKUP(1, (dd_accsryclr!$C$2:$C$1000=accsry_unmerged!F1059)*(dd_accsryclr!$B$2:$B$1000=accsry_unmerged!J1059),dd_accsryclr!$A$2:$A$1000),"")</f>
        <v>0</v>
      </c>
      <c r="I1059" s="16">
        <f>_xlfn.XLOOKUP(C1059,'Project Details'!$C$17:$C$66,'Project Details'!$E$17:$E$66,"",0)</f>
        <v>0</v>
      </c>
      <c r="J1059" s="16">
        <f>_xlfn.XLOOKUP(C1059,'Project Details'!$C$17:$C$66,'Project Details'!$H$17:$H$66,"",0)</f>
        <v>0</v>
      </c>
      <c r="K1059" s="33" t="str">
        <f>IF(AND(_xlfn.XLOOKUP(C1059,'Project Details'!$C$17:$C$66,'Project Details'!$L$17:$L$66,"",0)&gt;550, F1059="Spring-L27cm"),"",SUBSTITUTE(_xlfn.XLOOKUP(G1059,SKUs!$C$2:$C$10001,SKUs!$F$2:$F$10001,"",0), " Accessories",""))</f>
        <v/>
      </c>
      <c r="L1059" s="33">
        <f>_xlfn.XLOOKUP(C1059,'Project Details'!$C$17:$C$66,'Project Details'!$D$17:$D$66,"",0)</f>
        <v>0</v>
      </c>
      <c r="M1059" s="43"/>
    </row>
    <row r="1060" spans="1:13" ht="13.5" customHeight="1" outlineLevel="1" x14ac:dyDescent="0.25">
      <c r="A1060" s="43"/>
      <c r="B1060" s="43"/>
      <c r="C1060" s="35">
        <f t="shared" si="19"/>
        <v>21</v>
      </c>
      <c r="D1060" s="35" t="str" cm="1">
        <f t="array" ref="D1060">IFERROR(ROUNDUP(_xlfn.IFS(F1060="Aluminum Track", _xlfn.XLOOKUP(C1060, dd_accsrycalc!$A$2:$A$51, dd_accsrycalc!$B$2:$B$51, "",0), F1060="10 x 2 1/2 S (Flat)", _xlfn.XLOOKUP(C1060, dd_accsrycalc!$A$2:$A$51, dd_accsrycalc!$C$2:$C$51, "",0), F1060="Tox6", _xlfn.XLOOKUP(C1060, dd_accsrycalc!$A$2:$A$51, dd_accsrycalc!$D$2:$D$51, "",0), F1060="Cover Cap", _xlfn.XLOOKUP(C1060, dd_accsrycalc!$A$2:$A$51, dd_accsrycalc!$E$2:$E$51, "",0), F1060="Drainage Cover", _xlfn.XLOOKUP(C1060, dd_accsrycalc!$A$2:$A$51, dd_accsrycalc!$F$2:$F$51, "",0),AND( F1060="Double Adhesive Tape", I1060="Roll-up Screen"), _xlfn.XLOOKUP(C1060, calc_rusacc!$C$15:$C$65, calc_rusacc!$AD$15:$AD$65, "",0),AND( F1060="Sealant", I1060="Roll-up Screen"), _xlfn.XLOOKUP(C1060, calc_rusacc!$C$15:$C$65, calc_rusacc!$AF$15:$AF$65, "",0),  AND( F1060="Main Chain", I1060="Accordion Screen"), _xlfn.XLOOKUP(C1060, calc_rusacc!$C$15:$C$65, calc_rusacc!$BF$15:$BF$65, "",0), AND( F1060="Sealant", I1060="Accordion Screen"), _xlfn.XLOOKUP(C1060, calc_rusacc!$C$15:$C$65, calc_rusacc!$BJ$15:$BJ$65, "",0),  F1060="Sealant", _xlfn.XLOOKUP(C1060, dd_accsrycalc!$A$2:$A$51, dd_accsrycalc!$G$2:$G$51, "",0),  F1060&lt;&gt;"",L1060*_xlfn.XLOOKUP(1, (SKUs!$C$2:$C$10001=G1060)*(SKUs!$K$2:$K$10001=I1060),SKUs!$E$2:$E$10001)), 0),"")</f>
        <v/>
      </c>
      <c r="E1060" s="35" t="str">
        <f>_xlfn.XLOOKUP(F1060,dd_item!$B$2:$B$105,dd_item!$C$2:$C$105,"",0)</f>
        <v/>
      </c>
      <c r="F1060" s="35"/>
      <c r="G1060" s="35" cm="1">
        <f t="array" ref="G1060">IFERROR(_xlfn.XLOOKUP(1, (SKUs!$J$2:$J$10001=accsry_unmerged!F1060)*IF(H1060&lt;&gt;"",(SKUs!$L$2:$L$10001=accsry_unmerged!H1060),1)*(SKUs!$K$2:$K$10001=I1060),SKUs!$C$2:$C$10001),"")</f>
        <v>0</v>
      </c>
      <c r="H1060" s="36" cm="1">
        <f t="array" ref="H1060">IFERROR(_xlfn.XLOOKUP(1, (dd_accsryclr!$C$2:$C$1000=accsry_unmerged!F1060)*(dd_accsryclr!$B$2:$B$1000=accsry_unmerged!J1060),dd_accsryclr!$A$2:$A$1000),"")</f>
        <v>0</v>
      </c>
      <c r="I1060" s="35">
        <f>_xlfn.XLOOKUP(C1060,'Project Details'!$C$17:$C$66,'Project Details'!$E$17:$E$66,"",0)</f>
        <v>0</v>
      </c>
      <c r="J1060" s="35">
        <f>_xlfn.XLOOKUP(C1060,'Project Details'!$C$17:$C$66,'Project Details'!$H$17:$H$66,"",0)</f>
        <v>0</v>
      </c>
      <c r="K1060" s="36" t="str">
        <f>IF(AND(_xlfn.XLOOKUP(C1060,'Project Details'!$C$17:$C$66,'Project Details'!$L$17:$L$66,"",0)&gt;550, F1060="Spring-L27cm"),"",SUBSTITUTE(_xlfn.XLOOKUP(G1060,SKUs!$C$2:$C$10001,SKUs!$F$2:$F$10001,"",0), " Accessories",""))</f>
        <v/>
      </c>
      <c r="L1060" s="36">
        <f>_xlfn.XLOOKUP(C1060,'Project Details'!$C$17:$C$66,'Project Details'!$D$17:$D$66,"",0)</f>
        <v>0</v>
      </c>
      <c r="M1060" s="43"/>
    </row>
    <row r="1061" spans="1:13" ht="13.5" customHeight="1" outlineLevel="1" x14ac:dyDescent="0.25">
      <c r="A1061" s="43"/>
      <c r="B1061" s="43"/>
      <c r="C1061" s="16">
        <f t="shared" si="19"/>
        <v>21</v>
      </c>
      <c r="D1061" s="16" t="str" cm="1">
        <f t="array" ref="D1061">IFERROR(ROUNDUP(_xlfn.IFS(F1061="Aluminum Track", _xlfn.XLOOKUP(C1061, dd_accsrycalc!$A$2:$A$51, dd_accsrycalc!$B$2:$B$51, "",0), F1061="10 x 2 1/2 S (Flat)", _xlfn.XLOOKUP(C1061, dd_accsrycalc!$A$2:$A$51, dd_accsrycalc!$C$2:$C$51, "",0), F1061="Tox6", _xlfn.XLOOKUP(C1061, dd_accsrycalc!$A$2:$A$51, dd_accsrycalc!$D$2:$D$51, "",0), F1061="Cover Cap", _xlfn.XLOOKUP(C1061, dd_accsrycalc!$A$2:$A$51, dd_accsrycalc!$E$2:$E$51, "",0), F1061="Drainage Cover", _xlfn.XLOOKUP(C1061, dd_accsrycalc!$A$2:$A$51, dd_accsrycalc!$F$2:$F$51, "",0),AND( F1061="Double Adhesive Tape", I1061="Roll-up Screen"), _xlfn.XLOOKUP(C1061, calc_rusacc!$C$15:$C$65, calc_rusacc!$AD$15:$AD$65, "",0),AND( F1061="Sealant", I1061="Roll-up Screen"), _xlfn.XLOOKUP(C1061, calc_rusacc!$C$15:$C$65, calc_rusacc!$AF$15:$AF$65, "",0),  AND( F1061="Main Chain", I1061="Accordion Screen"), _xlfn.XLOOKUP(C1061, calc_rusacc!$C$15:$C$65, calc_rusacc!$BF$15:$BF$65, "",0), AND( F1061="Sealant", I1061="Accordion Screen"), _xlfn.XLOOKUP(C1061, calc_rusacc!$C$15:$C$65, calc_rusacc!$BJ$15:$BJ$65, "",0),  F1061="Sealant", _xlfn.XLOOKUP(C1061, dd_accsrycalc!$A$2:$A$51, dd_accsrycalc!$G$2:$G$51, "",0),  F1061&lt;&gt;"",L1061*_xlfn.XLOOKUP(1, (SKUs!$C$2:$C$10001=G1061)*(SKUs!$K$2:$K$10001=I1061),SKUs!$E$2:$E$10001)), 0),"")</f>
        <v/>
      </c>
      <c r="E1061" s="16" t="str">
        <f>_xlfn.XLOOKUP(F1061,dd_item!$B$2:$B$105,dd_item!$C$2:$C$105,"",0)</f>
        <v/>
      </c>
      <c r="F1061" s="16"/>
      <c r="G1061" s="16" cm="1">
        <f t="array" ref="G1061">IFERROR(_xlfn.XLOOKUP(1, (SKUs!$J$2:$J$10001=accsry_unmerged!F1061)*IF(H1061&lt;&gt;"",(SKUs!$L$2:$L$10001=accsry_unmerged!H1061),1)*(SKUs!$K$2:$K$10001=I1061),SKUs!$C$2:$C$10001),"")</f>
        <v>0</v>
      </c>
      <c r="H1061" s="33" cm="1">
        <f t="array" ref="H1061">IFERROR(_xlfn.XLOOKUP(1, (dd_accsryclr!$C$2:$C$1000=accsry_unmerged!F1061)*(dd_accsryclr!$B$2:$B$1000=accsry_unmerged!J1061),dd_accsryclr!$A$2:$A$1000),"")</f>
        <v>0</v>
      </c>
      <c r="I1061" s="16">
        <f>_xlfn.XLOOKUP(C1061,'Project Details'!$C$17:$C$66,'Project Details'!$E$17:$E$66,"",0)</f>
        <v>0</v>
      </c>
      <c r="J1061" s="16">
        <f>_xlfn.XLOOKUP(C1061,'Project Details'!$C$17:$C$66,'Project Details'!$H$17:$H$66,"",0)</f>
        <v>0</v>
      </c>
      <c r="K1061" s="33" t="str">
        <f>IF(AND(_xlfn.XLOOKUP(C1061,'Project Details'!$C$17:$C$66,'Project Details'!$L$17:$L$66,"",0)&gt;550, F1061="Spring-L27cm"),"",SUBSTITUTE(_xlfn.XLOOKUP(G1061,SKUs!$C$2:$C$10001,SKUs!$F$2:$F$10001,"",0), " Accessories",""))</f>
        <v/>
      </c>
      <c r="L1061" s="33">
        <f>_xlfn.XLOOKUP(C1061,'Project Details'!$C$17:$C$66,'Project Details'!$D$17:$D$66,"",0)</f>
        <v>0</v>
      </c>
      <c r="M1061" s="43"/>
    </row>
    <row r="1062" spans="1:13" ht="13.5" customHeight="1" outlineLevel="1" x14ac:dyDescent="0.25">
      <c r="A1062" s="43"/>
      <c r="B1062" s="43"/>
      <c r="C1062" s="35">
        <f t="shared" si="19"/>
        <v>21</v>
      </c>
      <c r="D1062" s="35" t="str" cm="1">
        <f t="array" ref="D1062">IFERROR(ROUNDUP(_xlfn.IFS(F1062="Aluminum Track", _xlfn.XLOOKUP(C1062, dd_accsrycalc!$A$2:$A$51, dd_accsrycalc!$B$2:$B$51, "",0), F1062="10 x 2 1/2 S (Flat)", _xlfn.XLOOKUP(C1062, dd_accsrycalc!$A$2:$A$51, dd_accsrycalc!$C$2:$C$51, "",0), F1062="Tox6", _xlfn.XLOOKUP(C1062, dd_accsrycalc!$A$2:$A$51, dd_accsrycalc!$D$2:$D$51, "",0), F1062="Cover Cap", _xlfn.XLOOKUP(C1062, dd_accsrycalc!$A$2:$A$51, dd_accsrycalc!$E$2:$E$51, "",0), F1062="Drainage Cover", _xlfn.XLOOKUP(C1062, dd_accsrycalc!$A$2:$A$51, dd_accsrycalc!$F$2:$F$51, "",0),AND( F1062="Double Adhesive Tape", I1062="Roll-up Screen"), _xlfn.XLOOKUP(C1062, calc_rusacc!$C$15:$C$65, calc_rusacc!$AD$15:$AD$65, "",0),AND( F1062="Sealant", I1062="Roll-up Screen"), _xlfn.XLOOKUP(C1062, calc_rusacc!$C$15:$C$65, calc_rusacc!$AF$15:$AF$65, "",0),  AND( F1062="Main Chain", I1062="Accordion Screen"), _xlfn.XLOOKUP(C1062, calc_rusacc!$C$15:$C$65, calc_rusacc!$BF$15:$BF$65, "",0), AND( F1062="Sealant", I1062="Accordion Screen"), _xlfn.XLOOKUP(C1062, calc_rusacc!$C$15:$C$65, calc_rusacc!$BJ$15:$BJ$65, "",0),  F1062="Sealant", _xlfn.XLOOKUP(C1062, dd_accsrycalc!$A$2:$A$51, dd_accsrycalc!$G$2:$G$51, "",0),  F1062&lt;&gt;"",L1062*_xlfn.XLOOKUP(1, (SKUs!$C$2:$C$10001=G1062)*(SKUs!$K$2:$K$10001=I1062),SKUs!$E$2:$E$10001)), 0),"")</f>
        <v/>
      </c>
      <c r="E1062" s="35" t="str">
        <f>_xlfn.XLOOKUP(F1062,dd_item!$B$2:$B$105,dd_item!$C$2:$C$105,"",0)</f>
        <v/>
      </c>
      <c r="F1062" s="35"/>
      <c r="G1062" s="35" cm="1">
        <f t="array" ref="G1062">IFERROR(_xlfn.XLOOKUP(1, (SKUs!$J$2:$J$10001=accsry_unmerged!F1062)*IF(H1062&lt;&gt;"",(SKUs!$L$2:$L$10001=accsry_unmerged!H1062),1)*(SKUs!$K$2:$K$10001=I1062),SKUs!$C$2:$C$10001),"")</f>
        <v>0</v>
      </c>
      <c r="H1062" s="36" cm="1">
        <f t="array" ref="H1062">IFERROR(_xlfn.XLOOKUP(1, (dd_accsryclr!$C$2:$C$1000=accsry_unmerged!F1062)*(dd_accsryclr!$B$2:$B$1000=accsry_unmerged!J1062),dd_accsryclr!$A$2:$A$1000),"")</f>
        <v>0</v>
      </c>
      <c r="I1062" s="35">
        <f>_xlfn.XLOOKUP(C1062,'Project Details'!$C$17:$C$66,'Project Details'!$E$17:$E$66,"",0)</f>
        <v>0</v>
      </c>
      <c r="J1062" s="35">
        <f>_xlfn.XLOOKUP(C1062,'Project Details'!$C$17:$C$66,'Project Details'!$H$17:$H$66,"",0)</f>
        <v>0</v>
      </c>
      <c r="K1062" s="36" t="str">
        <f>IF(AND(_xlfn.XLOOKUP(C1062,'Project Details'!$C$17:$C$66,'Project Details'!$L$17:$L$66,"",0)&gt;550, F1062="Spring-L27cm"),"",SUBSTITUTE(_xlfn.XLOOKUP(G1062,SKUs!$C$2:$C$10001,SKUs!$F$2:$F$10001,"",0), " Accessories",""))</f>
        <v/>
      </c>
      <c r="L1062" s="36">
        <f>_xlfn.XLOOKUP(C1062,'Project Details'!$C$17:$C$66,'Project Details'!$D$17:$D$66,"",0)</f>
        <v>0</v>
      </c>
      <c r="M1062" s="43"/>
    </row>
    <row r="1063" spans="1:13" ht="13.5" customHeight="1" outlineLevel="1" x14ac:dyDescent="0.25">
      <c r="A1063" s="43"/>
      <c r="B1063" s="43"/>
      <c r="C1063" s="16">
        <f t="shared" si="19"/>
        <v>21</v>
      </c>
      <c r="D1063" s="16" t="str" cm="1">
        <f t="array" ref="D1063">IFERROR(ROUNDUP(_xlfn.IFS(F1063="Aluminum Track", _xlfn.XLOOKUP(C1063, dd_accsrycalc!$A$2:$A$51, dd_accsrycalc!$B$2:$B$51, "",0), F1063="10 x 2 1/2 S (Flat)", _xlfn.XLOOKUP(C1063, dd_accsrycalc!$A$2:$A$51, dd_accsrycalc!$C$2:$C$51, "",0), F1063="Tox6", _xlfn.XLOOKUP(C1063, dd_accsrycalc!$A$2:$A$51, dd_accsrycalc!$D$2:$D$51, "",0), F1063="Cover Cap", _xlfn.XLOOKUP(C1063, dd_accsrycalc!$A$2:$A$51, dd_accsrycalc!$E$2:$E$51, "",0), F1063="Drainage Cover", _xlfn.XLOOKUP(C1063, dd_accsrycalc!$A$2:$A$51, dd_accsrycalc!$F$2:$F$51, "",0),AND( F1063="Double Adhesive Tape", I1063="Roll-up Screen"), _xlfn.XLOOKUP(C1063, calc_rusacc!$C$15:$C$65, calc_rusacc!$AD$15:$AD$65, "",0),AND( F1063="Sealant", I1063="Roll-up Screen"), _xlfn.XLOOKUP(C1063, calc_rusacc!$C$15:$C$65, calc_rusacc!$AF$15:$AF$65, "",0),  AND( F1063="Main Chain", I1063="Accordion Screen"), _xlfn.XLOOKUP(C1063, calc_rusacc!$C$15:$C$65, calc_rusacc!$BF$15:$BF$65, "",0), AND( F1063="Sealant", I1063="Accordion Screen"), _xlfn.XLOOKUP(C1063, calc_rusacc!$C$15:$C$65, calc_rusacc!$BJ$15:$BJ$65, "",0),  F1063="Sealant", _xlfn.XLOOKUP(C1063, dd_accsrycalc!$A$2:$A$51, dd_accsrycalc!$G$2:$G$51, "",0),  F1063&lt;&gt;"",L1063*_xlfn.XLOOKUP(1, (SKUs!$C$2:$C$10001=G1063)*(SKUs!$K$2:$K$10001=I1063),SKUs!$E$2:$E$10001)), 0),"")</f>
        <v/>
      </c>
      <c r="E1063" s="16" t="str">
        <f>_xlfn.XLOOKUP(F1063,dd_item!$B$2:$B$105,dd_item!$C$2:$C$105,"",0)</f>
        <v/>
      </c>
      <c r="F1063" s="16"/>
      <c r="G1063" s="16" cm="1">
        <f t="array" ref="G1063">IFERROR(_xlfn.XLOOKUP(1, (SKUs!$J$2:$J$10001=accsry_unmerged!F1063)*IF(H1063&lt;&gt;"",(SKUs!$L$2:$L$10001=accsry_unmerged!H1063),1)*(SKUs!$K$2:$K$10001=I1063),SKUs!$C$2:$C$10001),"")</f>
        <v>0</v>
      </c>
      <c r="H1063" s="33" cm="1">
        <f t="array" ref="H1063">IFERROR(_xlfn.XLOOKUP(1, (dd_accsryclr!$C$2:$C$1000=accsry_unmerged!F1063)*(dd_accsryclr!$B$2:$B$1000=accsry_unmerged!J1063),dd_accsryclr!$A$2:$A$1000),"")</f>
        <v>0</v>
      </c>
      <c r="I1063" s="16">
        <f>_xlfn.XLOOKUP(C1063,'Project Details'!$C$17:$C$66,'Project Details'!$E$17:$E$66,"",0)</f>
        <v>0</v>
      </c>
      <c r="J1063" s="16">
        <f>_xlfn.XLOOKUP(C1063,'Project Details'!$C$17:$C$66,'Project Details'!$H$17:$H$66,"",0)</f>
        <v>0</v>
      </c>
      <c r="K1063" s="33" t="str">
        <f>IF(AND(_xlfn.XLOOKUP(C1063,'Project Details'!$C$17:$C$66,'Project Details'!$L$17:$L$66,"",0)&gt;550, F1063="Spring-L27cm"),"",SUBSTITUTE(_xlfn.XLOOKUP(G1063,SKUs!$C$2:$C$10001,SKUs!$F$2:$F$10001,"",0), " Accessories",""))</f>
        <v/>
      </c>
      <c r="L1063" s="33">
        <f>_xlfn.XLOOKUP(C1063,'Project Details'!$C$17:$C$66,'Project Details'!$D$17:$D$66,"",0)</f>
        <v>0</v>
      </c>
      <c r="M1063" s="43"/>
    </row>
    <row r="1064" spans="1:13" x14ac:dyDescent="0.25">
      <c r="A1064" s="43"/>
      <c r="B1064" s="43"/>
      <c r="C1064" s="43"/>
      <c r="D1064" s="43"/>
      <c r="E1064" s="43"/>
      <c r="F1064" s="43"/>
      <c r="G1064" s="43"/>
      <c r="H1064" s="43"/>
      <c r="I1064" s="43"/>
      <c r="J1064" s="43"/>
      <c r="K1064" s="43"/>
      <c r="L1064" s="43"/>
      <c r="M1064" s="43"/>
    </row>
    <row r="1065" spans="1:13" x14ac:dyDescent="0.25">
      <c r="A1065" s="43"/>
      <c r="B1065" s="43"/>
      <c r="C1065" s="16">
        <f>C1063+1</f>
        <v>22</v>
      </c>
      <c r="D1065" s="48" cm="1">
        <f t="array" ref="D1065">IFERROR(ROUNDUP(_xlfn.IFS(F1065="Aluminum Track", _xlfn.XLOOKUP(C1065, dd_accsrycalc!$A$2:$A$51, dd_accsrycalc!$B$2:$B$51, "",0), F1065="10 x 2 1/2 S (Flat)", _xlfn.XLOOKUP(C1065, dd_accsrycalc!$A$2:$A$51, dd_accsrycalc!$C$2:$C$51, "",0), F1065="Tox6", _xlfn.XLOOKUP(C1065, dd_accsrycalc!$A$2:$A$51, dd_accsrycalc!$D$2:$D$51, "",0), F1065="Cover Cap", _xlfn.XLOOKUP(C1065, dd_accsrycalc!$A$2:$A$51, dd_accsrycalc!$E$2:$E$51, "",0), F1065="Drainage Cover", _xlfn.XLOOKUP(C1065, dd_accsrycalc!$A$2:$A$51, dd_accsrycalc!$F$2:$F$51, "",0),AND( F1065="Double Adhesive Tape", I1065="Roll-up Screen"), _xlfn.XLOOKUP(C1065, calc_rusacc!$C$15:$C$65, calc_rusacc!$AD$15:$AD$65, "",0),AND( F1065="Sealant", I1065="Roll-up Screen"), _xlfn.XLOOKUP(C1065, calc_rusacc!$C$15:$C$65, calc_rusacc!$AF$15:$AF$65, "",0),  AND( F1065="Main Chain", I1065="Accordion Screen"), _xlfn.XLOOKUP(C1065, calc_rusacc!$C$15:$C$65, calc_rusacc!$BF$15:$BF$65, "",0), AND( F1065="Sealant", I1065="Accordion Screen"), _xlfn.XLOOKUP(C1065, calc_rusacc!$C$15:$C$65, calc_rusacc!$BJ$15:$BJ$65, "",0),  F1065="Sealant", _xlfn.XLOOKUP(C1065, dd_accsrycalc!$A$2:$A$51, dd_accsrycalc!$G$2:$G$51, "",0),  F1065&lt;&gt;"",L1065*_xlfn.XLOOKUP(1, (SKUs!$C$2:$C$10001=G1065)*(SKUs!$K$2:$K$10001=I1065),SKUs!$E$2:$E$10001)), 0),"")</f>
        <v>0</v>
      </c>
      <c r="E1065" s="48" t="str">
        <f>_xlfn.XLOOKUP(F1065,dd_item!$B$2:$B$105,dd_item!$C$2:$C$105,"",0)</f>
        <v/>
      </c>
      <c r="F1065" s="48" cm="1">
        <f t="array" ref="F1065">IFERROR(_xlfn.UNIQUE(_xlfn._xlws.FILTER(SKUs!$J$2:$J$10001, (SKUs!$F$2:$F$10001&lt;&gt;"Cutting List") * (SKUs!$A$2:$A$10001=_xlfn.XLOOKUP(_xlfn.XLOOKUP(C1065,'Project Details'!$C$17:$C$66,'Project Details'!$E$17:$E$66,"",0), dd_design_raw!$A$2:$A$101,dd_design_raw!$C$2:$C$101,"",0)))), "")</f>
        <v>0</v>
      </c>
      <c r="G1065" s="16" cm="1">
        <f t="array" ref="G1065">IFERROR(_xlfn.XLOOKUP(1, (SKUs!$J$2:$J$10001=accsry_unmerged!F1065)*IF(H1065&lt;&gt;"",(SKUs!$L$2:$L$10001=accsry_unmerged!H1065),1)*(SKUs!$K$2:$K$10001=I1065),SKUs!$C$2:$C$10001),"")</f>
        <v>0</v>
      </c>
      <c r="H1065" s="16" cm="1">
        <f t="array" ref="H1065">IFERROR(_xlfn.XLOOKUP(1, (dd_accsryclr!$C$2:$C$1000=accsry_unmerged!F1065)*(dd_accsryclr!$B$2:$B$1000=accsry_unmerged!J1065),dd_accsryclr!$A$2:$A$1000),"")</f>
        <v>0</v>
      </c>
      <c r="I1065" s="16">
        <f>_xlfn.XLOOKUP(C1065,'Project Details'!$C$17:$C$66,'Project Details'!$E$17:$E$66,"",0)</f>
        <v>0</v>
      </c>
      <c r="J1065" s="16">
        <f>_xlfn.XLOOKUP(C1065,'Project Details'!$C$17:$C$66,'Project Details'!$H$17:$H$66,"",0)</f>
        <v>0</v>
      </c>
      <c r="K1065" s="16" t="str">
        <f>IF(AND(_xlfn.XLOOKUP(C1065,'Project Details'!$C$17:$C$66,'Project Details'!$L$17:$L$66,"",0)&gt;550, F1065="Spring-L27cm"),"",SUBSTITUTE(_xlfn.XLOOKUP(G1065,SKUs!$C$2:$C$10001,SKUs!$F$2:$F$10001,"",0), " Accessories",""))</f>
        <v/>
      </c>
      <c r="L1065" s="16">
        <f>_xlfn.XLOOKUP(C1065,'Project Details'!$C$17:$C$66,'Project Details'!$D$17:$D$66,"",0)</f>
        <v>0</v>
      </c>
      <c r="M1065" s="43"/>
    </row>
    <row r="1066" spans="1:13" x14ac:dyDescent="0.25">
      <c r="A1066" s="43"/>
      <c r="B1066" s="43"/>
      <c r="C1066" s="35">
        <f>C1065</f>
        <v>22</v>
      </c>
      <c r="D1066" s="35" t="str" cm="1">
        <f t="array" ref="D1066">IFERROR(ROUNDUP(_xlfn.IFS(F1066="Aluminum Track", _xlfn.XLOOKUP(C1066, dd_accsrycalc!$A$2:$A$51, dd_accsrycalc!$B$2:$B$51, "",0), F1066="10 x 2 1/2 S (Flat)", _xlfn.XLOOKUP(C1066, dd_accsrycalc!$A$2:$A$51, dd_accsrycalc!$C$2:$C$51, "",0), F1066="Tox6", _xlfn.XLOOKUP(C1066, dd_accsrycalc!$A$2:$A$51, dd_accsrycalc!$D$2:$D$51, "",0), F1066="Cover Cap", _xlfn.XLOOKUP(C1066, dd_accsrycalc!$A$2:$A$51, dd_accsrycalc!$E$2:$E$51, "",0), F1066="Drainage Cover", _xlfn.XLOOKUP(C1066, dd_accsrycalc!$A$2:$A$51, dd_accsrycalc!$F$2:$F$51, "",0),AND( F1066="Double Adhesive Tape", I1066="Roll-up Screen"), _xlfn.XLOOKUP(C1066, calc_rusacc!$C$15:$C$65, calc_rusacc!$AD$15:$AD$65, "",0),AND( F1066="Sealant", I1066="Roll-up Screen"), _xlfn.XLOOKUP(C1066, calc_rusacc!$C$15:$C$65, calc_rusacc!$AF$15:$AF$65, "",0),  AND( F1066="Main Chain", I1066="Accordion Screen"), _xlfn.XLOOKUP(C1066, calc_rusacc!$C$15:$C$65, calc_rusacc!$BF$15:$BF$65, "",0), AND( F1066="Sealant", I1066="Accordion Screen"), _xlfn.XLOOKUP(C1066, calc_rusacc!$C$15:$C$65, calc_rusacc!$BJ$15:$BJ$65, "",0),  F1066="Sealant", _xlfn.XLOOKUP(C1066, dd_accsrycalc!$A$2:$A$51, dd_accsrycalc!$G$2:$G$51, "",0),  F1066&lt;&gt;"",L1066*_xlfn.XLOOKUP(1, (SKUs!$C$2:$C$10001=G1066)*(SKUs!$K$2:$K$10001=I1066),SKUs!$E$2:$E$10001)), 0),"")</f>
        <v/>
      </c>
      <c r="E1066" s="35" t="str">
        <f>_xlfn.XLOOKUP(F1066,dd_item!$B$2:$B$105,dd_item!$C$2:$C$105,"",0)</f>
        <v/>
      </c>
      <c r="F1066" s="35"/>
      <c r="G1066" s="35" cm="1">
        <f t="array" ref="G1066">IFERROR(_xlfn.XLOOKUP(1, (SKUs!$J$2:$J$10001=accsry_unmerged!F1066)*IF(H1066&lt;&gt;"",(SKUs!$L$2:$L$10001=accsry_unmerged!H1066),1)*(SKUs!$K$2:$K$10001=I1066),SKUs!$C$2:$C$10001),"")</f>
        <v>0</v>
      </c>
      <c r="H1066" s="36" cm="1">
        <f t="array" ref="H1066">IFERROR(_xlfn.XLOOKUP(1, (dd_accsryclr!$C$2:$C$1000=accsry_unmerged!F1066)*(dd_accsryclr!$B$2:$B$1000=accsry_unmerged!J1066),dd_accsryclr!$A$2:$A$1000),"")</f>
        <v>0</v>
      </c>
      <c r="I1066" s="35">
        <f>_xlfn.XLOOKUP(C1066,'Project Details'!$C$17:$C$66,'Project Details'!$E$17:$E$66,"",0)</f>
        <v>0</v>
      </c>
      <c r="J1066" s="35">
        <f>_xlfn.XLOOKUP(C1066,'Project Details'!$C$17:$C$66,'Project Details'!$H$17:$H$66,"",0)</f>
        <v>0</v>
      </c>
      <c r="K1066" s="36" t="str">
        <f>IF(AND(_xlfn.XLOOKUP(C1066,'Project Details'!$C$17:$C$66,'Project Details'!$L$17:$L$66,"",0)&gt;550, F1066="Spring-L27cm"),"",SUBSTITUTE(_xlfn.XLOOKUP(G1066,SKUs!$C$2:$C$10001,SKUs!$F$2:$F$10001,"",0), " Accessories",""))</f>
        <v/>
      </c>
      <c r="L1066" s="36">
        <f>_xlfn.XLOOKUP(C1066,'Project Details'!$C$17:$C$66,'Project Details'!$D$17:$D$66,"",0)</f>
        <v>0</v>
      </c>
      <c r="M1066" s="43"/>
    </row>
    <row r="1067" spans="1:13" x14ac:dyDescent="0.25">
      <c r="A1067" s="43"/>
      <c r="B1067" s="43"/>
      <c r="C1067" s="16">
        <f t="shared" ref="C1067:C1113" si="20">C1066</f>
        <v>22</v>
      </c>
      <c r="D1067" s="16" t="str" cm="1">
        <f t="array" ref="D1067">IFERROR(ROUNDUP(_xlfn.IFS(F1067="Aluminum Track", _xlfn.XLOOKUP(C1067, dd_accsrycalc!$A$2:$A$51, dd_accsrycalc!$B$2:$B$51, "",0), F1067="10 x 2 1/2 S (Flat)", _xlfn.XLOOKUP(C1067, dd_accsrycalc!$A$2:$A$51, dd_accsrycalc!$C$2:$C$51, "",0), F1067="Tox6", _xlfn.XLOOKUP(C1067, dd_accsrycalc!$A$2:$A$51, dd_accsrycalc!$D$2:$D$51, "",0), F1067="Cover Cap", _xlfn.XLOOKUP(C1067, dd_accsrycalc!$A$2:$A$51, dd_accsrycalc!$E$2:$E$51, "",0), F1067="Drainage Cover", _xlfn.XLOOKUP(C1067, dd_accsrycalc!$A$2:$A$51, dd_accsrycalc!$F$2:$F$51, "",0),AND( F1067="Double Adhesive Tape", I1067="Roll-up Screen"), _xlfn.XLOOKUP(C1067, calc_rusacc!$C$15:$C$65, calc_rusacc!$AD$15:$AD$65, "",0),AND( F1067="Sealant", I1067="Roll-up Screen"), _xlfn.XLOOKUP(C1067, calc_rusacc!$C$15:$C$65, calc_rusacc!$AF$15:$AF$65, "",0),  AND( F1067="Main Chain", I1067="Accordion Screen"), _xlfn.XLOOKUP(C1067, calc_rusacc!$C$15:$C$65, calc_rusacc!$BF$15:$BF$65, "",0), AND( F1067="Sealant", I1067="Accordion Screen"), _xlfn.XLOOKUP(C1067, calc_rusacc!$C$15:$C$65, calc_rusacc!$BJ$15:$BJ$65, "",0),  F1067="Sealant", _xlfn.XLOOKUP(C1067, dd_accsrycalc!$A$2:$A$51, dd_accsrycalc!$G$2:$G$51, "",0),  F1067&lt;&gt;"",L1067*_xlfn.XLOOKUP(1, (SKUs!$C$2:$C$10001=G1067)*(SKUs!$K$2:$K$10001=I1067),SKUs!$E$2:$E$10001)), 0),"")</f>
        <v/>
      </c>
      <c r="E1067" s="16" t="str">
        <f>_xlfn.XLOOKUP(F1067,dd_item!$B$2:$B$105,dd_item!$C$2:$C$105,"",0)</f>
        <v/>
      </c>
      <c r="F1067" s="16"/>
      <c r="G1067" s="16" cm="1">
        <f t="array" ref="G1067">IFERROR(_xlfn.XLOOKUP(1, (SKUs!$J$2:$J$10001=accsry_unmerged!F1067)*IF(H1067&lt;&gt;"",(SKUs!$L$2:$L$10001=accsry_unmerged!H1067),1)*(SKUs!$K$2:$K$10001=I1067),SKUs!$C$2:$C$10001),"")</f>
        <v>0</v>
      </c>
      <c r="H1067" s="33" cm="1">
        <f t="array" ref="H1067">IFERROR(_xlfn.XLOOKUP(1, (dd_accsryclr!$C$2:$C$1000=accsry_unmerged!F1067)*(dd_accsryclr!$B$2:$B$1000=accsry_unmerged!J1067),dd_accsryclr!$A$2:$A$1000),"")</f>
        <v>0</v>
      </c>
      <c r="I1067" s="16">
        <f>_xlfn.XLOOKUP(C1067,'Project Details'!$C$17:$C$66,'Project Details'!$E$17:$E$66,"",0)</f>
        <v>0</v>
      </c>
      <c r="J1067" s="16">
        <f>_xlfn.XLOOKUP(C1067,'Project Details'!$C$17:$C$66,'Project Details'!$H$17:$H$66,"",0)</f>
        <v>0</v>
      </c>
      <c r="K1067" s="33" t="str">
        <f>IF(AND(_xlfn.XLOOKUP(C1067,'Project Details'!$C$17:$C$66,'Project Details'!$L$17:$L$66,"",0)&gt;550, F1067="Spring-L27cm"),"",SUBSTITUTE(_xlfn.XLOOKUP(G1067,SKUs!$C$2:$C$10001,SKUs!$F$2:$F$10001,"",0), " Accessories",""))</f>
        <v/>
      </c>
      <c r="L1067" s="33">
        <f>_xlfn.XLOOKUP(C1067,'Project Details'!$C$17:$C$66,'Project Details'!$D$17:$D$66,"",0)</f>
        <v>0</v>
      </c>
      <c r="M1067" s="43"/>
    </row>
    <row r="1068" spans="1:13" x14ac:dyDescent="0.25">
      <c r="A1068" s="43"/>
      <c r="B1068" s="43"/>
      <c r="C1068" s="35">
        <f t="shared" si="20"/>
        <v>22</v>
      </c>
      <c r="D1068" s="35" t="str" cm="1">
        <f t="array" ref="D1068">IFERROR(ROUNDUP(_xlfn.IFS(F1068="Aluminum Track", _xlfn.XLOOKUP(C1068, dd_accsrycalc!$A$2:$A$51, dd_accsrycalc!$B$2:$B$51, "",0), F1068="10 x 2 1/2 S (Flat)", _xlfn.XLOOKUP(C1068, dd_accsrycalc!$A$2:$A$51, dd_accsrycalc!$C$2:$C$51, "",0), F1068="Tox6", _xlfn.XLOOKUP(C1068, dd_accsrycalc!$A$2:$A$51, dd_accsrycalc!$D$2:$D$51, "",0), F1068="Cover Cap", _xlfn.XLOOKUP(C1068, dd_accsrycalc!$A$2:$A$51, dd_accsrycalc!$E$2:$E$51, "",0), F1068="Drainage Cover", _xlfn.XLOOKUP(C1068, dd_accsrycalc!$A$2:$A$51, dd_accsrycalc!$F$2:$F$51, "",0),AND( F1068="Double Adhesive Tape", I1068="Roll-up Screen"), _xlfn.XLOOKUP(C1068, calc_rusacc!$C$15:$C$65, calc_rusacc!$AD$15:$AD$65, "",0),AND( F1068="Sealant", I1068="Roll-up Screen"), _xlfn.XLOOKUP(C1068, calc_rusacc!$C$15:$C$65, calc_rusacc!$AF$15:$AF$65, "",0),  AND( F1068="Main Chain", I1068="Accordion Screen"), _xlfn.XLOOKUP(C1068, calc_rusacc!$C$15:$C$65, calc_rusacc!$BF$15:$BF$65, "",0), AND( F1068="Sealant", I1068="Accordion Screen"), _xlfn.XLOOKUP(C1068, calc_rusacc!$C$15:$C$65, calc_rusacc!$BJ$15:$BJ$65, "",0),  F1068="Sealant", _xlfn.XLOOKUP(C1068, dd_accsrycalc!$A$2:$A$51, dd_accsrycalc!$G$2:$G$51, "",0),  F1068&lt;&gt;"",L1068*_xlfn.XLOOKUP(1, (SKUs!$C$2:$C$10001=G1068)*(SKUs!$K$2:$K$10001=I1068),SKUs!$E$2:$E$10001)), 0),"")</f>
        <v/>
      </c>
      <c r="E1068" s="35" t="str">
        <f>_xlfn.XLOOKUP(F1068,dd_item!$B$2:$B$105,dd_item!$C$2:$C$105,"",0)</f>
        <v/>
      </c>
      <c r="F1068" s="35"/>
      <c r="G1068" s="35" cm="1">
        <f t="array" ref="G1068">IFERROR(_xlfn.XLOOKUP(1, (SKUs!$J$2:$J$10001=accsry_unmerged!F1068)*IF(H1068&lt;&gt;"",(SKUs!$L$2:$L$10001=accsry_unmerged!H1068),1)*(SKUs!$K$2:$K$10001=I1068),SKUs!$C$2:$C$10001),"")</f>
        <v>0</v>
      </c>
      <c r="H1068" s="36" cm="1">
        <f t="array" ref="H1068">IFERROR(_xlfn.XLOOKUP(1, (dd_accsryclr!$C$2:$C$1000=accsry_unmerged!F1068)*(dd_accsryclr!$B$2:$B$1000=accsry_unmerged!J1068),dd_accsryclr!$A$2:$A$1000),"")</f>
        <v>0</v>
      </c>
      <c r="I1068" s="35">
        <f>_xlfn.XLOOKUP(C1068,'Project Details'!$C$17:$C$66,'Project Details'!$E$17:$E$66,"",0)</f>
        <v>0</v>
      </c>
      <c r="J1068" s="35">
        <f>_xlfn.XLOOKUP(C1068,'Project Details'!$C$17:$C$66,'Project Details'!$H$17:$H$66,"",0)</f>
        <v>0</v>
      </c>
      <c r="K1068" s="36" t="str">
        <f>IF(AND(_xlfn.XLOOKUP(C1068,'Project Details'!$C$17:$C$66,'Project Details'!$L$17:$L$66,"",0)&gt;550, F1068="Spring-L27cm"),"",SUBSTITUTE(_xlfn.XLOOKUP(G1068,SKUs!$C$2:$C$10001,SKUs!$F$2:$F$10001,"",0), " Accessories",""))</f>
        <v/>
      </c>
      <c r="L1068" s="36">
        <f>_xlfn.XLOOKUP(C1068,'Project Details'!$C$17:$C$66,'Project Details'!$D$17:$D$66,"",0)</f>
        <v>0</v>
      </c>
      <c r="M1068" s="43"/>
    </row>
    <row r="1069" spans="1:13" x14ac:dyDescent="0.25">
      <c r="A1069" s="43"/>
      <c r="B1069" s="43"/>
      <c r="C1069" s="16">
        <f t="shared" si="20"/>
        <v>22</v>
      </c>
      <c r="D1069" s="16" t="str" cm="1">
        <f t="array" ref="D1069">IFERROR(ROUNDUP(_xlfn.IFS(F1069="Aluminum Track", _xlfn.XLOOKUP(C1069, dd_accsrycalc!$A$2:$A$51, dd_accsrycalc!$B$2:$B$51, "",0), F1069="10 x 2 1/2 S (Flat)", _xlfn.XLOOKUP(C1069, dd_accsrycalc!$A$2:$A$51, dd_accsrycalc!$C$2:$C$51, "",0), F1069="Tox6", _xlfn.XLOOKUP(C1069, dd_accsrycalc!$A$2:$A$51, dd_accsrycalc!$D$2:$D$51, "",0), F1069="Cover Cap", _xlfn.XLOOKUP(C1069, dd_accsrycalc!$A$2:$A$51, dd_accsrycalc!$E$2:$E$51, "",0), F1069="Drainage Cover", _xlfn.XLOOKUP(C1069, dd_accsrycalc!$A$2:$A$51, dd_accsrycalc!$F$2:$F$51, "",0),AND( F1069="Double Adhesive Tape", I1069="Roll-up Screen"), _xlfn.XLOOKUP(C1069, calc_rusacc!$C$15:$C$65, calc_rusacc!$AD$15:$AD$65, "",0),AND( F1069="Sealant", I1069="Roll-up Screen"), _xlfn.XLOOKUP(C1069, calc_rusacc!$C$15:$C$65, calc_rusacc!$AF$15:$AF$65, "",0),  AND( F1069="Main Chain", I1069="Accordion Screen"), _xlfn.XLOOKUP(C1069, calc_rusacc!$C$15:$C$65, calc_rusacc!$BF$15:$BF$65, "",0), AND( F1069="Sealant", I1069="Accordion Screen"), _xlfn.XLOOKUP(C1069, calc_rusacc!$C$15:$C$65, calc_rusacc!$BJ$15:$BJ$65, "",0),  F1069="Sealant", _xlfn.XLOOKUP(C1069, dd_accsrycalc!$A$2:$A$51, dd_accsrycalc!$G$2:$G$51, "",0),  F1069&lt;&gt;"",L1069*_xlfn.XLOOKUP(1, (SKUs!$C$2:$C$10001=G1069)*(SKUs!$K$2:$K$10001=I1069),SKUs!$E$2:$E$10001)), 0),"")</f>
        <v/>
      </c>
      <c r="E1069" s="16" t="str">
        <f>_xlfn.XLOOKUP(F1069,dd_item!$B$2:$B$105,dd_item!$C$2:$C$105,"",0)</f>
        <v/>
      </c>
      <c r="F1069" s="16"/>
      <c r="G1069" s="16" cm="1">
        <f t="array" ref="G1069">IFERROR(_xlfn.XLOOKUP(1, (SKUs!$J$2:$J$10001=accsry_unmerged!F1069)*IF(H1069&lt;&gt;"",(SKUs!$L$2:$L$10001=accsry_unmerged!H1069),1)*(SKUs!$K$2:$K$10001=I1069),SKUs!$C$2:$C$10001),"")</f>
        <v>0</v>
      </c>
      <c r="H1069" s="33" cm="1">
        <f t="array" ref="H1069">IFERROR(_xlfn.XLOOKUP(1, (dd_accsryclr!$C$2:$C$1000=accsry_unmerged!F1069)*(dd_accsryclr!$B$2:$B$1000=accsry_unmerged!J1069),dd_accsryclr!$A$2:$A$1000),"")</f>
        <v>0</v>
      </c>
      <c r="I1069" s="16">
        <f>_xlfn.XLOOKUP(C1069,'Project Details'!$C$17:$C$66,'Project Details'!$E$17:$E$66,"",0)</f>
        <v>0</v>
      </c>
      <c r="J1069" s="16">
        <f>_xlfn.XLOOKUP(C1069,'Project Details'!$C$17:$C$66,'Project Details'!$H$17:$H$66,"",0)</f>
        <v>0</v>
      </c>
      <c r="K1069" s="33" t="str">
        <f>IF(AND(_xlfn.XLOOKUP(C1069,'Project Details'!$C$17:$C$66,'Project Details'!$L$17:$L$66,"",0)&gt;550, F1069="Spring-L27cm"),"",SUBSTITUTE(_xlfn.XLOOKUP(G1069,SKUs!$C$2:$C$10001,SKUs!$F$2:$F$10001,"",0), " Accessories",""))</f>
        <v/>
      </c>
      <c r="L1069" s="33">
        <f>_xlfn.XLOOKUP(C1069,'Project Details'!$C$17:$C$66,'Project Details'!$D$17:$D$66,"",0)</f>
        <v>0</v>
      </c>
      <c r="M1069" s="43"/>
    </row>
    <row r="1070" spans="1:13" x14ac:dyDescent="0.25">
      <c r="A1070" s="43"/>
      <c r="B1070" s="43"/>
      <c r="C1070" s="35">
        <f t="shared" si="20"/>
        <v>22</v>
      </c>
      <c r="D1070" s="35" t="str" cm="1">
        <f t="array" ref="D1070">IFERROR(ROUNDUP(_xlfn.IFS(F1070="Aluminum Track", _xlfn.XLOOKUP(C1070, dd_accsrycalc!$A$2:$A$51, dd_accsrycalc!$B$2:$B$51, "",0), F1070="10 x 2 1/2 S (Flat)", _xlfn.XLOOKUP(C1070, dd_accsrycalc!$A$2:$A$51, dd_accsrycalc!$C$2:$C$51, "",0), F1070="Tox6", _xlfn.XLOOKUP(C1070, dd_accsrycalc!$A$2:$A$51, dd_accsrycalc!$D$2:$D$51, "",0), F1070="Cover Cap", _xlfn.XLOOKUP(C1070, dd_accsrycalc!$A$2:$A$51, dd_accsrycalc!$E$2:$E$51, "",0), F1070="Drainage Cover", _xlfn.XLOOKUP(C1070, dd_accsrycalc!$A$2:$A$51, dd_accsrycalc!$F$2:$F$51, "",0),AND( F1070="Double Adhesive Tape", I1070="Roll-up Screen"), _xlfn.XLOOKUP(C1070, calc_rusacc!$C$15:$C$65, calc_rusacc!$AD$15:$AD$65, "",0),AND( F1070="Sealant", I1070="Roll-up Screen"), _xlfn.XLOOKUP(C1070, calc_rusacc!$C$15:$C$65, calc_rusacc!$AF$15:$AF$65, "",0),  AND( F1070="Main Chain", I1070="Accordion Screen"), _xlfn.XLOOKUP(C1070, calc_rusacc!$C$15:$C$65, calc_rusacc!$BF$15:$BF$65, "",0), AND( F1070="Sealant", I1070="Accordion Screen"), _xlfn.XLOOKUP(C1070, calc_rusacc!$C$15:$C$65, calc_rusacc!$BJ$15:$BJ$65, "",0),  F1070="Sealant", _xlfn.XLOOKUP(C1070, dd_accsrycalc!$A$2:$A$51, dd_accsrycalc!$G$2:$G$51, "",0),  F1070&lt;&gt;"",L1070*_xlfn.XLOOKUP(1, (SKUs!$C$2:$C$10001=G1070)*(SKUs!$K$2:$K$10001=I1070),SKUs!$E$2:$E$10001)), 0),"")</f>
        <v/>
      </c>
      <c r="E1070" s="35" t="str">
        <f>_xlfn.XLOOKUP(F1070,dd_item!$B$2:$B$105,dd_item!$C$2:$C$105,"",0)</f>
        <v/>
      </c>
      <c r="F1070" s="35"/>
      <c r="G1070" s="35" cm="1">
        <f t="array" ref="G1070">IFERROR(_xlfn.XLOOKUP(1, (SKUs!$J$2:$J$10001=accsry_unmerged!F1070)*IF(H1070&lt;&gt;"",(SKUs!$L$2:$L$10001=accsry_unmerged!H1070),1)*(SKUs!$K$2:$K$10001=I1070),SKUs!$C$2:$C$10001),"")</f>
        <v>0</v>
      </c>
      <c r="H1070" s="36" cm="1">
        <f t="array" ref="H1070">IFERROR(_xlfn.XLOOKUP(1, (dd_accsryclr!$C$2:$C$1000=accsry_unmerged!F1070)*(dd_accsryclr!$B$2:$B$1000=accsry_unmerged!J1070),dd_accsryclr!$A$2:$A$1000),"")</f>
        <v>0</v>
      </c>
      <c r="I1070" s="35">
        <f>_xlfn.XLOOKUP(C1070,'Project Details'!$C$17:$C$66,'Project Details'!$E$17:$E$66,"",0)</f>
        <v>0</v>
      </c>
      <c r="J1070" s="35">
        <f>_xlfn.XLOOKUP(C1070,'Project Details'!$C$17:$C$66,'Project Details'!$H$17:$H$66,"",0)</f>
        <v>0</v>
      </c>
      <c r="K1070" s="36" t="str">
        <f>IF(AND(_xlfn.XLOOKUP(C1070,'Project Details'!$C$17:$C$66,'Project Details'!$L$17:$L$66,"",0)&gt;550, F1070="Spring-L27cm"),"",SUBSTITUTE(_xlfn.XLOOKUP(G1070,SKUs!$C$2:$C$10001,SKUs!$F$2:$F$10001,"",0), " Accessories",""))</f>
        <v/>
      </c>
      <c r="L1070" s="36">
        <f>_xlfn.XLOOKUP(C1070,'Project Details'!$C$17:$C$66,'Project Details'!$D$17:$D$66,"",0)</f>
        <v>0</v>
      </c>
      <c r="M1070" s="43"/>
    </row>
    <row r="1071" spans="1:13" x14ac:dyDescent="0.25">
      <c r="A1071" s="43"/>
      <c r="B1071" s="43"/>
      <c r="C1071" s="16">
        <f t="shared" si="20"/>
        <v>22</v>
      </c>
      <c r="D1071" s="16" t="str" cm="1">
        <f t="array" ref="D1071">IFERROR(ROUNDUP(_xlfn.IFS(F1071="Aluminum Track", _xlfn.XLOOKUP(C1071, dd_accsrycalc!$A$2:$A$51, dd_accsrycalc!$B$2:$B$51, "",0), F1071="10 x 2 1/2 S (Flat)", _xlfn.XLOOKUP(C1071, dd_accsrycalc!$A$2:$A$51, dd_accsrycalc!$C$2:$C$51, "",0), F1071="Tox6", _xlfn.XLOOKUP(C1071, dd_accsrycalc!$A$2:$A$51, dd_accsrycalc!$D$2:$D$51, "",0), F1071="Cover Cap", _xlfn.XLOOKUP(C1071, dd_accsrycalc!$A$2:$A$51, dd_accsrycalc!$E$2:$E$51, "",0), F1071="Drainage Cover", _xlfn.XLOOKUP(C1071, dd_accsrycalc!$A$2:$A$51, dd_accsrycalc!$F$2:$F$51, "",0),AND( F1071="Double Adhesive Tape", I1071="Roll-up Screen"), _xlfn.XLOOKUP(C1071, calc_rusacc!$C$15:$C$65, calc_rusacc!$AD$15:$AD$65, "",0),AND( F1071="Sealant", I1071="Roll-up Screen"), _xlfn.XLOOKUP(C1071, calc_rusacc!$C$15:$C$65, calc_rusacc!$AF$15:$AF$65, "",0),  AND( F1071="Main Chain", I1071="Accordion Screen"), _xlfn.XLOOKUP(C1071, calc_rusacc!$C$15:$C$65, calc_rusacc!$BF$15:$BF$65, "",0), AND( F1071="Sealant", I1071="Accordion Screen"), _xlfn.XLOOKUP(C1071, calc_rusacc!$C$15:$C$65, calc_rusacc!$BJ$15:$BJ$65, "",0),  F1071="Sealant", _xlfn.XLOOKUP(C1071, dd_accsrycalc!$A$2:$A$51, dd_accsrycalc!$G$2:$G$51, "",0),  F1071&lt;&gt;"",L1071*_xlfn.XLOOKUP(1, (SKUs!$C$2:$C$10001=G1071)*(SKUs!$K$2:$K$10001=I1071),SKUs!$E$2:$E$10001)), 0),"")</f>
        <v/>
      </c>
      <c r="E1071" s="16" t="str">
        <f>_xlfn.XLOOKUP(F1071,dd_item!$B$2:$B$105,dd_item!$C$2:$C$105,"",0)</f>
        <v/>
      </c>
      <c r="F1071" s="16"/>
      <c r="G1071" s="16" cm="1">
        <f t="array" ref="G1071">IFERROR(_xlfn.XLOOKUP(1, (SKUs!$J$2:$J$10001=accsry_unmerged!F1071)*IF(H1071&lt;&gt;"",(SKUs!$L$2:$L$10001=accsry_unmerged!H1071),1)*(SKUs!$K$2:$K$10001=I1071),SKUs!$C$2:$C$10001),"")</f>
        <v>0</v>
      </c>
      <c r="H1071" s="33" cm="1">
        <f t="array" ref="H1071">IFERROR(_xlfn.XLOOKUP(1, (dd_accsryclr!$C$2:$C$1000=accsry_unmerged!F1071)*(dd_accsryclr!$B$2:$B$1000=accsry_unmerged!J1071),dd_accsryclr!$A$2:$A$1000),"")</f>
        <v>0</v>
      </c>
      <c r="I1071" s="16">
        <f>_xlfn.XLOOKUP(C1071,'Project Details'!$C$17:$C$66,'Project Details'!$E$17:$E$66,"",0)</f>
        <v>0</v>
      </c>
      <c r="J1071" s="16">
        <f>_xlfn.XLOOKUP(C1071,'Project Details'!$C$17:$C$66,'Project Details'!$H$17:$H$66,"",0)</f>
        <v>0</v>
      </c>
      <c r="K1071" s="33" t="str">
        <f>IF(AND(_xlfn.XLOOKUP(C1071,'Project Details'!$C$17:$C$66,'Project Details'!$L$17:$L$66,"",0)&gt;550, F1071="Spring-L27cm"),"",SUBSTITUTE(_xlfn.XLOOKUP(G1071,SKUs!$C$2:$C$10001,SKUs!$F$2:$F$10001,"",0), " Accessories",""))</f>
        <v/>
      </c>
      <c r="L1071" s="33">
        <f>_xlfn.XLOOKUP(C1071,'Project Details'!$C$17:$C$66,'Project Details'!$D$17:$D$66,"",0)</f>
        <v>0</v>
      </c>
      <c r="M1071" s="43"/>
    </row>
    <row r="1072" spans="1:13" x14ac:dyDescent="0.25">
      <c r="A1072" s="43"/>
      <c r="B1072" s="43"/>
      <c r="C1072" s="35">
        <f t="shared" si="20"/>
        <v>22</v>
      </c>
      <c r="D1072" s="35" t="str" cm="1">
        <f t="array" ref="D1072">IFERROR(ROUNDUP(_xlfn.IFS(F1072="Aluminum Track", _xlfn.XLOOKUP(C1072, dd_accsrycalc!$A$2:$A$51, dd_accsrycalc!$B$2:$B$51, "",0), F1072="10 x 2 1/2 S (Flat)", _xlfn.XLOOKUP(C1072, dd_accsrycalc!$A$2:$A$51, dd_accsrycalc!$C$2:$C$51, "",0), F1072="Tox6", _xlfn.XLOOKUP(C1072, dd_accsrycalc!$A$2:$A$51, dd_accsrycalc!$D$2:$D$51, "",0), F1072="Cover Cap", _xlfn.XLOOKUP(C1072, dd_accsrycalc!$A$2:$A$51, dd_accsrycalc!$E$2:$E$51, "",0), F1072="Drainage Cover", _xlfn.XLOOKUP(C1072, dd_accsrycalc!$A$2:$A$51, dd_accsrycalc!$F$2:$F$51, "",0),AND( F1072="Double Adhesive Tape", I1072="Roll-up Screen"), _xlfn.XLOOKUP(C1072, calc_rusacc!$C$15:$C$65, calc_rusacc!$AD$15:$AD$65, "",0),AND( F1072="Sealant", I1072="Roll-up Screen"), _xlfn.XLOOKUP(C1072, calc_rusacc!$C$15:$C$65, calc_rusacc!$AF$15:$AF$65, "",0),  AND( F1072="Main Chain", I1072="Accordion Screen"), _xlfn.XLOOKUP(C1072, calc_rusacc!$C$15:$C$65, calc_rusacc!$BF$15:$BF$65, "",0), AND( F1072="Sealant", I1072="Accordion Screen"), _xlfn.XLOOKUP(C1072, calc_rusacc!$C$15:$C$65, calc_rusacc!$BJ$15:$BJ$65, "",0),  F1072="Sealant", _xlfn.XLOOKUP(C1072, dd_accsrycalc!$A$2:$A$51, dd_accsrycalc!$G$2:$G$51, "",0),  F1072&lt;&gt;"",L1072*_xlfn.XLOOKUP(1, (SKUs!$C$2:$C$10001=G1072)*(SKUs!$K$2:$K$10001=I1072),SKUs!$E$2:$E$10001)), 0),"")</f>
        <v/>
      </c>
      <c r="E1072" s="35" t="str">
        <f>_xlfn.XLOOKUP(F1072,dd_item!$B$2:$B$105,dd_item!$C$2:$C$105,"",0)</f>
        <v/>
      </c>
      <c r="F1072" s="35"/>
      <c r="G1072" s="35" cm="1">
        <f t="array" ref="G1072">IFERROR(_xlfn.XLOOKUP(1, (SKUs!$J$2:$J$10001=accsry_unmerged!F1072)*IF(H1072&lt;&gt;"",(SKUs!$L$2:$L$10001=accsry_unmerged!H1072),1)*(SKUs!$K$2:$K$10001=I1072),SKUs!$C$2:$C$10001),"")</f>
        <v>0</v>
      </c>
      <c r="H1072" s="36" cm="1">
        <f t="array" ref="H1072">IFERROR(_xlfn.XLOOKUP(1, (dd_accsryclr!$C$2:$C$1000=accsry_unmerged!F1072)*(dd_accsryclr!$B$2:$B$1000=accsry_unmerged!J1072),dd_accsryclr!$A$2:$A$1000),"")</f>
        <v>0</v>
      </c>
      <c r="I1072" s="35">
        <f>_xlfn.XLOOKUP(C1072,'Project Details'!$C$17:$C$66,'Project Details'!$E$17:$E$66,"",0)</f>
        <v>0</v>
      </c>
      <c r="J1072" s="35">
        <f>_xlfn.XLOOKUP(C1072,'Project Details'!$C$17:$C$66,'Project Details'!$H$17:$H$66,"",0)</f>
        <v>0</v>
      </c>
      <c r="K1072" s="36" t="str">
        <f>IF(AND(_xlfn.XLOOKUP(C1072,'Project Details'!$C$17:$C$66,'Project Details'!$L$17:$L$66,"",0)&gt;550, F1072="Spring-L27cm"),"",SUBSTITUTE(_xlfn.XLOOKUP(G1072,SKUs!$C$2:$C$10001,SKUs!$F$2:$F$10001,"",0), " Accessories",""))</f>
        <v/>
      </c>
      <c r="L1072" s="36">
        <f>_xlfn.XLOOKUP(C1072,'Project Details'!$C$17:$C$66,'Project Details'!$D$17:$D$66,"",0)</f>
        <v>0</v>
      </c>
      <c r="M1072" s="43"/>
    </row>
    <row r="1073" spans="1:13" x14ac:dyDescent="0.25">
      <c r="A1073" s="43"/>
      <c r="B1073" s="43"/>
      <c r="C1073" s="16">
        <f t="shared" si="20"/>
        <v>22</v>
      </c>
      <c r="D1073" s="16" t="str" cm="1">
        <f t="array" ref="D1073">IFERROR(ROUNDUP(_xlfn.IFS(F1073="Aluminum Track", _xlfn.XLOOKUP(C1073, dd_accsrycalc!$A$2:$A$51, dd_accsrycalc!$B$2:$B$51, "",0), F1073="10 x 2 1/2 S (Flat)", _xlfn.XLOOKUP(C1073, dd_accsrycalc!$A$2:$A$51, dd_accsrycalc!$C$2:$C$51, "",0), F1073="Tox6", _xlfn.XLOOKUP(C1073, dd_accsrycalc!$A$2:$A$51, dd_accsrycalc!$D$2:$D$51, "",0), F1073="Cover Cap", _xlfn.XLOOKUP(C1073, dd_accsrycalc!$A$2:$A$51, dd_accsrycalc!$E$2:$E$51, "",0), F1073="Drainage Cover", _xlfn.XLOOKUP(C1073, dd_accsrycalc!$A$2:$A$51, dd_accsrycalc!$F$2:$F$51, "",0),AND( F1073="Double Adhesive Tape", I1073="Roll-up Screen"), _xlfn.XLOOKUP(C1073, calc_rusacc!$C$15:$C$65, calc_rusacc!$AD$15:$AD$65, "",0),AND( F1073="Sealant", I1073="Roll-up Screen"), _xlfn.XLOOKUP(C1073, calc_rusacc!$C$15:$C$65, calc_rusacc!$AF$15:$AF$65, "",0),  AND( F1073="Main Chain", I1073="Accordion Screen"), _xlfn.XLOOKUP(C1073, calc_rusacc!$C$15:$C$65, calc_rusacc!$BF$15:$BF$65, "",0), AND( F1073="Sealant", I1073="Accordion Screen"), _xlfn.XLOOKUP(C1073, calc_rusacc!$C$15:$C$65, calc_rusacc!$BJ$15:$BJ$65, "",0),  F1073="Sealant", _xlfn.XLOOKUP(C1073, dd_accsrycalc!$A$2:$A$51, dd_accsrycalc!$G$2:$G$51, "",0),  F1073&lt;&gt;"",L1073*_xlfn.XLOOKUP(1, (SKUs!$C$2:$C$10001=G1073)*(SKUs!$K$2:$K$10001=I1073),SKUs!$E$2:$E$10001)), 0),"")</f>
        <v/>
      </c>
      <c r="E1073" s="16" t="str">
        <f>_xlfn.XLOOKUP(F1073,dd_item!$B$2:$B$105,dd_item!$C$2:$C$105,"",0)</f>
        <v/>
      </c>
      <c r="F1073" s="16"/>
      <c r="G1073" s="16" cm="1">
        <f t="array" ref="G1073">IFERROR(_xlfn.XLOOKUP(1, (SKUs!$J$2:$J$10001=accsry_unmerged!F1073)*IF(H1073&lt;&gt;"",(SKUs!$L$2:$L$10001=accsry_unmerged!H1073),1)*(SKUs!$K$2:$K$10001=I1073),SKUs!$C$2:$C$10001),"")</f>
        <v>0</v>
      </c>
      <c r="H1073" s="33" cm="1">
        <f t="array" ref="H1073">IFERROR(_xlfn.XLOOKUP(1, (dd_accsryclr!$C$2:$C$1000=accsry_unmerged!F1073)*(dd_accsryclr!$B$2:$B$1000=accsry_unmerged!J1073),dd_accsryclr!$A$2:$A$1000),"")</f>
        <v>0</v>
      </c>
      <c r="I1073" s="16">
        <f>_xlfn.XLOOKUP(C1073,'Project Details'!$C$17:$C$66,'Project Details'!$E$17:$E$66,"",0)</f>
        <v>0</v>
      </c>
      <c r="J1073" s="16">
        <f>_xlfn.XLOOKUP(C1073,'Project Details'!$C$17:$C$66,'Project Details'!$H$17:$H$66,"",0)</f>
        <v>0</v>
      </c>
      <c r="K1073" s="33" t="str">
        <f>IF(AND(_xlfn.XLOOKUP(C1073,'Project Details'!$C$17:$C$66,'Project Details'!$L$17:$L$66,"",0)&gt;550, F1073="Spring-L27cm"),"",SUBSTITUTE(_xlfn.XLOOKUP(G1073,SKUs!$C$2:$C$10001,SKUs!$F$2:$F$10001,"",0), " Accessories",""))</f>
        <v/>
      </c>
      <c r="L1073" s="33">
        <f>_xlfn.XLOOKUP(C1073,'Project Details'!$C$17:$C$66,'Project Details'!$D$17:$D$66,"",0)</f>
        <v>0</v>
      </c>
      <c r="M1073" s="43"/>
    </row>
    <row r="1074" spans="1:13" x14ac:dyDescent="0.25">
      <c r="A1074" s="43"/>
      <c r="B1074" s="43"/>
      <c r="C1074" s="35">
        <f t="shared" si="20"/>
        <v>22</v>
      </c>
      <c r="D1074" s="35" t="str" cm="1">
        <f t="array" ref="D1074">IFERROR(ROUNDUP(_xlfn.IFS(F1074="Aluminum Track", _xlfn.XLOOKUP(C1074, dd_accsrycalc!$A$2:$A$51, dd_accsrycalc!$B$2:$B$51, "",0), F1074="10 x 2 1/2 S (Flat)", _xlfn.XLOOKUP(C1074, dd_accsrycalc!$A$2:$A$51, dd_accsrycalc!$C$2:$C$51, "",0), F1074="Tox6", _xlfn.XLOOKUP(C1074, dd_accsrycalc!$A$2:$A$51, dd_accsrycalc!$D$2:$D$51, "",0), F1074="Cover Cap", _xlfn.XLOOKUP(C1074, dd_accsrycalc!$A$2:$A$51, dd_accsrycalc!$E$2:$E$51, "",0), F1074="Drainage Cover", _xlfn.XLOOKUP(C1074, dd_accsrycalc!$A$2:$A$51, dd_accsrycalc!$F$2:$F$51, "",0),AND( F1074="Double Adhesive Tape", I1074="Roll-up Screen"), _xlfn.XLOOKUP(C1074, calc_rusacc!$C$15:$C$65, calc_rusacc!$AD$15:$AD$65, "",0),AND( F1074="Sealant", I1074="Roll-up Screen"), _xlfn.XLOOKUP(C1074, calc_rusacc!$C$15:$C$65, calc_rusacc!$AF$15:$AF$65, "",0),  AND( F1074="Main Chain", I1074="Accordion Screen"), _xlfn.XLOOKUP(C1074, calc_rusacc!$C$15:$C$65, calc_rusacc!$BF$15:$BF$65, "",0), AND( F1074="Sealant", I1074="Accordion Screen"), _xlfn.XLOOKUP(C1074, calc_rusacc!$C$15:$C$65, calc_rusacc!$BJ$15:$BJ$65, "",0),  F1074="Sealant", _xlfn.XLOOKUP(C1074, dd_accsrycalc!$A$2:$A$51, dd_accsrycalc!$G$2:$G$51, "",0),  F1074&lt;&gt;"",L1074*_xlfn.XLOOKUP(1, (SKUs!$C$2:$C$10001=G1074)*(SKUs!$K$2:$K$10001=I1074),SKUs!$E$2:$E$10001)), 0),"")</f>
        <v/>
      </c>
      <c r="E1074" s="35" t="str">
        <f>_xlfn.XLOOKUP(F1074,dd_item!$B$2:$B$105,dd_item!$C$2:$C$105,"",0)</f>
        <v/>
      </c>
      <c r="F1074" s="35"/>
      <c r="G1074" s="35" cm="1">
        <f t="array" ref="G1074">IFERROR(_xlfn.XLOOKUP(1, (SKUs!$J$2:$J$10001=accsry_unmerged!F1074)*IF(H1074&lt;&gt;"",(SKUs!$L$2:$L$10001=accsry_unmerged!H1074),1)*(SKUs!$K$2:$K$10001=I1074),SKUs!$C$2:$C$10001),"")</f>
        <v>0</v>
      </c>
      <c r="H1074" s="36" cm="1">
        <f t="array" ref="H1074">IFERROR(_xlfn.XLOOKUP(1, (dd_accsryclr!$C$2:$C$1000=accsry_unmerged!F1074)*(dd_accsryclr!$B$2:$B$1000=accsry_unmerged!J1074),dd_accsryclr!$A$2:$A$1000),"")</f>
        <v>0</v>
      </c>
      <c r="I1074" s="35">
        <f>_xlfn.XLOOKUP(C1074,'Project Details'!$C$17:$C$66,'Project Details'!$E$17:$E$66,"",0)</f>
        <v>0</v>
      </c>
      <c r="J1074" s="35">
        <f>_xlfn.XLOOKUP(C1074,'Project Details'!$C$17:$C$66,'Project Details'!$H$17:$H$66,"",0)</f>
        <v>0</v>
      </c>
      <c r="K1074" s="36" t="str">
        <f>IF(AND(_xlfn.XLOOKUP(C1074,'Project Details'!$C$17:$C$66,'Project Details'!$L$17:$L$66,"",0)&gt;550, F1074="Spring-L27cm"),"",SUBSTITUTE(_xlfn.XLOOKUP(G1074,SKUs!$C$2:$C$10001,SKUs!$F$2:$F$10001,"",0), " Accessories",""))</f>
        <v/>
      </c>
      <c r="L1074" s="36">
        <f>_xlfn.XLOOKUP(C1074,'Project Details'!$C$17:$C$66,'Project Details'!$D$17:$D$66,"",0)</f>
        <v>0</v>
      </c>
      <c r="M1074" s="43"/>
    </row>
    <row r="1075" spans="1:13" x14ac:dyDescent="0.25">
      <c r="A1075" s="43"/>
      <c r="B1075" s="43"/>
      <c r="C1075" s="16">
        <f t="shared" si="20"/>
        <v>22</v>
      </c>
      <c r="D1075" s="16" t="str" cm="1">
        <f t="array" ref="D1075">IFERROR(ROUNDUP(_xlfn.IFS(F1075="Aluminum Track", _xlfn.XLOOKUP(C1075, dd_accsrycalc!$A$2:$A$51, dd_accsrycalc!$B$2:$B$51, "",0), F1075="10 x 2 1/2 S (Flat)", _xlfn.XLOOKUP(C1075, dd_accsrycalc!$A$2:$A$51, dd_accsrycalc!$C$2:$C$51, "",0), F1075="Tox6", _xlfn.XLOOKUP(C1075, dd_accsrycalc!$A$2:$A$51, dd_accsrycalc!$D$2:$D$51, "",0), F1075="Cover Cap", _xlfn.XLOOKUP(C1075, dd_accsrycalc!$A$2:$A$51, dd_accsrycalc!$E$2:$E$51, "",0), F1075="Drainage Cover", _xlfn.XLOOKUP(C1075, dd_accsrycalc!$A$2:$A$51, dd_accsrycalc!$F$2:$F$51, "",0),AND( F1075="Double Adhesive Tape", I1075="Roll-up Screen"), _xlfn.XLOOKUP(C1075, calc_rusacc!$C$15:$C$65, calc_rusacc!$AD$15:$AD$65, "",0),AND( F1075="Sealant", I1075="Roll-up Screen"), _xlfn.XLOOKUP(C1075, calc_rusacc!$C$15:$C$65, calc_rusacc!$AF$15:$AF$65, "",0),  AND( F1075="Main Chain", I1075="Accordion Screen"), _xlfn.XLOOKUP(C1075, calc_rusacc!$C$15:$C$65, calc_rusacc!$BF$15:$BF$65, "",0), AND( F1075="Sealant", I1075="Accordion Screen"), _xlfn.XLOOKUP(C1075, calc_rusacc!$C$15:$C$65, calc_rusacc!$BJ$15:$BJ$65, "",0),  F1075="Sealant", _xlfn.XLOOKUP(C1075, dd_accsrycalc!$A$2:$A$51, dd_accsrycalc!$G$2:$G$51, "",0),  F1075&lt;&gt;"",L1075*_xlfn.XLOOKUP(1, (SKUs!$C$2:$C$10001=G1075)*(SKUs!$K$2:$K$10001=I1075),SKUs!$E$2:$E$10001)), 0),"")</f>
        <v/>
      </c>
      <c r="E1075" s="16" t="str">
        <f>_xlfn.XLOOKUP(F1075,dd_item!$B$2:$B$105,dd_item!$C$2:$C$105,"",0)</f>
        <v/>
      </c>
      <c r="F1075" s="16"/>
      <c r="G1075" s="16" cm="1">
        <f t="array" ref="G1075">IFERROR(_xlfn.XLOOKUP(1, (SKUs!$J$2:$J$10001=accsry_unmerged!F1075)*IF(H1075&lt;&gt;"",(SKUs!$L$2:$L$10001=accsry_unmerged!H1075),1)*(SKUs!$K$2:$K$10001=I1075),SKUs!$C$2:$C$10001),"")</f>
        <v>0</v>
      </c>
      <c r="H1075" s="33" cm="1">
        <f t="array" ref="H1075">IFERROR(_xlfn.XLOOKUP(1, (dd_accsryclr!$C$2:$C$1000=accsry_unmerged!F1075)*(dd_accsryclr!$B$2:$B$1000=accsry_unmerged!J1075),dd_accsryclr!$A$2:$A$1000),"")</f>
        <v>0</v>
      </c>
      <c r="I1075" s="16">
        <f>_xlfn.XLOOKUP(C1075,'Project Details'!$C$17:$C$66,'Project Details'!$E$17:$E$66,"",0)</f>
        <v>0</v>
      </c>
      <c r="J1075" s="16">
        <f>_xlfn.XLOOKUP(C1075,'Project Details'!$C$17:$C$66,'Project Details'!$H$17:$H$66,"",0)</f>
        <v>0</v>
      </c>
      <c r="K1075" s="33" t="str">
        <f>IF(AND(_xlfn.XLOOKUP(C1075,'Project Details'!$C$17:$C$66,'Project Details'!$L$17:$L$66,"",0)&gt;550, F1075="Spring-L27cm"),"",SUBSTITUTE(_xlfn.XLOOKUP(G1075,SKUs!$C$2:$C$10001,SKUs!$F$2:$F$10001,"",0), " Accessories",""))</f>
        <v/>
      </c>
      <c r="L1075" s="33">
        <f>_xlfn.XLOOKUP(C1075,'Project Details'!$C$17:$C$66,'Project Details'!$D$17:$D$66,"",0)</f>
        <v>0</v>
      </c>
      <c r="M1075" s="43"/>
    </row>
    <row r="1076" spans="1:13" x14ac:dyDescent="0.25">
      <c r="A1076" s="43"/>
      <c r="B1076" s="43"/>
      <c r="C1076" s="35">
        <f t="shared" si="20"/>
        <v>22</v>
      </c>
      <c r="D1076" s="35" t="str" cm="1">
        <f t="array" ref="D1076">IFERROR(ROUNDUP(_xlfn.IFS(F1076="Aluminum Track", _xlfn.XLOOKUP(C1076, dd_accsrycalc!$A$2:$A$51, dd_accsrycalc!$B$2:$B$51, "",0), F1076="10 x 2 1/2 S (Flat)", _xlfn.XLOOKUP(C1076, dd_accsrycalc!$A$2:$A$51, dd_accsrycalc!$C$2:$C$51, "",0), F1076="Tox6", _xlfn.XLOOKUP(C1076, dd_accsrycalc!$A$2:$A$51, dd_accsrycalc!$D$2:$D$51, "",0), F1076="Cover Cap", _xlfn.XLOOKUP(C1076, dd_accsrycalc!$A$2:$A$51, dd_accsrycalc!$E$2:$E$51, "",0), F1076="Drainage Cover", _xlfn.XLOOKUP(C1076, dd_accsrycalc!$A$2:$A$51, dd_accsrycalc!$F$2:$F$51, "",0),AND( F1076="Double Adhesive Tape", I1076="Roll-up Screen"), _xlfn.XLOOKUP(C1076, calc_rusacc!$C$15:$C$65, calc_rusacc!$AD$15:$AD$65, "",0),AND( F1076="Sealant", I1076="Roll-up Screen"), _xlfn.XLOOKUP(C1076, calc_rusacc!$C$15:$C$65, calc_rusacc!$AF$15:$AF$65, "",0),  AND( F1076="Main Chain", I1076="Accordion Screen"), _xlfn.XLOOKUP(C1076, calc_rusacc!$C$15:$C$65, calc_rusacc!$BF$15:$BF$65, "",0), AND( F1076="Sealant", I1076="Accordion Screen"), _xlfn.XLOOKUP(C1076, calc_rusacc!$C$15:$C$65, calc_rusacc!$BJ$15:$BJ$65, "",0),  F1076="Sealant", _xlfn.XLOOKUP(C1076, dd_accsrycalc!$A$2:$A$51, dd_accsrycalc!$G$2:$G$51, "",0),  F1076&lt;&gt;"",L1076*_xlfn.XLOOKUP(1, (SKUs!$C$2:$C$10001=G1076)*(SKUs!$K$2:$K$10001=I1076),SKUs!$E$2:$E$10001)), 0),"")</f>
        <v/>
      </c>
      <c r="E1076" s="35" t="str">
        <f>_xlfn.XLOOKUP(F1076,dd_item!$B$2:$B$105,dd_item!$C$2:$C$105,"",0)</f>
        <v/>
      </c>
      <c r="F1076" s="35"/>
      <c r="G1076" s="35" cm="1">
        <f t="array" ref="G1076">IFERROR(_xlfn.XLOOKUP(1, (SKUs!$J$2:$J$10001=accsry_unmerged!F1076)*IF(H1076&lt;&gt;"",(SKUs!$L$2:$L$10001=accsry_unmerged!H1076),1)*(SKUs!$K$2:$K$10001=I1076),SKUs!$C$2:$C$10001),"")</f>
        <v>0</v>
      </c>
      <c r="H1076" s="36" cm="1">
        <f t="array" ref="H1076">IFERROR(_xlfn.XLOOKUP(1, (dd_accsryclr!$C$2:$C$1000=accsry_unmerged!F1076)*(dd_accsryclr!$B$2:$B$1000=accsry_unmerged!J1076),dd_accsryclr!$A$2:$A$1000),"")</f>
        <v>0</v>
      </c>
      <c r="I1076" s="35">
        <f>_xlfn.XLOOKUP(C1076,'Project Details'!$C$17:$C$66,'Project Details'!$E$17:$E$66,"",0)</f>
        <v>0</v>
      </c>
      <c r="J1076" s="35">
        <f>_xlfn.XLOOKUP(C1076,'Project Details'!$C$17:$C$66,'Project Details'!$H$17:$H$66,"",0)</f>
        <v>0</v>
      </c>
      <c r="K1076" s="36" t="str">
        <f>IF(AND(_xlfn.XLOOKUP(C1076,'Project Details'!$C$17:$C$66,'Project Details'!$L$17:$L$66,"",0)&gt;550, F1076="Spring-L27cm"),"",SUBSTITUTE(_xlfn.XLOOKUP(G1076,SKUs!$C$2:$C$10001,SKUs!$F$2:$F$10001,"",0), " Accessories",""))</f>
        <v/>
      </c>
      <c r="L1076" s="36">
        <f>_xlfn.XLOOKUP(C1076,'Project Details'!$C$17:$C$66,'Project Details'!$D$17:$D$66,"",0)</f>
        <v>0</v>
      </c>
      <c r="M1076" s="43"/>
    </row>
    <row r="1077" spans="1:13" x14ac:dyDescent="0.25">
      <c r="A1077" s="43"/>
      <c r="B1077" s="43"/>
      <c r="C1077" s="16">
        <f t="shared" si="20"/>
        <v>22</v>
      </c>
      <c r="D1077" s="16" t="str" cm="1">
        <f t="array" ref="D1077">IFERROR(ROUNDUP(_xlfn.IFS(F1077="Aluminum Track", _xlfn.XLOOKUP(C1077, dd_accsrycalc!$A$2:$A$51, dd_accsrycalc!$B$2:$B$51, "",0), F1077="10 x 2 1/2 S (Flat)", _xlfn.XLOOKUP(C1077, dd_accsrycalc!$A$2:$A$51, dd_accsrycalc!$C$2:$C$51, "",0), F1077="Tox6", _xlfn.XLOOKUP(C1077, dd_accsrycalc!$A$2:$A$51, dd_accsrycalc!$D$2:$D$51, "",0), F1077="Cover Cap", _xlfn.XLOOKUP(C1077, dd_accsrycalc!$A$2:$A$51, dd_accsrycalc!$E$2:$E$51, "",0), F1077="Drainage Cover", _xlfn.XLOOKUP(C1077, dd_accsrycalc!$A$2:$A$51, dd_accsrycalc!$F$2:$F$51, "",0),AND( F1077="Double Adhesive Tape", I1077="Roll-up Screen"), _xlfn.XLOOKUP(C1077, calc_rusacc!$C$15:$C$65, calc_rusacc!$AD$15:$AD$65, "",0),AND( F1077="Sealant", I1077="Roll-up Screen"), _xlfn.XLOOKUP(C1077, calc_rusacc!$C$15:$C$65, calc_rusacc!$AF$15:$AF$65, "",0),  AND( F1077="Main Chain", I1077="Accordion Screen"), _xlfn.XLOOKUP(C1077, calc_rusacc!$C$15:$C$65, calc_rusacc!$BF$15:$BF$65, "",0), AND( F1077="Sealant", I1077="Accordion Screen"), _xlfn.XLOOKUP(C1077, calc_rusacc!$C$15:$C$65, calc_rusacc!$BJ$15:$BJ$65, "",0),  F1077="Sealant", _xlfn.XLOOKUP(C1077, dd_accsrycalc!$A$2:$A$51, dd_accsrycalc!$G$2:$G$51, "",0),  F1077&lt;&gt;"",L1077*_xlfn.XLOOKUP(1, (SKUs!$C$2:$C$10001=G1077)*(SKUs!$K$2:$K$10001=I1077),SKUs!$E$2:$E$10001)), 0),"")</f>
        <v/>
      </c>
      <c r="E1077" s="16" t="str">
        <f>_xlfn.XLOOKUP(F1077,dd_item!$B$2:$B$105,dd_item!$C$2:$C$105,"",0)</f>
        <v/>
      </c>
      <c r="F1077" s="16"/>
      <c r="G1077" s="16" cm="1">
        <f t="array" ref="G1077">IFERROR(_xlfn.XLOOKUP(1, (SKUs!$J$2:$J$10001=accsry_unmerged!F1077)*IF(H1077&lt;&gt;"",(SKUs!$L$2:$L$10001=accsry_unmerged!H1077),1)*(SKUs!$K$2:$K$10001=I1077),SKUs!$C$2:$C$10001),"")</f>
        <v>0</v>
      </c>
      <c r="H1077" s="33" cm="1">
        <f t="array" ref="H1077">IFERROR(_xlfn.XLOOKUP(1, (dd_accsryclr!$C$2:$C$1000=accsry_unmerged!F1077)*(dd_accsryclr!$B$2:$B$1000=accsry_unmerged!J1077),dd_accsryclr!$A$2:$A$1000),"")</f>
        <v>0</v>
      </c>
      <c r="I1077" s="16">
        <f>_xlfn.XLOOKUP(C1077,'Project Details'!$C$17:$C$66,'Project Details'!$E$17:$E$66,"",0)</f>
        <v>0</v>
      </c>
      <c r="J1077" s="16">
        <f>_xlfn.XLOOKUP(C1077,'Project Details'!$C$17:$C$66,'Project Details'!$H$17:$H$66,"",0)</f>
        <v>0</v>
      </c>
      <c r="K1077" s="33" t="str">
        <f>IF(AND(_xlfn.XLOOKUP(C1077,'Project Details'!$C$17:$C$66,'Project Details'!$L$17:$L$66,"",0)&gt;550, F1077="Spring-L27cm"),"",SUBSTITUTE(_xlfn.XLOOKUP(G1077,SKUs!$C$2:$C$10001,SKUs!$F$2:$F$10001,"",0), " Accessories",""))</f>
        <v/>
      </c>
      <c r="L1077" s="33">
        <f>_xlfn.XLOOKUP(C1077,'Project Details'!$C$17:$C$66,'Project Details'!$D$17:$D$66,"",0)</f>
        <v>0</v>
      </c>
      <c r="M1077" s="43"/>
    </row>
    <row r="1078" spans="1:13" x14ac:dyDescent="0.25">
      <c r="A1078" s="43"/>
      <c r="B1078" s="43"/>
      <c r="C1078" s="35">
        <f t="shared" si="20"/>
        <v>22</v>
      </c>
      <c r="D1078" s="35" t="str" cm="1">
        <f t="array" ref="D1078">IFERROR(ROUNDUP(_xlfn.IFS(F1078="Aluminum Track", _xlfn.XLOOKUP(C1078, dd_accsrycalc!$A$2:$A$51, dd_accsrycalc!$B$2:$B$51, "",0), F1078="10 x 2 1/2 S (Flat)", _xlfn.XLOOKUP(C1078, dd_accsrycalc!$A$2:$A$51, dd_accsrycalc!$C$2:$C$51, "",0), F1078="Tox6", _xlfn.XLOOKUP(C1078, dd_accsrycalc!$A$2:$A$51, dd_accsrycalc!$D$2:$D$51, "",0), F1078="Cover Cap", _xlfn.XLOOKUP(C1078, dd_accsrycalc!$A$2:$A$51, dd_accsrycalc!$E$2:$E$51, "",0), F1078="Drainage Cover", _xlfn.XLOOKUP(C1078, dd_accsrycalc!$A$2:$A$51, dd_accsrycalc!$F$2:$F$51, "",0),AND( F1078="Double Adhesive Tape", I1078="Roll-up Screen"), _xlfn.XLOOKUP(C1078, calc_rusacc!$C$15:$C$65, calc_rusacc!$AD$15:$AD$65, "",0),AND( F1078="Sealant", I1078="Roll-up Screen"), _xlfn.XLOOKUP(C1078, calc_rusacc!$C$15:$C$65, calc_rusacc!$AF$15:$AF$65, "",0),  AND( F1078="Main Chain", I1078="Accordion Screen"), _xlfn.XLOOKUP(C1078, calc_rusacc!$C$15:$C$65, calc_rusacc!$BF$15:$BF$65, "",0), AND( F1078="Sealant", I1078="Accordion Screen"), _xlfn.XLOOKUP(C1078, calc_rusacc!$C$15:$C$65, calc_rusacc!$BJ$15:$BJ$65, "",0),  F1078="Sealant", _xlfn.XLOOKUP(C1078, dd_accsrycalc!$A$2:$A$51, dd_accsrycalc!$G$2:$G$51, "",0),  F1078&lt;&gt;"",L1078*_xlfn.XLOOKUP(1, (SKUs!$C$2:$C$10001=G1078)*(SKUs!$K$2:$K$10001=I1078),SKUs!$E$2:$E$10001)), 0),"")</f>
        <v/>
      </c>
      <c r="E1078" s="35" t="str">
        <f>_xlfn.XLOOKUP(F1078,dd_item!$B$2:$B$105,dd_item!$C$2:$C$105,"",0)</f>
        <v/>
      </c>
      <c r="F1078" s="35"/>
      <c r="G1078" s="35" cm="1">
        <f t="array" ref="G1078">IFERROR(_xlfn.XLOOKUP(1, (SKUs!$J$2:$J$10001=accsry_unmerged!F1078)*IF(H1078&lt;&gt;"",(SKUs!$L$2:$L$10001=accsry_unmerged!H1078),1)*(SKUs!$K$2:$K$10001=I1078),SKUs!$C$2:$C$10001),"")</f>
        <v>0</v>
      </c>
      <c r="H1078" s="36" cm="1">
        <f t="array" ref="H1078">IFERROR(_xlfn.XLOOKUP(1, (dd_accsryclr!$C$2:$C$1000=accsry_unmerged!F1078)*(dd_accsryclr!$B$2:$B$1000=accsry_unmerged!J1078),dd_accsryclr!$A$2:$A$1000),"")</f>
        <v>0</v>
      </c>
      <c r="I1078" s="35">
        <f>_xlfn.XLOOKUP(C1078,'Project Details'!$C$17:$C$66,'Project Details'!$E$17:$E$66,"",0)</f>
        <v>0</v>
      </c>
      <c r="J1078" s="35">
        <f>_xlfn.XLOOKUP(C1078,'Project Details'!$C$17:$C$66,'Project Details'!$H$17:$H$66,"",0)</f>
        <v>0</v>
      </c>
      <c r="K1078" s="36" t="str">
        <f>IF(AND(_xlfn.XLOOKUP(C1078,'Project Details'!$C$17:$C$66,'Project Details'!$L$17:$L$66,"",0)&gt;550, F1078="Spring-L27cm"),"",SUBSTITUTE(_xlfn.XLOOKUP(G1078,SKUs!$C$2:$C$10001,SKUs!$F$2:$F$10001,"",0), " Accessories",""))</f>
        <v/>
      </c>
      <c r="L1078" s="36">
        <f>_xlfn.XLOOKUP(C1078,'Project Details'!$C$17:$C$66,'Project Details'!$D$17:$D$66,"",0)</f>
        <v>0</v>
      </c>
      <c r="M1078" s="43"/>
    </row>
    <row r="1079" spans="1:13" x14ac:dyDescent="0.25">
      <c r="A1079" s="43"/>
      <c r="B1079" s="43"/>
      <c r="C1079" s="16">
        <f t="shared" si="20"/>
        <v>22</v>
      </c>
      <c r="D1079" s="16" t="str" cm="1">
        <f t="array" ref="D1079">IFERROR(ROUNDUP(_xlfn.IFS(F1079="Aluminum Track", _xlfn.XLOOKUP(C1079, dd_accsrycalc!$A$2:$A$51, dd_accsrycalc!$B$2:$B$51, "",0), F1079="10 x 2 1/2 S (Flat)", _xlfn.XLOOKUP(C1079, dd_accsrycalc!$A$2:$A$51, dd_accsrycalc!$C$2:$C$51, "",0), F1079="Tox6", _xlfn.XLOOKUP(C1079, dd_accsrycalc!$A$2:$A$51, dd_accsrycalc!$D$2:$D$51, "",0), F1079="Cover Cap", _xlfn.XLOOKUP(C1079, dd_accsrycalc!$A$2:$A$51, dd_accsrycalc!$E$2:$E$51, "",0), F1079="Drainage Cover", _xlfn.XLOOKUP(C1079, dd_accsrycalc!$A$2:$A$51, dd_accsrycalc!$F$2:$F$51, "",0),AND( F1079="Double Adhesive Tape", I1079="Roll-up Screen"), _xlfn.XLOOKUP(C1079, calc_rusacc!$C$15:$C$65, calc_rusacc!$AD$15:$AD$65, "",0),AND( F1079="Sealant", I1079="Roll-up Screen"), _xlfn.XLOOKUP(C1079, calc_rusacc!$C$15:$C$65, calc_rusacc!$AF$15:$AF$65, "",0),  AND( F1079="Main Chain", I1079="Accordion Screen"), _xlfn.XLOOKUP(C1079, calc_rusacc!$C$15:$C$65, calc_rusacc!$BF$15:$BF$65, "",0), AND( F1079="Sealant", I1079="Accordion Screen"), _xlfn.XLOOKUP(C1079, calc_rusacc!$C$15:$C$65, calc_rusacc!$BJ$15:$BJ$65, "",0),  F1079="Sealant", _xlfn.XLOOKUP(C1079, dd_accsrycalc!$A$2:$A$51, dd_accsrycalc!$G$2:$G$51, "",0),  F1079&lt;&gt;"",L1079*_xlfn.XLOOKUP(1, (SKUs!$C$2:$C$10001=G1079)*(SKUs!$K$2:$K$10001=I1079),SKUs!$E$2:$E$10001)), 0),"")</f>
        <v/>
      </c>
      <c r="E1079" s="16" t="str">
        <f>_xlfn.XLOOKUP(F1079,dd_item!$B$2:$B$105,dd_item!$C$2:$C$105,"",0)</f>
        <v/>
      </c>
      <c r="F1079" s="16"/>
      <c r="G1079" s="16" cm="1">
        <f t="array" ref="G1079">IFERROR(_xlfn.XLOOKUP(1, (SKUs!$J$2:$J$10001=accsry_unmerged!F1079)*IF(H1079&lt;&gt;"",(SKUs!$L$2:$L$10001=accsry_unmerged!H1079),1)*(SKUs!$K$2:$K$10001=I1079),SKUs!$C$2:$C$10001),"")</f>
        <v>0</v>
      </c>
      <c r="H1079" s="33" cm="1">
        <f t="array" ref="H1079">IFERROR(_xlfn.XLOOKUP(1, (dd_accsryclr!$C$2:$C$1000=accsry_unmerged!F1079)*(dd_accsryclr!$B$2:$B$1000=accsry_unmerged!J1079),dd_accsryclr!$A$2:$A$1000),"")</f>
        <v>0</v>
      </c>
      <c r="I1079" s="16">
        <f>_xlfn.XLOOKUP(C1079,'Project Details'!$C$17:$C$66,'Project Details'!$E$17:$E$66,"",0)</f>
        <v>0</v>
      </c>
      <c r="J1079" s="16">
        <f>_xlfn.XLOOKUP(C1079,'Project Details'!$C$17:$C$66,'Project Details'!$H$17:$H$66,"",0)</f>
        <v>0</v>
      </c>
      <c r="K1079" s="33" t="str">
        <f>IF(AND(_xlfn.XLOOKUP(C1079,'Project Details'!$C$17:$C$66,'Project Details'!$L$17:$L$66,"",0)&gt;550, F1079="Spring-L27cm"),"",SUBSTITUTE(_xlfn.XLOOKUP(G1079,SKUs!$C$2:$C$10001,SKUs!$F$2:$F$10001,"",0), " Accessories",""))</f>
        <v/>
      </c>
      <c r="L1079" s="33">
        <f>_xlfn.XLOOKUP(C1079,'Project Details'!$C$17:$C$66,'Project Details'!$D$17:$D$66,"",0)</f>
        <v>0</v>
      </c>
      <c r="M1079" s="43"/>
    </row>
    <row r="1080" spans="1:13" x14ac:dyDescent="0.25">
      <c r="A1080" s="43"/>
      <c r="B1080" s="43"/>
      <c r="C1080" s="35">
        <f t="shared" si="20"/>
        <v>22</v>
      </c>
      <c r="D1080" s="35" t="str" cm="1">
        <f t="array" ref="D1080">IFERROR(ROUNDUP(_xlfn.IFS(F1080="Aluminum Track", _xlfn.XLOOKUP(C1080, dd_accsrycalc!$A$2:$A$51, dd_accsrycalc!$B$2:$B$51, "",0), F1080="10 x 2 1/2 S (Flat)", _xlfn.XLOOKUP(C1080, dd_accsrycalc!$A$2:$A$51, dd_accsrycalc!$C$2:$C$51, "",0), F1080="Tox6", _xlfn.XLOOKUP(C1080, dd_accsrycalc!$A$2:$A$51, dd_accsrycalc!$D$2:$D$51, "",0), F1080="Cover Cap", _xlfn.XLOOKUP(C1080, dd_accsrycalc!$A$2:$A$51, dd_accsrycalc!$E$2:$E$51, "",0), F1080="Drainage Cover", _xlfn.XLOOKUP(C1080, dd_accsrycalc!$A$2:$A$51, dd_accsrycalc!$F$2:$F$51, "",0),AND( F1080="Double Adhesive Tape", I1080="Roll-up Screen"), _xlfn.XLOOKUP(C1080, calc_rusacc!$C$15:$C$65, calc_rusacc!$AD$15:$AD$65, "",0),AND( F1080="Sealant", I1080="Roll-up Screen"), _xlfn.XLOOKUP(C1080, calc_rusacc!$C$15:$C$65, calc_rusacc!$AF$15:$AF$65, "",0),  AND( F1080="Main Chain", I1080="Accordion Screen"), _xlfn.XLOOKUP(C1080, calc_rusacc!$C$15:$C$65, calc_rusacc!$BF$15:$BF$65, "",0), AND( F1080="Sealant", I1080="Accordion Screen"), _xlfn.XLOOKUP(C1080, calc_rusacc!$C$15:$C$65, calc_rusacc!$BJ$15:$BJ$65, "",0),  F1080="Sealant", _xlfn.XLOOKUP(C1080, dd_accsrycalc!$A$2:$A$51, dd_accsrycalc!$G$2:$G$51, "",0),  F1080&lt;&gt;"",L1080*_xlfn.XLOOKUP(1, (SKUs!$C$2:$C$10001=G1080)*(SKUs!$K$2:$K$10001=I1080),SKUs!$E$2:$E$10001)), 0),"")</f>
        <v/>
      </c>
      <c r="E1080" s="35" t="str">
        <f>_xlfn.XLOOKUP(F1080,dd_item!$B$2:$B$105,dd_item!$C$2:$C$105,"",0)</f>
        <v/>
      </c>
      <c r="F1080" s="35"/>
      <c r="G1080" s="35" cm="1">
        <f t="array" ref="G1080">IFERROR(_xlfn.XLOOKUP(1, (SKUs!$J$2:$J$10001=accsry_unmerged!F1080)*IF(H1080&lt;&gt;"",(SKUs!$L$2:$L$10001=accsry_unmerged!H1080),1)*(SKUs!$K$2:$K$10001=I1080),SKUs!$C$2:$C$10001),"")</f>
        <v>0</v>
      </c>
      <c r="H1080" s="36" cm="1">
        <f t="array" ref="H1080">IFERROR(_xlfn.XLOOKUP(1, (dd_accsryclr!$C$2:$C$1000=accsry_unmerged!F1080)*(dd_accsryclr!$B$2:$B$1000=accsry_unmerged!J1080),dd_accsryclr!$A$2:$A$1000),"")</f>
        <v>0</v>
      </c>
      <c r="I1080" s="35">
        <f>_xlfn.XLOOKUP(C1080,'Project Details'!$C$17:$C$66,'Project Details'!$E$17:$E$66,"",0)</f>
        <v>0</v>
      </c>
      <c r="J1080" s="35">
        <f>_xlfn.XLOOKUP(C1080,'Project Details'!$C$17:$C$66,'Project Details'!$H$17:$H$66,"",0)</f>
        <v>0</v>
      </c>
      <c r="K1080" s="36" t="str">
        <f>IF(AND(_xlfn.XLOOKUP(C1080,'Project Details'!$C$17:$C$66,'Project Details'!$L$17:$L$66,"",0)&gt;550, F1080="Spring-L27cm"),"",SUBSTITUTE(_xlfn.XLOOKUP(G1080,SKUs!$C$2:$C$10001,SKUs!$F$2:$F$10001,"",0), " Accessories",""))</f>
        <v/>
      </c>
      <c r="L1080" s="36">
        <f>_xlfn.XLOOKUP(C1080,'Project Details'!$C$17:$C$66,'Project Details'!$D$17:$D$66,"",0)</f>
        <v>0</v>
      </c>
      <c r="M1080" s="43"/>
    </row>
    <row r="1081" spans="1:13" x14ac:dyDescent="0.25">
      <c r="A1081" s="43"/>
      <c r="B1081" s="43"/>
      <c r="C1081" s="16">
        <f t="shared" si="20"/>
        <v>22</v>
      </c>
      <c r="D1081" s="16" t="str" cm="1">
        <f t="array" ref="D1081">IFERROR(ROUNDUP(_xlfn.IFS(F1081="Aluminum Track", _xlfn.XLOOKUP(C1081, dd_accsrycalc!$A$2:$A$51, dd_accsrycalc!$B$2:$B$51, "",0), F1081="10 x 2 1/2 S (Flat)", _xlfn.XLOOKUP(C1081, dd_accsrycalc!$A$2:$A$51, dd_accsrycalc!$C$2:$C$51, "",0), F1081="Tox6", _xlfn.XLOOKUP(C1081, dd_accsrycalc!$A$2:$A$51, dd_accsrycalc!$D$2:$D$51, "",0), F1081="Cover Cap", _xlfn.XLOOKUP(C1081, dd_accsrycalc!$A$2:$A$51, dd_accsrycalc!$E$2:$E$51, "",0), F1081="Drainage Cover", _xlfn.XLOOKUP(C1081, dd_accsrycalc!$A$2:$A$51, dd_accsrycalc!$F$2:$F$51, "",0),AND( F1081="Double Adhesive Tape", I1081="Roll-up Screen"), _xlfn.XLOOKUP(C1081, calc_rusacc!$C$15:$C$65, calc_rusacc!$AD$15:$AD$65, "",0),AND( F1081="Sealant", I1081="Roll-up Screen"), _xlfn.XLOOKUP(C1081, calc_rusacc!$C$15:$C$65, calc_rusacc!$AF$15:$AF$65, "",0),  AND( F1081="Main Chain", I1081="Accordion Screen"), _xlfn.XLOOKUP(C1081, calc_rusacc!$C$15:$C$65, calc_rusacc!$BF$15:$BF$65, "",0), AND( F1081="Sealant", I1081="Accordion Screen"), _xlfn.XLOOKUP(C1081, calc_rusacc!$C$15:$C$65, calc_rusacc!$BJ$15:$BJ$65, "",0),  F1081="Sealant", _xlfn.XLOOKUP(C1081, dd_accsrycalc!$A$2:$A$51, dd_accsrycalc!$G$2:$G$51, "",0),  F1081&lt;&gt;"",L1081*_xlfn.XLOOKUP(1, (SKUs!$C$2:$C$10001=G1081)*(SKUs!$K$2:$K$10001=I1081),SKUs!$E$2:$E$10001)), 0),"")</f>
        <v/>
      </c>
      <c r="E1081" s="16" t="str">
        <f>_xlfn.XLOOKUP(F1081,dd_item!$B$2:$B$105,dd_item!$C$2:$C$105,"",0)</f>
        <v/>
      </c>
      <c r="F1081" s="16"/>
      <c r="G1081" s="16" cm="1">
        <f t="array" ref="G1081">IFERROR(_xlfn.XLOOKUP(1, (SKUs!$J$2:$J$10001=accsry_unmerged!F1081)*IF(H1081&lt;&gt;"",(SKUs!$L$2:$L$10001=accsry_unmerged!H1081),1)*(SKUs!$K$2:$K$10001=I1081),SKUs!$C$2:$C$10001),"")</f>
        <v>0</v>
      </c>
      <c r="H1081" s="33" cm="1">
        <f t="array" ref="H1081">IFERROR(_xlfn.XLOOKUP(1, (dd_accsryclr!$C$2:$C$1000=accsry_unmerged!F1081)*(dd_accsryclr!$B$2:$B$1000=accsry_unmerged!J1081),dd_accsryclr!$A$2:$A$1000),"")</f>
        <v>0</v>
      </c>
      <c r="I1081" s="16">
        <f>_xlfn.XLOOKUP(C1081,'Project Details'!$C$17:$C$66,'Project Details'!$E$17:$E$66,"",0)</f>
        <v>0</v>
      </c>
      <c r="J1081" s="16">
        <f>_xlfn.XLOOKUP(C1081,'Project Details'!$C$17:$C$66,'Project Details'!$H$17:$H$66,"",0)</f>
        <v>0</v>
      </c>
      <c r="K1081" s="33" t="str">
        <f>IF(AND(_xlfn.XLOOKUP(C1081,'Project Details'!$C$17:$C$66,'Project Details'!$L$17:$L$66,"",0)&gt;550, F1081="Spring-L27cm"),"",SUBSTITUTE(_xlfn.XLOOKUP(G1081,SKUs!$C$2:$C$10001,SKUs!$F$2:$F$10001,"",0), " Accessories",""))</f>
        <v/>
      </c>
      <c r="L1081" s="33">
        <f>_xlfn.XLOOKUP(C1081,'Project Details'!$C$17:$C$66,'Project Details'!$D$17:$D$66,"",0)</f>
        <v>0</v>
      </c>
      <c r="M1081" s="43"/>
    </row>
    <row r="1082" spans="1:13" x14ac:dyDescent="0.25">
      <c r="A1082" s="43"/>
      <c r="B1082" s="43"/>
      <c r="C1082" s="35">
        <f t="shared" si="20"/>
        <v>22</v>
      </c>
      <c r="D1082" s="35" t="str" cm="1">
        <f t="array" ref="D1082">IFERROR(ROUNDUP(_xlfn.IFS(F1082="Aluminum Track", _xlfn.XLOOKUP(C1082, dd_accsrycalc!$A$2:$A$51, dd_accsrycalc!$B$2:$B$51, "",0), F1082="10 x 2 1/2 S (Flat)", _xlfn.XLOOKUP(C1082, dd_accsrycalc!$A$2:$A$51, dd_accsrycalc!$C$2:$C$51, "",0), F1082="Tox6", _xlfn.XLOOKUP(C1082, dd_accsrycalc!$A$2:$A$51, dd_accsrycalc!$D$2:$D$51, "",0), F1082="Cover Cap", _xlfn.XLOOKUP(C1082, dd_accsrycalc!$A$2:$A$51, dd_accsrycalc!$E$2:$E$51, "",0), F1082="Drainage Cover", _xlfn.XLOOKUP(C1082, dd_accsrycalc!$A$2:$A$51, dd_accsrycalc!$F$2:$F$51, "",0),AND( F1082="Double Adhesive Tape", I1082="Roll-up Screen"), _xlfn.XLOOKUP(C1082, calc_rusacc!$C$15:$C$65, calc_rusacc!$AD$15:$AD$65, "",0),AND( F1082="Sealant", I1082="Roll-up Screen"), _xlfn.XLOOKUP(C1082, calc_rusacc!$C$15:$C$65, calc_rusacc!$AF$15:$AF$65, "",0),  AND( F1082="Main Chain", I1082="Accordion Screen"), _xlfn.XLOOKUP(C1082, calc_rusacc!$C$15:$C$65, calc_rusacc!$BF$15:$BF$65, "",0), AND( F1082="Sealant", I1082="Accordion Screen"), _xlfn.XLOOKUP(C1082, calc_rusacc!$C$15:$C$65, calc_rusacc!$BJ$15:$BJ$65, "",0),  F1082="Sealant", _xlfn.XLOOKUP(C1082, dd_accsrycalc!$A$2:$A$51, dd_accsrycalc!$G$2:$G$51, "",0),  F1082&lt;&gt;"",L1082*_xlfn.XLOOKUP(1, (SKUs!$C$2:$C$10001=G1082)*(SKUs!$K$2:$K$10001=I1082),SKUs!$E$2:$E$10001)), 0),"")</f>
        <v/>
      </c>
      <c r="E1082" s="35" t="str">
        <f>_xlfn.XLOOKUP(F1082,dd_item!$B$2:$B$105,dd_item!$C$2:$C$105,"",0)</f>
        <v/>
      </c>
      <c r="F1082" s="35"/>
      <c r="G1082" s="35" cm="1">
        <f t="array" ref="G1082">IFERROR(_xlfn.XLOOKUP(1, (SKUs!$J$2:$J$10001=accsry_unmerged!F1082)*IF(H1082&lt;&gt;"",(SKUs!$L$2:$L$10001=accsry_unmerged!H1082),1)*(SKUs!$K$2:$K$10001=I1082),SKUs!$C$2:$C$10001),"")</f>
        <v>0</v>
      </c>
      <c r="H1082" s="36" cm="1">
        <f t="array" ref="H1082">IFERROR(_xlfn.XLOOKUP(1, (dd_accsryclr!$C$2:$C$1000=accsry_unmerged!F1082)*(dd_accsryclr!$B$2:$B$1000=accsry_unmerged!J1082),dd_accsryclr!$A$2:$A$1000),"")</f>
        <v>0</v>
      </c>
      <c r="I1082" s="35">
        <f>_xlfn.XLOOKUP(C1082,'Project Details'!$C$17:$C$66,'Project Details'!$E$17:$E$66,"",0)</f>
        <v>0</v>
      </c>
      <c r="J1082" s="35">
        <f>_xlfn.XLOOKUP(C1082,'Project Details'!$C$17:$C$66,'Project Details'!$H$17:$H$66,"",0)</f>
        <v>0</v>
      </c>
      <c r="K1082" s="36" t="str">
        <f>IF(AND(_xlfn.XLOOKUP(C1082,'Project Details'!$C$17:$C$66,'Project Details'!$L$17:$L$66,"",0)&gt;550, F1082="Spring-L27cm"),"",SUBSTITUTE(_xlfn.XLOOKUP(G1082,SKUs!$C$2:$C$10001,SKUs!$F$2:$F$10001,"",0), " Accessories",""))</f>
        <v/>
      </c>
      <c r="L1082" s="36">
        <f>_xlfn.XLOOKUP(C1082,'Project Details'!$C$17:$C$66,'Project Details'!$D$17:$D$66,"",0)</f>
        <v>0</v>
      </c>
      <c r="M1082" s="43"/>
    </row>
    <row r="1083" spans="1:13" x14ac:dyDescent="0.25">
      <c r="A1083" s="43"/>
      <c r="B1083" s="43"/>
      <c r="C1083" s="16">
        <f t="shared" si="20"/>
        <v>22</v>
      </c>
      <c r="D1083" s="16" t="str" cm="1">
        <f t="array" ref="D1083">IFERROR(ROUNDUP(_xlfn.IFS(F1083="Aluminum Track", _xlfn.XLOOKUP(C1083, dd_accsrycalc!$A$2:$A$51, dd_accsrycalc!$B$2:$B$51, "",0), F1083="10 x 2 1/2 S (Flat)", _xlfn.XLOOKUP(C1083, dd_accsrycalc!$A$2:$A$51, dd_accsrycalc!$C$2:$C$51, "",0), F1083="Tox6", _xlfn.XLOOKUP(C1083, dd_accsrycalc!$A$2:$A$51, dd_accsrycalc!$D$2:$D$51, "",0), F1083="Cover Cap", _xlfn.XLOOKUP(C1083, dd_accsrycalc!$A$2:$A$51, dd_accsrycalc!$E$2:$E$51, "",0), F1083="Drainage Cover", _xlfn.XLOOKUP(C1083, dd_accsrycalc!$A$2:$A$51, dd_accsrycalc!$F$2:$F$51, "",0),AND( F1083="Double Adhesive Tape", I1083="Roll-up Screen"), _xlfn.XLOOKUP(C1083, calc_rusacc!$C$15:$C$65, calc_rusacc!$AD$15:$AD$65, "",0),AND( F1083="Sealant", I1083="Roll-up Screen"), _xlfn.XLOOKUP(C1083, calc_rusacc!$C$15:$C$65, calc_rusacc!$AF$15:$AF$65, "",0),  AND( F1083="Main Chain", I1083="Accordion Screen"), _xlfn.XLOOKUP(C1083, calc_rusacc!$C$15:$C$65, calc_rusacc!$BF$15:$BF$65, "",0), AND( F1083="Sealant", I1083="Accordion Screen"), _xlfn.XLOOKUP(C1083, calc_rusacc!$C$15:$C$65, calc_rusacc!$BJ$15:$BJ$65, "",0),  F1083="Sealant", _xlfn.XLOOKUP(C1083, dd_accsrycalc!$A$2:$A$51, dd_accsrycalc!$G$2:$G$51, "",0),  F1083&lt;&gt;"",L1083*_xlfn.XLOOKUP(1, (SKUs!$C$2:$C$10001=G1083)*(SKUs!$K$2:$K$10001=I1083),SKUs!$E$2:$E$10001)), 0),"")</f>
        <v/>
      </c>
      <c r="E1083" s="16" t="str">
        <f>_xlfn.XLOOKUP(F1083,dd_item!$B$2:$B$105,dd_item!$C$2:$C$105,"",0)</f>
        <v/>
      </c>
      <c r="F1083" s="16"/>
      <c r="G1083" s="16" cm="1">
        <f t="array" ref="G1083">IFERROR(_xlfn.XLOOKUP(1, (SKUs!$J$2:$J$10001=accsry_unmerged!F1083)*IF(H1083&lt;&gt;"",(SKUs!$L$2:$L$10001=accsry_unmerged!H1083),1)*(SKUs!$K$2:$K$10001=I1083),SKUs!$C$2:$C$10001),"")</f>
        <v>0</v>
      </c>
      <c r="H1083" s="33" cm="1">
        <f t="array" ref="H1083">IFERROR(_xlfn.XLOOKUP(1, (dd_accsryclr!$C$2:$C$1000=accsry_unmerged!F1083)*(dd_accsryclr!$B$2:$B$1000=accsry_unmerged!J1083),dd_accsryclr!$A$2:$A$1000),"")</f>
        <v>0</v>
      </c>
      <c r="I1083" s="16">
        <f>_xlfn.XLOOKUP(C1083,'Project Details'!$C$17:$C$66,'Project Details'!$E$17:$E$66,"",0)</f>
        <v>0</v>
      </c>
      <c r="J1083" s="16">
        <f>_xlfn.XLOOKUP(C1083,'Project Details'!$C$17:$C$66,'Project Details'!$H$17:$H$66,"",0)</f>
        <v>0</v>
      </c>
      <c r="K1083" s="33" t="str">
        <f>IF(AND(_xlfn.XLOOKUP(C1083,'Project Details'!$C$17:$C$66,'Project Details'!$L$17:$L$66,"",0)&gt;550, F1083="Spring-L27cm"),"",SUBSTITUTE(_xlfn.XLOOKUP(G1083,SKUs!$C$2:$C$10001,SKUs!$F$2:$F$10001,"",0), " Accessories",""))</f>
        <v/>
      </c>
      <c r="L1083" s="33">
        <f>_xlfn.XLOOKUP(C1083,'Project Details'!$C$17:$C$66,'Project Details'!$D$17:$D$66,"",0)</f>
        <v>0</v>
      </c>
      <c r="M1083" s="43"/>
    </row>
    <row r="1084" spans="1:13" ht="13.5" customHeight="1" x14ac:dyDescent="0.25">
      <c r="A1084" s="43"/>
      <c r="B1084" s="43"/>
      <c r="C1084" s="35">
        <f t="shared" si="20"/>
        <v>22</v>
      </c>
      <c r="D1084" s="35" t="str" cm="1">
        <f t="array" ref="D1084">IFERROR(ROUNDUP(_xlfn.IFS(F1084="Aluminum Track", _xlfn.XLOOKUP(C1084, dd_accsrycalc!$A$2:$A$51, dd_accsrycalc!$B$2:$B$51, "",0), F1084="10 x 2 1/2 S (Flat)", _xlfn.XLOOKUP(C1084, dd_accsrycalc!$A$2:$A$51, dd_accsrycalc!$C$2:$C$51, "",0), F1084="Tox6", _xlfn.XLOOKUP(C1084, dd_accsrycalc!$A$2:$A$51, dd_accsrycalc!$D$2:$D$51, "",0), F1084="Cover Cap", _xlfn.XLOOKUP(C1084, dd_accsrycalc!$A$2:$A$51, dd_accsrycalc!$E$2:$E$51, "",0), F1084="Drainage Cover", _xlfn.XLOOKUP(C1084, dd_accsrycalc!$A$2:$A$51, dd_accsrycalc!$F$2:$F$51, "",0),AND( F1084="Double Adhesive Tape", I1084="Roll-up Screen"), _xlfn.XLOOKUP(C1084, calc_rusacc!$C$15:$C$65, calc_rusacc!$AD$15:$AD$65, "",0),AND( F1084="Sealant", I1084="Roll-up Screen"), _xlfn.XLOOKUP(C1084, calc_rusacc!$C$15:$C$65, calc_rusacc!$AF$15:$AF$65, "",0),  AND( F1084="Main Chain", I1084="Accordion Screen"), _xlfn.XLOOKUP(C1084, calc_rusacc!$C$15:$C$65, calc_rusacc!$BF$15:$BF$65, "",0), AND( F1084="Sealant", I1084="Accordion Screen"), _xlfn.XLOOKUP(C1084, calc_rusacc!$C$15:$C$65, calc_rusacc!$BJ$15:$BJ$65, "",0),  F1084="Sealant", _xlfn.XLOOKUP(C1084, dd_accsrycalc!$A$2:$A$51, dd_accsrycalc!$G$2:$G$51, "",0),  F1084&lt;&gt;"",L1084*_xlfn.XLOOKUP(1, (SKUs!$C$2:$C$10001=G1084)*(SKUs!$K$2:$K$10001=I1084),SKUs!$E$2:$E$10001)), 0),"")</f>
        <v/>
      </c>
      <c r="E1084" s="35" t="str">
        <f>_xlfn.XLOOKUP(F1084,dd_item!$B$2:$B$105,dd_item!$C$2:$C$105,"",0)</f>
        <v/>
      </c>
      <c r="F1084" s="35"/>
      <c r="G1084" s="35" cm="1">
        <f t="array" ref="G1084">IFERROR(_xlfn.XLOOKUP(1, (SKUs!$J$2:$J$10001=accsry_unmerged!F1084)*IF(H1084&lt;&gt;"",(SKUs!$L$2:$L$10001=accsry_unmerged!H1084),1)*(SKUs!$K$2:$K$10001=I1084),SKUs!$C$2:$C$10001),"")</f>
        <v>0</v>
      </c>
      <c r="H1084" s="36" cm="1">
        <f t="array" ref="H1084">IFERROR(_xlfn.XLOOKUP(1, (dd_accsryclr!$C$2:$C$1000=accsry_unmerged!F1084)*(dd_accsryclr!$B$2:$B$1000=accsry_unmerged!J1084),dd_accsryclr!$A$2:$A$1000),"")</f>
        <v>0</v>
      </c>
      <c r="I1084" s="35">
        <f>_xlfn.XLOOKUP(C1084,'Project Details'!$C$17:$C$66,'Project Details'!$E$17:$E$66,"",0)</f>
        <v>0</v>
      </c>
      <c r="J1084" s="35">
        <f>_xlfn.XLOOKUP(C1084,'Project Details'!$C$17:$C$66,'Project Details'!$H$17:$H$66,"",0)</f>
        <v>0</v>
      </c>
      <c r="K1084" s="36" t="str">
        <f>IF(AND(_xlfn.XLOOKUP(C1084,'Project Details'!$C$17:$C$66,'Project Details'!$L$17:$L$66,"",0)&gt;550, F1084="Spring-L27cm"),"",SUBSTITUTE(_xlfn.XLOOKUP(G1084,SKUs!$C$2:$C$10001,SKUs!$F$2:$F$10001,"",0), " Accessories",""))</f>
        <v/>
      </c>
      <c r="L1084" s="36">
        <f>_xlfn.XLOOKUP(C1084,'Project Details'!$C$17:$C$66,'Project Details'!$D$17:$D$66,"",0)</f>
        <v>0</v>
      </c>
      <c r="M1084" s="43"/>
    </row>
    <row r="1085" spans="1:13" ht="13.5" customHeight="1" x14ac:dyDescent="0.25">
      <c r="A1085" s="43"/>
      <c r="B1085" s="43"/>
      <c r="C1085" s="16">
        <f t="shared" si="20"/>
        <v>22</v>
      </c>
      <c r="D1085" s="16" t="str" cm="1">
        <f t="array" ref="D1085">IFERROR(ROUNDUP(_xlfn.IFS(F1085="Aluminum Track", _xlfn.XLOOKUP(C1085, dd_accsrycalc!$A$2:$A$51, dd_accsrycalc!$B$2:$B$51, "",0), F1085="10 x 2 1/2 S (Flat)", _xlfn.XLOOKUP(C1085, dd_accsrycalc!$A$2:$A$51, dd_accsrycalc!$C$2:$C$51, "",0), F1085="Tox6", _xlfn.XLOOKUP(C1085, dd_accsrycalc!$A$2:$A$51, dd_accsrycalc!$D$2:$D$51, "",0), F1085="Cover Cap", _xlfn.XLOOKUP(C1085, dd_accsrycalc!$A$2:$A$51, dd_accsrycalc!$E$2:$E$51, "",0), F1085="Drainage Cover", _xlfn.XLOOKUP(C1085, dd_accsrycalc!$A$2:$A$51, dd_accsrycalc!$F$2:$F$51, "",0),AND( F1085="Double Adhesive Tape", I1085="Roll-up Screen"), _xlfn.XLOOKUP(C1085, calc_rusacc!$C$15:$C$65, calc_rusacc!$AD$15:$AD$65, "",0),AND( F1085="Sealant", I1085="Roll-up Screen"), _xlfn.XLOOKUP(C1085, calc_rusacc!$C$15:$C$65, calc_rusacc!$AF$15:$AF$65, "",0),  AND( F1085="Main Chain", I1085="Accordion Screen"), _xlfn.XLOOKUP(C1085, calc_rusacc!$C$15:$C$65, calc_rusacc!$BF$15:$BF$65, "",0), AND( F1085="Sealant", I1085="Accordion Screen"), _xlfn.XLOOKUP(C1085, calc_rusacc!$C$15:$C$65, calc_rusacc!$BJ$15:$BJ$65, "",0),  F1085="Sealant", _xlfn.XLOOKUP(C1085, dd_accsrycalc!$A$2:$A$51, dd_accsrycalc!$G$2:$G$51, "",0),  F1085&lt;&gt;"",L1085*_xlfn.XLOOKUP(1, (SKUs!$C$2:$C$10001=G1085)*(SKUs!$K$2:$K$10001=I1085),SKUs!$E$2:$E$10001)), 0),"")</f>
        <v/>
      </c>
      <c r="E1085" s="16" t="str">
        <f>_xlfn.XLOOKUP(F1085,dd_item!$B$2:$B$105,dd_item!$C$2:$C$105,"",0)</f>
        <v/>
      </c>
      <c r="F1085" s="16"/>
      <c r="G1085" s="16" cm="1">
        <f t="array" ref="G1085">IFERROR(_xlfn.XLOOKUP(1, (SKUs!$J$2:$J$10001=accsry_unmerged!F1085)*IF(H1085&lt;&gt;"",(SKUs!$L$2:$L$10001=accsry_unmerged!H1085),1)*(SKUs!$K$2:$K$10001=I1085),SKUs!$C$2:$C$10001),"")</f>
        <v>0</v>
      </c>
      <c r="H1085" s="33" cm="1">
        <f t="array" ref="H1085">IFERROR(_xlfn.XLOOKUP(1, (dd_accsryclr!$C$2:$C$1000=accsry_unmerged!F1085)*(dd_accsryclr!$B$2:$B$1000=accsry_unmerged!J1085),dd_accsryclr!$A$2:$A$1000),"")</f>
        <v>0</v>
      </c>
      <c r="I1085" s="16">
        <f>_xlfn.XLOOKUP(C1085,'Project Details'!$C$17:$C$66,'Project Details'!$E$17:$E$66,"",0)</f>
        <v>0</v>
      </c>
      <c r="J1085" s="16">
        <f>_xlfn.XLOOKUP(C1085,'Project Details'!$C$17:$C$66,'Project Details'!$H$17:$H$66,"",0)</f>
        <v>0</v>
      </c>
      <c r="K1085" s="33" t="str">
        <f>IF(AND(_xlfn.XLOOKUP(C1085,'Project Details'!$C$17:$C$66,'Project Details'!$L$17:$L$66,"",0)&gt;550, F1085="Spring-L27cm"),"",SUBSTITUTE(_xlfn.XLOOKUP(G1085,SKUs!$C$2:$C$10001,SKUs!$F$2:$F$10001,"",0), " Accessories",""))</f>
        <v/>
      </c>
      <c r="L1085" s="33">
        <f>_xlfn.XLOOKUP(C1085,'Project Details'!$C$17:$C$66,'Project Details'!$D$17:$D$66,"",0)</f>
        <v>0</v>
      </c>
      <c r="M1085" s="43"/>
    </row>
    <row r="1086" spans="1:13" ht="13.5" customHeight="1" x14ac:dyDescent="0.25">
      <c r="A1086" s="43"/>
      <c r="B1086" s="43"/>
      <c r="C1086" s="35">
        <f t="shared" si="20"/>
        <v>22</v>
      </c>
      <c r="D1086" s="35" t="str" cm="1">
        <f t="array" ref="D1086">IFERROR(ROUNDUP(_xlfn.IFS(F1086="Aluminum Track", _xlfn.XLOOKUP(C1086, dd_accsrycalc!$A$2:$A$51, dd_accsrycalc!$B$2:$B$51, "",0), F1086="10 x 2 1/2 S (Flat)", _xlfn.XLOOKUP(C1086, dd_accsrycalc!$A$2:$A$51, dd_accsrycalc!$C$2:$C$51, "",0), F1086="Tox6", _xlfn.XLOOKUP(C1086, dd_accsrycalc!$A$2:$A$51, dd_accsrycalc!$D$2:$D$51, "",0), F1086="Cover Cap", _xlfn.XLOOKUP(C1086, dd_accsrycalc!$A$2:$A$51, dd_accsrycalc!$E$2:$E$51, "",0), F1086="Drainage Cover", _xlfn.XLOOKUP(C1086, dd_accsrycalc!$A$2:$A$51, dd_accsrycalc!$F$2:$F$51, "",0),AND( F1086="Double Adhesive Tape", I1086="Roll-up Screen"), _xlfn.XLOOKUP(C1086, calc_rusacc!$C$15:$C$65, calc_rusacc!$AD$15:$AD$65, "",0),AND( F1086="Sealant", I1086="Roll-up Screen"), _xlfn.XLOOKUP(C1086, calc_rusacc!$C$15:$C$65, calc_rusacc!$AF$15:$AF$65, "",0),  AND( F1086="Main Chain", I1086="Accordion Screen"), _xlfn.XLOOKUP(C1086, calc_rusacc!$C$15:$C$65, calc_rusacc!$BF$15:$BF$65, "",0), AND( F1086="Sealant", I1086="Accordion Screen"), _xlfn.XLOOKUP(C1086, calc_rusacc!$C$15:$C$65, calc_rusacc!$BJ$15:$BJ$65, "",0),  F1086="Sealant", _xlfn.XLOOKUP(C1086, dd_accsrycalc!$A$2:$A$51, dd_accsrycalc!$G$2:$G$51, "",0),  F1086&lt;&gt;"",L1086*_xlfn.XLOOKUP(1, (SKUs!$C$2:$C$10001=G1086)*(SKUs!$K$2:$K$10001=I1086),SKUs!$E$2:$E$10001)), 0),"")</f>
        <v/>
      </c>
      <c r="E1086" s="35" t="str">
        <f>_xlfn.XLOOKUP(F1086,dd_item!$B$2:$B$105,dd_item!$C$2:$C$105,"",0)</f>
        <v/>
      </c>
      <c r="F1086" s="35"/>
      <c r="G1086" s="35" cm="1">
        <f t="array" ref="G1086">IFERROR(_xlfn.XLOOKUP(1, (SKUs!$J$2:$J$10001=accsry_unmerged!F1086)*IF(H1086&lt;&gt;"",(SKUs!$L$2:$L$10001=accsry_unmerged!H1086),1)*(SKUs!$K$2:$K$10001=I1086),SKUs!$C$2:$C$10001),"")</f>
        <v>0</v>
      </c>
      <c r="H1086" s="36" cm="1">
        <f t="array" ref="H1086">IFERROR(_xlfn.XLOOKUP(1, (dd_accsryclr!$C$2:$C$1000=accsry_unmerged!F1086)*(dd_accsryclr!$B$2:$B$1000=accsry_unmerged!J1086),dd_accsryclr!$A$2:$A$1000),"")</f>
        <v>0</v>
      </c>
      <c r="I1086" s="35">
        <f>_xlfn.XLOOKUP(C1086,'Project Details'!$C$17:$C$66,'Project Details'!$E$17:$E$66,"",0)</f>
        <v>0</v>
      </c>
      <c r="J1086" s="35">
        <f>_xlfn.XLOOKUP(C1086,'Project Details'!$C$17:$C$66,'Project Details'!$H$17:$H$66,"",0)</f>
        <v>0</v>
      </c>
      <c r="K1086" s="36" t="str">
        <f>IF(AND(_xlfn.XLOOKUP(C1086,'Project Details'!$C$17:$C$66,'Project Details'!$L$17:$L$66,"",0)&gt;550, F1086="Spring-L27cm"),"",SUBSTITUTE(_xlfn.XLOOKUP(G1086,SKUs!$C$2:$C$10001,SKUs!$F$2:$F$10001,"",0), " Accessories",""))</f>
        <v/>
      </c>
      <c r="L1086" s="36">
        <f>_xlfn.XLOOKUP(C1086,'Project Details'!$C$17:$C$66,'Project Details'!$D$17:$D$66,"",0)</f>
        <v>0</v>
      </c>
      <c r="M1086" s="43"/>
    </row>
    <row r="1087" spans="1:13" ht="13.5" customHeight="1" x14ac:dyDescent="0.25">
      <c r="A1087" s="43"/>
      <c r="B1087" s="43"/>
      <c r="C1087" s="16">
        <f t="shared" si="20"/>
        <v>22</v>
      </c>
      <c r="D1087" s="16" t="str" cm="1">
        <f t="array" ref="D1087">IFERROR(ROUNDUP(_xlfn.IFS(F1087="Aluminum Track", _xlfn.XLOOKUP(C1087, dd_accsrycalc!$A$2:$A$51, dd_accsrycalc!$B$2:$B$51, "",0), F1087="10 x 2 1/2 S (Flat)", _xlfn.XLOOKUP(C1087, dd_accsrycalc!$A$2:$A$51, dd_accsrycalc!$C$2:$C$51, "",0), F1087="Tox6", _xlfn.XLOOKUP(C1087, dd_accsrycalc!$A$2:$A$51, dd_accsrycalc!$D$2:$D$51, "",0), F1087="Cover Cap", _xlfn.XLOOKUP(C1087, dd_accsrycalc!$A$2:$A$51, dd_accsrycalc!$E$2:$E$51, "",0), F1087="Drainage Cover", _xlfn.XLOOKUP(C1087, dd_accsrycalc!$A$2:$A$51, dd_accsrycalc!$F$2:$F$51, "",0),AND( F1087="Double Adhesive Tape", I1087="Roll-up Screen"), _xlfn.XLOOKUP(C1087, calc_rusacc!$C$15:$C$65, calc_rusacc!$AD$15:$AD$65, "",0),AND( F1087="Sealant", I1087="Roll-up Screen"), _xlfn.XLOOKUP(C1087, calc_rusacc!$C$15:$C$65, calc_rusacc!$AF$15:$AF$65, "",0),  AND( F1087="Main Chain", I1087="Accordion Screen"), _xlfn.XLOOKUP(C1087, calc_rusacc!$C$15:$C$65, calc_rusacc!$BF$15:$BF$65, "",0), AND( F1087="Sealant", I1087="Accordion Screen"), _xlfn.XLOOKUP(C1087, calc_rusacc!$C$15:$C$65, calc_rusacc!$BJ$15:$BJ$65, "",0),  F1087="Sealant", _xlfn.XLOOKUP(C1087, dd_accsrycalc!$A$2:$A$51, dd_accsrycalc!$G$2:$G$51, "",0),  F1087&lt;&gt;"",L1087*_xlfn.XLOOKUP(1, (SKUs!$C$2:$C$10001=G1087)*(SKUs!$K$2:$K$10001=I1087),SKUs!$E$2:$E$10001)), 0),"")</f>
        <v/>
      </c>
      <c r="E1087" s="16" t="str">
        <f>_xlfn.XLOOKUP(F1087,dd_item!$B$2:$B$105,dd_item!$C$2:$C$105,"",0)</f>
        <v/>
      </c>
      <c r="F1087" s="16"/>
      <c r="G1087" s="16" cm="1">
        <f t="array" ref="G1087">IFERROR(_xlfn.XLOOKUP(1, (SKUs!$J$2:$J$10001=accsry_unmerged!F1087)*IF(H1087&lt;&gt;"",(SKUs!$L$2:$L$10001=accsry_unmerged!H1087),1)*(SKUs!$K$2:$K$10001=I1087),SKUs!$C$2:$C$10001),"")</f>
        <v>0</v>
      </c>
      <c r="H1087" s="33" cm="1">
        <f t="array" ref="H1087">IFERROR(_xlfn.XLOOKUP(1, (dd_accsryclr!$C$2:$C$1000=accsry_unmerged!F1087)*(dd_accsryclr!$B$2:$B$1000=accsry_unmerged!J1087),dd_accsryclr!$A$2:$A$1000),"")</f>
        <v>0</v>
      </c>
      <c r="I1087" s="16">
        <f>_xlfn.XLOOKUP(C1087,'Project Details'!$C$17:$C$66,'Project Details'!$E$17:$E$66,"",0)</f>
        <v>0</v>
      </c>
      <c r="J1087" s="16">
        <f>_xlfn.XLOOKUP(C1087,'Project Details'!$C$17:$C$66,'Project Details'!$H$17:$H$66,"",0)</f>
        <v>0</v>
      </c>
      <c r="K1087" s="33" t="str">
        <f>IF(AND(_xlfn.XLOOKUP(C1087,'Project Details'!$C$17:$C$66,'Project Details'!$L$17:$L$66,"",0)&gt;550, F1087="Spring-L27cm"),"",SUBSTITUTE(_xlfn.XLOOKUP(G1087,SKUs!$C$2:$C$10001,SKUs!$F$2:$F$10001,"",0), " Accessories",""))</f>
        <v/>
      </c>
      <c r="L1087" s="33">
        <f>_xlfn.XLOOKUP(C1087,'Project Details'!$C$17:$C$66,'Project Details'!$D$17:$D$66,"",0)</f>
        <v>0</v>
      </c>
      <c r="M1087" s="43"/>
    </row>
    <row r="1088" spans="1:13" ht="13.5" customHeight="1" x14ac:dyDescent="0.25">
      <c r="A1088" s="43"/>
      <c r="B1088" s="43"/>
      <c r="C1088" s="35">
        <f t="shared" si="20"/>
        <v>22</v>
      </c>
      <c r="D1088" s="35" t="str" cm="1">
        <f t="array" ref="D1088">IFERROR(ROUNDUP(_xlfn.IFS(F1088="Aluminum Track", _xlfn.XLOOKUP(C1088, dd_accsrycalc!$A$2:$A$51, dd_accsrycalc!$B$2:$B$51, "",0), F1088="10 x 2 1/2 S (Flat)", _xlfn.XLOOKUP(C1088, dd_accsrycalc!$A$2:$A$51, dd_accsrycalc!$C$2:$C$51, "",0), F1088="Tox6", _xlfn.XLOOKUP(C1088, dd_accsrycalc!$A$2:$A$51, dd_accsrycalc!$D$2:$D$51, "",0), F1088="Cover Cap", _xlfn.XLOOKUP(C1088, dd_accsrycalc!$A$2:$A$51, dd_accsrycalc!$E$2:$E$51, "",0), F1088="Drainage Cover", _xlfn.XLOOKUP(C1088, dd_accsrycalc!$A$2:$A$51, dd_accsrycalc!$F$2:$F$51, "",0),AND( F1088="Double Adhesive Tape", I1088="Roll-up Screen"), _xlfn.XLOOKUP(C1088, calc_rusacc!$C$15:$C$65, calc_rusacc!$AD$15:$AD$65, "",0),AND( F1088="Sealant", I1088="Roll-up Screen"), _xlfn.XLOOKUP(C1088, calc_rusacc!$C$15:$C$65, calc_rusacc!$AF$15:$AF$65, "",0),  AND( F1088="Main Chain", I1088="Accordion Screen"), _xlfn.XLOOKUP(C1088, calc_rusacc!$C$15:$C$65, calc_rusacc!$BF$15:$BF$65, "",0), AND( F1088="Sealant", I1088="Accordion Screen"), _xlfn.XLOOKUP(C1088, calc_rusacc!$C$15:$C$65, calc_rusacc!$BJ$15:$BJ$65, "",0),  F1088="Sealant", _xlfn.XLOOKUP(C1088, dd_accsrycalc!$A$2:$A$51, dd_accsrycalc!$G$2:$G$51, "",0),  F1088&lt;&gt;"",L1088*_xlfn.XLOOKUP(1, (SKUs!$C$2:$C$10001=G1088)*(SKUs!$K$2:$K$10001=I1088),SKUs!$E$2:$E$10001)), 0),"")</f>
        <v/>
      </c>
      <c r="E1088" s="35" t="str">
        <f>_xlfn.XLOOKUP(F1088,dd_item!$B$2:$B$105,dd_item!$C$2:$C$105,"",0)</f>
        <v/>
      </c>
      <c r="F1088" s="35"/>
      <c r="G1088" s="35" cm="1">
        <f t="array" ref="G1088">IFERROR(_xlfn.XLOOKUP(1, (SKUs!$J$2:$J$10001=accsry_unmerged!F1088)*IF(H1088&lt;&gt;"",(SKUs!$L$2:$L$10001=accsry_unmerged!H1088),1)*(SKUs!$K$2:$K$10001=I1088),SKUs!$C$2:$C$10001),"")</f>
        <v>0</v>
      </c>
      <c r="H1088" s="36" cm="1">
        <f t="array" ref="H1088">IFERROR(_xlfn.XLOOKUP(1, (dd_accsryclr!$C$2:$C$1000=accsry_unmerged!F1088)*(dd_accsryclr!$B$2:$B$1000=accsry_unmerged!J1088),dd_accsryclr!$A$2:$A$1000),"")</f>
        <v>0</v>
      </c>
      <c r="I1088" s="35">
        <f>_xlfn.XLOOKUP(C1088,'Project Details'!$C$17:$C$66,'Project Details'!$E$17:$E$66,"",0)</f>
        <v>0</v>
      </c>
      <c r="J1088" s="35">
        <f>_xlfn.XLOOKUP(C1088,'Project Details'!$C$17:$C$66,'Project Details'!$H$17:$H$66,"",0)</f>
        <v>0</v>
      </c>
      <c r="K1088" s="36" t="str">
        <f>IF(AND(_xlfn.XLOOKUP(C1088,'Project Details'!$C$17:$C$66,'Project Details'!$L$17:$L$66,"",0)&gt;550, F1088="Spring-L27cm"),"",SUBSTITUTE(_xlfn.XLOOKUP(G1088,SKUs!$C$2:$C$10001,SKUs!$F$2:$F$10001,"",0), " Accessories",""))</f>
        <v/>
      </c>
      <c r="L1088" s="36">
        <f>_xlfn.XLOOKUP(C1088,'Project Details'!$C$17:$C$66,'Project Details'!$D$17:$D$66,"",0)</f>
        <v>0</v>
      </c>
      <c r="M1088" s="43"/>
    </row>
    <row r="1089" spans="1:13" ht="13.5" customHeight="1" x14ac:dyDescent="0.25">
      <c r="A1089" s="43"/>
      <c r="B1089" s="43"/>
      <c r="C1089" s="16">
        <f t="shared" si="20"/>
        <v>22</v>
      </c>
      <c r="D1089" s="16" t="str" cm="1">
        <f t="array" ref="D1089">IFERROR(ROUNDUP(_xlfn.IFS(F1089="Aluminum Track", _xlfn.XLOOKUP(C1089, dd_accsrycalc!$A$2:$A$51, dd_accsrycalc!$B$2:$B$51, "",0), F1089="10 x 2 1/2 S (Flat)", _xlfn.XLOOKUP(C1089, dd_accsrycalc!$A$2:$A$51, dd_accsrycalc!$C$2:$C$51, "",0), F1089="Tox6", _xlfn.XLOOKUP(C1089, dd_accsrycalc!$A$2:$A$51, dd_accsrycalc!$D$2:$D$51, "",0), F1089="Cover Cap", _xlfn.XLOOKUP(C1089, dd_accsrycalc!$A$2:$A$51, dd_accsrycalc!$E$2:$E$51, "",0), F1089="Drainage Cover", _xlfn.XLOOKUP(C1089, dd_accsrycalc!$A$2:$A$51, dd_accsrycalc!$F$2:$F$51, "",0),AND( F1089="Double Adhesive Tape", I1089="Roll-up Screen"), _xlfn.XLOOKUP(C1089, calc_rusacc!$C$15:$C$65, calc_rusacc!$AD$15:$AD$65, "",0),AND( F1089="Sealant", I1089="Roll-up Screen"), _xlfn.XLOOKUP(C1089, calc_rusacc!$C$15:$C$65, calc_rusacc!$AF$15:$AF$65, "",0),  AND( F1089="Main Chain", I1089="Accordion Screen"), _xlfn.XLOOKUP(C1089, calc_rusacc!$C$15:$C$65, calc_rusacc!$BF$15:$BF$65, "",0), AND( F1089="Sealant", I1089="Accordion Screen"), _xlfn.XLOOKUP(C1089, calc_rusacc!$C$15:$C$65, calc_rusacc!$BJ$15:$BJ$65, "",0),  F1089="Sealant", _xlfn.XLOOKUP(C1089, dd_accsrycalc!$A$2:$A$51, dd_accsrycalc!$G$2:$G$51, "",0),  F1089&lt;&gt;"",L1089*_xlfn.XLOOKUP(1, (SKUs!$C$2:$C$10001=G1089)*(SKUs!$K$2:$K$10001=I1089),SKUs!$E$2:$E$10001)), 0),"")</f>
        <v/>
      </c>
      <c r="E1089" s="16" t="str">
        <f>_xlfn.XLOOKUP(F1089,dd_item!$B$2:$B$105,dd_item!$C$2:$C$105,"",0)</f>
        <v/>
      </c>
      <c r="F1089" s="16"/>
      <c r="G1089" s="16" cm="1">
        <f t="array" ref="G1089">IFERROR(_xlfn.XLOOKUP(1, (SKUs!$J$2:$J$10001=accsry_unmerged!F1089)*IF(H1089&lt;&gt;"",(SKUs!$L$2:$L$10001=accsry_unmerged!H1089),1)*(SKUs!$K$2:$K$10001=I1089),SKUs!$C$2:$C$10001),"")</f>
        <v>0</v>
      </c>
      <c r="H1089" s="33" cm="1">
        <f t="array" ref="H1089">IFERROR(_xlfn.XLOOKUP(1, (dd_accsryclr!$C$2:$C$1000=accsry_unmerged!F1089)*(dd_accsryclr!$B$2:$B$1000=accsry_unmerged!J1089),dd_accsryclr!$A$2:$A$1000),"")</f>
        <v>0</v>
      </c>
      <c r="I1089" s="16">
        <f>_xlfn.XLOOKUP(C1089,'Project Details'!$C$17:$C$66,'Project Details'!$E$17:$E$66,"",0)</f>
        <v>0</v>
      </c>
      <c r="J1089" s="16">
        <f>_xlfn.XLOOKUP(C1089,'Project Details'!$C$17:$C$66,'Project Details'!$H$17:$H$66,"",0)</f>
        <v>0</v>
      </c>
      <c r="K1089" s="33" t="str">
        <f>IF(AND(_xlfn.XLOOKUP(C1089,'Project Details'!$C$17:$C$66,'Project Details'!$L$17:$L$66,"",0)&gt;550, F1089="Spring-L27cm"),"",SUBSTITUTE(_xlfn.XLOOKUP(G1089,SKUs!$C$2:$C$10001,SKUs!$F$2:$F$10001,"",0), " Accessories",""))</f>
        <v/>
      </c>
      <c r="L1089" s="33">
        <f>_xlfn.XLOOKUP(C1089,'Project Details'!$C$17:$C$66,'Project Details'!$D$17:$D$66,"",0)</f>
        <v>0</v>
      </c>
      <c r="M1089" s="43"/>
    </row>
    <row r="1090" spans="1:13" ht="13.5" customHeight="1" x14ac:dyDescent="0.25">
      <c r="A1090" s="43"/>
      <c r="B1090" s="43"/>
      <c r="C1090" s="35">
        <f t="shared" si="20"/>
        <v>22</v>
      </c>
      <c r="D1090" s="35" t="str" cm="1">
        <f t="array" ref="D1090">IFERROR(ROUNDUP(_xlfn.IFS(F1090="Aluminum Track", _xlfn.XLOOKUP(C1090, dd_accsrycalc!$A$2:$A$51, dd_accsrycalc!$B$2:$B$51, "",0), F1090="10 x 2 1/2 S (Flat)", _xlfn.XLOOKUP(C1090, dd_accsrycalc!$A$2:$A$51, dd_accsrycalc!$C$2:$C$51, "",0), F1090="Tox6", _xlfn.XLOOKUP(C1090, dd_accsrycalc!$A$2:$A$51, dd_accsrycalc!$D$2:$D$51, "",0), F1090="Cover Cap", _xlfn.XLOOKUP(C1090, dd_accsrycalc!$A$2:$A$51, dd_accsrycalc!$E$2:$E$51, "",0), F1090="Drainage Cover", _xlfn.XLOOKUP(C1090, dd_accsrycalc!$A$2:$A$51, dd_accsrycalc!$F$2:$F$51, "",0),AND( F1090="Double Adhesive Tape", I1090="Roll-up Screen"), _xlfn.XLOOKUP(C1090, calc_rusacc!$C$15:$C$65, calc_rusacc!$AD$15:$AD$65, "",0),AND( F1090="Sealant", I1090="Roll-up Screen"), _xlfn.XLOOKUP(C1090, calc_rusacc!$C$15:$C$65, calc_rusacc!$AF$15:$AF$65, "",0),  AND( F1090="Main Chain", I1090="Accordion Screen"), _xlfn.XLOOKUP(C1090, calc_rusacc!$C$15:$C$65, calc_rusacc!$BF$15:$BF$65, "",0), AND( F1090="Sealant", I1090="Accordion Screen"), _xlfn.XLOOKUP(C1090, calc_rusacc!$C$15:$C$65, calc_rusacc!$BJ$15:$BJ$65, "",0),  F1090="Sealant", _xlfn.XLOOKUP(C1090, dd_accsrycalc!$A$2:$A$51, dd_accsrycalc!$G$2:$G$51, "",0),  F1090&lt;&gt;"",L1090*_xlfn.XLOOKUP(1, (SKUs!$C$2:$C$10001=G1090)*(SKUs!$K$2:$K$10001=I1090),SKUs!$E$2:$E$10001)), 0),"")</f>
        <v/>
      </c>
      <c r="E1090" s="35" t="str">
        <f>_xlfn.XLOOKUP(F1090,dd_item!$B$2:$B$105,dd_item!$C$2:$C$105,"",0)</f>
        <v/>
      </c>
      <c r="F1090" s="35"/>
      <c r="G1090" s="35" cm="1">
        <f t="array" ref="G1090">IFERROR(_xlfn.XLOOKUP(1, (SKUs!$J$2:$J$10001=accsry_unmerged!F1090)*IF(H1090&lt;&gt;"",(SKUs!$L$2:$L$10001=accsry_unmerged!H1090),1)*(SKUs!$K$2:$K$10001=I1090),SKUs!$C$2:$C$10001),"")</f>
        <v>0</v>
      </c>
      <c r="H1090" s="36" cm="1">
        <f t="array" ref="H1090">IFERROR(_xlfn.XLOOKUP(1, (dd_accsryclr!$C$2:$C$1000=accsry_unmerged!F1090)*(dd_accsryclr!$B$2:$B$1000=accsry_unmerged!J1090),dd_accsryclr!$A$2:$A$1000),"")</f>
        <v>0</v>
      </c>
      <c r="I1090" s="35">
        <f>_xlfn.XLOOKUP(C1090,'Project Details'!$C$17:$C$66,'Project Details'!$E$17:$E$66,"",0)</f>
        <v>0</v>
      </c>
      <c r="J1090" s="35">
        <f>_xlfn.XLOOKUP(C1090,'Project Details'!$C$17:$C$66,'Project Details'!$H$17:$H$66,"",0)</f>
        <v>0</v>
      </c>
      <c r="K1090" s="36" t="str">
        <f>IF(AND(_xlfn.XLOOKUP(C1090,'Project Details'!$C$17:$C$66,'Project Details'!$L$17:$L$66,"",0)&gt;550, F1090="Spring-L27cm"),"",SUBSTITUTE(_xlfn.XLOOKUP(G1090,SKUs!$C$2:$C$10001,SKUs!$F$2:$F$10001,"",0), " Accessories",""))</f>
        <v/>
      </c>
      <c r="L1090" s="36">
        <f>_xlfn.XLOOKUP(C1090,'Project Details'!$C$17:$C$66,'Project Details'!$D$17:$D$66,"",0)</f>
        <v>0</v>
      </c>
      <c r="M1090" s="43"/>
    </row>
    <row r="1091" spans="1:13" ht="13.5" customHeight="1" x14ac:dyDescent="0.25">
      <c r="A1091" s="43"/>
      <c r="B1091" s="43"/>
      <c r="C1091" s="16">
        <f t="shared" si="20"/>
        <v>22</v>
      </c>
      <c r="D1091" s="16" t="str" cm="1">
        <f t="array" ref="D1091">IFERROR(ROUNDUP(_xlfn.IFS(F1091="Aluminum Track", _xlfn.XLOOKUP(C1091, dd_accsrycalc!$A$2:$A$51, dd_accsrycalc!$B$2:$B$51, "",0), F1091="10 x 2 1/2 S (Flat)", _xlfn.XLOOKUP(C1091, dd_accsrycalc!$A$2:$A$51, dd_accsrycalc!$C$2:$C$51, "",0), F1091="Tox6", _xlfn.XLOOKUP(C1091, dd_accsrycalc!$A$2:$A$51, dd_accsrycalc!$D$2:$D$51, "",0), F1091="Cover Cap", _xlfn.XLOOKUP(C1091, dd_accsrycalc!$A$2:$A$51, dd_accsrycalc!$E$2:$E$51, "",0), F1091="Drainage Cover", _xlfn.XLOOKUP(C1091, dd_accsrycalc!$A$2:$A$51, dd_accsrycalc!$F$2:$F$51, "",0),AND( F1091="Double Adhesive Tape", I1091="Roll-up Screen"), _xlfn.XLOOKUP(C1091, calc_rusacc!$C$15:$C$65, calc_rusacc!$AD$15:$AD$65, "",0),AND( F1091="Sealant", I1091="Roll-up Screen"), _xlfn.XLOOKUP(C1091, calc_rusacc!$C$15:$C$65, calc_rusacc!$AF$15:$AF$65, "",0),  AND( F1091="Main Chain", I1091="Accordion Screen"), _xlfn.XLOOKUP(C1091, calc_rusacc!$C$15:$C$65, calc_rusacc!$BF$15:$BF$65, "",0), AND( F1091="Sealant", I1091="Accordion Screen"), _xlfn.XLOOKUP(C1091, calc_rusacc!$C$15:$C$65, calc_rusacc!$BJ$15:$BJ$65, "",0),  F1091="Sealant", _xlfn.XLOOKUP(C1091, dd_accsrycalc!$A$2:$A$51, dd_accsrycalc!$G$2:$G$51, "",0),  F1091&lt;&gt;"",L1091*_xlfn.XLOOKUP(1, (SKUs!$C$2:$C$10001=G1091)*(SKUs!$K$2:$K$10001=I1091),SKUs!$E$2:$E$10001)), 0),"")</f>
        <v/>
      </c>
      <c r="E1091" s="16" t="str">
        <f>_xlfn.XLOOKUP(F1091,dd_item!$B$2:$B$105,dd_item!$C$2:$C$105,"",0)</f>
        <v/>
      </c>
      <c r="F1091" s="16"/>
      <c r="G1091" s="16" cm="1">
        <f t="array" ref="G1091">IFERROR(_xlfn.XLOOKUP(1, (SKUs!$J$2:$J$10001=accsry_unmerged!F1091)*IF(H1091&lt;&gt;"",(SKUs!$L$2:$L$10001=accsry_unmerged!H1091),1)*(SKUs!$K$2:$K$10001=I1091),SKUs!$C$2:$C$10001),"")</f>
        <v>0</v>
      </c>
      <c r="H1091" s="33" cm="1">
        <f t="array" ref="H1091">IFERROR(_xlfn.XLOOKUP(1, (dd_accsryclr!$C$2:$C$1000=accsry_unmerged!F1091)*(dd_accsryclr!$B$2:$B$1000=accsry_unmerged!J1091),dd_accsryclr!$A$2:$A$1000),"")</f>
        <v>0</v>
      </c>
      <c r="I1091" s="16">
        <f>_xlfn.XLOOKUP(C1091,'Project Details'!$C$17:$C$66,'Project Details'!$E$17:$E$66,"",0)</f>
        <v>0</v>
      </c>
      <c r="J1091" s="16">
        <f>_xlfn.XLOOKUP(C1091,'Project Details'!$C$17:$C$66,'Project Details'!$H$17:$H$66,"",0)</f>
        <v>0</v>
      </c>
      <c r="K1091" s="33" t="str">
        <f>IF(AND(_xlfn.XLOOKUP(C1091,'Project Details'!$C$17:$C$66,'Project Details'!$L$17:$L$66,"",0)&gt;550, F1091="Spring-L27cm"),"",SUBSTITUTE(_xlfn.XLOOKUP(G1091,SKUs!$C$2:$C$10001,SKUs!$F$2:$F$10001,"",0), " Accessories",""))</f>
        <v/>
      </c>
      <c r="L1091" s="33">
        <f>_xlfn.XLOOKUP(C1091,'Project Details'!$C$17:$C$66,'Project Details'!$D$17:$D$66,"",0)</f>
        <v>0</v>
      </c>
      <c r="M1091" s="43"/>
    </row>
    <row r="1092" spans="1:13" ht="13.5" customHeight="1" x14ac:dyDescent="0.25">
      <c r="A1092" s="43"/>
      <c r="B1092" s="43"/>
      <c r="C1092" s="35">
        <f t="shared" si="20"/>
        <v>22</v>
      </c>
      <c r="D1092" s="35" t="str" cm="1">
        <f t="array" ref="D1092">IFERROR(ROUNDUP(_xlfn.IFS(F1092="Aluminum Track", _xlfn.XLOOKUP(C1092, dd_accsrycalc!$A$2:$A$51, dd_accsrycalc!$B$2:$B$51, "",0), F1092="10 x 2 1/2 S (Flat)", _xlfn.XLOOKUP(C1092, dd_accsrycalc!$A$2:$A$51, dd_accsrycalc!$C$2:$C$51, "",0), F1092="Tox6", _xlfn.XLOOKUP(C1092, dd_accsrycalc!$A$2:$A$51, dd_accsrycalc!$D$2:$D$51, "",0), F1092="Cover Cap", _xlfn.XLOOKUP(C1092, dd_accsrycalc!$A$2:$A$51, dd_accsrycalc!$E$2:$E$51, "",0), F1092="Drainage Cover", _xlfn.XLOOKUP(C1092, dd_accsrycalc!$A$2:$A$51, dd_accsrycalc!$F$2:$F$51, "",0),AND( F1092="Double Adhesive Tape", I1092="Roll-up Screen"), _xlfn.XLOOKUP(C1092, calc_rusacc!$C$15:$C$65, calc_rusacc!$AD$15:$AD$65, "",0),AND( F1092="Sealant", I1092="Roll-up Screen"), _xlfn.XLOOKUP(C1092, calc_rusacc!$C$15:$C$65, calc_rusacc!$AF$15:$AF$65, "",0),  AND( F1092="Main Chain", I1092="Accordion Screen"), _xlfn.XLOOKUP(C1092, calc_rusacc!$C$15:$C$65, calc_rusacc!$BF$15:$BF$65, "",0), AND( F1092="Sealant", I1092="Accordion Screen"), _xlfn.XLOOKUP(C1092, calc_rusacc!$C$15:$C$65, calc_rusacc!$BJ$15:$BJ$65, "",0),  F1092="Sealant", _xlfn.XLOOKUP(C1092, dd_accsrycalc!$A$2:$A$51, dd_accsrycalc!$G$2:$G$51, "",0),  F1092&lt;&gt;"",L1092*_xlfn.XLOOKUP(1, (SKUs!$C$2:$C$10001=G1092)*(SKUs!$K$2:$K$10001=I1092),SKUs!$E$2:$E$10001)), 0),"")</f>
        <v/>
      </c>
      <c r="E1092" s="35" t="str">
        <f>_xlfn.XLOOKUP(F1092,dd_item!$B$2:$B$105,dd_item!$C$2:$C$105,"",0)</f>
        <v/>
      </c>
      <c r="F1092" s="35"/>
      <c r="G1092" s="35" cm="1">
        <f t="array" ref="G1092">IFERROR(_xlfn.XLOOKUP(1, (SKUs!$J$2:$J$10001=accsry_unmerged!F1092)*IF(H1092&lt;&gt;"",(SKUs!$L$2:$L$10001=accsry_unmerged!H1092),1)*(SKUs!$K$2:$K$10001=I1092),SKUs!$C$2:$C$10001),"")</f>
        <v>0</v>
      </c>
      <c r="H1092" s="36" cm="1">
        <f t="array" ref="H1092">IFERROR(_xlfn.XLOOKUP(1, (dd_accsryclr!$C$2:$C$1000=accsry_unmerged!F1092)*(dd_accsryclr!$B$2:$B$1000=accsry_unmerged!J1092),dd_accsryclr!$A$2:$A$1000),"")</f>
        <v>0</v>
      </c>
      <c r="I1092" s="35">
        <f>_xlfn.XLOOKUP(C1092,'Project Details'!$C$17:$C$66,'Project Details'!$E$17:$E$66,"",0)</f>
        <v>0</v>
      </c>
      <c r="J1092" s="35">
        <f>_xlfn.XLOOKUP(C1092,'Project Details'!$C$17:$C$66,'Project Details'!$H$17:$H$66,"",0)</f>
        <v>0</v>
      </c>
      <c r="K1092" s="36" t="str">
        <f>IF(AND(_xlfn.XLOOKUP(C1092,'Project Details'!$C$17:$C$66,'Project Details'!$L$17:$L$66,"",0)&gt;550, F1092="Spring-L27cm"),"",SUBSTITUTE(_xlfn.XLOOKUP(G1092,SKUs!$C$2:$C$10001,SKUs!$F$2:$F$10001,"",0), " Accessories",""))</f>
        <v/>
      </c>
      <c r="L1092" s="36">
        <f>_xlfn.XLOOKUP(C1092,'Project Details'!$C$17:$C$66,'Project Details'!$D$17:$D$66,"",0)</f>
        <v>0</v>
      </c>
      <c r="M1092" s="43"/>
    </row>
    <row r="1093" spans="1:13" ht="13.5" customHeight="1" x14ac:dyDescent="0.25">
      <c r="A1093" s="43"/>
      <c r="B1093" s="43"/>
      <c r="C1093" s="16">
        <f t="shared" si="20"/>
        <v>22</v>
      </c>
      <c r="D1093" s="16" t="str" cm="1">
        <f t="array" ref="D1093">IFERROR(ROUNDUP(_xlfn.IFS(F1093="Aluminum Track", _xlfn.XLOOKUP(C1093, dd_accsrycalc!$A$2:$A$51, dd_accsrycalc!$B$2:$B$51, "",0), F1093="10 x 2 1/2 S (Flat)", _xlfn.XLOOKUP(C1093, dd_accsrycalc!$A$2:$A$51, dd_accsrycalc!$C$2:$C$51, "",0), F1093="Tox6", _xlfn.XLOOKUP(C1093, dd_accsrycalc!$A$2:$A$51, dd_accsrycalc!$D$2:$D$51, "",0), F1093="Cover Cap", _xlfn.XLOOKUP(C1093, dd_accsrycalc!$A$2:$A$51, dd_accsrycalc!$E$2:$E$51, "",0), F1093="Drainage Cover", _xlfn.XLOOKUP(C1093, dd_accsrycalc!$A$2:$A$51, dd_accsrycalc!$F$2:$F$51, "",0),AND( F1093="Double Adhesive Tape", I1093="Roll-up Screen"), _xlfn.XLOOKUP(C1093, calc_rusacc!$C$15:$C$65, calc_rusacc!$AD$15:$AD$65, "",0),AND( F1093="Sealant", I1093="Roll-up Screen"), _xlfn.XLOOKUP(C1093, calc_rusacc!$C$15:$C$65, calc_rusacc!$AF$15:$AF$65, "",0),  AND( F1093="Main Chain", I1093="Accordion Screen"), _xlfn.XLOOKUP(C1093, calc_rusacc!$C$15:$C$65, calc_rusacc!$BF$15:$BF$65, "",0), AND( F1093="Sealant", I1093="Accordion Screen"), _xlfn.XLOOKUP(C1093, calc_rusacc!$C$15:$C$65, calc_rusacc!$BJ$15:$BJ$65, "",0),  F1093="Sealant", _xlfn.XLOOKUP(C1093, dd_accsrycalc!$A$2:$A$51, dd_accsrycalc!$G$2:$G$51, "",0),  F1093&lt;&gt;"",L1093*_xlfn.XLOOKUP(1, (SKUs!$C$2:$C$10001=G1093)*(SKUs!$K$2:$K$10001=I1093),SKUs!$E$2:$E$10001)), 0),"")</f>
        <v/>
      </c>
      <c r="E1093" s="16" t="str">
        <f>_xlfn.XLOOKUP(F1093,dd_item!$B$2:$B$105,dd_item!$C$2:$C$105,"",0)</f>
        <v/>
      </c>
      <c r="F1093" s="16"/>
      <c r="G1093" s="16" cm="1">
        <f t="array" ref="G1093">IFERROR(_xlfn.XLOOKUP(1, (SKUs!$J$2:$J$10001=accsry_unmerged!F1093)*IF(H1093&lt;&gt;"",(SKUs!$L$2:$L$10001=accsry_unmerged!H1093),1)*(SKUs!$K$2:$K$10001=I1093),SKUs!$C$2:$C$10001),"")</f>
        <v>0</v>
      </c>
      <c r="H1093" s="33" cm="1">
        <f t="array" ref="H1093">IFERROR(_xlfn.XLOOKUP(1, (dd_accsryclr!$C$2:$C$1000=accsry_unmerged!F1093)*(dd_accsryclr!$B$2:$B$1000=accsry_unmerged!J1093),dd_accsryclr!$A$2:$A$1000),"")</f>
        <v>0</v>
      </c>
      <c r="I1093" s="16">
        <f>_xlfn.XLOOKUP(C1093,'Project Details'!$C$17:$C$66,'Project Details'!$E$17:$E$66,"",0)</f>
        <v>0</v>
      </c>
      <c r="J1093" s="16">
        <f>_xlfn.XLOOKUP(C1093,'Project Details'!$C$17:$C$66,'Project Details'!$H$17:$H$66,"",0)</f>
        <v>0</v>
      </c>
      <c r="K1093" s="33" t="str">
        <f>IF(AND(_xlfn.XLOOKUP(C1093,'Project Details'!$C$17:$C$66,'Project Details'!$L$17:$L$66,"",0)&gt;550, F1093="Spring-L27cm"),"",SUBSTITUTE(_xlfn.XLOOKUP(G1093,SKUs!$C$2:$C$10001,SKUs!$F$2:$F$10001,"",0), " Accessories",""))</f>
        <v/>
      </c>
      <c r="L1093" s="33">
        <f>_xlfn.XLOOKUP(C1093,'Project Details'!$C$17:$C$66,'Project Details'!$D$17:$D$66,"",0)</f>
        <v>0</v>
      </c>
      <c r="M1093" s="43"/>
    </row>
    <row r="1094" spans="1:13" ht="13.5" customHeight="1" x14ac:dyDescent="0.25">
      <c r="A1094" s="43"/>
      <c r="B1094" s="43"/>
      <c r="C1094" s="35">
        <f t="shared" si="20"/>
        <v>22</v>
      </c>
      <c r="D1094" s="35" t="str" cm="1">
        <f t="array" ref="D1094">IFERROR(ROUNDUP(_xlfn.IFS(F1094="Aluminum Track", _xlfn.XLOOKUP(C1094, dd_accsrycalc!$A$2:$A$51, dd_accsrycalc!$B$2:$B$51, "",0), F1094="10 x 2 1/2 S (Flat)", _xlfn.XLOOKUP(C1094, dd_accsrycalc!$A$2:$A$51, dd_accsrycalc!$C$2:$C$51, "",0), F1094="Tox6", _xlfn.XLOOKUP(C1094, dd_accsrycalc!$A$2:$A$51, dd_accsrycalc!$D$2:$D$51, "",0), F1094="Cover Cap", _xlfn.XLOOKUP(C1094, dd_accsrycalc!$A$2:$A$51, dd_accsrycalc!$E$2:$E$51, "",0), F1094="Drainage Cover", _xlfn.XLOOKUP(C1094, dd_accsrycalc!$A$2:$A$51, dd_accsrycalc!$F$2:$F$51, "",0),AND( F1094="Double Adhesive Tape", I1094="Roll-up Screen"), _xlfn.XLOOKUP(C1094, calc_rusacc!$C$15:$C$65, calc_rusacc!$AD$15:$AD$65, "",0),AND( F1094="Sealant", I1094="Roll-up Screen"), _xlfn.XLOOKUP(C1094, calc_rusacc!$C$15:$C$65, calc_rusacc!$AF$15:$AF$65, "",0),  AND( F1094="Main Chain", I1094="Accordion Screen"), _xlfn.XLOOKUP(C1094, calc_rusacc!$C$15:$C$65, calc_rusacc!$BF$15:$BF$65, "",0), AND( F1094="Sealant", I1094="Accordion Screen"), _xlfn.XLOOKUP(C1094, calc_rusacc!$C$15:$C$65, calc_rusacc!$BJ$15:$BJ$65, "",0),  F1094="Sealant", _xlfn.XLOOKUP(C1094, dd_accsrycalc!$A$2:$A$51, dd_accsrycalc!$G$2:$G$51, "",0),  F1094&lt;&gt;"",L1094*_xlfn.XLOOKUP(1, (SKUs!$C$2:$C$10001=G1094)*(SKUs!$K$2:$K$10001=I1094),SKUs!$E$2:$E$10001)), 0),"")</f>
        <v/>
      </c>
      <c r="E1094" s="35" t="str">
        <f>_xlfn.XLOOKUP(F1094,dd_item!$B$2:$B$105,dd_item!$C$2:$C$105,"",0)</f>
        <v/>
      </c>
      <c r="F1094" s="35"/>
      <c r="G1094" s="35" cm="1">
        <f t="array" ref="G1094">IFERROR(_xlfn.XLOOKUP(1, (SKUs!$J$2:$J$10001=accsry_unmerged!F1094)*IF(H1094&lt;&gt;"",(SKUs!$L$2:$L$10001=accsry_unmerged!H1094),1)*(SKUs!$K$2:$K$10001=I1094),SKUs!$C$2:$C$10001),"")</f>
        <v>0</v>
      </c>
      <c r="H1094" s="36" cm="1">
        <f t="array" ref="H1094">IFERROR(_xlfn.XLOOKUP(1, (dd_accsryclr!$C$2:$C$1000=accsry_unmerged!F1094)*(dd_accsryclr!$B$2:$B$1000=accsry_unmerged!J1094),dd_accsryclr!$A$2:$A$1000),"")</f>
        <v>0</v>
      </c>
      <c r="I1094" s="35">
        <f>_xlfn.XLOOKUP(C1094,'Project Details'!$C$17:$C$66,'Project Details'!$E$17:$E$66,"",0)</f>
        <v>0</v>
      </c>
      <c r="J1094" s="35">
        <f>_xlfn.XLOOKUP(C1094,'Project Details'!$C$17:$C$66,'Project Details'!$H$17:$H$66,"",0)</f>
        <v>0</v>
      </c>
      <c r="K1094" s="36" t="str">
        <f>IF(AND(_xlfn.XLOOKUP(C1094,'Project Details'!$C$17:$C$66,'Project Details'!$L$17:$L$66,"",0)&gt;550, F1094="Spring-L27cm"),"",SUBSTITUTE(_xlfn.XLOOKUP(G1094,SKUs!$C$2:$C$10001,SKUs!$F$2:$F$10001,"",0), " Accessories",""))</f>
        <v/>
      </c>
      <c r="L1094" s="36">
        <f>_xlfn.XLOOKUP(C1094,'Project Details'!$C$17:$C$66,'Project Details'!$D$17:$D$66,"",0)</f>
        <v>0</v>
      </c>
      <c r="M1094" s="43"/>
    </row>
    <row r="1095" spans="1:13" ht="13.5" customHeight="1" outlineLevel="1" x14ac:dyDescent="0.25">
      <c r="A1095" s="43"/>
      <c r="B1095" s="43"/>
      <c r="C1095" s="16">
        <f t="shared" si="20"/>
        <v>22</v>
      </c>
      <c r="D1095" s="16" t="str" cm="1">
        <f t="array" ref="D1095">IFERROR(ROUNDUP(_xlfn.IFS(F1095="Aluminum Track", _xlfn.XLOOKUP(C1095, dd_accsrycalc!$A$2:$A$51, dd_accsrycalc!$B$2:$B$51, "",0), F1095="10 x 2 1/2 S (Flat)", _xlfn.XLOOKUP(C1095, dd_accsrycalc!$A$2:$A$51, dd_accsrycalc!$C$2:$C$51, "",0), F1095="Tox6", _xlfn.XLOOKUP(C1095, dd_accsrycalc!$A$2:$A$51, dd_accsrycalc!$D$2:$D$51, "",0), F1095="Cover Cap", _xlfn.XLOOKUP(C1095, dd_accsrycalc!$A$2:$A$51, dd_accsrycalc!$E$2:$E$51, "",0), F1095="Drainage Cover", _xlfn.XLOOKUP(C1095, dd_accsrycalc!$A$2:$A$51, dd_accsrycalc!$F$2:$F$51, "",0),AND( F1095="Double Adhesive Tape", I1095="Roll-up Screen"), _xlfn.XLOOKUP(C1095, calc_rusacc!$C$15:$C$65, calc_rusacc!$AD$15:$AD$65, "",0),AND( F1095="Sealant", I1095="Roll-up Screen"), _xlfn.XLOOKUP(C1095, calc_rusacc!$C$15:$C$65, calc_rusacc!$AF$15:$AF$65, "",0),  AND( F1095="Main Chain", I1095="Accordion Screen"), _xlfn.XLOOKUP(C1095, calc_rusacc!$C$15:$C$65, calc_rusacc!$BF$15:$BF$65, "",0), AND( F1095="Sealant", I1095="Accordion Screen"), _xlfn.XLOOKUP(C1095, calc_rusacc!$C$15:$C$65, calc_rusacc!$BJ$15:$BJ$65, "",0),  F1095="Sealant", _xlfn.XLOOKUP(C1095, dd_accsrycalc!$A$2:$A$51, dd_accsrycalc!$G$2:$G$51, "",0),  F1095&lt;&gt;"",L1095*_xlfn.XLOOKUP(1, (SKUs!$C$2:$C$10001=G1095)*(SKUs!$K$2:$K$10001=I1095),SKUs!$E$2:$E$10001)), 0),"")</f>
        <v/>
      </c>
      <c r="E1095" s="16" t="str">
        <f>_xlfn.XLOOKUP(F1095,dd_item!$B$2:$B$105,dd_item!$C$2:$C$105,"",0)</f>
        <v/>
      </c>
      <c r="F1095" s="16"/>
      <c r="G1095" s="16" cm="1">
        <f t="array" ref="G1095">IFERROR(_xlfn.XLOOKUP(1, (SKUs!$J$2:$J$10001=accsry_unmerged!F1095)*IF(H1095&lt;&gt;"",(SKUs!$L$2:$L$10001=accsry_unmerged!H1095),1)*(SKUs!$K$2:$K$10001=I1095),SKUs!$C$2:$C$10001),"")</f>
        <v>0</v>
      </c>
      <c r="H1095" s="33" cm="1">
        <f t="array" ref="H1095">IFERROR(_xlfn.XLOOKUP(1, (dd_accsryclr!$C$2:$C$1000=accsry_unmerged!F1095)*(dd_accsryclr!$B$2:$B$1000=accsry_unmerged!J1095),dd_accsryclr!$A$2:$A$1000),"")</f>
        <v>0</v>
      </c>
      <c r="I1095" s="16">
        <f>_xlfn.XLOOKUP(C1095,'Project Details'!$C$17:$C$66,'Project Details'!$E$17:$E$66,"",0)</f>
        <v>0</v>
      </c>
      <c r="J1095" s="16">
        <f>_xlfn.XLOOKUP(C1095,'Project Details'!$C$17:$C$66,'Project Details'!$H$17:$H$66,"",0)</f>
        <v>0</v>
      </c>
      <c r="K1095" s="33" t="str">
        <f>IF(AND(_xlfn.XLOOKUP(C1095,'Project Details'!$C$17:$C$66,'Project Details'!$L$17:$L$66,"",0)&gt;550, F1095="Spring-L27cm"),"",SUBSTITUTE(_xlfn.XLOOKUP(G1095,SKUs!$C$2:$C$10001,SKUs!$F$2:$F$10001,"",0), " Accessories",""))</f>
        <v/>
      </c>
      <c r="L1095" s="33">
        <f>_xlfn.XLOOKUP(C1095,'Project Details'!$C$17:$C$66,'Project Details'!$D$17:$D$66,"",0)</f>
        <v>0</v>
      </c>
      <c r="M1095" s="43"/>
    </row>
    <row r="1096" spans="1:13" ht="13.5" customHeight="1" outlineLevel="1" x14ac:dyDescent="0.25">
      <c r="A1096" s="43"/>
      <c r="B1096" s="43"/>
      <c r="C1096" s="35">
        <f t="shared" si="20"/>
        <v>22</v>
      </c>
      <c r="D1096" s="35" t="str" cm="1">
        <f t="array" ref="D1096">IFERROR(ROUNDUP(_xlfn.IFS(F1096="Aluminum Track", _xlfn.XLOOKUP(C1096, dd_accsrycalc!$A$2:$A$51, dd_accsrycalc!$B$2:$B$51, "",0), F1096="10 x 2 1/2 S (Flat)", _xlfn.XLOOKUP(C1096, dd_accsrycalc!$A$2:$A$51, dd_accsrycalc!$C$2:$C$51, "",0), F1096="Tox6", _xlfn.XLOOKUP(C1096, dd_accsrycalc!$A$2:$A$51, dd_accsrycalc!$D$2:$D$51, "",0), F1096="Cover Cap", _xlfn.XLOOKUP(C1096, dd_accsrycalc!$A$2:$A$51, dd_accsrycalc!$E$2:$E$51, "",0), F1096="Drainage Cover", _xlfn.XLOOKUP(C1096, dd_accsrycalc!$A$2:$A$51, dd_accsrycalc!$F$2:$F$51, "",0),AND( F1096="Double Adhesive Tape", I1096="Roll-up Screen"), _xlfn.XLOOKUP(C1096, calc_rusacc!$C$15:$C$65, calc_rusacc!$AD$15:$AD$65, "",0),AND( F1096="Sealant", I1096="Roll-up Screen"), _xlfn.XLOOKUP(C1096, calc_rusacc!$C$15:$C$65, calc_rusacc!$AF$15:$AF$65, "",0),  AND( F1096="Main Chain", I1096="Accordion Screen"), _xlfn.XLOOKUP(C1096, calc_rusacc!$C$15:$C$65, calc_rusacc!$BF$15:$BF$65, "",0), AND( F1096="Sealant", I1096="Accordion Screen"), _xlfn.XLOOKUP(C1096, calc_rusacc!$C$15:$C$65, calc_rusacc!$BJ$15:$BJ$65, "",0),  F1096="Sealant", _xlfn.XLOOKUP(C1096, dd_accsrycalc!$A$2:$A$51, dd_accsrycalc!$G$2:$G$51, "",0),  F1096&lt;&gt;"",L1096*_xlfn.XLOOKUP(1, (SKUs!$C$2:$C$10001=G1096)*(SKUs!$K$2:$K$10001=I1096),SKUs!$E$2:$E$10001)), 0),"")</f>
        <v/>
      </c>
      <c r="E1096" s="35" t="str">
        <f>_xlfn.XLOOKUP(F1096,dd_item!$B$2:$B$105,dd_item!$C$2:$C$105,"",0)</f>
        <v/>
      </c>
      <c r="F1096" s="35"/>
      <c r="G1096" s="35" cm="1">
        <f t="array" ref="G1096">IFERROR(_xlfn.XLOOKUP(1, (SKUs!$J$2:$J$10001=accsry_unmerged!F1096)*IF(H1096&lt;&gt;"",(SKUs!$L$2:$L$10001=accsry_unmerged!H1096),1)*(SKUs!$K$2:$K$10001=I1096),SKUs!$C$2:$C$10001),"")</f>
        <v>0</v>
      </c>
      <c r="H1096" s="36" cm="1">
        <f t="array" ref="H1096">IFERROR(_xlfn.XLOOKUP(1, (dd_accsryclr!$C$2:$C$1000=accsry_unmerged!F1096)*(dd_accsryclr!$B$2:$B$1000=accsry_unmerged!J1096),dd_accsryclr!$A$2:$A$1000),"")</f>
        <v>0</v>
      </c>
      <c r="I1096" s="35">
        <f>_xlfn.XLOOKUP(C1096,'Project Details'!$C$17:$C$66,'Project Details'!$E$17:$E$66,"",0)</f>
        <v>0</v>
      </c>
      <c r="J1096" s="35">
        <f>_xlfn.XLOOKUP(C1096,'Project Details'!$C$17:$C$66,'Project Details'!$H$17:$H$66,"",0)</f>
        <v>0</v>
      </c>
      <c r="K1096" s="36" t="str">
        <f>IF(AND(_xlfn.XLOOKUP(C1096,'Project Details'!$C$17:$C$66,'Project Details'!$L$17:$L$66,"",0)&gt;550, F1096="Spring-L27cm"),"",SUBSTITUTE(_xlfn.XLOOKUP(G1096,SKUs!$C$2:$C$10001,SKUs!$F$2:$F$10001,"",0), " Accessories",""))</f>
        <v/>
      </c>
      <c r="L1096" s="36">
        <f>_xlfn.XLOOKUP(C1096,'Project Details'!$C$17:$C$66,'Project Details'!$D$17:$D$66,"",0)</f>
        <v>0</v>
      </c>
      <c r="M1096" s="43"/>
    </row>
    <row r="1097" spans="1:13" ht="13.5" customHeight="1" outlineLevel="1" x14ac:dyDescent="0.25">
      <c r="A1097" s="43"/>
      <c r="B1097" s="43"/>
      <c r="C1097" s="16">
        <f t="shared" si="20"/>
        <v>22</v>
      </c>
      <c r="D1097" s="16" t="str" cm="1">
        <f t="array" ref="D1097">IFERROR(ROUNDUP(_xlfn.IFS(F1097="Aluminum Track", _xlfn.XLOOKUP(C1097, dd_accsrycalc!$A$2:$A$51, dd_accsrycalc!$B$2:$B$51, "",0), F1097="10 x 2 1/2 S (Flat)", _xlfn.XLOOKUP(C1097, dd_accsrycalc!$A$2:$A$51, dd_accsrycalc!$C$2:$C$51, "",0), F1097="Tox6", _xlfn.XLOOKUP(C1097, dd_accsrycalc!$A$2:$A$51, dd_accsrycalc!$D$2:$D$51, "",0), F1097="Cover Cap", _xlfn.XLOOKUP(C1097, dd_accsrycalc!$A$2:$A$51, dd_accsrycalc!$E$2:$E$51, "",0), F1097="Drainage Cover", _xlfn.XLOOKUP(C1097, dd_accsrycalc!$A$2:$A$51, dd_accsrycalc!$F$2:$F$51, "",0),AND( F1097="Double Adhesive Tape", I1097="Roll-up Screen"), _xlfn.XLOOKUP(C1097, calc_rusacc!$C$15:$C$65, calc_rusacc!$AD$15:$AD$65, "",0),AND( F1097="Sealant", I1097="Roll-up Screen"), _xlfn.XLOOKUP(C1097, calc_rusacc!$C$15:$C$65, calc_rusacc!$AF$15:$AF$65, "",0),  AND( F1097="Main Chain", I1097="Accordion Screen"), _xlfn.XLOOKUP(C1097, calc_rusacc!$C$15:$C$65, calc_rusacc!$BF$15:$BF$65, "",0), AND( F1097="Sealant", I1097="Accordion Screen"), _xlfn.XLOOKUP(C1097, calc_rusacc!$C$15:$C$65, calc_rusacc!$BJ$15:$BJ$65, "",0),  F1097="Sealant", _xlfn.XLOOKUP(C1097, dd_accsrycalc!$A$2:$A$51, dd_accsrycalc!$G$2:$G$51, "",0),  F1097&lt;&gt;"",L1097*_xlfn.XLOOKUP(1, (SKUs!$C$2:$C$10001=G1097)*(SKUs!$K$2:$K$10001=I1097),SKUs!$E$2:$E$10001)), 0),"")</f>
        <v/>
      </c>
      <c r="E1097" s="16" t="str">
        <f>_xlfn.XLOOKUP(F1097,dd_item!$B$2:$B$105,dd_item!$C$2:$C$105,"",0)</f>
        <v/>
      </c>
      <c r="F1097" s="16"/>
      <c r="G1097" s="16" cm="1">
        <f t="array" ref="G1097">IFERROR(_xlfn.XLOOKUP(1, (SKUs!$J$2:$J$10001=accsry_unmerged!F1097)*IF(H1097&lt;&gt;"",(SKUs!$L$2:$L$10001=accsry_unmerged!H1097),1)*(SKUs!$K$2:$K$10001=I1097),SKUs!$C$2:$C$10001),"")</f>
        <v>0</v>
      </c>
      <c r="H1097" s="33" cm="1">
        <f t="array" ref="H1097">IFERROR(_xlfn.XLOOKUP(1, (dd_accsryclr!$C$2:$C$1000=accsry_unmerged!F1097)*(dd_accsryclr!$B$2:$B$1000=accsry_unmerged!J1097),dd_accsryclr!$A$2:$A$1000),"")</f>
        <v>0</v>
      </c>
      <c r="I1097" s="16">
        <f>_xlfn.XLOOKUP(C1097,'Project Details'!$C$17:$C$66,'Project Details'!$E$17:$E$66,"",0)</f>
        <v>0</v>
      </c>
      <c r="J1097" s="16">
        <f>_xlfn.XLOOKUP(C1097,'Project Details'!$C$17:$C$66,'Project Details'!$H$17:$H$66,"",0)</f>
        <v>0</v>
      </c>
      <c r="K1097" s="33" t="str">
        <f>IF(AND(_xlfn.XLOOKUP(C1097,'Project Details'!$C$17:$C$66,'Project Details'!$L$17:$L$66,"",0)&gt;550, F1097="Spring-L27cm"),"",SUBSTITUTE(_xlfn.XLOOKUP(G1097,SKUs!$C$2:$C$10001,SKUs!$F$2:$F$10001,"",0), " Accessories",""))</f>
        <v/>
      </c>
      <c r="L1097" s="33">
        <f>_xlfn.XLOOKUP(C1097,'Project Details'!$C$17:$C$66,'Project Details'!$D$17:$D$66,"",0)</f>
        <v>0</v>
      </c>
      <c r="M1097" s="43"/>
    </row>
    <row r="1098" spans="1:13" ht="13.5" customHeight="1" outlineLevel="1" x14ac:dyDescent="0.25">
      <c r="A1098" s="43"/>
      <c r="B1098" s="43"/>
      <c r="C1098" s="35">
        <f t="shared" si="20"/>
        <v>22</v>
      </c>
      <c r="D1098" s="35" t="str" cm="1">
        <f t="array" ref="D1098">IFERROR(ROUNDUP(_xlfn.IFS(F1098="Aluminum Track", _xlfn.XLOOKUP(C1098, dd_accsrycalc!$A$2:$A$51, dd_accsrycalc!$B$2:$B$51, "",0), F1098="10 x 2 1/2 S (Flat)", _xlfn.XLOOKUP(C1098, dd_accsrycalc!$A$2:$A$51, dd_accsrycalc!$C$2:$C$51, "",0), F1098="Tox6", _xlfn.XLOOKUP(C1098, dd_accsrycalc!$A$2:$A$51, dd_accsrycalc!$D$2:$D$51, "",0), F1098="Cover Cap", _xlfn.XLOOKUP(C1098, dd_accsrycalc!$A$2:$A$51, dd_accsrycalc!$E$2:$E$51, "",0), F1098="Drainage Cover", _xlfn.XLOOKUP(C1098, dd_accsrycalc!$A$2:$A$51, dd_accsrycalc!$F$2:$F$51, "",0),AND( F1098="Double Adhesive Tape", I1098="Roll-up Screen"), _xlfn.XLOOKUP(C1098, calc_rusacc!$C$15:$C$65, calc_rusacc!$AD$15:$AD$65, "",0),AND( F1098="Sealant", I1098="Roll-up Screen"), _xlfn.XLOOKUP(C1098, calc_rusacc!$C$15:$C$65, calc_rusacc!$AF$15:$AF$65, "",0),  AND( F1098="Main Chain", I1098="Accordion Screen"), _xlfn.XLOOKUP(C1098, calc_rusacc!$C$15:$C$65, calc_rusacc!$BF$15:$BF$65, "",0), AND( F1098="Sealant", I1098="Accordion Screen"), _xlfn.XLOOKUP(C1098, calc_rusacc!$C$15:$C$65, calc_rusacc!$BJ$15:$BJ$65, "",0),  F1098="Sealant", _xlfn.XLOOKUP(C1098, dd_accsrycalc!$A$2:$A$51, dd_accsrycalc!$G$2:$G$51, "",0),  F1098&lt;&gt;"",L1098*_xlfn.XLOOKUP(1, (SKUs!$C$2:$C$10001=G1098)*(SKUs!$K$2:$K$10001=I1098),SKUs!$E$2:$E$10001)), 0),"")</f>
        <v/>
      </c>
      <c r="E1098" s="35" t="str">
        <f>_xlfn.XLOOKUP(F1098,dd_item!$B$2:$B$105,dd_item!$C$2:$C$105,"",0)</f>
        <v/>
      </c>
      <c r="F1098" s="35"/>
      <c r="G1098" s="35" cm="1">
        <f t="array" ref="G1098">IFERROR(_xlfn.XLOOKUP(1, (SKUs!$J$2:$J$10001=accsry_unmerged!F1098)*IF(H1098&lt;&gt;"",(SKUs!$L$2:$L$10001=accsry_unmerged!H1098),1)*(SKUs!$K$2:$K$10001=I1098),SKUs!$C$2:$C$10001),"")</f>
        <v>0</v>
      </c>
      <c r="H1098" s="36" cm="1">
        <f t="array" ref="H1098">IFERROR(_xlfn.XLOOKUP(1, (dd_accsryclr!$C$2:$C$1000=accsry_unmerged!F1098)*(dd_accsryclr!$B$2:$B$1000=accsry_unmerged!J1098),dd_accsryclr!$A$2:$A$1000),"")</f>
        <v>0</v>
      </c>
      <c r="I1098" s="35">
        <f>_xlfn.XLOOKUP(C1098,'Project Details'!$C$17:$C$66,'Project Details'!$E$17:$E$66,"",0)</f>
        <v>0</v>
      </c>
      <c r="J1098" s="35">
        <f>_xlfn.XLOOKUP(C1098,'Project Details'!$C$17:$C$66,'Project Details'!$H$17:$H$66,"",0)</f>
        <v>0</v>
      </c>
      <c r="K1098" s="36" t="str">
        <f>IF(AND(_xlfn.XLOOKUP(C1098,'Project Details'!$C$17:$C$66,'Project Details'!$L$17:$L$66,"",0)&gt;550, F1098="Spring-L27cm"),"",SUBSTITUTE(_xlfn.XLOOKUP(G1098,SKUs!$C$2:$C$10001,SKUs!$F$2:$F$10001,"",0), " Accessories",""))</f>
        <v/>
      </c>
      <c r="L1098" s="36">
        <f>_xlfn.XLOOKUP(C1098,'Project Details'!$C$17:$C$66,'Project Details'!$D$17:$D$66,"",0)</f>
        <v>0</v>
      </c>
      <c r="M1098" s="43"/>
    </row>
    <row r="1099" spans="1:13" ht="13.5" customHeight="1" outlineLevel="1" x14ac:dyDescent="0.25">
      <c r="A1099" s="43"/>
      <c r="B1099" s="43"/>
      <c r="C1099" s="16">
        <f t="shared" si="20"/>
        <v>22</v>
      </c>
      <c r="D1099" s="16" t="str" cm="1">
        <f t="array" ref="D1099">IFERROR(ROUNDUP(_xlfn.IFS(F1099="Aluminum Track", _xlfn.XLOOKUP(C1099, dd_accsrycalc!$A$2:$A$51, dd_accsrycalc!$B$2:$B$51, "",0), F1099="10 x 2 1/2 S (Flat)", _xlfn.XLOOKUP(C1099, dd_accsrycalc!$A$2:$A$51, dd_accsrycalc!$C$2:$C$51, "",0), F1099="Tox6", _xlfn.XLOOKUP(C1099, dd_accsrycalc!$A$2:$A$51, dd_accsrycalc!$D$2:$D$51, "",0), F1099="Cover Cap", _xlfn.XLOOKUP(C1099, dd_accsrycalc!$A$2:$A$51, dd_accsrycalc!$E$2:$E$51, "",0), F1099="Drainage Cover", _xlfn.XLOOKUP(C1099, dd_accsrycalc!$A$2:$A$51, dd_accsrycalc!$F$2:$F$51, "",0),AND( F1099="Double Adhesive Tape", I1099="Roll-up Screen"), _xlfn.XLOOKUP(C1099, calc_rusacc!$C$15:$C$65, calc_rusacc!$AD$15:$AD$65, "",0),AND( F1099="Sealant", I1099="Roll-up Screen"), _xlfn.XLOOKUP(C1099, calc_rusacc!$C$15:$C$65, calc_rusacc!$AF$15:$AF$65, "",0),  AND( F1099="Main Chain", I1099="Accordion Screen"), _xlfn.XLOOKUP(C1099, calc_rusacc!$C$15:$C$65, calc_rusacc!$BF$15:$BF$65, "",0), AND( F1099="Sealant", I1099="Accordion Screen"), _xlfn.XLOOKUP(C1099, calc_rusacc!$C$15:$C$65, calc_rusacc!$BJ$15:$BJ$65, "",0),  F1099="Sealant", _xlfn.XLOOKUP(C1099, dd_accsrycalc!$A$2:$A$51, dd_accsrycalc!$G$2:$G$51, "",0),  F1099&lt;&gt;"",L1099*_xlfn.XLOOKUP(1, (SKUs!$C$2:$C$10001=G1099)*(SKUs!$K$2:$K$10001=I1099),SKUs!$E$2:$E$10001)), 0),"")</f>
        <v/>
      </c>
      <c r="E1099" s="16" t="str">
        <f>_xlfn.XLOOKUP(F1099,dd_item!$B$2:$B$105,dd_item!$C$2:$C$105,"",0)</f>
        <v/>
      </c>
      <c r="F1099" s="16"/>
      <c r="G1099" s="16" cm="1">
        <f t="array" ref="G1099">IFERROR(_xlfn.XLOOKUP(1, (SKUs!$J$2:$J$10001=accsry_unmerged!F1099)*IF(H1099&lt;&gt;"",(SKUs!$L$2:$L$10001=accsry_unmerged!H1099),1)*(SKUs!$K$2:$K$10001=I1099),SKUs!$C$2:$C$10001),"")</f>
        <v>0</v>
      </c>
      <c r="H1099" s="33" cm="1">
        <f t="array" ref="H1099">IFERROR(_xlfn.XLOOKUP(1, (dd_accsryclr!$C$2:$C$1000=accsry_unmerged!F1099)*(dd_accsryclr!$B$2:$B$1000=accsry_unmerged!J1099),dd_accsryclr!$A$2:$A$1000),"")</f>
        <v>0</v>
      </c>
      <c r="I1099" s="16">
        <f>_xlfn.XLOOKUP(C1099,'Project Details'!$C$17:$C$66,'Project Details'!$E$17:$E$66,"",0)</f>
        <v>0</v>
      </c>
      <c r="J1099" s="16">
        <f>_xlfn.XLOOKUP(C1099,'Project Details'!$C$17:$C$66,'Project Details'!$H$17:$H$66,"",0)</f>
        <v>0</v>
      </c>
      <c r="K1099" s="33" t="str">
        <f>IF(AND(_xlfn.XLOOKUP(C1099,'Project Details'!$C$17:$C$66,'Project Details'!$L$17:$L$66,"",0)&gt;550, F1099="Spring-L27cm"),"",SUBSTITUTE(_xlfn.XLOOKUP(G1099,SKUs!$C$2:$C$10001,SKUs!$F$2:$F$10001,"",0), " Accessories",""))</f>
        <v/>
      </c>
      <c r="L1099" s="33">
        <f>_xlfn.XLOOKUP(C1099,'Project Details'!$C$17:$C$66,'Project Details'!$D$17:$D$66,"",0)</f>
        <v>0</v>
      </c>
      <c r="M1099" s="43"/>
    </row>
    <row r="1100" spans="1:13" ht="13.5" customHeight="1" outlineLevel="1" x14ac:dyDescent="0.25">
      <c r="A1100" s="43"/>
      <c r="B1100" s="43"/>
      <c r="C1100" s="35">
        <f t="shared" si="20"/>
        <v>22</v>
      </c>
      <c r="D1100" s="35" t="str" cm="1">
        <f t="array" ref="D1100">IFERROR(ROUNDUP(_xlfn.IFS(F1100="Aluminum Track", _xlfn.XLOOKUP(C1100, dd_accsrycalc!$A$2:$A$51, dd_accsrycalc!$B$2:$B$51, "",0), F1100="10 x 2 1/2 S (Flat)", _xlfn.XLOOKUP(C1100, dd_accsrycalc!$A$2:$A$51, dd_accsrycalc!$C$2:$C$51, "",0), F1100="Tox6", _xlfn.XLOOKUP(C1100, dd_accsrycalc!$A$2:$A$51, dd_accsrycalc!$D$2:$D$51, "",0), F1100="Cover Cap", _xlfn.XLOOKUP(C1100, dd_accsrycalc!$A$2:$A$51, dd_accsrycalc!$E$2:$E$51, "",0), F1100="Drainage Cover", _xlfn.XLOOKUP(C1100, dd_accsrycalc!$A$2:$A$51, dd_accsrycalc!$F$2:$F$51, "",0),AND( F1100="Double Adhesive Tape", I1100="Roll-up Screen"), _xlfn.XLOOKUP(C1100, calc_rusacc!$C$15:$C$65, calc_rusacc!$AD$15:$AD$65, "",0),AND( F1100="Sealant", I1100="Roll-up Screen"), _xlfn.XLOOKUP(C1100, calc_rusacc!$C$15:$C$65, calc_rusacc!$AF$15:$AF$65, "",0),  AND( F1100="Main Chain", I1100="Accordion Screen"), _xlfn.XLOOKUP(C1100, calc_rusacc!$C$15:$C$65, calc_rusacc!$BF$15:$BF$65, "",0), AND( F1100="Sealant", I1100="Accordion Screen"), _xlfn.XLOOKUP(C1100, calc_rusacc!$C$15:$C$65, calc_rusacc!$BJ$15:$BJ$65, "",0),  F1100="Sealant", _xlfn.XLOOKUP(C1100, dd_accsrycalc!$A$2:$A$51, dd_accsrycalc!$G$2:$G$51, "",0),  F1100&lt;&gt;"",L1100*_xlfn.XLOOKUP(1, (SKUs!$C$2:$C$10001=G1100)*(SKUs!$K$2:$K$10001=I1100),SKUs!$E$2:$E$10001)), 0),"")</f>
        <v/>
      </c>
      <c r="E1100" s="35" t="str">
        <f>_xlfn.XLOOKUP(F1100,dd_item!$B$2:$B$105,dd_item!$C$2:$C$105,"",0)</f>
        <v/>
      </c>
      <c r="F1100" s="35"/>
      <c r="G1100" s="35" cm="1">
        <f t="array" ref="G1100">IFERROR(_xlfn.XLOOKUP(1, (SKUs!$J$2:$J$10001=accsry_unmerged!F1100)*IF(H1100&lt;&gt;"",(SKUs!$L$2:$L$10001=accsry_unmerged!H1100),1)*(SKUs!$K$2:$K$10001=I1100),SKUs!$C$2:$C$10001),"")</f>
        <v>0</v>
      </c>
      <c r="H1100" s="36" cm="1">
        <f t="array" ref="H1100">IFERROR(_xlfn.XLOOKUP(1, (dd_accsryclr!$C$2:$C$1000=accsry_unmerged!F1100)*(dd_accsryclr!$B$2:$B$1000=accsry_unmerged!J1100),dd_accsryclr!$A$2:$A$1000),"")</f>
        <v>0</v>
      </c>
      <c r="I1100" s="35">
        <f>_xlfn.XLOOKUP(C1100,'Project Details'!$C$17:$C$66,'Project Details'!$E$17:$E$66,"",0)</f>
        <v>0</v>
      </c>
      <c r="J1100" s="35">
        <f>_xlfn.XLOOKUP(C1100,'Project Details'!$C$17:$C$66,'Project Details'!$H$17:$H$66,"",0)</f>
        <v>0</v>
      </c>
      <c r="K1100" s="36" t="str">
        <f>IF(AND(_xlfn.XLOOKUP(C1100,'Project Details'!$C$17:$C$66,'Project Details'!$L$17:$L$66,"",0)&gt;550, F1100="Spring-L27cm"),"",SUBSTITUTE(_xlfn.XLOOKUP(G1100,SKUs!$C$2:$C$10001,SKUs!$F$2:$F$10001,"",0), " Accessories",""))</f>
        <v/>
      </c>
      <c r="L1100" s="36">
        <f>_xlfn.XLOOKUP(C1100,'Project Details'!$C$17:$C$66,'Project Details'!$D$17:$D$66,"",0)</f>
        <v>0</v>
      </c>
      <c r="M1100" s="43"/>
    </row>
    <row r="1101" spans="1:13" ht="13.5" customHeight="1" outlineLevel="1" x14ac:dyDescent="0.25">
      <c r="A1101" s="43"/>
      <c r="B1101" s="43"/>
      <c r="C1101" s="16">
        <f t="shared" si="20"/>
        <v>22</v>
      </c>
      <c r="D1101" s="16" t="str" cm="1">
        <f t="array" ref="D1101">IFERROR(ROUNDUP(_xlfn.IFS(F1101="Aluminum Track", _xlfn.XLOOKUP(C1101, dd_accsrycalc!$A$2:$A$51, dd_accsrycalc!$B$2:$B$51, "",0), F1101="10 x 2 1/2 S (Flat)", _xlfn.XLOOKUP(C1101, dd_accsrycalc!$A$2:$A$51, dd_accsrycalc!$C$2:$C$51, "",0), F1101="Tox6", _xlfn.XLOOKUP(C1101, dd_accsrycalc!$A$2:$A$51, dd_accsrycalc!$D$2:$D$51, "",0), F1101="Cover Cap", _xlfn.XLOOKUP(C1101, dd_accsrycalc!$A$2:$A$51, dd_accsrycalc!$E$2:$E$51, "",0), F1101="Drainage Cover", _xlfn.XLOOKUP(C1101, dd_accsrycalc!$A$2:$A$51, dd_accsrycalc!$F$2:$F$51, "",0),AND( F1101="Double Adhesive Tape", I1101="Roll-up Screen"), _xlfn.XLOOKUP(C1101, calc_rusacc!$C$15:$C$65, calc_rusacc!$AD$15:$AD$65, "",0),AND( F1101="Sealant", I1101="Roll-up Screen"), _xlfn.XLOOKUP(C1101, calc_rusacc!$C$15:$C$65, calc_rusacc!$AF$15:$AF$65, "",0),  AND( F1101="Main Chain", I1101="Accordion Screen"), _xlfn.XLOOKUP(C1101, calc_rusacc!$C$15:$C$65, calc_rusacc!$BF$15:$BF$65, "",0), AND( F1101="Sealant", I1101="Accordion Screen"), _xlfn.XLOOKUP(C1101, calc_rusacc!$C$15:$C$65, calc_rusacc!$BJ$15:$BJ$65, "",0),  F1101="Sealant", _xlfn.XLOOKUP(C1101, dd_accsrycalc!$A$2:$A$51, dd_accsrycalc!$G$2:$G$51, "",0),  F1101&lt;&gt;"",L1101*_xlfn.XLOOKUP(1, (SKUs!$C$2:$C$10001=G1101)*(SKUs!$K$2:$K$10001=I1101),SKUs!$E$2:$E$10001)), 0),"")</f>
        <v/>
      </c>
      <c r="E1101" s="16" t="str">
        <f>_xlfn.XLOOKUP(F1101,dd_item!$B$2:$B$105,dd_item!$C$2:$C$105,"",0)</f>
        <v/>
      </c>
      <c r="F1101" s="16"/>
      <c r="G1101" s="16" cm="1">
        <f t="array" ref="G1101">IFERROR(_xlfn.XLOOKUP(1, (SKUs!$J$2:$J$10001=accsry_unmerged!F1101)*IF(H1101&lt;&gt;"",(SKUs!$L$2:$L$10001=accsry_unmerged!H1101),1)*(SKUs!$K$2:$K$10001=I1101),SKUs!$C$2:$C$10001),"")</f>
        <v>0</v>
      </c>
      <c r="H1101" s="33" cm="1">
        <f t="array" ref="H1101">IFERROR(_xlfn.XLOOKUP(1, (dd_accsryclr!$C$2:$C$1000=accsry_unmerged!F1101)*(dd_accsryclr!$B$2:$B$1000=accsry_unmerged!J1101),dd_accsryclr!$A$2:$A$1000),"")</f>
        <v>0</v>
      </c>
      <c r="I1101" s="16">
        <f>_xlfn.XLOOKUP(C1101,'Project Details'!$C$17:$C$66,'Project Details'!$E$17:$E$66,"",0)</f>
        <v>0</v>
      </c>
      <c r="J1101" s="16">
        <f>_xlfn.XLOOKUP(C1101,'Project Details'!$C$17:$C$66,'Project Details'!$H$17:$H$66,"",0)</f>
        <v>0</v>
      </c>
      <c r="K1101" s="33" t="str">
        <f>IF(AND(_xlfn.XLOOKUP(C1101,'Project Details'!$C$17:$C$66,'Project Details'!$L$17:$L$66,"",0)&gt;550, F1101="Spring-L27cm"),"",SUBSTITUTE(_xlfn.XLOOKUP(G1101,SKUs!$C$2:$C$10001,SKUs!$F$2:$F$10001,"",0), " Accessories",""))</f>
        <v/>
      </c>
      <c r="L1101" s="33">
        <f>_xlfn.XLOOKUP(C1101,'Project Details'!$C$17:$C$66,'Project Details'!$D$17:$D$66,"",0)</f>
        <v>0</v>
      </c>
      <c r="M1101" s="43"/>
    </row>
    <row r="1102" spans="1:13" ht="13.5" customHeight="1" outlineLevel="1" x14ac:dyDescent="0.25">
      <c r="A1102" s="43"/>
      <c r="B1102" s="43"/>
      <c r="C1102" s="35">
        <f t="shared" si="20"/>
        <v>22</v>
      </c>
      <c r="D1102" s="35" t="str" cm="1">
        <f t="array" ref="D1102">IFERROR(ROUNDUP(_xlfn.IFS(F1102="Aluminum Track", _xlfn.XLOOKUP(C1102, dd_accsrycalc!$A$2:$A$51, dd_accsrycalc!$B$2:$B$51, "",0), F1102="10 x 2 1/2 S (Flat)", _xlfn.XLOOKUP(C1102, dd_accsrycalc!$A$2:$A$51, dd_accsrycalc!$C$2:$C$51, "",0), F1102="Tox6", _xlfn.XLOOKUP(C1102, dd_accsrycalc!$A$2:$A$51, dd_accsrycalc!$D$2:$D$51, "",0), F1102="Cover Cap", _xlfn.XLOOKUP(C1102, dd_accsrycalc!$A$2:$A$51, dd_accsrycalc!$E$2:$E$51, "",0), F1102="Drainage Cover", _xlfn.XLOOKUP(C1102, dd_accsrycalc!$A$2:$A$51, dd_accsrycalc!$F$2:$F$51, "",0),AND( F1102="Double Adhesive Tape", I1102="Roll-up Screen"), _xlfn.XLOOKUP(C1102, calc_rusacc!$C$15:$C$65, calc_rusacc!$AD$15:$AD$65, "",0),AND( F1102="Sealant", I1102="Roll-up Screen"), _xlfn.XLOOKUP(C1102, calc_rusacc!$C$15:$C$65, calc_rusacc!$AF$15:$AF$65, "",0),  AND( F1102="Main Chain", I1102="Accordion Screen"), _xlfn.XLOOKUP(C1102, calc_rusacc!$C$15:$C$65, calc_rusacc!$BF$15:$BF$65, "",0), AND( F1102="Sealant", I1102="Accordion Screen"), _xlfn.XLOOKUP(C1102, calc_rusacc!$C$15:$C$65, calc_rusacc!$BJ$15:$BJ$65, "",0),  F1102="Sealant", _xlfn.XLOOKUP(C1102, dd_accsrycalc!$A$2:$A$51, dd_accsrycalc!$G$2:$G$51, "",0),  F1102&lt;&gt;"",L1102*_xlfn.XLOOKUP(1, (SKUs!$C$2:$C$10001=G1102)*(SKUs!$K$2:$K$10001=I1102),SKUs!$E$2:$E$10001)), 0),"")</f>
        <v/>
      </c>
      <c r="E1102" s="35" t="str">
        <f>_xlfn.XLOOKUP(F1102,dd_item!$B$2:$B$105,dd_item!$C$2:$C$105,"",0)</f>
        <v/>
      </c>
      <c r="F1102" s="35"/>
      <c r="G1102" s="35" cm="1">
        <f t="array" ref="G1102">IFERROR(_xlfn.XLOOKUP(1, (SKUs!$J$2:$J$10001=accsry_unmerged!F1102)*IF(H1102&lt;&gt;"",(SKUs!$L$2:$L$10001=accsry_unmerged!H1102),1)*(SKUs!$K$2:$K$10001=I1102),SKUs!$C$2:$C$10001),"")</f>
        <v>0</v>
      </c>
      <c r="H1102" s="36" cm="1">
        <f t="array" ref="H1102">IFERROR(_xlfn.XLOOKUP(1, (dd_accsryclr!$C$2:$C$1000=accsry_unmerged!F1102)*(dd_accsryclr!$B$2:$B$1000=accsry_unmerged!J1102),dd_accsryclr!$A$2:$A$1000),"")</f>
        <v>0</v>
      </c>
      <c r="I1102" s="35">
        <f>_xlfn.XLOOKUP(C1102,'Project Details'!$C$17:$C$66,'Project Details'!$E$17:$E$66,"",0)</f>
        <v>0</v>
      </c>
      <c r="J1102" s="35">
        <f>_xlfn.XLOOKUP(C1102,'Project Details'!$C$17:$C$66,'Project Details'!$H$17:$H$66,"",0)</f>
        <v>0</v>
      </c>
      <c r="K1102" s="36" t="str">
        <f>IF(AND(_xlfn.XLOOKUP(C1102,'Project Details'!$C$17:$C$66,'Project Details'!$L$17:$L$66,"",0)&gt;550, F1102="Spring-L27cm"),"",SUBSTITUTE(_xlfn.XLOOKUP(G1102,SKUs!$C$2:$C$10001,SKUs!$F$2:$F$10001,"",0), " Accessories",""))</f>
        <v/>
      </c>
      <c r="L1102" s="36">
        <f>_xlfn.XLOOKUP(C1102,'Project Details'!$C$17:$C$66,'Project Details'!$D$17:$D$66,"",0)</f>
        <v>0</v>
      </c>
      <c r="M1102" s="43"/>
    </row>
    <row r="1103" spans="1:13" ht="13.5" customHeight="1" outlineLevel="1" x14ac:dyDescent="0.25">
      <c r="A1103" s="43"/>
      <c r="B1103" s="43"/>
      <c r="C1103" s="16">
        <f t="shared" si="20"/>
        <v>22</v>
      </c>
      <c r="D1103" s="16" t="str" cm="1">
        <f t="array" ref="D1103">IFERROR(ROUNDUP(_xlfn.IFS(F1103="Aluminum Track", _xlfn.XLOOKUP(C1103, dd_accsrycalc!$A$2:$A$51, dd_accsrycalc!$B$2:$B$51, "",0), F1103="10 x 2 1/2 S (Flat)", _xlfn.XLOOKUP(C1103, dd_accsrycalc!$A$2:$A$51, dd_accsrycalc!$C$2:$C$51, "",0), F1103="Tox6", _xlfn.XLOOKUP(C1103, dd_accsrycalc!$A$2:$A$51, dd_accsrycalc!$D$2:$D$51, "",0), F1103="Cover Cap", _xlfn.XLOOKUP(C1103, dd_accsrycalc!$A$2:$A$51, dd_accsrycalc!$E$2:$E$51, "",0), F1103="Drainage Cover", _xlfn.XLOOKUP(C1103, dd_accsrycalc!$A$2:$A$51, dd_accsrycalc!$F$2:$F$51, "",0),AND( F1103="Double Adhesive Tape", I1103="Roll-up Screen"), _xlfn.XLOOKUP(C1103, calc_rusacc!$C$15:$C$65, calc_rusacc!$AD$15:$AD$65, "",0),AND( F1103="Sealant", I1103="Roll-up Screen"), _xlfn.XLOOKUP(C1103, calc_rusacc!$C$15:$C$65, calc_rusacc!$AF$15:$AF$65, "",0),  AND( F1103="Main Chain", I1103="Accordion Screen"), _xlfn.XLOOKUP(C1103, calc_rusacc!$C$15:$C$65, calc_rusacc!$BF$15:$BF$65, "",0), AND( F1103="Sealant", I1103="Accordion Screen"), _xlfn.XLOOKUP(C1103, calc_rusacc!$C$15:$C$65, calc_rusacc!$BJ$15:$BJ$65, "",0),  F1103="Sealant", _xlfn.XLOOKUP(C1103, dd_accsrycalc!$A$2:$A$51, dd_accsrycalc!$G$2:$G$51, "",0),  F1103&lt;&gt;"",L1103*_xlfn.XLOOKUP(1, (SKUs!$C$2:$C$10001=G1103)*(SKUs!$K$2:$K$10001=I1103),SKUs!$E$2:$E$10001)), 0),"")</f>
        <v/>
      </c>
      <c r="E1103" s="16" t="str">
        <f>_xlfn.XLOOKUP(F1103,dd_item!$B$2:$B$105,dd_item!$C$2:$C$105,"",0)</f>
        <v/>
      </c>
      <c r="F1103" s="16"/>
      <c r="G1103" s="16" cm="1">
        <f t="array" ref="G1103">IFERROR(_xlfn.XLOOKUP(1, (SKUs!$J$2:$J$10001=accsry_unmerged!F1103)*IF(H1103&lt;&gt;"",(SKUs!$L$2:$L$10001=accsry_unmerged!H1103),1)*(SKUs!$K$2:$K$10001=I1103),SKUs!$C$2:$C$10001),"")</f>
        <v>0</v>
      </c>
      <c r="H1103" s="33" cm="1">
        <f t="array" ref="H1103">IFERROR(_xlfn.XLOOKUP(1, (dd_accsryclr!$C$2:$C$1000=accsry_unmerged!F1103)*(dd_accsryclr!$B$2:$B$1000=accsry_unmerged!J1103),dd_accsryclr!$A$2:$A$1000),"")</f>
        <v>0</v>
      </c>
      <c r="I1103" s="16">
        <f>_xlfn.XLOOKUP(C1103,'Project Details'!$C$17:$C$66,'Project Details'!$E$17:$E$66,"",0)</f>
        <v>0</v>
      </c>
      <c r="J1103" s="16">
        <f>_xlfn.XLOOKUP(C1103,'Project Details'!$C$17:$C$66,'Project Details'!$H$17:$H$66,"",0)</f>
        <v>0</v>
      </c>
      <c r="K1103" s="33" t="str">
        <f>IF(AND(_xlfn.XLOOKUP(C1103,'Project Details'!$C$17:$C$66,'Project Details'!$L$17:$L$66,"",0)&gt;550, F1103="Spring-L27cm"),"",SUBSTITUTE(_xlfn.XLOOKUP(G1103,SKUs!$C$2:$C$10001,SKUs!$F$2:$F$10001,"",0), " Accessories",""))</f>
        <v/>
      </c>
      <c r="L1103" s="33">
        <f>_xlfn.XLOOKUP(C1103,'Project Details'!$C$17:$C$66,'Project Details'!$D$17:$D$66,"",0)</f>
        <v>0</v>
      </c>
      <c r="M1103" s="43"/>
    </row>
    <row r="1104" spans="1:13" ht="13.5" customHeight="1" outlineLevel="1" x14ac:dyDescent="0.25">
      <c r="A1104" s="43"/>
      <c r="B1104" s="43"/>
      <c r="C1104" s="35">
        <f t="shared" si="20"/>
        <v>22</v>
      </c>
      <c r="D1104" s="35" t="str" cm="1">
        <f t="array" ref="D1104">IFERROR(ROUNDUP(_xlfn.IFS(F1104="Aluminum Track", _xlfn.XLOOKUP(C1104, dd_accsrycalc!$A$2:$A$51, dd_accsrycalc!$B$2:$B$51, "",0), F1104="10 x 2 1/2 S (Flat)", _xlfn.XLOOKUP(C1104, dd_accsrycalc!$A$2:$A$51, dd_accsrycalc!$C$2:$C$51, "",0), F1104="Tox6", _xlfn.XLOOKUP(C1104, dd_accsrycalc!$A$2:$A$51, dd_accsrycalc!$D$2:$D$51, "",0), F1104="Cover Cap", _xlfn.XLOOKUP(C1104, dd_accsrycalc!$A$2:$A$51, dd_accsrycalc!$E$2:$E$51, "",0), F1104="Drainage Cover", _xlfn.XLOOKUP(C1104, dd_accsrycalc!$A$2:$A$51, dd_accsrycalc!$F$2:$F$51, "",0),AND( F1104="Double Adhesive Tape", I1104="Roll-up Screen"), _xlfn.XLOOKUP(C1104, calc_rusacc!$C$15:$C$65, calc_rusacc!$AD$15:$AD$65, "",0),AND( F1104="Sealant", I1104="Roll-up Screen"), _xlfn.XLOOKUP(C1104, calc_rusacc!$C$15:$C$65, calc_rusacc!$AF$15:$AF$65, "",0),  AND( F1104="Main Chain", I1104="Accordion Screen"), _xlfn.XLOOKUP(C1104, calc_rusacc!$C$15:$C$65, calc_rusacc!$BF$15:$BF$65, "",0), AND( F1104="Sealant", I1104="Accordion Screen"), _xlfn.XLOOKUP(C1104, calc_rusacc!$C$15:$C$65, calc_rusacc!$BJ$15:$BJ$65, "",0),  F1104="Sealant", _xlfn.XLOOKUP(C1104, dd_accsrycalc!$A$2:$A$51, dd_accsrycalc!$G$2:$G$51, "",0),  F1104&lt;&gt;"",L1104*_xlfn.XLOOKUP(1, (SKUs!$C$2:$C$10001=G1104)*(SKUs!$K$2:$K$10001=I1104),SKUs!$E$2:$E$10001)), 0),"")</f>
        <v/>
      </c>
      <c r="E1104" s="35" t="str">
        <f>_xlfn.XLOOKUP(F1104,dd_item!$B$2:$B$105,dd_item!$C$2:$C$105,"",0)</f>
        <v/>
      </c>
      <c r="F1104" s="35"/>
      <c r="G1104" s="35" cm="1">
        <f t="array" ref="G1104">IFERROR(_xlfn.XLOOKUP(1, (SKUs!$J$2:$J$10001=accsry_unmerged!F1104)*IF(H1104&lt;&gt;"",(SKUs!$L$2:$L$10001=accsry_unmerged!H1104),1)*(SKUs!$K$2:$K$10001=I1104),SKUs!$C$2:$C$10001),"")</f>
        <v>0</v>
      </c>
      <c r="H1104" s="36" cm="1">
        <f t="array" ref="H1104">IFERROR(_xlfn.XLOOKUP(1, (dd_accsryclr!$C$2:$C$1000=accsry_unmerged!F1104)*(dd_accsryclr!$B$2:$B$1000=accsry_unmerged!J1104),dd_accsryclr!$A$2:$A$1000),"")</f>
        <v>0</v>
      </c>
      <c r="I1104" s="35">
        <f>_xlfn.XLOOKUP(C1104,'Project Details'!$C$17:$C$66,'Project Details'!$E$17:$E$66,"",0)</f>
        <v>0</v>
      </c>
      <c r="J1104" s="35">
        <f>_xlfn.XLOOKUP(C1104,'Project Details'!$C$17:$C$66,'Project Details'!$H$17:$H$66,"",0)</f>
        <v>0</v>
      </c>
      <c r="K1104" s="36" t="str">
        <f>IF(AND(_xlfn.XLOOKUP(C1104,'Project Details'!$C$17:$C$66,'Project Details'!$L$17:$L$66,"",0)&gt;550, F1104="Spring-L27cm"),"",SUBSTITUTE(_xlfn.XLOOKUP(G1104,SKUs!$C$2:$C$10001,SKUs!$F$2:$F$10001,"",0), " Accessories",""))</f>
        <v/>
      </c>
      <c r="L1104" s="36">
        <f>_xlfn.XLOOKUP(C1104,'Project Details'!$C$17:$C$66,'Project Details'!$D$17:$D$66,"",0)</f>
        <v>0</v>
      </c>
      <c r="M1104" s="43"/>
    </row>
    <row r="1105" spans="1:13" ht="13.5" customHeight="1" outlineLevel="1" collapsed="1" x14ac:dyDescent="0.25">
      <c r="A1105" s="43"/>
      <c r="B1105" s="43"/>
      <c r="C1105" s="16">
        <f t="shared" si="20"/>
        <v>22</v>
      </c>
      <c r="D1105" s="16" t="str" cm="1">
        <f t="array" ref="D1105">IFERROR(ROUNDUP(_xlfn.IFS(F1105="Aluminum Track", _xlfn.XLOOKUP(C1105, dd_accsrycalc!$A$2:$A$51, dd_accsrycalc!$B$2:$B$51, "",0), F1105="10 x 2 1/2 S (Flat)", _xlfn.XLOOKUP(C1105, dd_accsrycalc!$A$2:$A$51, dd_accsrycalc!$C$2:$C$51, "",0), F1105="Tox6", _xlfn.XLOOKUP(C1105, dd_accsrycalc!$A$2:$A$51, dd_accsrycalc!$D$2:$D$51, "",0), F1105="Cover Cap", _xlfn.XLOOKUP(C1105, dd_accsrycalc!$A$2:$A$51, dd_accsrycalc!$E$2:$E$51, "",0), F1105="Drainage Cover", _xlfn.XLOOKUP(C1105, dd_accsrycalc!$A$2:$A$51, dd_accsrycalc!$F$2:$F$51, "",0),AND( F1105="Double Adhesive Tape", I1105="Roll-up Screen"), _xlfn.XLOOKUP(C1105, calc_rusacc!$C$15:$C$65, calc_rusacc!$AD$15:$AD$65, "",0),AND( F1105="Sealant", I1105="Roll-up Screen"), _xlfn.XLOOKUP(C1105, calc_rusacc!$C$15:$C$65, calc_rusacc!$AF$15:$AF$65, "",0),  AND( F1105="Main Chain", I1105="Accordion Screen"), _xlfn.XLOOKUP(C1105, calc_rusacc!$C$15:$C$65, calc_rusacc!$BF$15:$BF$65, "",0), AND( F1105="Sealant", I1105="Accordion Screen"), _xlfn.XLOOKUP(C1105, calc_rusacc!$C$15:$C$65, calc_rusacc!$BJ$15:$BJ$65, "",0),  F1105="Sealant", _xlfn.XLOOKUP(C1105, dd_accsrycalc!$A$2:$A$51, dd_accsrycalc!$G$2:$G$51, "",0),  F1105&lt;&gt;"",L1105*_xlfn.XLOOKUP(1, (SKUs!$C$2:$C$10001=G1105)*(SKUs!$K$2:$K$10001=I1105),SKUs!$E$2:$E$10001)), 0),"")</f>
        <v/>
      </c>
      <c r="E1105" s="16" t="str">
        <f>_xlfn.XLOOKUP(F1105,dd_item!$B$2:$B$105,dd_item!$C$2:$C$105,"",0)</f>
        <v/>
      </c>
      <c r="F1105" s="16"/>
      <c r="G1105" s="16" cm="1">
        <f t="array" ref="G1105">IFERROR(_xlfn.XLOOKUP(1, (SKUs!$J$2:$J$10001=accsry_unmerged!F1105)*IF(H1105&lt;&gt;"",(SKUs!$L$2:$L$10001=accsry_unmerged!H1105),1)*(SKUs!$K$2:$K$10001=I1105),SKUs!$C$2:$C$10001),"")</f>
        <v>0</v>
      </c>
      <c r="H1105" s="33" cm="1">
        <f t="array" ref="H1105">IFERROR(_xlfn.XLOOKUP(1, (dd_accsryclr!$C$2:$C$1000=accsry_unmerged!F1105)*(dd_accsryclr!$B$2:$B$1000=accsry_unmerged!J1105),dd_accsryclr!$A$2:$A$1000),"")</f>
        <v>0</v>
      </c>
      <c r="I1105" s="16">
        <f>_xlfn.XLOOKUP(C1105,'Project Details'!$C$17:$C$66,'Project Details'!$E$17:$E$66,"",0)</f>
        <v>0</v>
      </c>
      <c r="J1105" s="16">
        <f>_xlfn.XLOOKUP(C1105,'Project Details'!$C$17:$C$66,'Project Details'!$H$17:$H$66,"",0)</f>
        <v>0</v>
      </c>
      <c r="K1105" s="33" t="str">
        <f>IF(AND(_xlfn.XLOOKUP(C1105,'Project Details'!$C$17:$C$66,'Project Details'!$L$17:$L$66,"",0)&gt;550, F1105="Spring-L27cm"),"",SUBSTITUTE(_xlfn.XLOOKUP(G1105,SKUs!$C$2:$C$10001,SKUs!$F$2:$F$10001,"",0), " Accessories",""))</f>
        <v/>
      </c>
      <c r="L1105" s="33">
        <f>_xlfn.XLOOKUP(C1105,'Project Details'!$C$17:$C$66,'Project Details'!$D$17:$D$66,"",0)</f>
        <v>0</v>
      </c>
      <c r="M1105" s="43"/>
    </row>
    <row r="1106" spans="1:13" ht="13.5" customHeight="1" outlineLevel="1" x14ac:dyDescent="0.25">
      <c r="A1106" s="43"/>
      <c r="B1106" s="43"/>
      <c r="C1106" s="35">
        <f t="shared" si="20"/>
        <v>22</v>
      </c>
      <c r="D1106" s="35" t="str" cm="1">
        <f t="array" ref="D1106">IFERROR(ROUNDUP(_xlfn.IFS(F1106="Aluminum Track", _xlfn.XLOOKUP(C1106, dd_accsrycalc!$A$2:$A$51, dd_accsrycalc!$B$2:$B$51, "",0), F1106="10 x 2 1/2 S (Flat)", _xlfn.XLOOKUP(C1106, dd_accsrycalc!$A$2:$A$51, dd_accsrycalc!$C$2:$C$51, "",0), F1106="Tox6", _xlfn.XLOOKUP(C1106, dd_accsrycalc!$A$2:$A$51, dd_accsrycalc!$D$2:$D$51, "",0), F1106="Cover Cap", _xlfn.XLOOKUP(C1106, dd_accsrycalc!$A$2:$A$51, dd_accsrycalc!$E$2:$E$51, "",0), F1106="Drainage Cover", _xlfn.XLOOKUP(C1106, dd_accsrycalc!$A$2:$A$51, dd_accsrycalc!$F$2:$F$51, "",0),AND( F1106="Double Adhesive Tape", I1106="Roll-up Screen"), _xlfn.XLOOKUP(C1106, calc_rusacc!$C$15:$C$65, calc_rusacc!$AD$15:$AD$65, "",0),AND( F1106="Sealant", I1106="Roll-up Screen"), _xlfn.XLOOKUP(C1106, calc_rusacc!$C$15:$C$65, calc_rusacc!$AF$15:$AF$65, "",0),  AND( F1106="Main Chain", I1106="Accordion Screen"), _xlfn.XLOOKUP(C1106, calc_rusacc!$C$15:$C$65, calc_rusacc!$BF$15:$BF$65, "",0), AND( F1106="Sealant", I1106="Accordion Screen"), _xlfn.XLOOKUP(C1106, calc_rusacc!$C$15:$C$65, calc_rusacc!$BJ$15:$BJ$65, "",0),  F1106="Sealant", _xlfn.XLOOKUP(C1106, dd_accsrycalc!$A$2:$A$51, dd_accsrycalc!$G$2:$G$51, "",0),  F1106&lt;&gt;"",L1106*_xlfn.XLOOKUP(1, (SKUs!$C$2:$C$10001=G1106)*(SKUs!$K$2:$K$10001=I1106),SKUs!$E$2:$E$10001)), 0),"")</f>
        <v/>
      </c>
      <c r="E1106" s="35" t="str">
        <f>_xlfn.XLOOKUP(F1106,dd_item!$B$2:$B$105,dd_item!$C$2:$C$105,"",0)</f>
        <v/>
      </c>
      <c r="F1106" s="35"/>
      <c r="G1106" s="35" cm="1">
        <f t="array" ref="G1106">IFERROR(_xlfn.XLOOKUP(1, (SKUs!$J$2:$J$10001=accsry_unmerged!F1106)*IF(H1106&lt;&gt;"",(SKUs!$L$2:$L$10001=accsry_unmerged!H1106),1)*(SKUs!$K$2:$K$10001=I1106),SKUs!$C$2:$C$10001),"")</f>
        <v>0</v>
      </c>
      <c r="H1106" s="36" cm="1">
        <f t="array" ref="H1106">IFERROR(_xlfn.XLOOKUP(1, (dd_accsryclr!$C$2:$C$1000=accsry_unmerged!F1106)*(dd_accsryclr!$B$2:$B$1000=accsry_unmerged!J1106),dd_accsryclr!$A$2:$A$1000),"")</f>
        <v>0</v>
      </c>
      <c r="I1106" s="35">
        <f>_xlfn.XLOOKUP(C1106,'Project Details'!$C$17:$C$66,'Project Details'!$E$17:$E$66,"",0)</f>
        <v>0</v>
      </c>
      <c r="J1106" s="35">
        <f>_xlfn.XLOOKUP(C1106,'Project Details'!$C$17:$C$66,'Project Details'!$H$17:$H$66,"",0)</f>
        <v>0</v>
      </c>
      <c r="K1106" s="36" t="str">
        <f>IF(AND(_xlfn.XLOOKUP(C1106,'Project Details'!$C$17:$C$66,'Project Details'!$L$17:$L$66,"",0)&gt;550, F1106="Spring-L27cm"),"",SUBSTITUTE(_xlfn.XLOOKUP(G1106,SKUs!$C$2:$C$10001,SKUs!$F$2:$F$10001,"",0), " Accessories",""))</f>
        <v/>
      </c>
      <c r="L1106" s="36">
        <f>_xlfn.XLOOKUP(C1106,'Project Details'!$C$17:$C$66,'Project Details'!$D$17:$D$66,"",0)</f>
        <v>0</v>
      </c>
      <c r="M1106" s="43"/>
    </row>
    <row r="1107" spans="1:13" ht="13.5" customHeight="1" outlineLevel="1" x14ac:dyDescent="0.25">
      <c r="A1107" s="43"/>
      <c r="B1107" s="43"/>
      <c r="C1107" s="16">
        <f t="shared" si="20"/>
        <v>22</v>
      </c>
      <c r="D1107" s="16" t="str" cm="1">
        <f t="array" ref="D1107">IFERROR(ROUNDUP(_xlfn.IFS(F1107="Aluminum Track", _xlfn.XLOOKUP(C1107, dd_accsrycalc!$A$2:$A$51, dd_accsrycalc!$B$2:$B$51, "",0), F1107="10 x 2 1/2 S (Flat)", _xlfn.XLOOKUP(C1107, dd_accsrycalc!$A$2:$A$51, dd_accsrycalc!$C$2:$C$51, "",0), F1107="Tox6", _xlfn.XLOOKUP(C1107, dd_accsrycalc!$A$2:$A$51, dd_accsrycalc!$D$2:$D$51, "",0), F1107="Cover Cap", _xlfn.XLOOKUP(C1107, dd_accsrycalc!$A$2:$A$51, dd_accsrycalc!$E$2:$E$51, "",0), F1107="Drainage Cover", _xlfn.XLOOKUP(C1107, dd_accsrycalc!$A$2:$A$51, dd_accsrycalc!$F$2:$F$51, "",0),AND( F1107="Double Adhesive Tape", I1107="Roll-up Screen"), _xlfn.XLOOKUP(C1107, calc_rusacc!$C$15:$C$65, calc_rusacc!$AD$15:$AD$65, "",0),AND( F1107="Sealant", I1107="Roll-up Screen"), _xlfn.XLOOKUP(C1107, calc_rusacc!$C$15:$C$65, calc_rusacc!$AF$15:$AF$65, "",0),  AND( F1107="Main Chain", I1107="Accordion Screen"), _xlfn.XLOOKUP(C1107, calc_rusacc!$C$15:$C$65, calc_rusacc!$BF$15:$BF$65, "",0), AND( F1107="Sealant", I1107="Accordion Screen"), _xlfn.XLOOKUP(C1107, calc_rusacc!$C$15:$C$65, calc_rusacc!$BJ$15:$BJ$65, "",0),  F1107="Sealant", _xlfn.XLOOKUP(C1107, dd_accsrycalc!$A$2:$A$51, dd_accsrycalc!$G$2:$G$51, "",0),  F1107&lt;&gt;"",L1107*_xlfn.XLOOKUP(1, (SKUs!$C$2:$C$10001=G1107)*(SKUs!$K$2:$K$10001=I1107),SKUs!$E$2:$E$10001)), 0),"")</f>
        <v/>
      </c>
      <c r="E1107" s="16" t="str">
        <f>_xlfn.XLOOKUP(F1107,dd_item!$B$2:$B$105,dd_item!$C$2:$C$105,"",0)</f>
        <v/>
      </c>
      <c r="F1107" s="16"/>
      <c r="G1107" s="16" cm="1">
        <f t="array" ref="G1107">IFERROR(_xlfn.XLOOKUP(1, (SKUs!$J$2:$J$10001=accsry_unmerged!F1107)*IF(H1107&lt;&gt;"",(SKUs!$L$2:$L$10001=accsry_unmerged!H1107),1)*(SKUs!$K$2:$K$10001=I1107),SKUs!$C$2:$C$10001),"")</f>
        <v>0</v>
      </c>
      <c r="H1107" s="33" cm="1">
        <f t="array" ref="H1107">IFERROR(_xlfn.XLOOKUP(1, (dd_accsryclr!$C$2:$C$1000=accsry_unmerged!F1107)*(dd_accsryclr!$B$2:$B$1000=accsry_unmerged!J1107),dd_accsryclr!$A$2:$A$1000),"")</f>
        <v>0</v>
      </c>
      <c r="I1107" s="16">
        <f>_xlfn.XLOOKUP(C1107,'Project Details'!$C$17:$C$66,'Project Details'!$E$17:$E$66,"",0)</f>
        <v>0</v>
      </c>
      <c r="J1107" s="16">
        <f>_xlfn.XLOOKUP(C1107,'Project Details'!$C$17:$C$66,'Project Details'!$H$17:$H$66,"",0)</f>
        <v>0</v>
      </c>
      <c r="K1107" s="33" t="str">
        <f>IF(AND(_xlfn.XLOOKUP(C1107,'Project Details'!$C$17:$C$66,'Project Details'!$L$17:$L$66,"",0)&gt;550, F1107="Spring-L27cm"),"",SUBSTITUTE(_xlfn.XLOOKUP(G1107,SKUs!$C$2:$C$10001,SKUs!$F$2:$F$10001,"",0), " Accessories",""))</f>
        <v/>
      </c>
      <c r="L1107" s="33">
        <f>_xlfn.XLOOKUP(C1107,'Project Details'!$C$17:$C$66,'Project Details'!$D$17:$D$66,"",0)</f>
        <v>0</v>
      </c>
      <c r="M1107" s="43"/>
    </row>
    <row r="1108" spans="1:13" ht="13.5" customHeight="1" outlineLevel="1" x14ac:dyDescent="0.25">
      <c r="A1108" s="43"/>
      <c r="B1108" s="43"/>
      <c r="C1108" s="35">
        <f t="shared" si="20"/>
        <v>22</v>
      </c>
      <c r="D1108" s="35" t="str" cm="1">
        <f t="array" ref="D1108">IFERROR(ROUNDUP(_xlfn.IFS(F1108="Aluminum Track", _xlfn.XLOOKUP(C1108, dd_accsrycalc!$A$2:$A$51, dd_accsrycalc!$B$2:$B$51, "",0), F1108="10 x 2 1/2 S (Flat)", _xlfn.XLOOKUP(C1108, dd_accsrycalc!$A$2:$A$51, dd_accsrycalc!$C$2:$C$51, "",0), F1108="Tox6", _xlfn.XLOOKUP(C1108, dd_accsrycalc!$A$2:$A$51, dd_accsrycalc!$D$2:$D$51, "",0), F1108="Cover Cap", _xlfn.XLOOKUP(C1108, dd_accsrycalc!$A$2:$A$51, dd_accsrycalc!$E$2:$E$51, "",0), F1108="Drainage Cover", _xlfn.XLOOKUP(C1108, dd_accsrycalc!$A$2:$A$51, dd_accsrycalc!$F$2:$F$51, "",0),AND( F1108="Double Adhesive Tape", I1108="Roll-up Screen"), _xlfn.XLOOKUP(C1108, calc_rusacc!$C$15:$C$65, calc_rusacc!$AD$15:$AD$65, "",0),AND( F1108="Sealant", I1108="Roll-up Screen"), _xlfn.XLOOKUP(C1108, calc_rusacc!$C$15:$C$65, calc_rusacc!$AF$15:$AF$65, "",0),  AND( F1108="Main Chain", I1108="Accordion Screen"), _xlfn.XLOOKUP(C1108, calc_rusacc!$C$15:$C$65, calc_rusacc!$BF$15:$BF$65, "",0), AND( F1108="Sealant", I1108="Accordion Screen"), _xlfn.XLOOKUP(C1108, calc_rusacc!$C$15:$C$65, calc_rusacc!$BJ$15:$BJ$65, "",0),  F1108="Sealant", _xlfn.XLOOKUP(C1108, dd_accsrycalc!$A$2:$A$51, dd_accsrycalc!$G$2:$G$51, "",0),  F1108&lt;&gt;"",L1108*_xlfn.XLOOKUP(1, (SKUs!$C$2:$C$10001=G1108)*(SKUs!$K$2:$K$10001=I1108),SKUs!$E$2:$E$10001)), 0),"")</f>
        <v/>
      </c>
      <c r="E1108" s="35" t="str">
        <f>_xlfn.XLOOKUP(F1108,dd_item!$B$2:$B$105,dd_item!$C$2:$C$105,"",0)</f>
        <v/>
      </c>
      <c r="F1108" s="35"/>
      <c r="G1108" s="35" cm="1">
        <f t="array" ref="G1108">IFERROR(_xlfn.XLOOKUP(1, (SKUs!$J$2:$J$10001=accsry_unmerged!F1108)*IF(H1108&lt;&gt;"",(SKUs!$L$2:$L$10001=accsry_unmerged!H1108),1)*(SKUs!$K$2:$K$10001=I1108),SKUs!$C$2:$C$10001),"")</f>
        <v>0</v>
      </c>
      <c r="H1108" s="36" cm="1">
        <f t="array" ref="H1108">IFERROR(_xlfn.XLOOKUP(1, (dd_accsryclr!$C$2:$C$1000=accsry_unmerged!F1108)*(dd_accsryclr!$B$2:$B$1000=accsry_unmerged!J1108),dd_accsryclr!$A$2:$A$1000),"")</f>
        <v>0</v>
      </c>
      <c r="I1108" s="35">
        <f>_xlfn.XLOOKUP(C1108,'Project Details'!$C$17:$C$66,'Project Details'!$E$17:$E$66,"",0)</f>
        <v>0</v>
      </c>
      <c r="J1108" s="35">
        <f>_xlfn.XLOOKUP(C1108,'Project Details'!$C$17:$C$66,'Project Details'!$H$17:$H$66,"",0)</f>
        <v>0</v>
      </c>
      <c r="K1108" s="36" t="str">
        <f>IF(AND(_xlfn.XLOOKUP(C1108,'Project Details'!$C$17:$C$66,'Project Details'!$L$17:$L$66,"",0)&gt;550, F1108="Spring-L27cm"),"",SUBSTITUTE(_xlfn.XLOOKUP(G1108,SKUs!$C$2:$C$10001,SKUs!$F$2:$F$10001,"",0), " Accessories",""))</f>
        <v/>
      </c>
      <c r="L1108" s="36">
        <f>_xlfn.XLOOKUP(C1108,'Project Details'!$C$17:$C$66,'Project Details'!$D$17:$D$66,"",0)</f>
        <v>0</v>
      </c>
      <c r="M1108" s="43"/>
    </row>
    <row r="1109" spans="1:13" ht="13.5" customHeight="1" outlineLevel="1" x14ac:dyDescent="0.25">
      <c r="A1109" s="43"/>
      <c r="B1109" s="43"/>
      <c r="C1109" s="16">
        <f t="shared" si="20"/>
        <v>22</v>
      </c>
      <c r="D1109" s="16" t="str" cm="1">
        <f t="array" ref="D1109">IFERROR(ROUNDUP(_xlfn.IFS(F1109="Aluminum Track", _xlfn.XLOOKUP(C1109, dd_accsrycalc!$A$2:$A$51, dd_accsrycalc!$B$2:$B$51, "",0), F1109="10 x 2 1/2 S (Flat)", _xlfn.XLOOKUP(C1109, dd_accsrycalc!$A$2:$A$51, dd_accsrycalc!$C$2:$C$51, "",0), F1109="Tox6", _xlfn.XLOOKUP(C1109, dd_accsrycalc!$A$2:$A$51, dd_accsrycalc!$D$2:$D$51, "",0), F1109="Cover Cap", _xlfn.XLOOKUP(C1109, dd_accsrycalc!$A$2:$A$51, dd_accsrycalc!$E$2:$E$51, "",0), F1109="Drainage Cover", _xlfn.XLOOKUP(C1109, dd_accsrycalc!$A$2:$A$51, dd_accsrycalc!$F$2:$F$51, "",0),AND( F1109="Double Adhesive Tape", I1109="Roll-up Screen"), _xlfn.XLOOKUP(C1109, calc_rusacc!$C$15:$C$65, calc_rusacc!$AD$15:$AD$65, "",0),AND( F1109="Sealant", I1109="Roll-up Screen"), _xlfn.XLOOKUP(C1109, calc_rusacc!$C$15:$C$65, calc_rusacc!$AF$15:$AF$65, "",0),  AND( F1109="Main Chain", I1109="Accordion Screen"), _xlfn.XLOOKUP(C1109, calc_rusacc!$C$15:$C$65, calc_rusacc!$BF$15:$BF$65, "",0), AND( F1109="Sealant", I1109="Accordion Screen"), _xlfn.XLOOKUP(C1109, calc_rusacc!$C$15:$C$65, calc_rusacc!$BJ$15:$BJ$65, "",0),  F1109="Sealant", _xlfn.XLOOKUP(C1109, dd_accsrycalc!$A$2:$A$51, dd_accsrycalc!$G$2:$G$51, "",0),  F1109&lt;&gt;"",L1109*_xlfn.XLOOKUP(1, (SKUs!$C$2:$C$10001=G1109)*(SKUs!$K$2:$K$10001=I1109),SKUs!$E$2:$E$10001)), 0),"")</f>
        <v/>
      </c>
      <c r="E1109" s="16" t="str">
        <f>_xlfn.XLOOKUP(F1109,dd_item!$B$2:$B$105,dd_item!$C$2:$C$105,"",0)</f>
        <v/>
      </c>
      <c r="F1109" s="16"/>
      <c r="G1109" s="16" cm="1">
        <f t="array" ref="G1109">IFERROR(_xlfn.XLOOKUP(1, (SKUs!$J$2:$J$10001=accsry_unmerged!F1109)*IF(H1109&lt;&gt;"",(SKUs!$L$2:$L$10001=accsry_unmerged!H1109),1)*(SKUs!$K$2:$K$10001=I1109),SKUs!$C$2:$C$10001),"")</f>
        <v>0</v>
      </c>
      <c r="H1109" s="33" cm="1">
        <f t="array" ref="H1109">IFERROR(_xlfn.XLOOKUP(1, (dd_accsryclr!$C$2:$C$1000=accsry_unmerged!F1109)*(dd_accsryclr!$B$2:$B$1000=accsry_unmerged!J1109),dd_accsryclr!$A$2:$A$1000),"")</f>
        <v>0</v>
      </c>
      <c r="I1109" s="16">
        <f>_xlfn.XLOOKUP(C1109,'Project Details'!$C$17:$C$66,'Project Details'!$E$17:$E$66,"",0)</f>
        <v>0</v>
      </c>
      <c r="J1109" s="16">
        <f>_xlfn.XLOOKUP(C1109,'Project Details'!$C$17:$C$66,'Project Details'!$H$17:$H$66,"",0)</f>
        <v>0</v>
      </c>
      <c r="K1109" s="33" t="str">
        <f>IF(AND(_xlfn.XLOOKUP(C1109,'Project Details'!$C$17:$C$66,'Project Details'!$L$17:$L$66,"",0)&gt;550, F1109="Spring-L27cm"),"",SUBSTITUTE(_xlfn.XLOOKUP(G1109,SKUs!$C$2:$C$10001,SKUs!$F$2:$F$10001,"",0), " Accessories",""))</f>
        <v/>
      </c>
      <c r="L1109" s="33">
        <f>_xlfn.XLOOKUP(C1109,'Project Details'!$C$17:$C$66,'Project Details'!$D$17:$D$66,"",0)</f>
        <v>0</v>
      </c>
      <c r="M1109" s="43"/>
    </row>
    <row r="1110" spans="1:13" ht="13.5" customHeight="1" outlineLevel="1" x14ac:dyDescent="0.25">
      <c r="A1110" s="43"/>
      <c r="B1110" s="43"/>
      <c r="C1110" s="35">
        <f t="shared" si="20"/>
        <v>22</v>
      </c>
      <c r="D1110" s="35" t="str" cm="1">
        <f t="array" ref="D1110">IFERROR(ROUNDUP(_xlfn.IFS(F1110="Aluminum Track", _xlfn.XLOOKUP(C1110, dd_accsrycalc!$A$2:$A$51, dd_accsrycalc!$B$2:$B$51, "",0), F1110="10 x 2 1/2 S (Flat)", _xlfn.XLOOKUP(C1110, dd_accsrycalc!$A$2:$A$51, dd_accsrycalc!$C$2:$C$51, "",0), F1110="Tox6", _xlfn.XLOOKUP(C1110, dd_accsrycalc!$A$2:$A$51, dd_accsrycalc!$D$2:$D$51, "",0), F1110="Cover Cap", _xlfn.XLOOKUP(C1110, dd_accsrycalc!$A$2:$A$51, dd_accsrycalc!$E$2:$E$51, "",0), F1110="Drainage Cover", _xlfn.XLOOKUP(C1110, dd_accsrycalc!$A$2:$A$51, dd_accsrycalc!$F$2:$F$51, "",0),AND( F1110="Double Adhesive Tape", I1110="Roll-up Screen"), _xlfn.XLOOKUP(C1110, calc_rusacc!$C$15:$C$65, calc_rusacc!$AD$15:$AD$65, "",0),AND( F1110="Sealant", I1110="Roll-up Screen"), _xlfn.XLOOKUP(C1110, calc_rusacc!$C$15:$C$65, calc_rusacc!$AF$15:$AF$65, "",0),  AND( F1110="Main Chain", I1110="Accordion Screen"), _xlfn.XLOOKUP(C1110, calc_rusacc!$C$15:$C$65, calc_rusacc!$BF$15:$BF$65, "",0), AND( F1110="Sealant", I1110="Accordion Screen"), _xlfn.XLOOKUP(C1110, calc_rusacc!$C$15:$C$65, calc_rusacc!$BJ$15:$BJ$65, "",0),  F1110="Sealant", _xlfn.XLOOKUP(C1110, dd_accsrycalc!$A$2:$A$51, dd_accsrycalc!$G$2:$G$51, "",0),  F1110&lt;&gt;"",L1110*_xlfn.XLOOKUP(1, (SKUs!$C$2:$C$10001=G1110)*(SKUs!$K$2:$K$10001=I1110),SKUs!$E$2:$E$10001)), 0),"")</f>
        <v/>
      </c>
      <c r="E1110" s="35" t="str">
        <f>_xlfn.XLOOKUP(F1110,dd_item!$B$2:$B$105,dd_item!$C$2:$C$105,"",0)</f>
        <v/>
      </c>
      <c r="F1110" s="35"/>
      <c r="G1110" s="35" cm="1">
        <f t="array" ref="G1110">IFERROR(_xlfn.XLOOKUP(1, (SKUs!$J$2:$J$10001=accsry_unmerged!F1110)*IF(H1110&lt;&gt;"",(SKUs!$L$2:$L$10001=accsry_unmerged!H1110),1)*(SKUs!$K$2:$K$10001=I1110),SKUs!$C$2:$C$10001),"")</f>
        <v>0</v>
      </c>
      <c r="H1110" s="36" cm="1">
        <f t="array" ref="H1110">IFERROR(_xlfn.XLOOKUP(1, (dd_accsryclr!$C$2:$C$1000=accsry_unmerged!F1110)*(dd_accsryclr!$B$2:$B$1000=accsry_unmerged!J1110),dd_accsryclr!$A$2:$A$1000),"")</f>
        <v>0</v>
      </c>
      <c r="I1110" s="35">
        <f>_xlfn.XLOOKUP(C1110,'Project Details'!$C$17:$C$66,'Project Details'!$E$17:$E$66,"",0)</f>
        <v>0</v>
      </c>
      <c r="J1110" s="35">
        <f>_xlfn.XLOOKUP(C1110,'Project Details'!$C$17:$C$66,'Project Details'!$H$17:$H$66,"",0)</f>
        <v>0</v>
      </c>
      <c r="K1110" s="36" t="str">
        <f>IF(AND(_xlfn.XLOOKUP(C1110,'Project Details'!$C$17:$C$66,'Project Details'!$L$17:$L$66,"",0)&gt;550, F1110="Spring-L27cm"),"",SUBSTITUTE(_xlfn.XLOOKUP(G1110,SKUs!$C$2:$C$10001,SKUs!$F$2:$F$10001,"",0), " Accessories",""))</f>
        <v/>
      </c>
      <c r="L1110" s="36">
        <f>_xlfn.XLOOKUP(C1110,'Project Details'!$C$17:$C$66,'Project Details'!$D$17:$D$66,"",0)</f>
        <v>0</v>
      </c>
      <c r="M1110" s="43"/>
    </row>
    <row r="1111" spans="1:13" ht="13.5" customHeight="1" outlineLevel="1" x14ac:dyDescent="0.25">
      <c r="A1111" s="43"/>
      <c r="B1111" s="43"/>
      <c r="C1111" s="16">
        <f t="shared" si="20"/>
        <v>22</v>
      </c>
      <c r="D1111" s="16" t="str" cm="1">
        <f t="array" ref="D1111">IFERROR(ROUNDUP(_xlfn.IFS(F1111="Aluminum Track", _xlfn.XLOOKUP(C1111, dd_accsrycalc!$A$2:$A$51, dd_accsrycalc!$B$2:$B$51, "",0), F1111="10 x 2 1/2 S (Flat)", _xlfn.XLOOKUP(C1111, dd_accsrycalc!$A$2:$A$51, dd_accsrycalc!$C$2:$C$51, "",0), F1111="Tox6", _xlfn.XLOOKUP(C1111, dd_accsrycalc!$A$2:$A$51, dd_accsrycalc!$D$2:$D$51, "",0), F1111="Cover Cap", _xlfn.XLOOKUP(C1111, dd_accsrycalc!$A$2:$A$51, dd_accsrycalc!$E$2:$E$51, "",0), F1111="Drainage Cover", _xlfn.XLOOKUP(C1111, dd_accsrycalc!$A$2:$A$51, dd_accsrycalc!$F$2:$F$51, "",0),AND( F1111="Double Adhesive Tape", I1111="Roll-up Screen"), _xlfn.XLOOKUP(C1111, calc_rusacc!$C$15:$C$65, calc_rusacc!$AD$15:$AD$65, "",0),AND( F1111="Sealant", I1111="Roll-up Screen"), _xlfn.XLOOKUP(C1111, calc_rusacc!$C$15:$C$65, calc_rusacc!$AF$15:$AF$65, "",0),  AND( F1111="Main Chain", I1111="Accordion Screen"), _xlfn.XLOOKUP(C1111, calc_rusacc!$C$15:$C$65, calc_rusacc!$BF$15:$BF$65, "",0), AND( F1111="Sealant", I1111="Accordion Screen"), _xlfn.XLOOKUP(C1111, calc_rusacc!$C$15:$C$65, calc_rusacc!$BJ$15:$BJ$65, "",0),  F1111="Sealant", _xlfn.XLOOKUP(C1111, dd_accsrycalc!$A$2:$A$51, dd_accsrycalc!$G$2:$G$51, "",0),  F1111&lt;&gt;"",L1111*_xlfn.XLOOKUP(1, (SKUs!$C$2:$C$10001=G1111)*(SKUs!$K$2:$K$10001=I1111),SKUs!$E$2:$E$10001)), 0),"")</f>
        <v/>
      </c>
      <c r="E1111" s="16" t="str">
        <f>_xlfn.XLOOKUP(F1111,dd_item!$B$2:$B$105,dd_item!$C$2:$C$105,"",0)</f>
        <v/>
      </c>
      <c r="F1111" s="16"/>
      <c r="G1111" s="16" cm="1">
        <f t="array" ref="G1111">IFERROR(_xlfn.XLOOKUP(1, (SKUs!$J$2:$J$10001=accsry_unmerged!F1111)*IF(H1111&lt;&gt;"",(SKUs!$L$2:$L$10001=accsry_unmerged!H1111),1)*(SKUs!$K$2:$K$10001=I1111),SKUs!$C$2:$C$10001),"")</f>
        <v>0</v>
      </c>
      <c r="H1111" s="33" cm="1">
        <f t="array" ref="H1111">IFERROR(_xlfn.XLOOKUP(1, (dd_accsryclr!$C$2:$C$1000=accsry_unmerged!F1111)*(dd_accsryclr!$B$2:$B$1000=accsry_unmerged!J1111),dd_accsryclr!$A$2:$A$1000),"")</f>
        <v>0</v>
      </c>
      <c r="I1111" s="16">
        <f>_xlfn.XLOOKUP(C1111,'Project Details'!$C$17:$C$66,'Project Details'!$E$17:$E$66,"",0)</f>
        <v>0</v>
      </c>
      <c r="J1111" s="16">
        <f>_xlfn.XLOOKUP(C1111,'Project Details'!$C$17:$C$66,'Project Details'!$H$17:$H$66,"",0)</f>
        <v>0</v>
      </c>
      <c r="K1111" s="33" t="str">
        <f>IF(AND(_xlfn.XLOOKUP(C1111,'Project Details'!$C$17:$C$66,'Project Details'!$L$17:$L$66,"",0)&gt;550, F1111="Spring-L27cm"),"",SUBSTITUTE(_xlfn.XLOOKUP(G1111,SKUs!$C$2:$C$10001,SKUs!$F$2:$F$10001,"",0), " Accessories",""))</f>
        <v/>
      </c>
      <c r="L1111" s="33">
        <f>_xlfn.XLOOKUP(C1111,'Project Details'!$C$17:$C$66,'Project Details'!$D$17:$D$66,"",0)</f>
        <v>0</v>
      </c>
      <c r="M1111" s="43"/>
    </row>
    <row r="1112" spans="1:13" ht="13.5" customHeight="1" outlineLevel="1" x14ac:dyDescent="0.25">
      <c r="A1112" s="43"/>
      <c r="B1112" s="43"/>
      <c r="C1112" s="35">
        <f t="shared" si="20"/>
        <v>22</v>
      </c>
      <c r="D1112" s="35" t="str" cm="1">
        <f t="array" ref="D1112">IFERROR(ROUNDUP(_xlfn.IFS(F1112="Aluminum Track", _xlfn.XLOOKUP(C1112, dd_accsrycalc!$A$2:$A$51, dd_accsrycalc!$B$2:$B$51, "",0), F1112="10 x 2 1/2 S (Flat)", _xlfn.XLOOKUP(C1112, dd_accsrycalc!$A$2:$A$51, dd_accsrycalc!$C$2:$C$51, "",0), F1112="Tox6", _xlfn.XLOOKUP(C1112, dd_accsrycalc!$A$2:$A$51, dd_accsrycalc!$D$2:$D$51, "",0), F1112="Cover Cap", _xlfn.XLOOKUP(C1112, dd_accsrycalc!$A$2:$A$51, dd_accsrycalc!$E$2:$E$51, "",0), F1112="Drainage Cover", _xlfn.XLOOKUP(C1112, dd_accsrycalc!$A$2:$A$51, dd_accsrycalc!$F$2:$F$51, "",0),AND( F1112="Double Adhesive Tape", I1112="Roll-up Screen"), _xlfn.XLOOKUP(C1112, calc_rusacc!$C$15:$C$65, calc_rusacc!$AD$15:$AD$65, "",0),AND( F1112="Sealant", I1112="Roll-up Screen"), _xlfn.XLOOKUP(C1112, calc_rusacc!$C$15:$C$65, calc_rusacc!$AF$15:$AF$65, "",0),  AND( F1112="Main Chain", I1112="Accordion Screen"), _xlfn.XLOOKUP(C1112, calc_rusacc!$C$15:$C$65, calc_rusacc!$BF$15:$BF$65, "",0), AND( F1112="Sealant", I1112="Accordion Screen"), _xlfn.XLOOKUP(C1112, calc_rusacc!$C$15:$C$65, calc_rusacc!$BJ$15:$BJ$65, "",0),  F1112="Sealant", _xlfn.XLOOKUP(C1112, dd_accsrycalc!$A$2:$A$51, dd_accsrycalc!$G$2:$G$51, "",0),  F1112&lt;&gt;"",L1112*_xlfn.XLOOKUP(1, (SKUs!$C$2:$C$10001=G1112)*(SKUs!$K$2:$K$10001=I1112),SKUs!$E$2:$E$10001)), 0),"")</f>
        <v/>
      </c>
      <c r="E1112" s="35" t="str">
        <f>_xlfn.XLOOKUP(F1112,dd_item!$B$2:$B$105,dd_item!$C$2:$C$105,"",0)</f>
        <v/>
      </c>
      <c r="F1112" s="35"/>
      <c r="G1112" s="35" cm="1">
        <f t="array" ref="G1112">IFERROR(_xlfn.XLOOKUP(1, (SKUs!$J$2:$J$10001=accsry_unmerged!F1112)*IF(H1112&lt;&gt;"",(SKUs!$L$2:$L$10001=accsry_unmerged!H1112),1)*(SKUs!$K$2:$K$10001=I1112),SKUs!$C$2:$C$10001),"")</f>
        <v>0</v>
      </c>
      <c r="H1112" s="36" cm="1">
        <f t="array" ref="H1112">IFERROR(_xlfn.XLOOKUP(1, (dd_accsryclr!$C$2:$C$1000=accsry_unmerged!F1112)*(dd_accsryclr!$B$2:$B$1000=accsry_unmerged!J1112),dd_accsryclr!$A$2:$A$1000),"")</f>
        <v>0</v>
      </c>
      <c r="I1112" s="35">
        <f>_xlfn.XLOOKUP(C1112,'Project Details'!$C$17:$C$66,'Project Details'!$E$17:$E$66,"",0)</f>
        <v>0</v>
      </c>
      <c r="J1112" s="35">
        <f>_xlfn.XLOOKUP(C1112,'Project Details'!$C$17:$C$66,'Project Details'!$H$17:$H$66,"",0)</f>
        <v>0</v>
      </c>
      <c r="K1112" s="36" t="str">
        <f>IF(AND(_xlfn.XLOOKUP(C1112,'Project Details'!$C$17:$C$66,'Project Details'!$L$17:$L$66,"",0)&gt;550, F1112="Spring-L27cm"),"",SUBSTITUTE(_xlfn.XLOOKUP(G1112,SKUs!$C$2:$C$10001,SKUs!$F$2:$F$10001,"",0), " Accessories",""))</f>
        <v/>
      </c>
      <c r="L1112" s="36">
        <f>_xlfn.XLOOKUP(C1112,'Project Details'!$C$17:$C$66,'Project Details'!$D$17:$D$66,"",0)</f>
        <v>0</v>
      </c>
      <c r="M1112" s="43"/>
    </row>
    <row r="1113" spans="1:13" ht="13.5" customHeight="1" outlineLevel="1" x14ac:dyDescent="0.25">
      <c r="A1113" s="43"/>
      <c r="B1113" s="43"/>
      <c r="C1113" s="16">
        <f t="shared" si="20"/>
        <v>22</v>
      </c>
      <c r="D1113" s="16" t="str" cm="1">
        <f t="array" ref="D1113">IFERROR(ROUNDUP(_xlfn.IFS(F1113="Aluminum Track", _xlfn.XLOOKUP(C1113, dd_accsrycalc!$A$2:$A$51, dd_accsrycalc!$B$2:$B$51, "",0), F1113="10 x 2 1/2 S (Flat)", _xlfn.XLOOKUP(C1113, dd_accsrycalc!$A$2:$A$51, dd_accsrycalc!$C$2:$C$51, "",0), F1113="Tox6", _xlfn.XLOOKUP(C1113, dd_accsrycalc!$A$2:$A$51, dd_accsrycalc!$D$2:$D$51, "",0), F1113="Cover Cap", _xlfn.XLOOKUP(C1113, dd_accsrycalc!$A$2:$A$51, dd_accsrycalc!$E$2:$E$51, "",0), F1113="Drainage Cover", _xlfn.XLOOKUP(C1113, dd_accsrycalc!$A$2:$A$51, dd_accsrycalc!$F$2:$F$51, "",0),AND( F1113="Double Adhesive Tape", I1113="Roll-up Screen"), _xlfn.XLOOKUP(C1113, calc_rusacc!$C$15:$C$65, calc_rusacc!$AD$15:$AD$65, "",0),AND( F1113="Sealant", I1113="Roll-up Screen"), _xlfn.XLOOKUP(C1113, calc_rusacc!$C$15:$C$65, calc_rusacc!$AF$15:$AF$65, "",0),  AND( F1113="Main Chain", I1113="Accordion Screen"), _xlfn.XLOOKUP(C1113, calc_rusacc!$C$15:$C$65, calc_rusacc!$BF$15:$BF$65, "",0), AND( F1113="Sealant", I1113="Accordion Screen"), _xlfn.XLOOKUP(C1113, calc_rusacc!$C$15:$C$65, calc_rusacc!$BJ$15:$BJ$65, "",0),  F1113="Sealant", _xlfn.XLOOKUP(C1113, dd_accsrycalc!$A$2:$A$51, dd_accsrycalc!$G$2:$G$51, "",0),  F1113&lt;&gt;"",L1113*_xlfn.XLOOKUP(1, (SKUs!$C$2:$C$10001=G1113)*(SKUs!$K$2:$K$10001=I1113),SKUs!$E$2:$E$10001)), 0),"")</f>
        <v/>
      </c>
      <c r="E1113" s="16" t="str">
        <f>_xlfn.XLOOKUP(F1113,dd_item!$B$2:$B$105,dd_item!$C$2:$C$105,"",0)</f>
        <v/>
      </c>
      <c r="F1113" s="16"/>
      <c r="G1113" s="16" cm="1">
        <f t="array" ref="G1113">IFERROR(_xlfn.XLOOKUP(1, (SKUs!$J$2:$J$10001=accsry_unmerged!F1113)*IF(H1113&lt;&gt;"",(SKUs!$L$2:$L$10001=accsry_unmerged!H1113),1)*(SKUs!$K$2:$K$10001=I1113),SKUs!$C$2:$C$10001),"")</f>
        <v>0</v>
      </c>
      <c r="H1113" s="33" cm="1">
        <f t="array" ref="H1113">IFERROR(_xlfn.XLOOKUP(1, (dd_accsryclr!$C$2:$C$1000=accsry_unmerged!F1113)*(dd_accsryclr!$B$2:$B$1000=accsry_unmerged!J1113),dd_accsryclr!$A$2:$A$1000),"")</f>
        <v>0</v>
      </c>
      <c r="I1113" s="16">
        <f>_xlfn.XLOOKUP(C1113,'Project Details'!$C$17:$C$66,'Project Details'!$E$17:$E$66,"",0)</f>
        <v>0</v>
      </c>
      <c r="J1113" s="16">
        <f>_xlfn.XLOOKUP(C1113,'Project Details'!$C$17:$C$66,'Project Details'!$H$17:$H$66,"",0)</f>
        <v>0</v>
      </c>
      <c r="K1113" s="33" t="str">
        <f>IF(AND(_xlfn.XLOOKUP(C1113,'Project Details'!$C$17:$C$66,'Project Details'!$L$17:$L$66,"",0)&gt;550, F1113="Spring-L27cm"),"",SUBSTITUTE(_xlfn.XLOOKUP(G1113,SKUs!$C$2:$C$10001,SKUs!$F$2:$F$10001,"",0), " Accessories",""))</f>
        <v/>
      </c>
      <c r="L1113" s="33">
        <f>_xlfn.XLOOKUP(C1113,'Project Details'!$C$17:$C$66,'Project Details'!$D$17:$D$66,"",0)</f>
        <v>0</v>
      </c>
      <c r="M1113" s="43"/>
    </row>
    <row r="1114" spans="1:13" x14ac:dyDescent="0.25">
      <c r="A1114" s="43"/>
      <c r="B1114" s="43"/>
      <c r="C1114" s="43"/>
      <c r="D1114" s="43"/>
      <c r="E1114" s="43"/>
      <c r="F1114" s="43"/>
      <c r="G1114" s="43"/>
      <c r="H1114" s="43"/>
      <c r="I1114" s="43"/>
      <c r="J1114" s="43"/>
      <c r="K1114" s="43"/>
      <c r="L1114" s="43"/>
      <c r="M1114" s="43"/>
    </row>
    <row r="1115" spans="1:13" x14ac:dyDescent="0.25">
      <c r="A1115" s="43"/>
      <c r="B1115" s="43"/>
      <c r="C1115" s="16">
        <f>C1113+1</f>
        <v>23</v>
      </c>
      <c r="D1115" s="48" cm="1">
        <f t="array" ref="D1115">IFERROR(ROUNDUP(_xlfn.IFS(F1115="Aluminum Track", _xlfn.XLOOKUP(C1115, dd_accsrycalc!$A$2:$A$51, dd_accsrycalc!$B$2:$B$51, "",0), F1115="10 x 2 1/2 S (Flat)", _xlfn.XLOOKUP(C1115, dd_accsrycalc!$A$2:$A$51, dd_accsrycalc!$C$2:$C$51, "",0), F1115="Tox6", _xlfn.XLOOKUP(C1115, dd_accsrycalc!$A$2:$A$51, dd_accsrycalc!$D$2:$D$51, "",0), F1115="Cover Cap", _xlfn.XLOOKUP(C1115, dd_accsrycalc!$A$2:$A$51, dd_accsrycalc!$E$2:$E$51, "",0), F1115="Drainage Cover", _xlfn.XLOOKUP(C1115, dd_accsrycalc!$A$2:$A$51, dd_accsrycalc!$F$2:$F$51, "",0),AND( F1115="Double Adhesive Tape", I1115="Roll-up Screen"), _xlfn.XLOOKUP(C1115, calc_rusacc!$C$15:$C$65, calc_rusacc!$AD$15:$AD$65, "",0),AND( F1115="Sealant", I1115="Roll-up Screen"), _xlfn.XLOOKUP(C1115, calc_rusacc!$C$15:$C$65, calc_rusacc!$AF$15:$AF$65, "",0),  AND( F1115="Main Chain", I1115="Accordion Screen"), _xlfn.XLOOKUP(C1115, calc_rusacc!$C$15:$C$65, calc_rusacc!$BF$15:$BF$65, "",0), AND( F1115="Sealant", I1115="Accordion Screen"), _xlfn.XLOOKUP(C1115, calc_rusacc!$C$15:$C$65, calc_rusacc!$BJ$15:$BJ$65, "",0),  F1115="Sealant", _xlfn.XLOOKUP(C1115, dd_accsrycalc!$A$2:$A$51, dd_accsrycalc!$G$2:$G$51, "",0),  F1115&lt;&gt;"",L1115*_xlfn.XLOOKUP(1, (SKUs!$C$2:$C$10001=G1115)*(SKUs!$K$2:$K$10001=I1115),SKUs!$E$2:$E$10001)), 0),"")</f>
        <v>0</v>
      </c>
      <c r="E1115" s="48" t="str">
        <f>_xlfn.XLOOKUP(F1115,dd_item!$B$2:$B$105,dd_item!$C$2:$C$105,"",0)</f>
        <v/>
      </c>
      <c r="F1115" s="48" cm="1">
        <f t="array" ref="F1115">IFERROR(_xlfn.UNIQUE(_xlfn._xlws.FILTER(SKUs!$J$2:$J$10001, (SKUs!$F$2:$F$10001&lt;&gt;"Cutting List") * (SKUs!$A$2:$A$10001=_xlfn.XLOOKUP(_xlfn.XLOOKUP(C1115,'Project Details'!$C$17:$C$66,'Project Details'!$E$17:$E$66,"",0), dd_design_raw!$A$2:$A$101,dd_design_raw!$C$2:$C$101,"",0)))), "")</f>
        <v>0</v>
      </c>
      <c r="G1115" s="16" cm="1">
        <f t="array" ref="G1115">IFERROR(_xlfn.XLOOKUP(1, (SKUs!$J$2:$J$10001=accsry_unmerged!F1115)*IF(H1115&lt;&gt;"",(SKUs!$L$2:$L$10001=accsry_unmerged!H1115),1)*(SKUs!$K$2:$K$10001=I1115),SKUs!$C$2:$C$10001),"")</f>
        <v>0</v>
      </c>
      <c r="H1115" s="16" cm="1">
        <f t="array" ref="H1115">IFERROR(_xlfn.XLOOKUP(1, (dd_accsryclr!$C$2:$C$1000=accsry_unmerged!F1115)*(dd_accsryclr!$B$2:$B$1000=accsry_unmerged!J1115),dd_accsryclr!$A$2:$A$1000),"")</f>
        <v>0</v>
      </c>
      <c r="I1115" s="16">
        <f>_xlfn.XLOOKUP(C1115,'Project Details'!$C$17:$C$66,'Project Details'!$E$17:$E$66,"",0)</f>
        <v>0</v>
      </c>
      <c r="J1115" s="16">
        <f>_xlfn.XLOOKUP(C1115,'Project Details'!$C$17:$C$66,'Project Details'!$H$17:$H$66,"",0)</f>
        <v>0</v>
      </c>
      <c r="K1115" s="16" t="str">
        <f>IF(AND(_xlfn.XLOOKUP(C1115,'Project Details'!$C$17:$C$66,'Project Details'!$L$17:$L$66,"",0)&gt;550, F1115="Spring-L27cm"),"",SUBSTITUTE(_xlfn.XLOOKUP(G1115,SKUs!$C$2:$C$10001,SKUs!$F$2:$F$10001,"",0), " Accessories",""))</f>
        <v/>
      </c>
      <c r="L1115" s="16">
        <f>_xlfn.XLOOKUP(C1115,'Project Details'!$C$17:$C$66,'Project Details'!$D$17:$D$66,"",0)</f>
        <v>0</v>
      </c>
      <c r="M1115" s="43"/>
    </row>
    <row r="1116" spans="1:13" x14ac:dyDescent="0.25">
      <c r="A1116" s="43"/>
      <c r="B1116" s="43"/>
      <c r="C1116" s="35">
        <f>C1115</f>
        <v>23</v>
      </c>
      <c r="D1116" s="35" t="str" cm="1">
        <f t="array" ref="D1116">IFERROR(ROUNDUP(_xlfn.IFS(F1116="Aluminum Track", _xlfn.XLOOKUP(C1116, dd_accsrycalc!$A$2:$A$51, dd_accsrycalc!$B$2:$B$51, "",0), F1116="10 x 2 1/2 S (Flat)", _xlfn.XLOOKUP(C1116, dd_accsrycalc!$A$2:$A$51, dd_accsrycalc!$C$2:$C$51, "",0), F1116="Tox6", _xlfn.XLOOKUP(C1116, dd_accsrycalc!$A$2:$A$51, dd_accsrycalc!$D$2:$D$51, "",0), F1116="Cover Cap", _xlfn.XLOOKUP(C1116, dd_accsrycalc!$A$2:$A$51, dd_accsrycalc!$E$2:$E$51, "",0), F1116="Drainage Cover", _xlfn.XLOOKUP(C1116, dd_accsrycalc!$A$2:$A$51, dd_accsrycalc!$F$2:$F$51, "",0),AND( F1116="Double Adhesive Tape", I1116="Roll-up Screen"), _xlfn.XLOOKUP(C1116, calc_rusacc!$C$15:$C$65, calc_rusacc!$AD$15:$AD$65, "",0),AND( F1116="Sealant", I1116="Roll-up Screen"), _xlfn.XLOOKUP(C1116, calc_rusacc!$C$15:$C$65, calc_rusacc!$AF$15:$AF$65, "",0),  AND( F1116="Main Chain", I1116="Accordion Screen"), _xlfn.XLOOKUP(C1116, calc_rusacc!$C$15:$C$65, calc_rusacc!$BF$15:$BF$65, "",0), AND( F1116="Sealant", I1116="Accordion Screen"), _xlfn.XLOOKUP(C1116, calc_rusacc!$C$15:$C$65, calc_rusacc!$BJ$15:$BJ$65, "",0),  F1116="Sealant", _xlfn.XLOOKUP(C1116, dd_accsrycalc!$A$2:$A$51, dd_accsrycalc!$G$2:$G$51, "",0),  F1116&lt;&gt;"",L1116*_xlfn.XLOOKUP(1, (SKUs!$C$2:$C$10001=G1116)*(SKUs!$K$2:$K$10001=I1116),SKUs!$E$2:$E$10001)), 0),"")</f>
        <v/>
      </c>
      <c r="E1116" s="35" t="str">
        <f>_xlfn.XLOOKUP(F1116,dd_item!$B$2:$B$105,dd_item!$C$2:$C$105,"",0)</f>
        <v/>
      </c>
      <c r="F1116" s="35"/>
      <c r="G1116" s="35" cm="1">
        <f t="array" ref="G1116">IFERROR(_xlfn.XLOOKUP(1, (SKUs!$J$2:$J$10001=accsry_unmerged!F1116)*IF(H1116&lt;&gt;"",(SKUs!$L$2:$L$10001=accsry_unmerged!H1116),1)*(SKUs!$K$2:$K$10001=I1116),SKUs!$C$2:$C$10001),"")</f>
        <v>0</v>
      </c>
      <c r="H1116" s="36" cm="1">
        <f t="array" ref="H1116">IFERROR(_xlfn.XLOOKUP(1, (dd_accsryclr!$C$2:$C$1000=accsry_unmerged!F1116)*(dd_accsryclr!$B$2:$B$1000=accsry_unmerged!J1116),dd_accsryclr!$A$2:$A$1000),"")</f>
        <v>0</v>
      </c>
      <c r="I1116" s="35">
        <f>_xlfn.XLOOKUP(C1116,'Project Details'!$C$17:$C$66,'Project Details'!$E$17:$E$66,"",0)</f>
        <v>0</v>
      </c>
      <c r="J1116" s="35">
        <f>_xlfn.XLOOKUP(C1116,'Project Details'!$C$17:$C$66,'Project Details'!$H$17:$H$66,"",0)</f>
        <v>0</v>
      </c>
      <c r="K1116" s="36" t="str">
        <f>IF(AND(_xlfn.XLOOKUP(C1116,'Project Details'!$C$17:$C$66,'Project Details'!$L$17:$L$66,"",0)&gt;550, F1116="Spring-L27cm"),"",SUBSTITUTE(_xlfn.XLOOKUP(G1116,SKUs!$C$2:$C$10001,SKUs!$F$2:$F$10001,"",0), " Accessories",""))</f>
        <v/>
      </c>
      <c r="L1116" s="36">
        <f>_xlfn.XLOOKUP(C1116,'Project Details'!$C$17:$C$66,'Project Details'!$D$17:$D$66,"",0)</f>
        <v>0</v>
      </c>
      <c r="M1116" s="43"/>
    </row>
    <row r="1117" spans="1:13" x14ac:dyDescent="0.25">
      <c r="A1117" s="43"/>
      <c r="B1117" s="43"/>
      <c r="C1117" s="16">
        <f t="shared" ref="C1117:C1163" si="21">C1116</f>
        <v>23</v>
      </c>
      <c r="D1117" s="16" t="str" cm="1">
        <f t="array" ref="D1117">IFERROR(ROUNDUP(_xlfn.IFS(F1117="Aluminum Track", _xlfn.XLOOKUP(C1117, dd_accsrycalc!$A$2:$A$51, dd_accsrycalc!$B$2:$B$51, "",0), F1117="10 x 2 1/2 S (Flat)", _xlfn.XLOOKUP(C1117, dd_accsrycalc!$A$2:$A$51, dd_accsrycalc!$C$2:$C$51, "",0), F1117="Tox6", _xlfn.XLOOKUP(C1117, dd_accsrycalc!$A$2:$A$51, dd_accsrycalc!$D$2:$D$51, "",0), F1117="Cover Cap", _xlfn.XLOOKUP(C1117, dd_accsrycalc!$A$2:$A$51, dd_accsrycalc!$E$2:$E$51, "",0), F1117="Drainage Cover", _xlfn.XLOOKUP(C1117, dd_accsrycalc!$A$2:$A$51, dd_accsrycalc!$F$2:$F$51, "",0),AND( F1117="Double Adhesive Tape", I1117="Roll-up Screen"), _xlfn.XLOOKUP(C1117, calc_rusacc!$C$15:$C$65, calc_rusacc!$AD$15:$AD$65, "",0),AND( F1117="Sealant", I1117="Roll-up Screen"), _xlfn.XLOOKUP(C1117, calc_rusacc!$C$15:$C$65, calc_rusacc!$AF$15:$AF$65, "",0),  AND( F1117="Main Chain", I1117="Accordion Screen"), _xlfn.XLOOKUP(C1117, calc_rusacc!$C$15:$C$65, calc_rusacc!$BF$15:$BF$65, "",0), AND( F1117="Sealant", I1117="Accordion Screen"), _xlfn.XLOOKUP(C1117, calc_rusacc!$C$15:$C$65, calc_rusacc!$BJ$15:$BJ$65, "",0),  F1117="Sealant", _xlfn.XLOOKUP(C1117, dd_accsrycalc!$A$2:$A$51, dd_accsrycalc!$G$2:$G$51, "",0),  F1117&lt;&gt;"",L1117*_xlfn.XLOOKUP(1, (SKUs!$C$2:$C$10001=G1117)*(SKUs!$K$2:$K$10001=I1117),SKUs!$E$2:$E$10001)), 0),"")</f>
        <v/>
      </c>
      <c r="E1117" s="16" t="str">
        <f>_xlfn.XLOOKUP(F1117,dd_item!$B$2:$B$105,dd_item!$C$2:$C$105,"",0)</f>
        <v/>
      </c>
      <c r="F1117" s="16"/>
      <c r="G1117" s="16" cm="1">
        <f t="array" ref="G1117">IFERROR(_xlfn.XLOOKUP(1, (SKUs!$J$2:$J$10001=accsry_unmerged!F1117)*IF(H1117&lt;&gt;"",(SKUs!$L$2:$L$10001=accsry_unmerged!H1117),1)*(SKUs!$K$2:$K$10001=I1117),SKUs!$C$2:$C$10001),"")</f>
        <v>0</v>
      </c>
      <c r="H1117" s="33" cm="1">
        <f t="array" ref="H1117">IFERROR(_xlfn.XLOOKUP(1, (dd_accsryclr!$C$2:$C$1000=accsry_unmerged!F1117)*(dd_accsryclr!$B$2:$B$1000=accsry_unmerged!J1117),dd_accsryclr!$A$2:$A$1000),"")</f>
        <v>0</v>
      </c>
      <c r="I1117" s="16">
        <f>_xlfn.XLOOKUP(C1117,'Project Details'!$C$17:$C$66,'Project Details'!$E$17:$E$66,"",0)</f>
        <v>0</v>
      </c>
      <c r="J1117" s="16">
        <f>_xlfn.XLOOKUP(C1117,'Project Details'!$C$17:$C$66,'Project Details'!$H$17:$H$66,"",0)</f>
        <v>0</v>
      </c>
      <c r="K1117" s="33" t="str">
        <f>IF(AND(_xlfn.XLOOKUP(C1117,'Project Details'!$C$17:$C$66,'Project Details'!$L$17:$L$66,"",0)&gt;550, F1117="Spring-L27cm"),"",SUBSTITUTE(_xlfn.XLOOKUP(G1117,SKUs!$C$2:$C$10001,SKUs!$F$2:$F$10001,"",0), " Accessories",""))</f>
        <v/>
      </c>
      <c r="L1117" s="33">
        <f>_xlfn.XLOOKUP(C1117,'Project Details'!$C$17:$C$66,'Project Details'!$D$17:$D$66,"",0)</f>
        <v>0</v>
      </c>
      <c r="M1117" s="43"/>
    </row>
    <row r="1118" spans="1:13" x14ac:dyDescent="0.25">
      <c r="A1118" s="43"/>
      <c r="B1118" s="43"/>
      <c r="C1118" s="35">
        <f t="shared" si="21"/>
        <v>23</v>
      </c>
      <c r="D1118" s="35" t="str" cm="1">
        <f t="array" ref="D1118">IFERROR(ROUNDUP(_xlfn.IFS(F1118="Aluminum Track", _xlfn.XLOOKUP(C1118, dd_accsrycalc!$A$2:$A$51, dd_accsrycalc!$B$2:$B$51, "",0), F1118="10 x 2 1/2 S (Flat)", _xlfn.XLOOKUP(C1118, dd_accsrycalc!$A$2:$A$51, dd_accsrycalc!$C$2:$C$51, "",0), F1118="Tox6", _xlfn.XLOOKUP(C1118, dd_accsrycalc!$A$2:$A$51, dd_accsrycalc!$D$2:$D$51, "",0), F1118="Cover Cap", _xlfn.XLOOKUP(C1118, dd_accsrycalc!$A$2:$A$51, dd_accsrycalc!$E$2:$E$51, "",0), F1118="Drainage Cover", _xlfn.XLOOKUP(C1118, dd_accsrycalc!$A$2:$A$51, dd_accsrycalc!$F$2:$F$51, "",0),AND( F1118="Double Adhesive Tape", I1118="Roll-up Screen"), _xlfn.XLOOKUP(C1118, calc_rusacc!$C$15:$C$65, calc_rusacc!$AD$15:$AD$65, "",0),AND( F1118="Sealant", I1118="Roll-up Screen"), _xlfn.XLOOKUP(C1118, calc_rusacc!$C$15:$C$65, calc_rusacc!$AF$15:$AF$65, "",0),  AND( F1118="Main Chain", I1118="Accordion Screen"), _xlfn.XLOOKUP(C1118, calc_rusacc!$C$15:$C$65, calc_rusacc!$BF$15:$BF$65, "",0), AND( F1118="Sealant", I1118="Accordion Screen"), _xlfn.XLOOKUP(C1118, calc_rusacc!$C$15:$C$65, calc_rusacc!$BJ$15:$BJ$65, "",0),  F1118="Sealant", _xlfn.XLOOKUP(C1118, dd_accsrycalc!$A$2:$A$51, dd_accsrycalc!$G$2:$G$51, "",0),  F1118&lt;&gt;"",L1118*_xlfn.XLOOKUP(1, (SKUs!$C$2:$C$10001=G1118)*(SKUs!$K$2:$K$10001=I1118),SKUs!$E$2:$E$10001)), 0),"")</f>
        <v/>
      </c>
      <c r="E1118" s="35" t="str">
        <f>_xlfn.XLOOKUP(F1118,dd_item!$B$2:$B$105,dd_item!$C$2:$C$105,"",0)</f>
        <v/>
      </c>
      <c r="F1118" s="35"/>
      <c r="G1118" s="35" cm="1">
        <f t="array" ref="G1118">IFERROR(_xlfn.XLOOKUP(1, (SKUs!$J$2:$J$10001=accsry_unmerged!F1118)*IF(H1118&lt;&gt;"",(SKUs!$L$2:$L$10001=accsry_unmerged!H1118),1)*(SKUs!$K$2:$K$10001=I1118),SKUs!$C$2:$C$10001),"")</f>
        <v>0</v>
      </c>
      <c r="H1118" s="36" cm="1">
        <f t="array" ref="H1118">IFERROR(_xlfn.XLOOKUP(1, (dd_accsryclr!$C$2:$C$1000=accsry_unmerged!F1118)*(dd_accsryclr!$B$2:$B$1000=accsry_unmerged!J1118),dd_accsryclr!$A$2:$A$1000),"")</f>
        <v>0</v>
      </c>
      <c r="I1118" s="35">
        <f>_xlfn.XLOOKUP(C1118,'Project Details'!$C$17:$C$66,'Project Details'!$E$17:$E$66,"",0)</f>
        <v>0</v>
      </c>
      <c r="J1118" s="35">
        <f>_xlfn.XLOOKUP(C1118,'Project Details'!$C$17:$C$66,'Project Details'!$H$17:$H$66,"",0)</f>
        <v>0</v>
      </c>
      <c r="K1118" s="36" t="str">
        <f>IF(AND(_xlfn.XLOOKUP(C1118,'Project Details'!$C$17:$C$66,'Project Details'!$L$17:$L$66,"",0)&gt;550, F1118="Spring-L27cm"),"",SUBSTITUTE(_xlfn.XLOOKUP(G1118,SKUs!$C$2:$C$10001,SKUs!$F$2:$F$10001,"",0), " Accessories",""))</f>
        <v/>
      </c>
      <c r="L1118" s="36">
        <f>_xlfn.XLOOKUP(C1118,'Project Details'!$C$17:$C$66,'Project Details'!$D$17:$D$66,"",0)</f>
        <v>0</v>
      </c>
      <c r="M1118" s="43"/>
    </row>
    <row r="1119" spans="1:13" x14ac:dyDescent="0.25">
      <c r="A1119" s="43"/>
      <c r="B1119" s="43"/>
      <c r="C1119" s="16">
        <f t="shared" si="21"/>
        <v>23</v>
      </c>
      <c r="D1119" s="16" t="str" cm="1">
        <f t="array" ref="D1119">IFERROR(ROUNDUP(_xlfn.IFS(F1119="Aluminum Track", _xlfn.XLOOKUP(C1119, dd_accsrycalc!$A$2:$A$51, dd_accsrycalc!$B$2:$B$51, "",0), F1119="10 x 2 1/2 S (Flat)", _xlfn.XLOOKUP(C1119, dd_accsrycalc!$A$2:$A$51, dd_accsrycalc!$C$2:$C$51, "",0), F1119="Tox6", _xlfn.XLOOKUP(C1119, dd_accsrycalc!$A$2:$A$51, dd_accsrycalc!$D$2:$D$51, "",0), F1119="Cover Cap", _xlfn.XLOOKUP(C1119, dd_accsrycalc!$A$2:$A$51, dd_accsrycalc!$E$2:$E$51, "",0), F1119="Drainage Cover", _xlfn.XLOOKUP(C1119, dd_accsrycalc!$A$2:$A$51, dd_accsrycalc!$F$2:$F$51, "",0),AND( F1119="Double Adhesive Tape", I1119="Roll-up Screen"), _xlfn.XLOOKUP(C1119, calc_rusacc!$C$15:$C$65, calc_rusacc!$AD$15:$AD$65, "",0),AND( F1119="Sealant", I1119="Roll-up Screen"), _xlfn.XLOOKUP(C1119, calc_rusacc!$C$15:$C$65, calc_rusacc!$AF$15:$AF$65, "",0),  AND( F1119="Main Chain", I1119="Accordion Screen"), _xlfn.XLOOKUP(C1119, calc_rusacc!$C$15:$C$65, calc_rusacc!$BF$15:$BF$65, "",0), AND( F1119="Sealant", I1119="Accordion Screen"), _xlfn.XLOOKUP(C1119, calc_rusacc!$C$15:$C$65, calc_rusacc!$BJ$15:$BJ$65, "",0),  F1119="Sealant", _xlfn.XLOOKUP(C1119, dd_accsrycalc!$A$2:$A$51, dd_accsrycalc!$G$2:$G$51, "",0),  F1119&lt;&gt;"",L1119*_xlfn.XLOOKUP(1, (SKUs!$C$2:$C$10001=G1119)*(SKUs!$K$2:$K$10001=I1119),SKUs!$E$2:$E$10001)), 0),"")</f>
        <v/>
      </c>
      <c r="E1119" s="16" t="str">
        <f>_xlfn.XLOOKUP(F1119,dd_item!$B$2:$B$105,dd_item!$C$2:$C$105,"",0)</f>
        <v/>
      </c>
      <c r="F1119" s="16"/>
      <c r="G1119" s="16" cm="1">
        <f t="array" ref="G1119">IFERROR(_xlfn.XLOOKUP(1, (SKUs!$J$2:$J$10001=accsry_unmerged!F1119)*IF(H1119&lt;&gt;"",(SKUs!$L$2:$L$10001=accsry_unmerged!H1119),1)*(SKUs!$K$2:$K$10001=I1119),SKUs!$C$2:$C$10001),"")</f>
        <v>0</v>
      </c>
      <c r="H1119" s="33" cm="1">
        <f t="array" ref="H1119">IFERROR(_xlfn.XLOOKUP(1, (dd_accsryclr!$C$2:$C$1000=accsry_unmerged!F1119)*(dd_accsryclr!$B$2:$B$1000=accsry_unmerged!J1119),dd_accsryclr!$A$2:$A$1000),"")</f>
        <v>0</v>
      </c>
      <c r="I1119" s="16">
        <f>_xlfn.XLOOKUP(C1119,'Project Details'!$C$17:$C$66,'Project Details'!$E$17:$E$66,"",0)</f>
        <v>0</v>
      </c>
      <c r="J1119" s="16">
        <f>_xlfn.XLOOKUP(C1119,'Project Details'!$C$17:$C$66,'Project Details'!$H$17:$H$66,"",0)</f>
        <v>0</v>
      </c>
      <c r="K1119" s="33" t="str">
        <f>IF(AND(_xlfn.XLOOKUP(C1119,'Project Details'!$C$17:$C$66,'Project Details'!$L$17:$L$66,"",0)&gt;550, F1119="Spring-L27cm"),"",SUBSTITUTE(_xlfn.XLOOKUP(G1119,SKUs!$C$2:$C$10001,SKUs!$F$2:$F$10001,"",0), " Accessories",""))</f>
        <v/>
      </c>
      <c r="L1119" s="33">
        <f>_xlfn.XLOOKUP(C1119,'Project Details'!$C$17:$C$66,'Project Details'!$D$17:$D$66,"",0)</f>
        <v>0</v>
      </c>
      <c r="M1119" s="43"/>
    </row>
    <row r="1120" spans="1:13" x14ac:dyDescent="0.25">
      <c r="A1120" s="43"/>
      <c r="B1120" s="43"/>
      <c r="C1120" s="35">
        <f t="shared" si="21"/>
        <v>23</v>
      </c>
      <c r="D1120" s="35" t="str" cm="1">
        <f t="array" ref="D1120">IFERROR(ROUNDUP(_xlfn.IFS(F1120="Aluminum Track", _xlfn.XLOOKUP(C1120, dd_accsrycalc!$A$2:$A$51, dd_accsrycalc!$B$2:$B$51, "",0), F1120="10 x 2 1/2 S (Flat)", _xlfn.XLOOKUP(C1120, dd_accsrycalc!$A$2:$A$51, dd_accsrycalc!$C$2:$C$51, "",0), F1120="Tox6", _xlfn.XLOOKUP(C1120, dd_accsrycalc!$A$2:$A$51, dd_accsrycalc!$D$2:$D$51, "",0), F1120="Cover Cap", _xlfn.XLOOKUP(C1120, dd_accsrycalc!$A$2:$A$51, dd_accsrycalc!$E$2:$E$51, "",0), F1120="Drainage Cover", _xlfn.XLOOKUP(C1120, dd_accsrycalc!$A$2:$A$51, dd_accsrycalc!$F$2:$F$51, "",0),AND( F1120="Double Adhesive Tape", I1120="Roll-up Screen"), _xlfn.XLOOKUP(C1120, calc_rusacc!$C$15:$C$65, calc_rusacc!$AD$15:$AD$65, "",0),AND( F1120="Sealant", I1120="Roll-up Screen"), _xlfn.XLOOKUP(C1120, calc_rusacc!$C$15:$C$65, calc_rusacc!$AF$15:$AF$65, "",0),  AND( F1120="Main Chain", I1120="Accordion Screen"), _xlfn.XLOOKUP(C1120, calc_rusacc!$C$15:$C$65, calc_rusacc!$BF$15:$BF$65, "",0), AND( F1120="Sealant", I1120="Accordion Screen"), _xlfn.XLOOKUP(C1120, calc_rusacc!$C$15:$C$65, calc_rusacc!$BJ$15:$BJ$65, "",0),  F1120="Sealant", _xlfn.XLOOKUP(C1120, dd_accsrycalc!$A$2:$A$51, dd_accsrycalc!$G$2:$G$51, "",0),  F1120&lt;&gt;"",L1120*_xlfn.XLOOKUP(1, (SKUs!$C$2:$C$10001=G1120)*(SKUs!$K$2:$K$10001=I1120),SKUs!$E$2:$E$10001)), 0),"")</f>
        <v/>
      </c>
      <c r="E1120" s="35" t="str">
        <f>_xlfn.XLOOKUP(F1120,dd_item!$B$2:$B$105,dd_item!$C$2:$C$105,"",0)</f>
        <v/>
      </c>
      <c r="F1120" s="35"/>
      <c r="G1120" s="35" cm="1">
        <f t="array" ref="G1120">IFERROR(_xlfn.XLOOKUP(1, (SKUs!$J$2:$J$10001=accsry_unmerged!F1120)*IF(H1120&lt;&gt;"",(SKUs!$L$2:$L$10001=accsry_unmerged!H1120),1)*(SKUs!$K$2:$K$10001=I1120),SKUs!$C$2:$C$10001),"")</f>
        <v>0</v>
      </c>
      <c r="H1120" s="36" cm="1">
        <f t="array" ref="H1120">IFERROR(_xlfn.XLOOKUP(1, (dd_accsryclr!$C$2:$C$1000=accsry_unmerged!F1120)*(dd_accsryclr!$B$2:$B$1000=accsry_unmerged!J1120),dd_accsryclr!$A$2:$A$1000),"")</f>
        <v>0</v>
      </c>
      <c r="I1120" s="35">
        <f>_xlfn.XLOOKUP(C1120,'Project Details'!$C$17:$C$66,'Project Details'!$E$17:$E$66,"",0)</f>
        <v>0</v>
      </c>
      <c r="J1120" s="35">
        <f>_xlfn.XLOOKUP(C1120,'Project Details'!$C$17:$C$66,'Project Details'!$H$17:$H$66,"",0)</f>
        <v>0</v>
      </c>
      <c r="K1120" s="36" t="str">
        <f>IF(AND(_xlfn.XLOOKUP(C1120,'Project Details'!$C$17:$C$66,'Project Details'!$L$17:$L$66,"",0)&gt;550, F1120="Spring-L27cm"),"",SUBSTITUTE(_xlfn.XLOOKUP(G1120,SKUs!$C$2:$C$10001,SKUs!$F$2:$F$10001,"",0), " Accessories",""))</f>
        <v/>
      </c>
      <c r="L1120" s="36">
        <f>_xlfn.XLOOKUP(C1120,'Project Details'!$C$17:$C$66,'Project Details'!$D$17:$D$66,"",0)</f>
        <v>0</v>
      </c>
      <c r="M1120" s="43"/>
    </row>
    <row r="1121" spans="1:13" x14ac:dyDescent="0.25">
      <c r="A1121" s="43"/>
      <c r="B1121" s="43"/>
      <c r="C1121" s="16">
        <f t="shared" si="21"/>
        <v>23</v>
      </c>
      <c r="D1121" s="16" t="str" cm="1">
        <f t="array" ref="D1121">IFERROR(ROUNDUP(_xlfn.IFS(F1121="Aluminum Track", _xlfn.XLOOKUP(C1121, dd_accsrycalc!$A$2:$A$51, dd_accsrycalc!$B$2:$B$51, "",0), F1121="10 x 2 1/2 S (Flat)", _xlfn.XLOOKUP(C1121, dd_accsrycalc!$A$2:$A$51, dd_accsrycalc!$C$2:$C$51, "",0), F1121="Tox6", _xlfn.XLOOKUP(C1121, dd_accsrycalc!$A$2:$A$51, dd_accsrycalc!$D$2:$D$51, "",0), F1121="Cover Cap", _xlfn.XLOOKUP(C1121, dd_accsrycalc!$A$2:$A$51, dd_accsrycalc!$E$2:$E$51, "",0), F1121="Drainage Cover", _xlfn.XLOOKUP(C1121, dd_accsrycalc!$A$2:$A$51, dd_accsrycalc!$F$2:$F$51, "",0),AND( F1121="Double Adhesive Tape", I1121="Roll-up Screen"), _xlfn.XLOOKUP(C1121, calc_rusacc!$C$15:$C$65, calc_rusacc!$AD$15:$AD$65, "",0),AND( F1121="Sealant", I1121="Roll-up Screen"), _xlfn.XLOOKUP(C1121, calc_rusacc!$C$15:$C$65, calc_rusacc!$AF$15:$AF$65, "",0),  AND( F1121="Main Chain", I1121="Accordion Screen"), _xlfn.XLOOKUP(C1121, calc_rusacc!$C$15:$C$65, calc_rusacc!$BF$15:$BF$65, "",0), AND( F1121="Sealant", I1121="Accordion Screen"), _xlfn.XLOOKUP(C1121, calc_rusacc!$C$15:$C$65, calc_rusacc!$BJ$15:$BJ$65, "",0),  F1121="Sealant", _xlfn.XLOOKUP(C1121, dd_accsrycalc!$A$2:$A$51, dd_accsrycalc!$G$2:$G$51, "",0),  F1121&lt;&gt;"",L1121*_xlfn.XLOOKUP(1, (SKUs!$C$2:$C$10001=G1121)*(SKUs!$K$2:$K$10001=I1121),SKUs!$E$2:$E$10001)), 0),"")</f>
        <v/>
      </c>
      <c r="E1121" s="16" t="str">
        <f>_xlfn.XLOOKUP(F1121,dd_item!$B$2:$B$105,dd_item!$C$2:$C$105,"",0)</f>
        <v/>
      </c>
      <c r="F1121" s="16"/>
      <c r="G1121" s="16" cm="1">
        <f t="array" ref="G1121">IFERROR(_xlfn.XLOOKUP(1, (SKUs!$J$2:$J$10001=accsry_unmerged!F1121)*IF(H1121&lt;&gt;"",(SKUs!$L$2:$L$10001=accsry_unmerged!H1121),1)*(SKUs!$K$2:$K$10001=I1121),SKUs!$C$2:$C$10001),"")</f>
        <v>0</v>
      </c>
      <c r="H1121" s="33" cm="1">
        <f t="array" ref="H1121">IFERROR(_xlfn.XLOOKUP(1, (dd_accsryclr!$C$2:$C$1000=accsry_unmerged!F1121)*(dd_accsryclr!$B$2:$B$1000=accsry_unmerged!J1121),dd_accsryclr!$A$2:$A$1000),"")</f>
        <v>0</v>
      </c>
      <c r="I1121" s="16">
        <f>_xlfn.XLOOKUP(C1121,'Project Details'!$C$17:$C$66,'Project Details'!$E$17:$E$66,"",0)</f>
        <v>0</v>
      </c>
      <c r="J1121" s="16">
        <f>_xlfn.XLOOKUP(C1121,'Project Details'!$C$17:$C$66,'Project Details'!$H$17:$H$66,"",0)</f>
        <v>0</v>
      </c>
      <c r="K1121" s="33" t="str">
        <f>IF(AND(_xlfn.XLOOKUP(C1121,'Project Details'!$C$17:$C$66,'Project Details'!$L$17:$L$66,"",0)&gt;550, F1121="Spring-L27cm"),"",SUBSTITUTE(_xlfn.XLOOKUP(G1121,SKUs!$C$2:$C$10001,SKUs!$F$2:$F$10001,"",0), " Accessories",""))</f>
        <v/>
      </c>
      <c r="L1121" s="33">
        <f>_xlfn.XLOOKUP(C1121,'Project Details'!$C$17:$C$66,'Project Details'!$D$17:$D$66,"",0)</f>
        <v>0</v>
      </c>
      <c r="M1121" s="43"/>
    </row>
    <row r="1122" spans="1:13" x14ac:dyDescent="0.25">
      <c r="A1122" s="43"/>
      <c r="B1122" s="43"/>
      <c r="C1122" s="35">
        <f t="shared" si="21"/>
        <v>23</v>
      </c>
      <c r="D1122" s="35" t="str" cm="1">
        <f t="array" ref="D1122">IFERROR(ROUNDUP(_xlfn.IFS(F1122="Aluminum Track", _xlfn.XLOOKUP(C1122, dd_accsrycalc!$A$2:$A$51, dd_accsrycalc!$B$2:$B$51, "",0), F1122="10 x 2 1/2 S (Flat)", _xlfn.XLOOKUP(C1122, dd_accsrycalc!$A$2:$A$51, dd_accsrycalc!$C$2:$C$51, "",0), F1122="Tox6", _xlfn.XLOOKUP(C1122, dd_accsrycalc!$A$2:$A$51, dd_accsrycalc!$D$2:$D$51, "",0), F1122="Cover Cap", _xlfn.XLOOKUP(C1122, dd_accsrycalc!$A$2:$A$51, dd_accsrycalc!$E$2:$E$51, "",0), F1122="Drainage Cover", _xlfn.XLOOKUP(C1122, dd_accsrycalc!$A$2:$A$51, dd_accsrycalc!$F$2:$F$51, "",0),AND( F1122="Double Adhesive Tape", I1122="Roll-up Screen"), _xlfn.XLOOKUP(C1122, calc_rusacc!$C$15:$C$65, calc_rusacc!$AD$15:$AD$65, "",0),AND( F1122="Sealant", I1122="Roll-up Screen"), _xlfn.XLOOKUP(C1122, calc_rusacc!$C$15:$C$65, calc_rusacc!$AF$15:$AF$65, "",0),  AND( F1122="Main Chain", I1122="Accordion Screen"), _xlfn.XLOOKUP(C1122, calc_rusacc!$C$15:$C$65, calc_rusacc!$BF$15:$BF$65, "",0), AND( F1122="Sealant", I1122="Accordion Screen"), _xlfn.XLOOKUP(C1122, calc_rusacc!$C$15:$C$65, calc_rusacc!$BJ$15:$BJ$65, "",0),  F1122="Sealant", _xlfn.XLOOKUP(C1122, dd_accsrycalc!$A$2:$A$51, dd_accsrycalc!$G$2:$G$51, "",0),  F1122&lt;&gt;"",L1122*_xlfn.XLOOKUP(1, (SKUs!$C$2:$C$10001=G1122)*(SKUs!$K$2:$K$10001=I1122),SKUs!$E$2:$E$10001)), 0),"")</f>
        <v/>
      </c>
      <c r="E1122" s="35" t="str">
        <f>_xlfn.XLOOKUP(F1122,dd_item!$B$2:$B$105,dd_item!$C$2:$C$105,"",0)</f>
        <v/>
      </c>
      <c r="F1122" s="35"/>
      <c r="G1122" s="35" cm="1">
        <f t="array" ref="G1122">IFERROR(_xlfn.XLOOKUP(1, (SKUs!$J$2:$J$10001=accsry_unmerged!F1122)*IF(H1122&lt;&gt;"",(SKUs!$L$2:$L$10001=accsry_unmerged!H1122),1)*(SKUs!$K$2:$K$10001=I1122),SKUs!$C$2:$C$10001),"")</f>
        <v>0</v>
      </c>
      <c r="H1122" s="36" cm="1">
        <f t="array" ref="H1122">IFERROR(_xlfn.XLOOKUP(1, (dd_accsryclr!$C$2:$C$1000=accsry_unmerged!F1122)*(dd_accsryclr!$B$2:$B$1000=accsry_unmerged!J1122),dd_accsryclr!$A$2:$A$1000),"")</f>
        <v>0</v>
      </c>
      <c r="I1122" s="35">
        <f>_xlfn.XLOOKUP(C1122,'Project Details'!$C$17:$C$66,'Project Details'!$E$17:$E$66,"",0)</f>
        <v>0</v>
      </c>
      <c r="J1122" s="35">
        <f>_xlfn.XLOOKUP(C1122,'Project Details'!$C$17:$C$66,'Project Details'!$H$17:$H$66,"",0)</f>
        <v>0</v>
      </c>
      <c r="K1122" s="36" t="str">
        <f>IF(AND(_xlfn.XLOOKUP(C1122,'Project Details'!$C$17:$C$66,'Project Details'!$L$17:$L$66,"",0)&gt;550, F1122="Spring-L27cm"),"",SUBSTITUTE(_xlfn.XLOOKUP(G1122,SKUs!$C$2:$C$10001,SKUs!$F$2:$F$10001,"",0), " Accessories",""))</f>
        <v/>
      </c>
      <c r="L1122" s="36">
        <f>_xlfn.XLOOKUP(C1122,'Project Details'!$C$17:$C$66,'Project Details'!$D$17:$D$66,"",0)</f>
        <v>0</v>
      </c>
      <c r="M1122" s="43"/>
    </row>
    <row r="1123" spans="1:13" x14ac:dyDescent="0.25">
      <c r="A1123" s="43"/>
      <c r="B1123" s="43"/>
      <c r="C1123" s="16">
        <f t="shared" si="21"/>
        <v>23</v>
      </c>
      <c r="D1123" s="16" t="str" cm="1">
        <f t="array" ref="D1123">IFERROR(ROUNDUP(_xlfn.IFS(F1123="Aluminum Track", _xlfn.XLOOKUP(C1123, dd_accsrycalc!$A$2:$A$51, dd_accsrycalc!$B$2:$B$51, "",0), F1123="10 x 2 1/2 S (Flat)", _xlfn.XLOOKUP(C1123, dd_accsrycalc!$A$2:$A$51, dd_accsrycalc!$C$2:$C$51, "",0), F1123="Tox6", _xlfn.XLOOKUP(C1123, dd_accsrycalc!$A$2:$A$51, dd_accsrycalc!$D$2:$D$51, "",0), F1123="Cover Cap", _xlfn.XLOOKUP(C1123, dd_accsrycalc!$A$2:$A$51, dd_accsrycalc!$E$2:$E$51, "",0), F1123="Drainage Cover", _xlfn.XLOOKUP(C1123, dd_accsrycalc!$A$2:$A$51, dd_accsrycalc!$F$2:$F$51, "",0),AND( F1123="Double Adhesive Tape", I1123="Roll-up Screen"), _xlfn.XLOOKUP(C1123, calc_rusacc!$C$15:$C$65, calc_rusacc!$AD$15:$AD$65, "",0),AND( F1123="Sealant", I1123="Roll-up Screen"), _xlfn.XLOOKUP(C1123, calc_rusacc!$C$15:$C$65, calc_rusacc!$AF$15:$AF$65, "",0),  AND( F1123="Main Chain", I1123="Accordion Screen"), _xlfn.XLOOKUP(C1123, calc_rusacc!$C$15:$C$65, calc_rusacc!$BF$15:$BF$65, "",0), AND( F1123="Sealant", I1123="Accordion Screen"), _xlfn.XLOOKUP(C1123, calc_rusacc!$C$15:$C$65, calc_rusacc!$BJ$15:$BJ$65, "",0),  F1123="Sealant", _xlfn.XLOOKUP(C1123, dd_accsrycalc!$A$2:$A$51, dd_accsrycalc!$G$2:$G$51, "",0),  F1123&lt;&gt;"",L1123*_xlfn.XLOOKUP(1, (SKUs!$C$2:$C$10001=G1123)*(SKUs!$K$2:$K$10001=I1123),SKUs!$E$2:$E$10001)), 0),"")</f>
        <v/>
      </c>
      <c r="E1123" s="16" t="str">
        <f>_xlfn.XLOOKUP(F1123,dd_item!$B$2:$B$105,dd_item!$C$2:$C$105,"",0)</f>
        <v/>
      </c>
      <c r="F1123" s="16"/>
      <c r="G1123" s="16" cm="1">
        <f t="array" ref="G1123">IFERROR(_xlfn.XLOOKUP(1, (SKUs!$J$2:$J$10001=accsry_unmerged!F1123)*IF(H1123&lt;&gt;"",(SKUs!$L$2:$L$10001=accsry_unmerged!H1123),1)*(SKUs!$K$2:$K$10001=I1123),SKUs!$C$2:$C$10001),"")</f>
        <v>0</v>
      </c>
      <c r="H1123" s="33" cm="1">
        <f t="array" ref="H1123">IFERROR(_xlfn.XLOOKUP(1, (dd_accsryclr!$C$2:$C$1000=accsry_unmerged!F1123)*(dd_accsryclr!$B$2:$B$1000=accsry_unmerged!J1123),dd_accsryclr!$A$2:$A$1000),"")</f>
        <v>0</v>
      </c>
      <c r="I1123" s="16">
        <f>_xlfn.XLOOKUP(C1123,'Project Details'!$C$17:$C$66,'Project Details'!$E$17:$E$66,"",0)</f>
        <v>0</v>
      </c>
      <c r="J1123" s="16">
        <f>_xlfn.XLOOKUP(C1123,'Project Details'!$C$17:$C$66,'Project Details'!$H$17:$H$66,"",0)</f>
        <v>0</v>
      </c>
      <c r="K1123" s="33" t="str">
        <f>IF(AND(_xlfn.XLOOKUP(C1123,'Project Details'!$C$17:$C$66,'Project Details'!$L$17:$L$66,"",0)&gt;550, F1123="Spring-L27cm"),"",SUBSTITUTE(_xlfn.XLOOKUP(G1123,SKUs!$C$2:$C$10001,SKUs!$F$2:$F$10001,"",0), " Accessories",""))</f>
        <v/>
      </c>
      <c r="L1123" s="33">
        <f>_xlfn.XLOOKUP(C1123,'Project Details'!$C$17:$C$66,'Project Details'!$D$17:$D$66,"",0)</f>
        <v>0</v>
      </c>
      <c r="M1123" s="43"/>
    </row>
    <row r="1124" spans="1:13" x14ac:dyDescent="0.25">
      <c r="A1124" s="43"/>
      <c r="B1124" s="43"/>
      <c r="C1124" s="35">
        <f t="shared" si="21"/>
        <v>23</v>
      </c>
      <c r="D1124" s="35" t="str" cm="1">
        <f t="array" ref="D1124">IFERROR(ROUNDUP(_xlfn.IFS(F1124="Aluminum Track", _xlfn.XLOOKUP(C1124, dd_accsrycalc!$A$2:$A$51, dd_accsrycalc!$B$2:$B$51, "",0), F1124="10 x 2 1/2 S (Flat)", _xlfn.XLOOKUP(C1124, dd_accsrycalc!$A$2:$A$51, dd_accsrycalc!$C$2:$C$51, "",0), F1124="Tox6", _xlfn.XLOOKUP(C1124, dd_accsrycalc!$A$2:$A$51, dd_accsrycalc!$D$2:$D$51, "",0), F1124="Cover Cap", _xlfn.XLOOKUP(C1124, dd_accsrycalc!$A$2:$A$51, dd_accsrycalc!$E$2:$E$51, "",0), F1124="Drainage Cover", _xlfn.XLOOKUP(C1124, dd_accsrycalc!$A$2:$A$51, dd_accsrycalc!$F$2:$F$51, "",0),AND( F1124="Double Adhesive Tape", I1124="Roll-up Screen"), _xlfn.XLOOKUP(C1124, calc_rusacc!$C$15:$C$65, calc_rusacc!$AD$15:$AD$65, "",0),AND( F1124="Sealant", I1124="Roll-up Screen"), _xlfn.XLOOKUP(C1124, calc_rusacc!$C$15:$C$65, calc_rusacc!$AF$15:$AF$65, "",0),  AND( F1124="Main Chain", I1124="Accordion Screen"), _xlfn.XLOOKUP(C1124, calc_rusacc!$C$15:$C$65, calc_rusacc!$BF$15:$BF$65, "",0), AND( F1124="Sealant", I1124="Accordion Screen"), _xlfn.XLOOKUP(C1124, calc_rusacc!$C$15:$C$65, calc_rusacc!$BJ$15:$BJ$65, "",0),  F1124="Sealant", _xlfn.XLOOKUP(C1124, dd_accsrycalc!$A$2:$A$51, dd_accsrycalc!$G$2:$G$51, "",0),  F1124&lt;&gt;"",L1124*_xlfn.XLOOKUP(1, (SKUs!$C$2:$C$10001=G1124)*(SKUs!$K$2:$K$10001=I1124),SKUs!$E$2:$E$10001)), 0),"")</f>
        <v/>
      </c>
      <c r="E1124" s="35" t="str">
        <f>_xlfn.XLOOKUP(F1124,dd_item!$B$2:$B$105,dd_item!$C$2:$C$105,"",0)</f>
        <v/>
      </c>
      <c r="F1124" s="35"/>
      <c r="G1124" s="35" cm="1">
        <f t="array" ref="G1124">IFERROR(_xlfn.XLOOKUP(1, (SKUs!$J$2:$J$10001=accsry_unmerged!F1124)*IF(H1124&lt;&gt;"",(SKUs!$L$2:$L$10001=accsry_unmerged!H1124),1)*(SKUs!$K$2:$K$10001=I1124),SKUs!$C$2:$C$10001),"")</f>
        <v>0</v>
      </c>
      <c r="H1124" s="36" cm="1">
        <f t="array" ref="H1124">IFERROR(_xlfn.XLOOKUP(1, (dd_accsryclr!$C$2:$C$1000=accsry_unmerged!F1124)*(dd_accsryclr!$B$2:$B$1000=accsry_unmerged!J1124),dd_accsryclr!$A$2:$A$1000),"")</f>
        <v>0</v>
      </c>
      <c r="I1124" s="35">
        <f>_xlfn.XLOOKUP(C1124,'Project Details'!$C$17:$C$66,'Project Details'!$E$17:$E$66,"",0)</f>
        <v>0</v>
      </c>
      <c r="J1124" s="35">
        <f>_xlfn.XLOOKUP(C1124,'Project Details'!$C$17:$C$66,'Project Details'!$H$17:$H$66,"",0)</f>
        <v>0</v>
      </c>
      <c r="K1124" s="36" t="str">
        <f>IF(AND(_xlfn.XLOOKUP(C1124,'Project Details'!$C$17:$C$66,'Project Details'!$L$17:$L$66,"",0)&gt;550, F1124="Spring-L27cm"),"",SUBSTITUTE(_xlfn.XLOOKUP(G1124,SKUs!$C$2:$C$10001,SKUs!$F$2:$F$10001,"",0), " Accessories",""))</f>
        <v/>
      </c>
      <c r="L1124" s="36">
        <f>_xlfn.XLOOKUP(C1124,'Project Details'!$C$17:$C$66,'Project Details'!$D$17:$D$66,"",0)</f>
        <v>0</v>
      </c>
      <c r="M1124" s="43"/>
    </row>
    <row r="1125" spans="1:13" x14ac:dyDescent="0.25">
      <c r="A1125" s="43"/>
      <c r="B1125" s="43"/>
      <c r="C1125" s="16">
        <f t="shared" si="21"/>
        <v>23</v>
      </c>
      <c r="D1125" s="16" t="str" cm="1">
        <f t="array" ref="D1125">IFERROR(ROUNDUP(_xlfn.IFS(F1125="Aluminum Track", _xlfn.XLOOKUP(C1125, dd_accsrycalc!$A$2:$A$51, dd_accsrycalc!$B$2:$B$51, "",0), F1125="10 x 2 1/2 S (Flat)", _xlfn.XLOOKUP(C1125, dd_accsrycalc!$A$2:$A$51, dd_accsrycalc!$C$2:$C$51, "",0), F1125="Tox6", _xlfn.XLOOKUP(C1125, dd_accsrycalc!$A$2:$A$51, dd_accsrycalc!$D$2:$D$51, "",0), F1125="Cover Cap", _xlfn.XLOOKUP(C1125, dd_accsrycalc!$A$2:$A$51, dd_accsrycalc!$E$2:$E$51, "",0), F1125="Drainage Cover", _xlfn.XLOOKUP(C1125, dd_accsrycalc!$A$2:$A$51, dd_accsrycalc!$F$2:$F$51, "",0),AND( F1125="Double Adhesive Tape", I1125="Roll-up Screen"), _xlfn.XLOOKUP(C1125, calc_rusacc!$C$15:$C$65, calc_rusacc!$AD$15:$AD$65, "",0),AND( F1125="Sealant", I1125="Roll-up Screen"), _xlfn.XLOOKUP(C1125, calc_rusacc!$C$15:$C$65, calc_rusacc!$AF$15:$AF$65, "",0),  AND( F1125="Main Chain", I1125="Accordion Screen"), _xlfn.XLOOKUP(C1125, calc_rusacc!$C$15:$C$65, calc_rusacc!$BF$15:$BF$65, "",0), AND( F1125="Sealant", I1125="Accordion Screen"), _xlfn.XLOOKUP(C1125, calc_rusacc!$C$15:$C$65, calc_rusacc!$BJ$15:$BJ$65, "",0),  F1125="Sealant", _xlfn.XLOOKUP(C1125, dd_accsrycalc!$A$2:$A$51, dd_accsrycalc!$G$2:$G$51, "",0),  F1125&lt;&gt;"",L1125*_xlfn.XLOOKUP(1, (SKUs!$C$2:$C$10001=G1125)*(SKUs!$K$2:$K$10001=I1125),SKUs!$E$2:$E$10001)), 0),"")</f>
        <v/>
      </c>
      <c r="E1125" s="16" t="str">
        <f>_xlfn.XLOOKUP(F1125,dd_item!$B$2:$B$105,dd_item!$C$2:$C$105,"",0)</f>
        <v/>
      </c>
      <c r="F1125" s="16"/>
      <c r="G1125" s="16" cm="1">
        <f t="array" ref="G1125">IFERROR(_xlfn.XLOOKUP(1, (SKUs!$J$2:$J$10001=accsry_unmerged!F1125)*IF(H1125&lt;&gt;"",(SKUs!$L$2:$L$10001=accsry_unmerged!H1125),1)*(SKUs!$K$2:$K$10001=I1125),SKUs!$C$2:$C$10001),"")</f>
        <v>0</v>
      </c>
      <c r="H1125" s="33" cm="1">
        <f t="array" ref="H1125">IFERROR(_xlfn.XLOOKUP(1, (dd_accsryclr!$C$2:$C$1000=accsry_unmerged!F1125)*(dd_accsryclr!$B$2:$B$1000=accsry_unmerged!J1125),dd_accsryclr!$A$2:$A$1000),"")</f>
        <v>0</v>
      </c>
      <c r="I1125" s="16">
        <f>_xlfn.XLOOKUP(C1125,'Project Details'!$C$17:$C$66,'Project Details'!$E$17:$E$66,"",0)</f>
        <v>0</v>
      </c>
      <c r="J1125" s="16">
        <f>_xlfn.XLOOKUP(C1125,'Project Details'!$C$17:$C$66,'Project Details'!$H$17:$H$66,"",0)</f>
        <v>0</v>
      </c>
      <c r="K1125" s="33" t="str">
        <f>IF(AND(_xlfn.XLOOKUP(C1125,'Project Details'!$C$17:$C$66,'Project Details'!$L$17:$L$66,"",0)&gt;550, F1125="Spring-L27cm"),"",SUBSTITUTE(_xlfn.XLOOKUP(G1125,SKUs!$C$2:$C$10001,SKUs!$F$2:$F$10001,"",0), " Accessories",""))</f>
        <v/>
      </c>
      <c r="L1125" s="33">
        <f>_xlfn.XLOOKUP(C1125,'Project Details'!$C$17:$C$66,'Project Details'!$D$17:$D$66,"",0)</f>
        <v>0</v>
      </c>
      <c r="M1125" s="43"/>
    </row>
    <row r="1126" spans="1:13" x14ac:dyDescent="0.25">
      <c r="A1126" s="43"/>
      <c r="B1126" s="43"/>
      <c r="C1126" s="35">
        <f t="shared" si="21"/>
        <v>23</v>
      </c>
      <c r="D1126" s="35" t="str" cm="1">
        <f t="array" ref="D1126">IFERROR(ROUNDUP(_xlfn.IFS(F1126="Aluminum Track", _xlfn.XLOOKUP(C1126, dd_accsrycalc!$A$2:$A$51, dd_accsrycalc!$B$2:$B$51, "",0), F1126="10 x 2 1/2 S (Flat)", _xlfn.XLOOKUP(C1126, dd_accsrycalc!$A$2:$A$51, dd_accsrycalc!$C$2:$C$51, "",0), F1126="Tox6", _xlfn.XLOOKUP(C1126, dd_accsrycalc!$A$2:$A$51, dd_accsrycalc!$D$2:$D$51, "",0), F1126="Cover Cap", _xlfn.XLOOKUP(C1126, dd_accsrycalc!$A$2:$A$51, dd_accsrycalc!$E$2:$E$51, "",0), F1126="Drainage Cover", _xlfn.XLOOKUP(C1126, dd_accsrycalc!$A$2:$A$51, dd_accsrycalc!$F$2:$F$51, "",0),AND( F1126="Double Adhesive Tape", I1126="Roll-up Screen"), _xlfn.XLOOKUP(C1126, calc_rusacc!$C$15:$C$65, calc_rusacc!$AD$15:$AD$65, "",0),AND( F1126="Sealant", I1126="Roll-up Screen"), _xlfn.XLOOKUP(C1126, calc_rusacc!$C$15:$C$65, calc_rusacc!$AF$15:$AF$65, "",0),  AND( F1126="Main Chain", I1126="Accordion Screen"), _xlfn.XLOOKUP(C1126, calc_rusacc!$C$15:$C$65, calc_rusacc!$BF$15:$BF$65, "",0), AND( F1126="Sealant", I1126="Accordion Screen"), _xlfn.XLOOKUP(C1126, calc_rusacc!$C$15:$C$65, calc_rusacc!$BJ$15:$BJ$65, "",0),  F1126="Sealant", _xlfn.XLOOKUP(C1126, dd_accsrycalc!$A$2:$A$51, dd_accsrycalc!$G$2:$G$51, "",0),  F1126&lt;&gt;"",L1126*_xlfn.XLOOKUP(1, (SKUs!$C$2:$C$10001=G1126)*(SKUs!$K$2:$K$10001=I1126),SKUs!$E$2:$E$10001)), 0),"")</f>
        <v/>
      </c>
      <c r="E1126" s="35" t="str">
        <f>_xlfn.XLOOKUP(F1126,dd_item!$B$2:$B$105,dd_item!$C$2:$C$105,"",0)</f>
        <v/>
      </c>
      <c r="F1126" s="35"/>
      <c r="G1126" s="35" cm="1">
        <f t="array" ref="G1126">IFERROR(_xlfn.XLOOKUP(1, (SKUs!$J$2:$J$10001=accsry_unmerged!F1126)*IF(H1126&lt;&gt;"",(SKUs!$L$2:$L$10001=accsry_unmerged!H1126),1)*(SKUs!$K$2:$K$10001=I1126),SKUs!$C$2:$C$10001),"")</f>
        <v>0</v>
      </c>
      <c r="H1126" s="36" cm="1">
        <f t="array" ref="H1126">IFERROR(_xlfn.XLOOKUP(1, (dd_accsryclr!$C$2:$C$1000=accsry_unmerged!F1126)*(dd_accsryclr!$B$2:$B$1000=accsry_unmerged!J1126),dd_accsryclr!$A$2:$A$1000),"")</f>
        <v>0</v>
      </c>
      <c r="I1126" s="35">
        <f>_xlfn.XLOOKUP(C1126,'Project Details'!$C$17:$C$66,'Project Details'!$E$17:$E$66,"",0)</f>
        <v>0</v>
      </c>
      <c r="J1126" s="35">
        <f>_xlfn.XLOOKUP(C1126,'Project Details'!$C$17:$C$66,'Project Details'!$H$17:$H$66,"",0)</f>
        <v>0</v>
      </c>
      <c r="K1126" s="36" t="str">
        <f>IF(AND(_xlfn.XLOOKUP(C1126,'Project Details'!$C$17:$C$66,'Project Details'!$L$17:$L$66,"",0)&gt;550, F1126="Spring-L27cm"),"",SUBSTITUTE(_xlfn.XLOOKUP(G1126,SKUs!$C$2:$C$10001,SKUs!$F$2:$F$10001,"",0), " Accessories",""))</f>
        <v/>
      </c>
      <c r="L1126" s="36">
        <f>_xlfn.XLOOKUP(C1126,'Project Details'!$C$17:$C$66,'Project Details'!$D$17:$D$66,"",0)</f>
        <v>0</v>
      </c>
      <c r="M1126" s="43"/>
    </row>
    <row r="1127" spans="1:13" x14ac:dyDescent="0.25">
      <c r="A1127" s="43"/>
      <c r="B1127" s="43"/>
      <c r="C1127" s="16">
        <f t="shared" si="21"/>
        <v>23</v>
      </c>
      <c r="D1127" s="16" t="str" cm="1">
        <f t="array" ref="D1127">IFERROR(ROUNDUP(_xlfn.IFS(F1127="Aluminum Track", _xlfn.XLOOKUP(C1127, dd_accsrycalc!$A$2:$A$51, dd_accsrycalc!$B$2:$B$51, "",0), F1127="10 x 2 1/2 S (Flat)", _xlfn.XLOOKUP(C1127, dd_accsrycalc!$A$2:$A$51, dd_accsrycalc!$C$2:$C$51, "",0), F1127="Tox6", _xlfn.XLOOKUP(C1127, dd_accsrycalc!$A$2:$A$51, dd_accsrycalc!$D$2:$D$51, "",0), F1127="Cover Cap", _xlfn.XLOOKUP(C1127, dd_accsrycalc!$A$2:$A$51, dd_accsrycalc!$E$2:$E$51, "",0), F1127="Drainage Cover", _xlfn.XLOOKUP(C1127, dd_accsrycalc!$A$2:$A$51, dd_accsrycalc!$F$2:$F$51, "",0),AND( F1127="Double Adhesive Tape", I1127="Roll-up Screen"), _xlfn.XLOOKUP(C1127, calc_rusacc!$C$15:$C$65, calc_rusacc!$AD$15:$AD$65, "",0),AND( F1127="Sealant", I1127="Roll-up Screen"), _xlfn.XLOOKUP(C1127, calc_rusacc!$C$15:$C$65, calc_rusacc!$AF$15:$AF$65, "",0),  AND( F1127="Main Chain", I1127="Accordion Screen"), _xlfn.XLOOKUP(C1127, calc_rusacc!$C$15:$C$65, calc_rusacc!$BF$15:$BF$65, "",0), AND( F1127="Sealant", I1127="Accordion Screen"), _xlfn.XLOOKUP(C1127, calc_rusacc!$C$15:$C$65, calc_rusacc!$BJ$15:$BJ$65, "",0),  F1127="Sealant", _xlfn.XLOOKUP(C1127, dd_accsrycalc!$A$2:$A$51, dd_accsrycalc!$G$2:$G$51, "",0),  F1127&lt;&gt;"",L1127*_xlfn.XLOOKUP(1, (SKUs!$C$2:$C$10001=G1127)*(SKUs!$K$2:$K$10001=I1127),SKUs!$E$2:$E$10001)), 0),"")</f>
        <v/>
      </c>
      <c r="E1127" s="16" t="str">
        <f>_xlfn.XLOOKUP(F1127,dd_item!$B$2:$B$105,dd_item!$C$2:$C$105,"",0)</f>
        <v/>
      </c>
      <c r="F1127" s="16"/>
      <c r="G1127" s="16" cm="1">
        <f t="array" ref="G1127">IFERROR(_xlfn.XLOOKUP(1, (SKUs!$J$2:$J$10001=accsry_unmerged!F1127)*IF(H1127&lt;&gt;"",(SKUs!$L$2:$L$10001=accsry_unmerged!H1127),1)*(SKUs!$K$2:$K$10001=I1127),SKUs!$C$2:$C$10001),"")</f>
        <v>0</v>
      </c>
      <c r="H1127" s="33" cm="1">
        <f t="array" ref="H1127">IFERROR(_xlfn.XLOOKUP(1, (dd_accsryclr!$C$2:$C$1000=accsry_unmerged!F1127)*(dd_accsryclr!$B$2:$B$1000=accsry_unmerged!J1127),dd_accsryclr!$A$2:$A$1000),"")</f>
        <v>0</v>
      </c>
      <c r="I1127" s="16">
        <f>_xlfn.XLOOKUP(C1127,'Project Details'!$C$17:$C$66,'Project Details'!$E$17:$E$66,"",0)</f>
        <v>0</v>
      </c>
      <c r="J1127" s="16">
        <f>_xlfn.XLOOKUP(C1127,'Project Details'!$C$17:$C$66,'Project Details'!$H$17:$H$66,"",0)</f>
        <v>0</v>
      </c>
      <c r="K1127" s="33" t="str">
        <f>IF(AND(_xlfn.XLOOKUP(C1127,'Project Details'!$C$17:$C$66,'Project Details'!$L$17:$L$66,"",0)&gt;550, F1127="Spring-L27cm"),"",SUBSTITUTE(_xlfn.XLOOKUP(G1127,SKUs!$C$2:$C$10001,SKUs!$F$2:$F$10001,"",0), " Accessories",""))</f>
        <v/>
      </c>
      <c r="L1127" s="33">
        <f>_xlfn.XLOOKUP(C1127,'Project Details'!$C$17:$C$66,'Project Details'!$D$17:$D$66,"",0)</f>
        <v>0</v>
      </c>
      <c r="M1127" s="43"/>
    </row>
    <row r="1128" spans="1:13" x14ac:dyDescent="0.25">
      <c r="A1128" s="43"/>
      <c r="B1128" s="43"/>
      <c r="C1128" s="35">
        <f t="shared" si="21"/>
        <v>23</v>
      </c>
      <c r="D1128" s="35" t="str" cm="1">
        <f t="array" ref="D1128">IFERROR(ROUNDUP(_xlfn.IFS(F1128="Aluminum Track", _xlfn.XLOOKUP(C1128, dd_accsrycalc!$A$2:$A$51, dd_accsrycalc!$B$2:$B$51, "",0), F1128="10 x 2 1/2 S (Flat)", _xlfn.XLOOKUP(C1128, dd_accsrycalc!$A$2:$A$51, dd_accsrycalc!$C$2:$C$51, "",0), F1128="Tox6", _xlfn.XLOOKUP(C1128, dd_accsrycalc!$A$2:$A$51, dd_accsrycalc!$D$2:$D$51, "",0), F1128="Cover Cap", _xlfn.XLOOKUP(C1128, dd_accsrycalc!$A$2:$A$51, dd_accsrycalc!$E$2:$E$51, "",0), F1128="Drainage Cover", _xlfn.XLOOKUP(C1128, dd_accsrycalc!$A$2:$A$51, dd_accsrycalc!$F$2:$F$51, "",0),AND( F1128="Double Adhesive Tape", I1128="Roll-up Screen"), _xlfn.XLOOKUP(C1128, calc_rusacc!$C$15:$C$65, calc_rusacc!$AD$15:$AD$65, "",0),AND( F1128="Sealant", I1128="Roll-up Screen"), _xlfn.XLOOKUP(C1128, calc_rusacc!$C$15:$C$65, calc_rusacc!$AF$15:$AF$65, "",0),  AND( F1128="Main Chain", I1128="Accordion Screen"), _xlfn.XLOOKUP(C1128, calc_rusacc!$C$15:$C$65, calc_rusacc!$BF$15:$BF$65, "",0), AND( F1128="Sealant", I1128="Accordion Screen"), _xlfn.XLOOKUP(C1128, calc_rusacc!$C$15:$C$65, calc_rusacc!$BJ$15:$BJ$65, "",0),  F1128="Sealant", _xlfn.XLOOKUP(C1128, dd_accsrycalc!$A$2:$A$51, dd_accsrycalc!$G$2:$G$51, "",0),  F1128&lt;&gt;"",L1128*_xlfn.XLOOKUP(1, (SKUs!$C$2:$C$10001=G1128)*(SKUs!$K$2:$K$10001=I1128),SKUs!$E$2:$E$10001)), 0),"")</f>
        <v/>
      </c>
      <c r="E1128" s="35" t="str">
        <f>_xlfn.XLOOKUP(F1128,dd_item!$B$2:$B$105,dd_item!$C$2:$C$105,"",0)</f>
        <v/>
      </c>
      <c r="F1128" s="35"/>
      <c r="G1128" s="35" cm="1">
        <f t="array" ref="G1128">IFERROR(_xlfn.XLOOKUP(1, (SKUs!$J$2:$J$10001=accsry_unmerged!F1128)*IF(H1128&lt;&gt;"",(SKUs!$L$2:$L$10001=accsry_unmerged!H1128),1)*(SKUs!$K$2:$K$10001=I1128),SKUs!$C$2:$C$10001),"")</f>
        <v>0</v>
      </c>
      <c r="H1128" s="36" cm="1">
        <f t="array" ref="H1128">IFERROR(_xlfn.XLOOKUP(1, (dd_accsryclr!$C$2:$C$1000=accsry_unmerged!F1128)*(dd_accsryclr!$B$2:$B$1000=accsry_unmerged!J1128),dd_accsryclr!$A$2:$A$1000),"")</f>
        <v>0</v>
      </c>
      <c r="I1128" s="35">
        <f>_xlfn.XLOOKUP(C1128,'Project Details'!$C$17:$C$66,'Project Details'!$E$17:$E$66,"",0)</f>
        <v>0</v>
      </c>
      <c r="J1128" s="35">
        <f>_xlfn.XLOOKUP(C1128,'Project Details'!$C$17:$C$66,'Project Details'!$H$17:$H$66,"",0)</f>
        <v>0</v>
      </c>
      <c r="K1128" s="36" t="str">
        <f>IF(AND(_xlfn.XLOOKUP(C1128,'Project Details'!$C$17:$C$66,'Project Details'!$L$17:$L$66,"",0)&gt;550, F1128="Spring-L27cm"),"",SUBSTITUTE(_xlfn.XLOOKUP(G1128,SKUs!$C$2:$C$10001,SKUs!$F$2:$F$10001,"",0), " Accessories",""))</f>
        <v/>
      </c>
      <c r="L1128" s="36">
        <f>_xlfn.XLOOKUP(C1128,'Project Details'!$C$17:$C$66,'Project Details'!$D$17:$D$66,"",0)</f>
        <v>0</v>
      </c>
      <c r="M1128" s="43"/>
    </row>
    <row r="1129" spans="1:13" x14ac:dyDescent="0.25">
      <c r="A1129" s="43"/>
      <c r="B1129" s="43"/>
      <c r="C1129" s="16">
        <f t="shared" si="21"/>
        <v>23</v>
      </c>
      <c r="D1129" s="16" t="str" cm="1">
        <f t="array" ref="D1129">IFERROR(ROUNDUP(_xlfn.IFS(F1129="Aluminum Track", _xlfn.XLOOKUP(C1129, dd_accsrycalc!$A$2:$A$51, dd_accsrycalc!$B$2:$B$51, "",0), F1129="10 x 2 1/2 S (Flat)", _xlfn.XLOOKUP(C1129, dd_accsrycalc!$A$2:$A$51, dd_accsrycalc!$C$2:$C$51, "",0), F1129="Tox6", _xlfn.XLOOKUP(C1129, dd_accsrycalc!$A$2:$A$51, dd_accsrycalc!$D$2:$D$51, "",0), F1129="Cover Cap", _xlfn.XLOOKUP(C1129, dd_accsrycalc!$A$2:$A$51, dd_accsrycalc!$E$2:$E$51, "",0), F1129="Drainage Cover", _xlfn.XLOOKUP(C1129, dd_accsrycalc!$A$2:$A$51, dd_accsrycalc!$F$2:$F$51, "",0),AND( F1129="Double Adhesive Tape", I1129="Roll-up Screen"), _xlfn.XLOOKUP(C1129, calc_rusacc!$C$15:$C$65, calc_rusacc!$AD$15:$AD$65, "",0),AND( F1129="Sealant", I1129="Roll-up Screen"), _xlfn.XLOOKUP(C1129, calc_rusacc!$C$15:$C$65, calc_rusacc!$AF$15:$AF$65, "",0),  AND( F1129="Main Chain", I1129="Accordion Screen"), _xlfn.XLOOKUP(C1129, calc_rusacc!$C$15:$C$65, calc_rusacc!$BF$15:$BF$65, "",0), AND( F1129="Sealant", I1129="Accordion Screen"), _xlfn.XLOOKUP(C1129, calc_rusacc!$C$15:$C$65, calc_rusacc!$BJ$15:$BJ$65, "",0),  F1129="Sealant", _xlfn.XLOOKUP(C1129, dd_accsrycalc!$A$2:$A$51, dd_accsrycalc!$G$2:$G$51, "",0),  F1129&lt;&gt;"",L1129*_xlfn.XLOOKUP(1, (SKUs!$C$2:$C$10001=G1129)*(SKUs!$K$2:$K$10001=I1129),SKUs!$E$2:$E$10001)), 0),"")</f>
        <v/>
      </c>
      <c r="E1129" s="16" t="str">
        <f>_xlfn.XLOOKUP(F1129,dd_item!$B$2:$B$105,dd_item!$C$2:$C$105,"",0)</f>
        <v/>
      </c>
      <c r="F1129" s="16"/>
      <c r="G1129" s="16" cm="1">
        <f t="array" ref="G1129">IFERROR(_xlfn.XLOOKUP(1, (SKUs!$J$2:$J$10001=accsry_unmerged!F1129)*IF(H1129&lt;&gt;"",(SKUs!$L$2:$L$10001=accsry_unmerged!H1129),1)*(SKUs!$K$2:$K$10001=I1129),SKUs!$C$2:$C$10001),"")</f>
        <v>0</v>
      </c>
      <c r="H1129" s="33" cm="1">
        <f t="array" ref="H1129">IFERROR(_xlfn.XLOOKUP(1, (dd_accsryclr!$C$2:$C$1000=accsry_unmerged!F1129)*(dd_accsryclr!$B$2:$B$1000=accsry_unmerged!J1129),dd_accsryclr!$A$2:$A$1000),"")</f>
        <v>0</v>
      </c>
      <c r="I1129" s="16">
        <f>_xlfn.XLOOKUP(C1129,'Project Details'!$C$17:$C$66,'Project Details'!$E$17:$E$66,"",0)</f>
        <v>0</v>
      </c>
      <c r="J1129" s="16">
        <f>_xlfn.XLOOKUP(C1129,'Project Details'!$C$17:$C$66,'Project Details'!$H$17:$H$66,"",0)</f>
        <v>0</v>
      </c>
      <c r="K1129" s="33" t="str">
        <f>IF(AND(_xlfn.XLOOKUP(C1129,'Project Details'!$C$17:$C$66,'Project Details'!$L$17:$L$66,"",0)&gt;550, F1129="Spring-L27cm"),"",SUBSTITUTE(_xlfn.XLOOKUP(G1129,SKUs!$C$2:$C$10001,SKUs!$F$2:$F$10001,"",0), " Accessories",""))</f>
        <v/>
      </c>
      <c r="L1129" s="33">
        <f>_xlfn.XLOOKUP(C1129,'Project Details'!$C$17:$C$66,'Project Details'!$D$17:$D$66,"",0)</f>
        <v>0</v>
      </c>
      <c r="M1129" s="43"/>
    </row>
    <row r="1130" spans="1:13" x14ac:dyDescent="0.25">
      <c r="A1130" s="43"/>
      <c r="B1130" s="43"/>
      <c r="C1130" s="35">
        <f t="shared" si="21"/>
        <v>23</v>
      </c>
      <c r="D1130" s="35" t="str" cm="1">
        <f t="array" ref="D1130">IFERROR(ROUNDUP(_xlfn.IFS(F1130="Aluminum Track", _xlfn.XLOOKUP(C1130, dd_accsrycalc!$A$2:$A$51, dd_accsrycalc!$B$2:$B$51, "",0), F1130="10 x 2 1/2 S (Flat)", _xlfn.XLOOKUP(C1130, dd_accsrycalc!$A$2:$A$51, dd_accsrycalc!$C$2:$C$51, "",0), F1130="Tox6", _xlfn.XLOOKUP(C1130, dd_accsrycalc!$A$2:$A$51, dd_accsrycalc!$D$2:$D$51, "",0), F1130="Cover Cap", _xlfn.XLOOKUP(C1130, dd_accsrycalc!$A$2:$A$51, dd_accsrycalc!$E$2:$E$51, "",0), F1130="Drainage Cover", _xlfn.XLOOKUP(C1130, dd_accsrycalc!$A$2:$A$51, dd_accsrycalc!$F$2:$F$51, "",0),AND( F1130="Double Adhesive Tape", I1130="Roll-up Screen"), _xlfn.XLOOKUP(C1130, calc_rusacc!$C$15:$C$65, calc_rusacc!$AD$15:$AD$65, "",0),AND( F1130="Sealant", I1130="Roll-up Screen"), _xlfn.XLOOKUP(C1130, calc_rusacc!$C$15:$C$65, calc_rusacc!$AF$15:$AF$65, "",0),  AND( F1130="Main Chain", I1130="Accordion Screen"), _xlfn.XLOOKUP(C1130, calc_rusacc!$C$15:$C$65, calc_rusacc!$BF$15:$BF$65, "",0), AND( F1130="Sealant", I1130="Accordion Screen"), _xlfn.XLOOKUP(C1130, calc_rusacc!$C$15:$C$65, calc_rusacc!$BJ$15:$BJ$65, "",0),  F1130="Sealant", _xlfn.XLOOKUP(C1130, dd_accsrycalc!$A$2:$A$51, dd_accsrycalc!$G$2:$G$51, "",0),  F1130&lt;&gt;"",L1130*_xlfn.XLOOKUP(1, (SKUs!$C$2:$C$10001=G1130)*(SKUs!$K$2:$K$10001=I1130),SKUs!$E$2:$E$10001)), 0),"")</f>
        <v/>
      </c>
      <c r="E1130" s="35" t="str">
        <f>_xlfn.XLOOKUP(F1130,dd_item!$B$2:$B$105,dd_item!$C$2:$C$105,"",0)</f>
        <v/>
      </c>
      <c r="F1130" s="35"/>
      <c r="G1130" s="35" cm="1">
        <f t="array" ref="G1130">IFERROR(_xlfn.XLOOKUP(1, (SKUs!$J$2:$J$10001=accsry_unmerged!F1130)*IF(H1130&lt;&gt;"",(SKUs!$L$2:$L$10001=accsry_unmerged!H1130),1)*(SKUs!$K$2:$K$10001=I1130),SKUs!$C$2:$C$10001),"")</f>
        <v>0</v>
      </c>
      <c r="H1130" s="36" cm="1">
        <f t="array" ref="H1130">IFERROR(_xlfn.XLOOKUP(1, (dd_accsryclr!$C$2:$C$1000=accsry_unmerged!F1130)*(dd_accsryclr!$B$2:$B$1000=accsry_unmerged!J1130),dd_accsryclr!$A$2:$A$1000),"")</f>
        <v>0</v>
      </c>
      <c r="I1130" s="35">
        <f>_xlfn.XLOOKUP(C1130,'Project Details'!$C$17:$C$66,'Project Details'!$E$17:$E$66,"",0)</f>
        <v>0</v>
      </c>
      <c r="J1130" s="35">
        <f>_xlfn.XLOOKUP(C1130,'Project Details'!$C$17:$C$66,'Project Details'!$H$17:$H$66,"",0)</f>
        <v>0</v>
      </c>
      <c r="K1130" s="36" t="str">
        <f>IF(AND(_xlfn.XLOOKUP(C1130,'Project Details'!$C$17:$C$66,'Project Details'!$L$17:$L$66,"",0)&gt;550, F1130="Spring-L27cm"),"",SUBSTITUTE(_xlfn.XLOOKUP(G1130,SKUs!$C$2:$C$10001,SKUs!$F$2:$F$10001,"",0), " Accessories",""))</f>
        <v/>
      </c>
      <c r="L1130" s="36">
        <f>_xlfn.XLOOKUP(C1130,'Project Details'!$C$17:$C$66,'Project Details'!$D$17:$D$66,"",0)</f>
        <v>0</v>
      </c>
      <c r="M1130" s="43"/>
    </row>
    <row r="1131" spans="1:13" x14ac:dyDescent="0.25">
      <c r="A1131" s="43"/>
      <c r="B1131" s="43"/>
      <c r="C1131" s="16">
        <f t="shared" si="21"/>
        <v>23</v>
      </c>
      <c r="D1131" s="16" t="str" cm="1">
        <f t="array" ref="D1131">IFERROR(ROUNDUP(_xlfn.IFS(F1131="Aluminum Track", _xlfn.XLOOKUP(C1131, dd_accsrycalc!$A$2:$A$51, dd_accsrycalc!$B$2:$B$51, "",0), F1131="10 x 2 1/2 S (Flat)", _xlfn.XLOOKUP(C1131, dd_accsrycalc!$A$2:$A$51, dd_accsrycalc!$C$2:$C$51, "",0), F1131="Tox6", _xlfn.XLOOKUP(C1131, dd_accsrycalc!$A$2:$A$51, dd_accsrycalc!$D$2:$D$51, "",0), F1131="Cover Cap", _xlfn.XLOOKUP(C1131, dd_accsrycalc!$A$2:$A$51, dd_accsrycalc!$E$2:$E$51, "",0), F1131="Drainage Cover", _xlfn.XLOOKUP(C1131, dd_accsrycalc!$A$2:$A$51, dd_accsrycalc!$F$2:$F$51, "",0),AND( F1131="Double Adhesive Tape", I1131="Roll-up Screen"), _xlfn.XLOOKUP(C1131, calc_rusacc!$C$15:$C$65, calc_rusacc!$AD$15:$AD$65, "",0),AND( F1131="Sealant", I1131="Roll-up Screen"), _xlfn.XLOOKUP(C1131, calc_rusacc!$C$15:$C$65, calc_rusacc!$AF$15:$AF$65, "",0),  AND( F1131="Main Chain", I1131="Accordion Screen"), _xlfn.XLOOKUP(C1131, calc_rusacc!$C$15:$C$65, calc_rusacc!$BF$15:$BF$65, "",0), AND( F1131="Sealant", I1131="Accordion Screen"), _xlfn.XLOOKUP(C1131, calc_rusacc!$C$15:$C$65, calc_rusacc!$BJ$15:$BJ$65, "",0),  F1131="Sealant", _xlfn.XLOOKUP(C1131, dd_accsrycalc!$A$2:$A$51, dd_accsrycalc!$G$2:$G$51, "",0),  F1131&lt;&gt;"",L1131*_xlfn.XLOOKUP(1, (SKUs!$C$2:$C$10001=G1131)*(SKUs!$K$2:$K$10001=I1131),SKUs!$E$2:$E$10001)), 0),"")</f>
        <v/>
      </c>
      <c r="E1131" s="16" t="str">
        <f>_xlfn.XLOOKUP(F1131,dd_item!$B$2:$B$105,dd_item!$C$2:$C$105,"",0)</f>
        <v/>
      </c>
      <c r="F1131" s="16"/>
      <c r="G1131" s="16" cm="1">
        <f t="array" ref="G1131">IFERROR(_xlfn.XLOOKUP(1, (SKUs!$J$2:$J$10001=accsry_unmerged!F1131)*IF(H1131&lt;&gt;"",(SKUs!$L$2:$L$10001=accsry_unmerged!H1131),1)*(SKUs!$K$2:$K$10001=I1131),SKUs!$C$2:$C$10001),"")</f>
        <v>0</v>
      </c>
      <c r="H1131" s="33" cm="1">
        <f t="array" ref="H1131">IFERROR(_xlfn.XLOOKUP(1, (dd_accsryclr!$C$2:$C$1000=accsry_unmerged!F1131)*(dd_accsryclr!$B$2:$B$1000=accsry_unmerged!J1131),dd_accsryclr!$A$2:$A$1000),"")</f>
        <v>0</v>
      </c>
      <c r="I1131" s="16">
        <f>_xlfn.XLOOKUP(C1131,'Project Details'!$C$17:$C$66,'Project Details'!$E$17:$E$66,"",0)</f>
        <v>0</v>
      </c>
      <c r="J1131" s="16">
        <f>_xlfn.XLOOKUP(C1131,'Project Details'!$C$17:$C$66,'Project Details'!$H$17:$H$66,"",0)</f>
        <v>0</v>
      </c>
      <c r="K1131" s="33" t="str">
        <f>IF(AND(_xlfn.XLOOKUP(C1131,'Project Details'!$C$17:$C$66,'Project Details'!$L$17:$L$66,"",0)&gt;550, F1131="Spring-L27cm"),"",SUBSTITUTE(_xlfn.XLOOKUP(G1131,SKUs!$C$2:$C$10001,SKUs!$F$2:$F$10001,"",0), " Accessories",""))</f>
        <v/>
      </c>
      <c r="L1131" s="33">
        <f>_xlfn.XLOOKUP(C1131,'Project Details'!$C$17:$C$66,'Project Details'!$D$17:$D$66,"",0)</f>
        <v>0</v>
      </c>
      <c r="M1131" s="43"/>
    </row>
    <row r="1132" spans="1:13" x14ac:dyDescent="0.25">
      <c r="A1132" s="43"/>
      <c r="B1132" s="43"/>
      <c r="C1132" s="35">
        <f t="shared" si="21"/>
        <v>23</v>
      </c>
      <c r="D1132" s="35" t="str" cm="1">
        <f t="array" ref="D1132">IFERROR(ROUNDUP(_xlfn.IFS(F1132="Aluminum Track", _xlfn.XLOOKUP(C1132, dd_accsrycalc!$A$2:$A$51, dd_accsrycalc!$B$2:$B$51, "",0), F1132="10 x 2 1/2 S (Flat)", _xlfn.XLOOKUP(C1132, dd_accsrycalc!$A$2:$A$51, dd_accsrycalc!$C$2:$C$51, "",0), F1132="Tox6", _xlfn.XLOOKUP(C1132, dd_accsrycalc!$A$2:$A$51, dd_accsrycalc!$D$2:$D$51, "",0), F1132="Cover Cap", _xlfn.XLOOKUP(C1132, dd_accsrycalc!$A$2:$A$51, dd_accsrycalc!$E$2:$E$51, "",0), F1132="Drainage Cover", _xlfn.XLOOKUP(C1132, dd_accsrycalc!$A$2:$A$51, dd_accsrycalc!$F$2:$F$51, "",0),AND( F1132="Double Adhesive Tape", I1132="Roll-up Screen"), _xlfn.XLOOKUP(C1132, calc_rusacc!$C$15:$C$65, calc_rusacc!$AD$15:$AD$65, "",0),AND( F1132="Sealant", I1132="Roll-up Screen"), _xlfn.XLOOKUP(C1132, calc_rusacc!$C$15:$C$65, calc_rusacc!$AF$15:$AF$65, "",0),  AND( F1132="Main Chain", I1132="Accordion Screen"), _xlfn.XLOOKUP(C1132, calc_rusacc!$C$15:$C$65, calc_rusacc!$BF$15:$BF$65, "",0), AND( F1132="Sealant", I1132="Accordion Screen"), _xlfn.XLOOKUP(C1132, calc_rusacc!$C$15:$C$65, calc_rusacc!$BJ$15:$BJ$65, "",0),  F1132="Sealant", _xlfn.XLOOKUP(C1132, dd_accsrycalc!$A$2:$A$51, dd_accsrycalc!$G$2:$G$51, "",0),  F1132&lt;&gt;"",L1132*_xlfn.XLOOKUP(1, (SKUs!$C$2:$C$10001=G1132)*(SKUs!$K$2:$K$10001=I1132),SKUs!$E$2:$E$10001)), 0),"")</f>
        <v/>
      </c>
      <c r="E1132" s="35" t="str">
        <f>_xlfn.XLOOKUP(F1132,dd_item!$B$2:$B$105,dd_item!$C$2:$C$105,"",0)</f>
        <v/>
      </c>
      <c r="F1132" s="35"/>
      <c r="G1132" s="35" cm="1">
        <f t="array" ref="G1132">IFERROR(_xlfn.XLOOKUP(1, (SKUs!$J$2:$J$10001=accsry_unmerged!F1132)*IF(H1132&lt;&gt;"",(SKUs!$L$2:$L$10001=accsry_unmerged!H1132),1)*(SKUs!$K$2:$K$10001=I1132),SKUs!$C$2:$C$10001),"")</f>
        <v>0</v>
      </c>
      <c r="H1132" s="36" cm="1">
        <f t="array" ref="H1132">IFERROR(_xlfn.XLOOKUP(1, (dd_accsryclr!$C$2:$C$1000=accsry_unmerged!F1132)*(dd_accsryclr!$B$2:$B$1000=accsry_unmerged!J1132),dd_accsryclr!$A$2:$A$1000),"")</f>
        <v>0</v>
      </c>
      <c r="I1132" s="35">
        <f>_xlfn.XLOOKUP(C1132,'Project Details'!$C$17:$C$66,'Project Details'!$E$17:$E$66,"",0)</f>
        <v>0</v>
      </c>
      <c r="J1132" s="35">
        <f>_xlfn.XLOOKUP(C1132,'Project Details'!$C$17:$C$66,'Project Details'!$H$17:$H$66,"",0)</f>
        <v>0</v>
      </c>
      <c r="K1132" s="36" t="str">
        <f>IF(AND(_xlfn.XLOOKUP(C1132,'Project Details'!$C$17:$C$66,'Project Details'!$L$17:$L$66,"",0)&gt;550, F1132="Spring-L27cm"),"",SUBSTITUTE(_xlfn.XLOOKUP(G1132,SKUs!$C$2:$C$10001,SKUs!$F$2:$F$10001,"",0), " Accessories",""))</f>
        <v/>
      </c>
      <c r="L1132" s="36">
        <f>_xlfn.XLOOKUP(C1132,'Project Details'!$C$17:$C$66,'Project Details'!$D$17:$D$66,"",0)</f>
        <v>0</v>
      </c>
      <c r="M1132" s="43"/>
    </row>
    <row r="1133" spans="1:13" x14ac:dyDescent="0.25">
      <c r="A1133" s="43"/>
      <c r="B1133" s="43"/>
      <c r="C1133" s="16">
        <f t="shared" si="21"/>
        <v>23</v>
      </c>
      <c r="D1133" s="16" t="str" cm="1">
        <f t="array" ref="D1133">IFERROR(ROUNDUP(_xlfn.IFS(F1133="Aluminum Track", _xlfn.XLOOKUP(C1133, dd_accsrycalc!$A$2:$A$51, dd_accsrycalc!$B$2:$B$51, "",0), F1133="10 x 2 1/2 S (Flat)", _xlfn.XLOOKUP(C1133, dd_accsrycalc!$A$2:$A$51, dd_accsrycalc!$C$2:$C$51, "",0), F1133="Tox6", _xlfn.XLOOKUP(C1133, dd_accsrycalc!$A$2:$A$51, dd_accsrycalc!$D$2:$D$51, "",0), F1133="Cover Cap", _xlfn.XLOOKUP(C1133, dd_accsrycalc!$A$2:$A$51, dd_accsrycalc!$E$2:$E$51, "",0), F1133="Drainage Cover", _xlfn.XLOOKUP(C1133, dd_accsrycalc!$A$2:$A$51, dd_accsrycalc!$F$2:$F$51, "",0),AND( F1133="Double Adhesive Tape", I1133="Roll-up Screen"), _xlfn.XLOOKUP(C1133, calc_rusacc!$C$15:$C$65, calc_rusacc!$AD$15:$AD$65, "",0),AND( F1133="Sealant", I1133="Roll-up Screen"), _xlfn.XLOOKUP(C1133, calc_rusacc!$C$15:$C$65, calc_rusacc!$AF$15:$AF$65, "",0),  AND( F1133="Main Chain", I1133="Accordion Screen"), _xlfn.XLOOKUP(C1133, calc_rusacc!$C$15:$C$65, calc_rusacc!$BF$15:$BF$65, "",0), AND( F1133="Sealant", I1133="Accordion Screen"), _xlfn.XLOOKUP(C1133, calc_rusacc!$C$15:$C$65, calc_rusacc!$BJ$15:$BJ$65, "",0),  F1133="Sealant", _xlfn.XLOOKUP(C1133, dd_accsrycalc!$A$2:$A$51, dd_accsrycalc!$G$2:$G$51, "",0),  F1133&lt;&gt;"",L1133*_xlfn.XLOOKUP(1, (SKUs!$C$2:$C$10001=G1133)*(SKUs!$K$2:$K$10001=I1133),SKUs!$E$2:$E$10001)), 0),"")</f>
        <v/>
      </c>
      <c r="E1133" s="16" t="str">
        <f>_xlfn.XLOOKUP(F1133,dd_item!$B$2:$B$105,dd_item!$C$2:$C$105,"",0)</f>
        <v/>
      </c>
      <c r="F1133" s="16"/>
      <c r="G1133" s="16" cm="1">
        <f t="array" ref="G1133">IFERROR(_xlfn.XLOOKUP(1, (SKUs!$J$2:$J$10001=accsry_unmerged!F1133)*IF(H1133&lt;&gt;"",(SKUs!$L$2:$L$10001=accsry_unmerged!H1133),1)*(SKUs!$K$2:$K$10001=I1133),SKUs!$C$2:$C$10001),"")</f>
        <v>0</v>
      </c>
      <c r="H1133" s="33" cm="1">
        <f t="array" ref="H1133">IFERROR(_xlfn.XLOOKUP(1, (dd_accsryclr!$C$2:$C$1000=accsry_unmerged!F1133)*(dd_accsryclr!$B$2:$B$1000=accsry_unmerged!J1133),dd_accsryclr!$A$2:$A$1000),"")</f>
        <v>0</v>
      </c>
      <c r="I1133" s="16">
        <f>_xlfn.XLOOKUP(C1133,'Project Details'!$C$17:$C$66,'Project Details'!$E$17:$E$66,"",0)</f>
        <v>0</v>
      </c>
      <c r="J1133" s="16">
        <f>_xlfn.XLOOKUP(C1133,'Project Details'!$C$17:$C$66,'Project Details'!$H$17:$H$66,"",0)</f>
        <v>0</v>
      </c>
      <c r="K1133" s="33" t="str">
        <f>IF(AND(_xlfn.XLOOKUP(C1133,'Project Details'!$C$17:$C$66,'Project Details'!$L$17:$L$66,"",0)&gt;550, F1133="Spring-L27cm"),"",SUBSTITUTE(_xlfn.XLOOKUP(G1133,SKUs!$C$2:$C$10001,SKUs!$F$2:$F$10001,"",0), " Accessories",""))</f>
        <v/>
      </c>
      <c r="L1133" s="33">
        <f>_xlfn.XLOOKUP(C1133,'Project Details'!$C$17:$C$66,'Project Details'!$D$17:$D$66,"",0)</f>
        <v>0</v>
      </c>
      <c r="M1133" s="43"/>
    </row>
    <row r="1134" spans="1:13" ht="13.5" customHeight="1" x14ac:dyDescent="0.25">
      <c r="A1134" s="43"/>
      <c r="B1134" s="43"/>
      <c r="C1134" s="35">
        <f t="shared" si="21"/>
        <v>23</v>
      </c>
      <c r="D1134" s="35" t="str" cm="1">
        <f t="array" ref="D1134">IFERROR(ROUNDUP(_xlfn.IFS(F1134="Aluminum Track", _xlfn.XLOOKUP(C1134, dd_accsrycalc!$A$2:$A$51, dd_accsrycalc!$B$2:$B$51, "",0), F1134="10 x 2 1/2 S (Flat)", _xlfn.XLOOKUP(C1134, dd_accsrycalc!$A$2:$A$51, dd_accsrycalc!$C$2:$C$51, "",0), F1134="Tox6", _xlfn.XLOOKUP(C1134, dd_accsrycalc!$A$2:$A$51, dd_accsrycalc!$D$2:$D$51, "",0), F1134="Cover Cap", _xlfn.XLOOKUP(C1134, dd_accsrycalc!$A$2:$A$51, dd_accsrycalc!$E$2:$E$51, "",0), F1134="Drainage Cover", _xlfn.XLOOKUP(C1134, dd_accsrycalc!$A$2:$A$51, dd_accsrycalc!$F$2:$F$51, "",0),AND( F1134="Double Adhesive Tape", I1134="Roll-up Screen"), _xlfn.XLOOKUP(C1134, calc_rusacc!$C$15:$C$65, calc_rusacc!$AD$15:$AD$65, "",0),AND( F1134="Sealant", I1134="Roll-up Screen"), _xlfn.XLOOKUP(C1134, calc_rusacc!$C$15:$C$65, calc_rusacc!$AF$15:$AF$65, "",0),  AND( F1134="Main Chain", I1134="Accordion Screen"), _xlfn.XLOOKUP(C1134, calc_rusacc!$C$15:$C$65, calc_rusacc!$BF$15:$BF$65, "",0), AND( F1134="Sealant", I1134="Accordion Screen"), _xlfn.XLOOKUP(C1134, calc_rusacc!$C$15:$C$65, calc_rusacc!$BJ$15:$BJ$65, "",0),  F1134="Sealant", _xlfn.XLOOKUP(C1134, dd_accsrycalc!$A$2:$A$51, dd_accsrycalc!$G$2:$G$51, "",0),  F1134&lt;&gt;"",L1134*_xlfn.XLOOKUP(1, (SKUs!$C$2:$C$10001=G1134)*(SKUs!$K$2:$K$10001=I1134),SKUs!$E$2:$E$10001)), 0),"")</f>
        <v/>
      </c>
      <c r="E1134" s="35" t="str">
        <f>_xlfn.XLOOKUP(F1134,dd_item!$B$2:$B$105,dd_item!$C$2:$C$105,"",0)</f>
        <v/>
      </c>
      <c r="F1134" s="35"/>
      <c r="G1134" s="35" cm="1">
        <f t="array" ref="G1134">IFERROR(_xlfn.XLOOKUP(1, (SKUs!$J$2:$J$10001=accsry_unmerged!F1134)*IF(H1134&lt;&gt;"",(SKUs!$L$2:$L$10001=accsry_unmerged!H1134),1)*(SKUs!$K$2:$K$10001=I1134),SKUs!$C$2:$C$10001),"")</f>
        <v>0</v>
      </c>
      <c r="H1134" s="36" cm="1">
        <f t="array" ref="H1134">IFERROR(_xlfn.XLOOKUP(1, (dd_accsryclr!$C$2:$C$1000=accsry_unmerged!F1134)*(dd_accsryclr!$B$2:$B$1000=accsry_unmerged!J1134),dd_accsryclr!$A$2:$A$1000),"")</f>
        <v>0</v>
      </c>
      <c r="I1134" s="35">
        <f>_xlfn.XLOOKUP(C1134,'Project Details'!$C$17:$C$66,'Project Details'!$E$17:$E$66,"",0)</f>
        <v>0</v>
      </c>
      <c r="J1134" s="35">
        <f>_xlfn.XLOOKUP(C1134,'Project Details'!$C$17:$C$66,'Project Details'!$H$17:$H$66,"",0)</f>
        <v>0</v>
      </c>
      <c r="K1134" s="36" t="str">
        <f>IF(AND(_xlfn.XLOOKUP(C1134,'Project Details'!$C$17:$C$66,'Project Details'!$L$17:$L$66,"",0)&gt;550, F1134="Spring-L27cm"),"",SUBSTITUTE(_xlfn.XLOOKUP(G1134,SKUs!$C$2:$C$10001,SKUs!$F$2:$F$10001,"",0), " Accessories",""))</f>
        <v/>
      </c>
      <c r="L1134" s="36">
        <f>_xlfn.XLOOKUP(C1134,'Project Details'!$C$17:$C$66,'Project Details'!$D$17:$D$66,"",0)</f>
        <v>0</v>
      </c>
      <c r="M1134" s="43"/>
    </row>
    <row r="1135" spans="1:13" ht="13.5" customHeight="1" x14ac:dyDescent="0.25">
      <c r="A1135" s="43"/>
      <c r="B1135" s="43"/>
      <c r="C1135" s="16">
        <f t="shared" si="21"/>
        <v>23</v>
      </c>
      <c r="D1135" s="16" t="str" cm="1">
        <f t="array" ref="D1135">IFERROR(ROUNDUP(_xlfn.IFS(F1135="Aluminum Track", _xlfn.XLOOKUP(C1135, dd_accsrycalc!$A$2:$A$51, dd_accsrycalc!$B$2:$B$51, "",0), F1135="10 x 2 1/2 S (Flat)", _xlfn.XLOOKUP(C1135, dd_accsrycalc!$A$2:$A$51, dd_accsrycalc!$C$2:$C$51, "",0), F1135="Tox6", _xlfn.XLOOKUP(C1135, dd_accsrycalc!$A$2:$A$51, dd_accsrycalc!$D$2:$D$51, "",0), F1135="Cover Cap", _xlfn.XLOOKUP(C1135, dd_accsrycalc!$A$2:$A$51, dd_accsrycalc!$E$2:$E$51, "",0), F1135="Drainage Cover", _xlfn.XLOOKUP(C1135, dd_accsrycalc!$A$2:$A$51, dd_accsrycalc!$F$2:$F$51, "",0),AND( F1135="Double Adhesive Tape", I1135="Roll-up Screen"), _xlfn.XLOOKUP(C1135, calc_rusacc!$C$15:$C$65, calc_rusacc!$AD$15:$AD$65, "",0),AND( F1135="Sealant", I1135="Roll-up Screen"), _xlfn.XLOOKUP(C1135, calc_rusacc!$C$15:$C$65, calc_rusacc!$AF$15:$AF$65, "",0),  AND( F1135="Main Chain", I1135="Accordion Screen"), _xlfn.XLOOKUP(C1135, calc_rusacc!$C$15:$C$65, calc_rusacc!$BF$15:$BF$65, "",0), AND( F1135="Sealant", I1135="Accordion Screen"), _xlfn.XLOOKUP(C1135, calc_rusacc!$C$15:$C$65, calc_rusacc!$BJ$15:$BJ$65, "",0),  F1135="Sealant", _xlfn.XLOOKUP(C1135, dd_accsrycalc!$A$2:$A$51, dd_accsrycalc!$G$2:$G$51, "",0),  F1135&lt;&gt;"",L1135*_xlfn.XLOOKUP(1, (SKUs!$C$2:$C$10001=G1135)*(SKUs!$K$2:$K$10001=I1135),SKUs!$E$2:$E$10001)), 0),"")</f>
        <v/>
      </c>
      <c r="E1135" s="16" t="str">
        <f>_xlfn.XLOOKUP(F1135,dd_item!$B$2:$B$105,dd_item!$C$2:$C$105,"",0)</f>
        <v/>
      </c>
      <c r="F1135" s="16"/>
      <c r="G1135" s="16" cm="1">
        <f t="array" ref="G1135">IFERROR(_xlfn.XLOOKUP(1, (SKUs!$J$2:$J$10001=accsry_unmerged!F1135)*IF(H1135&lt;&gt;"",(SKUs!$L$2:$L$10001=accsry_unmerged!H1135),1)*(SKUs!$K$2:$K$10001=I1135),SKUs!$C$2:$C$10001),"")</f>
        <v>0</v>
      </c>
      <c r="H1135" s="33" cm="1">
        <f t="array" ref="H1135">IFERROR(_xlfn.XLOOKUP(1, (dd_accsryclr!$C$2:$C$1000=accsry_unmerged!F1135)*(dd_accsryclr!$B$2:$B$1000=accsry_unmerged!J1135),dd_accsryclr!$A$2:$A$1000),"")</f>
        <v>0</v>
      </c>
      <c r="I1135" s="16">
        <f>_xlfn.XLOOKUP(C1135,'Project Details'!$C$17:$C$66,'Project Details'!$E$17:$E$66,"",0)</f>
        <v>0</v>
      </c>
      <c r="J1135" s="16">
        <f>_xlfn.XLOOKUP(C1135,'Project Details'!$C$17:$C$66,'Project Details'!$H$17:$H$66,"",0)</f>
        <v>0</v>
      </c>
      <c r="K1135" s="33" t="str">
        <f>IF(AND(_xlfn.XLOOKUP(C1135,'Project Details'!$C$17:$C$66,'Project Details'!$L$17:$L$66,"",0)&gt;550, F1135="Spring-L27cm"),"",SUBSTITUTE(_xlfn.XLOOKUP(G1135,SKUs!$C$2:$C$10001,SKUs!$F$2:$F$10001,"",0), " Accessories",""))</f>
        <v/>
      </c>
      <c r="L1135" s="33">
        <f>_xlfn.XLOOKUP(C1135,'Project Details'!$C$17:$C$66,'Project Details'!$D$17:$D$66,"",0)</f>
        <v>0</v>
      </c>
      <c r="M1135" s="43"/>
    </row>
    <row r="1136" spans="1:13" ht="13.5" customHeight="1" x14ac:dyDescent="0.25">
      <c r="A1136" s="43"/>
      <c r="B1136" s="43"/>
      <c r="C1136" s="35">
        <f t="shared" si="21"/>
        <v>23</v>
      </c>
      <c r="D1136" s="35" t="str" cm="1">
        <f t="array" ref="D1136">IFERROR(ROUNDUP(_xlfn.IFS(F1136="Aluminum Track", _xlfn.XLOOKUP(C1136, dd_accsrycalc!$A$2:$A$51, dd_accsrycalc!$B$2:$B$51, "",0), F1136="10 x 2 1/2 S (Flat)", _xlfn.XLOOKUP(C1136, dd_accsrycalc!$A$2:$A$51, dd_accsrycalc!$C$2:$C$51, "",0), F1136="Tox6", _xlfn.XLOOKUP(C1136, dd_accsrycalc!$A$2:$A$51, dd_accsrycalc!$D$2:$D$51, "",0), F1136="Cover Cap", _xlfn.XLOOKUP(C1136, dd_accsrycalc!$A$2:$A$51, dd_accsrycalc!$E$2:$E$51, "",0), F1136="Drainage Cover", _xlfn.XLOOKUP(C1136, dd_accsrycalc!$A$2:$A$51, dd_accsrycalc!$F$2:$F$51, "",0),AND( F1136="Double Adhesive Tape", I1136="Roll-up Screen"), _xlfn.XLOOKUP(C1136, calc_rusacc!$C$15:$C$65, calc_rusacc!$AD$15:$AD$65, "",0),AND( F1136="Sealant", I1136="Roll-up Screen"), _xlfn.XLOOKUP(C1136, calc_rusacc!$C$15:$C$65, calc_rusacc!$AF$15:$AF$65, "",0),  AND( F1136="Main Chain", I1136="Accordion Screen"), _xlfn.XLOOKUP(C1136, calc_rusacc!$C$15:$C$65, calc_rusacc!$BF$15:$BF$65, "",0), AND( F1136="Sealant", I1136="Accordion Screen"), _xlfn.XLOOKUP(C1136, calc_rusacc!$C$15:$C$65, calc_rusacc!$BJ$15:$BJ$65, "",0),  F1136="Sealant", _xlfn.XLOOKUP(C1136, dd_accsrycalc!$A$2:$A$51, dd_accsrycalc!$G$2:$G$51, "",0),  F1136&lt;&gt;"",L1136*_xlfn.XLOOKUP(1, (SKUs!$C$2:$C$10001=G1136)*(SKUs!$K$2:$K$10001=I1136),SKUs!$E$2:$E$10001)), 0),"")</f>
        <v/>
      </c>
      <c r="E1136" s="35" t="str">
        <f>_xlfn.XLOOKUP(F1136,dd_item!$B$2:$B$105,dd_item!$C$2:$C$105,"",0)</f>
        <v/>
      </c>
      <c r="F1136" s="35"/>
      <c r="G1136" s="35" cm="1">
        <f t="array" ref="G1136">IFERROR(_xlfn.XLOOKUP(1, (SKUs!$J$2:$J$10001=accsry_unmerged!F1136)*IF(H1136&lt;&gt;"",(SKUs!$L$2:$L$10001=accsry_unmerged!H1136),1)*(SKUs!$K$2:$K$10001=I1136),SKUs!$C$2:$C$10001),"")</f>
        <v>0</v>
      </c>
      <c r="H1136" s="36" cm="1">
        <f t="array" ref="H1136">IFERROR(_xlfn.XLOOKUP(1, (dd_accsryclr!$C$2:$C$1000=accsry_unmerged!F1136)*(dd_accsryclr!$B$2:$B$1000=accsry_unmerged!J1136),dd_accsryclr!$A$2:$A$1000),"")</f>
        <v>0</v>
      </c>
      <c r="I1136" s="35">
        <f>_xlfn.XLOOKUP(C1136,'Project Details'!$C$17:$C$66,'Project Details'!$E$17:$E$66,"",0)</f>
        <v>0</v>
      </c>
      <c r="J1136" s="35">
        <f>_xlfn.XLOOKUP(C1136,'Project Details'!$C$17:$C$66,'Project Details'!$H$17:$H$66,"",0)</f>
        <v>0</v>
      </c>
      <c r="K1136" s="36" t="str">
        <f>IF(AND(_xlfn.XLOOKUP(C1136,'Project Details'!$C$17:$C$66,'Project Details'!$L$17:$L$66,"",0)&gt;550, F1136="Spring-L27cm"),"",SUBSTITUTE(_xlfn.XLOOKUP(G1136,SKUs!$C$2:$C$10001,SKUs!$F$2:$F$10001,"",0), " Accessories",""))</f>
        <v/>
      </c>
      <c r="L1136" s="36">
        <f>_xlfn.XLOOKUP(C1136,'Project Details'!$C$17:$C$66,'Project Details'!$D$17:$D$66,"",0)</f>
        <v>0</v>
      </c>
      <c r="M1136" s="43"/>
    </row>
    <row r="1137" spans="1:13" ht="13.5" customHeight="1" x14ac:dyDescent="0.25">
      <c r="A1137" s="43"/>
      <c r="B1137" s="43"/>
      <c r="C1137" s="16">
        <f t="shared" si="21"/>
        <v>23</v>
      </c>
      <c r="D1137" s="16" t="str" cm="1">
        <f t="array" ref="D1137">IFERROR(ROUNDUP(_xlfn.IFS(F1137="Aluminum Track", _xlfn.XLOOKUP(C1137, dd_accsrycalc!$A$2:$A$51, dd_accsrycalc!$B$2:$B$51, "",0), F1137="10 x 2 1/2 S (Flat)", _xlfn.XLOOKUP(C1137, dd_accsrycalc!$A$2:$A$51, dd_accsrycalc!$C$2:$C$51, "",0), F1137="Tox6", _xlfn.XLOOKUP(C1137, dd_accsrycalc!$A$2:$A$51, dd_accsrycalc!$D$2:$D$51, "",0), F1137="Cover Cap", _xlfn.XLOOKUP(C1137, dd_accsrycalc!$A$2:$A$51, dd_accsrycalc!$E$2:$E$51, "",0), F1137="Drainage Cover", _xlfn.XLOOKUP(C1137, dd_accsrycalc!$A$2:$A$51, dd_accsrycalc!$F$2:$F$51, "",0),AND( F1137="Double Adhesive Tape", I1137="Roll-up Screen"), _xlfn.XLOOKUP(C1137, calc_rusacc!$C$15:$C$65, calc_rusacc!$AD$15:$AD$65, "",0),AND( F1137="Sealant", I1137="Roll-up Screen"), _xlfn.XLOOKUP(C1137, calc_rusacc!$C$15:$C$65, calc_rusacc!$AF$15:$AF$65, "",0),  AND( F1137="Main Chain", I1137="Accordion Screen"), _xlfn.XLOOKUP(C1137, calc_rusacc!$C$15:$C$65, calc_rusacc!$BF$15:$BF$65, "",0), AND( F1137="Sealant", I1137="Accordion Screen"), _xlfn.XLOOKUP(C1137, calc_rusacc!$C$15:$C$65, calc_rusacc!$BJ$15:$BJ$65, "",0),  F1137="Sealant", _xlfn.XLOOKUP(C1137, dd_accsrycalc!$A$2:$A$51, dd_accsrycalc!$G$2:$G$51, "",0),  F1137&lt;&gt;"",L1137*_xlfn.XLOOKUP(1, (SKUs!$C$2:$C$10001=G1137)*(SKUs!$K$2:$K$10001=I1137),SKUs!$E$2:$E$10001)), 0),"")</f>
        <v/>
      </c>
      <c r="E1137" s="16" t="str">
        <f>_xlfn.XLOOKUP(F1137,dd_item!$B$2:$B$105,dd_item!$C$2:$C$105,"",0)</f>
        <v/>
      </c>
      <c r="F1137" s="16"/>
      <c r="G1137" s="16" cm="1">
        <f t="array" ref="G1137">IFERROR(_xlfn.XLOOKUP(1, (SKUs!$J$2:$J$10001=accsry_unmerged!F1137)*IF(H1137&lt;&gt;"",(SKUs!$L$2:$L$10001=accsry_unmerged!H1137),1)*(SKUs!$K$2:$K$10001=I1137),SKUs!$C$2:$C$10001),"")</f>
        <v>0</v>
      </c>
      <c r="H1137" s="33" cm="1">
        <f t="array" ref="H1137">IFERROR(_xlfn.XLOOKUP(1, (dd_accsryclr!$C$2:$C$1000=accsry_unmerged!F1137)*(dd_accsryclr!$B$2:$B$1000=accsry_unmerged!J1137),dd_accsryclr!$A$2:$A$1000),"")</f>
        <v>0</v>
      </c>
      <c r="I1137" s="16">
        <f>_xlfn.XLOOKUP(C1137,'Project Details'!$C$17:$C$66,'Project Details'!$E$17:$E$66,"",0)</f>
        <v>0</v>
      </c>
      <c r="J1137" s="16">
        <f>_xlfn.XLOOKUP(C1137,'Project Details'!$C$17:$C$66,'Project Details'!$H$17:$H$66,"",0)</f>
        <v>0</v>
      </c>
      <c r="K1137" s="33" t="str">
        <f>IF(AND(_xlfn.XLOOKUP(C1137,'Project Details'!$C$17:$C$66,'Project Details'!$L$17:$L$66,"",0)&gt;550, F1137="Spring-L27cm"),"",SUBSTITUTE(_xlfn.XLOOKUP(G1137,SKUs!$C$2:$C$10001,SKUs!$F$2:$F$10001,"",0), " Accessories",""))</f>
        <v/>
      </c>
      <c r="L1137" s="33">
        <f>_xlfn.XLOOKUP(C1137,'Project Details'!$C$17:$C$66,'Project Details'!$D$17:$D$66,"",0)</f>
        <v>0</v>
      </c>
      <c r="M1137" s="43"/>
    </row>
    <row r="1138" spans="1:13" ht="13.5" customHeight="1" x14ac:dyDescent="0.25">
      <c r="A1138" s="43"/>
      <c r="B1138" s="43"/>
      <c r="C1138" s="35">
        <f t="shared" si="21"/>
        <v>23</v>
      </c>
      <c r="D1138" s="35" t="str" cm="1">
        <f t="array" ref="D1138">IFERROR(ROUNDUP(_xlfn.IFS(F1138="Aluminum Track", _xlfn.XLOOKUP(C1138, dd_accsrycalc!$A$2:$A$51, dd_accsrycalc!$B$2:$B$51, "",0), F1138="10 x 2 1/2 S (Flat)", _xlfn.XLOOKUP(C1138, dd_accsrycalc!$A$2:$A$51, dd_accsrycalc!$C$2:$C$51, "",0), F1138="Tox6", _xlfn.XLOOKUP(C1138, dd_accsrycalc!$A$2:$A$51, dd_accsrycalc!$D$2:$D$51, "",0), F1138="Cover Cap", _xlfn.XLOOKUP(C1138, dd_accsrycalc!$A$2:$A$51, dd_accsrycalc!$E$2:$E$51, "",0), F1138="Drainage Cover", _xlfn.XLOOKUP(C1138, dd_accsrycalc!$A$2:$A$51, dd_accsrycalc!$F$2:$F$51, "",0),AND( F1138="Double Adhesive Tape", I1138="Roll-up Screen"), _xlfn.XLOOKUP(C1138, calc_rusacc!$C$15:$C$65, calc_rusacc!$AD$15:$AD$65, "",0),AND( F1138="Sealant", I1138="Roll-up Screen"), _xlfn.XLOOKUP(C1138, calc_rusacc!$C$15:$C$65, calc_rusacc!$AF$15:$AF$65, "",0),  AND( F1138="Main Chain", I1138="Accordion Screen"), _xlfn.XLOOKUP(C1138, calc_rusacc!$C$15:$C$65, calc_rusacc!$BF$15:$BF$65, "",0), AND( F1138="Sealant", I1138="Accordion Screen"), _xlfn.XLOOKUP(C1138, calc_rusacc!$C$15:$C$65, calc_rusacc!$BJ$15:$BJ$65, "",0),  F1138="Sealant", _xlfn.XLOOKUP(C1138, dd_accsrycalc!$A$2:$A$51, dd_accsrycalc!$G$2:$G$51, "",0),  F1138&lt;&gt;"",L1138*_xlfn.XLOOKUP(1, (SKUs!$C$2:$C$10001=G1138)*(SKUs!$K$2:$K$10001=I1138),SKUs!$E$2:$E$10001)), 0),"")</f>
        <v/>
      </c>
      <c r="E1138" s="35" t="str">
        <f>_xlfn.XLOOKUP(F1138,dd_item!$B$2:$B$105,dd_item!$C$2:$C$105,"",0)</f>
        <v/>
      </c>
      <c r="F1138" s="35"/>
      <c r="G1138" s="35" cm="1">
        <f t="array" ref="G1138">IFERROR(_xlfn.XLOOKUP(1, (SKUs!$J$2:$J$10001=accsry_unmerged!F1138)*IF(H1138&lt;&gt;"",(SKUs!$L$2:$L$10001=accsry_unmerged!H1138),1)*(SKUs!$K$2:$K$10001=I1138),SKUs!$C$2:$C$10001),"")</f>
        <v>0</v>
      </c>
      <c r="H1138" s="36" cm="1">
        <f t="array" ref="H1138">IFERROR(_xlfn.XLOOKUP(1, (dd_accsryclr!$C$2:$C$1000=accsry_unmerged!F1138)*(dd_accsryclr!$B$2:$B$1000=accsry_unmerged!J1138),dd_accsryclr!$A$2:$A$1000),"")</f>
        <v>0</v>
      </c>
      <c r="I1138" s="35">
        <f>_xlfn.XLOOKUP(C1138,'Project Details'!$C$17:$C$66,'Project Details'!$E$17:$E$66,"",0)</f>
        <v>0</v>
      </c>
      <c r="J1138" s="35">
        <f>_xlfn.XLOOKUP(C1138,'Project Details'!$C$17:$C$66,'Project Details'!$H$17:$H$66,"",0)</f>
        <v>0</v>
      </c>
      <c r="K1138" s="36" t="str">
        <f>IF(AND(_xlfn.XLOOKUP(C1138,'Project Details'!$C$17:$C$66,'Project Details'!$L$17:$L$66,"",0)&gt;550, F1138="Spring-L27cm"),"",SUBSTITUTE(_xlfn.XLOOKUP(G1138,SKUs!$C$2:$C$10001,SKUs!$F$2:$F$10001,"",0), " Accessories",""))</f>
        <v/>
      </c>
      <c r="L1138" s="36">
        <f>_xlfn.XLOOKUP(C1138,'Project Details'!$C$17:$C$66,'Project Details'!$D$17:$D$66,"",0)</f>
        <v>0</v>
      </c>
      <c r="M1138" s="43"/>
    </row>
    <row r="1139" spans="1:13" ht="13.5" customHeight="1" x14ac:dyDescent="0.25">
      <c r="A1139" s="43"/>
      <c r="B1139" s="43"/>
      <c r="C1139" s="16">
        <f t="shared" si="21"/>
        <v>23</v>
      </c>
      <c r="D1139" s="16" t="str" cm="1">
        <f t="array" ref="D1139">IFERROR(ROUNDUP(_xlfn.IFS(F1139="Aluminum Track", _xlfn.XLOOKUP(C1139, dd_accsrycalc!$A$2:$A$51, dd_accsrycalc!$B$2:$B$51, "",0), F1139="10 x 2 1/2 S (Flat)", _xlfn.XLOOKUP(C1139, dd_accsrycalc!$A$2:$A$51, dd_accsrycalc!$C$2:$C$51, "",0), F1139="Tox6", _xlfn.XLOOKUP(C1139, dd_accsrycalc!$A$2:$A$51, dd_accsrycalc!$D$2:$D$51, "",0), F1139="Cover Cap", _xlfn.XLOOKUP(C1139, dd_accsrycalc!$A$2:$A$51, dd_accsrycalc!$E$2:$E$51, "",0), F1139="Drainage Cover", _xlfn.XLOOKUP(C1139, dd_accsrycalc!$A$2:$A$51, dd_accsrycalc!$F$2:$F$51, "",0),AND( F1139="Double Adhesive Tape", I1139="Roll-up Screen"), _xlfn.XLOOKUP(C1139, calc_rusacc!$C$15:$C$65, calc_rusacc!$AD$15:$AD$65, "",0),AND( F1139="Sealant", I1139="Roll-up Screen"), _xlfn.XLOOKUP(C1139, calc_rusacc!$C$15:$C$65, calc_rusacc!$AF$15:$AF$65, "",0),  AND( F1139="Main Chain", I1139="Accordion Screen"), _xlfn.XLOOKUP(C1139, calc_rusacc!$C$15:$C$65, calc_rusacc!$BF$15:$BF$65, "",0), AND( F1139="Sealant", I1139="Accordion Screen"), _xlfn.XLOOKUP(C1139, calc_rusacc!$C$15:$C$65, calc_rusacc!$BJ$15:$BJ$65, "",0),  F1139="Sealant", _xlfn.XLOOKUP(C1139, dd_accsrycalc!$A$2:$A$51, dd_accsrycalc!$G$2:$G$51, "",0),  F1139&lt;&gt;"",L1139*_xlfn.XLOOKUP(1, (SKUs!$C$2:$C$10001=G1139)*(SKUs!$K$2:$K$10001=I1139),SKUs!$E$2:$E$10001)), 0),"")</f>
        <v/>
      </c>
      <c r="E1139" s="16" t="str">
        <f>_xlfn.XLOOKUP(F1139,dd_item!$B$2:$B$105,dd_item!$C$2:$C$105,"",0)</f>
        <v/>
      </c>
      <c r="F1139" s="16"/>
      <c r="G1139" s="16" cm="1">
        <f t="array" ref="G1139">IFERROR(_xlfn.XLOOKUP(1, (SKUs!$J$2:$J$10001=accsry_unmerged!F1139)*IF(H1139&lt;&gt;"",(SKUs!$L$2:$L$10001=accsry_unmerged!H1139),1)*(SKUs!$K$2:$K$10001=I1139),SKUs!$C$2:$C$10001),"")</f>
        <v>0</v>
      </c>
      <c r="H1139" s="33" cm="1">
        <f t="array" ref="H1139">IFERROR(_xlfn.XLOOKUP(1, (dd_accsryclr!$C$2:$C$1000=accsry_unmerged!F1139)*(dd_accsryclr!$B$2:$B$1000=accsry_unmerged!J1139),dd_accsryclr!$A$2:$A$1000),"")</f>
        <v>0</v>
      </c>
      <c r="I1139" s="16">
        <f>_xlfn.XLOOKUP(C1139,'Project Details'!$C$17:$C$66,'Project Details'!$E$17:$E$66,"",0)</f>
        <v>0</v>
      </c>
      <c r="J1139" s="16">
        <f>_xlfn.XLOOKUP(C1139,'Project Details'!$C$17:$C$66,'Project Details'!$H$17:$H$66,"",0)</f>
        <v>0</v>
      </c>
      <c r="K1139" s="33" t="str">
        <f>IF(AND(_xlfn.XLOOKUP(C1139,'Project Details'!$C$17:$C$66,'Project Details'!$L$17:$L$66,"",0)&gt;550, F1139="Spring-L27cm"),"",SUBSTITUTE(_xlfn.XLOOKUP(G1139,SKUs!$C$2:$C$10001,SKUs!$F$2:$F$10001,"",0), " Accessories",""))</f>
        <v/>
      </c>
      <c r="L1139" s="33">
        <f>_xlfn.XLOOKUP(C1139,'Project Details'!$C$17:$C$66,'Project Details'!$D$17:$D$66,"",0)</f>
        <v>0</v>
      </c>
      <c r="M1139" s="43"/>
    </row>
    <row r="1140" spans="1:13" ht="13.5" customHeight="1" x14ac:dyDescent="0.25">
      <c r="A1140" s="43"/>
      <c r="B1140" s="43"/>
      <c r="C1140" s="35">
        <f t="shared" si="21"/>
        <v>23</v>
      </c>
      <c r="D1140" s="35" t="str" cm="1">
        <f t="array" ref="D1140">IFERROR(ROUNDUP(_xlfn.IFS(F1140="Aluminum Track", _xlfn.XLOOKUP(C1140, dd_accsrycalc!$A$2:$A$51, dd_accsrycalc!$B$2:$B$51, "",0), F1140="10 x 2 1/2 S (Flat)", _xlfn.XLOOKUP(C1140, dd_accsrycalc!$A$2:$A$51, dd_accsrycalc!$C$2:$C$51, "",0), F1140="Tox6", _xlfn.XLOOKUP(C1140, dd_accsrycalc!$A$2:$A$51, dd_accsrycalc!$D$2:$D$51, "",0), F1140="Cover Cap", _xlfn.XLOOKUP(C1140, dd_accsrycalc!$A$2:$A$51, dd_accsrycalc!$E$2:$E$51, "",0), F1140="Drainage Cover", _xlfn.XLOOKUP(C1140, dd_accsrycalc!$A$2:$A$51, dd_accsrycalc!$F$2:$F$51, "",0),AND( F1140="Double Adhesive Tape", I1140="Roll-up Screen"), _xlfn.XLOOKUP(C1140, calc_rusacc!$C$15:$C$65, calc_rusacc!$AD$15:$AD$65, "",0),AND( F1140="Sealant", I1140="Roll-up Screen"), _xlfn.XLOOKUP(C1140, calc_rusacc!$C$15:$C$65, calc_rusacc!$AF$15:$AF$65, "",0),  AND( F1140="Main Chain", I1140="Accordion Screen"), _xlfn.XLOOKUP(C1140, calc_rusacc!$C$15:$C$65, calc_rusacc!$BF$15:$BF$65, "",0), AND( F1140="Sealant", I1140="Accordion Screen"), _xlfn.XLOOKUP(C1140, calc_rusacc!$C$15:$C$65, calc_rusacc!$BJ$15:$BJ$65, "",0),  F1140="Sealant", _xlfn.XLOOKUP(C1140, dd_accsrycalc!$A$2:$A$51, dd_accsrycalc!$G$2:$G$51, "",0),  F1140&lt;&gt;"",L1140*_xlfn.XLOOKUP(1, (SKUs!$C$2:$C$10001=G1140)*(SKUs!$K$2:$K$10001=I1140),SKUs!$E$2:$E$10001)), 0),"")</f>
        <v/>
      </c>
      <c r="E1140" s="35" t="str">
        <f>_xlfn.XLOOKUP(F1140,dd_item!$B$2:$B$105,dd_item!$C$2:$C$105,"",0)</f>
        <v/>
      </c>
      <c r="F1140" s="35"/>
      <c r="G1140" s="35" cm="1">
        <f t="array" ref="G1140">IFERROR(_xlfn.XLOOKUP(1, (SKUs!$J$2:$J$10001=accsry_unmerged!F1140)*IF(H1140&lt;&gt;"",(SKUs!$L$2:$L$10001=accsry_unmerged!H1140),1)*(SKUs!$K$2:$K$10001=I1140),SKUs!$C$2:$C$10001),"")</f>
        <v>0</v>
      </c>
      <c r="H1140" s="36" cm="1">
        <f t="array" ref="H1140">IFERROR(_xlfn.XLOOKUP(1, (dd_accsryclr!$C$2:$C$1000=accsry_unmerged!F1140)*(dd_accsryclr!$B$2:$B$1000=accsry_unmerged!J1140),dd_accsryclr!$A$2:$A$1000),"")</f>
        <v>0</v>
      </c>
      <c r="I1140" s="35">
        <f>_xlfn.XLOOKUP(C1140,'Project Details'!$C$17:$C$66,'Project Details'!$E$17:$E$66,"",0)</f>
        <v>0</v>
      </c>
      <c r="J1140" s="35">
        <f>_xlfn.XLOOKUP(C1140,'Project Details'!$C$17:$C$66,'Project Details'!$H$17:$H$66,"",0)</f>
        <v>0</v>
      </c>
      <c r="K1140" s="36" t="str">
        <f>IF(AND(_xlfn.XLOOKUP(C1140,'Project Details'!$C$17:$C$66,'Project Details'!$L$17:$L$66,"",0)&gt;550, F1140="Spring-L27cm"),"",SUBSTITUTE(_xlfn.XLOOKUP(G1140,SKUs!$C$2:$C$10001,SKUs!$F$2:$F$10001,"",0), " Accessories",""))</f>
        <v/>
      </c>
      <c r="L1140" s="36">
        <f>_xlfn.XLOOKUP(C1140,'Project Details'!$C$17:$C$66,'Project Details'!$D$17:$D$66,"",0)</f>
        <v>0</v>
      </c>
      <c r="M1140" s="43"/>
    </row>
    <row r="1141" spans="1:13" ht="13.5" customHeight="1" x14ac:dyDescent="0.25">
      <c r="A1141" s="43"/>
      <c r="B1141" s="43"/>
      <c r="C1141" s="16">
        <f t="shared" si="21"/>
        <v>23</v>
      </c>
      <c r="D1141" s="16" t="str" cm="1">
        <f t="array" ref="D1141">IFERROR(ROUNDUP(_xlfn.IFS(F1141="Aluminum Track", _xlfn.XLOOKUP(C1141, dd_accsrycalc!$A$2:$A$51, dd_accsrycalc!$B$2:$B$51, "",0), F1141="10 x 2 1/2 S (Flat)", _xlfn.XLOOKUP(C1141, dd_accsrycalc!$A$2:$A$51, dd_accsrycalc!$C$2:$C$51, "",0), F1141="Tox6", _xlfn.XLOOKUP(C1141, dd_accsrycalc!$A$2:$A$51, dd_accsrycalc!$D$2:$D$51, "",0), F1141="Cover Cap", _xlfn.XLOOKUP(C1141, dd_accsrycalc!$A$2:$A$51, dd_accsrycalc!$E$2:$E$51, "",0), F1141="Drainage Cover", _xlfn.XLOOKUP(C1141, dd_accsrycalc!$A$2:$A$51, dd_accsrycalc!$F$2:$F$51, "",0),AND( F1141="Double Adhesive Tape", I1141="Roll-up Screen"), _xlfn.XLOOKUP(C1141, calc_rusacc!$C$15:$C$65, calc_rusacc!$AD$15:$AD$65, "",0),AND( F1141="Sealant", I1141="Roll-up Screen"), _xlfn.XLOOKUP(C1141, calc_rusacc!$C$15:$C$65, calc_rusacc!$AF$15:$AF$65, "",0),  AND( F1141="Main Chain", I1141="Accordion Screen"), _xlfn.XLOOKUP(C1141, calc_rusacc!$C$15:$C$65, calc_rusacc!$BF$15:$BF$65, "",0), AND( F1141="Sealant", I1141="Accordion Screen"), _xlfn.XLOOKUP(C1141, calc_rusacc!$C$15:$C$65, calc_rusacc!$BJ$15:$BJ$65, "",0),  F1141="Sealant", _xlfn.XLOOKUP(C1141, dd_accsrycalc!$A$2:$A$51, dd_accsrycalc!$G$2:$G$51, "",0),  F1141&lt;&gt;"",L1141*_xlfn.XLOOKUP(1, (SKUs!$C$2:$C$10001=G1141)*(SKUs!$K$2:$K$10001=I1141),SKUs!$E$2:$E$10001)), 0),"")</f>
        <v/>
      </c>
      <c r="E1141" s="16" t="str">
        <f>_xlfn.XLOOKUP(F1141,dd_item!$B$2:$B$105,dd_item!$C$2:$C$105,"",0)</f>
        <v/>
      </c>
      <c r="F1141" s="16"/>
      <c r="G1141" s="16" cm="1">
        <f t="array" ref="G1141">IFERROR(_xlfn.XLOOKUP(1, (SKUs!$J$2:$J$10001=accsry_unmerged!F1141)*IF(H1141&lt;&gt;"",(SKUs!$L$2:$L$10001=accsry_unmerged!H1141),1)*(SKUs!$K$2:$K$10001=I1141),SKUs!$C$2:$C$10001),"")</f>
        <v>0</v>
      </c>
      <c r="H1141" s="33" cm="1">
        <f t="array" ref="H1141">IFERROR(_xlfn.XLOOKUP(1, (dd_accsryclr!$C$2:$C$1000=accsry_unmerged!F1141)*(dd_accsryclr!$B$2:$B$1000=accsry_unmerged!J1141),dd_accsryclr!$A$2:$A$1000),"")</f>
        <v>0</v>
      </c>
      <c r="I1141" s="16">
        <f>_xlfn.XLOOKUP(C1141,'Project Details'!$C$17:$C$66,'Project Details'!$E$17:$E$66,"",0)</f>
        <v>0</v>
      </c>
      <c r="J1141" s="16">
        <f>_xlfn.XLOOKUP(C1141,'Project Details'!$C$17:$C$66,'Project Details'!$H$17:$H$66,"",0)</f>
        <v>0</v>
      </c>
      <c r="K1141" s="33" t="str">
        <f>IF(AND(_xlfn.XLOOKUP(C1141,'Project Details'!$C$17:$C$66,'Project Details'!$L$17:$L$66,"",0)&gt;550, F1141="Spring-L27cm"),"",SUBSTITUTE(_xlfn.XLOOKUP(G1141,SKUs!$C$2:$C$10001,SKUs!$F$2:$F$10001,"",0), " Accessories",""))</f>
        <v/>
      </c>
      <c r="L1141" s="33">
        <f>_xlfn.XLOOKUP(C1141,'Project Details'!$C$17:$C$66,'Project Details'!$D$17:$D$66,"",0)</f>
        <v>0</v>
      </c>
      <c r="M1141" s="43"/>
    </row>
    <row r="1142" spans="1:13" ht="13.5" customHeight="1" x14ac:dyDescent="0.25">
      <c r="A1142" s="43"/>
      <c r="B1142" s="43"/>
      <c r="C1142" s="35">
        <f t="shared" si="21"/>
        <v>23</v>
      </c>
      <c r="D1142" s="35" t="str" cm="1">
        <f t="array" ref="D1142">IFERROR(ROUNDUP(_xlfn.IFS(F1142="Aluminum Track", _xlfn.XLOOKUP(C1142, dd_accsrycalc!$A$2:$A$51, dd_accsrycalc!$B$2:$B$51, "",0), F1142="10 x 2 1/2 S (Flat)", _xlfn.XLOOKUP(C1142, dd_accsrycalc!$A$2:$A$51, dd_accsrycalc!$C$2:$C$51, "",0), F1142="Tox6", _xlfn.XLOOKUP(C1142, dd_accsrycalc!$A$2:$A$51, dd_accsrycalc!$D$2:$D$51, "",0), F1142="Cover Cap", _xlfn.XLOOKUP(C1142, dd_accsrycalc!$A$2:$A$51, dd_accsrycalc!$E$2:$E$51, "",0), F1142="Drainage Cover", _xlfn.XLOOKUP(C1142, dd_accsrycalc!$A$2:$A$51, dd_accsrycalc!$F$2:$F$51, "",0),AND( F1142="Double Adhesive Tape", I1142="Roll-up Screen"), _xlfn.XLOOKUP(C1142, calc_rusacc!$C$15:$C$65, calc_rusacc!$AD$15:$AD$65, "",0),AND( F1142="Sealant", I1142="Roll-up Screen"), _xlfn.XLOOKUP(C1142, calc_rusacc!$C$15:$C$65, calc_rusacc!$AF$15:$AF$65, "",0),  AND( F1142="Main Chain", I1142="Accordion Screen"), _xlfn.XLOOKUP(C1142, calc_rusacc!$C$15:$C$65, calc_rusacc!$BF$15:$BF$65, "",0), AND( F1142="Sealant", I1142="Accordion Screen"), _xlfn.XLOOKUP(C1142, calc_rusacc!$C$15:$C$65, calc_rusacc!$BJ$15:$BJ$65, "",0),  F1142="Sealant", _xlfn.XLOOKUP(C1142, dd_accsrycalc!$A$2:$A$51, dd_accsrycalc!$G$2:$G$51, "",0),  F1142&lt;&gt;"",L1142*_xlfn.XLOOKUP(1, (SKUs!$C$2:$C$10001=G1142)*(SKUs!$K$2:$K$10001=I1142),SKUs!$E$2:$E$10001)), 0),"")</f>
        <v/>
      </c>
      <c r="E1142" s="35" t="str">
        <f>_xlfn.XLOOKUP(F1142,dd_item!$B$2:$B$105,dd_item!$C$2:$C$105,"",0)</f>
        <v/>
      </c>
      <c r="F1142" s="35"/>
      <c r="G1142" s="35" cm="1">
        <f t="array" ref="G1142">IFERROR(_xlfn.XLOOKUP(1, (SKUs!$J$2:$J$10001=accsry_unmerged!F1142)*IF(H1142&lt;&gt;"",(SKUs!$L$2:$L$10001=accsry_unmerged!H1142),1)*(SKUs!$K$2:$K$10001=I1142),SKUs!$C$2:$C$10001),"")</f>
        <v>0</v>
      </c>
      <c r="H1142" s="36" cm="1">
        <f t="array" ref="H1142">IFERROR(_xlfn.XLOOKUP(1, (dd_accsryclr!$C$2:$C$1000=accsry_unmerged!F1142)*(dd_accsryclr!$B$2:$B$1000=accsry_unmerged!J1142),dd_accsryclr!$A$2:$A$1000),"")</f>
        <v>0</v>
      </c>
      <c r="I1142" s="35">
        <f>_xlfn.XLOOKUP(C1142,'Project Details'!$C$17:$C$66,'Project Details'!$E$17:$E$66,"",0)</f>
        <v>0</v>
      </c>
      <c r="J1142" s="35">
        <f>_xlfn.XLOOKUP(C1142,'Project Details'!$C$17:$C$66,'Project Details'!$H$17:$H$66,"",0)</f>
        <v>0</v>
      </c>
      <c r="K1142" s="36" t="str">
        <f>IF(AND(_xlfn.XLOOKUP(C1142,'Project Details'!$C$17:$C$66,'Project Details'!$L$17:$L$66,"",0)&gt;550, F1142="Spring-L27cm"),"",SUBSTITUTE(_xlfn.XLOOKUP(G1142,SKUs!$C$2:$C$10001,SKUs!$F$2:$F$10001,"",0), " Accessories",""))</f>
        <v/>
      </c>
      <c r="L1142" s="36">
        <f>_xlfn.XLOOKUP(C1142,'Project Details'!$C$17:$C$66,'Project Details'!$D$17:$D$66,"",0)</f>
        <v>0</v>
      </c>
      <c r="M1142" s="43"/>
    </row>
    <row r="1143" spans="1:13" ht="13.5" customHeight="1" x14ac:dyDescent="0.25">
      <c r="A1143" s="43"/>
      <c r="B1143" s="43"/>
      <c r="C1143" s="16">
        <f t="shared" si="21"/>
        <v>23</v>
      </c>
      <c r="D1143" s="16" t="str" cm="1">
        <f t="array" ref="D1143">IFERROR(ROUNDUP(_xlfn.IFS(F1143="Aluminum Track", _xlfn.XLOOKUP(C1143, dd_accsrycalc!$A$2:$A$51, dd_accsrycalc!$B$2:$B$51, "",0), F1143="10 x 2 1/2 S (Flat)", _xlfn.XLOOKUP(C1143, dd_accsrycalc!$A$2:$A$51, dd_accsrycalc!$C$2:$C$51, "",0), F1143="Tox6", _xlfn.XLOOKUP(C1143, dd_accsrycalc!$A$2:$A$51, dd_accsrycalc!$D$2:$D$51, "",0), F1143="Cover Cap", _xlfn.XLOOKUP(C1143, dd_accsrycalc!$A$2:$A$51, dd_accsrycalc!$E$2:$E$51, "",0), F1143="Drainage Cover", _xlfn.XLOOKUP(C1143, dd_accsrycalc!$A$2:$A$51, dd_accsrycalc!$F$2:$F$51, "",0),AND( F1143="Double Adhesive Tape", I1143="Roll-up Screen"), _xlfn.XLOOKUP(C1143, calc_rusacc!$C$15:$C$65, calc_rusacc!$AD$15:$AD$65, "",0),AND( F1143="Sealant", I1143="Roll-up Screen"), _xlfn.XLOOKUP(C1143, calc_rusacc!$C$15:$C$65, calc_rusacc!$AF$15:$AF$65, "",0),  AND( F1143="Main Chain", I1143="Accordion Screen"), _xlfn.XLOOKUP(C1143, calc_rusacc!$C$15:$C$65, calc_rusacc!$BF$15:$BF$65, "",0), AND( F1143="Sealant", I1143="Accordion Screen"), _xlfn.XLOOKUP(C1143, calc_rusacc!$C$15:$C$65, calc_rusacc!$BJ$15:$BJ$65, "",0),  F1143="Sealant", _xlfn.XLOOKUP(C1143, dd_accsrycalc!$A$2:$A$51, dd_accsrycalc!$G$2:$G$51, "",0),  F1143&lt;&gt;"",L1143*_xlfn.XLOOKUP(1, (SKUs!$C$2:$C$10001=G1143)*(SKUs!$K$2:$K$10001=I1143),SKUs!$E$2:$E$10001)), 0),"")</f>
        <v/>
      </c>
      <c r="E1143" s="16" t="str">
        <f>_xlfn.XLOOKUP(F1143,dd_item!$B$2:$B$105,dd_item!$C$2:$C$105,"",0)</f>
        <v/>
      </c>
      <c r="F1143" s="16"/>
      <c r="G1143" s="16" cm="1">
        <f t="array" ref="G1143">IFERROR(_xlfn.XLOOKUP(1, (SKUs!$J$2:$J$10001=accsry_unmerged!F1143)*IF(H1143&lt;&gt;"",(SKUs!$L$2:$L$10001=accsry_unmerged!H1143),1)*(SKUs!$K$2:$K$10001=I1143),SKUs!$C$2:$C$10001),"")</f>
        <v>0</v>
      </c>
      <c r="H1143" s="33" cm="1">
        <f t="array" ref="H1143">IFERROR(_xlfn.XLOOKUP(1, (dd_accsryclr!$C$2:$C$1000=accsry_unmerged!F1143)*(dd_accsryclr!$B$2:$B$1000=accsry_unmerged!J1143),dd_accsryclr!$A$2:$A$1000),"")</f>
        <v>0</v>
      </c>
      <c r="I1143" s="16">
        <f>_xlfn.XLOOKUP(C1143,'Project Details'!$C$17:$C$66,'Project Details'!$E$17:$E$66,"",0)</f>
        <v>0</v>
      </c>
      <c r="J1143" s="16">
        <f>_xlfn.XLOOKUP(C1143,'Project Details'!$C$17:$C$66,'Project Details'!$H$17:$H$66,"",0)</f>
        <v>0</v>
      </c>
      <c r="K1143" s="33" t="str">
        <f>IF(AND(_xlfn.XLOOKUP(C1143,'Project Details'!$C$17:$C$66,'Project Details'!$L$17:$L$66,"",0)&gt;550, F1143="Spring-L27cm"),"",SUBSTITUTE(_xlfn.XLOOKUP(G1143,SKUs!$C$2:$C$10001,SKUs!$F$2:$F$10001,"",0), " Accessories",""))</f>
        <v/>
      </c>
      <c r="L1143" s="33">
        <f>_xlfn.XLOOKUP(C1143,'Project Details'!$C$17:$C$66,'Project Details'!$D$17:$D$66,"",0)</f>
        <v>0</v>
      </c>
      <c r="M1143" s="43"/>
    </row>
    <row r="1144" spans="1:13" ht="13.5" customHeight="1" x14ac:dyDescent="0.25">
      <c r="A1144" s="43"/>
      <c r="B1144" s="43"/>
      <c r="C1144" s="35">
        <f t="shared" si="21"/>
        <v>23</v>
      </c>
      <c r="D1144" s="35" t="str" cm="1">
        <f t="array" ref="D1144">IFERROR(ROUNDUP(_xlfn.IFS(F1144="Aluminum Track", _xlfn.XLOOKUP(C1144, dd_accsrycalc!$A$2:$A$51, dd_accsrycalc!$B$2:$B$51, "",0), F1144="10 x 2 1/2 S (Flat)", _xlfn.XLOOKUP(C1144, dd_accsrycalc!$A$2:$A$51, dd_accsrycalc!$C$2:$C$51, "",0), F1144="Tox6", _xlfn.XLOOKUP(C1144, dd_accsrycalc!$A$2:$A$51, dd_accsrycalc!$D$2:$D$51, "",0), F1144="Cover Cap", _xlfn.XLOOKUP(C1144, dd_accsrycalc!$A$2:$A$51, dd_accsrycalc!$E$2:$E$51, "",0), F1144="Drainage Cover", _xlfn.XLOOKUP(C1144, dd_accsrycalc!$A$2:$A$51, dd_accsrycalc!$F$2:$F$51, "",0),AND( F1144="Double Adhesive Tape", I1144="Roll-up Screen"), _xlfn.XLOOKUP(C1144, calc_rusacc!$C$15:$C$65, calc_rusacc!$AD$15:$AD$65, "",0),AND( F1144="Sealant", I1144="Roll-up Screen"), _xlfn.XLOOKUP(C1144, calc_rusacc!$C$15:$C$65, calc_rusacc!$AF$15:$AF$65, "",0),  AND( F1144="Main Chain", I1144="Accordion Screen"), _xlfn.XLOOKUP(C1144, calc_rusacc!$C$15:$C$65, calc_rusacc!$BF$15:$BF$65, "",0), AND( F1144="Sealant", I1144="Accordion Screen"), _xlfn.XLOOKUP(C1144, calc_rusacc!$C$15:$C$65, calc_rusacc!$BJ$15:$BJ$65, "",0),  F1144="Sealant", _xlfn.XLOOKUP(C1144, dd_accsrycalc!$A$2:$A$51, dd_accsrycalc!$G$2:$G$51, "",0),  F1144&lt;&gt;"",L1144*_xlfn.XLOOKUP(1, (SKUs!$C$2:$C$10001=G1144)*(SKUs!$K$2:$K$10001=I1144),SKUs!$E$2:$E$10001)), 0),"")</f>
        <v/>
      </c>
      <c r="E1144" s="35" t="str">
        <f>_xlfn.XLOOKUP(F1144,dd_item!$B$2:$B$105,dd_item!$C$2:$C$105,"",0)</f>
        <v/>
      </c>
      <c r="F1144" s="35"/>
      <c r="G1144" s="35" cm="1">
        <f t="array" ref="G1144">IFERROR(_xlfn.XLOOKUP(1, (SKUs!$J$2:$J$10001=accsry_unmerged!F1144)*IF(H1144&lt;&gt;"",(SKUs!$L$2:$L$10001=accsry_unmerged!H1144),1)*(SKUs!$K$2:$K$10001=I1144),SKUs!$C$2:$C$10001),"")</f>
        <v>0</v>
      </c>
      <c r="H1144" s="36" cm="1">
        <f t="array" ref="H1144">IFERROR(_xlfn.XLOOKUP(1, (dd_accsryclr!$C$2:$C$1000=accsry_unmerged!F1144)*(dd_accsryclr!$B$2:$B$1000=accsry_unmerged!J1144),dd_accsryclr!$A$2:$A$1000),"")</f>
        <v>0</v>
      </c>
      <c r="I1144" s="35">
        <f>_xlfn.XLOOKUP(C1144,'Project Details'!$C$17:$C$66,'Project Details'!$E$17:$E$66,"",0)</f>
        <v>0</v>
      </c>
      <c r="J1144" s="35">
        <f>_xlfn.XLOOKUP(C1144,'Project Details'!$C$17:$C$66,'Project Details'!$H$17:$H$66,"",0)</f>
        <v>0</v>
      </c>
      <c r="K1144" s="36" t="str">
        <f>IF(AND(_xlfn.XLOOKUP(C1144,'Project Details'!$C$17:$C$66,'Project Details'!$L$17:$L$66,"",0)&gt;550, F1144="Spring-L27cm"),"",SUBSTITUTE(_xlfn.XLOOKUP(G1144,SKUs!$C$2:$C$10001,SKUs!$F$2:$F$10001,"",0), " Accessories",""))</f>
        <v/>
      </c>
      <c r="L1144" s="36">
        <f>_xlfn.XLOOKUP(C1144,'Project Details'!$C$17:$C$66,'Project Details'!$D$17:$D$66,"",0)</f>
        <v>0</v>
      </c>
      <c r="M1144" s="43"/>
    </row>
    <row r="1145" spans="1:13" ht="13.5" customHeight="1" outlineLevel="1" x14ac:dyDescent="0.25">
      <c r="A1145" s="43"/>
      <c r="B1145" s="43"/>
      <c r="C1145" s="16">
        <f t="shared" si="21"/>
        <v>23</v>
      </c>
      <c r="D1145" s="16" t="str" cm="1">
        <f t="array" ref="D1145">IFERROR(ROUNDUP(_xlfn.IFS(F1145="Aluminum Track", _xlfn.XLOOKUP(C1145, dd_accsrycalc!$A$2:$A$51, dd_accsrycalc!$B$2:$B$51, "",0), F1145="10 x 2 1/2 S (Flat)", _xlfn.XLOOKUP(C1145, dd_accsrycalc!$A$2:$A$51, dd_accsrycalc!$C$2:$C$51, "",0), F1145="Tox6", _xlfn.XLOOKUP(C1145, dd_accsrycalc!$A$2:$A$51, dd_accsrycalc!$D$2:$D$51, "",0), F1145="Cover Cap", _xlfn.XLOOKUP(C1145, dd_accsrycalc!$A$2:$A$51, dd_accsrycalc!$E$2:$E$51, "",0), F1145="Drainage Cover", _xlfn.XLOOKUP(C1145, dd_accsrycalc!$A$2:$A$51, dd_accsrycalc!$F$2:$F$51, "",0),AND( F1145="Double Adhesive Tape", I1145="Roll-up Screen"), _xlfn.XLOOKUP(C1145, calc_rusacc!$C$15:$C$65, calc_rusacc!$AD$15:$AD$65, "",0),AND( F1145="Sealant", I1145="Roll-up Screen"), _xlfn.XLOOKUP(C1145, calc_rusacc!$C$15:$C$65, calc_rusacc!$AF$15:$AF$65, "",0),  AND( F1145="Main Chain", I1145="Accordion Screen"), _xlfn.XLOOKUP(C1145, calc_rusacc!$C$15:$C$65, calc_rusacc!$BF$15:$BF$65, "",0), AND( F1145="Sealant", I1145="Accordion Screen"), _xlfn.XLOOKUP(C1145, calc_rusacc!$C$15:$C$65, calc_rusacc!$BJ$15:$BJ$65, "",0),  F1145="Sealant", _xlfn.XLOOKUP(C1145, dd_accsrycalc!$A$2:$A$51, dd_accsrycalc!$G$2:$G$51, "",0),  F1145&lt;&gt;"",L1145*_xlfn.XLOOKUP(1, (SKUs!$C$2:$C$10001=G1145)*(SKUs!$K$2:$K$10001=I1145),SKUs!$E$2:$E$10001)), 0),"")</f>
        <v/>
      </c>
      <c r="E1145" s="16" t="str">
        <f>_xlfn.XLOOKUP(F1145,dd_item!$B$2:$B$105,dd_item!$C$2:$C$105,"",0)</f>
        <v/>
      </c>
      <c r="F1145" s="16"/>
      <c r="G1145" s="16" cm="1">
        <f t="array" ref="G1145">IFERROR(_xlfn.XLOOKUP(1, (SKUs!$J$2:$J$10001=accsry_unmerged!F1145)*IF(H1145&lt;&gt;"",(SKUs!$L$2:$L$10001=accsry_unmerged!H1145),1)*(SKUs!$K$2:$K$10001=I1145),SKUs!$C$2:$C$10001),"")</f>
        <v>0</v>
      </c>
      <c r="H1145" s="33" cm="1">
        <f t="array" ref="H1145">IFERROR(_xlfn.XLOOKUP(1, (dd_accsryclr!$C$2:$C$1000=accsry_unmerged!F1145)*(dd_accsryclr!$B$2:$B$1000=accsry_unmerged!J1145),dd_accsryclr!$A$2:$A$1000),"")</f>
        <v>0</v>
      </c>
      <c r="I1145" s="16">
        <f>_xlfn.XLOOKUP(C1145,'Project Details'!$C$17:$C$66,'Project Details'!$E$17:$E$66,"",0)</f>
        <v>0</v>
      </c>
      <c r="J1145" s="16">
        <f>_xlfn.XLOOKUP(C1145,'Project Details'!$C$17:$C$66,'Project Details'!$H$17:$H$66,"",0)</f>
        <v>0</v>
      </c>
      <c r="K1145" s="33" t="str">
        <f>IF(AND(_xlfn.XLOOKUP(C1145,'Project Details'!$C$17:$C$66,'Project Details'!$L$17:$L$66,"",0)&gt;550, F1145="Spring-L27cm"),"",SUBSTITUTE(_xlfn.XLOOKUP(G1145,SKUs!$C$2:$C$10001,SKUs!$F$2:$F$10001,"",0), " Accessories",""))</f>
        <v/>
      </c>
      <c r="L1145" s="33">
        <f>_xlfn.XLOOKUP(C1145,'Project Details'!$C$17:$C$66,'Project Details'!$D$17:$D$66,"",0)</f>
        <v>0</v>
      </c>
      <c r="M1145" s="43"/>
    </row>
    <row r="1146" spans="1:13" ht="13.5" customHeight="1" outlineLevel="1" x14ac:dyDescent="0.25">
      <c r="A1146" s="43"/>
      <c r="B1146" s="43"/>
      <c r="C1146" s="35">
        <f t="shared" si="21"/>
        <v>23</v>
      </c>
      <c r="D1146" s="35" t="str" cm="1">
        <f t="array" ref="D1146">IFERROR(ROUNDUP(_xlfn.IFS(F1146="Aluminum Track", _xlfn.XLOOKUP(C1146, dd_accsrycalc!$A$2:$A$51, dd_accsrycalc!$B$2:$B$51, "",0), F1146="10 x 2 1/2 S (Flat)", _xlfn.XLOOKUP(C1146, dd_accsrycalc!$A$2:$A$51, dd_accsrycalc!$C$2:$C$51, "",0), F1146="Tox6", _xlfn.XLOOKUP(C1146, dd_accsrycalc!$A$2:$A$51, dd_accsrycalc!$D$2:$D$51, "",0), F1146="Cover Cap", _xlfn.XLOOKUP(C1146, dd_accsrycalc!$A$2:$A$51, dd_accsrycalc!$E$2:$E$51, "",0), F1146="Drainage Cover", _xlfn.XLOOKUP(C1146, dd_accsrycalc!$A$2:$A$51, dd_accsrycalc!$F$2:$F$51, "",0),AND( F1146="Double Adhesive Tape", I1146="Roll-up Screen"), _xlfn.XLOOKUP(C1146, calc_rusacc!$C$15:$C$65, calc_rusacc!$AD$15:$AD$65, "",0),AND( F1146="Sealant", I1146="Roll-up Screen"), _xlfn.XLOOKUP(C1146, calc_rusacc!$C$15:$C$65, calc_rusacc!$AF$15:$AF$65, "",0),  AND( F1146="Main Chain", I1146="Accordion Screen"), _xlfn.XLOOKUP(C1146, calc_rusacc!$C$15:$C$65, calc_rusacc!$BF$15:$BF$65, "",0), AND( F1146="Sealant", I1146="Accordion Screen"), _xlfn.XLOOKUP(C1146, calc_rusacc!$C$15:$C$65, calc_rusacc!$BJ$15:$BJ$65, "",0),  F1146="Sealant", _xlfn.XLOOKUP(C1146, dd_accsrycalc!$A$2:$A$51, dd_accsrycalc!$G$2:$G$51, "",0),  F1146&lt;&gt;"",L1146*_xlfn.XLOOKUP(1, (SKUs!$C$2:$C$10001=G1146)*(SKUs!$K$2:$K$10001=I1146),SKUs!$E$2:$E$10001)), 0),"")</f>
        <v/>
      </c>
      <c r="E1146" s="35" t="str">
        <f>_xlfn.XLOOKUP(F1146,dd_item!$B$2:$B$105,dd_item!$C$2:$C$105,"",0)</f>
        <v/>
      </c>
      <c r="F1146" s="35"/>
      <c r="G1146" s="35" cm="1">
        <f t="array" ref="G1146">IFERROR(_xlfn.XLOOKUP(1, (SKUs!$J$2:$J$10001=accsry_unmerged!F1146)*IF(H1146&lt;&gt;"",(SKUs!$L$2:$L$10001=accsry_unmerged!H1146),1)*(SKUs!$K$2:$K$10001=I1146),SKUs!$C$2:$C$10001),"")</f>
        <v>0</v>
      </c>
      <c r="H1146" s="36" cm="1">
        <f t="array" ref="H1146">IFERROR(_xlfn.XLOOKUP(1, (dd_accsryclr!$C$2:$C$1000=accsry_unmerged!F1146)*(dd_accsryclr!$B$2:$B$1000=accsry_unmerged!J1146),dd_accsryclr!$A$2:$A$1000),"")</f>
        <v>0</v>
      </c>
      <c r="I1146" s="35">
        <f>_xlfn.XLOOKUP(C1146,'Project Details'!$C$17:$C$66,'Project Details'!$E$17:$E$66,"",0)</f>
        <v>0</v>
      </c>
      <c r="J1146" s="35">
        <f>_xlfn.XLOOKUP(C1146,'Project Details'!$C$17:$C$66,'Project Details'!$H$17:$H$66,"",0)</f>
        <v>0</v>
      </c>
      <c r="K1146" s="36" t="str">
        <f>IF(AND(_xlfn.XLOOKUP(C1146,'Project Details'!$C$17:$C$66,'Project Details'!$L$17:$L$66,"",0)&gt;550, F1146="Spring-L27cm"),"",SUBSTITUTE(_xlfn.XLOOKUP(G1146,SKUs!$C$2:$C$10001,SKUs!$F$2:$F$10001,"",0), " Accessories",""))</f>
        <v/>
      </c>
      <c r="L1146" s="36">
        <f>_xlfn.XLOOKUP(C1146,'Project Details'!$C$17:$C$66,'Project Details'!$D$17:$D$66,"",0)</f>
        <v>0</v>
      </c>
      <c r="M1146" s="43"/>
    </row>
    <row r="1147" spans="1:13" ht="13.5" customHeight="1" outlineLevel="1" x14ac:dyDescent="0.25">
      <c r="A1147" s="43"/>
      <c r="B1147" s="43"/>
      <c r="C1147" s="16">
        <f t="shared" si="21"/>
        <v>23</v>
      </c>
      <c r="D1147" s="16" t="str" cm="1">
        <f t="array" ref="D1147">IFERROR(ROUNDUP(_xlfn.IFS(F1147="Aluminum Track", _xlfn.XLOOKUP(C1147, dd_accsrycalc!$A$2:$A$51, dd_accsrycalc!$B$2:$B$51, "",0), F1147="10 x 2 1/2 S (Flat)", _xlfn.XLOOKUP(C1147, dd_accsrycalc!$A$2:$A$51, dd_accsrycalc!$C$2:$C$51, "",0), F1147="Tox6", _xlfn.XLOOKUP(C1147, dd_accsrycalc!$A$2:$A$51, dd_accsrycalc!$D$2:$D$51, "",0), F1147="Cover Cap", _xlfn.XLOOKUP(C1147, dd_accsrycalc!$A$2:$A$51, dd_accsrycalc!$E$2:$E$51, "",0), F1147="Drainage Cover", _xlfn.XLOOKUP(C1147, dd_accsrycalc!$A$2:$A$51, dd_accsrycalc!$F$2:$F$51, "",0),AND( F1147="Double Adhesive Tape", I1147="Roll-up Screen"), _xlfn.XLOOKUP(C1147, calc_rusacc!$C$15:$C$65, calc_rusacc!$AD$15:$AD$65, "",0),AND( F1147="Sealant", I1147="Roll-up Screen"), _xlfn.XLOOKUP(C1147, calc_rusacc!$C$15:$C$65, calc_rusacc!$AF$15:$AF$65, "",0),  AND( F1147="Main Chain", I1147="Accordion Screen"), _xlfn.XLOOKUP(C1147, calc_rusacc!$C$15:$C$65, calc_rusacc!$BF$15:$BF$65, "",0), AND( F1147="Sealant", I1147="Accordion Screen"), _xlfn.XLOOKUP(C1147, calc_rusacc!$C$15:$C$65, calc_rusacc!$BJ$15:$BJ$65, "",0),  F1147="Sealant", _xlfn.XLOOKUP(C1147, dd_accsrycalc!$A$2:$A$51, dd_accsrycalc!$G$2:$G$51, "",0),  F1147&lt;&gt;"",L1147*_xlfn.XLOOKUP(1, (SKUs!$C$2:$C$10001=G1147)*(SKUs!$K$2:$K$10001=I1147),SKUs!$E$2:$E$10001)), 0),"")</f>
        <v/>
      </c>
      <c r="E1147" s="16" t="str">
        <f>_xlfn.XLOOKUP(F1147,dd_item!$B$2:$B$105,dd_item!$C$2:$C$105,"",0)</f>
        <v/>
      </c>
      <c r="F1147" s="16"/>
      <c r="G1147" s="16" cm="1">
        <f t="array" ref="G1147">IFERROR(_xlfn.XLOOKUP(1, (SKUs!$J$2:$J$10001=accsry_unmerged!F1147)*IF(H1147&lt;&gt;"",(SKUs!$L$2:$L$10001=accsry_unmerged!H1147),1)*(SKUs!$K$2:$K$10001=I1147),SKUs!$C$2:$C$10001),"")</f>
        <v>0</v>
      </c>
      <c r="H1147" s="33" cm="1">
        <f t="array" ref="H1147">IFERROR(_xlfn.XLOOKUP(1, (dd_accsryclr!$C$2:$C$1000=accsry_unmerged!F1147)*(dd_accsryclr!$B$2:$B$1000=accsry_unmerged!J1147),dd_accsryclr!$A$2:$A$1000),"")</f>
        <v>0</v>
      </c>
      <c r="I1147" s="16">
        <f>_xlfn.XLOOKUP(C1147,'Project Details'!$C$17:$C$66,'Project Details'!$E$17:$E$66,"",0)</f>
        <v>0</v>
      </c>
      <c r="J1147" s="16">
        <f>_xlfn.XLOOKUP(C1147,'Project Details'!$C$17:$C$66,'Project Details'!$H$17:$H$66,"",0)</f>
        <v>0</v>
      </c>
      <c r="K1147" s="33" t="str">
        <f>IF(AND(_xlfn.XLOOKUP(C1147,'Project Details'!$C$17:$C$66,'Project Details'!$L$17:$L$66,"",0)&gt;550, F1147="Spring-L27cm"),"",SUBSTITUTE(_xlfn.XLOOKUP(G1147,SKUs!$C$2:$C$10001,SKUs!$F$2:$F$10001,"",0), " Accessories",""))</f>
        <v/>
      </c>
      <c r="L1147" s="33">
        <f>_xlfn.XLOOKUP(C1147,'Project Details'!$C$17:$C$66,'Project Details'!$D$17:$D$66,"",0)</f>
        <v>0</v>
      </c>
      <c r="M1147" s="43"/>
    </row>
    <row r="1148" spans="1:13" ht="13.5" customHeight="1" outlineLevel="1" x14ac:dyDescent="0.25">
      <c r="A1148" s="43"/>
      <c r="B1148" s="43"/>
      <c r="C1148" s="35">
        <f t="shared" si="21"/>
        <v>23</v>
      </c>
      <c r="D1148" s="35" t="str" cm="1">
        <f t="array" ref="D1148">IFERROR(ROUNDUP(_xlfn.IFS(F1148="Aluminum Track", _xlfn.XLOOKUP(C1148, dd_accsrycalc!$A$2:$A$51, dd_accsrycalc!$B$2:$B$51, "",0), F1148="10 x 2 1/2 S (Flat)", _xlfn.XLOOKUP(C1148, dd_accsrycalc!$A$2:$A$51, dd_accsrycalc!$C$2:$C$51, "",0), F1148="Tox6", _xlfn.XLOOKUP(C1148, dd_accsrycalc!$A$2:$A$51, dd_accsrycalc!$D$2:$D$51, "",0), F1148="Cover Cap", _xlfn.XLOOKUP(C1148, dd_accsrycalc!$A$2:$A$51, dd_accsrycalc!$E$2:$E$51, "",0), F1148="Drainage Cover", _xlfn.XLOOKUP(C1148, dd_accsrycalc!$A$2:$A$51, dd_accsrycalc!$F$2:$F$51, "",0),AND( F1148="Double Adhesive Tape", I1148="Roll-up Screen"), _xlfn.XLOOKUP(C1148, calc_rusacc!$C$15:$C$65, calc_rusacc!$AD$15:$AD$65, "",0),AND( F1148="Sealant", I1148="Roll-up Screen"), _xlfn.XLOOKUP(C1148, calc_rusacc!$C$15:$C$65, calc_rusacc!$AF$15:$AF$65, "",0),  AND( F1148="Main Chain", I1148="Accordion Screen"), _xlfn.XLOOKUP(C1148, calc_rusacc!$C$15:$C$65, calc_rusacc!$BF$15:$BF$65, "",0), AND( F1148="Sealant", I1148="Accordion Screen"), _xlfn.XLOOKUP(C1148, calc_rusacc!$C$15:$C$65, calc_rusacc!$BJ$15:$BJ$65, "",0),  F1148="Sealant", _xlfn.XLOOKUP(C1148, dd_accsrycalc!$A$2:$A$51, dd_accsrycalc!$G$2:$G$51, "",0),  F1148&lt;&gt;"",L1148*_xlfn.XLOOKUP(1, (SKUs!$C$2:$C$10001=G1148)*(SKUs!$K$2:$K$10001=I1148),SKUs!$E$2:$E$10001)), 0),"")</f>
        <v/>
      </c>
      <c r="E1148" s="35" t="str">
        <f>_xlfn.XLOOKUP(F1148,dd_item!$B$2:$B$105,dd_item!$C$2:$C$105,"",0)</f>
        <v/>
      </c>
      <c r="F1148" s="35"/>
      <c r="G1148" s="35" cm="1">
        <f t="array" ref="G1148">IFERROR(_xlfn.XLOOKUP(1, (SKUs!$J$2:$J$10001=accsry_unmerged!F1148)*IF(H1148&lt;&gt;"",(SKUs!$L$2:$L$10001=accsry_unmerged!H1148),1)*(SKUs!$K$2:$K$10001=I1148),SKUs!$C$2:$C$10001),"")</f>
        <v>0</v>
      </c>
      <c r="H1148" s="36" cm="1">
        <f t="array" ref="H1148">IFERROR(_xlfn.XLOOKUP(1, (dd_accsryclr!$C$2:$C$1000=accsry_unmerged!F1148)*(dd_accsryclr!$B$2:$B$1000=accsry_unmerged!J1148),dd_accsryclr!$A$2:$A$1000),"")</f>
        <v>0</v>
      </c>
      <c r="I1148" s="35">
        <f>_xlfn.XLOOKUP(C1148,'Project Details'!$C$17:$C$66,'Project Details'!$E$17:$E$66,"",0)</f>
        <v>0</v>
      </c>
      <c r="J1148" s="35">
        <f>_xlfn.XLOOKUP(C1148,'Project Details'!$C$17:$C$66,'Project Details'!$H$17:$H$66,"",0)</f>
        <v>0</v>
      </c>
      <c r="K1148" s="36" t="str">
        <f>IF(AND(_xlfn.XLOOKUP(C1148,'Project Details'!$C$17:$C$66,'Project Details'!$L$17:$L$66,"",0)&gt;550, F1148="Spring-L27cm"),"",SUBSTITUTE(_xlfn.XLOOKUP(G1148,SKUs!$C$2:$C$10001,SKUs!$F$2:$F$10001,"",0), " Accessories",""))</f>
        <v/>
      </c>
      <c r="L1148" s="36">
        <f>_xlfn.XLOOKUP(C1148,'Project Details'!$C$17:$C$66,'Project Details'!$D$17:$D$66,"",0)</f>
        <v>0</v>
      </c>
      <c r="M1148" s="43"/>
    </row>
    <row r="1149" spans="1:13" ht="13.5" customHeight="1" outlineLevel="1" x14ac:dyDescent="0.25">
      <c r="A1149" s="43"/>
      <c r="B1149" s="43"/>
      <c r="C1149" s="16">
        <f t="shared" si="21"/>
        <v>23</v>
      </c>
      <c r="D1149" s="16" t="str" cm="1">
        <f t="array" ref="D1149">IFERROR(ROUNDUP(_xlfn.IFS(F1149="Aluminum Track", _xlfn.XLOOKUP(C1149, dd_accsrycalc!$A$2:$A$51, dd_accsrycalc!$B$2:$B$51, "",0), F1149="10 x 2 1/2 S (Flat)", _xlfn.XLOOKUP(C1149, dd_accsrycalc!$A$2:$A$51, dd_accsrycalc!$C$2:$C$51, "",0), F1149="Tox6", _xlfn.XLOOKUP(C1149, dd_accsrycalc!$A$2:$A$51, dd_accsrycalc!$D$2:$D$51, "",0), F1149="Cover Cap", _xlfn.XLOOKUP(C1149, dd_accsrycalc!$A$2:$A$51, dd_accsrycalc!$E$2:$E$51, "",0), F1149="Drainage Cover", _xlfn.XLOOKUP(C1149, dd_accsrycalc!$A$2:$A$51, dd_accsrycalc!$F$2:$F$51, "",0),AND( F1149="Double Adhesive Tape", I1149="Roll-up Screen"), _xlfn.XLOOKUP(C1149, calc_rusacc!$C$15:$C$65, calc_rusacc!$AD$15:$AD$65, "",0),AND( F1149="Sealant", I1149="Roll-up Screen"), _xlfn.XLOOKUP(C1149, calc_rusacc!$C$15:$C$65, calc_rusacc!$AF$15:$AF$65, "",0),  AND( F1149="Main Chain", I1149="Accordion Screen"), _xlfn.XLOOKUP(C1149, calc_rusacc!$C$15:$C$65, calc_rusacc!$BF$15:$BF$65, "",0), AND( F1149="Sealant", I1149="Accordion Screen"), _xlfn.XLOOKUP(C1149, calc_rusacc!$C$15:$C$65, calc_rusacc!$BJ$15:$BJ$65, "",0),  F1149="Sealant", _xlfn.XLOOKUP(C1149, dd_accsrycalc!$A$2:$A$51, dd_accsrycalc!$G$2:$G$51, "",0),  F1149&lt;&gt;"",L1149*_xlfn.XLOOKUP(1, (SKUs!$C$2:$C$10001=G1149)*(SKUs!$K$2:$K$10001=I1149),SKUs!$E$2:$E$10001)), 0),"")</f>
        <v/>
      </c>
      <c r="E1149" s="16" t="str">
        <f>_xlfn.XLOOKUP(F1149,dd_item!$B$2:$B$105,dd_item!$C$2:$C$105,"",0)</f>
        <v/>
      </c>
      <c r="F1149" s="16"/>
      <c r="G1149" s="16" cm="1">
        <f t="array" ref="G1149">IFERROR(_xlfn.XLOOKUP(1, (SKUs!$J$2:$J$10001=accsry_unmerged!F1149)*IF(H1149&lt;&gt;"",(SKUs!$L$2:$L$10001=accsry_unmerged!H1149),1)*(SKUs!$K$2:$K$10001=I1149),SKUs!$C$2:$C$10001),"")</f>
        <v>0</v>
      </c>
      <c r="H1149" s="33" cm="1">
        <f t="array" ref="H1149">IFERROR(_xlfn.XLOOKUP(1, (dd_accsryclr!$C$2:$C$1000=accsry_unmerged!F1149)*(dd_accsryclr!$B$2:$B$1000=accsry_unmerged!J1149),dd_accsryclr!$A$2:$A$1000),"")</f>
        <v>0</v>
      </c>
      <c r="I1149" s="16">
        <f>_xlfn.XLOOKUP(C1149,'Project Details'!$C$17:$C$66,'Project Details'!$E$17:$E$66,"",0)</f>
        <v>0</v>
      </c>
      <c r="J1149" s="16">
        <f>_xlfn.XLOOKUP(C1149,'Project Details'!$C$17:$C$66,'Project Details'!$H$17:$H$66,"",0)</f>
        <v>0</v>
      </c>
      <c r="K1149" s="33" t="str">
        <f>IF(AND(_xlfn.XLOOKUP(C1149,'Project Details'!$C$17:$C$66,'Project Details'!$L$17:$L$66,"",0)&gt;550, F1149="Spring-L27cm"),"",SUBSTITUTE(_xlfn.XLOOKUP(G1149,SKUs!$C$2:$C$10001,SKUs!$F$2:$F$10001,"",0), " Accessories",""))</f>
        <v/>
      </c>
      <c r="L1149" s="33">
        <f>_xlfn.XLOOKUP(C1149,'Project Details'!$C$17:$C$66,'Project Details'!$D$17:$D$66,"",0)</f>
        <v>0</v>
      </c>
      <c r="M1149" s="43"/>
    </row>
    <row r="1150" spans="1:13" ht="13.5" customHeight="1" outlineLevel="1" x14ac:dyDescent="0.25">
      <c r="A1150" s="43"/>
      <c r="B1150" s="43"/>
      <c r="C1150" s="35">
        <f t="shared" si="21"/>
        <v>23</v>
      </c>
      <c r="D1150" s="35" t="str" cm="1">
        <f t="array" ref="D1150">IFERROR(ROUNDUP(_xlfn.IFS(F1150="Aluminum Track", _xlfn.XLOOKUP(C1150, dd_accsrycalc!$A$2:$A$51, dd_accsrycalc!$B$2:$B$51, "",0), F1150="10 x 2 1/2 S (Flat)", _xlfn.XLOOKUP(C1150, dd_accsrycalc!$A$2:$A$51, dd_accsrycalc!$C$2:$C$51, "",0), F1150="Tox6", _xlfn.XLOOKUP(C1150, dd_accsrycalc!$A$2:$A$51, dd_accsrycalc!$D$2:$D$51, "",0), F1150="Cover Cap", _xlfn.XLOOKUP(C1150, dd_accsrycalc!$A$2:$A$51, dd_accsrycalc!$E$2:$E$51, "",0), F1150="Drainage Cover", _xlfn.XLOOKUP(C1150, dd_accsrycalc!$A$2:$A$51, dd_accsrycalc!$F$2:$F$51, "",0),AND( F1150="Double Adhesive Tape", I1150="Roll-up Screen"), _xlfn.XLOOKUP(C1150, calc_rusacc!$C$15:$C$65, calc_rusacc!$AD$15:$AD$65, "",0),AND( F1150="Sealant", I1150="Roll-up Screen"), _xlfn.XLOOKUP(C1150, calc_rusacc!$C$15:$C$65, calc_rusacc!$AF$15:$AF$65, "",0),  AND( F1150="Main Chain", I1150="Accordion Screen"), _xlfn.XLOOKUP(C1150, calc_rusacc!$C$15:$C$65, calc_rusacc!$BF$15:$BF$65, "",0), AND( F1150="Sealant", I1150="Accordion Screen"), _xlfn.XLOOKUP(C1150, calc_rusacc!$C$15:$C$65, calc_rusacc!$BJ$15:$BJ$65, "",0),  F1150="Sealant", _xlfn.XLOOKUP(C1150, dd_accsrycalc!$A$2:$A$51, dd_accsrycalc!$G$2:$G$51, "",0),  F1150&lt;&gt;"",L1150*_xlfn.XLOOKUP(1, (SKUs!$C$2:$C$10001=G1150)*(SKUs!$K$2:$K$10001=I1150),SKUs!$E$2:$E$10001)), 0),"")</f>
        <v/>
      </c>
      <c r="E1150" s="35" t="str">
        <f>_xlfn.XLOOKUP(F1150,dd_item!$B$2:$B$105,dd_item!$C$2:$C$105,"",0)</f>
        <v/>
      </c>
      <c r="F1150" s="35"/>
      <c r="G1150" s="35" cm="1">
        <f t="array" ref="G1150">IFERROR(_xlfn.XLOOKUP(1, (SKUs!$J$2:$J$10001=accsry_unmerged!F1150)*IF(H1150&lt;&gt;"",(SKUs!$L$2:$L$10001=accsry_unmerged!H1150),1)*(SKUs!$K$2:$K$10001=I1150),SKUs!$C$2:$C$10001),"")</f>
        <v>0</v>
      </c>
      <c r="H1150" s="36" cm="1">
        <f t="array" ref="H1150">IFERROR(_xlfn.XLOOKUP(1, (dd_accsryclr!$C$2:$C$1000=accsry_unmerged!F1150)*(dd_accsryclr!$B$2:$B$1000=accsry_unmerged!J1150),dd_accsryclr!$A$2:$A$1000),"")</f>
        <v>0</v>
      </c>
      <c r="I1150" s="35">
        <f>_xlfn.XLOOKUP(C1150,'Project Details'!$C$17:$C$66,'Project Details'!$E$17:$E$66,"",0)</f>
        <v>0</v>
      </c>
      <c r="J1150" s="35">
        <f>_xlfn.XLOOKUP(C1150,'Project Details'!$C$17:$C$66,'Project Details'!$H$17:$H$66,"",0)</f>
        <v>0</v>
      </c>
      <c r="K1150" s="36" t="str">
        <f>IF(AND(_xlfn.XLOOKUP(C1150,'Project Details'!$C$17:$C$66,'Project Details'!$L$17:$L$66,"",0)&gt;550, F1150="Spring-L27cm"),"",SUBSTITUTE(_xlfn.XLOOKUP(G1150,SKUs!$C$2:$C$10001,SKUs!$F$2:$F$10001,"",0), " Accessories",""))</f>
        <v/>
      </c>
      <c r="L1150" s="36">
        <f>_xlfn.XLOOKUP(C1150,'Project Details'!$C$17:$C$66,'Project Details'!$D$17:$D$66,"",0)</f>
        <v>0</v>
      </c>
      <c r="M1150" s="43"/>
    </row>
    <row r="1151" spans="1:13" ht="13.5" customHeight="1" outlineLevel="1" x14ac:dyDescent="0.25">
      <c r="A1151" s="43"/>
      <c r="B1151" s="43"/>
      <c r="C1151" s="16">
        <f t="shared" si="21"/>
        <v>23</v>
      </c>
      <c r="D1151" s="16" t="str" cm="1">
        <f t="array" ref="D1151">IFERROR(ROUNDUP(_xlfn.IFS(F1151="Aluminum Track", _xlfn.XLOOKUP(C1151, dd_accsrycalc!$A$2:$A$51, dd_accsrycalc!$B$2:$B$51, "",0), F1151="10 x 2 1/2 S (Flat)", _xlfn.XLOOKUP(C1151, dd_accsrycalc!$A$2:$A$51, dd_accsrycalc!$C$2:$C$51, "",0), F1151="Tox6", _xlfn.XLOOKUP(C1151, dd_accsrycalc!$A$2:$A$51, dd_accsrycalc!$D$2:$D$51, "",0), F1151="Cover Cap", _xlfn.XLOOKUP(C1151, dd_accsrycalc!$A$2:$A$51, dd_accsrycalc!$E$2:$E$51, "",0), F1151="Drainage Cover", _xlfn.XLOOKUP(C1151, dd_accsrycalc!$A$2:$A$51, dd_accsrycalc!$F$2:$F$51, "",0),AND( F1151="Double Adhesive Tape", I1151="Roll-up Screen"), _xlfn.XLOOKUP(C1151, calc_rusacc!$C$15:$C$65, calc_rusacc!$AD$15:$AD$65, "",0),AND( F1151="Sealant", I1151="Roll-up Screen"), _xlfn.XLOOKUP(C1151, calc_rusacc!$C$15:$C$65, calc_rusacc!$AF$15:$AF$65, "",0),  AND( F1151="Main Chain", I1151="Accordion Screen"), _xlfn.XLOOKUP(C1151, calc_rusacc!$C$15:$C$65, calc_rusacc!$BF$15:$BF$65, "",0), AND( F1151="Sealant", I1151="Accordion Screen"), _xlfn.XLOOKUP(C1151, calc_rusacc!$C$15:$C$65, calc_rusacc!$BJ$15:$BJ$65, "",0),  F1151="Sealant", _xlfn.XLOOKUP(C1151, dd_accsrycalc!$A$2:$A$51, dd_accsrycalc!$G$2:$G$51, "",0),  F1151&lt;&gt;"",L1151*_xlfn.XLOOKUP(1, (SKUs!$C$2:$C$10001=G1151)*(SKUs!$K$2:$K$10001=I1151),SKUs!$E$2:$E$10001)), 0),"")</f>
        <v/>
      </c>
      <c r="E1151" s="16" t="str">
        <f>_xlfn.XLOOKUP(F1151,dd_item!$B$2:$B$105,dd_item!$C$2:$C$105,"",0)</f>
        <v/>
      </c>
      <c r="F1151" s="16"/>
      <c r="G1151" s="16" cm="1">
        <f t="array" ref="G1151">IFERROR(_xlfn.XLOOKUP(1, (SKUs!$J$2:$J$10001=accsry_unmerged!F1151)*IF(H1151&lt;&gt;"",(SKUs!$L$2:$L$10001=accsry_unmerged!H1151),1)*(SKUs!$K$2:$K$10001=I1151),SKUs!$C$2:$C$10001),"")</f>
        <v>0</v>
      </c>
      <c r="H1151" s="33" cm="1">
        <f t="array" ref="H1151">IFERROR(_xlfn.XLOOKUP(1, (dd_accsryclr!$C$2:$C$1000=accsry_unmerged!F1151)*(dd_accsryclr!$B$2:$B$1000=accsry_unmerged!J1151),dd_accsryclr!$A$2:$A$1000),"")</f>
        <v>0</v>
      </c>
      <c r="I1151" s="16">
        <f>_xlfn.XLOOKUP(C1151,'Project Details'!$C$17:$C$66,'Project Details'!$E$17:$E$66,"",0)</f>
        <v>0</v>
      </c>
      <c r="J1151" s="16">
        <f>_xlfn.XLOOKUP(C1151,'Project Details'!$C$17:$C$66,'Project Details'!$H$17:$H$66,"",0)</f>
        <v>0</v>
      </c>
      <c r="K1151" s="33" t="str">
        <f>IF(AND(_xlfn.XLOOKUP(C1151,'Project Details'!$C$17:$C$66,'Project Details'!$L$17:$L$66,"",0)&gt;550, F1151="Spring-L27cm"),"",SUBSTITUTE(_xlfn.XLOOKUP(G1151,SKUs!$C$2:$C$10001,SKUs!$F$2:$F$10001,"",0), " Accessories",""))</f>
        <v/>
      </c>
      <c r="L1151" s="33">
        <f>_xlfn.XLOOKUP(C1151,'Project Details'!$C$17:$C$66,'Project Details'!$D$17:$D$66,"",0)</f>
        <v>0</v>
      </c>
      <c r="M1151" s="43"/>
    </row>
    <row r="1152" spans="1:13" ht="13.5" customHeight="1" outlineLevel="1" x14ac:dyDescent="0.25">
      <c r="A1152" s="43"/>
      <c r="B1152" s="43"/>
      <c r="C1152" s="35">
        <f t="shared" si="21"/>
        <v>23</v>
      </c>
      <c r="D1152" s="35" t="str" cm="1">
        <f t="array" ref="D1152">IFERROR(ROUNDUP(_xlfn.IFS(F1152="Aluminum Track", _xlfn.XLOOKUP(C1152, dd_accsrycalc!$A$2:$A$51, dd_accsrycalc!$B$2:$B$51, "",0), F1152="10 x 2 1/2 S (Flat)", _xlfn.XLOOKUP(C1152, dd_accsrycalc!$A$2:$A$51, dd_accsrycalc!$C$2:$C$51, "",0), F1152="Tox6", _xlfn.XLOOKUP(C1152, dd_accsrycalc!$A$2:$A$51, dd_accsrycalc!$D$2:$D$51, "",0), F1152="Cover Cap", _xlfn.XLOOKUP(C1152, dd_accsrycalc!$A$2:$A$51, dd_accsrycalc!$E$2:$E$51, "",0), F1152="Drainage Cover", _xlfn.XLOOKUP(C1152, dd_accsrycalc!$A$2:$A$51, dd_accsrycalc!$F$2:$F$51, "",0),AND( F1152="Double Adhesive Tape", I1152="Roll-up Screen"), _xlfn.XLOOKUP(C1152, calc_rusacc!$C$15:$C$65, calc_rusacc!$AD$15:$AD$65, "",0),AND( F1152="Sealant", I1152="Roll-up Screen"), _xlfn.XLOOKUP(C1152, calc_rusacc!$C$15:$C$65, calc_rusacc!$AF$15:$AF$65, "",0),  AND( F1152="Main Chain", I1152="Accordion Screen"), _xlfn.XLOOKUP(C1152, calc_rusacc!$C$15:$C$65, calc_rusacc!$BF$15:$BF$65, "",0), AND( F1152="Sealant", I1152="Accordion Screen"), _xlfn.XLOOKUP(C1152, calc_rusacc!$C$15:$C$65, calc_rusacc!$BJ$15:$BJ$65, "",0),  F1152="Sealant", _xlfn.XLOOKUP(C1152, dd_accsrycalc!$A$2:$A$51, dd_accsrycalc!$G$2:$G$51, "",0),  F1152&lt;&gt;"",L1152*_xlfn.XLOOKUP(1, (SKUs!$C$2:$C$10001=G1152)*(SKUs!$K$2:$K$10001=I1152),SKUs!$E$2:$E$10001)), 0),"")</f>
        <v/>
      </c>
      <c r="E1152" s="35" t="str">
        <f>_xlfn.XLOOKUP(F1152,dd_item!$B$2:$B$105,dd_item!$C$2:$C$105,"",0)</f>
        <v/>
      </c>
      <c r="F1152" s="35"/>
      <c r="G1152" s="35" cm="1">
        <f t="array" ref="G1152">IFERROR(_xlfn.XLOOKUP(1, (SKUs!$J$2:$J$10001=accsry_unmerged!F1152)*IF(H1152&lt;&gt;"",(SKUs!$L$2:$L$10001=accsry_unmerged!H1152),1)*(SKUs!$K$2:$K$10001=I1152),SKUs!$C$2:$C$10001),"")</f>
        <v>0</v>
      </c>
      <c r="H1152" s="36" cm="1">
        <f t="array" ref="H1152">IFERROR(_xlfn.XLOOKUP(1, (dd_accsryclr!$C$2:$C$1000=accsry_unmerged!F1152)*(dd_accsryclr!$B$2:$B$1000=accsry_unmerged!J1152),dd_accsryclr!$A$2:$A$1000),"")</f>
        <v>0</v>
      </c>
      <c r="I1152" s="35">
        <f>_xlfn.XLOOKUP(C1152,'Project Details'!$C$17:$C$66,'Project Details'!$E$17:$E$66,"",0)</f>
        <v>0</v>
      </c>
      <c r="J1152" s="35">
        <f>_xlfn.XLOOKUP(C1152,'Project Details'!$C$17:$C$66,'Project Details'!$H$17:$H$66,"",0)</f>
        <v>0</v>
      </c>
      <c r="K1152" s="36" t="str">
        <f>IF(AND(_xlfn.XLOOKUP(C1152,'Project Details'!$C$17:$C$66,'Project Details'!$L$17:$L$66,"",0)&gt;550, F1152="Spring-L27cm"),"",SUBSTITUTE(_xlfn.XLOOKUP(G1152,SKUs!$C$2:$C$10001,SKUs!$F$2:$F$10001,"",0), " Accessories",""))</f>
        <v/>
      </c>
      <c r="L1152" s="36">
        <f>_xlfn.XLOOKUP(C1152,'Project Details'!$C$17:$C$66,'Project Details'!$D$17:$D$66,"",0)</f>
        <v>0</v>
      </c>
      <c r="M1152" s="43"/>
    </row>
    <row r="1153" spans="1:13" ht="13.5" customHeight="1" outlineLevel="1" x14ac:dyDescent="0.25">
      <c r="A1153" s="43"/>
      <c r="B1153" s="43"/>
      <c r="C1153" s="16">
        <f t="shared" si="21"/>
        <v>23</v>
      </c>
      <c r="D1153" s="16" t="str" cm="1">
        <f t="array" ref="D1153">IFERROR(ROUNDUP(_xlfn.IFS(F1153="Aluminum Track", _xlfn.XLOOKUP(C1153, dd_accsrycalc!$A$2:$A$51, dd_accsrycalc!$B$2:$B$51, "",0), F1153="10 x 2 1/2 S (Flat)", _xlfn.XLOOKUP(C1153, dd_accsrycalc!$A$2:$A$51, dd_accsrycalc!$C$2:$C$51, "",0), F1153="Tox6", _xlfn.XLOOKUP(C1153, dd_accsrycalc!$A$2:$A$51, dd_accsrycalc!$D$2:$D$51, "",0), F1153="Cover Cap", _xlfn.XLOOKUP(C1153, dd_accsrycalc!$A$2:$A$51, dd_accsrycalc!$E$2:$E$51, "",0), F1153="Drainage Cover", _xlfn.XLOOKUP(C1153, dd_accsrycalc!$A$2:$A$51, dd_accsrycalc!$F$2:$F$51, "",0),AND( F1153="Double Adhesive Tape", I1153="Roll-up Screen"), _xlfn.XLOOKUP(C1153, calc_rusacc!$C$15:$C$65, calc_rusacc!$AD$15:$AD$65, "",0),AND( F1153="Sealant", I1153="Roll-up Screen"), _xlfn.XLOOKUP(C1153, calc_rusacc!$C$15:$C$65, calc_rusacc!$AF$15:$AF$65, "",0),  AND( F1153="Main Chain", I1153="Accordion Screen"), _xlfn.XLOOKUP(C1153, calc_rusacc!$C$15:$C$65, calc_rusacc!$BF$15:$BF$65, "",0), AND( F1153="Sealant", I1153="Accordion Screen"), _xlfn.XLOOKUP(C1153, calc_rusacc!$C$15:$C$65, calc_rusacc!$BJ$15:$BJ$65, "",0),  F1153="Sealant", _xlfn.XLOOKUP(C1153, dd_accsrycalc!$A$2:$A$51, dd_accsrycalc!$G$2:$G$51, "",0),  F1153&lt;&gt;"",L1153*_xlfn.XLOOKUP(1, (SKUs!$C$2:$C$10001=G1153)*(SKUs!$K$2:$K$10001=I1153),SKUs!$E$2:$E$10001)), 0),"")</f>
        <v/>
      </c>
      <c r="E1153" s="16" t="str">
        <f>_xlfn.XLOOKUP(F1153,dd_item!$B$2:$B$105,dd_item!$C$2:$C$105,"",0)</f>
        <v/>
      </c>
      <c r="F1153" s="16"/>
      <c r="G1153" s="16" cm="1">
        <f t="array" ref="G1153">IFERROR(_xlfn.XLOOKUP(1, (SKUs!$J$2:$J$10001=accsry_unmerged!F1153)*IF(H1153&lt;&gt;"",(SKUs!$L$2:$L$10001=accsry_unmerged!H1153),1)*(SKUs!$K$2:$K$10001=I1153),SKUs!$C$2:$C$10001),"")</f>
        <v>0</v>
      </c>
      <c r="H1153" s="33" cm="1">
        <f t="array" ref="H1153">IFERROR(_xlfn.XLOOKUP(1, (dd_accsryclr!$C$2:$C$1000=accsry_unmerged!F1153)*(dd_accsryclr!$B$2:$B$1000=accsry_unmerged!J1153),dd_accsryclr!$A$2:$A$1000),"")</f>
        <v>0</v>
      </c>
      <c r="I1153" s="16">
        <f>_xlfn.XLOOKUP(C1153,'Project Details'!$C$17:$C$66,'Project Details'!$E$17:$E$66,"",0)</f>
        <v>0</v>
      </c>
      <c r="J1153" s="16">
        <f>_xlfn.XLOOKUP(C1153,'Project Details'!$C$17:$C$66,'Project Details'!$H$17:$H$66,"",0)</f>
        <v>0</v>
      </c>
      <c r="K1153" s="33" t="str">
        <f>IF(AND(_xlfn.XLOOKUP(C1153,'Project Details'!$C$17:$C$66,'Project Details'!$L$17:$L$66,"",0)&gt;550, F1153="Spring-L27cm"),"",SUBSTITUTE(_xlfn.XLOOKUP(G1153,SKUs!$C$2:$C$10001,SKUs!$F$2:$F$10001,"",0), " Accessories",""))</f>
        <v/>
      </c>
      <c r="L1153" s="33">
        <f>_xlfn.XLOOKUP(C1153,'Project Details'!$C$17:$C$66,'Project Details'!$D$17:$D$66,"",0)</f>
        <v>0</v>
      </c>
      <c r="M1153" s="43"/>
    </row>
    <row r="1154" spans="1:13" ht="13.5" customHeight="1" outlineLevel="1" x14ac:dyDescent="0.25">
      <c r="A1154" s="43"/>
      <c r="B1154" s="43"/>
      <c r="C1154" s="35">
        <f t="shared" si="21"/>
        <v>23</v>
      </c>
      <c r="D1154" s="35" t="str" cm="1">
        <f t="array" ref="D1154">IFERROR(ROUNDUP(_xlfn.IFS(F1154="Aluminum Track", _xlfn.XLOOKUP(C1154, dd_accsrycalc!$A$2:$A$51, dd_accsrycalc!$B$2:$B$51, "",0), F1154="10 x 2 1/2 S (Flat)", _xlfn.XLOOKUP(C1154, dd_accsrycalc!$A$2:$A$51, dd_accsrycalc!$C$2:$C$51, "",0), F1154="Tox6", _xlfn.XLOOKUP(C1154, dd_accsrycalc!$A$2:$A$51, dd_accsrycalc!$D$2:$D$51, "",0), F1154="Cover Cap", _xlfn.XLOOKUP(C1154, dd_accsrycalc!$A$2:$A$51, dd_accsrycalc!$E$2:$E$51, "",0), F1154="Drainage Cover", _xlfn.XLOOKUP(C1154, dd_accsrycalc!$A$2:$A$51, dd_accsrycalc!$F$2:$F$51, "",0),AND( F1154="Double Adhesive Tape", I1154="Roll-up Screen"), _xlfn.XLOOKUP(C1154, calc_rusacc!$C$15:$C$65, calc_rusacc!$AD$15:$AD$65, "",0),AND( F1154="Sealant", I1154="Roll-up Screen"), _xlfn.XLOOKUP(C1154, calc_rusacc!$C$15:$C$65, calc_rusacc!$AF$15:$AF$65, "",0),  AND( F1154="Main Chain", I1154="Accordion Screen"), _xlfn.XLOOKUP(C1154, calc_rusacc!$C$15:$C$65, calc_rusacc!$BF$15:$BF$65, "",0), AND( F1154="Sealant", I1154="Accordion Screen"), _xlfn.XLOOKUP(C1154, calc_rusacc!$C$15:$C$65, calc_rusacc!$BJ$15:$BJ$65, "",0),  F1154="Sealant", _xlfn.XLOOKUP(C1154, dd_accsrycalc!$A$2:$A$51, dd_accsrycalc!$G$2:$G$51, "",0),  F1154&lt;&gt;"",L1154*_xlfn.XLOOKUP(1, (SKUs!$C$2:$C$10001=G1154)*(SKUs!$K$2:$K$10001=I1154),SKUs!$E$2:$E$10001)), 0),"")</f>
        <v/>
      </c>
      <c r="E1154" s="35" t="str">
        <f>_xlfn.XLOOKUP(F1154,dd_item!$B$2:$B$105,dd_item!$C$2:$C$105,"",0)</f>
        <v/>
      </c>
      <c r="F1154" s="35"/>
      <c r="G1154" s="35" cm="1">
        <f t="array" ref="G1154">IFERROR(_xlfn.XLOOKUP(1, (SKUs!$J$2:$J$10001=accsry_unmerged!F1154)*IF(H1154&lt;&gt;"",(SKUs!$L$2:$L$10001=accsry_unmerged!H1154),1)*(SKUs!$K$2:$K$10001=I1154),SKUs!$C$2:$C$10001),"")</f>
        <v>0</v>
      </c>
      <c r="H1154" s="36" cm="1">
        <f t="array" ref="H1154">IFERROR(_xlfn.XLOOKUP(1, (dd_accsryclr!$C$2:$C$1000=accsry_unmerged!F1154)*(dd_accsryclr!$B$2:$B$1000=accsry_unmerged!J1154),dd_accsryclr!$A$2:$A$1000),"")</f>
        <v>0</v>
      </c>
      <c r="I1154" s="35">
        <f>_xlfn.XLOOKUP(C1154,'Project Details'!$C$17:$C$66,'Project Details'!$E$17:$E$66,"",0)</f>
        <v>0</v>
      </c>
      <c r="J1154" s="35">
        <f>_xlfn.XLOOKUP(C1154,'Project Details'!$C$17:$C$66,'Project Details'!$H$17:$H$66,"",0)</f>
        <v>0</v>
      </c>
      <c r="K1154" s="36" t="str">
        <f>IF(AND(_xlfn.XLOOKUP(C1154,'Project Details'!$C$17:$C$66,'Project Details'!$L$17:$L$66,"",0)&gt;550, F1154="Spring-L27cm"),"",SUBSTITUTE(_xlfn.XLOOKUP(G1154,SKUs!$C$2:$C$10001,SKUs!$F$2:$F$10001,"",0), " Accessories",""))</f>
        <v/>
      </c>
      <c r="L1154" s="36">
        <f>_xlfn.XLOOKUP(C1154,'Project Details'!$C$17:$C$66,'Project Details'!$D$17:$D$66,"",0)</f>
        <v>0</v>
      </c>
      <c r="M1154" s="43"/>
    </row>
    <row r="1155" spans="1:13" ht="13.5" customHeight="1" outlineLevel="1" collapsed="1" x14ac:dyDescent="0.25">
      <c r="A1155" s="43"/>
      <c r="B1155" s="43"/>
      <c r="C1155" s="16">
        <f t="shared" si="21"/>
        <v>23</v>
      </c>
      <c r="D1155" s="16" t="str" cm="1">
        <f t="array" ref="D1155">IFERROR(ROUNDUP(_xlfn.IFS(F1155="Aluminum Track", _xlfn.XLOOKUP(C1155, dd_accsrycalc!$A$2:$A$51, dd_accsrycalc!$B$2:$B$51, "",0), F1155="10 x 2 1/2 S (Flat)", _xlfn.XLOOKUP(C1155, dd_accsrycalc!$A$2:$A$51, dd_accsrycalc!$C$2:$C$51, "",0), F1155="Tox6", _xlfn.XLOOKUP(C1155, dd_accsrycalc!$A$2:$A$51, dd_accsrycalc!$D$2:$D$51, "",0), F1155="Cover Cap", _xlfn.XLOOKUP(C1155, dd_accsrycalc!$A$2:$A$51, dd_accsrycalc!$E$2:$E$51, "",0), F1155="Drainage Cover", _xlfn.XLOOKUP(C1155, dd_accsrycalc!$A$2:$A$51, dd_accsrycalc!$F$2:$F$51, "",0),AND( F1155="Double Adhesive Tape", I1155="Roll-up Screen"), _xlfn.XLOOKUP(C1155, calc_rusacc!$C$15:$C$65, calc_rusacc!$AD$15:$AD$65, "",0),AND( F1155="Sealant", I1155="Roll-up Screen"), _xlfn.XLOOKUP(C1155, calc_rusacc!$C$15:$C$65, calc_rusacc!$AF$15:$AF$65, "",0),  AND( F1155="Main Chain", I1155="Accordion Screen"), _xlfn.XLOOKUP(C1155, calc_rusacc!$C$15:$C$65, calc_rusacc!$BF$15:$BF$65, "",0), AND( F1155="Sealant", I1155="Accordion Screen"), _xlfn.XLOOKUP(C1155, calc_rusacc!$C$15:$C$65, calc_rusacc!$BJ$15:$BJ$65, "",0),  F1155="Sealant", _xlfn.XLOOKUP(C1155, dd_accsrycalc!$A$2:$A$51, dd_accsrycalc!$G$2:$G$51, "",0),  F1155&lt;&gt;"",L1155*_xlfn.XLOOKUP(1, (SKUs!$C$2:$C$10001=G1155)*(SKUs!$K$2:$K$10001=I1155),SKUs!$E$2:$E$10001)), 0),"")</f>
        <v/>
      </c>
      <c r="E1155" s="16" t="str">
        <f>_xlfn.XLOOKUP(F1155,dd_item!$B$2:$B$105,dd_item!$C$2:$C$105,"",0)</f>
        <v/>
      </c>
      <c r="F1155" s="16"/>
      <c r="G1155" s="16" cm="1">
        <f t="array" ref="G1155">IFERROR(_xlfn.XLOOKUP(1, (SKUs!$J$2:$J$10001=accsry_unmerged!F1155)*IF(H1155&lt;&gt;"",(SKUs!$L$2:$L$10001=accsry_unmerged!H1155),1)*(SKUs!$K$2:$K$10001=I1155),SKUs!$C$2:$C$10001),"")</f>
        <v>0</v>
      </c>
      <c r="H1155" s="33" cm="1">
        <f t="array" ref="H1155">IFERROR(_xlfn.XLOOKUP(1, (dd_accsryclr!$C$2:$C$1000=accsry_unmerged!F1155)*(dd_accsryclr!$B$2:$B$1000=accsry_unmerged!J1155),dd_accsryclr!$A$2:$A$1000),"")</f>
        <v>0</v>
      </c>
      <c r="I1155" s="16">
        <f>_xlfn.XLOOKUP(C1155,'Project Details'!$C$17:$C$66,'Project Details'!$E$17:$E$66,"",0)</f>
        <v>0</v>
      </c>
      <c r="J1155" s="16">
        <f>_xlfn.XLOOKUP(C1155,'Project Details'!$C$17:$C$66,'Project Details'!$H$17:$H$66,"",0)</f>
        <v>0</v>
      </c>
      <c r="K1155" s="33" t="str">
        <f>IF(AND(_xlfn.XLOOKUP(C1155,'Project Details'!$C$17:$C$66,'Project Details'!$L$17:$L$66,"",0)&gt;550, F1155="Spring-L27cm"),"",SUBSTITUTE(_xlfn.XLOOKUP(G1155,SKUs!$C$2:$C$10001,SKUs!$F$2:$F$10001,"",0), " Accessories",""))</f>
        <v/>
      </c>
      <c r="L1155" s="33">
        <f>_xlfn.XLOOKUP(C1155,'Project Details'!$C$17:$C$66,'Project Details'!$D$17:$D$66,"",0)</f>
        <v>0</v>
      </c>
      <c r="M1155" s="43"/>
    </row>
    <row r="1156" spans="1:13" ht="13.5" customHeight="1" outlineLevel="1" x14ac:dyDescent="0.25">
      <c r="A1156" s="43"/>
      <c r="B1156" s="43"/>
      <c r="C1156" s="35">
        <f t="shared" si="21"/>
        <v>23</v>
      </c>
      <c r="D1156" s="35" t="str" cm="1">
        <f t="array" ref="D1156">IFERROR(ROUNDUP(_xlfn.IFS(F1156="Aluminum Track", _xlfn.XLOOKUP(C1156, dd_accsrycalc!$A$2:$A$51, dd_accsrycalc!$B$2:$B$51, "",0), F1156="10 x 2 1/2 S (Flat)", _xlfn.XLOOKUP(C1156, dd_accsrycalc!$A$2:$A$51, dd_accsrycalc!$C$2:$C$51, "",0), F1156="Tox6", _xlfn.XLOOKUP(C1156, dd_accsrycalc!$A$2:$A$51, dd_accsrycalc!$D$2:$D$51, "",0), F1156="Cover Cap", _xlfn.XLOOKUP(C1156, dd_accsrycalc!$A$2:$A$51, dd_accsrycalc!$E$2:$E$51, "",0), F1156="Drainage Cover", _xlfn.XLOOKUP(C1156, dd_accsrycalc!$A$2:$A$51, dd_accsrycalc!$F$2:$F$51, "",0),AND( F1156="Double Adhesive Tape", I1156="Roll-up Screen"), _xlfn.XLOOKUP(C1156, calc_rusacc!$C$15:$C$65, calc_rusacc!$AD$15:$AD$65, "",0),AND( F1156="Sealant", I1156="Roll-up Screen"), _xlfn.XLOOKUP(C1156, calc_rusacc!$C$15:$C$65, calc_rusacc!$AF$15:$AF$65, "",0),  AND( F1156="Main Chain", I1156="Accordion Screen"), _xlfn.XLOOKUP(C1156, calc_rusacc!$C$15:$C$65, calc_rusacc!$BF$15:$BF$65, "",0), AND( F1156="Sealant", I1156="Accordion Screen"), _xlfn.XLOOKUP(C1156, calc_rusacc!$C$15:$C$65, calc_rusacc!$BJ$15:$BJ$65, "",0),  F1156="Sealant", _xlfn.XLOOKUP(C1156, dd_accsrycalc!$A$2:$A$51, dd_accsrycalc!$G$2:$G$51, "",0),  F1156&lt;&gt;"",L1156*_xlfn.XLOOKUP(1, (SKUs!$C$2:$C$10001=G1156)*(SKUs!$K$2:$K$10001=I1156),SKUs!$E$2:$E$10001)), 0),"")</f>
        <v/>
      </c>
      <c r="E1156" s="35" t="str">
        <f>_xlfn.XLOOKUP(F1156,dd_item!$B$2:$B$105,dd_item!$C$2:$C$105,"",0)</f>
        <v/>
      </c>
      <c r="F1156" s="35"/>
      <c r="G1156" s="35" cm="1">
        <f t="array" ref="G1156">IFERROR(_xlfn.XLOOKUP(1, (SKUs!$J$2:$J$10001=accsry_unmerged!F1156)*IF(H1156&lt;&gt;"",(SKUs!$L$2:$L$10001=accsry_unmerged!H1156),1)*(SKUs!$K$2:$K$10001=I1156),SKUs!$C$2:$C$10001),"")</f>
        <v>0</v>
      </c>
      <c r="H1156" s="36" cm="1">
        <f t="array" ref="H1156">IFERROR(_xlfn.XLOOKUP(1, (dd_accsryclr!$C$2:$C$1000=accsry_unmerged!F1156)*(dd_accsryclr!$B$2:$B$1000=accsry_unmerged!J1156),dd_accsryclr!$A$2:$A$1000),"")</f>
        <v>0</v>
      </c>
      <c r="I1156" s="35">
        <f>_xlfn.XLOOKUP(C1156,'Project Details'!$C$17:$C$66,'Project Details'!$E$17:$E$66,"",0)</f>
        <v>0</v>
      </c>
      <c r="J1156" s="35">
        <f>_xlfn.XLOOKUP(C1156,'Project Details'!$C$17:$C$66,'Project Details'!$H$17:$H$66,"",0)</f>
        <v>0</v>
      </c>
      <c r="K1156" s="36" t="str">
        <f>IF(AND(_xlfn.XLOOKUP(C1156,'Project Details'!$C$17:$C$66,'Project Details'!$L$17:$L$66,"",0)&gt;550, F1156="Spring-L27cm"),"",SUBSTITUTE(_xlfn.XLOOKUP(G1156,SKUs!$C$2:$C$10001,SKUs!$F$2:$F$10001,"",0), " Accessories",""))</f>
        <v/>
      </c>
      <c r="L1156" s="36">
        <f>_xlfn.XLOOKUP(C1156,'Project Details'!$C$17:$C$66,'Project Details'!$D$17:$D$66,"",0)</f>
        <v>0</v>
      </c>
      <c r="M1156" s="43"/>
    </row>
    <row r="1157" spans="1:13" ht="13.5" customHeight="1" outlineLevel="1" x14ac:dyDescent="0.25">
      <c r="A1157" s="43"/>
      <c r="B1157" s="43"/>
      <c r="C1157" s="16">
        <f t="shared" si="21"/>
        <v>23</v>
      </c>
      <c r="D1157" s="16" t="str" cm="1">
        <f t="array" ref="D1157">IFERROR(ROUNDUP(_xlfn.IFS(F1157="Aluminum Track", _xlfn.XLOOKUP(C1157, dd_accsrycalc!$A$2:$A$51, dd_accsrycalc!$B$2:$B$51, "",0), F1157="10 x 2 1/2 S (Flat)", _xlfn.XLOOKUP(C1157, dd_accsrycalc!$A$2:$A$51, dd_accsrycalc!$C$2:$C$51, "",0), F1157="Tox6", _xlfn.XLOOKUP(C1157, dd_accsrycalc!$A$2:$A$51, dd_accsrycalc!$D$2:$D$51, "",0), F1157="Cover Cap", _xlfn.XLOOKUP(C1157, dd_accsrycalc!$A$2:$A$51, dd_accsrycalc!$E$2:$E$51, "",0), F1157="Drainage Cover", _xlfn.XLOOKUP(C1157, dd_accsrycalc!$A$2:$A$51, dd_accsrycalc!$F$2:$F$51, "",0),AND( F1157="Double Adhesive Tape", I1157="Roll-up Screen"), _xlfn.XLOOKUP(C1157, calc_rusacc!$C$15:$C$65, calc_rusacc!$AD$15:$AD$65, "",0),AND( F1157="Sealant", I1157="Roll-up Screen"), _xlfn.XLOOKUP(C1157, calc_rusacc!$C$15:$C$65, calc_rusacc!$AF$15:$AF$65, "",0),  AND( F1157="Main Chain", I1157="Accordion Screen"), _xlfn.XLOOKUP(C1157, calc_rusacc!$C$15:$C$65, calc_rusacc!$BF$15:$BF$65, "",0), AND( F1157="Sealant", I1157="Accordion Screen"), _xlfn.XLOOKUP(C1157, calc_rusacc!$C$15:$C$65, calc_rusacc!$BJ$15:$BJ$65, "",0),  F1157="Sealant", _xlfn.XLOOKUP(C1157, dd_accsrycalc!$A$2:$A$51, dd_accsrycalc!$G$2:$G$51, "",0),  F1157&lt;&gt;"",L1157*_xlfn.XLOOKUP(1, (SKUs!$C$2:$C$10001=G1157)*(SKUs!$K$2:$K$10001=I1157),SKUs!$E$2:$E$10001)), 0),"")</f>
        <v/>
      </c>
      <c r="E1157" s="16" t="str">
        <f>_xlfn.XLOOKUP(F1157,dd_item!$B$2:$B$105,dd_item!$C$2:$C$105,"",0)</f>
        <v/>
      </c>
      <c r="F1157" s="16"/>
      <c r="G1157" s="16" cm="1">
        <f t="array" ref="G1157">IFERROR(_xlfn.XLOOKUP(1, (SKUs!$J$2:$J$10001=accsry_unmerged!F1157)*IF(H1157&lt;&gt;"",(SKUs!$L$2:$L$10001=accsry_unmerged!H1157),1)*(SKUs!$K$2:$K$10001=I1157),SKUs!$C$2:$C$10001),"")</f>
        <v>0</v>
      </c>
      <c r="H1157" s="33" cm="1">
        <f t="array" ref="H1157">IFERROR(_xlfn.XLOOKUP(1, (dd_accsryclr!$C$2:$C$1000=accsry_unmerged!F1157)*(dd_accsryclr!$B$2:$B$1000=accsry_unmerged!J1157),dd_accsryclr!$A$2:$A$1000),"")</f>
        <v>0</v>
      </c>
      <c r="I1157" s="16">
        <f>_xlfn.XLOOKUP(C1157,'Project Details'!$C$17:$C$66,'Project Details'!$E$17:$E$66,"",0)</f>
        <v>0</v>
      </c>
      <c r="J1157" s="16">
        <f>_xlfn.XLOOKUP(C1157,'Project Details'!$C$17:$C$66,'Project Details'!$H$17:$H$66,"",0)</f>
        <v>0</v>
      </c>
      <c r="K1157" s="33" t="str">
        <f>IF(AND(_xlfn.XLOOKUP(C1157,'Project Details'!$C$17:$C$66,'Project Details'!$L$17:$L$66,"",0)&gt;550, F1157="Spring-L27cm"),"",SUBSTITUTE(_xlfn.XLOOKUP(G1157,SKUs!$C$2:$C$10001,SKUs!$F$2:$F$10001,"",0), " Accessories",""))</f>
        <v/>
      </c>
      <c r="L1157" s="33">
        <f>_xlfn.XLOOKUP(C1157,'Project Details'!$C$17:$C$66,'Project Details'!$D$17:$D$66,"",0)</f>
        <v>0</v>
      </c>
      <c r="M1157" s="43"/>
    </row>
    <row r="1158" spans="1:13" ht="13.5" customHeight="1" outlineLevel="1" x14ac:dyDescent="0.25">
      <c r="A1158" s="43"/>
      <c r="B1158" s="43"/>
      <c r="C1158" s="35">
        <f t="shared" si="21"/>
        <v>23</v>
      </c>
      <c r="D1158" s="35" t="str" cm="1">
        <f t="array" ref="D1158">IFERROR(ROUNDUP(_xlfn.IFS(F1158="Aluminum Track", _xlfn.XLOOKUP(C1158, dd_accsrycalc!$A$2:$A$51, dd_accsrycalc!$B$2:$B$51, "",0), F1158="10 x 2 1/2 S (Flat)", _xlfn.XLOOKUP(C1158, dd_accsrycalc!$A$2:$A$51, dd_accsrycalc!$C$2:$C$51, "",0), F1158="Tox6", _xlfn.XLOOKUP(C1158, dd_accsrycalc!$A$2:$A$51, dd_accsrycalc!$D$2:$D$51, "",0), F1158="Cover Cap", _xlfn.XLOOKUP(C1158, dd_accsrycalc!$A$2:$A$51, dd_accsrycalc!$E$2:$E$51, "",0), F1158="Drainage Cover", _xlfn.XLOOKUP(C1158, dd_accsrycalc!$A$2:$A$51, dd_accsrycalc!$F$2:$F$51, "",0),AND( F1158="Double Adhesive Tape", I1158="Roll-up Screen"), _xlfn.XLOOKUP(C1158, calc_rusacc!$C$15:$C$65, calc_rusacc!$AD$15:$AD$65, "",0),AND( F1158="Sealant", I1158="Roll-up Screen"), _xlfn.XLOOKUP(C1158, calc_rusacc!$C$15:$C$65, calc_rusacc!$AF$15:$AF$65, "",0),  AND( F1158="Main Chain", I1158="Accordion Screen"), _xlfn.XLOOKUP(C1158, calc_rusacc!$C$15:$C$65, calc_rusacc!$BF$15:$BF$65, "",0), AND( F1158="Sealant", I1158="Accordion Screen"), _xlfn.XLOOKUP(C1158, calc_rusacc!$C$15:$C$65, calc_rusacc!$BJ$15:$BJ$65, "",0),  F1158="Sealant", _xlfn.XLOOKUP(C1158, dd_accsrycalc!$A$2:$A$51, dd_accsrycalc!$G$2:$G$51, "",0),  F1158&lt;&gt;"",L1158*_xlfn.XLOOKUP(1, (SKUs!$C$2:$C$10001=G1158)*(SKUs!$K$2:$K$10001=I1158),SKUs!$E$2:$E$10001)), 0),"")</f>
        <v/>
      </c>
      <c r="E1158" s="35" t="str">
        <f>_xlfn.XLOOKUP(F1158,dd_item!$B$2:$B$105,dd_item!$C$2:$C$105,"",0)</f>
        <v/>
      </c>
      <c r="F1158" s="35"/>
      <c r="G1158" s="35" cm="1">
        <f t="array" ref="G1158">IFERROR(_xlfn.XLOOKUP(1, (SKUs!$J$2:$J$10001=accsry_unmerged!F1158)*IF(H1158&lt;&gt;"",(SKUs!$L$2:$L$10001=accsry_unmerged!H1158),1)*(SKUs!$K$2:$K$10001=I1158),SKUs!$C$2:$C$10001),"")</f>
        <v>0</v>
      </c>
      <c r="H1158" s="36" cm="1">
        <f t="array" ref="H1158">IFERROR(_xlfn.XLOOKUP(1, (dd_accsryclr!$C$2:$C$1000=accsry_unmerged!F1158)*(dd_accsryclr!$B$2:$B$1000=accsry_unmerged!J1158),dd_accsryclr!$A$2:$A$1000),"")</f>
        <v>0</v>
      </c>
      <c r="I1158" s="35">
        <f>_xlfn.XLOOKUP(C1158,'Project Details'!$C$17:$C$66,'Project Details'!$E$17:$E$66,"",0)</f>
        <v>0</v>
      </c>
      <c r="J1158" s="35">
        <f>_xlfn.XLOOKUP(C1158,'Project Details'!$C$17:$C$66,'Project Details'!$H$17:$H$66,"",0)</f>
        <v>0</v>
      </c>
      <c r="K1158" s="36" t="str">
        <f>IF(AND(_xlfn.XLOOKUP(C1158,'Project Details'!$C$17:$C$66,'Project Details'!$L$17:$L$66,"",0)&gt;550, F1158="Spring-L27cm"),"",SUBSTITUTE(_xlfn.XLOOKUP(G1158,SKUs!$C$2:$C$10001,SKUs!$F$2:$F$10001,"",0), " Accessories",""))</f>
        <v/>
      </c>
      <c r="L1158" s="36">
        <f>_xlfn.XLOOKUP(C1158,'Project Details'!$C$17:$C$66,'Project Details'!$D$17:$D$66,"",0)</f>
        <v>0</v>
      </c>
      <c r="M1158" s="43"/>
    </row>
    <row r="1159" spans="1:13" ht="13.5" customHeight="1" outlineLevel="1" x14ac:dyDescent="0.25">
      <c r="A1159" s="43"/>
      <c r="B1159" s="43"/>
      <c r="C1159" s="16">
        <f t="shared" si="21"/>
        <v>23</v>
      </c>
      <c r="D1159" s="16" t="str" cm="1">
        <f t="array" ref="D1159">IFERROR(ROUNDUP(_xlfn.IFS(F1159="Aluminum Track", _xlfn.XLOOKUP(C1159, dd_accsrycalc!$A$2:$A$51, dd_accsrycalc!$B$2:$B$51, "",0), F1159="10 x 2 1/2 S (Flat)", _xlfn.XLOOKUP(C1159, dd_accsrycalc!$A$2:$A$51, dd_accsrycalc!$C$2:$C$51, "",0), F1159="Tox6", _xlfn.XLOOKUP(C1159, dd_accsrycalc!$A$2:$A$51, dd_accsrycalc!$D$2:$D$51, "",0), F1159="Cover Cap", _xlfn.XLOOKUP(C1159, dd_accsrycalc!$A$2:$A$51, dd_accsrycalc!$E$2:$E$51, "",0), F1159="Drainage Cover", _xlfn.XLOOKUP(C1159, dd_accsrycalc!$A$2:$A$51, dd_accsrycalc!$F$2:$F$51, "",0),AND( F1159="Double Adhesive Tape", I1159="Roll-up Screen"), _xlfn.XLOOKUP(C1159, calc_rusacc!$C$15:$C$65, calc_rusacc!$AD$15:$AD$65, "",0),AND( F1159="Sealant", I1159="Roll-up Screen"), _xlfn.XLOOKUP(C1159, calc_rusacc!$C$15:$C$65, calc_rusacc!$AF$15:$AF$65, "",0),  AND( F1159="Main Chain", I1159="Accordion Screen"), _xlfn.XLOOKUP(C1159, calc_rusacc!$C$15:$C$65, calc_rusacc!$BF$15:$BF$65, "",0), AND( F1159="Sealant", I1159="Accordion Screen"), _xlfn.XLOOKUP(C1159, calc_rusacc!$C$15:$C$65, calc_rusacc!$BJ$15:$BJ$65, "",0),  F1159="Sealant", _xlfn.XLOOKUP(C1159, dd_accsrycalc!$A$2:$A$51, dd_accsrycalc!$G$2:$G$51, "",0),  F1159&lt;&gt;"",L1159*_xlfn.XLOOKUP(1, (SKUs!$C$2:$C$10001=G1159)*(SKUs!$K$2:$K$10001=I1159),SKUs!$E$2:$E$10001)), 0),"")</f>
        <v/>
      </c>
      <c r="E1159" s="16" t="str">
        <f>_xlfn.XLOOKUP(F1159,dd_item!$B$2:$B$105,dd_item!$C$2:$C$105,"",0)</f>
        <v/>
      </c>
      <c r="F1159" s="16"/>
      <c r="G1159" s="16" cm="1">
        <f t="array" ref="G1159">IFERROR(_xlfn.XLOOKUP(1, (SKUs!$J$2:$J$10001=accsry_unmerged!F1159)*IF(H1159&lt;&gt;"",(SKUs!$L$2:$L$10001=accsry_unmerged!H1159),1)*(SKUs!$K$2:$K$10001=I1159),SKUs!$C$2:$C$10001),"")</f>
        <v>0</v>
      </c>
      <c r="H1159" s="33" cm="1">
        <f t="array" ref="H1159">IFERROR(_xlfn.XLOOKUP(1, (dd_accsryclr!$C$2:$C$1000=accsry_unmerged!F1159)*(dd_accsryclr!$B$2:$B$1000=accsry_unmerged!J1159),dd_accsryclr!$A$2:$A$1000),"")</f>
        <v>0</v>
      </c>
      <c r="I1159" s="16">
        <f>_xlfn.XLOOKUP(C1159,'Project Details'!$C$17:$C$66,'Project Details'!$E$17:$E$66,"",0)</f>
        <v>0</v>
      </c>
      <c r="J1159" s="16">
        <f>_xlfn.XLOOKUP(C1159,'Project Details'!$C$17:$C$66,'Project Details'!$H$17:$H$66,"",0)</f>
        <v>0</v>
      </c>
      <c r="K1159" s="33" t="str">
        <f>IF(AND(_xlfn.XLOOKUP(C1159,'Project Details'!$C$17:$C$66,'Project Details'!$L$17:$L$66,"",0)&gt;550, F1159="Spring-L27cm"),"",SUBSTITUTE(_xlfn.XLOOKUP(G1159,SKUs!$C$2:$C$10001,SKUs!$F$2:$F$10001,"",0), " Accessories",""))</f>
        <v/>
      </c>
      <c r="L1159" s="33">
        <f>_xlfn.XLOOKUP(C1159,'Project Details'!$C$17:$C$66,'Project Details'!$D$17:$D$66,"",0)</f>
        <v>0</v>
      </c>
      <c r="M1159" s="43"/>
    </row>
    <row r="1160" spans="1:13" ht="13.5" customHeight="1" outlineLevel="1" x14ac:dyDescent="0.25">
      <c r="A1160" s="43"/>
      <c r="B1160" s="43"/>
      <c r="C1160" s="35">
        <f t="shared" si="21"/>
        <v>23</v>
      </c>
      <c r="D1160" s="35" t="str" cm="1">
        <f t="array" ref="D1160">IFERROR(ROUNDUP(_xlfn.IFS(F1160="Aluminum Track", _xlfn.XLOOKUP(C1160, dd_accsrycalc!$A$2:$A$51, dd_accsrycalc!$B$2:$B$51, "",0), F1160="10 x 2 1/2 S (Flat)", _xlfn.XLOOKUP(C1160, dd_accsrycalc!$A$2:$A$51, dd_accsrycalc!$C$2:$C$51, "",0), F1160="Tox6", _xlfn.XLOOKUP(C1160, dd_accsrycalc!$A$2:$A$51, dd_accsrycalc!$D$2:$D$51, "",0), F1160="Cover Cap", _xlfn.XLOOKUP(C1160, dd_accsrycalc!$A$2:$A$51, dd_accsrycalc!$E$2:$E$51, "",0), F1160="Drainage Cover", _xlfn.XLOOKUP(C1160, dd_accsrycalc!$A$2:$A$51, dd_accsrycalc!$F$2:$F$51, "",0),AND( F1160="Double Adhesive Tape", I1160="Roll-up Screen"), _xlfn.XLOOKUP(C1160, calc_rusacc!$C$15:$C$65, calc_rusacc!$AD$15:$AD$65, "",0),AND( F1160="Sealant", I1160="Roll-up Screen"), _xlfn.XLOOKUP(C1160, calc_rusacc!$C$15:$C$65, calc_rusacc!$AF$15:$AF$65, "",0),  AND( F1160="Main Chain", I1160="Accordion Screen"), _xlfn.XLOOKUP(C1160, calc_rusacc!$C$15:$C$65, calc_rusacc!$BF$15:$BF$65, "",0), AND( F1160="Sealant", I1160="Accordion Screen"), _xlfn.XLOOKUP(C1160, calc_rusacc!$C$15:$C$65, calc_rusacc!$BJ$15:$BJ$65, "",0),  F1160="Sealant", _xlfn.XLOOKUP(C1160, dd_accsrycalc!$A$2:$A$51, dd_accsrycalc!$G$2:$G$51, "",0),  F1160&lt;&gt;"",L1160*_xlfn.XLOOKUP(1, (SKUs!$C$2:$C$10001=G1160)*(SKUs!$K$2:$K$10001=I1160),SKUs!$E$2:$E$10001)), 0),"")</f>
        <v/>
      </c>
      <c r="E1160" s="35" t="str">
        <f>_xlfn.XLOOKUP(F1160,dd_item!$B$2:$B$105,dd_item!$C$2:$C$105,"",0)</f>
        <v/>
      </c>
      <c r="F1160" s="35"/>
      <c r="G1160" s="35" cm="1">
        <f t="array" ref="G1160">IFERROR(_xlfn.XLOOKUP(1, (SKUs!$J$2:$J$10001=accsry_unmerged!F1160)*IF(H1160&lt;&gt;"",(SKUs!$L$2:$L$10001=accsry_unmerged!H1160),1)*(SKUs!$K$2:$K$10001=I1160),SKUs!$C$2:$C$10001),"")</f>
        <v>0</v>
      </c>
      <c r="H1160" s="36" cm="1">
        <f t="array" ref="H1160">IFERROR(_xlfn.XLOOKUP(1, (dd_accsryclr!$C$2:$C$1000=accsry_unmerged!F1160)*(dd_accsryclr!$B$2:$B$1000=accsry_unmerged!J1160),dd_accsryclr!$A$2:$A$1000),"")</f>
        <v>0</v>
      </c>
      <c r="I1160" s="35">
        <f>_xlfn.XLOOKUP(C1160,'Project Details'!$C$17:$C$66,'Project Details'!$E$17:$E$66,"",0)</f>
        <v>0</v>
      </c>
      <c r="J1160" s="35">
        <f>_xlfn.XLOOKUP(C1160,'Project Details'!$C$17:$C$66,'Project Details'!$H$17:$H$66,"",0)</f>
        <v>0</v>
      </c>
      <c r="K1160" s="36" t="str">
        <f>IF(AND(_xlfn.XLOOKUP(C1160,'Project Details'!$C$17:$C$66,'Project Details'!$L$17:$L$66,"",0)&gt;550, F1160="Spring-L27cm"),"",SUBSTITUTE(_xlfn.XLOOKUP(G1160,SKUs!$C$2:$C$10001,SKUs!$F$2:$F$10001,"",0), " Accessories",""))</f>
        <v/>
      </c>
      <c r="L1160" s="36">
        <f>_xlfn.XLOOKUP(C1160,'Project Details'!$C$17:$C$66,'Project Details'!$D$17:$D$66,"",0)</f>
        <v>0</v>
      </c>
      <c r="M1160" s="43"/>
    </row>
    <row r="1161" spans="1:13" ht="13.5" customHeight="1" outlineLevel="1" x14ac:dyDescent="0.25">
      <c r="A1161" s="43"/>
      <c r="B1161" s="43"/>
      <c r="C1161" s="16">
        <f t="shared" si="21"/>
        <v>23</v>
      </c>
      <c r="D1161" s="16" t="str" cm="1">
        <f t="array" ref="D1161">IFERROR(ROUNDUP(_xlfn.IFS(F1161="Aluminum Track", _xlfn.XLOOKUP(C1161, dd_accsrycalc!$A$2:$A$51, dd_accsrycalc!$B$2:$B$51, "",0), F1161="10 x 2 1/2 S (Flat)", _xlfn.XLOOKUP(C1161, dd_accsrycalc!$A$2:$A$51, dd_accsrycalc!$C$2:$C$51, "",0), F1161="Tox6", _xlfn.XLOOKUP(C1161, dd_accsrycalc!$A$2:$A$51, dd_accsrycalc!$D$2:$D$51, "",0), F1161="Cover Cap", _xlfn.XLOOKUP(C1161, dd_accsrycalc!$A$2:$A$51, dd_accsrycalc!$E$2:$E$51, "",0), F1161="Drainage Cover", _xlfn.XLOOKUP(C1161, dd_accsrycalc!$A$2:$A$51, dd_accsrycalc!$F$2:$F$51, "",0),AND( F1161="Double Adhesive Tape", I1161="Roll-up Screen"), _xlfn.XLOOKUP(C1161, calc_rusacc!$C$15:$C$65, calc_rusacc!$AD$15:$AD$65, "",0),AND( F1161="Sealant", I1161="Roll-up Screen"), _xlfn.XLOOKUP(C1161, calc_rusacc!$C$15:$C$65, calc_rusacc!$AF$15:$AF$65, "",0),  AND( F1161="Main Chain", I1161="Accordion Screen"), _xlfn.XLOOKUP(C1161, calc_rusacc!$C$15:$C$65, calc_rusacc!$BF$15:$BF$65, "",0), AND( F1161="Sealant", I1161="Accordion Screen"), _xlfn.XLOOKUP(C1161, calc_rusacc!$C$15:$C$65, calc_rusacc!$BJ$15:$BJ$65, "",0),  F1161="Sealant", _xlfn.XLOOKUP(C1161, dd_accsrycalc!$A$2:$A$51, dd_accsrycalc!$G$2:$G$51, "",0),  F1161&lt;&gt;"",L1161*_xlfn.XLOOKUP(1, (SKUs!$C$2:$C$10001=G1161)*(SKUs!$K$2:$K$10001=I1161),SKUs!$E$2:$E$10001)), 0),"")</f>
        <v/>
      </c>
      <c r="E1161" s="16" t="str">
        <f>_xlfn.XLOOKUP(F1161,dd_item!$B$2:$B$105,dd_item!$C$2:$C$105,"",0)</f>
        <v/>
      </c>
      <c r="F1161" s="16"/>
      <c r="G1161" s="16" cm="1">
        <f t="array" ref="G1161">IFERROR(_xlfn.XLOOKUP(1, (SKUs!$J$2:$J$10001=accsry_unmerged!F1161)*IF(H1161&lt;&gt;"",(SKUs!$L$2:$L$10001=accsry_unmerged!H1161),1)*(SKUs!$K$2:$K$10001=I1161),SKUs!$C$2:$C$10001),"")</f>
        <v>0</v>
      </c>
      <c r="H1161" s="33" cm="1">
        <f t="array" ref="H1161">IFERROR(_xlfn.XLOOKUP(1, (dd_accsryclr!$C$2:$C$1000=accsry_unmerged!F1161)*(dd_accsryclr!$B$2:$B$1000=accsry_unmerged!J1161),dd_accsryclr!$A$2:$A$1000),"")</f>
        <v>0</v>
      </c>
      <c r="I1161" s="16">
        <f>_xlfn.XLOOKUP(C1161,'Project Details'!$C$17:$C$66,'Project Details'!$E$17:$E$66,"",0)</f>
        <v>0</v>
      </c>
      <c r="J1161" s="16">
        <f>_xlfn.XLOOKUP(C1161,'Project Details'!$C$17:$C$66,'Project Details'!$H$17:$H$66,"",0)</f>
        <v>0</v>
      </c>
      <c r="K1161" s="33" t="str">
        <f>IF(AND(_xlfn.XLOOKUP(C1161,'Project Details'!$C$17:$C$66,'Project Details'!$L$17:$L$66,"",0)&gt;550, F1161="Spring-L27cm"),"",SUBSTITUTE(_xlfn.XLOOKUP(G1161,SKUs!$C$2:$C$10001,SKUs!$F$2:$F$10001,"",0), " Accessories",""))</f>
        <v/>
      </c>
      <c r="L1161" s="33">
        <f>_xlfn.XLOOKUP(C1161,'Project Details'!$C$17:$C$66,'Project Details'!$D$17:$D$66,"",0)</f>
        <v>0</v>
      </c>
      <c r="M1161" s="43"/>
    </row>
    <row r="1162" spans="1:13" ht="13.5" customHeight="1" outlineLevel="1" x14ac:dyDescent="0.25">
      <c r="A1162" s="43"/>
      <c r="B1162" s="43"/>
      <c r="C1162" s="35">
        <f t="shared" si="21"/>
        <v>23</v>
      </c>
      <c r="D1162" s="35" t="str" cm="1">
        <f t="array" ref="D1162">IFERROR(ROUNDUP(_xlfn.IFS(F1162="Aluminum Track", _xlfn.XLOOKUP(C1162, dd_accsrycalc!$A$2:$A$51, dd_accsrycalc!$B$2:$B$51, "",0), F1162="10 x 2 1/2 S (Flat)", _xlfn.XLOOKUP(C1162, dd_accsrycalc!$A$2:$A$51, dd_accsrycalc!$C$2:$C$51, "",0), F1162="Tox6", _xlfn.XLOOKUP(C1162, dd_accsrycalc!$A$2:$A$51, dd_accsrycalc!$D$2:$D$51, "",0), F1162="Cover Cap", _xlfn.XLOOKUP(C1162, dd_accsrycalc!$A$2:$A$51, dd_accsrycalc!$E$2:$E$51, "",0), F1162="Drainage Cover", _xlfn.XLOOKUP(C1162, dd_accsrycalc!$A$2:$A$51, dd_accsrycalc!$F$2:$F$51, "",0),AND( F1162="Double Adhesive Tape", I1162="Roll-up Screen"), _xlfn.XLOOKUP(C1162, calc_rusacc!$C$15:$C$65, calc_rusacc!$AD$15:$AD$65, "",0),AND( F1162="Sealant", I1162="Roll-up Screen"), _xlfn.XLOOKUP(C1162, calc_rusacc!$C$15:$C$65, calc_rusacc!$AF$15:$AF$65, "",0),  AND( F1162="Main Chain", I1162="Accordion Screen"), _xlfn.XLOOKUP(C1162, calc_rusacc!$C$15:$C$65, calc_rusacc!$BF$15:$BF$65, "",0), AND( F1162="Sealant", I1162="Accordion Screen"), _xlfn.XLOOKUP(C1162, calc_rusacc!$C$15:$C$65, calc_rusacc!$BJ$15:$BJ$65, "",0),  F1162="Sealant", _xlfn.XLOOKUP(C1162, dd_accsrycalc!$A$2:$A$51, dd_accsrycalc!$G$2:$G$51, "",0),  F1162&lt;&gt;"",L1162*_xlfn.XLOOKUP(1, (SKUs!$C$2:$C$10001=G1162)*(SKUs!$K$2:$K$10001=I1162),SKUs!$E$2:$E$10001)), 0),"")</f>
        <v/>
      </c>
      <c r="E1162" s="35" t="str">
        <f>_xlfn.XLOOKUP(F1162,dd_item!$B$2:$B$105,dd_item!$C$2:$C$105,"",0)</f>
        <v/>
      </c>
      <c r="F1162" s="35"/>
      <c r="G1162" s="35" cm="1">
        <f t="array" ref="G1162">IFERROR(_xlfn.XLOOKUP(1, (SKUs!$J$2:$J$10001=accsry_unmerged!F1162)*IF(H1162&lt;&gt;"",(SKUs!$L$2:$L$10001=accsry_unmerged!H1162),1)*(SKUs!$K$2:$K$10001=I1162),SKUs!$C$2:$C$10001),"")</f>
        <v>0</v>
      </c>
      <c r="H1162" s="36" cm="1">
        <f t="array" ref="H1162">IFERROR(_xlfn.XLOOKUP(1, (dd_accsryclr!$C$2:$C$1000=accsry_unmerged!F1162)*(dd_accsryclr!$B$2:$B$1000=accsry_unmerged!J1162),dd_accsryclr!$A$2:$A$1000),"")</f>
        <v>0</v>
      </c>
      <c r="I1162" s="35">
        <f>_xlfn.XLOOKUP(C1162,'Project Details'!$C$17:$C$66,'Project Details'!$E$17:$E$66,"",0)</f>
        <v>0</v>
      </c>
      <c r="J1162" s="35">
        <f>_xlfn.XLOOKUP(C1162,'Project Details'!$C$17:$C$66,'Project Details'!$H$17:$H$66,"",0)</f>
        <v>0</v>
      </c>
      <c r="K1162" s="36" t="str">
        <f>IF(AND(_xlfn.XLOOKUP(C1162,'Project Details'!$C$17:$C$66,'Project Details'!$L$17:$L$66,"",0)&gt;550, F1162="Spring-L27cm"),"",SUBSTITUTE(_xlfn.XLOOKUP(G1162,SKUs!$C$2:$C$10001,SKUs!$F$2:$F$10001,"",0), " Accessories",""))</f>
        <v/>
      </c>
      <c r="L1162" s="36">
        <f>_xlfn.XLOOKUP(C1162,'Project Details'!$C$17:$C$66,'Project Details'!$D$17:$D$66,"",0)</f>
        <v>0</v>
      </c>
      <c r="M1162" s="43"/>
    </row>
    <row r="1163" spans="1:13" ht="13.5" customHeight="1" outlineLevel="1" x14ac:dyDescent="0.25">
      <c r="A1163" s="43"/>
      <c r="B1163" s="43"/>
      <c r="C1163" s="16">
        <f t="shared" si="21"/>
        <v>23</v>
      </c>
      <c r="D1163" s="16" t="str" cm="1">
        <f t="array" ref="D1163">IFERROR(ROUNDUP(_xlfn.IFS(F1163="Aluminum Track", _xlfn.XLOOKUP(C1163, dd_accsrycalc!$A$2:$A$51, dd_accsrycalc!$B$2:$B$51, "",0), F1163="10 x 2 1/2 S (Flat)", _xlfn.XLOOKUP(C1163, dd_accsrycalc!$A$2:$A$51, dd_accsrycalc!$C$2:$C$51, "",0), F1163="Tox6", _xlfn.XLOOKUP(C1163, dd_accsrycalc!$A$2:$A$51, dd_accsrycalc!$D$2:$D$51, "",0), F1163="Cover Cap", _xlfn.XLOOKUP(C1163, dd_accsrycalc!$A$2:$A$51, dd_accsrycalc!$E$2:$E$51, "",0), F1163="Drainage Cover", _xlfn.XLOOKUP(C1163, dd_accsrycalc!$A$2:$A$51, dd_accsrycalc!$F$2:$F$51, "",0),AND( F1163="Double Adhesive Tape", I1163="Roll-up Screen"), _xlfn.XLOOKUP(C1163, calc_rusacc!$C$15:$C$65, calc_rusacc!$AD$15:$AD$65, "",0),AND( F1163="Sealant", I1163="Roll-up Screen"), _xlfn.XLOOKUP(C1163, calc_rusacc!$C$15:$C$65, calc_rusacc!$AF$15:$AF$65, "",0),  AND( F1163="Main Chain", I1163="Accordion Screen"), _xlfn.XLOOKUP(C1163, calc_rusacc!$C$15:$C$65, calc_rusacc!$BF$15:$BF$65, "",0), AND( F1163="Sealant", I1163="Accordion Screen"), _xlfn.XLOOKUP(C1163, calc_rusacc!$C$15:$C$65, calc_rusacc!$BJ$15:$BJ$65, "",0),  F1163="Sealant", _xlfn.XLOOKUP(C1163, dd_accsrycalc!$A$2:$A$51, dd_accsrycalc!$G$2:$G$51, "",0),  F1163&lt;&gt;"",L1163*_xlfn.XLOOKUP(1, (SKUs!$C$2:$C$10001=G1163)*(SKUs!$K$2:$K$10001=I1163),SKUs!$E$2:$E$10001)), 0),"")</f>
        <v/>
      </c>
      <c r="E1163" s="16" t="str">
        <f>_xlfn.XLOOKUP(F1163,dd_item!$B$2:$B$105,dd_item!$C$2:$C$105,"",0)</f>
        <v/>
      </c>
      <c r="F1163" s="16"/>
      <c r="G1163" s="16" cm="1">
        <f t="array" ref="G1163">IFERROR(_xlfn.XLOOKUP(1, (SKUs!$J$2:$J$10001=accsry_unmerged!F1163)*IF(H1163&lt;&gt;"",(SKUs!$L$2:$L$10001=accsry_unmerged!H1163),1)*(SKUs!$K$2:$K$10001=I1163),SKUs!$C$2:$C$10001),"")</f>
        <v>0</v>
      </c>
      <c r="H1163" s="33" cm="1">
        <f t="array" ref="H1163">IFERROR(_xlfn.XLOOKUP(1, (dd_accsryclr!$C$2:$C$1000=accsry_unmerged!F1163)*(dd_accsryclr!$B$2:$B$1000=accsry_unmerged!J1163),dd_accsryclr!$A$2:$A$1000),"")</f>
        <v>0</v>
      </c>
      <c r="I1163" s="16">
        <f>_xlfn.XLOOKUP(C1163,'Project Details'!$C$17:$C$66,'Project Details'!$E$17:$E$66,"",0)</f>
        <v>0</v>
      </c>
      <c r="J1163" s="16">
        <f>_xlfn.XLOOKUP(C1163,'Project Details'!$C$17:$C$66,'Project Details'!$H$17:$H$66,"",0)</f>
        <v>0</v>
      </c>
      <c r="K1163" s="33" t="str">
        <f>IF(AND(_xlfn.XLOOKUP(C1163,'Project Details'!$C$17:$C$66,'Project Details'!$L$17:$L$66,"",0)&gt;550, F1163="Spring-L27cm"),"",SUBSTITUTE(_xlfn.XLOOKUP(G1163,SKUs!$C$2:$C$10001,SKUs!$F$2:$F$10001,"",0), " Accessories",""))</f>
        <v/>
      </c>
      <c r="L1163" s="33">
        <f>_xlfn.XLOOKUP(C1163,'Project Details'!$C$17:$C$66,'Project Details'!$D$17:$D$66,"",0)</f>
        <v>0</v>
      </c>
      <c r="M1163" s="43"/>
    </row>
    <row r="1164" spans="1:13" x14ac:dyDescent="0.25">
      <c r="A1164" s="43"/>
      <c r="B1164" s="43"/>
      <c r="C1164" s="43"/>
      <c r="D1164" s="43"/>
      <c r="E1164" s="43"/>
      <c r="F1164" s="43"/>
      <c r="G1164" s="43"/>
      <c r="H1164" s="43"/>
      <c r="I1164" s="43"/>
      <c r="J1164" s="43"/>
      <c r="K1164" s="43"/>
      <c r="L1164" s="43"/>
      <c r="M1164" s="43"/>
    </row>
    <row r="1165" spans="1:13" x14ac:dyDescent="0.25">
      <c r="A1165" s="43"/>
      <c r="B1165" s="43"/>
      <c r="C1165" s="16">
        <f>C1163+1</f>
        <v>24</v>
      </c>
      <c r="D1165" s="48" cm="1">
        <f t="array" ref="D1165">IFERROR(ROUNDUP(_xlfn.IFS(F1165="Aluminum Track", _xlfn.XLOOKUP(C1165, dd_accsrycalc!$A$2:$A$51, dd_accsrycalc!$B$2:$B$51, "",0), F1165="10 x 2 1/2 S (Flat)", _xlfn.XLOOKUP(C1165, dd_accsrycalc!$A$2:$A$51, dd_accsrycalc!$C$2:$C$51, "",0), F1165="Tox6", _xlfn.XLOOKUP(C1165, dd_accsrycalc!$A$2:$A$51, dd_accsrycalc!$D$2:$D$51, "",0), F1165="Cover Cap", _xlfn.XLOOKUP(C1165, dd_accsrycalc!$A$2:$A$51, dd_accsrycalc!$E$2:$E$51, "",0), F1165="Drainage Cover", _xlfn.XLOOKUP(C1165, dd_accsrycalc!$A$2:$A$51, dd_accsrycalc!$F$2:$F$51, "",0),AND( F1165="Double Adhesive Tape", I1165="Roll-up Screen"), _xlfn.XLOOKUP(C1165, calc_rusacc!$C$15:$C$65, calc_rusacc!$AD$15:$AD$65, "",0),AND( F1165="Sealant", I1165="Roll-up Screen"), _xlfn.XLOOKUP(C1165, calc_rusacc!$C$15:$C$65, calc_rusacc!$AF$15:$AF$65, "",0),  AND( F1165="Main Chain", I1165="Accordion Screen"), _xlfn.XLOOKUP(C1165, calc_rusacc!$C$15:$C$65, calc_rusacc!$BF$15:$BF$65, "",0), AND( F1165="Sealant", I1165="Accordion Screen"), _xlfn.XLOOKUP(C1165, calc_rusacc!$C$15:$C$65, calc_rusacc!$BJ$15:$BJ$65, "",0),  F1165="Sealant", _xlfn.XLOOKUP(C1165, dd_accsrycalc!$A$2:$A$51, dd_accsrycalc!$G$2:$G$51, "",0),  F1165&lt;&gt;"",L1165*_xlfn.XLOOKUP(1, (SKUs!$C$2:$C$10001=G1165)*(SKUs!$K$2:$K$10001=I1165),SKUs!$E$2:$E$10001)), 0),"")</f>
        <v>0</v>
      </c>
      <c r="E1165" s="48" t="str">
        <f>_xlfn.XLOOKUP(F1165,dd_item!$B$2:$B$105,dd_item!$C$2:$C$105,"",0)</f>
        <v/>
      </c>
      <c r="F1165" s="48" cm="1">
        <f t="array" ref="F1165">IFERROR(_xlfn.UNIQUE(_xlfn._xlws.FILTER(SKUs!$J$2:$J$10001, (SKUs!$F$2:$F$10001&lt;&gt;"Cutting List") * (SKUs!$A$2:$A$10001=_xlfn.XLOOKUP(_xlfn.XLOOKUP(C1165,'Project Details'!$C$17:$C$66,'Project Details'!$E$17:$E$66,"",0), dd_design_raw!$A$2:$A$101,dd_design_raw!$C$2:$C$101,"",0)))), "")</f>
        <v>0</v>
      </c>
      <c r="G1165" s="16" cm="1">
        <f t="array" ref="G1165">IFERROR(_xlfn.XLOOKUP(1, (SKUs!$J$2:$J$10001=accsry_unmerged!F1165)*IF(H1165&lt;&gt;"",(SKUs!$L$2:$L$10001=accsry_unmerged!H1165),1)*(SKUs!$K$2:$K$10001=I1165),SKUs!$C$2:$C$10001),"")</f>
        <v>0</v>
      </c>
      <c r="H1165" s="16" cm="1">
        <f t="array" ref="H1165">IFERROR(_xlfn.XLOOKUP(1, (dd_accsryclr!$C$2:$C$1000=accsry_unmerged!F1165)*(dd_accsryclr!$B$2:$B$1000=accsry_unmerged!J1165),dd_accsryclr!$A$2:$A$1000),"")</f>
        <v>0</v>
      </c>
      <c r="I1165" s="16">
        <f>_xlfn.XLOOKUP(C1165,'Project Details'!$C$17:$C$66,'Project Details'!$E$17:$E$66,"",0)</f>
        <v>0</v>
      </c>
      <c r="J1165" s="16">
        <f>_xlfn.XLOOKUP(C1165,'Project Details'!$C$17:$C$66,'Project Details'!$H$17:$H$66,"",0)</f>
        <v>0</v>
      </c>
      <c r="K1165" s="16" t="str">
        <f>IF(AND(_xlfn.XLOOKUP(C1165,'Project Details'!$C$17:$C$66,'Project Details'!$L$17:$L$66,"",0)&gt;550, F1165="Spring-L27cm"),"",SUBSTITUTE(_xlfn.XLOOKUP(G1165,SKUs!$C$2:$C$10001,SKUs!$F$2:$F$10001,"",0), " Accessories",""))</f>
        <v/>
      </c>
      <c r="L1165" s="16">
        <f>_xlfn.XLOOKUP(C1165,'Project Details'!$C$17:$C$66,'Project Details'!$D$17:$D$66,"",0)</f>
        <v>0</v>
      </c>
      <c r="M1165" s="43"/>
    </row>
    <row r="1166" spans="1:13" x14ac:dyDescent="0.25">
      <c r="A1166" s="43"/>
      <c r="B1166" s="43"/>
      <c r="C1166" s="35">
        <f>C1165</f>
        <v>24</v>
      </c>
      <c r="D1166" s="35" t="str" cm="1">
        <f t="array" ref="D1166">IFERROR(ROUNDUP(_xlfn.IFS(F1166="Aluminum Track", _xlfn.XLOOKUP(C1166, dd_accsrycalc!$A$2:$A$51, dd_accsrycalc!$B$2:$B$51, "",0), F1166="10 x 2 1/2 S (Flat)", _xlfn.XLOOKUP(C1166, dd_accsrycalc!$A$2:$A$51, dd_accsrycalc!$C$2:$C$51, "",0), F1166="Tox6", _xlfn.XLOOKUP(C1166, dd_accsrycalc!$A$2:$A$51, dd_accsrycalc!$D$2:$D$51, "",0), F1166="Cover Cap", _xlfn.XLOOKUP(C1166, dd_accsrycalc!$A$2:$A$51, dd_accsrycalc!$E$2:$E$51, "",0), F1166="Drainage Cover", _xlfn.XLOOKUP(C1166, dd_accsrycalc!$A$2:$A$51, dd_accsrycalc!$F$2:$F$51, "",0),AND( F1166="Double Adhesive Tape", I1166="Roll-up Screen"), _xlfn.XLOOKUP(C1166, calc_rusacc!$C$15:$C$65, calc_rusacc!$AD$15:$AD$65, "",0),AND( F1166="Sealant", I1166="Roll-up Screen"), _xlfn.XLOOKUP(C1166, calc_rusacc!$C$15:$C$65, calc_rusacc!$AF$15:$AF$65, "",0),  AND( F1166="Main Chain", I1166="Accordion Screen"), _xlfn.XLOOKUP(C1166, calc_rusacc!$C$15:$C$65, calc_rusacc!$BF$15:$BF$65, "",0), AND( F1166="Sealant", I1166="Accordion Screen"), _xlfn.XLOOKUP(C1166, calc_rusacc!$C$15:$C$65, calc_rusacc!$BJ$15:$BJ$65, "",0),  F1166="Sealant", _xlfn.XLOOKUP(C1166, dd_accsrycalc!$A$2:$A$51, dd_accsrycalc!$G$2:$G$51, "",0),  F1166&lt;&gt;"",L1166*_xlfn.XLOOKUP(1, (SKUs!$C$2:$C$10001=G1166)*(SKUs!$K$2:$K$10001=I1166),SKUs!$E$2:$E$10001)), 0),"")</f>
        <v/>
      </c>
      <c r="E1166" s="35" t="str">
        <f>_xlfn.XLOOKUP(F1166,dd_item!$B$2:$B$105,dd_item!$C$2:$C$105,"",0)</f>
        <v/>
      </c>
      <c r="F1166" s="35"/>
      <c r="G1166" s="35" cm="1">
        <f t="array" ref="G1166">IFERROR(_xlfn.XLOOKUP(1, (SKUs!$J$2:$J$10001=accsry_unmerged!F1166)*IF(H1166&lt;&gt;"",(SKUs!$L$2:$L$10001=accsry_unmerged!H1166),1)*(SKUs!$K$2:$K$10001=I1166),SKUs!$C$2:$C$10001),"")</f>
        <v>0</v>
      </c>
      <c r="H1166" s="36" cm="1">
        <f t="array" ref="H1166">IFERROR(_xlfn.XLOOKUP(1, (dd_accsryclr!$C$2:$C$1000=accsry_unmerged!F1166)*(dd_accsryclr!$B$2:$B$1000=accsry_unmerged!J1166),dd_accsryclr!$A$2:$A$1000),"")</f>
        <v>0</v>
      </c>
      <c r="I1166" s="35">
        <f>_xlfn.XLOOKUP(C1166,'Project Details'!$C$17:$C$66,'Project Details'!$E$17:$E$66,"",0)</f>
        <v>0</v>
      </c>
      <c r="J1166" s="35">
        <f>_xlfn.XLOOKUP(C1166,'Project Details'!$C$17:$C$66,'Project Details'!$H$17:$H$66,"",0)</f>
        <v>0</v>
      </c>
      <c r="K1166" s="36" t="str">
        <f>IF(AND(_xlfn.XLOOKUP(C1166,'Project Details'!$C$17:$C$66,'Project Details'!$L$17:$L$66,"",0)&gt;550, F1166="Spring-L27cm"),"",SUBSTITUTE(_xlfn.XLOOKUP(G1166,SKUs!$C$2:$C$10001,SKUs!$F$2:$F$10001,"",0), " Accessories",""))</f>
        <v/>
      </c>
      <c r="L1166" s="36">
        <f>_xlfn.XLOOKUP(C1166,'Project Details'!$C$17:$C$66,'Project Details'!$D$17:$D$66,"",0)</f>
        <v>0</v>
      </c>
      <c r="M1166" s="43"/>
    </row>
    <row r="1167" spans="1:13" x14ac:dyDescent="0.25">
      <c r="A1167" s="43"/>
      <c r="B1167" s="43"/>
      <c r="C1167" s="16">
        <f t="shared" ref="C1167:C1213" si="22">C1166</f>
        <v>24</v>
      </c>
      <c r="D1167" s="16" t="str" cm="1">
        <f t="array" ref="D1167">IFERROR(ROUNDUP(_xlfn.IFS(F1167="Aluminum Track", _xlfn.XLOOKUP(C1167, dd_accsrycalc!$A$2:$A$51, dd_accsrycalc!$B$2:$B$51, "",0), F1167="10 x 2 1/2 S (Flat)", _xlfn.XLOOKUP(C1167, dd_accsrycalc!$A$2:$A$51, dd_accsrycalc!$C$2:$C$51, "",0), F1167="Tox6", _xlfn.XLOOKUP(C1167, dd_accsrycalc!$A$2:$A$51, dd_accsrycalc!$D$2:$D$51, "",0), F1167="Cover Cap", _xlfn.XLOOKUP(C1167, dd_accsrycalc!$A$2:$A$51, dd_accsrycalc!$E$2:$E$51, "",0), F1167="Drainage Cover", _xlfn.XLOOKUP(C1167, dd_accsrycalc!$A$2:$A$51, dd_accsrycalc!$F$2:$F$51, "",0),AND( F1167="Double Adhesive Tape", I1167="Roll-up Screen"), _xlfn.XLOOKUP(C1167, calc_rusacc!$C$15:$C$65, calc_rusacc!$AD$15:$AD$65, "",0),AND( F1167="Sealant", I1167="Roll-up Screen"), _xlfn.XLOOKUP(C1167, calc_rusacc!$C$15:$C$65, calc_rusacc!$AF$15:$AF$65, "",0),  AND( F1167="Main Chain", I1167="Accordion Screen"), _xlfn.XLOOKUP(C1167, calc_rusacc!$C$15:$C$65, calc_rusacc!$BF$15:$BF$65, "",0), AND( F1167="Sealant", I1167="Accordion Screen"), _xlfn.XLOOKUP(C1167, calc_rusacc!$C$15:$C$65, calc_rusacc!$BJ$15:$BJ$65, "",0),  F1167="Sealant", _xlfn.XLOOKUP(C1167, dd_accsrycalc!$A$2:$A$51, dd_accsrycalc!$G$2:$G$51, "",0),  F1167&lt;&gt;"",L1167*_xlfn.XLOOKUP(1, (SKUs!$C$2:$C$10001=G1167)*(SKUs!$K$2:$K$10001=I1167),SKUs!$E$2:$E$10001)), 0),"")</f>
        <v/>
      </c>
      <c r="E1167" s="16" t="str">
        <f>_xlfn.XLOOKUP(F1167,dd_item!$B$2:$B$105,dd_item!$C$2:$C$105,"",0)</f>
        <v/>
      </c>
      <c r="F1167" s="16"/>
      <c r="G1167" s="16" cm="1">
        <f t="array" ref="G1167">IFERROR(_xlfn.XLOOKUP(1, (SKUs!$J$2:$J$10001=accsry_unmerged!F1167)*IF(H1167&lt;&gt;"",(SKUs!$L$2:$L$10001=accsry_unmerged!H1167),1)*(SKUs!$K$2:$K$10001=I1167),SKUs!$C$2:$C$10001),"")</f>
        <v>0</v>
      </c>
      <c r="H1167" s="33" cm="1">
        <f t="array" ref="H1167">IFERROR(_xlfn.XLOOKUP(1, (dd_accsryclr!$C$2:$C$1000=accsry_unmerged!F1167)*(dd_accsryclr!$B$2:$B$1000=accsry_unmerged!J1167),dd_accsryclr!$A$2:$A$1000),"")</f>
        <v>0</v>
      </c>
      <c r="I1167" s="16">
        <f>_xlfn.XLOOKUP(C1167,'Project Details'!$C$17:$C$66,'Project Details'!$E$17:$E$66,"",0)</f>
        <v>0</v>
      </c>
      <c r="J1167" s="16">
        <f>_xlfn.XLOOKUP(C1167,'Project Details'!$C$17:$C$66,'Project Details'!$H$17:$H$66,"",0)</f>
        <v>0</v>
      </c>
      <c r="K1167" s="33" t="str">
        <f>IF(AND(_xlfn.XLOOKUP(C1167,'Project Details'!$C$17:$C$66,'Project Details'!$L$17:$L$66,"",0)&gt;550, F1167="Spring-L27cm"),"",SUBSTITUTE(_xlfn.XLOOKUP(G1167,SKUs!$C$2:$C$10001,SKUs!$F$2:$F$10001,"",0), " Accessories",""))</f>
        <v/>
      </c>
      <c r="L1167" s="33">
        <f>_xlfn.XLOOKUP(C1167,'Project Details'!$C$17:$C$66,'Project Details'!$D$17:$D$66,"",0)</f>
        <v>0</v>
      </c>
      <c r="M1167" s="43"/>
    </row>
    <row r="1168" spans="1:13" x14ac:dyDescent="0.25">
      <c r="A1168" s="43"/>
      <c r="B1168" s="43"/>
      <c r="C1168" s="35">
        <f t="shared" si="22"/>
        <v>24</v>
      </c>
      <c r="D1168" s="35" t="str" cm="1">
        <f t="array" ref="D1168">IFERROR(ROUNDUP(_xlfn.IFS(F1168="Aluminum Track", _xlfn.XLOOKUP(C1168, dd_accsrycalc!$A$2:$A$51, dd_accsrycalc!$B$2:$B$51, "",0), F1168="10 x 2 1/2 S (Flat)", _xlfn.XLOOKUP(C1168, dd_accsrycalc!$A$2:$A$51, dd_accsrycalc!$C$2:$C$51, "",0), F1168="Tox6", _xlfn.XLOOKUP(C1168, dd_accsrycalc!$A$2:$A$51, dd_accsrycalc!$D$2:$D$51, "",0), F1168="Cover Cap", _xlfn.XLOOKUP(C1168, dd_accsrycalc!$A$2:$A$51, dd_accsrycalc!$E$2:$E$51, "",0), F1168="Drainage Cover", _xlfn.XLOOKUP(C1168, dd_accsrycalc!$A$2:$A$51, dd_accsrycalc!$F$2:$F$51, "",0),AND( F1168="Double Adhesive Tape", I1168="Roll-up Screen"), _xlfn.XLOOKUP(C1168, calc_rusacc!$C$15:$C$65, calc_rusacc!$AD$15:$AD$65, "",0),AND( F1168="Sealant", I1168="Roll-up Screen"), _xlfn.XLOOKUP(C1168, calc_rusacc!$C$15:$C$65, calc_rusacc!$AF$15:$AF$65, "",0),  AND( F1168="Main Chain", I1168="Accordion Screen"), _xlfn.XLOOKUP(C1168, calc_rusacc!$C$15:$C$65, calc_rusacc!$BF$15:$BF$65, "",0), AND( F1168="Sealant", I1168="Accordion Screen"), _xlfn.XLOOKUP(C1168, calc_rusacc!$C$15:$C$65, calc_rusacc!$BJ$15:$BJ$65, "",0),  F1168="Sealant", _xlfn.XLOOKUP(C1168, dd_accsrycalc!$A$2:$A$51, dd_accsrycalc!$G$2:$G$51, "",0),  F1168&lt;&gt;"",L1168*_xlfn.XLOOKUP(1, (SKUs!$C$2:$C$10001=G1168)*(SKUs!$K$2:$K$10001=I1168),SKUs!$E$2:$E$10001)), 0),"")</f>
        <v/>
      </c>
      <c r="E1168" s="35" t="str">
        <f>_xlfn.XLOOKUP(F1168,dd_item!$B$2:$B$105,dd_item!$C$2:$C$105,"",0)</f>
        <v/>
      </c>
      <c r="F1168" s="35"/>
      <c r="G1168" s="35" cm="1">
        <f t="array" ref="G1168">IFERROR(_xlfn.XLOOKUP(1, (SKUs!$J$2:$J$10001=accsry_unmerged!F1168)*IF(H1168&lt;&gt;"",(SKUs!$L$2:$L$10001=accsry_unmerged!H1168),1)*(SKUs!$K$2:$K$10001=I1168),SKUs!$C$2:$C$10001),"")</f>
        <v>0</v>
      </c>
      <c r="H1168" s="36" cm="1">
        <f t="array" ref="H1168">IFERROR(_xlfn.XLOOKUP(1, (dd_accsryclr!$C$2:$C$1000=accsry_unmerged!F1168)*(dd_accsryclr!$B$2:$B$1000=accsry_unmerged!J1168),dd_accsryclr!$A$2:$A$1000),"")</f>
        <v>0</v>
      </c>
      <c r="I1168" s="35">
        <f>_xlfn.XLOOKUP(C1168,'Project Details'!$C$17:$C$66,'Project Details'!$E$17:$E$66,"",0)</f>
        <v>0</v>
      </c>
      <c r="J1168" s="35">
        <f>_xlfn.XLOOKUP(C1168,'Project Details'!$C$17:$C$66,'Project Details'!$H$17:$H$66,"",0)</f>
        <v>0</v>
      </c>
      <c r="K1168" s="36" t="str">
        <f>IF(AND(_xlfn.XLOOKUP(C1168,'Project Details'!$C$17:$C$66,'Project Details'!$L$17:$L$66,"",0)&gt;550, F1168="Spring-L27cm"),"",SUBSTITUTE(_xlfn.XLOOKUP(G1168,SKUs!$C$2:$C$10001,SKUs!$F$2:$F$10001,"",0), " Accessories",""))</f>
        <v/>
      </c>
      <c r="L1168" s="36">
        <f>_xlfn.XLOOKUP(C1168,'Project Details'!$C$17:$C$66,'Project Details'!$D$17:$D$66,"",0)</f>
        <v>0</v>
      </c>
      <c r="M1168" s="43"/>
    </row>
    <row r="1169" spans="1:13" x14ac:dyDescent="0.25">
      <c r="A1169" s="43"/>
      <c r="B1169" s="43"/>
      <c r="C1169" s="16">
        <f t="shared" si="22"/>
        <v>24</v>
      </c>
      <c r="D1169" s="16" t="str" cm="1">
        <f t="array" ref="D1169">IFERROR(ROUNDUP(_xlfn.IFS(F1169="Aluminum Track", _xlfn.XLOOKUP(C1169, dd_accsrycalc!$A$2:$A$51, dd_accsrycalc!$B$2:$B$51, "",0), F1169="10 x 2 1/2 S (Flat)", _xlfn.XLOOKUP(C1169, dd_accsrycalc!$A$2:$A$51, dd_accsrycalc!$C$2:$C$51, "",0), F1169="Tox6", _xlfn.XLOOKUP(C1169, dd_accsrycalc!$A$2:$A$51, dd_accsrycalc!$D$2:$D$51, "",0), F1169="Cover Cap", _xlfn.XLOOKUP(C1169, dd_accsrycalc!$A$2:$A$51, dd_accsrycalc!$E$2:$E$51, "",0), F1169="Drainage Cover", _xlfn.XLOOKUP(C1169, dd_accsrycalc!$A$2:$A$51, dd_accsrycalc!$F$2:$F$51, "",0),AND( F1169="Double Adhesive Tape", I1169="Roll-up Screen"), _xlfn.XLOOKUP(C1169, calc_rusacc!$C$15:$C$65, calc_rusacc!$AD$15:$AD$65, "",0),AND( F1169="Sealant", I1169="Roll-up Screen"), _xlfn.XLOOKUP(C1169, calc_rusacc!$C$15:$C$65, calc_rusacc!$AF$15:$AF$65, "",0),  AND( F1169="Main Chain", I1169="Accordion Screen"), _xlfn.XLOOKUP(C1169, calc_rusacc!$C$15:$C$65, calc_rusacc!$BF$15:$BF$65, "",0), AND( F1169="Sealant", I1169="Accordion Screen"), _xlfn.XLOOKUP(C1169, calc_rusacc!$C$15:$C$65, calc_rusacc!$BJ$15:$BJ$65, "",0),  F1169="Sealant", _xlfn.XLOOKUP(C1169, dd_accsrycalc!$A$2:$A$51, dd_accsrycalc!$G$2:$G$51, "",0),  F1169&lt;&gt;"",L1169*_xlfn.XLOOKUP(1, (SKUs!$C$2:$C$10001=G1169)*(SKUs!$K$2:$K$10001=I1169),SKUs!$E$2:$E$10001)), 0),"")</f>
        <v/>
      </c>
      <c r="E1169" s="16" t="str">
        <f>_xlfn.XLOOKUP(F1169,dd_item!$B$2:$B$105,dd_item!$C$2:$C$105,"",0)</f>
        <v/>
      </c>
      <c r="F1169" s="16"/>
      <c r="G1169" s="16" cm="1">
        <f t="array" ref="G1169">IFERROR(_xlfn.XLOOKUP(1, (SKUs!$J$2:$J$10001=accsry_unmerged!F1169)*IF(H1169&lt;&gt;"",(SKUs!$L$2:$L$10001=accsry_unmerged!H1169),1)*(SKUs!$K$2:$K$10001=I1169),SKUs!$C$2:$C$10001),"")</f>
        <v>0</v>
      </c>
      <c r="H1169" s="33" cm="1">
        <f t="array" ref="H1169">IFERROR(_xlfn.XLOOKUP(1, (dd_accsryclr!$C$2:$C$1000=accsry_unmerged!F1169)*(dd_accsryclr!$B$2:$B$1000=accsry_unmerged!J1169),dd_accsryclr!$A$2:$A$1000),"")</f>
        <v>0</v>
      </c>
      <c r="I1169" s="16">
        <f>_xlfn.XLOOKUP(C1169,'Project Details'!$C$17:$C$66,'Project Details'!$E$17:$E$66,"",0)</f>
        <v>0</v>
      </c>
      <c r="J1169" s="16">
        <f>_xlfn.XLOOKUP(C1169,'Project Details'!$C$17:$C$66,'Project Details'!$H$17:$H$66,"",0)</f>
        <v>0</v>
      </c>
      <c r="K1169" s="33" t="str">
        <f>IF(AND(_xlfn.XLOOKUP(C1169,'Project Details'!$C$17:$C$66,'Project Details'!$L$17:$L$66,"",0)&gt;550, F1169="Spring-L27cm"),"",SUBSTITUTE(_xlfn.XLOOKUP(G1169,SKUs!$C$2:$C$10001,SKUs!$F$2:$F$10001,"",0), " Accessories",""))</f>
        <v/>
      </c>
      <c r="L1169" s="33">
        <f>_xlfn.XLOOKUP(C1169,'Project Details'!$C$17:$C$66,'Project Details'!$D$17:$D$66,"",0)</f>
        <v>0</v>
      </c>
      <c r="M1169" s="43"/>
    </row>
    <row r="1170" spans="1:13" x14ac:dyDescent="0.25">
      <c r="A1170" s="43"/>
      <c r="B1170" s="43"/>
      <c r="C1170" s="35">
        <f t="shared" si="22"/>
        <v>24</v>
      </c>
      <c r="D1170" s="35" t="str" cm="1">
        <f t="array" ref="D1170">IFERROR(ROUNDUP(_xlfn.IFS(F1170="Aluminum Track", _xlfn.XLOOKUP(C1170, dd_accsrycalc!$A$2:$A$51, dd_accsrycalc!$B$2:$B$51, "",0), F1170="10 x 2 1/2 S (Flat)", _xlfn.XLOOKUP(C1170, dd_accsrycalc!$A$2:$A$51, dd_accsrycalc!$C$2:$C$51, "",0), F1170="Tox6", _xlfn.XLOOKUP(C1170, dd_accsrycalc!$A$2:$A$51, dd_accsrycalc!$D$2:$D$51, "",0), F1170="Cover Cap", _xlfn.XLOOKUP(C1170, dd_accsrycalc!$A$2:$A$51, dd_accsrycalc!$E$2:$E$51, "",0), F1170="Drainage Cover", _xlfn.XLOOKUP(C1170, dd_accsrycalc!$A$2:$A$51, dd_accsrycalc!$F$2:$F$51, "",0),AND( F1170="Double Adhesive Tape", I1170="Roll-up Screen"), _xlfn.XLOOKUP(C1170, calc_rusacc!$C$15:$C$65, calc_rusacc!$AD$15:$AD$65, "",0),AND( F1170="Sealant", I1170="Roll-up Screen"), _xlfn.XLOOKUP(C1170, calc_rusacc!$C$15:$C$65, calc_rusacc!$AF$15:$AF$65, "",0),  AND( F1170="Main Chain", I1170="Accordion Screen"), _xlfn.XLOOKUP(C1170, calc_rusacc!$C$15:$C$65, calc_rusacc!$BF$15:$BF$65, "",0), AND( F1170="Sealant", I1170="Accordion Screen"), _xlfn.XLOOKUP(C1170, calc_rusacc!$C$15:$C$65, calc_rusacc!$BJ$15:$BJ$65, "",0),  F1170="Sealant", _xlfn.XLOOKUP(C1170, dd_accsrycalc!$A$2:$A$51, dd_accsrycalc!$G$2:$G$51, "",0),  F1170&lt;&gt;"",L1170*_xlfn.XLOOKUP(1, (SKUs!$C$2:$C$10001=G1170)*(SKUs!$K$2:$K$10001=I1170),SKUs!$E$2:$E$10001)), 0),"")</f>
        <v/>
      </c>
      <c r="E1170" s="35" t="str">
        <f>_xlfn.XLOOKUP(F1170,dd_item!$B$2:$B$105,dd_item!$C$2:$C$105,"",0)</f>
        <v/>
      </c>
      <c r="F1170" s="35"/>
      <c r="G1170" s="35" cm="1">
        <f t="array" ref="G1170">IFERROR(_xlfn.XLOOKUP(1, (SKUs!$J$2:$J$10001=accsry_unmerged!F1170)*IF(H1170&lt;&gt;"",(SKUs!$L$2:$L$10001=accsry_unmerged!H1170),1)*(SKUs!$K$2:$K$10001=I1170),SKUs!$C$2:$C$10001),"")</f>
        <v>0</v>
      </c>
      <c r="H1170" s="36" cm="1">
        <f t="array" ref="H1170">IFERROR(_xlfn.XLOOKUP(1, (dd_accsryclr!$C$2:$C$1000=accsry_unmerged!F1170)*(dd_accsryclr!$B$2:$B$1000=accsry_unmerged!J1170),dd_accsryclr!$A$2:$A$1000),"")</f>
        <v>0</v>
      </c>
      <c r="I1170" s="35">
        <f>_xlfn.XLOOKUP(C1170,'Project Details'!$C$17:$C$66,'Project Details'!$E$17:$E$66,"",0)</f>
        <v>0</v>
      </c>
      <c r="J1170" s="35">
        <f>_xlfn.XLOOKUP(C1170,'Project Details'!$C$17:$C$66,'Project Details'!$H$17:$H$66,"",0)</f>
        <v>0</v>
      </c>
      <c r="K1170" s="36" t="str">
        <f>IF(AND(_xlfn.XLOOKUP(C1170,'Project Details'!$C$17:$C$66,'Project Details'!$L$17:$L$66,"",0)&gt;550, F1170="Spring-L27cm"),"",SUBSTITUTE(_xlfn.XLOOKUP(G1170,SKUs!$C$2:$C$10001,SKUs!$F$2:$F$10001,"",0), " Accessories",""))</f>
        <v/>
      </c>
      <c r="L1170" s="36">
        <f>_xlfn.XLOOKUP(C1170,'Project Details'!$C$17:$C$66,'Project Details'!$D$17:$D$66,"",0)</f>
        <v>0</v>
      </c>
      <c r="M1170" s="43"/>
    </row>
    <row r="1171" spans="1:13" x14ac:dyDescent="0.25">
      <c r="A1171" s="43"/>
      <c r="B1171" s="43"/>
      <c r="C1171" s="16">
        <f t="shared" si="22"/>
        <v>24</v>
      </c>
      <c r="D1171" s="16" t="str" cm="1">
        <f t="array" ref="D1171">IFERROR(ROUNDUP(_xlfn.IFS(F1171="Aluminum Track", _xlfn.XLOOKUP(C1171, dd_accsrycalc!$A$2:$A$51, dd_accsrycalc!$B$2:$B$51, "",0), F1171="10 x 2 1/2 S (Flat)", _xlfn.XLOOKUP(C1171, dd_accsrycalc!$A$2:$A$51, dd_accsrycalc!$C$2:$C$51, "",0), F1171="Tox6", _xlfn.XLOOKUP(C1171, dd_accsrycalc!$A$2:$A$51, dd_accsrycalc!$D$2:$D$51, "",0), F1171="Cover Cap", _xlfn.XLOOKUP(C1171, dd_accsrycalc!$A$2:$A$51, dd_accsrycalc!$E$2:$E$51, "",0), F1171="Drainage Cover", _xlfn.XLOOKUP(C1171, dd_accsrycalc!$A$2:$A$51, dd_accsrycalc!$F$2:$F$51, "",0),AND( F1171="Double Adhesive Tape", I1171="Roll-up Screen"), _xlfn.XLOOKUP(C1171, calc_rusacc!$C$15:$C$65, calc_rusacc!$AD$15:$AD$65, "",0),AND( F1171="Sealant", I1171="Roll-up Screen"), _xlfn.XLOOKUP(C1171, calc_rusacc!$C$15:$C$65, calc_rusacc!$AF$15:$AF$65, "",0),  AND( F1171="Main Chain", I1171="Accordion Screen"), _xlfn.XLOOKUP(C1171, calc_rusacc!$C$15:$C$65, calc_rusacc!$BF$15:$BF$65, "",0), AND( F1171="Sealant", I1171="Accordion Screen"), _xlfn.XLOOKUP(C1171, calc_rusacc!$C$15:$C$65, calc_rusacc!$BJ$15:$BJ$65, "",0),  F1171="Sealant", _xlfn.XLOOKUP(C1171, dd_accsrycalc!$A$2:$A$51, dd_accsrycalc!$G$2:$G$51, "",0),  F1171&lt;&gt;"",L1171*_xlfn.XLOOKUP(1, (SKUs!$C$2:$C$10001=G1171)*(SKUs!$K$2:$K$10001=I1171),SKUs!$E$2:$E$10001)), 0),"")</f>
        <v/>
      </c>
      <c r="E1171" s="16" t="str">
        <f>_xlfn.XLOOKUP(F1171,dd_item!$B$2:$B$105,dd_item!$C$2:$C$105,"",0)</f>
        <v/>
      </c>
      <c r="F1171" s="16"/>
      <c r="G1171" s="16" cm="1">
        <f t="array" ref="G1171">IFERROR(_xlfn.XLOOKUP(1, (SKUs!$J$2:$J$10001=accsry_unmerged!F1171)*IF(H1171&lt;&gt;"",(SKUs!$L$2:$L$10001=accsry_unmerged!H1171),1)*(SKUs!$K$2:$K$10001=I1171),SKUs!$C$2:$C$10001),"")</f>
        <v>0</v>
      </c>
      <c r="H1171" s="33" cm="1">
        <f t="array" ref="H1171">IFERROR(_xlfn.XLOOKUP(1, (dd_accsryclr!$C$2:$C$1000=accsry_unmerged!F1171)*(dd_accsryclr!$B$2:$B$1000=accsry_unmerged!J1171),dd_accsryclr!$A$2:$A$1000),"")</f>
        <v>0</v>
      </c>
      <c r="I1171" s="16">
        <f>_xlfn.XLOOKUP(C1171,'Project Details'!$C$17:$C$66,'Project Details'!$E$17:$E$66,"",0)</f>
        <v>0</v>
      </c>
      <c r="J1171" s="16">
        <f>_xlfn.XLOOKUP(C1171,'Project Details'!$C$17:$C$66,'Project Details'!$H$17:$H$66,"",0)</f>
        <v>0</v>
      </c>
      <c r="K1171" s="33" t="str">
        <f>IF(AND(_xlfn.XLOOKUP(C1171,'Project Details'!$C$17:$C$66,'Project Details'!$L$17:$L$66,"",0)&gt;550, F1171="Spring-L27cm"),"",SUBSTITUTE(_xlfn.XLOOKUP(G1171,SKUs!$C$2:$C$10001,SKUs!$F$2:$F$10001,"",0), " Accessories",""))</f>
        <v/>
      </c>
      <c r="L1171" s="33">
        <f>_xlfn.XLOOKUP(C1171,'Project Details'!$C$17:$C$66,'Project Details'!$D$17:$D$66,"",0)</f>
        <v>0</v>
      </c>
      <c r="M1171" s="43"/>
    </row>
    <row r="1172" spans="1:13" x14ac:dyDescent="0.25">
      <c r="A1172" s="43"/>
      <c r="B1172" s="43"/>
      <c r="C1172" s="35">
        <f t="shared" si="22"/>
        <v>24</v>
      </c>
      <c r="D1172" s="35" t="str" cm="1">
        <f t="array" ref="D1172">IFERROR(ROUNDUP(_xlfn.IFS(F1172="Aluminum Track", _xlfn.XLOOKUP(C1172, dd_accsrycalc!$A$2:$A$51, dd_accsrycalc!$B$2:$B$51, "",0), F1172="10 x 2 1/2 S (Flat)", _xlfn.XLOOKUP(C1172, dd_accsrycalc!$A$2:$A$51, dd_accsrycalc!$C$2:$C$51, "",0), F1172="Tox6", _xlfn.XLOOKUP(C1172, dd_accsrycalc!$A$2:$A$51, dd_accsrycalc!$D$2:$D$51, "",0), F1172="Cover Cap", _xlfn.XLOOKUP(C1172, dd_accsrycalc!$A$2:$A$51, dd_accsrycalc!$E$2:$E$51, "",0), F1172="Drainage Cover", _xlfn.XLOOKUP(C1172, dd_accsrycalc!$A$2:$A$51, dd_accsrycalc!$F$2:$F$51, "",0),AND( F1172="Double Adhesive Tape", I1172="Roll-up Screen"), _xlfn.XLOOKUP(C1172, calc_rusacc!$C$15:$C$65, calc_rusacc!$AD$15:$AD$65, "",0),AND( F1172="Sealant", I1172="Roll-up Screen"), _xlfn.XLOOKUP(C1172, calc_rusacc!$C$15:$C$65, calc_rusacc!$AF$15:$AF$65, "",0),  AND( F1172="Main Chain", I1172="Accordion Screen"), _xlfn.XLOOKUP(C1172, calc_rusacc!$C$15:$C$65, calc_rusacc!$BF$15:$BF$65, "",0), AND( F1172="Sealant", I1172="Accordion Screen"), _xlfn.XLOOKUP(C1172, calc_rusacc!$C$15:$C$65, calc_rusacc!$BJ$15:$BJ$65, "",0),  F1172="Sealant", _xlfn.XLOOKUP(C1172, dd_accsrycalc!$A$2:$A$51, dd_accsrycalc!$G$2:$G$51, "",0),  F1172&lt;&gt;"",L1172*_xlfn.XLOOKUP(1, (SKUs!$C$2:$C$10001=G1172)*(SKUs!$K$2:$K$10001=I1172),SKUs!$E$2:$E$10001)), 0),"")</f>
        <v/>
      </c>
      <c r="E1172" s="35" t="str">
        <f>_xlfn.XLOOKUP(F1172,dd_item!$B$2:$B$105,dd_item!$C$2:$C$105,"",0)</f>
        <v/>
      </c>
      <c r="F1172" s="35"/>
      <c r="G1172" s="35" cm="1">
        <f t="array" ref="G1172">IFERROR(_xlfn.XLOOKUP(1, (SKUs!$J$2:$J$10001=accsry_unmerged!F1172)*IF(H1172&lt;&gt;"",(SKUs!$L$2:$L$10001=accsry_unmerged!H1172),1)*(SKUs!$K$2:$K$10001=I1172),SKUs!$C$2:$C$10001),"")</f>
        <v>0</v>
      </c>
      <c r="H1172" s="36" cm="1">
        <f t="array" ref="H1172">IFERROR(_xlfn.XLOOKUP(1, (dd_accsryclr!$C$2:$C$1000=accsry_unmerged!F1172)*(dd_accsryclr!$B$2:$B$1000=accsry_unmerged!J1172),dd_accsryclr!$A$2:$A$1000),"")</f>
        <v>0</v>
      </c>
      <c r="I1172" s="35">
        <f>_xlfn.XLOOKUP(C1172,'Project Details'!$C$17:$C$66,'Project Details'!$E$17:$E$66,"",0)</f>
        <v>0</v>
      </c>
      <c r="J1172" s="35">
        <f>_xlfn.XLOOKUP(C1172,'Project Details'!$C$17:$C$66,'Project Details'!$H$17:$H$66,"",0)</f>
        <v>0</v>
      </c>
      <c r="K1172" s="36" t="str">
        <f>IF(AND(_xlfn.XLOOKUP(C1172,'Project Details'!$C$17:$C$66,'Project Details'!$L$17:$L$66,"",0)&gt;550, F1172="Spring-L27cm"),"",SUBSTITUTE(_xlfn.XLOOKUP(G1172,SKUs!$C$2:$C$10001,SKUs!$F$2:$F$10001,"",0), " Accessories",""))</f>
        <v/>
      </c>
      <c r="L1172" s="36">
        <f>_xlfn.XLOOKUP(C1172,'Project Details'!$C$17:$C$66,'Project Details'!$D$17:$D$66,"",0)</f>
        <v>0</v>
      </c>
      <c r="M1172" s="43"/>
    </row>
    <row r="1173" spans="1:13" x14ac:dyDescent="0.25">
      <c r="A1173" s="43"/>
      <c r="B1173" s="43"/>
      <c r="C1173" s="16">
        <f t="shared" si="22"/>
        <v>24</v>
      </c>
      <c r="D1173" s="16" t="str" cm="1">
        <f t="array" ref="D1173">IFERROR(ROUNDUP(_xlfn.IFS(F1173="Aluminum Track", _xlfn.XLOOKUP(C1173, dd_accsrycalc!$A$2:$A$51, dd_accsrycalc!$B$2:$B$51, "",0), F1173="10 x 2 1/2 S (Flat)", _xlfn.XLOOKUP(C1173, dd_accsrycalc!$A$2:$A$51, dd_accsrycalc!$C$2:$C$51, "",0), F1173="Tox6", _xlfn.XLOOKUP(C1173, dd_accsrycalc!$A$2:$A$51, dd_accsrycalc!$D$2:$D$51, "",0), F1173="Cover Cap", _xlfn.XLOOKUP(C1173, dd_accsrycalc!$A$2:$A$51, dd_accsrycalc!$E$2:$E$51, "",0), F1173="Drainage Cover", _xlfn.XLOOKUP(C1173, dd_accsrycalc!$A$2:$A$51, dd_accsrycalc!$F$2:$F$51, "",0),AND( F1173="Double Adhesive Tape", I1173="Roll-up Screen"), _xlfn.XLOOKUP(C1173, calc_rusacc!$C$15:$C$65, calc_rusacc!$AD$15:$AD$65, "",0),AND( F1173="Sealant", I1173="Roll-up Screen"), _xlfn.XLOOKUP(C1173, calc_rusacc!$C$15:$C$65, calc_rusacc!$AF$15:$AF$65, "",0),  AND( F1173="Main Chain", I1173="Accordion Screen"), _xlfn.XLOOKUP(C1173, calc_rusacc!$C$15:$C$65, calc_rusacc!$BF$15:$BF$65, "",0), AND( F1173="Sealant", I1173="Accordion Screen"), _xlfn.XLOOKUP(C1173, calc_rusacc!$C$15:$C$65, calc_rusacc!$BJ$15:$BJ$65, "",0),  F1173="Sealant", _xlfn.XLOOKUP(C1173, dd_accsrycalc!$A$2:$A$51, dd_accsrycalc!$G$2:$G$51, "",0),  F1173&lt;&gt;"",L1173*_xlfn.XLOOKUP(1, (SKUs!$C$2:$C$10001=G1173)*(SKUs!$K$2:$K$10001=I1173),SKUs!$E$2:$E$10001)), 0),"")</f>
        <v/>
      </c>
      <c r="E1173" s="16" t="str">
        <f>_xlfn.XLOOKUP(F1173,dd_item!$B$2:$B$105,dd_item!$C$2:$C$105,"",0)</f>
        <v/>
      </c>
      <c r="F1173" s="16"/>
      <c r="G1173" s="16" cm="1">
        <f t="array" ref="G1173">IFERROR(_xlfn.XLOOKUP(1, (SKUs!$J$2:$J$10001=accsry_unmerged!F1173)*IF(H1173&lt;&gt;"",(SKUs!$L$2:$L$10001=accsry_unmerged!H1173),1)*(SKUs!$K$2:$K$10001=I1173),SKUs!$C$2:$C$10001),"")</f>
        <v>0</v>
      </c>
      <c r="H1173" s="33" cm="1">
        <f t="array" ref="H1173">IFERROR(_xlfn.XLOOKUP(1, (dd_accsryclr!$C$2:$C$1000=accsry_unmerged!F1173)*(dd_accsryclr!$B$2:$B$1000=accsry_unmerged!J1173),dd_accsryclr!$A$2:$A$1000),"")</f>
        <v>0</v>
      </c>
      <c r="I1173" s="16">
        <f>_xlfn.XLOOKUP(C1173,'Project Details'!$C$17:$C$66,'Project Details'!$E$17:$E$66,"",0)</f>
        <v>0</v>
      </c>
      <c r="J1173" s="16">
        <f>_xlfn.XLOOKUP(C1173,'Project Details'!$C$17:$C$66,'Project Details'!$H$17:$H$66,"",0)</f>
        <v>0</v>
      </c>
      <c r="K1173" s="33" t="str">
        <f>IF(AND(_xlfn.XLOOKUP(C1173,'Project Details'!$C$17:$C$66,'Project Details'!$L$17:$L$66,"",0)&gt;550, F1173="Spring-L27cm"),"",SUBSTITUTE(_xlfn.XLOOKUP(G1173,SKUs!$C$2:$C$10001,SKUs!$F$2:$F$10001,"",0), " Accessories",""))</f>
        <v/>
      </c>
      <c r="L1173" s="33">
        <f>_xlfn.XLOOKUP(C1173,'Project Details'!$C$17:$C$66,'Project Details'!$D$17:$D$66,"",0)</f>
        <v>0</v>
      </c>
      <c r="M1173" s="43"/>
    </row>
    <row r="1174" spans="1:13" x14ac:dyDescent="0.25">
      <c r="A1174" s="43"/>
      <c r="B1174" s="43"/>
      <c r="C1174" s="35">
        <f t="shared" si="22"/>
        <v>24</v>
      </c>
      <c r="D1174" s="35" t="str" cm="1">
        <f t="array" ref="D1174">IFERROR(ROUNDUP(_xlfn.IFS(F1174="Aluminum Track", _xlfn.XLOOKUP(C1174, dd_accsrycalc!$A$2:$A$51, dd_accsrycalc!$B$2:$B$51, "",0), F1174="10 x 2 1/2 S (Flat)", _xlfn.XLOOKUP(C1174, dd_accsrycalc!$A$2:$A$51, dd_accsrycalc!$C$2:$C$51, "",0), F1174="Tox6", _xlfn.XLOOKUP(C1174, dd_accsrycalc!$A$2:$A$51, dd_accsrycalc!$D$2:$D$51, "",0), F1174="Cover Cap", _xlfn.XLOOKUP(C1174, dd_accsrycalc!$A$2:$A$51, dd_accsrycalc!$E$2:$E$51, "",0), F1174="Drainage Cover", _xlfn.XLOOKUP(C1174, dd_accsrycalc!$A$2:$A$51, dd_accsrycalc!$F$2:$F$51, "",0),AND( F1174="Double Adhesive Tape", I1174="Roll-up Screen"), _xlfn.XLOOKUP(C1174, calc_rusacc!$C$15:$C$65, calc_rusacc!$AD$15:$AD$65, "",0),AND( F1174="Sealant", I1174="Roll-up Screen"), _xlfn.XLOOKUP(C1174, calc_rusacc!$C$15:$C$65, calc_rusacc!$AF$15:$AF$65, "",0),  AND( F1174="Main Chain", I1174="Accordion Screen"), _xlfn.XLOOKUP(C1174, calc_rusacc!$C$15:$C$65, calc_rusacc!$BF$15:$BF$65, "",0), AND( F1174="Sealant", I1174="Accordion Screen"), _xlfn.XLOOKUP(C1174, calc_rusacc!$C$15:$C$65, calc_rusacc!$BJ$15:$BJ$65, "",0),  F1174="Sealant", _xlfn.XLOOKUP(C1174, dd_accsrycalc!$A$2:$A$51, dd_accsrycalc!$G$2:$G$51, "",0),  F1174&lt;&gt;"",L1174*_xlfn.XLOOKUP(1, (SKUs!$C$2:$C$10001=G1174)*(SKUs!$K$2:$K$10001=I1174),SKUs!$E$2:$E$10001)), 0),"")</f>
        <v/>
      </c>
      <c r="E1174" s="35" t="str">
        <f>_xlfn.XLOOKUP(F1174,dd_item!$B$2:$B$105,dd_item!$C$2:$C$105,"",0)</f>
        <v/>
      </c>
      <c r="F1174" s="35"/>
      <c r="G1174" s="35" cm="1">
        <f t="array" ref="G1174">IFERROR(_xlfn.XLOOKUP(1, (SKUs!$J$2:$J$10001=accsry_unmerged!F1174)*IF(H1174&lt;&gt;"",(SKUs!$L$2:$L$10001=accsry_unmerged!H1174),1)*(SKUs!$K$2:$K$10001=I1174),SKUs!$C$2:$C$10001),"")</f>
        <v>0</v>
      </c>
      <c r="H1174" s="36" cm="1">
        <f t="array" ref="H1174">IFERROR(_xlfn.XLOOKUP(1, (dd_accsryclr!$C$2:$C$1000=accsry_unmerged!F1174)*(dd_accsryclr!$B$2:$B$1000=accsry_unmerged!J1174),dd_accsryclr!$A$2:$A$1000),"")</f>
        <v>0</v>
      </c>
      <c r="I1174" s="35">
        <f>_xlfn.XLOOKUP(C1174,'Project Details'!$C$17:$C$66,'Project Details'!$E$17:$E$66,"",0)</f>
        <v>0</v>
      </c>
      <c r="J1174" s="35">
        <f>_xlfn.XLOOKUP(C1174,'Project Details'!$C$17:$C$66,'Project Details'!$H$17:$H$66,"",0)</f>
        <v>0</v>
      </c>
      <c r="K1174" s="36" t="str">
        <f>IF(AND(_xlfn.XLOOKUP(C1174,'Project Details'!$C$17:$C$66,'Project Details'!$L$17:$L$66,"",0)&gt;550, F1174="Spring-L27cm"),"",SUBSTITUTE(_xlfn.XLOOKUP(G1174,SKUs!$C$2:$C$10001,SKUs!$F$2:$F$10001,"",0), " Accessories",""))</f>
        <v/>
      </c>
      <c r="L1174" s="36">
        <f>_xlfn.XLOOKUP(C1174,'Project Details'!$C$17:$C$66,'Project Details'!$D$17:$D$66,"",0)</f>
        <v>0</v>
      </c>
      <c r="M1174" s="43"/>
    </row>
    <row r="1175" spans="1:13" x14ac:dyDescent="0.25">
      <c r="A1175" s="43"/>
      <c r="B1175" s="43"/>
      <c r="C1175" s="16">
        <f t="shared" si="22"/>
        <v>24</v>
      </c>
      <c r="D1175" s="16" t="str" cm="1">
        <f t="array" ref="D1175">IFERROR(ROUNDUP(_xlfn.IFS(F1175="Aluminum Track", _xlfn.XLOOKUP(C1175, dd_accsrycalc!$A$2:$A$51, dd_accsrycalc!$B$2:$B$51, "",0), F1175="10 x 2 1/2 S (Flat)", _xlfn.XLOOKUP(C1175, dd_accsrycalc!$A$2:$A$51, dd_accsrycalc!$C$2:$C$51, "",0), F1175="Tox6", _xlfn.XLOOKUP(C1175, dd_accsrycalc!$A$2:$A$51, dd_accsrycalc!$D$2:$D$51, "",0), F1175="Cover Cap", _xlfn.XLOOKUP(C1175, dd_accsrycalc!$A$2:$A$51, dd_accsrycalc!$E$2:$E$51, "",0), F1175="Drainage Cover", _xlfn.XLOOKUP(C1175, dd_accsrycalc!$A$2:$A$51, dd_accsrycalc!$F$2:$F$51, "",0),AND( F1175="Double Adhesive Tape", I1175="Roll-up Screen"), _xlfn.XLOOKUP(C1175, calc_rusacc!$C$15:$C$65, calc_rusacc!$AD$15:$AD$65, "",0),AND( F1175="Sealant", I1175="Roll-up Screen"), _xlfn.XLOOKUP(C1175, calc_rusacc!$C$15:$C$65, calc_rusacc!$AF$15:$AF$65, "",0),  AND( F1175="Main Chain", I1175="Accordion Screen"), _xlfn.XLOOKUP(C1175, calc_rusacc!$C$15:$C$65, calc_rusacc!$BF$15:$BF$65, "",0), AND( F1175="Sealant", I1175="Accordion Screen"), _xlfn.XLOOKUP(C1175, calc_rusacc!$C$15:$C$65, calc_rusacc!$BJ$15:$BJ$65, "",0),  F1175="Sealant", _xlfn.XLOOKUP(C1175, dd_accsrycalc!$A$2:$A$51, dd_accsrycalc!$G$2:$G$51, "",0),  F1175&lt;&gt;"",L1175*_xlfn.XLOOKUP(1, (SKUs!$C$2:$C$10001=G1175)*(SKUs!$K$2:$K$10001=I1175),SKUs!$E$2:$E$10001)), 0),"")</f>
        <v/>
      </c>
      <c r="E1175" s="16" t="str">
        <f>_xlfn.XLOOKUP(F1175,dd_item!$B$2:$B$105,dd_item!$C$2:$C$105,"",0)</f>
        <v/>
      </c>
      <c r="F1175" s="16"/>
      <c r="G1175" s="16" cm="1">
        <f t="array" ref="G1175">IFERROR(_xlfn.XLOOKUP(1, (SKUs!$J$2:$J$10001=accsry_unmerged!F1175)*IF(H1175&lt;&gt;"",(SKUs!$L$2:$L$10001=accsry_unmerged!H1175),1)*(SKUs!$K$2:$K$10001=I1175),SKUs!$C$2:$C$10001),"")</f>
        <v>0</v>
      </c>
      <c r="H1175" s="33" cm="1">
        <f t="array" ref="H1175">IFERROR(_xlfn.XLOOKUP(1, (dd_accsryclr!$C$2:$C$1000=accsry_unmerged!F1175)*(dd_accsryclr!$B$2:$B$1000=accsry_unmerged!J1175),dd_accsryclr!$A$2:$A$1000),"")</f>
        <v>0</v>
      </c>
      <c r="I1175" s="16">
        <f>_xlfn.XLOOKUP(C1175,'Project Details'!$C$17:$C$66,'Project Details'!$E$17:$E$66,"",0)</f>
        <v>0</v>
      </c>
      <c r="J1175" s="16">
        <f>_xlfn.XLOOKUP(C1175,'Project Details'!$C$17:$C$66,'Project Details'!$H$17:$H$66,"",0)</f>
        <v>0</v>
      </c>
      <c r="K1175" s="33" t="str">
        <f>IF(AND(_xlfn.XLOOKUP(C1175,'Project Details'!$C$17:$C$66,'Project Details'!$L$17:$L$66,"",0)&gt;550, F1175="Spring-L27cm"),"",SUBSTITUTE(_xlfn.XLOOKUP(G1175,SKUs!$C$2:$C$10001,SKUs!$F$2:$F$10001,"",0), " Accessories",""))</f>
        <v/>
      </c>
      <c r="L1175" s="33">
        <f>_xlfn.XLOOKUP(C1175,'Project Details'!$C$17:$C$66,'Project Details'!$D$17:$D$66,"",0)</f>
        <v>0</v>
      </c>
      <c r="M1175" s="43"/>
    </row>
    <row r="1176" spans="1:13" x14ac:dyDescent="0.25">
      <c r="A1176" s="43"/>
      <c r="B1176" s="43"/>
      <c r="C1176" s="35">
        <f t="shared" si="22"/>
        <v>24</v>
      </c>
      <c r="D1176" s="35" t="str" cm="1">
        <f t="array" ref="D1176">IFERROR(ROUNDUP(_xlfn.IFS(F1176="Aluminum Track", _xlfn.XLOOKUP(C1176, dd_accsrycalc!$A$2:$A$51, dd_accsrycalc!$B$2:$B$51, "",0), F1176="10 x 2 1/2 S (Flat)", _xlfn.XLOOKUP(C1176, dd_accsrycalc!$A$2:$A$51, dd_accsrycalc!$C$2:$C$51, "",0), F1176="Tox6", _xlfn.XLOOKUP(C1176, dd_accsrycalc!$A$2:$A$51, dd_accsrycalc!$D$2:$D$51, "",0), F1176="Cover Cap", _xlfn.XLOOKUP(C1176, dd_accsrycalc!$A$2:$A$51, dd_accsrycalc!$E$2:$E$51, "",0), F1176="Drainage Cover", _xlfn.XLOOKUP(C1176, dd_accsrycalc!$A$2:$A$51, dd_accsrycalc!$F$2:$F$51, "",0),AND( F1176="Double Adhesive Tape", I1176="Roll-up Screen"), _xlfn.XLOOKUP(C1176, calc_rusacc!$C$15:$C$65, calc_rusacc!$AD$15:$AD$65, "",0),AND( F1176="Sealant", I1176="Roll-up Screen"), _xlfn.XLOOKUP(C1176, calc_rusacc!$C$15:$C$65, calc_rusacc!$AF$15:$AF$65, "",0),  AND( F1176="Main Chain", I1176="Accordion Screen"), _xlfn.XLOOKUP(C1176, calc_rusacc!$C$15:$C$65, calc_rusacc!$BF$15:$BF$65, "",0), AND( F1176="Sealant", I1176="Accordion Screen"), _xlfn.XLOOKUP(C1176, calc_rusacc!$C$15:$C$65, calc_rusacc!$BJ$15:$BJ$65, "",0),  F1176="Sealant", _xlfn.XLOOKUP(C1176, dd_accsrycalc!$A$2:$A$51, dd_accsrycalc!$G$2:$G$51, "",0),  F1176&lt;&gt;"",L1176*_xlfn.XLOOKUP(1, (SKUs!$C$2:$C$10001=G1176)*(SKUs!$K$2:$K$10001=I1176),SKUs!$E$2:$E$10001)), 0),"")</f>
        <v/>
      </c>
      <c r="E1176" s="35" t="str">
        <f>_xlfn.XLOOKUP(F1176,dd_item!$B$2:$B$105,dd_item!$C$2:$C$105,"",0)</f>
        <v/>
      </c>
      <c r="F1176" s="35"/>
      <c r="G1176" s="35" cm="1">
        <f t="array" ref="G1176">IFERROR(_xlfn.XLOOKUP(1, (SKUs!$J$2:$J$10001=accsry_unmerged!F1176)*IF(H1176&lt;&gt;"",(SKUs!$L$2:$L$10001=accsry_unmerged!H1176),1)*(SKUs!$K$2:$K$10001=I1176),SKUs!$C$2:$C$10001),"")</f>
        <v>0</v>
      </c>
      <c r="H1176" s="36" cm="1">
        <f t="array" ref="H1176">IFERROR(_xlfn.XLOOKUP(1, (dd_accsryclr!$C$2:$C$1000=accsry_unmerged!F1176)*(dd_accsryclr!$B$2:$B$1000=accsry_unmerged!J1176),dd_accsryclr!$A$2:$A$1000),"")</f>
        <v>0</v>
      </c>
      <c r="I1176" s="35">
        <f>_xlfn.XLOOKUP(C1176,'Project Details'!$C$17:$C$66,'Project Details'!$E$17:$E$66,"",0)</f>
        <v>0</v>
      </c>
      <c r="J1176" s="35">
        <f>_xlfn.XLOOKUP(C1176,'Project Details'!$C$17:$C$66,'Project Details'!$H$17:$H$66,"",0)</f>
        <v>0</v>
      </c>
      <c r="K1176" s="36" t="str">
        <f>IF(AND(_xlfn.XLOOKUP(C1176,'Project Details'!$C$17:$C$66,'Project Details'!$L$17:$L$66,"",0)&gt;550, F1176="Spring-L27cm"),"",SUBSTITUTE(_xlfn.XLOOKUP(G1176,SKUs!$C$2:$C$10001,SKUs!$F$2:$F$10001,"",0), " Accessories",""))</f>
        <v/>
      </c>
      <c r="L1176" s="36">
        <f>_xlfn.XLOOKUP(C1176,'Project Details'!$C$17:$C$66,'Project Details'!$D$17:$D$66,"",0)</f>
        <v>0</v>
      </c>
      <c r="M1176" s="43"/>
    </row>
    <row r="1177" spans="1:13" x14ac:dyDescent="0.25">
      <c r="A1177" s="43"/>
      <c r="B1177" s="43"/>
      <c r="C1177" s="16">
        <f t="shared" si="22"/>
        <v>24</v>
      </c>
      <c r="D1177" s="16" t="str" cm="1">
        <f t="array" ref="D1177">IFERROR(ROUNDUP(_xlfn.IFS(F1177="Aluminum Track", _xlfn.XLOOKUP(C1177, dd_accsrycalc!$A$2:$A$51, dd_accsrycalc!$B$2:$B$51, "",0), F1177="10 x 2 1/2 S (Flat)", _xlfn.XLOOKUP(C1177, dd_accsrycalc!$A$2:$A$51, dd_accsrycalc!$C$2:$C$51, "",0), F1177="Tox6", _xlfn.XLOOKUP(C1177, dd_accsrycalc!$A$2:$A$51, dd_accsrycalc!$D$2:$D$51, "",0), F1177="Cover Cap", _xlfn.XLOOKUP(C1177, dd_accsrycalc!$A$2:$A$51, dd_accsrycalc!$E$2:$E$51, "",0), F1177="Drainage Cover", _xlfn.XLOOKUP(C1177, dd_accsrycalc!$A$2:$A$51, dd_accsrycalc!$F$2:$F$51, "",0),AND( F1177="Double Adhesive Tape", I1177="Roll-up Screen"), _xlfn.XLOOKUP(C1177, calc_rusacc!$C$15:$C$65, calc_rusacc!$AD$15:$AD$65, "",0),AND( F1177="Sealant", I1177="Roll-up Screen"), _xlfn.XLOOKUP(C1177, calc_rusacc!$C$15:$C$65, calc_rusacc!$AF$15:$AF$65, "",0),  AND( F1177="Main Chain", I1177="Accordion Screen"), _xlfn.XLOOKUP(C1177, calc_rusacc!$C$15:$C$65, calc_rusacc!$BF$15:$BF$65, "",0), AND( F1177="Sealant", I1177="Accordion Screen"), _xlfn.XLOOKUP(C1177, calc_rusacc!$C$15:$C$65, calc_rusacc!$BJ$15:$BJ$65, "",0),  F1177="Sealant", _xlfn.XLOOKUP(C1177, dd_accsrycalc!$A$2:$A$51, dd_accsrycalc!$G$2:$G$51, "",0),  F1177&lt;&gt;"",L1177*_xlfn.XLOOKUP(1, (SKUs!$C$2:$C$10001=G1177)*(SKUs!$K$2:$K$10001=I1177),SKUs!$E$2:$E$10001)), 0),"")</f>
        <v/>
      </c>
      <c r="E1177" s="16" t="str">
        <f>_xlfn.XLOOKUP(F1177,dd_item!$B$2:$B$105,dd_item!$C$2:$C$105,"",0)</f>
        <v/>
      </c>
      <c r="F1177" s="16"/>
      <c r="G1177" s="16" cm="1">
        <f t="array" ref="G1177">IFERROR(_xlfn.XLOOKUP(1, (SKUs!$J$2:$J$10001=accsry_unmerged!F1177)*IF(H1177&lt;&gt;"",(SKUs!$L$2:$L$10001=accsry_unmerged!H1177),1)*(SKUs!$K$2:$K$10001=I1177),SKUs!$C$2:$C$10001),"")</f>
        <v>0</v>
      </c>
      <c r="H1177" s="33" cm="1">
        <f t="array" ref="H1177">IFERROR(_xlfn.XLOOKUP(1, (dd_accsryclr!$C$2:$C$1000=accsry_unmerged!F1177)*(dd_accsryclr!$B$2:$B$1000=accsry_unmerged!J1177),dd_accsryclr!$A$2:$A$1000),"")</f>
        <v>0</v>
      </c>
      <c r="I1177" s="16">
        <f>_xlfn.XLOOKUP(C1177,'Project Details'!$C$17:$C$66,'Project Details'!$E$17:$E$66,"",0)</f>
        <v>0</v>
      </c>
      <c r="J1177" s="16">
        <f>_xlfn.XLOOKUP(C1177,'Project Details'!$C$17:$C$66,'Project Details'!$H$17:$H$66,"",0)</f>
        <v>0</v>
      </c>
      <c r="K1177" s="33" t="str">
        <f>IF(AND(_xlfn.XLOOKUP(C1177,'Project Details'!$C$17:$C$66,'Project Details'!$L$17:$L$66,"",0)&gt;550, F1177="Spring-L27cm"),"",SUBSTITUTE(_xlfn.XLOOKUP(G1177,SKUs!$C$2:$C$10001,SKUs!$F$2:$F$10001,"",0), " Accessories",""))</f>
        <v/>
      </c>
      <c r="L1177" s="33">
        <f>_xlfn.XLOOKUP(C1177,'Project Details'!$C$17:$C$66,'Project Details'!$D$17:$D$66,"",0)</f>
        <v>0</v>
      </c>
      <c r="M1177" s="43"/>
    </row>
    <row r="1178" spans="1:13" x14ac:dyDescent="0.25">
      <c r="A1178" s="43"/>
      <c r="B1178" s="43"/>
      <c r="C1178" s="35">
        <f t="shared" si="22"/>
        <v>24</v>
      </c>
      <c r="D1178" s="35" t="str" cm="1">
        <f t="array" ref="D1178">IFERROR(ROUNDUP(_xlfn.IFS(F1178="Aluminum Track", _xlfn.XLOOKUP(C1178, dd_accsrycalc!$A$2:$A$51, dd_accsrycalc!$B$2:$B$51, "",0), F1178="10 x 2 1/2 S (Flat)", _xlfn.XLOOKUP(C1178, dd_accsrycalc!$A$2:$A$51, dd_accsrycalc!$C$2:$C$51, "",0), F1178="Tox6", _xlfn.XLOOKUP(C1178, dd_accsrycalc!$A$2:$A$51, dd_accsrycalc!$D$2:$D$51, "",0), F1178="Cover Cap", _xlfn.XLOOKUP(C1178, dd_accsrycalc!$A$2:$A$51, dd_accsrycalc!$E$2:$E$51, "",0), F1178="Drainage Cover", _xlfn.XLOOKUP(C1178, dd_accsrycalc!$A$2:$A$51, dd_accsrycalc!$F$2:$F$51, "",0),AND( F1178="Double Adhesive Tape", I1178="Roll-up Screen"), _xlfn.XLOOKUP(C1178, calc_rusacc!$C$15:$C$65, calc_rusacc!$AD$15:$AD$65, "",0),AND( F1178="Sealant", I1178="Roll-up Screen"), _xlfn.XLOOKUP(C1178, calc_rusacc!$C$15:$C$65, calc_rusacc!$AF$15:$AF$65, "",0),  AND( F1178="Main Chain", I1178="Accordion Screen"), _xlfn.XLOOKUP(C1178, calc_rusacc!$C$15:$C$65, calc_rusacc!$BF$15:$BF$65, "",0), AND( F1178="Sealant", I1178="Accordion Screen"), _xlfn.XLOOKUP(C1178, calc_rusacc!$C$15:$C$65, calc_rusacc!$BJ$15:$BJ$65, "",0),  F1178="Sealant", _xlfn.XLOOKUP(C1178, dd_accsrycalc!$A$2:$A$51, dd_accsrycalc!$G$2:$G$51, "",0),  F1178&lt;&gt;"",L1178*_xlfn.XLOOKUP(1, (SKUs!$C$2:$C$10001=G1178)*(SKUs!$K$2:$K$10001=I1178),SKUs!$E$2:$E$10001)), 0),"")</f>
        <v/>
      </c>
      <c r="E1178" s="35" t="str">
        <f>_xlfn.XLOOKUP(F1178,dd_item!$B$2:$B$105,dd_item!$C$2:$C$105,"",0)</f>
        <v/>
      </c>
      <c r="F1178" s="35"/>
      <c r="G1178" s="35" cm="1">
        <f t="array" ref="G1178">IFERROR(_xlfn.XLOOKUP(1, (SKUs!$J$2:$J$10001=accsry_unmerged!F1178)*IF(H1178&lt;&gt;"",(SKUs!$L$2:$L$10001=accsry_unmerged!H1178),1)*(SKUs!$K$2:$K$10001=I1178),SKUs!$C$2:$C$10001),"")</f>
        <v>0</v>
      </c>
      <c r="H1178" s="36" cm="1">
        <f t="array" ref="H1178">IFERROR(_xlfn.XLOOKUP(1, (dd_accsryclr!$C$2:$C$1000=accsry_unmerged!F1178)*(dd_accsryclr!$B$2:$B$1000=accsry_unmerged!J1178),dd_accsryclr!$A$2:$A$1000),"")</f>
        <v>0</v>
      </c>
      <c r="I1178" s="35">
        <f>_xlfn.XLOOKUP(C1178,'Project Details'!$C$17:$C$66,'Project Details'!$E$17:$E$66,"",0)</f>
        <v>0</v>
      </c>
      <c r="J1178" s="35">
        <f>_xlfn.XLOOKUP(C1178,'Project Details'!$C$17:$C$66,'Project Details'!$H$17:$H$66,"",0)</f>
        <v>0</v>
      </c>
      <c r="K1178" s="36" t="str">
        <f>IF(AND(_xlfn.XLOOKUP(C1178,'Project Details'!$C$17:$C$66,'Project Details'!$L$17:$L$66,"",0)&gt;550, F1178="Spring-L27cm"),"",SUBSTITUTE(_xlfn.XLOOKUP(G1178,SKUs!$C$2:$C$10001,SKUs!$F$2:$F$10001,"",0), " Accessories",""))</f>
        <v/>
      </c>
      <c r="L1178" s="36">
        <f>_xlfn.XLOOKUP(C1178,'Project Details'!$C$17:$C$66,'Project Details'!$D$17:$D$66,"",0)</f>
        <v>0</v>
      </c>
      <c r="M1178" s="43"/>
    </row>
    <row r="1179" spans="1:13" x14ac:dyDescent="0.25">
      <c r="A1179" s="43"/>
      <c r="B1179" s="43"/>
      <c r="C1179" s="16">
        <f t="shared" si="22"/>
        <v>24</v>
      </c>
      <c r="D1179" s="16" t="str" cm="1">
        <f t="array" ref="D1179">IFERROR(ROUNDUP(_xlfn.IFS(F1179="Aluminum Track", _xlfn.XLOOKUP(C1179, dd_accsrycalc!$A$2:$A$51, dd_accsrycalc!$B$2:$B$51, "",0), F1179="10 x 2 1/2 S (Flat)", _xlfn.XLOOKUP(C1179, dd_accsrycalc!$A$2:$A$51, dd_accsrycalc!$C$2:$C$51, "",0), F1179="Tox6", _xlfn.XLOOKUP(C1179, dd_accsrycalc!$A$2:$A$51, dd_accsrycalc!$D$2:$D$51, "",0), F1179="Cover Cap", _xlfn.XLOOKUP(C1179, dd_accsrycalc!$A$2:$A$51, dd_accsrycalc!$E$2:$E$51, "",0), F1179="Drainage Cover", _xlfn.XLOOKUP(C1179, dd_accsrycalc!$A$2:$A$51, dd_accsrycalc!$F$2:$F$51, "",0),AND( F1179="Double Adhesive Tape", I1179="Roll-up Screen"), _xlfn.XLOOKUP(C1179, calc_rusacc!$C$15:$C$65, calc_rusacc!$AD$15:$AD$65, "",0),AND( F1179="Sealant", I1179="Roll-up Screen"), _xlfn.XLOOKUP(C1179, calc_rusacc!$C$15:$C$65, calc_rusacc!$AF$15:$AF$65, "",0),  AND( F1179="Main Chain", I1179="Accordion Screen"), _xlfn.XLOOKUP(C1179, calc_rusacc!$C$15:$C$65, calc_rusacc!$BF$15:$BF$65, "",0), AND( F1179="Sealant", I1179="Accordion Screen"), _xlfn.XLOOKUP(C1179, calc_rusacc!$C$15:$C$65, calc_rusacc!$BJ$15:$BJ$65, "",0),  F1179="Sealant", _xlfn.XLOOKUP(C1179, dd_accsrycalc!$A$2:$A$51, dd_accsrycalc!$G$2:$G$51, "",0),  F1179&lt;&gt;"",L1179*_xlfn.XLOOKUP(1, (SKUs!$C$2:$C$10001=G1179)*(SKUs!$K$2:$K$10001=I1179),SKUs!$E$2:$E$10001)), 0),"")</f>
        <v/>
      </c>
      <c r="E1179" s="16" t="str">
        <f>_xlfn.XLOOKUP(F1179,dd_item!$B$2:$B$105,dd_item!$C$2:$C$105,"",0)</f>
        <v/>
      </c>
      <c r="F1179" s="16"/>
      <c r="G1179" s="16" cm="1">
        <f t="array" ref="G1179">IFERROR(_xlfn.XLOOKUP(1, (SKUs!$J$2:$J$10001=accsry_unmerged!F1179)*IF(H1179&lt;&gt;"",(SKUs!$L$2:$L$10001=accsry_unmerged!H1179),1)*(SKUs!$K$2:$K$10001=I1179),SKUs!$C$2:$C$10001),"")</f>
        <v>0</v>
      </c>
      <c r="H1179" s="33" cm="1">
        <f t="array" ref="H1179">IFERROR(_xlfn.XLOOKUP(1, (dd_accsryclr!$C$2:$C$1000=accsry_unmerged!F1179)*(dd_accsryclr!$B$2:$B$1000=accsry_unmerged!J1179),dd_accsryclr!$A$2:$A$1000),"")</f>
        <v>0</v>
      </c>
      <c r="I1179" s="16">
        <f>_xlfn.XLOOKUP(C1179,'Project Details'!$C$17:$C$66,'Project Details'!$E$17:$E$66,"",0)</f>
        <v>0</v>
      </c>
      <c r="J1179" s="16">
        <f>_xlfn.XLOOKUP(C1179,'Project Details'!$C$17:$C$66,'Project Details'!$H$17:$H$66,"",0)</f>
        <v>0</v>
      </c>
      <c r="K1179" s="33" t="str">
        <f>IF(AND(_xlfn.XLOOKUP(C1179,'Project Details'!$C$17:$C$66,'Project Details'!$L$17:$L$66,"",0)&gt;550, F1179="Spring-L27cm"),"",SUBSTITUTE(_xlfn.XLOOKUP(G1179,SKUs!$C$2:$C$10001,SKUs!$F$2:$F$10001,"",0), " Accessories",""))</f>
        <v/>
      </c>
      <c r="L1179" s="33">
        <f>_xlfn.XLOOKUP(C1179,'Project Details'!$C$17:$C$66,'Project Details'!$D$17:$D$66,"",0)</f>
        <v>0</v>
      </c>
      <c r="M1179" s="43"/>
    </row>
    <row r="1180" spans="1:13" x14ac:dyDescent="0.25">
      <c r="A1180" s="43"/>
      <c r="B1180" s="43"/>
      <c r="C1180" s="35">
        <f t="shared" si="22"/>
        <v>24</v>
      </c>
      <c r="D1180" s="35" t="str" cm="1">
        <f t="array" ref="D1180">IFERROR(ROUNDUP(_xlfn.IFS(F1180="Aluminum Track", _xlfn.XLOOKUP(C1180, dd_accsrycalc!$A$2:$A$51, dd_accsrycalc!$B$2:$B$51, "",0), F1180="10 x 2 1/2 S (Flat)", _xlfn.XLOOKUP(C1180, dd_accsrycalc!$A$2:$A$51, dd_accsrycalc!$C$2:$C$51, "",0), F1180="Tox6", _xlfn.XLOOKUP(C1180, dd_accsrycalc!$A$2:$A$51, dd_accsrycalc!$D$2:$D$51, "",0), F1180="Cover Cap", _xlfn.XLOOKUP(C1180, dd_accsrycalc!$A$2:$A$51, dd_accsrycalc!$E$2:$E$51, "",0), F1180="Drainage Cover", _xlfn.XLOOKUP(C1180, dd_accsrycalc!$A$2:$A$51, dd_accsrycalc!$F$2:$F$51, "",0),AND( F1180="Double Adhesive Tape", I1180="Roll-up Screen"), _xlfn.XLOOKUP(C1180, calc_rusacc!$C$15:$C$65, calc_rusacc!$AD$15:$AD$65, "",0),AND( F1180="Sealant", I1180="Roll-up Screen"), _xlfn.XLOOKUP(C1180, calc_rusacc!$C$15:$C$65, calc_rusacc!$AF$15:$AF$65, "",0),  AND( F1180="Main Chain", I1180="Accordion Screen"), _xlfn.XLOOKUP(C1180, calc_rusacc!$C$15:$C$65, calc_rusacc!$BF$15:$BF$65, "",0), AND( F1180="Sealant", I1180="Accordion Screen"), _xlfn.XLOOKUP(C1180, calc_rusacc!$C$15:$C$65, calc_rusacc!$BJ$15:$BJ$65, "",0),  F1180="Sealant", _xlfn.XLOOKUP(C1180, dd_accsrycalc!$A$2:$A$51, dd_accsrycalc!$G$2:$G$51, "",0),  F1180&lt;&gt;"",L1180*_xlfn.XLOOKUP(1, (SKUs!$C$2:$C$10001=G1180)*(SKUs!$K$2:$K$10001=I1180),SKUs!$E$2:$E$10001)), 0),"")</f>
        <v/>
      </c>
      <c r="E1180" s="35" t="str">
        <f>_xlfn.XLOOKUP(F1180,dd_item!$B$2:$B$105,dd_item!$C$2:$C$105,"",0)</f>
        <v/>
      </c>
      <c r="F1180" s="35"/>
      <c r="G1180" s="35" cm="1">
        <f t="array" ref="G1180">IFERROR(_xlfn.XLOOKUP(1, (SKUs!$J$2:$J$10001=accsry_unmerged!F1180)*IF(H1180&lt;&gt;"",(SKUs!$L$2:$L$10001=accsry_unmerged!H1180),1)*(SKUs!$K$2:$K$10001=I1180),SKUs!$C$2:$C$10001),"")</f>
        <v>0</v>
      </c>
      <c r="H1180" s="36" cm="1">
        <f t="array" ref="H1180">IFERROR(_xlfn.XLOOKUP(1, (dd_accsryclr!$C$2:$C$1000=accsry_unmerged!F1180)*(dd_accsryclr!$B$2:$B$1000=accsry_unmerged!J1180),dd_accsryclr!$A$2:$A$1000),"")</f>
        <v>0</v>
      </c>
      <c r="I1180" s="35">
        <f>_xlfn.XLOOKUP(C1180,'Project Details'!$C$17:$C$66,'Project Details'!$E$17:$E$66,"",0)</f>
        <v>0</v>
      </c>
      <c r="J1180" s="35">
        <f>_xlfn.XLOOKUP(C1180,'Project Details'!$C$17:$C$66,'Project Details'!$H$17:$H$66,"",0)</f>
        <v>0</v>
      </c>
      <c r="K1180" s="36" t="str">
        <f>IF(AND(_xlfn.XLOOKUP(C1180,'Project Details'!$C$17:$C$66,'Project Details'!$L$17:$L$66,"",0)&gt;550, F1180="Spring-L27cm"),"",SUBSTITUTE(_xlfn.XLOOKUP(G1180,SKUs!$C$2:$C$10001,SKUs!$F$2:$F$10001,"",0), " Accessories",""))</f>
        <v/>
      </c>
      <c r="L1180" s="36">
        <f>_xlfn.XLOOKUP(C1180,'Project Details'!$C$17:$C$66,'Project Details'!$D$17:$D$66,"",0)</f>
        <v>0</v>
      </c>
      <c r="M1180" s="43"/>
    </row>
    <row r="1181" spans="1:13" x14ac:dyDescent="0.25">
      <c r="A1181" s="43"/>
      <c r="B1181" s="43"/>
      <c r="C1181" s="16">
        <f t="shared" si="22"/>
        <v>24</v>
      </c>
      <c r="D1181" s="16" t="str" cm="1">
        <f t="array" ref="D1181">IFERROR(ROUNDUP(_xlfn.IFS(F1181="Aluminum Track", _xlfn.XLOOKUP(C1181, dd_accsrycalc!$A$2:$A$51, dd_accsrycalc!$B$2:$B$51, "",0), F1181="10 x 2 1/2 S (Flat)", _xlfn.XLOOKUP(C1181, dd_accsrycalc!$A$2:$A$51, dd_accsrycalc!$C$2:$C$51, "",0), F1181="Tox6", _xlfn.XLOOKUP(C1181, dd_accsrycalc!$A$2:$A$51, dd_accsrycalc!$D$2:$D$51, "",0), F1181="Cover Cap", _xlfn.XLOOKUP(C1181, dd_accsrycalc!$A$2:$A$51, dd_accsrycalc!$E$2:$E$51, "",0), F1181="Drainage Cover", _xlfn.XLOOKUP(C1181, dd_accsrycalc!$A$2:$A$51, dd_accsrycalc!$F$2:$F$51, "",0),AND( F1181="Double Adhesive Tape", I1181="Roll-up Screen"), _xlfn.XLOOKUP(C1181, calc_rusacc!$C$15:$C$65, calc_rusacc!$AD$15:$AD$65, "",0),AND( F1181="Sealant", I1181="Roll-up Screen"), _xlfn.XLOOKUP(C1181, calc_rusacc!$C$15:$C$65, calc_rusacc!$AF$15:$AF$65, "",0),  AND( F1181="Main Chain", I1181="Accordion Screen"), _xlfn.XLOOKUP(C1181, calc_rusacc!$C$15:$C$65, calc_rusacc!$BF$15:$BF$65, "",0), AND( F1181="Sealant", I1181="Accordion Screen"), _xlfn.XLOOKUP(C1181, calc_rusacc!$C$15:$C$65, calc_rusacc!$BJ$15:$BJ$65, "",0),  F1181="Sealant", _xlfn.XLOOKUP(C1181, dd_accsrycalc!$A$2:$A$51, dd_accsrycalc!$G$2:$G$51, "",0),  F1181&lt;&gt;"",L1181*_xlfn.XLOOKUP(1, (SKUs!$C$2:$C$10001=G1181)*(SKUs!$K$2:$K$10001=I1181),SKUs!$E$2:$E$10001)), 0),"")</f>
        <v/>
      </c>
      <c r="E1181" s="16" t="str">
        <f>_xlfn.XLOOKUP(F1181,dd_item!$B$2:$B$105,dd_item!$C$2:$C$105,"",0)</f>
        <v/>
      </c>
      <c r="F1181" s="16"/>
      <c r="G1181" s="16" cm="1">
        <f t="array" ref="G1181">IFERROR(_xlfn.XLOOKUP(1, (SKUs!$J$2:$J$10001=accsry_unmerged!F1181)*IF(H1181&lt;&gt;"",(SKUs!$L$2:$L$10001=accsry_unmerged!H1181),1)*(SKUs!$K$2:$K$10001=I1181),SKUs!$C$2:$C$10001),"")</f>
        <v>0</v>
      </c>
      <c r="H1181" s="33" cm="1">
        <f t="array" ref="H1181">IFERROR(_xlfn.XLOOKUP(1, (dd_accsryclr!$C$2:$C$1000=accsry_unmerged!F1181)*(dd_accsryclr!$B$2:$B$1000=accsry_unmerged!J1181),dd_accsryclr!$A$2:$A$1000),"")</f>
        <v>0</v>
      </c>
      <c r="I1181" s="16">
        <f>_xlfn.XLOOKUP(C1181,'Project Details'!$C$17:$C$66,'Project Details'!$E$17:$E$66,"",0)</f>
        <v>0</v>
      </c>
      <c r="J1181" s="16">
        <f>_xlfn.XLOOKUP(C1181,'Project Details'!$C$17:$C$66,'Project Details'!$H$17:$H$66,"",0)</f>
        <v>0</v>
      </c>
      <c r="K1181" s="33" t="str">
        <f>IF(AND(_xlfn.XLOOKUP(C1181,'Project Details'!$C$17:$C$66,'Project Details'!$L$17:$L$66,"",0)&gt;550, F1181="Spring-L27cm"),"",SUBSTITUTE(_xlfn.XLOOKUP(G1181,SKUs!$C$2:$C$10001,SKUs!$F$2:$F$10001,"",0), " Accessories",""))</f>
        <v/>
      </c>
      <c r="L1181" s="33">
        <f>_xlfn.XLOOKUP(C1181,'Project Details'!$C$17:$C$66,'Project Details'!$D$17:$D$66,"",0)</f>
        <v>0</v>
      </c>
      <c r="M1181" s="43"/>
    </row>
    <row r="1182" spans="1:13" x14ac:dyDescent="0.25">
      <c r="A1182" s="43"/>
      <c r="B1182" s="43"/>
      <c r="C1182" s="35">
        <f t="shared" si="22"/>
        <v>24</v>
      </c>
      <c r="D1182" s="35" t="str" cm="1">
        <f t="array" ref="D1182">IFERROR(ROUNDUP(_xlfn.IFS(F1182="Aluminum Track", _xlfn.XLOOKUP(C1182, dd_accsrycalc!$A$2:$A$51, dd_accsrycalc!$B$2:$B$51, "",0), F1182="10 x 2 1/2 S (Flat)", _xlfn.XLOOKUP(C1182, dd_accsrycalc!$A$2:$A$51, dd_accsrycalc!$C$2:$C$51, "",0), F1182="Tox6", _xlfn.XLOOKUP(C1182, dd_accsrycalc!$A$2:$A$51, dd_accsrycalc!$D$2:$D$51, "",0), F1182="Cover Cap", _xlfn.XLOOKUP(C1182, dd_accsrycalc!$A$2:$A$51, dd_accsrycalc!$E$2:$E$51, "",0), F1182="Drainage Cover", _xlfn.XLOOKUP(C1182, dd_accsrycalc!$A$2:$A$51, dd_accsrycalc!$F$2:$F$51, "",0),AND( F1182="Double Adhesive Tape", I1182="Roll-up Screen"), _xlfn.XLOOKUP(C1182, calc_rusacc!$C$15:$C$65, calc_rusacc!$AD$15:$AD$65, "",0),AND( F1182="Sealant", I1182="Roll-up Screen"), _xlfn.XLOOKUP(C1182, calc_rusacc!$C$15:$C$65, calc_rusacc!$AF$15:$AF$65, "",0),  AND( F1182="Main Chain", I1182="Accordion Screen"), _xlfn.XLOOKUP(C1182, calc_rusacc!$C$15:$C$65, calc_rusacc!$BF$15:$BF$65, "",0), AND( F1182="Sealant", I1182="Accordion Screen"), _xlfn.XLOOKUP(C1182, calc_rusacc!$C$15:$C$65, calc_rusacc!$BJ$15:$BJ$65, "",0),  F1182="Sealant", _xlfn.XLOOKUP(C1182, dd_accsrycalc!$A$2:$A$51, dd_accsrycalc!$G$2:$G$51, "",0),  F1182&lt;&gt;"",L1182*_xlfn.XLOOKUP(1, (SKUs!$C$2:$C$10001=G1182)*(SKUs!$K$2:$K$10001=I1182),SKUs!$E$2:$E$10001)), 0),"")</f>
        <v/>
      </c>
      <c r="E1182" s="35" t="str">
        <f>_xlfn.XLOOKUP(F1182,dd_item!$B$2:$B$105,dd_item!$C$2:$C$105,"",0)</f>
        <v/>
      </c>
      <c r="F1182" s="35"/>
      <c r="G1182" s="35" cm="1">
        <f t="array" ref="G1182">IFERROR(_xlfn.XLOOKUP(1, (SKUs!$J$2:$J$10001=accsry_unmerged!F1182)*IF(H1182&lt;&gt;"",(SKUs!$L$2:$L$10001=accsry_unmerged!H1182),1)*(SKUs!$K$2:$K$10001=I1182),SKUs!$C$2:$C$10001),"")</f>
        <v>0</v>
      </c>
      <c r="H1182" s="36" cm="1">
        <f t="array" ref="H1182">IFERROR(_xlfn.XLOOKUP(1, (dd_accsryclr!$C$2:$C$1000=accsry_unmerged!F1182)*(dd_accsryclr!$B$2:$B$1000=accsry_unmerged!J1182),dd_accsryclr!$A$2:$A$1000),"")</f>
        <v>0</v>
      </c>
      <c r="I1182" s="35">
        <f>_xlfn.XLOOKUP(C1182,'Project Details'!$C$17:$C$66,'Project Details'!$E$17:$E$66,"",0)</f>
        <v>0</v>
      </c>
      <c r="J1182" s="35">
        <f>_xlfn.XLOOKUP(C1182,'Project Details'!$C$17:$C$66,'Project Details'!$H$17:$H$66,"",0)</f>
        <v>0</v>
      </c>
      <c r="K1182" s="36" t="str">
        <f>IF(AND(_xlfn.XLOOKUP(C1182,'Project Details'!$C$17:$C$66,'Project Details'!$L$17:$L$66,"",0)&gt;550, F1182="Spring-L27cm"),"",SUBSTITUTE(_xlfn.XLOOKUP(G1182,SKUs!$C$2:$C$10001,SKUs!$F$2:$F$10001,"",0), " Accessories",""))</f>
        <v/>
      </c>
      <c r="L1182" s="36">
        <f>_xlfn.XLOOKUP(C1182,'Project Details'!$C$17:$C$66,'Project Details'!$D$17:$D$66,"",0)</f>
        <v>0</v>
      </c>
      <c r="M1182" s="43"/>
    </row>
    <row r="1183" spans="1:13" x14ac:dyDescent="0.25">
      <c r="A1183" s="43"/>
      <c r="B1183" s="43"/>
      <c r="C1183" s="16">
        <f t="shared" si="22"/>
        <v>24</v>
      </c>
      <c r="D1183" s="16" t="str" cm="1">
        <f t="array" ref="D1183">IFERROR(ROUNDUP(_xlfn.IFS(F1183="Aluminum Track", _xlfn.XLOOKUP(C1183, dd_accsrycalc!$A$2:$A$51, dd_accsrycalc!$B$2:$B$51, "",0), F1183="10 x 2 1/2 S (Flat)", _xlfn.XLOOKUP(C1183, dd_accsrycalc!$A$2:$A$51, dd_accsrycalc!$C$2:$C$51, "",0), F1183="Tox6", _xlfn.XLOOKUP(C1183, dd_accsrycalc!$A$2:$A$51, dd_accsrycalc!$D$2:$D$51, "",0), F1183="Cover Cap", _xlfn.XLOOKUP(C1183, dd_accsrycalc!$A$2:$A$51, dd_accsrycalc!$E$2:$E$51, "",0), F1183="Drainage Cover", _xlfn.XLOOKUP(C1183, dd_accsrycalc!$A$2:$A$51, dd_accsrycalc!$F$2:$F$51, "",0),AND( F1183="Double Adhesive Tape", I1183="Roll-up Screen"), _xlfn.XLOOKUP(C1183, calc_rusacc!$C$15:$C$65, calc_rusacc!$AD$15:$AD$65, "",0),AND( F1183="Sealant", I1183="Roll-up Screen"), _xlfn.XLOOKUP(C1183, calc_rusacc!$C$15:$C$65, calc_rusacc!$AF$15:$AF$65, "",0),  AND( F1183="Main Chain", I1183="Accordion Screen"), _xlfn.XLOOKUP(C1183, calc_rusacc!$C$15:$C$65, calc_rusacc!$BF$15:$BF$65, "",0), AND( F1183="Sealant", I1183="Accordion Screen"), _xlfn.XLOOKUP(C1183, calc_rusacc!$C$15:$C$65, calc_rusacc!$BJ$15:$BJ$65, "",0),  F1183="Sealant", _xlfn.XLOOKUP(C1183, dd_accsrycalc!$A$2:$A$51, dd_accsrycalc!$G$2:$G$51, "",0),  F1183&lt;&gt;"",L1183*_xlfn.XLOOKUP(1, (SKUs!$C$2:$C$10001=G1183)*(SKUs!$K$2:$K$10001=I1183),SKUs!$E$2:$E$10001)), 0),"")</f>
        <v/>
      </c>
      <c r="E1183" s="16" t="str">
        <f>_xlfn.XLOOKUP(F1183,dd_item!$B$2:$B$105,dd_item!$C$2:$C$105,"",0)</f>
        <v/>
      </c>
      <c r="F1183" s="16"/>
      <c r="G1183" s="16" cm="1">
        <f t="array" ref="G1183">IFERROR(_xlfn.XLOOKUP(1, (SKUs!$J$2:$J$10001=accsry_unmerged!F1183)*IF(H1183&lt;&gt;"",(SKUs!$L$2:$L$10001=accsry_unmerged!H1183),1)*(SKUs!$K$2:$K$10001=I1183),SKUs!$C$2:$C$10001),"")</f>
        <v>0</v>
      </c>
      <c r="H1183" s="33" cm="1">
        <f t="array" ref="H1183">IFERROR(_xlfn.XLOOKUP(1, (dd_accsryclr!$C$2:$C$1000=accsry_unmerged!F1183)*(dd_accsryclr!$B$2:$B$1000=accsry_unmerged!J1183),dd_accsryclr!$A$2:$A$1000),"")</f>
        <v>0</v>
      </c>
      <c r="I1183" s="16">
        <f>_xlfn.XLOOKUP(C1183,'Project Details'!$C$17:$C$66,'Project Details'!$E$17:$E$66,"",0)</f>
        <v>0</v>
      </c>
      <c r="J1183" s="16">
        <f>_xlfn.XLOOKUP(C1183,'Project Details'!$C$17:$C$66,'Project Details'!$H$17:$H$66,"",0)</f>
        <v>0</v>
      </c>
      <c r="K1183" s="33" t="str">
        <f>IF(AND(_xlfn.XLOOKUP(C1183,'Project Details'!$C$17:$C$66,'Project Details'!$L$17:$L$66,"",0)&gt;550, F1183="Spring-L27cm"),"",SUBSTITUTE(_xlfn.XLOOKUP(G1183,SKUs!$C$2:$C$10001,SKUs!$F$2:$F$10001,"",0), " Accessories",""))</f>
        <v/>
      </c>
      <c r="L1183" s="33">
        <f>_xlfn.XLOOKUP(C1183,'Project Details'!$C$17:$C$66,'Project Details'!$D$17:$D$66,"",0)</f>
        <v>0</v>
      </c>
      <c r="M1183" s="43"/>
    </row>
    <row r="1184" spans="1:13" ht="13.5" customHeight="1" x14ac:dyDescent="0.25">
      <c r="A1184" s="43"/>
      <c r="B1184" s="43"/>
      <c r="C1184" s="35">
        <f t="shared" si="22"/>
        <v>24</v>
      </c>
      <c r="D1184" s="35" t="str" cm="1">
        <f t="array" ref="D1184">IFERROR(ROUNDUP(_xlfn.IFS(F1184="Aluminum Track", _xlfn.XLOOKUP(C1184, dd_accsrycalc!$A$2:$A$51, dd_accsrycalc!$B$2:$B$51, "",0), F1184="10 x 2 1/2 S (Flat)", _xlfn.XLOOKUP(C1184, dd_accsrycalc!$A$2:$A$51, dd_accsrycalc!$C$2:$C$51, "",0), F1184="Tox6", _xlfn.XLOOKUP(C1184, dd_accsrycalc!$A$2:$A$51, dd_accsrycalc!$D$2:$D$51, "",0), F1184="Cover Cap", _xlfn.XLOOKUP(C1184, dd_accsrycalc!$A$2:$A$51, dd_accsrycalc!$E$2:$E$51, "",0), F1184="Drainage Cover", _xlfn.XLOOKUP(C1184, dd_accsrycalc!$A$2:$A$51, dd_accsrycalc!$F$2:$F$51, "",0),AND( F1184="Double Adhesive Tape", I1184="Roll-up Screen"), _xlfn.XLOOKUP(C1184, calc_rusacc!$C$15:$C$65, calc_rusacc!$AD$15:$AD$65, "",0),AND( F1184="Sealant", I1184="Roll-up Screen"), _xlfn.XLOOKUP(C1184, calc_rusacc!$C$15:$C$65, calc_rusacc!$AF$15:$AF$65, "",0),  AND( F1184="Main Chain", I1184="Accordion Screen"), _xlfn.XLOOKUP(C1184, calc_rusacc!$C$15:$C$65, calc_rusacc!$BF$15:$BF$65, "",0), AND( F1184="Sealant", I1184="Accordion Screen"), _xlfn.XLOOKUP(C1184, calc_rusacc!$C$15:$C$65, calc_rusacc!$BJ$15:$BJ$65, "",0),  F1184="Sealant", _xlfn.XLOOKUP(C1184, dd_accsrycalc!$A$2:$A$51, dd_accsrycalc!$G$2:$G$51, "",0),  F1184&lt;&gt;"",L1184*_xlfn.XLOOKUP(1, (SKUs!$C$2:$C$10001=G1184)*(SKUs!$K$2:$K$10001=I1184),SKUs!$E$2:$E$10001)), 0),"")</f>
        <v/>
      </c>
      <c r="E1184" s="35" t="str">
        <f>_xlfn.XLOOKUP(F1184,dd_item!$B$2:$B$105,dd_item!$C$2:$C$105,"",0)</f>
        <v/>
      </c>
      <c r="F1184" s="35"/>
      <c r="G1184" s="35" cm="1">
        <f t="array" ref="G1184">IFERROR(_xlfn.XLOOKUP(1, (SKUs!$J$2:$J$10001=accsry_unmerged!F1184)*IF(H1184&lt;&gt;"",(SKUs!$L$2:$L$10001=accsry_unmerged!H1184),1)*(SKUs!$K$2:$K$10001=I1184),SKUs!$C$2:$C$10001),"")</f>
        <v>0</v>
      </c>
      <c r="H1184" s="36" cm="1">
        <f t="array" ref="H1184">IFERROR(_xlfn.XLOOKUP(1, (dd_accsryclr!$C$2:$C$1000=accsry_unmerged!F1184)*(dd_accsryclr!$B$2:$B$1000=accsry_unmerged!J1184),dd_accsryclr!$A$2:$A$1000),"")</f>
        <v>0</v>
      </c>
      <c r="I1184" s="35">
        <f>_xlfn.XLOOKUP(C1184,'Project Details'!$C$17:$C$66,'Project Details'!$E$17:$E$66,"",0)</f>
        <v>0</v>
      </c>
      <c r="J1184" s="35">
        <f>_xlfn.XLOOKUP(C1184,'Project Details'!$C$17:$C$66,'Project Details'!$H$17:$H$66,"",0)</f>
        <v>0</v>
      </c>
      <c r="K1184" s="36" t="str">
        <f>IF(AND(_xlfn.XLOOKUP(C1184,'Project Details'!$C$17:$C$66,'Project Details'!$L$17:$L$66,"",0)&gt;550, F1184="Spring-L27cm"),"",SUBSTITUTE(_xlfn.XLOOKUP(G1184,SKUs!$C$2:$C$10001,SKUs!$F$2:$F$10001,"",0), " Accessories",""))</f>
        <v/>
      </c>
      <c r="L1184" s="36">
        <f>_xlfn.XLOOKUP(C1184,'Project Details'!$C$17:$C$66,'Project Details'!$D$17:$D$66,"",0)</f>
        <v>0</v>
      </c>
      <c r="M1184" s="43"/>
    </row>
    <row r="1185" spans="1:13" ht="13.5" customHeight="1" x14ac:dyDescent="0.25">
      <c r="A1185" s="43"/>
      <c r="B1185" s="43"/>
      <c r="C1185" s="16">
        <f t="shared" si="22"/>
        <v>24</v>
      </c>
      <c r="D1185" s="16" t="str" cm="1">
        <f t="array" ref="D1185">IFERROR(ROUNDUP(_xlfn.IFS(F1185="Aluminum Track", _xlfn.XLOOKUP(C1185, dd_accsrycalc!$A$2:$A$51, dd_accsrycalc!$B$2:$B$51, "",0), F1185="10 x 2 1/2 S (Flat)", _xlfn.XLOOKUP(C1185, dd_accsrycalc!$A$2:$A$51, dd_accsrycalc!$C$2:$C$51, "",0), F1185="Tox6", _xlfn.XLOOKUP(C1185, dd_accsrycalc!$A$2:$A$51, dd_accsrycalc!$D$2:$D$51, "",0), F1185="Cover Cap", _xlfn.XLOOKUP(C1185, dd_accsrycalc!$A$2:$A$51, dd_accsrycalc!$E$2:$E$51, "",0), F1185="Drainage Cover", _xlfn.XLOOKUP(C1185, dd_accsrycalc!$A$2:$A$51, dd_accsrycalc!$F$2:$F$51, "",0),AND( F1185="Double Adhesive Tape", I1185="Roll-up Screen"), _xlfn.XLOOKUP(C1185, calc_rusacc!$C$15:$C$65, calc_rusacc!$AD$15:$AD$65, "",0),AND( F1185="Sealant", I1185="Roll-up Screen"), _xlfn.XLOOKUP(C1185, calc_rusacc!$C$15:$C$65, calc_rusacc!$AF$15:$AF$65, "",0),  AND( F1185="Main Chain", I1185="Accordion Screen"), _xlfn.XLOOKUP(C1185, calc_rusacc!$C$15:$C$65, calc_rusacc!$BF$15:$BF$65, "",0), AND( F1185="Sealant", I1185="Accordion Screen"), _xlfn.XLOOKUP(C1185, calc_rusacc!$C$15:$C$65, calc_rusacc!$BJ$15:$BJ$65, "",0),  F1185="Sealant", _xlfn.XLOOKUP(C1185, dd_accsrycalc!$A$2:$A$51, dd_accsrycalc!$G$2:$G$51, "",0),  F1185&lt;&gt;"",L1185*_xlfn.XLOOKUP(1, (SKUs!$C$2:$C$10001=G1185)*(SKUs!$K$2:$K$10001=I1185),SKUs!$E$2:$E$10001)), 0),"")</f>
        <v/>
      </c>
      <c r="E1185" s="16" t="str">
        <f>_xlfn.XLOOKUP(F1185,dd_item!$B$2:$B$105,dd_item!$C$2:$C$105,"",0)</f>
        <v/>
      </c>
      <c r="F1185" s="16"/>
      <c r="G1185" s="16" cm="1">
        <f t="array" ref="G1185">IFERROR(_xlfn.XLOOKUP(1, (SKUs!$J$2:$J$10001=accsry_unmerged!F1185)*IF(H1185&lt;&gt;"",(SKUs!$L$2:$L$10001=accsry_unmerged!H1185),1)*(SKUs!$K$2:$K$10001=I1185),SKUs!$C$2:$C$10001),"")</f>
        <v>0</v>
      </c>
      <c r="H1185" s="33" cm="1">
        <f t="array" ref="H1185">IFERROR(_xlfn.XLOOKUP(1, (dd_accsryclr!$C$2:$C$1000=accsry_unmerged!F1185)*(dd_accsryclr!$B$2:$B$1000=accsry_unmerged!J1185),dd_accsryclr!$A$2:$A$1000),"")</f>
        <v>0</v>
      </c>
      <c r="I1185" s="16">
        <f>_xlfn.XLOOKUP(C1185,'Project Details'!$C$17:$C$66,'Project Details'!$E$17:$E$66,"",0)</f>
        <v>0</v>
      </c>
      <c r="J1185" s="16">
        <f>_xlfn.XLOOKUP(C1185,'Project Details'!$C$17:$C$66,'Project Details'!$H$17:$H$66,"",0)</f>
        <v>0</v>
      </c>
      <c r="K1185" s="33" t="str">
        <f>IF(AND(_xlfn.XLOOKUP(C1185,'Project Details'!$C$17:$C$66,'Project Details'!$L$17:$L$66,"",0)&gt;550, F1185="Spring-L27cm"),"",SUBSTITUTE(_xlfn.XLOOKUP(G1185,SKUs!$C$2:$C$10001,SKUs!$F$2:$F$10001,"",0), " Accessories",""))</f>
        <v/>
      </c>
      <c r="L1185" s="33">
        <f>_xlfn.XLOOKUP(C1185,'Project Details'!$C$17:$C$66,'Project Details'!$D$17:$D$66,"",0)</f>
        <v>0</v>
      </c>
      <c r="M1185" s="43"/>
    </row>
    <row r="1186" spans="1:13" ht="13.5" customHeight="1" x14ac:dyDescent="0.25">
      <c r="A1186" s="43"/>
      <c r="B1186" s="43"/>
      <c r="C1186" s="35">
        <f t="shared" si="22"/>
        <v>24</v>
      </c>
      <c r="D1186" s="35" t="str" cm="1">
        <f t="array" ref="D1186">IFERROR(ROUNDUP(_xlfn.IFS(F1186="Aluminum Track", _xlfn.XLOOKUP(C1186, dd_accsrycalc!$A$2:$A$51, dd_accsrycalc!$B$2:$B$51, "",0), F1186="10 x 2 1/2 S (Flat)", _xlfn.XLOOKUP(C1186, dd_accsrycalc!$A$2:$A$51, dd_accsrycalc!$C$2:$C$51, "",0), F1186="Tox6", _xlfn.XLOOKUP(C1186, dd_accsrycalc!$A$2:$A$51, dd_accsrycalc!$D$2:$D$51, "",0), F1186="Cover Cap", _xlfn.XLOOKUP(C1186, dd_accsrycalc!$A$2:$A$51, dd_accsrycalc!$E$2:$E$51, "",0), F1186="Drainage Cover", _xlfn.XLOOKUP(C1186, dd_accsrycalc!$A$2:$A$51, dd_accsrycalc!$F$2:$F$51, "",0),AND( F1186="Double Adhesive Tape", I1186="Roll-up Screen"), _xlfn.XLOOKUP(C1186, calc_rusacc!$C$15:$C$65, calc_rusacc!$AD$15:$AD$65, "",0),AND( F1186="Sealant", I1186="Roll-up Screen"), _xlfn.XLOOKUP(C1186, calc_rusacc!$C$15:$C$65, calc_rusacc!$AF$15:$AF$65, "",0),  AND( F1186="Main Chain", I1186="Accordion Screen"), _xlfn.XLOOKUP(C1186, calc_rusacc!$C$15:$C$65, calc_rusacc!$BF$15:$BF$65, "",0), AND( F1186="Sealant", I1186="Accordion Screen"), _xlfn.XLOOKUP(C1186, calc_rusacc!$C$15:$C$65, calc_rusacc!$BJ$15:$BJ$65, "",0),  F1186="Sealant", _xlfn.XLOOKUP(C1186, dd_accsrycalc!$A$2:$A$51, dd_accsrycalc!$G$2:$G$51, "",0),  F1186&lt;&gt;"",L1186*_xlfn.XLOOKUP(1, (SKUs!$C$2:$C$10001=G1186)*(SKUs!$K$2:$K$10001=I1186),SKUs!$E$2:$E$10001)), 0),"")</f>
        <v/>
      </c>
      <c r="E1186" s="35" t="str">
        <f>_xlfn.XLOOKUP(F1186,dd_item!$B$2:$B$105,dd_item!$C$2:$C$105,"",0)</f>
        <v/>
      </c>
      <c r="F1186" s="35"/>
      <c r="G1186" s="35" cm="1">
        <f t="array" ref="G1186">IFERROR(_xlfn.XLOOKUP(1, (SKUs!$J$2:$J$10001=accsry_unmerged!F1186)*IF(H1186&lt;&gt;"",(SKUs!$L$2:$L$10001=accsry_unmerged!H1186),1)*(SKUs!$K$2:$K$10001=I1186),SKUs!$C$2:$C$10001),"")</f>
        <v>0</v>
      </c>
      <c r="H1186" s="36" cm="1">
        <f t="array" ref="H1186">IFERROR(_xlfn.XLOOKUP(1, (dd_accsryclr!$C$2:$C$1000=accsry_unmerged!F1186)*(dd_accsryclr!$B$2:$B$1000=accsry_unmerged!J1186),dd_accsryclr!$A$2:$A$1000),"")</f>
        <v>0</v>
      </c>
      <c r="I1186" s="35">
        <f>_xlfn.XLOOKUP(C1186,'Project Details'!$C$17:$C$66,'Project Details'!$E$17:$E$66,"",0)</f>
        <v>0</v>
      </c>
      <c r="J1186" s="35">
        <f>_xlfn.XLOOKUP(C1186,'Project Details'!$C$17:$C$66,'Project Details'!$H$17:$H$66,"",0)</f>
        <v>0</v>
      </c>
      <c r="K1186" s="36" t="str">
        <f>IF(AND(_xlfn.XLOOKUP(C1186,'Project Details'!$C$17:$C$66,'Project Details'!$L$17:$L$66,"",0)&gt;550, F1186="Spring-L27cm"),"",SUBSTITUTE(_xlfn.XLOOKUP(G1186,SKUs!$C$2:$C$10001,SKUs!$F$2:$F$10001,"",0), " Accessories",""))</f>
        <v/>
      </c>
      <c r="L1186" s="36">
        <f>_xlfn.XLOOKUP(C1186,'Project Details'!$C$17:$C$66,'Project Details'!$D$17:$D$66,"",0)</f>
        <v>0</v>
      </c>
      <c r="M1186" s="43"/>
    </row>
    <row r="1187" spans="1:13" ht="13.5" customHeight="1" x14ac:dyDescent="0.25">
      <c r="A1187" s="43"/>
      <c r="B1187" s="43"/>
      <c r="C1187" s="16">
        <f t="shared" si="22"/>
        <v>24</v>
      </c>
      <c r="D1187" s="16" t="str" cm="1">
        <f t="array" ref="D1187">IFERROR(ROUNDUP(_xlfn.IFS(F1187="Aluminum Track", _xlfn.XLOOKUP(C1187, dd_accsrycalc!$A$2:$A$51, dd_accsrycalc!$B$2:$B$51, "",0), F1187="10 x 2 1/2 S (Flat)", _xlfn.XLOOKUP(C1187, dd_accsrycalc!$A$2:$A$51, dd_accsrycalc!$C$2:$C$51, "",0), F1187="Tox6", _xlfn.XLOOKUP(C1187, dd_accsrycalc!$A$2:$A$51, dd_accsrycalc!$D$2:$D$51, "",0), F1187="Cover Cap", _xlfn.XLOOKUP(C1187, dd_accsrycalc!$A$2:$A$51, dd_accsrycalc!$E$2:$E$51, "",0), F1187="Drainage Cover", _xlfn.XLOOKUP(C1187, dd_accsrycalc!$A$2:$A$51, dd_accsrycalc!$F$2:$F$51, "",0),AND( F1187="Double Adhesive Tape", I1187="Roll-up Screen"), _xlfn.XLOOKUP(C1187, calc_rusacc!$C$15:$C$65, calc_rusacc!$AD$15:$AD$65, "",0),AND( F1187="Sealant", I1187="Roll-up Screen"), _xlfn.XLOOKUP(C1187, calc_rusacc!$C$15:$C$65, calc_rusacc!$AF$15:$AF$65, "",0),  AND( F1187="Main Chain", I1187="Accordion Screen"), _xlfn.XLOOKUP(C1187, calc_rusacc!$C$15:$C$65, calc_rusacc!$BF$15:$BF$65, "",0), AND( F1187="Sealant", I1187="Accordion Screen"), _xlfn.XLOOKUP(C1187, calc_rusacc!$C$15:$C$65, calc_rusacc!$BJ$15:$BJ$65, "",0),  F1187="Sealant", _xlfn.XLOOKUP(C1187, dd_accsrycalc!$A$2:$A$51, dd_accsrycalc!$G$2:$G$51, "",0),  F1187&lt;&gt;"",L1187*_xlfn.XLOOKUP(1, (SKUs!$C$2:$C$10001=G1187)*(SKUs!$K$2:$K$10001=I1187),SKUs!$E$2:$E$10001)), 0),"")</f>
        <v/>
      </c>
      <c r="E1187" s="16" t="str">
        <f>_xlfn.XLOOKUP(F1187,dd_item!$B$2:$B$105,dd_item!$C$2:$C$105,"",0)</f>
        <v/>
      </c>
      <c r="F1187" s="16"/>
      <c r="G1187" s="16" cm="1">
        <f t="array" ref="G1187">IFERROR(_xlfn.XLOOKUP(1, (SKUs!$J$2:$J$10001=accsry_unmerged!F1187)*IF(H1187&lt;&gt;"",(SKUs!$L$2:$L$10001=accsry_unmerged!H1187),1)*(SKUs!$K$2:$K$10001=I1187),SKUs!$C$2:$C$10001),"")</f>
        <v>0</v>
      </c>
      <c r="H1187" s="33" cm="1">
        <f t="array" ref="H1187">IFERROR(_xlfn.XLOOKUP(1, (dd_accsryclr!$C$2:$C$1000=accsry_unmerged!F1187)*(dd_accsryclr!$B$2:$B$1000=accsry_unmerged!J1187),dd_accsryclr!$A$2:$A$1000),"")</f>
        <v>0</v>
      </c>
      <c r="I1187" s="16">
        <f>_xlfn.XLOOKUP(C1187,'Project Details'!$C$17:$C$66,'Project Details'!$E$17:$E$66,"",0)</f>
        <v>0</v>
      </c>
      <c r="J1187" s="16">
        <f>_xlfn.XLOOKUP(C1187,'Project Details'!$C$17:$C$66,'Project Details'!$H$17:$H$66,"",0)</f>
        <v>0</v>
      </c>
      <c r="K1187" s="33" t="str">
        <f>IF(AND(_xlfn.XLOOKUP(C1187,'Project Details'!$C$17:$C$66,'Project Details'!$L$17:$L$66,"",0)&gt;550, F1187="Spring-L27cm"),"",SUBSTITUTE(_xlfn.XLOOKUP(G1187,SKUs!$C$2:$C$10001,SKUs!$F$2:$F$10001,"",0), " Accessories",""))</f>
        <v/>
      </c>
      <c r="L1187" s="33">
        <f>_xlfn.XLOOKUP(C1187,'Project Details'!$C$17:$C$66,'Project Details'!$D$17:$D$66,"",0)</f>
        <v>0</v>
      </c>
      <c r="M1187" s="43"/>
    </row>
    <row r="1188" spans="1:13" ht="13.5" customHeight="1" x14ac:dyDescent="0.25">
      <c r="A1188" s="43"/>
      <c r="B1188" s="43"/>
      <c r="C1188" s="35">
        <f t="shared" si="22"/>
        <v>24</v>
      </c>
      <c r="D1188" s="35" t="str" cm="1">
        <f t="array" ref="D1188">IFERROR(ROUNDUP(_xlfn.IFS(F1188="Aluminum Track", _xlfn.XLOOKUP(C1188, dd_accsrycalc!$A$2:$A$51, dd_accsrycalc!$B$2:$B$51, "",0), F1188="10 x 2 1/2 S (Flat)", _xlfn.XLOOKUP(C1188, dd_accsrycalc!$A$2:$A$51, dd_accsrycalc!$C$2:$C$51, "",0), F1188="Tox6", _xlfn.XLOOKUP(C1188, dd_accsrycalc!$A$2:$A$51, dd_accsrycalc!$D$2:$D$51, "",0), F1188="Cover Cap", _xlfn.XLOOKUP(C1188, dd_accsrycalc!$A$2:$A$51, dd_accsrycalc!$E$2:$E$51, "",0), F1188="Drainage Cover", _xlfn.XLOOKUP(C1188, dd_accsrycalc!$A$2:$A$51, dd_accsrycalc!$F$2:$F$51, "",0),AND( F1188="Double Adhesive Tape", I1188="Roll-up Screen"), _xlfn.XLOOKUP(C1188, calc_rusacc!$C$15:$C$65, calc_rusacc!$AD$15:$AD$65, "",0),AND( F1188="Sealant", I1188="Roll-up Screen"), _xlfn.XLOOKUP(C1188, calc_rusacc!$C$15:$C$65, calc_rusacc!$AF$15:$AF$65, "",0),  AND( F1188="Main Chain", I1188="Accordion Screen"), _xlfn.XLOOKUP(C1188, calc_rusacc!$C$15:$C$65, calc_rusacc!$BF$15:$BF$65, "",0), AND( F1188="Sealant", I1188="Accordion Screen"), _xlfn.XLOOKUP(C1188, calc_rusacc!$C$15:$C$65, calc_rusacc!$BJ$15:$BJ$65, "",0),  F1188="Sealant", _xlfn.XLOOKUP(C1188, dd_accsrycalc!$A$2:$A$51, dd_accsrycalc!$G$2:$G$51, "",0),  F1188&lt;&gt;"",L1188*_xlfn.XLOOKUP(1, (SKUs!$C$2:$C$10001=G1188)*(SKUs!$K$2:$K$10001=I1188),SKUs!$E$2:$E$10001)), 0),"")</f>
        <v/>
      </c>
      <c r="E1188" s="35" t="str">
        <f>_xlfn.XLOOKUP(F1188,dd_item!$B$2:$B$105,dd_item!$C$2:$C$105,"",0)</f>
        <v/>
      </c>
      <c r="F1188" s="35"/>
      <c r="G1188" s="35" cm="1">
        <f t="array" ref="G1188">IFERROR(_xlfn.XLOOKUP(1, (SKUs!$J$2:$J$10001=accsry_unmerged!F1188)*IF(H1188&lt;&gt;"",(SKUs!$L$2:$L$10001=accsry_unmerged!H1188),1)*(SKUs!$K$2:$K$10001=I1188),SKUs!$C$2:$C$10001),"")</f>
        <v>0</v>
      </c>
      <c r="H1188" s="36" cm="1">
        <f t="array" ref="H1188">IFERROR(_xlfn.XLOOKUP(1, (dd_accsryclr!$C$2:$C$1000=accsry_unmerged!F1188)*(dd_accsryclr!$B$2:$B$1000=accsry_unmerged!J1188),dd_accsryclr!$A$2:$A$1000),"")</f>
        <v>0</v>
      </c>
      <c r="I1188" s="35">
        <f>_xlfn.XLOOKUP(C1188,'Project Details'!$C$17:$C$66,'Project Details'!$E$17:$E$66,"",0)</f>
        <v>0</v>
      </c>
      <c r="J1188" s="35">
        <f>_xlfn.XLOOKUP(C1188,'Project Details'!$C$17:$C$66,'Project Details'!$H$17:$H$66,"",0)</f>
        <v>0</v>
      </c>
      <c r="K1188" s="36" t="str">
        <f>IF(AND(_xlfn.XLOOKUP(C1188,'Project Details'!$C$17:$C$66,'Project Details'!$L$17:$L$66,"",0)&gt;550, F1188="Spring-L27cm"),"",SUBSTITUTE(_xlfn.XLOOKUP(G1188,SKUs!$C$2:$C$10001,SKUs!$F$2:$F$10001,"",0), " Accessories",""))</f>
        <v/>
      </c>
      <c r="L1188" s="36">
        <f>_xlfn.XLOOKUP(C1188,'Project Details'!$C$17:$C$66,'Project Details'!$D$17:$D$66,"",0)</f>
        <v>0</v>
      </c>
      <c r="M1188" s="43"/>
    </row>
    <row r="1189" spans="1:13" ht="13.5" customHeight="1" x14ac:dyDescent="0.25">
      <c r="A1189" s="43"/>
      <c r="B1189" s="43"/>
      <c r="C1189" s="16">
        <f t="shared" si="22"/>
        <v>24</v>
      </c>
      <c r="D1189" s="16" t="str" cm="1">
        <f t="array" ref="D1189">IFERROR(ROUNDUP(_xlfn.IFS(F1189="Aluminum Track", _xlfn.XLOOKUP(C1189, dd_accsrycalc!$A$2:$A$51, dd_accsrycalc!$B$2:$B$51, "",0), F1189="10 x 2 1/2 S (Flat)", _xlfn.XLOOKUP(C1189, dd_accsrycalc!$A$2:$A$51, dd_accsrycalc!$C$2:$C$51, "",0), F1189="Tox6", _xlfn.XLOOKUP(C1189, dd_accsrycalc!$A$2:$A$51, dd_accsrycalc!$D$2:$D$51, "",0), F1189="Cover Cap", _xlfn.XLOOKUP(C1189, dd_accsrycalc!$A$2:$A$51, dd_accsrycalc!$E$2:$E$51, "",0), F1189="Drainage Cover", _xlfn.XLOOKUP(C1189, dd_accsrycalc!$A$2:$A$51, dd_accsrycalc!$F$2:$F$51, "",0),AND( F1189="Double Adhesive Tape", I1189="Roll-up Screen"), _xlfn.XLOOKUP(C1189, calc_rusacc!$C$15:$C$65, calc_rusacc!$AD$15:$AD$65, "",0),AND( F1189="Sealant", I1189="Roll-up Screen"), _xlfn.XLOOKUP(C1189, calc_rusacc!$C$15:$C$65, calc_rusacc!$AF$15:$AF$65, "",0),  AND( F1189="Main Chain", I1189="Accordion Screen"), _xlfn.XLOOKUP(C1189, calc_rusacc!$C$15:$C$65, calc_rusacc!$BF$15:$BF$65, "",0), AND( F1189="Sealant", I1189="Accordion Screen"), _xlfn.XLOOKUP(C1189, calc_rusacc!$C$15:$C$65, calc_rusacc!$BJ$15:$BJ$65, "",0),  F1189="Sealant", _xlfn.XLOOKUP(C1189, dd_accsrycalc!$A$2:$A$51, dd_accsrycalc!$G$2:$G$51, "",0),  F1189&lt;&gt;"",L1189*_xlfn.XLOOKUP(1, (SKUs!$C$2:$C$10001=G1189)*(SKUs!$K$2:$K$10001=I1189),SKUs!$E$2:$E$10001)), 0),"")</f>
        <v/>
      </c>
      <c r="E1189" s="16" t="str">
        <f>_xlfn.XLOOKUP(F1189,dd_item!$B$2:$B$105,dd_item!$C$2:$C$105,"",0)</f>
        <v/>
      </c>
      <c r="F1189" s="16"/>
      <c r="G1189" s="16" cm="1">
        <f t="array" ref="G1189">IFERROR(_xlfn.XLOOKUP(1, (SKUs!$J$2:$J$10001=accsry_unmerged!F1189)*IF(H1189&lt;&gt;"",(SKUs!$L$2:$L$10001=accsry_unmerged!H1189),1)*(SKUs!$K$2:$K$10001=I1189),SKUs!$C$2:$C$10001),"")</f>
        <v>0</v>
      </c>
      <c r="H1189" s="33" cm="1">
        <f t="array" ref="H1189">IFERROR(_xlfn.XLOOKUP(1, (dd_accsryclr!$C$2:$C$1000=accsry_unmerged!F1189)*(dd_accsryclr!$B$2:$B$1000=accsry_unmerged!J1189),dd_accsryclr!$A$2:$A$1000),"")</f>
        <v>0</v>
      </c>
      <c r="I1189" s="16">
        <f>_xlfn.XLOOKUP(C1189,'Project Details'!$C$17:$C$66,'Project Details'!$E$17:$E$66,"",0)</f>
        <v>0</v>
      </c>
      <c r="J1189" s="16">
        <f>_xlfn.XLOOKUP(C1189,'Project Details'!$C$17:$C$66,'Project Details'!$H$17:$H$66,"",0)</f>
        <v>0</v>
      </c>
      <c r="K1189" s="33" t="str">
        <f>IF(AND(_xlfn.XLOOKUP(C1189,'Project Details'!$C$17:$C$66,'Project Details'!$L$17:$L$66,"",0)&gt;550, F1189="Spring-L27cm"),"",SUBSTITUTE(_xlfn.XLOOKUP(G1189,SKUs!$C$2:$C$10001,SKUs!$F$2:$F$10001,"",0), " Accessories",""))</f>
        <v/>
      </c>
      <c r="L1189" s="33">
        <f>_xlfn.XLOOKUP(C1189,'Project Details'!$C$17:$C$66,'Project Details'!$D$17:$D$66,"",0)</f>
        <v>0</v>
      </c>
      <c r="M1189" s="43"/>
    </row>
    <row r="1190" spans="1:13" ht="13.5" customHeight="1" x14ac:dyDescent="0.25">
      <c r="A1190" s="43"/>
      <c r="B1190" s="43"/>
      <c r="C1190" s="35">
        <f t="shared" si="22"/>
        <v>24</v>
      </c>
      <c r="D1190" s="35" t="str" cm="1">
        <f t="array" ref="D1190">IFERROR(ROUNDUP(_xlfn.IFS(F1190="Aluminum Track", _xlfn.XLOOKUP(C1190, dd_accsrycalc!$A$2:$A$51, dd_accsrycalc!$B$2:$B$51, "",0), F1190="10 x 2 1/2 S (Flat)", _xlfn.XLOOKUP(C1190, dd_accsrycalc!$A$2:$A$51, dd_accsrycalc!$C$2:$C$51, "",0), F1190="Tox6", _xlfn.XLOOKUP(C1190, dd_accsrycalc!$A$2:$A$51, dd_accsrycalc!$D$2:$D$51, "",0), F1190="Cover Cap", _xlfn.XLOOKUP(C1190, dd_accsrycalc!$A$2:$A$51, dd_accsrycalc!$E$2:$E$51, "",0), F1190="Drainage Cover", _xlfn.XLOOKUP(C1190, dd_accsrycalc!$A$2:$A$51, dd_accsrycalc!$F$2:$F$51, "",0),AND( F1190="Double Adhesive Tape", I1190="Roll-up Screen"), _xlfn.XLOOKUP(C1190, calc_rusacc!$C$15:$C$65, calc_rusacc!$AD$15:$AD$65, "",0),AND( F1190="Sealant", I1190="Roll-up Screen"), _xlfn.XLOOKUP(C1190, calc_rusacc!$C$15:$C$65, calc_rusacc!$AF$15:$AF$65, "",0),  AND( F1190="Main Chain", I1190="Accordion Screen"), _xlfn.XLOOKUP(C1190, calc_rusacc!$C$15:$C$65, calc_rusacc!$BF$15:$BF$65, "",0), AND( F1190="Sealant", I1190="Accordion Screen"), _xlfn.XLOOKUP(C1190, calc_rusacc!$C$15:$C$65, calc_rusacc!$BJ$15:$BJ$65, "",0),  F1190="Sealant", _xlfn.XLOOKUP(C1190, dd_accsrycalc!$A$2:$A$51, dd_accsrycalc!$G$2:$G$51, "",0),  F1190&lt;&gt;"",L1190*_xlfn.XLOOKUP(1, (SKUs!$C$2:$C$10001=G1190)*(SKUs!$K$2:$K$10001=I1190),SKUs!$E$2:$E$10001)), 0),"")</f>
        <v/>
      </c>
      <c r="E1190" s="35" t="str">
        <f>_xlfn.XLOOKUP(F1190,dd_item!$B$2:$B$105,dd_item!$C$2:$C$105,"",0)</f>
        <v/>
      </c>
      <c r="F1190" s="35"/>
      <c r="G1190" s="35" cm="1">
        <f t="array" ref="G1190">IFERROR(_xlfn.XLOOKUP(1, (SKUs!$J$2:$J$10001=accsry_unmerged!F1190)*IF(H1190&lt;&gt;"",(SKUs!$L$2:$L$10001=accsry_unmerged!H1190),1)*(SKUs!$K$2:$K$10001=I1190),SKUs!$C$2:$C$10001),"")</f>
        <v>0</v>
      </c>
      <c r="H1190" s="36" cm="1">
        <f t="array" ref="H1190">IFERROR(_xlfn.XLOOKUP(1, (dd_accsryclr!$C$2:$C$1000=accsry_unmerged!F1190)*(dd_accsryclr!$B$2:$B$1000=accsry_unmerged!J1190),dd_accsryclr!$A$2:$A$1000),"")</f>
        <v>0</v>
      </c>
      <c r="I1190" s="35">
        <f>_xlfn.XLOOKUP(C1190,'Project Details'!$C$17:$C$66,'Project Details'!$E$17:$E$66,"",0)</f>
        <v>0</v>
      </c>
      <c r="J1190" s="35">
        <f>_xlfn.XLOOKUP(C1190,'Project Details'!$C$17:$C$66,'Project Details'!$H$17:$H$66,"",0)</f>
        <v>0</v>
      </c>
      <c r="K1190" s="36" t="str">
        <f>IF(AND(_xlfn.XLOOKUP(C1190,'Project Details'!$C$17:$C$66,'Project Details'!$L$17:$L$66,"",0)&gt;550, F1190="Spring-L27cm"),"",SUBSTITUTE(_xlfn.XLOOKUP(G1190,SKUs!$C$2:$C$10001,SKUs!$F$2:$F$10001,"",0), " Accessories",""))</f>
        <v/>
      </c>
      <c r="L1190" s="36">
        <f>_xlfn.XLOOKUP(C1190,'Project Details'!$C$17:$C$66,'Project Details'!$D$17:$D$66,"",0)</f>
        <v>0</v>
      </c>
      <c r="M1190" s="43"/>
    </row>
    <row r="1191" spans="1:13" ht="13.5" customHeight="1" x14ac:dyDescent="0.25">
      <c r="A1191" s="43"/>
      <c r="B1191" s="43"/>
      <c r="C1191" s="16">
        <f t="shared" si="22"/>
        <v>24</v>
      </c>
      <c r="D1191" s="16" t="str" cm="1">
        <f t="array" ref="D1191">IFERROR(ROUNDUP(_xlfn.IFS(F1191="Aluminum Track", _xlfn.XLOOKUP(C1191, dd_accsrycalc!$A$2:$A$51, dd_accsrycalc!$B$2:$B$51, "",0), F1191="10 x 2 1/2 S (Flat)", _xlfn.XLOOKUP(C1191, dd_accsrycalc!$A$2:$A$51, dd_accsrycalc!$C$2:$C$51, "",0), F1191="Tox6", _xlfn.XLOOKUP(C1191, dd_accsrycalc!$A$2:$A$51, dd_accsrycalc!$D$2:$D$51, "",0), F1191="Cover Cap", _xlfn.XLOOKUP(C1191, dd_accsrycalc!$A$2:$A$51, dd_accsrycalc!$E$2:$E$51, "",0), F1191="Drainage Cover", _xlfn.XLOOKUP(C1191, dd_accsrycalc!$A$2:$A$51, dd_accsrycalc!$F$2:$F$51, "",0),AND( F1191="Double Adhesive Tape", I1191="Roll-up Screen"), _xlfn.XLOOKUP(C1191, calc_rusacc!$C$15:$C$65, calc_rusacc!$AD$15:$AD$65, "",0),AND( F1191="Sealant", I1191="Roll-up Screen"), _xlfn.XLOOKUP(C1191, calc_rusacc!$C$15:$C$65, calc_rusacc!$AF$15:$AF$65, "",0),  AND( F1191="Main Chain", I1191="Accordion Screen"), _xlfn.XLOOKUP(C1191, calc_rusacc!$C$15:$C$65, calc_rusacc!$BF$15:$BF$65, "",0), AND( F1191="Sealant", I1191="Accordion Screen"), _xlfn.XLOOKUP(C1191, calc_rusacc!$C$15:$C$65, calc_rusacc!$BJ$15:$BJ$65, "",0),  F1191="Sealant", _xlfn.XLOOKUP(C1191, dd_accsrycalc!$A$2:$A$51, dd_accsrycalc!$G$2:$G$51, "",0),  F1191&lt;&gt;"",L1191*_xlfn.XLOOKUP(1, (SKUs!$C$2:$C$10001=G1191)*(SKUs!$K$2:$K$10001=I1191),SKUs!$E$2:$E$10001)), 0),"")</f>
        <v/>
      </c>
      <c r="E1191" s="16" t="str">
        <f>_xlfn.XLOOKUP(F1191,dd_item!$B$2:$B$105,dd_item!$C$2:$C$105,"",0)</f>
        <v/>
      </c>
      <c r="F1191" s="16"/>
      <c r="G1191" s="16" cm="1">
        <f t="array" ref="G1191">IFERROR(_xlfn.XLOOKUP(1, (SKUs!$J$2:$J$10001=accsry_unmerged!F1191)*IF(H1191&lt;&gt;"",(SKUs!$L$2:$L$10001=accsry_unmerged!H1191),1)*(SKUs!$K$2:$K$10001=I1191),SKUs!$C$2:$C$10001),"")</f>
        <v>0</v>
      </c>
      <c r="H1191" s="33" cm="1">
        <f t="array" ref="H1191">IFERROR(_xlfn.XLOOKUP(1, (dd_accsryclr!$C$2:$C$1000=accsry_unmerged!F1191)*(dd_accsryclr!$B$2:$B$1000=accsry_unmerged!J1191),dd_accsryclr!$A$2:$A$1000),"")</f>
        <v>0</v>
      </c>
      <c r="I1191" s="16">
        <f>_xlfn.XLOOKUP(C1191,'Project Details'!$C$17:$C$66,'Project Details'!$E$17:$E$66,"",0)</f>
        <v>0</v>
      </c>
      <c r="J1191" s="16">
        <f>_xlfn.XLOOKUP(C1191,'Project Details'!$C$17:$C$66,'Project Details'!$H$17:$H$66,"",0)</f>
        <v>0</v>
      </c>
      <c r="K1191" s="33" t="str">
        <f>IF(AND(_xlfn.XLOOKUP(C1191,'Project Details'!$C$17:$C$66,'Project Details'!$L$17:$L$66,"",0)&gt;550, F1191="Spring-L27cm"),"",SUBSTITUTE(_xlfn.XLOOKUP(G1191,SKUs!$C$2:$C$10001,SKUs!$F$2:$F$10001,"",0), " Accessories",""))</f>
        <v/>
      </c>
      <c r="L1191" s="33">
        <f>_xlfn.XLOOKUP(C1191,'Project Details'!$C$17:$C$66,'Project Details'!$D$17:$D$66,"",0)</f>
        <v>0</v>
      </c>
      <c r="M1191" s="43"/>
    </row>
    <row r="1192" spans="1:13" ht="13.5" customHeight="1" x14ac:dyDescent="0.25">
      <c r="A1192" s="43"/>
      <c r="B1192" s="43"/>
      <c r="C1192" s="35">
        <f t="shared" si="22"/>
        <v>24</v>
      </c>
      <c r="D1192" s="35" t="str" cm="1">
        <f t="array" ref="D1192">IFERROR(ROUNDUP(_xlfn.IFS(F1192="Aluminum Track", _xlfn.XLOOKUP(C1192, dd_accsrycalc!$A$2:$A$51, dd_accsrycalc!$B$2:$B$51, "",0), F1192="10 x 2 1/2 S (Flat)", _xlfn.XLOOKUP(C1192, dd_accsrycalc!$A$2:$A$51, dd_accsrycalc!$C$2:$C$51, "",0), F1192="Tox6", _xlfn.XLOOKUP(C1192, dd_accsrycalc!$A$2:$A$51, dd_accsrycalc!$D$2:$D$51, "",0), F1192="Cover Cap", _xlfn.XLOOKUP(C1192, dd_accsrycalc!$A$2:$A$51, dd_accsrycalc!$E$2:$E$51, "",0), F1192="Drainage Cover", _xlfn.XLOOKUP(C1192, dd_accsrycalc!$A$2:$A$51, dd_accsrycalc!$F$2:$F$51, "",0),AND( F1192="Double Adhesive Tape", I1192="Roll-up Screen"), _xlfn.XLOOKUP(C1192, calc_rusacc!$C$15:$C$65, calc_rusacc!$AD$15:$AD$65, "",0),AND( F1192="Sealant", I1192="Roll-up Screen"), _xlfn.XLOOKUP(C1192, calc_rusacc!$C$15:$C$65, calc_rusacc!$AF$15:$AF$65, "",0),  AND( F1192="Main Chain", I1192="Accordion Screen"), _xlfn.XLOOKUP(C1192, calc_rusacc!$C$15:$C$65, calc_rusacc!$BF$15:$BF$65, "",0), AND( F1192="Sealant", I1192="Accordion Screen"), _xlfn.XLOOKUP(C1192, calc_rusacc!$C$15:$C$65, calc_rusacc!$BJ$15:$BJ$65, "",0),  F1192="Sealant", _xlfn.XLOOKUP(C1192, dd_accsrycalc!$A$2:$A$51, dd_accsrycalc!$G$2:$G$51, "",0),  F1192&lt;&gt;"",L1192*_xlfn.XLOOKUP(1, (SKUs!$C$2:$C$10001=G1192)*(SKUs!$K$2:$K$10001=I1192),SKUs!$E$2:$E$10001)), 0),"")</f>
        <v/>
      </c>
      <c r="E1192" s="35" t="str">
        <f>_xlfn.XLOOKUP(F1192,dd_item!$B$2:$B$105,dd_item!$C$2:$C$105,"",0)</f>
        <v/>
      </c>
      <c r="F1192" s="35"/>
      <c r="G1192" s="35" cm="1">
        <f t="array" ref="G1192">IFERROR(_xlfn.XLOOKUP(1, (SKUs!$J$2:$J$10001=accsry_unmerged!F1192)*IF(H1192&lt;&gt;"",(SKUs!$L$2:$L$10001=accsry_unmerged!H1192),1)*(SKUs!$K$2:$K$10001=I1192),SKUs!$C$2:$C$10001),"")</f>
        <v>0</v>
      </c>
      <c r="H1192" s="36" cm="1">
        <f t="array" ref="H1192">IFERROR(_xlfn.XLOOKUP(1, (dd_accsryclr!$C$2:$C$1000=accsry_unmerged!F1192)*(dd_accsryclr!$B$2:$B$1000=accsry_unmerged!J1192),dd_accsryclr!$A$2:$A$1000),"")</f>
        <v>0</v>
      </c>
      <c r="I1192" s="35">
        <f>_xlfn.XLOOKUP(C1192,'Project Details'!$C$17:$C$66,'Project Details'!$E$17:$E$66,"",0)</f>
        <v>0</v>
      </c>
      <c r="J1192" s="35">
        <f>_xlfn.XLOOKUP(C1192,'Project Details'!$C$17:$C$66,'Project Details'!$H$17:$H$66,"",0)</f>
        <v>0</v>
      </c>
      <c r="K1192" s="36" t="str">
        <f>IF(AND(_xlfn.XLOOKUP(C1192,'Project Details'!$C$17:$C$66,'Project Details'!$L$17:$L$66,"",0)&gt;550, F1192="Spring-L27cm"),"",SUBSTITUTE(_xlfn.XLOOKUP(G1192,SKUs!$C$2:$C$10001,SKUs!$F$2:$F$10001,"",0), " Accessories",""))</f>
        <v/>
      </c>
      <c r="L1192" s="36">
        <f>_xlfn.XLOOKUP(C1192,'Project Details'!$C$17:$C$66,'Project Details'!$D$17:$D$66,"",0)</f>
        <v>0</v>
      </c>
      <c r="M1192" s="43"/>
    </row>
    <row r="1193" spans="1:13" ht="13.5" customHeight="1" x14ac:dyDescent="0.25">
      <c r="A1193" s="43"/>
      <c r="B1193" s="43"/>
      <c r="C1193" s="16">
        <f t="shared" si="22"/>
        <v>24</v>
      </c>
      <c r="D1193" s="16" t="str" cm="1">
        <f t="array" ref="D1193">IFERROR(ROUNDUP(_xlfn.IFS(F1193="Aluminum Track", _xlfn.XLOOKUP(C1193, dd_accsrycalc!$A$2:$A$51, dd_accsrycalc!$B$2:$B$51, "",0), F1193="10 x 2 1/2 S (Flat)", _xlfn.XLOOKUP(C1193, dd_accsrycalc!$A$2:$A$51, dd_accsrycalc!$C$2:$C$51, "",0), F1193="Tox6", _xlfn.XLOOKUP(C1193, dd_accsrycalc!$A$2:$A$51, dd_accsrycalc!$D$2:$D$51, "",0), F1193="Cover Cap", _xlfn.XLOOKUP(C1193, dd_accsrycalc!$A$2:$A$51, dd_accsrycalc!$E$2:$E$51, "",0), F1193="Drainage Cover", _xlfn.XLOOKUP(C1193, dd_accsrycalc!$A$2:$A$51, dd_accsrycalc!$F$2:$F$51, "",0),AND( F1193="Double Adhesive Tape", I1193="Roll-up Screen"), _xlfn.XLOOKUP(C1193, calc_rusacc!$C$15:$C$65, calc_rusacc!$AD$15:$AD$65, "",0),AND( F1193="Sealant", I1193="Roll-up Screen"), _xlfn.XLOOKUP(C1193, calc_rusacc!$C$15:$C$65, calc_rusacc!$AF$15:$AF$65, "",0),  AND( F1193="Main Chain", I1193="Accordion Screen"), _xlfn.XLOOKUP(C1193, calc_rusacc!$C$15:$C$65, calc_rusacc!$BF$15:$BF$65, "",0), AND( F1193="Sealant", I1193="Accordion Screen"), _xlfn.XLOOKUP(C1193, calc_rusacc!$C$15:$C$65, calc_rusacc!$BJ$15:$BJ$65, "",0),  F1193="Sealant", _xlfn.XLOOKUP(C1193, dd_accsrycalc!$A$2:$A$51, dd_accsrycalc!$G$2:$G$51, "",0),  F1193&lt;&gt;"",L1193*_xlfn.XLOOKUP(1, (SKUs!$C$2:$C$10001=G1193)*(SKUs!$K$2:$K$10001=I1193),SKUs!$E$2:$E$10001)), 0),"")</f>
        <v/>
      </c>
      <c r="E1193" s="16" t="str">
        <f>_xlfn.XLOOKUP(F1193,dd_item!$B$2:$B$105,dd_item!$C$2:$C$105,"",0)</f>
        <v/>
      </c>
      <c r="F1193" s="16"/>
      <c r="G1193" s="16" cm="1">
        <f t="array" ref="G1193">IFERROR(_xlfn.XLOOKUP(1, (SKUs!$J$2:$J$10001=accsry_unmerged!F1193)*IF(H1193&lt;&gt;"",(SKUs!$L$2:$L$10001=accsry_unmerged!H1193),1)*(SKUs!$K$2:$K$10001=I1193),SKUs!$C$2:$C$10001),"")</f>
        <v>0</v>
      </c>
      <c r="H1193" s="33" cm="1">
        <f t="array" ref="H1193">IFERROR(_xlfn.XLOOKUP(1, (dd_accsryclr!$C$2:$C$1000=accsry_unmerged!F1193)*(dd_accsryclr!$B$2:$B$1000=accsry_unmerged!J1193),dd_accsryclr!$A$2:$A$1000),"")</f>
        <v>0</v>
      </c>
      <c r="I1193" s="16">
        <f>_xlfn.XLOOKUP(C1193,'Project Details'!$C$17:$C$66,'Project Details'!$E$17:$E$66,"",0)</f>
        <v>0</v>
      </c>
      <c r="J1193" s="16">
        <f>_xlfn.XLOOKUP(C1193,'Project Details'!$C$17:$C$66,'Project Details'!$H$17:$H$66,"",0)</f>
        <v>0</v>
      </c>
      <c r="K1193" s="33" t="str">
        <f>IF(AND(_xlfn.XLOOKUP(C1193,'Project Details'!$C$17:$C$66,'Project Details'!$L$17:$L$66,"",0)&gt;550, F1193="Spring-L27cm"),"",SUBSTITUTE(_xlfn.XLOOKUP(G1193,SKUs!$C$2:$C$10001,SKUs!$F$2:$F$10001,"",0), " Accessories",""))</f>
        <v/>
      </c>
      <c r="L1193" s="33">
        <f>_xlfn.XLOOKUP(C1193,'Project Details'!$C$17:$C$66,'Project Details'!$D$17:$D$66,"",0)</f>
        <v>0</v>
      </c>
      <c r="M1193" s="43"/>
    </row>
    <row r="1194" spans="1:13" ht="13.5" customHeight="1" x14ac:dyDescent="0.25">
      <c r="A1194" s="43"/>
      <c r="B1194" s="43"/>
      <c r="C1194" s="35">
        <f t="shared" si="22"/>
        <v>24</v>
      </c>
      <c r="D1194" s="35" t="str" cm="1">
        <f t="array" ref="D1194">IFERROR(ROUNDUP(_xlfn.IFS(F1194="Aluminum Track", _xlfn.XLOOKUP(C1194, dd_accsrycalc!$A$2:$A$51, dd_accsrycalc!$B$2:$B$51, "",0), F1194="10 x 2 1/2 S (Flat)", _xlfn.XLOOKUP(C1194, dd_accsrycalc!$A$2:$A$51, dd_accsrycalc!$C$2:$C$51, "",0), F1194="Tox6", _xlfn.XLOOKUP(C1194, dd_accsrycalc!$A$2:$A$51, dd_accsrycalc!$D$2:$D$51, "",0), F1194="Cover Cap", _xlfn.XLOOKUP(C1194, dd_accsrycalc!$A$2:$A$51, dd_accsrycalc!$E$2:$E$51, "",0), F1194="Drainage Cover", _xlfn.XLOOKUP(C1194, dd_accsrycalc!$A$2:$A$51, dd_accsrycalc!$F$2:$F$51, "",0),AND( F1194="Double Adhesive Tape", I1194="Roll-up Screen"), _xlfn.XLOOKUP(C1194, calc_rusacc!$C$15:$C$65, calc_rusacc!$AD$15:$AD$65, "",0),AND( F1194="Sealant", I1194="Roll-up Screen"), _xlfn.XLOOKUP(C1194, calc_rusacc!$C$15:$C$65, calc_rusacc!$AF$15:$AF$65, "",0),  AND( F1194="Main Chain", I1194="Accordion Screen"), _xlfn.XLOOKUP(C1194, calc_rusacc!$C$15:$C$65, calc_rusacc!$BF$15:$BF$65, "",0), AND( F1194="Sealant", I1194="Accordion Screen"), _xlfn.XLOOKUP(C1194, calc_rusacc!$C$15:$C$65, calc_rusacc!$BJ$15:$BJ$65, "",0),  F1194="Sealant", _xlfn.XLOOKUP(C1194, dd_accsrycalc!$A$2:$A$51, dd_accsrycalc!$G$2:$G$51, "",0),  F1194&lt;&gt;"",L1194*_xlfn.XLOOKUP(1, (SKUs!$C$2:$C$10001=G1194)*(SKUs!$K$2:$K$10001=I1194),SKUs!$E$2:$E$10001)), 0),"")</f>
        <v/>
      </c>
      <c r="E1194" s="35" t="str">
        <f>_xlfn.XLOOKUP(F1194,dd_item!$B$2:$B$105,dd_item!$C$2:$C$105,"",0)</f>
        <v/>
      </c>
      <c r="F1194" s="35"/>
      <c r="G1194" s="35" cm="1">
        <f t="array" ref="G1194">IFERROR(_xlfn.XLOOKUP(1, (SKUs!$J$2:$J$10001=accsry_unmerged!F1194)*IF(H1194&lt;&gt;"",(SKUs!$L$2:$L$10001=accsry_unmerged!H1194),1)*(SKUs!$K$2:$K$10001=I1194),SKUs!$C$2:$C$10001),"")</f>
        <v>0</v>
      </c>
      <c r="H1194" s="36" cm="1">
        <f t="array" ref="H1194">IFERROR(_xlfn.XLOOKUP(1, (dd_accsryclr!$C$2:$C$1000=accsry_unmerged!F1194)*(dd_accsryclr!$B$2:$B$1000=accsry_unmerged!J1194),dd_accsryclr!$A$2:$A$1000),"")</f>
        <v>0</v>
      </c>
      <c r="I1194" s="35">
        <f>_xlfn.XLOOKUP(C1194,'Project Details'!$C$17:$C$66,'Project Details'!$E$17:$E$66,"",0)</f>
        <v>0</v>
      </c>
      <c r="J1194" s="35">
        <f>_xlfn.XLOOKUP(C1194,'Project Details'!$C$17:$C$66,'Project Details'!$H$17:$H$66,"",0)</f>
        <v>0</v>
      </c>
      <c r="K1194" s="36" t="str">
        <f>IF(AND(_xlfn.XLOOKUP(C1194,'Project Details'!$C$17:$C$66,'Project Details'!$L$17:$L$66,"",0)&gt;550, F1194="Spring-L27cm"),"",SUBSTITUTE(_xlfn.XLOOKUP(G1194,SKUs!$C$2:$C$10001,SKUs!$F$2:$F$10001,"",0), " Accessories",""))</f>
        <v/>
      </c>
      <c r="L1194" s="36">
        <f>_xlfn.XLOOKUP(C1194,'Project Details'!$C$17:$C$66,'Project Details'!$D$17:$D$66,"",0)</f>
        <v>0</v>
      </c>
      <c r="M1194" s="43"/>
    </row>
    <row r="1195" spans="1:13" ht="13.5" customHeight="1" outlineLevel="1" x14ac:dyDescent="0.25">
      <c r="A1195" s="43"/>
      <c r="B1195" s="43"/>
      <c r="C1195" s="16">
        <f t="shared" si="22"/>
        <v>24</v>
      </c>
      <c r="D1195" s="16" t="str" cm="1">
        <f t="array" ref="D1195">IFERROR(ROUNDUP(_xlfn.IFS(F1195="Aluminum Track", _xlfn.XLOOKUP(C1195, dd_accsrycalc!$A$2:$A$51, dd_accsrycalc!$B$2:$B$51, "",0), F1195="10 x 2 1/2 S (Flat)", _xlfn.XLOOKUP(C1195, dd_accsrycalc!$A$2:$A$51, dd_accsrycalc!$C$2:$C$51, "",0), F1195="Tox6", _xlfn.XLOOKUP(C1195, dd_accsrycalc!$A$2:$A$51, dd_accsrycalc!$D$2:$D$51, "",0), F1195="Cover Cap", _xlfn.XLOOKUP(C1195, dd_accsrycalc!$A$2:$A$51, dd_accsrycalc!$E$2:$E$51, "",0), F1195="Drainage Cover", _xlfn.XLOOKUP(C1195, dd_accsrycalc!$A$2:$A$51, dd_accsrycalc!$F$2:$F$51, "",0),AND( F1195="Double Adhesive Tape", I1195="Roll-up Screen"), _xlfn.XLOOKUP(C1195, calc_rusacc!$C$15:$C$65, calc_rusacc!$AD$15:$AD$65, "",0),AND( F1195="Sealant", I1195="Roll-up Screen"), _xlfn.XLOOKUP(C1195, calc_rusacc!$C$15:$C$65, calc_rusacc!$AF$15:$AF$65, "",0),  AND( F1195="Main Chain", I1195="Accordion Screen"), _xlfn.XLOOKUP(C1195, calc_rusacc!$C$15:$C$65, calc_rusacc!$BF$15:$BF$65, "",0), AND( F1195="Sealant", I1195="Accordion Screen"), _xlfn.XLOOKUP(C1195, calc_rusacc!$C$15:$C$65, calc_rusacc!$BJ$15:$BJ$65, "",0),  F1195="Sealant", _xlfn.XLOOKUP(C1195, dd_accsrycalc!$A$2:$A$51, dd_accsrycalc!$G$2:$G$51, "",0),  F1195&lt;&gt;"",L1195*_xlfn.XLOOKUP(1, (SKUs!$C$2:$C$10001=G1195)*(SKUs!$K$2:$K$10001=I1195),SKUs!$E$2:$E$10001)), 0),"")</f>
        <v/>
      </c>
      <c r="E1195" s="16" t="str">
        <f>_xlfn.XLOOKUP(F1195,dd_item!$B$2:$B$105,dd_item!$C$2:$C$105,"",0)</f>
        <v/>
      </c>
      <c r="F1195" s="16"/>
      <c r="G1195" s="16" cm="1">
        <f t="array" ref="G1195">IFERROR(_xlfn.XLOOKUP(1, (SKUs!$J$2:$J$10001=accsry_unmerged!F1195)*IF(H1195&lt;&gt;"",(SKUs!$L$2:$L$10001=accsry_unmerged!H1195),1)*(SKUs!$K$2:$K$10001=I1195),SKUs!$C$2:$C$10001),"")</f>
        <v>0</v>
      </c>
      <c r="H1195" s="33" cm="1">
        <f t="array" ref="H1195">IFERROR(_xlfn.XLOOKUP(1, (dd_accsryclr!$C$2:$C$1000=accsry_unmerged!F1195)*(dd_accsryclr!$B$2:$B$1000=accsry_unmerged!J1195),dd_accsryclr!$A$2:$A$1000),"")</f>
        <v>0</v>
      </c>
      <c r="I1195" s="16">
        <f>_xlfn.XLOOKUP(C1195,'Project Details'!$C$17:$C$66,'Project Details'!$E$17:$E$66,"",0)</f>
        <v>0</v>
      </c>
      <c r="J1195" s="16">
        <f>_xlfn.XLOOKUP(C1195,'Project Details'!$C$17:$C$66,'Project Details'!$H$17:$H$66,"",0)</f>
        <v>0</v>
      </c>
      <c r="K1195" s="33" t="str">
        <f>IF(AND(_xlfn.XLOOKUP(C1195,'Project Details'!$C$17:$C$66,'Project Details'!$L$17:$L$66,"",0)&gt;550, F1195="Spring-L27cm"),"",SUBSTITUTE(_xlfn.XLOOKUP(G1195,SKUs!$C$2:$C$10001,SKUs!$F$2:$F$10001,"",0), " Accessories",""))</f>
        <v/>
      </c>
      <c r="L1195" s="33">
        <f>_xlfn.XLOOKUP(C1195,'Project Details'!$C$17:$C$66,'Project Details'!$D$17:$D$66,"",0)</f>
        <v>0</v>
      </c>
      <c r="M1195" s="43"/>
    </row>
    <row r="1196" spans="1:13" ht="13.5" customHeight="1" outlineLevel="1" x14ac:dyDescent="0.25">
      <c r="A1196" s="43"/>
      <c r="B1196" s="43"/>
      <c r="C1196" s="35">
        <f t="shared" si="22"/>
        <v>24</v>
      </c>
      <c r="D1196" s="35" t="str" cm="1">
        <f t="array" ref="D1196">IFERROR(ROUNDUP(_xlfn.IFS(F1196="Aluminum Track", _xlfn.XLOOKUP(C1196, dd_accsrycalc!$A$2:$A$51, dd_accsrycalc!$B$2:$B$51, "",0), F1196="10 x 2 1/2 S (Flat)", _xlfn.XLOOKUP(C1196, dd_accsrycalc!$A$2:$A$51, dd_accsrycalc!$C$2:$C$51, "",0), F1196="Tox6", _xlfn.XLOOKUP(C1196, dd_accsrycalc!$A$2:$A$51, dd_accsrycalc!$D$2:$D$51, "",0), F1196="Cover Cap", _xlfn.XLOOKUP(C1196, dd_accsrycalc!$A$2:$A$51, dd_accsrycalc!$E$2:$E$51, "",0), F1196="Drainage Cover", _xlfn.XLOOKUP(C1196, dd_accsrycalc!$A$2:$A$51, dd_accsrycalc!$F$2:$F$51, "",0),AND( F1196="Double Adhesive Tape", I1196="Roll-up Screen"), _xlfn.XLOOKUP(C1196, calc_rusacc!$C$15:$C$65, calc_rusacc!$AD$15:$AD$65, "",0),AND( F1196="Sealant", I1196="Roll-up Screen"), _xlfn.XLOOKUP(C1196, calc_rusacc!$C$15:$C$65, calc_rusacc!$AF$15:$AF$65, "",0),  AND( F1196="Main Chain", I1196="Accordion Screen"), _xlfn.XLOOKUP(C1196, calc_rusacc!$C$15:$C$65, calc_rusacc!$BF$15:$BF$65, "",0), AND( F1196="Sealant", I1196="Accordion Screen"), _xlfn.XLOOKUP(C1196, calc_rusacc!$C$15:$C$65, calc_rusacc!$BJ$15:$BJ$65, "",0),  F1196="Sealant", _xlfn.XLOOKUP(C1196, dd_accsrycalc!$A$2:$A$51, dd_accsrycalc!$G$2:$G$51, "",0),  F1196&lt;&gt;"",L1196*_xlfn.XLOOKUP(1, (SKUs!$C$2:$C$10001=G1196)*(SKUs!$K$2:$K$10001=I1196),SKUs!$E$2:$E$10001)), 0),"")</f>
        <v/>
      </c>
      <c r="E1196" s="35" t="str">
        <f>_xlfn.XLOOKUP(F1196,dd_item!$B$2:$B$105,dd_item!$C$2:$C$105,"",0)</f>
        <v/>
      </c>
      <c r="F1196" s="35"/>
      <c r="G1196" s="35" cm="1">
        <f t="array" ref="G1196">IFERROR(_xlfn.XLOOKUP(1, (SKUs!$J$2:$J$10001=accsry_unmerged!F1196)*IF(H1196&lt;&gt;"",(SKUs!$L$2:$L$10001=accsry_unmerged!H1196),1)*(SKUs!$K$2:$K$10001=I1196),SKUs!$C$2:$C$10001),"")</f>
        <v>0</v>
      </c>
      <c r="H1196" s="36" cm="1">
        <f t="array" ref="H1196">IFERROR(_xlfn.XLOOKUP(1, (dd_accsryclr!$C$2:$C$1000=accsry_unmerged!F1196)*(dd_accsryclr!$B$2:$B$1000=accsry_unmerged!J1196),dd_accsryclr!$A$2:$A$1000),"")</f>
        <v>0</v>
      </c>
      <c r="I1196" s="35">
        <f>_xlfn.XLOOKUP(C1196,'Project Details'!$C$17:$C$66,'Project Details'!$E$17:$E$66,"",0)</f>
        <v>0</v>
      </c>
      <c r="J1196" s="35">
        <f>_xlfn.XLOOKUP(C1196,'Project Details'!$C$17:$C$66,'Project Details'!$H$17:$H$66,"",0)</f>
        <v>0</v>
      </c>
      <c r="K1196" s="36" t="str">
        <f>IF(AND(_xlfn.XLOOKUP(C1196,'Project Details'!$C$17:$C$66,'Project Details'!$L$17:$L$66,"",0)&gt;550, F1196="Spring-L27cm"),"",SUBSTITUTE(_xlfn.XLOOKUP(G1196,SKUs!$C$2:$C$10001,SKUs!$F$2:$F$10001,"",0), " Accessories",""))</f>
        <v/>
      </c>
      <c r="L1196" s="36">
        <f>_xlfn.XLOOKUP(C1196,'Project Details'!$C$17:$C$66,'Project Details'!$D$17:$D$66,"",0)</f>
        <v>0</v>
      </c>
      <c r="M1196" s="43"/>
    </row>
    <row r="1197" spans="1:13" ht="13.5" customHeight="1" outlineLevel="1" x14ac:dyDescent="0.25">
      <c r="A1197" s="43"/>
      <c r="B1197" s="43"/>
      <c r="C1197" s="16">
        <f t="shared" si="22"/>
        <v>24</v>
      </c>
      <c r="D1197" s="16" t="str" cm="1">
        <f t="array" ref="D1197">IFERROR(ROUNDUP(_xlfn.IFS(F1197="Aluminum Track", _xlfn.XLOOKUP(C1197, dd_accsrycalc!$A$2:$A$51, dd_accsrycalc!$B$2:$B$51, "",0), F1197="10 x 2 1/2 S (Flat)", _xlfn.XLOOKUP(C1197, dd_accsrycalc!$A$2:$A$51, dd_accsrycalc!$C$2:$C$51, "",0), F1197="Tox6", _xlfn.XLOOKUP(C1197, dd_accsrycalc!$A$2:$A$51, dd_accsrycalc!$D$2:$D$51, "",0), F1197="Cover Cap", _xlfn.XLOOKUP(C1197, dd_accsrycalc!$A$2:$A$51, dd_accsrycalc!$E$2:$E$51, "",0), F1197="Drainage Cover", _xlfn.XLOOKUP(C1197, dd_accsrycalc!$A$2:$A$51, dd_accsrycalc!$F$2:$F$51, "",0),AND( F1197="Double Adhesive Tape", I1197="Roll-up Screen"), _xlfn.XLOOKUP(C1197, calc_rusacc!$C$15:$C$65, calc_rusacc!$AD$15:$AD$65, "",0),AND( F1197="Sealant", I1197="Roll-up Screen"), _xlfn.XLOOKUP(C1197, calc_rusacc!$C$15:$C$65, calc_rusacc!$AF$15:$AF$65, "",0),  AND( F1197="Main Chain", I1197="Accordion Screen"), _xlfn.XLOOKUP(C1197, calc_rusacc!$C$15:$C$65, calc_rusacc!$BF$15:$BF$65, "",0), AND( F1197="Sealant", I1197="Accordion Screen"), _xlfn.XLOOKUP(C1197, calc_rusacc!$C$15:$C$65, calc_rusacc!$BJ$15:$BJ$65, "",0),  F1197="Sealant", _xlfn.XLOOKUP(C1197, dd_accsrycalc!$A$2:$A$51, dd_accsrycalc!$G$2:$G$51, "",0),  F1197&lt;&gt;"",L1197*_xlfn.XLOOKUP(1, (SKUs!$C$2:$C$10001=G1197)*(SKUs!$K$2:$K$10001=I1197),SKUs!$E$2:$E$10001)), 0),"")</f>
        <v/>
      </c>
      <c r="E1197" s="16" t="str">
        <f>_xlfn.XLOOKUP(F1197,dd_item!$B$2:$B$105,dd_item!$C$2:$C$105,"",0)</f>
        <v/>
      </c>
      <c r="F1197" s="16"/>
      <c r="G1197" s="16" cm="1">
        <f t="array" ref="G1197">IFERROR(_xlfn.XLOOKUP(1, (SKUs!$J$2:$J$10001=accsry_unmerged!F1197)*IF(H1197&lt;&gt;"",(SKUs!$L$2:$L$10001=accsry_unmerged!H1197),1)*(SKUs!$K$2:$K$10001=I1197),SKUs!$C$2:$C$10001),"")</f>
        <v>0</v>
      </c>
      <c r="H1197" s="33" cm="1">
        <f t="array" ref="H1197">IFERROR(_xlfn.XLOOKUP(1, (dd_accsryclr!$C$2:$C$1000=accsry_unmerged!F1197)*(dd_accsryclr!$B$2:$B$1000=accsry_unmerged!J1197),dd_accsryclr!$A$2:$A$1000),"")</f>
        <v>0</v>
      </c>
      <c r="I1197" s="16">
        <f>_xlfn.XLOOKUP(C1197,'Project Details'!$C$17:$C$66,'Project Details'!$E$17:$E$66,"",0)</f>
        <v>0</v>
      </c>
      <c r="J1197" s="16">
        <f>_xlfn.XLOOKUP(C1197,'Project Details'!$C$17:$C$66,'Project Details'!$H$17:$H$66,"",0)</f>
        <v>0</v>
      </c>
      <c r="K1197" s="33" t="str">
        <f>IF(AND(_xlfn.XLOOKUP(C1197,'Project Details'!$C$17:$C$66,'Project Details'!$L$17:$L$66,"",0)&gt;550, F1197="Spring-L27cm"),"",SUBSTITUTE(_xlfn.XLOOKUP(G1197,SKUs!$C$2:$C$10001,SKUs!$F$2:$F$10001,"",0), " Accessories",""))</f>
        <v/>
      </c>
      <c r="L1197" s="33">
        <f>_xlfn.XLOOKUP(C1197,'Project Details'!$C$17:$C$66,'Project Details'!$D$17:$D$66,"",0)</f>
        <v>0</v>
      </c>
      <c r="M1197" s="43"/>
    </row>
    <row r="1198" spans="1:13" ht="13.5" customHeight="1" outlineLevel="1" x14ac:dyDescent="0.25">
      <c r="A1198" s="43"/>
      <c r="B1198" s="43"/>
      <c r="C1198" s="35">
        <f t="shared" si="22"/>
        <v>24</v>
      </c>
      <c r="D1198" s="35" t="str" cm="1">
        <f t="array" ref="D1198">IFERROR(ROUNDUP(_xlfn.IFS(F1198="Aluminum Track", _xlfn.XLOOKUP(C1198, dd_accsrycalc!$A$2:$A$51, dd_accsrycalc!$B$2:$B$51, "",0), F1198="10 x 2 1/2 S (Flat)", _xlfn.XLOOKUP(C1198, dd_accsrycalc!$A$2:$A$51, dd_accsrycalc!$C$2:$C$51, "",0), F1198="Tox6", _xlfn.XLOOKUP(C1198, dd_accsrycalc!$A$2:$A$51, dd_accsrycalc!$D$2:$D$51, "",0), F1198="Cover Cap", _xlfn.XLOOKUP(C1198, dd_accsrycalc!$A$2:$A$51, dd_accsrycalc!$E$2:$E$51, "",0), F1198="Drainage Cover", _xlfn.XLOOKUP(C1198, dd_accsrycalc!$A$2:$A$51, dd_accsrycalc!$F$2:$F$51, "",0),AND( F1198="Double Adhesive Tape", I1198="Roll-up Screen"), _xlfn.XLOOKUP(C1198, calc_rusacc!$C$15:$C$65, calc_rusacc!$AD$15:$AD$65, "",0),AND( F1198="Sealant", I1198="Roll-up Screen"), _xlfn.XLOOKUP(C1198, calc_rusacc!$C$15:$C$65, calc_rusacc!$AF$15:$AF$65, "",0),  AND( F1198="Main Chain", I1198="Accordion Screen"), _xlfn.XLOOKUP(C1198, calc_rusacc!$C$15:$C$65, calc_rusacc!$BF$15:$BF$65, "",0), AND( F1198="Sealant", I1198="Accordion Screen"), _xlfn.XLOOKUP(C1198, calc_rusacc!$C$15:$C$65, calc_rusacc!$BJ$15:$BJ$65, "",0),  F1198="Sealant", _xlfn.XLOOKUP(C1198, dd_accsrycalc!$A$2:$A$51, dd_accsrycalc!$G$2:$G$51, "",0),  F1198&lt;&gt;"",L1198*_xlfn.XLOOKUP(1, (SKUs!$C$2:$C$10001=G1198)*(SKUs!$K$2:$K$10001=I1198),SKUs!$E$2:$E$10001)), 0),"")</f>
        <v/>
      </c>
      <c r="E1198" s="35" t="str">
        <f>_xlfn.XLOOKUP(F1198,dd_item!$B$2:$B$105,dd_item!$C$2:$C$105,"",0)</f>
        <v/>
      </c>
      <c r="F1198" s="35"/>
      <c r="G1198" s="35" cm="1">
        <f t="array" ref="G1198">IFERROR(_xlfn.XLOOKUP(1, (SKUs!$J$2:$J$10001=accsry_unmerged!F1198)*IF(H1198&lt;&gt;"",(SKUs!$L$2:$L$10001=accsry_unmerged!H1198),1)*(SKUs!$K$2:$K$10001=I1198),SKUs!$C$2:$C$10001),"")</f>
        <v>0</v>
      </c>
      <c r="H1198" s="36" cm="1">
        <f t="array" ref="H1198">IFERROR(_xlfn.XLOOKUP(1, (dd_accsryclr!$C$2:$C$1000=accsry_unmerged!F1198)*(dd_accsryclr!$B$2:$B$1000=accsry_unmerged!J1198),dd_accsryclr!$A$2:$A$1000),"")</f>
        <v>0</v>
      </c>
      <c r="I1198" s="35">
        <f>_xlfn.XLOOKUP(C1198,'Project Details'!$C$17:$C$66,'Project Details'!$E$17:$E$66,"",0)</f>
        <v>0</v>
      </c>
      <c r="J1198" s="35">
        <f>_xlfn.XLOOKUP(C1198,'Project Details'!$C$17:$C$66,'Project Details'!$H$17:$H$66,"",0)</f>
        <v>0</v>
      </c>
      <c r="K1198" s="36" t="str">
        <f>IF(AND(_xlfn.XLOOKUP(C1198,'Project Details'!$C$17:$C$66,'Project Details'!$L$17:$L$66,"",0)&gt;550, F1198="Spring-L27cm"),"",SUBSTITUTE(_xlfn.XLOOKUP(G1198,SKUs!$C$2:$C$10001,SKUs!$F$2:$F$10001,"",0), " Accessories",""))</f>
        <v/>
      </c>
      <c r="L1198" s="36">
        <f>_xlfn.XLOOKUP(C1198,'Project Details'!$C$17:$C$66,'Project Details'!$D$17:$D$66,"",0)</f>
        <v>0</v>
      </c>
      <c r="M1198" s="43"/>
    </row>
    <row r="1199" spans="1:13" ht="13.5" customHeight="1" outlineLevel="1" x14ac:dyDescent="0.25">
      <c r="A1199" s="43"/>
      <c r="B1199" s="43"/>
      <c r="C1199" s="16">
        <f t="shared" si="22"/>
        <v>24</v>
      </c>
      <c r="D1199" s="16" t="str" cm="1">
        <f t="array" ref="D1199">IFERROR(ROUNDUP(_xlfn.IFS(F1199="Aluminum Track", _xlfn.XLOOKUP(C1199, dd_accsrycalc!$A$2:$A$51, dd_accsrycalc!$B$2:$B$51, "",0), F1199="10 x 2 1/2 S (Flat)", _xlfn.XLOOKUP(C1199, dd_accsrycalc!$A$2:$A$51, dd_accsrycalc!$C$2:$C$51, "",0), F1199="Tox6", _xlfn.XLOOKUP(C1199, dd_accsrycalc!$A$2:$A$51, dd_accsrycalc!$D$2:$D$51, "",0), F1199="Cover Cap", _xlfn.XLOOKUP(C1199, dd_accsrycalc!$A$2:$A$51, dd_accsrycalc!$E$2:$E$51, "",0), F1199="Drainage Cover", _xlfn.XLOOKUP(C1199, dd_accsrycalc!$A$2:$A$51, dd_accsrycalc!$F$2:$F$51, "",0),AND( F1199="Double Adhesive Tape", I1199="Roll-up Screen"), _xlfn.XLOOKUP(C1199, calc_rusacc!$C$15:$C$65, calc_rusacc!$AD$15:$AD$65, "",0),AND( F1199="Sealant", I1199="Roll-up Screen"), _xlfn.XLOOKUP(C1199, calc_rusacc!$C$15:$C$65, calc_rusacc!$AF$15:$AF$65, "",0),  AND( F1199="Main Chain", I1199="Accordion Screen"), _xlfn.XLOOKUP(C1199, calc_rusacc!$C$15:$C$65, calc_rusacc!$BF$15:$BF$65, "",0), AND( F1199="Sealant", I1199="Accordion Screen"), _xlfn.XLOOKUP(C1199, calc_rusacc!$C$15:$C$65, calc_rusacc!$BJ$15:$BJ$65, "",0),  F1199="Sealant", _xlfn.XLOOKUP(C1199, dd_accsrycalc!$A$2:$A$51, dd_accsrycalc!$G$2:$G$51, "",0),  F1199&lt;&gt;"",L1199*_xlfn.XLOOKUP(1, (SKUs!$C$2:$C$10001=G1199)*(SKUs!$K$2:$K$10001=I1199),SKUs!$E$2:$E$10001)), 0),"")</f>
        <v/>
      </c>
      <c r="E1199" s="16" t="str">
        <f>_xlfn.XLOOKUP(F1199,dd_item!$B$2:$B$105,dd_item!$C$2:$C$105,"",0)</f>
        <v/>
      </c>
      <c r="F1199" s="16"/>
      <c r="G1199" s="16" cm="1">
        <f t="array" ref="G1199">IFERROR(_xlfn.XLOOKUP(1, (SKUs!$J$2:$J$10001=accsry_unmerged!F1199)*IF(H1199&lt;&gt;"",(SKUs!$L$2:$L$10001=accsry_unmerged!H1199),1)*(SKUs!$K$2:$K$10001=I1199),SKUs!$C$2:$C$10001),"")</f>
        <v>0</v>
      </c>
      <c r="H1199" s="33" cm="1">
        <f t="array" ref="H1199">IFERROR(_xlfn.XLOOKUP(1, (dd_accsryclr!$C$2:$C$1000=accsry_unmerged!F1199)*(dd_accsryclr!$B$2:$B$1000=accsry_unmerged!J1199),dd_accsryclr!$A$2:$A$1000),"")</f>
        <v>0</v>
      </c>
      <c r="I1199" s="16">
        <f>_xlfn.XLOOKUP(C1199,'Project Details'!$C$17:$C$66,'Project Details'!$E$17:$E$66,"",0)</f>
        <v>0</v>
      </c>
      <c r="J1199" s="16">
        <f>_xlfn.XLOOKUP(C1199,'Project Details'!$C$17:$C$66,'Project Details'!$H$17:$H$66,"",0)</f>
        <v>0</v>
      </c>
      <c r="K1199" s="33" t="str">
        <f>IF(AND(_xlfn.XLOOKUP(C1199,'Project Details'!$C$17:$C$66,'Project Details'!$L$17:$L$66,"",0)&gt;550, F1199="Spring-L27cm"),"",SUBSTITUTE(_xlfn.XLOOKUP(G1199,SKUs!$C$2:$C$10001,SKUs!$F$2:$F$10001,"",0), " Accessories",""))</f>
        <v/>
      </c>
      <c r="L1199" s="33">
        <f>_xlfn.XLOOKUP(C1199,'Project Details'!$C$17:$C$66,'Project Details'!$D$17:$D$66,"",0)</f>
        <v>0</v>
      </c>
      <c r="M1199" s="43"/>
    </row>
    <row r="1200" spans="1:13" ht="13.5" customHeight="1" outlineLevel="1" x14ac:dyDescent="0.25">
      <c r="A1200" s="43"/>
      <c r="B1200" s="43"/>
      <c r="C1200" s="35">
        <f t="shared" si="22"/>
        <v>24</v>
      </c>
      <c r="D1200" s="35" t="str" cm="1">
        <f t="array" ref="D1200">IFERROR(ROUNDUP(_xlfn.IFS(F1200="Aluminum Track", _xlfn.XLOOKUP(C1200, dd_accsrycalc!$A$2:$A$51, dd_accsrycalc!$B$2:$B$51, "",0), F1200="10 x 2 1/2 S (Flat)", _xlfn.XLOOKUP(C1200, dd_accsrycalc!$A$2:$A$51, dd_accsrycalc!$C$2:$C$51, "",0), F1200="Tox6", _xlfn.XLOOKUP(C1200, dd_accsrycalc!$A$2:$A$51, dd_accsrycalc!$D$2:$D$51, "",0), F1200="Cover Cap", _xlfn.XLOOKUP(C1200, dd_accsrycalc!$A$2:$A$51, dd_accsrycalc!$E$2:$E$51, "",0), F1200="Drainage Cover", _xlfn.XLOOKUP(C1200, dd_accsrycalc!$A$2:$A$51, dd_accsrycalc!$F$2:$F$51, "",0),AND( F1200="Double Adhesive Tape", I1200="Roll-up Screen"), _xlfn.XLOOKUP(C1200, calc_rusacc!$C$15:$C$65, calc_rusacc!$AD$15:$AD$65, "",0),AND( F1200="Sealant", I1200="Roll-up Screen"), _xlfn.XLOOKUP(C1200, calc_rusacc!$C$15:$C$65, calc_rusacc!$AF$15:$AF$65, "",0),  AND( F1200="Main Chain", I1200="Accordion Screen"), _xlfn.XLOOKUP(C1200, calc_rusacc!$C$15:$C$65, calc_rusacc!$BF$15:$BF$65, "",0), AND( F1200="Sealant", I1200="Accordion Screen"), _xlfn.XLOOKUP(C1200, calc_rusacc!$C$15:$C$65, calc_rusacc!$BJ$15:$BJ$65, "",0),  F1200="Sealant", _xlfn.XLOOKUP(C1200, dd_accsrycalc!$A$2:$A$51, dd_accsrycalc!$G$2:$G$51, "",0),  F1200&lt;&gt;"",L1200*_xlfn.XLOOKUP(1, (SKUs!$C$2:$C$10001=G1200)*(SKUs!$K$2:$K$10001=I1200),SKUs!$E$2:$E$10001)), 0),"")</f>
        <v/>
      </c>
      <c r="E1200" s="35" t="str">
        <f>_xlfn.XLOOKUP(F1200,dd_item!$B$2:$B$105,dd_item!$C$2:$C$105,"",0)</f>
        <v/>
      </c>
      <c r="F1200" s="35"/>
      <c r="G1200" s="35" cm="1">
        <f t="array" ref="G1200">IFERROR(_xlfn.XLOOKUP(1, (SKUs!$J$2:$J$10001=accsry_unmerged!F1200)*IF(H1200&lt;&gt;"",(SKUs!$L$2:$L$10001=accsry_unmerged!H1200),1)*(SKUs!$K$2:$K$10001=I1200),SKUs!$C$2:$C$10001),"")</f>
        <v>0</v>
      </c>
      <c r="H1200" s="36" cm="1">
        <f t="array" ref="H1200">IFERROR(_xlfn.XLOOKUP(1, (dd_accsryclr!$C$2:$C$1000=accsry_unmerged!F1200)*(dd_accsryclr!$B$2:$B$1000=accsry_unmerged!J1200),dd_accsryclr!$A$2:$A$1000),"")</f>
        <v>0</v>
      </c>
      <c r="I1200" s="35">
        <f>_xlfn.XLOOKUP(C1200,'Project Details'!$C$17:$C$66,'Project Details'!$E$17:$E$66,"",0)</f>
        <v>0</v>
      </c>
      <c r="J1200" s="35">
        <f>_xlfn.XLOOKUP(C1200,'Project Details'!$C$17:$C$66,'Project Details'!$H$17:$H$66,"",0)</f>
        <v>0</v>
      </c>
      <c r="K1200" s="36" t="str">
        <f>IF(AND(_xlfn.XLOOKUP(C1200,'Project Details'!$C$17:$C$66,'Project Details'!$L$17:$L$66,"",0)&gt;550, F1200="Spring-L27cm"),"",SUBSTITUTE(_xlfn.XLOOKUP(G1200,SKUs!$C$2:$C$10001,SKUs!$F$2:$F$10001,"",0), " Accessories",""))</f>
        <v/>
      </c>
      <c r="L1200" s="36">
        <f>_xlfn.XLOOKUP(C1200,'Project Details'!$C$17:$C$66,'Project Details'!$D$17:$D$66,"",0)</f>
        <v>0</v>
      </c>
      <c r="M1200" s="43"/>
    </row>
    <row r="1201" spans="1:13" ht="13.5" customHeight="1" outlineLevel="1" x14ac:dyDescent="0.25">
      <c r="A1201" s="43"/>
      <c r="B1201" s="43"/>
      <c r="C1201" s="16">
        <f t="shared" si="22"/>
        <v>24</v>
      </c>
      <c r="D1201" s="16" t="str" cm="1">
        <f t="array" ref="D1201">IFERROR(ROUNDUP(_xlfn.IFS(F1201="Aluminum Track", _xlfn.XLOOKUP(C1201, dd_accsrycalc!$A$2:$A$51, dd_accsrycalc!$B$2:$B$51, "",0), F1201="10 x 2 1/2 S (Flat)", _xlfn.XLOOKUP(C1201, dd_accsrycalc!$A$2:$A$51, dd_accsrycalc!$C$2:$C$51, "",0), F1201="Tox6", _xlfn.XLOOKUP(C1201, dd_accsrycalc!$A$2:$A$51, dd_accsrycalc!$D$2:$D$51, "",0), F1201="Cover Cap", _xlfn.XLOOKUP(C1201, dd_accsrycalc!$A$2:$A$51, dd_accsrycalc!$E$2:$E$51, "",0), F1201="Drainage Cover", _xlfn.XLOOKUP(C1201, dd_accsrycalc!$A$2:$A$51, dd_accsrycalc!$F$2:$F$51, "",0),AND( F1201="Double Adhesive Tape", I1201="Roll-up Screen"), _xlfn.XLOOKUP(C1201, calc_rusacc!$C$15:$C$65, calc_rusacc!$AD$15:$AD$65, "",0),AND( F1201="Sealant", I1201="Roll-up Screen"), _xlfn.XLOOKUP(C1201, calc_rusacc!$C$15:$C$65, calc_rusacc!$AF$15:$AF$65, "",0),  AND( F1201="Main Chain", I1201="Accordion Screen"), _xlfn.XLOOKUP(C1201, calc_rusacc!$C$15:$C$65, calc_rusacc!$BF$15:$BF$65, "",0), AND( F1201="Sealant", I1201="Accordion Screen"), _xlfn.XLOOKUP(C1201, calc_rusacc!$C$15:$C$65, calc_rusacc!$BJ$15:$BJ$65, "",0),  F1201="Sealant", _xlfn.XLOOKUP(C1201, dd_accsrycalc!$A$2:$A$51, dd_accsrycalc!$G$2:$G$51, "",0),  F1201&lt;&gt;"",L1201*_xlfn.XLOOKUP(1, (SKUs!$C$2:$C$10001=G1201)*(SKUs!$K$2:$K$10001=I1201),SKUs!$E$2:$E$10001)), 0),"")</f>
        <v/>
      </c>
      <c r="E1201" s="16" t="str">
        <f>_xlfn.XLOOKUP(F1201,dd_item!$B$2:$B$105,dd_item!$C$2:$C$105,"",0)</f>
        <v/>
      </c>
      <c r="F1201" s="16"/>
      <c r="G1201" s="16" cm="1">
        <f t="array" ref="G1201">IFERROR(_xlfn.XLOOKUP(1, (SKUs!$J$2:$J$10001=accsry_unmerged!F1201)*IF(H1201&lt;&gt;"",(SKUs!$L$2:$L$10001=accsry_unmerged!H1201),1)*(SKUs!$K$2:$K$10001=I1201),SKUs!$C$2:$C$10001),"")</f>
        <v>0</v>
      </c>
      <c r="H1201" s="33" cm="1">
        <f t="array" ref="H1201">IFERROR(_xlfn.XLOOKUP(1, (dd_accsryclr!$C$2:$C$1000=accsry_unmerged!F1201)*(dd_accsryclr!$B$2:$B$1000=accsry_unmerged!J1201),dd_accsryclr!$A$2:$A$1000),"")</f>
        <v>0</v>
      </c>
      <c r="I1201" s="16">
        <f>_xlfn.XLOOKUP(C1201,'Project Details'!$C$17:$C$66,'Project Details'!$E$17:$E$66,"",0)</f>
        <v>0</v>
      </c>
      <c r="J1201" s="16">
        <f>_xlfn.XLOOKUP(C1201,'Project Details'!$C$17:$C$66,'Project Details'!$H$17:$H$66,"",0)</f>
        <v>0</v>
      </c>
      <c r="K1201" s="33" t="str">
        <f>IF(AND(_xlfn.XLOOKUP(C1201,'Project Details'!$C$17:$C$66,'Project Details'!$L$17:$L$66,"",0)&gt;550, F1201="Spring-L27cm"),"",SUBSTITUTE(_xlfn.XLOOKUP(G1201,SKUs!$C$2:$C$10001,SKUs!$F$2:$F$10001,"",0), " Accessories",""))</f>
        <v/>
      </c>
      <c r="L1201" s="33">
        <f>_xlfn.XLOOKUP(C1201,'Project Details'!$C$17:$C$66,'Project Details'!$D$17:$D$66,"",0)</f>
        <v>0</v>
      </c>
      <c r="M1201" s="43"/>
    </row>
    <row r="1202" spans="1:13" ht="13.5" customHeight="1" outlineLevel="1" x14ac:dyDescent="0.25">
      <c r="A1202" s="43"/>
      <c r="B1202" s="43"/>
      <c r="C1202" s="35">
        <f t="shared" si="22"/>
        <v>24</v>
      </c>
      <c r="D1202" s="35" t="str" cm="1">
        <f t="array" ref="D1202">IFERROR(ROUNDUP(_xlfn.IFS(F1202="Aluminum Track", _xlfn.XLOOKUP(C1202, dd_accsrycalc!$A$2:$A$51, dd_accsrycalc!$B$2:$B$51, "",0), F1202="10 x 2 1/2 S (Flat)", _xlfn.XLOOKUP(C1202, dd_accsrycalc!$A$2:$A$51, dd_accsrycalc!$C$2:$C$51, "",0), F1202="Tox6", _xlfn.XLOOKUP(C1202, dd_accsrycalc!$A$2:$A$51, dd_accsrycalc!$D$2:$D$51, "",0), F1202="Cover Cap", _xlfn.XLOOKUP(C1202, dd_accsrycalc!$A$2:$A$51, dd_accsrycalc!$E$2:$E$51, "",0), F1202="Drainage Cover", _xlfn.XLOOKUP(C1202, dd_accsrycalc!$A$2:$A$51, dd_accsrycalc!$F$2:$F$51, "",0),AND( F1202="Double Adhesive Tape", I1202="Roll-up Screen"), _xlfn.XLOOKUP(C1202, calc_rusacc!$C$15:$C$65, calc_rusacc!$AD$15:$AD$65, "",0),AND( F1202="Sealant", I1202="Roll-up Screen"), _xlfn.XLOOKUP(C1202, calc_rusacc!$C$15:$C$65, calc_rusacc!$AF$15:$AF$65, "",0),  AND( F1202="Main Chain", I1202="Accordion Screen"), _xlfn.XLOOKUP(C1202, calc_rusacc!$C$15:$C$65, calc_rusacc!$BF$15:$BF$65, "",0), AND( F1202="Sealant", I1202="Accordion Screen"), _xlfn.XLOOKUP(C1202, calc_rusacc!$C$15:$C$65, calc_rusacc!$BJ$15:$BJ$65, "",0),  F1202="Sealant", _xlfn.XLOOKUP(C1202, dd_accsrycalc!$A$2:$A$51, dd_accsrycalc!$G$2:$G$51, "",0),  F1202&lt;&gt;"",L1202*_xlfn.XLOOKUP(1, (SKUs!$C$2:$C$10001=G1202)*(SKUs!$K$2:$K$10001=I1202),SKUs!$E$2:$E$10001)), 0),"")</f>
        <v/>
      </c>
      <c r="E1202" s="35" t="str">
        <f>_xlfn.XLOOKUP(F1202,dd_item!$B$2:$B$105,dd_item!$C$2:$C$105,"",0)</f>
        <v/>
      </c>
      <c r="F1202" s="35"/>
      <c r="G1202" s="35" cm="1">
        <f t="array" ref="G1202">IFERROR(_xlfn.XLOOKUP(1, (SKUs!$J$2:$J$10001=accsry_unmerged!F1202)*IF(H1202&lt;&gt;"",(SKUs!$L$2:$L$10001=accsry_unmerged!H1202),1)*(SKUs!$K$2:$K$10001=I1202),SKUs!$C$2:$C$10001),"")</f>
        <v>0</v>
      </c>
      <c r="H1202" s="36" cm="1">
        <f t="array" ref="H1202">IFERROR(_xlfn.XLOOKUP(1, (dd_accsryclr!$C$2:$C$1000=accsry_unmerged!F1202)*(dd_accsryclr!$B$2:$B$1000=accsry_unmerged!J1202),dd_accsryclr!$A$2:$A$1000),"")</f>
        <v>0</v>
      </c>
      <c r="I1202" s="35">
        <f>_xlfn.XLOOKUP(C1202,'Project Details'!$C$17:$C$66,'Project Details'!$E$17:$E$66,"",0)</f>
        <v>0</v>
      </c>
      <c r="J1202" s="35">
        <f>_xlfn.XLOOKUP(C1202,'Project Details'!$C$17:$C$66,'Project Details'!$H$17:$H$66,"",0)</f>
        <v>0</v>
      </c>
      <c r="K1202" s="36" t="str">
        <f>IF(AND(_xlfn.XLOOKUP(C1202,'Project Details'!$C$17:$C$66,'Project Details'!$L$17:$L$66,"",0)&gt;550, F1202="Spring-L27cm"),"",SUBSTITUTE(_xlfn.XLOOKUP(G1202,SKUs!$C$2:$C$10001,SKUs!$F$2:$F$10001,"",0), " Accessories",""))</f>
        <v/>
      </c>
      <c r="L1202" s="36">
        <f>_xlfn.XLOOKUP(C1202,'Project Details'!$C$17:$C$66,'Project Details'!$D$17:$D$66,"",0)</f>
        <v>0</v>
      </c>
      <c r="M1202" s="43"/>
    </row>
    <row r="1203" spans="1:13" ht="13.5" customHeight="1" outlineLevel="1" x14ac:dyDescent="0.25">
      <c r="A1203" s="43"/>
      <c r="B1203" s="43"/>
      <c r="C1203" s="16">
        <f t="shared" si="22"/>
        <v>24</v>
      </c>
      <c r="D1203" s="16" t="str" cm="1">
        <f t="array" ref="D1203">IFERROR(ROUNDUP(_xlfn.IFS(F1203="Aluminum Track", _xlfn.XLOOKUP(C1203, dd_accsrycalc!$A$2:$A$51, dd_accsrycalc!$B$2:$B$51, "",0), F1203="10 x 2 1/2 S (Flat)", _xlfn.XLOOKUP(C1203, dd_accsrycalc!$A$2:$A$51, dd_accsrycalc!$C$2:$C$51, "",0), F1203="Tox6", _xlfn.XLOOKUP(C1203, dd_accsrycalc!$A$2:$A$51, dd_accsrycalc!$D$2:$D$51, "",0), F1203="Cover Cap", _xlfn.XLOOKUP(C1203, dd_accsrycalc!$A$2:$A$51, dd_accsrycalc!$E$2:$E$51, "",0), F1203="Drainage Cover", _xlfn.XLOOKUP(C1203, dd_accsrycalc!$A$2:$A$51, dd_accsrycalc!$F$2:$F$51, "",0),AND( F1203="Double Adhesive Tape", I1203="Roll-up Screen"), _xlfn.XLOOKUP(C1203, calc_rusacc!$C$15:$C$65, calc_rusacc!$AD$15:$AD$65, "",0),AND( F1203="Sealant", I1203="Roll-up Screen"), _xlfn.XLOOKUP(C1203, calc_rusacc!$C$15:$C$65, calc_rusacc!$AF$15:$AF$65, "",0),  AND( F1203="Main Chain", I1203="Accordion Screen"), _xlfn.XLOOKUP(C1203, calc_rusacc!$C$15:$C$65, calc_rusacc!$BF$15:$BF$65, "",0), AND( F1203="Sealant", I1203="Accordion Screen"), _xlfn.XLOOKUP(C1203, calc_rusacc!$C$15:$C$65, calc_rusacc!$BJ$15:$BJ$65, "",0),  F1203="Sealant", _xlfn.XLOOKUP(C1203, dd_accsrycalc!$A$2:$A$51, dd_accsrycalc!$G$2:$G$51, "",0),  F1203&lt;&gt;"",L1203*_xlfn.XLOOKUP(1, (SKUs!$C$2:$C$10001=G1203)*(SKUs!$K$2:$K$10001=I1203),SKUs!$E$2:$E$10001)), 0),"")</f>
        <v/>
      </c>
      <c r="E1203" s="16" t="str">
        <f>_xlfn.XLOOKUP(F1203,dd_item!$B$2:$B$105,dd_item!$C$2:$C$105,"",0)</f>
        <v/>
      </c>
      <c r="F1203" s="16"/>
      <c r="G1203" s="16" cm="1">
        <f t="array" ref="G1203">IFERROR(_xlfn.XLOOKUP(1, (SKUs!$J$2:$J$10001=accsry_unmerged!F1203)*IF(H1203&lt;&gt;"",(SKUs!$L$2:$L$10001=accsry_unmerged!H1203),1)*(SKUs!$K$2:$K$10001=I1203),SKUs!$C$2:$C$10001),"")</f>
        <v>0</v>
      </c>
      <c r="H1203" s="33" cm="1">
        <f t="array" ref="H1203">IFERROR(_xlfn.XLOOKUP(1, (dd_accsryclr!$C$2:$C$1000=accsry_unmerged!F1203)*(dd_accsryclr!$B$2:$B$1000=accsry_unmerged!J1203),dd_accsryclr!$A$2:$A$1000),"")</f>
        <v>0</v>
      </c>
      <c r="I1203" s="16">
        <f>_xlfn.XLOOKUP(C1203,'Project Details'!$C$17:$C$66,'Project Details'!$E$17:$E$66,"",0)</f>
        <v>0</v>
      </c>
      <c r="J1203" s="16">
        <f>_xlfn.XLOOKUP(C1203,'Project Details'!$C$17:$C$66,'Project Details'!$H$17:$H$66,"",0)</f>
        <v>0</v>
      </c>
      <c r="K1203" s="33" t="str">
        <f>IF(AND(_xlfn.XLOOKUP(C1203,'Project Details'!$C$17:$C$66,'Project Details'!$L$17:$L$66,"",0)&gt;550, F1203="Spring-L27cm"),"",SUBSTITUTE(_xlfn.XLOOKUP(G1203,SKUs!$C$2:$C$10001,SKUs!$F$2:$F$10001,"",0), " Accessories",""))</f>
        <v/>
      </c>
      <c r="L1203" s="33">
        <f>_xlfn.XLOOKUP(C1203,'Project Details'!$C$17:$C$66,'Project Details'!$D$17:$D$66,"",0)</f>
        <v>0</v>
      </c>
      <c r="M1203" s="43"/>
    </row>
    <row r="1204" spans="1:13" ht="13.5" customHeight="1" outlineLevel="1" x14ac:dyDescent="0.25">
      <c r="A1204" s="43"/>
      <c r="B1204" s="43"/>
      <c r="C1204" s="35">
        <f t="shared" si="22"/>
        <v>24</v>
      </c>
      <c r="D1204" s="35" t="str" cm="1">
        <f t="array" ref="D1204">IFERROR(ROUNDUP(_xlfn.IFS(F1204="Aluminum Track", _xlfn.XLOOKUP(C1204, dd_accsrycalc!$A$2:$A$51, dd_accsrycalc!$B$2:$B$51, "",0), F1204="10 x 2 1/2 S (Flat)", _xlfn.XLOOKUP(C1204, dd_accsrycalc!$A$2:$A$51, dd_accsrycalc!$C$2:$C$51, "",0), F1204="Tox6", _xlfn.XLOOKUP(C1204, dd_accsrycalc!$A$2:$A$51, dd_accsrycalc!$D$2:$D$51, "",0), F1204="Cover Cap", _xlfn.XLOOKUP(C1204, dd_accsrycalc!$A$2:$A$51, dd_accsrycalc!$E$2:$E$51, "",0), F1204="Drainage Cover", _xlfn.XLOOKUP(C1204, dd_accsrycalc!$A$2:$A$51, dd_accsrycalc!$F$2:$F$51, "",0),AND( F1204="Double Adhesive Tape", I1204="Roll-up Screen"), _xlfn.XLOOKUP(C1204, calc_rusacc!$C$15:$C$65, calc_rusacc!$AD$15:$AD$65, "",0),AND( F1204="Sealant", I1204="Roll-up Screen"), _xlfn.XLOOKUP(C1204, calc_rusacc!$C$15:$C$65, calc_rusacc!$AF$15:$AF$65, "",0),  AND( F1204="Main Chain", I1204="Accordion Screen"), _xlfn.XLOOKUP(C1204, calc_rusacc!$C$15:$C$65, calc_rusacc!$BF$15:$BF$65, "",0), AND( F1204="Sealant", I1204="Accordion Screen"), _xlfn.XLOOKUP(C1204, calc_rusacc!$C$15:$C$65, calc_rusacc!$BJ$15:$BJ$65, "",0),  F1204="Sealant", _xlfn.XLOOKUP(C1204, dd_accsrycalc!$A$2:$A$51, dd_accsrycalc!$G$2:$G$51, "",0),  F1204&lt;&gt;"",L1204*_xlfn.XLOOKUP(1, (SKUs!$C$2:$C$10001=G1204)*(SKUs!$K$2:$K$10001=I1204),SKUs!$E$2:$E$10001)), 0),"")</f>
        <v/>
      </c>
      <c r="E1204" s="35" t="str">
        <f>_xlfn.XLOOKUP(F1204,dd_item!$B$2:$B$105,dd_item!$C$2:$C$105,"",0)</f>
        <v/>
      </c>
      <c r="F1204" s="35"/>
      <c r="G1204" s="35" cm="1">
        <f t="array" ref="G1204">IFERROR(_xlfn.XLOOKUP(1, (SKUs!$J$2:$J$10001=accsry_unmerged!F1204)*IF(H1204&lt;&gt;"",(SKUs!$L$2:$L$10001=accsry_unmerged!H1204),1)*(SKUs!$K$2:$K$10001=I1204),SKUs!$C$2:$C$10001),"")</f>
        <v>0</v>
      </c>
      <c r="H1204" s="36" cm="1">
        <f t="array" ref="H1204">IFERROR(_xlfn.XLOOKUP(1, (dd_accsryclr!$C$2:$C$1000=accsry_unmerged!F1204)*(dd_accsryclr!$B$2:$B$1000=accsry_unmerged!J1204),dd_accsryclr!$A$2:$A$1000),"")</f>
        <v>0</v>
      </c>
      <c r="I1204" s="35">
        <f>_xlfn.XLOOKUP(C1204,'Project Details'!$C$17:$C$66,'Project Details'!$E$17:$E$66,"",0)</f>
        <v>0</v>
      </c>
      <c r="J1204" s="35">
        <f>_xlfn.XLOOKUP(C1204,'Project Details'!$C$17:$C$66,'Project Details'!$H$17:$H$66,"",0)</f>
        <v>0</v>
      </c>
      <c r="K1204" s="36" t="str">
        <f>IF(AND(_xlfn.XLOOKUP(C1204,'Project Details'!$C$17:$C$66,'Project Details'!$L$17:$L$66,"",0)&gt;550, F1204="Spring-L27cm"),"",SUBSTITUTE(_xlfn.XLOOKUP(G1204,SKUs!$C$2:$C$10001,SKUs!$F$2:$F$10001,"",0), " Accessories",""))</f>
        <v/>
      </c>
      <c r="L1204" s="36">
        <f>_xlfn.XLOOKUP(C1204,'Project Details'!$C$17:$C$66,'Project Details'!$D$17:$D$66,"",0)</f>
        <v>0</v>
      </c>
      <c r="M1204" s="43"/>
    </row>
    <row r="1205" spans="1:13" ht="13.5" customHeight="1" outlineLevel="1" collapsed="1" x14ac:dyDescent="0.25">
      <c r="A1205" s="43"/>
      <c r="B1205" s="43"/>
      <c r="C1205" s="16">
        <f t="shared" si="22"/>
        <v>24</v>
      </c>
      <c r="D1205" s="16" t="str" cm="1">
        <f t="array" ref="D1205">IFERROR(ROUNDUP(_xlfn.IFS(F1205="Aluminum Track", _xlfn.XLOOKUP(C1205, dd_accsrycalc!$A$2:$A$51, dd_accsrycalc!$B$2:$B$51, "",0), F1205="10 x 2 1/2 S (Flat)", _xlfn.XLOOKUP(C1205, dd_accsrycalc!$A$2:$A$51, dd_accsrycalc!$C$2:$C$51, "",0), F1205="Tox6", _xlfn.XLOOKUP(C1205, dd_accsrycalc!$A$2:$A$51, dd_accsrycalc!$D$2:$D$51, "",0), F1205="Cover Cap", _xlfn.XLOOKUP(C1205, dd_accsrycalc!$A$2:$A$51, dd_accsrycalc!$E$2:$E$51, "",0), F1205="Drainage Cover", _xlfn.XLOOKUP(C1205, dd_accsrycalc!$A$2:$A$51, dd_accsrycalc!$F$2:$F$51, "",0),AND( F1205="Double Adhesive Tape", I1205="Roll-up Screen"), _xlfn.XLOOKUP(C1205, calc_rusacc!$C$15:$C$65, calc_rusacc!$AD$15:$AD$65, "",0),AND( F1205="Sealant", I1205="Roll-up Screen"), _xlfn.XLOOKUP(C1205, calc_rusacc!$C$15:$C$65, calc_rusacc!$AF$15:$AF$65, "",0),  AND( F1205="Main Chain", I1205="Accordion Screen"), _xlfn.XLOOKUP(C1205, calc_rusacc!$C$15:$C$65, calc_rusacc!$BF$15:$BF$65, "",0), AND( F1205="Sealant", I1205="Accordion Screen"), _xlfn.XLOOKUP(C1205, calc_rusacc!$C$15:$C$65, calc_rusacc!$BJ$15:$BJ$65, "",0),  F1205="Sealant", _xlfn.XLOOKUP(C1205, dd_accsrycalc!$A$2:$A$51, dd_accsrycalc!$G$2:$G$51, "",0),  F1205&lt;&gt;"",L1205*_xlfn.XLOOKUP(1, (SKUs!$C$2:$C$10001=G1205)*(SKUs!$K$2:$K$10001=I1205),SKUs!$E$2:$E$10001)), 0),"")</f>
        <v/>
      </c>
      <c r="E1205" s="16" t="str">
        <f>_xlfn.XLOOKUP(F1205,dd_item!$B$2:$B$105,dd_item!$C$2:$C$105,"",0)</f>
        <v/>
      </c>
      <c r="F1205" s="16"/>
      <c r="G1205" s="16" cm="1">
        <f t="array" ref="G1205">IFERROR(_xlfn.XLOOKUP(1, (SKUs!$J$2:$J$10001=accsry_unmerged!F1205)*IF(H1205&lt;&gt;"",(SKUs!$L$2:$L$10001=accsry_unmerged!H1205),1)*(SKUs!$K$2:$K$10001=I1205),SKUs!$C$2:$C$10001),"")</f>
        <v>0</v>
      </c>
      <c r="H1205" s="33" cm="1">
        <f t="array" ref="H1205">IFERROR(_xlfn.XLOOKUP(1, (dd_accsryclr!$C$2:$C$1000=accsry_unmerged!F1205)*(dd_accsryclr!$B$2:$B$1000=accsry_unmerged!J1205),dd_accsryclr!$A$2:$A$1000),"")</f>
        <v>0</v>
      </c>
      <c r="I1205" s="16">
        <f>_xlfn.XLOOKUP(C1205,'Project Details'!$C$17:$C$66,'Project Details'!$E$17:$E$66,"",0)</f>
        <v>0</v>
      </c>
      <c r="J1205" s="16">
        <f>_xlfn.XLOOKUP(C1205,'Project Details'!$C$17:$C$66,'Project Details'!$H$17:$H$66,"",0)</f>
        <v>0</v>
      </c>
      <c r="K1205" s="33" t="str">
        <f>IF(AND(_xlfn.XLOOKUP(C1205,'Project Details'!$C$17:$C$66,'Project Details'!$L$17:$L$66,"",0)&gt;550, F1205="Spring-L27cm"),"",SUBSTITUTE(_xlfn.XLOOKUP(G1205,SKUs!$C$2:$C$10001,SKUs!$F$2:$F$10001,"",0), " Accessories",""))</f>
        <v/>
      </c>
      <c r="L1205" s="33">
        <f>_xlfn.XLOOKUP(C1205,'Project Details'!$C$17:$C$66,'Project Details'!$D$17:$D$66,"",0)</f>
        <v>0</v>
      </c>
      <c r="M1205" s="43"/>
    </row>
    <row r="1206" spans="1:13" ht="13.5" customHeight="1" outlineLevel="1" x14ac:dyDescent="0.25">
      <c r="A1206" s="43"/>
      <c r="B1206" s="43"/>
      <c r="C1206" s="35">
        <f t="shared" si="22"/>
        <v>24</v>
      </c>
      <c r="D1206" s="35" t="str" cm="1">
        <f t="array" ref="D1206">IFERROR(ROUNDUP(_xlfn.IFS(F1206="Aluminum Track", _xlfn.XLOOKUP(C1206, dd_accsrycalc!$A$2:$A$51, dd_accsrycalc!$B$2:$B$51, "",0), F1206="10 x 2 1/2 S (Flat)", _xlfn.XLOOKUP(C1206, dd_accsrycalc!$A$2:$A$51, dd_accsrycalc!$C$2:$C$51, "",0), F1206="Tox6", _xlfn.XLOOKUP(C1206, dd_accsrycalc!$A$2:$A$51, dd_accsrycalc!$D$2:$D$51, "",0), F1206="Cover Cap", _xlfn.XLOOKUP(C1206, dd_accsrycalc!$A$2:$A$51, dd_accsrycalc!$E$2:$E$51, "",0), F1206="Drainage Cover", _xlfn.XLOOKUP(C1206, dd_accsrycalc!$A$2:$A$51, dd_accsrycalc!$F$2:$F$51, "",0),AND( F1206="Double Adhesive Tape", I1206="Roll-up Screen"), _xlfn.XLOOKUP(C1206, calc_rusacc!$C$15:$C$65, calc_rusacc!$AD$15:$AD$65, "",0),AND( F1206="Sealant", I1206="Roll-up Screen"), _xlfn.XLOOKUP(C1206, calc_rusacc!$C$15:$C$65, calc_rusacc!$AF$15:$AF$65, "",0),  AND( F1206="Main Chain", I1206="Accordion Screen"), _xlfn.XLOOKUP(C1206, calc_rusacc!$C$15:$C$65, calc_rusacc!$BF$15:$BF$65, "",0), AND( F1206="Sealant", I1206="Accordion Screen"), _xlfn.XLOOKUP(C1206, calc_rusacc!$C$15:$C$65, calc_rusacc!$BJ$15:$BJ$65, "",0),  F1206="Sealant", _xlfn.XLOOKUP(C1206, dd_accsrycalc!$A$2:$A$51, dd_accsrycalc!$G$2:$G$51, "",0),  F1206&lt;&gt;"",L1206*_xlfn.XLOOKUP(1, (SKUs!$C$2:$C$10001=G1206)*(SKUs!$K$2:$K$10001=I1206),SKUs!$E$2:$E$10001)), 0),"")</f>
        <v/>
      </c>
      <c r="E1206" s="35" t="str">
        <f>_xlfn.XLOOKUP(F1206,dd_item!$B$2:$B$105,dd_item!$C$2:$C$105,"",0)</f>
        <v/>
      </c>
      <c r="F1206" s="35"/>
      <c r="G1206" s="35" cm="1">
        <f t="array" ref="G1206">IFERROR(_xlfn.XLOOKUP(1, (SKUs!$J$2:$J$10001=accsry_unmerged!F1206)*IF(H1206&lt;&gt;"",(SKUs!$L$2:$L$10001=accsry_unmerged!H1206),1)*(SKUs!$K$2:$K$10001=I1206),SKUs!$C$2:$C$10001),"")</f>
        <v>0</v>
      </c>
      <c r="H1206" s="36" cm="1">
        <f t="array" ref="H1206">IFERROR(_xlfn.XLOOKUP(1, (dd_accsryclr!$C$2:$C$1000=accsry_unmerged!F1206)*(dd_accsryclr!$B$2:$B$1000=accsry_unmerged!J1206),dd_accsryclr!$A$2:$A$1000),"")</f>
        <v>0</v>
      </c>
      <c r="I1206" s="35">
        <f>_xlfn.XLOOKUP(C1206,'Project Details'!$C$17:$C$66,'Project Details'!$E$17:$E$66,"",0)</f>
        <v>0</v>
      </c>
      <c r="J1206" s="35">
        <f>_xlfn.XLOOKUP(C1206,'Project Details'!$C$17:$C$66,'Project Details'!$H$17:$H$66,"",0)</f>
        <v>0</v>
      </c>
      <c r="K1206" s="36" t="str">
        <f>IF(AND(_xlfn.XLOOKUP(C1206,'Project Details'!$C$17:$C$66,'Project Details'!$L$17:$L$66,"",0)&gt;550, F1206="Spring-L27cm"),"",SUBSTITUTE(_xlfn.XLOOKUP(G1206,SKUs!$C$2:$C$10001,SKUs!$F$2:$F$10001,"",0), " Accessories",""))</f>
        <v/>
      </c>
      <c r="L1206" s="36">
        <f>_xlfn.XLOOKUP(C1206,'Project Details'!$C$17:$C$66,'Project Details'!$D$17:$D$66,"",0)</f>
        <v>0</v>
      </c>
      <c r="M1206" s="43"/>
    </row>
    <row r="1207" spans="1:13" ht="13.5" customHeight="1" outlineLevel="1" x14ac:dyDescent="0.25">
      <c r="A1207" s="43"/>
      <c r="B1207" s="43"/>
      <c r="C1207" s="16">
        <f t="shared" si="22"/>
        <v>24</v>
      </c>
      <c r="D1207" s="16" t="str" cm="1">
        <f t="array" ref="D1207">IFERROR(ROUNDUP(_xlfn.IFS(F1207="Aluminum Track", _xlfn.XLOOKUP(C1207, dd_accsrycalc!$A$2:$A$51, dd_accsrycalc!$B$2:$B$51, "",0), F1207="10 x 2 1/2 S (Flat)", _xlfn.XLOOKUP(C1207, dd_accsrycalc!$A$2:$A$51, dd_accsrycalc!$C$2:$C$51, "",0), F1207="Tox6", _xlfn.XLOOKUP(C1207, dd_accsrycalc!$A$2:$A$51, dd_accsrycalc!$D$2:$D$51, "",0), F1207="Cover Cap", _xlfn.XLOOKUP(C1207, dd_accsrycalc!$A$2:$A$51, dd_accsrycalc!$E$2:$E$51, "",0), F1207="Drainage Cover", _xlfn.XLOOKUP(C1207, dd_accsrycalc!$A$2:$A$51, dd_accsrycalc!$F$2:$F$51, "",0),AND( F1207="Double Adhesive Tape", I1207="Roll-up Screen"), _xlfn.XLOOKUP(C1207, calc_rusacc!$C$15:$C$65, calc_rusacc!$AD$15:$AD$65, "",0),AND( F1207="Sealant", I1207="Roll-up Screen"), _xlfn.XLOOKUP(C1207, calc_rusacc!$C$15:$C$65, calc_rusacc!$AF$15:$AF$65, "",0),  AND( F1207="Main Chain", I1207="Accordion Screen"), _xlfn.XLOOKUP(C1207, calc_rusacc!$C$15:$C$65, calc_rusacc!$BF$15:$BF$65, "",0), AND( F1207="Sealant", I1207="Accordion Screen"), _xlfn.XLOOKUP(C1207, calc_rusacc!$C$15:$C$65, calc_rusacc!$BJ$15:$BJ$65, "",0),  F1207="Sealant", _xlfn.XLOOKUP(C1207, dd_accsrycalc!$A$2:$A$51, dd_accsrycalc!$G$2:$G$51, "",0),  F1207&lt;&gt;"",L1207*_xlfn.XLOOKUP(1, (SKUs!$C$2:$C$10001=G1207)*(SKUs!$K$2:$K$10001=I1207),SKUs!$E$2:$E$10001)), 0),"")</f>
        <v/>
      </c>
      <c r="E1207" s="16" t="str">
        <f>_xlfn.XLOOKUP(F1207,dd_item!$B$2:$B$105,dd_item!$C$2:$C$105,"",0)</f>
        <v/>
      </c>
      <c r="F1207" s="16"/>
      <c r="G1207" s="16" cm="1">
        <f t="array" ref="G1207">IFERROR(_xlfn.XLOOKUP(1, (SKUs!$J$2:$J$10001=accsry_unmerged!F1207)*IF(H1207&lt;&gt;"",(SKUs!$L$2:$L$10001=accsry_unmerged!H1207),1)*(SKUs!$K$2:$K$10001=I1207),SKUs!$C$2:$C$10001),"")</f>
        <v>0</v>
      </c>
      <c r="H1207" s="33" cm="1">
        <f t="array" ref="H1207">IFERROR(_xlfn.XLOOKUP(1, (dd_accsryclr!$C$2:$C$1000=accsry_unmerged!F1207)*(dd_accsryclr!$B$2:$B$1000=accsry_unmerged!J1207),dd_accsryclr!$A$2:$A$1000),"")</f>
        <v>0</v>
      </c>
      <c r="I1207" s="16">
        <f>_xlfn.XLOOKUP(C1207,'Project Details'!$C$17:$C$66,'Project Details'!$E$17:$E$66,"",0)</f>
        <v>0</v>
      </c>
      <c r="J1207" s="16">
        <f>_xlfn.XLOOKUP(C1207,'Project Details'!$C$17:$C$66,'Project Details'!$H$17:$H$66,"",0)</f>
        <v>0</v>
      </c>
      <c r="K1207" s="33" t="str">
        <f>IF(AND(_xlfn.XLOOKUP(C1207,'Project Details'!$C$17:$C$66,'Project Details'!$L$17:$L$66,"",0)&gt;550, F1207="Spring-L27cm"),"",SUBSTITUTE(_xlfn.XLOOKUP(G1207,SKUs!$C$2:$C$10001,SKUs!$F$2:$F$10001,"",0), " Accessories",""))</f>
        <v/>
      </c>
      <c r="L1207" s="33">
        <f>_xlfn.XLOOKUP(C1207,'Project Details'!$C$17:$C$66,'Project Details'!$D$17:$D$66,"",0)</f>
        <v>0</v>
      </c>
      <c r="M1207" s="43"/>
    </row>
    <row r="1208" spans="1:13" ht="13.5" customHeight="1" outlineLevel="1" x14ac:dyDescent="0.25">
      <c r="A1208" s="43"/>
      <c r="B1208" s="43"/>
      <c r="C1208" s="35">
        <f t="shared" si="22"/>
        <v>24</v>
      </c>
      <c r="D1208" s="35" t="str" cm="1">
        <f t="array" ref="D1208">IFERROR(ROUNDUP(_xlfn.IFS(F1208="Aluminum Track", _xlfn.XLOOKUP(C1208, dd_accsrycalc!$A$2:$A$51, dd_accsrycalc!$B$2:$B$51, "",0), F1208="10 x 2 1/2 S (Flat)", _xlfn.XLOOKUP(C1208, dd_accsrycalc!$A$2:$A$51, dd_accsrycalc!$C$2:$C$51, "",0), F1208="Tox6", _xlfn.XLOOKUP(C1208, dd_accsrycalc!$A$2:$A$51, dd_accsrycalc!$D$2:$D$51, "",0), F1208="Cover Cap", _xlfn.XLOOKUP(C1208, dd_accsrycalc!$A$2:$A$51, dd_accsrycalc!$E$2:$E$51, "",0), F1208="Drainage Cover", _xlfn.XLOOKUP(C1208, dd_accsrycalc!$A$2:$A$51, dd_accsrycalc!$F$2:$F$51, "",0),AND( F1208="Double Adhesive Tape", I1208="Roll-up Screen"), _xlfn.XLOOKUP(C1208, calc_rusacc!$C$15:$C$65, calc_rusacc!$AD$15:$AD$65, "",0),AND( F1208="Sealant", I1208="Roll-up Screen"), _xlfn.XLOOKUP(C1208, calc_rusacc!$C$15:$C$65, calc_rusacc!$AF$15:$AF$65, "",0),  AND( F1208="Main Chain", I1208="Accordion Screen"), _xlfn.XLOOKUP(C1208, calc_rusacc!$C$15:$C$65, calc_rusacc!$BF$15:$BF$65, "",0), AND( F1208="Sealant", I1208="Accordion Screen"), _xlfn.XLOOKUP(C1208, calc_rusacc!$C$15:$C$65, calc_rusacc!$BJ$15:$BJ$65, "",0),  F1208="Sealant", _xlfn.XLOOKUP(C1208, dd_accsrycalc!$A$2:$A$51, dd_accsrycalc!$G$2:$G$51, "",0),  F1208&lt;&gt;"",L1208*_xlfn.XLOOKUP(1, (SKUs!$C$2:$C$10001=G1208)*(SKUs!$K$2:$K$10001=I1208),SKUs!$E$2:$E$10001)), 0),"")</f>
        <v/>
      </c>
      <c r="E1208" s="35" t="str">
        <f>_xlfn.XLOOKUP(F1208,dd_item!$B$2:$B$105,dd_item!$C$2:$C$105,"",0)</f>
        <v/>
      </c>
      <c r="F1208" s="35"/>
      <c r="G1208" s="35" cm="1">
        <f t="array" ref="G1208">IFERROR(_xlfn.XLOOKUP(1, (SKUs!$J$2:$J$10001=accsry_unmerged!F1208)*IF(H1208&lt;&gt;"",(SKUs!$L$2:$L$10001=accsry_unmerged!H1208),1)*(SKUs!$K$2:$K$10001=I1208),SKUs!$C$2:$C$10001),"")</f>
        <v>0</v>
      </c>
      <c r="H1208" s="36" cm="1">
        <f t="array" ref="H1208">IFERROR(_xlfn.XLOOKUP(1, (dd_accsryclr!$C$2:$C$1000=accsry_unmerged!F1208)*(dd_accsryclr!$B$2:$B$1000=accsry_unmerged!J1208),dd_accsryclr!$A$2:$A$1000),"")</f>
        <v>0</v>
      </c>
      <c r="I1208" s="35">
        <f>_xlfn.XLOOKUP(C1208,'Project Details'!$C$17:$C$66,'Project Details'!$E$17:$E$66,"",0)</f>
        <v>0</v>
      </c>
      <c r="J1208" s="35">
        <f>_xlfn.XLOOKUP(C1208,'Project Details'!$C$17:$C$66,'Project Details'!$H$17:$H$66,"",0)</f>
        <v>0</v>
      </c>
      <c r="K1208" s="36" t="str">
        <f>IF(AND(_xlfn.XLOOKUP(C1208,'Project Details'!$C$17:$C$66,'Project Details'!$L$17:$L$66,"",0)&gt;550, F1208="Spring-L27cm"),"",SUBSTITUTE(_xlfn.XLOOKUP(G1208,SKUs!$C$2:$C$10001,SKUs!$F$2:$F$10001,"",0), " Accessories",""))</f>
        <v/>
      </c>
      <c r="L1208" s="36">
        <f>_xlfn.XLOOKUP(C1208,'Project Details'!$C$17:$C$66,'Project Details'!$D$17:$D$66,"",0)</f>
        <v>0</v>
      </c>
      <c r="M1208" s="43"/>
    </row>
    <row r="1209" spans="1:13" ht="13.5" customHeight="1" outlineLevel="1" x14ac:dyDescent="0.25">
      <c r="A1209" s="43"/>
      <c r="B1209" s="43"/>
      <c r="C1209" s="16">
        <f t="shared" si="22"/>
        <v>24</v>
      </c>
      <c r="D1209" s="16" t="str" cm="1">
        <f t="array" ref="D1209">IFERROR(ROUNDUP(_xlfn.IFS(F1209="Aluminum Track", _xlfn.XLOOKUP(C1209, dd_accsrycalc!$A$2:$A$51, dd_accsrycalc!$B$2:$B$51, "",0), F1209="10 x 2 1/2 S (Flat)", _xlfn.XLOOKUP(C1209, dd_accsrycalc!$A$2:$A$51, dd_accsrycalc!$C$2:$C$51, "",0), F1209="Tox6", _xlfn.XLOOKUP(C1209, dd_accsrycalc!$A$2:$A$51, dd_accsrycalc!$D$2:$D$51, "",0), F1209="Cover Cap", _xlfn.XLOOKUP(C1209, dd_accsrycalc!$A$2:$A$51, dd_accsrycalc!$E$2:$E$51, "",0), F1209="Drainage Cover", _xlfn.XLOOKUP(C1209, dd_accsrycalc!$A$2:$A$51, dd_accsrycalc!$F$2:$F$51, "",0),AND( F1209="Double Adhesive Tape", I1209="Roll-up Screen"), _xlfn.XLOOKUP(C1209, calc_rusacc!$C$15:$C$65, calc_rusacc!$AD$15:$AD$65, "",0),AND( F1209="Sealant", I1209="Roll-up Screen"), _xlfn.XLOOKUP(C1209, calc_rusacc!$C$15:$C$65, calc_rusacc!$AF$15:$AF$65, "",0),  AND( F1209="Main Chain", I1209="Accordion Screen"), _xlfn.XLOOKUP(C1209, calc_rusacc!$C$15:$C$65, calc_rusacc!$BF$15:$BF$65, "",0), AND( F1209="Sealant", I1209="Accordion Screen"), _xlfn.XLOOKUP(C1209, calc_rusacc!$C$15:$C$65, calc_rusacc!$BJ$15:$BJ$65, "",0),  F1209="Sealant", _xlfn.XLOOKUP(C1209, dd_accsrycalc!$A$2:$A$51, dd_accsrycalc!$G$2:$G$51, "",0),  F1209&lt;&gt;"",L1209*_xlfn.XLOOKUP(1, (SKUs!$C$2:$C$10001=G1209)*(SKUs!$K$2:$K$10001=I1209),SKUs!$E$2:$E$10001)), 0),"")</f>
        <v/>
      </c>
      <c r="E1209" s="16" t="str">
        <f>_xlfn.XLOOKUP(F1209,dd_item!$B$2:$B$105,dd_item!$C$2:$C$105,"",0)</f>
        <v/>
      </c>
      <c r="F1209" s="16"/>
      <c r="G1209" s="16" cm="1">
        <f t="array" ref="G1209">IFERROR(_xlfn.XLOOKUP(1, (SKUs!$J$2:$J$10001=accsry_unmerged!F1209)*IF(H1209&lt;&gt;"",(SKUs!$L$2:$L$10001=accsry_unmerged!H1209),1)*(SKUs!$K$2:$K$10001=I1209),SKUs!$C$2:$C$10001),"")</f>
        <v>0</v>
      </c>
      <c r="H1209" s="33" cm="1">
        <f t="array" ref="H1209">IFERROR(_xlfn.XLOOKUP(1, (dd_accsryclr!$C$2:$C$1000=accsry_unmerged!F1209)*(dd_accsryclr!$B$2:$B$1000=accsry_unmerged!J1209),dd_accsryclr!$A$2:$A$1000),"")</f>
        <v>0</v>
      </c>
      <c r="I1209" s="16">
        <f>_xlfn.XLOOKUP(C1209,'Project Details'!$C$17:$C$66,'Project Details'!$E$17:$E$66,"",0)</f>
        <v>0</v>
      </c>
      <c r="J1209" s="16">
        <f>_xlfn.XLOOKUP(C1209,'Project Details'!$C$17:$C$66,'Project Details'!$H$17:$H$66,"",0)</f>
        <v>0</v>
      </c>
      <c r="K1209" s="33" t="str">
        <f>IF(AND(_xlfn.XLOOKUP(C1209,'Project Details'!$C$17:$C$66,'Project Details'!$L$17:$L$66,"",0)&gt;550, F1209="Spring-L27cm"),"",SUBSTITUTE(_xlfn.XLOOKUP(G1209,SKUs!$C$2:$C$10001,SKUs!$F$2:$F$10001,"",0), " Accessories",""))</f>
        <v/>
      </c>
      <c r="L1209" s="33">
        <f>_xlfn.XLOOKUP(C1209,'Project Details'!$C$17:$C$66,'Project Details'!$D$17:$D$66,"",0)</f>
        <v>0</v>
      </c>
      <c r="M1209" s="43"/>
    </row>
    <row r="1210" spans="1:13" ht="13.5" customHeight="1" outlineLevel="1" x14ac:dyDescent="0.25">
      <c r="A1210" s="43"/>
      <c r="B1210" s="43"/>
      <c r="C1210" s="35">
        <f t="shared" si="22"/>
        <v>24</v>
      </c>
      <c r="D1210" s="35" t="str" cm="1">
        <f t="array" ref="D1210">IFERROR(ROUNDUP(_xlfn.IFS(F1210="Aluminum Track", _xlfn.XLOOKUP(C1210, dd_accsrycalc!$A$2:$A$51, dd_accsrycalc!$B$2:$B$51, "",0), F1210="10 x 2 1/2 S (Flat)", _xlfn.XLOOKUP(C1210, dd_accsrycalc!$A$2:$A$51, dd_accsrycalc!$C$2:$C$51, "",0), F1210="Tox6", _xlfn.XLOOKUP(C1210, dd_accsrycalc!$A$2:$A$51, dd_accsrycalc!$D$2:$D$51, "",0), F1210="Cover Cap", _xlfn.XLOOKUP(C1210, dd_accsrycalc!$A$2:$A$51, dd_accsrycalc!$E$2:$E$51, "",0), F1210="Drainage Cover", _xlfn.XLOOKUP(C1210, dd_accsrycalc!$A$2:$A$51, dd_accsrycalc!$F$2:$F$51, "",0),AND( F1210="Double Adhesive Tape", I1210="Roll-up Screen"), _xlfn.XLOOKUP(C1210, calc_rusacc!$C$15:$C$65, calc_rusacc!$AD$15:$AD$65, "",0),AND( F1210="Sealant", I1210="Roll-up Screen"), _xlfn.XLOOKUP(C1210, calc_rusacc!$C$15:$C$65, calc_rusacc!$AF$15:$AF$65, "",0),  AND( F1210="Main Chain", I1210="Accordion Screen"), _xlfn.XLOOKUP(C1210, calc_rusacc!$C$15:$C$65, calc_rusacc!$BF$15:$BF$65, "",0), AND( F1210="Sealant", I1210="Accordion Screen"), _xlfn.XLOOKUP(C1210, calc_rusacc!$C$15:$C$65, calc_rusacc!$BJ$15:$BJ$65, "",0),  F1210="Sealant", _xlfn.XLOOKUP(C1210, dd_accsrycalc!$A$2:$A$51, dd_accsrycalc!$G$2:$G$51, "",0),  F1210&lt;&gt;"",L1210*_xlfn.XLOOKUP(1, (SKUs!$C$2:$C$10001=G1210)*(SKUs!$K$2:$K$10001=I1210),SKUs!$E$2:$E$10001)), 0),"")</f>
        <v/>
      </c>
      <c r="E1210" s="35" t="str">
        <f>_xlfn.XLOOKUP(F1210,dd_item!$B$2:$B$105,dd_item!$C$2:$C$105,"",0)</f>
        <v/>
      </c>
      <c r="F1210" s="35"/>
      <c r="G1210" s="35" cm="1">
        <f t="array" ref="G1210">IFERROR(_xlfn.XLOOKUP(1, (SKUs!$J$2:$J$10001=accsry_unmerged!F1210)*IF(H1210&lt;&gt;"",(SKUs!$L$2:$L$10001=accsry_unmerged!H1210),1)*(SKUs!$K$2:$K$10001=I1210),SKUs!$C$2:$C$10001),"")</f>
        <v>0</v>
      </c>
      <c r="H1210" s="36" cm="1">
        <f t="array" ref="H1210">IFERROR(_xlfn.XLOOKUP(1, (dd_accsryclr!$C$2:$C$1000=accsry_unmerged!F1210)*(dd_accsryclr!$B$2:$B$1000=accsry_unmerged!J1210),dd_accsryclr!$A$2:$A$1000),"")</f>
        <v>0</v>
      </c>
      <c r="I1210" s="35">
        <f>_xlfn.XLOOKUP(C1210,'Project Details'!$C$17:$C$66,'Project Details'!$E$17:$E$66,"",0)</f>
        <v>0</v>
      </c>
      <c r="J1210" s="35">
        <f>_xlfn.XLOOKUP(C1210,'Project Details'!$C$17:$C$66,'Project Details'!$H$17:$H$66,"",0)</f>
        <v>0</v>
      </c>
      <c r="K1210" s="36" t="str">
        <f>IF(AND(_xlfn.XLOOKUP(C1210,'Project Details'!$C$17:$C$66,'Project Details'!$L$17:$L$66,"",0)&gt;550, F1210="Spring-L27cm"),"",SUBSTITUTE(_xlfn.XLOOKUP(G1210,SKUs!$C$2:$C$10001,SKUs!$F$2:$F$10001,"",0), " Accessories",""))</f>
        <v/>
      </c>
      <c r="L1210" s="36">
        <f>_xlfn.XLOOKUP(C1210,'Project Details'!$C$17:$C$66,'Project Details'!$D$17:$D$66,"",0)</f>
        <v>0</v>
      </c>
      <c r="M1210" s="43"/>
    </row>
    <row r="1211" spans="1:13" ht="13.5" customHeight="1" outlineLevel="1" x14ac:dyDescent="0.25">
      <c r="A1211" s="43"/>
      <c r="B1211" s="43"/>
      <c r="C1211" s="16">
        <f t="shared" si="22"/>
        <v>24</v>
      </c>
      <c r="D1211" s="16" t="str" cm="1">
        <f t="array" ref="D1211">IFERROR(ROUNDUP(_xlfn.IFS(F1211="Aluminum Track", _xlfn.XLOOKUP(C1211, dd_accsrycalc!$A$2:$A$51, dd_accsrycalc!$B$2:$B$51, "",0), F1211="10 x 2 1/2 S (Flat)", _xlfn.XLOOKUP(C1211, dd_accsrycalc!$A$2:$A$51, dd_accsrycalc!$C$2:$C$51, "",0), F1211="Tox6", _xlfn.XLOOKUP(C1211, dd_accsrycalc!$A$2:$A$51, dd_accsrycalc!$D$2:$D$51, "",0), F1211="Cover Cap", _xlfn.XLOOKUP(C1211, dd_accsrycalc!$A$2:$A$51, dd_accsrycalc!$E$2:$E$51, "",0), F1211="Drainage Cover", _xlfn.XLOOKUP(C1211, dd_accsrycalc!$A$2:$A$51, dd_accsrycalc!$F$2:$F$51, "",0),AND( F1211="Double Adhesive Tape", I1211="Roll-up Screen"), _xlfn.XLOOKUP(C1211, calc_rusacc!$C$15:$C$65, calc_rusacc!$AD$15:$AD$65, "",0),AND( F1211="Sealant", I1211="Roll-up Screen"), _xlfn.XLOOKUP(C1211, calc_rusacc!$C$15:$C$65, calc_rusacc!$AF$15:$AF$65, "",0),  AND( F1211="Main Chain", I1211="Accordion Screen"), _xlfn.XLOOKUP(C1211, calc_rusacc!$C$15:$C$65, calc_rusacc!$BF$15:$BF$65, "",0), AND( F1211="Sealant", I1211="Accordion Screen"), _xlfn.XLOOKUP(C1211, calc_rusacc!$C$15:$C$65, calc_rusacc!$BJ$15:$BJ$65, "",0),  F1211="Sealant", _xlfn.XLOOKUP(C1211, dd_accsrycalc!$A$2:$A$51, dd_accsrycalc!$G$2:$G$51, "",0),  F1211&lt;&gt;"",L1211*_xlfn.XLOOKUP(1, (SKUs!$C$2:$C$10001=G1211)*(SKUs!$K$2:$K$10001=I1211),SKUs!$E$2:$E$10001)), 0),"")</f>
        <v/>
      </c>
      <c r="E1211" s="16" t="str">
        <f>_xlfn.XLOOKUP(F1211,dd_item!$B$2:$B$105,dd_item!$C$2:$C$105,"",0)</f>
        <v/>
      </c>
      <c r="F1211" s="16"/>
      <c r="G1211" s="16" cm="1">
        <f t="array" ref="G1211">IFERROR(_xlfn.XLOOKUP(1, (SKUs!$J$2:$J$10001=accsry_unmerged!F1211)*IF(H1211&lt;&gt;"",(SKUs!$L$2:$L$10001=accsry_unmerged!H1211),1)*(SKUs!$K$2:$K$10001=I1211),SKUs!$C$2:$C$10001),"")</f>
        <v>0</v>
      </c>
      <c r="H1211" s="33" cm="1">
        <f t="array" ref="H1211">IFERROR(_xlfn.XLOOKUP(1, (dd_accsryclr!$C$2:$C$1000=accsry_unmerged!F1211)*(dd_accsryclr!$B$2:$B$1000=accsry_unmerged!J1211),dd_accsryclr!$A$2:$A$1000),"")</f>
        <v>0</v>
      </c>
      <c r="I1211" s="16">
        <f>_xlfn.XLOOKUP(C1211,'Project Details'!$C$17:$C$66,'Project Details'!$E$17:$E$66,"",0)</f>
        <v>0</v>
      </c>
      <c r="J1211" s="16">
        <f>_xlfn.XLOOKUP(C1211,'Project Details'!$C$17:$C$66,'Project Details'!$H$17:$H$66,"",0)</f>
        <v>0</v>
      </c>
      <c r="K1211" s="33" t="str">
        <f>IF(AND(_xlfn.XLOOKUP(C1211,'Project Details'!$C$17:$C$66,'Project Details'!$L$17:$L$66,"",0)&gt;550, F1211="Spring-L27cm"),"",SUBSTITUTE(_xlfn.XLOOKUP(G1211,SKUs!$C$2:$C$10001,SKUs!$F$2:$F$10001,"",0), " Accessories",""))</f>
        <v/>
      </c>
      <c r="L1211" s="33">
        <f>_xlfn.XLOOKUP(C1211,'Project Details'!$C$17:$C$66,'Project Details'!$D$17:$D$66,"",0)</f>
        <v>0</v>
      </c>
      <c r="M1211" s="43"/>
    </row>
    <row r="1212" spans="1:13" ht="13.5" customHeight="1" outlineLevel="1" x14ac:dyDescent="0.25">
      <c r="A1212" s="43"/>
      <c r="B1212" s="43"/>
      <c r="C1212" s="35">
        <f t="shared" si="22"/>
        <v>24</v>
      </c>
      <c r="D1212" s="35" t="str" cm="1">
        <f t="array" ref="D1212">IFERROR(ROUNDUP(_xlfn.IFS(F1212="Aluminum Track", _xlfn.XLOOKUP(C1212, dd_accsrycalc!$A$2:$A$51, dd_accsrycalc!$B$2:$B$51, "",0), F1212="10 x 2 1/2 S (Flat)", _xlfn.XLOOKUP(C1212, dd_accsrycalc!$A$2:$A$51, dd_accsrycalc!$C$2:$C$51, "",0), F1212="Tox6", _xlfn.XLOOKUP(C1212, dd_accsrycalc!$A$2:$A$51, dd_accsrycalc!$D$2:$D$51, "",0), F1212="Cover Cap", _xlfn.XLOOKUP(C1212, dd_accsrycalc!$A$2:$A$51, dd_accsrycalc!$E$2:$E$51, "",0), F1212="Drainage Cover", _xlfn.XLOOKUP(C1212, dd_accsrycalc!$A$2:$A$51, dd_accsrycalc!$F$2:$F$51, "",0),AND( F1212="Double Adhesive Tape", I1212="Roll-up Screen"), _xlfn.XLOOKUP(C1212, calc_rusacc!$C$15:$C$65, calc_rusacc!$AD$15:$AD$65, "",0),AND( F1212="Sealant", I1212="Roll-up Screen"), _xlfn.XLOOKUP(C1212, calc_rusacc!$C$15:$C$65, calc_rusacc!$AF$15:$AF$65, "",0),  AND( F1212="Main Chain", I1212="Accordion Screen"), _xlfn.XLOOKUP(C1212, calc_rusacc!$C$15:$C$65, calc_rusacc!$BF$15:$BF$65, "",0), AND( F1212="Sealant", I1212="Accordion Screen"), _xlfn.XLOOKUP(C1212, calc_rusacc!$C$15:$C$65, calc_rusacc!$BJ$15:$BJ$65, "",0),  F1212="Sealant", _xlfn.XLOOKUP(C1212, dd_accsrycalc!$A$2:$A$51, dd_accsrycalc!$G$2:$G$51, "",0),  F1212&lt;&gt;"",L1212*_xlfn.XLOOKUP(1, (SKUs!$C$2:$C$10001=G1212)*(SKUs!$K$2:$K$10001=I1212),SKUs!$E$2:$E$10001)), 0),"")</f>
        <v/>
      </c>
      <c r="E1212" s="35" t="str">
        <f>_xlfn.XLOOKUP(F1212,dd_item!$B$2:$B$105,dd_item!$C$2:$C$105,"",0)</f>
        <v/>
      </c>
      <c r="F1212" s="35"/>
      <c r="G1212" s="35" cm="1">
        <f t="array" ref="G1212">IFERROR(_xlfn.XLOOKUP(1, (SKUs!$J$2:$J$10001=accsry_unmerged!F1212)*IF(H1212&lt;&gt;"",(SKUs!$L$2:$L$10001=accsry_unmerged!H1212),1)*(SKUs!$K$2:$K$10001=I1212),SKUs!$C$2:$C$10001),"")</f>
        <v>0</v>
      </c>
      <c r="H1212" s="36" cm="1">
        <f t="array" ref="H1212">IFERROR(_xlfn.XLOOKUP(1, (dd_accsryclr!$C$2:$C$1000=accsry_unmerged!F1212)*(dd_accsryclr!$B$2:$B$1000=accsry_unmerged!J1212),dd_accsryclr!$A$2:$A$1000),"")</f>
        <v>0</v>
      </c>
      <c r="I1212" s="35">
        <f>_xlfn.XLOOKUP(C1212,'Project Details'!$C$17:$C$66,'Project Details'!$E$17:$E$66,"",0)</f>
        <v>0</v>
      </c>
      <c r="J1212" s="35">
        <f>_xlfn.XLOOKUP(C1212,'Project Details'!$C$17:$C$66,'Project Details'!$H$17:$H$66,"",0)</f>
        <v>0</v>
      </c>
      <c r="K1212" s="36" t="str">
        <f>IF(AND(_xlfn.XLOOKUP(C1212,'Project Details'!$C$17:$C$66,'Project Details'!$L$17:$L$66,"",0)&gt;550, F1212="Spring-L27cm"),"",SUBSTITUTE(_xlfn.XLOOKUP(G1212,SKUs!$C$2:$C$10001,SKUs!$F$2:$F$10001,"",0), " Accessories",""))</f>
        <v/>
      </c>
      <c r="L1212" s="36">
        <f>_xlfn.XLOOKUP(C1212,'Project Details'!$C$17:$C$66,'Project Details'!$D$17:$D$66,"",0)</f>
        <v>0</v>
      </c>
      <c r="M1212" s="43"/>
    </row>
    <row r="1213" spans="1:13" ht="13.5" customHeight="1" outlineLevel="1" x14ac:dyDescent="0.25">
      <c r="A1213" s="43"/>
      <c r="B1213" s="43"/>
      <c r="C1213" s="16">
        <f t="shared" si="22"/>
        <v>24</v>
      </c>
      <c r="D1213" s="16" t="str" cm="1">
        <f t="array" ref="D1213">IFERROR(ROUNDUP(_xlfn.IFS(F1213="Aluminum Track", _xlfn.XLOOKUP(C1213, dd_accsrycalc!$A$2:$A$51, dd_accsrycalc!$B$2:$B$51, "",0), F1213="10 x 2 1/2 S (Flat)", _xlfn.XLOOKUP(C1213, dd_accsrycalc!$A$2:$A$51, dd_accsrycalc!$C$2:$C$51, "",0), F1213="Tox6", _xlfn.XLOOKUP(C1213, dd_accsrycalc!$A$2:$A$51, dd_accsrycalc!$D$2:$D$51, "",0), F1213="Cover Cap", _xlfn.XLOOKUP(C1213, dd_accsrycalc!$A$2:$A$51, dd_accsrycalc!$E$2:$E$51, "",0), F1213="Drainage Cover", _xlfn.XLOOKUP(C1213, dd_accsrycalc!$A$2:$A$51, dd_accsrycalc!$F$2:$F$51, "",0),AND( F1213="Double Adhesive Tape", I1213="Roll-up Screen"), _xlfn.XLOOKUP(C1213, calc_rusacc!$C$15:$C$65, calc_rusacc!$AD$15:$AD$65, "",0),AND( F1213="Sealant", I1213="Roll-up Screen"), _xlfn.XLOOKUP(C1213, calc_rusacc!$C$15:$C$65, calc_rusacc!$AF$15:$AF$65, "",0),  AND( F1213="Main Chain", I1213="Accordion Screen"), _xlfn.XLOOKUP(C1213, calc_rusacc!$C$15:$C$65, calc_rusacc!$BF$15:$BF$65, "",0), AND( F1213="Sealant", I1213="Accordion Screen"), _xlfn.XLOOKUP(C1213, calc_rusacc!$C$15:$C$65, calc_rusacc!$BJ$15:$BJ$65, "",0),  F1213="Sealant", _xlfn.XLOOKUP(C1213, dd_accsrycalc!$A$2:$A$51, dd_accsrycalc!$G$2:$G$51, "",0),  F1213&lt;&gt;"",L1213*_xlfn.XLOOKUP(1, (SKUs!$C$2:$C$10001=G1213)*(SKUs!$K$2:$K$10001=I1213),SKUs!$E$2:$E$10001)), 0),"")</f>
        <v/>
      </c>
      <c r="E1213" s="16" t="str">
        <f>_xlfn.XLOOKUP(F1213,dd_item!$B$2:$B$105,dd_item!$C$2:$C$105,"",0)</f>
        <v/>
      </c>
      <c r="F1213" s="16"/>
      <c r="G1213" s="16" cm="1">
        <f t="array" ref="G1213">IFERROR(_xlfn.XLOOKUP(1, (SKUs!$J$2:$J$10001=accsry_unmerged!F1213)*IF(H1213&lt;&gt;"",(SKUs!$L$2:$L$10001=accsry_unmerged!H1213),1)*(SKUs!$K$2:$K$10001=I1213),SKUs!$C$2:$C$10001),"")</f>
        <v>0</v>
      </c>
      <c r="H1213" s="33" cm="1">
        <f t="array" ref="H1213">IFERROR(_xlfn.XLOOKUP(1, (dd_accsryclr!$C$2:$C$1000=accsry_unmerged!F1213)*(dd_accsryclr!$B$2:$B$1000=accsry_unmerged!J1213),dd_accsryclr!$A$2:$A$1000),"")</f>
        <v>0</v>
      </c>
      <c r="I1213" s="16">
        <f>_xlfn.XLOOKUP(C1213,'Project Details'!$C$17:$C$66,'Project Details'!$E$17:$E$66,"",0)</f>
        <v>0</v>
      </c>
      <c r="J1213" s="16">
        <f>_xlfn.XLOOKUP(C1213,'Project Details'!$C$17:$C$66,'Project Details'!$H$17:$H$66,"",0)</f>
        <v>0</v>
      </c>
      <c r="K1213" s="33" t="str">
        <f>IF(AND(_xlfn.XLOOKUP(C1213,'Project Details'!$C$17:$C$66,'Project Details'!$L$17:$L$66,"",0)&gt;550, F1213="Spring-L27cm"),"",SUBSTITUTE(_xlfn.XLOOKUP(G1213,SKUs!$C$2:$C$10001,SKUs!$F$2:$F$10001,"",0), " Accessories",""))</f>
        <v/>
      </c>
      <c r="L1213" s="33">
        <f>_xlfn.XLOOKUP(C1213,'Project Details'!$C$17:$C$66,'Project Details'!$D$17:$D$66,"",0)</f>
        <v>0</v>
      </c>
      <c r="M1213" s="43"/>
    </row>
    <row r="1214" spans="1:13" x14ac:dyDescent="0.25">
      <c r="A1214" s="43"/>
      <c r="B1214" s="43"/>
      <c r="C1214" s="43"/>
      <c r="D1214" s="43"/>
      <c r="E1214" s="43"/>
      <c r="F1214" s="43"/>
      <c r="G1214" s="43"/>
      <c r="H1214" s="43"/>
      <c r="I1214" s="43"/>
      <c r="J1214" s="43"/>
      <c r="K1214" s="43"/>
      <c r="L1214" s="43"/>
      <c r="M1214" s="43"/>
    </row>
    <row r="1215" spans="1:13" x14ac:dyDescent="0.25">
      <c r="A1215" s="43"/>
      <c r="B1215" s="43"/>
      <c r="C1215" s="16">
        <f>C1213+1</f>
        <v>25</v>
      </c>
      <c r="D1215" s="48" cm="1">
        <f t="array" ref="D1215">IFERROR(ROUNDUP(_xlfn.IFS(F1215="Aluminum Track", _xlfn.XLOOKUP(C1215, dd_accsrycalc!$A$2:$A$51, dd_accsrycalc!$B$2:$B$51, "",0), F1215="10 x 2 1/2 S (Flat)", _xlfn.XLOOKUP(C1215, dd_accsrycalc!$A$2:$A$51, dd_accsrycalc!$C$2:$C$51, "",0), F1215="Tox6", _xlfn.XLOOKUP(C1215, dd_accsrycalc!$A$2:$A$51, dd_accsrycalc!$D$2:$D$51, "",0), F1215="Cover Cap", _xlfn.XLOOKUP(C1215, dd_accsrycalc!$A$2:$A$51, dd_accsrycalc!$E$2:$E$51, "",0), F1215="Drainage Cover", _xlfn.XLOOKUP(C1215, dd_accsrycalc!$A$2:$A$51, dd_accsrycalc!$F$2:$F$51, "",0),AND( F1215="Double Adhesive Tape", I1215="Roll-up Screen"), _xlfn.XLOOKUP(C1215, calc_rusacc!$C$15:$C$65, calc_rusacc!$AD$15:$AD$65, "",0),AND( F1215="Sealant", I1215="Roll-up Screen"), _xlfn.XLOOKUP(C1215, calc_rusacc!$C$15:$C$65, calc_rusacc!$AF$15:$AF$65, "",0),  AND( F1215="Main Chain", I1215="Accordion Screen"), _xlfn.XLOOKUP(C1215, calc_rusacc!$C$15:$C$65, calc_rusacc!$BF$15:$BF$65, "",0), AND( F1215="Sealant", I1215="Accordion Screen"), _xlfn.XLOOKUP(C1215, calc_rusacc!$C$15:$C$65, calc_rusacc!$BJ$15:$BJ$65, "",0),  F1215="Sealant", _xlfn.XLOOKUP(C1215, dd_accsrycalc!$A$2:$A$51, dd_accsrycalc!$G$2:$G$51, "",0),  F1215&lt;&gt;"",L1215*_xlfn.XLOOKUP(1, (SKUs!$C$2:$C$10001=G1215)*(SKUs!$K$2:$K$10001=I1215),SKUs!$E$2:$E$10001)), 0),"")</f>
        <v>0</v>
      </c>
      <c r="E1215" s="48" t="str">
        <f>_xlfn.XLOOKUP(F1215,dd_item!$B$2:$B$105,dd_item!$C$2:$C$105,"",0)</f>
        <v/>
      </c>
      <c r="F1215" s="48" cm="1">
        <f t="array" ref="F1215">IFERROR(_xlfn.UNIQUE(_xlfn._xlws.FILTER(SKUs!$J$2:$J$10001, (SKUs!$F$2:$F$10001&lt;&gt;"Cutting List") * (SKUs!$A$2:$A$10001=_xlfn.XLOOKUP(_xlfn.XLOOKUP(C1215,'Project Details'!$C$17:$C$66,'Project Details'!$E$17:$E$66,"",0), dd_design_raw!$A$2:$A$101,dd_design_raw!$C$2:$C$101,"",0)))), "")</f>
        <v>0</v>
      </c>
      <c r="G1215" s="16" cm="1">
        <f t="array" ref="G1215">IFERROR(_xlfn.XLOOKUP(1, (SKUs!$J$2:$J$10001=accsry_unmerged!F1215)*IF(H1215&lt;&gt;"",(SKUs!$L$2:$L$10001=accsry_unmerged!H1215),1)*(SKUs!$K$2:$K$10001=I1215),SKUs!$C$2:$C$10001),"")</f>
        <v>0</v>
      </c>
      <c r="H1215" s="16" cm="1">
        <f t="array" ref="H1215">IFERROR(_xlfn.XLOOKUP(1, (dd_accsryclr!$C$2:$C$1000=accsry_unmerged!F1215)*(dd_accsryclr!$B$2:$B$1000=accsry_unmerged!J1215),dd_accsryclr!$A$2:$A$1000),"")</f>
        <v>0</v>
      </c>
      <c r="I1215" s="16">
        <f>_xlfn.XLOOKUP(C1215,'Project Details'!$C$17:$C$66,'Project Details'!$E$17:$E$66,"",0)</f>
        <v>0</v>
      </c>
      <c r="J1215" s="16">
        <f>_xlfn.XLOOKUP(C1215,'Project Details'!$C$17:$C$66,'Project Details'!$H$17:$H$66,"",0)</f>
        <v>0</v>
      </c>
      <c r="K1215" s="16" t="str">
        <f>IF(AND(_xlfn.XLOOKUP(C1215,'Project Details'!$C$17:$C$66,'Project Details'!$L$17:$L$66,"",0)&gt;550, F1215="Spring-L27cm"),"",SUBSTITUTE(_xlfn.XLOOKUP(G1215,SKUs!$C$2:$C$10001,SKUs!$F$2:$F$10001,"",0), " Accessories",""))</f>
        <v/>
      </c>
      <c r="L1215" s="16">
        <f>_xlfn.XLOOKUP(C1215,'Project Details'!$C$17:$C$66,'Project Details'!$D$17:$D$66,"",0)</f>
        <v>0</v>
      </c>
      <c r="M1215" s="43"/>
    </row>
    <row r="1216" spans="1:13" x14ac:dyDescent="0.25">
      <c r="A1216" s="43"/>
      <c r="B1216" s="43"/>
      <c r="C1216" s="35">
        <f>C1215</f>
        <v>25</v>
      </c>
      <c r="D1216" s="35" t="str" cm="1">
        <f t="array" ref="D1216">IFERROR(ROUNDUP(_xlfn.IFS(F1216="Aluminum Track", _xlfn.XLOOKUP(C1216, dd_accsrycalc!$A$2:$A$51, dd_accsrycalc!$B$2:$B$51, "",0), F1216="10 x 2 1/2 S (Flat)", _xlfn.XLOOKUP(C1216, dd_accsrycalc!$A$2:$A$51, dd_accsrycalc!$C$2:$C$51, "",0), F1216="Tox6", _xlfn.XLOOKUP(C1216, dd_accsrycalc!$A$2:$A$51, dd_accsrycalc!$D$2:$D$51, "",0), F1216="Cover Cap", _xlfn.XLOOKUP(C1216, dd_accsrycalc!$A$2:$A$51, dd_accsrycalc!$E$2:$E$51, "",0), F1216="Drainage Cover", _xlfn.XLOOKUP(C1216, dd_accsrycalc!$A$2:$A$51, dd_accsrycalc!$F$2:$F$51, "",0),AND( F1216="Double Adhesive Tape", I1216="Roll-up Screen"), _xlfn.XLOOKUP(C1216, calc_rusacc!$C$15:$C$65, calc_rusacc!$AD$15:$AD$65, "",0),AND( F1216="Sealant", I1216="Roll-up Screen"), _xlfn.XLOOKUP(C1216, calc_rusacc!$C$15:$C$65, calc_rusacc!$AF$15:$AF$65, "",0),  AND( F1216="Main Chain", I1216="Accordion Screen"), _xlfn.XLOOKUP(C1216, calc_rusacc!$C$15:$C$65, calc_rusacc!$BF$15:$BF$65, "",0), AND( F1216="Sealant", I1216="Accordion Screen"), _xlfn.XLOOKUP(C1216, calc_rusacc!$C$15:$C$65, calc_rusacc!$BJ$15:$BJ$65, "",0),  F1216="Sealant", _xlfn.XLOOKUP(C1216, dd_accsrycalc!$A$2:$A$51, dd_accsrycalc!$G$2:$G$51, "",0),  F1216&lt;&gt;"",L1216*_xlfn.XLOOKUP(1, (SKUs!$C$2:$C$10001=G1216)*(SKUs!$K$2:$K$10001=I1216),SKUs!$E$2:$E$10001)), 0),"")</f>
        <v/>
      </c>
      <c r="E1216" s="35" t="str">
        <f>_xlfn.XLOOKUP(F1216,dd_item!$B$2:$B$105,dd_item!$C$2:$C$105,"",0)</f>
        <v/>
      </c>
      <c r="F1216" s="35"/>
      <c r="G1216" s="35" cm="1">
        <f t="array" ref="G1216">IFERROR(_xlfn.XLOOKUP(1, (SKUs!$J$2:$J$10001=accsry_unmerged!F1216)*IF(H1216&lt;&gt;"",(SKUs!$L$2:$L$10001=accsry_unmerged!H1216),1)*(SKUs!$K$2:$K$10001=I1216),SKUs!$C$2:$C$10001),"")</f>
        <v>0</v>
      </c>
      <c r="H1216" s="36" cm="1">
        <f t="array" ref="H1216">IFERROR(_xlfn.XLOOKUP(1, (dd_accsryclr!$C$2:$C$1000=accsry_unmerged!F1216)*(dd_accsryclr!$B$2:$B$1000=accsry_unmerged!J1216),dd_accsryclr!$A$2:$A$1000),"")</f>
        <v>0</v>
      </c>
      <c r="I1216" s="35">
        <f>_xlfn.XLOOKUP(C1216,'Project Details'!$C$17:$C$66,'Project Details'!$E$17:$E$66,"",0)</f>
        <v>0</v>
      </c>
      <c r="J1216" s="35">
        <f>_xlfn.XLOOKUP(C1216,'Project Details'!$C$17:$C$66,'Project Details'!$H$17:$H$66,"",0)</f>
        <v>0</v>
      </c>
      <c r="K1216" s="36" t="str">
        <f>IF(AND(_xlfn.XLOOKUP(C1216,'Project Details'!$C$17:$C$66,'Project Details'!$L$17:$L$66,"",0)&gt;550, F1216="Spring-L27cm"),"",SUBSTITUTE(_xlfn.XLOOKUP(G1216,SKUs!$C$2:$C$10001,SKUs!$F$2:$F$10001,"",0), " Accessories",""))</f>
        <v/>
      </c>
      <c r="L1216" s="36">
        <f>_xlfn.XLOOKUP(C1216,'Project Details'!$C$17:$C$66,'Project Details'!$D$17:$D$66,"",0)</f>
        <v>0</v>
      </c>
      <c r="M1216" s="43"/>
    </row>
    <row r="1217" spans="1:13" x14ac:dyDescent="0.25">
      <c r="A1217" s="43"/>
      <c r="B1217" s="43"/>
      <c r="C1217" s="16">
        <f t="shared" ref="C1217:C1263" si="23">C1216</f>
        <v>25</v>
      </c>
      <c r="D1217" s="16" t="str" cm="1">
        <f t="array" ref="D1217">IFERROR(ROUNDUP(_xlfn.IFS(F1217="Aluminum Track", _xlfn.XLOOKUP(C1217, dd_accsrycalc!$A$2:$A$51, dd_accsrycalc!$B$2:$B$51, "",0), F1217="10 x 2 1/2 S (Flat)", _xlfn.XLOOKUP(C1217, dd_accsrycalc!$A$2:$A$51, dd_accsrycalc!$C$2:$C$51, "",0), F1217="Tox6", _xlfn.XLOOKUP(C1217, dd_accsrycalc!$A$2:$A$51, dd_accsrycalc!$D$2:$D$51, "",0), F1217="Cover Cap", _xlfn.XLOOKUP(C1217, dd_accsrycalc!$A$2:$A$51, dd_accsrycalc!$E$2:$E$51, "",0), F1217="Drainage Cover", _xlfn.XLOOKUP(C1217, dd_accsrycalc!$A$2:$A$51, dd_accsrycalc!$F$2:$F$51, "",0),AND( F1217="Double Adhesive Tape", I1217="Roll-up Screen"), _xlfn.XLOOKUP(C1217, calc_rusacc!$C$15:$C$65, calc_rusacc!$AD$15:$AD$65, "",0),AND( F1217="Sealant", I1217="Roll-up Screen"), _xlfn.XLOOKUP(C1217, calc_rusacc!$C$15:$C$65, calc_rusacc!$AF$15:$AF$65, "",0),  AND( F1217="Main Chain", I1217="Accordion Screen"), _xlfn.XLOOKUP(C1217, calc_rusacc!$C$15:$C$65, calc_rusacc!$BF$15:$BF$65, "",0), AND( F1217="Sealant", I1217="Accordion Screen"), _xlfn.XLOOKUP(C1217, calc_rusacc!$C$15:$C$65, calc_rusacc!$BJ$15:$BJ$65, "",0),  F1217="Sealant", _xlfn.XLOOKUP(C1217, dd_accsrycalc!$A$2:$A$51, dd_accsrycalc!$G$2:$G$51, "",0),  F1217&lt;&gt;"",L1217*_xlfn.XLOOKUP(1, (SKUs!$C$2:$C$10001=G1217)*(SKUs!$K$2:$K$10001=I1217),SKUs!$E$2:$E$10001)), 0),"")</f>
        <v/>
      </c>
      <c r="E1217" s="16" t="str">
        <f>_xlfn.XLOOKUP(F1217,dd_item!$B$2:$B$105,dd_item!$C$2:$C$105,"",0)</f>
        <v/>
      </c>
      <c r="F1217" s="16"/>
      <c r="G1217" s="16" cm="1">
        <f t="array" ref="G1217">IFERROR(_xlfn.XLOOKUP(1, (SKUs!$J$2:$J$10001=accsry_unmerged!F1217)*IF(H1217&lt;&gt;"",(SKUs!$L$2:$L$10001=accsry_unmerged!H1217),1)*(SKUs!$K$2:$K$10001=I1217),SKUs!$C$2:$C$10001),"")</f>
        <v>0</v>
      </c>
      <c r="H1217" s="33" cm="1">
        <f t="array" ref="H1217">IFERROR(_xlfn.XLOOKUP(1, (dd_accsryclr!$C$2:$C$1000=accsry_unmerged!F1217)*(dd_accsryclr!$B$2:$B$1000=accsry_unmerged!J1217),dd_accsryclr!$A$2:$A$1000),"")</f>
        <v>0</v>
      </c>
      <c r="I1217" s="16">
        <f>_xlfn.XLOOKUP(C1217,'Project Details'!$C$17:$C$66,'Project Details'!$E$17:$E$66,"",0)</f>
        <v>0</v>
      </c>
      <c r="J1217" s="16">
        <f>_xlfn.XLOOKUP(C1217,'Project Details'!$C$17:$C$66,'Project Details'!$H$17:$H$66,"",0)</f>
        <v>0</v>
      </c>
      <c r="K1217" s="33" t="str">
        <f>IF(AND(_xlfn.XLOOKUP(C1217,'Project Details'!$C$17:$C$66,'Project Details'!$L$17:$L$66,"",0)&gt;550, F1217="Spring-L27cm"),"",SUBSTITUTE(_xlfn.XLOOKUP(G1217,SKUs!$C$2:$C$10001,SKUs!$F$2:$F$10001,"",0), " Accessories",""))</f>
        <v/>
      </c>
      <c r="L1217" s="33">
        <f>_xlfn.XLOOKUP(C1217,'Project Details'!$C$17:$C$66,'Project Details'!$D$17:$D$66,"",0)</f>
        <v>0</v>
      </c>
      <c r="M1217" s="43"/>
    </row>
    <row r="1218" spans="1:13" x14ac:dyDescent="0.25">
      <c r="A1218" s="43"/>
      <c r="B1218" s="43"/>
      <c r="C1218" s="35">
        <f t="shared" si="23"/>
        <v>25</v>
      </c>
      <c r="D1218" s="35" t="str" cm="1">
        <f t="array" ref="D1218">IFERROR(ROUNDUP(_xlfn.IFS(F1218="Aluminum Track", _xlfn.XLOOKUP(C1218, dd_accsrycalc!$A$2:$A$51, dd_accsrycalc!$B$2:$B$51, "",0), F1218="10 x 2 1/2 S (Flat)", _xlfn.XLOOKUP(C1218, dd_accsrycalc!$A$2:$A$51, dd_accsrycalc!$C$2:$C$51, "",0), F1218="Tox6", _xlfn.XLOOKUP(C1218, dd_accsrycalc!$A$2:$A$51, dd_accsrycalc!$D$2:$D$51, "",0), F1218="Cover Cap", _xlfn.XLOOKUP(C1218, dd_accsrycalc!$A$2:$A$51, dd_accsrycalc!$E$2:$E$51, "",0), F1218="Drainage Cover", _xlfn.XLOOKUP(C1218, dd_accsrycalc!$A$2:$A$51, dd_accsrycalc!$F$2:$F$51, "",0),AND( F1218="Double Adhesive Tape", I1218="Roll-up Screen"), _xlfn.XLOOKUP(C1218, calc_rusacc!$C$15:$C$65, calc_rusacc!$AD$15:$AD$65, "",0),AND( F1218="Sealant", I1218="Roll-up Screen"), _xlfn.XLOOKUP(C1218, calc_rusacc!$C$15:$C$65, calc_rusacc!$AF$15:$AF$65, "",0),  AND( F1218="Main Chain", I1218="Accordion Screen"), _xlfn.XLOOKUP(C1218, calc_rusacc!$C$15:$C$65, calc_rusacc!$BF$15:$BF$65, "",0), AND( F1218="Sealant", I1218="Accordion Screen"), _xlfn.XLOOKUP(C1218, calc_rusacc!$C$15:$C$65, calc_rusacc!$BJ$15:$BJ$65, "",0),  F1218="Sealant", _xlfn.XLOOKUP(C1218, dd_accsrycalc!$A$2:$A$51, dd_accsrycalc!$G$2:$G$51, "",0),  F1218&lt;&gt;"",L1218*_xlfn.XLOOKUP(1, (SKUs!$C$2:$C$10001=G1218)*(SKUs!$K$2:$K$10001=I1218),SKUs!$E$2:$E$10001)), 0),"")</f>
        <v/>
      </c>
      <c r="E1218" s="35" t="str">
        <f>_xlfn.XLOOKUP(F1218,dd_item!$B$2:$B$105,dd_item!$C$2:$C$105,"",0)</f>
        <v/>
      </c>
      <c r="F1218" s="35"/>
      <c r="G1218" s="35" cm="1">
        <f t="array" ref="G1218">IFERROR(_xlfn.XLOOKUP(1, (SKUs!$J$2:$J$10001=accsry_unmerged!F1218)*IF(H1218&lt;&gt;"",(SKUs!$L$2:$L$10001=accsry_unmerged!H1218),1)*(SKUs!$K$2:$K$10001=I1218),SKUs!$C$2:$C$10001),"")</f>
        <v>0</v>
      </c>
      <c r="H1218" s="36" cm="1">
        <f t="array" ref="H1218">IFERROR(_xlfn.XLOOKUP(1, (dd_accsryclr!$C$2:$C$1000=accsry_unmerged!F1218)*(dd_accsryclr!$B$2:$B$1000=accsry_unmerged!J1218),dd_accsryclr!$A$2:$A$1000),"")</f>
        <v>0</v>
      </c>
      <c r="I1218" s="35">
        <f>_xlfn.XLOOKUP(C1218,'Project Details'!$C$17:$C$66,'Project Details'!$E$17:$E$66,"",0)</f>
        <v>0</v>
      </c>
      <c r="J1218" s="35">
        <f>_xlfn.XLOOKUP(C1218,'Project Details'!$C$17:$C$66,'Project Details'!$H$17:$H$66,"",0)</f>
        <v>0</v>
      </c>
      <c r="K1218" s="36" t="str">
        <f>IF(AND(_xlfn.XLOOKUP(C1218,'Project Details'!$C$17:$C$66,'Project Details'!$L$17:$L$66,"",0)&gt;550, F1218="Spring-L27cm"),"",SUBSTITUTE(_xlfn.XLOOKUP(G1218,SKUs!$C$2:$C$10001,SKUs!$F$2:$F$10001,"",0), " Accessories",""))</f>
        <v/>
      </c>
      <c r="L1218" s="36">
        <f>_xlfn.XLOOKUP(C1218,'Project Details'!$C$17:$C$66,'Project Details'!$D$17:$D$66,"",0)</f>
        <v>0</v>
      </c>
      <c r="M1218" s="43"/>
    </row>
    <row r="1219" spans="1:13" x14ac:dyDescent="0.25">
      <c r="A1219" s="43"/>
      <c r="B1219" s="43"/>
      <c r="C1219" s="16">
        <f t="shared" si="23"/>
        <v>25</v>
      </c>
      <c r="D1219" s="16" t="str" cm="1">
        <f t="array" ref="D1219">IFERROR(ROUNDUP(_xlfn.IFS(F1219="Aluminum Track", _xlfn.XLOOKUP(C1219, dd_accsrycalc!$A$2:$A$51, dd_accsrycalc!$B$2:$B$51, "",0), F1219="10 x 2 1/2 S (Flat)", _xlfn.XLOOKUP(C1219, dd_accsrycalc!$A$2:$A$51, dd_accsrycalc!$C$2:$C$51, "",0), F1219="Tox6", _xlfn.XLOOKUP(C1219, dd_accsrycalc!$A$2:$A$51, dd_accsrycalc!$D$2:$D$51, "",0), F1219="Cover Cap", _xlfn.XLOOKUP(C1219, dd_accsrycalc!$A$2:$A$51, dd_accsrycalc!$E$2:$E$51, "",0), F1219="Drainage Cover", _xlfn.XLOOKUP(C1219, dd_accsrycalc!$A$2:$A$51, dd_accsrycalc!$F$2:$F$51, "",0),AND( F1219="Double Adhesive Tape", I1219="Roll-up Screen"), _xlfn.XLOOKUP(C1219, calc_rusacc!$C$15:$C$65, calc_rusacc!$AD$15:$AD$65, "",0),AND( F1219="Sealant", I1219="Roll-up Screen"), _xlfn.XLOOKUP(C1219, calc_rusacc!$C$15:$C$65, calc_rusacc!$AF$15:$AF$65, "",0),  AND( F1219="Main Chain", I1219="Accordion Screen"), _xlfn.XLOOKUP(C1219, calc_rusacc!$C$15:$C$65, calc_rusacc!$BF$15:$BF$65, "",0), AND( F1219="Sealant", I1219="Accordion Screen"), _xlfn.XLOOKUP(C1219, calc_rusacc!$C$15:$C$65, calc_rusacc!$BJ$15:$BJ$65, "",0),  F1219="Sealant", _xlfn.XLOOKUP(C1219, dd_accsrycalc!$A$2:$A$51, dd_accsrycalc!$G$2:$G$51, "",0),  F1219&lt;&gt;"",L1219*_xlfn.XLOOKUP(1, (SKUs!$C$2:$C$10001=G1219)*(SKUs!$K$2:$K$10001=I1219),SKUs!$E$2:$E$10001)), 0),"")</f>
        <v/>
      </c>
      <c r="E1219" s="16" t="str">
        <f>_xlfn.XLOOKUP(F1219,dd_item!$B$2:$B$105,dd_item!$C$2:$C$105,"",0)</f>
        <v/>
      </c>
      <c r="F1219" s="16"/>
      <c r="G1219" s="16" cm="1">
        <f t="array" ref="G1219">IFERROR(_xlfn.XLOOKUP(1, (SKUs!$J$2:$J$10001=accsry_unmerged!F1219)*IF(H1219&lt;&gt;"",(SKUs!$L$2:$L$10001=accsry_unmerged!H1219),1)*(SKUs!$K$2:$K$10001=I1219),SKUs!$C$2:$C$10001),"")</f>
        <v>0</v>
      </c>
      <c r="H1219" s="33" cm="1">
        <f t="array" ref="H1219">IFERROR(_xlfn.XLOOKUP(1, (dd_accsryclr!$C$2:$C$1000=accsry_unmerged!F1219)*(dd_accsryclr!$B$2:$B$1000=accsry_unmerged!J1219),dd_accsryclr!$A$2:$A$1000),"")</f>
        <v>0</v>
      </c>
      <c r="I1219" s="16">
        <f>_xlfn.XLOOKUP(C1219,'Project Details'!$C$17:$C$66,'Project Details'!$E$17:$E$66,"",0)</f>
        <v>0</v>
      </c>
      <c r="J1219" s="16">
        <f>_xlfn.XLOOKUP(C1219,'Project Details'!$C$17:$C$66,'Project Details'!$H$17:$H$66,"",0)</f>
        <v>0</v>
      </c>
      <c r="K1219" s="33" t="str">
        <f>IF(AND(_xlfn.XLOOKUP(C1219,'Project Details'!$C$17:$C$66,'Project Details'!$L$17:$L$66,"",0)&gt;550, F1219="Spring-L27cm"),"",SUBSTITUTE(_xlfn.XLOOKUP(G1219,SKUs!$C$2:$C$10001,SKUs!$F$2:$F$10001,"",0), " Accessories",""))</f>
        <v/>
      </c>
      <c r="L1219" s="33">
        <f>_xlfn.XLOOKUP(C1219,'Project Details'!$C$17:$C$66,'Project Details'!$D$17:$D$66,"",0)</f>
        <v>0</v>
      </c>
      <c r="M1219" s="43"/>
    </row>
    <row r="1220" spans="1:13" x14ac:dyDescent="0.25">
      <c r="A1220" s="43"/>
      <c r="B1220" s="43"/>
      <c r="C1220" s="35">
        <f t="shared" si="23"/>
        <v>25</v>
      </c>
      <c r="D1220" s="35" t="str" cm="1">
        <f t="array" ref="D1220">IFERROR(ROUNDUP(_xlfn.IFS(F1220="Aluminum Track", _xlfn.XLOOKUP(C1220, dd_accsrycalc!$A$2:$A$51, dd_accsrycalc!$B$2:$B$51, "",0), F1220="10 x 2 1/2 S (Flat)", _xlfn.XLOOKUP(C1220, dd_accsrycalc!$A$2:$A$51, dd_accsrycalc!$C$2:$C$51, "",0), F1220="Tox6", _xlfn.XLOOKUP(C1220, dd_accsrycalc!$A$2:$A$51, dd_accsrycalc!$D$2:$D$51, "",0), F1220="Cover Cap", _xlfn.XLOOKUP(C1220, dd_accsrycalc!$A$2:$A$51, dd_accsrycalc!$E$2:$E$51, "",0), F1220="Drainage Cover", _xlfn.XLOOKUP(C1220, dd_accsrycalc!$A$2:$A$51, dd_accsrycalc!$F$2:$F$51, "",0),AND( F1220="Double Adhesive Tape", I1220="Roll-up Screen"), _xlfn.XLOOKUP(C1220, calc_rusacc!$C$15:$C$65, calc_rusacc!$AD$15:$AD$65, "",0),AND( F1220="Sealant", I1220="Roll-up Screen"), _xlfn.XLOOKUP(C1220, calc_rusacc!$C$15:$C$65, calc_rusacc!$AF$15:$AF$65, "",0),  AND( F1220="Main Chain", I1220="Accordion Screen"), _xlfn.XLOOKUP(C1220, calc_rusacc!$C$15:$C$65, calc_rusacc!$BF$15:$BF$65, "",0), AND( F1220="Sealant", I1220="Accordion Screen"), _xlfn.XLOOKUP(C1220, calc_rusacc!$C$15:$C$65, calc_rusacc!$BJ$15:$BJ$65, "",0),  F1220="Sealant", _xlfn.XLOOKUP(C1220, dd_accsrycalc!$A$2:$A$51, dd_accsrycalc!$G$2:$G$51, "",0),  F1220&lt;&gt;"",L1220*_xlfn.XLOOKUP(1, (SKUs!$C$2:$C$10001=G1220)*(SKUs!$K$2:$K$10001=I1220),SKUs!$E$2:$E$10001)), 0),"")</f>
        <v/>
      </c>
      <c r="E1220" s="35" t="str">
        <f>_xlfn.XLOOKUP(F1220,dd_item!$B$2:$B$105,dd_item!$C$2:$C$105,"",0)</f>
        <v/>
      </c>
      <c r="F1220" s="35"/>
      <c r="G1220" s="35" cm="1">
        <f t="array" ref="G1220">IFERROR(_xlfn.XLOOKUP(1, (SKUs!$J$2:$J$10001=accsry_unmerged!F1220)*IF(H1220&lt;&gt;"",(SKUs!$L$2:$L$10001=accsry_unmerged!H1220),1)*(SKUs!$K$2:$K$10001=I1220),SKUs!$C$2:$C$10001),"")</f>
        <v>0</v>
      </c>
      <c r="H1220" s="36" cm="1">
        <f t="array" ref="H1220">IFERROR(_xlfn.XLOOKUP(1, (dd_accsryclr!$C$2:$C$1000=accsry_unmerged!F1220)*(dd_accsryclr!$B$2:$B$1000=accsry_unmerged!J1220),dd_accsryclr!$A$2:$A$1000),"")</f>
        <v>0</v>
      </c>
      <c r="I1220" s="35">
        <f>_xlfn.XLOOKUP(C1220,'Project Details'!$C$17:$C$66,'Project Details'!$E$17:$E$66,"",0)</f>
        <v>0</v>
      </c>
      <c r="J1220" s="35">
        <f>_xlfn.XLOOKUP(C1220,'Project Details'!$C$17:$C$66,'Project Details'!$H$17:$H$66,"",0)</f>
        <v>0</v>
      </c>
      <c r="K1220" s="36" t="str">
        <f>IF(AND(_xlfn.XLOOKUP(C1220,'Project Details'!$C$17:$C$66,'Project Details'!$L$17:$L$66,"",0)&gt;550, F1220="Spring-L27cm"),"",SUBSTITUTE(_xlfn.XLOOKUP(G1220,SKUs!$C$2:$C$10001,SKUs!$F$2:$F$10001,"",0), " Accessories",""))</f>
        <v/>
      </c>
      <c r="L1220" s="36">
        <f>_xlfn.XLOOKUP(C1220,'Project Details'!$C$17:$C$66,'Project Details'!$D$17:$D$66,"",0)</f>
        <v>0</v>
      </c>
      <c r="M1220" s="43"/>
    </row>
    <row r="1221" spans="1:13" x14ac:dyDescent="0.25">
      <c r="A1221" s="43"/>
      <c r="B1221" s="43"/>
      <c r="C1221" s="16">
        <f t="shared" si="23"/>
        <v>25</v>
      </c>
      <c r="D1221" s="16" t="str" cm="1">
        <f t="array" ref="D1221">IFERROR(ROUNDUP(_xlfn.IFS(F1221="Aluminum Track", _xlfn.XLOOKUP(C1221, dd_accsrycalc!$A$2:$A$51, dd_accsrycalc!$B$2:$B$51, "",0), F1221="10 x 2 1/2 S (Flat)", _xlfn.XLOOKUP(C1221, dd_accsrycalc!$A$2:$A$51, dd_accsrycalc!$C$2:$C$51, "",0), F1221="Tox6", _xlfn.XLOOKUP(C1221, dd_accsrycalc!$A$2:$A$51, dd_accsrycalc!$D$2:$D$51, "",0), F1221="Cover Cap", _xlfn.XLOOKUP(C1221, dd_accsrycalc!$A$2:$A$51, dd_accsrycalc!$E$2:$E$51, "",0), F1221="Drainage Cover", _xlfn.XLOOKUP(C1221, dd_accsrycalc!$A$2:$A$51, dd_accsrycalc!$F$2:$F$51, "",0),AND( F1221="Double Adhesive Tape", I1221="Roll-up Screen"), _xlfn.XLOOKUP(C1221, calc_rusacc!$C$15:$C$65, calc_rusacc!$AD$15:$AD$65, "",0),AND( F1221="Sealant", I1221="Roll-up Screen"), _xlfn.XLOOKUP(C1221, calc_rusacc!$C$15:$C$65, calc_rusacc!$AF$15:$AF$65, "",0),  AND( F1221="Main Chain", I1221="Accordion Screen"), _xlfn.XLOOKUP(C1221, calc_rusacc!$C$15:$C$65, calc_rusacc!$BF$15:$BF$65, "",0), AND( F1221="Sealant", I1221="Accordion Screen"), _xlfn.XLOOKUP(C1221, calc_rusacc!$C$15:$C$65, calc_rusacc!$BJ$15:$BJ$65, "",0),  F1221="Sealant", _xlfn.XLOOKUP(C1221, dd_accsrycalc!$A$2:$A$51, dd_accsrycalc!$G$2:$G$51, "",0),  F1221&lt;&gt;"",L1221*_xlfn.XLOOKUP(1, (SKUs!$C$2:$C$10001=G1221)*(SKUs!$K$2:$K$10001=I1221),SKUs!$E$2:$E$10001)), 0),"")</f>
        <v/>
      </c>
      <c r="E1221" s="16" t="str">
        <f>_xlfn.XLOOKUP(F1221,dd_item!$B$2:$B$105,dd_item!$C$2:$C$105,"",0)</f>
        <v/>
      </c>
      <c r="F1221" s="16"/>
      <c r="G1221" s="16" cm="1">
        <f t="array" ref="G1221">IFERROR(_xlfn.XLOOKUP(1, (SKUs!$J$2:$J$10001=accsry_unmerged!F1221)*IF(H1221&lt;&gt;"",(SKUs!$L$2:$L$10001=accsry_unmerged!H1221),1)*(SKUs!$K$2:$K$10001=I1221),SKUs!$C$2:$C$10001),"")</f>
        <v>0</v>
      </c>
      <c r="H1221" s="33" cm="1">
        <f t="array" ref="H1221">IFERROR(_xlfn.XLOOKUP(1, (dd_accsryclr!$C$2:$C$1000=accsry_unmerged!F1221)*(dd_accsryclr!$B$2:$B$1000=accsry_unmerged!J1221),dd_accsryclr!$A$2:$A$1000),"")</f>
        <v>0</v>
      </c>
      <c r="I1221" s="16">
        <f>_xlfn.XLOOKUP(C1221,'Project Details'!$C$17:$C$66,'Project Details'!$E$17:$E$66,"",0)</f>
        <v>0</v>
      </c>
      <c r="J1221" s="16">
        <f>_xlfn.XLOOKUP(C1221,'Project Details'!$C$17:$C$66,'Project Details'!$H$17:$H$66,"",0)</f>
        <v>0</v>
      </c>
      <c r="K1221" s="33" t="str">
        <f>IF(AND(_xlfn.XLOOKUP(C1221,'Project Details'!$C$17:$C$66,'Project Details'!$L$17:$L$66,"",0)&gt;550, F1221="Spring-L27cm"),"",SUBSTITUTE(_xlfn.XLOOKUP(G1221,SKUs!$C$2:$C$10001,SKUs!$F$2:$F$10001,"",0), " Accessories",""))</f>
        <v/>
      </c>
      <c r="L1221" s="33">
        <f>_xlfn.XLOOKUP(C1221,'Project Details'!$C$17:$C$66,'Project Details'!$D$17:$D$66,"",0)</f>
        <v>0</v>
      </c>
      <c r="M1221" s="43"/>
    </row>
    <row r="1222" spans="1:13" x14ac:dyDescent="0.25">
      <c r="A1222" s="43"/>
      <c r="B1222" s="43"/>
      <c r="C1222" s="35">
        <f t="shared" si="23"/>
        <v>25</v>
      </c>
      <c r="D1222" s="35" t="str" cm="1">
        <f t="array" ref="D1222">IFERROR(ROUNDUP(_xlfn.IFS(F1222="Aluminum Track", _xlfn.XLOOKUP(C1222, dd_accsrycalc!$A$2:$A$51, dd_accsrycalc!$B$2:$B$51, "",0), F1222="10 x 2 1/2 S (Flat)", _xlfn.XLOOKUP(C1222, dd_accsrycalc!$A$2:$A$51, dd_accsrycalc!$C$2:$C$51, "",0), F1222="Tox6", _xlfn.XLOOKUP(C1222, dd_accsrycalc!$A$2:$A$51, dd_accsrycalc!$D$2:$D$51, "",0), F1222="Cover Cap", _xlfn.XLOOKUP(C1222, dd_accsrycalc!$A$2:$A$51, dd_accsrycalc!$E$2:$E$51, "",0), F1222="Drainage Cover", _xlfn.XLOOKUP(C1222, dd_accsrycalc!$A$2:$A$51, dd_accsrycalc!$F$2:$F$51, "",0),AND( F1222="Double Adhesive Tape", I1222="Roll-up Screen"), _xlfn.XLOOKUP(C1222, calc_rusacc!$C$15:$C$65, calc_rusacc!$AD$15:$AD$65, "",0),AND( F1222="Sealant", I1222="Roll-up Screen"), _xlfn.XLOOKUP(C1222, calc_rusacc!$C$15:$C$65, calc_rusacc!$AF$15:$AF$65, "",0),  AND( F1222="Main Chain", I1222="Accordion Screen"), _xlfn.XLOOKUP(C1222, calc_rusacc!$C$15:$C$65, calc_rusacc!$BF$15:$BF$65, "",0), AND( F1222="Sealant", I1222="Accordion Screen"), _xlfn.XLOOKUP(C1222, calc_rusacc!$C$15:$C$65, calc_rusacc!$BJ$15:$BJ$65, "",0),  F1222="Sealant", _xlfn.XLOOKUP(C1222, dd_accsrycalc!$A$2:$A$51, dd_accsrycalc!$G$2:$G$51, "",0),  F1222&lt;&gt;"",L1222*_xlfn.XLOOKUP(1, (SKUs!$C$2:$C$10001=G1222)*(SKUs!$K$2:$K$10001=I1222),SKUs!$E$2:$E$10001)), 0),"")</f>
        <v/>
      </c>
      <c r="E1222" s="35" t="str">
        <f>_xlfn.XLOOKUP(F1222,dd_item!$B$2:$B$105,dd_item!$C$2:$C$105,"",0)</f>
        <v/>
      </c>
      <c r="F1222" s="35"/>
      <c r="G1222" s="35" cm="1">
        <f t="array" ref="G1222">IFERROR(_xlfn.XLOOKUP(1, (SKUs!$J$2:$J$10001=accsry_unmerged!F1222)*IF(H1222&lt;&gt;"",(SKUs!$L$2:$L$10001=accsry_unmerged!H1222),1)*(SKUs!$K$2:$K$10001=I1222),SKUs!$C$2:$C$10001),"")</f>
        <v>0</v>
      </c>
      <c r="H1222" s="36" cm="1">
        <f t="array" ref="H1222">IFERROR(_xlfn.XLOOKUP(1, (dd_accsryclr!$C$2:$C$1000=accsry_unmerged!F1222)*(dd_accsryclr!$B$2:$B$1000=accsry_unmerged!J1222),dd_accsryclr!$A$2:$A$1000),"")</f>
        <v>0</v>
      </c>
      <c r="I1222" s="35">
        <f>_xlfn.XLOOKUP(C1222,'Project Details'!$C$17:$C$66,'Project Details'!$E$17:$E$66,"",0)</f>
        <v>0</v>
      </c>
      <c r="J1222" s="35">
        <f>_xlfn.XLOOKUP(C1222,'Project Details'!$C$17:$C$66,'Project Details'!$H$17:$H$66,"",0)</f>
        <v>0</v>
      </c>
      <c r="K1222" s="36" t="str">
        <f>IF(AND(_xlfn.XLOOKUP(C1222,'Project Details'!$C$17:$C$66,'Project Details'!$L$17:$L$66,"",0)&gt;550, F1222="Spring-L27cm"),"",SUBSTITUTE(_xlfn.XLOOKUP(G1222,SKUs!$C$2:$C$10001,SKUs!$F$2:$F$10001,"",0), " Accessories",""))</f>
        <v/>
      </c>
      <c r="L1222" s="36">
        <f>_xlfn.XLOOKUP(C1222,'Project Details'!$C$17:$C$66,'Project Details'!$D$17:$D$66,"",0)</f>
        <v>0</v>
      </c>
      <c r="M1222" s="43"/>
    </row>
    <row r="1223" spans="1:13" x14ac:dyDescent="0.25">
      <c r="A1223" s="43"/>
      <c r="B1223" s="43"/>
      <c r="C1223" s="16">
        <f t="shared" si="23"/>
        <v>25</v>
      </c>
      <c r="D1223" s="16" t="str" cm="1">
        <f t="array" ref="D1223">IFERROR(ROUNDUP(_xlfn.IFS(F1223="Aluminum Track", _xlfn.XLOOKUP(C1223, dd_accsrycalc!$A$2:$A$51, dd_accsrycalc!$B$2:$B$51, "",0), F1223="10 x 2 1/2 S (Flat)", _xlfn.XLOOKUP(C1223, dd_accsrycalc!$A$2:$A$51, dd_accsrycalc!$C$2:$C$51, "",0), F1223="Tox6", _xlfn.XLOOKUP(C1223, dd_accsrycalc!$A$2:$A$51, dd_accsrycalc!$D$2:$D$51, "",0), F1223="Cover Cap", _xlfn.XLOOKUP(C1223, dd_accsrycalc!$A$2:$A$51, dd_accsrycalc!$E$2:$E$51, "",0), F1223="Drainage Cover", _xlfn.XLOOKUP(C1223, dd_accsrycalc!$A$2:$A$51, dd_accsrycalc!$F$2:$F$51, "",0),AND( F1223="Double Adhesive Tape", I1223="Roll-up Screen"), _xlfn.XLOOKUP(C1223, calc_rusacc!$C$15:$C$65, calc_rusacc!$AD$15:$AD$65, "",0),AND( F1223="Sealant", I1223="Roll-up Screen"), _xlfn.XLOOKUP(C1223, calc_rusacc!$C$15:$C$65, calc_rusacc!$AF$15:$AF$65, "",0),  AND( F1223="Main Chain", I1223="Accordion Screen"), _xlfn.XLOOKUP(C1223, calc_rusacc!$C$15:$C$65, calc_rusacc!$BF$15:$BF$65, "",0), AND( F1223="Sealant", I1223="Accordion Screen"), _xlfn.XLOOKUP(C1223, calc_rusacc!$C$15:$C$65, calc_rusacc!$BJ$15:$BJ$65, "",0),  F1223="Sealant", _xlfn.XLOOKUP(C1223, dd_accsrycalc!$A$2:$A$51, dd_accsrycalc!$G$2:$G$51, "",0),  F1223&lt;&gt;"",L1223*_xlfn.XLOOKUP(1, (SKUs!$C$2:$C$10001=G1223)*(SKUs!$K$2:$K$10001=I1223),SKUs!$E$2:$E$10001)), 0),"")</f>
        <v/>
      </c>
      <c r="E1223" s="16" t="str">
        <f>_xlfn.XLOOKUP(F1223,dd_item!$B$2:$B$105,dd_item!$C$2:$C$105,"",0)</f>
        <v/>
      </c>
      <c r="F1223" s="16"/>
      <c r="G1223" s="16" cm="1">
        <f t="array" ref="G1223">IFERROR(_xlfn.XLOOKUP(1, (SKUs!$J$2:$J$10001=accsry_unmerged!F1223)*IF(H1223&lt;&gt;"",(SKUs!$L$2:$L$10001=accsry_unmerged!H1223),1)*(SKUs!$K$2:$K$10001=I1223),SKUs!$C$2:$C$10001),"")</f>
        <v>0</v>
      </c>
      <c r="H1223" s="33" cm="1">
        <f t="array" ref="H1223">IFERROR(_xlfn.XLOOKUP(1, (dd_accsryclr!$C$2:$C$1000=accsry_unmerged!F1223)*(dd_accsryclr!$B$2:$B$1000=accsry_unmerged!J1223),dd_accsryclr!$A$2:$A$1000),"")</f>
        <v>0</v>
      </c>
      <c r="I1223" s="16">
        <f>_xlfn.XLOOKUP(C1223,'Project Details'!$C$17:$C$66,'Project Details'!$E$17:$E$66,"",0)</f>
        <v>0</v>
      </c>
      <c r="J1223" s="16">
        <f>_xlfn.XLOOKUP(C1223,'Project Details'!$C$17:$C$66,'Project Details'!$H$17:$H$66,"",0)</f>
        <v>0</v>
      </c>
      <c r="K1223" s="33" t="str">
        <f>IF(AND(_xlfn.XLOOKUP(C1223,'Project Details'!$C$17:$C$66,'Project Details'!$L$17:$L$66,"",0)&gt;550, F1223="Spring-L27cm"),"",SUBSTITUTE(_xlfn.XLOOKUP(G1223,SKUs!$C$2:$C$10001,SKUs!$F$2:$F$10001,"",0), " Accessories",""))</f>
        <v/>
      </c>
      <c r="L1223" s="33">
        <f>_xlfn.XLOOKUP(C1223,'Project Details'!$C$17:$C$66,'Project Details'!$D$17:$D$66,"",0)</f>
        <v>0</v>
      </c>
      <c r="M1223" s="43"/>
    </row>
    <row r="1224" spans="1:13" x14ac:dyDescent="0.25">
      <c r="A1224" s="43"/>
      <c r="B1224" s="43"/>
      <c r="C1224" s="35">
        <f t="shared" si="23"/>
        <v>25</v>
      </c>
      <c r="D1224" s="35" t="str" cm="1">
        <f t="array" ref="D1224">IFERROR(ROUNDUP(_xlfn.IFS(F1224="Aluminum Track", _xlfn.XLOOKUP(C1224, dd_accsrycalc!$A$2:$A$51, dd_accsrycalc!$B$2:$B$51, "",0), F1224="10 x 2 1/2 S (Flat)", _xlfn.XLOOKUP(C1224, dd_accsrycalc!$A$2:$A$51, dd_accsrycalc!$C$2:$C$51, "",0), F1224="Tox6", _xlfn.XLOOKUP(C1224, dd_accsrycalc!$A$2:$A$51, dd_accsrycalc!$D$2:$D$51, "",0), F1224="Cover Cap", _xlfn.XLOOKUP(C1224, dd_accsrycalc!$A$2:$A$51, dd_accsrycalc!$E$2:$E$51, "",0), F1224="Drainage Cover", _xlfn.XLOOKUP(C1224, dd_accsrycalc!$A$2:$A$51, dd_accsrycalc!$F$2:$F$51, "",0),AND( F1224="Double Adhesive Tape", I1224="Roll-up Screen"), _xlfn.XLOOKUP(C1224, calc_rusacc!$C$15:$C$65, calc_rusacc!$AD$15:$AD$65, "",0),AND( F1224="Sealant", I1224="Roll-up Screen"), _xlfn.XLOOKUP(C1224, calc_rusacc!$C$15:$C$65, calc_rusacc!$AF$15:$AF$65, "",0),  AND( F1224="Main Chain", I1224="Accordion Screen"), _xlfn.XLOOKUP(C1224, calc_rusacc!$C$15:$C$65, calc_rusacc!$BF$15:$BF$65, "",0), AND( F1224="Sealant", I1224="Accordion Screen"), _xlfn.XLOOKUP(C1224, calc_rusacc!$C$15:$C$65, calc_rusacc!$BJ$15:$BJ$65, "",0),  F1224="Sealant", _xlfn.XLOOKUP(C1224, dd_accsrycalc!$A$2:$A$51, dd_accsrycalc!$G$2:$G$51, "",0),  F1224&lt;&gt;"",L1224*_xlfn.XLOOKUP(1, (SKUs!$C$2:$C$10001=G1224)*(SKUs!$K$2:$K$10001=I1224),SKUs!$E$2:$E$10001)), 0),"")</f>
        <v/>
      </c>
      <c r="E1224" s="35" t="str">
        <f>_xlfn.XLOOKUP(F1224,dd_item!$B$2:$B$105,dd_item!$C$2:$C$105,"",0)</f>
        <v/>
      </c>
      <c r="F1224" s="35"/>
      <c r="G1224" s="35" cm="1">
        <f t="array" ref="G1224">IFERROR(_xlfn.XLOOKUP(1, (SKUs!$J$2:$J$10001=accsry_unmerged!F1224)*IF(H1224&lt;&gt;"",(SKUs!$L$2:$L$10001=accsry_unmerged!H1224),1)*(SKUs!$K$2:$K$10001=I1224),SKUs!$C$2:$C$10001),"")</f>
        <v>0</v>
      </c>
      <c r="H1224" s="36" cm="1">
        <f t="array" ref="H1224">IFERROR(_xlfn.XLOOKUP(1, (dd_accsryclr!$C$2:$C$1000=accsry_unmerged!F1224)*(dd_accsryclr!$B$2:$B$1000=accsry_unmerged!J1224),dd_accsryclr!$A$2:$A$1000),"")</f>
        <v>0</v>
      </c>
      <c r="I1224" s="35">
        <f>_xlfn.XLOOKUP(C1224,'Project Details'!$C$17:$C$66,'Project Details'!$E$17:$E$66,"",0)</f>
        <v>0</v>
      </c>
      <c r="J1224" s="35">
        <f>_xlfn.XLOOKUP(C1224,'Project Details'!$C$17:$C$66,'Project Details'!$H$17:$H$66,"",0)</f>
        <v>0</v>
      </c>
      <c r="K1224" s="36" t="str">
        <f>IF(AND(_xlfn.XLOOKUP(C1224,'Project Details'!$C$17:$C$66,'Project Details'!$L$17:$L$66,"",0)&gt;550, F1224="Spring-L27cm"),"",SUBSTITUTE(_xlfn.XLOOKUP(G1224,SKUs!$C$2:$C$10001,SKUs!$F$2:$F$10001,"",0), " Accessories",""))</f>
        <v/>
      </c>
      <c r="L1224" s="36">
        <f>_xlfn.XLOOKUP(C1224,'Project Details'!$C$17:$C$66,'Project Details'!$D$17:$D$66,"",0)</f>
        <v>0</v>
      </c>
      <c r="M1224" s="43"/>
    </row>
    <row r="1225" spans="1:13" x14ac:dyDescent="0.25">
      <c r="A1225" s="43"/>
      <c r="B1225" s="43"/>
      <c r="C1225" s="16">
        <f t="shared" si="23"/>
        <v>25</v>
      </c>
      <c r="D1225" s="16" t="str" cm="1">
        <f t="array" ref="D1225">IFERROR(ROUNDUP(_xlfn.IFS(F1225="Aluminum Track", _xlfn.XLOOKUP(C1225, dd_accsrycalc!$A$2:$A$51, dd_accsrycalc!$B$2:$B$51, "",0), F1225="10 x 2 1/2 S (Flat)", _xlfn.XLOOKUP(C1225, dd_accsrycalc!$A$2:$A$51, dd_accsrycalc!$C$2:$C$51, "",0), F1225="Tox6", _xlfn.XLOOKUP(C1225, dd_accsrycalc!$A$2:$A$51, dd_accsrycalc!$D$2:$D$51, "",0), F1225="Cover Cap", _xlfn.XLOOKUP(C1225, dd_accsrycalc!$A$2:$A$51, dd_accsrycalc!$E$2:$E$51, "",0), F1225="Drainage Cover", _xlfn.XLOOKUP(C1225, dd_accsrycalc!$A$2:$A$51, dd_accsrycalc!$F$2:$F$51, "",0),AND( F1225="Double Adhesive Tape", I1225="Roll-up Screen"), _xlfn.XLOOKUP(C1225, calc_rusacc!$C$15:$C$65, calc_rusacc!$AD$15:$AD$65, "",0),AND( F1225="Sealant", I1225="Roll-up Screen"), _xlfn.XLOOKUP(C1225, calc_rusacc!$C$15:$C$65, calc_rusacc!$AF$15:$AF$65, "",0),  AND( F1225="Main Chain", I1225="Accordion Screen"), _xlfn.XLOOKUP(C1225, calc_rusacc!$C$15:$C$65, calc_rusacc!$BF$15:$BF$65, "",0), AND( F1225="Sealant", I1225="Accordion Screen"), _xlfn.XLOOKUP(C1225, calc_rusacc!$C$15:$C$65, calc_rusacc!$BJ$15:$BJ$65, "",0),  F1225="Sealant", _xlfn.XLOOKUP(C1225, dd_accsrycalc!$A$2:$A$51, dd_accsrycalc!$G$2:$G$51, "",0),  F1225&lt;&gt;"",L1225*_xlfn.XLOOKUP(1, (SKUs!$C$2:$C$10001=G1225)*(SKUs!$K$2:$K$10001=I1225),SKUs!$E$2:$E$10001)), 0),"")</f>
        <v/>
      </c>
      <c r="E1225" s="16" t="str">
        <f>_xlfn.XLOOKUP(F1225,dd_item!$B$2:$B$105,dd_item!$C$2:$C$105,"",0)</f>
        <v/>
      </c>
      <c r="F1225" s="16"/>
      <c r="G1225" s="16" cm="1">
        <f t="array" ref="G1225">IFERROR(_xlfn.XLOOKUP(1, (SKUs!$J$2:$J$10001=accsry_unmerged!F1225)*IF(H1225&lt;&gt;"",(SKUs!$L$2:$L$10001=accsry_unmerged!H1225),1)*(SKUs!$K$2:$K$10001=I1225),SKUs!$C$2:$C$10001),"")</f>
        <v>0</v>
      </c>
      <c r="H1225" s="33" cm="1">
        <f t="array" ref="H1225">IFERROR(_xlfn.XLOOKUP(1, (dd_accsryclr!$C$2:$C$1000=accsry_unmerged!F1225)*(dd_accsryclr!$B$2:$B$1000=accsry_unmerged!J1225),dd_accsryclr!$A$2:$A$1000),"")</f>
        <v>0</v>
      </c>
      <c r="I1225" s="16">
        <f>_xlfn.XLOOKUP(C1225,'Project Details'!$C$17:$C$66,'Project Details'!$E$17:$E$66,"",0)</f>
        <v>0</v>
      </c>
      <c r="J1225" s="16">
        <f>_xlfn.XLOOKUP(C1225,'Project Details'!$C$17:$C$66,'Project Details'!$H$17:$H$66,"",0)</f>
        <v>0</v>
      </c>
      <c r="K1225" s="33" t="str">
        <f>IF(AND(_xlfn.XLOOKUP(C1225,'Project Details'!$C$17:$C$66,'Project Details'!$L$17:$L$66,"",0)&gt;550, F1225="Spring-L27cm"),"",SUBSTITUTE(_xlfn.XLOOKUP(G1225,SKUs!$C$2:$C$10001,SKUs!$F$2:$F$10001,"",0), " Accessories",""))</f>
        <v/>
      </c>
      <c r="L1225" s="33">
        <f>_xlfn.XLOOKUP(C1225,'Project Details'!$C$17:$C$66,'Project Details'!$D$17:$D$66,"",0)</f>
        <v>0</v>
      </c>
      <c r="M1225" s="43"/>
    </row>
    <row r="1226" spans="1:13" x14ac:dyDescent="0.25">
      <c r="A1226" s="43"/>
      <c r="B1226" s="43"/>
      <c r="C1226" s="35">
        <f t="shared" si="23"/>
        <v>25</v>
      </c>
      <c r="D1226" s="35" t="str" cm="1">
        <f t="array" ref="D1226">IFERROR(ROUNDUP(_xlfn.IFS(F1226="Aluminum Track", _xlfn.XLOOKUP(C1226, dd_accsrycalc!$A$2:$A$51, dd_accsrycalc!$B$2:$B$51, "",0), F1226="10 x 2 1/2 S (Flat)", _xlfn.XLOOKUP(C1226, dd_accsrycalc!$A$2:$A$51, dd_accsrycalc!$C$2:$C$51, "",0), F1226="Tox6", _xlfn.XLOOKUP(C1226, dd_accsrycalc!$A$2:$A$51, dd_accsrycalc!$D$2:$D$51, "",0), F1226="Cover Cap", _xlfn.XLOOKUP(C1226, dd_accsrycalc!$A$2:$A$51, dd_accsrycalc!$E$2:$E$51, "",0), F1226="Drainage Cover", _xlfn.XLOOKUP(C1226, dd_accsrycalc!$A$2:$A$51, dd_accsrycalc!$F$2:$F$51, "",0),AND( F1226="Double Adhesive Tape", I1226="Roll-up Screen"), _xlfn.XLOOKUP(C1226, calc_rusacc!$C$15:$C$65, calc_rusacc!$AD$15:$AD$65, "",0),AND( F1226="Sealant", I1226="Roll-up Screen"), _xlfn.XLOOKUP(C1226, calc_rusacc!$C$15:$C$65, calc_rusacc!$AF$15:$AF$65, "",0),  AND( F1226="Main Chain", I1226="Accordion Screen"), _xlfn.XLOOKUP(C1226, calc_rusacc!$C$15:$C$65, calc_rusacc!$BF$15:$BF$65, "",0), AND( F1226="Sealant", I1226="Accordion Screen"), _xlfn.XLOOKUP(C1226, calc_rusacc!$C$15:$C$65, calc_rusacc!$BJ$15:$BJ$65, "",0),  F1226="Sealant", _xlfn.XLOOKUP(C1226, dd_accsrycalc!$A$2:$A$51, dd_accsrycalc!$G$2:$G$51, "",0),  F1226&lt;&gt;"",L1226*_xlfn.XLOOKUP(1, (SKUs!$C$2:$C$10001=G1226)*(SKUs!$K$2:$K$10001=I1226),SKUs!$E$2:$E$10001)), 0),"")</f>
        <v/>
      </c>
      <c r="E1226" s="35" t="str">
        <f>_xlfn.XLOOKUP(F1226,dd_item!$B$2:$B$105,dd_item!$C$2:$C$105,"",0)</f>
        <v/>
      </c>
      <c r="F1226" s="35"/>
      <c r="G1226" s="35" cm="1">
        <f t="array" ref="G1226">IFERROR(_xlfn.XLOOKUP(1, (SKUs!$J$2:$J$10001=accsry_unmerged!F1226)*IF(H1226&lt;&gt;"",(SKUs!$L$2:$L$10001=accsry_unmerged!H1226),1)*(SKUs!$K$2:$K$10001=I1226),SKUs!$C$2:$C$10001),"")</f>
        <v>0</v>
      </c>
      <c r="H1226" s="36" cm="1">
        <f t="array" ref="H1226">IFERROR(_xlfn.XLOOKUP(1, (dd_accsryclr!$C$2:$C$1000=accsry_unmerged!F1226)*(dd_accsryclr!$B$2:$B$1000=accsry_unmerged!J1226),dd_accsryclr!$A$2:$A$1000),"")</f>
        <v>0</v>
      </c>
      <c r="I1226" s="35">
        <f>_xlfn.XLOOKUP(C1226,'Project Details'!$C$17:$C$66,'Project Details'!$E$17:$E$66,"",0)</f>
        <v>0</v>
      </c>
      <c r="J1226" s="35">
        <f>_xlfn.XLOOKUP(C1226,'Project Details'!$C$17:$C$66,'Project Details'!$H$17:$H$66,"",0)</f>
        <v>0</v>
      </c>
      <c r="K1226" s="36" t="str">
        <f>IF(AND(_xlfn.XLOOKUP(C1226,'Project Details'!$C$17:$C$66,'Project Details'!$L$17:$L$66,"",0)&gt;550, F1226="Spring-L27cm"),"",SUBSTITUTE(_xlfn.XLOOKUP(G1226,SKUs!$C$2:$C$10001,SKUs!$F$2:$F$10001,"",0), " Accessories",""))</f>
        <v/>
      </c>
      <c r="L1226" s="36">
        <f>_xlfn.XLOOKUP(C1226,'Project Details'!$C$17:$C$66,'Project Details'!$D$17:$D$66,"",0)</f>
        <v>0</v>
      </c>
      <c r="M1226" s="43"/>
    </row>
    <row r="1227" spans="1:13" x14ac:dyDescent="0.25">
      <c r="A1227" s="43"/>
      <c r="B1227" s="43"/>
      <c r="C1227" s="16">
        <f t="shared" si="23"/>
        <v>25</v>
      </c>
      <c r="D1227" s="16" t="str" cm="1">
        <f t="array" ref="D1227">IFERROR(ROUNDUP(_xlfn.IFS(F1227="Aluminum Track", _xlfn.XLOOKUP(C1227, dd_accsrycalc!$A$2:$A$51, dd_accsrycalc!$B$2:$B$51, "",0), F1227="10 x 2 1/2 S (Flat)", _xlfn.XLOOKUP(C1227, dd_accsrycalc!$A$2:$A$51, dd_accsrycalc!$C$2:$C$51, "",0), F1227="Tox6", _xlfn.XLOOKUP(C1227, dd_accsrycalc!$A$2:$A$51, dd_accsrycalc!$D$2:$D$51, "",0), F1227="Cover Cap", _xlfn.XLOOKUP(C1227, dd_accsrycalc!$A$2:$A$51, dd_accsrycalc!$E$2:$E$51, "",0), F1227="Drainage Cover", _xlfn.XLOOKUP(C1227, dd_accsrycalc!$A$2:$A$51, dd_accsrycalc!$F$2:$F$51, "",0),AND( F1227="Double Adhesive Tape", I1227="Roll-up Screen"), _xlfn.XLOOKUP(C1227, calc_rusacc!$C$15:$C$65, calc_rusacc!$AD$15:$AD$65, "",0),AND( F1227="Sealant", I1227="Roll-up Screen"), _xlfn.XLOOKUP(C1227, calc_rusacc!$C$15:$C$65, calc_rusacc!$AF$15:$AF$65, "",0),  AND( F1227="Main Chain", I1227="Accordion Screen"), _xlfn.XLOOKUP(C1227, calc_rusacc!$C$15:$C$65, calc_rusacc!$BF$15:$BF$65, "",0), AND( F1227="Sealant", I1227="Accordion Screen"), _xlfn.XLOOKUP(C1227, calc_rusacc!$C$15:$C$65, calc_rusacc!$BJ$15:$BJ$65, "",0),  F1227="Sealant", _xlfn.XLOOKUP(C1227, dd_accsrycalc!$A$2:$A$51, dd_accsrycalc!$G$2:$G$51, "",0),  F1227&lt;&gt;"",L1227*_xlfn.XLOOKUP(1, (SKUs!$C$2:$C$10001=G1227)*(SKUs!$K$2:$K$10001=I1227),SKUs!$E$2:$E$10001)), 0),"")</f>
        <v/>
      </c>
      <c r="E1227" s="16" t="str">
        <f>_xlfn.XLOOKUP(F1227,dd_item!$B$2:$B$105,dd_item!$C$2:$C$105,"",0)</f>
        <v/>
      </c>
      <c r="F1227" s="16"/>
      <c r="G1227" s="16" cm="1">
        <f t="array" ref="G1227">IFERROR(_xlfn.XLOOKUP(1, (SKUs!$J$2:$J$10001=accsry_unmerged!F1227)*IF(H1227&lt;&gt;"",(SKUs!$L$2:$L$10001=accsry_unmerged!H1227),1)*(SKUs!$K$2:$K$10001=I1227),SKUs!$C$2:$C$10001),"")</f>
        <v>0</v>
      </c>
      <c r="H1227" s="33" cm="1">
        <f t="array" ref="H1227">IFERROR(_xlfn.XLOOKUP(1, (dd_accsryclr!$C$2:$C$1000=accsry_unmerged!F1227)*(dd_accsryclr!$B$2:$B$1000=accsry_unmerged!J1227),dd_accsryclr!$A$2:$A$1000),"")</f>
        <v>0</v>
      </c>
      <c r="I1227" s="16">
        <f>_xlfn.XLOOKUP(C1227,'Project Details'!$C$17:$C$66,'Project Details'!$E$17:$E$66,"",0)</f>
        <v>0</v>
      </c>
      <c r="J1227" s="16">
        <f>_xlfn.XLOOKUP(C1227,'Project Details'!$C$17:$C$66,'Project Details'!$H$17:$H$66,"",0)</f>
        <v>0</v>
      </c>
      <c r="K1227" s="33" t="str">
        <f>IF(AND(_xlfn.XLOOKUP(C1227,'Project Details'!$C$17:$C$66,'Project Details'!$L$17:$L$66,"",0)&gt;550, F1227="Spring-L27cm"),"",SUBSTITUTE(_xlfn.XLOOKUP(G1227,SKUs!$C$2:$C$10001,SKUs!$F$2:$F$10001,"",0), " Accessories",""))</f>
        <v/>
      </c>
      <c r="L1227" s="33">
        <f>_xlfn.XLOOKUP(C1227,'Project Details'!$C$17:$C$66,'Project Details'!$D$17:$D$66,"",0)</f>
        <v>0</v>
      </c>
      <c r="M1227" s="43"/>
    </row>
    <row r="1228" spans="1:13" x14ac:dyDescent="0.25">
      <c r="A1228" s="43"/>
      <c r="B1228" s="43"/>
      <c r="C1228" s="35">
        <f t="shared" si="23"/>
        <v>25</v>
      </c>
      <c r="D1228" s="35" t="str" cm="1">
        <f t="array" ref="D1228">IFERROR(ROUNDUP(_xlfn.IFS(F1228="Aluminum Track", _xlfn.XLOOKUP(C1228, dd_accsrycalc!$A$2:$A$51, dd_accsrycalc!$B$2:$B$51, "",0), F1228="10 x 2 1/2 S (Flat)", _xlfn.XLOOKUP(C1228, dd_accsrycalc!$A$2:$A$51, dd_accsrycalc!$C$2:$C$51, "",0), F1228="Tox6", _xlfn.XLOOKUP(C1228, dd_accsrycalc!$A$2:$A$51, dd_accsrycalc!$D$2:$D$51, "",0), F1228="Cover Cap", _xlfn.XLOOKUP(C1228, dd_accsrycalc!$A$2:$A$51, dd_accsrycalc!$E$2:$E$51, "",0), F1228="Drainage Cover", _xlfn.XLOOKUP(C1228, dd_accsrycalc!$A$2:$A$51, dd_accsrycalc!$F$2:$F$51, "",0),AND( F1228="Double Adhesive Tape", I1228="Roll-up Screen"), _xlfn.XLOOKUP(C1228, calc_rusacc!$C$15:$C$65, calc_rusacc!$AD$15:$AD$65, "",0),AND( F1228="Sealant", I1228="Roll-up Screen"), _xlfn.XLOOKUP(C1228, calc_rusacc!$C$15:$C$65, calc_rusacc!$AF$15:$AF$65, "",0),  AND( F1228="Main Chain", I1228="Accordion Screen"), _xlfn.XLOOKUP(C1228, calc_rusacc!$C$15:$C$65, calc_rusacc!$BF$15:$BF$65, "",0), AND( F1228="Sealant", I1228="Accordion Screen"), _xlfn.XLOOKUP(C1228, calc_rusacc!$C$15:$C$65, calc_rusacc!$BJ$15:$BJ$65, "",0),  F1228="Sealant", _xlfn.XLOOKUP(C1228, dd_accsrycalc!$A$2:$A$51, dd_accsrycalc!$G$2:$G$51, "",0),  F1228&lt;&gt;"",L1228*_xlfn.XLOOKUP(1, (SKUs!$C$2:$C$10001=G1228)*(SKUs!$K$2:$K$10001=I1228),SKUs!$E$2:$E$10001)), 0),"")</f>
        <v/>
      </c>
      <c r="E1228" s="35" t="str">
        <f>_xlfn.XLOOKUP(F1228,dd_item!$B$2:$B$105,dd_item!$C$2:$C$105,"",0)</f>
        <v/>
      </c>
      <c r="F1228" s="35"/>
      <c r="G1228" s="35" cm="1">
        <f t="array" ref="G1228">IFERROR(_xlfn.XLOOKUP(1, (SKUs!$J$2:$J$10001=accsry_unmerged!F1228)*IF(H1228&lt;&gt;"",(SKUs!$L$2:$L$10001=accsry_unmerged!H1228),1)*(SKUs!$K$2:$K$10001=I1228),SKUs!$C$2:$C$10001),"")</f>
        <v>0</v>
      </c>
      <c r="H1228" s="36" cm="1">
        <f t="array" ref="H1228">IFERROR(_xlfn.XLOOKUP(1, (dd_accsryclr!$C$2:$C$1000=accsry_unmerged!F1228)*(dd_accsryclr!$B$2:$B$1000=accsry_unmerged!J1228),dd_accsryclr!$A$2:$A$1000),"")</f>
        <v>0</v>
      </c>
      <c r="I1228" s="35">
        <f>_xlfn.XLOOKUP(C1228,'Project Details'!$C$17:$C$66,'Project Details'!$E$17:$E$66,"",0)</f>
        <v>0</v>
      </c>
      <c r="J1228" s="35">
        <f>_xlfn.XLOOKUP(C1228,'Project Details'!$C$17:$C$66,'Project Details'!$H$17:$H$66,"",0)</f>
        <v>0</v>
      </c>
      <c r="K1228" s="36" t="str">
        <f>IF(AND(_xlfn.XLOOKUP(C1228,'Project Details'!$C$17:$C$66,'Project Details'!$L$17:$L$66,"",0)&gt;550, F1228="Spring-L27cm"),"",SUBSTITUTE(_xlfn.XLOOKUP(G1228,SKUs!$C$2:$C$10001,SKUs!$F$2:$F$10001,"",0), " Accessories",""))</f>
        <v/>
      </c>
      <c r="L1228" s="36">
        <f>_xlfn.XLOOKUP(C1228,'Project Details'!$C$17:$C$66,'Project Details'!$D$17:$D$66,"",0)</f>
        <v>0</v>
      </c>
      <c r="M1228" s="43"/>
    </row>
    <row r="1229" spans="1:13" x14ac:dyDescent="0.25">
      <c r="A1229" s="43"/>
      <c r="B1229" s="43"/>
      <c r="C1229" s="16">
        <f t="shared" si="23"/>
        <v>25</v>
      </c>
      <c r="D1229" s="16" t="str" cm="1">
        <f t="array" ref="D1229">IFERROR(ROUNDUP(_xlfn.IFS(F1229="Aluminum Track", _xlfn.XLOOKUP(C1229, dd_accsrycalc!$A$2:$A$51, dd_accsrycalc!$B$2:$B$51, "",0), F1229="10 x 2 1/2 S (Flat)", _xlfn.XLOOKUP(C1229, dd_accsrycalc!$A$2:$A$51, dd_accsrycalc!$C$2:$C$51, "",0), F1229="Tox6", _xlfn.XLOOKUP(C1229, dd_accsrycalc!$A$2:$A$51, dd_accsrycalc!$D$2:$D$51, "",0), F1229="Cover Cap", _xlfn.XLOOKUP(C1229, dd_accsrycalc!$A$2:$A$51, dd_accsrycalc!$E$2:$E$51, "",0), F1229="Drainage Cover", _xlfn.XLOOKUP(C1229, dd_accsrycalc!$A$2:$A$51, dd_accsrycalc!$F$2:$F$51, "",0),AND( F1229="Double Adhesive Tape", I1229="Roll-up Screen"), _xlfn.XLOOKUP(C1229, calc_rusacc!$C$15:$C$65, calc_rusacc!$AD$15:$AD$65, "",0),AND( F1229="Sealant", I1229="Roll-up Screen"), _xlfn.XLOOKUP(C1229, calc_rusacc!$C$15:$C$65, calc_rusacc!$AF$15:$AF$65, "",0),  AND( F1229="Main Chain", I1229="Accordion Screen"), _xlfn.XLOOKUP(C1229, calc_rusacc!$C$15:$C$65, calc_rusacc!$BF$15:$BF$65, "",0), AND( F1229="Sealant", I1229="Accordion Screen"), _xlfn.XLOOKUP(C1229, calc_rusacc!$C$15:$C$65, calc_rusacc!$BJ$15:$BJ$65, "",0),  F1229="Sealant", _xlfn.XLOOKUP(C1229, dd_accsrycalc!$A$2:$A$51, dd_accsrycalc!$G$2:$G$51, "",0),  F1229&lt;&gt;"",L1229*_xlfn.XLOOKUP(1, (SKUs!$C$2:$C$10001=G1229)*(SKUs!$K$2:$K$10001=I1229),SKUs!$E$2:$E$10001)), 0),"")</f>
        <v/>
      </c>
      <c r="E1229" s="16" t="str">
        <f>_xlfn.XLOOKUP(F1229,dd_item!$B$2:$B$105,dd_item!$C$2:$C$105,"",0)</f>
        <v/>
      </c>
      <c r="F1229" s="16"/>
      <c r="G1229" s="16" cm="1">
        <f t="array" ref="G1229">IFERROR(_xlfn.XLOOKUP(1, (SKUs!$J$2:$J$10001=accsry_unmerged!F1229)*IF(H1229&lt;&gt;"",(SKUs!$L$2:$L$10001=accsry_unmerged!H1229),1)*(SKUs!$K$2:$K$10001=I1229),SKUs!$C$2:$C$10001),"")</f>
        <v>0</v>
      </c>
      <c r="H1229" s="33" cm="1">
        <f t="array" ref="H1229">IFERROR(_xlfn.XLOOKUP(1, (dd_accsryclr!$C$2:$C$1000=accsry_unmerged!F1229)*(dd_accsryclr!$B$2:$B$1000=accsry_unmerged!J1229),dd_accsryclr!$A$2:$A$1000),"")</f>
        <v>0</v>
      </c>
      <c r="I1229" s="16">
        <f>_xlfn.XLOOKUP(C1229,'Project Details'!$C$17:$C$66,'Project Details'!$E$17:$E$66,"",0)</f>
        <v>0</v>
      </c>
      <c r="J1229" s="16">
        <f>_xlfn.XLOOKUP(C1229,'Project Details'!$C$17:$C$66,'Project Details'!$H$17:$H$66,"",0)</f>
        <v>0</v>
      </c>
      <c r="K1229" s="33" t="str">
        <f>IF(AND(_xlfn.XLOOKUP(C1229,'Project Details'!$C$17:$C$66,'Project Details'!$L$17:$L$66,"",0)&gt;550, F1229="Spring-L27cm"),"",SUBSTITUTE(_xlfn.XLOOKUP(G1229,SKUs!$C$2:$C$10001,SKUs!$F$2:$F$10001,"",0), " Accessories",""))</f>
        <v/>
      </c>
      <c r="L1229" s="33">
        <f>_xlfn.XLOOKUP(C1229,'Project Details'!$C$17:$C$66,'Project Details'!$D$17:$D$66,"",0)</f>
        <v>0</v>
      </c>
      <c r="M1229" s="43"/>
    </row>
    <row r="1230" spans="1:13" x14ac:dyDescent="0.25">
      <c r="A1230" s="43"/>
      <c r="B1230" s="43"/>
      <c r="C1230" s="35">
        <f t="shared" si="23"/>
        <v>25</v>
      </c>
      <c r="D1230" s="35" t="str" cm="1">
        <f t="array" ref="D1230">IFERROR(ROUNDUP(_xlfn.IFS(F1230="Aluminum Track", _xlfn.XLOOKUP(C1230, dd_accsrycalc!$A$2:$A$51, dd_accsrycalc!$B$2:$B$51, "",0), F1230="10 x 2 1/2 S (Flat)", _xlfn.XLOOKUP(C1230, dd_accsrycalc!$A$2:$A$51, dd_accsrycalc!$C$2:$C$51, "",0), F1230="Tox6", _xlfn.XLOOKUP(C1230, dd_accsrycalc!$A$2:$A$51, dd_accsrycalc!$D$2:$D$51, "",0), F1230="Cover Cap", _xlfn.XLOOKUP(C1230, dd_accsrycalc!$A$2:$A$51, dd_accsrycalc!$E$2:$E$51, "",0), F1230="Drainage Cover", _xlfn.XLOOKUP(C1230, dd_accsrycalc!$A$2:$A$51, dd_accsrycalc!$F$2:$F$51, "",0),AND( F1230="Double Adhesive Tape", I1230="Roll-up Screen"), _xlfn.XLOOKUP(C1230, calc_rusacc!$C$15:$C$65, calc_rusacc!$AD$15:$AD$65, "",0),AND( F1230="Sealant", I1230="Roll-up Screen"), _xlfn.XLOOKUP(C1230, calc_rusacc!$C$15:$C$65, calc_rusacc!$AF$15:$AF$65, "",0),  AND( F1230="Main Chain", I1230="Accordion Screen"), _xlfn.XLOOKUP(C1230, calc_rusacc!$C$15:$C$65, calc_rusacc!$BF$15:$BF$65, "",0), AND( F1230="Sealant", I1230="Accordion Screen"), _xlfn.XLOOKUP(C1230, calc_rusacc!$C$15:$C$65, calc_rusacc!$BJ$15:$BJ$65, "",0),  F1230="Sealant", _xlfn.XLOOKUP(C1230, dd_accsrycalc!$A$2:$A$51, dd_accsrycalc!$G$2:$G$51, "",0),  F1230&lt;&gt;"",L1230*_xlfn.XLOOKUP(1, (SKUs!$C$2:$C$10001=G1230)*(SKUs!$K$2:$K$10001=I1230),SKUs!$E$2:$E$10001)), 0),"")</f>
        <v/>
      </c>
      <c r="E1230" s="35" t="str">
        <f>_xlfn.XLOOKUP(F1230,dd_item!$B$2:$B$105,dd_item!$C$2:$C$105,"",0)</f>
        <v/>
      </c>
      <c r="F1230" s="35"/>
      <c r="G1230" s="35" cm="1">
        <f t="array" ref="G1230">IFERROR(_xlfn.XLOOKUP(1, (SKUs!$J$2:$J$10001=accsry_unmerged!F1230)*IF(H1230&lt;&gt;"",(SKUs!$L$2:$L$10001=accsry_unmerged!H1230),1)*(SKUs!$K$2:$K$10001=I1230),SKUs!$C$2:$C$10001),"")</f>
        <v>0</v>
      </c>
      <c r="H1230" s="36" cm="1">
        <f t="array" ref="H1230">IFERROR(_xlfn.XLOOKUP(1, (dd_accsryclr!$C$2:$C$1000=accsry_unmerged!F1230)*(dd_accsryclr!$B$2:$B$1000=accsry_unmerged!J1230),dd_accsryclr!$A$2:$A$1000),"")</f>
        <v>0</v>
      </c>
      <c r="I1230" s="35">
        <f>_xlfn.XLOOKUP(C1230,'Project Details'!$C$17:$C$66,'Project Details'!$E$17:$E$66,"",0)</f>
        <v>0</v>
      </c>
      <c r="J1230" s="35">
        <f>_xlfn.XLOOKUP(C1230,'Project Details'!$C$17:$C$66,'Project Details'!$H$17:$H$66,"",0)</f>
        <v>0</v>
      </c>
      <c r="K1230" s="36" t="str">
        <f>IF(AND(_xlfn.XLOOKUP(C1230,'Project Details'!$C$17:$C$66,'Project Details'!$L$17:$L$66,"",0)&gt;550, F1230="Spring-L27cm"),"",SUBSTITUTE(_xlfn.XLOOKUP(G1230,SKUs!$C$2:$C$10001,SKUs!$F$2:$F$10001,"",0), " Accessories",""))</f>
        <v/>
      </c>
      <c r="L1230" s="36">
        <f>_xlfn.XLOOKUP(C1230,'Project Details'!$C$17:$C$66,'Project Details'!$D$17:$D$66,"",0)</f>
        <v>0</v>
      </c>
      <c r="M1230" s="43"/>
    </row>
    <row r="1231" spans="1:13" x14ac:dyDescent="0.25">
      <c r="A1231" s="43"/>
      <c r="B1231" s="43"/>
      <c r="C1231" s="16">
        <f t="shared" si="23"/>
        <v>25</v>
      </c>
      <c r="D1231" s="16" t="str" cm="1">
        <f t="array" ref="D1231">IFERROR(ROUNDUP(_xlfn.IFS(F1231="Aluminum Track", _xlfn.XLOOKUP(C1231, dd_accsrycalc!$A$2:$A$51, dd_accsrycalc!$B$2:$B$51, "",0), F1231="10 x 2 1/2 S (Flat)", _xlfn.XLOOKUP(C1231, dd_accsrycalc!$A$2:$A$51, dd_accsrycalc!$C$2:$C$51, "",0), F1231="Tox6", _xlfn.XLOOKUP(C1231, dd_accsrycalc!$A$2:$A$51, dd_accsrycalc!$D$2:$D$51, "",0), F1231="Cover Cap", _xlfn.XLOOKUP(C1231, dd_accsrycalc!$A$2:$A$51, dd_accsrycalc!$E$2:$E$51, "",0), F1231="Drainage Cover", _xlfn.XLOOKUP(C1231, dd_accsrycalc!$A$2:$A$51, dd_accsrycalc!$F$2:$F$51, "",0),AND( F1231="Double Adhesive Tape", I1231="Roll-up Screen"), _xlfn.XLOOKUP(C1231, calc_rusacc!$C$15:$C$65, calc_rusacc!$AD$15:$AD$65, "",0),AND( F1231="Sealant", I1231="Roll-up Screen"), _xlfn.XLOOKUP(C1231, calc_rusacc!$C$15:$C$65, calc_rusacc!$AF$15:$AF$65, "",0),  AND( F1231="Main Chain", I1231="Accordion Screen"), _xlfn.XLOOKUP(C1231, calc_rusacc!$C$15:$C$65, calc_rusacc!$BF$15:$BF$65, "",0), AND( F1231="Sealant", I1231="Accordion Screen"), _xlfn.XLOOKUP(C1231, calc_rusacc!$C$15:$C$65, calc_rusacc!$BJ$15:$BJ$65, "",0),  F1231="Sealant", _xlfn.XLOOKUP(C1231, dd_accsrycalc!$A$2:$A$51, dd_accsrycalc!$G$2:$G$51, "",0),  F1231&lt;&gt;"",L1231*_xlfn.XLOOKUP(1, (SKUs!$C$2:$C$10001=G1231)*(SKUs!$K$2:$K$10001=I1231),SKUs!$E$2:$E$10001)), 0),"")</f>
        <v/>
      </c>
      <c r="E1231" s="16" t="str">
        <f>_xlfn.XLOOKUP(F1231,dd_item!$B$2:$B$105,dd_item!$C$2:$C$105,"",0)</f>
        <v/>
      </c>
      <c r="F1231" s="16"/>
      <c r="G1231" s="16" cm="1">
        <f t="array" ref="G1231">IFERROR(_xlfn.XLOOKUP(1, (SKUs!$J$2:$J$10001=accsry_unmerged!F1231)*IF(H1231&lt;&gt;"",(SKUs!$L$2:$L$10001=accsry_unmerged!H1231),1)*(SKUs!$K$2:$K$10001=I1231),SKUs!$C$2:$C$10001),"")</f>
        <v>0</v>
      </c>
      <c r="H1231" s="33" cm="1">
        <f t="array" ref="H1231">IFERROR(_xlfn.XLOOKUP(1, (dd_accsryclr!$C$2:$C$1000=accsry_unmerged!F1231)*(dd_accsryclr!$B$2:$B$1000=accsry_unmerged!J1231),dd_accsryclr!$A$2:$A$1000),"")</f>
        <v>0</v>
      </c>
      <c r="I1231" s="16">
        <f>_xlfn.XLOOKUP(C1231,'Project Details'!$C$17:$C$66,'Project Details'!$E$17:$E$66,"",0)</f>
        <v>0</v>
      </c>
      <c r="J1231" s="16">
        <f>_xlfn.XLOOKUP(C1231,'Project Details'!$C$17:$C$66,'Project Details'!$H$17:$H$66,"",0)</f>
        <v>0</v>
      </c>
      <c r="K1231" s="33" t="str">
        <f>IF(AND(_xlfn.XLOOKUP(C1231,'Project Details'!$C$17:$C$66,'Project Details'!$L$17:$L$66,"",0)&gt;550, F1231="Spring-L27cm"),"",SUBSTITUTE(_xlfn.XLOOKUP(G1231,SKUs!$C$2:$C$10001,SKUs!$F$2:$F$10001,"",0), " Accessories",""))</f>
        <v/>
      </c>
      <c r="L1231" s="33">
        <f>_xlfn.XLOOKUP(C1231,'Project Details'!$C$17:$C$66,'Project Details'!$D$17:$D$66,"",0)</f>
        <v>0</v>
      </c>
      <c r="M1231" s="43"/>
    </row>
    <row r="1232" spans="1:13" x14ac:dyDescent="0.25">
      <c r="A1232" s="43"/>
      <c r="B1232" s="43"/>
      <c r="C1232" s="35">
        <f t="shared" si="23"/>
        <v>25</v>
      </c>
      <c r="D1232" s="35" t="str" cm="1">
        <f t="array" ref="D1232">IFERROR(ROUNDUP(_xlfn.IFS(F1232="Aluminum Track", _xlfn.XLOOKUP(C1232, dd_accsrycalc!$A$2:$A$51, dd_accsrycalc!$B$2:$B$51, "",0), F1232="10 x 2 1/2 S (Flat)", _xlfn.XLOOKUP(C1232, dd_accsrycalc!$A$2:$A$51, dd_accsrycalc!$C$2:$C$51, "",0), F1232="Tox6", _xlfn.XLOOKUP(C1232, dd_accsrycalc!$A$2:$A$51, dd_accsrycalc!$D$2:$D$51, "",0), F1232="Cover Cap", _xlfn.XLOOKUP(C1232, dd_accsrycalc!$A$2:$A$51, dd_accsrycalc!$E$2:$E$51, "",0), F1232="Drainage Cover", _xlfn.XLOOKUP(C1232, dd_accsrycalc!$A$2:$A$51, dd_accsrycalc!$F$2:$F$51, "",0),AND( F1232="Double Adhesive Tape", I1232="Roll-up Screen"), _xlfn.XLOOKUP(C1232, calc_rusacc!$C$15:$C$65, calc_rusacc!$AD$15:$AD$65, "",0),AND( F1232="Sealant", I1232="Roll-up Screen"), _xlfn.XLOOKUP(C1232, calc_rusacc!$C$15:$C$65, calc_rusacc!$AF$15:$AF$65, "",0),  AND( F1232="Main Chain", I1232="Accordion Screen"), _xlfn.XLOOKUP(C1232, calc_rusacc!$C$15:$C$65, calc_rusacc!$BF$15:$BF$65, "",0), AND( F1232="Sealant", I1232="Accordion Screen"), _xlfn.XLOOKUP(C1232, calc_rusacc!$C$15:$C$65, calc_rusacc!$BJ$15:$BJ$65, "",0),  F1232="Sealant", _xlfn.XLOOKUP(C1232, dd_accsrycalc!$A$2:$A$51, dd_accsrycalc!$G$2:$G$51, "",0),  F1232&lt;&gt;"",L1232*_xlfn.XLOOKUP(1, (SKUs!$C$2:$C$10001=G1232)*(SKUs!$K$2:$K$10001=I1232),SKUs!$E$2:$E$10001)), 0),"")</f>
        <v/>
      </c>
      <c r="E1232" s="35" t="str">
        <f>_xlfn.XLOOKUP(F1232,dd_item!$B$2:$B$105,dd_item!$C$2:$C$105,"",0)</f>
        <v/>
      </c>
      <c r="F1232" s="35"/>
      <c r="G1232" s="35" cm="1">
        <f t="array" ref="G1232">IFERROR(_xlfn.XLOOKUP(1, (SKUs!$J$2:$J$10001=accsry_unmerged!F1232)*IF(H1232&lt;&gt;"",(SKUs!$L$2:$L$10001=accsry_unmerged!H1232),1)*(SKUs!$K$2:$K$10001=I1232),SKUs!$C$2:$C$10001),"")</f>
        <v>0</v>
      </c>
      <c r="H1232" s="36" cm="1">
        <f t="array" ref="H1232">IFERROR(_xlfn.XLOOKUP(1, (dd_accsryclr!$C$2:$C$1000=accsry_unmerged!F1232)*(dd_accsryclr!$B$2:$B$1000=accsry_unmerged!J1232),dd_accsryclr!$A$2:$A$1000),"")</f>
        <v>0</v>
      </c>
      <c r="I1232" s="35">
        <f>_xlfn.XLOOKUP(C1232,'Project Details'!$C$17:$C$66,'Project Details'!$E$17:$E$66,"",0)</f>
        <v>0</v>
      </c>
      <c r="J1232" s="35">
        <f>_xlfn.XLOOKUP(C1232,'Project Details'!$C$17:$C$66,'Project Details'!$H$17:$H$66,"",0)</f>
        <v>0</v>
      </c>
      <c r="K1232" s="36" t="str">
        <f>IF(AND(_xlfn.XLOOKUP(C1232,'Project Details'!$C$17:$C$66,'Project Details'!$L$17:$L$66,"",0)&gt;550, F1232="Spring-L27cm"),"",SUBSTITUTE(_xlfn.XLOOKUP(G1232,SKUs!$C$2:$C$10001,SKUs!$F$2:$F$10001,"",0), " Accessories",""))</f>
        <v/>
      </c>
      <c r="L1232" s="36">
        <f>_xlfn.XLOOKUP(C1232,'Project Details'!$C$17:$C$66,'Project Details'!$D$17:$D$66,"",0)</f>
        <v>0</v>
      </c>
      <c r="M1232" s="43"/>
    </row>
    <row r="1233" spans="1:13" x14ac:dyDescent="0.25">
      <c r="A1233" s="43"/>
      <c r="B1233" s="43"/>
      <c r="C1233" s="16">
        <f t="shared" si="23"/>
        <v>25</v>
      </c>
      <c r="D1233" s="16" t="str" cm="1">
        <f t="array" ref="D1233">IFERROR(ROUNDUP(_xlfn.IFS(F1233="Aluminum Track", _xlfn.XLOOKUP(C1233, dd_accsrycalc!$A$2:$A$51, dd_accsrycalc!$B$2:$B$51, "",0), F1233="10 x 2 1/2 S (Flat)", _xlfn.XLOOKUP(C1233, dd_accsrycalc!$A$2:$A$51, dd_accsrycalc!$C$2:$C$51, "",0), F1233="Tox6", _xlfn.XLOOKUP(C1233, dd_accsrycalc!$A$2:$A$51, dd_accsrycalc!$D$2:$D$51, "",0), F1233="Cover Cap", _xlfn.XLOOKUP(C1233, dd_accsrycalc!$A$2:$A$51, dd_accsrycalc!$E$2:$E$51, "",0), F1233="Drainage Cover", _xlfn.XLOOKUP(C1233, dd_accsrycalc!$A$2:$A$51, dd_accsrycalc!$F$2:$F$51, "",0),AND( F1233="Double Adhesive Tape", I1233="Roll-up Screen"), _xlfn.XLOOKUP(C1233, calc_rusacc!$C$15:$C$65, calc_rusacc!$AD$15:$AD$65, "",0),AND( F1233="Sealant", I1233="Roll-up Screen"), _xlfn.XLOOKUP(C1233, calc_rusacc!$C$15:$C$65, calc_rusacc!$AF$15:$AF$65, "",0),  AND( F1233="Main Chain", I1233="Accordion Screen"), _xlfn.XLOOKUP(C1233, calc_rusacc!$C$15:$C$65, calc_rusacc!$BF$15:$BF$65, "",0), AND( F1233="Sealant", I1233="Accordion Screen"), _xlfn.XLOOKUP(C1233, calc_rusacc!$C$15:$C$65, calc_rusacc!$BJ$15:$BJ$65, "",0),  F1233="Sealant", _xlfn.XLOOKUP(C1233, dd_accsrycalc!$A$2:$A$51, dd_accsrycalc!$G$2:$G$51, "",0),  F1233&lt;&gt;"",L1233*_xlfn.XLOOKUP(1, (SKUs!$C$2:$C$10001=G1233)*(SKUs!$K$2:$K$10001=I1233),SKUs!$E$2:$E$10001)), 0),"")</f>
        <v/>
      </c>
      <c r="E1233" s="16" t="str">
        <f>_xlfn.XLOOKUP(F1233,dd_item!$B$2:$B$105,dd_item!$C$2:$C$105,"",0)</f>
        <v/>
      </c>
      <c r="F1233" s="16"/>
      <c r="G1233" s="16" cm="1">
        <f t="array" ref="G1233">IFERROR(_xlfn.XLOOKUP(1, (SKUs!$J$2:$J$10001=accsry_unmerged!F1233)*IF(H1233&lt;&gt;"",(SKUs!$L$2:$L$10001=accsry_unmerged!H1233),1)*(SKUs!$K$2:$K$10001=I1233),SKUs!$C$2:$C$10001),"")</f>
        <v>0</v>
      </c>
      <c r="H1233" s="33" cm="1">
        <f t="array" ref="H1233">IFERROR(_xlfn.XLOOKUP(1, (dd_accsryclr!$C$2:$C$1000=accsry_unmerged!F1233)*(dd_accsryclr!$B$2:$B$1000=accsry_unmerged!J1233),dd_accsryclr!$A$2:$A$1000),"")</f>
        <v>0</v>
      </c>
      <c r="I1233" s="16">
        <f>_xlfn.XLOOKUP(C1233,'Project Details'!$C$17:$C$66,'Project Details'!$E$17:$E$66,"",0)</f>
        <v>0</v>
      </c>
      <c r="J1233" s="16">
        <f>_xlfn.XLOOKUP(C1233,'Project Details'!$C$17:$C$66,'Project Details'!$H$17:$H$66,"",0)</f>
        <v>0</v>
      </c>
      <c r="K1233" s="33" t="str">
        <f>IF(AND(_xlfn.XLOOKUP(C1233,'Project Details'!$C$17:$C$66,'Project Details'!$L$17:$L$66,"",0)&gt;550, F1233="Spring-L27cm"),"",SUBSTITUTE(_xlfn.XLOOKUP(G1233,SKUs!$C$2:$C$10001,SKUs!$F$2:$F$10001,"",0), " Accessories",""))</f>
        <v/>
      </c>
      <c r="L1233" s="33">
        <f>_xlfn.XLOOKUP(C1233,'Project Details'!$C$17:$C$66,'Project Details'!$D$17:$D$66,"",0)</f>
        <v>0</v>
      </c>
      <c r="M1233" s="43"/>
    </row>
    <row r="1234" spans="1:13" ht="13.5" customHeight="1" x14ac:dyDescent="0.25">
      <c r="A1234" s="43"/>
      <c r="B1234" s="43"/>
      <c r="C1234" s="35">
        <f t="shared" si="23"/>
        <v>25</v>
      </c>
      <c r="D1234" s="35" t="str" cm="1">
        <f t="array" ref="D1234">IFERROR(ROUNDUP(_xlfn.IFS(F1234="Aluminum Track", _xlfn.XLOOKUP(C1234, dd_accsrycalc!$A$2:$A$51, dd_accsrycalc!$B$2:$B$51, "",0), F1234="10 x 2 1/2 S (Flat)", _xlfn.XLOOKUP(C1234, dd_accsrycalc!$A$2:$A$51, dd_accsrycalc!$C$2:$C$51, "",0), F1234="Tox6", _xlfn.XLOOKUP(C1234, dd_accsrycalc!$A$2:$A$51, dd_accsrycalc!$D$2:$D$51, "",0), F1234="Cover Cap", _xlfn.XLOOKUP(C1234, dd_accsrycalc!$A$2:$A$51, dd_accsrycalc!$E$2:$E$51, "",0), F1234="Drainage Cover", _xlfn.XLOOKUP(C1234, dd_accsrycalc!$A$2:$A$51, dd_accsrycalc!$F$2:$F$51, "",0),AND( F1234="Double Adhesive Tape", I1234="Roll-up Screen"), _xlfn.XLOOKUP(C1234, calc_rusacc!$C$15:$C$65, calc_rusacc!$AD$15:$AD$65, "",0),AND( F1234="Sealant", I1234="Roll-up Screen"), _xlfn.XLOOKUP(C1234, calc_rusacc!$C$15:$C$65, calc_rusacc!$AF$15:$AF$65, "",0),  AND( F1234="Main Chain", I1234="Accordion Screen"), _xlfn.XLOOKUP(C1234, calc_rusacc!$C$15:$C$65, calc_rusacc!$BF$15:$BF$65, "",0), AND( F1234="Sealant", I1234="Accordion Screen"), _xlfn.XLOOKUP(C1234, calc_rusacc!$C$15:$C$65, calc_rusacc!$BJ$15:$BJ$65, "",0),  F1234="Sealant", _xlfn.XLOOKUP(C1234, dd_accsrycalc!$A$2:$A$51, dd_accsrycalc!$G$2:$G$51, "",0),  F1234&lt;&gt;"",L1234*_xlfn.XLOOKUP(1, (SKUs!$C$2:$C$10001=G1234)*(SKUs!$K$2:$K$10001=I1234),SKUs!$E$2:$E$10001)), 0),"")</f>
        <v/>
      </c>
      <c r="E1234" s="35" t="str">
        <f>_xlfn.XLOOKUP(F1234,dd_item!$B$2:$B$105,dd_item!$C$2:$C$105,"",0)</f>
        <v/>
      </c>
      <c r="F1234" s="35"/>
      <c r="G1234" s="35" cm="1">
        <f t="array" ref="G1234">IFERROR(_xlfn.XLOOKUP(1, (SKUs!$J$2:$J$10001=accsry_unmerged!F1234)*IF(H1234&lt;&gt;"",(SKUs!$L$2:$L$10001=accsry_unmerged!H1234),1)*(SKUs!$K$2:$K$10001=I1234),SKUs!$C$2:$C$10001),"")</f>
        <v>0</v>
      </c>
      <c r="H1234" s="36" cm="1">
        <f t="array" ref="H1234">IFERROR(_xlfn.XLOOKUP(1, (dd_accsryclr!$C$2:$C$1000=accsry_unmerged!F1234)*(dd_accsryclr!$B$2:$B$1000=accsry_unmerged!J1234),dd_accsryclr!$A$2:$A$1000),"")</f>
        <v>0</v>
      </c>
      <c r="I1234" s="35">
        <f>_xlfn.XLOOKUP(C1234,'Project Details'!$C$17:$C$66,'Project Details'!$E$17:$E$66,"",0)</f>
        <v>0</v>
      </c>
      <c r="J1234" s="35">
        <f>_xlfn.XLOOKUP(C1234,'Project Details'!$C$17:$C$66,'Project Details'!$H$17:$H$66,"",0)</f>
        <v>0</v>
      </c>
      <c r="K1234" s="36" t="str">
        <f>IF(AND(_xlfn.XLOOKUP(C1234,'Project Details'!$C$17:$C$66,'Project Details'!$L$17:$L$66,"",0)&gt;550, F1234="Spring-L27cm"),"",SUBSTITUTE(_xlfn.XLOOKUP(G1234,SKUs!$C$2:$C$10001,SKUs!$F$2:$F$10001,"",0), " Accessories",""))</f>
        <v/>
      </c>
      <c r="L1234" s="36">
        <f>_xlfn.XLOOKUP(C1234,'Project Details'!$C$17:$C$66,'Project Details'!$D$17:$D$66,"",0)</f>
        <v>0</v>
      </c>
      <c r="M1234" s="43"/>
    </row>
    <row r="1235" spans="1:13" ht="13.5" customHeight="1" x14ac:dyDescent="0.25">
      <c r="A1235" s="43"/>
      <c r="B1235" s="43"/>
      <c r="C1235" s="16">
        <f t="shared" si="23"/>
        <v>25</v>
      </c>
      <c r="D1235" s="16" t="str" cm="1">
        <f t="array" ref="D1235">IFERROR(ROUNDUP(_xlfn.IFS(F1235="Aluminum Track", _xlfn.XLOOKUP(C1235, dd_accsrycalc!$A$2:$A$51, dd_accsrycalc!$B$2:$B$51, "",0), F1235="10 x 2 1/2 S (Flat)", _xlfn.XLOOKUP(C1235, dd_accsrycalc!$A$2:$A$51, dd_accsrycalc!$C$2:$C$51, "",0), F1235="Tox6", _xlfn.XLOOKUP(C1235, dd_accsrycalc!$A$2:$A$51, dd_accsrycalc!$D$2:$D$51, "",0), F1235="Cover Cap", _xlfn.XLOOKUP(C1235, dd_accsrycalc!$A$2:$A$51, dd_accsrycalc!$E$2:$E$51, "",0), F1235="Drainage Cover", _xlfn.XLOOKUP(C1235, dd_accsrycalc!$A$2:$A$51, dd_accsrycalc!$F$2:$F$51, "",0),AND( F1235="Double Adhesive Tape", I1235="Roll-up Screen"), _xlfn.XLOOKUP(C1235, calc_rusacc!$C$15:$C$65, calc_rusacc!$AD$15:$AD$65, "",0),AND( F1235="Sealant", I1235="Roll-up Screen"), _xlfn.XLOOKUP(C1235, calc_rusacc!$C$15:$C$65, calc_rusacc!$AF$15:$AF$65, "",0),  AND( F1235="Main Chain", I1235="Accordion Screen"), _xlfn.XLOOKUP(C1235, calc_rusacc!$C$15:$C$65, calc_rusacc!$BF$15:$BF$65, "",0), AND( F1235="Sealant", I1235="Accordion Screen"), _xlfn.XLOOKUP(C1235, calc_rusacc!$C$15:$C$65, calc_rusacc!$BJ$15:$BJ$65, "",0),  F1235="Sealant", _xlfn.XLOOKUP(C1235, dd_accsrycalc!$A$2:$A$51, dd_accsrycalc!$G$2:$G$51, "",0),  F1235&lt;&gt;"",L1235*_xlfn.XLOOKUP(1, (SKUs!$C$2:$C$10001=G1235)*(SKUs!$K$2:$K$10001=I1235),SKUs!$E$2:$E$10001)), 0),"")</f>
        <v/>
      </c>
      <c r="E1235" s="16" t="str">
        <f>_xlfn.XLOOKUP(F1235,dd_item!$B$2:$B$105,dd_item!$C$2:$C$105,"",0)</f>
        <v/>
      </c>
      <c r="F1235" s="16"/>
      <c r="G1235" s="16" cm="1">
        <f t="array" ref="G1235">IFERROR(_xlfn.XLOOKUP(1, (SKUs!$J$2:$J$10001=accsry_unmerged!F1235)*IF(H1235&lt;&gt;"",(SKUs!$L$2:$L$10001=accsry_unmerged!H1235),1)*(SKUs!$K$2:$K$10001=I1235),SKUs!$C$2:$C$10001),"")</f>
        <v>0</v>
      </c>
      <c r="H1235" s="33" cm="1">
        <f t="array" ref="H1235">IFERROR(_xlfn.XLOOKUP(1, (dd_accsryclr!$C$2:$C$1000=accsry_unmerged!F1235)*(dd_accsryclr!$B$2:$B$1000=accsry_unmerged!J1235),dd_accsryclr!$A$2:$A$1000),"")</f>
        <v>0</v>
      </c>
      <c r="I1235" s="16">
        <f>_xlfn.XLOOKUP(C1235,'Project Details'!$C$17:$C$66,'Project Details'!$E$17:$E$66,"",0)</f>
        <v>0</v>
      </c>
      <c r="J1235" s="16">
        <f>_xlfn.XLOOKUP(C1235,'Project Details'!$C$17:$C$66,'Project Details'!$H$17:$H$66,"",0)</f>
        <v>0</v>
      </c>
      <c r="K1235" s="33" t="str">
        <f>IF(AND(_xlfn.XLOOKUP(C1235,'Project Details'!$C$17:$C$66,'Project Details'!$L$17:$L$66,"",0)&gt;550, F1235="Spring-L27cm"),"",SUBSTITUTE(_xlfn.XLOOKUP(G1235,SKUs!$C$2:$C$10001,SKUs!$F$2:$F$10001,"",0), " Accessories",""))</f>
        <v/>
      </c>
      <c r="L1235" s="33">
        <f>_xlfn.XLOOKUP(C1235,'Project Details'!$C$17:$C$66,'Project Details'!$D$17:$D$66,"",0)</f>
        <v>0</v>
      </c>
      <c r="M1235" s="43"/>
    </row>
    <row r="1236" spans="1:13" ht="13.5" customHeight="1" x14ac:dyDescent="0.25">
      <c r="A1236" s="43"/>
      <c r="B1236" s="43"/>
      <c r="C1236" s="35">
        <f t="shared" si="23"/>
        <v>25</v>
      </c>
      <c r="D1236" s="35" t="str" cm="1">
        <f t="array" ref="D1236">IFERROR(ROUNDUP(_xlfn.IFS(F1236="Aluminum Track", _xlfn.XLOOKUP(C1236, dd_accsrycalc!$A$2:$A$51, dd_accsrycalc!$B$2:$B$51, "",0), F1236="10 x 2 1/2 S (Flat)", _xlfn.XLOOKUP(C1236, dd_accsrycalc!$A$2:$A$51, dd_accsrycalc!$C$2:$C$51, "",0), F1236="Tox6", _xlfn.XLOOKUP(C1236, dd_accsrycalc!$A$2:$A$51, dd_accsrycalc!$D$2:$D$51, "",0), F1236="Cover Cap", _xlfn.XLOOKUP(C1236, dd_accsrycalc!$A$2:$A$51, dd_accsrycalc!$E$2:$E$51, "",0), F1236="Drainage Cover", _xlfn.XLOOKUP(C1236, dd_accsrycalc!$A$2:$A$51, dd_accsrycalc!$F$2:$F$51, "",0),AND( F1236="Double Adhesive Tape", I1236="Roll-up Screen"), _xlfn.XLOOKUP(C1236, calc_rusacc!$C$15:$C$65, calc_rusacc!$AD$15:$AD$65, "",0),AND( F1236="Sealant", I1236="Roll-up Screen"), _xlfn.XLOOKUP(C1236, calc_rusacc!$C$15:$C$65, calc_rusacc!$AF$15:$AF$65, "",0),  AND( F1236="Main Chain", I1236="Accordion Screen"), _xlfn.XLOOKUP(C1236, calc_rusacc!$C$15:$C$65, calc_rusacc!$BF$15:$BF$65, "",0), AND( F1236="Sealant", I1236="Accordion Screen"), _xlfn.XLOOKUP(C1236, calc_rusacc!$C$15:$C$65, calc_rusacc!$BJ$15:$BJ$65, "",0),  F1236="Sealant", _xlfn.XLOOKUP(C1236, dd_accsrycalc!$A$2:$A$51, dd_accsrycalc!$G$2:$G$51, "",0),  F1236&lt;&gt;"",L1236*_xlfn.XLOOKUP(1, (SKUs!$C$2:$C$10001=G1236)*(SKUs!$K$2:$K$10001=I1236),SKUs!$E$2:$E$10001)), 0),"")</f>
        <v/>
      </c>
      <c r="E1236" s="35" t="str">
        <f>_xlfn.XLOOKUP(F1236,dd_item!$B$2:$B$105,dd_item!$C$2:$C$105,"",0)</f>
        <v/>
      </c>
      <c r="F1236" s="35"/>
      <c r="G1236" s="35" cm="1">
        <f t="array" ref="G1236">IFERROR(_xlfn.XLOOKUP(1, (SKUs!$J$2:$J$10001=accsry_unmerged!F1236)*IF(H1236&lt;&gt;"",(SKUs!$L$2:$L$10001=accsry_unmerged!H1236),1)*(SKUs!$K$2:$K$10001=I1236),SKUs!$C$2:$C$10001),"")</f>
        <v>0</v>
      </c>
      <c r="H1236" s="36" cm="1">
        <f t="array" ref="H1236">IFERROR(_xlfn.XLOOKUP(1, (dd_accsryclr!$C$2:$C$1000=accsry_unmerged!F1236)*(dd_accsryclr!$B$2:$B$1000=accsry_unmerged!J1236),dd_accsryclr!$A$2:$A$1000),"")</f>
        <v>0</v>
      </c>
      <c r="I1236" s="35">
        <f>_xlfn.XLOOKUP(C1236,'Project Details'!$C$17:$C$66,'Project Details'!$E$17:$E$66,"",0)</f>
        <v>0</v>
      </c>
      <c r="J1236" s="35">
        <f>_xlfn.XLOOKUP(C1236,'Project Details'!$C$17:$C$66,'Project Details'!$H$17:$H$66,"",0)</f>
        <v>0</v>
      </c>
      <c r="K1236" s="36" t="str">
        <f>IF(AND(_xlfn.XLOOKUP(C1236,'Project Details'!$C$17:$C$66,'Project Details'!$L$17:$L$66,"",0)&gt;550, F1236="Spring-L27cm"),"",SUBSTITUTE(_xlfn.XLOOKUP(G1236,SKUs!$C$2:$C$10001,SKUs!$F$2:$F$10001,"",0), " Accessories",""))</f>
        <v/>
      </c>
      <c r="L1236" s="36">
        <f>_xlfn.XLOOKUP(C1236,'Project Details'!$C$17:$C$66,'Project Details'!$D$17:$D$66,"",0)</f>
        <v>0</v>
      </c>
      <c r="M1236" s="43"/>
    </row>
    <row r="1237" spans="1:13" ht="13.5" customHeight="1" x14ac:dyDescent="0.25">
      <c r="A1237" s="43"/>
      <c r="B1237" s="43"/>
      <c r="C1237" s="16">
        <f t="shared" si="23"/>
        <v>25</v>
      </c>
      <c r="D1237" s="16" t="str" cm="1">
        <f t="array" ref="D1237">IFERROR(ROUNDUP(_xlfn.IFS(F1237="Aluminum Track", _xlfn.XLOOKUP(C1237, dd_accsrycalc!$A$2:$A$51, dd_accsrycalc!$B$2:$B$51, "",0), F1237="10 x 2 1/2 S (Flat)", _xlfn.XLOOKUP(C1237, dd_accsrycalc!$A$2:$A$51, dd_accsrycalc!$C$2:$C$51, "",0), F1237="Tox6", _xlfn.XLOOKUP(C1237, dd_accsrycalc!$A$2:$A$51, dd_accsrycalc!$D$2:$D$51, "",0), F1237="Cover Cap", _xlfn.XLOOKUP(C1237, dd_accsrycalc!$A$2:$A$51, dd_accsrycalc!$E$2:$E$51, "",0), F1237="Drainage Cover", _xlfn.XLOOKUP(C1237, dd_accsrycalc!$A$2:$A$51, dd_accsrycalc!$F$2:$F$51, "",0),AND( F1237="Double Adhesive Tape", I1237="Roll-up Screen"), _xlfn.XLOOKUP(C1237, calc_rusacc!$C$15:$C$65, calc_rusacc!$AD$15:$AD$65, "",0),AND( F1237="Sealant", I1237="Roll-up Screen"), _xlfn.XLOOKUP(C1237, calc_rusacc!$C$15:$C$65, calc_rusacc!$AF$15:$AF$65, "",0),  AND( F1237="Main Chain", I1237="Accordion Screen"), _xlfn.XLOOKUP(C1237, calc_rusacc!$C$15:$C$65, calc_rusacc!$BF$15:$BF$65, "",0), AND( F1237="Sealant", I1237="Accordion Screen"), _xlfn.XLOOKUP(C1237, calc_rusacc!$C$15:$C$65, calc_rusacc!$BJ$15:$BJ$65, "",0),  F1237="Sealant", _xlfn.XLOOKUP(C1237, dd_accsrycalc!$A$2:$A$51, dd_accsrycalc!$G$2:$G$51, "",0),  F1237&lt;&gt;"",L1237*_xlfn.XLOOKUP(1, (SKUs!$C$2:$C$10001=G1237)*(SKUs!$K$2:$K$10001=I1237),SKUs!$E$2:$E$10001)), 0),"")</f>
        <v/>
      </c>
      <c r="E1237" s="16" t="str">
        <f>_xlfn.XLOOKUP(F1237,dd_item!$B$2:$B$105,dd_item!$C$2:$C$105,"",0)</f>
        <v/>
      </c>
      <c r="F1237" s="16"/>
      <c r="G1237" s="16" cm="1">
        <f t="array" ref="G1237">IFERROR(_xlfn.XLOOKUP(1, (SKUs!$J$2:$J$10001=accsry_unmerged!F1237)*IF(H1237&lt;&gt;"",(SKUs!$L$2:$L$10001=accsry_unmerged!H1237),1)*(SKUs!$K$2:$K$10001=I1237),SKUs!$C$2:$C$10001),"")</f>
        <v>0</v>
      </c>
      <c r="H1237" s="33" cm="1">
        <f t="array" ref="H1237">IFERROR(_xlfn.XLOOKUP(1, (dd_accsryclr!$C$2:$C$1000=accsry_unmerged!F1237)*(dd_accsryclr!$B$2:$B$1000=accsry_unmerged!J1237),dd_accsryclr!$A$2:$A$1000),"")</f>
        <v>0</v>
      </c>
      <c r="I1237" s="16">
        <f>_xlfn.XLOOKUP(C1237,'Project Details'!$C$17:$C$66,'Project Details'!$E$17:$E$66,"",0)</f>
        <v>0</v>
      </c>
      <c r="J1237" s="16">
        <f>_xlfn.XLOOKUP(C1237,'Project Details'!$C$17:$C$66,'Project Details'!$H$17:$H$66,"",0)</f>
        <v>0</v>
      </c>
      <c r="K1237" s="33" t="str">
        <f>IF(AND(_xlfn.XLOOKUP(C1237,'Project Details'!$C$17:$C$66,'Project Details'!$L$17:$L$66,"",0)&gt;550, F1237="Spring-L27cm"),"",SUBSTITUTE(_xlfn.XLOOKUP(G1237,SKUs!$C$2:$C$10001,SKUs!$F$2:$F$10001,"",0), " Accessories",""))</f>
        <v/>
      </c>
      <c r="L1237" s="33">
        <f>_xlfn.XLOOKUP(C1237,'Project Details'!$C$17:$C$66,'Project Details'!$D$17:$D$66,"",0)</f>
        <v>0</v>
      </c>
      <c r="M1237" s="43"/>
    </row>
    <row r="1238" spans="1:13" ht="13.5" customHeight="1" x14ac:dyDescent="0.25">
      <c r="A1238" s="43"/>
      <c r="B1238" s="43"/>
      <c r="C1238" s="35">
        <f t="shared" si="23"/>
        <v>25</v>
      </c>
      <c r="D1238" s="35" t="str" cm="1">
        <f t="array" ref="D1238">IFERROR(ROUNDUP(_xlfn.IFS(F1238="Aluminum Track", _xlfn.XLOOKUP(C1238, dd_accsrycalc!$A$2:$A$51, dd_accsrycalc!$B$2:$B$51, "",0), F1238="10 x 2 1/2 S (Flat)", _xlfn.XLOOKUP(C1238, dd_accsrycalc!$A$2:$A$51, dd_accsrycalc!$C$2:$C$51, "",0), F1238="Tox6", _xlfn.XLOOKUP(C1238, dd_accsrycalc!$A$2:$A$51, dd_accsrycalc!$D$2:$D$51, "",0), F1238="Cover Cap", _xlfn.XLOOKUP(C1238, dd_accsrycalc!$A$2:$A$51, dd_accsrycalc!$E$2:$E$51, "",0), F1238="Drainage Cover", _xlfn.XLOOKUP(C1238, dd_accsrycalc!$A$2:$A$51, dd_accsrycalc!$F$2:$F$51, "",0),AND( F1238="Double Adhesive Tape", I1238="Roll-up Screen"), _xlfn.XLOOKUP(C1238, calc_rusacc!$C$15:$C$65, calc_rusacc!$AD$15:$AD$65, "",0),AND( F1238="Sealant", I1238="Roll-up Screen"), _xlfn.XLOOKUP(C1238, calc_rusacc!$C$15:$C$65, calc_rusacc!$AF$15:$AF$65, "",0),  AND( F1238="Main Chain", I1238="Accordion Screen"), _xlfn.XLOOKUP(C1238, calc_rusacc!$C$15:$C$65, calc_rusacc!$BF$15:$BF$65, "",0), AND( F1238="Sealant", I1238="Accordion Screen"), _xlfn.XLOOKUP(C1238, calc_rusacc!$C$15:$C$65, calc_rusacc!$BJ$15:$BJ$65, "",0),  F1238="Sealant", _xlfn.XLOOKUP(C1238, dd_accsrycalc!$A$2:$A$51, dd_accsrycalc!$G$2:$G$51, "",0),  F1238&lt;&gt;"",L1238*_xlfn.XLOOKUP(1, (SKUs!$C$2:$C$10001=G1238)*(SKUs!$K$2:$K$10001=I1238),SKUs!$E$2:$E$10001)), 0),"")</f>
        <v/>
      </c>
      <c r="E1238" s="35" t="str">
        <f>_xlfn.XLOOKUP(F1238,dd_item!$B$2:$B$105,dd_item!$C$2:$C$105,"",0)</f>
        <v/>
      </c>
      <c r="F1238" s="35"/>
      <c r="G1238" s="35" cm="1">
        <f t="array" ref="G1238">IFERROR(_xlfn.XLOOKUP(1, (SKUs!$J$2:$J$10001=accsry_unmerged!F1238)*IF(H1238&lt;&gt;"",(SKUs!$L$2:$L$10001=accsry_unmerged!H1238),1)*(SKUs!$K$2:$K$10001=I1238),SKUs!$C$2:$C$10001),"")</f>
        <v>0</v>
      </c>
      <c r="H1238" s="36" cm="1">
        <f t="array" ref="H1238">IFERROR(_xlfn.XLOOKUP(1, (dd_accsryclr!$C$2:$C$1000=accsry_unmerged!F1238)*(dd_accsryclr!$B$2:$B$1000=accsry_unmerged!J1238),dd_accsryclr!$A$2:$A$1000),"")</f>
        <v>0</v>
      </c>
      <c r="I1238" s="35">
        <f>_xlfn.XLOOKUP(C1238,'Project Details'!$C$17:$C$66,'Project Details'!$E$17:$E$66,"",0)</f>
        <v>0</v>
      </c>
      <c r="J1238" s="35">
        <f>_xlfn.XLOOKUP(C1238,'Project Details'!$C$17:$C$66,'Project Details'!$H$17:$H$66,"",0)</f>
        <v>0</v>
      </c>
      <c r="K1238" s="36" t="str">
        <f>IF(AND(_xlfn.XLOOKUP(C1238,'Project Details'!$C$17:$C$66,'Project Details'!$L$17:$L$66,"",0)&gt;550, F1238="Spring-L27cm"),"",SUBSTITUTE(_xlfn.XLOOKUP(G1238,SKUs!$C$2:$C$10001,SKUs!$F$2:$F$10001,"",0), " Accessories",""))</f>
        <v/>
      </c>
      <c r="L1238" s="36">
        <f>_xlfn.XLOOKUP(C1238,'Project Details'!$C$17:$C$66,'Project Details'!$D$17:$D$66,"",0)</f>
        <v>0</v>
      </c>
      <c r="M1238" s="43"/>
    </row>
    <row r="1239" spans="1:13" ht="13.5" customHeight="1" x14ac:dyDescent="0.25">
      <c r="A1239" s="43"/>
      <c r="B1239" s="43"/>
      <c r="C1239" s="16">
        <f t="shared" si="23"/>
        <v>25</v>
      </c>
      <c r="D1239" s="16" t="str" cm="1">
        <f t="array" ref="D1239">IFERROR(ROUNDUP(_xlfn.IFS(F1239="Aluminum Track", _xlfn.XLOOKUP(C1239, dd_accsrycalc!$A$2:$A$51, dd_accsrycalc!$B$2:$B$51, "",0), F1239="10 x 2 1/2 S (Flat)", _xlfn.XLOOKUP(C1239, dd_accsrycalc!$A$2:$A$51, dd_accsrycalc!$C$2:$C$51, "",0), F1239="Tox6", _xlfn.XLOOKUP(C1239, dd_accsrycalc!$A$2:$A$51, dd_accsrycalc!$D$2:$D$51, "",0), F1239="Cover Cap", _xlfn.XLOOKUP(C1239, dd_accsrycalc!$A$2:$A$51, dd_accsrycalc!$E$2:$E$51, "",0), F1239="Drainage Cover", _xlfn.XLOOKUP(C1239, dd_accsrycalc!$A$2:$A$51, dd_accsrycalc!$F$2:$F$51, "",0),AND( F1239="Double Adhesive Tape", I1239="Roll-up Screen"), _xlfn.XLOOKUP(C1239, calc_rusacc!$C$15:$C$65, calc_rusacc!$AD$15:$AD$65, "",0),AND( F1239="Sealant", I1239="Roll-up Screen"), _xlfn.XLOOKUP(C1239, calc_rusacc!$C$15:$C$65, calc_rusacc!$AF$15:$AF$65, "",0),  AND( F1239="Main Chain", I1239="Accordion Screen"), _xlfn.XLOOKUP(C1239, calc_rusacc!$C$15:$C$65, calc_rusacc!$BF$15:$BF$65, "",0), AND( F1239="Sealant", I1239="Accordion Screen"), _xlfn.XLOOKUP(C1239, calc_rusacc!$C$15:$C$65, calc_rusacc!$BJ$15:$BJ$65, "",0),  F1239="Sealant", _xlfn.XLOOKUP(C1239, dd_accsrycalc!$A$2:$A$51, dd_accsrycalc!$G$2:$G$51, "",0),  F1239&lt;&gt;"",L1239*_xlfn.XLOOKUP(1, (SKUs!$C$2:$C$10001=G1239)*(SKUs!$K$2:$K$10001=I1239),SKUs!$E$2:$E$10001)), 0),"")</f>
        <v/>
      </c>
      <c r="E1239" s="16" t="str">
        <f>_xlfn.XLOOKUP(F1239,dd_item!$B$2:$B$105,dd_item!$C$2:$C$105,"",0)</f>
        <v/>
      </c>
      <c r="F1239" s="16"/>
      <c r="G1239" s="16" cm="1">
        <f t="array" ref="G1239">IFERROR(_xlfn.XLOOKUP(1, (SKUs!$J$2:$J$10001=accsry_unmerged!F1239)*IF(H1239&lt;&gt;"",(SKUs!$L$2:$L$10001=accsry_unmerged!H1239),1)*(SKUs!$K$2:$K$10001=I1239),SKUs!$C$2:$C$10001),"")</f>
        <v>0</v>
      </c>
      <c r="H1239" s="33" cm="1">
        <f t="array" ref="H1239">IFERROR(_xlfn.XLOOKUP(1, (dd_accsryclr!$C$2:$C$1000=accsry_unmerged!F1239)*(dd_accsryclr!$B$2:$B$1000=accsry_unmerged!J1239),dd_accsryclr!$A$2:$A$1000),"")</f>
        <v>0</v>
      </c>
      <c r="I1239" s="16">
        <f>_xlfn.XLOOKUP(C1239,'Project Details'!$C$17:$C$66,'Project Details'!$E$17:$E$66,"",0)</f>
        <v>0</v>
      </c>
      <c r="J1239" s="16">
        <f>_xlfn.XLOOKUP(C1239,'Project Details'!$C$17:$C$66,'Project Details'!$H$17:$H$66,"",0)</f>
        <v>0</v>
      </c>
      <c r="K1239" s="33" t="str">
        <f>IF(AND(_xlfn.XLOOKUP(C1239,'Project Details'!$C$17:$C$66,'Project Details'!$L$17:$L$66,"",0)&gt;550, F1239="Spring-L27cm"),"",SUBSTITUTE(_xlfn.XLOOKUP(G1239,SKUs!$C$2:$C$10001,SKUs!$F$2:$F$10001,"",0), " Accessories",""))</f>
        <v/>
      </c>
      <c r="L1239" s="33">
        <f>_xlfn.XLOOKUP(C1239,'Project Details'!$C$17:$C$66,'Project Details'!$D$17:$D$66,"",0)</f>
        <v>0</v>
      </c>
      <c r="M1239" s="43"/>
    </row>
    <row r="1240" spans="1:13" ht="13.5" customHeight="1" x14ac:dyDescent="0.25">
      <c r="A1240" s="43"/>
      <c r="B1240" s="43"/>
      <c r="C1240" s="35">
        <f t="shared" si="23"/>
        <v>25</v>
      </c>
      <c r="D1240" s="35" t="str" cm="1">
        <f t="array" ref="D1240">IFERROR(ROUNDUP(_xlfn.IFS(F1240="Aluminum Track", _xlfn.XLOOKUP(C1240, dd_accsrycalc!$A$2:$A$51, dd_accsrycalc!$B$2:$B$51, "",0), F1240="10 x 2 1/2 S (Flat)", _xlfn.XLOOKUP(C1240, dd_accsrycalc!$A$2:$A$51, dd_accsrycalc!$C$2:$C$51, "",0), F1240="Tox6", _xlfn.XLOOKUP(C1240, dd_accsrycalc!$A$2:$A$51, dd_accsrycalc!$D$2:$D$51, "",0), F1240="Cover Cap", _xlfn.XLOOKUP(C1240, dd_accsrycalc!$A$2:$A$51, dd_accsrycalc!$E$2:$E$51, "",0), F1240="Drainage Cover", _xlfn.XLOOKUP(C1240, dd_accsrycalc!$A$2:$A$51, dd_accsrycalc!$F$2:$F$51, "",0),AND( F1240="Double Adhesive Tape", I1240="Roll-up Screen"), _xlfn.XLOOKUP(C1240, calc_rusacc!$C$15:$C$65, calc_rusacc!$AD$15:$AD$65, "",0),AND( F1240="Sealant", I1240="Roll-up Screen"), _xlfn.XLOOKUP(C1240, calc_rusacc!$C$15:$C$65, calc_rusacc!$AF$15:$AF$65, "",0),  AND( F1240="Main Chain", I1240="Accordion Screen"), _xlfn.XLOOKUP(C1240, calc_rusacc!$C$15:$C$65, calc_rusacc!$BF$15:$BF$65, "",0), AND( F1240="Sealant", I1240="Accordion Screen"), _xlfn.XLOOKUP(C1240, calc_rusacc!$C$15:$C$65, calc_rusacc!$BJ$15:$BJ$65, "",0),  F1240="Sealant", _xlfn.XLOOKUP(C1240, dd_accsrycalc!$A$2:$A$51, dd_accsrycalc!$G$2:$G$51, "",0),  F1240&lt;&gt;"",L1240*_xlfn.XLOOKUP(1, (SKUs!$C$2:$C$10001=G1240)*(SKUs!$K$2:$K$10001=I1240),SKUs!$E$2:$E$10001)), 0),"")</f>
        <v/>
      </c>
      <c r="E1240" s="35" t="str">
        <f>_xlfn.XLOOKUP(F1240,dd_item!$B$2:$B$105,dd_item!$C$2:$C$105,"",0)</f>
        <v/>
      </c>
      <c r="F1240" s="35"/>
      <c r="G1240" s="35" cm="1">
        <f t="array" ref="G1240">IFERROR(_xlfn.XLOOKUP(1, (SKUs!$J$2:$J$10001=accsry_unmerged!F1240)*IF(H1240&lt;&gt;"",(SKUs!$L$2:$L$10001=accsry_unmerged!H1240),1)*(SKUs!$K$2:$K$10001=I1240),SKUs!$C$2:$C$10001),"")</f>
        <v>0</v>
      </c>
      <c r="H1240" s="36" cm="1">
        <f t="array" ref="H1240">IFERROR(_xlfn.XLOOKUP(1, (dd_accsryclr!$C$2:$C$1000=accsry_unmerged!F1240)*(dd_accsryclr!$B$2:$B$1000=accsry_unmerged!J1240),dd_accsryclr!$A$2:$A$1000),"")</f>
        <v>0</v>
      </c>
      <c r="I1240" s="35">
        <f>_xlfn.XLOOKUP(C1240,'Project Details'!$C$17:$C$66,'Project Details'!$E$17:$E$66,"",0)</f>
        <v>0</v>
      </c>
      <c r="J1240" s="35">
        <f>_xlfn.XLOOKUP(C1240,'Project Details'!$C$17:$C$66,'Project Details'!$H$17:$H$66,"",0)</f>
        <v>0</v>
      </c>
      <c r="K1240" s="36" t="str">
        <f>IF(AND(_xlfn.XLOOKUP(C1240,'Project Details'!$C$17:$C$66,'Project Details'!$L$17:$L$66,"",0)&gt;550, F1240="Spring-L27cm"),"",SUBSTITUTE(_xlfn.XLOOKUP(G1240,SKUs!$C$2:$C$10001,SKUs!$F$2:$F$10001,"",0), " Accessories",""))</f>
        <v/>
      </c>
      <c r="L1240" s="36">
        <f>_xlfn.XLOOKUP(C1240,'Project Details'!$C$17:$C$66,'Project Details'!$D$17:$D$66,"",0)</f>
        <v>0</v>
      </c>
      <c r="M1240" s="43"/>
    </row>
    <row r="1241" spans="1:13" ht="13.5" customHeight="1" x14ac:dyDescent="0.25">
      <c r="A1241" s="43"/>
      <c r="B1241" s="43"/>
      <c r="C1241" s="16">
        <f t="shared" si="23"/>
        <v>25</v>
      </c>
      <c r="D1241" s="16" t="str" cm="1">
        <f t="array" ref="D1241">IFERROR(ROUNDUP(_xlfn.IFS(F1241="Aluminum Track", _xlfn.XLOOKUP(C1241, dd_accsrycalc!$A$2:$A$51, dd_accsrycalc!$B$2:$B$51, "",0), F1241="10 x 2 1/2 S (Flat)", _xlfn.XLOOKUP(C1241, dd_accsrycalc!$A$2:$A$51, dd_accsrycalc!$C$2:$C$51, "",0), F1241="Tox6", _xlfn.XLOOKUP(C1241, dd_accsrycalc!$A$2:$A$51, dd_accsrycalc!$D$2:$D$51, "",0), F1241="Cover Cap", _xlfn.XLOOKUP(C1241, dd_accsrycalc!$A$2:$A$51, dd_accsrycalc!$E$2:$E$51, "",0), F1241="Drainage Cover", _xlfn.XLOOKUP(C1241, dd_accsrycalc!$A$2:$A$51, dd_accsrycalc!$F$2:$F$51, "",0),AND( F1241="Double Adhesive Tape", I1241="Roll-up Screen"), _xlfn.XLOOKUP(C1241, calc_rusacc!$C$15:$C$65, calc_rusacc!$AD$15:$AD$65, "",0),AND( F1241="Sealant", I1241="Roll-up Screen"), _xlfn.XLOOKUP(C1241, calc_rusacc!$C$15:$C$65, calc_rusacc!$AF$15:$AF$65, "",0),  AND( F1241="Main Chain", I1241="Accordion Screen"), _xlfn.XLOOKUP(C1241, calc_rusacc!$C$15:$C$65, calc_rusacc!$BF$15:$BF$65, "",0), AND( F1241="Sealant", I1241="Accordion Screen"), _xlfn.XLOOKUP(C1241, calc_rusacc!$C$15:$C$65, calc_rusacc!$BJ$15:$BJ$65, "",0),  F1241="Sealant", _xlfn.XLOOKUP(C1241, dd_accsrycalc!$A$2:$A$51, dd_accsrycalc!$G$2:$G$51, "",0),  F1241&lt;&gt;"",L1241*_xlfn.XLOOKUP(1, (SKUs!$C$2:$C$10001=G1241)*(SKUs!$K$2:$K$10001=I1241),SKUs!$E$2:$E$10001)), 0),"")</f>
        <v/>
      </c>
      <c r="E1241" s="16" t="str">
        <f>_xlfn.XLOOKUP(F1241,dd_item!$B$2:$B$105,dd_item!$C$2:$C$105,"",0)</f>
        <v/>
      </c>
      <c r="F1241" s="16"/>
      <c r="G1241" s="16" cm="1">
        <f t="array" ref="G1241">IFERROR(_xlfn.XLOOKUP(1, (SKUs!$J$2:$J$10001=accsry_unmerged!F1241)*IF(H1241&lt;&gt;"",(SKUs!$L$2:$L$10001=accsry_unmerged!H1241),1)*(SKUs!$K$2:$K$10001=I1241),SKUs!$C$2:$C$10001),"")</f>
        <v>0</v>
      </c>
      <c r="H1241" s="33" cm="1">
        <f t="array" ref="H1241">IFERROR(_xlfn.XLOOKUP(1, (dd_accsryclr!$C$2:$C$1000=accsry_unmerged!F1241)*(dd_accsryclr!$B$2:$B$1000=accsry_unmerged!J1241),dd_accsryclr!$A$2:$A$1000),"")</f>
        <v>0</v>
      </c>
      <c r="I1241" s="16">
        <f>_xlfn.XLOOKUP(C1241,'Project Details'!$C$17:$C$66,'Project Details'!$E$17:$E$66,"",0)</f>
        <v>0</v>
      </c>
      <c r="J1241" s="16">
        <f>_xlfn.XLOOKUP(C1241,'Project Details'!$C$17:$C$66,'Project Details'!$H$17:$H$66,"",0)</f>
        <v>0</v>
      </c>
      <c r="K1241" s="33" t="str">
        <f>IF(AND(_xlfn.XLOOKUP(C1241,'Project Details'!$C$17:$C$66,'Project Details'!$L$17:$L$66,"",0)&gt;550, F1241="Spring-L27cm"),"",SUBSTITUTE(_xlfn.XLOOKUP(G1241,SKUs!$C$2:$C$10001,SKUs!$F$2:$F$10001,"",0), " Accessories",""))</f>
        <v/>
      </c>
      <c r="L1241" s="33">
        <f>_xlfn.XLOOKUP(C1241,'Project Details'!$C$17:$C$66,'Project Details'!$D$17:$D$66,"",0)</f>
        <v>0</v>
      </c>
      <c r="M1241" s="43"/>
    </row>
    <row r="1242" spans="1:13" ht="13.5" customHeight="1" x14ac:dyDescent="0.25">
      <c r="A1242" s="43"/>
      <c r="B1242" s="43"/>
      <c r="C1242" s="35">
        <f t="shared" si="23"/>
        <v>25</v>
      </c>
      <c r="D1242" s="35" t="str" cm="1">
        <f t="array" ref="D1242">IFERROR(ROUNDUP(_xlfn.IFS(F1242="Aluminum Track", _xlfn.XLOOKUP(C1242, dd_accsrycalc!$A$2:$A$51, dd_accsrycalc!$B$2:$B$51, "",0), F1242="10 x 2 1/2 S (Flat)", _xlfn.XLOOKUP(C1242, dd_accsrycalc!$A$2:$A$51, dd_accsrycalc!$C$2:$C$51, "",0), F1242="Tox6", _xlfn.XLOOKUP(C1242, dd_accsrycalc!$A$2:$A$51, dd_accsrycalc!$D$2:$D$51, "",0), F1242="Cover Cap", _xlfn.XLOOKUP(C1242, dd_accsrycalc!$A$2:$A$51, dd_accsrycalc!$E$2:$E$51, "",0), F1242="Drainage Cover", _xlfn.XLOOKUP(C1242, dd_accsrycalc!$A$2:$A$51, dd_accsrycalc!$F$2:$F$51, "",0),AND( F1242="Double Adhesive Tape", I1242="Roll-up Screen"), _xlfn.XLOOKUP(C1242, calc_rusacc!$C$15:$C$65, calc_rusacc!$AD$15:$AD$65, "",0),AND( F1242="Sealant", I1242="Roll-up Screen"), _xlfn.XLOOKUP(C1242, calc_rusacc!$C$15:$C$65, calc_rusacc!$AF$15:$AF$65, "",0),  AND( F1242="Main Chain", I1242="Accordion Screen"), _xlfn.XLOOKUP(C1242, calc_rusacc!$C$15:$C$65, calc_rusacc!$BF$15:$BF$65, "",0), AND( F1242="Sealant", I1242="Accordion Screen"), _xlfn.XLOOKUP(C1242, calc_rusacc!$C$15:$C$65, calc_rusacc!$BJ$15:$BJ$65, "",0),  F1242="Sealant", _xlfn.XLOOKUP(C1242, dd_accsrycalc!$A$2:$A$51, dd_accsrycalc!$G$2:$G$51, "",0),  F1242&lt;&gt;"",L1242*_xlfn.XLOOKUP(1, (SKUs!$C$2:$C$10001=G1242)*(SKUs!$K$2:$K$10001=I1242),SKUs!$E$2:$E$10001)), 0),"")</f>
        <v/>
      </c>
      <c r="E1242" s="35" t="str">
        <f>_xlfn.XLOOKUP(F1242,dd_item!$B$2:$B$105,dd_item!$C$2:$C$105,"",0)</f>
        <v/>
      </c>
      <c r="F1242" s="35"/>
      <c r="G1242" s="35" cm="1">
        <f t="array" ref="G1242">IFERROR(_xlfn.XLOOKUP(1, (SKUs!$J$2:$J$10001=accsry_unmerged!F1242)*IF(H1242&lt;&gt;"",(SKUs!$L$2:$L$10001=accsry_unmerged!H1242),1)*(SKUs!$K$2:$K$10001=I1242),SKUs!$C$2:$C$10001),"")</f>
        <v>0</v>
      </c>
      <c r="H1242" s="36" cm="1">
        <f t="array" ref="H1242">IFERROR(_xlfn.XLOOKUP(1, (dd_accsryclr!$C$2:$C$1000=accsry_unmerged!F1242)*(dd_accsryclr!$B$2:$B$1000=accsry_unmerged!J1242),dd_accsryclr!$A$2:$A$1000),"")</f>
        <v>0</v>
      </c>
      <c r="I1242" s="35">
        <f>_xlfn.XLOOKUP(C1242,'Project Details'!$C$17:$C$66,'Project Details'!$E$17:$E$66,"",0)</f>
        <v>0</v>
      </c>
      <c r="J1242" s="35">
        <f>_xlfn.XLOOKUP(C1242,'Project Details'!$C$17:$C$66,'Project Details'!$H$17:$H$66,"",0)</f>
        <v>0</v>
      </c>
      <c r="K1242" s="36" t="str">
        <f>IF(AND(_xlfn.XLOOKUP(C1242,'Project Details'!$C$17:$C$66,'Project Details'!$L$17:$L$66,"",0)&gt;550, F1242="Spring-L27cm"),"",SUBSTITUTE(_xlfn.XLOOKUP(G1242,SKUs!$C$2:$C$10001,SKUs!$F$2:$F$10001,"",0), " Accessories",""))</f>
        <v/>
      </c>
      <c r="L1242" s="36">
        <f>_xlfn.XLOOKUP(C1242,'Project Details'!$C$17:$C$66,'Project Details'!$D$17:$D$66,"",0)</f>
        <v>0</v>
      </c>
      <c r="M1242" s="43"/>
    </row>
    <row r="1243" spans="1:13" ht="13.5" customHeight="1" x14ac:dyDescent="0.25">
      <c r="A1243" s="43"/>
      <c r="B1243" s="43"/>
      <c r="C1243" s="16">
        <f t="shared" si="23"/>
        <v>25</v>
      </c>
      <c r="D1243" s="16" t="str" cm="1">
        <f t="array" ref="D1243">IFERROR(ROUNDUP(_xlfn.IFS(F1243="Aluminum Track", _xlfn.XLOOKUP(C1243, dd_accsrycalc!$A$2:$A$51, dd_accsrycalc!$B$2:$B$51, "",0), F1243="10 x 2 1/2 S (Flat)", _xlfn.XLOOKUP(C1243, dd_accsrycalc!$A$2:$A$51, dd_accsrycalc!$C$2:$C$51, "",0), F1243="Tox6", _xlfn.XLOOKUP(C1243, dd_accsrycalc!$A$2:$A$51, dd_accsrycalc!$D$2:$D$51, "",0), F1243="Cover Cap", _xlfn.XLOOKUP(C1243, dd_accsrycalc!$A$2:$A$51, dd_accsrycalc!$E$2:$E$51, "",0), F1243="Drainage Cover", _xlfn.XLOOKUP(C1243, dd_accsrycalc!$A$2:$A$51, dd_accsrycalc!$F$2:$F$51, "",0),AND( F1243="Double Adhesive Tape", I1243="Roll-up Screen"), _xlfn.XLOOKUP(C1243, calc_rusacc!$C$15:$C$65, calc_rusacc!$AD$15:$AD$65, "",0),AND( F1243="Sealant", I1243="Roll-up Screen"), _xlfn.XLOOKUP(C1243, calc_rusacc!$C$15:$C$65, calc_rusacc!$AF$15:$AF$65, "",0),  AND( F1243="Main Chain", I1243="Accordion Screen"), _xlfn.XLOOKUP(C1243, calc_rusacc!$C$15:$C$65, calc_rusacc!$BF$15:$BF$65, "",0), AND( F1243="Sealant", I1243="Accordion Screen"), _xlfn.XLOOKUP(C1243, calc_rusacc!$C$15:$C$65, calc_rusacc!$BJ$15:$BJ$65, "",0),  F1243="Sealant", _xlfn.XLOOKUP(C1243, dd_accsrycalc!$A$2:$A$51, dd_accsrycalc!$G$2:$G$51, "",0),  F1243&lt;&gt;"",L1243*_xlfn.XLOOKUP(1, (SKUs!$C$2:$C$10001=G1243)*(SKUs!$K$2:$K$10001=I1243),SKUs!$E$2:$E$10001)), 0),"")</f>
        <v/>
      </c>
      <c r="E1243" s="16" t="str">
        <f>_xlfn.XLOOKUP(F1243,dd_item!$B$2:$B$105,dd_item!$C$2:$C$105,"",0)</f>
        <v/>
      </c>
      <c r="F1243" s="16"/>
      <c r="G1243" s="16" cm="1">
        <f t="array" ref="G1243">IFERROR(_xlfn.XLOOKUP(1, (SKUs!$J$2:$J$10001=accsry_unmerged!F1243)*IF(H1243&lt;&gt;"",(SKUs!$L$2:$L$10001=accsry_unmerged!H1243),1)*(SKUs!$K$2:$K$10001=I1243),SKUs!$C$2:$C$10001),"")</f>
        <v>0</v>
      </c>
      <c r="H1243" s="33" cm="1">
        <f t="array" ref="H1243">IFERROR(_xlfn.XLOOKUP(1, (dd_accsryclr!$C$2:$C$1000=accsry_unmerged!F1243)*(dd_accsryclr!$B$2:$B$1000=accsry_unmerged!J1243),dd_accsryclr!$A$2:$A$1000),"")</f>
        <v>0</v>
      </c>
      <c r="I1243" s="16">
        <f>_xlfn.XLOOKUP(C1243,'Project Details'!$C$17:$C$66,'Project Details'!$E$17:$E$66,"",0)</f>
        <v>0</v>
      </c>
      <c r="J1243" s="16">
        <f>_xlfn.XLOOKUP(C1243,'Project Details'!$C$17:$C$66,'Project Details'!$H$17:$H$66,"",0)</f>
        <v>0</v>
      </c>
      <c r="K1243" s="33" t="str">
        <f>IF(AND(_xlfn.XLOOKUP(C1243,'Project Details'!$C$17:$C$66,'Project Details'!$L$17:$L$66,"",0)&gt;550, F1243="Spring-L27cm"),"",SUBSTITUTE(_xlfn.XLOOKUP(G1243,SKUs!$C$2:$C$10001,SKUs!$F$2:$F$10001,"",0), " Accessories",""))</f>
        <v/>
      </c>
      <c r="L1243" s="33">
        <f>_xlfn.XLOOKUP(C1243,'Project Details'!$C$17:$C$66,'Project Details'!$D$17:$D$66,"",0)</f>
        <v>0</v>
      </c>
      <c r="M1243" s="43"/>
    </row>
    <row r="1244" spans="1:13" ht="13.5" customHeight="1" x14ac:dyDescent="0.25">
      <c r="A1244" s="43"/>
      <c r="B1244" s="43"/>
      <c r="C1244" s="35">
        <f t="shared" si="23"/>
        <v>25</v>
      </c>
      <c r="D1244" s="35" t="str" cm="1">
        <f t="array" ref="D1244">IFERROR(ROUNDUP(_xlfn.IFS(F1244="Aluminum Track", _xlfn.XLOOKUP(C1244, dd_accsrycalc!$A$2:$A$51, dd_accsrycalc!$B$2:$B$51, "",0), F1244="10 x 2 1/2 S (Flat)", _xlfn.XLOOKUP(C1244, dd_accsrycalc!$A$2:$A$51, dd_accsrycalc!$C$2:$C$51, "",0), F1244="Tox6", _xlfn.XLOOKUP(C1244, dd_accsrycalc!$A$2:$A$51, dd_accsrycalc!$D$2:$D$51, "",0), F1244="Cover Cap", _xlfn.XLOOKUP(C1244, dd_accsrycalc!$A$2:$A$51, dd_accsrycalc!$E$2:$E$51, "",0), F1244="Drainage Cover", _xlfn.XLOOKUP(C1244, dd_accsrycalc!$A$2:$A$51, dd_accsrycalc!$F$2:$F$51, "",0),AND( F1244="Double Adhesive Tape", I1244="Roll-up Screen"), _xlfn.XLOOKUP(C1244, calc_rusacc!$C$15:$C$65, calc_rusacc!$AD$15:$AD$65, "",0),AND( F1244="Sealant", I1244="Roll-up Screen"), _xlfn.XLOOKUP(C1244, calc_rusacc!$C$15:$C$65, calc_rusacc!$AF$15:$AF$65, "",0),  AND( F1244="Main Chain", I1244="Accordion Screen"), _xlfn.XLOOKUP(C1244, calc_rusacc!$C$15:$C$65, calc_rusacc!$BF$15:$BF$65, "",0), AND( F1244="Sealant", I1244="Accordion Screen"), _xlfn.XLOOKUP(C1244, calc_rusacc!$C$15:$C$65, calc_rusacc!$BJ$15:$BJ$65, "",0),  F1244="Sealant", _xlfn.XLOOKUP(C1244, dd_accsrycalc!$A$2:$A$51, dd_accsrycalc!$G$2:$G$51, "",0),  F1244&lt;&gt;"",L1244*_xlfn.XLOOKUP(1, (SKUs!$C$2:$C$10001=G1244)*(SKUs!$K$2:$K$10001=I1244),SKUs!$E$2:$E$10001)), 0),"")</f>
        <v/>
      </c>
      <c r="E1244" s="35" t="str">
        <f>_xlfn.XLOOKUP(F1244,dd_item!$B$2:$B$105,dd_item!$C$2:$C$105,"",0)</f>
        <v/>
      </c>
      <c r="F1244" s="35"/>
      <c r="G1244" s="35" cm="1">
        <f t="array" ref="G1244">IFERROR(_xlfn.XLOOKUP(1, (SKUs!$J$2:$J$10001=accsry_unmerged!F1244)*IF(H1244&lt;&gt;"",(SKUs!$L$2:$L$10001=accsry_unmerged!H1244),1)*(SKUs!$K$2:$K$10001=I1244),SKUs!$C$2:$C$10001),"")</f>
        <v>0</v>
      </c>
      <c r="H1244" s="36" cm="1">
        <f t="array" ref="H1244">IFERROR(_xlfn.XLOOKUP(1, (dd_accsryclr!$C$2:$C$1000=accsry_unmerged!F1244)*(dd_accsryclr!$B$2:$B$1000=accsry_unmerged!J1244),dd_accsryclr!$A$2:$A$1000),"")</f>
        <v>0</v>
      </c>
      <c r="I1244" s="35">
        <f>_xlfn.XLOOKUP(C1244,'Project Details'!$C$17:$C$66,'Project Details'!$E$17:$E$66,"",0)</f>
        <v>0</v>
      </c>
      <c r="J1244" s="35">
        <f>_xlfn.XLOOKUP(C1244,'Project Details'!$C$17:$C$66,'Project Details'!$H$17:$H$66,"",0)</f>
        <v>0</v>
      </c>
      <c r="K1244" s="36" t="str">
        <f>IF(AND(_xlfn.XLOOKUP(C1244,'Project Details'!$C$17:$C$66,'Project Details'!$L$17:$L$66,"",0)&gt;550, F1244="Spring-L27cm"),"",SUBSTITUTE(_xlfn.XLOOKUP(G1244,SKUs!$C$2:$C$10001,SKUs!$F$2:$F$10001,"",0), " Accessories",""))</f>
        <v/>
      </c>
      <c r="L1244" s="36">
        <f>_xlfn.XLOOKUP(C1244,'Project Details'!$C$17:$C$66,'Project Details'!$D$17:$D$66,"",0)</f>
        <v>0</v>
      </c>
      <c r="M1244" s="43"/>
    </row>
    <row r="1245" spans="1:13" ht="13.5" customHeight="1" outlineLevel="1" x14ac:dyDescent="0.25">
      <c r="A1245" s="43"/>
      <c r="B1245" s="43"/>
      <c r="C1245" s="16">
        <f t="shared" si="23"/>
        <v>25</v>
      </c>
      <c r="D1245" s="16" t="str" cm="1">
        <f t="array" ref="D1245">IFERROR(ROUNDUP(_xlfn.IFS(F1245="Aluminum Track", _xlfn.XLOOKUP(C1245, dd_accsrycalc!$A$2:$A$51, dd_accsrycalc!$B$2:$B$51, "",0), F1245="10 x 2 1/2 S (Flat)", _xlfn.XLOOKUP(C1245, dd_accsrycalc!$A$2:$A$51, dd_accsrycalc!$C$2:$C$51, "",0), F1245="Tox6", _xlfn.XLOOKUP(C1245, dd_accsrycalc!$A$2:$A$51, dd_accsrycalc!$D$2:$D$51, "",0), F1245="Cover Cap", _xlfn.XLOOKUP(C1245, dd_accsrycalc!$A$2:$A$51, dd_accsrycalc!$E$2:$E$51, "",0), F1245="Drainage Cover", _xlfn.XLOOKUP(C1245, dd_accsrycalc!$A$2:$A$51, dd_accsrycalc!$F$2:$F$51, "",0),AND( F1245="Double Adhesive Tape", I1245="Roll-up Screen"), _xlfn.XLOOKUP(C1245, calc_rusacc!$C$15:$C$65, calc_rusacc!$AD$15:$AD$65, "",0),AND( F1245="Sealant", I1245="Roll-up Screen"), _xlfn.XLOOKUP(C1245, calc_rusacc!$C$15:$C$65, calc_rusacc!$AF$15:$AF$65, "",0),  AND( F1245="Main Chain", I1245="Accordion Screen"), _xlfn.XLOOKUP(C1245, calc_rusacc!$C$15:$C$65, calc_rusacc!$BF$15:$BF$65, "",0), AND( F1245="Sealant", I1245="Accordion Screen"), _xlfn.XLOOKUP(C1245, calc_rusacc!$C$15:$C$65, calc_rusacc!$BJ$15:$BJ$65, "",0),  F1245="Sealant", _xlfn.XLOOKUP(C1245, dd_accsrycalc!$A$2:$A$51, dd_accsrycalc!$G$2:$G$51, "",0),  F1245&lt;&gt;"",L1245*_xlfn.XLOOKUP(1, (SKUs!$C$2:$C$10001=G1245)*(SKUs!$K$2:$K$10001=I1245),SKUs!$E$2:$E$10001)), 0),"")</f>
        <v/>
      </c>
      <c r="E1245" s="16" t="str">
        <f>_xlfn.XLOOKUP(F1245,dd_item!$B$2:$B$105,dd_item!$C$2:$C$105,"",0)</f>
        <v/>
      </c>
      <c r="F1245" s="16"/>
      <c r="G1245" s="16" cm="1">
        <f t="array" ref="G1245">IFERROR(_xlfn.XLOOKUP(1, (SKUs!$J$2:$J$10001=accsry_unmerged!F1245)*IF(H1245&lt;&gt;"",(SKUs!$L$2:$L$10001=accsry_unmerged!H1245),1)*(SKUs!$K$2:$K$10001=I1245),SKUs!$C$2:$C$10001),"")</f>
        <v>0</v>
      </c>
      <c r="H1245" s="33" cm="1">
        <f t="array" ref="H1245">IFERROR(_xlfn.XLOOKUP(1, (dd_accsryclr!$C$2:$C$1000=accsry_unmerged!F1245)*(dd_accsryclr!$B$2:$B$1000=accsry_unmerged!J1245),dd_accsryclr!$A$2:$A$1000),"")</f>
        <v>0</v>
      </c>
      <c r="I1245" s="16">
        <f>_xlfn.XLOOKUP(C1245,'Project Details'!$C$17:$C$66,'Project Details'!$E$17:$E$66,"",0)</f>
        <v>0</v>
      </c>
      <c r="J1245" s="16">
        <f>_xlfn.XLOOKUP(C1245,'Project Details'!$C$17:$C$66,'Project Details'!$H$17:$H$66,"",0)</f>
        <v>0</v>
      </c>
      <c r="K1245" s="33" t="str">
        <f>IF(AND(_xlfn.XLOOKUP(C1245,'Project Details'!$C$17:$C$66,'Project Details'!$L$17:$L$66,"",0)&gt;550, F1245="Spring-L27cm"),"",SUBSTITUTE(_xlfn.XLOOKUP(G1245,SKUs!$C$2:$C$10001,SKUs!$F$2:$F$10001,"",0), " Accessories",""))</f>
        <v/>
      </c>
      <c r="L1245" s="33">
        <f>_xlfn.XLOOKUP(C1245,'Project Details'!$C$17:$C$66,'Project Details'!$D$17:$D$66,"",0)</f>
        <v>0</v>
      </c>
      <c r="M1245" s="43"/>
    </row>
    <row r="1246" spans="1:13" ht="13.5" customHeight="1" outlineLevel="1" x14ac:dyDescent="0.25">
      <c r="A1246" s="43"/>
      <c r="B1246" s="43"/>
      <c r="C1246" s="35">
        <f t="shared" si="23"/>
        <v>25</v>
      </c>
      <c r="D1246" s="35" t="str" cm="1">
        <f t="array" ref="D1246">IFERROR(ROUNDUP(_xlfn.IFS(F1246="Aluminum Track", _xlfn.XLOOKUP(C1246, dd_accsrycalc!$A$2:$A$51, dd_accsrycalc!$B$2:$B$51, "",0), F1246="10 x 2 1/2 S (Flat)", _xlfn.XLOOKUP(C1246, dd_accsrycalc!$A$2:$A$51, dd_accsrycalc!$C$2:$C$51, "",0), F1246="Tox6", _xlfn.XLOOKUP(C1246, dd_accsrycalc!$A$2:$A$51, dd_accsrycalc!$D$2:$D$51, "",0), F1246="Cover Cap", _xlfn.XLOOKUP(C1246, dd_accsrycalc!$A$2:$A$51, dd_accsrycalc!$E$2:$E$51, "",0), F1246="Drainage Cover", _xlfn.XLOOKUP(C1246, dd_accsrycalc!$A$2:$A$51, dd_accsrycalc!$F$2:$F$51, "",0),AND( F1246="Double Adhesive Tape", I1246="Roll-up Screen"), _xlfn.XLOOKUP(C1246, calc_rusacc!$C$15:$C$65, calc_rusacc!$AD$15:$AD$65, "",0),AND( F1246="Sealant", I1246="Roll-up Screen"), _xlfn.XLOOKUP(C1246, calc_rusacc!$C$15:$C$65, calc_rusacc!$AF$15:$AF$65, "",0),  AND( F1246="Main Chain", I1246="Accordion Screen"), _xlfn.XLOOKUP(C1246, calc_rusacc!$C$15:$C$65, calc_rusacc!$BF$15:$BF$65, "",0), AND( F1246="Sealant", I1246="Accordion Screen"), _xlfn.XLOOKUP(C1246, calc_rusacc!$C$15:$C$65, calc_rusacc!$BJ$15:$BJ$65, "",0),  F1246="Sealant", _xlfn.XLOOKUP(C1246, dd_accsrycalc!$A$2:$A$51, dd_accsrycalc!$G$2:$G$51, "",0),  F1246&lt;&gt;"",L1246*_xlfn.XLOOKUP(1, (SKUs!$C$2:$C$10001=G1246)*(SKUs!$K$2:$K$10001=I1246),SKUs!$E$2:$E$10001)), 0),"")</f>
        <v/>
      </c>
      <c r="E1246" s="35" t="str">
        <f>_xlfn.XLOOKUP(F1246,dd_item!$B$2:$B$105,dd_item!$C$2:$C$105,"",0)</f>
        <v/>
      </c>
      <c r="F1246" s="35"/>
      <c r="G1246" s="35" cm="1">
        <f t="array" ref="G1246">IFERROR(_xlfn.XLOOKUP(1, (SKUs!$J$2:$J$10001=accsry_unmerged!F1246)*IF(H1246&lt;&gt;"",(SKUs!$L$2:$L$10001=accsry_unmerged!H1246),1)*(SKUs!$K$2:$K$10001=I1246),SKUs!$C$2:$C$10001),"")</f>
        <v>0</v>
      </c>
      <c r="H1246" s="36" cm="1">
        <f t="array" ref="H1246">IFERROR(_xlfn.XLOOKUP(1, (dd_accsryclr!$C$2:$C$1000=accsry_unmerged!F1246)*(dd_accsryclr!$B$2:$B$1000=accsry_unmerged!J1246),dd_accsryclr!$A$2:$A$1000),"")</f>
        <v>0</v>
      </c>
      <c r="I1246" s="35">
        <f>_xlfn.XLOOKUP(C1246,'Project Details'!$C$17:$C$66,'Project Details'!$E$17:$E$66,"",0)</f>
        <v>0</v>
      </c>
      <c r="J1246" s="35">
        <f>_xlfn.XLOOKUP(C1246,'Project Details'!$C$17:$C$66,'Project Details'!$H$17:$H$66,"",0)</f>
        <v>0</v>
      </c>
      <c r="K1246" s="36" t="str">
        <f>IF(AND(_xlfn.XLOOKUP(C1246,'Project Details'!$C$17:$C$66,'Project Details'!$L$17:$L$66,"",0)&gt;550, F1246="Spring-L27cm"),"",SUBSTITUTE(_xlfn.XLOOKUP(G1246,SKUs!$C$2:$C$10001,SKUs!$F$2:$F$10001,"",0), " Accessories",""))</f>
        <v/>
      </c>
      <c r="L1246" s="36">
        <f>_xlfn.XLOOKUP(C1246,'Project Details'!$C$17:$C$66,'Project Details'!$D$17:$D$66,"",0)</f>
        <v>0</v>
      </c>
      <c r="M1246" s="43"/>
    </row>
    <row r="1247" spans="1:13" ht="13.5" customHeight="1" outlineLevel="1" x14ac:dyDescent="0.25">
      <c r="A1247" s="43"/>
      <c r="B1247" s="43"/>
      <c r="C1247" s="16">
        <f t="shared" si="23"/>
        <v>25</v>
      </c>
      <c r="D1247" s="16" t="str" cm="1">
        <f t="array" ref="D1247">IFERROR(ROUNDUP(_xlfn.IFS(F1247="Aluminum Track", _xlfn.XLOOKUP(C1247, dd_accsrycalc!$A$2:$A$51, dd_accsrycalc!$B$2:$B$51, "",0), F1247="10 x 2 1/2 S (Flat)", _xlfn.XLOOKUP(C1247, dd_accsrycalc!$A$2:$A$51, dd_accsrycalc!$C$2:$C$51, "",0), F1247="Tox6", _xlfn.XLOOKUP(C1247, dd_accsrycalc!$A$2:$A$51, dd_accsrycalc!$D$2:$D$51, "",0), F1247="Cover Cap", _xlfn.XLOOKUP(C1247, dd_accsrycalc!$A$2:$A$51, dd_accsrycalc!$E$2:$E$51, "",0), F1247="Drainage Cover", _xlfn.XLOOKUP(C1247, dd_accsrycalc!$A$2:$A$51, dd_accsrycalc!$F$2:$F$51, "",0),AND( F1247="Double Adhesive Tape", I1247="Roll-up Screen"), _xlfn.XLOOKUP(C1247, calc_rusacc!$C$15:$C$65, calc_rusacc!$AD$15:$AD$65, "",0),AND( F1247="Sealant", I1247="Roll-up Screen"), _xlfn.XLOOKUP(C1247, calc_rusacc!$C$15:$C$65, calc_rusacc!$AF$15:$AF$65, "",0),  AND( F1247="Main Chain", I1247="Accordion Screen"), _xlfn.XLOOKUP(C1247, calc_rusacc!$C$15:$C$65, calc_rusacc!$BF$15:$BF$65, "",0), AND( F1247="Sealant", I1247="Accordion Screen"), _xlfn.XLOOKUP(C1247, calc_rusacc!$C$15:$C$65, calc_rusacc!$BJ$15:$BJ$65, "",0),  F1247="Sealant", _xlfn.XLOOKUP(C1247, dd_accsrycalc!$A$2:$A$51, dd_accsrycalc!$G$2:$G$51, "",0),  F1247&lt;&gt;"",L1247*_xlfn.XLOOKUP(1, (SKUs!$C$2:$C$10001=G1247)*(SKUs!$K$2:$K$10001=I1247),SKUs!$E$2:$E$10001)), 0),"")</f>
        <v/>
      </c>
      <c r="E1247" s="16" t="str">
        <f>_xlfn.XLOOKUP(F1247,dd_item!$B$2:$B$105,dd_item!$C$2:$C$105,"",0)</f>
        <v/>
      </c>
      <c r="F1247" s="16"/>
      <c r="G1247" s="16" cm="1">
        <f t="array" ref="G1247">IFERROR(_xlfn.XLOOKUP(1, (SKUs!$J$2:$J$10001=accsry_unmerged!F1247)*IF(H1247&lt;&gt;"",(SKUs!$L$2:$L$10001=accsry_unmerged!H1247),1)*(SKUs!$K$2:$K$10001=I1247),SKUs!$C$2:$C$10001),"")</f>
        <v>0</v>
      </c>
      <c r="H1247" s="33" cm="1">
        <f t="array" ref="H1247">IFERROR(_xlfn.XLOOKUP(1, (dd_accsryclr!$C$2:$C$1000=accsry_unmerged!F1247)*(dd_accsryclr!$B$2:$B$1000=accsry_unmerged!J1247),dd_accsryclr!$A$2:$A$1000),"")</f>
        <v>0</v>
      </c>
      <c r="I1247" s="16">
        <f>_xlfn.XLOOKUP(C1247,'Project Details'!$C$17:$C$66,'Project Details'!$E$17:$E$66,"",0)</f>
        <v>0</v>
      </c>
      <c r="J1247" s="16">
        <f>_xlfn.XLOOKUP(C1247,'Project Details'!$C$17:$C$66,'Project Details'!$H$17:$H$66,"",0)</f>
        <v>0</v>
      </c>
      <c r="K1247" s="33" t="str">
        <f>IF(AND(_xlfn.XLOOKUP(C1247,'Project Details'!$C$17:$C$66,'Project Details'!$L$17:$L$66,"",0)&gt;550, F1247="Spring-L27cm"),"",SUBSTITUTE(_xlfn.XLOOKUP(G1247,SKUs!$C$2:$C$10001,SKUs!$F$2:$F$10001,"",0), " Accessories",""))</f>
        <v/>
      </c>
      <c r="L1247" s="33">
        <f>_xlfn.XLOOKUP(C1247,'Project Details'!$C$17:$C$66,'Project Details'!$D$17:$D$66,"",0)</f>
        <v>0</v>
      </c>
      <c r="M1247" s="43"/>
    </row>
    <row r="1248" spans="1:13" ht="13.5" customHeight="1" outlineLevel="1" x14ac:dyDescent="0.25">
      <c r="A1248" s="43"/>
      <c r="B1248" s="43"/>
      <c r="C1248" s="35">
        <f t="shared" si="23"/>
        <v>25</v>
      </c>
      <c r="D1248" s="35" t="str" cm="1">
        <f t="array" ref="D1248">IFERROR(ROUNDUP(_xlfn.IFS(F1248="Aluminum Track", _xlfn.XLOOKUP(C1248, dd_accsrycalc!$A$2:$A$51, dd_accsrycalc!$B$2:$B$51, "",0), F1248="10 x 2 1/2 S (Flat)", _xlfn.XLOOKUP(C1248, dd_accsrycalc!$A$2:$A$51, dd_accsrycalc!$C$2:$C$51, "",0), F1248="Tox6", _xlfn.XLOOKUP(C1248, dd_accsrycalc!$A$2:$A$51, dd_accsrycalc!$D$2:$D$51, "",0), F1248="Cover Cap", _xlfn.XLOOKUP(C1248, dd_accsrycalc!$A$2:$A$51, dd_accsrycalc!$E$2:$E$51, "",0), F1248="Drainage Cover", _xlfn.XLOOKUP(C1248, dd_accsrycalc!$A$2:$A$51, dd_accsrycalc!$F$2:$F$51, "",0),AND( F1248="Double Adhesive Tape", I1248="Roll-up Screen"), _xlfn.XLOOKUP(C1248, calc_rusacc!$C$15:$C$65, calc_rusacc!$AD$15:$AD$65, "",0),AND( F1248="Sealant", I1248="Roll-up Screen"), _xlfn.XLOOKUP(C1248, calc_rusacc!$C$15:$C$65, calc_rusacc!$AF$15:$AF$65, "",0),  AND( F1248="Main Chain", I1248="Accordion Screen"), _xlfn.XLOOKUP(C1248, calc_rusacc!$C$15:$C$65, calc_rusacc!$BF$15:$BF$65, "",0), AND( F1248="Sealant", I1248="Accordion Screen"), _xlfn.XLOOKUP(C1248, calc_rusacc!$C$15:$C$65, calc_rusacc!$BJ$15:$BJ$65, "",0),  F1248="Sealant", _xlfn.XLOOKUP(C1248, dd_accsrycalc!$A$2:$A$51, dd_accsrycalc!$G$2:$G$51, "",0),  F1248&lt;&gt;"",L1248*_xlfn.XLOOKUP(1, (SKUs!$C$2:$C$10001=G1248)*(SKUs!$K$2:$K$10001=I1248),SKUs!$E$2:$E$10001)), 0),"")</f>
        <v/>
      </c>
      <c r="E1248" s="35" t="str">
        <f>_xlfn.XLOOKUP(F1248,dd_item!$B$2:$B$105,dd_item!$C$2:$C$105,"",0)</f>
        <v/>
      </c>
      <c r="F1248" s="35"/>
      <c r="G1248" s="35" cm="1">
        <f t="array" ref="G1248">IFERROR(_xlfn.XLOOKUP(1, (SKUs!$J$2:$J$10001=accsry_unmerged!F1248)*IF(H1248&lt;&gt;"",(SKUs!$L$2:$L$10001=accsry_unmerged!H1248),1)*(SKUs!$K$2:$K$10001=I1248),SKUs!$C$2:$C$10001),"")</f>
        <v>0</v>
      </c>
      <c r="H1248" s="36" cm="1">
        <f t="array" ref="H1248">IFERROR(_xlfn.XLOOKUP(1, (dd_accsryclr!$C$2:$C$1000=accsry_unmerged!F1248)*(dd_accsryclr!$B$2:$B$1000=accsry_unmerged!J1248),dd_accsryclr!$A$2:$A$1000),"")</f>
        <v>0</v>
      </c>
      <c r="I1248" s="35">
        <f>_xlfn.XLOOKUP(C1248,'Project Details'!$C$17:$C$66,'Project Details'!$E$17:$E$66,"",0)</f>
        <v>0</v>
      </c>
      <c r="J1248" s="35">
        <f>_xlfn.XLOOKUP(C1248,'Project Details'!$C$17:$C$66,'Project Details'!$H$17:$H$66,"",0)</f>
        <v>0</v>
      </c>
      <c r="K1248" s="36" t="str">
        <f>IF(AND(_xlfn.XLOOKUP(C1248,'Project Details'!$C$17:$C$66,'Project Details'!$L$17:$L$66,"",0)&gt;550, F1248="Spring-L27cm"),"",SUBSTITUTE(_xlfn.XLOOKUP(G1248,SKUs!$C$2:$C$10001,SKUs!$F$2:$F$10001,"",0), " Accessories",""))</f>
        <v/>
      </c>
      <c r="L1248" s="36">
        <f>_xlfn.XLOOKUP(C1248,'Project Details'!$C$17:$C$66,'Project Details'!$D$17:$D$66,"",0)</f>
        <v>0</v>
      </c>
      <c r="M1248" s="43"/>
    </row>
    <row r="1249" spans="1:13" ht="13.5" customHeight="1" outlineLevel="1" x14ac:dyDescent="0.25">
      <c r="A1249" s="43"/>
      <c r="B1249" s="43"/>
      <c r="C1249" s="16">
        <f t="shared" si="23"/>
        <v>25</v>
      </c>
      <c r="D1249" s="16" t="str" cm="1">
        <f t="array" ref="D1249">IFERROR(ROUNDUP(_xlfn.IFS(F1249="Aluminum Track", _xlfn.XLOOKUP(C1249, dd_accsrycalc!$A$2:$A$51, dd_accsrycalc!$B$2:$B$51, "",0), F1249="10 x 2 1/2 S (Flat)", _xlfn.XLOOKUP(C1249, dd_accsrycalc!$A$2:$A$51, dd_accsrycalc!$C$2:$C$51, "",0), F1249="Tox6", _xlfn.XLOOKUP(C1249, dd_accsrycalc!$A$2:$A$51, dd_accsrycalc!$D$2:$D$51, "",0), F1249="Cover Cap", _xlfn.XLOOKUP(C1249, dd_accsrycalc!$A$2:$A$51, dd_accsrycalc!$E$2:$E$51, "",0), F1249="Drainage Cover", _xlfn.XLOOKUP(C1249, dd_accsrycalc!$A$2:$A$51, dd_accsrycalc!$F$2:$F$51, "",0),AND( F1249="Double Adhesive Tape", I1249="Roll-up Screen"), _xlfn.XLOOKUP(C1249, calc_rusacc!$C$15:$C$65, calc_rusacc!$AD$15:$AD$65, "",0),AND( F1249="Sealant", I1249="Roll-up Screen"), _xlfn.XLOOKUP(C1249, calc_rusacc!$C$15:$C$65, calc_rusacc!$AF$15:$AF$65, "",0),  AND( F1249="Main Chain", I1249="Accordion Screen"), _xlfn.XLOOKUP(C1249, calc_rusacc!$C$15:$C$65, calc_rusacc!$BF$15:$BF$65, "",0), AND( F1249="Sealant", I1249="Accordion Screen"), _xlfn.XLOOKUP(C1249, calc_rusacc!$C$15:$C$65, calc_rusacc!$BJ$15:$BJ$65, "",0),  F1249="Sealant", _xlfn.XLOOKUP(C1249, dd_accsrycalc!$A$2:$A$51, dd_accsrycalc!$G$2:$G$51, "",0),  F1249&lt;&gt;"",L1249*_xlfn.XLOOKUP(1, (SKUs!$C$2:$C$10001=G1249)*(SKUs!$K$2:$K$10001=I1249),SKUs!$E$2:$E$10001)), 0),"")</f>
        <v/>
      </c>
      <c r="E1249" s="16" t="str">
        <f>_xlfn.XLOOKUP(F1249,dd_item!$B$2:$B$105,dd_item!$C$2:$C$105,"",0)</f>
        <v/>
      </c>
      <c r="F1249" s="16"/>
      <c r="G1249" s="16" cm="1">
        <f t="array" ref="G1249">IFERROR(_xlfn.XLOOKUP(1, (SKUs!$J$2:$J$10001=accsry_unmerged!F1249)*IF(H1249&lt;&gt;"",(SKUs!$L$2:$L$10001=accsry_unmerged!H1249),1)*(SKUs!$K$2:$K$10001=I1249),SKUs!$C$2:$C$10001),"")</f>
        <v>0</v>
      </c>
      <c r="H1249" s="33" cm="1">
        <f t="array" ref="H1249">IFERROR(_xlfn.XLOOKUP(1, (dd_accsryclr!$C$2:$C$1000=accsry_unmerged!F1249)*(dd_accsryclr!$B$2:$B$1000=accsry_unmerged!J1249),dd_accsryclr!$A$2:$A$1000),"")</f>
        <v>0</v>
      </c>
      <c r="I1249" s="16">
        <f>_xlfn.XLOOKUP(C1249,'Project Details'!$C$17:$C$66,'Project Details'!$E$17:$E$66,"",0)</f>
        <v>0</v>
      </c>
      <c r="J1249" s="16">
        <f>_xlfn.XLOOKUP(C1249,'Project Details'!$C$17:$C$66,'Project Details'!$H$17:$H$66,"",0)</f>
        <v>0</v>
      </c>
      <c r="K1249" s="33" t="str">
        <f>IF(AND(_xlfn.XLOOKUP(C1249,'Project Details'!$C$17:$C$66,'Project Details'!$L$17:$L$66,"",0)&gt;550, F1249="Spring-L27cm"),"",SUBSTITUTE(_xlfn.XLOOKUP(G1249,SKUs!$C$2:$C$10001,SKUs!$F$2:$F$10001,"",0), " Accessories",""))</f>
        <v/>
      </c>
      <c r="L1249" s="33">
        <f>_xlfn.XLOOKUP(C1249,'Project Details'!$C$17:$C$66,'Project Details'!$D$17:$D$66,"",0)</f>
        <v>0</v>
      </c>
      <c r="M1249" s="43"/>
    </row>
    <row r="1250" spans="1:13" ht="13.5" customHeight="1" outlineLevel="1" x14ac:dyDescent="0.25">
      <c r="A1250" s="43"/>
      <c r="B1250" s="43"/>
      <c r="C1250" s="35">
        <f t="shared" si="23"/>
        <v>25</v>
      </c>
      <c r="D1250" s="35" t="str" cm="1">
        <f t="array" ref="D1250">IFERROR(ROUNDUP(_xlfn.IFS(F1250="Aluminum Track", _xlfn.XLOOKUP(C1250, dd_accsrycalc!$A$2:$A$51, dd_accsrycalc!$B$2:$B$51, "",0), F1250="10 x 2 1/2 S (Flat)", _xlfn.XLOOKUP(C1250, dd_accsrycalc!$A$2:$A$51, dd_accsrycalc!$C$2:$C$51, "",0), F1250="Tox6", _xlfn.XLOOKUP(C1250, dd_accsrycalc!$A$2:$A$51, dd_accsrycalc!$D$2:$D$51, "",0), F1250="Cover Cap", _xlfn.XLOOKUP(C1250, dd_accsrycalc!$A$2:$A$51, dd_accsrycalc!$E$2:$E$51, "",0), F1250="Drainage Cover", _xlfn.XLOOKUP(C1250, dd_accsrycalc!$A$2:$A$51, dd_accsrycalc!$F$2:$F$51, "",0),AND( F1250="Double Adhesive Tape", I1250="Roll-up Screen"), _xlfn.XLOOKUP(C1250, calc_rusacc!$C$15:$C$65, calc_rusacc!$AD$15:$AD$65, "",0),AND( F1250="Sealant", I1250="Roll-up Screen"), _xlfn.XLOOKUP(C1250, calc_rusacc!$C$15:$C$65, calc_rusacc!$AF$15:$AF$65, "",0),  AND( F1250="Main Chain", I1250="Accordion Screen"), _xlfn.XLOOKUP(C1250, calc_rusacc!$C$15:$C$65, calc_rusacc!$BF$15:$BF$65, "",0), AND( F1250="Sealant", I1250="Accordion Screen"), _xlfn.XLOOKUP(C1250, calc_rusacc!$C$15:$C$65, calc_rusacc!$BJ$15:$BJ$65, "",0),  F1250="Sealant", _xlfn.XLOOKUP(C1250, dd_accsrycalc!$A$2:$A$51, dd_accsrycalc!$G$2:$G$51, "",0),  F1250&lt;&gt;"",L1250*_xlfn.XLOOKUP(1, (SKUs!$C$2:$C$10001=G1250)*(SKUs!$K$2:$K$10001=I1250),SKUs!$E$2:$E$10001)), 0),"")</f>
        <v/>
      </c>
      <c r="E1250" s="35" t="str">
        <f>_xlfn.XLOOKUP(F1250,dd_item!$B$2:$B$105,dd_item!$C$2:$C$105,"",0)</f>
        <v/>
      </c>
      <c r="F1250" s="35"/>
      <c r="G1250" s="35" cm="1">
        <f t="array" ref="G1250">IFERROR(_xlfn.XLOOKUP(1, (SKUs!$J$2:$J$10001=accsry_unmerged!F1250)*IF(H1250&lt;&gt;"",(SKUs!$L$2:$L$10001=accsry_unmerged!H1250),1)*(SKUs!$K$2:$K$10001=I1250),SKUs!$C$2:$C$10001),"")</f>
        <v>0</v>
      </c>
      <c r="H1250" s="36" cm="1">
        <f t="array" ref="H1250">IFERROR(_xlfn.XLOOKUP(1, (dd_accsryclr!$C$2:$C$1000=accsry_unmerged!F1250)*(dd_accsryclr!$B$2:$B$1000=accsry_unmerged!J1250),dd_accsryclr!$A$2:$A$1000),"")</f>
        <v>0</v>
      </c>
      <c r="I1250" s="35">
        <f>_xlfn.XLOOKUP(C1250,'Project Details'!$C$17:$C$66,'Project Details'!$E$17:$E$66,"",0)</f>
        <v>0</v>
      </c>
      <c r="J1250" s="35">
        <f>_xlfn.XLOOKUP(C1250,'Project Details'!$C$17:$C$66,'Project Details'!$H$17:$H$66,"",0)</f>
        <v>0</v>
      </c>
      <c r="K1250" s="36" t="str">
        <f>IF(AND(_xlfn.XLOOKUP(C1250,'Project Details'!$C$17:$C$66,'Project Details'!$L$17:$L$66,"",0)&gt;550, F1250="Spring-L27cm"),"",SUBSTITUTE(_xlfn.XLOOKUP(G1250,SKUs!$C$2:$C$10001,SKUs!$F$2:$F$10001,"",0), " Accessories",""))</f>
        <v/>
      </c>
      <c r="L1250" s="36">
        <f>_xlfn.XLOOKUP(C1250,'Project Details'!$C$17:$C$66,'Project Details'!$D$17:$D$66,"",0)</f>
        <v>0</v>
      </c>
      <c r="M1250" s="43"/>
    </row>
    <row r="1251" spans="1:13" ht="13.5" customHeight="1" outlineLevel="1" x14ac:dyDescent="0.25">
      <c r="A1251" s="43"/>
      <c r="B1251" s="43"/>
      <c r="C1251" s="16">
        <f t="shared" si="23"/>
        <v>25</v>
      </c>
      <c r="D1251" s="16" t="str" cm="1">
        <f t="array" ref="D1251">IFERROR(ROUNDUP(_xlfn.IFS(F1251="Aluminum Track", _xlfn.XLOOKUP(C1251, dd_accsrycalc!$A$2:$A$51, dd_accsrycalc!$B$2:$B$51, "",0), F1251="10 x 2 1/2 S (Flat)", _xlfn.XLOOKUP(C1251, dd_accsrycalc!$A$2:$A$51, dd_accsrycalc!$C$2:$C$51, "",0), F1251="Tox6", _xlfn.XLOOKUP(C1251, dd_accsrycalc!$A$2:$A$51, dd_accsrycalc!$D$2:$D$51, "",0), F1251="Cover Cap", _xlfn.XLOOKUP(C1251, dd_accsrycalc!$A$2:$A$51, dd_accsrycalc!$E$2:$E$51, "",0), F1251="Drainage Cover", _xlfn.XLOOKUP(C1251, dd_accsrycalc!$A$2:$A$51, dd_accsrycalc!$F$2:$F$51, "",0),AND( F1251="Double Adhesive Tape", I1251="Roll-up Screen"), _xlfn.XLOOKUP(C1251, calc_rusacc!$C$15:$C$65, calc_rusacc!$AD$15:$AD$65, "",0),AND( F1251="Sealant", I1251="Roll-up Screen"), _xlfn.XLOOKUP(C1251, calc_rusacc!$C$15:$C$65, calc_rusacc!$AF$15:$AF$65, "",0),  AND( F1251="Main Chain", I1251="Accordion Screen"), _xlfn.XLOOKUP(C1251, calc_rusacc!$C$15:$C$65, calc_rusacc!$BF$15:$BF$65, "",0), AND( F1251="Sealant", I1251="Accordion Screen"), _xlfn.XLOOKUP(C1251, calc_rusacc!$C$15:$C$65, calc_rusacc!$BJ$15:$BJ$65, "",0),  F1251="Sealant", _xlfn.XLOOKUP(C1251, dd_accsrycalc!$A$2:$A$51, dd_accsrycalc!$G$2:$G$51, "",0),  F1251&lt;&gt;"",L1251*_xlfn.XLOOKUP(1, (SKUs!$C$2:$C$10001=G1251)*(SKUs!$K$2:$K$10001=I1251),SKUs!$E$2:$E$10001)), 0),"")</f>
        <v/>
      </c>
      <c r="E1251" s="16" t="str">
        <f>_xlfn.XLOOKUP(F1251,dd_item!$B$2:$B$105,dd_item!$C$2:$C$105,"",0)</f>
        <v/>
      </c>
      <c r="F1251" s="16"/>
      <c r="G1251" s="16" cm="1">
        <f t="array" ref="G1251">IFERROR(_xlfn.XLOOKUP(1, (SKUs!$J$2:$J$10001=accsry_unmerged!F1251)*IF(H1251&lt;&gt;"",(SKUs!$L$2:$L$10001=accsry_unmerged!H1251),1)*(SKUs!$K$2:$K$10001=I1251),SKUs!$C$2:$C$10001),"")</f>
        <v>0</v>
      </c>
      <c r="H1251" s="33" cm="1">
        <f t="array" ref="H1251">IFERROR(_xlfn.XLOOKUP(1, (dd_accsryclr!$C$2:$C$1000=accsry_unmerged!F1251)*(dd_accsryclr!$B$2:$B$1000=accsry_unmerged!J1251),dd_accsryclr!$A$2:$A$1000),"")</f>
        <v>0</v>
      </c>
      <c r="I1251" s="16">
        <f>_xlfn.XLOOKUP(C1251,'Project Details'!$C$17:$C$66,'Project Details'!$E$17:$E$66,"",0)</f>
        <v>0</v>
      </c>
      <c r="J1251" s="16">
        <f>_xlfn.XLOOKUP(C1251,'Project Details'!$C$17:$C$66,'Project Details'!$H$17:$H$66,"",0)</f>
        <v>0</v>
      </c>
      <c r="K1251" s="33" t="str">
        <f>IF(AND(_xlfn.XLOOKUP(C1251,'Project Details'!$C$17:$C$66,'Project Details'!$L$17:$L$66,"",0)&gt;550, F1251="Spring-L27cm"),"",SUBSTITUTE(_xlfn.XLOOKUP(G1251,SKUs!$C$2:$C$10001,SKUs!$F$2:$F$10001,"",0), " Accessories",""))</f>
        <v/>
      </c>
      <c r="L1251" s="33">
        <f>_xlfn.XLOOKUP(C1251,'Project Details'!$C$17:$C$66,'Project Details'!$D$17:$D$66,"",0)</f>
        <v>0</v>
      </c>
      <c r="M1251" s="43"/>
    </row>
    <row r="1252" spans="1:13" ht="13.5" customHeight="1" outlineLevel="1" x14ac:dyDescent="0.25">
      <c r="A1252" s="43"/>
      <c r="B1252" s="43"/>
      <c r="C1252" s="35">
        <f t="shared" si="23"/>
        <v>25</v>
      </c>
      <c r="D1252" s="35" t="str" cm="1">
        <f t="array" ref="D1252">IFERROR(ROUNDUP(_xlfn.IFS(F1252="Aluminum Track", _xlfn.XLOOKUP(C1252, dd_accsrycalc!$A$2:$A$51, dd_accsrycalc!$B$2:$B$51, "",0), F1252="10 x 2 1/2 S (Flat)", _xlfn.XLOOKUP(C1252, dd_accsrycalc!$A$2:$A$51, dd_accsrycalc!$C$2:$C$51, "",0), F1252="Tox6", _xlfn.XLOOKUP(C1252, dd_accsrycalc!$A$2:$A$51, dd_accsrycalc!$D$2:$D$51, "",0), F1252="Cover Cap", _xlfn.XLOOKUP(C1252, dd_accsrycalc!$A$2:$A$51, dd_accsrycalc!$E$2:$E$51, "",0), F1252="Drainage Cover", _xlfn.XLOOKUP(C1252, dd_accsrycalc!$A$2:$A$51, dd_accsrycalc!$F$2:$F$51, "",0),AND( F1252="Double Adhesive Tape", I1252="Roll-up Screen"), _xlfn.XLOOKUP(C1252, calc_rusacc!$C$15:$C$65, calc_rusacc!$AD$15:$AD$65, "",0),AND( F1252="Sealant", I1252="Roll-up Screen"), _xlfn.XLOOKUP(C1252, calc_rusacc!$C$15:$C$65, calc_rusacc!$AF$15:$AF$65, "",0),  AND( F1252="Main Chain", I1252="Accordion Screen"), _xlfn.XLOOKUP(C1252, calc_rusacc!$C$15:$C$65, calc_rusacc!$BF$15:$BF$65, "",0), AND( F1252="Sealant", I1252="Accordion Screen"), _xlfn.XLOOKUP(C1252, calc_rusacc!$C$15:$C$65, calc_rusacc!$BJ$15:$BJ$65, "",0),  F1252="Sealant", _xlfn.XLOOKUP(C1252, dd_accsrycalc!$A$2:$A$51, dd_accsrycalc!$G$2:$G$51, "",0),  F1252&lt;&gt;"",L1252*_xlfn.XLOOKUP(1, (SKUs!$C$2:$C$10001=G1252)*(SKUs!$K$2:$K$10001=I1252),SKUs!$E$2:$E$10001)), 0),"")</f>
        <v/>
      </c>
      <c r="E1252" s="35" t="str">
        <f>_xlfn.XLOOKUP(F1252,dd_item!$B$2:$B$105,dd_item!$C$2:$C$105,"",0)</f>
        <v/>
      </c>
      <c r="F1252" s="35"/>
      <c r="G1252" s="35" cm="1">
        <f t="array" ref="G1252">IFERROR(_xlfn.XLOOKUP(1, (SKUs!$J$2:$J$10001=accsry_unmerged!F1252)*IF(H1252&lt;&gt;"",(SKUs!$L$2:$L$10001=accsry_unmerged!H1252),1)*(SKUs!$K$2:$K$10001=I1252),SKUs!$C$2:$C$10001),"")</f>
        <v>0</v>
      </c>
      <c r="H1252" s="36" cm="1">
        <f t="array" ref="H1252">IFERROR(_xlfn.XLOOKUP(1, (dd_accsryclr!$C$2:$C$1000=accsry_unmerged!F1252)*(dd_accsryclr!$B$2:$B$1000=accsry_unmerged!J1252),dd_accsryclr!$A$2:$A$1000),"")</f>
        <v>0</v>
      </c>
      <c r="I1252" s="35">
        <f>_xlfn.XLOOKUP(C1252,'Project Details'!$C$17:$C$66,'Project Details'!$E$17:$E$66,"",0)</f>
        <v>0</v>
      </c>
      <c r="J1252" s="35">
        <f>_xlfn.XLOOKUP(C1252,'Project Details'!$C$17:$C$66,'Project Details'!$H$17:$H$66,"",0)</f>
        <v>0</v>
      </c>
      <c r="K1252" s="36" t="str">
        <f>IF(AND(_xlfn.XLOOKUP(C1252,'Project Details'!$C$17:$C$66,'Project Details'!$L$17:$L$66,"",0)&gt;550, F1252="Spring-L27cm"),"",SUBSTITUTE(_xlfn.XLOOKUP(G1252,SKUs!$C$2:$C$10001,SKUs!$F$2:$F$10001,"",0), " Accessories",""))</f>
        <v/>
      </c>
      <c r="L1252" s="36">
        <f>_xlfn.XLOOKUP(C1252,'Project Details'!$C$17:$C$66,'Project Details'!$D$17:$D$66,"",0)</f>
        <v>0</v>
      </c>
      <c r="M1252" s="43"/>
    </row>
    <row r="1253" spans="1:13" ht="13.5" customHeight="1" outlineLevel="1" x14ac:dyDescent="0.25">
      <c r="A1253" s="43"/>
      <c r="B1253" s="43"/>
      <c r="C1253" s="16">
        <f t="shared" si="23"/>
        <v>25</v>
      </c>
      <c r="D1253" s="16" t="str" cm="1">
        <f t="array" ref="D1253">IFERROR(ROUNDUP(_xlfn.IFS(F1253="Aluminum Track", _xlfn.XLOOKUP(C1253, dd_accsrycalc!$A$2:$A$51, dd_accsrycalc!$B$2:$B$51, "",0), F1253="10 x 2 1/2 S (Flat)", _xlfn.XLOOKUP(C1253, dd_accsrycalc!$A$2:$A$51, dd_accsrycalc!$C$2:$C$51, "",0), F1253="Tox6", _xlfn.XLOOKUP(C1253, dd_accsrycalc!$A$2:$A$51, dd_accsrycalc!$D$2:$D$51, "",0), F1253="Cover Cap", _xlfn.XLOOKUP(C1253, dd_accsrycalc!$A$2:$A$51, dd_accsrycalc!$E$2:$E$51, "",0), F1253="Drainage Cover", _xlfn.XLOOKUP(C1253, dd_accsrycalc!$A$2:$A$51, dd_accsrycalc!$F$2:$F$51, "",0),AND( F1253="Double Adhesive Tape", I1253="Roll-up Screen"), _xlfn.XLOOKUP(C1253, calc_rusacc!$C$15:$C$65, calc_rusacc!$AD$15:$AD$65, "",0),AND( F1253="Sealant", I1253="Roll-up Screen"), _xlfn.XLOOKUP(C1253, calc_rusacc!$C$15:$C$65, calc_rusacc!$AF$15:$AF$65, "",0),  AND( F1253="Main Chain", I1253="Accordion Screen"), _xlfn.XLOOKUP(C1253, calc_rusacc!$C$15:$C$65, calc_rusacc!$BF$15:$BF$65, "",0), AND( F1253="Sealant", I1253="Accordion Screen"), _xlfn.XLOOKUP(C1253, calc_rusacc!$C$15:$C$65, calc_rusacc!$BJ$15:$BJ$65, "",0),  F1253="Sealant", _xlfn.XLOOKUP(C1253, dd_accsrycalc!$A$2:$A$51, dd_accsrycalc!$G$2:$G$51, "",0),  F1253&lt;&gt;"",L1253*_xlfn.XLOOKUP(1, (SKUs!$C$2:$C$10001=G1253)*(SKUs!$K$2:$K$10001=I1253),SKUs!$E$2:$E$10001)), 0),"")</f>
        <v/>
      </c>
      <c r="E1253" s="16" t="str">
        <f>_xlfn.XLOOKUP(F1253,dd_item!$B$2:$B$105,dd_item!$C$2:$C$105,"",0)</f>
        <v/>
      </c>
      <c r="F1253" s="16"/>
      <c r="G1253" s="16" cm="1">
        <f t="array" ref="G1253">IFERROR(_xlfn.XLOOKUP(1, (SKUs!$J$2:$J$10001=accsry_unmerged!F1253)*IF(H1253&lt;&gt;"",(SKUs!$L$2:$L$10001=accsry_unmerged!H1253),1)*(SKUs!$K$2:$K$10001=I1253),SKUs!$C$2:$C$10001),"")</f>
        <v>0</v>
      </c>
      <c r="H1253" s="33" cm="1">
        <f t="array" ref="H1253">IFERROR(_xlfn.XLOOKUP(1, (dd_accsryclr!$C$2:$C$1000=accsry_unmerged!F1253)*(dd_accsryclr!$B$2:$B$1000=accsry_unmerged!J1253),dd_accsryclr!$A$2:$A$1000),"")</f>
        <v>0</v>
      </c>
      <c r="I1253" s="16">
        <f>_xlfn.XLOOKUP(C1253,'Project Details'!$C$17:$C$66,'Project Details'!$E$17:$E$66,"",0)</f>
        <v>0</v>
      </c>
      <c r="J1253" s="16">
        <f>_xlfn.XLOOKUP(C1253,'Project Details'!$C$17:$C$66,'Project Details'!$H$17:$H$66,"",0)</f>
        <v>0</v>
      </c>
      <c r="K1253" s="33" t="str">
        <f>IF(AND(_xlfn.XLOOKUP(C1253,'Project Details'!$C$17:$C$66,'Project Details'!$L$17:$L$66,"",0)&gt;550, F1253="Spring-L27cm"),"",SUBSTITUTE(_xlfn.XLOOKUP(G1253,SKUs!$C$2:$C$10001,SKUs!$F$2:$F$10001,"",0), " Accessories",""))</f>
        <v/>
      </c>
      <c r="L1253" s="33">
        <f>_xlfn.XLOOKUP(C1253,'Project Details'!$C$17:$C$66,'Project Details'!$D$17:$D$66,"",0)</f>
        <v>0</v>
      </c>
      <c r="M1253" s="43"/>
    </row>
    <row r="1254" spans="1:13" ht="13.5" customHeight="1" outlineLevel="1" x14ac:dyDescent="0.25">
      <c r="A1254" s="43"/>
      <c r="B1254" s="43"/>
      <c r="C1254" s="35">
        <f t="shared" si="23"/>
        <v>25</v>
      </c>
      <c r="D1254" s="35" t="str" cm="1">
        <f t="array" ref="D1254">IFERROR(ROUNDUP(_xlfn.IFS(F1254="Aluminum Track", _xlfn.XLOOKUP(C1254, dd_accsrycalc!$A$2:$A$51, dd_accsrycalc!$B$2:$B$51, "",0), F1254="10 x 2 1/2 S (Flat)", _xlfn.XLOOKUP(C1254, dd_accsrycalc!$A$2:$A$51, dd_accsrycalc!$C$2:$C$51, "",0), F1254="Tox6", _xlfn.XLOOKUP(C1254, dd_accsrycalc!$A$2:$A$51, dd_accsrycalc!$D$2:$D$51, "",0), F1254="Cover Cap", _xlfn.XLOOKUP(C1254, dd_accsrycalc!$A$2:$A$51, dd_accsrycalc!$E$2:$E$51, "",0), F1254="Drainage Cover", _xlfn.XLOOKUP(C1254, dd_accsrycalc!$A$2:$A$51, dd_accsrycalc!$F$2:$F$51, "",0),AND( F1254="Double Adhesive Tape", I1254="Roll-up Screen"), _xlfn.XLOOKUP(C1254, calc_rusacc!$C$15:$C$65, calc_rusacc!$AD$15:$AD$65, "",0),AND( F1254="Sealant", I1254="Roll-up Screen"), _xlfn.XLOOKUP(C1254, calc_rusacc!$C$15:$C$65, calc_rusacc!$AF$15:$AF$65, "",0),  AND( F1254="Main Chain", I1254="Accordion Screen"), _xlfn.XLOOKUP(C1254, calc_rusacc!$C$15:$C$65, calc_rusacc!$BF$15:$BF$65, "",0), AND( F1254="Sealant", I1254="Accordion Screen"), _xlfn.XLOOKUP(C1254, calc_rusacc!$C$15:$C$65, calc_rusacc!$BJ$15:$BJ$65, "",0),  F1254="Sealant", _xlfn.XLOOKUP(C1254, dd_accsrycalc!$A$2:$A$51, dd_accsrycalc!$G$2:$G$51, "",0),  F1254&lt;&gt;"",L1254*_xlfn.XLOOKUP(1, (SKUs!$C$2:$C$10001=G1254)*(SKUs!$K$2:$K$10001=I1254),SKUs!$E$2:$E$10001)), 0),"")</f>
        <v/>
      </c>
      <c r="E1254" s="35" t="str">
        <f>_xlfn.XLOOKUP(F1254,dd_item!$B$2:$B$105,dd_item!$C$2:$C$105,"",0)</f>
        <v/>
      </c>
      <c r="F1254" s="35"/>
      <c r="G1254" s="35" cm="1">
        <f t="array" ref="G1254">IFERROR(_xlfn.XLOOKUP(1, (SKUs!$J$2:$J$10001=accsry_unmerged!F1254)*IF(H1254&lt;&gt;"",(SKUs!$L$2:$L$10001=accsry_unmerged!H1254),1)*(SKUs!$K$2:$K$10001=I1254),SKUs!$C$2:$C$10001),"")</f>
        <v>0</v>
      </c>
      <c r="H1254" s="36" cm="1">
        <f t="array" ref="H1254">IFERROR(_xlfn.XLOOKUP(1, (dd_accsryclr!$C$2:$C$1000=accsry_unmerged!F1254)*(dd_accsryclr!$B$2:$B$1000=accsry_unmerged!J1254),dd_accsryclr!$A$2:$A$1000),"")</f>
        <v>0</v>
      </c>
      <c r="I1254" s="35">
        <f>_xlfn.XLOOKUP(C1254,'Project Details'!$C$17:$C$66,'Project Details'!$E$17:$E$66,"",0)</f>
        <v>0</v>
      </c>
      <c r="J1254" s="35">
        <f>_xlfn.XLOOKUP(C1254,'Project Details'!$C$17:$C$66,'Project Details'!$H$17:$H$66,"",0)</f>
        <v>0</v>
      </c>
      <c r="K1254" s="36" t="str">
        <f>IF(AND(_xlfn.XLOOKUP(C1254,'Project Details'!$C$17:$C$66,'Project Details'!$L$17:$L$66,"",0)&gt;550, F1254="Spring-L27cm"),"",SUBSTITUTE(_xlfn.XLOOKUP(G1254,SKUs!$C$2:$C$10001,SKUs!$F$2:$F$10001,"",0), " Accessories",""))</f>
        <v/>
      </c>
      <c r="L1254" s="36">
        <f>_xlfn.XLOOKUP(C1254,'Project Details'!$C$17:$C$66,'Project Details'!$D$17:$D$66,"",0)</f>
        <v>0</v>
      </c>
      <c r="M1254" s="43"/>
    </row>
    <row r="1255" spans="1:13" ht="13.5" customHeight="1" outlineLevel="1" collapsed="1" x14ac:dyDescent="0.25">
      <c r="A1255" s="43"/>
      <c r="B1255" s="43"/>
      <c r="C1255" s="16">
        <f t="shared" si="23"/>
        <v>25</v>
      </c>
      <c r="D1255" s="16" t="str" cm="1">
        <f t="array" ref="D1255">IFERROR(ROUNDUP(_xlfn.IFS(F1255="Aluminum Track", _xlfn.XLOOKUP(C1255, dd_accsrycalc!$A$2:$A$51, dd_accsrycalc!$B$2:$B$51, "",0), F1255="10 x 2 1/2 S (Flat)", _xlfn.XLOOKUP(C1255, dd_accsrycalc!$A$2:$A$51, dd_accsrycalc!$C$2:$C$51, "",0), F1255="Tox6", _xlfn.XLOOKUP(C1255, dd_accsrycalc!$A$2:$A$51, dd_accsrycalc!$D$2:$D$51, "",0), F1255="Cover Cap", _xlfn.XLOOKUP(C1255, dd_accsrycalc!$A$2:$A$51, dd_accsrycalc!$E$2:$E$51, "",0), F1255="Drainage Cover", _xlfn.XLOOKUP(C1255, dd_accsrycalc!$A$2:$A$51, dd_accsrycalc!$F$2:$F$51, "",0),AND( F1255="Double Adhesive Tape", I1255="Roll-up Screen"), _xlfn.XLOOKUP(C1255, calc_rusacc!$C$15:$C$65, calc_rusacc!$AD$15:$AD$65, "",0),AND( F1255="Sealant", I1255="Roll-up Screen"), _xlfn.XLOOKUP(C1255, calc_rusacc!$C$15:$C$65, calc_rusacc!$AF$15:$AF$65, "",0),  AND( F1255="Main Chain", I1255="Accordion Screen"), _xlfn.XLOOKUP(C1255, calc_rusacc!$C$15:$C$65, calc_rusacc!$BF$15:$BF$65, "",0), AND( F1255="Sealant", I1255="Accordion Screen"), _xlfn.XLOOKUP(C1255, calc_rusacc!$C$15:$C$65, calc_rusacc!$BJ$15:$BJ$65, "",0),  F1255="Sealant", _xlfn.XLOOKUP(C1255, dd_accsrycalc!$A$2:$A$51, dd_accsrycalc!$G$2:$G$51, "",0),  F1255&lt;&gt;"",L1255*_xlfn.XLOOKUP(1, (SKUs!$C$2:$C$10001=G1255)*(SKUs!$K$2:$K$10001=I1255),SKUs!$E$2:$E$10001)), 0),"")</f>
        <v/>
      </c>
      <c r="E1255" s="16" t="str">
        <f>_xlfn.XLOOKUP(F1255,dd_item!$B$2:$B$105,dd_item!$C$2:$C$105,"",0)</f>
        <v/>
      </c>
      <c r="F1255" s="16"/>
      <c r="G1255" s="16" cm="1">
        <f t="array" ref="G1255">IFERROR(_xlfn.XLOOKUP(1, (SKUs!$J$2:$J$10001=accsry_unmerged!F1255)*IF(H1255&lt;&gt;"",(SKUs!$L$2:$L$10001=accsry_unmerged!H1255),1)*(SKUs!$K$2:$K$10001=I1255),SKUs!$C$2:$C$10001),"")</f>
        <v>0</v>
      </c>
      <c r="H1255" s="33" cm="1">
        <f t="array" ref="H1255">IFERROR(_xlfn.XLOOKUP(1, (dd_accsryclr!$C$2:$C$1000=accsry_unmerged!F1255)*(dd_accsryclr!$B$2:$B$1000=accsry_unmerged!J1255),dd_accsryclr!$A$2:$A$1000),"")</f>
        <v>0</v>
      </c>
      <c r="I1255" s="16">
        <f>_xlfn.XLOOKUP(C1255,'Project Details'!$C$17:$C$66,'Project Details'!$E$17:$E$66,"",0)</f>
        <v>0</v>
      </c>
      <c r="J1255" s="16">
        <f>_xlfn.XLOOKUP(C1255,'Project Details'!$C$17:$C$66,'Project Details'!$H$17:$H$66,"",0)</f>
        <v>0</v>
      </c>
      <c r="K1255" s="33" t="str">
        <f>IF(AND(_xlfn.XLOOKUP(C1255,'Project Details'!$C$17:$C$66,'Project Details'!$L$17:$L$66,"",0)&gt;550, F1255="Spring-L27cm"),"",SUBSTITUTE(_xlfn.XLOOKUP(G1255,SKUs!$C$2:$C$10001,SKUs!$F$2:$F$10001,"",0), " Accessories",""))</f>
        <v/>
      </c>
      <c r="L1255" s="33">
        <f>_xlfn.XLOOKUP(C1255,'Project Details'!$C$17:$C$66,'Project Details'!$D$17:$D$66,"",0)</f>
        <v>0</v>
      </c>
      <c r="M1255" s="43"/>
    </row>
    <row r="1256" spans="1:13" ht="13.5" customHeight="1" outlineLevel="1" x14ac:dyDescent="0.25">
      <c r="A1256" s="43"/>
      <c r="B1256" s="43"/>
      <c r="C1256" s="35">
        <f t="shared" si="23"/>
        <v>25</v>
      </c>
      <c r="D1256" s="35" t="str" cm="1">
        <f t="array" ref="D1256">IFERROR(ROUNDUP(_xlfn.IFS(F1256="Aluminum Track", _xlfn.XLOOKUP(C1256, dd_accsrycalc!$A$2:$A$51, dd_accsrycalc!$B$2:$B$51, "",0), F1256="10 x 2 1/2 S (Flat)", _xlfn.XLOOKUP(C1256, dd_accsrycalc!$A$2:$A$51, dd_accsrycalc!$C$2:$C$51, "",0), F1256="Tox6", _xlfn.XLOOKUP(C1256, dd_accsrycalc!$A$2:$A$51, dd_accsrycalc!$D$2:$D$51, "",0), F1256="Cover Cap", _xlfn.XLOOKUP(C1256, dd_accsrycalc!$A$2:$A$51, dd_accsrycalc!$E$2:$E$51, "",0), F1256="Drainage Cover", _xlfn.XLOOKUP(C1256, dd_accsrycalc!$A$2:$A$51, dd_accsrycalc!$F$2:$F$51, "",0),AND( F1256="Double Adhesive Tape", I1256="Roll-up Screen"), _xlfn.XLOOKUP(C1256, calc_rusacc!$C$15:$C$65, calc_rusacc!$AD$15:$AD$65, "",0),AND( F1256="Sealant", I1256="Roll-up Screen"), _xlfn.XLOOKUP(C1256, calc_rusacc!$C$15:$C$65, calc_rusacc!$AF$15:$AF$65, "",0),  AND( F1256="Main Chain", I1256="Accordion Screen"), _xlfn.XLOOKUP(C1256, calc_rusacc!$C$15:$C$65, calc_rusacc!$BF$15:$BF$65, "",0), AND( F1256="Sealant", I1256="Accordion Screen"), _xlfn.XLOOKUP(C1256, calc_rusacc!$C$15:$C$65, calc_rusacc!$BJ$15:$BJ$65, "",0),  F1256="Sealant", _xlfn.XLOOKUP(C1256, dd_accsrycalc!$A$2:$A$51, dd_accsrycalc!$G$2:$G$51, "",0),  F1256&lt;&gt;"",L1256*_xlfn.XLOOKUP(1, (SKUs!$C$2:$C$10001=G1256)*(SKUs!$K$2:$K$10001=I1256),SKUs!$E$2:$E$10001)), 0),"")</f>
        <v/>
      </c>
      <c r="E1256" s="35" t="str">
        <f>_xlfn.XLOOKUP(F1256,dd_item!$B$2:$B$105,dd_item!$C$2:$C$105,"",0)</f>
        <v/>
      </c>
      <c r="F1256" s="35"/>
      <c r="G1256" s="35" cm="1">
        <f t="array" ref="G1256">IFERROR(_xlfn.XLOOKUP(1, (SKUs!$J$2:$J$10001=accsry_unmerged!F1256)*IF(H1256&lt;&gt;"",(SKUs!$L$2:$L$10001=accsry_unmerged!H1256),1)*(SKUs!$K$2:$K$10001=I1256),SKUs!$C$2:$C$10001),"")</f>
        <v>0</v>
      </c>
      <c r="H1256" s="36" cm="1">
        <f t="array" ref="H1256">IFERROR(_xlfn.XLOOKUP(1, (dd_accsryclr!$C$2:$C$1000=accsry_unmerged!F1256)*(dd_accsryclr!$B$2:$B$1000=accsry_unmerged!J1256),dd_accsryclr!$A$2:$A$1000),"")</f>
        <v>0</v>
      </c>
      <c r="I1256" s="35">
        <f>_xlfn.XLOOKUP(C1256,'Project Details'!$C$17:$C$66,'Project Details'!$E$17:$E$66,"",0)</f>
        <v>0</v>
      </c>
      <c r="J1256" s="35">
        <f>_xlfn.XLOOKUP(C1256,'Project Details'!$C$17:$C$66,'Project Details'!$H$17:$H$66,"",0)</f>
        <v>0</v>
      </c>
      <c r="K1256" s="36" t="str">
        <f>IF(AND(_xlfn.XLOOKUP(C1256,'Project Details'!$C$17:$C$66,'Project Details'!$L$17:$L$66,"",0)&gt;550, F1256="Spring-L27cm"),"",SUBSTITUTE(_xlfn.XLOOKUP(G1256,SKUs!$C$2:$C$10001,SKUs!$F$2:$F$10001,"",0), " Accessories",""))</f>
        <v/>
      </c>
      <c r="L1256" s="36">
        <f>_xlfn.XLOOKUP(C1256,'Project Details'!$C$17:$C$66,'Project Details'!$D$17:$D$66,"",0)</f>
        <v>0</v>
      </c>
      <c r="M1256" s="43"/>
    </row>
    <row r="1257" spans="1:13" ht="13.5" customHeight="1" outlineLevel="1" x14ac:dyDescent="0.25">
      <c r="A1257" s="43"/>
      <c r="B1257" s="43"/>
      <c r="C1257" s="16">
        <f t="shared" si="23"/>
        <v>25</v>
      </c>
      <c r="D1257" s="16" t="str" cm="1">
        <f t="array" ref="D1257">IFERROR(ROUNDUP(_xlfn.IFS(F1257="Aluminum Track", _xlfn.XLOOKUP(C1257, dd_accsrycalc!$A$2:$A$51, dd_accsrycalc!$B$2:$B$51, "",0), F1257="10 x 2 1/2 S (Flat)", _xlfn.XLOOKUP(C1257, dd_accsrycalc!$A$2:$A$51, dd_accsrycalc!$C$2:$C$51, "",0), F1257="Tox6", _xlfn.XLOOKUP(C1257, dd_accsrycalc!$A$2:$A$51, dd_accsrycalc!$D$2:$D$51, "",0), F1257="Cover Cap", _xlfn.XLOOKUP(C1257, dd_accsrycalc!$A$2:$A$51, dd_accsrycalc!$E$2:$E$51, "",0), F1257="Drainage Cover", _xlfn.XLOOKUP(C1257, dd_accsrycalc!$A$2:$A$51, dd_accsrycalc!$F$2:$F$51, "",0),AND( F1257="Double Adhesive Tape", I1257="Roll-up Screen"), _xlfn.XLOOKUP(C1257, calc_rusacc!$C$15:$C$65, calc_rusacc!$AD$15:$AD$65, "",0),AND( F1257="Sealant", I1257="Roll-up Screen"), _xlfn.XLOOKUP(C1257, calc_rusacc!$C$15:$C$65, calc_rusacc!$AF$15:$AF$65, "",0),  AND( F1257="Main Chain", I1257="Accordion Screen"), _xlfn.XLOOKUP(C1257, calc_rusacc!$C$15:$C$65, calc_rusacc!$BF$15:$BF$65, "",0), AND( F1257="Sealant", I1257="Accordion Screen"), _xlfn.XLOOKUP(C1257, calc_rusacc!$C$15:$C$65, calc_rusacc!$BJ$15:$BJ$65, "",0),  F1257="Sealant", _xlfn.XLOOKUP(C1257, dd_accsrycalc!$A$2:$A$51, dd_accsrycalc!$G$2:$G$51, "",0),  F1257&lt;&gt;"",L1257*_xlfn.XLOOKUP(1, (SKUs!$C$2:$C$10001=G1257)*(SKUs!$K$2:$K$10001=I1257),SKUs!$E$2:$E$10001)), 0),"")</f>
        <v/>
      </c>
      <c r="E1257" s="16" t="str">
        <f>_xlfn.XLOOKUP(F1257,dd_item!$B$2:$B$105,dd_item!$C$2:$C$105,"",0)</f>
        <v/>
      </c>
      <c r="F1257" s="16"/>
      <c r="G1257" s="16" cm="1">
        <f t="array" ref="G1257">IFERROR(_xlfn.XLOOKUP(1, (SKUs!$J$2:$J$10001=accsry_unmerged!F1257)*IF(H1257&lt;&gt;"",(SKUs!$L$2:$L$10001=accsry_unmerged!H1257),1)*(SKUs!$K$2:$K$10001=I1257),SKUs!$C$2:$C$10001),"")</f>
        <v>0</v>
      </c>
      <c r="H1257" s="33" cm="1">
        <f t="array" ref="H1257">IFERROR(_xlfn.XLOOKUP(1, (dd_accsryclr!$C$2:$C$1000=accsry_unmerged!F1257)*(dd_accsryclr!$B$2:$B$1000=accsry_unmerged!J1257),dd_accsryclr!$A$2:$A$1000),"")</f>
        <v>0</v>
      </c>
      <c r="I1257" s="16">
        <f>_xlfn.XLOOKUP(C1257,'Project Details'!$C$17:$C$66,'Project Details'!$E$17:$E$66,"",0)</f>
        <v>0</v>
      </c>
      <c r="J1257" s="16">
        <f>_xlfn.XLOOKUP(C1257,'Project Details'!$C$17:$C$66,'Project Details'!$H$17:$H$66,"",0)</f>
        <v>0</v>
      </c>
      <c r="K1257" s="33" t="str">
        <f>IF(AND(_xlfn.XLOOKUP(C1257,'Project Details'!$C$17:$C$66,'Project Details'!$L$17:$L$66,"",0)&gt;550, F1257="Spring-L27cm"),"",SUBSTITUTE(_xlfn.XLOOKUP(G1257,SKUs!$C$2:$C$10001,SKUs!$F$2:$F$10001,"",0), " Accessories",""))</f>
        <v/>
      </c>
      <c r="L1257" s="33">
        <f>_xlfn.XLOOKUP(C1257,'Project Details'!$C$17:$C$66,'Project Details'!$D$17:$D$66,"",0)</f>
        <v>0</v>
      </c>
      <c r="M1257" s="43"/>
    </row>
    <row r="1258" spans="1:13" ht="13.5" customHeight="1" outlineLevel="1" x14ac:dyDescent="0.25">
      <c r="A1258" s="43"/>
      <c r="B1258" s="43"/>
      <c r="C1258" s="35">
        <f t="shared" si="23"/>
        <v>25</v>
      </c>
      <c r="D1258" s="35" t="str" cm="1">
        <f t="array" ref="D1258">IFERROR(ROUNDUP(_xlfn.IFS(F1258="Aluminum Track", _xlfn.XLOOKUP(C1258, dd_accsrycalc!$A$2:$A$51, dd_accsrycalc!$B$2:$B$51, "",0), F1258="10 x 2 1/2 S (Flat)", _xlfn.XLOOKUP(C1258, dd_accsrycalc!$A$2:$A$51, dd_accsrycalc!$C$2:$C$51, "",0), F1258="Tox6", _xlfn.XLOOKUP(C1258, dd_accsrycalc!$A$2:$A$51, dd_accsrycalc!$D$2:$D$51, "",0), F1258="Cover Cap", _xlfn.XLOOKUP(C1258, dd_accsrycalc!$A$2:$A$51, dd_accsrycalc!$E$2:$E$51, "",0), F1258="Drainage Cover", _xlfn.XLOOKUP(C1258, dd_accsrycalc!$A$2:$A$51, dd_accsrycalc!$F$2:$F$51, "",0),AND( F1258="Double Adhesive Tape", I1258="Roll-up Screen"), _xlfn.XLOOKUP(C1258, calc_rusacc!$C$15:$C$65, calc_rusacc!$AD$15:$AD$65, "",0),AND( F1258="Sealant", I1258="Roll-up Screen"), _xlfn.XLOOKUP(C1258, calc_rusacc!$C$15:$C$65, calc_rusacc!$AF$15:$AF$65, "",0),  AND( F1258="Main Chain", I1258="Accordion Screen"), _xlfn.XLOOKUP(C1258, calc_rusacc!$C$15:$C$65, calc_rusacc!$BF$15:$BF$65, "",0), AND( F1258="Sealant", I1258="Accordion Screen"), _xlfn.XLOOKUP(C1258, calc_rusacc!$C$15:$C$65, calc_rusacc!$BJ$15:$BJ$65, "",0),  F1258="Sealant", _xlfn.XLOOKUP(C1258, dd_accsrycalc!$A$2:$A$51, dd_accsrycalc!$G$2:$G$51, "",0),  F1258&lt;&gt;"",L1258*_xlfn.XLOOKUP(1, (SKUs!$C$2:$C$10001=G1258)*(SKUs!$K$2:$K$10001=I1258),SKUs!$E$2:$E$10001)), 0),"")</f>
        <v/>
      </c>
      <c r="E1258" s="35" t="str">
        <f>_xlfn.XLOOKUP(F1258,dd_item!$B$2:$B$105,dd_item!$C$2:$C$105,"",0)</f>
        <v/>
      </c>
      <c r="F1258" s="35"/>
      <c r="G1258" s="35" cm="1">
        <f t="array" ref="G1258">IFERROR(_xlfn.XLOOKUP(1, (SKUs!$J$2:$J$10001=accsry_unmerged!F1258)*IF(H1258&lt;&gt;"",(SKUs!$L$2:$L$10001=accsry_unmerged!H1258),1)*(SKUs!$K$2:$K$10001=I1258),SKUs!$C$2:$C$10001),"")</f>
        <v>0</v>
      </c>
      <c r="H1258" s="36" cm="1">
        <f t="array" ref="H1258">IFERROR(_xlfn.XLOOKUP(1, (dd_accsryclr!$C$2:$C$1000=accsry_unmerged!F1258)*(dd_accsryclr!$B$2:$B$1000=accsry_unmerged!J1258),dd_accsryclr!$A$2:$A$1000),"")</f>
        <v>0</v>
      </c>
      <c r="I1258" s="35">
        <f>_xlfn.XLOOKUP(C1258,'Project Details'!$C$17:$C$66,'Project Details'!$E$17:$E$66,"",0)</f>
        <v>0</v>
      </c>
      <c r="J1258" s="35">
        <f>_xlfn.XLOOKUP(C1258,'Project Details'!$C$17:$C$66,'Project Details'!$H$17:$H$66,"",0)</f>
        <v>0</v>
      </c>
      <c r="K1258" s="36" t="str">
        <f>IF(AND(_xlfn.XLOOKUP(C1258,'Project Details'!$C$17:$C$66,'Project Details'!$L$17:$L$66,"",0)&gt;550, F1258="Spring-L27cm"),"",SUBSTITUTE(_xlfn.XLOOKUP(G1258,SKUs!$C$2:$C$10001,SKUs!$F$2:$F$10001,"",0), " Accessories",""))</f>
        <v/>
      </c>
      <c r="L1258" s="36">
        <f>_xlfn.XLOOKUP(C1258,'Project Details'!$C$17:$C$66,'Project Details'!$D$17:$D$66,"",0)</f>
        <v>0</v>
      </c>
      <c r="M1258" s="43"/>
    </row>
    <row r="1259" spans="1:13" ht="13.5" customHeight="1" outlineLevel="1" x14ac:dyDescent="0.25">
      <c r="A1259" s="43"/>
      <c r="B1259" s="43"/>
      <c r="C1259" s="16">
        <f t="shared" si="23"/>
        <v>25</v>
      </c>
      <c r="D1259" s="16" t="str" cm="1">
        <f t="array" ref="D1259">IFERROR(ROUNDUP(_xlfn.IFS(F1259="Aluminum Track", _xlfn.XLOOKUP(C1259, dd_accsrycalc!$A$2:$A$51, dd_accsrycalc!$B$2:$B$51, "",0), F1259="10 x 2 1/2 S (Flat)", _xlfn.XLOOKUP(C1259, dd_accsrycalc!$A$2:$A$51, dd_accsrycalc!$C$2:$C$51, "",0), F1259="Tox6", _xlfn.XLOOKUP(C1259, dd_accsrycalc!$A$2:$A$51, dd_accsrycalc!$D$2:$D$51, "",0), F1259="Cover Cap", _xlfn.XLOOKUP(C1259, dd_accsrycalc!$A$2:$A$51, dd_accsrycalc!$E$2:$E$51, "",0), F1259="Drainage Cover", _xlfn.XLOOKUP(C1259, dd_accsrycalc!$A$2:$A$51, dd_accsrycalc!$F$2:$F$51, "",0),AND( F1259="Double Adhesive Tape", I1259="Roll-up Screen"), _xlfn.XLOOKUP(C1259, calc_rusacc!$C$15:$C$65, calc_rusacc!$AD$15:$AD$65, "",0),AND( F1259="Sealant", I1259="Roll-up Screen"), _xlfn.XLOOKUP(C1259, calc_rusacc!$C$15:$C$65, calc_rusacc!$AF$15:$AF$65, "",0),  AND( F1259="Main Chain", I1259="Accordion Screen"), _xlfn.XLOOKUP(C1259, calc_rusacc!$C$15:$C$65, calc_rusacc!$BF$15:$BF$65, "",0), AND( F1259="Sealant", I1259="Accordion Screen"), _xlfn.XLOOKUP(C1259, calc_rusacc!$C$15:$C$65, calc_rusacc!$BJ$15:$BJ$65, "",0),  F1259="Sealant", _xlfn.XLOOKUP(C1259, dd_accsrycalc!$A$2:$A$51, dd_accsrycalc!$G$2:$G$51, "",0),  F1259&lt;&gt;"",L1259*_xlfn.XLOOKUP(1, (SKUs!$C$2:$C$10001=G1259)*(SKUs!$K$2:$K$10001=I1259),SKUs!$E$2:$E$10001)), 0),"")</f>
        <v/>
      </c>
      <c r="E1259" s="16" t="str">
        <f>_xlfn.XLOOKUP(F1259,dd_item!$B$2:$B$105,dd_item!$C$2:$C$105,"",0)</f>
        <v/>
      </c>
      <c r="F1259" s="16"/>
      <c r="G1259" s="16" cm="1">
        <f t="array" ref="G1259">IFERROR(_xlfn.XLOOKUP(1, (SKUs!$J$2:$J$10001=accsry_unmerged!F1259)*IF(H1259&lt;&gt;"",(SKUs!$L$2:$L$10001=accsry_unmerged!H1259),1)*(SKUs!$K$2:$K$10001=I1259),SKUs!$C$2:$C$10001),"")</f>
        <v>0</v>
      </c>
      <c r="H1259" s="33" cm="1">
        <f t="array" ref="H1259">IFERROR(_xlfn.XLOOKUP(1, (dd_accsryclr!$C$2:$C$1000=accsry_unmerged!F1259)*(dd_accsryclr!$B$2:$B$1000=accsry_unmerged!J1259),dd_accsryclr!$A$2:$A$1000),"")</f>
        <v>0</v>
      </c>
      <c r="I1259" s="16">
        <f>_xlfn.XLOOKUP(C1259,'Project Details'!$C$17:$C$66,'Project Details'!$E$17:$E$66,"",0)</f>
        <v>0</v>
      </c>
      <c r="J1259" s="16">
        <f>_xlfn.XLOOKUP(C1259,'Project Details'!$C$17:$C$66,'Project Details'!$H$17:$H$66,"",0)</f>
        <v>0</v>
      </c>
      <c r="K1259" s="33" t="str">
        <f>IF(AND(_xlfn.XLOOKUP(C1259,'Project Details'!$C$17:$C$66,'Project Details'!$L$17:$L$66,"",0)&gt;550, F1259="Spring-L27cm"),"",SUBSTITUTE(_xlfn.XLOOKUP(G1259,SKUs!$C$2:$C$10001,SKUs!$F$2:$F$10001,"",0), " Accessories",""))</f>
        <v/>
      </c>
      <c r="L1259" s="33">
        <f>_xlfn.XLOOKUP(C1259,'Project Details'!$C$17:$C$66,'Project Details'!$D$17:$D$66,"",0)</f>
        <v>0</v>
      </c>
      <c r="M1259" s="43"/>
    </row>
    <row r="1260" spans="1:13" ht="13.5" customHeight="1" outlineLevel="1" x14ac:dyDescent="0.25">
      <c r="A1260" s="43"/>
      <c r="B1260" s="43"/>
      <c r="C1260" s="35">
        <f t="shared" si="23"/>
        <v>25</v>
      </c>
      <c r="D1260" s="35" t="str" cm="1">
        <f t="array" ref="D1260">IFERROR(ROUNDUP(_xlfn.IFS(F1260="Aluminum Track", _xlfn.XLOOKUP(C1260, dd_accsrycalc!$A$2:$A$51, dd_accsrycalc!$B$2:$B$51, "",0), F1260="10 x 2 1/2 S (Flat)", _xlfn.XLOOKUP(C1260, dd_accsrycalc!$A$2:$A$51, dd_accsrycalc!$C$2:$C$51, "",0), F1260="Tox6", _xlfn.XLOOKUP(C1260, dd_accsrycalc!$A$2:$A$51, dd_accsrycalc!$D$2:$D$51, "",0), F1260="Cover Cap", _xlfn.XLOOKUP(C1260, dd_accsrycalc!$A$2:$A$51, dd_accsrycalc!$E$2:$E$51, "",0), F1260="Drainage Cover", _xlfn.XLOOKUP(C1260, dd_accsrycalc!$A$2:$A$51, dd_accsrycalc!$F$2:$F$51, "",0),AND( F1260="Double Adhesive Tape", I1260="Roll-up Screen"), _xlfn.XLOOKUP(C1260, calc_rusacc!$C$15:$C$65, calc_rusacc!$AD$15:$AD$65, "",0),AND( F1260="Sealant", I1260="Roll-up Screen"), _xlfn.XLOOKUP(C1260, calc_rusacc!$C$15:$C$65, calc_rusacc!$AF$15:$AF$65, "",0),  AND( F1260="Main Chain", I1260="Accordion Screen"), _xlfn.XLOOKUP(C1260, calc_rusacc!$C$15:$C$65, calc_rusacc!$BF$15:$BF$65, "",0), AND( F1260="Sealant", I1260="Accordion Screen"), _xlfn.XLOOKUP(C1260, calc_rusacc!$C$15:$C$65, calc_rusacc!$BJ$15:$BJ$65, "",0),  F1260="Sealant", _xlfn.XLOOKUP(C1260, dd_accsrycalc!$A$2:$A$51, dd_accsrycalc!$G$2:$G$51, "",0),  F1260&lt;&gt;"",L1260*_xlfn.XLOOKUP(1, (SKUs!$C$2:$C$10001=G1260)*(SKUs!$K$2:$K$10001=I1260),SKUs!$E$2:$E$10001)), 0),"")</f>
        <v/>
      </c>
      <c r="E1260" s="35" t="str">
        <f>_xlfn.XLOOKUP(F1260,dd_item!$B$2:$B$105,dd_item!$C$2:$C$105,"",0)</f>
        <v/>
      </c>
      <c r="F1260" s="35"/>
      <c r="G1260" s="35" cm="1">
        <f t="array" ref="G1260">IFERROR(_xlfn.XLOOKUP(1, (SKUs!$J$2:$J$10001=accsry_unmerged!F1260)*IF(H1260&lt;&gt;"",(SKUs!$L$2:$L$10001=accsry_unmerged!H1260),1)*(SKUs!$K$2:$K$10001=I1260),SKUs!$C$2:$C$10001),"")</f>
        <v>0</v>
      </c>
      <c r="H1260" s="36" cm="1">
        <f t="array" ref="H1260">IFERROR(_xlfn.XLOOKUP(1, (dd_accsryclr!$C$2:$C$1000=accsry_unmerged!F1260)*(dd_accsryclr!$B$2:$B$1000=accsry_unmerged!J1260),dd_accsryclr!$A$2:$A$1000),"")</f>
        <v>0</v>
      </c>
      <c r="I1260" s="35">
        <f>_xlfn.XLOOKUP(C1260,'Project Details'!$C$17:$C$66,'Project Details'!$E$17:$E$66,"",0)</f>
        <v>0</v>
      </c>
      <c r="J1260" s="35">
        <f>_xlfn.XLOOKUP(C1260,'Project Details'!$C$17:$C$66,'Project Details'!$H$17:$H$66,"",0)</f>
        <v>0</v>
      </c>
      <c r="K1260" s="36" t="str">
        <f>IF(AND(_xlfn.XLOOKUP(C1260,'Project Details'!$C$17:$C$66,'Project Details'!$L$17:$L$66,"",0)&gt;550, F1260="Spring-L27cm"),"",SUBSTITUTE(_xlfn.XLOOKUP(G1260,SKUs!$C$2:$C$10001,SKUs!$F$2:$F$10001,"",0), " Accessories",""))</f>
        <v/>
      </c>
      <c r="L1260" s="36">
        <f>_xlfn.XLOOKUP(C1260,'Project Details'!$C$17:$C$66,'Project Details'!$D$17:$D$66,"",0)</f>
        <v>0</v>
      </c>
      <c r="M1260" s="43"/>
    </row>
    <row r="1261" spans="1:13" ht="13.5" customHeight="1" outlineLevel="1" x14ac:dyDescent="0.25">
      <c r="A1261" s="43"/>
      <c r="B1261" s="43"/>
      <c r="C1261" s="16">
        <f t="shared" si="23"/>
        <v>25</v>
      </c>
      <c r="D1261" s="16" t="str" cm="1">
        <f t="array" ref="D1261">IFERROR(ROUNDUP(_xlfn.IFS(F1261="Aluminum Track", _xlfn.XLOOKUP(C1261, dd_accsrycalc!$A$2:$A$51, dd_accsrycalc!$B$2:$B$51, "",0), F1261="10 x 2 1/2 S (Flat)", _xlfn.XLOOKUP(C1261, dd_accsrycalc!$A$2:$A$51, dd_accsrycalc!$C$2:$C$51, "",0), F1261="Tox6", _xlfn.XLOOKUP(C1261, dd_accsrycalc!$A$2:$A$51, dd_accsrycalc!$D$2:$D$51, "",0), F1261="Cover Cap", _xlfn.XLOOKUP(C1261, dd_accsrycalc!$A$2:$A$51, dd_accsrycalc!$E$2:$E$51, "",0), F1261="Drainage Cover", _xlfn.XLOOKUP(C1261, dd_accsrycalc!$A$2:$A$51, dd_accsrycalc!$F$2:$F$51, "",0),AND( F1261="Double Adhesive Tape", I1261="Roll-up Screen"), _xlfn.XLOOKUP(C1261, calc_rusacc!$C$15:$C$65, calc_rusacc!$AD$15:$AD$65, "",0),AND( F1261="Sealant", I1261="Roll-up Screen"), _xlfn.XLOOKUP(C1261, calc_rusacc!$C$15:$C$65, calc_rusacc!$AF$15:$AF$65, "",0),  AND( F1261="Main Chain", I1261="Accordion Screen"), _xlfn.XLOOKUP(C1261, calc_rusacc!$C$15:$C$65, calc_rusacc!$BF$15:$BF$65, "",0), AND( F1261="Sealant", I1261="Accordion Screen"), _xlfn.XLOOKUP(C1261, calc_rusacc!$C$15:$C$65, calc_rusacc!$BJ$15:$BJ$65, "",0),  F1261="Sealant", _xlfn.XLOOKUP(C1261, dd_accsrycalc!$A$2:$A$51, dd_accsrycalc!$G$2:$G$51, "",0),  F1261&lt;&gt;"",L1261*_xlfn.XLOOKUP(1, (SKUs!$C$2:$C$10001=G1261)*(SKUs!$K$2:$K$10001=I1261),SKUs!$E$2:$E$10001)), 0),"")</f>
        <v/>
      </c>
      <c r="E1261" s="16" t="str">
        <f>_xlfn.XLOOKUP(F1261,dd_item!$B$2:$B$105,dd_item!$C$2:$C$105,"",0)</f>
        <v/>
      </c>
      <c r="F1261" s="16"/>
      <c r="G1261" s="16" cm="1">
        <f t="array" ref="G1261">IFERROR(_xlfn.XLOOKUP(1, (SKUs!$J$2:$J$10001=accsry_unmerged!F1261)*IF(H1261&lt;&gt;"",(SKUs!$L$2:$L$10001=accsry_unmerged!H1261),1)*(SKUs!$K$2:$K$10001=I1261),SKUs!$C$2:$C$10001),"")</f>
        <v>0</v>
      </c>
      <c r="H1261" s="33" cm="1">
        <f t="array" ref="H1261">IFERROR(_xlfn.XLOOKUP(1, (dd_accsryclr!$C$2:$C$1000=accsry_unmerged!F1261)*(dd_accsryclr!$B$2:$B$1000=accsry_unmerged!J1261),dd_accsryclr!$A$2:$A$1000),"")</f>
        <v>0</v>
      </c>
      <c r="I1261" s="16">
        <f>_xlfn.XLOOKUP(C1261,'Project Details'!$C$17:$C$66,'Project Details'!$E$17:$E$66,"",0)</f>
        <v>0</v>
      </c>
      <c r="J1261" s="16">
        <f>_xlfn.XLOOKUP(C1261,'Project Details'!$C$17:$C$66,'Project Details'!$H$17:$H$66,"",0)</f>
        <v>0</v>
      </c>
      <c r="K1261" s="33" t="str">
        <f>IF(AND(_xlfn.XLOOKUP(C1261,'Project Details'!$C$17:$C$66,'Project Details'!$L$17:$L$66,"",0)&gt;550, F1261="Spring-L27cm"),"",SUBSTITUTE(_xlfn.XLOOKUP(G1261,SKUs!$C$2:$C$10001,SKUs!$F$2:$F$10001,"",0), " Accessories",""))</f>
        <v/>
      </c>
      <c r="L1261" s="33">
        <f>_xlfn.XLOOKUP(C1261,'Project Details'!$C$17:$C$66,'Project Details'!$D$17:$D$66,"",0)</f>
        <v>0</v>
      </c>
      <c r="M1261" s="43"/>
    </row>
    <row r="1262" spans="1:13" ht="13.5" customHeight="1" outlineLevel="1" x14ac:dyDescent="0.25">
      <c r="A1262" s="43"/>
      <c r="B1262" s="43"/>
      <c r="C1262" s="35">
        <f t="shared" si="23"/>
        <v>25</v>
      </c>
      <c r="D1262" s="35" t="str" cm="1">
        <f t="array" ref="D1262">IFERROR(ROUNDUP(_xlfn.IFS(F1262="Aluminum Track", _xlfn.XLOOKUP(C1262, dd_accsrycalc!$A$2:$A$51, dd_accsrycalc!$B$2:$B$51, "",0), F1262="10 x 2 1/2 S (Flat)", _xlfn.XLOOKUP(C1262, dd_accsrycalc!$A$2:$A$51, dd_accsrycalc!$C$2:$C$51, "",0), F1262="Tox6", _xlfn.XLOOKUP(C1262, dd_accsrycalc!$A$2:$A$51, dd_accsrycalc!$D$2:$D$51, "",0), F1262="Cover Cap", _xlfn.XLOOKUP(C1262, dd_accsrycalc!$A$2:$A$51, dd_accsrycalc!$E$2:$E$51, "",0), F1262="Drainage Cover", _xlfn.XLOOKUP(C1262, dd_accsrycalc!$A$2:$A$51, dd_accsrycalc!$F$2:$F$51, "",0),AND( F1262="Double Adhesive Tape", I1262="Roll-up Screen"), _xlfn.XLOOKUP(C1262, calc_rusacc!$C$15:$C$65, calc_rusacc!$AD$15:$AD$65, "",0),AND( F1262="Sealant", I1262="Roll-up Screen"), _xlfn.XLOOKUP(C1262, calc_rusacc!$C$15:$C$65, calc_rusacc!$AF$15:$AF$65, "",0),  AND( F1262="Main Chain", I1262="Accordion Screen"), _xlfn.XLOOKUP(C1262, calc_rusacc!$C$15:$C$65, calc_rusacc!$BF$15:$BF$65, "",0), AND( F1262="Sealant", I1262="Accordion Screen"), _xlfn.XLOOKUP(C1262, calc_rusacc!$C$15:$C$65, calc_rusacc!$BJ$15:$BJ$65, "",0),  F1262="Sealant", _xlfn.XLOOKUP(C1262, dd_accsrycalc!$A$2:$A$51, dd_accsrycalc!$G$2:$G$51, "",0),  F1262&lt;&gt;"",L1262*_xlfn.XLOOKUP(1, (SKUs!$C$2:$C$10001=G1262)*(SKUs!$K$2:$K$10001=I1262),SKUs!$E$2:$E$10001)), 0),"")</f>
        <v/>
      </c>
      <c r="E1262" s="35" t="str">
        <f>_xlfn.XLOOKUP(F1262,dd_item!$B$2:$B$105,dd_item!$C$2:$C$105,"",0)</f>
        <v/>
      </c>
      <c r="F1262" s="35"/>
      <c r="G1262" s="35" cm="1">
        <f t="array" ref="G1262">IFERROR(_xlfn.XLOOKUP(1, (SKUs!$J$2:$J$10001=accsry_unmerged!F1262)*IF(H1262&lt;&gt;"",(SKUs!$L$2:$L$10001=accsry_unmerged!H1262),1)*(SKUs!$K$2:$K$10001=I1262),SKUs!$C$2:$C$10001),"")</f>
        <v>0</v>
      </c>
      <c r="H1262" s="36" cm="1">
        <f t="array" ref="H1262">IFERROR(_xlfn.XLOOKUP(1, (dd_accsryclr!$C$2:$C$1000=accsry_unmerged!F1262)*(dd_accsryclr!$B$2:$B$1000=accsry_unmerged!J1262),dd_accsryclr!$A$2:$A$1000),"")</f>
        <v>0</v>
      </c>
      <c r="I1262" s="35">
        <f>_xlfn.XLOOKUP(C1262,'Project Details'!$C$17:$C$66,'Project Details'!$E$17:$E$66,"",0)</f>
        <v>0</v>
      </c>
      <c r="J1262" s="35">
        <f>_xlfn.XLOOKUP(C1262,'Project Details'!$C$17:$C$66,'Project Details'!$H$17:$H$66,"",0)</f>
        <v>0</v>
      </c>
      <c r="K1262" s="36" t="str">
        <f>IF(AND(_xlfn.XLOOKUP(C1262,'Project Details'!$C$17:$C$66,'Project Details'!$L$17:$L$66,"",0)&gt;550, F1262="Spring-L27cm"),"",SUBSTITUTE(_xlfn.XLOOKUP(G1262,SKUs!$C$2:$C$10001,SKUs!$F$2:$F$10001,"",0), " Accessories",""))</f>
        <v/>
      </c>
      <c r="L1262" s="36">
        <f>_xlfn.XLOOKUP(C1262,'Project Details'!$C$17:$C$66,'Project Details'!$D$17:$D$66,"",0)</f>
        <v>0</v>
      </c>
      <c r="M1262" s="43"/>
    </row>
    <row r="1263" spans="1:13" ht="13.5" customHeight="1" outlineLevel="1" x14ac:dyDescent="0.25">
      <c r="A1263" s="43"/>
      <c r="B1263" s="43"/>
      <c r="C1263" s="16">
        <f t="shared" si="23"/>
        <v>25</v>
      </c>
      <c r="D1263" s="16" t="str" cm="1">
        <f t="array" ref="D1263">IFERROR(ROUNDUP(_xlfn.IFS(F1263="Aluminum Track", _xlfn.XLOOKUP(C1263, dd_accsrycalc!$A$2:$A$51, dd_accsrycalc!$B$2:$B$51, "",0), F1263="10 x 2 1/2 S (Flat)", _xlfn.XLOOKUP(C1263, dd_accsrycalc!$A$2:$A$51, dd_accsrycalc!$C$2:$C$51, "",0), F1263="Tox6", _xlfn.XLOOKUP(C1263, dd_accsrycalc!$A$2:$A$51, dd_accsrycalc!$D$2:$D$51, "",0), F1263="Cover Cap", _xlfn.XLOOKUP(C1263, dd_accsrycalc!$A$2:$A$51, dd_accsrycalc!$E$2:$E$51, "",0), F1263="Drainage Cover", _xlfn.XLOOKUP(C1263, dd_accsrycalc!$A$2:$A$51, dd_accsrycalc!$F$2:$F$51, "",0),AND( F1263="Double Adhesive Tape", I1263="Roll-up Screen"), _xlfn.XLOOKUP(C1263, calc_rusacc!$C$15:$C$65, calc_rusacc!$AD$15:$AD$65, "",0),AND( F1263="Sealant", I1263="Roll-up Screen"), _xlfn.XLOOKUP(C1263, calc_rusacc!$C$15:$C$65, calc_rusacc!$AF$15:$AF$65, "",0),  AND( F1263="Main Chain", I1263="Accordion Screen"), _xlfn.XLOOKUP(C1263, calc_rusacc!$C$15:$C$65, calc_rusacc!$BF$15:$BF$65, "",0), AND( F1263="Sealant", I1263="Accordion Screen"), _xlfn.XLOOKUP(C1263, calc_rusacc!$C$15:$C$65, calc_rusacc!$BJ$15:$BJ$65, "",0),  F1263="Sealant", _xlfn.XLOOKUP(C1263, dd_accsrycalc!$A$2:$A$51, dd_accsrycalc!$G$2:$G$51, "",0),  F1263&lt;&gt;"",L1263*_xlfn.XLOOKUP(1, (SKUs!$C$2:$C$10001=G1263)*(SKUs!$K$2:$K$10001=I1263),SKUs!$E$2:$E$10001)), 0),"")</f>
        <v/>
      </c>
      <c r="E1263" s="16" t="str">
        <f>_xlfn.XLOOKUP(F1263,dd_item!$B$2:$B$105,dd_item!$C$2:$C$105,"",0)</f>
        <v/>
      </c>
      <c r="F1263" s="16"/>
      <c r="G1263" s="16" cm="1">
        <f t="array" ref="G1263">IFERROR(_xlfn.XLOOKUP(1, (SKUs!$J$2:$J$10001=accsry_unmerged!F1263)*IF(H1263&lt;&gt;"",(SKUs!$L$2:$L$10001=accsry_unmerged!H1263),1)*(SKUs!$K$2:$K$10001=I1263),SKUs!$C$2:$C$10001),"")</f>
        <v>0</v>
      </c>
      <c r="H1263" s="33" cm="1">
        <f t="array" ref="H1263">IFERROR(_xlfn.XLOOKUP(1, (dd_accsryclr!$C$2:$C$1000=accsry_unmerged!F1263)*(dd_accsryclr!$B$2:$B$1000=accsry_unmerged!J1263),dd_accsryclr!$A$2:$A$1000),"")</f>
        <v>0</v>
      </c>
      <c r="I1263" s="16">
        <f>_xlfn.XLOOKUP(C1263,'Project Details'!$C$17:$C$66,'Project Details'!$E$17:$E$66,"",0)</f>
        <v>0</v>
      </c>
      <c r="J1263" s="16">
        <f>_xlfn.XLOOKUP(C1263,'Project Details'!$C$17:$C$66,'Project Details'!$H$17:$H$66,"",0)</f>
        <v>0</v>
      </c>
      <c r="K1263" s="33" t="str">
        <f>IF(AND(_xlfn.XLOOKUP(C1263,'Project Details'!$C$17:$C$66,'Project Details'!$L$17:$L$66,"",0)&gt;550, F1263="Spring-L27cm"),"",SUBSTITUTE(_xlfn.XLOOKUP(G1263,SKUs!$C$2:$C$10001,SKUs!$F$2:$F$10001,"",0), " Accessories",""))</f>
        <v/>
      </c>
      <c r="L1263" s="33">
        <f>_xlfn.XLOOKUP(C1263,'Project Details'!$C$17:$C$66,'Project Details'!$D$17:$D$66,"",0)</f>
        <v>0</v>
      </c>
      <c r="M1263" s="43"/>
    </row>
    <row r="1264" spans="1:13" x14ac:dyDescent="0.25">
      <c r="A1264" s="43"/>
      <c r="B1264" s="43"/>
      <c r="C1264" s="43"/>
      <c r="D1264" s="43"/>
      <c r="E1264" s="43"/>
      <c r="F1264" s="43"/>
      <c r="G1264" s="43"/>
      <c r="H1264" s="43"/>
      <c r="I1264" s="43"/>
      <c r="J1264" s="43"/>
      <c r="K1264" s="43"/>
      <c r="L1264" s="43"/>
      <c r="M1264" s="43"/>
    </row>
    <row r="1265" spans="1:13" x14ac:dyDescent="0.25">
      <c r="A1265" s="43"/>
      <c r="B1265" s="43"/>
      <c r="C1265" s="16">
        <f>C1263+1</f>
        <v>26</v>
      </c>
      <c r="D1265" s="48" cm="1">
        <f t="array" ref="D1265">IFERROR(ROUNDUP(_xlfn.IFS(F1265="Aluminum Track", _xlfn.XLOOKUP(C1265, dd_accsrycalc!$A$2:$A$51, dd_accsrycalc!$B$2:$B$51, "",0), F1265="10 x 2 1/2 S (Flat)", _xlfn.XLOOKUP(C1265, dd_accsrycalc!$A$2:$A$51, dd_accsrycalc!$C$2:$C$51, "",0), F1265="Tox6", _xlfn.XLOOKUP(C1265, dd_accsrycalc!$A$2:$A$51, dd_accsrycalc!$D$2:$D$51, "",0), F1265="Cover Cap", _xlfn.XLOOKUP(C1265, dd_accsrycalc!$A$2:$A$51, dd_accsrycalc!$E$2:$E$51, "",0), F1265="Drainage Cover", _xlfn.XLOOKUP(C1265, dd_accsrycalc!$A$2:$A$51, dd_accsrycalc!$F$2:$F$51, "",0),AND( F1265="Double Adhesive Tape", I1265="Roll-up Screen"), _xlfn.XLOOKUP(C1265, calc_rusacc!$C$15:$C$65, calc_rusacc!$AD$15:$AD$65, "",0),AND( F1265="Sealant", I1265="Roll-up Screen"), _xlfn.XLOOKUP(C1265, calc_rusacc!$C$15:$C$65, calc_rusacc!$AF$15:$AF$65, "",0),  AND( F1265="Main Chain", I1265="Accordion Screen"), _xlfn.XLOOKUP(C1265, calc_rusacc!$C$15:$C$65, calc_rusacc!$BF$15:$BF$65, "",0), AND( F1265="Sealant", I1265="Accordion Screen"), _xlfn.XLOOKUP(C1265, calc_rusacc!$C$15:$C$65, calc_rusacc!$BJ$15:$BJ$65, "",0),  F1265="Sealant", _xlfn.XLOOKUP(C1265, dd_accsrycalc!$A$2:$A$51, dd_accsrycalc!$G$2:$G$51, "",0),  F1265&lt;&gt;"",L1265*_xlfn.XLOOKUP(1, (SKUs!$C$2:$C$10001=G1265)*(SKUs!$K$2:$K$10001=I1265),SKUs!$E$2:$E$10001)), 0),"")</f>
        <v>0</v>
      </c>
      <c r="E1265" s="48" t="str">
        <f>_xlfn.XLOOKUP(F1265,dd_item!$B$2:$B$105,dd_item!$C$2:$C$105,"",0)</f>
        <v/>
      </c>
      <c r="F1265" s="48" cm="1">
        <f t="array" ref="F1265">IFERROR(_xlfn.UNIQUE(_xlfn._xlws.FILTER(SKUs!$J$2:$J$10001, (SKUs!$F$2:$F$10001&lt;&gt;"Cutting List") * (SKUs!$A$2:$A$10001=_xlfn.XLOOKUP(_xlfn.XLOOKUP(C1265,'Project Details'!$C$17:$C$66,'Project Details'!$E$17:$E$66,"",0), dd_design_raw!$A$2:$A$101,dd_design_raw!$C$2:$C$101,"",0)))), "")</f>
        <v>0</v>
      </c>
      <c r="G1265" s="16" cm="1">
        <f t="array" ref="G1265">IFERROR(_xlfn.XLOOKUP(1, (SKUs!$J$2:$J$10001=accsry_unmerged!F1265)*IF(H1265&lt;&gt;"",(SKUs!$L$2:$L$10001=accsry_unmerged!H1265),1)*(SKUs!$K$2:$K$10001=I1265),SKUs!$C$2:$C$10001),"")</f>
        <v>0</v>
      </c>
      <c r="H1265" s="16" cm="1">
        <f t="array" ref="H1265">IFERROR(_xlfn.XLOOKUP(1, (dd_accsryclr!$C$2:$C$1000=accsry_unmerged!F1265)*(dd_accsryclr!$B$2:$B$1000=accsry_unmerged!J1265),dd_accsryclr!$A$2:$A$1000),"")</f>
        <v>0</v>
      </c>
      <c r="I1265" s="16">
        <f>_xlfn.XLOOKUP(C1265,'Project Details'!$C$17:$C$66,'Project Details'!$E$17:$E$66,"",0)</f>
        <v>0</v>
      </c>
      <c r="J1265" s="16">
        <f>_xlfn.XLOOKUP(C1265,'Project Details'!$C$17:$C$66,'Project Details'!$H$17:$H$66,"",0)</f>
        <v>0</v>
      </c>
      <c r="K1265" s="16" t="str">
        <f>IF(AND(_xlfn.XLOOKUP(C1265,'Project Details'!$C$17:$C$66,'Project Details'!$L$17:$L$66,"",0)&gt;550, F1265="Spring-L27cm"),"",SUBSTITUTE(_xlfn.XLOOKUP(G1265,SKUs!$C$2:$C$10001,SKUs!$F$2:$F$10001,"",0), " Accessories",""))</f>
        <v/>
      </c>
      <c r="L1265" s="16">
        <f>_xlfn.XLOOKUP(C1265,'Project Details'!$C$17:$C$66,'Project Details'!$D$17:$D$66,"",0)</f>
        <v>0</v>
      </c>
      <c r="M1265" s="43"/>
    </row>
    <row r="1266" spans="1:13" x14ac:dyDescent="0.25">
      <c r="A1266" s="43"/>
      <c r="B1266" s="43"/>
      <c r="C1266" s="35">
        <f>C1265</f>
        <v>26</v>
      </c>
      <c r="D1266" s="35" t="str" cm="1">
        <f t="array" ref="D1266">IFERROR(ROUNDUP(_xlfn.IFS(F1266="Aluminum Track", _xlfn.XLOOKUP(C1266, dd_accsrycalc!$A$2:$A$51, dd_accsrycalc!$B$2:$B$51, "",0), F1266="10 x 2 1/2 S (Flat)", _xlfn.XLOOKUP(C1266, dd_accsrycalc!$A$2:$A$51, dd_accsrycalc!$C$2:$C$51, "",0), F1266="Tox6", _xlfn.XLOOKUP(C1266, dd_accsrycalc!$A$2:$A$51, dd_accsrycalc!$D$2:$D$51, "",0), F1266="Cover Cap", _xlfn.XLOOKUP(C1266, dd_accsrycalc!$A$2:$A$51, dd_accsrycalc!$E$2:$E$51, "",0), F1266="Drainage Cover", _xlfn.XLOOKUP(C1266, dd_accsrycalc!$A$2:$A$51, dd_accsrycalc!$F$2:$F$51, "",0),AND( F1266="Double Adhesive Tape", I1266="Roll-up Screen"), _xlfn.XLOOKUP(C1266, calc_rusacc!$C$15:$C$65, calc_rusacc!$AD$15:$AD$65, "",0),AND( F1266="Sealant", I1266="Roll-up Screen"), _xlfn.XLOOKUP(C1266, calc_rusacc!$C$15:$C$65, calc_rusacc!$AF$15:$AF$65, "",0),  AND( F1266="Main Chain", I1266="Accordion Screen"), _xlfn.XLOOKUP(C1266, calc_rusacc!$C$15:$C$65, calc_rusacc!$BF$15:$BF$65, "",0), AND( F1266="Sealant", I1266="Accordion Screen"), _xlfn.XLOOKUP(C1266, calc_rusacc!$C$15:$C$65, calc_rusacc!$BJ$15:$BJ$65, "",0),  F1266="Sealant", _xlfn.XLOOKUP(C1266, dd_accsrycalc!$A$2:$A$51, dd_accsrycalc!$G$2:$G$51, "",0),  F1266&lt;&gt;"",L1266*_xlfn.XLOOKUP(1, (SKUs!$C$2:$C$10001=G1266)*(SKUs!$K$2:$K$10001=I1266),SKUs!$E$2:$E$10001)), 0),"")</f>
        <v/>
      </c>
      <c r="E1266" s="35" t="str">
        <f>_xlfn.XLOOKUP(F1266,dd_item!$B$2:$B$105,dd_item!$C$2:$C$105,"",0)</f>
        <v/>
      </c>
      <c r="F1266" s="35"/>
      <c r="G1266" s="35" cm="1">
        <f t="array" ref="G1266">IFERROR(_xlfn.XLOOKUP(1, (SKUs!$J$2:$J$10001=accsry_unmerged!F1266)*IF(H1266&lt;&gt;"",(SKUs!$L$2:$L$10001=accsry_unmerged!H1266),1)*(SKUs!$K$2:$K$10001=I1266),SKUs!$C$2:$C$10001),"")</f>
        <v>0</v>
      </c>
      <c r="H1266" s="36" cm="1">
        <f t="array" ref="H1266">IFERROR(_xlfn.XLOOKUP(1, (dd_accsryclr!$C$2:$C$1000=accsry_unmerged!F1266)*(dd_accsryclr!$B$2:$B$1000=accsry_unmerged!J1266),dd_accsryclr!$A$2:$A$1000),"")</f>
        <v>0</v>
      </c>
      <c r="I1266" s="35">
        <f>_xlfn.XLOOKUP(C1266,'Project Details'!$C$17:$C$66,'Project Details'!$E$17:$E$66,"",0)</f>
        <v>0</v>
      </c>
      <c r="J1266" s="35">
        <f>_xlfn.XLOOKUP(C1266,'Project Details'!$C$17:$C$66,'Project Details'!$H$17:$H$66,"",0)</f>
        <v>0</v>
      </c>
      <c r="K1266" s="36" t="str">
        <f>IF(AND(_xlfn.XLOOKUP(C1266,'Project Details'!$C$17:$C$66,'Project Details'!$L$17:$L$66,"",0)&gt;550, F1266="Spring-L27cm"),"",SUBSTITUTE(_xlfn.XLOOKUP(G1266,SKUs!$C$2:$C$10001,SKUs!$F$2:$F$10001,"",0), " Accessories",""))</f>
        <v/>
      </c>
      <c r="L1266" s="36">
        <f>_xlfn.XLOOKUP(C1266,'Project Details'!$C$17:$C$66,'Project Details'!$D$17:$D$66,"",0)</f>
        <v>0</v>
      </c>
      <c r="M1266" s="43"/>
    </row>
    <row r="1267" spans="1:13" x14ac:dyDescent="0.25">
      <c r="A1267" s="43"/>
      <c r="B1267" s="43"/>
      <c r="C1267" s="16">
        <f t="shared" ref="C1267:C1313" si="24">C1266</f>
        <v>26</v>
      </c>
      <c r="D1267" s="16" t="str" cm="1">
        <f t="array" ref="D1267">IFERROR(ROUNDUP(_xlfn.IFS(F1267="Aluminum Track", _xlfn.XLOOKUP(C1267, dd_accsrycalc!$A$2:$A$51, dd_accsrycalc!$B$2:$B$51, "",0), F1267="10 x 2 1/2 S (Flat)", _xlfn.XLOOKUP(C1267, dd_accsrycalc!$A$2:$A$51, dd_accsrycalc!$C$2:$C$51, "",0), F1267="Tox6", _xlfn.XLOOKUP(C1267, dd_accsrycalc!$A$2:$A$51, dd_accsrycalc!$D$2:$D$51, "",0), F1267="Cover Cap", _xlfn.XLOOKUP(C1267, dd_accsrycalc!$A$2:$A$51, dd_accsrycalc!$E$2:$E$51, "",0), F1267="Drainage Cover", _xlfn.XLOOKUP(C1267, dd_accsrycalc!$A$2:$A$51, dd_accsrycalc!$F$2:$F$51, "",0),AND( F1267="Double Adhesive Tape", I1267="Roll-up Screen"), _xlfn.XLOOKUP(C1267, calc_rusacc!$C$15:$C$65, calc_rusacc!$AD$15:$AD$65, "",0),AND( F1267="Sealant", I1267="Roll-up Screen"), _xlfn.XLOOKUP(C1267, calc_rusacc!$C$15:$C$65, calc_rusacc!$AF$15:$AF$65, "",0),  AND( F1267="Main Chain", I1267="Accordion Screen"), _xlfn.XLOOKUP(C1267, calc_rusacc!$C$15:$C$65, calc_rusacc!$BF$15:$BF$65, "",0), AND( F1267="Sealant", I1267="Accordion Screen"), _xlfn.XLOOKUP(C1267, calc_rusacc!$C$15:$C$65, calc_rusacc!$BJ$15:$BJ$65, "",0),  F1267="Sealant", _xlfn.XLOOKUP(C1267, dd_accsrycalc!$A$2:$A$51, dd_accsrycalc!$G$2:$G$51, "",0),  F1267&lt;&gt;"",L1267*_xlfn.XLOOKUP(1, (SKUs!$C$2:$C$10001=G1267)*(SKUs!$K$2:$K$10001=I1267),SKUs!$E$2:$E$10001)), 0),"")</f>
        <v/>
      </c>
      <c r="E1267" s="16" t="str">
        <f>_xlfn.XLOOKUP(F1267,dd_item!$B$2:$B$105,dd_item!$C$2:$C$105,"",0)</f>
        <v/>
      </c>
      <c r="F1267" s="16"/>
      <c r="G1267" s="16" cm="1">
        <f t="array" ref="G1267">IFERROR(_xlfn.XLOOKUP(1, (SKUs!$J$2:$J$10001=accsry_unmerged!F1267)*IF(H1267&lt;&gt;"",(SKUs!$L$2:$L$10001=accsry_unmerged!H1267),1)*(SKUs!$K$2:$K$10001=I1267),SKUs!$C$2:$C$10001),"")</f>
        <v>0</v>
      </c>
      <c r="H1267" s="33" cm="1">
        <f t="array" ref="H1267">IFERROR(_xlfn.XLOOKUP(1, (dd_accsryclr!$C$2:$C$1000=accsry_unmerged!F1267)*(dd_accsryclr!$B$2:$B$1000=accsry_unmerged!J1267),dd_accsryclr!$A$2:$A$1000),"")</f>
        <v>0</v>
      </c>
      <c r="I1267" s="16">
        <f>_xlfn.XLOOKUP(C1267,'Project Details'!$C$17:$C$66,'Project Details'!$E$17:$E$66,"",0)</f>
        <v>0</v>
      </c>
      <c r="J1267" s="16">
        <f>_xlfn.XLOOKUP(C1267,'Project Details'!$C$17:$C$66,'Project Details'!$H$17:$H$66,"",0)</f>
        <v>0</v>
      </c>
      <c r="K1267" s="33" t="str">
        <f>IF(AND(_xlfn.XLOOKUP(C1267,'Project Details'!$C$17:$C$66,'Project Details'!$L$17:$L$66,"",0)&gt;550, F1267="Spring-L27cm"),"",SUBSTITUTE(_xlfn.XLOOKUP(G1267,SKUs!$C$2:$C$10001,SKUs!$F$2:$F$10001,"",0), " Accessories",""))</f>
        <v/>
      </c>
      <c r="L1267" s="33">
        <f>_xlfn.XLOOKUP(C1267,'Project Details'!$C$17:$C$66,'Project Details'!$D$17:$D$66,"",0)</f>
        <v>0</v>
      </c>
      <c r="M1267" s="43"/>
    </row>
    <row r="1268" spans="1:13" x14ac:dyDescent="0.25">
      <c r="A1268" s="43"/>
      <c r="B1268" s="43"/>
      <c r="C1268" s="35">
        <f t="shared" si="24"/>
        <v>26</v>
      </c>
      <c r="D1268" s="35" t="str" cm="1">
        <f t="array" ref="D1268">IFERROR(ROUNDUP(_xlfn.IFS(F1268="Aluminum Track", _xlfn.XLOOKUP(C1268, dd_accsrycalc!$A$2:$A$51, dd_accsrycalc!$B$2:$B$51, "",0), F1268="10 x 2 1/2 S (Flat)", _xlfn.XLOOKUP(C1268, dd_accsrycalc!$A$2:$A$51, dd_accsrycalc!$C$2:$C$51, "",0), F1268="Tox6", _xlfn.XLOOKUP(C1268, dd_accsrycalc!$A$2:$A$51, dd_accsrycalc!$D$2:$D$51, "",0), F1268="Cover Cap", _xlfn.XLOOKUP(C1268, dd_accsrycalc!$A$2:$A$51, dd_accsrycalc!$E$2:$E$51, "",0), F1268="Drainage Cover", _xlfn.XLOOKUP(C1268, dd_accsrycalc!$A$2:$A$51, dd_accsrycalc!$F$2:$F$51, "",0),AND( F1268="Double Adhesive Tape", I1268="Roll-up Screen"), _xlfn.XLOOKUP(C1268, calc_rusacc!$C$15:$C$65, calc_rusacc!$AD$15:$AD$65, "",0),AND( F1268="Sealant", I1268="Roll-up Screen"), _xlfn.XLOOKUP(C1268, calc_rusacc!$C$15:$C$65, calc_rusacc!$AF$15:$AF$65, "",0),  AND( F1268="Main Chain", I1268="Accordion Screen"), _xlfn.XLOOKUP(C1268, calc_rusacc!$C$15:$C$65, calc_rusacc!$BF$15:$BF$65, "",0), AND( F1268="Sealant", I1268="Accordion Screen"), _xlfn.XLOOKUP(C1268, calc_rusacc!$C$15:$C$65, calc_rusacc!$BJ$15:$BJ$65, "",0),  F1268="Sealant", _xlfn.XLOOKUP(C1268, dd_accsrycalc!$A$2:$A$51, dd_accsrycalc!$G$2:$G$51, "",0),  F1268&lt;&gt;"",L1268*_xlfn.XLOOKUP(1, (SKUs!$C$2:$C$10001=G1268)*(SKUs!$K$2:$K$10001=I1268),SKUs!$E$2:$E$10001)), 0),"")</f>
        <v/>
      </c>
      <c r="E1268" s="35" t="str">
        <f>_xlfn.XLOOKUP(F1268,dd_item!$B$2:$B$105,dd_item!$C$2:$C$105,"",0)</f>
        <v/>
      </c>
      <c r="F1268" s="35"/>
      <c r="G1268" s="35" cm="1">
        <f t="array" ref="G1268">IFERROR(_xlfn.XLOOKUP(1, (SKUs!$J$2:$J$10001=accsry_unmerged!F1268)*IF(H1268&lt;&gt;"",(SKUs!$L$2:$L$10001=accsry_unmerged!H1268),1)*(SKUs!$K$2:$K$10001=I1268),SKUs!$C$2:$C$10001),"")</f>
        <v>0</v>
      </c>
      <c r="H1268" s="36" cm="1">
        <f t="array" ref="H1268">IFERROR(_xlfn.XLOOKUP(1, (dd_accsryclr!$C$2:$C$1000=accsry_unmerged!F1268)*(dd_accsryclr!$B$2:$B$1000=accsry_unmerged!J1268),dd_accsryclr!$A$2:$A$1000),"")</f>
        <v>0</v>
      </c>
      <c r="I1268" s="35">
        <f>_xlfn.XLOOKUP(C1268,'Project Details'!$C$17:$C$66,'Project Details'!$E$17:$E$66,"",0)</f>
        <v>0</v>
      </c>
      <c r="J1268" s="35">
        <f>_xlfn.XLOOKUP(C1268,'Project Details'!$C$17:$C$66,'Project Details'!$H$17:$H$66,"",0)</f>
        <v>0</v>
      </c>
      <c r="K1268" s="36" t="str">
        <f>IF(AND(_xlfn.XLOOKUP(C1268,'Project Details'!$C$17:$C$66,'Project Details'!$L$17:$L$66,"",0)&gt;550, F1268="Spring-L27cm"),"",SUBSTITUTE(_xlfn.XLOOKUP(G1268,SKUs!$C$2:$C$10001,SKUs!$F$2:$F$10001,"",0), " Accessories",""))</f>
        <v/>
      </c>
      <c r="L1268" s="36">
        <f>_xlfn.XLOOKUP(C1268,'Project Details'!$C$17:$C$66,'Project Details'!$D$17:$D$66,"",0)</f>
        <v>0</v>
      </c>
      <c r="M1268" s="43"/>
    </row>
    <row r="1269" spans="1:13" x14ac:dyDescent="0.25">
      <c r="A1269" s="43"/>
      <c r="B1269" s="43"/>
      <c r="C1269" s="16">
        <f t="shared" si="24"/>
        <v>26</v>
      </c>
      <c r="D1269" s="16" t="str" cm="1">
        <f t="array" ref="D1269">IFERROR(ROUNDUP(_xlfn.IFS(F1269="Aluminum Track", _xlfn.XLOOKUP(C1269, dd_accsrycalc!$A$2:$A$51, dd_accsrycalc!$B$2:$B$51, "",0), F1269="10 x 2 1/2 S (Flat)", _xlfn.XLOOKUP(C1269, dd_accsrycalc!$A$2:$A$51, dd_accsrycalc!$C$2:$C$51, "",0), F1269="Tox6", _xlfn.XLOOKUP(C1269, dd_accsrycalc!$A$2:$A$51, dd_accsrycalc!$D$2:$D$51, "",0), F1269="Cover Cap", _xlfn.XLOOKUP(C1269, dd_accsrycalc!$A$2:$A$51, dd_accsrycalc!$E$2:$E$51, "",0), F1269="Drainage Cover", _xlfn.XLOOKUP(C1269, dd_accsrycalc!$A$2:$A$51, dd_accsrycalc!$F$2:$F$51, "",0),AND( F1269="Double Adhesive Tape", I1269="Roll-up Screen"), _xlfn.XLOOKUP(C1269, calc_rusacc!$C$15:$C$65, calc_rusacc!$AD$15:$AD$65, "",0),AND( F1269="Sealant", I1269="Roll-up Screen"), _xlfn.XLOOKUP(C1269, calc_rusacc!$C$15:$C$65, calc_rusacc!$AF$15:$AF$65, "",0),  AND( F1269="Main Chain", I1269="Accordion Screen"), _xlfn.XLOOKUP(C1269, calc_rusacc!$C$15:$C$65, calc_rusacc!$BF$15:$BF$65, "",0), AND( F1269="Sealant", I1269="Accordion Screen"), _xlfn.XLOOKUP(C1269, calc_rusacc!$C$15:$C$65, calc_rusacc!$BJ$15:$BJ$65, "",0),  F1269="Sealant", _xlfn.XLOOKUP(C1269, dd_accsrycalc!$A$2:$A$51, dd_accsrycalc!$G$2:$G$51, "",0),  F1269&lt;&gt;"",L1269*_xlfn.XLOOKUP(1, (SKUs!$C$2:$C$10001=G1269)*(SKUs!$K$2:$K$10001=I1269),SKUs!$E$2:$E$10001)), 0),"")</f>
        <v/>
      </c>
      <c r="E1269" s="16" t="str">
        <f>_xlfn.XLOOKUP(F1269,dd_item!$B$2:$B$105,dd_item!$C$2:$C$105,"",0)</f>
        <v/>
      </c>
      <c r="F1269" s="16"/>
      <c r="G1269" s="16" cm="1">
        <f t="array" ref="G1269">IFERROR(_xlfn.XLOOKUP(1, (SKUs!$J$2:$J$10001=accsry_unmerged!F1269)*IF(H1269&lt;&gt;"",(SKUs!$L$2:$L$10001=accsry_unmerged!H1269),1)*(SKUs!$K$2:$K$10001=I1269),SKUs!$C$2:$C$10001),"")</f>
        <v>0</v>
      </c>
      <c r="H1269" s="33" cm="1">
        <f t="array" ref="H1269">IFERROR(_xlfn.XLOOKUP(1, (dd_accsryclr!$C$2:$C$1000=accsry_unmerged!F1269)*(dd_accsryclr!$B$2:$B$1000=accsry_unmerged!J1269),dd_accsryclr!$A$2:$A$1000),"")</f>
        <v>0</v>
      </c>
      <c r="I1269" s="16">
        <f>_xlfn.XLOOKUP(C1269,'Project Details'!$C$17:$C$66,'Project Details'!$E$17:$E$66,"",0)</f>
        <v>0</v>
      </c>
      <c r="J1269" s="16">
        <f>_xlfn.XLOOKUP(C1269,'Project Details'!$C$17:$C$66,'Project Details'!$H$17:$H$66,"",0)</f>
        <v>0</v>
      </c>
      <c r="K1269" s="33" t="str">
        <f>IF(AND(_xlfn.XLOOKUP(C1269,'Project Details'!$C$17:$C$66,'Project Details'!$L$17:$L$66,"",0)&gt;550, F1269="Spring-L27cm"),"",SUBSTITUTE(_xlfn.XLOOKUP(G1269,SKUs!$C$2:$C$10001,SKUs!$F$2:$F$10001,"",0), " Accessories",""))</f>
        <v/>
      </c>
      <c r="L1269" s="33">
        <f>_xlfn.XLOOKUP(C1269,'Project Details'!$C$17:$C$66,'Project Details'!$D$17:$D$66,"",0)</f>
        <v>0</v>
      </c>
      <c r="M1269" s="43"/>
    </row>
    <row r="1270" spans="1:13" x14ac:dyDescent="0.25">
      <c r="A1270" s="43"/>
      <c r="B1270" s="43"/>
      <c r="C1270" s="35">
        <f t="shared" si="24"/>
        <v>26</v>
      </c>
      <c r="D1270" s="35" t="str" cm="1">
        <f t="array" ref="D1270">IFERROR(ROUNDUP(_xlfn.IFS(F1270="Aluminum Track", _xlfn.XLOOKUP(C1270, dd_accsrycalc!$A$2:$A$51, dd_accsrycalc!$B$2:$B$51, "",0), F1270="10 x 2 1/2 S (Flat)", _xlfn.XLOOKUP(C1270, dd_accsrycalc!$A$2:$A$51, dd_accsrycalc!$C$2:$C$51, "",0), F1270="Tox6", _xlfn.XLOOKUP(C1270, dd_accsrycalc!$A$2:$A$51, dd_accsrycalc!$D$2:$D$51, "",0), F1270="Cover Cap", _xlfn.XLOOKUP(C1270, dd_accsrycalc!$A$2:$A$51, dd_accsrycalc!$E$2:$E$51, "",0), F1270="Drainage Cover", _xlfn.XLOOKUP(C1270, dd_accsrycalc!$A$2:$A$51, dd_accsrycalc!$F$2:$F$51, "",0),AND( F1270="Double Adhesive Tape", I1270="Roll-up Screen"), _xlfn.XLOOKUP(C1270, calc_rusacc!$C$15:$C$65, calc_rusacc!$AD$15:$AD$65, "",0),AND( F1270="Sealant", I1270="Roll-up Screen"), _xlfn.XLOOKUP(C1270, calc_rusacc!$C$15:$C$65, calc_rusacc!$AF$15:$AF$65, "",0),  AND( F1270="Main Chain", I1270="Accordion Screen"), _xlfn.XLOOKUP(C1270, calc_rusacc!$C$15:$C$65, calc_rusacc!$BF$15:$BF$65, "",0), AND( F1270="Sealant", I1270="Accordion Screen"), _xlfn.XLOOKUP(C1270, calc_rusacc!$C$15:$C$65, calc_rusacc!$BJ$15:$BJ$65, "",0),  F1270="Sealant", _xlfn.XLOOKUP(C1270, dd_accsrycalc!$A$2:$A$51, dd_accsrycalc!$G$2:$G$51, "",0),  F1270&lt;&gt;"",L1270*_xlfn.XLOOKUP(1, (SKUs!$C$2:$C$10001=G1270)*(SKUs!$K$2:$K$10001=I1270),SKUs!$E$2:$E$10001)), 0),"")</f>
        <v/>
      </c>
      <c r="E1270" s="35" t="str">
        <f>_xlfn.XLOOKUP(F1270,dd_item!$B$2:$B$105,dd_item!$C$2:$C$105,"",0)</f>
        <v/>
      </c>
      <c r="F1270" s="35"/>
      <c r="G1270" s="35" cm="1">
        <f t="array" ref="G1270">IFERROR(_xlfn.XLOOKUP(1, (SKUs!$J$2:$J$10001=accsry_unmerged!F1270)*IF(H1270&lt;&gt;"",(SKUs!$L$2:$L$10001=accsry_unmerged!H1270),1)*(SKUs!$K$2:$K$10001=I1270),SKUs!$C$2:$C$10001),"")</f>
        <v>0</v>
      </c>
      <c r="H1270" s="36" cm="1">
        <f t="array" ref="H1270">IFERROR(_xlfn.XLOOKUP(1, (dd_accsryclr!$C$2:$C$1000=accsry_unmerged!F1270)*(dd_accsryclr!$B$2:$B$1000=accsry_unmerged!J1270),dd_accsryclr!$A$2:$A$1000),"")</f>
        <v>0</v>
      </c>
      <c r="I1270" s="35">
        <f>_xlfn.XLOOKUP(C1270,'Project Details'!$C$17:$C$66,'Project Details'!$E$17:$E$66,"",0)</f>
        <v>0</v>
      </c>
      <c r="J1270" s="35">
        <f>_xlfn.XLOOKUP(C1270,'Project Details'!$C$17:$C$66,'Project Details'!$H$17:$H$66,"",0)</f>
        <v>0</v>
      </c>
      <c r="K1270" s="36" t="str">
        <f>IF(AND(_xlfn.XLOOKUP(C1270,'Project Details'!$C$17:$C$66,'Project Details'!$L$17:$L$66,"",0)&gt;550, F1270="Spring-L27cm"),"",SUBSTITUTE(_xlfn.XLOOKUP(G1270,SKUs!$C$2:$C$10001,SKUs!$F$2:$F$10001,"",0), " Accessories",""))</f>
        <v/>
      </c>
      <c r="L1270" s="36">
        <f>_xlfn.XLOOKUP(C1270,'Project Details'!$C$17:$C$66,'Project Details'!$D$17:$D$66,"",0)</f>
        <v>0</v>
      </c>
      <c r="M1270" s="43"/>
    </row>
    <row r="1271" spans="1:13" x14ac:dyDescent="0.25">
      <c r="A1271" s="43"/>
      <c r="B1271" s="43"/>
      <c r="C1271" s="16">
        <f t="shared" si="24"/>
        <v>26</v>
      </c>
      <c r="D1271" s="16" t="str" cm="1">
        <f t="array" ref="D1271">IFERROR(ROUNDUP(_xlfn.IFS(F1271="Aluminum Track", _xlfn.XLOOKUP(C1271, dd_accsrycalc!$A$2:$A$51, dd_accsrycalc!$B$2:$B$51, "",0), F1271="10 x 2 1/2 S (Flat)", _xlfn.XLOOKUP(C1271, dd_accsrycalc!$A$2:$A$51, dd_accsrycalc!$C$2:$C$51, "",0), F1271="Tox6", _xlfn.XLOOKUP(C1271, dd_accsrycalc!$A$2:$A$51, dd_accsrycalc!$D$2:$D$51, "",0), F1271="Cover Cap", _xlfn.XLOOKUP(C1271, dd_accsrycalc!$A$2:$A$51, dd_accsrycalc!$E$2:$E$51, "",0), F1271="Drainage Cover", _xlfn.XLOOKUP(C1271, dd_accsrycalc!$A$2:$A$51, dd_accsrycalc!$F$2:$F$51, "",0),AND( F1271="Double Adhesive Tape", I1271="Roll-up Screen"), _xlfn.XLOOKUP(C1271, calc_rusacc!$C$15:$C$65, calc_rusacc!$AD$15:$AD$65, "",0),AND( F1271="Sealant", I1271="Roll-up Screen"), _xlfn.XLOOKUP(C1271, calc_rusacc!$C$15:$C$65, calc_rusacc!$AF$15:$AF$65, "",0),  AND( F1271="Main Chain", I1271="Accordion Screen"), _xlfn.XLOOKUP(C1271, calc_rusacc!$C$15:$C$65, calc_rusacc!$BF$15:$BF$65, "",0), AND( F1271="Sealant", I1271="Accordion Screen"), _xlfn.XLOOKUP(C1271, calc_rusacc!$C$15:$C$65, calc_rusacc!$BJ$15:$BJ$65, "",0),  F1271="Sealant", _xlfn.XLOOKUP(C1271, dd_accsrycalc!$A$2:$A$51, dd_accsrycalc!$G$2:$G$51, "",0),  F1271&lt;&gt;"",L1271*_xlfn.XLOOKUP(1, (SKUs!$C$2:$C$10001=G1271)*(SKUs!$K$2:$K$10001=I1271),SKUs!$E$2:$E$10001)), 0),"")</f>
        <v/>
      </c>
      <c r="E1271" s="16" t="str">
        <f>_xlfn.XLOOKUP(F1271,dd_item!$B$2:$B$105,dd_item!$C$2:$C$105,"",0)</f>
        <v/>
      </c>
      <c r="F1271" s="16"/>
      <c r="G1271" s="16" cm="1">
        <f t="array" ref="G1271">IFERROR(_xlfn.XLOOKUP(1, (SKUs!$J$2:$J$10001=accsry_unmerged!F1271)*IF(H1271&lt;&gt;"",(SKUs!$L$2:$L$10001=accsry_unmerged!H1271),1)*(SKUs!$K$2:$K$10001=I1271),SKUs!$C$2:$C$10001),"")</f>
        <v>0</v>
      </c>
      <c r="H1271" s="33" cm="1">
        <f t="array" ref="H1271">IFERROR(_xlfn.XLOOKUP(1, (dd_accsryclr!$C$2:$C$1000=accsry_unmerged!F1271)*(dd_accsryclr!$B$2:$B$1000=accsry_unmerged!J1271),dd_accsryclr!$A$2:$A$1000),"")</f>
        <v>0</v>
      </c>
      <c r="I1271" s="16">
        <f>_xlfn.XLOOKUP(C1271,'Project Details'!$C$17:$C$66,'Project Details'!$E$17:$E$66,"",0)</f>
        <v>0</v>
      </c>
      <c r="J1271" s="16">
        <f>_xlfn.XLOOKUP(C1271,'Project Details'!$C$17:$C$66,'Project Details'!$H$17:$H$66,"",0)</f>
        <v>0</v>
      </c>
      <c r="K1271" s="33" t="str">
        <f>IF(AND(_xlfn.XLOOKUP(C1271,'Project Details'!$C$17:$C$66,'Project Details'!$L$17:$L$66,"",0)&gt;550, F1271="Spring-L27cm"),"",SUBSTITUTE(_xlfn.XLOOKUP(G1271,SKUs!$C$2:$C$10001,SKUs!$F$2:$F$10001,"",0), " Accessories",""))</f>
        <v/>
      </c>
      <c r="L1271" s="33">
        <f>_xlfn.XLOOKUP(C1271,'Project Details'!$C$17:$C$66,'Project Details'!$D$17:$D$66,"",0)</f>
        <v>0</v>
      </c>
      <c r="M1271" s="43"/>
    </row>
    <row r="1272" spans="1:13" x14ac:dyDescent="0.25">
      <c r="A1272" s="43"/>
      <c r="B1272" s="43"/>
      <c r="C1272" s="35">
        <f t="shared" si="24"/>
        <v>26</v>
      </c>
      <c r="D1272" s="35" t="str" cm="1">
        <f t="array" ref="D1272">IFERROR(ROUNDUP(_xlfn.IFS(F1272="Aluminum Track", _xlfn.XLOOKUP(C1272, dd_accsrycalc!$A$2:$A$51, dd_accsrycalc!$B$2:$B$51, "",0), F1272="10 x 2 1/2 S (Flat)", _xlfn.XLOOKUP(C1272, dd_accsrycalc!$A$2:$A$51, dd_accsrycalc!$C$2:$C$51, "",0), F1272="Tox6", _xlfn.XLOOKUP(C1272, dd_accsrycalc!$A$2:$A$51, dd_accsrycalc!$D$2:$D$51, "",0), F1272="Cover Cap", _xlfn.XLOOKUP(C1272, dd_accsrycalc!$A$2:$A$51, dd_accsrycalc!$E$2:$E$51, "",0), F1272="Drainage Cover", _xlfn.XLOOKUP(C1272, dd_accsrycalc!$A$2:$A$51, dd_accsrycalc!$F$2:$F$51, "",0),AND( F1272="Double Adhesive Tape", I1272="Roll-up Screen"), _xlfn.XLOOKUP(C1272, calc_rusacc!$C$15:$C$65, calc_rusacc!$AD$15:$AD$65, "",0),AND( F1272="Sealant", I1272="Roll-up Screen"), _xlfn.XLOOKUP(C1272, calc_rusacc!$C$15:$C$65, calc_rusacc!$AF$15:$AF$65, "",0),  AND( F1272="Main Chain", I1272="Accordion Screen"), _xlfn.XLOOKUP(C1272, calc_rusacc!$C$15:$C$65, calc_rusacc!$BF$15:$BF$65, "",0), AND( F1272="Sealant", I1272="Accordion Screen"), _xlfn.XLOOKUP(C1272, calc_rusacc!$C$15:$C$65, calc_rusacc!$BJ$15:$BJ$65, "",0),  F1272="Sealant", _xlfn.XLOOKUP(C1272, dd_accsrycalc!$A$2:$A$51, dd_accsrycalc!$G$2:$G$51, "",0),  F1272&lt;&gt;"",L1272*_xlfn.XLOOKUP(1, (SKUs!$C$2:$C$10001=G1272)*(SKUs!$K$2:$K$10001=I1272),SKUs!$E$2:$E$10001)), 0),"")</f>
        <v/>
      </c>
      <c r="E1272" s="35" t="str">
        <f>_xlfn.XLOOKUP(F1272,dd_item!$B$2:$B$105,dd_item!$C$2:$C$105,"",0)</f>
        <v/>
      </c>
      <c r="F1272" s="35"/>
      <c r="G1272" s="35" cm="1">
        <f t="array" ref="G1272">IFERROR(_xlfn.XLOOKUP(1, (SKUs!$J$2:$J$10001=accsry_unmerged!F1272)*IF(H1272&lt;&gt;"",(SKUs!$L$2:$L$10001=accsry_unmerged!H1272),1)*(SKUs!$K$2:$K$10001=I1272),SKUs!$C$2:$C$10001),"")</f>
        <v>0</v>
      </c>
      <c r="H1272" s="36" cm="1">
        <f t="array" ref="H1272">IFERROR(_xlfn.XLOOKUP(1, (dd_accsryclr!$C$2:$C$1000=accsry_unmerged!F1272)*(dd_accsryclr!$B$2:$B$1000=accsry_unmerged!J1272),dd_accsryclr!$A$2:$A$1000),"")</f>
        <v>0</v>
      </c>
      <c r="I1272" s="35">
        <f>_xlfn.XLOOKUP(C1272,'Project Details'!$C$17:$C$66,'Project Details'!$E$17:$E$66,"",0)</f>
        <v>0</v>
      </c>
      <c r="J1272" s="35">
        <f>_xlfn.XLOOKUP(C1272,'Project Details'!$C$17:$C$66,'Project Details'!$H$17:$H$66,"",0)</f>
        <v>0</v>
      </c>
      <c r="K1272" s="36" t="str">
        <f>IF(AND(_xlfn.XLOOKUP(C1272,'Project Details'!$C$17:$C$66,'Project Details'!$L$17:$L$66,"",0)&gt;550, F1272="Spring-L27cm"),"",SUBSTITUTE(_xlfn.XLOOKUP(G1272,SKUs!$C$2:$C$10001,SKUs!$F$2:$F$10001,"",0), " Accessories",""))</f>
        <v/>
      </c>
      <c r="L1272" s="36">
        <f>_xlfn.XLOOKUP(C1272,'Project Details'!$C$17:$C$66,'Project Details'!$D$17:$D$66,"",0)</f>
        <v>0</v>
      </c>
      <c r="M1272" s="43"/>
    </row>
    <row r="1273" spans="1:13" x14ac:dyDescent="0.25">
      <c r="A1273" s="43"/>
      <c r="B1273" s="43"/>
      <c r="C1273" s="16">
        <f t="shared" si="24"/>
        <v>26</v>
      </c>
      <c r="D1273" s="16" t="str" cm="1">
        <f t="array" ref="D1273">IFERROR(ROUNDUP(_xlfn.IFS(F1273="Aluminum Track", _xlfn.XLOOKUP(C1273, dd_accsrycalc!$A$2:$A$51, dd_accsrycalc!$B$2:$B$51, "",0), F1273="10 x 2 1/2 S (Flat)", _xlfn.XLOOKUP(C1273, dd_accsrycalc!$A$2:$A$51, dd_accsrycalc!$C$2:$C$51, "",0), F1273="Tox6", _xlfn.XLOOKUP(C1273, dd_accsrycalc!$A$2:$A$51, dd_accsrycalc!$D$2:$D$51, "",0), F1273="Cover Cap", _xlfn.XLOOKUP(C1273, dd_accsrycalc!$A$2:$A$51, dd_accsrycalc!$E$2:$E$51, "",0), F1273="Drainage Cover", _xlfn.XLOOKUP(C1273, dd_accsrycalc!$A$2:$A$51, dd_accsrycalc!$F$2:$F$51, "",0),AND( F1273="Double Adhesive Tape", I1273="Roll-up Screen"), _xlfn.XLOOKUP(C1273, calc_rusacc!$C$15:$C$65, calc_rusacc!$AD$15:$AD$65, "",0),AND( F1273="Sealant", I1273="Roll-up Screen"), _xlfn.XLOOKUP(C1273, calc_rusacc!$C$15:$C$65, calc_rusacc!$AF$15:$AF$65, "",0),  AND( F1273="Main Chain", I1273="Accordion Screen"), _xlfn.XLOOKUP(C1273, calc_rusacc!$C$15:$C$65, calc_rusacc!$BF$15:$BF$65, "",0), AND( F1273="Sealant", I1273="Accordion Screen"), _xlfn.XLOOKUP(C1273, calc_rusacc!$C$15:$C$65, calc_rusacc!$BJ$15:$BJ$65, "",0),  F1273="Sealant", _xlfn.XLOOKUP(C1273, dd_accsrycalc!$A$2:$A$51, dd_accsrycalc!$G$2:$G$51, "",0),  F1273&lt;&gt;"",L1273*_xlfn.XLOOKUP(1, (SKUs!$C$2:$C$10001=G1273)*(SKUs!$K$2:$K$10001=I1273),SKUs!$E$2:$E$10001)), 0),"")</f>
        <v/>
      </c>
      <c r="E1273" s="16" t="str">
        <f>_xlfn.XLOOKUP(F1273,dd_item!$B$2:$B$105,dd_item!$C$2:$C$105,"",0)</f>
        <v/>
      </c>
      <c r="F1273" s="16"/>
      <c r="G1273" s="16" cm="1">
        <f t="array" ref="G1273">IFERROR(_xlfn.XLOOKUP(1, (SKUs!$J$2:$J$10001=accsry_unmerged!F1273)*IF(H1273&lt;&gt;"",(SKUs!$L$2:$L$10001=accsry_unmerged!H1273),1)*(SKUs!$K$2:$K$10001=I1273),SKUs!$C$2:$C$10001),"")</f>
        <v>0</v>
      </c>
      <c r="H1273" s="33" cm="1">
        <f t="array" ref="H1273">IFERROR(_xlfn.XLOOKUP(1, (dd_accsryclr!$C$2:$C$1000=accsry_unmerged!F1273)*(dd_accsryclr!$B$2:$B$1000=accsry_unmerged!J1273),dd_accsryclr!$A$2:$A$1000),"")</f>
        <v>0</v>
      </c>
      <c r="I1273" s="16">
        <f>_xlfn.XLOOKUP(C1273,'Project Details'!$C$17:$C$66,'Project Details'!$E$17:$E$66,"",0)</f>
        <v>0</v>
      </c>
      <c r="J1273" s="16">
        <f>_xlfn.XLOOKUP(C1273,'Project Details'!$C$17:$C$66,'Project Details'!$H$17:$H$66,"",0)</f>
        <v>0</v>
      </c>
      <c r="K1273" s="33" t="str">
        <f>IF(AND(_xlfn.XLOOKUP(C1273,'Project Details'!$C$17:$C$66,'Project Details'!$L$17:$L$66,"",0)&gt;550, F1273="Spring-L27cm"),"",SUBSTITUTE(_xlfn.XLOOKUP(G1273,SKUs!$C$2:$C$10001,SKUs!$F$2:$F$10001,"",0), " Accessories",""))</f>
        <v/>
      </c>
      <c r="L1273" s="33">
        <f>_xlfn.XLOOKUP(C1273,'Project Details'!$C$17:$C$66,'Project Details'!$D$17:$D$66,"",0)</f>
        <v>0</v>
      </c>
      <c r="M1273" s="43"/>
    </row>
    <row r="1274" spans="1:13" x14ac:dyDescent="0.25">
      <c r="A1274" s="43"/>
      <c r="B1274" s="43"/>
      <c r="C1274" s="35">
        <f t="shared" si="24"/>
        <v>26</v>
      </c>
      <c r="D1274" s="35" t="str" cm="1">
        <f t="array" ref="D1274">IFERROR(ROUNDUP(_xlfn.IFS(F1274="Aluminum Track", _xlfn.XLOOKUP(C1274, dd_accsrycalc!$A$2:$A$51, dd_accsrycalc!$B$2:$B$51, "",0), F1274="10 x 2 1/2 S (Flat)", _xlfn.XLOOKUP(C1274, dd_accsrycalc!$A$2:$A$51, dd_accsrycalc!$C$2:$C$51, "",0), F1274="Tox6", _xlfn.XLOOKUP(C1274, dd_accsrycalc!$A$2:$A$51, dd_accsrycalc!$D$2:$D$51, "",0), F1274="Cover Cap", _xlfn.XLOOKUP(C1274, dd_accsrycalc!$A$2:$A$51, dd_accsrycalc!$E$2:$E$51, "",0), F1274="Drainage Cover", _xlfn.XLOOKUP(C1274, dd_accsrycalc!$A$2:$A$51, dd_accsrycalc!$F$2:$F$51, "",0),AND( F1274="Double Adhesive Tape", I1274="Roll-up Screen"), _xlfn.XLOOKUP(C1274, calc_rusacc!$C$15:$C$65, calc_rusacc!$AD$15:$AD$65, "",0),AND( F1274="Sealant", I1274="Roll-up Screen"), _xlfn.XLOOKUP(C1274, calc_rusacc!$C$15:$C$65, calc_rusacc!$AF$15:$AF$65, "",0),  AND( F1274="Main Chain", I1274="Accordion Screen"), _xlfn.XLOOKUP(C1274, calc_rusacc!$C$15:$C$65, calc_rusacc!$BF$15:$BF$65, "",0), AND( F1274="Sealant", I1274="Accordion Screen"), _xlfn.XLOOKUP(C1274, calc_rusacc!$C$15:$C$65, calc_rusacc!$BJ$15:$BJ$65, "",0),  F1274="Sealant", _xlfn.XLOOKUP(C1274, dd_accsrycalc!$A$2:$A$51, dd_accsrycalc!$G$2:$G$51, "",0),  F1274&lt;&gt;"",L1274*_xlfn.XLOOKUP(1, (SKUs!$C$2:$C$10001=G1274)*(SKUs!$K$2:$K$10001=I1274),SKUs!$E$2:$E$10001)), 0),"")</f>
        <v/>
      </c>
      <c r="E1274" s="35" t="str">
        <f>_xlfn.XLOOKUP(F1274,dd_item!$B$2:$B$105,dd_item!$C$2:$C$105,"",0)</f>
        <v/>
      </c>
      <c r="F1274" s="35"/>
      <c r="G1274" s="35" cm="1">
        <f t="array" ref="G1274">IFERROR(_xlfn.XLOOKUP(1, (SKUs!$J$2:$J$10001=accsry_unmerged!F1274)*IF(H1274&lt;&gt;"",(SKUs!$L$2:$L$10001=accsry_unmerged!H1274),1)*(SKUs!$K$2:$K$10001=I1274),SKUs!$C$2:$C$10001),"")</f>
        <v>0</v>
      </c>
      <c r="H1274" s="36" cm="1">
        <f t="array" ref="H1274">IFERROR(_xlfn.XLOOKUP(1, (dd_accsryclr!$C$2:$C$1000=accsry_unmerged!F1274)*(dd_accsryclr!$B$2:$B$1000=accsry_unmerged!J1274),dd_accsryclr!$A$2:$A$1000),"")</f>
        <v>0</v>
      </c>
      <c r="I1274" s="35">
        <f>_xlfn.XLOOKUP(C1274,'Project Details'!$C$17:$C$66,'Project Details'!$E$17:$E$66,"",0)</f>
        <v>0</v>
      </c>
      <c r="J1274" s="35">
        <f>_xlfn.XLOOKUP(C1274,'Project Details'!$C$17:$C$66,'Project Details'!$H$17:$H$66,"",0)</f>
        <v>0</v>
      </c>
      <c r="K1274" s="36" t="str">
        <f>IF(AND(_xlfn.XLOOKUP(C1274,'Project Details'!$C$17:$C$66,'Project Details'!$L$17:$L$66,"",0)&gt;550, F1274="Spring-L27cm"),"",SUBSTITUTE(_xlfn.XLOOKUP(G1274,SKUs!$C$2:$C$10001,SKUs!$F$2:$F$10001,"",0), " Accessories",""))</f>
        <v/>
      </c>
      <c r="L1274" s="36">
        <f>_xlfn.XLOOKUP(C1274,'Project Details'!$C$17:$C$66,'Project Details'!$D$17:$D$66,"",0)</f>
        <v>0</v>
      </c>
      <c r="M1274" s="43"/>
    </row>
    <row r="1275" spans="1:13" x14ac:dyDescent="0.25">
      <c r="A1275" s="43"/>
      <c r="B1275" s="43"/>
      <c r="C1275" s="16">
        <f t="shared" si="24"/>
        <v>26</v>
      </c>
      <c r="D1275" s="16" t="str" cm="1">
        <f t="array" ref="D1275">IFERROR(ROUNDUP(_xlfn.IFS(F1275="Aluminum Track", _xlfn.XLOOKUP(C1275, dd_accsrycalc!$A$2:$A$51, dd_accsrycalc!$B$2:$B$51, "",0), F1275="10 x 2 1/2 S (Flat)", _xlfn.XLOOKUP(C1275, dd_accsrycalc!$A$2:$A$51, dd_accsrycalc!$C$2:$C$51, "",0), F1275="Tox6", _xlfn.XLOOKUP(C1275, dd_accsrycalc!$A$2:$A$51, dd_accsrycalc!$D$2:$D$51, "",0), F1275="Cover Cap", _xlfn.XLOOKUP(C1275, dd_accsrycalc!$A$2:$A$51, dd_accsrycalc!$E$2:$E$51, "",0), F1275="Drainage Cover", _xlfn.XLOOKUP(C1275, dd_accsrycalc!$A$2:$A$51, dd_accsrycalc!$F$2:$F$51, "",0),AND( F1275="Double Adhesive Tape", I1275="Roll-up Screen"), _xlfn.XLOOKUP(C1275, calc_rusacc!$C$15:$C$65, calc_rusacc!$AD$15:$AD$65, "",0),AND( F1275="Sealant", I1275="Roll-up Screen"), _xlfn.XLOOKUP(C1275, calc_rusacc!$C$15:$C$65, calc_rusacc!$AF$15:$AF$65, "",0),  AND( F1275="Main Chain", I1275="Accordion Screen"), _xlfn.XLOOKUP(C1275, calc_rusacc!$C$15:$C$65, calc_rusacc!$BF$15:$BF$65, "",0), AND( F1275="Sealant", I1275="Accordion Screen"), _xlfn.XLOOKUP(C1275, calc_rusacc!$C$15:$C$65, calc_rusacc!$BJ$15:$BJ$65, "",0),  F1275="Sealant", _xlfn.XLOOKUP(C1275, dd_accsrycalc!$A$2:$A$51, dd_accsrycalc!$G$2:$G$51, "",0),  F1275&lt;&gt;"",L1275*_xlfn.XLOOKUP(1, (SKUs!$C$2:$C$10001=G1275)*(SKUs!$K$2:$K$10001=I1275),SKUs!$E$2:$E$10001)), 0),"")</f>
        <v/>
      </c>
      <c r="E1275" s="16" t="str">
        <f>_xlfn.XLOOKUP(F1275,dd_item!$B$2:$B$105,dd_item!$C$2:$C$105,"",0)</f>
        <v/>
      </c>
      <c r="F1275" s="16"/>
      <c r="G1275" s="16" cm="1">
        <f t="array" ref="G1275">IFERROR(_xlfn.XLOOKUP(1, (SKUs!$J$2:$J$10001=accsry_unmerged!F1275)*IF(H1275&lt;&gt;"",(SKUs!$L$2:$L$10001=accsry_unmerged!H1275),1)*(SKUs!$K$2:$K$10001=I1275),SKUs!$C$2:$C$10001),"")</f>
        <v>0</v>
      </c>
      <c r="H1275" s="33" cm="1">
        <f t="array" ref="H1275">IFERROR(_xlfn.XLOOKUP(1, (dd_accsryclr!$C$2:$C$1000=accsry_unmerged!F1275)*(dd_accsryclr!$B$2:$B$1000=accsry_unmerged!J1275),dd_accsryclr!$A$2:$A$1000),"")</f>
        <v>0</v>
      </c>
      <c r="I1275" s="16">
        <f>_xlfn.XLOOKUP(C1275,'Project Details'!$C$17:$C$66,'Project Details'!$E$17:$E$66,"",0)</f>
        <v>0</v>
      </c>
      <c r="J1275" s="16">
        <f>_xlfn.XLOOKUP(C1275,'Project Details'!$C$17:$C$66,'Project Details'!$H$17:$H$66,"",0)</f>
        <v>0</v>
      </c>
      <c r="K1275" s="33" t="str">
        <f>IF(AND(_xlfn.XLOOKUP(C1275,'Project Details'!$C$17:$C$66,'Project Details'!$L$17:$L$66,"",0)&gt;550, F1275="Spring-L27cm"),"",SUBSTITUTE(_xlfn.XLOOKUP(G1275,SKUs!$C$2:$C$10001,SKUs!$F$2:$F$10001,"",0), " Accessories",""))</f>
        <v/>
      </c>
      <c r="L1275" s="33">
        <f>_xlfn.XLOOKUP(C1275,'Project Details'!$C$17:$C$66,'Project Details'!$D$17:$D$66,"",0)</f>
        <v>0</v>
      </c>
      <c r="M1275" s="43"/>
    </row>
    <row r="1276" spans="1:13" x14ac:dyDescent="0.25">
      <c r="A1276" s="43"/>
      <c r="B1276" s="43"/>
      <c r="C1276" s="35">
        <f t="shared" si="24"/>
        <v>26</v>
      </c>
      <c r="D1276" s="35" t="str" cm="1">
        <f t="array" ref="D1276">IFERROR(ROUNDUP(_xlfn.IFS(F1276="Aluminum Track", _xlfn.XLOOKUP(C1276, dd_accsrycalc!$A$2:$A$51, dd_accsrycalc!$B$2:$B$51, "",0), F1276="10 x 2 1/2 S (Flat)", _xlfn.XLOOKUP(C1276, dd_accsrycalc!$A$2:$A$51, dd_accsrycalc!$C$2:$C$51, "",0), F1276="Tox6", _xlfn.XLOOKUP(C1276, dd_accsrycalc!$A$2:$A$51, dd_accsrycalc!$D$2:$D$51, "",0), F1276="Cover Cap", _xlfn.XLOOKUP(C1276, dd_accsrycalc!$A$2:$A$51, dd_accsrycalc!$E$2:$E$51, "",0), F1276="Drainage Cover", _xlfn.XLOOKUP(C1276, dd_accsrycalc!$A$2:$A$51, dd_accsrycalc!$F$2:$F$51, "",0),AND( F1276="Double Adhesive Tape", I1276="Roll-up Screen"), _xlfn.XLOOKUP(C1276, calc_rusacc!$C$15:$C$65, calc_rusacc!$AD$15:$AD$65, "",0),AND( F1276="Sealant", I1276="Roll-up Screen"), _xlfn.XLOOKUP(C1276, calc_rusacc!$C$15:$C$65, calc_rusacc!$AF$15:$AF$65, "",0),  AND( F1276="Main Chain", I1276="Accordion Screen"), _xlfn.XLOOKUP(C1276, calc_rusacc!$C$15:$C$65, calc_rusacc!$BF$15:$BF$65, "",0), AND( F1276="Sealant", I1276="Accordion Screen"), _xlfn.XLOOKUP(C1276, calc_rusacc!$C$15:$C$65, calc_rusacc!$BJ$15:$BJ$65, "",0),  F1276="Sealant", _xlfn.XLOOKUP(C1276, dd_accsrycalc!$A$2:$A$51, dd_accsrycalc!$G$2:$G$51, "",0),  F1276&lt;&gt;"",L1276*_xlfn.XLOOKUP(1, (SKUs!$C$2:$C$10001=G1276)*(SKUs!$K$2:$K$10001=I1276),SKUs!$E$2:$E$10001)), 0),"")</f>
        <v/>
      </c>
      <c r="E1276" s="35" t="str">
        <f>_xlfn.XLOOKUP(F1276,dd_item!$B$2:$B$105,dd_item!$C$2:$C$105,"",0)</f>
        <v/>
      </c>
      <c r="F1276" s="35"/>
      <c r="G1276" s="35" cm="1">
        <f t="array" ref="G1276">IFERROR(_xlfn.XLOOKUP(1, (SKUs!$J$2:$J$10001=accsry_unmerged!F1276)*IF(H1276&lt;&gt;"",(SKUs!$L$2:$L$10001=accsry_unmerged!H1276),1)*(SKUs!$K$2:$K$10001=I1276),SKUs!$C$2:$C$10001),"")</f>
        <v>0</v>
      </c>
      <c r="H1276" s="36" cm="1">
        <f t="array" ref="H1276">IFERROR(_xlfn.XLOOKUP(1, (dd_accsryclr!$C$2:$C$1000=accsry_unmerged!F1276)*(dd_accsryclr!$B$2:$B$1000=accsry_unmerged!J1276),dd_accsryclr!$A$2:$A$1000),"")</f>
        <v>0</v>
      </c>
      <c r="I1276" s="35">
        <f>_xlfn.XLOOKUP(C1276,'Project Details'!$C$17:$C$66,'Project Details'!$E$17:$E$66,"",0)</f>
        <v>0</v>
      </c>
      <c r="J1276" s="35">
        <f>_xlfn.XLOOKUP(C1276,'Project Details'!$C$17:$C$66,'Project Details'!$H$17:$H$66,"",0)</f>
        <v>0</v>
      </c>
      <c r="K1276" s="36" t="str">
        <f>IF(AND(_xlfn.XLOOKUP(C1276,'Project Details'!$C$17:$C$66,'Project Details'!$L$17:$L$66,"",0)&gt;550, F1276="Spring-L27cm"),"",SUBSTITUTE(_xlfn.XLOOKUP(G1276,SKUs!$C$2:$C$10001,SKUs!$F$2:$F$10001,"",0), " Accessories",""))</f>
        <v/>
      </c>
      <c r="L1276" s="36">
        <f>_xlfn.XLOOKUP(C1276,'Project Details'!$C$17:$C$66,'Project Details'!$D$17:$D$66,"",0)</f>
        <v>0</v>
      </c>
      <c r="M1276" s="43"/>
    </row>
    <row r="1277" spans="1:13" x14ac:dyDescent="0.25">
      <c r="A1277" s="43"/>
      <c r="B1277" s="43"/>
      <c r="C1277" s="16">
        <f t="shared" si="24"/>
        <v>26</v>
      </c>
      <c r="D1277" s="16" t="str" cm="1">
        <f t="array" ref="D1277">IFERROR(ROUNDUP(_xlfn.IFS(F1277="Aluminum Track", _xlfn.XLOOKUP(C1277, dd_accsrycalc!$A$2:$A$51, dd_accsrycalc!$B$2:$B$51, "",0), F1277="10 x 2 1/2 S (Flat)", _xlfn.XLOOKUP(C1277, dd_accsrycalc!$A$2:$A$51, dd_accsrycalc!$C$2:$C$51, "",0), F1277="Tox6", _xlfn.XLOOKUP(C1277, dd_accsrycalc!$A$2:$A$51, dd_accsrycalc!$D$2:$D$51, "",0), F1277="Cover Cap", _xlfn.XLOOKUP(C1277, dd_accsrycalc!$A$2:$A$51, dd_accsrycalc!$E$2:$E$51, "",0), F1277="Drainage Cover", _xlfn.XLOOKUP(C1277, dd_accsrycalc!$A$2:$A$51, dd_accsrycalc!$F$2:$F$51, "",0),AND( F1277="Double Adhesive Tape", I1277="Roll-up Screen"), _xlfn.XLOOKUP(C1277, calc_rusacc!$C$15:$C$65, calc_rusacc!$AD$15:$AD$65, "",0),AND( F1277="Sealant", I1277="Roll-up Screen"), _xlfn.XLOOKUP(C1277, calc_rusacc!$C$15:$C$65, calc_rusacc!$AF$15:$AF$65, "",0),  AND( F1277="Main Chain", I1277="Accordion Screen"), _xlfn.XLOOKUP(C1277, calc_rusacc!$C$15:$C$65, calc_rusacc!$BF$15:$BF$65, "",0), AND( F1277="Sealant", I1277="Accordion Screen"), _xlfn.XLOOKUP(C1277, calc_rusacc!$C$15:$C$65, calc_rusacc!$BJ$15:$BJ$65, "",0),  F1277="Sealant", _xlfn.XLOOKUP(C1277, dd_accsrycalc!$A$2:$A$51, dd_accsrycalc!$G$2:$G$51, "",0),  F1277&lt;&gt;"",L1277*_xlfn.XLOOKUP(1, (SKUs!$C$2:$C$10001=G1277)*(SKUs!$K$2:$K$10001=I1277),SKUs!$E$2:$E$10001)), 0),"")</f>
        <v/>
      </c>
      <c r="E1277" s="16" t="str">
        <f>_xlfn.XLOOKUP(F1277,dd_item!$B$2:$B$105,dd_item!$C$2:$C$105,"",0)</f>
        <v/>
      </c>
      <c r="F1277" s="16"/>
      <c r="G1277" s="16" cm="1">
        <f t="array" ref="G1277">IFERROR(_xlfn.XLOOKUP(1, (SKUs!$J$2:$J$10001=accsry_unmerged!F1277)*IF(H1277&lt;&gt;"",(SKUs!$L$2:$L$10001=accsry_unmerged!H1277),1)*(SKUs!$K$2:$K$10001=I1277),SKUs!$C$2:$C$10001),"")</f>
        <v>0</v>
      </c>
      <c r="H1277" s="33" cm="1">
        <f t="array" ref="H1277">IFERROR(_xlfn.XLOOKUP(1, (dd_accsryclr!$C$2:$C$1000=accsry_unmerged!F1277)*(dd_accsryclr!$B$2:$B$1000=accsry_unmerged!J1277),dd_accsryclr!$A$2:$A$1000),"")</f>
        <v>0</v>
      </c>
      <c r="I1277" s="16">
        <f>_xlfn.XLOOKUP(C1277,'Project Details'!$C$17:$C$66,'Project Details'!$E$17:$E$66,"",0)</f>
        <v>0</v>
      </c>
      <c r="J1277" s="16">
        <f>_xlfn.XLOOKUP(C1277,'Project Details'!$C$17:$C$66,'Project Details'!$H$17:$H$66,"",0)</f>
        <v>0</v>
      </c>
      <c r="K1277" s="33" t="str">
        <f>IF(AND(_xlfn.XLOOKUP(C1277,'Project Details'!$C$17:$C$66,'Project Details'!$L$17:$L$66,"",0)&gt;550, F1277="Spring-L27cm"),"",SUBSTITUTE(_xlfn.XLOOKUP(G1277,SKUs!$C$2:$C$10001,SKUs!$F$2:$F$10001,"",0), " Accessories",""))</f>
        <v/>
      </c>
      <c r="L1277" s="33">
        <f>_xlfn.XLOOKUP(C1277,'Project Details'!$C$17:$C$66,'Project Details'!$D$17:$D$66,"",0)</f>
        <v>0</v>
      </c>
      <c r="M1277" s="43"/>
    </row>
    <row r="1278" spans="1:13" x14ac:dyDescent="0.25">
      <c r="A1278" s="43"/>
      <c r="B1278" s="43"/>
      <c r="C1278" s="35">
        <f t="shared" si="24"/>
        <v>26</v>
      </c>
      <c r="D1278" s="35" t="str" cm="1">
        <f t="array" ref="D1278">IFERROR(ROUNDUP(_xlfn.IFS(F1278="Aluminum Track", _xlfn.XLOOKUP(C1278, dd_accsrycalc!$A$2:$A$51, dd_accsrycalc!$B$2:$B$51, "",0), F1278="10 x 2 1/2 S (Flat)", _xlfn.XLOOKUP(C1278, dd_accsrycalc!$A$2:$A$51, dd_accsrycalc!$C$2:$C$51, "",0), F1278="Tox6", _xlfn.XLOOKUP(C1278, dd_accsrycalc!$A$2:$A$51, dd_accsrycalc!$D$2:$D$51, "",0), F1278="Cover Cap", _xlfn.XLOOKUP(C1278, dd_accsrycalc!$A$2:$A$51, dd_accsrycalc!$E$2:$E$51, "",0), F1278="Drainage Cover", _xlfn.XLOOKUP(C1278, dd_accsrycalc!$A$2:$A$51, dd_accsrycalc!$F$2:$F$51, "",0),AND( F1278="Double Adhesive Tape", I1278="Roll-up Screen"), _xlfn.XLOOKUP(C1278, calc_rusacc!$C$15:$C$65, calc_rusacc!$AD$15:$AD$65, "",0),AND( F1278="Sealant", I1278="Roll-up Screen"), _xlfn.XLOOKUP(C1278, calc_rusacc!$C$15:$C$65, calc_rusacc!$AF$15:$AF$65, "",0),  AND( F1278="Main Chain", I1278="Accordion Screen"), _xlfn.XLOOKUP(C1278, calc_rusacc!$C$15:$C$65, calc_rusacc!$BF$15:$BF$65, "",0), AND( F1278="Sealant", I1278="Accordion Screen"), _xlfn.XLOOKUP(C1278, calc_rusacc!$C$15:$C$65, calc_rusacc!$BJ$15:$BJ$65, "",0),  F1278="Sealant", _xlfn.XLOOKUP(C1278, dd_accsrycalc!$A$2:$A$51, dd_accsrycalc!$G$2:$G$51, "",0),  F1278&lt;&gt;"",L1278*_xlfn.XLOOKUP(1, (SKUs!$C$2:$C$10001=G1278)*(SKUs!$K$2:$K$10001=I1278),SKUs!$E$2:$E$10001)), 0),"")</f>
        <v/>
      </c>
      <c r="E1278" s="35" t="str">
        <f>_xlfn.XLOOKUP(F1278,dd_item!$B$2:$B$105,dd_item!$C$2:$C$105,"",0)</f>
        <v/>
      </c>
      <c r="F1278" s="35"/>
      <c r="G1278" s="35" cm="1">
        <f t="array" ref="G1278">IFERROR(_xlfn.XLOOKUP(1, (SKUs!$J$2:$J$10001=accsry_unmerged!F1278)*IF(H1278&lt;&gt;"",(SKUs!$L$2:$L$10001=accsry_unmerged!H1278),1)*(SKUs!$K$2:$K$10001=I1278),SKUs!$C$2:$C$10001),"")</f>
        <v>0</v>
      </c>
      <c r="H1278" s="36" cm="1">
        <f t="array" ref="H1278">IFERROR(_xlfn.XLOOKUP(1, (dd_accsryclr!$C$2:$C$1000=accsry_unmerged!F1278)*(dd_accsryclr!$B$2:$B$1000=accsry_unmerged!J1278),dd_accsryclr!$A$2:$A$1000),"")</f>
        <v>0</v>
      </c>
      <c r="I1278" s="35">
        <f>_xlfn.XLOOKUP(C1278,'Project Details'!$C$17:$C$66,'Project Details'!$E$17:$E$66,"",0)</f>
        <v>0</v>
      </c>
      <c r="J1278" s="35">
        <f>_xlfn.XLOOKUP(C1278,'Project Details'!$C$17:$C$66,'Project Details'!$H$17:$H$66,"",0)</f>
        <v>0</v>
      </c>
      <c r="K1278" s="36" t="str">
        <f>IF(AND(_xlfn.XLOOKUP(C1278,'Project Details'!$C$17:$C$66,'Project Details'!$L$17:$L$66,"",0)&gt;550, F1278="Spring-L27cm"),"",SUBSTITUTE(_xlfn.XLOOKUP(G1278,SKUs!$C$2:$C$10001,SKUs!$F$2:$F$10001,"",0), " Accessories",""))</f>
        <v/>
      </c>
      <c r="L1278" s="36">
        <f>_xlfn.XLOOKUP(C1278,'Project Details'!$C$17:$C$66,'Project Details'!$D$17:$D$66,"",0)</f>
        <v>0</v>
      </c>
      <c r="M1278" s="43"/>
    </row>
    <row r="1279" spans="1:13" x14ac:dyDescent="0.25">
      <c r="A1279" s="43"/>
      <c r="B1279" s="43"/>
      <c r="C1279" s="16">
        <f t="shared" si="24"/>
        <v>26</v>
      </c>
      <c r="D1279" s="16" t="str" cm="1">
        <f t="array" ref="D1279">IFERROR(ROUNDUP(_xlfn.IFS(F1279="Aluminum Track", _xlfn.XLOOKUP(C1279, dd_accsrycalc!$A$2:$A$51, dd_accsrycalc!$B$2:$B$51, "",0), F1279="10 x 2 1/2 S (Flat)", _xlfn.XLOOKUP(C1279, dd_accsrycalc!$A$2:$A$51, dd_accsrycalc!$C$2:$C$51, "",0), F1279="Tox6", _xlfn.XLOOKUP(C1279, dd_accsrycalc!$A$2:$A$51, dd_accsrycalc!$D$2:$D$51, "",0), F1279="Cover Cap", _xlfn.XLOOKUP(C1279, dd_accsrycalc!$A$2:$A$51, dd_accsrycalc!$E$2:$E$51, "",0), F1279="Drainage Cover", _xlfn.XLOOKUP(C1279, dd_accsrycalc!$A$2:$A$51, dd_accsrycalc!$F$2:$F$51, "",0),AND( F1279="Double Adhesive Tape", I1279="Roll-up Screen"), _xlfn.XLOOKUP(C1279, calc_rusacc!$C$15:$C$65, calc_rusacc!$AD$15:$AD$65, "",0),AND( F1279="Sealant", I1279="Roll-up Screen"), _xlfn.XLOOKUP(C1279, calc_rusacc!$C$15:$C$65, calc_rusacc!$AF$15:$AF$65, "",0),  AND( F1279="Main Chain", I1279="Accordion Screen"), _xlfn.XLOOKUP(C1279, calc_rusacc!$C$15:$C$65, calc_rusacc!$BF$15:$BF$65, "",0), AND( F1279="Sealant", I1279="Accordion Screen"), _xlfn.XLOOKUP(C1279, calc_rusacc!$C$15:$C$65, calc_rusacc!$BJ$15:$BJ$65, "",0),  F1279="Sealant", _xlfn.XLOOKUP(C1279, dd_accsrycalc!$A$2:$A$51, dd_accsrycalc!$G$2:$G$51, "",0),  F1279&lt;&gt;"",L1279*_xlfn.XLOOKUP(1, (SKUs!$C$2:$C$10001=G1279)*(SKUs!$K$2:$K$10001=I1279),SKUs!$E$2:$E$10001)), 0),"")</f>
        <v/>
      </c>
      <c r="E1279" s="16" t="str">
        <f>_xlfn.XLOOKUP(F1279,dd_item!$B$2:$B$105,dd_item!$C$2:$C$105,"",0)</f>
        <v/>
      </c>
      <c r="F1279" s="16"/>
      <c r="G1279" s="16" cm="1">
        <f t="array" ref="G1279">IFERROR(_xlfn.XLOOKUP(1, (SKUs!$J$2:$J$10001=accsry_unmerged!F1279)*IF(H1279&lt;&gt;"",(SKUs!$L$2:$L$10001=accsry_unmerged!H1279),1)*(SKUs!$K$2:$K$10001=I1279),SKUs!$C$2:$C$10001),"")</f>
        <v>0</v>
      </c>
      <c r="H1279" s="33" cm="1">
        <f t="array" ref="H1279">IFERROR(_xlfn.XLOOKUP(1, (dd_accsryclr!$C$2:$C$1000=accsry_unmerged!F1279)*(dd_accsryclr!$B$2:$B$1000=accsry_unmerged!J1279),dd_accsryclr!$A$2:$A$1000),"")</f>
        <v>0</v>
      </c>
      <c r="I1279" s="16">
        <f>_xlfn.XLOOKUP(C1279,'Project Details'!$C$17:$C$66,'Project Details'!$E$17:$E$66,"",0)</f>
        <v>0</v>
      </c>
      <c r="J1279" s="16">
        <f>_xlfn.XLOOKUP(C1279,'Project Details'!$C$17:$C$66,'Project Details'!$H$17:$H$66,"",0)</f>
        <v>0</v>
      </c>
      <c r="K1279" s="33" t="str">
        <f>IF(AND(_xlfn.XLOOKUP(C1279,'Project Details'!$C$17:$C$66,'Project Details'!$L$17:$L$66,"",0)&gt;550, F1279="Spring-L27cm"),"",SUBSTITUTE(_xlfn.XLOOKUP(G1279,SKUs!$C$2:$C$10001,SKUs!$F$2:$F$10001,"",0), " Accessories",""))</f>
        <v/>
      </c>
      <c r="L1279" s="33">
        <f>_xlfn.XLOOKUP(C1279,'Project Details'!$C$17:$C$66,'Project Details'!$D$17:$D$66,"",0)</f>
        <v>0</v>
      </c>
      <c r="M1279" s="43"/>
    </row>
    <row r="1280" spans="1:13" x14ac:dyDescent="0.25">
      <c r="A1280" s="43"/>
      <c r="B1280" s="43"/>
      <c r="C1280" s="35">
        <f t="shared" si="24"/>
        <v>26</v>
      </c>
      <c r="D1280" s="35" t="str" cm="1">
        <f t="array" ref="D1280">IFERROR(ROUNDUP(_xlfn.IFS(F1280="Aluminum Track", _xlfn.XLOOKUP(C1280, dd_accsrycalc!$A$2:$A$51, dd_accsrycalc!$B$2:$B$51, "",0), F1280="10 x 2 1/2 S (Flat)", _xlfn.XLOOKUP(C1280, dd_accsrycalc!$A$2:$A$51, dd_accsrycalc!$C$2:$C$51, "",0), F1280="Tox6", _xlfn.XLOOKUP(C1280, dd_accsrycalc!$A$2:$A$51, dd_accsrycalc!$D$2:$D$51, "",0), F1280="Cover Cap", _xlfn.XLOOKUP(C1280, dd_accsrycalc!$A$2:$A$51, dd_accsrycalc!$E$2:$E$51, "",0), F1280="Drainage Cover", _xlfn.XLOOKUP(C1280, dd_accsrycalc!$A$2:$A$51, dd_accsrycalc!$F$2:$F$51, "",0),AND( F1280="Double Adhesive Tape", I1280="Roll-up Screen"), _xlfn.XLOOKUP(C1280, calc_rusacc!$C$15:$C$65, calc_rusacc!$AD$15:$AD$65, "",0),AND( F1280="Sealant", I1280="Roll-up Screen"), _xlfn.XLOOKUP(C1280, calc_rusacc!$C$15:$C$65, calc_rusacc!$AF$15:$AF$65, "",0),  AND( F1280="Main Chain", I1280="Accordion Screen"), _xlfn.XLOOKUP(C1280, calc_rusacc!$C$15:$C$65, calc_rusacc!$BF$15:$BF$65, "",0), AND( F1280="Sealant", I1280="Accordion Screen"), _xlfn.XLOOKUP(C1280, calc_rusacc!$C$15:$C$65, calc_rusacc!$BJ$15:$BJ$65, "",0),  F1280="Sealant", _xlfn.XLOOKUP(C1280, dd_accsrycalc!$A$2:$A$51, dd_accsrycalc!$G$2:$G$51, "",0),  F1280&lt;&gt;"",L1280*_xlfn.XLOOKUP(1, (SKUs!$C$2:$C$10001=G1280)*(SKUs!$K$2:$K$10001=I1280),SKUs!$E$2:$E$10001)), 0),"")</f>
        <v/>
      </c>
      <c r="E1280" s="35" t="str">
        <f>_xlfn.XLOOKUP(F1280,dd_item!$B$2:$B$105,dd_item!$C$2:$C$105,"",0)</f>
        <v/>
      </c>
      <c r="F1280" s="35"/>
      <c r="G1280" s="35" cm="1">
        <f t="array" ref="G1280">IFERROR(_xlfn.XLOOKUP(1, (SKUs!$J$2:$J$10001=accsry_unmerged!F1280)*IF(H1280&lt;&gt;"",(SKUs!$L$2:$L$10001=accsry_unmerged!H1280),1)*(SKUs!$K$2:$K$10001=I1280),SKUs!$C$2:$C$10001),"")</f>
        <v>0</v>
      </c>
      <c r="H1280" s="36" cm="1">
        <f t="array" ref="H1280">IFERROR(_xlfn.XLOOKUP(1, (dd_accsryclr!$C$2:$C$1000=accsry_unmerged!F1280)*(dd_accsryclr!$B$2:$B$1000=accsry_unmerged!J1280),dd_accsryclr!$A$2:$A$1000),"")</f>
        <v>0</v>
      </c>
      <c r="I1280" s="35">
        <f>_xlfn.XLOOKUP(C1280,'Project Details'!$C$17:$C$66,'Project Details'!$E$17:$E$66,"",0)</f>
        <v>0</v>
      </c>
      <c r="J1280" s="35">
        <f>_xlfn.XLOOKUP(C1280,'Project Details'!$C$17:$C$66,'Project Details'!$H$17:$H$66,"",0)</f>
        <v>0</v>
      </c>
      <c r="K1280" s="36" t="str">
        <f>IF(AND(_xlfn.XLOOKUP(C1280,'Project Details'!$C$17:$C$66,'Project Details'!$L$17:$L$66,"",0)&gt;550, F1280="Spring-L27cm"),"",SUBSTITUTE(_xlfn.XLOOKUP(G1280,SKUs!$C$2:$C$10001,SKUs!$F$2:$F$10001,"",0), " Accessories",""))</f>
        <v/>
      </c>
      <c r="L1280" s="36">
        <f>_xlfn.XLOOKUP(C1280,'Project Details'!$C$17:$C$66,'Project Details'!$D$17:$D$66,"",0)</f>
        <v>0</v>
      </c>
      <c r="M1280" s="43"/>
    </row>
    <row r="1281" spans="1:13" x14ac:dyDescent="0.25">
      <c r="A1281" s="43"/>
      <c r="B1281" s="43"/>
      <c r="C1281" s="16">
        <f t="shared" si="24"/>
        <v>26</v>
      </c>
      <c r="D1281" s="16" t="str" cm="1">
        <f t="array" ref="D1281">IFERROR(ROUNDUP(_xlfn.IFS(F1281="Aluminum Track", _xlfn.XLOOKUP(C1281, dd_accsrycalc!$A$2:$A$51, dd_accsrycalc!$B$2:$B$51, "",0), F1281="10 x 2 1/2 S (Flat)", _xlfn.XLOOKUP(C1281, dd_accsrycalc!$A$2:$A$51, dd_accsrycalc!$C$2:$C$51, "",0), F1281="Tox6", _xlfn.XLOOKUP(C1281, dd_accsrycalc!$A$2:$A$51, dd_accsrycalc!$D$2:$D$51, "",0), F1281="Cover Cap", _xlfn.XLOOKUP(C1281, dd_accsrycalc!$A$2:$A$51, dd_accsrycalc!$E$2:$E$51, "",0), F1281="Drainage Cover", _xlfn.XLOOKUP(C1281, dd_accsrycalc!$A$2:$A$51, dd_accsrycalc!$F$2:$F$51, "",0),AND( F1281="Double Adhesive Tape", I1281="Roll-up Screen"), _xlfn.XLOOKUP(C1281, calc_rusacc!$C$15:$C$65, calc_rusacc!$AD$15:$AD$65, "",0),AND( F1281="Sealant", I1281="Roll-up Screen"), _xlfn.XLOOKUP(C1281, calc_rusacc!$C$15:$C$65, calc_rusacc!$AF$15:$AF$65, "",0),  AND( F1281="Main Chain", I1281="Accordion Screen"), _xlfn.XLOOKUP(C1281, calc_rusacc!$C$15:$C$65, calc_rusacc!$BF$15:$BF$65, "",0), AND( F1281="Sealant", I1281="Accordion Screen"), _xlfn.XLOOKUP(C1281, calc_rusacc!$C$15:$C$65, calc_rusacc!$BJ$15:$BJ$65, "",0),  F1281="Sealant", _xlfn.XLOOKUP(C1281, dd_accsrycalc!$A$2:$A$51, dd_accsrycalc!$G$2:$G$51, "",0),  F1281&lt;&gt;"",L1281*_xlfn.XLOOKUP(1, (SKUs!$C$2:$C$10001=G1281)*(SKUs!$K$2:$K$10001=I1281),SKUs!$E$2:$E$10001)), 0),"")</f>
        <v/>
      </c>
      <c r="E1281" s="16" t="str">
        <f>_xlfn.XLOOKUP(F1281,dd_item!$B$2:$B$105,dd_item!$C$2:$C$105,"",0)</f>
        <v/>
      </c>
      <c r="F1281" s="16"/>
      <c r="G1281" s="16" cm="1">
        <f t="array" ref="G1281">IFERROR(_xlfn.XLOOKUP(1, (SKUs!$J$2:$J$10001=accsry_unmerged!F1281)*IF(H1281&lt;&gt;"",(SKUs!$L$2:$L$10001=accsry_unmerged!H1281),1)*(SKUs!$K$2:$K$10001=I1281),SKUs!$C$2:$C$10001),"")</f>
        <v>0</v>
      </c>
      <c r="H1281" s="33" cm="1">
        <f t="array" ref="H1281">IFERROR(_xlfn.XLOOKUP(1, (dd_accsryclr!$C$2:$C$1000=accsry_unmerged!F1281)*(dd_accsryclr!$B$2:$B$1000=accsry_unmerged!J1281),dd_accsryclr!$A$2:$A$1000),"")</f>
        <v>0</v>
      </c>
      <c r="I1281" s="16">
        <f>_xlfn.XLOOKUP(C1281,'Project Details'!$C$17:$C$66,'Project Details'!$E$17:$E$66,"",0)</f>
        <v>0</v>
      </c>
      <c r="J1281" s="16">
        <f>_xlfn.XLOOKUP(C1281,'Project Details'!$C$17:$C$66,'Project Details'!$H$17:$H$66,"",0)</f>
        <v>0</v>
      </c>
      <c r="K1281" s="33" t="str">
        <f>IF(AND(_xlfn.XLOOKUP(C1281,'Project Details'!$C$17:$C$66,'Project Details'!$L$17:$L$66,"",0)&gt;550, F1281="Spring-L27cm"),"",SUBSTITUTE(_xlfn.XLOOKUP(G1281,SKUs!$C$2:$C$10001,SKUs!$F$2:$F$10001,"",0), " Accessories",""))</f>
        <v/>
      </c>
      <c r="L1281" s="33">
        <f>_xlfn.XLOOKUP(C1281,'Project Details'!$C$17:$C$66,'Project Details'!$D$17:$D$66,"",0)</f>
        <v>0</v>
      </c>
      <c r="M1281" s="43"/>
    </row>
    <row r="1282" spans="1:13" x14ac:dyDescent="0.25">
      <c r="A1282" s="43"/>
      <c r="B1282" s="43"/>
      <c r="C1282" s="35">
        <f t="shared" si="24"/>
        <v>26</v>
      </c>
      <c r="D1282" s="35" t="str" cm="1">
        <f t="array" ref="D1282">IFERROR(ROUNDUP(_xlfn.IFS(F1282="Aluminum Track", _xlfn.XLOOKUP(C1282, dd_accsrycalc!$A$2:$A$51, dd_accsrycalc!$B$2:$B$51, "",0), F1282="10 x 2 1/2 S (Flat)", _xlfn.XLOOKUP(C1282, dd_accsrycalc!$A$2:$A$51, dd_accsrycalc!$C$2:$C$51, "",0), F1282="Tox6", _xlfn.XLOOKUP(C1282, dd_accsrycalc!$A$2:$A$51, dd_accsrycalc!$D$2:$D$51, "",0), F1282="Cover Cap", _xlfn.XLOOKUP(C1282, dd_accsrycalc!$A$2:$A$51, dd_accsrycalc!$E$2:$E$51, "",0), F1282="Drainage Cover", _xlfn.XLOOKUP(C1282, dd_accsrycalc!$A$2:$A$51, dd_accsrycalc!$F$2:$F$51, "",0),AND( F1282="Double Adhesive Tape", I1282="Roll-up Screen"), _xlfn.XLOOKUP(C1282, calc_rusacc!$C$15:$C$65, calc_rusacc!$AD$15:$AD$65, "",0),AND( F1282="Sealant", I1282="Roll-up Screen"), _xlfn.XLOOKUP(C1282, calc_rusacc!$C$15:$C$65, calc_rusacc!$AF$15:$AF$65, "",0),  AND( F1282="Main Chain", I1282="Accordion Screen"), _xlfn.XLOOKUP(C1282, calc_rusacc!$C$15:$C$65, calc_rusacc!$BF$15:$BF$65, "",0), AND( F1282="Sealant", I1282="Accordion Screen"), _xlfn.XLOOKUP(C1282, calc_rusacc!$C$15:$C$65, calc_rusacc!$BJ$15:$BJ$65, "",0),  F1282="Sealant", _xlfn.XLOOKUP(C1282, dd_accsrycalc!$A$2:$A$51, dd_accsrycalc!$G$2:$G$51, "",0),  F1282&lt;&gt;"",L1282*_xlfn.XLOOKUP(1, (SKUs!$C$2:$C$10001=G1282)*(SKUs!$K$2:$K$10001=I1282),SKUs!$E$2:$E$10001)), 0),"")</f>
        <v/>
      </c>
      <c r="E1282" s="35" t="str">
        <f>_xlfn.XLOOKUP(F1282,dd_item!$B$2:$B$105,dd_item!$C$2:$C$105,"",0)</f>
        <v/>
      </c>
      <c r="F1282" s="35"/>
      <c r="G1282" s="35" cm="1">
        <f t="array" ref="G1282">IFERROR(_xlfn.XLOOKUP(1, (SKUs!$J$2:$J$10001=accsry_unmerged!F1282)*IF(H1282&lt;&gt;"",(SKUs!$L$2:$L$10001=accsry_unmerged!H1282),1)*(SKUs!$K$2:$K$10001=I1282),SKUs!$C$2:$C$10001),"")</f>
        <v>0</v>
      </c>
      <c r="H1282" s="36" cm="1">
        <f t="array" ref="H1282">IFERROR(_xlfn.XLOOKUP(1, (dd_accsryclr!$C$2:$C$1000=accsry_unmerged!F1282)*(dd_accsryclr!$B$2:$B$1000=accsry_unmerged!J1282),dd_accsryclr!$A$2:$A$1000),"")</f>
        <v>0</v>
      </c>
      <c r="I1282" s="35">
        <f>_xlfn.XLOOKUP(C1282,'Project Details'!$C$17:$C$66,'Project Details'!$E$17:$E$66,"",0)</f>
        <v>0</v>
      </c>
      <c r="J1282" s="35">
        <f>_xlfn.XLOOKUP(C1282,'Project Details'!$C$17:$C$66,'Project Details'!$H$17:$H$66,"",0)</f>
        <v>0</v>
      </c>
      <c r="K1282" s="36" t="str">
        <f>IF(AND(_xlfn.XLOOKUP(C1282,'Project Details'!$C$17:$C$66,'Project Details'!$L$17:$L$66,"",0)&gt;550, F1282="Spring-L27cm"),"",SUBSTITUTE(_xlfn.XLOOKUP(G1282,SKUs!$C$2:$C$10001,SKUs!$F$2:$F$10001,"",0), " Accessories",""))</f>
        <v/>
      </c>
      <c r="L1282" s="36">
        <f>_xlfn.XLOOKUP(C1282,'Project Details'!$C$17:$C$66,'Project Details'!$D$17:$D$66,"",0)</f>
        <v>0</v>
      </c>
      <c r="M1282" s="43"/>
    </row>
    <row r="1283" spans="1:13" x14ac:dyDescent="0.25">
      <c r="A1283" s="43"/>
      <c r="B1283" s="43"/>
      <c r="C1283" s="16">
        <f t="shared" si="24"/>
        <v>26</v>
      </c>
      <c r="D1283" s="16" t="str" cm="1">
        <f t="array" ref="D1283">IFERROR(ROUNDUP(_xlfn.IFS(F1283="Aluminum Track", _xlfn.XLOOKUP(C1283, dd_accsrycalc!$A$2:$A$51, dd_accsrycalc!$B$2:$B$51, "",0), F1283="10 x 2 1/2 S (Flat)", _xlfn.XLOOKUP(C1283, dd_accsrycalc!$A$2:$A$51, dd_accsrycalc!$C$2:$C$51, "",0), F1283="Tox6", _xlfn.XLOOKUP(C1283, dd_accsrycalc!$A$2:$A$51, dd_accsrycalc!$D$2:$D$51, "",0), F1283="Cover Cap", _xlfn.XLOOKUP(C1283, dd_accsrycalc!$A$2:$A$51, dd_accsrycalc!$E$2:$E$51, "",0), F1283="Drainage Cover", _xlfn.XLOOKUP(C1283, dd_accsrycalc!$A$2:$A$51, dd_accsrycalc!$F$2:$F$51, "",0),AND( F1283="Double Adhesive Tape", I1283="Roll-up Screen"), _xlfn.XLOOKUP(C1283, calc_rusacc!$C$15:$C$65, calc_rusacc!$AD$15:$AD$65, "",0),AND( F1283="Sealant", I1283="Roll-up Screen"), _xlfn.XLOOKUP(C1283, calc_rusacc!$C$15:$C$65, calc_rusacc!$AF$15:$AF$65, "",0),  AND( F1283="Main Chain", I1283="Accordion Screen"), _xlfn.XLOOKUP(C1283, calc_rusacc!$C$15:$C$65, calc_rusacc!$BF$15:$BF$65, "",0), AND( F1283="Sealant", I1283="Accordion Screen"), _xlfn.XLOOKUP(C1283, calc_rusacc!$C$15:$C$65, calc_rusacc!$BJ$15:$BJ$65, "",0),  F1283="Sealant", _xlfn.XLOOKUP(C1283, dd_accsrycalc!$A$2:$A$51, dd_accsrycalc!$G$2:$G$51, "",0),  F1283&lt;&gt;"",L1283*_xlfn.XLOOKUP(1, (SKUs!$C$2:$C$10001=G1283)*(SKUs!$K$2:$K$10001=I1283),SKUs!$E$2:$E$10001)), 0),"")</f>
        <v/>
      </c>
      <c r="E1283" s="16" t="str">
        <f>_xlfn.XLOOKUP(F1283,dd_item!$B$2:$B$105,dd_item!$C$2:$C$105,"",0)</f>
        <v/>
      </c>
      <c r="F1283" s="16"/>
      <c r="G1283" s="16" cm="1">
        <f t="array" ref="G1283">IFERROR(_xlfn.XLOOKUP(1, (SKUs!$J$2:$J$10001=accsry_unmerged!F1283)*IF(H1283&lt;&gt;"",(SKUs!$L$2:$L$10001=accsry_unmerged!H1283),1)*(SKUs!$K$2:$K$10001=I1283),SKUs!$C$2:$C$10001),"")</f>
        <v>0</v>
      </c>
      <c r="H1283" s="33" cm="1">
        <f t="array" ref="H1283">IFERROR(_xlfn.XLOOKUP(1, (dd_accsryclr!$C$2:$C$1000=accsry_unmerged!F1283)*(dd_accsryclr!$B$2:$B$1000=accsry_unmerged!J1283),dd_accsryclr!$A$2:$A$1000),"")</f>
        <v>0</v>
      </c>
      <c r="I1283" s="16">
        <f>_xlfn.XLOOKUP(C1283,'Project Details'!$C$17:$C$66,'Project Details'!$E$17:$E$66,"",0)</f>
        <v>0</v>
      </c>
      <c r="J1283" s="16">
        <f>_xlfn.XLOOKUP(C1283,'Project Details'!$C$17:$C$66,'Project Details'!$H$17:$H$66,"",0)</f>
        <v>0</v>
      </c>
      <c r="K1283" s="33" t="str">
        <f>IF(AND(_xlfn.XLOOKUP(C1283,'Project Details'!$C$17:$C$66,'Project Details'!$L$17:$L$66,"",0)&gt;550, F1283="Spring-L27cm"),"",SUBSTITUTE(_xlfn.XLOOKUP(G1283,SKUs!$C$2:$C$10001,SKUs!$F$2:$F$10001,"",0), " Accessories",""))</f>
        <v/>
      </c>
      <c r="L1283" s="33">
        <f>_xlfn.XLOOKUP(C1283,'Project Details'!$C$17:$C$66,'Project Details'!$D$17:$D$66,"",0)</f>
        <v>0</v>
      </c>
      <c r="M1283" s="43"/>
    </row>
    <row r="1284" spans="1:13" ht="13.5" customHeight="1" x14ac:dyDescent="0.25">
      <c r="A1284" s="43"/>
      <c r="B1284" s="43"/>
      <c r="C1284" s="35">
        <f t="shared" si="24"/>
        <v>26</v>
      </c>
      <c r="D1284" s="35" t="str" cm="1">
        <f t="array" ref="D1284">IFERROR(ROUNDUP(_xlfn.IFS(F1284="Aluminum Track", _xlfn.XLOOKUP(C1284, dd_accsrycalc!$A$2:$A$51, dd_accsrycalc!$B$2:$B$51, "",0), F1284="10 x 2 1/2 S (Flat)", _xlfn.XLOOKUP(C1284, dd_accsrycalc!$A$2:$A$51, dd_accsrycalc!$C$2:$C$51, "",0), F1284="Tox6", _xlfn.XLOOKUP(C1284, dd_accsrycalc!$A$2:$A$51, dd_accsrycalc!$D$2:$D$51, "",0), F1284="Cover Cap", _xlfn.XLOOKUP(C1284, dd_accsrycalc!$A$2:$A$51, dd_accsrycalc!$E$2:$E$51, "",0), F1284="Drainage Cover", _xlfn.XLOOKUP(C1284, dd_accsrycalc!$A$2:$A$51, dd_accsrycalc!$F$2:$F$51, "",0),AND( F1284="Double Adhesive Tape", I1284="Roll-up Screen"), _xlfn.XLOOKUP(C1284, calc_rusacc!$C$15:$C$65, calc_rusacc!$AD$15:$AD$65, "",0),AND( F1284="Sealant", I1284="Roll-up Screen"), _xlfn.XLOOKUP(C1284, calc_rusacc!$C$15:$C$65, calc_rusacc!$AF$15:$AF$65, "",0),  AND( F1284="Main Chain", I1284="Accordion Screen"), _xlfn.XLOOKUP(C1284, calc_rusacc!$C$15:$C$65, calc_rusacc!$BF$15:$BF$65, "",0), AND( F1284="Sealant", I1284="Accordion Screen"), _xlfn.XLOOKUP(C1284, calc_rusacc!$C$15:$C$65, calc_rusacc!$BJ$15:$BJ$65, "",0),  F1284="Sealant", _xlfn.XLOOKUP(C1284, dd_accsrycalc!$A$2:$A$51, dd_accsrycalc!$G$2:$G$51, "",0),  F1284&lt;&gt;"",L1284*_xlfn.XLOOKUP(1, (SKUs!$C$2:$C$10001=G1284)*(SKUs!$K$2:$K$10001=I1284),SKUs!$E$2:$E$10001)), 0),"")</f>
        <v/>
      </c>
      <c r="E1284" s="35" t="str">
        <f>_xlfn.XLOOKUP(F1284,dd_item!$B$2:$B$105,dd_item!$C$2:$C$105,"",0)</f>
        <v/>
      </c>
      <c r="F1284" s="35"/>
      <c r="G1284" s="35" cm="1">
        <f t="array" ref="G1284">IFERROR(_xlfn.XLOOKUP(1, (SKUs!$J$2:$J$10001=accsry_unmerged!F1284)*IF(H1284&lt;&gt;"",(SKUs!$L$2:$L$10001=accsry_unmerged!H1284),1)*(SKUs!$K$2:$K$10001=I1284),SKUs!$C$2:$C$10001),"")</f>
        <v>0</v>
      </c>
      <c r="H1284" s="36" cm="1">
        <f t="array" ref="H1284">IFERROR(_xlfn.XLOOKUP(1, (dd_accsryclr!$C$2:$C$1000=accsry_unmerged!F1284)*(dd_accsryclr!$B$2:$B$1000=accsry_unmerged!J1284),dd_accsryclr!$A$2:$A$1000),"")</f>
        <v>0</v>
      </c>
      <c r="I1284" s="35">
        <f>_xlfn.XLOOKUP(C1284,'Project Details'!$C$17:$C$66,'Project Details'!$E$17:$E$66,"",0)</f>
        <v>0</v>
      </c>
      <c r="J1284" s="35">
        <f>_xlfn.XLOOKUP(C1284,'Project Details'!$C$17:$C$66,'Project Details'!$H$17:$H$66,"",0)</f>
        <v>0</v>
      </c>
      <c r="K1284" s="36" t="str">
        <f>IF(AND(_xlfn.XLOOKUP(C1284,'Project Details'!$C$17:$C$66,'Project Details'!$L$17:$L$66,"",0)&gt;550, F1284="Spring-L27cm"),"",SUBSTITUTE(_xlfn.XLOOKUP(G1284,SKUs!$C$2:$C$10001,SKUs!$F$2:$F$10001,"",0), " Accessories",""))</f>
        <v/>
      </c>
      <c r="L1284" s="36">
        <f>_xlfn.XLOOKUP(C1284,'Project Details'!$C$17:$C$66,'Project Details'!$D$17:$D$66,"",0)</f>
        <v>0</v>
      </c>
      <c r="M1284" s="43"/>
    </row>
    <row r="1285" spans="1:13" ht="13.5" customHeight="1" x14ac:dyDescent="0.25">
      <c r="A1285" s="43"/>
      <c r="B1285" s="43"/>
      <c r="C1285" s="16">
        <f t="shared" si="24"/>
        <v>26</v>
      </c>
      <c r="D1285" s="16" t="str" cm="1">
        <f t="array" ref="D1285">IFERROR(ROUNDUP(_xlfn.IFS(F1285="Aluminum Track", _xlfn.XLOOKUP(C1285, dd_accsrycalc!$A$2:$A$51, dd_accsrycalc!$B$2:$B$51, "",0), F1285="10 x 2 1/2 S (Flat)", _xlfn.XLOOKUP(C1285, dd_accsrycalc!$A$2:$A$51, dd_accsrycalc!$C$2:$C$51, "",0), F1285="Tox6", _xlfn.XLOOKUP(C1285, dd_accsrycalc!$A$2:$A$51, dd_accsrycalc!$D$2:$D$51, "",0), F1285="Cover Cap", _xlfn.XLOOKUP(C1285, dd_accsrycalc!$A$2:$A$51, dd_accsrycalc!$E$2:$E$51, "",0), F1285="Drainage Cover", _xlfn.XLOOKUP(C1285, dd_accsrycalc!$A$2:$A$51, dd_accsrycalc!$F$2:$F$51, "",0),AND( F1285="Double Adhesive Tape", I1285="Roll-up Screen"), _xlfn.XLOOKUP(C1285, calc_rusacc!$C$15:$C$65, calc_rusacc!$AD$15:$AD$65, "",0),AND( F1285="Sealant", I1285="Roll-up Screen"), _xlfn.XLOOKUP(C1285, calc_rusacc!$C$15:$C$65, calc_rusacc!$AF$15:$AF$65, "",0),  AND( F1285="Main Chain", I1285="Accordion Screen"), _xlfn.XLOOKUP(C1285, calc_rusacc!$C$15:$C$65, calc_rusacc!$BF$15:$BF$65, "",0), AND( F1285="Sealant", I1285="Accordion Screen"), _xlfn.XLOOKUP(C1285, calc_rusacc!$C$15:$C$65, calc_rusacc!$BJ$15:$BJ$65, "",0),  F1285="Sealant", _xlfn.XLOOKUP(C1285, dd_accsrycalc!$A$2:$A$51, dd_accsrycalc!$G$2:$G$51, "",0),  F1285&lt;&gt;"",L1285*_xlfn.XLOOKUP(1, (SKUs!$C$2:$C$10001=G1285)*(SKUs!$K$2:$K$10001=I1285),SKUs!$E$2:$E$10001)), 0),"")</f>
        <v/>
      </c>
      <c r="E1285" s="16" t="str">
        <f>_xlfn.XLOOKUP(F1285,dd_item!$B$2:$B$105,dd_item!$C$2:$C$105,"",0)</f>
        <v/>
      </c>
      <c r="F1285" s="16"/>
      <c r="G1285" s="16" cm="1">
        <f t="array" ref="G1285">IFERROR(_xlfn.XLOOKUP(1, (SKUs!$J$2:$J$10001=accsry_unmerged!F1285)*IF(H1285&lt;&gt;"",(SKUs!$L$2:$L$10001=accsry_unmerged!H1285),1)*(SKUs!$K$2:$K$10001=I1285),SKUs!$C$2:$C$10001),"")</f>
        <v>0</v>
      </c>
      <c r="H1285" s="33" cm="1">
        <f t="array" ref="H1285">IFERROR(_xlfn.XLOOKUP(1, (dd_accsryclr!$C$2:$C$1000=accsry_unmerged!F1285)*(dd_accsryclr!$B$2:$B$1000=accsry_unmerged!J1285),dd_accsryclr!$A$2:$A$1000),"")</f>
        <v>0</v>
      </c>
      <c r="I1285" s="16">
        <f>_xlfn.XLOOKUP(C1285,'Project Details'!$C$17:$C$66,'Project Details'!$E$17:$E$66,"",0)</f>
        <v>0</v>
      </c>
      <c r="J1285" s="16">
        <f>_xlfn.XLOOKUP(C1285,'Project Details'!$C$17:$C$66,'Project Details'!$H$17:$H$66,"",0)</f>
        <v>0</v>
      </c>
      <c r="K1285" s="33" t="str">
        <f>IF(AND(_xlfn.XLOOKUP(C1285,'Project Details'!$C$17:$C$66,'Project Details'!$L$17:$L$66,"",0)&gt;550, F1285="Spring-L27cm"),"",SUBSTITUTE(_xlfn.XLOOKUP(G1285,SKUs!$C$2:$C$10001,SKUs!$F$2:$F$10001,"",0), " Accessories",""))</f>
        <v/>
      </c>
      <c r="L1285" s="33">
        <f>_xlfn.XLOOKUP(C1285,'Project Details'!$C$17:$C$66,'Project Details'!$D$17:$D$66,"",0)</f>
        <v>0</v>
      </c>
      <c r="M1285" s="43"/>
    </row>
    <row r="1286" spans="1:13" ht="13.5" customHeight="1" x14ac:dyDescent="0.25">
      <c r="A1286" s="43"/>
      <c r="B1286" s="43"/>
      <c r="C1286" s="35">
        <f t="shared" si="24"/>
        <v>26</v>
      </c>
      <c r="D1286" s="35" t="str" cm="1">
        <f t="array" ref="D1286">IFERROR(ROUNDUP(_xlfn.IFS(F1286="Aluminum Track", _xlfn.XLOOKUP(C1286, dd_accsrycalc!$A$2:$A$51, dd_accsrycalc!$B$2:$B$51, "",0), F1286="10 x 2 1/2 S (Flat)", _xlfn.XLOOKUP(C1286, dd_accsrycalc!$A$2:$A$51, dd_accsrycalc!$C$2:$C$51, "",0), F1286="Tox6", _xlfn.XLOOKUP(C1286, dd_accsrycalc!$A$2:$A$51, dd_accsrycalc!$D$2:$D$51, "",0), F1286="Cover Cap", _xlfn.XLOOKUP(C1286, dd_accsrycalc!$A$2:$A$51, dd_accsrycalc!$E$2:$E$51, "",0), F1286="Drainage Cover", _xlfn.XLOOKUP(C1286, dd_accsrycalc!$A$2:$A$51, dd_accsrycalc!$F$2:$F$51, "",0),AND( F1286="Double Adhesive Tape", I1286="Roll-up Screen"), _xlfn.XLOOKUP(C1286, calc_rusacc!$C$15:$C$65, calc_rusacc!$AD$15:$AD$65, "",0),AND( F1286="Sealant", I1286="Roll-up Screen"), _xlfn.XLOOKUP(C1286, calc_rusacc!$C$15:$C$65, calc_rusacc!$AF$15:$AF$65, "",0),  AND( F1286="Main Chain", I1286="Accordion Screen"), _xlfn.XLOOKUP(C1286, calc_rusacc!$C$15:$C$65, calc_rusacc!$BF$15:$BF$65, "",0), AND( F1286="Sealant", I1286="Accordion Screen"), _xlfn.XLOOKUP(C1286, calc_rusacc!$C$15:$C$65, calc_rusacc!$BJ$15:$BJ$65, "",0),  F1286="Sealant", _xlfn.XLOOKUP(C1286, dd_accsrycalc!$A$2:$A$51, dd_accsrycalc!$G$2:$G$51, "",0),  F1286&lt;&gt;"",L1286*_xlfn.XLOOKUP(1, (SKUs!$C$2:$C$10001=G1286)*(SKUs!$K$2:$K$10001=I1286),SKUs!$E$2:$E$10001)), 0),"")</f>
        <v/>
      </c>
      <c r="E1286" s="35" t="str">
        <f>_xlfn.XLOOKUP(F1286,dd_item!$B$2:$B$105,dd_item!$C$2:$C$105,"",0)</f>
        <v/>
      </c>
      <c r="F1286" s="35"/>
      <c r="G1286" s="35" cm="1">
        <f t="array" ref="G1286">IFERROR(_xlfn.XLOOKUP(1, (SKUs!$J$2:$J$10001=accsry_unmerged!F1286)*IF(H1286&lt;&gt;"",(SKUs!$L$2:$L$10001=accsry_unmerged!H1286),1)*(SKUs!$K$2:$K$10001=I1286),SKUs!$C$2:$C$10001),"")</f>
        <v>0</v>
      </c>
      <c r="H1286" s="36" cm="1">
        <f t="array" ref="H1286">IFERROR(_xlfn.XLOOKUP(1, (dd_accsryclr!$C$2:$C$1000=accsry_unmerged!F1286)*(dd_accsryclr!$B$2:$B$1000=accsry_unmerged!J1286),dd_accsryclr!$A$2:$A$1000),"")</f>
        <v>0</v>
      </c>
      <c r="I1286" s="35">
        <f>_xlfn.XLOOKUP(C1286,'Project Details'!$C$17:$C$66,'Project Details'!$E$17:$E$66,"",0)</f>
        <v>0</v>
      </c>
      <c r="J1286" s="35">
        <f>_xlfn.XLOOKUP(C1286,'Project Details'!$C$17:$C$66,'Project Details'!$H$17:$H$66,"",0)</f>
        <v>0</v>
      </c>
      <c r="K1286" s="36" t="str">
        <f>IF(AND(_xlfn.XLOOKUP(C1286,'Project Details'!$C$17:$C$66,'Project Details'!$L$17:$L$66,"",0)&gt;550, F1286="Spring-L27cm"),"",SUBSTITUTE(_xlfn.XLOOKUP(G1286,SKUs!$C$2:$C$10001,SKUs!$F$2:$F$10001,"",0), " Accessories",""))</f>
        <v/>
      </c>
      <c r="L1286" s="36">
        <f>_xlfn.XLOOKUP(C1286,'Project Details'!$C$17:$C$66,'Project Details'!$D$17:$D$66,"",0)</f>
        <v>0</v>
      </c>
      <c r="M1286" s="43"/>
    </row>
    <row r="1287" spans="1:13" ht="13.5" customHeight="1" x14ac:dyDescent="0.25">
      <c r="A1287" s="43"/>
      <c r="B1287" s="43"/>
      <c r="C1287" s="16">
        <f t="shared" si="24"/>
        <v>26</v>
      </c>
      <c r="D1287" s="16" t="str" cm="1">
        <f t="array" ref="D1287">IFERROR(ROUNDUP(_xlfn.IFS(F1287="Aluminum Track", _xlfn.XLOOKUP(C1287, dd_accsrycalc!$A$2:$A$51, dd_accsrycalc!$B$2:$B$51, "",0), F1287="10 x 2 1/2 S (Flat)", _xlfn.XLOOKUP(C1287, dd_accsrycalc!$A$2:$A$51, dd_accsrycalc!$C$2:$C$51, "",0), F1287="Tox6", _xlfn.XLOOKUP(C1287, dd_accsrycalc!$A$2:$A$51, dd_accsrycalc!$D$2:$D$51, "",0), F1287="Cover Cap", _xlfn.XLOOKUP(C1287, dd_accsrycalc!$A$2:$A$51, dd_accsrycalc!$E$2:$E$51, "",0), F1287="Drainage Cover", _xlfn.XLOOKUP(C1287, dd_accsrycalc!$A$2:$A$51, dd_accsrycalc!$F$2:$F$51, "",0),AND( F1287="Double Adhesive Tape", I1287="Roll-up Screen"), _xlfn.XLOOKUP(C1287, calc_rusacc!$C$15:$C$65, calc_rusacc!$AD$15:$AD$65, "",0),AND( F1287="Sealant", I1287="Roll-up Screen"), _xlfn.XLOOKUP(C1287, calc_rusacc!$C$15:$C$65, calc_rusacc!$AF$15:$AF$65, "",0),  AND( F1287="Main Chain", I1287="Accordion Screen"), _xlfn.XLOOKUP(C1287, calc_rusacc!$C$15:$C$65, calc_rusacc!$BF$15:$BF$65, "",0), AND( F1287="Sealant", I1287="Accordion Screen"), _xlfn.XLOOKUP(C1287, calc_rusacc!$C$15:$C$65, calc_rusacc!$BJ$15:$BJ$65, "",0),  F1287="Sealant", _xlfn.XLOOKUP(C1287, dd_accsrycalc!$A$2:$A$51, dd_accsrycalc!$G$2:$G$51, "",0),  F1287&lt;&gt;"",L1287*_xlfn.XLOOKUP(1, (SKUs!$C$2:$C$10001=G1287)*(SKUs!$K$2:$K$10001=I1287),SKUs!$E$2:$E$10001)), 0),"")</f>
        <v/>
      </c>
      <c r="E1287" s="16" t="str">
        <f>_xlfn.XLOOKUP(F1287,dd_item!$B$2:$B$105,dd_item!$C$2:$C$105,"",0)</f>
        <v/>
      </c>
      <c r="F1287" s="16"/>
      <c r="G1287" s="16" cm="1">
        <f t="array" ref="G1287">IFERROR(_xlfn.XLOOKUP(1, (SKUs!$J$2:$J$10001=accsry_unmerged!F1287)*IF(H1287&lt;&gt;"",(SKUs!$L$2:$L$10001=accsry_unmerged!H1287),1)*(SKUs!$K$2:$K$10001=I1287),SKUs!$C$2:$C$10001),"")</f>
        <v>0</v>
      </c>
      <c r="H1287" s="33" cm="1">
        <f t="array" ref="H1287">IFERROR(_xlfn.XLOOKUP(1, (dd_accsryclr!$C$2:$C$1000=accsry_unmerged!F1287)*(dd_accsryclr!$B$2:$B$1000=accsry_unmerged!J1287),dd_accsryclr!$A$2:$A$1000),"")</f>
        <v>0</v>
      </c>
      <c r="I1287" s="16">
        <f>_xlfn.XLOOKUP(C1287,'Project Details'!$C$17:$C$66,'Project Details'!$E$17:$E$66,"",0)</f>
        <v>0</v>
      </c>
      <c r="J1287" s="16">
        <f>_xlfn.XLOOKUP(C1287,'Project Details'!$C$17:$C$66,'Project Details'!$H$17:$H$66,"",0)</f>
        <v>0</v>
      </c>
      <c r="K1287" s="33" t="str">
        <f>IF(AND(_xlfn.XLOOKUP(C1287,'Project Details'!$C$17:$C$66,'Project Details'!$L$17:$L$66,"",0)&gt;550, F1287="Spring-L27cm"),"",SUBSTITUTE(_xlfn.XLOOKUP(G1287,SKUs!$C$2:$C$10001,SKUs!$F$2:$F$10001,"",0), " Accessories",""))</f>
        <v/>
      </c>
      <c r="L1287" s="33">
        <f>_xlfn.XLOOKUP(C1287,'Project Details'!$C$17:$C$66,'Project Details'!$D$17:$D$66,"",0)</f>
        <v>0</v>
      </c>
      <c r="M1287" s="43"/>
    </row>
    <row r="1288" spans="1:13" ht="13.5" customHeight="1" x14ac:dyDescent="0.25">
      <c r="A1288" s="43"/>
      <c r="B1288" s="43"/>
      <c r="C1288" s="35">
        <f t="shared" si="24"/>
        <v>26</v>
      </c>
      <c r="D1288" s="35" t="str" cm="1">
        <f t="array" ref="D1288">IFERROR(ROUNDUP(_xlfn.IFS(F1288="Aluminum Track", _xlfn.XLOOKUP(C1288, dd_accsrycalc!$A$2:$A$51, dd_accsrycalc!$B$2:$B$51, "",0), F1288="10 x 2 1/2 S (Flat)", _xlfn.XLOOKUP(C1288, dd_accsrycalc!$A$2:$A$51, dd_accsrycalc!$C$2:$C$51, "",0), F1288="Tox6", _xlfn.XLOOKUP(C1288, dd_accsrycalc!$A$2:$A$51, dd_accsrycalc!$D$2:$D$51, "",0), F1288="Cover Cap", _xlfn.XLOOKUP(C1288, dd_accsrycalc!$A$2:$A$51, dd_accsrycalc!$E$2:$E$51, "",0), F1288="Drainage Cover", _xlfn.XLOOKUP(C1288, dd_accsrycalc!$A$2:$A$51, dd_accsrycalc!$F$2:$F$51, "",0),AND( F1288="Double Adhesive Tape", I1288="Roll-up Screen"), _xlfn.XLOOKUP(C1288, calc_rusacc!$C$15:$C$65, calc_rusacc!$AD$15:$AD$65, "",0),AND( F1288="Sealant", I1288="Roll-up Screen"), _xlfn.XLOOKUP(C1288, calc_rusacc!$C$15:$C$65, calc_rusacc!$AF$15:$AF$65, "",0),  AND( F1288="Main Chain", I1288="Accordion Screen"), _xlfn.XLOOKUP(C1288, calc_rusacc!$C$15:$C$65, calc_rusacc!$BF$15:$BF$65, "",0), AND( F1288="Sealant", I1288="Accordion Screen"), _xlfn.XLOOKUP(C1288, calc_rusacc!$C$15:$C$65, calc_rusacc!$BJ$15:$BJ$65, "",0),  F1288="Sealant", _xlfn.XLOOKUP(C1288, dd_accsrycalc!$A$2:$A$51, dd_accsrycalc!$G$2:$G$51, "",0),  F1288&lt;&gt;"",L1288*_xlfn.XLOOKUP(1, (SKUs!$C$2:$C$10001=G1288)*(SKUs!$K$2:$K$10001=I1288),SKUs!$E$2:$E$10001)), 0),"")</f>
        <v/>
      </c>
      <c r="E1288" s="35" t="str">
        <f>_xlfn.XLOOKUP(F1288,dd_item!$B$2:$B$105,dd_item!$C$2:$C$105,"",0)</f>
        <v/>
      </c>
      <c r="F1288" s="35"/>
      <c r="G1288" s="35" cm="1">
        <f t="array" ref="G1288">IFERROR(_xlfn.XLOOKUP(1, (SKUs!$J$2:$J$10001=accsry_unmerged!F1288)*IF(H1288&lt;&gt;"",(SKUs!$L$2:$L$10001=accsry_unmerged!H1288),1)*(SKUs!$K$2:$K$10001=I1288),SKUs!$C$2:$C$10001),"")</f>
        <v>0</v>
      </c>
      <c r="H1288" s="36" cm="1">
        <f t="array" ref="H1288">IFERROR(_xlfn.XLOOKUP(1, (dd_accsryclr!$C$2:$C$1000=accsry_unmerged!F1288)*(dd_accsryclr!$B$2:$B$1000=accsry_unmerged!J1288),dd_accsryclr!$A$2:$A$1000),"")</f>
        <v>0</v>
      </c>
      <c r="I1288" s="35">
        <f>_xlfn.XLOOKUP(C1288,'Project Details'!$C$17:$C$66,'Project Details'!$E$17:$E$66,"",0)</f>
        <v>0</v>
      </c>
      <c r="J1288" s="35">
        <f>_xlfn.XLOOKUP(C1288,'Project Details'!$C$17:$C$66,'Project Details'!$H$17:$H$66,"",0)</f>
        <v>0</v>
      </c>
      <c r="K1288" s="36" t="str">
        <f>IF(AND(_xlfn.XLOOKUP(C1288,'Project Details'!$C$17:$C$66,'Project Details'!$L$17:$L$66,"",0)&gt;550, F1288="Spring-L27cm"),"",SUBSTITUTE(_xlfn.XLOOKUP(G1288,SKUs!$C$2:$C$10001,SKUs!$F$2:$F$10001,"",0), " Accessories",""))</f>
        <v/>
      </c>
      <c r="L1288" s="36">
        <f>_xlfn.XLOOKUP(C1288,'Project Details'!$C$17:$C$66,'Project Details'!$D$17:$D$66,"",0)</f>
        <v>0</v>
      </c>
      <c r="M1288" s="43"/>
    </row>
    <row r="1289" spans="1:13" ht="13.5" customHeight="1" x14ac:dyDescent="0.25">
      <c r="A1289" s="43"/>
      <c r="B1289" s="43"/>
      <c r="C1289" s="16">
        <f t="shared" si="24"/>
        <v>26</v>
      </c>
      <c r="D1289" s="16" t="str" cm="1">
        <f t="array" ref="D1289">IFERROR(ROUNDUP(_xlfn.IFS(F1289="Aluminum Track", _xlfn.XLOOKUP(C1289, dd_accsrycalc!$A$2:$A$51, dd_accsrycalc!$B$2:$B$51, "",0), F1289="10 x 2 1/2 S (Flat)", _xlfn.XLOOKUP(C1289, dd_accsrycalc!$A$2:$A$51, dd_accsrycalc!$C$2:$C$51, "",0), F1289="Tox6", _xlfn.XLOOKUP(C1289, dd_accsrycalc!$A$2:$A$51, dd_accsrycalc!$D$2:$D$51, "",0), F1289="Cover Cap", _xlfn.XLOOKUP(C1289, dd_accsrycalc!$A$2:$A$51, dd_accsrycalc!$E$2:$E$51, "",0), F1289="Drainage Cover", _xlfn.XLOOKUP(C1289, dd_accsrycalc!$A$2:$A$51, dd_accsrycalc!$F$2:$F$51, "",0),AND( F1289="Double Adhesive Tape", I1289="Roll-up Screen"), _xlfn.XLOOKUP(C1289, calc_rusacc!$C$15:$C$65, calc_rusacc!$AD$15:$AD$65, "",0),AND( F1289="Sealant", I1289="Roll-up Screen"), _xlfn.XLOOKUP(C1289, calc_rusacc!$C$15:$C$65, calc_rusacc!$AF$15:$AF$65, "",0),  AND( F1289="Main Chain", I1289="Accordion Screen"), _xlfn.XLOOKUP(C1289, calc_rusacc!$C$15:$C$65, calc_rusacc!$BF$15:$BF$65, "",0), AND( F1289="Sealant", I1289="Accordion Screen"), _xlfn.XLOOKUP(C1289, calc_rusacc!$C$15:$C$65, calc_rusacc!$BJ$15:$BJ$65, "",0),  F1289="Sealant", _xlfn.XLOOKUP(C1289, dd_accsrycalc!$A$2:$A$51, dd_accsrycalc!$G$2:$G$51, "",0),  F1289&lt;&gt;"",L1289*_xlfn.XLOOKUP(1, (SKUs!$C$2:$C$10001=G1289)*(SKUs!$K$2:$K$10001=I1289),SKUs!$E$2:$E$10001)), 0),"")</f>
        <v/>
      </c>
      <c r="E1289" s="16" t="str">
        <f>_xlfn.XLOOKUP(F1289,dd_item!$B$2:$B$105,dd_item!$C$2:$C$105,"",0)</f>
        <v/>
      </c>
      <c r="F1289" s="16"/>
      <c r="G1289" s="16" cm="1">
        <f t="array" ref="G1289">IFERROR(_xlfn.XLOOKUP(1, (SKUs!$J$2:$J$10001=accsry_unmerged!F1289)*IF(H1289&lt;&gt;"",(SKUs!$L$2:$L$10001=accsry_unmerged!H1289),1)*(SKUs!$K$2:$K$10001=I1289),SKUs!$C$2:$C$10001),"")</f>
        <v>0</v>
      </c>
      <c r="H1289" s="33" cm="1">
        <f t="array" ref="H1289">IFERROR(_xlfn.XLOOKUP(1, (dd_accsryclr!$C$2:$C$1000=accsry_unmerged!F1289)*(dd_accsryclr!$B$2:$B$1000=accsry_unmerged!J1289),dd_accsryclr!$A$2:$A$1000),"")</f>
        <v>0</v>
      </c>
      <c r="I1289" s="16">
        <f>_xlfn.XLOOKUP(C1289,'Project Details'!$C$17:$C$66,'Project Details'!$E$17:$E$66,"",0)</f>
        <v>0</v>
      </c>
      <c r="J1289" s="16">
        <f>_xlfn.XLOOKUP(C1289,'Project Details'!$C$17:$C$66,'Project Details'!$H$17:$H$66,"",0)</f>
        <v>0</v>
      </c>
      <c r="K1289" s="33" t="str">
        <f>IF(AND(_xlfn.XLOOKUP(C1289,'Project Details'!$C$17:$C$66,'Project Details'!$L$17:$L$66,"",0)&gt;550, F1289="Spring-L27cm"),"",SUBSTITUTE(_xlfn.XLOOKUP(G1289,SKUs!$C$2:$C$10001,SKUs!$F$2:$F$10001,"",0), " Accessories",""))</f>
        <v/>
      </c>
      <c r="L1289" s="33">
        <f>_xlfn.XLOOKUP(C1289,'Project Details'!$C$17:$C$66,'Project Details'!$D$17:$D$66,"",0)</f>
        <v>0</v>
      </c>
      <c r="M1289" s="43"/>
    </row>
    <row r="1290" spans="1:13" ht="13.5" customHeight="1" x14ac:dyDescent="0.25">
      <c r="A1290" s="43"/>
      <c r="B1290" s="43"/>
      <c r="C1290" s="35">
        <f t="shared" si="24"/>
        <v>26</v>
      </c>
      <c r="D1290" s="35" t="str" cm="1">
        <f t="array" ref="D1290">IFERROR(ROUNDUP(_xlfn.IFS(F1290="Aluminum Track", _xlfn.XLOOKUP(C1290, dd_accsrycalc!$A$2:$A$51, dd_accsrycalc!$B$2:$B$51, "",0), F1290="10 x 2 1/2 S (Flat)", _xlfn.XLOOKUP(C1290, dd_accsrycalc!$A$2:$A$51, dd_accsrycalc!$C$2:$C$51, "",0), F1290="Tox6", _xlfn.XLOOKUP(C1290, dd_accsrycalc!$A$2:$A$51, dd_accsrycalc!$D$2:$D$51, "",0), F1290="Cover Cap", _xlfn.XLOOKUP(C1290, dd_accsrycalc!$A$2:$A$51, dd_accsrycalc!$E$2:$E$51, "",0), F1290="Drainage Cover", _xlfn.XLOOKUP(C1290, dd_accsrycalc!$A$2:$A$51, dd_accsrycalc!$F$2:$F$51, "",0),AND( F1290="Double Adhesive Tape", I1290="Roll-up Screen"), _xlfn.XLOOKUP(C1290, calc_rusacc!$C$15:$C$65, calc_rusacc!$AD$15:$AD$65, "",0),AND( F1290="Sealant", I1290="Roll-up Screen"), _xlfn.XLOOKUP(C1290, calc_rusacc!$C$15:$C$65, calc_rusacc!$AF$15:$AF$65, "",0),  AND( F1290="Main Chain", I1290="Accordion Screen"), _xlfn.XLOOKUP(C1290, calc_rusacc!$C$15:$C$65, calc_rusacc!$BF$15:$BF$65, "",0), AND( F1290="Sealant", I1290="Accordion Screen"), _xlfn.XLOOKUP(C1290, calc_rusacc!$C$15:$C$65, calc_rusacc!$BJ$15:$BJ$65, "",0),  F1290="Sealant", _xlfn.XLOOKUP(C1290, dd_accsrycalc!$A$2:$A$51, dd_accsrycalc!$G$2:$G$51, "",0),  F1290&lt;&gt;"",L1290*_xlfn.XLOOKUP(1, (SKUs!$C$2:$C$10001=G1290)*(SKUs!$K$2:$K$10001=I1290),SKUs!$E$2:$E$10001)), 0),"")</f>
        <v/>
      </c>
      <c r="E1290" s="35" t="str">
        <f>_xlfn.XLOOKUP(F1290,dd_item!$B$2:$B$105,dd_item!$C$2:$C$105,"",0)</f>
        <v/>
      </c>
      <c r="F1290" s="35"/>
      <c r="G1290" s="35" cm="1">
        <f t="array" ref="G1290">IFERROR(_xlfn.XLOOKUP(1, (SKUs!$J$2:$J$10001=accsry_unmerged!F1290)*IF(H1290&lt;&gt;"",(SKUs!$L$2:$L$10001=accsry_unmerged!H1290),1)*(SKUs!$K$2:$K$10001=I1290),SKUs!$C$2:$C$10001),"")</f>
        <v>0</v>
      </c>
      <c r="H1290" s="36" cm="1">
        <f t="array" ref="H1290">IFERROR(_xlfn.XLOOKUP(1, (dd_accsryclr!$C$2:$C$1000=accsry_unmerged!F1290)*(dd_accsryclr!$B$2:$B$1000=accsry_unmerged!J1290),dd_accsryclr!$A$2:$A$1000),"")</f>
        <v>0</v>
      </c>
      <c r="I1290" s="35">
        <f>_xlfn.XLOOKUP(C1290,'Project Details'!$C$17:$C$66,'Project Details'!$E$17:$E$66,"",0)</f>
        <v>0</v>
      </c>
      <c r="J1290" s="35">
        <f>_xlfn.XLOOKUP(C1290,'Project Details'!$C$17:$C$66,'Project Details'!$H$17:$H$66,"",0)</f>
        <v>0</v>
      </c>
      <c r="K1290" s="36" t="str">
        <f>IF(AND(_xlfn.XLOOKUP(C1290,'Project Details'!$C$17:$C$66,'Project Details'!$L$17:$L$66,"",0)&gt;550, F1290="Spring-L27cm"),"",SUBSTITUTE(_xlfn.XLOOKUP(G1290,SKUs!$C$2:$C$10001,SKUs!$F$2:$F$10001,"",0), " Accessories",""))</f>
        <v/>
      </c>
      <c r="L1290" s="36">
        <f>_xlfn.XLOOKUP(C1290,'Project Details'!$C$17:$C$66,'Project Details'!$D$17:$D$66,"",0)</f>
        <v>0</v>
      </c>
      <c r="M1290" s="43"/>
    </row>
    <row r="1291" spans="1:13" ht="13.5" customHeight="1" x14ac:dyDescent="0.25">
      <c r="A1291" s="43"/>
      <c r="B1291" s="43"/>
      <c r="C1291" s="16">
        <f t="shared" si="24"/>
        <v>26</v>
      </c>
      <c r="D1291" s="16" t="str" cm="1">
        <f t="array" ref="D1291">IFERROR(ROUNDUP(_xlfn.IFS(F1291="Aluminum Track", _xlfn.XLOOKUP(C1291, dd_accsrycalc!$A$2:$A$51, dd_accsrycalc!$B$2:$B$51, "",0), F1291="10 x 2 1/2 S (Flat)", _xlfn.XLOOKUP(C1291, dd_accsrycalc!$A$2:$A$51, dd_accsrycalc!$C$2:$C$51, "",0), F1291="Tox6", _xlfn.XLOOKUP(C1291, dd_accsrycalc!$A$2:$A$51, dd_accsrycalc!$D$2:$D$51, "",0), F1291="Cover Cap", _xlfn.XLOOKUP(C1291, dd_accsrycalc!$A$2:$A$51, dd_accsrycalc!$E$2:$E$51, "",0), F1291="Drainage Cover", _xlfn.XLOOKUP(C1291, dd_accsrycalc!$A$2:$A$51, dd_accsrycalc!$F$2:$F$51, "",0),AND( F1291="Double Adhesive Tape", I1291="Roll-up Screen"), _xlfn.XLOOKUP(C1291, calc_rusacc!$C$15:$C$65, calc_rusacc!$AD$15:$AD$65, "",0),AND( F1291="Sealant", I1291="Roll-up Screen"), _xlfn.XLOOKUP(C1291, calc_rusacc!$C$15:$C$65, calc_rusacc!$AF$15:$AF$65, "",0),  AND( F1291="Main Chain", I1291="Accordion Screen"), _xlfn.XLOOKUP(C1291, calc_rusacc!$C$15:$C$65, calc_rusacc!$BF$15:$BF$65, "",0), AND( F1291="Sealant", I1291="Accordion Screen"), _xlfn.XLOOKUP(C1291, calc_rusacc!$C$15:$C$65, calc_rusacc!$BJ$15:$BJ$65, "",0),  F1291="Sealant", _xlfn.XLOOKUP(C1291, dd_accsrycalc!$A$2:$A$51, dd_accsrycalc!$G$2:$G$51, "",0),  F1291&lt;&gt;"",L1291*_xlfn.XLOOKUP(1, (SKUs!$C$2:$C$10001=G1291)*(SKUs!$K$2:$K$10001=I1291),SKUs!$E$2:$E$10001)), 0),"")</f>
        <v/>
      </c>
      <c r="E1291" s="16" t="str">
        <f>_xlfn.XLOOKUP(F1291,dd_item!$B$2:$B$105,dd_item!$C$2:$C$105,"",0)</f>
        <v/>
      </c>
      <c r="F1291" s="16"/>
      <c r="G1291" s="16" cm="1">
        <f t="array" ref="G1291">IFERROR(_xlfn.XLOOKUP(1, (SKUs!$J$2:$J$10001=accsry_unmerged!F1291)*IF(H1291&lt;&gt;"",(SKUs!$L$2:$L$10001=accsry_unmerged!H1291),1)*(SKUs!$K$2:$K$10001=I1291),SKUs!$C$2:$C$10001),"")</f>
        <v>0</v>
      </c>
      <c r="H1291" s="33" cm="1">
        <f t="array" ref="H1291">IFERROR(_xlfn.XLOOKUP(1, (dd_accsryclr!$C$2:$C$1000=accsry_unmerged!F1291)*(dd_accsryclr!$B$2:$B$1000=accsry_unmerged!J1291),dd_accsryclr!$A$2:$A$1000),"")</f>
        <v>0</v>
      </c>
      <c r="I1291" s="16">
        <f>_xlfn.XLOOKUP(C1291,'Project Details'!$C$17:$C$66,'Project Details'!$E$17:$E$66,"",0)</f>
        <v>0</v>
      </c>
      <c r="J1291" s="16">
        <f>_xlfn.XLOOKUP(C1291,'Project Details'!$C$17:$C$66,'Project Details'!$H$17:$H$66,"",0)</f>
        <v>0</v>
      </c>
      <c r="K1291" s="33" t="str">
        <f>IF(AND(_xlfn.XLOOKUP(C1291,'Project Details'!$C$17:$C$66,'Project Details'!$L$17:$L$66,"",0)&gt;550, F1291="Spring-L27cm"),"",SUBSTITUTE(_xlfn.XLOOKUP(G1291,SKUs!$C$2:$C$10001,SKUs!$F$2:$F$10001,"",0), " Accessories",""))</f>
        <v/>
      </c>
      <c r="L1291" s="33">
        <f>_xlfn.XLOOKUP(C1291,'Project Details'!$C$17:$C$66,'Project Details'!$D$17:$D$66,"",0)</f>
        <v>0</v>
      </c>
      <c r="M1291" s="43"/>
    </row>
    <row r="1292" spans="1:13" ht="13.5" customHeight="1" x14ac:dyDescent="0.25">
      <c r="A1292" s="43"/>
      <c r="B1292" s="43"/>
      <c r="C1292" s="35">
        <f t="shared" si="24"/>
        <v>26</v>
      </c>
      <c r="D1292" s="35" t="str" cm="1">
        <f t="array" ref="D1292">IFERROR(ROUNDUP(_xlfn.IFS(F1292="Aluminum Track", _xlfn.XLOOKUP(C1292, dd_accsrycalc!$A$2:$A$51, dd_accsrycalc!$B$2:$B$51, "",0), F1292="10 x 2 1/2 S (Flat)", _xlfn.XLOOKUP(C1292, dd_accsrycalc!$A$2:$A$51, dd_accsrycalc!$C$2:$C$51, "",0), F1292="Tox6", _xlfn.XLOOKUP(C1292, dd_accsrycalc!$A$2:$A$51, dd_accsrycalc!$D$2:$D$51, "",0), F1292="Cover Cap", _xlfn.XLOOKUP(C1292, dd_accsrycalc!$A$2:$A$51, dd_accsrycalc!$E$2:$E$51, "",0), F1292="Drainage Cover", _xlfn.XLOOKUP(C1292, dd_accsrycalc!$A$2:$A$51, dd_accsrycalc!$F$2:$F$51, "",0),AND( F1292="Double Adhesive Tape", I1292="Roll-up Screen"), _xlfn.XLOOKUP(C1292, calc_rusacc!$C$15:$C$65, calc_rusacc!$AD$15:$AD$65, "",0),AND( F1292="Sealant", I1292="Roll-up Screen"), _xlfn.XLOOKUP(C1292, calc_rusacc!$C$15:$C$65, calc_rusacc!$AF$15:$AF$65, "",0),  AND( F1292="Main Chain", I1292="Accordion Screen"), _xlfn.XLOOKUP(C1292, calc_rusacc!$C$15:$C$65, calc_rusacc!$BF$15:$BF$65, "",0), AND( F1292="Sealant", I1292="Accordion Screen"), _xlfn.XLOOKUP(C1292, calc_rusacc!$C$15:$C$65, calc_rusacc!$BJ$15:$BJ$65, "",0),  F1292="Sealant", _xlfn.XLOOKUP(C1292, dd_accsrycalc!$A$2:$A$51, dd_accsrycalc!$G$2:$G$51, "",0),  F1292&lt;&gt;"",L1292*_xlfn.XLOOKUP(1, (SKUs!$C$2:$C$10001=G1292)*(SKUs!$K$2:$K$10001=I1292),SKUs!$E$2:$E$10001)), 0),"")</f>
        <v/>
      </c>
      <c r="E1292" s="35" t="str">
        <f>_xlfn.XLOOKUP(F1292,dd_item!$B$2:$B$105,dd_item!$C$2:$C$105,"",0)</f>
        <v/>
      </c>
      <c r="F1292" s="35"/>
      <c r="G1292" s="35" cm="1">
        <f t="array" ref="G1292">IFERROR(_xlfn.XLOOKUP(1, (SKUs!$J$2:$J$10001=accsry_unmerged!F1292)*IF(H1292&lt;&gt;"",(SKUs!$L$2:$L$10001=accsry_unmerged!H1292),1)*(SKUs!$K$2:$K$10001=I1292),SKUs!$C$2:$C$10001),"")</f>
        <v>0</v>
      </c>
      <c r="H1292" s="36" cm="1">
        <f t="array" ref="H1292">IFERROR(_xlfn.XLOOKUP(1, (dd_accsryclr!$C$2:$C$1000=accsry_unmerged!F1292)*(dd_accsryclr!$B$2:$B$1000=accsry_unmerged!J1292),dd_accsryclr!$A$2:$A$1000),"")</f>
        <v>0</v>
      </c>
      <c r="I1292" s="35">
        <f>_xlfn.XLOOKUP(C1292,'Project Details'!$C$17:$C$66,'Project Details'!$E$17:$E$66,"",0)</f>
        <v>0</v>
      </c>
      <c r="J1292" s="35">
        <f>_xlfn.XLOOKUP(C1292,'Project Details'!$C$17:$C$66,'Project Details'!$H$17:$H$66,"",0)</f>
        <v>0</v>
      </c>
      <c r="K1292" s="36" t="str">
        <f>IF(AND(_xlfn.XLOOKUP(C1292,'Project Details'!$C$17:$C$66,'Project Details'!$L$17:$L$66,"",0)&gt;550, F1292="Spring-L27cm"),"",SUBSTITUTE(_xlfn.XLOOKUP(G1292,SKUs!$C$2:$C$10001,SKUs!$F$2:$F$10001,"",0), " Accessories",""))</f>
        <v/>
      </c>
      <c r="L1292" s="36">
        <f>_xlfn.XLOOKUP(C1292,'Project Details'!$C$17:$C$66,'Project Details'!$D$17:$D$66,"",0)</f>
        <v>0</v>
      </c>
      <c r="M1292" s="43"/>
    </row>
    <row r="1293" spans="1:13" ht="13.5" customHeight="1" x14ac:dyDescent="0.25">
      <c r="A1293" s="43"/>
      <c r="B1293" s="43"/>
      <c r="C1293" s="16">
        <f t="shared" si="24"/>
        <v>26</v>
      </c>
      <c r="D1293" s="16" t="str" cm="1">
        <f t="array" ref="D1293">IFERROR(ROUNDUP(_xlfn.IFS(F1293="Aluminum Track", _xlfn.XLOOKUP(C1293, dd_accsrycalc!$A$2:$A$51, dd_accsrycalc!$B$2:$B$51, "",0), F1293="10 x 2 1/2 S (Flat)", _xlfn.XLOOKUP(C1293, dd_accsrycalc!$A$2:$A$51, dd_accsrycalc!$C$2:$C$51, "",0), F1293="Tox6", _xlfn.XLOOKUP(C1293, dd_accsrycalc!$A$2:$A$51, dd_accsrycalc!$D$2:$D$51, "",0), F1293="Cover Cap", _xlfn.XLOOKUP(C1293, dd_accsrycalc!$A$2:$A$51, dd_accsrycalc!$E$2:$E$51, "",0), F1293="Drainage Cover", _xlfn.XLOOKUP(C1293, dd_accsrycalc!$A$2:$A$51, dd_accsrycalc!$F$2:$F$51, "",0),AND( F1293="Double Adhesive Tape", I1293="Roll-up Screen"), _xlfn.XLOOKUP(C1293, calc_rusacc!$C$15:$C$65, calc_rusacc!$AD$15:$AD$65, "",0),AND( F1293="Sealant", I1293="Roll-up Screen"), _xlfn.XLOOKUP(C1293, calc_rusacc!$C$15:$C$65, calc_rusacc!$AF$15:$AF$65, "",0),  AND( F1293="Main Chain", I1293="Accordion Screen"), _xlfn.XLOOKUP(C1293, calc_rusacc!$C$15:$C$65, calc_rusacc!$BF$15:$BF$65, "",0), AND( F1293="Sealant", I1293="Accordion Screen"), _xlfn.XLOOKUP(C1293, calc_rusacc!$C$15:$C$65, calc_rusacc!$BJ$15:$BJ$65, "",0),  F1293="Sealant", _xlfn.XLOOKUP(C1293, dd_accsrycalc!$A$2:$A$51, dd_accsrycalc!$G$2:$G$51, "",0),  F1293&lt;&gt;"",L1293*_xlfn.XLOOKUP(1, (SKUs!$C$2:$C$10001=G1293)*(SKUs!$K$2:$K$10001=I1293),SKUs!$E$2:$E$10001)), 0),"")</f>
        <v/>
      </c>
      <c r="E1293" s="16" t="str">
        <f>_xlfn.XLOOKUP(F1293,dd_item!$B$2:$B$105,dd_item!$C$2:$C$105,"",0)</f>
        <v/>
      </c>
      <c r="F1293" s="16"/>
      <c r="G1293" s="16" cm="1">
        <f t="array" ref="G1293">IFERROR(_xlfn.XLOOKUP(1, (SKUs!$J$2:$J$10001=accsry_unmerged!F1293)*IF(H1293&lt;&gt;"",(SKUs!$L$2:$L$10001=accsry_unmerged!H1293),1)*(SKUs!$K$2:$K$10001=I1293),SKUs!$C$2:$C$10001),"")</f>
        <v>0</v>
      </c>
      <c r="H1293" s="33" cm="1">
        <f t="array" ref="H1293">IFERROR(_xlfn.XLOOKUP(1, (dd_accsryclr!$C$2:$C$1000=accsry_unmerged!F1293)*(dd_accsryclr!$B$2:$B$1000=accsry_unmerged!J1293),dd_accsryclr!$A$2:$A$1000),"")</f>
        <v>0</v>
      </c>
      <c r="I1293" s="16">
        <f>_xlfn.XLOOKUP(C1293,'Project Details'!$C$17:$C$66,'Project Details'!$E$17:$E$66,"",0)</f>
        <v>0</v>
      </c>
      <c r="J1293" s="16">
        <f>_xlfn.XLOOKUP(C1293,'Project Details'!$C$17:$C$66,'Project Details'!$H$17:$H$66,"",0)</f>
        <v>0</v>
      </c>
      <c r="K1293" s="33" t="str">
        <f>IF(AND(_xlfn.XLOOKUP(C1293,'Project Details'!$C$17:$C$66,'Project Details'!$L$17:$L$66,"",0)&gt;550, F1293="Spring-L27cm"),"",SUBSTITUTE(_xlfn.XLOOKUP(G1293,SKUs!$C$2:$C$10001,SKUs!$F$2:$F$10001,"",0), " Accessories",""))</f>
        <v/>
      </c>
      <c r="L1293" s="33">
        <f>_xlfn.XLOOKUP(C1293,'Project Details'!$C$17:$C$66,'Project Details'!$D$17:$D$66,"",0)</f>
        <v>0</v>
      </c>
      <c r="M1293" s="43"/>
    </row>
    <row r="1294" spans="1:13" ht="13.5" customHeight="1" x14ac:dyDescent="0.25">
      <c r="A1294" s="43"/>
      <c r="B1294" s="43"/>
      <c r="C1294" s="35">
        <f t="shared" si="24"/>
        <v>26</v>
      </c>
      <c r="D1294" s="35" t="str" cm="1">
        <f t="array" ref="D1294">IFERROR(ROUNDUP(_xlfn.IFS(F1294="Aluminum Track", _xlfn.XLOOKUP(C1294, dd_accsrycalc!$A$2:$A$51, dd_accsrycalc!$B$2:$B$51, "",0), F1294="10 x 2 1/2 S (Flat)", _xlfn.XLOOKUP(C1294, dd_accsrycalc!$A$2:$A$51, dd_accsrycalc!$C$2:$C$51, "",0), F1294="Tox6", _xlfn.XLOOKUP(C1294, dd_accsrycalc!$A$2:$A$51, dd_accsrycalc!$D$2:$D$51, "",0), F1294="Cover Cap", _xlfn.XLOOKUP(C1294, dd_accsrycalc!$A$2:$A$51, dd_accsrycalc!$E$2:$E$51, "",0), F1294="Drainage Cover", _xlfn.XLOOKUP(C1294, dd_accsrycalc!$A$2:$A$51, dd_accsrycalc!$F$2:$F$51, "",0),AND( F1294="Double Adhesive Tape", I1294="Roll-up Screen"), _xlfn.XLOOKUP(C1294, calc_rusacc!$C$15:$C$65, calc_rusacc!$AD$15:$AD$65, "",0),AND( F1294="Sealant", I1294="Roll-up Screen"), _xlfn.XLOOKUP(C1294, calc_rusacc!$C$15:$C$65, calc_rusacc!$AF$15:$AF$65, "",0),  AND( F1294="Main Chain", I1294="Accordion Screen"), _xlfn.XLOOKUP(C1294, calc_rusacc!$C$15:$C$65, calc_rusacc!$BF$15:$BF$65, "",0), AND( F1294="Sealant", I1294="Accordion Screen"), _xlfn.XLOOKUP(C1294, calc_rusacc!$C$15:$C$65, calc_rusacc!$BJ$15:$BJ$65, "",0),  F1294="Sealant", _xlfn.XLOOKUP(C1294, dd_accsrycalc!$A$2:$A$51, dd_accsrycalc!$G$2:$G$51, "",0),  F1294&lt;&gt;"",L1294*_xlfn.XLOOKUP(1, (SKUs!$C$2:$C$10001=G1294)*(SKUs!$K$2:$K$10001=I1294),SKUs!$E$2:$E$10001)), 0),"")</f>
        <v/>
      </c>
      <c r="E1294" s="35" t="str">
        <f>_xlfn.XLOOKUP(F1294,dd_item!$B$2:$B$105,dd_item!$C$2:$C$105,"",0)</f>
        <v/>
      </c>
      <c r="F1294" s="35"/>
      <c r="G1294" s="35" cm="1">
        <f t="array" ref="G1294">IFERROR(_xlfn.XLOOKUP(1, (SKUs!$J$2:$J$10001=accsry_unmerged!F1294)*IF(H1294&lt;&gt;"",(SKUs!$L$2:$L$10001=accsry_unmerged!H1294),1)*(SKUs!$K$2:$K$10001=I1294),SKUs!$C$2:$C$10001),"")</f>
        <v>0</v>
      </c>
      <c r="H1294" s="36" cm="1">
        <f t="array" ref="H1294">IFERROR(_xlfn.XLOOKUP(1, (dd_accsryclr!$C$2:$C$1000=accsry_unmerged!F1294)*(dd_accsryclr!$B$2:$B$1000=accsry_unmerged!J1294),dd_accsryclr!$A$2:$A$1000),"")</f>
        <v>0</v>
      </c>
      <c r="I1294" s="35">
        <f>_xlfn.XLOOKUP(C1294,'Project Details'!$C$17:$C$66,'Project Details'!$E$17:$E$66,"",0)</f>
        <v>0</v>
      </c>
      <c r="J1294" s="35">
        <f>_xlfn.XLOOKUP(C1294,'Project Details'!$C$17:$C$66,'Project Details'!$H$17:$H$66,"",0)</f>
        <v>0</v>
      </c>
      <c r="K1294" s="36" t="str">
        <f>IF(AND(_xlfn.XLOOKUP(C1294,'Project Details'!$C$17:$C$66,'Project Details'!$L$17:$L$66,"",0)&gt;550, F1294="Spring-L27cm"),"",SUBSTITUTE(_xlfn.XLOOKUP(G1294,SKUs!$C$2:$C$10001,SKUs!$F$2:$F$10001,"",0), " Accessories",""))</f>
        <v/>
      </c>
      <c r="L1294" s="36">
        <f>_xlfn.XLOOKUP(C1294,'Project Details'!$C$17:$C$66,'Project Details'!$D$17:$D$66,"",0)</f>
        <v>0</v>
      </c>
      <c r="M1294" s="43"/>
    </row>
    <row r="1295" spans="1:13" ht="13.5" customHeight="1" outlineLevel="1" x14ac:dyDescent="0.25">
      <c r="A1295" s="43"/>
      <c r="B1295" s="43"/>
      <c r="C1295" s="16">
        <f t="shared" si="24"/>
        <v>26</v>
      </c>
      <c r="D1295" s="16" t="str" cm="1">
        <f t="array" ref="D1295">IFERROR(ROUNDUP(_xlfn.IFS(F1295="Aluminum Track", _xlfn.XLOOKUP(C1295, dd_accsrycalc!$A$2:$A$51, dd_accsrycalc!$B$2:$B$51, "",0), F1295="10 x 2 1/2 S (Flat)", _xlfn.XLOOKUP(C1295, dd_accsrycalc!$A$2:$A$51, dd_accsrycalc!$C$2:$C$51, "",0), F1295="Tox6", _xlfn.XLOOKUP(C1295, dd_accsrycalc!$A$2:$A$51, dd_accsrycalc!$D$2:$D$51, "",0), F1295="Cover Cap", _xlfn.XLOOKUP(C1295, dd_accsrycalc!$A$2:$A$51, dd_accsrycalc!$E$2:$E$51, "",0), F1295="Drainage Cover", _xlfn.XLOOKUP(C1295, dd_accsrycalc!$A$2:$A$51, dd_accsrycalc!$F$2:$F$51, "",0),AND( F1295="Double Adhesive Tape", I1295="Roll-up Screen"), _xlfn.XLOOKUP(C1295, calc_rusacc!$C$15:$C$65, calc_rusacc!$AD$15:$AD$65, "",0),AND( F1295="Sealant", I1295="Roll-up Screen"), _xlfn.XLOOKUP(C1295, calc_rusacc!$C$15:$C$65, calc_rusacc!$AF$15:$AF$65, "",0),  AND( F1295="Main Chain", I1295="Accordion Screen"), _xlfn.XLOOKUP(C1295, calc_rusacc!$C$15:$C$65, calc_rusacc!$BF$15:$BF$65, "",0), AND( F1295="Sealant", I1295="Accordion Screen"), _xlfn.XLOOKUP(C1295, calc_rusacc!$C$15:$C$65, calc_rusacc!$BJ$15:$BJ$65, "",0),  F1295="Sealant", _xlfn.XLOOKUP(C1295, dd_accsrycalc!$A$2:$A$51, dd_accsrycalc!$G$2:$G$51, "",0),  F1295&lt;&gt;"",L1295*_xlfn.XLOOKUP(1, (SKUs!$C$2:$C$10001=G1295)*(SKUs!$K$2:$K$10001=I1295),SKUs!$E$2:$E$10001)), 0),"")</f>
        <v/>
      </c>
      <c r="E1295" s="16" t="str">
        <f>_xlfn.XLOOKUP(F1295,dd_item!$B$2:$B$105,dd_item!$C$2:$C$105,"",0)</f>
        <v/>
      </c>
      <c r="F1295" s="16"/>
      <c r="G1295" s="16" cm="1">
        <f t="array" ref="G1295">IFERROR(_xlfn.XLOOKUP(1, (SKUs!$J$2:$J$10001=accsry_unmerged!F1295)*IF(H1295&lt;&gt;"",(SKUs!$L$2:$L$10001=accsry_unmerged!H1295),1)*(SKUs!$K$2:$K$10001=I1295),SKUs!$C$2:$C$10001),"")</f>
        <v>0</v>
      </c>
      <c r="H1295" s="33" cm="1">
        <f t="array" ref="H1295">IFERROR(_xlfn.XLOOKUP(1, (dd_accsryclr!$C$2:$C$1000=accsry_unmerged!F1295)*(dd_accsryclr!$B$2:$B$1000=accsry_unmerged!J1295),dd_accsryclr!$A$2:$A$1000),"")</f>
        <v>0</v>
      </c>
      <c r="I1295" s="16">
        <f>_xlfn.XLOOKUP(C1295,'Project Details'!$C$17:$C$66,'Project Details'!$E$17:$E$66,"",0)</f>
        <v>0</v>
      </c>
      <c r="J1295" s="16">
        <f>_xlfn.XLOOKUP(C1295,'Project Details'!$C$17:$C$66,'Project Details'!$H$17:$H$66,"",0)</f>
        <v>0</v>
      </c>
      <c r="K1295" s="33" t="str">
        <f>IF(AND(_xlfn.XLOOKUP(C1295,'Project Details'!$C$17:$C$66,'Project Details'!$L$17:$L$66,"",0)&gt;550, F1295="Spring-L27cm"),"",SUBSTITUTE(_xlfn.XLOOKUP(G1295,SKUs!$C$2:$C$10001,SKUs!$F$2:$F$10001,"",0), " Accessories",""))</f>
        <v/>
      </c>
      <c r="L1295" s="33">
        <f>_xlfn.XLOOKUP(C1295,'Project Details'!$C$17:$C$66,'Project Details'!$D$17:$D$66,"",0)</f>
        <v>0</v>
      </c>
      <c r="M1295" s="43"/>
    </row>
    <row r="1296" spans="1:13" ht="13.5" customHeight="1" outlineLevel="1" x14ac:dyDescent="0.25">
      <c r="A1296" s="43"/>
      <c r="B1296" s="43"/>
      <c r="C1296" s="35">
        <f t="shared" si="24"/>
        <v>26</v>
      </c>
      <c r="D1296" s="35" t="str" cm="1">
        <f t="array" ref="D1296">IFERROR(ROUNDUP(_xlfn.IFS(F1296="Aluminum Track", _xlfn.XLOOKUP(C1296, dd_accsrycalc!$A$2:$A$51, dd_accsrycalc!$B$2:$B$51, "",0), F1296="10 x 2 1/2 S (Flat)", _xlfn.XLOOKUP(C1296, dd_accsrycalc!$A$2:$A$51, dd_accsrycalc!$C$2:$C$51, "",0), F1296="Tox6", _xlfn.XLOOKUP(C1296, dd_accsrycalc!$A$2:$A$51, dd_accsrycalc!$D$2:$D$51, "",0), F1296="Cover Cap", _xlfn.XLOOKUP(C1296, dd_accsrycalc!$A$2:$A$51, dd_accsrycalc!$E$2:$E$51, "",0), F1296="Drainage Cover", _xlfn.XLOOKUP(C1296, dd_accsrycalc!$A$2:$A$51, dd_accsrycalc!$F$2:$F$51, "",0),AND( F1296="Double Adhesive Tape", I1296="Roll-up Screen"), _xlfn.XLOOKUP(C1296, calc_rusacc!$C$15:$C$65, calc_rusacc!$AD$15:$AD$65, "",0),AND( F1296="Sealant", I1296="Roll-up Screen"), _xlfn.XLOOKUP(C1296, calc_rusacc!$C$15:$C$65, calc_rusacc!$AF$15:$AF$65, "",0),  AND( F1296="Main Chain", I1296="Accordion Screen"), _xlfn.XLOOKUP(C1296, calc_rusacc!$C$15:$C$65, calc_rusacc!$BF$15:$BF$65, "",0), AND( F1296="Sealant", I1296="Accordion Screen"), _xlfn.XLOOKUP(C1296, calc_rusacc!$C$15:$C$65, calc_rusacc!$BJ$15:$BJ$65, "",0),  F1296="Sealant", _xlfn.XLOOKUP(C1296, dd_accsrycalc!$A$2:$A$51, dd_accsrycalc!$G$2:$G$51, "",0),  F1296&lt;&gt;"",L1296*_xlfn.XLOOKUP(1, (SKUs!$C$2:$C$10001=G1296)*(SKUs!$K$2:$K$10001=I1296),SKUs!$E$2:$E$10001)), 0),"")</f>
        <v/>
      </c>
      <c r="E1296" s="35" t="str">
        <f>_xlfn.XLOOKUP(F1296,dd_item!$B$2:$B$105,dd_item!$C$2:$C$105,"",0)</f>
        <v/>
      </c>
      <c r="F1296" s="35"/>
      <c r="G1296" s="35" cm="1">
        <f t="array" ref="G1296">IFERROR(_xlfn.XLOOKUP(1, (SKUs!$J$2:$J$10001=accsry_unmerged!F1296)*IF(H1296&lt;&gt;"",(SKUs!$L$2:$L$10001=accsry_unmerged!H1296),1)*(SKUs!$K$2:$K$10001=I1296),SKUs!$C$2:$C$10001),"")</f>
        <v>0</v>
      </c>
      <c r="H1296" s="36" cm="1">
        <f t="array" ref="H1296">IFERROR(_xlfn.XLOOKUP(1, (dd_accsryclr!$C$2:$C$1000=accsry_unmerged!F1296)*(dd_accsryclr!$B$2:$B$1000=accsry_unmerged!J1296),dd_accsryclr!$A$2:$A$1000),"")</f>
        <v>0</v>
      </c>
      <c r="I1296" s="35">
        <f>_xlfn.XLOOKUP(C1296,'Project Details'!$C$17:$C$66,'Project Details'!$E$17:$E$66,"",0)</f>
        <v>0</v>
      </c>
      <c r="J1296" s="35">
        <f>_xlfn.XLOOKUP(C1296,'Project Details'!$C$17:$C$66,'Project Details'!$H$17:$H$66,"",0)</f>
        <v>0</v>
      </c>
      <c r="K1296" s="36" t="str">
        <f>IF(AND(_xlfn.XLOOKUP(C1296,'Project Details'!$C$17:$C$66,'Project Details'!$L$17:$L$66,"",0)&gt;550, F1296="Spring-L27cm"),"",SUBSTITUTE(_xlfn.XLOOKUP(G1296,SKUs!$C$2:$C$10001,SKUs!$F$2:$F$10001,"",0), " Accessories",""))</f>
        <v/>
      </c>
      <c r="L1296" s="36">
        <f>_xlfn.XLOOKUP(C1296,'Project Details'!$C$17:$C$66,'Project Details'!$D$17:$D$66,"",0)</f>
        <v>0</v>
      </c>
      <c r="M1296" s="43"/>
    </row>
    <row r="1297" spans="1:13" ht="13.5" customHeight="1" outlineLevel="1" x14ac:dyDescent="0.25">
      <c r="A1297" s="43"/>
      <c r="B1297" s="43"/>
      <c r="C1297" s="16">
        <f t="shared" si="24"/>
        <v>26</v>
      </c>
      <c r="D1297" s="16" t="str" cm="1">
        <f t="array" ref="D1297">IFERROR(ROUNDUP(_xlfn.IFS(F1297="Aluminum Track", _xlfn.XLOOKUP(C1297, dd_accsrycalc!$A$2:$A$51, dd_accsrycalc!$B$2:$B$51, "",0), F1297="10 x 2 1/2 S (Flat)", _xlfn.XLOOKUP(C1297, dd_accsrycalc!$A$2:$A$51, dd_accsrycalc!$C$2:$C$51, "",0), F1297="Tox6", _xlfn.XLOOKUP(C1297, dd_accsrycalc!$A$2:$A$51, dd_accsrycalc!$D$2:$D$51, "",0), F1297="Cover Cap", _xlfn.XLOOKUP(C1297, dd_accsrycalc!$A$2:$A$51, dd_accsrycalc!$E$2:$E$51, "",0), F1297="Drainage Cover", _xlfn.XLOOKUP(C1297, dd_accsrycalc!$A$2:$A$51, dd_accsrycalc!$F$2:$F$51, "",0),AND( F1297="Double Adhesive Tape", I1297="Roll-up Screen"), _xlfn.XLOOKUP(C1297, calc_rusacc!$C$15:$C$65, calc_rusacc!$AD$15:$AD$65, "",0),AND( F1297="Sealant", I1297="Roll-up Screen"), _xlfn.XLOOKUP(C1297, calc_rusacc!$C$15:$C$65, calc_rusacc!$AF$15:$AF$65, "",0),  AND( F1297="Main Chain", I1297="Accordion Screen"), _xlfn.XLOOKUP(C1297, calc_rusacc!$C$15:$C$65, calc_rusacc!$BF$15:$BF$65, "",0), AND( F1297="Sealant", I1297="Accordion Screen"), _xlfn.XLOOKUP(C1297, calc_rusacc!$C$15:$C$65, calc_rusacc!$BJ$15:$BJ$65, "",0),  F1297="Sealant", _xlfn.XLOOKUP(C1297, dd_accsrycalc!$A$2:$A$51, dd_accsrycalc!$G$2:$G$51, "",0),  F1297&lt;&gt;"",L1297*_xlfn.XLOOKUP(1, (SKUs!$C$2:$C$10001=G1297)*(SKUs!$K$2:$K$10001=I1297),SKUs!$E$2:$E$10001)), 0),"")</f>
        <v/>
      </c>
      <c r="E1297" s="16" t="str">
        <f>_xlfn.XLOOKUP(F1297,dd_item!$B$2:$B$105,dd_item!$C$2:$C$105,"",0)</f>
        <v/>
      </c>
      <c r="F1297" s="16"/>
      <c r="G1297" s="16" cm="1">
        <f t="array" ref="G1297">IFERROR(_xlfn.XLOOKUP(1, (SKUs!$J$2:$J$10001=accsry_unmerged!F1297)*IF(H1297&lt;&gt;"",(SKUs!$L$2:$L$10001=accsry_unmerged!H1297),1)*(SKUs!$K$2:$K$10001=I1297),SKUs!$C$2:$C$10001),"")</f>
        <v>0</v>
      </c>
      <c r="H1297" s="33" cm="1">
        <f t="array" ref="H1297">IFERROR(_xlfn.XLOOKUP(1, (dd_accsryclr!$C$2:$C$1000=accsry_unmerged!F1297)*(dd_accsryclr!$B$2:$B$1000=accsry_unmerged!J1297),dd_accsryclr!$A$2:$A$1000),"")</f>
        <v>0</v>
      </c>
      <c r="I1297" s="16">
        <f>_xlfn.XLOOKUP(C1297,'Project Details'!$C$17:$C$66,'Project Details'!$E$17:$E$66,"",0)</f>
        <v>0</v>
      </c>
      <c r="J1297" s="16">
        <f>_xlfn.XLOOKUP(C1297,'Project Details'!$C$17:$C$66,'Project Details'!$H$17:$H$66,"",0)</f>
        <v>0</v>
      </c>
      <c r="K1297" s="33" t="str">
        <f>IF(AND(_xlfn.XLOOKUP(C1297,'Project Details'!$C$17:$C$66,'Project Details'!$L$17:$L$66,"",0)&gt;550, F1297="Spring-L27cm"),"",SUBSTITUTE(_xlfn.XLOOKUP(G1297,SKUs!$C$2:$C$10001,SKUs!$F$2:$F$10001,"",0), " Accessories",""))</f>
        <v/>
      </c>
      <c r="L1297" s="33">
        <f>_xlfn.XLOOKUP(C1297,'Project Details'!$C$17:$C$66,'Project Details'!$D$17:$D$66,"",0)</f>
        <v>0</v>
      </c>
      <c r="M1297" s="43"/>
    </row>
    <row r="1298" spans="1:13" ht="13.5" customHeight="1" outlineLevel="1" x14ac:dyDescent="0.25">
      <c r="A1298" s="43"/>
      <c r="B1298" s="43"/>
      <c r="C1298" s="35">
        <f t="shared" si="24"/>
        <v>26</v>
      </c>
      <c r="D1298" s="35" t="str" cm="1">
        <f t="array" ref="D1298">IFERROR(ROUNDUP(_xlfn.IFS(F1298="Aluminum Track", _xlfn.XLOOKUP(C1298, dd_accsrycalc!$A$2:$A$51, dd_accsrycalc!$B$2:$B$51, "",0), F1298="10 x 2 1/2 S (Flat)", _xlfn.XLOOKUP(C1298, dd_accsrycalc!$A$2:$A$51, dd_accsrycalc!$C$2:$C$51, "",0), F1298="Tox6", _xlfn.XLOOKUP(C1298, dd_accsrycalc!$A$2:$A$51, dd_accsrycalc!$D$2:$D$51, "",0), F1298="Cover Cap", _xlfn.XLOOKUP(C1298, dd_accsrycalc!$A$2:$A$51, dd_accsrycalc!$E$2:$E$51, "",0), F1298="Drainage Cover", _xlfn.XLOOKUP(C1298, dd_accsrycalc!$A$2:$A$51, dd_accsrycalc!$F$2:$F$51, "",0),AND( F1298="Double Adhesive Tape", I1298="Roll-up Screen"), _xlfn.XLOOKUP(C1298, calc_rusacc!$C$15:$C$65, calc_rusacc!$AD$15:$AD$65, "",0),AND( F1298="Sealant", I1298="Roll-up Screen"), _xlfn.XLOOKUP(C1298, calc_rusacc!$C$15:$C$65, calc_rusacc!$AF$15:$AF$65, "",0),  AND( F1298="Main Chain", I1298="Accordion Screen"), _xlfn.XLOOKUP(C1298, calc_rusacc!$C$15:$C$65, calc_rusacc!$BF$15:$BF$65, "",0), AND( F1298="Sealant", I1298="Accordion Screen"), _xlfn.XLOOKUP(C1298, calc_rusacc!$C$15:$C$65, calc_rusacc!$BJ$15:$BJ$65, "",0),  F1298="Sealant", _xlfn.XLOOKUP(C1298, dd_accsrycalc!$A$2:$A$51, dd_accsrycalc!$G$2:$G$51, "",0),  F1298&lt;&gt;"",L1298*_xlfn.XLOOKUP(1, (SKUs!$C$2:$C$10001=G1298)*(SKUs!$K$2:$K$10001=I1298),SKUs!$E$2:$E$10001)), 0),"")</f>
        <v/>
      </c>
      <c r="E1298" s="35" t="str">
        <f>_xlfn.XLOOKUP(F1298,dd_item!$B$2:$B$105,dd_item!$C$2:$C$105,"",0)</f>
        <v/>
      </c>
      <c r="F1298" s="35"/>
      <c r="G1298" s="35" cm="1">
        <f t="array" ref="G1298">IFERROR(_xlfn.XLOOKUP(1, (SKUs!$J$2:$J$10001=accsry_unmerged!F1298)*IF(H1298&lt;&gt;"",(SKUs!$L$2:$L$10001=accsry_unmerged!H1298),1)*(SKUs!$K$2:$K$10001=I1298),SKUs!$C$2:$C$10001),"")</f>
        <v>0</v>
      </c>
      <c r="H1298" s="36" cm="1">
        <f t="array" ref="H1298">IFERROR(_xlfn.XLOOKUP(1, (dd_accsryclr!$C$2:$C$1000=accsry_unmerged!F1298)*(dd_accsryclr!$B$2:$B$1000=accsry_unmerged!J1298),dd_accsryclr!$A$2:$A$1000),"")</f>
        <v>0</v>
      </c>
      <c r="I1298" s="35">
        <f>_xlfn.XLOOKUP(C1298,'Project Details'!$C$17:$C$66,'Project Details'!$E$17:$E$66,"",0)</f>
        <v>0</v>
      </c>
      <c r="J1298" s="35">
        <f>_xlfn.XLOOKUP(C1298,'Project Details'!$C$17:$C$66,'Project Details'!$H$17:$H$66,"",0)</f>
        <v>0</v>
      </c>
      <c r="K1298" s="36" t="str">
        <f>IF(AND(_xlfn.XLOOKUP(C1298,'Project Details'!$C$17:$C$66,'Project Details'!$L$17:$L$66,"",0)&gt;550, F1298="Spring-L27cm"),"",SUBSTITUTE(_xlfn.XLOOKUP(G1298,SKUs!$C$2:$C$10001,SKUs!$F$2:$F$10001,"",0), " Accessories",""))</f>
        <v/>
      </c>
      <c r="L1298" s="36">
        <f>_xlfn.XLOOKUP(C1298,'Project Details'!$C$17:$C$66,'Project Details'!$D$17:$D$66,"",0)</f>
        <v>0</v>
      </c>
      <c r="M1298" s="43"/>
    </row>
    <row r="1299" spans="1:13" ht="13.5" customHeight="1" outlineLevel="1" x14ac:dyDescent="0.25">
      <c r="A1299" s="43"/>
      <c r="B1299" s="43"/>
      <c r="C1299" s="16">
        <f t="shared" si="24"/>
        <v>26</v>
      </c>
      <c r="D1299" s="16" t="str" cm="1">
        <f t="array" ref="D1299">IFERROR(ROUNDUP(_xlfn.IFS(F1299="Aluminum Track", _xlfn.XLOOKUP(C1299, dd_accsrycalc!$A$2:$A$51, dd_accsrycalc!$B$2:$B$51, "",0), F1299="10 x 2 1/2 S (Flat)", _xlfn.XLOOKUP(C1299, dd_accsrycalc!$A$2:$A$51, dd_accsrycalc!$C$2:$C$51, "",0), F1299="Tox6", _xlfn.XLOOKUP(C1299, dd_accsrycalc!$A$2:$A$51, dd_accsrycalc!$D$2:$D$51, "",0), F1299="Cover Cap", _xlfn.XLOOKUP(C1299, dd_accsrycalc!$A$2:$A$51, dd_accsrycalc!$E$2:$E$51, "",0), F1299="Drainage Cover", _xlfn.XLOOKUP(C1299, dd_accsrycalc!$A$2:$A$51, dd_accsrycalc!$F$2:$F$51, "",0),AND( F1299="Double Adhesive Tape", I1299="Roll-up Screen"), _xlfn.XLOOKUP(C1299, calc_rusacc!$C$15:$C$65, calc_rusacc!$AD$15:$AD$65, "",0),AND( F1299="Sealant", I1299="Roll-up Screen"), _xlfn.XLOOKUP(C1299, calc_rusacc!$C$15:$C$65, calc_rusacc!$AF$15:$AF$65, "",0),  AND( F1299="Main Chain", I1299="Accordion Screen"), _xlfn.XLOOKUP(C1299, calc_rusacc!$C$15:$C$65, calc_rusacc!$BF$15:$BF$65, "",0), AND( F1299="Sealant", I1299="Accordion Screen"), _xlfn.XLOOKUP(C1299, calc_rusacc!$C$15:$C$65, calc_rusacc!$BJ$15:$BJ$65, "",0),  F1299="Sealant", _xlfn.XLOOKUP(C1299, dd_accsrycalc!$A$2:$A$51, dd_accsrycalc!$G$2:$G$51, "",0),  F1299&lt;&gt;"",L1299*_xlfn.XLOOKUP(1, (SKUs!$C$2:$C$10001=G1299)*(SKUs!$K$2:$K$10001=I1299),SKUs!$E$2:$E$10001)), 0),"")</f>
        <v/>
      </c>
      <c r="E1299" s="16" t="str">
        <f>_xlfn.XLOOKUP(F1299,dd_item!$B$2:$B$105,dd_item!$C$2:$C$105,"",0)</f>
        <v/>
      </c>
      <c r="F1299" s="16"/>
      <c r="G1299" s="16" cm="1">
        <f t="array" ref="G1299">IFERROR(_xlfn.XLOOKUP(1, (SKUs!$J$2:$J$10001=accsry_unmerged!F1299)*IF(H1299&lt;&gt;"",(SKUs!$L$2:$L$10001=accsry_unmerged!H1299),1)*(SKUs!$K$2:$K$10001=I1299),SKUs!$C$2:$C$10001),"")</f>
        <v>0</v>
      </c>
      <c r="H1299" s="33" cm="1">
        <f t="array" ref="H1299">IFERROR(_xlfn.XLOOKUP(1, (dd_accsryclr!$C$2:$C$1000=accsry_unmerged!F1299)*(dd_accsryclr!$B$2:$B$1000=accsry_unmerged!J1299),dd_accsryclr!$A$2:$A$1000),"")</f>
        <v>0</v>
      </c>
      <c r="I1299" s="16">
        <f>_xlfn.XLOOKUP(C1299,'Project Details'!$C$17:$C$66,'Project Details'!$E$17:$E$66,"",0)</f>
        <v>0</v>
      </c>
      <c r="J1299" s="16">
        <f>_xlfn.XLOOKUP(C1299,'Project Details'!$C$17:$C$66,'Project Details'!$H$17:$H$66,"",0)</f>
        <v>0</v>
      </c>
      <c r="K1299" s="33" t="str">
        <f>IF(AND(_xlfn.XLOOKUP(C1299,'Project Details'!$C$17:$C$66,'Project Details'!$L$17:$L$66,"",0)&gt;550, F1299="Spring-L27cm"),"",SUBSTITUTE(_xlfn.XLOOKUP(G1299,SKUs!$C$2:$C$10001,SKUs!$F$2:$F$10001,"",0), " Accessories",""))</f>
        <v/>
      </c>
      <c r="L1299" s="33">
        <f>_xlfn.XLOOKUP(C1299,'Project Details'!$C$17:$C$66,'Project Details'!$D$17:$D$66,"",0)</f>
        <v>0</v>
      </c>
      <c r="M1299" s="43"/>
    </row>
    <row r="1300" spans="1:13" ht="13.5" customHeight="1" outlineLevel="1" x14ac:dyDescent="0.25">
      <c r="A1300" s="43"/>
      <c r="B1300" s="43"/>
      <c r="C1300" s="35">
        <f t="shared" si="24"/>
        <v>26</v>
      </c>
      <c r="D1300" s="35" t="str" cm="1">
        <f t="array" ref="D1300">IFERROR(ROUNDUP(_xlfn.IFS(F1300="Aluminum Track", _xlfn.XLOOKUP(C1300, dd_accsrycalc!$A$2:$A$51, dd_accsrycalc!$B$2:$B$51, "",0), F1300="10 x 2 1/2 S (Flat)", _xlfn.XLOOKUP(C1300, dd_accsrycalc!$A$2:$A$51, dd_accsrycalc!$C$2:$C$51, "",0), F1300="Tox6", _xlfn.XLOOKUP(C1300, dd_accsrycalc!$A$2:$A$51, dd_accsrycalc!$D$2:$D$51, "",0), F1300="Cover Cap", _xlfn.XLOOKUP(C1300, dd_accsrycalc!$A$2:$A$51, dd_accsrycalc!$E$2:$E$51, "",0), F1300="Drainage Cover", _xlfn.XLOOKUP(C1300, dd_accsrycalc!$A$2:$A$51, dd_accsrycalc!$F$2:$F$51, "",0),AND( F1300="Double Adhesive Tape", I1300="Roll-up Screen"), _xlfn.XLOOKUP(C1300, calc_rusacc!$C$15:$C$65, calc_rusacc!$AD$15:$AD$65, "",0),AND( F1300="Sealant", I1300="Roll-up Screen"), _xlfn.XLOOKUP(C1300, calc_rusacc!$C$15:$C$65, calc_rusacc!$AF$15:$AF$65, "",0),  AND( F1300="Main Chain", I1300="Accordion Screen"), _xlfn.XLOOKUP(C1300, calc_rusacc!$C$15:$C$65, calc_rusacc!$BF$15:$BF$65, "",0), AND( F1300="Sealant", I1300="Accordion Screen"), _xlfn.XLOOKUP(C1300, calc_rusacc!$C$15:$C$65, calc_rusacc!$BJ$15:$BJ$65, "",0),  F1300="Sealant", _xlfn.XLOOKUP(C1300, dd_accsrycalc!$A$2:$A$51, dd_accsrycalc!$G$2:$G$51, "",0),  F1300&lt;&gt;"",L1300*_xlfn.XLOOKUP(1, (SKUs!$C$2:$C$10001=G1300)*(SKUs!$K$2:$K$10001=I1300),SKUs!$E$2:$E$10001)), 0),"")</f>
        <v/>
      </c>
      <c r="E1300" s="35" t="str">
        <f>_xlfn.XLOOKUP(F1300,dd_item!$B$2:$B$105,dd_item!$C$2:$C$105,"",0)</f>
        <v/>
      </c>
      <c r="F1300" s="35"/>
      <c r="G1300" s="35" cm="1">
        <f t="array" ref="G1300">IFERROR(_xlfn.XLOOKUP(1, (SKUs!$J$2:$J$10001=accsry_unmerged!F1300)*IF(H1300&lt;&gt;"",(SKUs!$L$2:$L$10001=accsry_unmerged!H1300),1)*(SKUs!$K$2:$K$10001=I1300),SKUs!$C$2:$C$10001),"")</f>
        <v>0</v>
      </c>
      <c r="H1300" s="36" cm="1">
        <f t="array" ref="H1300">IFERROR(_xlfn.XLOOKUP(1, (dd_accsryclr!$C$2:$C$1000=accsry_unmerged!F1300)*(dd_accsryclr!$B$2:$B$1000=accsry_unmerged!J1300),dd_accsryclr!$A$2:$A$1000),"")</f>
        <v>0</v>
      </c>
      <c r="I1300" s="35">
        <f>_xlfn.XLOOKUP(C1300,'Project Details'!$C$17:$C$66,'Project Details'!$E$17:$E$66,"",0)</f>
        <v>0</v>
      </c>
      <c r="J1300" s="35">
        <f>_xlfn.XLOOKUP(C1300,'Project Details'!$C$17:$C$66,'Project Details'!$H$17:$H$66,"",0)</f>
        <v>0</v>
      </c>
      <c r="K1300" s="36" t="str">
        <f>IF(AND(_xlfn.XLOOKUP(C1300,'Project Details'!$C$17:$C$66,'Project Details'!$L$17:$L$66,"",0)&gt;550, F1300="Spring-L27cm"),"",SUBSTITUTE(_xlfn.XLOOKUP(G1300,SKUs!$C$2:$C$10001,SKUs!$F$2:$F$10001,"",0), " Accessories",""))</f>
        <v/>
      </c>
      <c r="L1300" s="36">
        <f>_xlfn.XLOOKUP(C1300,'Project Details'!$C$17:$C$66,'Project Details'!$D$17:$D$66,"",0)</f>
        <v>0</v>
      </c>
      <c r="M1300" s="43"/>
    </row>
    <row r="1301" spans="1:13" ht="13.5" customHeight="1" outlineLevel="1" x14ac:dyDescent="0.25">
      <c r="A1301" s="43"/>
      <c r="B1301" s="43"/>
      <c r="C1301" s="16">
        <f t="shared" si="24"/>
        <v>26</v>
      </c>
      <c r="D1301" s="16" t="str" cm="1">
        <f t="array" ref="D1301">IFERROR(ROUNDUP(_xlfn.IFS(F1301="Aluminum Track", _xlfn.XLOOKUP(C1301, dd_accsrycalc!$A$2:$A$51, dd_accsrycalc!$B$2:$B$51, "",0), F1301="10 x 2 1/2 S (Flat)", _xlfn.XLOOKUP(C1301, dd_accsrycalc!$A$2:$A$51, dd_accsrycalc!$C$2:$C$51, "",0), F1301="Tox6", _xlfn.XLOOKUP(C1301, dd_accsrycalc!$A$2:$A$51, dd_accsrycalc!$D$2:$D$51, "",0), F1301="Cover Cap", _xlfn.XLOOKUP(C1301, dd_accsrycalc!$A$2:$A$51, dd_accsrycalc!$E$2:$E$51, "",0), F1301="Drainage Cover", _xlfn.XLOOKUP(C1301, dd_accsrycalc!$A$2:$A$51, dd_accsrycalc!$F$2:$F$51, "",0),AND( F1301="Double Adhesive Tape", I1301="Roll-up Screen"), _xlfn.XLOOKUP(C1301, calc_rusacc!$C$15:$C$65, calc_rusacc!$AD$15:$AD$65, "",0),AND( F1301="Sealant", I1301="Roll-up Screen"), _xlfn.XLOOKUP(C1301, calc_rusacc!$C$15:$C$65, calc_rusacc!$AF$15:$AF$65, "",0),  AND( F1301="Main Chain", I1301="Accordion Screen"), _xlfn.XLOOKUP(C1301, calc_rusacc!$C$15:$C$65, calc_rusacc!$BF$15:$BF$65, "",0), AND( F1301="Sealant", I1301="Accordion Screen"), _xlfn.XLOOKUP(C1301, calc_rusacc!$C$15:$C$65, calc_rusacc!$BJ$15:$BJ$65, "",0),  F1301="Sealant", _xlfn.XLOOKUP(C1301, dd_accsrycalc!$A$2:$A$51, dd_accsrycalc!$G$2:$G$51, "",0),  F1301&lt;&gt;"",L1301*_xlfn.XLOOKUP(1, (SKUs!$C$2:$C$10001=G1301)*(SKUs!$K$2:$K$10001=I1301),SKUs!$E$2:$E$10001)), 0),"")</f>
        <v/>
      </c>
      <c r="E1301" s="16" t="str">
        <f>_xlfn.XLOOKUP(F1301,dd_item!$B$2:$B$105,dd_item!$C$2:$C$105,"",0)</f>
        <v/>
      </c>
      <c r="F1301" s="16"/>
      <c r="G1301" s="16" cm="1">
        <f t="array" ref="G1301">IFERROR(_xlfn.XLOOKUP(1, (SKUs!$J$2:$J$10001=accsry_unmerged!F1301)*IF(H1301&lt;&gt;"",(SKUs!$L$2:$L$10001=accsry_unmerged!H1301),1)*(SKUs!$K$2:$K$10001=I1301),SKUs!$C$2:$C$10001),"")</f>
        <v>0</v>
      </c>
      <c r="H1301" s="33" cm="1">
        <f t="array" ref="H1301">IFERROR(_xlfn.XLOOKUP(1, (dd_accsryclr!$C$2:$C$1000=accsry_unmerged!F1301)*(dd_accsryclr!$B$2:$B$1000=accsry_unmerged!J1301),dd_accsryclr!$A$2:$A$1000),"")</f>
        <v>0</v>
      </c>
      <c r="I1301" s="16">
        <f>_xlfn.XLOOKUP(C1301,'Project Details'!$C$17:$C$66,'Project Details'!$E$17:$E$66,"",0)</f>
        <v>0</v>
      </c>
      <c r="J1301" s="16">
        <f>_xlfn.XLOOKUP(C1301,'Project Details'!$C$17:$C$66,'Project Details'!$H$17:$H$66,"",0)</f>
        <v>0</v>
      </c>
      <c r="K1301" s="33" t="str">
        <f>IF(AND(_xlfn.XLOOKUP(C1301,'Project Details'!$C$17:$C$66,'Project Details'!$L$17:$L$66,"",0)&gt;550, F1301="Spring-L27cm"),"",SUBSTITUTE(_xlfn.XLOOKUP(G1301,SKUs!$C$2:$C$10001,SKUs!$F$2:$F$10001,"",0), " Accessories",""))</f>
        <v/>
      </c>
      <c r="L1301" s="33">
        <f>_xlfn.XLOOKUP(C1301,'Project Details'!$C$17:$C$66,'Project Details'!$D$17:$D$66,"",0)</f>
        <v>0</v>
      </c>
      <c r="M1301" s="43"/>
    </row>
    <row r="1302" spans="1:13" ht="13.5" customHeight="1" outlineLevel="1" x14ac:dyDescent="0.25">
      <c r="A1302" s="43"/>
      <c r="B1302" s="43"/>
      <c r="C1302" s="35">
        <f t="shared" si="24"/>
        <v>26</v>
      </c>
      <c r="D1302" s="35" t="str" cm="1">
        <f t="array" ref="D1302">IFERROR(ROUNDUP(_xlfn.IFS(F1302="Aluminum Track", _xlfn.XLOOKUP(C1302, dd_accsrycalc!$A$2:$A$51, dd_accsrycalc!$B$2:$B$51, "",0), F1302="10 x 2 1/2 S (Flat)", _xlfn.XLOOKUP(C1302, dd_accsrycalc!$A$2:$A$51, dd_accsrycalc!$C$2:$C$51, "",0), F1302="Tox6", _xlfn.XLOOKUP(C1302, dd_accsrycalc!$A$2:$A$51, dd_accsrycalc!$D$2:$D$51, "",0), F1302="Cover Cap", _xlfn.XLOOKUP(C1302, dd_accsrycalc!$A$2:$A$51, dd_accsrycalc!$E$2:$E$51, "",0), F1302="Drainage Cover", _xlfn.XLOOKUP(C1302, dd_accsrycalc!$A$2:$A$51, dd_accsrycalc!$F$2:$F$51, "",0),AND( F1302="Double Adhesive Tape", I1302="Roll-up Screen"), _xlfn.XLOOKUP(C1302, calc_rusacc!$C$15:$C$65, calc_rusacc!$AD$15:$AD$65, "",0),AND( F1302="Sealant", I1302="Roll-up Screen"), _xlfn.XLOOKUP(C1302, calc_rusacc!$C$15:$C$65, calc_rusacc!$AF$15:$AF$65, "",0),  AND( F1302="Main Chain", I1302="Accordion Screen"), _xlfn.XLOOKUP(C1302, calc_rusacc!$C$15:$C$65, calc_rusacc!$BF$15:$BF$65, "",0), AND( F1302="Sealant", I1302="Accordion Screen"), _xlfn.XLOOKUP(C1302, calc_rusacc!$C$15:$C$65, calc_rusacc!$BJ$15:$BJ$65, "",0),  F1302="Sealant", _xlfn.XLOOKUP(C1302, dd_accsrycalc!$A$2:$A$51, dd_accsrycalc!$G$2:$G$51, "",0),  F1302&lt;&gt;"",L1302*_xlfn.XLOOKUP(1, (SKUs!$C$2:$C$10001=G1302)*(SKUs!$K$2:$K$10001=I1302),SKUs!$E$2:$E$10001)), 0),"")</f>
        <v/>
      </c>
      <c r="E1302" s="35" t="str">
        <f>_xlfn.XLOOKUP(F1302,dd_item!$B$2:$B$105,dd_item!$C$2:$C$105,"",0)</f>
        <v/>
      </c>
      <c r="F1302" s="35"/>
      <c r="G1302" s="35" cm="1">
        <f t="array" ref="G1302">IFERROR(_xlfn.XLOOKUP(1, (SKUs!$J$2:$J$10001=accsry_unmerged!F1302)*IF(H1302&lt;&gt;"",(SKUs!$L$2:$L$10001=accsry_unmerged!H1302),1)*(SKUs!$K$2:$K$10001=I1302),SKUs!$C$2:$C$10001),"")</f>
        <v>0</v>
      </c>
      <c r="H1302" s="36" cm="1">
        <f t="array" ref="H1302">IFERROR(_xlfn.XLOOKUP(1, (dd_accsryclr!$C$2:$C$1000=accsry_unmerged!F1302)*(dd_accsryclr!$B$2:$B$1000=accsry_unmerged!J1302),dd_accsryclr!$A$2:$A$1000),"")</f>
        <v>0</v>
      </c>
      <c r="I1302" s="35">
        <f>_xlfn.XLOOKUP(C1302,'Project Details'!$C$17:$C$66,'Project Details'!$E$17:$E$66,"",0)</f>
        <v>0</v>
      </c>
      <c r="J1302" s="35">
        <f>_xlfn.XLOOKUP(C1302,'Project Details'!$C$17:$C$66,'Project Details'!$H$17:$H$66,"",0)</f>
        <v>0</v>
      </c>
      <c r="K1302" s="36" t="str">
        <f>IF(AND(_xlfn.XLOOKUP(C1302,'Project Details'!$C$17:$C$66,'Project Details'!$L$17:$L$66,"",0)&gt;550, F1302="Spring-L27cm"),"",SUBSTITUTE(_xlfn.XLOOKUP(G1302,SKUs!$C$2:$C$10001,SKUs!$F$2:$F$10001,"",0), " Accessories",""))</f>
        <v/>
      </c>
      <c r="L1302" s="36">
        <f>_xlfn.XLOOKUP(C1302,'Project Details'!$C$17:$C$66,'Project Details'!$D$17:$D$66,"",0)</f>
        <v>0</v>
      </c>
      <c r="M1302" s="43"/>
    </row>
    <row r="1303" spans="1:13" ht="13.5" customHeight="1" outlineLevel="1" x14ac:dyDescent="0.25">
      <c r="A1303" s="43"/>
      <c r="B1303" s="43"/>
      <c r="C1303" s="16">
        <f t="shared" si="24"/>
        <v>26</v>
      </c>
      <c r="D1303" s="16" t="str" cm="1">
        <f t="array" ref="D1303">IFERROR(ROUNDUP(_xlfn.IFS(F1303="Aluminum Track", _xlfn.XLOOKUP(C1303, dd_accsrycalc!$A$2:$A$51, dd_accsrycalc!$B$2:$B$51, "",0), F1303="10 x 2 1/2 S (Flat)", _xlfn.XLOOKUP(C1303, dd_accsrycalc!$A$2:$A$51, dd_accsrycalc!$C$2:$C$51, "",0), F1303="Tox6", _xlfn.XLOOKUP(C1303, dd_accsrycalc!$A$2:$A$51, dd_accsrycalc!$D$2:$D$51, "",0), F1303="Cover Cap", _xlfn.XLOOKUP(C1303, dd_accsrycalc!$A$2:$A$51, dd_accsrycalc!$E$2:$E$51, "",0), F1303="Drainage Cover", _xlfn.XLOOKUP(C1303, dd_accsrycalc!$A$2:$A$51, dd_accsrycalc!$F$2:$F$51, "",0),AND( F1303="Double Adhesive Tape", I1303="Roll-up Screen"), _xlfn.XLOOKUP(C1303, calc_rusacc!$C$15:$C$65, calc_rusacc!$AD$15:$AD$65, "",0),AND( F1303="Sealant", I1303="Roll-up Screen"), _xlfn.XLOOKUP(C1303, calc_rusacc!$C$15:$C$65, calc_rusacc!$AF$15:$AF$65, "",0),  AND( F1303="Main Chain", I1303="Accordion Screen"), _xlfn.XLOOKUP(C1303, calc_rusacc!$C$15:$C$65, calc_rusacc!$BF$15:$BF$65, "",0), AND( F1303="Sealant", I1303="Accordion Screen"), _xlfn.XLOOKUP(C1303, calc_rusacc!$C$15:$C$65, calc_rusacc!$BJ$15:$BJ$65, "",0),  F1303="Sealant", _xlfn.XLOOKUP(C1303, dd_accsrycalc!$A$2:$A$51, dd_accsrycalc!$G$2:$G$51, "",0),  F1303&lt;&gt;"",L1303*_xlfn.XLOOKUP(1, (SKUs!$C$2:$C$10001=G1303)*(SKUs!$K$2:$K$10001=I1303),SKUs!$E$2:$E$10001)), 0),"")</f>
        <v/>
      </c>
      <c r="E1303" s="16" t="str">
        <f>_xlfn.XLOOKUP(F1303,dd_item!$B$2:$B$105,dd_item!$C$2:$C$105,"",0)</f>
        <v/>
      </c>
      <c r="F1303" s="16"/>
      <c r="G1303" s="16" cm="1">
        <f t="array" ref="G1303">IFERROR(_xlfn.XLOOKUP(1, (SKUs!$J$2:$J$10001=accsry_unmerged!F1303)*IF(H1303&lt;&gt;"",(SKUs!$L$2:$L$10001=accsry_unmerged!H1303),1)*(SKUs!$K$2:$K$10001=I1303),SKUs!$C$2:$C$10001),"")</f>
        <v>0</v>
      </c>
      <c r="H1303" s="33" cm="1">
        <f t="array" ref="H1303">IFERROR(_xlfn.XLOOKUP(1, (dd_accsryclr!$C$2:$C$1000=accsry_unmerged!F1303)*(dd_accsryclr!$B$2:$B$1000=accsry_unmerged!J1303),dd_accsryclr!$A$2:$A$1000),"")</f>
        <v>0</v>
      </c>
      <c r="I1303" s="16">
        <f>_xlfn.XLOOKUP(C1303,'Project Details'!$C$17:$C$66,'Project Details'!$E$17:$E$66,"",0)</f>
        <v>0</v>
      </c>
      <c r="J1303" s="16">
        <f>_xlfn.XLOOKUP(C1303,'Project Details'!$C$17:$C$66,'Project Details'!$H$17:$H$66,"",0)</f>
        <v>0</v>
      </c>
      <c r="K1303" s="33" t="str">
        <f>IF(AND(_xlfn.XLOOKUP(C1303,'Project Details'!$C$17:$C$66,'Project Details'!$L$17:$L$66,"",0)&gt;550, F1303="Spring-L27cm"),"",SUBSTITUTE(_xlfn.XLOOKUP(G1303,SKUs!$C$2:$C$10001,SKUs!$F$2:$F$10001,"",0), " Accessories",""))</f>
        <v/>
      </c>
      <c r="L1303" s="33">
        <f>_xlfn.XLOOKUP(C1303,'Project Details'!$C$17:$C$66,'Project Details'!$D$17:$D$66,"",0)</f>
        <v>0</v>
      </c>
      <c r="M1303" s="43"/>
    </row>
    <row r="1304" spans="1:13" ht="13.5" customHeight="1" outlineLevel="1" x14ac:dyDescent="0.25">
      <c r="A1304" s="43"/>
      <c r="B1304" s="43"/>
      <c r="C1304" s="35">
        <f t="shared" si="24"/>
        <v>26</v>
      </c>
      <c r="D1304" s="35" t="str" cm="1">
        <f t="array" ref="D1304">IFERROR(ROUNDUP(_xlfn.IFS(F1304="Aluminum Track", _xlfn.XLOOKUP(C1304, dd_accsrycalc!$A$2:$A$51, dd_accsrycalc!$B$2:$B$51, "",0), F1304="10 x 2 1/2 S (Flat)", _xlfn.XLOOKUP(C1304, dd_accsrycalc!$A$2:$A$51, dd_accsrycalc!$C$2:$C$51, "",0), F1304="Tox6", _xlfn.XLOOKUP(C1304, dd_accsrycalc!$A$2:$A$51, dd_accsrycalc!$D$2:$D$51, "",0), F1304="Cover Cap", _xlfn.XLOOKUP(C1304, dd_accsrycalc!$A$2:$A$51, dd_accsrycalc!$E$2:$E$51, "",0), F1304="Drainage Cover", _xlfn.XLOOKUP(C1304, dd_accsrycalc!$A$2:$A$51, dd_accsrycalc!$F$2:$F$51, "",0),AND( F1304="Double Adhesive Tape", I1304="Roll-up Screen"), _xlfn.XLOOKUP(C1304, calc_rusacc!$C$15:$C$65, calc_rusacc!$AD$15:$AD$65, "",0),AND( F1304="Sealant", I1304="Roll-up Screen"), _xlfn.XLOOKUP(C1304, calc_rusacc!$C$15:$C$65, calc_rusacc!$AF$15:$AF$65, "",0),  AND( F1304="Main Chain", I1304="Accordion Screen"), _xlfn.XLOOKUP(C1304, calc_rusacc!$C$15:$C$65, calc_rusacc!$BF$15:$BF$65, "",0), AND( F1304="Sealant", I1304="Accordion Screen"), _xlfn.XLOOKUP(C1304, calc_rusacc!$C$15:$C$65, calc_rusacc!$BJ$15:$BJ$65, "",0),  F1304="Sealant", _xlfn.XLOOKUP(C1304, dd_accsrycalc!$A$2:$A$51, dd_accsrycalc!$G$2:$G$51, "",0),  F1304&lt;&gt;"",L1304*_xlfn.XLOOKUP(1, (SKUs!$C$2:$C$10001=G1304)*(SKUs!$K$2:$K$10001=I1304),SKUs!$E$2:$E$10001)), 0),"")</f>
        <v/>
      </c>
      <c r="E1304" s="35" t="str">
        <f>_xlfn.XLOOKUP(F1304,dd_item!$B$2:$B$105,dd_item!$C$2:$C$105,"",0)</f>
        <v/>
      </c>
      <c r="F1304" s="35"/>
      <c r="G1304" s="35" cm="1">
        <f t="array" ref="G1304">IFERROR(_xlfn.XLOOKUP(1, (SKUs!$J$2:$J$10001=accsry_unmerged!F1304)*IF(H1304&lt;&gt;"",(SKUs!$L$2:$L$10001=accsry_unmerged!H1304),1)*(SKUs!$K$2:$K$10001=I1304),SKUs!$C$2:$C$10001),"")</f>
        <v>0</v>
      </c>
      <c r="H1304" s="36" cm="1">
        <f t="array" ref="H1304">IFERROR(_xlfn.XLOOKUP(1, (dd_accsryclr!$C$2:$C$1000=accsry_unmerged!F1304)*(dd_accsryclr!$B$2:$B$1000=accsry_unmerged!J1304),dd_accsryclr!$A$2:$A$1000),"")</f>
        <v>0</v>
      </c>
      <c r="I1304" s="35">
        <f>_xlfn.XLOOKUP(C1304,'Project Details'!$C$17:$C$66,'Project Details'!$E$17:$E$66,"",0)</f>
        <v>0</v>
      </c>
      <c r="J1304" s="35">
        <f>_xlfn.XLOOKUP(C1304,'Project Details'!$C$17:$C$66,'Project Details'!$H$17:$H$66,"",0)</f>
        <v>0</v>
      </c>
      <c r="K1304" s="36" t="str">
        <f>IF(AND(_xlfn.XLOOKUP(C1304,'Project Details'!$C$17:$C$66,'Project Details'!$L$17:$L$66,"",0)&gt;550, F1304="Spring-L27cm"),"",SUBSTITUTE(_xlfn.XLOOKUP(G1304,SKUs!$C$2:$C$10001,SKUs!$F$2:$F$10001,"",0), " Accessories",""))</f>
        <v/>
      </c>
      <c r="L1304" s="36">
        <f>_xlfn.XLOOKUP(C1304,'Project Details'!$C$17:$C$66,'Project Details'!$D$17:$D$66,"",0)</f>
        <v>0</v>
      </c>
      <c r="M1304" s="43"/>
    </row>
    <row r="1305" spans="1:13" ht="13.5" customHeight="1" outlineLevel="1" collapsed="1" x14ac:dyDescent="0.25">
      <c r="A1305" s="43"/>
      <c r="B1305" s="43"/>
      <c r="C1305" s="16">
        <f t="shared" si="24"/>
        <v>26</v>
      </c>
      <c r="D1305" s="16" t="str" cm="1">
        <f t="array" ref="D1305">IFERROR(ROUNDUP(_xlfn.IFS(F1305="Aluminum Track", _xlfn.XLOOKUP(C1305, dd_accsrycalc!$A$2:$A$51, dd_accsrycalc!$B$2:$B$51, "",0), F1305="10 x 2 1/2 S (Flat)", _xlfn.XLOOKUP(C1305, dd_accsrycalc!$A$2:$A$51, dd_accsrycalc!$C$2:$C$51, "",0), F1305="Tox6", _xlfn.XLOOKUP(C1305, dd_accsrycalc!$A$2:$A$51, dd_accsrycalc!$D$2:$D$51, "",0), F1305="Cover Cap", _xlfn.XLOOKUP(C1305, dd_accsrycalc!$A$2:$A$51, dd_accsrycalc!$E$2:$E$51, "",0), F1305="Drainage Cover", _xlfn.XLOOKUP(C1305, dd_accsrycalc!$A$2:$A$51, dd_accsrycalc!$F$2:$F$51, "",0),AND( F1305="Double Adhesive Tape", I1305="Roll-up Screen"), _xlfn.XLOOKUP(C1305, calc_rusacc!$C$15:$C$65, calc_rusacc!$AD$15:$AD$65, "",0),AND( F1305="Sealant", I1305="Roll-up Screen"), _xlfn.XLOOKUP(C1305, calc_rusacc!$C$15:$C$65, calc_rusacc!$AF$15:$AF$65, "",0),  AND( F1305="Main Chain", I1305="Accordion Screen"), _xlfn.XLOOKUP(C1305, calc_rusacc!$C$15:$C$65, calc_rusacc!$BF$15:$BF$65, "",0), AND( F1305="Sealant", I1305="Accordion Screen"), _xlfn.XLOOKUP(C1305, calc_rusacc!$C$15:$C$65, calc_rusacc!$BJ$15:$BJ$65, "",0),  F1305="Sealant", _xlfn.XLOOKUP(C1305, dd_accsrycalc!$A$2:$A$51, dd_accsrycalc!$G$2:$G$51, "",0),  F1305&lt;&gt;"",L1305*_xlfn.XLOOKUP(1, (SKUs!$C$2:$C$10001=G1305)*(SKUs!$K$2:$K$10001=I1305),SKUs!$E$2:$E$10001)), 0),"")</f>
        <v/>
      </c>
      <c r="E1305" s="16" t="str">
        <f>_xlfn.XLOOKUP(F1305,dd_item!$B$2:$B$105,dd_item!$C$2:$C$105,"",0)</f>
        <v/>
      </c>
      <c r="F1305" s="16"/>
      <c r="G1305" s="16" cm="1">
        <f t="array" ref="G1305">IFERROR(_xlfn.XLOOKUP(1, (SKUs!$J$2:$J$10001=accsry_unmerged!F1305)*IF(H1305&lt;&gt;"",(SKUs!$L$2:$L$10001=accsry_unmerged!H1305),1)*(SKUs!$K$2:$K$10001=I1305),SKUs!$C$2:$C$10001),"")</f>
        <v>0</v>
      </c>
      <c r="H1305" s="33" cm="1">
        <f t="array" ref="H1305">IFERROR(_xlfn.XLOOKUP(1, (dd_accsryclr!$C$2:$C$1000=accsry_unmerged!F1305)*(dd_accsryclr!$B$2:$B$1000=accsry_unmerged!J1305),dd_accsryclr!$A$2:$A$1000),"")</f>
        <v>0</v>
      </c>
      <c r="I1305" s="16">
        <f>_xlfn.XLOOKUP(C1305,'Project Details'!$C$17:$C$66,'Project Details'!$E$17:$E$66,"",0)</f>
        <v>0</v>
      </c>
      <c r="J1305" s="16">
        <f>_xlfn.XLOOKUP(C1305,'Project Details'!$C$17:$C$66,'Project Details'!$H$17:$H$66,"",0)</f>
        <v>0</v>
      </c>
      <c r="K1305" s="33" t="str">
        <f>IF(AND(_xlfn.XLOOKUP(C1305,'Project Details'!$C$17:$C$66,'Project Details'!$L$17:$L$66,"",0)&gt;550, F1305="Spring-L27cm"),"",SUBSTITUTE(_xlfn.XLOOKUP(G1305,SKUs!$C$2:$C$10001,SKUs!$F$2:$F$10001,"",0), " Accessories",""))</f>
        <v/>
      </c>
      <c r="L1305" s="33">
        <f>_xlfn.XLOOKUP(C1305,'Project Details'!$C$17:$C$66,'Project Details'!$D$17:$D$66,"",0)</f>
        <v>0</v>
      </c>
      <c r="M1305" s="43"/>
    </row>
    <row r="1306" spans="1:13" ht="13.5" customHeight="1" outlineLevel="1" x14ac:dyDescent="0.25">
      <c r="A1306" s="43"/>
      <c r="B1306" s="43"/>
      <c r="C1306" s="35">
        <f t="shared" si="24"/>
        <v>26</v>
      </c>
      <c r="D1306" s="35" t="str" cm="1">
        <f t="array" ref="D1306">IFERROR(ROUNDUP(_xlfn.IFS(F1306="Aluminum Track", _xlfn.XLOOKUP(C1306, dd_accsrycalc!$A$2:$A$51, dd_accsrycalc!$B$2:$B$51, "",0), F1306="10 x 2 1/2 S (Flat)", _xlfn.XLOOKUP(C1306, dd_accsrycalc!$A$2:$A$51, dd_accsrycalc!$C$2:$C$51, "",0), F1306="Tox6", _xlfn.XLOOKUP(C1306, dd_accsrycalc!$A$2:$A$51, dd_accsrycalc!$D$2:$D$51, "",0), F1306="Cover Cap", _xlfn.XLOOKUP(C1306, dd_accsrycalc!$A$2:$A$51, dd_accsrycalc!$E$2:$E$51, "",0), F1306="Drainage Cover", _xlfn.XLOOKUP(C1306, dd_accsrycalc!$A$2:$A$51, dd_accsrycalc!$F$2:$F$51, "",0),AND( F1306="Double Adhesive Tape", I1306="Roll-up Screen"), _xlfn.XLOOKUP(C1306, calc_rusacc!$C$15:$C$65, calc_rusacc!$AD$15:$AD$65, "",0),AND( F1306="Sealant", I1306="Roll-up Screen"), _xlfn.XLOOKUP(C1306, calc_rusacc!$C$15:$C$65, calc_rusacc!$AF$15:$AF$65, "",0),  AND( F1306="Main Chain", I1306="Accordion Screen"), _xlfn.XLOOKUP(C1306, calc_rusacc!$C$15:$C$65, calc_rusacc!$BF$15:$BF$65, "",0), AND( F1306="Sealant", I1306="Accordion Screen"), _xlfn.XLOOKUP(C1306, calc_rusacc!$C$15:$C$65, calc_rusacc!$BJ$15:$BJ$65, "",0),  F1306="Sealant", _xlfn.XLOOKUP(C1306, dd_accsrycalc!$A$2:$A$51, dd_accsrycalc!$G$2:$G$51, "",0),  F1306&lt;&gt;"",L1306*_xlfn.XLOOKUP(1, (SKUs!$C$2:$C$10001=G1306)*(SKUs!$K$2:$K$10001=I1306),SKUs!$E$2:$E$10001)), 0),"")</f>
        <v/>
      </c>
      <c r="E1306" s="35" t="str">
        <f>_xlfn.XLOOKUP(F1306,dd_item!$B$2:$B$105,dd_item!$C$2:$C$105,"",0)</f>
        <v/>
      </c>
      <c r="F1306" s="35"/>
      <c r="G1306" s="35" cm="1">
        <f t="array" ref="G1306">IFERROR(_xlfn.XLOOKUP(1, (SKUs!$J$2:$J$10001=accsry_unmerged!F1306)*IF(H1306&lt;&gt;"",(SKUs!$L$2:$L$10001=accsry_unmerged!H1306),1)*(SKUs!$K$2:$K$10001=I1306),SKUs!$C$2:$C$10001),"")</f>
        <v>0</v>
      </c>
      <c r="H1306" s="36" cm="1">
        <f t="array" ref="H1306">IFERROR(_xlfn.XLOOKUP(1, (dd_accsryclr!$C$2:$C$1000=accsry_unmerged!F1306)*(dd_accsryclr!$B$2:$B$1000=accsry_unmerged!J1306),dd_accsryclr!$A$2:$A$1000),"")</f>
        <v>0</v>
      </c>
      <c r="I1306" s="35">
        <f>_xlfn.XLOOKUP(C1306,'Project Details'!$C$17:$C$66,'Project Details'!$E$17:$E$66,"",0)</f>
        <v>0</v>
      </c>
      <c r="J1306" s="35">
        <f>_xlfn.XLOOKUP(C1306,'Project Details'!$C$17:$C$66,'Project Details'!$H$17:$H$66,"",0)</f>
        <v>0</v>
      </c>
      <c r="K1306" s="36" t="str">
        <f>IF(AND(_xlfn.XLOOKUP(C1306,'Project Details'!$C$17:$C$66,'Project Details'!$L$17:$L$66,"",0)&gt;550, F1306="Spring-L27cm"),"",SUBSTITUTE(_xlfn.XLOOKUP(G1306,SKUs!$C$2:$C$10001,SKUs!$F$2:$F$10001,"",0), " Accessories",""))</f>
        <v/>
      </c>
      <c r="L1306" s="36">
        <f>_xlfn.XLOOKUP(C1306,'Project Details'!$C$17:$C$66,'Project Details'!$D$17:$D$66,"",0)</f>
        <v>0</v>
      </c>
      <c r="M1306" s="43"/>
    </row>
    <row r="1307" spans="1:13" ht="13.5" customHeight="1" outlineLevel="1" x14ac:dyDescent="0.25">
      <c r="A1307" s="43"/>
      <c r="B1307" s="43"/>
      <c r="C1307" s="16">
        <f t="shared" si="24"/>
        <v>26</v>
      </c>
      <c r="D1307" s="16" t="str" cm="1">
        <f t="array" ref="D1307">IFERROR(ROUNDUP(_xlfn.IFS(F1307="Aluminum Track", _xlfn.XLOOKUP(C1307, dd_accsrycalc!$A$2:$A$51, dd_accsrycalc!$B$2:$B$51, "",0), F1307="10 x 2 1/2 S (Flat)", _xlfn.XLOOKUP(C1307, dd_accsrycalc!$A$2:$A$51, dd_accsrycalc!$C$2:$C$51, "",0), F1307="Tox6", _xlfn.XLOOKUP(C1307, dd_accsrycalc!$A$2:$A$51, dd_accsrycalc!$D$2:$D$51, "",0), F1307="Cover Cap", _xlfn.XLOOKUP(C1307, dd_accsrycalc!$A$2:$A$51, dd_accsrycalc!$E$2:$E$51, "",0), F1307="Drainage Cover", _xlfn.XLOOKUP(C1307, dd_accsrycalc!$A$2:$A$51, dd_accsrycalc!$F$2:$F$51, "",0),AND( F1307="Double Adhesive Tape", I1307="Roll-up Screen"), _xlfn.XLOOKUP(C1307, calc_rusacc!$C$15:$C$65, calc_rusacc!$AD$15:$AD$65, "",0),AND( F1307="Sealant", I1307="Roll-up Screen"), _xlfn.XLOOKUP(C1307, calc_rusacc!$C$15:$C$65, calc_rusacc!$AF$15:$AF$65, "",0),  AND( F1307="Main Chain", I1307="Accordion Screen"), _xlfn.XLOOKUP(C1307, calc_rusacc!$C$15:$C$65, calc_rusacc!$BF$15:$BF$65, "",0), AND( F1307="Sealant", I1307="Accordion Screen"), _xlfn.XLOOKUP(C1307, calc_rusacc!$C$15:$C$65, calc_rusacc!$BJ$15:$BJ$65, "",0),  F1307="Sealant", _xlfn.XLOOKUP(C1307, dd_accsrycalc!$A$2:$A$51, dd_accsrycalc!$G$2:$G$51, "",0),  F1307&lt;&gt;"",L1307*_xlfn.XLOOKUP(1, (SKUs!$C$2:$C$10001=G1307)*(SKUs!$K$2:$K$10001=I1307),SKUs!$E$2:$E$10001)), 0),"")</f>
        <v/>
      </c>
      <c r="E1307" s="16" t="str">
        <f>_xlfn.XLOOKUP(F1307,dd_item!$B$2:$B$105,dd_item!$C$2:$C$105,"",0)</f>
        <v/>
      </c>
      <c r="F1307" s="16"/>
      <c r="G1307" s="16" cm="1">
        <f t="array" ref="G1307">IFERROR(_xlfn.XLOOKUP(1, (SKUs!$J$2:$J$10001=accsry_unmerged!F1307)*IF(H1307&lt;&gt;"",(SKUs!$L$2:$L$10001=accsry_unmerged!H1307),1)*(SKUs!$K$2:$K$10001=I1307),SKUs!$C$2:$C$10001),"")</f>
        <v>0</v>
      </c>
      <c r="H1307" s="33" cm="1">
        <f t="array" ref="H1307">IFERROR(_xlfn.XLOOKUP(1, (dd_accsryclr!$C$2:$C$1000=accsry_unmerged!F1307)*(dd_accsryclr!$B$2:$B$1000=accsry_unmerged!J1307),dd_accsryclr!$A$2:$A$1000),"")</f>
        <v>0</v>
      </c>
      <c r="I1307" s="16">
        <f>_xlfn.XLOOKUP(C1307,'Project Details'!$C$17:$C$66,'Project Details'!$E$17:$E$66,"",0)</f>
        <v>0</v>
      </c>
      <c r="J1307" s="16">
        <f>_xlfn.XLOOKUP(C1307,'Project Details'!$C$17:$C$66,'Project Details'!$H$17:$H$66,"",0)</f>
        <v>0</v>
      </c>
      <c r="K1307" s="33" t="str">
        <f>IF(AND(_xlfn.XLOOKUP(C1307,'Project Details'!$C$17:$C$66,'Project Details'!$L$17:$L$66,"",0)&gt;550, F1307="Spring-L27cm"),"",SUBSTITUTE(_xlfn.XLOOKUP(G1307,SKUs!$C$2:$C$10001,SKUs!$F$2:$F$10001,"",0), " Accessories",""))</f>
        <v/>
      </c>
      <c r="L1307" s="33">
        <f>_xlfn.XLOOKUP(C1307,'Project Details'!$C$17:$C$66,'Project Details'!$D$17:$D$66,"",0)</f>
        <v>0</v>
      </c>
      <c r="M1307" s="43"/>
    </row>
    <row r="1308" spans="1:13" ht="13.5" customHeight="1" outlineLevel="1" x14ac:dyDescent="0.25">
      <c r="A1308" s="43"/>
      <c r="B1308" s="43"/>
      <c r="C1308" s="35">
        <f t="shared" si="24"/>
        <v>26</v>
      </c>
      <c r="D1308" s="35" t="str" cm="1">
        <f t="array" ref="D1308">IFERROR(ROUNDUP(_xlfn.IFS(F1308="Aluminum Track", _xlfn.XLOOKUP(C1308, dd_accsrycalc!$A$2:$A$51, dd_accsrycalc!$B$2:$B$51, "",0), F1308="10 x 2 1/2 S (Flat)", _xlfn.XLOOKUP(C1308, dd_accsrycalc!$A$2:$A$51, dd_accsrycalc!$C$2:$C$51, "",0), F1308="Tox6", _xlfn.XLOOKUP(C1308, dd_accsrycalc!$A$2:$A$51, dd_accsrycalc!$D$2:$D$51, "",0), F1308="Cover Cap", _xlfn.XLOOKUP(C1308, dd_accsrycalc!$A$2:$A$51, dd_accsrycalc!$E$2:$E$51, "",0), F1308="Drainage Cover", _xlfn.XLOOKUP(C1308, dd_accsrycalc!$A$2:$A$51, dd_accsrycalc!$F$2:$F$51, "",0),AND( F1308="Double Adhesive Tape", I1308="Roll-up Screen"), _xlfn.XLOOKUP(C1308, calc_rusacc!$C$15:$C$65, calc_rusacc!$AD$15:$AD$65, "",0),AND( F1308="Sealant", I1308="Roll-up Screen"), _xlfn.XLOOKUP(C1308, calc_rusacc!$C$15:$C$65, calc_rusacc!$AF$15:$AF$65, "",0),  AND( F1308="Main Chain", I1308="Accordion Screen"), _xlfn.XLOOKUP(C1308, calc_rusacc!$C$15:$C$65, calc_rusacc!$BF$15:$BF$65, "",0), AND( F1308="Sealant", I1308="Accordion Screen"), _xlfn.XLOOKUP(C1308, calc_rusacc!$C$15:$C$65, calc_rusacc!$BJ$15:$BJ$65, "",0),  F1308="Sealant", _xlfn.XLOOKUP(C1308, dd_accsrycalc!$A$2:$A$51, dd_accsrycalc!$G$2:$G$51, "",0),  F1308&lt;&gt;"",L1308*_xlfn.XLOOKUP(1, (SKUs!$C$2:$C$10001=G1308)*(SKUs!$K$2:$K$10001=I1308),SKUs!$E$2:$E$10001)), 0),"")</f>
        <v/>
      </c>
      <c r="E1308" s="35" t="str">
        <f>_xlfn.XLOOKUP(F1308,dd_item!$B$2:$B$105,dd_item!$C$2:$C$105,"",0)</f>
        <v/>
      </c>
      <c r="F1308" s="35"/>
      <c r="G1308" s="35" cm="1">
        <f t="array" ref="G1308">IFERROR(_xlfn.XLOOKUP(1, (SKUs!$J$2:$J$10001=accsry_unmerged!F1308)*IF(H1308&lt;&gt;"",(SKUs!$L$2:$L$10001=accsry_unmerged!H1308),1)*(SKUs!$K$2:$K$10001=I1308),SKUs!$C$2:$C$10001),"")</f>
        <v>0</v>
      </c>
      <c r="H1308" s="36" cm="1">
        <f t="array" ref="H1308">IFERROR(_xlfn.XLOOKUP(1, (dd_accsryclr!$C$2:$C$1000=accsry_unmerged!F1308)*(dd_accsryclr!$B$2:$B$1000=accsry_unmerged!J1308),dd_accsryclr!$A$2:$A$1000),"")</f>
        <v>0</v>
      </c>
      <c r="I1308" s="35">
        <f>_xlfn.XLOOKUP(C1308,'Project Details'!$C$17:$C$66,'Project Details'!$E$17:$E$66,"",0)</f>
        <v>0</v>
      </c>
      <c r="J1308" s="35">
        <f>_xlfn.XLOOKUP(C1308,'Project Details'!$C$17:$C$66,'Project Details'!$H$17:$H$66,"",0)</f>
        <v>0</v>
      </c>
      <c r="K1308" s="36" t="str">
        <f>IF(AND(_xlfn.XLOOKUP(C1308,'Project Details'!$C$17:$C$66,'Project Details'!$L$17:$L$66,"",0)&gt;550, F1308="Spring-L27cm"),"",SUBSTITUTE(_xlfn.XLOOKUP(G1308,SKUs!$C$2:$C$10001,SKUs!$F$2:$F$10001,"",0), " Accessories",""))</f>
        <v/>
      </c>
      <c r="L1308" s="36">
        <f>_xlfn.XLOOKUP(C1308,'Project Details'!$C$17:$C$66,'Project Details'!$D$17:$D$66,"",0)</f>
        <v>0</v>
      </c>
      <c r="M1308" s="43"/>
    </row>
    <row r="1309" spans="1:13" ht="13.5" customHeight="1" outlineLevel="1" x14ac:dyDescent="0.25">
      <c r="A1309" s="43"/>
      <c r="B1309" s="43"/>
      <c r="C1309" s="16">
        <f t="shared" si="24"/>
        <v>26</v>
      </c>
      <c r="D1309" s="16" t="str" cm="1">
        <f t="array" ref="D1309">IFERROR(ROUNDUP(_xlfn.IFS(F1309="Aluminum Track", _xlfn.XLOOKUP(C1309, dd_accsrycalc!$A$2:$A$51, dd_accsrycalc!$B$2:$B$51, "",0), F1309="10 x 2 1/2 S (Flat)", _xlfn.XLOOKUP(C1309, dd_accsrycalc!$A$2:$A$51, dd_accsrycalc!$C$2:$C$51, "",0), F1309="Tox6", _xlfn.XLOOKUP(C1309, dd_accsrycalc!$A$2:$A$51, dd_accsrycalc!$D$2:$D$51, "",0), F1309="Cover Cap", _xlfn.XLOOKUP(C1309, dd_accsrycalc!$A$2:$A$51, dd_accsrycalc!$E$2:$E$51, "",0), F1309="Drainage Cover", _xlfn.XLOOKUP(C1309, dd_accsrycalc!$A$2:$A$51, dd_accsrycalc!$F$2:$F$51, "",0),AND( F1309="Double Adhesive Tape", I1309="Roll-up Screen"), _xlfn.XLOOKUP(C1309, calc_rusacc!$C$15:$C$65, calc_rusacc!$AD$15:$AD$65, "",0),AND( F1309="Sealant", I1309="Roll-up Screen"), _xlfn.XLOOKUP(C1309, calc_rusacc!$C$15:$C$65, calc_rusacc!$AF$15:$AF$65, "",0),  AND( F1309="Main Chain", I1309="Accordion Screen"), _xlfn.XLOOKUP(C1309, calc_rusacc!$C$15:$C$65, calc_rusacc!$BF$15:$BF$65, "",0), AND( F1309="Sealant", I1309="Accordion Screen"), _xlfn.XLOOKUP(C1309, calc_rusacc!$C$15:$C$65, calc_rusacc!$BJ$15:$BJ$65, "",0),  F1309="Sealant", _xlfn.XLOOKUP(C1309, dd_accsrycalc!$A$2:$A$51, dd_accsrycalc!$G$2:$G$51, "",0),  F1309&lt;&gt;"",L1309*_xlfn.XLOOKUP(1, (SKUs!$C$2:$C$10001=G1309)*(SKUs!$K$2:$K$10001=I1309),SKUs!$E$2:$E$10001)), 0),"")</f>
        <v/>
      </c>
      <c r="E1309" s="16" t="str">
        <f>_xlfn.XLOOKUP(F1309,dd_item!$B$2:$B$105,dd_item!$C$2:$C$105,"",0)</f>
        <v/>
      </c>
      <c r="F1309" s="16"/>
      <c r="G1309" s="16" cm="1">
        <f t="array" ref="G1309">IFERROR(_xlfn.XLOOKUP(1, (SKUs!$J$2:$J$10001=accsry_unmerged!F1309)*IF(H1309&lt;&gt;"",(SKUs!$L$2:$L$10001=accsry_unmerged!H1309),1)*(SKUs!$K$2:$K$10001=I1309),SKUs!$C$2:$C$10001),"")</f>
        <v>0</v>
      </c>
      <c r="H1309" s="33" cm="1">
        <f t="array" ref="H1309">IFERROR(_xlfn.XLOOKUP(1, (dd_accsryclr!$C$2:$C$1000=accsry_unmerged!F1309)*(dd_accsryclr!$B$2:$B$1000=accsry_unmerged!J1309),dd_accsryclr!$A$2:$A$1000),"")</f>
        <v>0</v>
      </c>
      <c r="I1309" s="16">
        <f>_xlfn.XLOOKUP(C1309,'Project Details'!$C$17:$C$66,'Project Details'!$E$17:$E$66,"",0)</f>
        <v>0</v>
      </c>
      <c r="J1309" s="16">
        <f>_xlfn.XLOOKUP(C1309,'Project Details'!$C$17:$C$66,'Project Details'!$H$17:$H$66,"",0)</f>
        <v>0</v>
      </c>
      <c r="K1309" s="33" t="str">
        <f>IF(AND(_xlfn.XLOOKUP(C1309,'Project Details'!$C$17:$C$66,'Project Details'!$L$17:$L$66,"",0)&gt;550, F1309="Spring-L27cm"),"",SUBSTITUTE(_xlfn.XLOOKUP(G1309,SKUs!$C$2:$C$10001,SKUs!$F$2:$F$10001,"",0), " Accessories",""))</f>
        <v/>
      </c>
      <c r="L1309" s="33">
        <f>_xlfn.XLOOKUP(C1309,'Project Details'!$C$17:$C$66,'Project Details'!$D$17:$D$66,"",0)</f>
        <v>0</v>
      </c>
      <c r="M1309" s="43"/>
    </row>
    <row r="1310" spans="1:13" ht="13.5" customHeight="1" outlineLevel="1" x14ac:dyDescent="0.25">
      <c r="A1310" s="43"/>
      <c r="B1310" s="43"/>
      <c r="C1310" s="35">
        <f t="shared" si="24"/>
        <v>26</v>
      </c>
      <c r="D1310" s="35" t="str" cm="1">
        <f t="array" ref="D1310">IFERROR(ROUNDUP(_xlfn.IFS(F1310="Aluminum Track", _xlfn.XLOOKUP(C1310, dd_accsrycalc!$A$2:$A$51, dd_accsrycalc!$B$2:$B$51, "",0), F1310="10 x 2 1/2 S (Flat)", _xlfn.XLOOKUP(C1310, dd_accsrycalc!$A$2:$A$51, dd_accsrycalc!$C$2:$C$51, "",0), F1310="Tox6", _xlfn.XLOOKUP(C1310, dd_accsrycalc!$A$2:$A$51, dd_accsrycalc!$D$2:$D$51, "",0), F1310="Cover Cap", _xlfn.XLOOKUP(C1310, dd_accsrycalc!$A$2:$A$51, dd_accsrycalc!$E$2:$E$51, "",0), F1310="Drainage Cover", _xlfn.XLOOKUP(C1310, dd_accsrycalc!$A$2:$A$51, dd_accsrycalc!$F$2:$F$51, "",0),AND( F1310="Double Adhesive Tape", I1310="Roll-up Screen"), _xlfn.XLOOKUP(C1310, calc_rusacc!$C$15:$C$65, calc_rusacc!$AD$15:$AD$65, "",0),AND( F1310="Sealant", I1310="Roll-up Screen"), _xlfn.XLOOKUP(C1310, calc_rusacc!$C$15:$C$65, calc_rusacc!$AF$15:$AF$65, "",0),  AND( F1310="Main Chain", I1310="Accordion Screen"), _xlfn.XLOOKUP(C1310, calc_rusacc!$C$15:$C$65, calc_rusacc!$BF$15:$BF$65, "",0), AND( F1310="Sealant", I1310="Accordion Screen"), _xlfn.XLOOKUP(C1310, calc_rusacc!$C$15:$C$65, calc_rusacc!$BJ$15:$BJ$65, "",0),  F1310="Sealant", _xlfn.XLOOKUP(C1310, dd_accsrycalc!$A$2:$A$51, dd_accsrycalc!$G$2:$G$51, "",0),  F1310&lt;&gt;"",L1310*_xlfn.XLOOKUP(1, (SKUs!$C$2:$C$10001=G1310)*(SKUs!$K$2:$K$10001=I1310),SKUs!$E$2:$E$10001)), 0),"")</f>
        <v/>
      </c>
      <c r="E1310" s="35" t="str">
        <f>_xlfn.XLOOKUP(F1310,dd_item!$B$2:$B$105,dd_item!$C$2:$C$105,"",0)</f>
        <v/>
      </c>
      <c r="F1310" s="35"/>
      <c r="G1310" s="35" cm="1">
        <f t="array" ref="G1310">IFERROR(_xlfn.XLOOKUP(1, (SKUs!$J$2:$J$10001=accsry_unmerged!F1310)*IF(H1310&lt;&gt;"",(SKUs!$L$2:$L$10001=accsry_unmerged!H1310),1)*(SKUs!$K$2:$K$10001=I1310),SKUs!$C$2:$C$10001),"")</f>
        <v>0</v>
      </c>
      <c r="H1310" s="36" cm="1">
        <f t="array" ref="H1310">IFERROR(_xlfn.XLOOKUP(1, (dd_accsryclr!$C$2:$C$1000=accsry_unmerged!F1310)*(dd_accsryclr!$B$2:$B$1000=accsry_unmerged!J1310),dd_accsryclr!$A$2:$A$1000),"")</f>
        <v>0</v>
      </c>
      <c r="I1310" s="35">
        <f>_xlfn.XLOOKUP(C1310,'Project Details'!$C$17:$C$66,'Project Details'!$E$17:$E$66,"",0)</f>
        <v>0</v>
      </c>
      <c r="J1310" s="35">
        <f>_xlfn.XLOOKUP(C1310,'Project Details'!$C$17:$C$66,'Project Details'!$H$17:$H$66,"",0)</f>
        <v>0</v>
      </c>
      <c r="K1310" s="36" t="str">
        <f>IF(AND(_xlfn.XLOOKUP(C1310,'Project Details'!$C$17:$C$66,'Project Details'!$L$17:$L$66,"",0)&gt;550, F1310="Spring-L27cm"),"",SUBSTITUTE(_xlfn.XLOOKUP(G1310,SKUs!$C$2:$C$10001,SKUs!$F$2:$F$10001,"",0), " Accessories",""))</f>
        <v/>
      </c>
      <c r="L1310" s="36">
        <f>_xlfn.XLOOKUP(C1310,'Project Details'!$C$17:$C$66,'Project Details'!$D$17:$D$66,"",0)</f>
        <v>0</v>
      </c>
      <c r="M1310" s="43"/>
    </row>
    <row r="1311" spans="1:13" ht="13.5" customHeight="1" outlineLevel="1" x14ac:dyDescent="0.25">
      <c r="A1311" s="43"/>
      <c r="B1311" s="43"/>
      <c r="C1311" s="16">
        <f t="shared" si="24"/>
        <v>26</v>
      </c>
      <c r="D1311" s="16" t="str" cm="1">
        <f t="array" ref="D1311">IFERROR(ROUNDUP(_xlfn.IFS(F1311="Aluminum Track", _xlfn.XLOOKUP(C1311, dd_accsrycalc!$A$2:$A$51, dd_accsrycalc!$B$2:$B$51, "",0), F1311="10 x 2 1/2 S (Flat)", _xlfn.XLOOKUP(C1311, dd_accsrycalc!$A$2:$A$51, dd_accsrycalc!$C$2:$C$51, "",0), F1311="Tox6", _xlfn.XLOOKUP(C1311, dd_accsrycalc!$A$2:$A$51, dd_accsrycalc!$D$2:$D$51, "",0), F1311="Cover Cap", _xlfn.XLOOKUP(C1311, dd_accsrycalc!$A$2:$A$51, dd_accsrycalc!$E$2:$E$51, "",0), F1311="Drainage Cover", _xlfn.XLOOKUP(C1311, dd_accsrycalc!$A$2:$A$51, dd_accsrycalc!$F$2:$F$51, "",0),AND( F1311="Double Adhesive Tape", I1311="Roll-up Screen"), _xlfn.XLOOKUP(C1311, calc_rusacc!$C$15:$C$65, calc_rusacc!$AD$15:$AD$65, "",0),AND( F1311="Sealant", I1311="Roll-up Screen"), _xlfn.XLOOKUP(C1311, calc_rusacc!$C$15:$C$65, calc_rusacc!$AF$15:$AF$65, "",0),  AND( F1311="Main Chain", I1311="Accordion Screen"), _xlfn.XLOOKUP(C1311, calc_rusacc!$C$15:$C$65, calc_rusacc!$BF$15:$BF$65, "",0), AND( F1311="Sealant", I1311="Accordion Screen"), _xlfn.XLOOKUP(C1311, calc_rusacc!$C$15:$C$65, calc_rusacc!$BJ$15:$BJ$65, "",0),  F1311="Sealant", _xlfn.XLOOKUP(C1311, dd_accsrycalc!$A$2:$A$51, dd_accsrycalc!$G$2:$G$51, "",0),  F1311&lt;&gt;"",L1311*_xlfn.XLOOKUP(1, (SKUs!$C$2:$C$10001=G1311)*(SKUs!$K$2:$K$10001=I1311),SKUs!$E$2:$E$10001)), 0),"")</f>
        <v/>
      </c>
      <c r="E1311" s="16" t="str">
        <f>_xlfn.XLOOKUP(F1311,dd_item!$B$2:$B$105,dd_item!$C$2:$C$105,"",0)</f>
        <v/>
      </c>
      <c r="F1311" s="16"/>
      <c r="G1311" s="16" cm="1">
        <f t="array" ref="G1311">IFERROR(_xlfn.XLOOKUP(1, (SKUs!$J$2:$J$10001=accsry_unmerged!F1311)*IF(H1311&lt;&gt;"",(SKUs!$L$2:$L$10001=accsry_unmerged!H1311),1)*(SKUs!$K$2:$K$10001=I1311),SKUs!$C$2:$C$10001),"")</f>
        <v>0</v>
      </c>
      <c r="H1311" s="33" cm="1">
        <f t="array" ref="H1311">IFERROR(_xlfn.XLOOKUP(1, (dd_accsryclr!$C$2:$C$1000=accsry_unmerged!F1311)*(dd_accsryclr!$B$2:$B$1000=accsry_unmerged!J1311),dd_accsryclr!$A$2:$A$1000),"")</f>
        <v>0</v>
      </c>
      <c r="I1311" s="16">
        <f>_xlfn.XLOOKUP(C1311,'Project Details'!$C$17:$C$66,'Project Details'!$E$17:$E$66,"",0)</f>
        <v>0</v>
      </c>
      <c r="J1311" s="16">
        <f>_xlfn.XLOOKUP(C1311,'Project Details'!$C$17:$C$66,'Project Details'!$H$17:$H$66,"",0)</f>
        <v>0</v>
      </c>
      <c r="K1311" s="33" t="str">
        <f>IF(AND(_xlfn.XLOOKUP(C1311,'Project Details'!$C$17:$C$66,'Project Details'!$L$17:$L$66,"",0)&gt;550, F1311="Spring-L27cm"),"",SUBSTITUTE(_xlfn.XLOOKUP(G1311,SKUs!$C$2:$C$10001,SKUs!$F$2:$F$10001,"",0), " Accessories",""))</f>
        <v/>
      </c>
      <c r="L1311" s="33">
        <f>_xlfn.XLOOKUP(C1311,'Project Details'!$C$17:$C$66,'Project Details'!$D$17:$D$66,"",0)</f>
        <v>0</v>
      </c>
      <c r="M1311" s="43"/>
    </row>
    <row r="1312" spans="1:13" ht="13.5" customHeight="1" outlineLevel="1" x14ac:dyDescent="0.25">
      <c r="A1312" s="43"/>
      <c r="B1312" s="43"/>
      <c r="C1312" s="35">
        <f t="shared" si="24"/>
        <v>26</v>
      </c>
      <c r="D1312" s="35" t="str" cm="1">
        <f t="array" ref="D1312">IFERROR(ROUNDUP(_xlfn.IFS(F1312="Aluminum Track", _xlfn.XLOOKUP(C1312, dd_accsrycalc!$A$2:$A$51, dd_accsrycalc!$B$2:$B$51, "",0), F1312="10 x 2 1/2 S (Flat)", _xlfn.XLOOKUP(C1312, dd_accsrycalc!$A$2:$A$51, dd_accsrycalc!$C$2:$C$51, "",0), F1312="Tox6", _xlfn.XLOOKUP(C1312, dd_accsrycalc!$A$2:$A$51, dd_accsrycalc!$D$2:$D$51, "",0), F1312="Cover Cap", _xlfn.XLOOKUP(C1312, dd_accsrycalc!$A$2:$A$51, dd_accsrycalc!$E$2:$E$51, "",0), F1312="Drainage Cover", _xlfn.XLOOKUP(C1312, dd_accsrycalc!$A$2:$A$51, dd_accsrycalc!$F$2:$F$51, "",0),AND( F1312="Double Adhesive Tape", I1312="Roll-up Screen"), _xlfn.XLOOKUP(C1312, calc_rusacc!$C$15:$C$65, calc_rusacc!$AD$15:$AD$65, "",0),AND( F1312="Sealant", I1312="Roll-up Screen"), _xlfn.XLOOKUP(C1312, calc_rusacc!$C$15:$C$65, calc_rusacc!$AF$15:$AF$65, "",0),  AND( F1312="Main Chain", I1312="Accordion Screen"), _xlfn.XLOOKUP(C1312, calc_rusacc!$C$15:$C$65, calc_rusacc!$BF$15:$BF$65, "",0), AND( F1312="Sealant", I1312="Accordion Screen"), _xlfn.XLOOKUP(C1312, calc_rusacc!$C$15:$C$65, calc_rusacc!$BJ$15:$BJ$65, "",0),  F1312="Sealant", _xlfn.XLOOKUP(C1312, dd_accsrycalc!$A$2:$A$51, dd_accsrycalc!$G$2:$G$51, "",0),  F1312&lt;&gt;"",L1312*_xlfn.XLOOKUP(1, (SKUs!$C$2:$C$10001=G1312)*(SKUs!$K$2:$K$10001=I1312),SKUs!$E$2:$E$10001)), 0),"")</f>
        <v/>
      </c>
      <c r="E1312" s="35" t="str">
        <f>_xlfn.XLOOKUP(F1312,dd_item!$B$2:$B$105,dd_item!$C$2:$C$105,"",0)</f>
        <v/>
      </c>
      <c r="F1312" s="35"/>
      <c r="G1312" s="35" cm="1">
        <f t="array" ref="G1312">IFERROR(_xlfn.XLOOKUP(1, (SKUs!$J$2:$J$10001=accsry_unmerged!F1312)*IF(H1312&lt;&gt;"",(SKUs!$L$2:$L$10001=accsry_unmerged!H1312),1)*(SKUs!$K$2:$K$10001=I1312),SKUs!$C$2:$C$10001),"")</f>
        <v>0</v>
      </c>
      <c r="H1312" s="36" cm="1">
        <f t="array" ref="H1312">IFERROR(_xlfn.XLOOKUP(1, (dd_accsryclr!$C$2:$C$1000=accsry_unmerged!F1312)*(dd_accsryclr!$B$2:$B$1000=accsry_unmerged!J1312),dd_accsryclr!$A$2:$A$1000),"")</f>
        <v>0</v>
      </c>
      <c r="I1312" s="35">
        <f>_xlfn.XLOOKUP(C1312,'Project Details'!$C$17:$C$66,'Project Details'!$E$17:$E$66,"",0)</f>
        <v>0</v>
      </c>
      <c r="J1312" s="35">
        <f>_xlfn.XLOOKUP(C1312,'Project Details'!$C$17:$C$66,'Project Details'!$H$17:$H$66,"",0)</f>
        <v>0</v>
      </c>
      <c r="K1312" s="36" t="str">
        <f>IF(AND(_xlfn.XLOOKUP(C1312,'Project Details'!$C$17:$C$66,'Project Details'!$L$17:$L$66,"",0)&gt;550, F1312="Spring-L27cm"),"",SUBSTITUTE(_xlfn.XLOOKUP(G1312,SKUs!$C$2:$C$10001,SKUs!$F$2:$F$10001,"",0), " Accessories",""))</f>
        <v/>
      </c>
      <c r="L1312" s="36">
        <f>_xlfn.XLOOKUP(C1312,'Project Details'!$C$17:$C$66,'Project Details'!$D$17:$D$66,"",0)</f>
        <v>0</v>
      </c>
      <c r="M1312" s="43"/>
    </row>
    <row r="1313" spans="1:13" ht="13.5" customHeight="1" outlineLevel="1" x14ac:dyDescent="0.25">
      <c r="A1313" s="43"/>
      <c r="B1313" s="43"/>
      <c r="C1313" s="16">
        <f t="shared" si="24"/>
        <v>26</v>
      </c>
      <c r="D1313" s="16" t="str" cm="1">
        <f t="array" ref="D1313">IFERROR(ROUNDUP(_xlfn.IFS(F1313="Aluminum Track", _xlfn.XLOOKUP(C1313, dd_accsrycalc!$A$2:$A$51, dd_accsrycalc!$B$2:$B$51, "",0), F1313="10 x 2 1/2 S (Flat)", _xlfn.XLOOKUP(C1313, dd_accsrycalc!$A$2:$A$51, dd_accsrycalc!$C$2:$C$51, "",0), F1313="Tox6", _xlfn.XLOOKUP(C1313, dd_accsrycalc!$A$2:$A$51, dd_accsrycalc!$D$2:$D$51, "",0), F1313="Cover Cap", _xlfn.XLOOKUP(C1313, dd_accsrycalc!$A$2:$A$51, dd_accsrycalc!$E$2:$E$51, "",0), F1313="Drainage Cover", _xlfn.XLOOKUP(C1313, dd_accsrycalc!$A$2:$A$51, dd_accsrycalc!$F$2:$F$51, "",0),AND( F1313="Double Adhesive Tape", I1313="Roll-up Screen"), _xlfn.XLOOKUP(C1313, calc_rusacc!$C$15:$C$65, calc_rusacc!$AD$15:$AD$65, "",0),AND( F1313="Sealant", I1313="Roll-up Screen"), _xlfn.XLOOKUP(C1313, calc_rusacc!$C$15:$C$65, calc_rusacc!$AF$15:$AF$65, "",0),  AND( F1313="Main Chain", I1313="Accordion Screen"), _xlfn.XLOOKUP(C1313, calc_rusacc!$C$15:$C$65, calc_rusacc!$BF$15:$BF$65, "",0), AND( F1313="Sealant", I1313="Accordion Screen"), _xlfn.XLOOKUP(C1313, calc_rusacc!$C$15:$C$65, calc_rusacc!$BJ$15:$BJ$65, "",0),  F1313="Sealant", _xlfn.XLOOKUP(C1313, dd_accsrycalc!$A$2:$A$51, dd_accsrycalc!$G$2:$G$51, "",0),  F1313&lt;&gt;"",L1313*_xlfn.XLOOKUP(1, (SKUs!$C$2:$C$10001=G1313)*(SKUs!$K$2:$K$10001=I1313),SKUs!$E$2:$E$10001)), 0),"")</f>
        <v/>
      </c>
      <c r="E1313" s="16" t="str">
        <f>_xlfn.XLOOKUP(F1313,dd_item!$B$2:$B$105,dd_item!$C$2:$C$105,"",0)</f>
        <v/>
      </c>
      <c r="F1313" s="16"/>
      <c r="G1313" s="16" cm="1">
        <f t="array" ref="G1313">IFERROR(_xlfn.XLOOKUP(1, (SKUs!$J$2:$J$10001=accsry_unmerged!F1313)*IF(H1313&lt;&gt;"",(SKUs!$L$2:$L$10001=accsry_unmerged!H1313),1)*(SKUs!$K$2:$K$10001=I1313),SKUs!$C$2:$C$10001),"")</f>
        <v>0</v>
      </c>
      <c r="H1313" s="33" cm="1">
        <f t="array" ref="H1313">IFERROR(_xlfn.XLOOKUP(1, (dd_accsryclr!$C$2:$C$1000=accsry_unmerged!F1313)*(dd_accsryclr!$B$2:$B$1000=accsry_unmerged!J1313),dd_accsryclr!$A$2:$A$1000),"")</f>
        <v>0</v>
      </c>
      <c r="I1313" s="16">
        <f>_xlfn.XLOOKUP(C1313,'Project Details'!$C$17:$C$66,'Project Details'!$E$17:$E$66,"",0)</f>
        <v>0</v>
      </c>
      <c r="J1313" s="16">
        <f>_xlfn.XLOOKUP(C1313,'Project Details'!$C$17:$C$66,'Project Details'!$H$17:$H$66,"",0)</f>
        <v>0</v>
      </c>
      <c r="K1313" s="33" t="str">
        <f>IF(AND(_xlfn.XLOOKUP(C1313,'Project Details'!$C$17:$C$66,'Project Details'!$L$17:$L$66,"",0)&gt;550, F1313="Spring-L27cm"),"",SUBSTITUTE(_xlfn.XLOOKUP(G1313,SKUs!$C$2:$C$10001,SKUs!$F$2:$F$10001,"",0), " Accessories",""))</f>
        <v/>
      </c>
      <c r="L1313" s="33">
        <f>_xlfn.XLOOKUP(C1313,'Project Details'!$C$17:$C$66,'Project Details'!$D$17:$D$66,"",0)</f>
        <v>0</v>
      </c>
      <c r="M1313" s="43"/>
    </row>
    <row r="1314" spans="1:13" s="43" customFormat="1" ht="13.5" customHeight="1" x14ac:dyDescent="0.25"/>
    <row r="1315" spans="1:13" x14ac:dyDescent="0.25">
      <c r="A1315" s="43"/>
      <c r="B1315" s="43"/>
      <c r="C1315" s="16">
        <f>C1313+1</f>
        <v>27</v>
      </c>
      <c r="D1315" s="48" cm="1">
        <f t="array" ref="D1315">IFERROR(ROUNDUP(_xlfn.IFS(F1315="Aluminum Track", _xlfn.XLOOKUP(C1315, dd_accsrycalc!$A$2:$A$51, dd_accsrycalc!$B$2:$B$51, "",0), F1315="10 x 2 1/2 S (Flat)", _xlfn.XLOOKUP(C1315, dd_accsrycalc!$A$2:$A$51, dd_accsrycalc!$C$2:$C$51, "",0), F1315="Tox6", _xlfn.XLOOKUP(C1315, dd_accsrycalc!$A$2:$A$51, dd_accsrycalc!$D$2:$D$51, "",0), F1315="Cover Cap", _xlfn.XLOOKUP(C1315, dd_accsrycalc!$A$2:$A$51, dd_accsrycalc!$E$2:$E$51, "",0), F1315="Drainage Cover", _xlfn.XLOOKUP(C1315, dd_accsrycalc!$A$2:$A$51, dd_accsrycalc!$F$2:$F$51, "",0),AND( F1315="Double Adhesive Tape", I1315="Roll-up Screen"), _xlfn.XLOOKUP(C1315, calc_rusacc!$C$15:$C$65, calc_rusacc!$AD$15:$AD$65, "",0),AND( F1315="Sealant", I1315="Roll-up Screen"), _xlfn.XLOOKUP(C1315, calc_rusacc!$C$15:$C$65, calc_rusacc!$AF$15:$AF$65, "",0),  AND( F1315="Main Chain", I1315="Accordion Screen"), _xlfn.XLOOKUP(C1315, calc_rusacc!$C$15:$C$65, calc_rusacc!$BF$15:$BF$65, "",0), AND( F1315="Sealant", I1315="Accordion Screen"), _xlfn.XLOOKUP(C1315, calc_rusacc!$C$15:$C$65, calc_rusacc!$BJ$15:$BJ$65, "",0),  F1315="Sealant", _xlfn.XLOOKUP(C1315, dd_accsrycalc!$A$2:$A$51, dd_accsrycalc!$G$2:$G$51, "",0),  F1315&lt;&gt;"",L1315*_xlfn.XLOOKUP(1, (SKUs!$C$2:$C$10001=G1315)*(SKUs!$K$2:$K$10001=I1315),SKUs!$E$2:$E$10001)), 0),"")</f>
        <v>0</v>
      </c>
      <c r="E1315" s="48" t="str">
        <f>_xlfn.XLOOKUP(F1315,dd_item!$B$2:$B$105,dd_item!$C$2:$C$105,"",0)</f>
        <v/>
      </c>
      <c r="F1315" s="48" cm="1">
        <f t="array" ref="F1315">IFERROR(_xlfn.UNIQUE(_xlfn._xlws.FILTER(SKUs!$J$2:$J$10001, (SKUs!$F$2:$F$10001&lt;&gt;"Cutting List") * (SKUs!$A$2:$A$10001=_xlfn.XLOOKUP(_xlfn.XLOOKUP(C1315,'Project Details'!$C$17:$C$66,'Project Details'!$E$17:$E$66,"",0), dd_design_raw!$A$2:$A$101,dd_design_raw!$C$2:$C$101,"",0)))), "")</f>
        <v>0</v>
      </c>
      <c r="G1315" s="16" cm="1">
        <f t="array" ref="G1315">IFERROR(_xlfn.XLOOKUP(1, (SKUs!$J$2:$J$10001=accsry_unmerged!F1315)*IF(H1315&lt;&gt;"",(SKUs!$L$2:$L$10001=accsry_unmerged!H1315),1)*(SKUs!$K$2:$K$10001=I1315),SKUs!$C$2:$C$10001),"")</f>
        <v>0</v>
      </c>
      <c r="H1315" s="16" cm="1">
        <f t="array" ref="H1315">IFERROR(_xlfn.XLOOKUP(1, (dd_accsryclr!$C$2:$C$1000=accsry_unmerged!F1315)*(dd_accsryclr!$B$2:$B$1000=accsry_unmerged!J1315),dd_accsryclr!$A$2:$A$1000),"")</f>
        <v>0</v>
      </c>
      <c r="I1315" s="16">
        <f>_xlfn.XLOOKUP(C1315,'Project Details'!$C$17:$C$66,'Project Details'!$E$17:$E$66,"",0)</f>
        <v>0</v>
      </c>
      <c r="J1315" s="16">
        <f>_xlfn.XLOOKUP(C1315,'Project Details'!$C$17:$C$66,'Project Details'!$H$17:$H$66,"",0)</f>
        <v>0</v>
      </c>
      <c r="K1315" s="16" t="str">
        <f>IF(AND(_xlfn.XLOOKUP(C1315,'Project Details'!$C$17:$C$66,'Project Details'!$L$17:$L$66,"",0)&gt;550, F1315="Spring-L27cm"),"",SUBSTITUTE(_xlfn.XLOOKUP(G1315,SKUs!$C$2:$C$10001,SKUs!$F$2:$F$10001,"",0), " Accessories",""))</f>
        <v/>
      </c>
      <c r="L1315" s="16">
        <f>_xlfn.XLOOKUP(C1315,'Project Details'!$C$17:$C$66,'Project Details'!$D$17:$D$66,"",0)</f>
        <v>0</v>
      </c>
      <c r="M1315" s="43"/>
    </row>
    <row r="1316" spans="1:13" x14ac:dyDescent="0.25">
      <c r="A1316" s="43"/>
      <c r="B1316" s="43"/>
      <c r="C1316" s="35">
        <f>C1315</f>
        <v>27</v>
      </c>
      <c r="D1316" s="35" t="str" cm="1">
        <f t="array" ref="D1316">IFERROR(ROUNDUP(_xlfn.IFS(F1316="Aluminum Track", _xlfn.XLOOKUP(C1316, dd_accsrycalc!$A$2:$A$51, dd_accsrycalc!$B$2:$B$51, "",0), F1316="10 x 2 1/2 S (Flat)", _xlfn.XLOOKUP(C1316, dd_accsrycalc!$A$2:$A$51, dd_accsrycalc!$C$2:$C$51, "",0), F1316="Tox6", _xlfn.XLOOKUP(C1316, dd_accsrycalc!$A$2:$A$51, dd_accsrycalc!$D$2:$D$51, "",0), F1316="Cover Cap", _xlfn.XLOOKUP(C1316, dd_accsrycalc!$A$2:$A$51, dd_accsrycalc!$E$2:$E$51, "",0), F1316="Drainage Cover", _xlfn.XLOOKUP(C1316, dd_accsrycalc!$A$2:$A$51, dd_accsrycalc!$F$2:$F$51, "",0),AND( F1316="Double Adhesive Tape", I1316="Roll-up Screen"), _xlfn.XLOOKUP(C1316, calc_rusacc!$C$15:$C$65, calc_rusacc!$AD$15:$AD$65, "",0),AND( F1316="Sealant", I1316="Roll-up Screen"), _xlfn.XLOOKUP(C1316, calc_rusacc!$C$15:$C$65, calc_rusacc!$AF$15:$AF$65, "",0),  AND( F1316="Main Chain", I1316="Accordion Screen"), _xlfn.XLOOKUP(C1316, calc_rusacc!$C$15:$C$65, calc_rusacc!$BF$15:$BF$65, "",0), AND( F1316="Sealant", I1316="Accordion Screen"), _xlfn.XLOOKUP(C1316, calc_rusacc!$C$15:$C$65, calc_rusacc!$BJ$15:$BJ$65, "",0),  F1316="Sealant", _xlfn.XLOOKUP(C1316, dd_accsrycalc!$A$2:$A$51, dd_accsrycalc!$G$2:$G$51, "",0),  F1316&lt;&gt;"",L1316*_xlfn.XLOOKUP(1, (SKUs!$C$2:$C$10001=G1316)*(SKUs!$K$2:$K$10001=I1316),SKUs!$E$2:$E$10001)), 0),"")</f>
        <v/>
      </c>
      <c r="E1316" s="35" t="str">
        <f>_xlfn.XLOOKUP(F1316,dd_item!$B$2:$B$105,dd_item!$C$2:$C$105,"",0)</f>
        <v/>
      </c>
      <c r="F1316" s="35"/>
      <c r="G1316" s="35" cm="1">
        <f t="array" ref="G1316">IFERROR(_xlfn.XLOOKUP(1, (SKUs!$J$2:$J$10001=accsry_unmerged!F1316)*IF(H1316&lt;&gt;"",(SKUs!$L$2:$L$10001=accsry_unmerged!H1316),1)*(SKUs!$K$2:$K$10001=I1316),SKUs!$C$2:$C$10001),"")</f>
        <v>0</v>
      </c>
      <c r="H1316" s="36" cm="1">
        <f t="array" ref="H1316">IFERROR(_xlfn.XLOOKUP(1, (dd_accsryclr!$C$2:$C$1000=accsry_unmerged!F1316)*(dd_accsryclr!$B$2:$B$1000=accsry_unmerged!J1316),dd_accsryclr!$A$2:$A$1000),"")</f>
        <v>0</v>
      </c>
      <c r="I1316" s="35">
        <f>_xlfn.XLOOKUP(C1316,'Project Details'!$C$17:$C$66,'Project Details'!$E$17:$E$66,"",0)</f>
        <v>0</v>
      </c>
      <c r="J1316" s="35">
        <f>_xlfn.XLOOKUP(C1316,'Project Details'!$C$17:$C$66,'Project Details'!$H$17:$H$66,"",0)</f>
        <v>0</v>
      </c>
      <c r="K1316" s="36" t="str">
        <f>IF(AND(_xlfn.XLOOKUP(C1316,'Project Details'!$C$17:$C$66,'Project Details'!$L$17:$L$66,"",0)&gt;550, F1316="Spring-L27cm"),"",SUBSTITUTE(_xlfn.XLOOKUP(G1316,SKUs!$C$2:$C$10001,SKUs!$F$2:$F$10001,"",0), " Accessories",""))</f>
        <v/>
      </c>
      <c r="L1316" s="36">
        <f>_xlfn.XLOOKUP(C1316,'Project Details'!$C$17:$C$66,'Project Details'!$D$17:$D$66,"",0)</f>
        <v>0</v>
      </c>
      <c r="M1316" s="43"/>
    </row>
    <row r="1317" spans="1:13" x14ac:dyDescent="0.25">
      <c r="A1317" s="43"/>
      <c r="B1317" s="43"/>
      <c r="C1317" s="16">
        <f t="shared" ref="C1317:C1363" si="25">C1316</f>
        <v>27</v>
      </c>
      <c r="D1317" s="16" t="str" cm="1">
        <f t="array" ref="D1317">IFERROR(ROUNDUP(_xlfn.IFS(F1317="Aluminum Track", _xlfn.XLOOKUP(C1317, dd_accsrycalc!$A$2:$A$51, dd_accsrycalc!$B$2:$B$51, "",0), F1317="10 x 2 1/2 S (Flat)", _xlfn.XLOOKUP(C1317, dd_accsrycalc!$A$2:$A$51, dd_accsrycalc!$C$2:$C$51, "",0), F1317="Tox6", _xlfn.XLOOKUP(C1317, dd_accsrycalc!$A$2:$A$51, dd_accsrycalc!$D$2:$D$51, "",0), F1317="Cover Cap", _xlfn.XLOOKUP(C1317, dd_accsrycalc!$A$2:$A$51, dd_accsrycalc!$E$2:$E$51, "",0), F1317="Drainage Cover", _xlfn.XLOOKUP(C1317, dd_accsrycalc!$A$2:$A$51, dd_accsrycalc!$F$2:$F$51, "",0),AND( F1317="Double Adhesive Tape", I1317="Roll-up Screen"), _xlfn.XLOOKUP(C1317, calc_rusacc!$C$15:$C$65, calc_rusacc!$AD$15:$AD$65, "",0),AND( F1317="Sealant", I1317="Roll-up Screen"), _xlfn.XLOOKUP(C1317, calc_rusacc!$C$15:$C$65, calc_rusacc!$AF$15:$AF$65, "",0),  AND( F1317="Main Chain", I1317="Accordion Screen"), _xlfn.XLOOKUP(C1317, calc_rusacc!$C$15:$C$65, calc_rusacc!$BF$15:$BF$65, "",0), AND( F1317="Sealant", I1317="Accordion Screen"), _xlfn.XLOOKUP(C1317, calc_rusacc!$C$15:$C$65, calc_rusacc!$BJ$15:$BJ$65, "",0),  F1317="Sealant", _xlfn.XLOOKUP(C1317, dd_accsrycalc!$A$2:$A$51, dd_accsrycalc!$G$2:$G$51, "",0),  F1317&lt;&gt;"",L1317*_xlfn.XLOOKUP(1, (SKUs!$C$2:$C$10001=G1317)*(SKUs!$K$2:$K$10001=I1317),SKUs!$E$2:$E$10001)), 0),"")</f>
        <v/>
      </c>
      <c r="E1317" s="16" t="str">
        <f>_xlfn.XLOOKUP(F1317,dd_item!$B$2:$B$105,dd_item!$C$2:$C$105,"",0)</f>
        <v/>
      </c>
      <c r="F1317" s="16"/>
      <c r="G1317" s="16" cm="1">
        <f t="array" ref="G1317">IFERROR(_xlfn.XLOOKUP(1, (SKUs!$J$2:$J$10001=accsry_unmerged!F1317)*IF(H1317&lt;&gt;"",(SKUs!$L$2:$L$10001=accsry_unmerged!H1317),1)*(SKUs!$K$2:$K$10001=I1317),SKUs!$C$2:$C$10001),"")</f>
        <v>0</v>
      </c>
      <c r="H1317" s="33" cm="1">
        <f t="array" ref="H1317">IFERROR(_xlfn.XLOOKUP(1, (dd_accsryclr!$C$2:$C$1000=accsry_unmerged!F1317)*(dd_accsryclr!$B$2:$B$1000=accsry_unmerged!J1317),dd_accsryclr!$A$2:$A$1000),"")</f>
        <v>0</v>
      </c>
      <c r="I1317" s="16">
        <f>_xlfn.XLOOKUP(C1317,'Project Details'!$C$17:$C$66,'Project Details'!$E$17:$E$66,"",0)</f>
        <v>0</v>
      </c>
      <c r="J1317" s="16">
        <f>_xlfn.XLOOKUP(C1317,'Project Details'!$C$17:$C$66,'Project Details'!$H$17:$H$66,"",0)</f>
        <v>0</v>
      </c>
      <c r="K1317" s="33" t="str">
        <f>IF(AND(_xlfn.XLOOKUP(C1317,'Project Details'!$C$17:$C$66,'Project Details'!$L$17:$L$66,"",0)&gt;550, F1317="Spring-L27cm"),"",SUBSTITUTE(_xlfn.XLOOKUP(G1317,SKUs!$C$2:$C$10001,SKUs!$F$2:$F$10001,"",0), " Accessories",""))</f>
        <v/>
      </c>
      <c r="L1317" s="33">
        <f>_xlfn.XLOOKUP(C1317,'Project Details'!$C$17:$C$66,'Project Details'!$D$17:$D$66,"",0)</f>
        <v>0</v>
      </c>
      <c r="M1317" s="43"/>
    </row>
    <row r="1318" spans="1:13" x14ac:dyDescent="0.25">
      <c r="A1318" s="43"/>
      <c r="B1318" s="43"/>
      <c r="C1318" s="35">
        <f t="shared" si="25"/>
        <v>27</v>
      </c>
      <c r="D1318" s="35" t="str" cm="1">
        <f t="array" ref="D1318">IFERROR(ROUNDUP(_xlfn.IFS(F1318="Aluminum Track", _xlfn.XLOOKUP(C1318, dd_accsrycalc!$A$2:$A$51, dd_accsrycalc!$B$2:$B$51, "",0), F1318="10 x 2 1/2 S (Flat)", _xlfn.XLOOKUP(C1318, dd_accsrycalc!$A$2:$A$51, dd_accsrycalc!$C$2:$C$51, "",0), F1318="Tox6", _xlfn.XLOOKUP(C1318, dd_accsrycalc!$A$2:$A$51, dd_accsrycalc!$D$2:$D$51, "",0), F1318="Cover Cap", _xlfn.XLOOKUP(C1318, dd_accsrycalc!$A$2:$A$51, dd_accsrycalc!$E$2:$E$51, "",0), F1318="Drainage Cover", _xlfn.XLOOKUP(C1318, dd_accsrycalc!$A$2:$A$51, dd_accsrycalc!$F$2:$F$51, "",0),AND( F1318="Double Adhesive Tape", I1318="Roll-up Screen"), _xlfn.XLOOKUP(C1318, calc_rusacc!$C$15:$C$65, calc_rusacc!$AD$15:$AD$65, "",0),AND( F1318="Sealant", I1318="Roll-up Screen"), _xlfn.XLOOKUP(C1318, calc_rusacc!$C$15:$C$65, calc_rusacc!$AF$15:$AF$65, "",0),  AND( F1318="Main Chain", I1318="Accordion Screen"), _xlfn.XLOOKUP(C1318, calc_rusacc!$C$15:$C$65, calc_rusacc!$BF$15:$BF$65, "",0), AND( F1318="Sealant", I1318="Accordion Screen"), _xlfn.XLOOKUP(C1318, calc_rusacc!$C$15:$C$65, calc_rusacc!$BJ$15:$BJ$65, "",0),  F1318="Sealant", _xlfn.XLOOKUP(C1318, dd_accsrycalc!$A$2:$A$51, dd_accsrycalc!$G$2:$G$51, "",0),  F1318&lt;&gt;"",L1318*_xlfn.XLOOKUP(1, (SKUs!$C$2:$C$10001=G1318)*(SKUs!$K$2:$K$10001=I1318),SKUs!$E$2:$E$10001)), 0),"")</f>
        <v/>
      </c>
      <c r="E1318" s="35" t="str">
        <f>_xlfn.XLOOKUP(F1318,dd_item!$B$2:$B$105,dd_item!$C$2:$C$105,"",0)</f>
        <v/>
      </c>
      <c r="F1318" s="35"/>
      <c r="G1318" s="35" cm="1">
        <f t="array" ref="G1318">IFERROR(_xlfn.XLOOKUP(1, (SKUs!$J$2:$J$10001=accsry_unmerged!F1318)*IF(H1318&lt;&gt;"",(SKUs!$L$2:$L$10001=accsry_unmerged!H1318),1)*(SKUs!$K$2:$K$10001=I1318),SKUs!$C$2:$C$10001),"")</f>
        <v>0</v>
      </c>
      <c r="H1318" s="36" cm="1">
        <f t="array" ref="H1318">IFERROR(_xlfn.XLOOKUP(1, (dd_accsryclr!$C$2:$C$1000=accsry_unmerged!F1318)*(dd_accsryclr!$B$2:$B$1000=accsry_unmerged!J1318),dd_accsryclr!$A$2:$A$1000),"")</f>
        <v>0</v>
      </c>
      <c r="I1318" s="35">
        <f>_xlfn.XLOOKUP(C1318,'Project Details'!$C$17:$C$66,'Project Details'!$E$17:$E$66,"",0)</f>
        <v>0</v>
      </c>
      <c r="J1318" s="35">
        <f>_xlfn.XLOOKUP(C1318,'Project Details'!$C$17:$C$66,'Project Details'!$H$17:$H$66,"",0)</f>
        <v>0</v>
      </c>
      <c r="K1318" s="36" t="str">
        <f>IF(AND(_xlfn.XLOOKUP(C1318,'Project Details'!$C$17:$C$66,'Project Details'!$L$17:$L$66,"",0)&gt;550, F1318="Spring-L27cm"),"",SUBSTITUTE(_xlfn.XLOOKUP(G1318,SKUs!$C$2:$C$10001,SKUs!$F$2:$F$10001,"",0), " Accessories",""))</f>
        <v/>
      </c>
      <c r="L1318" s="36">
        <f>_xlfn.XLOOKUP(C1318,'Project Details'!$C$17:$C$66,'Project Details'!$D$17:$D$66,"",0)</f>
        <v>0</v>
      </c>
      <c r="M1318" s="43"/>
    </row>
    <row r="1319" spans="1:13" x14ac:dyDescent="0.25">
      <c r="A1319" s="43"/>
      <c r="B1319" s="43"/>
      <c r="C1319" s="16">
        <f t="shared" si="25"/>
        <v>27</v>
      </c>
      <c r="D1319" s="16" t="str" cm="1">
        <f t="array" ref="D1319">IFERROR(ROUNDUP(_xlfn.IFS(F1319="Aluminum Track", _xlfn.XLOOKUP(C1319, dd_accsrycalc!$A$2:$A$51, dd_accsrycalc!$B$2:$B$51, "",0), F1319="10 x 2 1/2 S (Flat)", _xlfn.XLOOKUP(C1319, dd_accsrycalc!$A$2:$A$51, dd_accsrycalc!$C$2:$C$51, "",0), F1319="Tox6", _xlfn.XLOOKUP(C1319, dd_accsrycalc!$A$2:$A$51, dd_accsrycalc!$D$2:$D$51, "",0), F1319="Cover Cap", _xlfn.XLOOKUP(C1319, dd_accsrycalc!$A$2:$A$51, dd_accsrycalc!$E$2:$E$51, "",0), F1319="Drainage Cover", _xlfn.XLOOKUP(C1319, dd_accsrycalc!$A$2:$A$51, dd_accsrycalc!$F$2:$F$51, "",0),AND( F1319="Double Adhesive Tape", I1319="Roll-up Screen"), _xlfn.XLOOKUP(C1319, calc_rusacc!$C$15:$C$65, calc_rusacc!$AD$15:$AD$65, "",0),AND( F1319="Sealant", I1319="Roll-up Screen"), _xlfn.XLOOKUP(C1319, calc_rusacc!$C$15:$C$65, calc_rusacc!$AF$15:$AF$65, "",0),  AND( F1319="Main Chain", I1319="Accordion Screen"), _xlfn.XLOOKUP(C1319, calc_rusacc!$C$15:$C$65, calc_rusacc!$BF$15:$BF$65, "",0), AND( F1319="Sealant", I1319="Accordion Screen"), _xlfn.XLOOKUP(C1319, calc_rusacc!$C$15:$C$65, calc_rusacc!$BJ$15:$BJ$65, "",0),  F1319="Sealant", _xlfn.XLOOKUP(C1319, dd_accsrycalc!$A$2:$A$51, dd_accsrycalc!$G$2:$G$51, "",0),  F1319&lt;&gt;"",L1319*_xlfn.XLOOKUP(1, (SKUs!$C$2:$C$10001=G1319)*(SKUs!$K$2:$K$10001=I1319),SKUs!$E$2:$E$10001)), 0),"")</f>
        <v/>
      </c>
      <c r="E1319" s="16" t="str">
        <f>_xlfn.XLOOKUP(F1319,dd_item!$B$2:$B$105,dd_item!$C$2:$C$105,"",0)</f>
        <v/>
      </c>
      <c r="F1319" s="16"/>
      <c r="G1319" s="16" cm="1">
        <f t="array" ref="G1319">IFERROR(_xlfn.XLOOKUP(1, (SKUs!$J$2:$J$10001=accsry_unmerged!F1319)*IF(H1319&lt;&gt;"",(SKUs!$L$2:$L$10001=accsry_unmerged!H1319),1)*(SKUs!$K$2:$K$10001=I1319),SKUs!$C$2:$C$10001),"")</f>
        <v>0</v>
      </c>
      <c r="H1319" s="33" cm="1">
        <f t="array" ref="H1319">IFERROR(_xlfn.XLOOKUP(1, (dd_accsryclr!$C$2:$C$1000=accsry_unmerged!F1319)*(dd_accsryclr!$B$2:$B$1000=accsry_unmerged!J1319),dd_accsryclr!$A$2:$A$1000),"")</f>
        <v>0</v>
      </c>
      <c r="I1319" s="16">
        <f>_xlfn.XLOOKUP(C1319,'Project Details'!$C$17:$C$66,'Project Details'!$E$17:$E$66,"",0)</f>
        <v>0</v>
      </c>
      <c r="J1319" s="16">
        <f>_xlfn.XLOOKUP(C1319,'Project Details'!$C$17:$C$66,'Project Details'!$H$17:$H$66,"",0)</f>
        <v>0</v>
      </c>
      <c r="K1319" s="33" t="str">
        <f>IF(AND(_xlfn.XLOOKUP(C1319,'Project Details'!$C$17:$C$66,'Project Details'!$L$17:$L$66,"",0)&gt;550, F1319="Spring-L27cm"),"",SUBSTITUTE(_xlfn.XLOOKUP(G1319,SKUs!$C$2:$C$10001,SKUs!$F$2:$F$10001,"",0), " Accessories",""))</f>
        <v/>
      </c>
      <c r="L1319" s="33">
        <f>_xlfn.XLOOKUP(C1319,'Project Details'!$C$17:$C$66,'Project Details'!$D$17:$D$66,"",0)</f>
        <v>0</v>
      </c>
      <c r="M1319" s="43"/>
    </row>
    <row r="1320" spans="1:13" x14ac:dyDescent="0.25">
      <c r="A1320" s="43"/>
      <c r="B1320" s="43"/>
      <c r="C1320" s="35">
        <f t="shared" si="25"/>
        <v>27</v>
      </c>
      <c r="D1320" s="35" t="str" cm="1">
        <f t="array" ref="D1320">IFERROR(ROUNDUP(_xlfn.IFS(F1320="Aluminum Track", _xlfn.XLOOKUP(C1320, dd_accsrycalc!$A$2:$A$51, dd_accsrycalc!$B$2:$B$51, "",0), F1320="10 x 2 1/2 S (Flat)", _xlfn.XLOOKUP(C1320, dd_accsrycalc!$A$2:$A$51, dd_accsrycalc!$C$2:$C$51, "",0), F1320="Tox6", _xlfn.XLOOKUP(C1320, dd_accsrycalc!$A$2:$A$51, dd_accsrycalc!$D$2:$D$51, "",0), F1320="Cover Cap", _xlfn.XLOOKUP(C1320, dd_accsrycalc!$A$2:$A$51, dd_accsrycalc!$E$2:$E$51, "",0), F1320="Drainage Cover", _xlfn.XLOOKUP(C1320, dd_accsrycalc!$A$2:$A$51, dd_accsrycalc!$F$2:$F$51, "",0),AND( F1320="Double Adhesive Tape", I1320="Roll-up Screen"), _xlfn.XLOOKUP(C1320, calc_rusacc!$C$15:$C$65, calc_rusacc!$AD$15:$AD$65, "",0),AND( F1320="Sealant", I1320="Roll-up Screen"), _xlfn.XLOOKUP(C1320, calc_rusacc!$C$15:$C$65, calc_rusacc!$AF$15:$AF$65, "",0),  AND( F1320="Main Chain", I1320="Accordion Screen"), _xlfn.XLOOKUP(C1320, calc_rusacc!$C$15:$C$65, calc_rusacc!$BF$15:$BF$65, "",0), AND( F1320="Sealant", I1320="Accordion Screen"), _xlfn.XLOOKUP(C1320, calc_rusacc!$C$15:$C$65, calc_rusacc!$BJ$15:$BJ$65, "",0),  F1320="Sealant", _xlfn.XLOOKUP(C1320, dd_accsrycalc!$A$2:$A$51, dd_accsrycalc!$G$2:$G$51, "",0),  F1320&lt;&gt;"",L1320*_xlfn.XLOOKUP(1, (SKUs!$C$2:$C$10001=G1320)*(SKUs!$K$2:$K$10001=I1320),SKUs!$E$2:$E$10001)), 0),"")</f>
        <v/>
      </c>
      <c r="E1320" s="35" t="str">
        <f>_xlfn.XLOOKUP(F1320,dd_item!$B$2:$B$105,dd_item!$C$2:$C$105,"",0)</f>
        <v/>
      </c>
      <c r="F1320" s="35"/>
      <c r="G1320" s="35" cm="1">
        <f t="array" ref="G1320">IFERROR(_xlfn.XLOOKUP(1, (SKUs!$J$2:$J$10001=accsry_unmerged!F1320)*IF(H1320&lt;&gt;"",(SKUs!$L$2:$L$10001=accsry_unmerged!H1320),1)*(SKUs!$K$2:$K$10001=I1320),SKUs!$C$2:$C$10001),"")</f>
        <v>0</v>
      </c>
      <c r="H1320" s="36" cm="1">
        <f t="array" ref="H1320">IFERROR(_xlfn.XLOOKUP(1, (dd_accsryclr!$C$2:$C$1000=accsry_unmerged!F1320)*(dd_accsryclr!$B$2:$B$1000=accsry_unmerged!J1320),dd_accsryclr!$A$2:$A$1000),"")</f>
        <v>0</v>
      </c>
      <c r="I1320" s="35">
        <f>_xlfn.XLOOKUP(C1320,'Project Details'!$C$17:$C$66,'Project Details'!$E$17:$E$66,"",0)</f>
        <v>0</v>
      </c>
      <c r="J1320" s="35">
        <f>_xlfn.XLOOKUP(C1320,'Project Details'!$C$17:$C$66,'Project Details'!$H$17:$H$66,"",0)</f>
        <v>0</v>
      </c>
      <c r="K1320" s="36" t="str">
        <f>IF(AND(_xlfn.XLOOKUP(C1320,'Project Details'!$C$17:$C$66,'Project Details'!$L$17:$L$66,"",0)&gt;550, F1320="Spring-L27cm"),"",SUBSTITUTE(_xlfn.XLOOKUP(G1320,SKUs!$C$2:$C$10001,SKUs!$F$2:$F$10001,"",0), " Accessories",""))</f>
        <v/>
      </c>
      <c r="L1320" s="36">
        <f>_xlfn.XLOOKUP(C1320,'Project Details'!$C$17:$C$66,'Project Details'!$D$17:$D$66,"",0)</f>
        <v>0</v>
      </c>
      <c r="M1320" s="43"/>
    </row>
    <row r="1321" spans="1:13" x14ac:dyDescent="0.25">
      <c r="A1321" s="43"/>
      <c r="B1321" s="43"/>
      <c r="C1321" s="16">
        <f t="shared" si="25"/>
        <v>27</v>
      </c>
      <c r="D1321" s="16" t="str" cm="1">
        <f t="array" ref="D1321">IFERROR(ROUNDUP(_xlfn.IFS(F1321="Aluminum Track", _xlfn.XLOOKUP(C1321, dd_accsrycalc!$A$2:$A$51, dd_accsrycalc!$B$2:$B$51, "",0), F1321="10 x 2 1/2 S (Flat)", _xlfn.XLOOKUP(C1321, dd_accsrycalc!$A$2:$A$51, dd_accsrycalc!$C$2:$C$51, "",0), F1321="Tox6", _xlfn.XLOOKUP(C1321, dd_accsrycalc!$A$2:$A$51, dd_accsrycalc!$D$2:$D$51, "",0), F1321="Cover Cap", _xlfn.XLOOKUP(C1321, dd_accsrycalc!$A$2:$A$51, dd_accsrycalc!$E$2:$E$51, "",0), F1321="Drainage Cover", _xlfn.XLOOKUP(C1321, dd_accsrycalc!$A$2:$A$51, dd_accsrycalc!$F$2:$F$51, "",0),AND( F1321="Double Adhesive Tape", I1321="Roll-up Screen"), _xlfn.XLOOKUP(C1321, calc_rusacc!$C$15:$C$65, calc_rusacc!$AD$15:$AD$65, "",0),AND( F1321="Sealant", I1321="Roll-up Screen"), _xlfn.XLOOKUP(C1321, calc_rusacc!$C$15:$C$65, calc_rusacc!$AF$15:$AF$65, "",0),  AND( F1321="Main Chain", I1321="Accordion Screen"), _xlfn.XLOOKUP(C1321, calc_rusacc!$C$15:$C$65, calc_rusacc!$BF$15:$BF$65, "",0), AND( F1321="Sealant", I1321="Accordion Screen"), _xlfn.XLOOKUP(C1321, calc_rusacc!$C$15:$C$65, calc_rusacc!$BJ$15:$BJ$65, "",0),  F1321="Sealant", _xlfn.XLOOKUP(C1321, dd_accsrycalc!$A$2:$A$51, dd_accsrycalc!$G$2:$G$51, "",0),  F1321&lt;&gt;"",L1321*_xlfn.XLOOKUP(1, (SKUs!$C$2:$C$10001=G1321)*(SKUs!$K$2:$K$10001=I1321),SKUs!$E$2:$E$10001)), 0),"")</f>
        <v/>
      </c>
      <c r="E1321" s="16" t="str">
        <f>_xlfn.XLOOKUP(F1321,dd_item!$B$2:$B$105,dd_item!$C$2:$C$105,"",0)</f>
        <v/>
      </c>
      <c r="F1321" s="16"/>
      <c r="G1321" s="16" cm="1">
        <f t="array" ref="G1321">IFERROR(_xlfn.XLOOKUP(1, (SKUs!$J$2:$J$10001=accsry_unmerged!F1321)*IF(H1321&lt;&gt;"",(SKUs!$L$2:$L$10001=accsry_unmerged!H1321),1)*(SKUs!$K$2:$K$10001=I1321),SKUs!$C$2:$C$10001),"")</f>
        <v>0</v>
      </c>
      <c r="H1321" s="33" cm="1">
        <f t="array" ref="H1321">IFERROR(_xlfn.XLOOKUP(1, (dd_accsryclr!$C$2:$C$1000=accsry_unmerged!F1321)*(dd_accsryclr!$B$2:$B$1000=accsry_unmerged!J1321),dd_accsryclr!$A$2:$A$1000),"")</f>
        <v>0</v>
      </c>
      <c r="I1321" s="16">
        <f>_xlfn.XLOOKUP(C1321,'Project Details'!$C$17:$C$66,'Project Details'!$E$17:$E$66,"",0)</f>
        <v>0</v>
      </c>
      <c r="J1321" s="16">
        <f>_xlfn.XLOOKUP(C1321,'Project Details'!$C$17:$C$66,'Project Details'!$H$17:$H$66,"",0)</f>
        <v>0</v>
      </c>
      <c r="K1321" s="33" t="str">
        <f>IF(AND(_xlfn.XLOOKUP(C1321,'Project Details'!$C$17:$C$66,'Project Details'!$L$17:$L$66,"",0)&gt;550, F1321="Spring-L27cm"),"",SUBSTITUTE(_xlfn.XLOOKUP(G1321,SKUs!$C$2:$C$10001,SKUs!$F$2:$F$10001,"",0), " Accessories",""))</f>
        <v/>
      </c>
      <c r="L1321" s="33">
        <f>_xlfn.XLOOKUP(C1321,'Project Details'!$C$17:$C$66,'Project Details'!$D$17:$D$66,"",0)</f>
        <v>0</v>
      </c>
      <c r="M1321" s="43"/>
    </row>
    <row r="1322" spans="1:13" x14ac:dyDescent="0.25">
      <c r="A1322" s="43"/>
      <c r="B1322" s="43"/>
      <c r="C1322" s="35">
        <f t="shared" si="25"/>
        <v>27</v>
      </c>
      <c r="D1322" s="35" t="str" cm="1">
        <f t="array" ref="D1322">IFERROR(ROUNDUP(_xlfn.IFS(F1322="Aluminum Track", _xlfn.XLOOKUP(C1322, dd_accsrycalc!$A$2:$A$51, dd_accsrycalc!$B$2:$B$51, "",0), F1322="10 x 2 1/2 S (Flat)", _xlfn.XLOOKUP(C1322, dd_accsrycalc!$A$2:$A$51, dd_accsrycalc!$C$2:$C$51, "",0), F1322="Tox6", _xlfn.XLOOKUP(C1322, dd_accsrycalc!$A$2:$A$51, dd_accsrycalc!$D$2:$D$51, "",0), F1322="Cover Cap", _xlfn.XLOOKUP(C1322, dd_accsrycalc!$A$2:$A$51, dd_accsrycalc!$E$2:$E$51, "",0), F1322="Drainage Cover", _xlfn.XLOOKUP(C1322, dd_accsrycalc!$A$2:$A$51, dd_accsrycalc!$F$2:$F$51, "",0),AND( F1322="Double Adhesive Tape", I1322="Roll-up Screen"), _xlfn.XLOOKUP(C1322, calc_rusacc!$C$15:$C$65, calc_rusacc!$AD$15:$AD$65, "",0),AND( F1322="Sealant", I1322="Roll-up Screen"), _xlfn.XLOOKUP(C1322, calc_rusacc!$C$15:$C$65, calc_rusacc!$AF$15:$AF$65, "",0),  AND( F1322="Main Chain", I1322="Accordion Screen"), _xlfn.XLOOKUP(C1322, calc_rusacc!$C$15:$C$65, calc_rusacc!$BF$15:$BF$65, "",0), AND( F1322="Sealant", I1322="Accordion Screen"), _xlfn.XLOOKUP(C1322, calc_rusacc!$C$15:$C$65, calc_rusacc!$BJ$15:$BJ$65, "",0),  F1322="Sealant", _xlfn.XLOOKUP(C1322, dd_accsrycalc!$A$2:$A$51, dd_accsrycalc!$G$2:$G$51, "",0),  F1322&lt;&gt;"",L1322*_xlfn.XLOOKUP(1, (SKUs!$C$2:$C$10001=G1322)*(SKUs!$K$2:$K$10001=I1322),SKUs!$E$2:$E$10001)), 0),"")</f>
        <v/>
      </c>
      <c r="E1322" s="35" t="str">
        <f>_xlfn.XLOOKUP(F1322,dd_item!$B$2:$B$105,dd_item!$C$2:$C$105,"",0)</f>
        <v/>
      </c>
      <c r="F1322" s="35"/>
      <c r="G1322" s="35" cm="1">
        <f t="array" ref="G1322">IFERROR(_xlfn.XLOOKUP(1, (SKUs!$J$2:$J$10001=accsry_unmerged!F1322)*IF(H1322&lt;&gt;"",(SKUs!$L$2:$L$10001=accsry_unmerged!H1322),1)*(SKUs!$K$2:$K$10001=I1322),SKUs!$C$2:$C$10001),"")</f>
        <v>0</v>
      </c>
      <c r="H1322" s="36" cm="1">
        <f t="array" ref="H1322">IFERROR(_xlfn.XLOOKUP(1, (dd_accsryclr!$C$2:$C$1000=accsry_unmerged!F1322)*(dd_accsryclr!$B$2:$B$1000=accsry_unmerged!J1322),dd_accsryclr!$A$2:$A$1000),"")</f>
        <v>0</v>
      </c>
      <c r="I1322" s="35">
        <f>_xlfn.XLOOKUP(C1322,'Project Details'!$C$17:$C$66,'Project Details'!$E$17:$E$66,"",0)</f>
        <v>0</v>
      </c>
      <c r="J1322" s="35">
        <f>_xlfn.XLOOKUP(C1322,'Project Details'!$C$17:$C$66,'Project Details'!$H$17:$H$66,"",0)</f>
        <v>0</v>
      </c>
      <c r="K1322" s="36" t="str">
        <f>IF(AND(_xlfn.XLOOKUP(C1322,'Project Details'!$C$17:$C$66,'Project Details'!$L$17:$L$66,"",0)&gt;550, F1322="Spring-L27cm"),"",SUBSTITUTE(_xlfn.XLOOKUP(G1322,SKUs!$C$2:$C$10001,SKUs!$F$2:$F$10001,"",0), " Accessories",""))</f>
        <v/>
      </c>
      <c r="L1322" s="36">
        <f>_xlfn.XLOOKUP(C1322,'Project Details'!$C$17:$C$66,'Project Details'!$D$17:$D$66,"",0)</f>
        <v>0</v>
      </c>
      <c r="M1322" s="43"/>
    </row>
    <row r="1323" spans="1:13" x14ac:dyDescent="0.25">
      <c r="A1323" s="43"/>
      <c r="B1323" s="43"/>
      <c r="C1323" s="16">
        <f t="shared" si="25"/>
        <v>27</v>
      </c>
      <c r="D1323" s="16" t="str" cm="1">
        <f t="array" ref="D1323">IFERROR(ROUNDUP(_xlfn.IFS(F1323="Aluminum Track", _xlfn.XLOOKUP(C1323, dd_accsrycalc!$A$2:$A$51, dd_accsrycalc!$B$2:$B$51, "",0), F1323="10 x 2 1/2 S (Flat)", _xlfn.XLOOKUP(C1323, dd_accsrycalc!$A$2:$A$51, dd_accsrycalc!$C$2:$C$51, "",0), F1323="Tox6", _xlfn.XLOOKUP(C1323, dd_accsrycalc!$A$2:$A$51, dd_accsrycalc!$D$2:$D$51, "",0), F1323="Cover Cap", _xlfn.XLOOKUP(C1323, dd_accsrycalc!$A$2:$A$51, dd_accsrycalc!$E$2:$E$51, "",0), F1323="Drainage Cover", _xlfn.XLOOKUP(C1323, dd_accsrycalc!$A$2:$A$51, dd_accsrycalc!$F$2:$F$51, "",0),AND( F1323="Double Adhesive Tape", I1323="Roll-up Screen"), _xlfn.XLOOKUP(C1323, calc_rusacc!$C$15:$C$65, calc_rusacc!$AD$15:$AD$65, "",0),AND( F1323="Sealant", I1323="Roll-up Screen"), _xlfn.XLOOKUP(C1323, calc_rusacc!$C$15:$C$65, calc_rusacc!$AF$15:$AF$65, "",0),  AND( F1323="Main Chain", I1323="Accordion Screen"), _xlfn.XLOOKUP(C1323, calc_rusacc!$C$15:$C$65, calc_rusacc!$BF$15:$BF$65, "",0), AND( F1323="Sealant", I1323="Accordion Screen"), _xlfn.XLOOKUP(C1323, calc_rusacc!$C$15:$C$65, calc_rusacc!$BJ$15:$BJ$65, "",0),  F1323="Sealant", _xlfn.XLOOKUP(C1323, dd_accsrycalc!$A$2:$A$51, dd_accsrycalc!$G$2:$G$51, "",0),  F1323&lt;&gt;"",L1323*_xlfn.XLOOKUP(1, (SKUs!$C$2:$C$10001=G1323)*(SKUs!$K$2:$K$10001=I1323),SKUs!$E$2:$E$10001)), 0),"")</f>
        <v/>
      </c>
      <c r="E1323" s="16" t="str">
        <f>_xlfn.XLOOKUP(F1323,dd_item!$B$2:$B$105,dd_item!$C$2:$C$105,"",0)</f>
        <v/>
      </c>
      <c r="F1323" s="16"/>
      <c r="G1323" s="16" cm="1">
        <f t="array" ref="G1323">IFERROR(_xlfn.XLOOKUP(1, (SKUs!$J$2:$J$10001=accsry_unmerged!F1323)*IF(H1323&lt;&gt;"",(SKUs!$L$2:$L$10001=accsry_unmerged!H1323),1)*(SKUs!$K$2:$K$10001=I1323),SKUs!$C$2:$C$10001),"")</f>
        <v>0</v>
      </c>
      <c r="H1323" s="33" cm="1">
        <f t="array" ref="H1323">IFERROR(_xlfn.XLOOKUP(1, (dd_accsryclr!$C$2:$C$1000=accsry_unmerged!F1323)*(dd_accsryclr!$B$2:$B$1000=accsry_unmerged!J1323),dd_accsryclr!$A$2:$A$1000),"")</f>
        <v>0</v>
      </c>
      <c r="I1323" s="16">
        <f>_xlfn.XLOOKUP(C1323,'Project Details'!$C$17:$C$66,'Project Details'!$E$17:$E$66,"",0)</f>
        <v>0</v>
      </c>
      <c r="J1323" s="16">
        <f>_xlfn.XLOOKUP(C1323,'Project Details'!$C$17:$C$66,'Project Details'!$H$17:$H$66,"",0)</f>
        <v>0</v>
      </c>
      <c r="K1323" s="33" t="str">
        <f>IF(AND(_xlfn.XLOOKUP(C1323,'Project Details'!$C$17:$C$66,'Project Details'!$L$17:$L$66,"",0)&gt;550, F1323="Spring-L27cm"),"",SUBSTITUTE(_xlfn.XLOOKUP(G1323,SKUs!$C$2:$C$10001,SKUs!$F$2:$F$10001,"",0), " Accessories",""))</f>
        <v/>
      </c>
      <c r="L1323" s="33">
        <f>_xlfn.XLOOKUP(C1323,'Project Details'!$C$17:$C$66,'Project Details'!$D$17:$D$66,"",0)</f>
        <v>0</v>
      </c>
      <c r="M1323" s="43"/>
    </row>
    <row r="1324" spans="1:13" x14ac:dyDescent="0.25">
      <c r="A1324" s="43"/>
      <c r="B1324" s="43"/>
      <c r="C1324" s="35">
        <f t="shared" si="25"/>
        <v>27</v>
      </c>
      <c r="D1324" s="35" t="str" cm="1">
        <f t="array" ref="D1324">IFERROR(ROUNDUP(_xlfn.IFS(F1324="Aluminum Track", _xlfn.XLOOKUP(C1324, dd_accsrycalc!$A$2:$A$51, dd_accsrycalc!$B$2:$B$51, "",0), F1324="10 x 2 1/2 S (Flat)", _xlfn.XLOOKUP(C1324, dd_accsrycalc!$A$2:$A$51, dd_accsrycalc!$C$2:$C$51, "",0), F1324="Tox6", _xlfn.XLOOKUP(C1324, dd_accsrycalc!$A$2:$A$51, dd_accsrycalc!$D$2:$D$51, "",0), F1324="Cover Cap", _xlfn.XLOOKUP(C1324, dd_accsrycalc!$A$2:$A$51, dd_accsrycalc!$E$2:$E$51, "",0), F1324="Drainage Cover", _xlfn.XLOOKUP(C1324, dd_accsrycalc!$A$2:$A$51, dd_accsrycalc!$F$2:$F$51, "",0),AND( F1324="Double Adhesive Tape", I1324="Roll-up Screen"), _xlfn.XLOOKUP(C1324, calc_rusacc!$C$15:$C$65, calc_rusacc!$AD$15:$AD$65, "",0),AND( F1324="Sealant", I1324="Roll-up Screen"), _xlfn.XLOOKUP(C1324, calc_rusacc!$C$15:$C$65, calc_rusacc!$AF$15:$AF$65, "",0),  AND( F1324="Main Chain", I1324="Accordion Screen"), _xlfn.XLOOKUP(C1324, calc_rusacc!$C$15:$C$65, calc_rusacc!$BF$15:$BF$65, "",0), AND( F1324="Sealant", I1324="Accordion Screen"), _xlfn.XLOOKUP(C1324, calc_rusacc!$C$15:$C$65, calc_rusacc!$BJ$15:$BJ$65, "",0),  F1324="Sealant", _xlfn.XLOOKUP(C1324, dd_accsrycalc!$A$2:$A$51, dd_accsrycalc!$G$2:$G$51, "",0),  F1324&lt;&gt;"",L1324*_xlfn.XLOOKUP(1, (SKUs!$C$2:$C$10001=G1324)*(SKUs!$K$2:$K$10001=I1324),SKUs!$E$2:$E$10001)), 0),"")</f>
        <v/>
      </c>
      <c r="E1324" s="35" t="str">
        <f>_xlfn.XLOOKUP(F1324,dd_item!$B$2:$B$105,dd_item!$C$2:$C$105,"",0)</f>
        <v/>
      </c>
      <c r="F1324" s="35"/>
      <c r="G1324" s="35" cm="1">
        <f t="array" ref="G1324">IFERROR(_xlfn.XLOOKUP(1, (SKUs!$J$2:$J$10001=accsry_unmerged!F1324)*IF(H1324&lt;&gt;"",(SKUs!$L$2:$L$10001=accsry_unmerged!H1324),1)*(SKUs!$K$2:$K$10001=I1324),SKUs!$C$2:$C$10001),"")</f>
        <v>0</v>
      </c>
      <c r="H1324" s="36" cm="1">
        <f t="array" ref="H1324">IFERROR(_xlfn.XLOOKUP(1, (dd_accsryclr!$C$2:$C$1000=accsry_unmerged!F1324)*(dd_accsryclr!$B$2:$B$1000=accsry_unmerged!J1324),dd_accsryclr!$A$2:$A$1000),"")</f>
        <v>0</v>
      </c>
      <c r="I1324" s="35">
        <f>_xlfn.XLOOKUP(C1324,'Project Details'!$C$17:$C$66,'Project Details'!$E$17:$E$66,"",0)</f>
        <v>0</v>
      </c>
      <c r="J1324" s="35">
        <f>_xlfn.XLOOKUP(C1324,'Project Details'!$C$17:$C$66,'Project Details'!$H$17:$H$66,"",0)</f>
        <v>0</v>
      </c>
      <c r="K1324" s="36" t="str">
        <f>IF(AND(_xlfn.XLOOKUP(C1324,'Project Details'!$C$17:$C$66,'Project Details'!$L$17:$L$66,"",0)&gt;550, F1324="Spring-L27cm"),"",SUBSTITUTE(_xlfn.XLOOKUP(G1324,SKUs!$C$2:$C$10001,SKUs!$F$2:$F$10001,"",0), " Accessories",""))</f>
        <v/>
      </c>
      <c r="L1324" s="36">
        <f>_xlfn.XLOOKUP(C1324,'Project Details'!$C$17:$C$66,'Project Details'!$D$17:$D$66,"",0)</f>
        <v>0</v>
      </c>
      <c r="M1324" s="43"/>
    </row>
    <row r="1325" spans="1:13" x14ac:dyDescent="0.25">
      <c r="A1325" s="43"/>
      <c r="B1325" s="43"/>
      <c r="C1325" s="16">
        <f t="shared" si="25"/>
        <v>27</v>
      </c>
      <c r="D1325" s="16" t="str" cm="1">
        <f t="array" ref="D1325">IFERROR(ROUNDUP(_xlfn.IFS(F1325="Aluminum Track", _xlfn.XLOOKUP(C1325, dd_accsrycalc!$A$2:$A$51, dd_accsrycalc!$B$2:$B$51, "",0), F1325="10 x 2 1/2 S (Flat)", _xlfn.XLOOKUP(C1325, dd_accsrycalc!$A$2:$A$51, dd_accsrycalc!$C$2:$C$51, "",0), F1325="Tox6", _xlfn.XLOOKUP(C1325, dd_accsrycalc!$A$2:$A$51, dd_accsrycalc!$D$2:$D$51, "",0), F1325="Cover Cap", _xlfn.XLOOKUP(C1325, dd_accsrycalc!$A$2:$A$51, dd_accsrycalc!$E$2:$E$51, "",0), F1325="Drainage Cover", _xlfn.XLOOKUP(C1325, dd_accsrycalc!$A$2:$A$51, dd_accsrycalc!$F$2:$F$51, "",0),AND( F1325="Double Adhesive Tape", I1325="Roll-up Screen"), _xlfn.XLOOKUP(C1325, calc_rusacc!$C$15:$C$65, calc_rusacc!$AD$15:$AD$65, "",0),AND( F1325="Sealant", I1325="Roll-up Screen"), _xlfn.XLOOKUP(C1325, calc_rusacc!$C$15:$C$65, calc_rusacc!$AF$15:$AF$65, "",0),  AND( F1325="Main Chain", I1325="Accordion Screen"), _xlfn.XLOOKUP(C1325, calc_rusacc!$C$15:$C$65, calc_rusacc!$BF$15:$BF$65, "",0), AND( F1325="Sealant", I1325="Accordion Screen"), _xlfn.XLOOKUP(C1325, calc_rusacc!$C$15:$C$65, calc_rusacc!$BJ$15:$BJ$65, "",0),  F1325="Sealant", _xlfn.XLOOKUP(C1325, dd_accsrycalc!$A$2:$A$51, dd_accsrycalc!$G$2:$G$51, "",0),  F1325&lt;&gt;"",L1325*_xlfn.XLOOKUP(1, (SKUs!$C$2:$C$10001=G1325)*(SKUs!$K$2:$K$10001=I1325),SKUs!$E$2:$E$10001)), 0),"")</f>
        <v/>
      </c>
      <c r="E1325" s="16" t="str">
        <f>_xlfn.XLOOKUP(F1325,dd_item!$B$2:$B$105,dd_item!$C$2:$C$105,"",0)</f>
        <v/>
      </c>
      <c r="F1325" s="16"/>
      <c r="G1325" s="16" cm="1">
        <f t="array" ref="G1325">IFERROR(_xlfn.XLOOKUP(1, (SKUs!$J$2:$J$10001=accsry_unmerged!F1325)*IF(H1325&lt;&gt;"",(SKUs!$L$2:$L$10001=accsry_unmerged!H1325),1)*(SKUs!$K$2:$K$10001=I1325),SKUs!$C$2:$C$10001),"")</f>
        <v>0</v>
      </c>
      <c r="H1325" s="33" cm="1">
        <f t="array" ref="H1325">IFERROR(_xlfn.XLOOKUP(1, (dd_accsryclr!$C$2:$C$1000=accsry_unmerged!F1325)*(dd_accsryclr!$B$2:$B$1000=accsry_unmerged!J1325),dd_accsryclr!$A$2:$A$1000),"")</f>
        <v>0</v>
      </c>
      <c r="I1325" s="16">
        <f>_xlfn.XLOOKUP(C1325,'Project Details'!$C$17:$C$66,'Project Details'!$E$17:$E$66,"",0)</f>
        <v>0</v>
      </c>
      <c r="J1325" s="16">
        <f>_xlfn.XLOOKUP(C1325,'Project Details'!$C$17:$C$66,'Project Details'!$H$17:$H$66,"",0)</f>
        <v>0</v>
      </c>
      <c r="K1325" s="33" t="str">
        <f>IF(AND(_xlfn.XLOOKUP(C1325,'Project Details'!$C$17:$C$66,'Project Details'!$L$17:$L$66,"",0)&gt;550, F1325="Spring-L27cm"),"",SUBSTITUTE(_xlfn.XLOOKUP(G1325,SKUs!$C$2:$C$10001,SKUs!$F$2:$F$10001,"",0), " Accessories",""))</f>
        <v/>
      </c>
      <c r="L1325" s="33">
        <f>_xlfn.XLOOKUP(C1325,'Project Details'!$C$17:$C$66,'Project Details'!$D$17:$D$66,"",0)</f>
        <v>0</v>
      </c>
      <c r="M1325" s="43"/>
    </row>
    <row r="1326" spans="1:13" x14ac:dyDescent="0.25">
      <c r="A1326" s="43"/>
      <c r="B1326" s="43"/>
      <c r="C1326" s="35">
        <f t="shared" si="25"/>
        <v>27</v>
      </c>
      <c r="D1326" s="35" t="str" cm="1">
        <f t="array" ref="D1326">IFERROR(ROUNDUP(_xlfn.IFS(F1326="Aluminum Track", _xlfn.XLOOKUP(C1326, dd_accsrycalc!$A$2:$A$51, dd_accsrycalc!$B$2:$B$51, "",0), F1326="10 x 2 1/2 S (Flat)", _xlfn.XLOOKUP(C1326, dd_accsrycalc!$A$2:$A$51, dd_accsrycalc!$C$2:$C$51, "",0), F1326="Tox6", _xlfn.XLOOKUP(C1326, dd_accsrycalc!$A$2:$A$51, dd_accsrycalc!$D$2:$D$51, "",0), F1326="Cover Cap", _xlfn.XLOOKUP(C1326, dd_accsrycalc!$A$2:$A$51, dd_accsrycalc!$E$2:$E$51, "",0), F1326="Drainage Cover", _xlfn.XLOOKUP(C1326, dd_accsrycalc!$A$2:$A$51, dd_accsrycalc!$F$2:$F$51, "",0),AND( F1326="Double Adhesive Tape", I1326="Roll-up Screen"), _xlfn.XLOOKUP(C1326, calc_rusacc!$C$15:$C$65, calc_rusacc!$AD$15:$AD$65, "",0),AND( F1326="Sealant", I1326="Roll-up Screen"), _xlfn.XLOOKUP(C1326, calc_rusacc!$C$15:$C$65, calc_rusacc!$AF$15:$AF$65, "",0),  AND( F1326="Main Chain", I1326="Accordion Screen"), _xlfn.XLOOKUP(C1326, calc_rusacc!$C$15:$C$65, calc_rusacc!$BF$15:$BF$65, "",0), AND( F1326="Sealant", I1326="Accordion Screen"), _xlfn.XLOOKUP(C1326, calc_rusacc!$C$15:$C$65, calc_rusacc!$BJ$15:$BJ$65, "",0),  F1326="Sealant", _xlfn.XLOOKUP(C1326, dd_accsrycalc!$A$2:$A$51, dd_accsrycalc!$G$2:$G$51, "",0),  F1326&lt;&gt;"",L1326*_xlfn.XLOOKUP(1, (SKUs!$C$2:$C$10001=G1326)*(SKUs!$K$2:$K$10001=I1326),SKUs!$E$2:$E$10001)), 0),"")</f>
        <v/>
      </c>
      <c r="E1326" s="35" t="str">
        <f>_xlfn.XLOOKUP(F1326,dd_item!$B$2:$B$105,dd_item!$C$2:$C$105,"",0)</f>
        <v/>
      </c>
      <c r="F1326" s="35"/>
      <c r="G1326" s="35" cm="1">
        <f t="array" ref="G1326">IFERROR(_xlfn.XLOOKUP(1, (SKUs!$J$2:$J$10001=accsry_unmerged!F1326)*IF(H1326&lt;&gt;"",(SKUs!$L$2:$L$10001=accsry_unmerged!H1326),1)*(SKUs!$K$2:$K$10001=I1326),SKUs!$C$2:$C$10001),"")</f>
        <v>0</v>
      </c>
      <c r="H1326" s="36" cm="1">
        <f t="array" ref="H1326">IFERROR(_xlfn.XLOOKUP(1, (dd_accsryclr!$C$2:$C$1000=accsry_unmerged!F1326)*(dd_accsryclr!$B$2:$B$1000=accsry_unmerged!J1326),dd_accsryclr!$A$2:$A$1000),"")</f>
        <v>0</v>
      </c>
      <c r="I1326" s="35">
        <f>_xlfn.XLOOKUP(C1326,'Project Details'!$C$17:$C$66,'Project Details'!$E$17:$E$66,"",0)</f>
        <v>0</v>
      </c>
      <c r="J1326" s="35">
        <f>_xlfn.XLOOKUP(C1326,'Project Details'!$C$17:$C$66,'Project Details'!$H$17:$H$66,"",0)</f>
        <v>0</v>
      </c>
      <c r="K1326" s="36" t="str">
        <f>IF(AND(_xlfn.XLOOKUP(C1326,'Project Details'!$C$17:$C$66,'Project Details'!$L$17:$L$66,"",0)&gt;550, F1326="Spring-L27cm"),"",SUBSTITUTE(_xlfn.XLOOKUP(G1326,SKUs!$C$2:$C$10001,SKUs!$F$2:$F$10001,"",0), " Accessories",""))</f>
        <v/>
      </c>
      <c r="L1326" s="36">
        <f>_xlfn.XLOOKUP(C1326,'Project Details'!$C$17:$C$66,'Project Details'!$D$17:$D$66,"",0)</f>
        <v>0</v>
      </c>
      <c r="M1326" s="43"/>
    </row>
    <row r="1327" spans="1:13" x14ac:dyDescent="0.25">
      <c r="A1327" s="43"/>
      <c r="B1327" s="43"/>
      <c r="C1327" s="16">
        <f t="shared" si="25"/>
        <v>27</v>
      </c>
      <c r="D1327" s="16" t="str" cm="1">
        <f t="array" ref="D1327">IFERROR(ROUNDUP(_xlfn.IFS(F1327="Aluminum Track", _xlfn.XLOOKUP(C1327, dd_accsrycalc!$A$2:$A$51, dd_accsrycalc!$B$2:$B$51, "",0), F1327="10 x 2 1/2 S (Flat)", _xlfn.XLOOKUP(C1327, dd_accsrycalc!$A$2:$A$51, dd_accsrycalc!$C$2:$C$51, "",0), F1327="Tox6", _xlfn.XLOOKUP(C1327, dd_accsrycalc!$A$2:$A$51, dd_accsrycalc!$D$2:$D$51, "",0), F1327="Cover Cap", _xlfn.XLOOKUP(C1327, dd_accsrycalc!$A$2:$A$51, dd_accsrycalc!$E$2:$E$51, "",0), F1327="Drainage Cover", _xlfn.XLOOKUP(C1327, dd_accsrycalc!$A$2:$A$51, dd_accsrycalc!$F$2:$F$51, "",0),AND( F1327="Double Adhesive Tape", I1327="Roll-up Screen"), _xlfn.XLOOKUP(C1327, calc_rusacc!$C$15:$C$65, calc_rusacc!$AD$15:$AD$65, "",0),AND( F1327="Sealant", I1327="Roll-up Screen"), _xlfn.XLOOKUP(C1327, calc_rusacc!$C$15:$C$65, calc_rusacc!$AF$15:$AF$65, "",0),  AND( F1327="Main Chain", I1327="Accordion Screen"), _xlfn.XLOOKUP(C1327, calc_rusacc!$C$15:$C$65, calc_rusacc!$BF$15:$BF$65, "",0), AND( F1327="Sealant", I1327="Accordion Screen"), _xlfn.XLOOKUP(C1327, calc_rusacc!$C$15:$C$65, calc_rusacc!$BJ$15:$BJ$65, "",0),  F1327="Sealant", _xlfn.XLOOKUP(C1327, dd_accsrycalc!$A$2:$A$51, dd_accsrycalc!$G$2:$G$51, "",0),  F1327&lt;&gt;"",L1327*_xlfn.XLOOKUP(1, (SKUs!$C$2:$C$10001=G1327)*(SKUs!$K$2:$K$10001=I1327),SKUs!$E$2:$E$10001)), 0),"")</f>
        <v/>
      </c>
      <c r="E1327" s="16" t="str">
        <f>_xlfn.XLOOKUP(F1327,dd_item!$B$2:$B$105,dd_item!$C$2:$C$105,"",0)</f>
        <v/>
      </c>
      <c r="F1327" s="16"/>
      <c r="G1327" s="16" cm="1">
        <f t="array" ref="G1327">IFERROR(_xlfn.XLOOKUP(1, (SKUs!$J$2:$J$10001=accsry_unmerged!F1327)*IF(H1327&lt;&gt;"",(SKUs!$L$2:$L$10001=accsry_unmerged!H1327),1)*(SKUs!$K$2:$K$10001=I1327),SKUs!$C$2:$C$10001),"")</f>
        <v>0</v>
      </c>
      <c r="H1327" s="33" cm="1">
        <f t="array" ref="H1327">IFERROR(_xlfn.XLOOKUP(1, (dd_accsryclr!$C$2:$C$1000=accsry_unmerged!F1327)*(dd_accsryclr!$B$2:$B$1000=accsry_unmerged!J1327),dd_accsryclr!$A$2:$A$1000),"")</f>
        <v>0</v>
      </c>
      <c r="I1327" s="16">
        <f>_xlfn.XLOOKUP(C1327,'Project Details'!$C$17:$C$66,'Project Details'!$E$17:$E$66,"",0)</f>
        <v>0</v>
      </c>
      <c r="J1327" s="16">
        <f>_xlfn.XLOOKUP(C1327,'Project Details'!$C$17:$C$66,'Project Details'!$H$17:$H$66,"",0)</f>
        <v>0</v>
      </c>
      <c r="K1327" s="33" t="str">
        <f>IF(AND(_xlfn.XLOOKUP(C1327,'Project Details'!$C$17:$C$66,'Project Details'!$L$17:$L$66,"",0)&gt;550, F1327="Spring-L27cm"),"",SUBSTITUTE(_xlfn.XLOOKUP(G1327,SKUs!$C$2:$C$10001,SKUs!$F$2:$F$10001,"",0), " Accessories",""))</f>
        <v/>
      </c>
      <c r="L1327" s="33">
        <f>_xlfn.XLOOKUP(C1327,'Project Details'!$C$17:$C$66,'Project Details'!$D$17:$D$66,"",0)</f>
        <v>0</v>
      </c>
      <c r="M1327" s="43"/>
    </row>
    <row r="1328" spans="1:13" x14ac:dyDescent="0.25">
      <c r="A1328" s="43"/>
      <c r="B1328" s="43"/>
      <c r="C1328" s="35">
        <f t="shared" si="25"/>
        <v>27</v>
      </c>
      <c r="D1328" s="35" t="str" cm="1">
        <f t="array" ref="D1328">IFERROR(ROUNDUP(_xlfn.IFS(F1328="Aluminum Track", _xlfn.XLOOKUP(C1328, dd_accsrycalc!$A$2:$A$51, dd_accsrycalc!$B$2:$B$51, "",0), F1328="10 x 2 1/2 S (Flat)", _xlfn.XLOOKUP(C1328, dd_accsrycalc!$A$2:$A$51, dd_accsrycalc!$C$2:$C$51, "",0), F1328="Tox6", _xlfn.XLOOKUP(C1328, dd_accsrycalc!$A$2:$A$51, dd_accsrycalc!$D$2:$D$51, "",0), F1328="Cover Cap", _xlfn.XLOOKUP(C1328, dd_accsrycalc!$A$2:$A$51, dd_accsrycalc!$E$2:$E$51, "",0), F1328="Drainage Cover", _xlfn.XLOOKUP(C1328, dd_accsrycalc!$A$2:$A$51, dd_accsrycalc!$F$2:$F$51, "",0),AND( F1328="Double Adhesive Tape", I1328="Roll-up Screen"), _xlfn.XLOOKUP(C1328, calc_rusacc!$C$15:$C$65, calc_rusacc!$AD$15:$AD$65, "",0),AND( F1328="Sealant", I1328="Roll-up Screen"), _xlfn.XLOOKUP(C1328, calc_rusacc!$C$15:$C$65, calc_rusacc!$AF$15:$AF$65, "",0),  AND( F1328="Main Chain", I1328="Accordion Screen"), _xlfn.XLOOKUP(C1328, calc_rusacc!$C$15:$C$65, calc_rusacc!$BF$15:$BF$65, "",0), AND( F1328="Sealant", I1328="Accordion Screen"), _xlfn.XLOOKUP(C1328, calc_rusacc!$C$15:$C$65, calc_rusacc!$BJ$15:$BJ$65, "",0),  F1328="Sealant", _xlfn.XLOOKUP(C1328, dd_accsrycalc!$A$2:$A$51, dd_accsrycalc!$G$2:$G$51, "",0),  F1328&lt;&gt;"",L1328*_xlfn.XLOOKUP(1, (SKUs!$C$2:$C$10001=G1328)*(SKUs!$K$2:$K$10001=I1328),SKUs!$E$2:$E$10001)), 0),"")</f>
        <v/>
      </c>
      <c r="E1328" s="35" t="str">
        <f>_xlfn.XLOOKUP(F1328,dd_item!$B$2:$B$105,dd_item!$C$2:$C$105,"",0)</f>
        <v/>
      </c>
      <c r="F1328" s="35"/>
      <c r="G1328" s="35" cm="1">
        <f t="array" ref="G1328">IFERROR(_xlfn.XLOOKUP(1, (SKUs!$J$2:$J$10001=accsry_unmerged!F1328)*IF(H1328&lt;&gt;"",(SKUs!$L$2:$L$10001=accsry_unmerged!H1328),1)*(SKUs!$K$2:$K$10001=I1328),SKUs!$C$2:$C$10001),"")</f>
        <v>0</v>
      </c>
      <c r="H1328" s="36" cm="1">
        <f t="array" ref="H1328">IFERROR(_xlfn.XLOOKUP(1, (dd_accsryclr!$C$2:$C$1000=accsry_unmerged!F1328)*(dd_accsryclr!$B$2:$B$1000=accsry_unmerged!J1328),dd_accsryclr!$A$2:$A$1000),"")</f>
        <v>0</v>
      </c>
      <c r="I1328" s="35">
        <f>_xlfn.XLOOKUP(C1328,'Project Details'!$C$17:$C$66,'Project Details'!$E$17:$E$66,"",0)</f>
        <v>0</v>
      </c>
      <c r="J1328" s="35">
        <f>_xlfn.XLOOKUP(C1328,'Project Details'!$C$17:$C$66,'Project Details'!$H$17:$H$66,"",0)</f>
        <v>0</v>
      </c>
      <c r="K1328" s="36" t="str">
        <f>IF(AND(_xlfn.XLOOKUP(C1328,'Project Details'!$C$17:$C$66,'Project Details'!$L$17:$L$66,"",0)&gt;550, F1328="Spring-L27cm"),"",SUBSTITUTE(_xlfn.XLOOKUP(G1328,SKUs!$C$2:$C$10001,SKUs!$F$2:$F$10001,"",0), " Accessories",""))</f>
        <v/>
      </c>
      <c r="L1328" s="36">
        <f>_xlfn.XLOOKUP(C1328,'Project Details'!$C$17:$C$66,'Project Details'!$D$17:$D$66,"",0)</f>
        <v>0</v>
      </c>
      <c r="M1328" s="43"/>
    </row>
    <row r="1329" spans="1:13" x14ac:dyDescent="0.25">
      <c r="A1329" s="43"/>
      <c r="B1329" s="43"/>
      <c r="C1329" s="16">
        <f t="shared" si="25"/>
        <v>27</v>
      </c>
      <c r="D1329" s="16" t="str" cm="1">
        <f t="array" ref="D1329">IFERROR(ROUNDUP(_xlfn.IFS(F1329="Aluminum Track", _xlfn.XLOOKUP(C1329, dd_accsrycalc!$A$2:$A$51, dd_accsrycalc!$B$2:$B$51, "",0), F1329="10 x 2 1/2 S (Flat)", _xlfn.XLOOKUP(C1329, dd_accsrycalc!$A$2:$A$51, dd_accsrycalc!$C$2:$C$51, "",0), F1329="Tox6", _xlfn.XLOOKUP(C1329, dd_accsrycalc!$A$2:$A$51, dd_accsrycalc!$D$2:$D$51, "",0), F1329="Cover Cap", _xlfn.XLOOKUP(C1329, dd_accsrycalc!$A$2:$A$51, dd_accsrycalc!$E$2:$E$51, "",0), F1329="Drainage Cover", _xlfn.XLOOKUP(C1329, dd_accsrycalc!$A$2:$A$51, dd_accsrycalc!$F$2:$F$51, "",0),AND( F1329="Double Adhesive Tape", I1329="Roll-up Screen"), _xlfn.XLOOKUP(C1329, calc_rusacc!$C$15:$C$65, calc_rusacc!$AD$15:$AD$65, "",0),AND( F1329="Sealant", I1329="Roll-up Screen"), _xlfn.XLOOKUP(C1329, calc_rusacc!$C$15:$C$65, calc_rusacc!$AF$15:$AF$65, "",0),  AND( F1329="Main Chain", I1329="Accordion Screen"), _xlfn.XLOOKUP(C1329, calc_rusacc!$C$15:$C$65, calc_rusacc!$BF$15:$BF$65, "",0), AND( F1329="Sealant", I1329="Accordion Screen"), _xlfn.XLOOKUP(C1329, calc_rusacc!$C$15:$C$65, calc_rusacc!$BJ$15:$BJ$65, "",0),  F1329="Sealant", _xlfn.XLOOKUP(C1329, dd_accsrycalc!$A$2:$A$51, dd_accsrycalc!$G$2:$G$51, "",0),  F1329&lt;&gt;"",L1329*_xlfn.XLOOKUP(1, (SKUs!$C$2:$C$10001=G1329)*(SKUs!$K$2:$K$10001=I1329),SKUs!$E$2:$E$10001)), 0),"")</f>
        <v/>
      </c>
      <c r="E1329" s="16" t="str">
        <f>_xlfn.XLOOKUP(F1329,dd_item!$B$2:$B$105,dd_item!$C$2:$C$105,"",0)</f>
        <v/>
      </c>
      <c r="F1329" s="16"/>
      <c r="G1329" s="16" cm="1">
        <f t="array" ref="G1329">IFERROR(_xlfn.XLOOKUP(1, (SKUs!$J$2:$J$10001=accsry_unmerged!F1329)*IF(H1329&lt;&gt;"",(SKUs!$L$2:$L$10001=accsry_unmerged!H1329),1)*(SKUs!$K$2:$K$10001=I1329),SKUs!$C$2:$C$10001),"")</f>
        <v>0</v>
      </c>
      <c r="H1329" s="33" cm="1">
        <f t="array" ref="H1329">IFERROR(_xlfn.XLOOKUP(1, (dd_accsryclr!$C$2:$C$1000=accsry_unmerged!F1329)*(dd_accsryclr!$B$2:$B$1000=accsry_unmerged!J1329),dd_accsryclr!$A$2:$A$1000),"")</f>
        <v>0</v>
      </c>
      <c r="I1329" s="16">
        <f>_xlfn.XLOOKUP(C1329,'Project Details'!$C$17:$C$66,'Project Details'!$E$17:$E$66,"",0)</f>
        <v>0</v>
      </c>
      <c r="J1329" s="16">
        <f>_xlfn.XLOOKUP(C1329,'Project Details'!$C$17:$C$66,'Project Details'!$H$17:$H$66,"",0)</f>
        <v>0</v>
      </c>
      <c r="K1329" s="33" t="str">
        <f>IF(AND(_xlfn.XLOOKUP(C1329,'Project Details'!$C$17:$C$66,'Project Details'!$L$17:$L$66,"",0)&gt;550, F1329="Spring-L27cm"),"",SUBSTITUTE(_xlfn.XLOOKUP(G1329,SKUs!$C$2:$C$10001,SKUs!$F$2:$F$10001,"",0), " Accessories",""))</f>
        <v/>
      </c>
      <c r="L1329" s="33">
        <f>_xlfn.XLOOKUP(C1329,'Project Details'!$C$17:$C$66,'Project Details'!$D$17:$D$66,"",0)</f>
        <v>0</v>
      </c>
      <c r="M1329" s="43"/>
    </row>
    <row r="1330" spans="1:13" x14ac:dyDescent="0.25">
      <c r="A1330" s="43"/>
      <c r="B1330" s="43"/>
      <c r="C1330" s="35">
        <f t="shared" si="25"/>
        <v>27</v>
      </c>
      <c r="D1330" s="35" t="str" cm="1">
        <f t="array" ref="D1330">IFERROR(ROUNDUP(_xlfn.IFS(F1330="Aluminum Track", _xlfn.XLOOKUP(C1330, dd_accsrycalc!$A$2:$A$51, dd_accsrycalc!$B$2:$B$51, "",0), F1330="10 x 2 1/2 S (Flat)", _xlfn.XLOOKUP(C1330, dd_accsrycalc!$A$2:$A$51, dd_accsrycalc!$C$2:$C$51, "",0), F1330="Tox6", _xlfn.XLOOKUP(C1330, dd_accsrycalc!$A$2:$A$51, dd_accsrycalc!$D$2:$D$51, "",0), F1330="Cover Cap", _xlfn.XLOOKUP(C1330, dd_accsrycalc!$A$2:$A$51, dd_accsrycalc!$E$2:$E$51, "",0), F1330="Drainage Cover", _xlfn.XLOOKUP(C1330, dd_accsrycalc!$A$2:$A$51, dd_accsrycalc!$F$2:$F$51, "",0),AND( F1330="Double Adhesive Tape", I1330="Roll-up Screen"), _xlfn.XLOOKUP(C1330, calc_rusacc!$C$15:$C$65, calc_rusacc!$AD$15:$AD$65, "",0),AND( F1330="Sealant", I1330="Roll-up Screen"), _xlfn.XLOOKUP(C1330, calc_rusacc!$C$15:$C$65, calc_rusacc!$AF$15:$AF$65, "",0),  AND( F1330="Main Chain", I1330="Accordion Screen"), _xlfn.XLOOKUP(C1330, calc_rusacc!$C$15:$C$65, calc_rusacc!$BF$15:$BF$65, "",0), AND( F1330="Sealant", I1330="Accordion Screen"), _xlfn.XLOOKUP(C1330, calc_rusacc!$C$15:$C$65, calc_rusacc!$BJ$15:$BJ$65, "",0),  F1330="Sealant", _xlfn.XLOOKUP(C1330, dd_accsrycalc!$A$2:$A$51, dd_accsrycalc!$G$2:$G$51, "",0),  F1330&lt;&gt;"",L1330*_xlfn.XLOOKUP(1, (SKUs!$C$2:$C$10001=G1330)*(SKUs!$K$2:$K$10001=I1330),SKUs!$E$2:$E$10001)), 0),"")</f>
        <v/>
      </c>
      <c r="E1330" s="35" t="str">
        <f>_xlfn.XLOOKUP(F1330,dd_item!$B$2:$B$105,dd_item!$C$2:$C$105,"",0)</f>
        <v/>
      </c>
      <c r="F1330" s="35"/>
      <c r="G1330" s="35" cm="1">
        <f t="array" ref="G1330">IFERROR(_xlfn.XLOOKUP(1, (SKUs!$J$2:$J$10001=accsry_unmerged!F1330)*IF(H1330&lt;&gt;"",(SKUs!$L$2:$L$10001=accsry_unmerged!H1330),1)*(SKUs!$K$2:$K$10001=I1330),SKUs!$C$2:$C$10001),"")</f>
        <v>0</v>
      </c>
      <c r="H1330" s="36" cm="1">
        <f t="array" ref="H1330">IFERROR(_xlfn.XLOOKUP(1, (dd_accsryclr!$C$2:$C$1000=accsry_unmerged!F1330)*(dd_accsryclr!$B$2:$B$1000=accsry_unmerged!J1330),dd_accsryclr!$A$2:$A$1000),"")</f>
        <v>0</v>
      </c>
      <c r="I1330" s="35">
        <f>_xlfn.XLOOKUP(C1330,'Project Details'!$C$17:$C$66,'Project Details'!$E$17:$E$66,"",0)</f>
        <v>0</v>
      </c>
      <c r="J1330" s="35">
        <f>_xlfn.XLOOKUP(C1330,'Project Details'!$C$17:$C$66,'Project Details'!$H$17:$H$66,"",0)</f>
        <v>0</v>
      </c>
      <c r="K1330" s="36" t="str">
        <f>IF(AND(_xlfn.XLOOKUP(C1330,'Project Details'!$C$17:$C$66,'Project Details'!$L$17:$L$66,"",0)&gt;550, F1330="Spring-L27cm"),"",SUBSTITUTE(_xlfn.XLOOKUP(G1330,SKUs!$C$2:$C$10001,SKUs!$F$2:$F$10001,"",0), " Accessories",""))</f>
        <v/>
      </c>
      <c r="L1330" s="36">
        <f>_xlfn.XLOOKUP(C1330,'Project Details'!$C$17:$C$66,'Project Details'!$D$17:$D$66,"",0)</f>
        <v>0</v>
      </c>
      <c r="M1330" s="43"/>
    </row>
    <row r="1331" spans="1:13" x14ac:dyDescent="0.25">
      <c r="A1331" s="43"/>
      <c r="B1331" s="43"/>
      <c r="C1331" s="16">
        <f t="shared" si="25"/>
        <v>27</v>
      </c>
      <c r="D1331" s="16" t="str" cm="1">
        <f t="array" ref="D1331">IFERROR(ROUNDUP(_xlfn.IFS(F1331="Aluminum Track", _xlfn.XLOOKUP(C1331, dd_accsrycalc!$A$2:$A$51, dd_accsrycalc!$B$2:$B$51, "",0), F1331="10 x 2 1/2 S (Flat)", _xlfn.XLOOKUP(C1331, dd_accsrycalc!$A$2:$A$51, dd_accsrycalc!$C$2:$C$51, "",0), F1331="Tox6", _xlfn.XLOOKUP(C1331, dd_accsrycalc!$A$2:$A$51, dd_accsrycalc!$D$2:$D$51, "",0), F1331="Cover Cap", _xlfn.XLOOKUP(C1331, dd_accsrycalc!$A$2:$A$51, dd_accsrycalc!$E$2:$E$51, "",0), F1331="Drainage Cover", _xlfn.XLOOKUP(C1331, dd_accsrycalc!$A$2:$A$51, dd_accsrycalc!$F$2:$F$51, "",0),AND( F1331="Double Adhesive Tape", I1331="Roll-up Screen"), _xlfn.XLOOKUP(C1331, calc_rusacc!$C$15:$C$65, calc_rusacc!$AD$15:$AD$65, "",0),AND( F1331="Sealant", I1331="Roll-up Screen"), _xlfn.XLOOKUP(C1331, calc_rusacc!$C$15:$C$65, calc_rusacc!$AF$15:$AF$65, "",0),  AND( F1331="Main Chain", I1331="Accordion Screen"), _xlfn.XLOOKUP(C1331, calc_rusacc!$C$15:$C$65, calc_rusacc!$BF$15:$BF$65, "",0), AND( F1331="Sealant", I1331="Accordion Screen"), _xlfn.XLOOKUP(C1331, calc_rusacc!$C$15:$C$65, calc_rusacc!$BJ$15:$BJ$65, "",0),  F1331="Sealant", _xlfn.XLOOKUP(C1331, dd_accsrycalc!$A$2:$A$51, dd_accsrycalc!$G$2:$G$51, "",0),  F1331&lt;&gt;"",L1331*_xlfn.XLOOKUP(1, (SKUs!$C$2:$C$10001=G1331)*(SKUs!$K$2:$K$10001=I1331),SKUs!$E$2:$E$10001)), 0),"")</f>
        <v/>
      </c>
      <c r="E1331" s="16" t="str">
        <f>_xlfn.XLOOKUP(F1331,dd_item!$B$2:$B$105,dd_item!$C$2:$C$105,"",0)</f>
        <v/>
      </c>
      <c r="F1331" s="16"/>
      <c r="G1331" s="16" cm="1">
        <f t="array" ref="G1331">IFERROR(_xlfn.XLOOKUP(1, (SKUs!$J$2:$J$10001=accsry_unmerged!F1331)*IF(H1331&lt;&gt;"",(SKUs!$L$2:$L$10001=accsry_unmerged!H1331),1)*(SKUs!$K$2:$K$10001=I1331),SKUs!$C$2:$C$10001),"")</f>
        <v>0</v>
      </c>
      <c r="H1331" s="33" cm="1">
        <f t="array" ref="H1331">IFERROR(_xlfn.XLOOKUP(1, (dd_accsryclr!$C$2:$C$1000=accsry_unmerged!F1331)*(dd_accsryclr!$B$2:$B$1000=accsry_unmerged!J1331),dd_accsryclr!$A$2:$A$1000),"")</f>
        <v>0</v>
      </c>
      <c r="I1331" s="16">
        <f>_xlfn.XLOOKUP(C1331,'Project Details'!$C$17:$C$66,'Project Details'!$E$17:$E$66,"",0)</f>
        <v>0</v>
      </c>
      <c r="J1331" s="16">
        <f>_xlfn.XLOOKUP(C1331,'Project Details'!$C$17:$C$66,'Project Details'!$H$17:$H$66,"",0)</f>
        <v>0</v>
      </c>
      <c r="K1331" s="33" t="str">
        <f>IF(AND(_xlfn.XLOOKUP(C1331,'Project Details'!$C$17:$C$66,'Project Details'!$L$17:$L$66,"",0)&gt;550, F1331="Spring-L27cm"),"",SUBSTITUTE(_xlfn.XLOOKUP(G1331,SKUs!$C$2:$C$10001,SKUs!$F$2:$F$10001,"",0), " Accessories",""))</f>
        <v/>
      </c>
      <c r="L1331" s="33">
        <f>_xlfn.XLOOKUP(C1331,'Project Details'!$C$17:$C$66,'Project Details'!$D$17:$D$66,"",0)</f>
        <v>0</v>
      </c>
      <c r="M1331" s="43"/>
    </row>
    <row r="1332" spans="1:13" x14ac:dyDescent="0.25">
      <c r="A1332" s="43"/>
      <c r="B1332" s="43"/>
      <c r="C1332" s="35">
        <f t="shared" si="25"/>
        <v>27</v>
      </c>
      <c r="D1332" s="35" t="str" cm="1">
        <f t="array" ref="D1332">IFERROR(ROUNDUP(_xlfn.IFS(F1332="Aluminum Track", _xlfn.XLOOKUP(C1332, dd_accsrycalc!$A$2:$A$51, dd_accsrycalc!$B$2:$B$51, "",0), F1332="10 x 2 1/2 S (Flat)", _xlfn.XLOOKUP(C1332, dd_accsrycalc!$A$2:$A$51, dd_accsrycalc!$C$2:$C$51, "",0), F1332="Tox6", _xlfn.XLOOKUP(C1332, dd_accsrycalc!$A$2:$A$51, dd_accsrycalc!$D$2:$D$51, "",0), F1332="Cover Cap", _xlfn.XLOOKUP(C1332, dd_accsrycalc!$A$2:$A$51, dd_accsrycalc!$E$2:$E$51, "",0), F1332="Drainage Cover", _xlfn.XLOOKUP(C1332, dd_accsrycalc!$A$2:$A$51, dd_accsrycalc!$F$2:$F$51, "",0),AND( F1332="Double Adhesive Tape", I1332="Roll-up Screen"), _xlfn.XLOOKUP(C1332, calc_rusacc!$C$15:$C$65, calc_rusacc!$AD$15:$AD$65, "",0),AND( F1332="Sealant", I1332="Roll-up Screen"), _xlfn.XLOOKUP(C1332, calc_rusacc!$C$15:$C$65, calc_rusacc!$AF$15:$AF$65, "",0),  AND( F1332="Main Chain", I1332="Accordion Screen"), _xlfn.XLOOKUP(C1332, calc_rusacc!$C$15:$C$65, calc_rusacc!$BF$15:$BF$65, "",0), AND( F1332="Sealant", I1332="Accordion Screen"), _xlfn.XLOOKUP(C1332, calc_rusacc!$C$15:$C$65, calc_rusacc!$BJ$15:$BJ$65, "",0),  F1332="Sealant", _xlfn.XLOOKUP(C1332, dd_accsrycalc!$A$2:$A$51, dd_accsrycalc!$G$2:$G$51, "",0),  F1332&lt;&gt;"",L1332*_xlfn.XLOOKUP(1, (SKUs!$C$2:$C$10001=G1332)*(SKUs!$K$2:$K$10001=I1332),SKUs!$E$2:$E$10001)), 0),"")</f>
        <v/>
      </c>
      <c r="E1332" s="35" t="str">
        <f>_xlfn.XLOOKUP(F1332,dd_item!$B$2:$B$105,dd_item!$C$2:$C$105,"",0)</f>
        <v/>
      </c>
      <c r="F1332" s="35"/>
      <c r="G1332" s="35" cm="1">
        <f t="array" ref="G1332">IFERROR(_xlfn.XLOOKUP(1, (SKUs!$J$2:$J$10001=accsry_unmerged!F1332)*IF(H1332&lt;&gt;"",(SKUs!$L$2:$L$10001=accsry_unmerged!H1332),1)*(SKUs!$K$2:$K$10001=I1332),SKUs!$C$2:$C$10001),"")</f>
        <v>0</v>
      </c>
      <c r="H1332" s="36" cm="1">
        <f t="array" ref="H1332">IFERROR(_xlfn.XLOOKUP(1, (dd_accsryclr!$C$2:$C$1000=accsry_unmerged!F1332)*(dd_accsryclr!$B$2:$B$1000=accsry_unmerged!J1332),dd_accsryclr!$A$2:$A$1000),"")</f>
        <v>0</v>
      </c>
      <c r="I1332" s="35">
        <f>_xlfn.XLOOKUP(C1332,'Project Details'!$C$17:$C$66,'Project Details'!$E$17:$E$66,"",0)</f>
        <v>0</v>
      </c>
      <c r="J1332" s="35">
        <f>_xlfn.XLOOKUP(C1332,'Project Details'!$C$17:$C$66,'Project Details'!$H$17:$H$66,"",0)</f>
        <v>0</v>
      </c>
      <c r="K1332" s="36" t="str">
        <f>IF(AND(_xlfn.XLOOKUP(C1332,'Project Details'!$C$17:$C$66,'Project Details'!$L$17:$L$66,"",0)&gt;550, F1332="Spring-L27cm"),"",SUBSTITUTE(_xlfn.XLOOKUP(G1332,SKUs!$C$2:$C$10001,SKUs!$F$2:$F$10001,"",0), " Accessories",""))</f>
        <v/>
      </c>
      <c r="L1332" s="36">
        <f>_xlfn.XLOOKUP(C1332,'Project Details'!$C$17:$C$66,'Project Details'!$D$17:$D$66,"",0)</f>
        <v>0</v>
      </c>
      <c r="M1332" s="43"/>
    </row>
    <row r="1333" spans="1:13" x14ac:dyDescent="0.25">
      <c r="A1333" s="43"/>
      <c r="B1333" s="43"/>
      <c r="C1333" s="16">
        <f t="shared" si="25"/>
        <v>27</v>
      </c>
      <c r="D1333" s="16" t="str" cm="1">
        <f t="array" ref="D1333">IFERROR(ROUNDUP(_xlfn.IFS(F1333="Aluminum Track", _xlfn.XLOOKUP(C1333, dd_accsrycalc!$A$2:$A$51, dd_accsrycalc!$B$2:$B$51, "",0), F1333="10 x 2 1/2 S (Flat)", _xlfn.XLOOKUP(C1333, dd_accsrycalc!$A$2:$A$51, dd_accsrycalc!$C$2:$C$51, "",0), F1333="Tox6", _xlfn.XLOOKUP(C1333, dd_accsrycalc!$A$2:$A$51, dd_accsrycalc!$D$2:$D$51, "",0), F1333="Cover Cap", _xlfn.XLOOKUP(C1333, dd_accsrycalc!$A$2:$A$51, dd_accsrycalc!$E$2:$E$51, "",0), F1333="Drainage Cover", _xlfn.XLOOKUP(C1333, dd_accsrycalc!$A$2:$A$51, dd_accsrycalc!$F$2:$F$51, "",0),AND( F1333="Double Adhesive Tape", I1333="Roll-up Screen"), _xlfn.XLOOKUP(C1333, calc_rusacc!$C$15:$C$65, calc_rusacc!$AD$15:$AD$65, "",0),AND( F1333="Sealant", I1333="Roll-up Screen"), _xlfn.XLOOKUP(C1333, calc_rusacc!$C$15:$C$65, calc_rusacc!$AF$15:$AF$65, "",0),  AND( F1333="Main Chain", I1333="Accordion Screen"), _xlfn.XLOOKUP(C1333, calc_rusacc!$C$15:$C$65, calc_rusacc!$BF$15:$BF$65, "",0), AND( F1333="Sealant", I1333="Accordion Screen"), _xlfn.XLOOKUP(C1333, calc_rusacc!$C$15:$C$65, calc_rusacc!$BJ$15:$BJ$65, "",0),  F1333="Sealant", _xlfn.XLOOKUP(C1333, dd_accsrycalc!$A$2:$A$51, dd_accsrycalc!$G$2:$G$51, "",0),  F1333&lt;&gt;"",L1333*_xlfn.XLOOKUP(1, (SKUs!$C$2:$C$10001=G1333)*(SKUs!$K$2:$K$10001=I1333),SKUs!$E$2:$E$10001)), 0),"")</f>
        <v/>
      </c>
      <c r="E1333" s="16" t="str">
        <f>_xlfn.XLOOKUP(F1333,dd_item!$B$2:$B$105,dd_item!$C$2:$C$105,"",0)</f>
        <v/>
      </c>
      <c r="F1333" s="16"/>
      <c r="G1333" s="16" cm="1">
        <f t="array" ref="G1333">IFERROR(_xlfn.XLOOKUP(1, (SKUs!$J$2:$J$10001=accsry_unmerged!F1333)*IF(H1333&lt;&gt;"",(SKUs!$L$2:$L$10001=accsry_unmerged!H1333),1)*(SKUs!$K$2:$K$10001=I1333),SKUs!$C$2:$C$10001),"")</f>
        <v>0</v>
      </c>
      <c r="H1333" s="33" cm="1">
        <f t="array" ref="H1333">IFERROR(_xlfn.XLOOKUP(1, (dd_accsryclr!$C$2:$C$1000=accsry_unmerged!F1333)*(dd_accsryclr!$B$2:$B$1000=accsry_unmerged!J1333),dd_accsryclr!$A$2:$A$1000),"")</f>
        <v>0</v>
      </c>
      <c r="I1333" s="16">
        <f>_xlfn.XLOOKUP(C1333,'Project Details'!$C$17:$C$66,'Project Details'!$E$17:$E$66,"",0)</f>
        <v>0</v>
      </c>
      <c r="J1333" s="16">
        <f>_xlfn.XLOOKUP(C1333,'Project Details'!$C$17:$C$66,'Project Details'!$H$17:$H$66,"",0)</f>
        <v>0</v>
      </c>
      <c r="K1333" s="33" t="str">
        <f>IF(AND(_xlfn.XLOOKUP(C1333,'Project Details'!$C$17:$C$66,'Project Details'!$L$17:$L$66,"",0)&gt;550, F1333="Spring-L27cm"),"",SUBSTITUTE(_xlfn.XLOOKUP(G1333,SKUs!$C$2:$C$10001,SKUs!$F$2:$F$10001,"",0), " Accessories",""))</f>
        <v/>
      </c>
      <c r="L1333" s="33">
        <f>_xlfn.XLOOKUP(C1333,'Project Details'!$C$17:$C$66,'Project Details'!$D$17:$D$66,"",0)</f>
        <v>0</v>
      </c>
      <c r="M1333" s="43"/>
    </row>
    <row r="1334" spans="1:13" ht="13.5" customHeight="1" x14ac:dyDescent="0.25">
      <c r="A1334" s="43"/>
      <c r="B1334" s="43"/>
      <c r="C1334" s="35">
        <f t="shared" si="25"/>
        <v>27</v>
      </c>
      <c r="D1334" s="35" t="str" cm="1">
        <f t="array" ref="D1334">IFERROR(ROUNDUP(_xlfn.IFS(F1334="Aluminum Track", _xlfn.XLOOKUP(C1334, dd_accsrycalc!$A$2:$A$51, dd_accsrycalc!$B$2:$B$51, "",0), F1334="10 x 2 1/2 S (Flat)", _xlfn.XLOOKUP(C1334, dd_accsrycalc!$A$2:$A$51, dd_accsrycalc!$C$2:$C$51, "",0), F1334="Tox6", _xlfn.XLOOKUP(C1334, dd_accsrycalc!$A$2:$A$51, dd_accsrycalc!$D$2:$D$51, "",0), F1334="Cover Cap", _xlfn.XLOOKUP(C1334, dd_accsrycalc!$A$2:$A$51, dd_accsrycalc!$E$2:$E$51, "",0), F1334="Drainage Cover", _xlfn.XLOOKUP(C1334, dd_accsrycalc!$A$2:$A$51, dd_accsrycalc!$F$2:$F$51, "",0),AND( F1334="Double Adhesive Tape", I1334="Roll-up Screen"), _xlfn.XLOOKUP(C1334, calc_rusacc!$C$15:$C$65, calc_rusacc!$AD$15:$AD$65, "",0),AND( F1334="Sealant", I1334="Roll-up Screen"), _xlfn.XLOOKUP(C1334, calc_rusacc!$C$15:$C$65, calc_rusacc!$AF$15:$AF$65, "",0),  AND( F1334="Main Chain", I1334="Accordion Screen"), _xlfn.XLOOKUP(C1334, calc_rusacc!$C$15:$C$65, calc_rusacc!$BF$15:$BF$65, "",0), AND( F1334="Sealant", I1334="Accordion Screen"), _xlfn.XLOOKUP(C1334, calc_rusacc!$C$15:$C$65, calc_rusacc!$BJ$15:$BJ$65, "",0),  F1334="Sealant", _xlfn.XLOOKUP(C1334, dd_accsrycalc!$A$2:$A$51, dd_accsrycalc!$G$2:$G$51, "",0),  F1334&lt;&gt;"",L1334*_xlfn.XLOOKUP(1, (SKUs!$C$2:$C$10001=G1334)*(SKUs!$K$2:$K$10001=I1334),SKUs!$E$2:$E$10001)), 0),"")</f>
        <v/>
      </c>
      <c r="E1334" s="35" t="str">
        <f>_xlfn.XLOOKUP(F1334,dd_item!$B$2:$B$105,dd_item!$C$2:$C$105,"",0)</f>
        <v/>
      </c>
      <c r="F1334" s="35"/>
      <c r="G1334" s="35" cm="1">
        <f t="array" ref="G1334">IFERROR(_xlfn.XLOOKUP(1, (SKUs!$J$2:$J$10001=accsry_unmerged!F1334)*IF(H1334&lt;&gt;"",(SKUs!$L$2:$L$10001=accsry_unmerged!H1334),1)*(SKUs!$K$2:$K$10001=I1334),SKUs!$C$2:$C$10001),"")</f>
        <v>0</v>
      </c>
      <c r="H1334" s="36" cm="1">
        <f t="array" ref="H1334">IFERROR(_xlfn.XLOOKUP(1, (dd_accsryclr!$C$2:$C$1000=accsry_unmerged!F1334)*(dd_accsryclr!$B$2:$B$1000=accsry_unmerged!J1334),dd_accsryclr!$A$2:$A$1000),"")</f>
        <v>0</v>
      </c>
      <c r="I1334" s="35">
        <f>_xlfn.XLOOKUP(C1334,'Project Details'!$C$17:$C$66,'Project Details'!$E$17:$E$66,"",0)</f>
        <v>0</v>
      </c>
      <c r="J1334" s="35">
        <f>_xlfn.XLOOKUP(C1334,'Project Details'!$C$17:$C$66,'Project Details'!$H$17:$H$66,"",0)</f>
        <v>0</v>
      </c>
      <c r="K1334" s="36" t="str">
        <f>IF(AND(_xlfn.XLOOKUP(C1334,'Project Details'!$C$17:$C$66,'Project Details'!$L$17:$L$66,"",0)&gt;550, F1334="Spring-L27cm"),"",SUBSTITUTE(_xlfn.XLOOKUP(G1334,SKUs!$C$2:$C$10001,SKUs!$F$2:$F$10001,"",0), " Accessories",""))</f>
        <v/>
      </c>
      <c r="L1334" s="36">
        <f>_xlfn.XLOOKUP(C1334,'Project Details'!$C$17:$C$66,'Project Details'!$D$17:$D$66,"",0)</f>
        <v>0</v>
      </c>
      <c r="M1334" s="43"/>
    </row>
    <row r="1335" spans="1:13" ht="13.5" customHeight="1" x14ac:dyDescent="0.25">
      <c r="A1335" s="43"/>
      <c r="B1335" s="43"/>
      <c r="C1335" s="16">
        <f t="shared" si="25"/>
        <v>27</v>
      </c>
      <c r="D1335" s="16" t="str" cm="1">
        <f t="array" ref="D1335">IFERROR(ROUNDUP(_xlfn.IFS(F1335="Aluminum Track", _xlfn.XLOOKUP(C1335, dd_accsrycalc!$A$2:$A$51, dd_accsrycalc!$B$2:$B$51, "",0), F1335="10 x 2 1/2 S (Flat)", _xlfn.XLOOKUP(C1335, dd_accsrycalc!$A$2:$A$51, dd_accsrycalc!$C$2:$C$51, "",0), F1335="Tox6", _xlfn.XLOOKUP(C1335, dd_accsrycalc!$A$2:$A$51, dd_accsrycalc!$D$2:$D$51, "",0), F1335="Cover Cap", _xlfn.XLOOKUP(C1335, dd_accsrycalc!$A$2:$A$51, dd_accsrycalc!$E$2:$E$51, "",0), F1335="Drainage Cover", _xlfn.XLOOKUP(C1335, dd_accsrycalc!$A$2:$A$51, dd_accsrycalc!$F$2:$F$51, "",0),AND( F1335="Double Adhesive Tape", I1335="Roll-up Screen"), _xlfn.XLOOKUP(C1335, calc_rusacc!$C$15:$C$65, calc_rusacc!$AD$15:$AD$65, "",0),AND( F1335="Sealant", I1335="Roll-up Screen"), _xlfn.XLOOKUP(C1335, calc_rusacc!$C$15:$C$65, calc_rusacc!$AF$15:$AF$65, "",0),  AND( F1335="Main Chain", I1335="Accordion Screen"), _xlfn.XLOOKUP(C1335, calc_rusacc!$C$15:$C$65, calc_rusacc!$BF$15:$BF$65, "",0), AND( F1335="Sealant", I1335="Accordion Screen"), _xlfn.XLOOKUP(C1335, calc_rusacc!$C$15:$C$65, calc_rusacc!$BJ$15:$BJ$65, "",0),  F1335="Sealant", _xlfn.XLOOKUP(C1335, dd_accsrycalc!$A$2:$A$51, dd_accsrycalc!$G$2:$G$51, "",0),  F1335&lt;&gt;"",L1335*_xlfn.XLOOKUP(1, (SKUs!$C$2:$C$10001=G1335)*(SKUs!$K$2:$K$10001=I1335),SKUs!$E$2:$E$10001)), 0),"")</f>
        <v/>
      </c>
      <c r="E1335" s="16" t="str">
        <f>_xlfn.XLOOKUP(F1335,dd_item!$B$2:$B$105,dd_item!$C$2:$C$105,"",0)</f>
        <v/>
      </c>
      <c r="F1335" s="16"/>
      <c r="G1335" s="16" cm="1">
        <f t="array" ref="G1335">IFERROR(_xlfn.XLOOKUP(1, (SKUs!$J$2:$J$10001=accsry_unmerged!F1335)*IF(H1335&lt;&gt;"",(SKUs!$L$2:$L$10001=accsry_unmerged!H1335),1)*(SKUs!$K$2:$K$10001=I1335),SKUs!$C$2:$C$10001),"")</f>
        <v>0</v>
      </c>
      <c r="H1335" s="33" cm="1">
        <f t="array" ref="H1335">IFERROR(_xlfn.XLOOKUP(1, (dd_accsryclr!$C$2:$C$1000=accsry_unmerged!F1335)*(dd_accsryclr!$B$2:$B$1000=accsry_unmerged!J1335),dd_accsryclr!$A$2:$A$1000),"")</f>
        <v>0</v>
      </c>
      <c r="I1335" s="16">
        <f>_xlfn.XLOOKUP(C1335,'Project Details'!$C$17:$C$66,'Project Details'!$E$17:$E$66,"",0)</f>
        <v>0</v>
      </c>
      <c r="J1335" s="16">
        <f>_xlfn.XLOOKUP(C1335,'Project Details'!$C$17:$C$66,'Project Details'!$H$17:$H$66,"",0)</f>
        <v>0</v>
      </c>
      <c r="K1335" s="33" t="str">
        <f>IF(AND(_xlfn.XLOOKUP(C1335,'Project Details'!$C$17:$C$66,'Project Details'!$L$17:$L$66,"",0)&gt;550, F1335="Spring-L27cm"),"",SUBSTITUTE(_xlfn.XLOOKUP(G1335,SKUs!$C$2:$C$10001,SKUs!$F$2:$F$10001,"",0), " Accessories",""))</f>
        <v/>
      </c>
      <c r="L1335" s="33">
        <f>_xlfn.XLOOKUP(C1335,'Project Details'!$C$17:$C$66,'Project Details'!$D$17:$D$66,"",0)</f>
        <v>0</v>
      </c>
      <c r="M1335" s="43"/>
    </row>
    <row r="1336" spans="1:13" ht="13.5" customHeight="1" x14ac:dyDescent="0.25">
      <c r="A1336" s="43"/>
      <c r="B1336" s="43"/>
      <c r="C1336" s="35">
        <f t="shared" si="25"/>
        <v>27</v>
      </c>
      <c r="D1336" s="35" t="str" cm="1">
        <f t="array" ref="D1336">IFERROR(ROUNDUP(_xlfn.IFS(F1336="Aluminum Track", _xlfn.XLOOKUP(C1336, dd_accsrycalc!$A$2:$A$51, dd_accsrycalc!$B$2:$B$51, "",0), F1336="10 x 2 1/2 S (Flat)", _xlfn.XLOOKUP(C1336, dd_accsrycalc!$A$2:$A$51, dd_accsrycalc!$C$2:$C$51, "",0), F1336="Tox6", _xlfn.XLOOKUP(C1336, dd_accsrycalc!$A$2:$A$51, dd_accsrycalc!$D$2:$D$51, "",0), F1336="Cover Cap", _xlfn.XLOOKUP(C1336, dd_accsrycalc!$A$2:$A$51, dd_accsrycalc!$E$2:$E$51, "",0), F1336="Drainage Cover", _xlfn.XLOOKUP(C1336, dd_accsrycalc!$A$2:$A$51, dd_accsrycalc!$F$2:$F$51, "",0),AND( F1336="Double Adhesive Tape", I1336="Roll-up Screen"), _xlfn.XLOOKUP(C1336, calc_rusacc!$C$15:$C$65, calc_rusacc!$AD$15:$AD$65, "",0),AND( F1336="Sealant", I1336="Roll-up Screen"), _xlfn.XLOOKUP(C1336, calc_rusacc!$C$15:$C$65, calc_rusacc!$AF$15:$AF$65, "",0),  AND( F1336="Main Chain", I1336="Accordion Screen"), _xlfn.XLOOKUP(C1336, calc_rusacc!$C$15:$C$65, calc_rusacc!$BF$15:$BF$65, "",0), AND( F1336="Sealant", I1336="Accordion Screen"), _xlfn.XLOOKUP(C1336, calc_rusacc!$C$15:$C$65, calc_rusacc!$BJ$15:$BJ$65, "",0),  F1336="Sealant", _xlfn.XLOOKUP(C1336, dd_accsrycalc!$A$2:$A$51, dd_accsrycalc!$G$2:$G$51, "",0),  F1336&lt;&gt;"",L1336*_xlfn.XLOOKUP(1, (SKUs!$C$2:$C$10001=G1336)*(SKUs!$K$2:$K$10001=I1336),SKUs!$E$2:$E$10001)), 0),"")</f>
        <v/>
      </c>
      <c r="E1336" s="35" t="str">
        <f>_xlfn.XLOOKUP(F1336,dd_item!$B$2:$B$105,dd_item!$C$2:$C$105,"",0)</f>
        <v/>
      </c>
      <c r="F1336" s="35"/>
      <c r="G1336" s="35" cm="1">
        <f t="array" ref="G1336">IFERROR(_xlfn.XLOOKUP(1, (SKUs!$J$2:$J$10001=accsry_unmerged!F1336)*IF(H1336&lt;&gt;"",(SKUs!$L$2:$L$10001=accsry_unmerged!H1336),1)*(SKUs!$K$2:$K$10001=I1336),SKUs!$C$2:$C$10001),"")</f>
        <v>0</v>
      </c>
      <c r="H1336" s="36" cm="1">
        <f t="array" ref="H1336">IFERROR(_xlfn.XLOOKUP(1, (dd_accsryclr!$C$2:$C$1000=accsry_unmerged!F1336)*(dd_accsryclr!$B$2:$B$1000=accsry_unmerged!J1336),dd_accsryclr!$A$2:$A$1000),"")</f>
        <v>0</v>
      </c>
      <c r="I1336" s="35">
        <f>_xlfn.XLOOKUP(C1336,'Project Details'!$C$17:$C$66,'Project Details'!$E$17:$E$66,"",0)</f>
        <v>0</v>
      </c>
      <c r="J1336" s="35">
        <f>_xlfn.XLOOKUP(C1336,'Project Details'!$C$17:$C$66,'Project Details'!$H$17:$H$66,"",0)</f>
        <v>0</v>
      </c>
      <c r="K1336" s="36" t="str">
        <f>IF(AND(_xlfn.XLOOKUP(C1336,'Project Details'!$C$17:$C$66,'Project Details'!$L$17:$L$66,"",0)&gt;550, F1336="Spring-L27cm"),"",SUBSTITUTE(_xlfn.XLOOKUP(G1336,SKUs!$C$2:$C$10001,SKUs!$F$2:$F$10001,"",0), " Accessories",""))</f>
        <v/>
      </c>
      <c r="L1336" s="36">
        <f>_xlfn.XLOOKUP(C1336,'Project Details'!$C$17:$C$66,'Project Details'!$D$17:$D$66,"",0)</f>
        <v>0</v>
      </c>
      <c r="M1336" s="43"/>
    </row>
    <row r="1337" spans="1:13" ht="13.5" customHeight="1" x14ac:dyDescent="0.25">
      <c r="A1337" s="43"/>
      <c r="B1337" s="43"/>
      <c r="C1337" s="16">
        <f t="shared" si="25"/>
        <v>27</v>
      </c>
      <c r="D1337" s="16" t="str" cm="1">
        <f t="array" ref="D1337">IFERROR(ROUNDUP(_xlfn.IFS(F1337="Aluminum Track", _xlfn.XLOOKUP(C1337, dd_accsrycalc!$A$2:$A$51, dd_accsrycalc!$B$2:$B$51, "",0), F1337="10 x 2 1/2 S (Flat)", _xlfn.XLOOKUP(C1337, dd_accsrycalc!$A$2:$A$51, dd_accsrycalc!$C$2:$C$51, "",0), F1337="Tox6", _xlfn.XLOOKUP(C1337, dd_accsrycalc!$A$2:$A$51, dd_accsrycalc!$D$2:$D$51, "",0), F1337="Cover Cap", _xlfn.XLOOKUP(C1337, dd_accsrycalc!$A$2:$A$51, dd_accsrycalc!$E$2:$E$51, "",0), F1337="Drainage Cover", _xlfn.XLOOKUP(C1337, dd_accsrycalc!$A$2:$A$51, dd_accsrycalc!$F$2:$F$51, "",0),AND( F1337="Double Adhesive Tape", I1337="Roll-up Screen"), _xlfn.XLOOKUP(C1337, calc_rusacc!$C$15:$C$65, calc_rusacc!$AD$15:$AD$65, "",0),AND( F1337="Sealant", I1337="Roll-up Screen"), _xlfn.XLOOKUP(C1337, calc_rusacc!$C$15:$C$65, calc_rusacc!$AF$15:$AF$65, "",0),  AND( F1337="Main Chain", I1337="Accordion Screen"), _xlfn.XLOOKUP(C1337, calc_rusacc!$C$15:$C$65, calc_rusacc!$BF$15:$BF$65, "",0), AND( F1337="Sealant", I1337="Accordion Screen"), _xlfn.XLOOKUP(C1337, calc_rusacc!$C$15:$C$65, calc_rusacc!$BJ$15:$BJ$65, "",0),  F1337="Sealant", _xlfn.XLOOKUP(C1337, dd_accsrycalc!$A$2:$A$51, dd_accsrycalc!$G$2:$G$51, "",0),  F1337&lt;&gt;"",L1337*_xlfn.XLOOKUP(1, (SKUs!$C$2:$C$10001=G1337)*(SKUs!$K$2:$K$10001=I1337),SKUs!$E$2:$E$10001)), 0),"")</f>
        <v/>
      </c>
      <c r="E1337" s="16" t="str">
        <f>_xlfn.XLOOKUP(F1337,dd_item!$B$2:$B$105,dd_item!$C$2:$C$105,"",0)</f>
        <v/>
      </c>
      <c r="F1337" s="16"/>
      <c r="G1337" s="16" cm="1">
        <f t="array" ref="G1337">IFERROR(_xlfn.XLOOKUP(1, (SKUs!$J$2:$J$10001=accsry_unmerged!F1337)*IF(H1337&lt;&gt;"",(SKUs!$L$2:$L$10001=accsry_unmerged!H1337),1)*(SKUs!$K$2:$K$10001=I1337),SKUs!$C$2:$C$10001),"")</f>
        <v>0</v>
      </c>
      <c r="H1337" s="33" cm="1">
        <f t="array" ref="H1337">IFERROR(_xlfn.XLOOKUP(1, (dd_accsryclr!$C$2:$C$1000=accsry_unmerged!F1337)*(dd_accsryclr!$B$2:$B$1000=accsry_unmerged!J1337),dd_accsryclr!$A$2:$A$1000),"")</f>
        <v>0</v>
      </c>
      <c r="I1337" s="16">
        <f>_xlfn.XLOOKUP(C1337,'Project Details'!$C$17:$C$66,'Project Details'!$E$17:$E$66,"",0)</f>
        <v>0</v>
      </c>
      <c r="J1337" s="16">
        <f>_xlfn.XLOOKUP(C1337,'Project Details'!$C$17:$C$66,'Project Details'!$H$17:$H$66,"",0)</f>
        <v>0</v>
      </c>
      <c r="K1337" s="33" t="str">
        <f>IF(AND(_xlfn.XLOOKUP(C1337,'Project Details'!$C$17:$C$66,'Project Details'!$L$17:$L$66,"",0)&gt;550, F1337="Spring-L27cm"),"",SUBSTITUTE(_xlfn.XLOOKUP(G1337,SKUs!$C$2:$C$10001,SKUs!$F$2:$F$10001,"",0), " Accessories",""))</f>
        <v/>
      </c>
      <c r="L1337" s="33">
        <f>_xlfn.XLOOKUP(C1337,'Project Details'!$C$17:$C$66,'Project Details'!$D$17:$D$66,"",0)</f>
        <v>0</v>
      </c>
      <c r="M1337" s="43"/>
    </row>
    <row r="1338" spans="1:13" ht="13.5" customHeight="1" x14ac:dyDescent="0.25">
      <c r="A1338" s="43"/>
      <c r="B1338" s="43"/>
      <c r="C1338" s="35">
        <f t="shared" si="25"/>
        <v>27</v>
      </c>
      <c r="D1338" s="35" t="str" cm="1">
        <f t="array" ref="D1338">IFERROR(ROUNDUP(_xlfn.IFS(F1338="Aluminum Track", _xlfn.XLOOKUP(C1338, dd_accsrycalc!$A$2:$A$51, dd_accsrycalc!$B$2:$B$51, "",0), F1338="10 x 2 1/2 S (Flat)", _xlfn.XLOOKUP(C1338, dd_accsrycalc!$A$2:$A$51, dd_accsrycalc!$C$2:$C$51, "",0), F1338="Tox6", _xlfn.XLOOKUP(C1338, dd_accsrycalc!$A$2:$A$51, dd_accsrycalc!$D$2:$D$51, "",0), F1338="Cover Cap", _xlfn.XLOOKUP(C1338, dd_accsrycalc!$A$2:$A$51, dd_accsrycalc!$E$2:$E$51, "",0), F1338="Drainage Cover", _xlfn.XLOOKUP(C1338, dd_accsrycalc!$A$2:$A$51, dd_accsrycalc!$F$2:$F$51, "",0),AND( F1338="Double Adhesive Tape", I1338="Roll-up Screen"), _xlfn.XLOOKUP(C1338, calc_rusacc!$C$15:$C$65, calc_rusacc!$AD$15:$AD$65, "",0),AND( F1338="Sealant", I1338="Roll-up Screen"), _xlfn.XLOOKUP(C1338, calc_rusacc!$C$15:$C$65, calc_rusacc!$AF$15:$AF$65, "",0),  AND( F1338="Main Chain", I1338="Accordion Screen"), _xlfn.XLOOKUP(C1338, calc_rusacc!$C$15:$C$65, calc_rusacc!$BF$15:$BF$65, "",0), AND( F1338="Sealant", I1338="Accordion Screen"), _xlfn.XLOOKUP(C1338, calc_rusacc!$C$15:$C$65, calc_rusacc!$BJ$15:$BJ$65, "",0),  F1338="Sealant", _xlfn.XLOOKUP(C1338, dd_accsrycalc!$A$2:$A$51, dd_accsrycalc!$G$2:$G$51, "",0),  F1338&lt;&gt;"",L1338*_xlfn.XLOOKUP(1, (SKUs!$C$2:$C$10001=G1338)*(SKUs!$K$2:$K$10001=I1338),SKUs!$E$2:$E$10001)), 0),"")</f>
        <v/>
      </c>
      <c r="E1338" s="35" t="str">
        <f>_xlfn.XLOOKUP(F1338,dd_item!$B$2:$B$105,dd_item!$C$2:$C$105,"",0)</f>
        <v/>
      </c>
      <c r="F1338" s="35"/>
      <c r="G1338" s="35" cm="1">
        <f t="array" ref="G1338">IFERROR(_xlfn.XLOOKUP(1, (SKUs!$J$2:$J$10001=accsry_unmerged!F1338)*IF(H1338&lt;&gt;"",(SKUs!$L$2:$L$10001=accsry_unmerged!H1338),1)*(SKUs!$K$2:$K$10001=I1338),SKUs!$C$2:$C$10001),"")</f>
        <v>0</v>
      </c>
      <c r="H1338" s="36" cm="1">
        <f t="array" ref="H1338">IFERROR(_xlfn.XLOOKUP(1, (dd_accsryclr!$C$2:$C$1000=accsry_unmerged!F1338)*(dd_accsryclr!$B$2:$B$1000=accsry_unmerged!J1338),dd_accsryclr!$A$2:$A$1000),"")</f>
        <v>0</v>
      </c>
      <c r="I1338" s="35">
        <f>_xlfn.XLOOKUP(C1338,'Project Details'!$C$17:$C$66,'Project Details'!$E$17:$E$66,"",0)</f>
        <v>0</v>
      </c>
      <c r="J1338" s="35">
        <f>_xlfn.XLOOKUP(C1338,'Project Details'!$C$17:$C$66,'Project Details'!$H$17:$H$66,"",0)</f>
        <v>0</v>
      </c>
      <c r="K1338" s="36" t="str">
        <f>IF(AND(_xlfn.XLOOKUP(C1338,'Project Details'!$C$17:$C$66,'Project Details'!$L$17:$L$66,"",0)&gt;550, F1338="Spring-L27cm"),"",SUBSTITUTE(_xlfn.XLOOKUP(G1338,SKUs!$C$2:$C$10001,SKUs!$F$2:$F$10001,"",0), " Accessories",""))</f>
        <v/>
      </c>
      <c r="L1338" s="36">
        <f>_xlfn.XLOOKUP(C1338,'Project Details'!$C$17:$C$66,'Project Details'!$D$17:$D$66,"",0)</f>
        <v>0</v>
      </c>
      <c r="M1338" s="43"/>
    </row>
    <row r="1339" spans="1:13" ht="13.5" customHeight="1" x14ac:dyDescent="0.25">
      <c r="A1339" s="43"/>
      <c r="B1339" s="43"/>
      <c r="C1339" s="16">
        <f t="shared" si="25"/>
        <v>27</v>
      </c>
      <c r="D1339" s="16" t="str" cm="1">
        <f t="array" ref="D1339">IFERROR(ROUNDUP(_xlfn.IFS(F1339="Aluminum Track", _xlfn.XLOOKUP(C1339, dd_accsrycalc!$A$2:$A$51, dd_accsrycalc!$B$2:$B$51, "",0), F1339="10 x 2 1/2 S (Flat)", _xlfn.XLOOKUP(C1339, dd_accsrycalc!$A$2:$A$51, dd_accsrycalc!$C$2:$C$51, "",0), F1339="Tox6", _xlfn.XLOOKUP(C1339, dd_accsrycalc!$A$2:$A$51, dd_accsrycalc!$D$2:$D$51, "",0), F1339="Cover Cap", _xlfn.XLOOKUP(C1339, dd_accsrycalc!$A$2:$A$51, dd_accsrycalc!$E$2:$E$51, "",0), F1339="Drainage Cover", _xlfn.XLOOKUP(C1339, dd_accsrycalc!$A$2:$A$51, dd_accsrycalc!$F$2:$F$51, "",0),AND( F1339="Double Adhesive Tape", I1339="Roll-up Screen"), _xlfn.XLOOKUP(C1339, calc_rusacc!$C$15:$C$65, calc_rusacc!$AD$15:$AD$65, "",0),AND( F1339="Sealant", I1339="Roll-up Screen"), _xlfn.XLOOKUP(C1339, calc_rusacc!$C$15:$C$65, calc_rusacc!$AF$15:$AF$65, "",0),  AND( F1339="Main Chain", I1339="Accordion Screen"), _xlfn.XLOOKUP(C1339, calc_rusacc!$C$15:$C$65, calc_rusacc!$BF$15:$BF$65, "",0), AND( F1339="Sealant", I1339="Accordion Screen"), _xlfn.XLOOKUP(C1339, calc_rusacc!$C$15:$C$65, calc_rusacc!$BJ$15:$BJ$65, "",0),  F1339="Sealant", _xlfn.XLOOKUP(C1339, dd_accsrycalc!$A$2:$A$51, dd_accsrycalc!$G$2:$G$51, "",0),  F1339&lt;&gt;"",L1339*_xlfn.XLOOKUP(1, (SKUs!$C$2:$C$10001=G1339)*(SKUs!$K$2:$K$10001=I1339),SKUs!$E$2:$E$10001)), 0),"")</f>
        <v/>
      </c>
      <c r="E1339" s="16" t="str">
        <f>_xlfn.XLOOKUP(F1339,dd_item!$B$2:$B$105,dd_item!$C$2:$C$105,"",0)</f>
        <v/>
      </c>
      <c r="F1339" s="16"/>
      <c r="G1339" s="16" cm="1">
        <f t="array" ref="G1339">IFERROR(_xlfn.XLOOKUP(1, (SKUs!$J$2:$J$10001=accsry_unmerged!F1339)*IF(H1339&lt;&gt;"",(SKUs!$L$2:$L$10001=accsry_unmerged!H1339),1)*(SKUs!$K$2:$K$10001=I1339),SKUs!$C$2:$C$10001),"")</f>
        <v>0</v>
      </c>
      <c r="H1339" s="33" cm="1">
        <f t="array" ref="H1339">IFERROR(_xlfn.XLOOKUP(1, (dd_accsryclr!$C$2:$C$1000=accsry_unmerged!F1339)*(dd_accsryclr!$B$2:$B$1000=accsry_unmerged!J1339),dd_accsryclr!$A$2:$A$1000),"")</f>
        <v>0</v>
      </c>
      <c r="I1339" s="16">
        <f>_xlfn.XLOOKUP(C1339,'Project Details'!$C$17:$C$66,'Project Details'!$E$17:$E$66,"",0)</f>
        <v>0</v>
      </c>
      <c r="J1339" s="16">
        <f>_xlfn.XLOOKUP(C1339,'Project Details'!$C$17:$C$66,'Project Details'!$H$17:$H$66,"",0)</f>
        <v>0</v>
      </c>
      <c r="K1339" s="33" t="str">
        <f>IF(AND(_xlfn.XLOOKUP(C1339,'Project Details'!$C$17:$C$66,'Project Details'!$L$17:$L$66,"",0)&gt;550, F1339="Spring-L27cm"),"",SUBSTITUTE(_xlfn.XLOOKUP(G1339,SKUs!$C$2:$C$10001,SKUs!$F$2:$F$10001,"",0), " Accessories",""))</f>
        <v/>
      </c>
      <c r="L1339" s="33">
        <f>_xlfn.XLOOKUP(C1339,'Project Details'!$C$17:$C$66,'Project Details'!$D$17:$D$66,"",0)</f>
        <v>0</v>
      </c>
      <c r="M1339" s="43"/>
    </row>
    <row r="1340" spans="1:13" ht="13.5" customHeight="1" x14ac:dyDescent="0.25">
      <c r="A1340" s="43"/>
      <c r="B1340" s="43"/>
      <c r="C1340" s="35">
        <f t="shared" si="25"/>
        <v>27</v>
      </c>
      <c r="D1340" s="35" t="str" cm="1">
        <f t="array" ref="D1340">IFERROR(ROUNDUP(_xlfn.IFS(F1340="Aluminum Track", _xlfn.XLOOKUP(C1340, dd_accsrycalc!$A$2:$A$51, dd_accsrycalc!$B$2:$B$51, "",0), F1340="10 x 2 1/2 S (Flat)", _xlfn.XLOOKUP(C1340, dd_accsrycalc!$A$2:$A$51, dd_accsrycalc!$C$2:$C$51, "",0), F1340="Tox6", _xlfn.XLOOKUP(C1340, dd_accsrycalc!$A$2:$A$51, dd_accsrycalc!$D$2:$D$51, "",0), F1340="Cover Cap", _xlfn.XLOOKUP(C1340, dd_accsrycalc!$A$2:$A$51, dd_accsrycalc!$E$2:$E$51, "",0), F1340="Drainage Cover", _xlfn.XLOOKUP(C1340, dd_accsrycalc!$A$2:$A$51, dd_accsrycalc!$F$2:$F$51, "",0),AND( F1340="Double Adhesive Tape", I1340="Roll-up Screen"), _xlfn.XLOOKUP(C1340, calc_rusacc!$C$15:$C$65, calc_rusacc!$AD$15:$AD$65, "",0),AND( F1340="Sealant", I1340="Roll-up Screen"), _xlfn.XLOOKUP(C1340, calc_rusacc!$C$15:$C$65, calc_rusacc!$AF$15:$AF$65, "",0),  AND( F1340="Main Chain", I1340="Accordion Screen"), _xlfn.XLOOKUP(C1340, calc_rusacc!$C$15:$C$65, calc_rusacc!$BF$15:$BF$65, "",0), AND( F1340="Sealant", I1340="Accordion Screen"), _xlfn.XLOOKUP(C1340, calc_rusacc!$C$15:$C$65, calc_rusacc!$BJ$15:$BJ$65, "",0),  F1340="Sealant", _xlfn.XLOOKUP(C1340, dd_accsrycalc!$A$2:$A$51, dd_accsrycalc!$G$2:$G$51, "",0),  F1340&lt;&gt;"",L1340*_xlfn.XLOOKUP(1, (SKUs!$C$2:$C$10001=G1340)*(SKUs!$K$2:$K$10001=I1340),SKUs!$E$2:$E$10001)), 0),"")</f>
        <v/>
      </c>
      <c r="E1340" s="35" t="str">
        <f>_xlfn.XLOOKUP(F1340,dd_item!$B$2:$B$105,dd_item!$C$2:$C$105,"",0)</f>
        <v/>
      </c>
      <c r="F1340" s="35"/>
      <c r="G1340" s="35" cm="1">
        <f t="array" ref="G1340">IFERROR(_xlfn.XLOOKUP(1, (SKUs!$J$2:$J$10001=accsry_unmerged!F1340)*IF(H1340&lt;&gt;"",(SKUs!$L$2:$L$10001=accsry_unmerged!H1340),1)*(SKUs!$K$2:$K$10001=I1340),SKUs!$C$2:$C$10001),"")</f>
        <v>0</v>
      </c>
      <c r="H1340" s="36" cm="1">
        <f t="array" ref="H1340">IFERROR(_xlfn.XLOOKUP(1, (dd_accsryclr!$C$2:$C$1000=accsry_unmerged!F1340)*(dd_accsryclr!$B$2:$B$1000=accsry_unmerged!J1340),dd_accsryclr!$A$2:$A$1000),"")</f>
        <v>0</v>
      </c>
      <c r="I1340" s="35">
        <f>_xlfn.XLOOKUP(C1340,'Project Details'!$C$17:$C$66,'Project Details'!$E$17:$E$66,"",0)</f>
        <v>0</v>
      </c>
      <c r="J1340" s="35">
        <f>_xlfn.XLOOKUP(C1340,'Project Details'!$C$17:$C$66,'Project Details'!$H$17:$H$66,"",0)</f>
        <v>0</v>
      </c>
      <c r="K1340" s="36" t="str">
        <f>IF(AND(_xlfn.XLOOKUP(C1340,'Project Details'!$C$17:$C$66,'Project Details'!$L$17:$L$66,"",0)&gt;550, F1340="Spring-L27cm"),"",SUBSTITUTE(_xlfn.XLOOKUP(G1340,SKUs!$C$2:$C$10001,SKUs!$F$2:$F$10001,"",0), " Accessories",""))</f>
        <v/>
      </c>
      <c r="L1340" s="36">
        <f>_xlfn.XLOOKUP(C1340,'Project Details'!$C$17:$C$66,'Project Details'!$D$17:$D$66,"",0)</f>
        <v>0</v>
      </c>
      <c r="M1340" s="43"/>
    </row>
    <row r="1341" spans="1:13" ht="13.5" customHeight="1" x14ac:dyDescent="0.25">
      <c r="A1341" s="43"/>
      <c r="B1341" s="43"/>
      <c r="C1341" s="16">
        <f t="shared" si="25"/>
        <v>27</v>
      </c>
      <c r="D1341" s="16" t="str" cm="1">
        <f t="array" ref="D1341">IFERROR(ROUNDUP(_xlfn.IFS(F1341="Aluminum Track", _xlfn.XLOOKUP(C1341, dd_accsrycalc!$A$2:$A$51, dd_accsrycalc!$B$2:$B$51, "",0), F1341="10 x 2 1/2 S (Flat)", _xlfn.XLOOKUP(C1341, dd_accsrycalc!$A$2:$A$51, dd_accsrycalc!$C$2:$C$51, "",0), F1341="Tox6", _xlfn.XLOOKUP(C1341, dd_accsrycalc!$A$2:$A$51, dd_accsrycalc!$D$2:$D$51, "",0), F1341="Cover Cap", _xlfn.XLOOKUP(C1341, dd_accsrycalc!$A$2:$A$51, dd_accsrycalc!$E$2:$E$51, "",0), F1341="Drainage Cover", _xlfn.XLOOKUP(C1341, dd_accsrycalc!$A$2:$A$51, dd_accsrycalc!$F$2:$F$51, "",0),AND( F1341="Double Adhesive Tape", I1341="Roll-up Screen"), _xlfn.XLOOKUP(C1341, calc_rusacc!$C$15:$C$65, calc_rusacc!$AD$15:$AD$65, "",0),AND( F1341="Sealant", I1341="Roll-up Screen"), _xlfn.XLOOKUP(C1341, calc_rusacc!$C$15:$C$65, calc_rusacc!$AF$15:$AF$65, "",0),  AND( F1341="Main Chain", I1341="Accordion Screen"), _xlfn.XLOOKUP(C1341, calc_rusacc!$C$15:$C$65, calc_rusacc!$BF$15:$BF$65, "",0), AND( F1341="Sealant", I1341="Accordion Screen"), _xlfn.XLOOKUP(C1341, calc_rusacc!$C$15:$C$65, calc_rusacc!$BJ$15:$BJ$65, "",0),  F1341="Sealant", _xlfn.XLOOKUP(C1341, dd_accsrycalc!$A$2:$A$51, dd_accsrycalc!$G$2:$G$51, "",0),  F1341&lt;&gt;"",L1341*_xlfn.XLOOKUP(1, (SKUs!$C$2:$C$10001=G1341)*(SKUs!$K$2:$K$10001=I1341),SKUs!$E$2:$E$10001)), 0),"")</f>
        <v/>
      </c>
      <c r="E1341" s="16" t="str">
        <f>_xlfn.XLOOKUP(F1341,dd_item!$B$2:$B$105,dd_item!$C$2:$C$105,"",0)</f>
        <v/>
      </c>
      <c r="F1341" s="16"/>
      <c r="G1341" s="16" cm="1">
        <f t="array" ref="G1341">IFERROR(_xlfn.XLOOKUP(1, (SKUs!$J$2:$J$10001=accsry_unmerged!F1341)*IF(H1341&lt;&gt;"",(SKUs!$L$2:$L$10001=accsry_unmerged!H1341),1)*(SKUs!$K$2:$K$10001=I1341),SKUs!$C$2:$C$10001),"")</f>
        <v>0</v>
      </c>
      <c r="H1341" s="33" cm="1">
        <f t="array" ref="H1341">IFERROR(_xlfn.XLOOKUP(1, (dd_accsryclr!$C$2:$C$1000=accsry_unmerged!F1341)*(dd_accsryclr!$B$2:$B$1000=accsry_unmerged!J1341),dd_accsryclr!$A$2:$A$1000),"")</f>
        <v>0</v>
      </c>
      <c r="I1341" s="16">
        <f>_xlfn.XLOOKUP(C1341,'Project Details'!$C$17:$C$66,'Project Details'!$E$17:$E$66,"",0)</f>
        <v>0</v>
      </c>
      <c r="J1341" s="16">
        <f>_xlfn.XLOOKUP(C1341,'Project Details'!$C$17:$C$66,'Project Details'!$H$17:$H$66,"",0)</f>
        <v>0</v>
      </c>
      <c r="K1341" s="33" t="str">
        <f>IF(AND(_xlfn.XLOOKUP(C1341,'Project Details'!$C$17:$C$66,'Project Details'!$L$17:$L$66,"",0)&gt;550, F1341="Spring-L27cm"),"",SUBSTITUTE(_xlfn.XLOOKUP(G1341,SKUs!$C$2:$C$10001,SKUs!$F$2:$F$10001,"",0), " Accessories",""))</f>
        <v/>
      </c>
      <c r="L1341" s="33">
        <f>_xlfn.XLOOKUP(C1341,'Project Details'!$C$17:$C$66,'Project Details'!$D$17:$D$66,"",0)</f>
        <v>0</v>
      </c>
      <c r="M1341" s="43"/>
    </row>
    <row r="1342" spans="1:13" ht="13.5" customHeight="1" x14ac:dyDescent="0.25">
      <c r="A1342" s="43"/>
      <c r="B1342" s="43"/>
      <c r="C1342" s="35">
        <f t="shared" si="25"/>
        <v>27</v>
      </c>
      <c r="D1342" s="35" t="str" cm="1">
        <f t="array" ref="D1342">IFERROR(ROUNDUP(_xlfn.IFS(F1342="Aluminum Track", _xlfn.XLOOKUP(C1342, dd_accsrycalc!$A$2:$A$51, dd_accsrycalc!$B$2:$B$51, "",0), F1342="10 x 2 1/2 S (Flat)", _xlfn.XLOOKUP(C1342, dd_accsrycalc!$A$2:$A$51, dd_accsrycalc!$C$2:$C$51, "",0), F1342="Tox6", _xlfn.XLOOKUP(C1342, dd_accsrycalc!$A$2:$A$51, dd_accsrycalc!$D$2:$D$51, "",0), F1342="Cover Cap", _xlfn.XLOOKUP(C1342, dd_accsrycalc!$A$2:$A$51, dd_accsrycalc!$E$2:$E$51, "",0), F1342="Drainage Cover", _xlfn.XLOOKUP(C1342, dd_accsrycalc!$A$2:$A$51, dd_accsrycalc!$F$2:$F$51, "",0),AND( F1342="Double Adhesive Tape", I1342="Roll-up Screen"), _xlfn.XLOOKUP(C1342, calc_rusacc!$C$15:$C$65, calc_rusacc!$AD$15:$AD$65, "",0),AND( F1342="Sealant", I1342="Roll-up Screen"), _xlfn.XLOOKUP(C1342, calc_rusacc!$C$15:$C$65, calc_rusacc!$AF$15:$AF$65, "",0),  AND( F1342="Main Chain", I1342="Accordion Screen"), _xlfn.XLOOKUP(C1342, calc_rusacc!$C$15:$C$65, calc_rusacc!$BF$15:$BF$65, "",0), AND( F1342="Sealant", I1342="Accordion Screen"), _xlfn.XLOOKUP(C1342, calc_rusacc!$C$15:$C$65, calc_rusacc!$BJ$15:$BJ$65, "",0),  F1342="Sealant", _xlfn.XLOOKUP(C1342, dd_accsrycalc!$A$2:$A$51, dd_accsrycalc!$G$2:$G$51, "",0),  F1342&lt;&gt;"",L1342*_xlfn.XLOOKUP(1, (SKUs!$C$2:$C$10001=G1342)*(SKUs!$K$2:$K$10001=I1342),SKUs!$E$2:$E$10001)), 0),"")</f>
        <v/>
      </c>
      <c r="E1342" s="35" t="str">
        <f>_xlfn.XLOOKUP(F1342,dd_item!$B$2:$B$105,dd_item!$C$2:$C$105,"",0)</f>
        <v/>
      </c>
      <c r="F1342" s="35"/>
      <c r="G1342" s="35" cm="1">
        <f t="array" ref="G1342">IFERROR(_xlfn.XLOOKUP(1, (SKUs!$J$2:$J$10001=accsry_unmerged!F1342)*IF(H1342&lt;&gt;"",(SKUs!$L$2:$L$10001=accsry_unmerged!H1342),1)*(SKUs!$K$2:$K$10001=I1342),SKUs!$C$2:$C$10001),"")</f>
        <v>0</v>
      </c>
      <c r="H1342" s="36" cm="1">
        <f t="array" ref="H1342">IFERROR(_xlfn.XLOOKUP(1, (dd_accsryclr!$C$2:$C$1000=accsry_unmerged!F1342)*(dd_accsryclr!$B$2:$B$1000=accsry_unmerged!J1342),dd_accsryclr!$A$2:$A$1000),"")</f>
        <v>0</v>
      </c>
      <c r="I1342" s="35">
        <f>_xlfn.XLOOKUP(C1342,'Project Details'!$C$17:$C$66,'Project Details'!$E$17:$E$66,"",0)</f>
        <v>0</v>
      </c>
      <c r="J1342" s="35">
        <f>_xlfn.XLOOKUP(C1342,'Project Details'!$C$17:$C$66,'Project Details'!$H$17:$H$66,"",0)</f>
        <v>0</v>
      </c>
      <c r="K1342" s="36" t="str">
        <f>IF(AND(_xlfn.XLOOKUP(C1342,'Project Details'!$C$17:$C$66,'Project Details'!$L$17:$L$66,"",0)&gt;550, F1342="Spring-L27cm"),"",SUBSTITUTE(_xlfn.XLOOKUP(G1342,SKUs!$C$2:$C$10001,SKUs!$F$2:$F$10001,"",0), " Accessories",""))</f>
        <v/>
      </c>
      <c r="L1342" s="36">
        <f>_xlfn.XLOOKUP(C1342,'Project Details'!$C$17:$C$66,'Project Details'!$D$17:$D$66,"",0)</f>
        <v>0</v>
      </c>
      <c r="M1342" s="43"/>
    </row>
    <row r="1343" spans="1:13" ht="13.5" customHeight="1" x14ac:dyDescent="0.25">
      <c r="A1343" s="43"/>
      <c r="B1343" s="43"/>
      <c r="C1343" s="16">
        <f t="shared" si="25"/>
        <v>27</v>
      </c>
      <c r="D1343" s="16" t="str" cm="1">
        <f t="array" ref="D1343">IFERROR(ROUNDUP(_xlfn.IFS(F1343="Aluminum Track", _xlfn.XLOOKUP(C1343, dd_accsrycalc!$A$2:$A$51, dd_accsrycalc!$B$2:$B$51, "",0), F1343="10 x 2 1/2 S (Flat)", _xlfn.XLOOKUP(C1343, dd_accsrycalc!$A$2:$A$51, dd_accsrycalc!$C$2:$C$51, "",0), F1343="Tox6", _xlfn.XLOOKUP(C1343, dd_accsrycalc!$A$2:$A$51, dd_accsrycalc!$D$2:$D$51, "",0), F1343="Cover Cap", _xlfn.XLOOKUP(C1343, dd_accsrycalc!$A$2:$A$51, dd_accsrycalc!$E$2:$E$51, "",0), F1343="Drainage Cover", _xlfn.XLOOKUP(C1343, dd_accsrycalc!$A$2:$A$51, dd_accsrycalc!$F$2:$F$51, "",0),AND( F1343="Double Adhesive Tape", I1343="Roll-up Screen"), _xlfn.XLOOKUP(C1343, calc_rusacc!$C$15:$C$65, calc_rusacc!$AD$15:$AD$65, "",0),AND( F1343="Sealant", I1343="Roll-up Screen"), _xlfn.XLOOKUP(C1343, calc_rusacc!$C$15:$C$65, calc_rusacc!$AF$15:$AF$65, "",0),  AND( F1343="Main Chain", I1343="Accordion Screen"), _xlfn.XLOOKUP(C1343, calc_rusacc!$C$15:$C$65, calc_rusacc!$BF$15:$BF$65, "",0), AND( F1343="Sealant", I1343="Accordion Screen"), _xlfn.XLOOKUP(C1343, calc_rusacc!$C$15:$C$65, calc_rusacc!$BJ$15:$BJ$65, "",0),  F1343="Sealant", _xlfn.XLOOKUP(C1343, dd_accsrycalc!$A$2:$A$51, dd_accsrycalc!$G$2:$G$51, "",0),  F1343&lt;&gt;"",L1343*_xlfn.XLOOKUP(1, (SKUs!$C$2:$C$10001=G1343)*(SKUs!$K$2:$K$10001=I1343),SKUs!$E$2:$E$10001)), 0),"")</f>
        <v/>
      </c>
      <c r="E1343" s="16" t="str">
        <f>_xlfn.XLOOKUP(F1343,dd_item!$B$2:$B$105,dd_item!$C$2:$C$105,"",0)</f>
        <v/>
      </c>
      <c r="F1343" s="16"/>
      <c r="G1343" s="16" cm="1">
        <f t="array" ref="G1343">IFERROR(_xlfn.XLOOKUP(1, (SKUs!$J$2:$J$10001=accsry_unmerged!F1343)*IF(H1343&lt;&gt;"",(SKUs!$L$2:$L$10001=accsry_unmerged!H1343),1)*(SKUs!$K$2:$K$10001=I1343),SKUs!$C$2:$C$10001),"")</f>
        <v>0</v>
      </c>
      <c r="H1343" s="33" cm="1">
        <f t="array" ref="H1343">IFERROR(_xlfn.XLOOKUP(1, (dd_accsryclr!$C$2:$C$1000=accsry_unmerged!F1343)*(dd_accsryclr!$B$2:$B$1000=accsry_unmerged!J1343),dd_accsryclr!$A$2:$A$1000),"")</f>
        <v>0</v>
      </c>
      <c r="I1343" s="16">
        <f>_xlfn.XLOOKUP(C1343,'Project Details'!$C$17:$C$66,'Project Details'!$E$17:$E$66,"",0)</f>
        <v>0</v>
      </c>
      <c r="J1343" s="16">
        <f>_xlfn.XLOOKUP(C1343,'Project Details'!$C$17:$C$66,'Project Details'!$H$17:$H$66,"",0)</f>
        <v>0</v>
      </c>
      <c r="K1343" s="33" t="str">
        <f>IF(AND(_xlfn.XLOOKUP(C1343,'Project Details'!$C$17:$C$66,'Project Details'!$L$17:$L$66,"",0)&gt;550, F1343="Spring-L27cm"),"",SUBSTITUTE(_xlfn.XLOOKUP(G1343,SKUs!$C$2:$C$10001,SKUs!$F$2:$F$10001,"",0), " Accessories",""))</f>
        <v/>
      </c>
      <c r="L1343" s="33">
        <f>_xlfn.XLOOKUP(C1343,'Project Details'!$C$17:$C$66,'Project Details'!$D$17:$D$66,"",0)</f>
        <v>0</v>
      </c>
      <c r="M1343" s="43"/>
    </row>
    <row r="1344" spans="1:13" ht="13.5" customHeight="1" x14ac:dyDescent="0.25">
      <c r="A1344" s="43"/>
      <c r="B1344" s="43"/>
      <c r="C1344" s="35">
        <f t="shared" si="25"/>
        <v>27</v>
      </c>
      <c r="D1344" s="35" t="str" cm="1">
        <f t="array" ref="D1344">IFERROR(ROUNDUP(_xlfn.IFS(F1344="Aluminum Track", _xlfn.XLOOKUP(C1344, dd_accsrycalc!$A$2:$A$51, dd_accsrycalc!$B$2:$B$51, "",0), F1344="10 x 2 1/2 S (Flat)", _xlfn.XLOOKUP(C1344, dd_accsrycalc!$A$2:$A$51, dd_accsrycalc!$C$2:$C$51, "",0), F1344="Tox6", _xlfn.XLOOKUP(C1344, dd_accsrycalc!$A$2:$A$51, dd_accsrycalc!$D$2:$D$51, "",0), F1344="Cover Cap", _xlfn.XLOOKUP(C1344, dd_accsrycalc!$A$2:$A$51, dd_accsrycalc!$E$2:$E$51, "",0), F1344="Drainage Cover", _xlfn.XLOOKUP(C1344, dd_accsrycalc!$A$2:$A$51, dd_accsrycalc!$F$2:$F$51, "",0),AND( F1344="Double Adhesive Tape", I1344="Roll-up Screen"), _xlfn.XLOOKUP(C1344, calc_rusacc!$C$15:$C$65, calc_rusacc!$AD$15:$AD$65, "",0),AND( F1344="Sealant", I1344="Roll-up Screen"), _xlfn.XLOOKUP(C1344, calc_rusacc!$C$15:$C$65, calc_rusacc!$AF$15:$AF$65, "",0),  AND( F1344="Main Chain", I1344="Accordion Screen"), _xlfn.XLOOKUP(C1344, calc_rusacc!$C$15:$C$65, calc_rusacc!$BF$15:$BF$65, "",0), AND( F1344="Sealant", I1344="Accordion Screen"), _xlfn.XLOOKUP(C1344, calc_rusacc!$C$15:$C$65, calc_rusacc!$BJ$15:$BJ$65, "",0),  F1344="Sealant", _xlfn.XLOOKUP(C1344, dd_accsrycalc!$A$2:$A$51, dd_accsrycalc!$G$2:$G$51, "",0),  F1344&lt;&gt;"",L1344*_xlfn.XLOOKUP(1, (SKUs!$C$2:$C$10001=G1344)*(SKUs!$K$2:$K$10001=I1344),SKUs!$E$2:$E$10001)), 0),"")</f>
        <v/>
      </c>
      <c r="E1344" s="35" t="str">
        <f>_xlfn.XLOOKUP(F1344,dd_item!$B$2:$B$105,dd_item!$C$2:$C$105,"",0)</f>
        <v/>
      </c>
      <c r="F1344" s="35"/>
      <c r="G1344" s="35" cm="1">
        <f t="array" ref="G1344">IFERROR(_xlfn.XLOOKUP(1, (SKUs!$J$2:$J$10001=accsry_unmerged!F1344)*IF(H1344&lt;&gt;"",(SKUs!$L$2:$L$10001=accsry_unmerged!H1344),1)*(SKUs!$K$2:$K$10001=I1344),SKUs!$C$2:$C$10001),"")</f>
        <v>0</v>
      </c>
      <c r="H1344" s="36" cm="1">
        <f t="array" ref="H1344">IFERROR(_xlfn.XLOOKUP(1, (dd_accsryclr!$C$2:$C$1000=accsry_unmerged!F1344)*(dd_accsryclr!$B$2:$B$1000=accsry_unmerged!J1344),dd_accsryclr!$A$2:$A$1000),"")</f>
        <v>0</v>
      </c>
      <c r="I1344" s="35">
        <f>_xlfn.XLOOKUP(C1344,'Project Details'!$C$17:$C$66,'Project Details'!$E$17:$E$66,"",0)</f>
        <v>0</v>
      </c>
      <c r="J1344" s="35">
        <f>_xlfn.XLOOKUP(C1344,'Project Details'!$C$17:$C$66,'Project Details'!$H$17:$H$66,"",0)</f>
        <v>0</v>
      </c>
      <c r="K1344" s="36" t="str">
        <f>IF(AND(_xlfn.XLOOKUP(C1344,'Project Details'!$C$17:$C$66,'Project Details'!$L$17:$L$66,"",0)&gt;550, F1344="Spring-L27cm"),"",SUBSTITUTE(_xlfn.XLOOKUP(G1344,SKUs!$C$2:$C$10001,SKUs!$F$2:$F$10001,"",0), " Accessories",""))</f>
        <v/>
      </c>
      <c r="L1344" s="36">
        <f>_xlfn.XLOOKUP(C1344,'Project Details'!$C$17:$C$66,'Project Details'!$D$17:$D$66,"",0)</f>
        <v>0</v>
      </c>
      <c r="M1344" s="43"/>
    </row>
    <row r="1345" spans="1:13" ht="13.5" customHeight="1" outlineLevel="1" x14ac:dyDescent="0.25">
      <c r="A1345" s="43"/>
      <c r="B1345" s="43"/>
      <c r="C1345" s="16">
        <f t="shared" si="25"/>
        <v>27</v>
      </c>
      <c r="D1345" s="16" t="str" cm="1">
        <f t="array" ref="D1345">IFERROR(ROUNDUP(_xlfn.IFS(F1345="Aluminum Track", _xlfn.XLOOKUP(C1345, dd_accsrycalc!$A$2:$A$51, dd_accsrycalc!$B$2:$B$51, "",0), F1345="10 x 2 1/2 S (Flat)", _xlfn.XLOOKUP(C1345, dd_accsrycalc!$A$2:$A$51, dd_accsrycalc!$C$2:$C$51, "",0), F1345="Tox6", _xlfn.XLOOKUP(C1345, dd_accsrycalc!$A$2:$A$51, dd_accsrycalc!$D$2:$D$51, "",0), F1345="Cover Cap", _xlfn.XLOOKUP(C1345, dd_accsrycalc!$A$2:$A$51, dd_accsrycalc!$E$2:$E$51, "",0), F1345="Drainage Cover", _xlfn.XLOOKUP(C1345, dd_accsrycalc!$A$2:$A$51, dd_accsrycalc!$F$2:$F$51, "",0),AND( F1345="Double Adhesive Tape", I1345="Roll-up Screen"), _xlfn.XLOOKUP(C1345, calc_rusacc!$C$15:$C$65, calc_rusacc!$AD$15:$AD$65, "",0),AND( F1345="Sealant", I1345="Roll-up Screen"), _xlfn.XLOOKUP(C1345, calc_rusacc!$C$15:$C$65, calc_rusacc!$AF$15:$AF$65, "",0),  AND( F1345="Main Chain", I1345="Accordion Screen"), _xlfn.XLOOKUP(C1345, calc_rusacc!$C$15:$C$65, calc_rusacc!$BF$15:$BF$65, "",0), AND( F1345="Sealant", I1345="Accordion Screen"), _xlfn.XLOOKUP(C1345, calc_rusacc!$C$15:$C$65, calc_rusacc!$BJ$15:$BJ$65, "",0),  F1345="Sealant", _xlfn.XLOOKUP(C1345, dd_accsrycalc!$A$2:$A$51, dd_accsrycalc!$G$2:$G$51, "",0),  F1345&lt;&gt;"",L1345*_xlfn.XLOOKUP(1, (SKUs!$C$2:$C$10001=G1345)*(SKUs!$K$2:$K$10001=I1345),SKUs!$E$2:$E$10001)), 0),"")</f>
        <v/>
      </c>
      <c r="E1345" s="16" t="str">
        <f>_xlfn.XLOOKUP(F1345,dd_item!$B$2:$B$105,dd_item!$C$2:$C$105,"",0)</f>
        <v/>
      </c>
      <c r="F1345" s="16"/>
      <c r="G1345" s="16" cm="1">
        <f t="array" ref="G1345">IFERROR(_xlfn.XLOOKUP(1, (SKUs!$J$2:$J$10001=accsry_unmerged!F1345)*IF(H1345&lt;&gt;"",(SKUs!$L$2:$L$10001=accsry_unmerged!H1345),1)*(SKUs!$K$2:$K$10001=I1345),SKUs!$C$2:$C$10001),"")</f>
        <v>0</v>
      </c>
      <c r="H1345" s="33" cm="1">
        <f t="array" ref="H1345">IFERROR(_xlfn.XLOOKUP(1, (dd_accsryclr!$C$2:$C$1000=accsry_unmerged!F1345)*(dd_accsryclr!$B$2:$B$1000=accsry_unmerged!J1345),dd_accsryclr!$A$2:$A$1000),"")</f>
        <v>0</v>
      </c>
      <c r="I1345" s="16">
        <f>_xlfn.XLOOKUP(C1345,'Project Details'!$C$17:$C$66,'Project Details'!$E$17:$E$66,"",0)</f>
        <v>0</v>
      </c>
      <c r="J1345" s="16">
        <f>_xlfn.XLOOKUP(C1345,'Project Details'!$C$17:$C$66,'Project Details'!$H$17:$H$66,"",0)</f>
        <v>0</v>
      </c>
      <c r="K1345" s="33" t="str">
        <f>IF(AND(_xlfn.XLOOKUP(C1345,'Project Details'!$C$17:$C$66,'Project Details'!$L$17:$L$66,"",0)&gt;550, F1345="Spring-L27cm"),"",SUBSTITUTE(_xlfn.XLOOKUP(G1345,SKUs!$C$2:$C$10001,SKUs!$F$2:$F$10001,"",0), " Accessories",""))</f>
        <v/>
      </c>
      <c r="L1345" s="33">
        <f>_xlfn.XLOOKUP(C1345,'Project Details'!$C$17:$C$66,'Project Details'!$D$17:$D$66,"",0)</f>
        <v>0</v>
      </c>
      <c r="M1345" s="43"/>
    </row>
    <row r="1346" spans="1:13" ht="13.5" customHeight="1" outlineLevel="1" x14ac:dyDescent="0.25">
      <c r="A1346" s="43"/>
      <c r="B1346" s="43"/>
      <c r="C1346" s="35">
        <f t="shared" si="25"/>
        <v>27</v>
      </c>
      <c r="D1346" s="35" t="str" cm="1">
        <f t="array" ref="D1346">IFERROR(ROUNDUP(_xlfn.IFS(F1346="Aluminum Track", _xlfn.XLOOKUP(C1346, dd_accsrycalc!$A$2:$A$51, dd_accsrycalc!$B$2:$B$51, "",0), F1346="10 x 2 1/2 S (Flat)", _xlfn.XLOOKUP(C1346, dd_accsrycalc!$A$2:$A$51, dd_accsrycalc!$C$2:$C$51, "",0), F1346="Tox6", _xlfn.XLOOKUP(C1346, dd_accsrycalc!$A$2:$A$51, dd_accsrycalc!$D$2:$D$51, "",0), F1346="Cover Cap", _xlfn.XLOOKUP(C1346, dd_accsrycalc!$A$2:$A$51, dd_accsrycalc!$E$2:$E$51, "",0), F1346="Drainage Cover", _xlfn.XLOOKUP(C1346, dd_accsrycalc!$A$2:$A$51, dd_accsrycalc!$F$2:$F$51, "",0),AND( F1346="Double Adhesive Tape", I1346="Roll-up Screen"), _xlfn.XLOOKUP(C1346, calc_rusacc!$C$15:$C$65, calc_rusacc!$AD$15:$AD$65, "",0),AND( F1346="Sealant", I1346="Roll-up Screen"), _xlfn.XLOOKUP(C1346, calc_rusacc!$C$15:$C$65, calc_rusacc!$AF$15:$AF$65, "",0),  AND( F1346="Main Chain", I1346="Accordion Screen"), _xlfn.XLOOKUP(C1346, calc_rusacc!$C$15:$C$65, calc_rusacc!$BF$15:$BF$65, "",0), AND( F1346="Sealant", I1346="Accordion Screen"), _xlfn.XLOOKUP(C1346, calc_rusacc!$C$15:$C$65, calc_rusacc!$BJ$15:$BJ$65, "",0),  F1346="Sealant", _xlfn.XLOOKUP(C1346, dd_accsrycalc!$A$2:$A$51, dd_accsrycalc!$G$2:$G$51, "",0),  F1346&lt;&gt;"",L1346*_xlfn.XLOOKUP(1, (SKUs!$C$2:$C$10001=G1346)*(SKUs!$K$2:$K$10001=I1346),SKUs!$E$2:$E$10001)), 0),"")</f>
        <v/>
      </c>
      <c r="E1346" s="35" t="str">
        <f>_xlfn.XLOOKUP(F1346,dd_item!$B$2:$B$105,dd_item!$C$2:$C$105,"",0)</f>
        <v/>
      </c>
      <c r="F1346" s="35"/>
      <c r="G1346" s="35" cm="1">
        <f t="array" ref="G1346">IFERROR(_xlfn.XLOOKUP(1, (SKUs!$J$2:$J$10001=accsry_unmerged!F1346)*IF(H1346&lt;&gt;"",(SKUs!$L$2:$L$10001=accsry_unmerged!H1346),1)*(SKUs!$K$2:$K$10001=I1346),SKUs!$C$2:$C$10001),"")</f>
        <v>0</v>
      </c>
      <c r="H1346" s="36" cm="1">
        <f t="array" ref="H1346">IFERROR(_xlfn.XLOOKUP(1, (dd_accsryclr!$C$2:$C$1000=accsry_unmerged!F1346)*(dd_accsryclr!$B$2:$B$1000=accsry_unmerged!J1346),dd_accsryclr!$A$2:$A$1000),"")</f>
        <v>0</v>
      </c>
      <c r="I1346" s="35">
        <f>_xlfn.XLOOKUP(C1346,'Project Details'!$C$17:$C$66,'Project Details'!$E$17:$E$66,"",0)</f>
        <v>0</v>
      </c>
      <c r="J1346" s="35">
        <f>_xlfn.XLOOKUP(C1346,'Project Details'!$C$17:$C$66,'Project Details'!$H$17:$H$66,"",0)</f>
        <v>0</v>
      </c>
      <c r="K1346" s="36" t="str">
        <f>IF(AND(_xlfn.XLOOKUP(C1346,'Project Details'!$C$17:$C$66,'Project Details'!$L$17:$L$66,"",0)&gt;550, F1346="Spring-L27cm"),"",SUBSTITUTE(_xlfn.XLOOKUP(G1346,SKUs!$C$2:$C$10001,SKUs!$F$2:$F$10001,"",0), " Accessories",""))</f>
        <v/>
      </c>
      <c r="L1346" s="36">
        <f>_xlfn.XLOOKUP(C1346,'Project Details'!$C$17:$C$66,'Project Details'!$D$17:$D$66,"",0)</f>
        <v>0</v>
      </c>
      <c r="M1346" s="43"/>
    </row>
    <row r="1347" spans="1:13" ht="13.5" customHeight="1" outlineLevel="1" x14ac:dyDescent="0.25">
      <c r="A1347" s="43"/>
      <c r="B1347" s="43"/>
      <c r="C1347" s="16">
        <f t="shared" si="25"/>
        <v>27</v>
      </c>
      <c r="D1347" s="16" t="str" cm="1">
        <f t="array" ref="D1347">IFERROR(ROUNDUP(_xlfn.IFS(F1347="Aluminum Track", _xlfn.XLOOKUP(C1347, dd_accsrycalc!$A$2:$A$51, dd_accsrycalc!$B$2:$B$51, "",0), F1347="10 x 2 1/2 S (Flat)", _xlfn.XLOOKUP(C1347, dd_accsrycalc!$A$2:$A$51, dd_accsrycalc!$C$2:$C$51, "",0), F1347="Tox6", _xlfn.XLOOKUP(C1347, dd_accsrycalc!$A$2:$A$51, dd_accsrycalc!$D$2:$D$51, "",0), F1347="Cover Cap", _xlfn.XLOOKUP(C1347, dd_accsrycalc!$A$2:$A$51, dd_accsrycalc!$E$2:$E$51, "",0), F1347="Drainage Cover", _xlfn.XLOOKUP(C1347, dd_accsrycalc!$A$2:$A$51, dd_accsrycalc!$F$2:$F$51, "",0),AND( F1347="Double Adhesive Tape", I1347="Roll-up Screen"), _xlfn.XLOOKUP(C1347, calc_rusacc!$C$15:$C$65, calc_rusacc!$AD$15:$AD$65, "",0),AND( F1347="Sealant", I1347="Roll-up Screen"), _xlfn.XLOOKUP(C1347, calc_rusacc!$C$15:$C$65, calc_rusacc!$AF$15:$AF$65, "",0),  AND( F1347="Main Chain", I1347="Accordion Screen"), _xlfn.XLOOKUP(C1347, calc_rusacc!$C$15:$C$65, calc_rusacc!$BF$15:$BF$65, "",0), AND( F1347="Sealant", I1347="Accordion Screen"), _xlfn.XLOOKUP(C1347, calc_rusacc!$C$15:$C$65, calc_rusacc!$BJ$15:$BJ$65, "",0),  F1347="Sealant", _xlfn.XLOOKUP(C1347, dd_accsrycalc!$A$2:$A$51, dd_accsrycalc!$G$2:$G$51, "",0),  F1347&lt;&gt;"",L1347*_xlfn.XLOOKUP(1, (SKUs!$C$2:$C$10001=G1347)*(SKUs!$K$2:$K$10001=I1347),SKUs!$E$2:$E$10001)), 0),"")</f>
        <v/>
      </c>
      <c r="E1347" s="16" t="str">
        <f>_xlfn.XLOOKUP(F1347,dd_item!$B$2:$B$105,dd_item!$C$2:$C$105,"",0)</f>
        <v/>
      </c>
      <c r="F1347" s="16"/>
      <c r="G1347" s="16" cm="1">
        <f t="array" ref="G1347">IFERROR(_xlfn.XLOOKUP(1, (SKUs!$J$2:$J$10001=accsry_unmerged!F1347)*IF(H1347&lt;&gt;"",(SKUs!$L$2:$L$10001=accsry_unmerged!H1347),1)*(SKUs!$K$2:$K$10001=I1347),SKUs!$C$2:$C$10001),"")</f>
        <v>0</v>
      </c>
      <c r="H1347" s="33" cm="1">
        <f t="array" ref="H1347">IFERROR(_xlfn.XLOOKUP(1, (dd_accsryclr!$C$2:$C$1000=accsry_unmerged!F1347)*(dd_accsryclr!$B$2:$B$1000=accsry_unmerged!J1347),dd_accsryclr!$A$2:$A$1000),"")</f>
        <v>0</v>
      </c>
      <c r="I1347" s="16">
        <f>_xlfn.XLOOKUP(C1347,'Project Details'!$C$17:$C$66,'Project Details'!$E$17:$E$66,"",0)</f>
        <v>0</v>
      </c>
      <c r="J1347" s="16">
        <f>_xlfn.XLOOKUP(C1347,'Project Details'!$C$17:$C$66,'Project Details'!$H$17:$H$66,"",0)</f>
        <v>0</v>
      </c>
      <c r="K1347" s="33" t="str">
        <f>IF(AND(_xlfn.XLOOKUP(C1347,'Project Details'!$C$17:$C$66,'Project Details'!$L$17:$L$66,"",0)&gt;550, F1347="Spring-L27cm"),"",SUBSTITUTE(_xlfn.XLOOKUP(G1347,SKUs!$C$2:$C$10001,SKUs!$F$2:$F$10001,"",0), " Accessories",""))</f>
        <v/>
      </c>
      <c r="L1347" s="33">
        <f>_xlfn.XLOOKUP(C1347,'Project Details'!$C$17:$C$66,'Project Details'!$D$17:$D$66,"",0)</f>
        <v>0</v>
      </c>
      <c r="M1347" s="43"/>
    </row>
    <row r="1348" spans="1:13" ht="13.5" customHeight="1" outlineLevel="1" x14ac:dyDescent="0.25">
      <c r="A1348" s="43"/>
      <c r="B1348" s="43"/>
      <c r="C1348" s="35">
        <f t="shared" si="25"/>
        <v>27</v>
      </c>
      <c r="D1348" s="35" t="str" cm="1">
        <f t="array" ref="D1348">IFERROR(ROUNDUP(_xlfn.IFS(F1348="Aluminum Track", _xlfn.XLOOKUP(C1348, dd_accsrycalc!$A$2:$A$51, dd_accsrycalc!$B$2:$B$51, "",0), F1348="10 x 2 1/2 S (Flat)", _xlfn.XLOOKUP(C1348, dd_accsrycalc!$A$2:$A$51, dd_accsrycalc!$C$2:$C$51, "",0), F1348="Tox6", _xlfn.XLOOKUP(C1348, dd_accsrycalc!$A$2:$A$51, dd_accsrycalc!$D$2:$D$51, "",0), F1348="Cover Cap", _xlfn.XLOOKUP(C1348, dd_accsrycalc!$A$2:$A$51, dd_accsrycalc!$E$2:$E$51, "",0), F1348="Drainage Cover", _xlfn.XLOOKUP(C1348, dd_accsrycalc!$A$2:$A$51, dd_accsrycalc!$F$2:$F$51, "",0),AND( F1348="Double Adhesive Tape", I1348="Roll-up Screen"), _xlfn.XLOOKUP(C1348, calc_rusacc!$C$15:$C$65, calc_rusacc!$AD$15:$AD$65, "",0),AND( F1348="Sealant", I1348="Roll-up Screen"), _xlfn.XLOOKUP(C1348, calc_rusacc!$C$15:$C$65, calc_rusacc!$AF$15:$AF$65, "",0),  AND( F1348="Main Chain", I1348="Accordion Screen"), _xlfn.XLOOKUP(C1348, calc_rusacc!$C$15:$C$65, calc_rusacc!$BF$15:$BF$65, "",0), AND( F1348="Sealant", I1348="Accordion Screen"), _xlfn.XLOOKUP(C1348, calc_rusacc!$C$15:$C$65, calc_rusacc!$BJ$15:$BJ$65, "",0),  F1348="Sealant", _xlfn.XLOOKUP(C1348, dd_accsrycalc!$A$2:$A$51, dd_accsrycalc!$G$2:$G$51, "",0),  F1348&lt;&gt;"",L1348*_xlfn.XLOOKUP(1, (SKUs!$C$2:$C$10001=G1348)*(SKUs!$K$2:$K$10001=I1348),SKUs!$E$2:$E$10001)), 0),"")</f>
        <v/>
      </c>
      <c r="E1348" s="35" t="str">
        <f>_xlfn.XLOOKUP(F1348,dd_item!$B$2:$B$105,dd_item!$C$2:$C$105,"",0)</f>
        <v/>
      </c>
      <c r="F1348" s="35"/>
      <c r="G1348" s="35" cm="1">
        <f t="array" ref="G1348">IFERROR(_xlfn.XLOOKUP(1, (SKUs!$J$2:$J$10001=accsry_unmerged!F1348)*IF(H1348&lt;&gt;"",(SKUs!$L$2:$L$10001=accsry_unmerged!H1348),1)*(SKUs!$K$2:$K$10001=I1348),SKUs!$C$2:$C$10001),"")</f>
        <v>0</v>
      </c>
      <c r="H1348" s="36" cm="1">
        <f t="array" ref="H1348">IFERROR(_xlfn.XLOOKUP(1, (dd_accsryclr!$C$2:$C$1000=accsry_unmerged!F1348)*(dd_accsryclr!$B$2:$B$1000=accsry_unmerged!J1348),dd_accsryclr!$A$2:$A$1000),"")</f>
        <v>0</v>
      </c>
      <c r="I1348" s="35">
        <f>_xlfn.XLOOKUP(C1348,'Project Details'!$C$17:$C$66,'Project Details'!$E$17:$E$66,"",0)</f>
        <v>0</v>
      </c>
      <c r="J1348" s="35">
        <f>_xlfn.XLOOKUP(C1348,'Project Details'!$C$17:$C$66,'Project Details'!$H$17:$H$66,"",0)</f>
        <v>0</v>
      </c>
      <c r="K1348" s="36" t="str">
        <f>IF(AND(_xlfn.XLOOKUP(C1348,'Project Details'!$C$17:$C$66,'Project Details'!$L$17:$L$66,"",0)&gt;550, F1348="Spring-L27cm"),"",SUBSTITUTE(_xlfn.XLOOKUP(G1348,SKUs!$C$2:$C$10001,SKUs!$F$2:$F$10001,"",0), " Accessories",""))</f>
        <v/>
      </c>
      <c r="L1348" s="36">
        <f>_xlfn.XLOOKUP(C1348,'Project Details'!$C$17:$C$66,'Project Details'!$D$17:$D$66,"",0)</f>
        <v>0</v>
      </c>
      <c r="M1348" s="43"/>
    </row>
    <row r="1349" spans="1:13" ht="13.5" customHeight="1" outlineLevel="1" x14ac:dyDescent="0.25">
      <c r="A1349" s="43"/>
      <c r="B1349" s="43"/>
      <c r="C1349" s="16">
        <f t="shared" si="25"/>
        <v>27</v>
      </c>
      <c r="D1349" s="16" t="str" cm="1">
        <f t="array" ref="D1349">IFERROR(ROUNDUP(_xlfn.IFS(F1349="Aluminum Track", _xlfn.XLOOKUP(C1349, dd_accsrycalc!$A$2:$A$51, dd_accsrycalc!$B$2:$B$51, "",0), F1349="10 x 2 1/2 S (Flat)", _xlfn.XLOOKUP(C1349, dd_accsrycalc!$A$2:$A$51, dd_accsrycalc!$C$2:$C$51, "",0), F1349="Tox6", _xlfn.XLOOKUP(C1349, dd_accsrycalc!$A$2:$A$51, dd_accsrycalc!$D$2:$D$51, "",0), F1349="Cover Cap", _xlfn.XLOOKUP(C1349, dd_accsrycalc!$A$2:$A$51, dd_accsrycalc!$E$2:$E$51, "",0), F1349="Drainage Cover", _xlfn.XLOOKUP(C1349, dd_accsrycalc!$A$2:$A$51, dd_accsrycalc!$F$2:$F$51, "",0),AND( F1349="Double Adhesive Tape", I1349="Roll-up Screen"), _xlfn.XLOOKUP(C1349, calc_rusacc!$C$15:$C$65, calc_rusacc!$AD$15:$AD$65, "",0),AND( F1349="Sealant", I1349="Roll-up Screen"), _xlfn.XLOOKUP(C1349, calc_rusacc!$C$15:$C$65, calc_rusacc!$AF$15:$AF$65, "",0),  AND( F1349="Main Chain", I1349="Accordion Screen"), _xlfn.XLOOKUP(C1349, calc_rusacc!$C$15:$C$65, calc_rusacc!$BF$15:$BF$65, "",0), AND( F1349="Sealant", I1349="Accordion Screen"), _xlfn.XLOOKUP(C1349, calc_rusacc!$C$15:$C$65, calc_rusacc!$BJ$15:$BJ$65, "",0),  F1349="Sealant", _xlfn.XLOOKUP(C1349, dd_accsrycalc!$A$2:$A$51, dd_accsrycalc!$G$2:$G$51, "",0),  F1349&lt;&gt;"",L1349*_xlfn.XLOOKUP(1, (SKUs!$C$2:$C$10001=G1349)*(SKUs!$K$2:$K$10001=I1349),SKUs!$E$2:$E$10001)), 0),"")</f>
        <v/>
      </c>
      <c r="E1349" s="16" t="str">
        <f>_xlfn.XLOOKUP(F1349,dd_item!$B$2:$B$105,dd_item!$C$2:$C$105,"",0)</f>
        <v/>
      </c>
      <c r="F1349" s="16"/>
      <c r="G1349" s="16" cm="1">
        <f t="array" ref="G1349">IFERROR(_xlfn.XLOOKUP(1, (SKUs!$J$2:$J$10001=accsry_unmerged!F1349)*IF(H1349&lt;&gt;"",(SKUs!$L$2:$L$10001=accsry_unmerged!H1349),1)*(SKUs!$K$2:$K$10001=I1349),SKUs!$C$2:$C$10001),"")</f>
        <v>0</v>
      </c>
      <c r="H1349" s="33" cm="1">
        <f t="array" ref="H1349">IFERROR(_xlfn.XLOOKUP(1, (dd_accsryclr!$C$2:$C$1000=accsry_unmerged!F1349)*(dd_accsryclr!$B$2:$B$1000=accsry_unmerged!J1349),dd_accsryclr!$A$2:$A$1000),"")</f>
        <v>0</v>
      </c>
      <c r="I1349" s="16">
        <f>_xlfn.XLOOKUP(C1349,'Project Details'!$C$17:$C$66,'Project Details'!$E$17:$E$66,"",0)</f>
        <v>0</v>
      </c>
      <c r="J1349" s="16">
        <f>_xlfn.XLOOKUP(C1349,'Project Details'!$C$17:$C$66,'Project Details'!$H$17:$H$66,"",0)</f>
        <v>0</v>
      </c>
      <c r="K1349" s="33" t="str">
        <f>IF(AND(_xlfn.XLOOKUP(C1349,'Project Details'!$C$17:$C$66,'Project Details'!$L$17:$L$66,"",0)&gt;550, F1349="Spring-L27cm"),"",SUBSTITUTE(_xlfn.XLOOKUP(G1349,SKUs!$C$2:$C$10001,SKUs!$F$2:$F$10001,"",0), " Accessories",""))</f>
        <v/>
      </c>
      <c r="L1349" s="33">
        <f>_xlfn.XLOOKUP(C1349,'Project Details'!$C$17:$C$66,'Project Details'!$D$17:$D$66,"",0)</f>
        <v>0</v>
      </c>
      <c r="M1349" s="43"/>
    </row>
    <row r="1350" spans="1:13" ht="13.5" customHeight="1" outlineLevel="1" x14ac:dyDescent="0.25">
      <c r="A1350" s="43"/>
      <c r="B1350" s="43"/>
      <c r="C1350" s="35">
        <f t="shared" si="25"/>
        <v>27</v>
      </c>
      <c r="D1350" s="35" t="str" cm="1">
        <f t="array" ref="D1350">IFERROR(ROUNDUP(_xlfn.IFS(F1350="Aluminum Track", _xlfn.XLOOKUP(C1350, dd_accsrycalc!$A$2:$A$51, dd_accsrycalc!$B$2:$B$51, "",0), F1350="10 x 2 1/2 S (Flat)", _xlfn.XLOOKUP(C1350, dd_accsrycalc!$A$2:$A$51, dd_accsrycalc!$C$2:$C$51, "",0), F1350="Tox6", _xlfn.XLOOKUP(C1350, dd_accsrycalc!$A$2:$A$51, dd_accsrycalc!$D$2:$D$51, "",0), F1350="Cover Cap", _xlfn.XLOOKUP(C1350, dd_accsrycalc!$A$2:$A$51, dd_accsrycalc!$E$2:$E$51, "",0), F1350="Drainage Cover", _xlfn.XLOOKUP(C1350, dd_accsrycalc!$A$2:$A$51, dd_accsrycalc!$F$2:$F$51, "",0),AND( F1350="Double Adhesive Tape", I1350="Roll-up Screen"), _xlfn.XLOOKUP(C1350, calc_rusacc!$C$15:$C$65, calc_rusacc!$AD$15:$AD$65, "",0),AND( F1350="Sealant", I1350="Roll-up Screen"), _xlfn.XLOOKUP(C1350, calc_rusacc!$C$15:$C$65, calc_rusacc!$AF$15:$AF$65, "",0),  AND( F1350="Main Chain", I1350="Accordion Screen"), _xlfn.XLOOKUP(C1350, calc_rusacc!$C$15:$C$65, calc_rusacc!$BF$15:$BF$65, "",0), AND( F1350="Sealant", I1350="Accordion Screen"), _xlfn.XLOOKUP(C1350, calc_rusacc!$C$15:$C$65, calc_rusacc!$BJ$15:$BJ$65, "",0),  F1350="Sealant", _xlfn.XLOOKUP(C1350, dd_accsrycalc!$A$2:$A$51, dd_accsrycalc!$G$2:$G$51, "",0),  F1350&lt;&gt;"",L1350*_xlfn.XLOOKUP(1, (SKUs!$C$2:$C$10001=G1350)*(SKUs!$K$2:$K$10001=I1350),SKUs!$E$2:$E$10001)), 0),"")</f>
        <v/>
      </c>
      <c r="E1350" s="35" t="str">
        <f>_xlfn.XLOOKUP(F1350,dd_item!$B$2:$B$105,dd_item!$C$2:$C$105,"",0)</f>
        <v/>
      </c>
      <c r="F1350" s="35"/>
      <c r="G1350" s="35" cm="1">
        <f t="array" ref="G1350">IFERROR(_xlfn.XLOOKUP(1, (SKUs!$J$2:$J$10001=accsry_unmerged!F1350)*IF(H1350&lt;&gt;"",(SKUs!$L$2:$L$10001=accsry_unmerged!H1350),1)*(SKUs!$K$2:$K$10001=I1350),SKUs!$C$2:$C$10001),"")</f>
        <v>0</v>
      </c>
      <c r="H1350" s="36" cm="1">
        <f t="array" ref="H1350">IFERROR(_xlfn.XLOOKUP(1, (dd_accsryclr!$C$2:$C$1000=accsry_unmerged!F1350)*(dd_accsryclr!$B$2:$B$1000=accsry_unmerged!J1350),dd_accsryclr!$A$2:$A$1000),"")</f>
        <v>0</v>
      </c>
      <c r="I1350" s="35">
        <f>_xlfn.XLOOKUP(C1350,'Project Details'!$C$17:$C$66,'Project Details'!$E$17:$E$66,"",0)</f>
        <v>0</v>
      </c>
      <c r="J1350" s="35">
        <f>_xlfn.XLOOKUP(C1350,'Project Details'!$C$17:$C$66,'Project Details'!$H$17:$H$66,"",0)</f>
        <v>0</v>
      </c>
      <c r="K1350" s="36" t="str">
        <f>IF(AND(_xlfn.XLOOKUP(C1350,'Project Details'!$C$17:$C$66,'Project Details'!$L$17:$L$66,"",0)&gt;550, F1350="Spring-L27cm"),"",SUBSTITUTE(_xlfn.XLOOKUP(G1350,SKUs!$C$2:$C$10001,SKUs!$F$2:$F$10001,"",0), " Accessories",""))</f>
        <v/>
      </c>
      <c r="L1350" s="36">
        <f>_xlfn.XLOOKUP(C1350,'Project Details'!$C$17:$C$66,'Project Details'!$D$17:$D$66,"",0)</f>
        <v>0</v>
      </c>
      <c r="M1350" s="43"/>
    </row>
    <row r="1351" spans="1:13" ht="13.5" customHeight="1" outlineLevel="1" x14ac:dyDescent="0.25">
      <c r="A1351" s="43"/>
      <c r="B1351" s="43"/>
      <c r="C1351" s="16">
        <f t="shared" si="25"/>
        <v>27</v>
      </c>
      <c r="D1351" s="16" t="str" cm="1">
        <f t="array" ref="D1351">IFERROR(ROUNDUP(_xlfn.IFS(F1351="Aluminum Track", _xlfn.XLOOKUP(C1351, dd_accsrycalc!$A$2:$A$51, dd_accsrycalc!$B$2:$B$51, "",0), F1351="10 x 2 1/2 S (Flat)", _xlfn.XLOOKUP(C1351, dd_accsrycalc!$A$2:$A$51, dd_accsrycalc!$C$2:$C$51, "",0), F1351="Tox6", _xlfn.XLOOKUP(C1351, dd_accsrycalc!$A$2:$A$51, dd_accsrycalc!$D$2:$D$51, "",0), F1351="Cover Cap", _xlfn.XLOOKUP(C1351, dd_accsrycalc!$A$2:$A$51, dd_accsrycalc!$E$2:$E$51, "",0), F1351="Drainage Cover", _xlfn.XLOOKUP(C1351, dd_accsrycalc!$A$2:$A$51, dd_accsrycalc!$F$2:$F$51, "",0),AND( F1351="Double Adhesive Tape", I1351="Roll-up Screen"), _xlfn.XLOOKUP(C1351, calc_rusacc!$C$15:$C$65, calc_rusacc!$AD$15:$AD$65, "",0),AND( F1351="Sealant", I1351="Roll-up Screen"), _xlfn.XLOOKUP(C1351, calc_rusacc!$C$15:$C$65, calc_rusacc!$AF$15:$AF$65, "",0),  AND( F1351="Main Chain", I1351="Accordion Screen"), _xlfn.XLOOKUP(C1351, calc_rusacc!$C$15:$C$65, calc_rusacc!$BF$15:$BF$65, "",0), AND( F1351="Sealant", I1351="Accordion Screen"), _xlfn.XLOOKUP(C1351, calc_rusacc!$C$15:$C$65, calc_rusacc!$BJ$15:$BJ$65, "",0),  F1351="Sealant", _xlfn.XLOOKUP(C1351, dd_accsrycalc!$A$2:$A$51, dd_accsrycalc!$G$2:$G$51, "",0),  F1351&lt;&gt;"",L1351*_xlfn.XLOOKUP(1, (SKUs!$C$2:$C$10001=G1351)*(SKUs!$K$2:$K$10001=I1351),SKUs!$E$2:$E$10001)), 0),"")</f>
        <v/>
      </c>
      <c r="E1351" s="16" t="str">
        <f>_xlfn.XLOOKUP(F1351,dd_item!$B$2:$B$105,dd_item!$C$2:$C$105,"",0)</f>
        <v/>
      </c>
      <c r="F1351" s="16"/>
      <c r="G1351" s="16" cm="1">
        <f t="array" ref="G1351">IFERROR(_xlfn.XLOOKUP(1, (SKUs!$J$2:$J$10001=accsry_unmerged!F1351)*IF(H1351&lt;&gt;"",(SKUs!$L$2:$L$10001=accsry_unmerged!H1351),1)*(SKUs!$K$2:$K$10001=I1351),SKUs!$C$2:$C$10001),"")</f>
        <v>0</v>
      </c>
      <c r="H1351" s="33" cm="1">
        <f t="array" ref="H1351">IFERROR(_xlfn.XLOOKUP(1, (dd_accsryclr!$C$2:$C$1000=accsry_unmerged!F1351)*(dd_accsryclr!$B$2:$B$1000=accsry_unmerged!J1351),dd_accsryclr!$A$2:$A$1000),"")</f>
        <v>0</v>
      </c>
      <c r="I1351" s="16">
        <f>_xlfn.XLOOKUP(C1351,'Project Details'!$C$17:$C$66,'Project Details'!$E$17:$E$66,"",0)</f>
        <v>0</v>
      </c>
      <c r="J1351" s="16">
        <f>_xlfn.XLOOKUP(C1351,'Project Details'!$C$17:$C$66,'Project Details'!$H$17:$H$66,"",0)</f>
        <v>0</v>
      </c>
      <c r="K1351" s="33" t="str">
        <f>IF(AND(_xlfn.XLOOKUP(C1351,'Project Details'!$C$17:$C$66,'Project Details'!$L$17:$L$66,"",0)&gt;550, F1351="Spring-L27cm"),"",SUBSTITUTE(_xlfn.XLOOKUP(G1351,SKUs!$C$2:$C$10001,SKUs!$F$2:$F$10001,"",0), " Accessories",""))</f>
        <v/>
      </c>
      <c r="L1351" s="33">
        <f>_xlfn.XLOOKUP(C1351,'Project Details'!$C$17:$C$66,'Project Details'!$D$17:$D$66,"",0)</f>
        <v>0</v>
      </c>
      <c r="M1351" s="43"/>
    </row>
    <row r="1352" spans="1:13" ht="13.5" customHeight="1" outlineLevel="1" x14ac:dyDescent="0.25">
      <c r="A1352" s="43"/>
      <c r="B1352" s="43"/>
      <c r="C1352" s="35">
        <f t="shared" si="25"/>
        <v>27</v>
      </c>
      <c r="D1352" s="35" t="str" cm="1">
        <f t="array" ref="D1352">IFERROR(ROUNDUP(_xlfn.IFS(F1352="Aluminum Track", _xlfn.XLOOKUP(C1352, dd_accsrycalc!$A$2:$A$51, dd_accsrycalc!$B$2:$B$51, "",0), F1352="10 x 2 1/2 S (Flat)", _xlfn.XLOOKUP(C1352, dd_accsrycalc!$A$2:$A$51, dd_accsrycalc!$C$2:$C$51, "",0), F1352="Tox6", _xlfn.XLOOKUP(C1352, dd_accsrycalc!$A$2:$A$51, dd_accsrycalc!$D$2:$D$51, "",0), F1352="Cover Cap", _xlfn.XLOOKUP(C1352, dd_accsrycalc!$A$2:$A$51, dd_accsrycalc!$E$2:$E$51, "",0), F1352="Drainage Cover", _xlfn.XLOOKUP(C1352, dd_accsrycalc!$A$2:$A$51, dd_accsrycalc!$F$2:$F$51, "",0),AND( F1352="Double Adhesive Tape", I1352="Roll-up Screen"), _xlfn.XLOOKUP(C1352, calc_rusacc!$C$15:$C$65, calc_rusacc!$AD$15:$AD$65, "",0),AND( F1352="Sealant", I1352="Roll-up Screen"), _xlfn.XLOOKUP(C1352, calc_rusacc!$C$15:$C$65, calc_rusacc!$AF$15:$AF$65, "",0),  AND( F1352="Main Chain", I1352="Accordion Screen"), _xlfn.XLOOKUP(C1352, calc_rusacc!$C$15:$C$65, calc_rusacc!$BF$15:$BF$65, "",0), AND( F1352="Sealant", I1352="Accordion Screen"), _xlfn.XLOOKUP(C1352, calc_rusacc!$C$15:$C$65, calc_rusacc!$BJ$15:$BJ$65, "",0),  F1352="Sealant", _xlfn.XLOOKUP(C1352, dd_accsrycalc!$A$2:$A$51, dd_accsrycalc!$G$2:$G$51, "",0),  F1352&lt;&gt;"",L1352*_xlfn.XLOOKUP(1, (SKUs!$C$2:$C$10001=G1352)*(SKUs!$K$2:$K$10001=I1352),SKUs!$E$2:$E$10001)), 0),"")</f>
        <v/>
      </c>
      <c r="E1352" s="35" t="str">
        <f>_xlfn.XLOOKUP(F1352,dd_item!$B$2:$B$105,dd_item!$C$2:$C$105,"",0)</f>
        <v/>
      </c>
      <c r="F1352" s="35"/>
      <c r="G1352" s="35" cm="1">
        <f t="array" ref="G1352">IFERROR(_xlfn.XLOOKUP(1, (SKUs!$J$2:$J$10001=accsry_unmerged!F1352)*IF(H1352&lt;&gt;"",(SKUs!$L$2:$L$10001=accsry_unmerged!H1352),1)*(SKUs!$K$2:$K$10001=I1352),SKUs!$C$2:$C$10001),"")</f>
        <v>0</v>
      </c>
      <c r="H1352" s="36" cm="1">
        <f t="array" ref="H1352">IFERROR(_xlfn.XLOOKUP(1, (dd_accsryclr!$C$2:$C$1000=accsry_unmerged!F1352)*(dd_accsryclr!$B$2:$B$1000=accsry_unmerged!J1352),dd_accsryclr!$A$2:$A$1000),"")</f>
        <v>0</v>
      </c>
      <c r="I1352" s="35">
        <f>_xlfn.XLOOKUP(C1352,'Project Details'!$C$17:$C$66,'Project Details'!$E$17:$E$66,"",0)</f>
        <v>0</v>
      </c>
      <c r="J1352" s="35">
        <f>_xlfn.XLOOKUP(C1352,'Project Details'!$C$17:$C$66,'Project Details'!$H$17:$H$66,"",0)</f>
        <v>0</v>
      </c>
      <c r="K1352" s="36" t="str">
        <f>IF(AND(_xlfn.XLOOKUP(C1352,'Project Details'!$C$17:$C$66,'Project Details'!$L$17:$L$66,"",0)&gt;550, F1352="Spring-L27cm"),"",SUBSTITUTE(_xlfn.XLOOKUP(G1352,SKUs!$C$2:$C$10001,SKUs!$F$2:$F$10001,"",0), " Accessories",""))</f>
        <v/>
      </c>
      <c r="L1352" s="36">
        <f>_xlfn.XLOOKUP(C1352,'Project Details'!$C$17:$C$66,'Project Details'!$D$17:$D$66,"",0)</f>
        <v>0</v>
      </c>
      <c r="M1352" s="43"/>
    </row>
    <row r="1353" spans="1:13" ht="13.5" customHeight="1" outlineLevel="1" x14ac:dyDescent="0.25">
      <c r="A1353" s="43"/>
      <c r="B1353" s="43"/>
      <c r="C1353" s="16">
        <f t="shared" si="25"/>
        <v>27</v>
      </c>
      <c r="D1353" s="16" t="str" cm="1">
        <f t="array" ref="D1353">IFERROR(ROUNDUP(_xlfn.IFS(F1353="Aluminum Track", _xlfn.XLOOKUP(C1353, dd_accsrycalc!$A$2:$A$51, dd_accsrycalc!$B$2:$B$51, "",0), F1353="10 x 2 1/2 S (Flat)", _xlfn.XLOOKUP(C1353, dd_accsrycalc!$A$2:$A$51, dd_accsrycalc!$C$2:$C$51, "",0), F1353="Tox6", _xlfn.XLOOKUP(C1353, dd_accsrycalc!$A$2:$A$51, dd_accsrycalc!$D$2:$D$51, "",0), F1353="Cover Cap", _xlfn.XLOOKUP(C1353, dd_accsrycalc!$A$2:$A$51, dd_accsrycalc!$E$2:$E$51, "",0), F1353="Drainage Cover", _xlfn.XLOOKUP(C1353, dd_accsrycalc!$A$2:$A$51, dd_accsrycalc!$F$2:$F$51, "",0),AND( F1353="Double Adhesive Tape", I1353="Roll-up Screen"), _xlfn.XLOOKUP(C1353, calc_rusacc!$C$15:$C$65, calc_rusacc!$AD$15:$AD$65, "",0),AND( F1353="Sealant", I1353="Roll-up Screen"), _xlfn.XLOOKUP(C1353, calc_rusacc!$C$15:$C$65, calc_rusacc!$AF$15:$AF$65, "",0),  AND( F1353="Main Chain", I1353="Accordion Screen"), _xlfn.XLOOKUP(C1353, calc_rusacc!$C$15:$C$65, calc_rusacc!$BF$15:$BF$65, "",0), AND( F1353="Sealant", I1353="Accordion Screen"), _xlfn.XLOOKUP(C1353, calc_rusacc!$C$15:$C$65, calc_rusacc!$BJ$15:$BJ$65, "",0),  F1353="Sealant", _xlfn.XLOOKUP(C1353, dd_accsrycalc!$A$2:$A$51, dd_accsrycalc!$G$2:$G$51, "",0),  F1353&lt;&gt;"",L1353*_xlfn.XLOOKUP(1, (SKUs!$C$2:$C$10001=G1353)*(SKUs!$K$2:$K$10001=I1353),SKUs!$E$2:$E$10001)), 0),"")</f>
        <v/>
      </c>
      <c r="E1353" s="16" t="str">
        <f>_xlfn.XLOOKUP(F1353,dd_item!$B$2:$B$105,dd_item!$C$2:$C$105,"",0)</f>
        <v/>
      </c>
      <c r="F1353" s="16"/>
      <c r="G1353" s="16" cm="1">
        <f t="array" ref="G1353">IFERROR(_xlfn.XLOOKUP(1, (SKUs!$J$2:$J$10001=accsry_unmerged!F1353)*IF(H1353&lt;&gt;"",(SKUs!$L$2:$L$10001=accsry_unmerged!H1353),1)*(SKUs!$K$2:$K$10001=I1353),SKUs!$C$2:$C$10001),"")</f>
        <v>0</v>
      </c>
      <c r="H1353" s="33" cm="1">
        <f t="array" ref="H1353">IFERROR(_xlfn.XLOOKUP(1, (dd_accsryclr!$C$2:$C$1000=accsry_unmerged!F1353)*(dd_accsryclr!$B$2:$B$1000=accsry_unmerged!J1353),dd_accsryclr!$A$2:$A$1000),"")</f>
        <v>0</v>
      </c>
      <c r="I1353" s="16">
        <f>_xlfn.XLOOKUP(C1353,'Project Details'!$C$17:$C$66,'Project Details'!$E$17:$E$66,"",0)</f>
        <v>0</v>
      </c>
      <c r="J1353" s="16">
        <f>_xlfn.XLOOKUP(C1353,'Project Details'!$C$17:$C$66,'Project Details'!$H$17:$H$66,"",0)</f>
        <v>0</v>
      </c>
      <c r="K1353" s="33" t="str">
        <f>IF(AND(_xlfn.XLOOKUP(C1353,'Project Details'!$C$17:$C$66,'Project Details'!$L$17:$L$66,"",0)&gt;550, F1353="Spring-L27cm"),"",SUBSTITUTE(_xlfn.XLOOKUP(G1353,SKUs!$C$2:$C$10001,SKUs!$F$2:$F$10001,"",0), " Accessories",""))</f>
        <v/>
      </c>
      <c r="L1353" s="33">
        <f>_xlfn.XLOOKUP(C1353,'Project Details'!$C$17:$C$66,'Project Details'!$D$17:$D$66,"",0)</f>
        <v>0</v>
      </c>
      <c r="M1353" s="43"/>
    </row>
    <row r="1354" spans="1:13" ht="13.5" customHeight="1" outlineLevel="1" x14ac:dyDescent="0.25">
      <c r="A1354" s="43"/>
      <c r="B1354" s="43"/>
      <c r="C1354" s="35">
        <f t="shared" si="25"/>
        <v>27</v>
      </c>
      <c r="D1354" s="35" t="str" cm="1">
        <f t="array" ref="D1354">IFERROR(ROUNDUP(_xlfn.IFS(F1354="Aluminum Track", _xlfn.XLOOKUP(C1354, dd_accsrycalc!$A$2:$A$51, dd_accsrycalc!$B$2:$B$51, "",0), F1354="10 x 2 1/2 S (Flat)", _xlfn.XLOOKUP(C1354, dd_accsrycalc!$A$2:$A$51, dd_accsrycalc!$C$2:$C$51, "",0), F1354="Tox6", _xlfn.XLOOKUP(C1354, dd_accsrycalc!$A$2:$A$51, dd_accsrycalc!$D$2:$D$51, "",0), F1354="Cover Cap", _xlfn.XLOOKUP(C1354, dd_accsrycalc!$A$2:$A$51, dd_accsrycalc!$E$2:$E$51, "",0), F1354="Drainage Cover", _xlfn.XLOOKUP(C1354, dd_accsrycalc!$A$2:$A$51, dd_accsrycalc!$F$2:$F$51, "",0),AND( F1354="Double Adhesive Tape", I1354="Roll-up Screen"), _xlfn.XLOOKUP(C1354, calc_rusacc!$C$15:$C$65, calc_rusacc!$AD$15:$AD$65, "",0),AND( F1354="Sealant", I1354="Roll-up Screen"), _xlfn.XLOOKUP(C1354, calc_rusacc!$C$15:$C$65, calc_rusacc!$AF$15:$AF$65, "",0),  AND( F1354="Main Chain", I1354="Accordion Screen"), _xlfn.XLOOKUP(C1354, calc_rusacc!$C$15:$C$65, calc_rusacc!$BF$15:$BF$65, "",0), AND( F1354="Sealant", I1354="Accordion Screen"), _xlfn.XLOOKUP(C1354, calc_rusacc!$C$15:$C$65, calc_rusacc!$BJ$15:$BJ$65, "",0),  F1354="Sealant", _xlfn.XLOOKUP(C1354, dd_accsrycalc!$A$2:$A$51, dd_accsrycalc!$G$2:$G$51, "",0),  F1354&lt;&gt;"",L1354*_xlfn.XLOOKUP(1, (SKUs!$C$2:$C$10001=G1354)*(SKUs!$K$2:$K$10001=I1354),SKUs!$E$2:$E$10001)), 0),"")</f>
        <v/>
      </c>
      <c r="E1354" s="35" t="str">
        <f>_xlfn.XLOOKUP(F1354,dd_item!$B$2:$B$105,dd_item!$C$2:$C$105,"",0)</f>
        <v/>
      </c>
      <c r="F1354" s="35"/>
      <c r="G1354" s="35" cm="1">
        <f t="array" ref="G1354">IFERROR(_xlfn.XLOOKUP(1, (SKUs!$J$2:$J$10001=accsry_unmerged!F1354)*IF(H1354&lt;&gt;"",(SKUs!$L$2:$L$10001=accsry_unmerged!H1354),1)*(SKUs!$K$2:$K$10001=I1354),SKUs!$C$2:$C$10001),"")</f>
        <v>0</v>
      </c>
      <c r="H1354" s="36" cm="1">
        <f t="array" ref="H1354">IFERROR(_xlfn.XLOOKUP(1, (dd_accsryclr!$C$2:$C$1000=accsry_unmerged!F1354)*(dd_accsryclr!$B$2:$B$1000=accsry_unmerged!J1354),dd_accsryclr!$A$2:$A$1000),"")</f>
        <v>0</v>
      </c>
      <c r="I1354" s="35">
        <f>_xlfn.XLOOKUP(C1354,'Project Details'!$C$17:$C$66,'Project Details'!$E$17:$E$66,"",0)</f>
        <v>0</v>
      </c>
      <c r="J1354" s="35">
        <f>_xlfn.XLOOKUP(C1354,'Project Details'!$C$17:$C$66,'Project Details'!$H$17:$H$66,"",0)</f>
        <v>0</v>
      </c>
      <c r="K1354" s="36" t="str">
        <f>IF(AND(_xlfn.XLOOKUP(C1354,'Project Details'!$C$17:$C$66,'Project Details'!$L$17:$L$66,"",0)&gt;550, F1354="Spring-L27cm"),"",SUBSTITUTE(_xlfn.XLOOKUP(G1354,SKUs!$C$2:$C$10001,SKUs!$F$2:$F$10001,"",0), " Accessories",""))</f>
        <v/>
      </c>
      <c r="L1354" s="36">
        <f>_xlfn.XLOOKUP(C1354,'Project Details'!$C$17:$C$66,'Project Details'!$D$17:$D$66,"",0)</f>
        <v>0</v>
      </c>
      <c r="M1354" s="43"/>
    </row>
    <row r="1355" spans="1:13" ht="13.5" customHeight="1" outlineLevel="1" collapsed="1" x14ac:dyDescent="0.25">
      <c r="A1355" s="43"/>
      <c r="B1355" s="43"/>
      <c r="C1355" s="16">
        <f t="shared" si="25"/>
        <v>27</v>
      </c>
      <c r="D1355" s="16" t="str" cm="1">
        <f t="array" ref="D1355">IFERROR(ROUNDUP(_xlfn.IFS(F1355="Aluminum Track", _xlfn.XLOOKUP(C1355, dd_accsrycalc!$A$2:$A$51, dd_accsrycalc!$B$2:$B$51, "",0), F1355="10 x 2 1/2 S (Flat)", _xlfn.XLOOKUP(C1355, dd_accsrycalc!$A$2:$A$51, dd_accsrycalc!$C$2:$C$51, "",0), F1355="Tox6", _xlfn.XLOOKUP(C1355, dd_accsrycalc!$A$2:$A$51, dd_accsrycalc!$D$2:$D$51, "",0), F1355="Cover Cap", _xlfn.XLOOKUP(C1355, dd_accsrycalc!$A$2:$A$51, dd_accsrycalc!$E$2:$E$51, "",0), F1355="Drainage Cover", _xlfn.XLOOKUP(C1355, dd_accsrycalc!$A$2:$A$51, dd_accsrycalc!$F$2:$F$51, "",0),AND( F1355="Double Adhesive Tape", I1355="Roll-up Screen"), _xlfn.XLOOKUP(C1355, calc_rusacc!$C$15:$C$65, calc_rusacc!$AD$15:$AD$65, "",0),AND( F1355="Sealant", I1355="Roll-up Screen"), _xlfn.XLOOKUP(C1355, calc_rusacc!$C$15:$C$65, calc_rusacc!$AF$15:$AF$65, "",0),  AND( F1355="Main Chain", I1355="Accordion Screen"), _xlfn.XLOOKUP(C1355, calc_rusacc!$C$15:$C$65, calc_rusacc!$BF$15:$BF$65, "",0), AND( F1355="Sealant", I1355="Accordion Screen"), _xlfn.XLOOKUP(C1355, calc_rusacc!$C$15:$C$65, calc_rusacc!$BJ$15:$BJ$65, "",0),  F1355="Sealant", _xlfn.XLOOKUP(C1355, dd_accsrycalc!$A$2:$A$51, dd_accsrycalc!$G$2:$G$51, "",0),  F1355&lt;&gt;"",L1355*_xlfn.XLOOKUP(1, (SKUs!$C$2:$C$10001=G1355)*(SKUs!$K$2:$K$10001=I1355),SKUs!$E$2:$E$10001)), 0),"")</f>
        <v/>
      </c>
      <c r="E1355" s="16" t="str">
        <f>_xlfn.XLOOKUP(F1355,dd_item!$B$2:$B$105,dd_item!$C$2:$C$105,"",0)</f>
        <v/>
      </c>
      <c r="F1355" s="16"/>
      <c r="G1355" s="16" cm="1">
        <f t="array" ref="G1355">IFERROR(_xlfn.XLOOKUP(1, (SKUs!$J$2:$J$10001=accsry_unmerged!F1355)*IF(H1355&lt;&gt;"",(SKUs!$L$2:$L$10001=accsry_unmerged!H1355),1)*(SKUs!$K$2:$K$10001=I1355),SKUs!$C$2:$C$10001),"")</f>
        <v>0</v>
      </c>
      <c r="H1355" s="33" cm="1">
        <f t="array" ref="H1355">IFERROR(_xlfn.XLOOKUP(1, (dd_accsryclr!$C$2:$C$1000=accsry_unmerged!F1355)*(dd_accsryclr!$B$2:$B$1000=accsry_unmerged!J1355),dd_accsryclr!$A$2:$A$1000),"")</f>
        <v>0</v>
      </c>
      <c r="I1355" s="16">
        <f>_xlfn.XLOOKUP(C1355,'Project Details'!$C$17:$C$66,'Project Details'!$E$17:$E$66,"",0)</f>
        <v>0</v>
      </c>
      <c r="J1355" s="16">
        <f>_xlfn.XLOOKUP(C1355,'Project Details'!$C$17:$C$66,'Project Details'!$H$17:$H$66,"",0)</f>
        <v>0</v>
      </c>
      <c r="K1355" s="33" t="str">
        <f>IF(AND(_xlfn.XLOOKUP(C1355,'Project Details'!$C$17:$C$66,'Project Details'!$L$17:$L$66,"",0)&gt;550, F1355="Spring-L27cm"),"",SUBSTITUTE(_xlfn.XLOOKUP(G1355,SKUs!$C$2:$C$10001,SKUs!$F$2:$F$10001,"",0), " Accessories",""))</f>
        <v/>
      </c>
      <c r="L1355" s="33">
        <f>_xlfn.XLOOKUP(C1355,'Project Details'!$C$17:$C$66,'Project Details'!$D$17:$D$66,"",0)</f>
        <v>0</v>
      </c>
      <c r="M1355" s="43"/>
    </row>
    <row r="1356" spans="1:13" ht="13.5" customHeight="1" outlineLevel="1" x14ac:dyDescent="0.25">
      <c r="A1356" s="43"/>
      <c r="B1356" s="43"/>
      <c r="C1356" s="35">
        <f t="shared" si="25"/>
        <v>27</v>
      </c>
      <c r="D1356" s="35" t="str" cm="1">
        <f t="array" ref="D1356">IFERROR(ROUNDUP(_xlfn.IFS(F1356="Aluminum Track", _xlfn.XLOOKUP(C1356, dd_accsrycalc!$A$2:$A$51, dd_accsrycalc!$B$2:$B$51, "",0), F1356="10 x 2 1/2 S (Flat)", _xlfn.XLOOKUP(C1356, dd_accsrycalc!$A$2:$A$51, dd_accsrycalc!$C$2:$C$51, "",0), F1356="Tox6", _xlfn.XLOOKUP(C1356, dd_accsrycalc!$A$2:$A$51, dd_accsrycalc!$D$2:$D$51, "",0), F1356="Cover Cap", _xlfn.XLOOKUP(C1356, dd_accsrycalc!$A$2:$A$51, dd_accsrycalc!$E$2:$E$51, "",0), F1356="Drainage Cover", _xlfn.XLOOKUP(C1356, dd_accsrycalc!$A$2:$A$51, dd_accsrycalc!$F$2:$F$51, "",0),AND( F1356="Double Adhesive Tape", I1356="Roll-up Screen"), _xlfn.XLOOKUP(C1356, calc_rusacc!$C$15:$C$65, calc_rusacc!$AD$15:$AD$65, "",0),AND( F1356="Sealant", I1356="Roll-up Screen"), _xlfn.XLOOKUP(C1356, calc_rusacc!$C$15:$C$65, calc_rusacc!$AF$15:$AF$65, "",0),  AND( F1356="Main Chain", I1356="Accordion Screen"), _xlfn.XLOOKUP(C1356, calc_rusacc!$C$15:$C$65, calc_rusacc!$BF$15:$BF$65, "",0), AND( F1356="Sealant", I1356="Accordion Screen"), _xlfn.XLOOKUP(C1356, calc_rusacc!$C$15:$C$65, calc_rusacc!$BJ$15:$BJ$65, "",0),  F1356="Sealant", _xlfn.XLOOKUP(C1356, dd_accsrycalc!$A$2:$A$51, dd_accsrycalc!$G$2:$G$51, "",0),  F1356&lt;&gt;"",L1356*_xlfn.XLOOKUP(1, (SKUs!$C$2:$C$10001=G1356)*(SKUs!$K$2:$K$10001=I1356),SKUs!$E$2:$E$10001)), 0),"")</f>
        <v/>
      </c>
      <c r="E1356" s="35" t="str">
        <f>_xlfn.XLOOKUP(F1356,dd_item!$B$2:$B$105,dd_item!$C$2:$C$105,"",0)</f>
        <v/>
      </c>
      <c r="F1356" s="35"/>
      <c r="G1356" s="35" cm="1">
        <f t="array" ref="G1356">IFERROR(_xlfn.XLOOKUP(1, (SKUs!$J$2:$J$10001=accsry_unmerged!F1356)*IF(H1356&lt;&gt;"",(SKUs!$L$2:$L$10001=accsry_unmerged!H1356),1)*(SKUs!$K$2:$K$10001=I1356),SKUs!$C$2:$C$10001),"")</f>
        <v>0</v>
      </c>
      <c r="H1356" s="36" cm="1">
        <f t="array" ref="H1356">IFERROR(_xlfn.XLOOKUP(1, (dd_accsryclr!$C$2:$C$1000=accsry_unmerged!F1356)*(dd_accsryclr!$B$2:$B$1000=accsry_unmerged!J1356),dd_accsryclr!$A$2:$A$1000),"")</f>
        <v>0</v>
      </c>
      <c r="I1356" s="35">
        <f>_xlfn.XLOOKUP(C1356,'Project Details'!$C$17:$C$66,'Project Details'!$E$17:$E$66,"",0)</f>
        <v>0</v>
      </c>
      <c r="J1356" s="35">
        <f>_xlfn.XLOOKUP(C1356,'Project Details'!$C$17:$C$66,'Project Details'!$H$17:$H$66,"",0)</f>
        <v>0</v>
      </c>
      <c r="K1356" s="36" t="str">
        <f>IF(AND(_xlfn.XLOOKUP(C1356,'Project Details'!$C$17:$C$66,'Project Details'!$L$17:$L$66,"",0)&gt;550, F1356="Spring-L27cm"),"",SUBSTITUTE(_xlfn.XLOOKUP(G1356,SKUs!$C$2:$C$10001,SKUs!$F$2:$F$10001,"",0), " Accessories",""))</f>
        <v/>
      </c>
      <c r="L1356" s="36">
        <f>_xlfn.XLOOKUP(C1356,'Project Details'!$C$17:$C$66,'Project Details'!$D$17:$D$66,"",0)</f>
        <v>0</v>
      </c>
      <c r="M1356" s="43"/>
    </row>
    <row r="1357" spans="1:13" ht="13.5" customHeight="1" outlineLevel="1" x14ac:dyDescent="0.25">
      <c r="A1357" s="43"/>
      <c r="B1357" s="43"/>
      <c r="C1357" s="16">
        <f t="shared" si="25"/>
        <v>27</v>
      </c>
      <c r="D1357" s="16" t="str" cm="1">
        <f t="array" ref="D1357">IFERROR(ROUNDUP(_xlfn.IFS(F1357="Aluminum Track", _xlfn.XLOOKUP(C1357, dd_accsrycalc!$A$2:$A$51, dd_accsrycalc!$B$2:$B$51, "",0), F1357="10 x 2 1/2 S (Flat)", _xlfn.XLOOKUP(C1357, dd_accsrycalc!$A$2:$A$51, dd_accsrycalc!$C$2:$C$51, "",0), F1357="Tox6", _xlfn.XLOOKUP(C1357, dd_accsrycalc!$A$2:$A$51, dd_accsrycalc!$D$2:$D$51, "",0), F1357="Cover Cap", _xlfn.XLOOKUP(C1357, dd_accsrycalc!$A$2:$A$51, dd_accsrycalc!$E$2:$E$51, "",0), F1357="Drainage Cover", _xlfn.XLOOKUP(C1357, dd_accsrycalc!$A$2:$A$51, dd_accsrycalc!$F$2:$F$51, "",0),AND( F1357="Double Adhesive Tape", I1357="Roll-up Screen"), _xlfn.XLOOKUP(C1357, calc_rusacc!$C$15:$C$65, calc_rusacc!$AD$15:$AD$65, "",0),AND( F1357="Sealant", I1357="Roll-up Screen"), _xlfn.XLOOKUP(C1357, calc_rusacc!$C$15:$C$65, calc_rusacc!$AF$15:$AF$65, "",0),  AND( F1357="Main Chain", I1357="Accordion Screen"), _xlfn.XLOOKUP(C1357, calc_rusacc!$C$15:$C$65, calc_rusacc!$BF$15:$BF$65, "",0), AND( F1357="Sealant", I1357="Accordion Screen"), _xlfn.XLOOKUP(C1357, calc_rusacc!$C$15:$C$65, calc_rusacc!$BJ$15:$BJ$65, "",0),  F1357="Sealant", _xlfn.XLOOKUP(C1357, dd_accsrycalc!$A$2:$A$51, dd_accsrycalc!$G$2:$G$51, "",0),  F1357&lt;&gt;"",L1357*_xlfn.XLOOKUP(1, (SKUs!$C$2:$C$10001=G1357)*(SKUs!$K$2:$K$10001=I1357),SKUs!$E$2:$E$10001)), 0),"")</f>
        <v/>
      </c>
      <c r="E1357" s="16" t="str">
        <f>_xlfn.XLOOKUP(F1357,dd_item!$B$2:$B$105,dd_item!$C$2:$C$105,"",0)</f>
        <v/>
      </c>
      <c r="F1357" s="16"/>
      <c r="G1357" s="16" cm="1">
        <f t="array" ref="G1357">IFERROR(_xlfn.XLOOKUP(1, (SKUs!$J$2:$J$10001=accsry_unmerged!F1357)*IF(H1357&lt;&gt;"",(SKUs!$L$2:$L$10001=accsry_unmerged!H1357),1)*(SKUs!$K$2:$K$10001=I1357),SKUs!$C$2:$C$10001),"")</f>
        <v>0</v>
      </c>
      <c r="H1357" s="33" cm="1">
        <f t="array" ref="H1357">IFERROR(_xlfn.XLOOKUP(1, (dd_accsryclr!$C$2:$C$1000=accsry_unmerged!F1357)*(dd_accsryclr!$B$2:$B$1000=accsry_unmerged!J1357),dd_accsryclr!$A$2:$A$1000),"")</f>
        <v>0</v>
      </c>
      <c r="I1357" s="16">
        <f>_xlfn.XLOOKUP(C1357,'Project Details'!$C$17:$C$66,'Project Details'!$E$17:$E$66,"",0)</f>
        <v>0</v>
      </c>
      <c r="J1357" s="16">
        <f>_xlfn.XLOOKUP(C1357,'Project Details'!$C$17:$C$66,'Project Details'!$H$17:$H$66,"",0)</f>
        <v>0</v>
      </c>
      <c r="K1357" s="33" t="str">
        <f>IF(AND(_xlfn.XLOOKUP(C1357,'Project Details'!$C$17:$C$66,'Project Details'!$L$17:$L$66,"",0)&gt;550, F1357="Spring-L27cm"),"",SUBSTITUTE(_xlfn.XLOOKUP(G1357,SKUs!$C$2:$C$10001,SKUs!$F$2:$F$10001,"",0), " Accessories",""))</f>
        <v/>
      </c>
      <c r="L1357" s="33">
        <f>_xlfn.XLOOKUP(C1357,'Project Details'!$C$17:$C$66,'Project Details'!$D$17:$D$66,"",0)</f>
        <v>0</v>
      </c>
      <c r="M1357" s="43"/>
    </row>
    <row r="1358" spans="1:13" ht="13.5" customHeight="1" outlineLevel="1" x14ac:dyDescent="0.25">
      <c r="A1358" s="43"/>
      <c r="B1358" s="43"/>
      <c r="C1358" s="35">
        <f t="shared" si="25"/>
        <v>27</v>
      </c>
      <c r="D1358" s="35" t="str" cm="1">
        <f t="array" ref="D1358">IFERROR(ROUNDUP(_xlfn.IFS(F1358="Aluminum Track", _xlfn.XLOOKUP(C1358, dd_accsrycalc!$A$2:$A$51, dd_accsrycalc!$B$2:$B$51, "",0), F1358="10 x 2 1/2 S (Flat)", _xlfn.XLOOKUP(C1358, dd_accsrycalc!$A$2:$A$51, dd_accsrycalc!$C$2:$C$51, "",0), F1358="Tox6", _xlfn.XLOOKUP(C1358, dd_accsrycalc!$A$2:$A$51, dd_accsrycalc!$D$2:$D$51, "",0), F1358="Cover Cap", _xlfn.XLOOKUP(C1358, dd_accsrycalc!$A$2:$A$51, dd_accsrycalc!$E$2:$E$51, "",0), F1358="Drainage Cover", _xlfn.XLOOKUP(C1358, dd_accsrycalc!$A$2:$A$51, dd_accsrycalc!$F$2:$F$51, "",0),AND( F1358="Double Adhesive Tape", I1358="Roll-up Screen"), _xlfn.XLOOKUP(C1358, calc_rusacc!$C$15:$C$65, calc_rusacc!$AD$15:$AD$65, "",0),AND( F1358="Sealant", I1358="Roll-up Screen"), _xlfn.XLOOKUP(C1358, calc_rusacc!$C$15:$C$65, calc_rusacc!$AF$15:$AF$65, "",0),  AND( F1358="Main Chain", I1358="Accordion Screen"), _xlfn.XLOOKUP(C1358, calc_rusacc!$C$15:$C$65, calc_rusacc!$BF$15:$BF$65, "",0), AND( F1358="Sealant", I1358="Accordion Screen"), _xlfn.XLOOKUP(C1358, calc_rusacc!$C$15:$C$65, calc_rusacc!$BJ$15:$BJ$65, "",0),  F1358="Sealant", _xlfn.XLOOKUP(C1358, dd_accsrycalc!$A$2:$A$51, dd_accsrycalc!$G$2:$G$51, "",0),  F1358&lt;&gt;"",L1358*_xlfn.XLOOKUP(1, (SKUs!$C$2:$C$10001=G1358)*(SKUs!$K$2:$K$10001=I1358),SKUs!$E$2:$E$10001)), 0),"")</f>
        <v/>
      </c>
      <c r="E1358" s="35" t="str">
        <f>_xlfn.XLOOKUP(F1358,dd_item!$B$2:$B$105,dd_item!$C$2:$C$105,"",0)</f>
        <v/>
      </c>
      <c r="F1358" s="35"/>
      <c r="G1358" s="35" cm="1">
        <f t="array" ref="G1358">IFERROR(_xlfn.XLOOKUP(1, (SKUs!$J$2:$J$10001=accsry_unmerged!F1358)*IF(H1358&lt;&gt;"",(SKUs!$L$2:$L$10001=accsry_unmerged!H1358),1)*(SKUs!$K$2:$K$10001=I1358),SKUs!$C$2:$C$10001),"")</f>
        <v>0</v>
      </c>
      <c r="H1358" s="36" cm="1">
        <f t="array" ref="H1358">IFERROR(_xlfn.XLOOKUP(1, (dd_accsryclr!$C$2:$C$1000=accsry_unmerged!F1358)*(dd_accsryclr!$B$2:$B$1000=accsry_unmerged!J1358),dd_accsryclr!$A$2:$A$1000),"")</f>
        <v>0</v>
      </c>
      <c r="I1358" s="35">
        <f>_xlfn.XLOOKUP(C1358,'Project Details'!$C$17:$C$66,'Project Details'!$E$17:$E$66,"",0)</f>
        <v>0</v>
      </c>
      <c r="J1358" s="35">
        <f>_xlfn.XLOOKUP(C1358,'Project Details'!$C$17:$C$66,'Project Details'!$H$17:$H$66,"",0)</f>
        <v>0</v>
      </c>
      <c r="K1358" s="36" t="str">
        <f>IF(AND(_xlfn.XLOOKUP(C1358,'Project Details'!$C$17:$C$66,'Project Details'!$L$17:$L$66,"",0)&gt;550, F1358="Spring-L27cm"),"",SUBSTITUTE(_xlfn.XLOOKUP(G1358,SKUs!$C$2:$C$10001,SKUs!$F$2:$F$10001,"",0), " Accessories",""))</f>
        <v/>
      </c>
      <c r="L1358" s="36">
        <f>_xlfn.XLOOKUP(C1358,'Project Details'!$C$17:$C$66,'Project Details'!$D$17:$D$66,"",0)</f>
        <v>0</v>
      </c>
      <c r="M1358" s="43"/>
    </row>
    <row r="1359" spans="1:13" ht="13.5" customHeight="1" outlineLevel="1" x14ac:dyDescent="0.25">
      <c r="A1359" s="43"/>
      <c r="B1359" s="43"/>
      <c r="C1359" s="16">
        <f t="shared" si="25"/>
        <v>27</v>
      </c>
      <c r="D1359" s="16" t="str" cm="1">
        <f t="array" ref="D1359">IFERROR(ROUNDUP(_xlfn.IFS(F1359="Aluminum Track", _xlfn.XLOOKUP(C1359, dd_accsrycalc!$A$2:$A$51, dd_accsrycalc!$B$2:$B$51, "",0), F1359="10 x 2 1/2 S (Flat)", _xlfn.XLOOKUP(C1359, dd_accsrycalc!$A$2:$A$51, dd_accsrycalc!$C$2:$C$51, "",0), F1359="Tox6", _xlfn.XLOOKUP(C1359, dd_accsrycalc!$A$2:$A$51, dd_accsrycalc!$D$2:$D$51, "",0), F1359="Cover Cap", _xlfn.XLOOKUP(C1359, dd_accsrycalc!$A$2:$A$51, dd_accsrycalc!$E$2:$E$51, "",0), F1359="Drainage Cover", _xlfn.XLOOKUP(C1359, dd_accsrycalc!$A$2:$A$51, dd_accsrycalc!$F$2:$F$51, "",0),AND( F1359="Double Adhesive Tape", I1359="Roll-up Screen"), _xlfn.XLOOKUP(C1359, calc_rusacc!$C$15:$C$65, calc_rusacc!$AD$15:$AD$65, "",0),AND( F1359="Sealant", I1359="Roll-up Screen"), _xlfn.XLOOKUP(C1359, calc_rusacc!$C$15:$C$65, calc_rusacc!$AF$15:$AF$65, "",0),  AND( F1359="Main Chain", I1359="Accordion Screen"), _xlfn.XLOOKUP(C1359, calc_rusacc!$C$15:$C$65, calc_rusacc!$BF$15:$BF$65, "",0), AND( F1359="Sealant", I1359="Accordion Screen"), _xlfn.XLOOKUP(C1359, calc_rusacc!$C$15:$C$65, calc_rusacc!$BJ$15:$BJ$65, "",0),  F1359="Sealant", _xlfn.XLOOKUP(C1359, dd_accsrycalc!$A$2:$A$51, dd_accsrycalc!$G$2:$G$51, "",0),  F1359&lt;&gt;"",L1359*_xlfn.XLOOKUP(1, (SKUs!$C$2:$C$10001=G1359)*(SKUs!$K$2:$K$10001=I1359),SKUs!$E$2:$E$10001)), 0),"")</f>
        <v/>
      </c>
      <c r="E1359" s="16" t="str">
        <f>_xlfn.XLOOKUP(F1359,dd_item!$B$2:$B$105,dd_item!$C$2:$C$105,"",0)</f>
        <v/>
      </c>
      <c r="F1359" s="16"/>
      <c r="G1359" s="16" cm="1">
        <f t="array" ref="G1359">IFERROR(_xlfn.XLOOKUP(1, (SKUs!$J$2:$J$10001=accsry_unmerged!F1359)*IF(H1359&lt;&gt;"",(SKUs!$L$2:$L$10001=accsry_unmerged!H1359),1)*(SKUs!$K$2:$K$10001=I1359),SKUs!$C$2:$C$10001),"")</f>
        <v>0</v>
      </c>
      <c r="H1359" s="33" cm="1">
        <f t="array" ref="H1359">IFERROR(_xlfn.XLOOKUP(1, (dd_accsryclr!$C$2:$C$1000=accsry_unmerged!F1359)*(dd_accsryclr!$B$2:$B$1000=accsry_unmerged!J1359),dd_accsryclr!$A$2:$A$1000),"")</f>
        <v>0</v>
      </c>
      <c r="I1359" s="16">
        <f>_xlfn.XLOOKUP(C1359,'Project Details'!$C$17:$C$66,'Project Details'!$E$17:$E$66,"",0)</f>
        <v>0</v>
      </c>
      <c r="J1359" s="16">
        <f>_xlfn.XLOOKUP(C1359,'Project Details'!$C$17:$C$66,'Project Details'!$H$17:$H$66,"",0)</f>
        <v>0</v>
      </c>
      <c r="K1359" s="33" t="str">
        <f>IF(AND(_xlfn.XLOOKUP(C1359,'Project Details'!$C$17:$C$66,'Project Details'!$L$17:$L$66,"",0)&gt;550, F1359="Spring-L27cm"),"",SUBSTITUTE(_xlfn.XLOOKUP(G1359,SKUs!$C$2:$C$10001,SKUs!$F$2:$F$10001,"",0), " Accessories",""))</f>
        <v/>
      </c>
      <c r="L1359" s="33">
        <f>_xlfn.XLOOKUP(C1359,'Project Details'!$C$17:$C$66,'Project Details'!$D$17:$D$66,"",0)</f>
        <v>0</v>
      </c>
      <c r="M1359" s="43"/>
    </row>
    <row r="1360" spans="1:13" ht="13.5" customHeight="1" outlineLevel="1" x14ac:dyDescent="0.25">
      <c r="A1360" s="43"/>
      <c r="B1360" s="43"/>
      <c r="C1360" s="35">
        <f t="shared" si="25"/>
        <v>27</v>
      </c>
      <c r="D1360" s="35" t="str" cm="1">
        <f t="array" ref="D1360">IFERROR(ROUNDUP(_xlfn.IFS(F1360="Aluminum Track", _xlfn.XLOOKUP(C1360, dd_accsrycalc!$A$2:$A$51, dd_accsrycalc!$B$2:$B$51, "",0), F1360="10 x 2 1/2 S (Flat)", _xlfn.XLOOKUP(C1360, dd_accsrycalc!$A$2:$A$51, dd_accsrycalc!$C$2:$C$51, "",0), F1360="Tox6", _xlfn.XLOOKUP(C1360, dd_accsrycalc!$A$2:$A$51, dd_accsrycalc!$D$2:$D$51, "",0), F1360="Cover Cap", _xlfn.XLOOKUP(C1360, dd_accsrycalc!$A$2:$A$51, dd_accsrycalc!$E$2:$E$51, "",0), F1360="Drainage Cover", _xlfn.XLOOKUP(C1360, dd_accsrycalc!$A$2:$A$51, dd_accsrycalc!$F$2:$F$51, "",0),AND( F1360="Double Adhesive Tape", I1360="Roll-up Screen"), _xlfn.XLOOKUP(C1360, calc_rusacc!$C$15:$C$65, calc_rusacc!$AD$15:$AD$65, "",0),AND( F1360="Sealant", I1360="Roll-up Screen"), _xlfn.XLOOKUP(C1360, calc_rusacc!$C$15:$C$65, calc_rusacc!$AF$15:$AF$65, "",0),  AND( F1360="Main Chain", I1360="Accordion Screen"), _xlfn.XLOOKUP(C1360, calc_rusacc!$C$15:$C$65, calc_rusacc!$BF$15:$BF$65, "",0), AND( F1360="Sealant", I1360="Accordion Screen"), _xlfn.XLOOKUP(C1360, calc_rusacc!$C$15:$C$65, calc_rusacc!$BJ$15:$BJ$65, "",0),  F1360="Sealant", _xlfn.XLOOKUP(C1360, dd_accsrycalc!$A$2:$A$51, dd_accsrycalc!$G$2:$G$51, "",0),  F1360&lt;&gt;"",L1360*_xlfn.XLOOKUP(1, (SKUs!$C$2:$C$10001=G1360)*(SKUs!$K$2:$K$10001=I1360),SKUs!$E$2:$E$10001)), 0),"")</f>
        <v/>
      </c>
      <c r="E1360" s="35" t="str">
        <f>_xlfn.XLOOKUP(F1360,dd_item!$B$2:$B$105,dd_item!$C$2:$C$105,"",0)</f>
        <v/>
      </c>
      <c r="F1360" s="35"/>
      <c r="G1360" s="35" cm="1">
        <f t="array" ref="G1360">IFERROR(_xlfn.XLOOKUP(1, (SKUs!$J$2:$J$10001=accsry_unmerged!F1360)*IF(H1360&lt;&gt;"",(SKUs!$L$2:$L$10001=accsry_unmerged!H1360),1)*(SKUs!$K$2:$K$10001=I1360),SKUs!$C$2:$C$10001),"")</f>
        <v>0</v>
      </c>
      <c r="H1360" s="36" cm="1">
        <f t="array" ref="H1360">IFERROR(_xlfn.XLOOKUP(1, (dd_accsryclr!$C$2:$C$1000=accsry_unmerged!F1360)*(dd_accsryclr!$B$2:$B$1000=accsry_unmerged!J1360),dd_accsryclr!$A$2:$A$1000),"")</f>
        <v>0</v>
      </c>
      <c r="I1360" s="35">
        <f>_xlfn.XLOOKUP(C1360,'Project Details'!$C$17:$C$66,'Project Details'!$E$17:$E$66,"",0)</f>
        <v>0</v>
      </c>
      <c r="J1360" s="35">
        <f>_xlfn.XLOOKUP(C1360,'Project Details'!$C$17:$C$66,'Project Details'!$H$17:$H$66,"",0)</f>
        <v>0</v>
      </c>
      <c r="K1360" s="36" t="str">
        <f>IF(AND(_xlfn.XLOOKUP(C1360,'Project Details'!$C$17:$C$66,'Project Details'!$L$17:$L$66,"",0)&gt;550, F1360="Spring-L27cm"),"",SUBSTITUTE(_xlfn.XLOOKUP(G1360,SKUs!$C$2:$C$10001,SKUs!$F$2:$F$10001,"",0), " Accessories",""))</f>
        <v/>
      </c>
      <c r="L1360" s="36">
        <f>_xlfn.XLOOKUP(C1360,'Project Details'!$C$17:$C$66,'Project Details'!$D$17:$D$66,"",0)</f>
        <v>0</v>
      </c>
      <c r="M1360" s="43"/>
    </row>
    <row r="1361" spans="1:13" ht="13.5" customHeight="1" outlineLevel="1" x14ac:dyDescent="0.25">
      <c r="A1361" s="43"/>
      <c r="B1361" s="43"/>
      <c r="C1361" s="16">
        <f t="shared" si="25"/>
        <v>27</v>
      </c>
      <c r="D1361" s="16" t="str" cm="1">
        <f t="array" ref="D1361">IFERROR(ROUNDUP(_xlfn.IFS(F1361="Aluminum Track", _xlfn.XLOOKUP(C1361, dd_accsrycalc!$A$2:$A$51, dd_accsrycalc!$B$2:$B$51, "",0), F1361="10 x 2 1/2 S (Flat)", _xlfn.XLOOKUP(C1361, dd_accsrycalc!$A$2:$A$51, dd_accsrycalc!$C$2:$C$51, "",0), F1361="Tox6", _xlfn.XLOOKUP(C1361, dd_accsrycalc!$A$2:$A$51, dd_accsrycalc!$D$2:$D$51, "",0), F1361="Cover Cap", _xlfn.XLOOKUP(C1361, dd_accsrycalc!$A$2:$A$51, dd_accsrycalc!$E$2:$E$51, "",0), F1361="Drainage Cover", _xlfn.XLOOKUP(C1361, dd_accsrycalc!$A$2:$A$51, dd_accsrycalc!$F$2:$F$51, "",0),AND( F1361="Double Adhesive Tape", I1361="Roll-up Screen"), _xlfn.XLOOKUP(C1361, calc_rusacc!$C$15:$C$65, calc_rusacc!$AD$15:$AD$65, "",0),AND( F1361="Sealant", I1361="Roll-up Screen"), _xlfn.XLOOKUP(C1361, calc_rusacc!$C$15:$C$65, calc_rusacc!$AF$15:$AF$65, "",0),  AND( F1361="Main Chain", I1361="Accordion Screen"), _xlfn.XLOOKUP(C1361, calc_rusacc!$C$15:$C$65, calc_rusacc!$BF$15:$BF$65, "",0), AND( F1361="Sealant", I1361="Accordion Screen"), _xlfn.XLOOKUP(C1361, calc_rusacc!$C$15:$C$65, calc_rusacc!$BJ$15:$BJ$65, "",0),  F1361="Sealant", _xlfn.XLOOKUP(C1361, dd_accsrycalc!$A$2:$A$51, dd_accsrycalc!$G$2:$G$51, "",0),  F1361&lt;&gt;"",L1361*_xlfn.XLOOKUP(1, (SKUs!$C$2:$C$10001=G1361)*(SKUs!$K$2:$K$10001=I1361),SKUs!$E$2:$E$10001)), 0),"")</f>
        <v/>
      </c>
      <c r="E1361" s="16" t="str">
        <f>_xlfn.XLOOKUP(F1361,dd_item!$B$2:$B$105,dd_item!$C$2:$C$105,"",0)</f>
        <v/>
      </c>
      <c r="F1361" s="16"/>
      <c r="G1361" s="16" cm="1">
        <f t="array" ref="G1361">IFERROR(_xlfn.XLOOKUP(1, (SKUs!$J$2:$J$10001=accsry_unmerged!F1361)*IF(H1361&lt;&gt;"",(SKUs!$L$2:$L$10001=accsry_unmerged!H1361),1)*(SKUs!$K$2:$K$10001=I1361),SKUs!$C$2:$C$10001),"")</f>
        <v>0</v>
      </c>
      <c r="H1361" s="33" cm="1">
        <f t="array" ref="H1361">IFERROR(_xlfn.XLOOKUP(1, (dd_accsryclr!$C$2:$C$1000=accsry_unmerged!F1361)*(dd_accsryclr!$B$2:$B$1000=accsry_unmerged!J1361),dd_accsryclr!$A$2:$A$1000),"")</f>
        <v>0</v>
      </c>
      <c r="I1361" s="16">
        <f>_xlfn.XLOOKUP(C1361,'Project Details'!$C$17:$C$66,'Project Details'!$E$17:$E$66,"",0)</f>
        <v>0</v>
      </c>
      <c r="J1361" s="16">
        <f>_xlfn.XLOOKUP(C1361,'Project Details'!$C$17:$C$66,'Project Details'!$H$17:$H$66,"",0)</f>
        <v>0</v>
      </c>
      <c r="K1361" s="33" t="str">
        <f>IF(AND(_xlfn.XLOOKUP(C1361,'Project Details'!$C$17:$C$66,'Project Details'!$L$17:$L$66,"",0)&gt;550, F1361="Spring-L27cm"),"",SUBSTITUTE(_xlfn.XLOOKUP(G1361,SKUs!$C$2:$C$10001,SKUs!$F$2:$F$10001,"",0), " Accessories",""))</f>
        <v/>
      </c>
      <c r="L1361" s="33">
        <f>_xlfn.XLOOKUP(C1361,'Project Details'!$C$17:$C$66,'Project Details'!$D$17:$D$66,"",0)</f>
        <v>0</v>
      </c>
      <c r="M1361" s="43"/>
    </row>
    <row r="1362" spans="1:13" ht="13.5" customHeight="1" outlineLevel="1" x14ac:dyDescent="0.25">
      <c r="A1362" s="43"/>
      <c r="B1362" s="43"/>
      <c r="C1362" s="35">
        <f t="shared" si="25"/>
        <v>27</v>
      </c>
      <c r="D1362" s="35" t="str" cm="1">
        <f t="array" ref="D1362">IFERROR(ROUNDUP(_xlfn.IFS(F1362="Aluminum Track", _xlfn.XLOOKUP(C1362, dd_accsrycalc!$A$2:$A$51, dd_accsrycalc!$B$2:$B$51, "",0), F1362="10 x 2 1/2 S (Flat)", _xlfn.XLOOKUP(C1362, dd_accsrycalc!$A$2:$A$51, dd_accsrycalc!$C$2:$C$51, "",0), F1362="Tox6", _xlfn.XLOOKUP(C1362, dd_accsrycalc!$A$2:$A$51, dd_accsrycalc!$D$2:$D$51, "",0), F1362="Cover Cap", _xlfn.XLOOKUP(C1362, dd_accsrycalc!$A$2:$A$51, dd_accsrycalc!$E$2:$E$51, "",0), F1362="Drainage Cover", _xlfn.XLOOKUP(C1362, dd_accsrycalc!$A$2:$A$51, dd_accsrycalc!$F$2:$F$51, "",0),AND( F1362="Double Adhesive Tape", I1362="Roll-up Screen"), _xlfn.XLOOKUP(C1362, calc_rusacc!$C$15:$C$65, calc_rusacc!$AD$15:$AD$65, "",0),AND( F1362="Sealant", I1362="Roll-up Screen"), _xlfn.XLOOKUP(C1362, calc_rusacc!$C$15:$C$65, calc_rusacc!$AF$15:$AF$65, "",0),  AND( F1362="Main Chain", I1362="Accordion Screen"), _xlfn.XLOOKUP(C1362, calc_rusacc!$C$15:$C$65, calc_rusacc!$BF$15:$BF$65, "",0), AND( F1362="Sealant", I1362="Accordion Screen"), _xlfn.XLOOKUP(C1362, calc_rusacc!$C$15:$C$65, calc_rusacc!$BJ$15:$BJ$65, "",0),  F1362="Sealant", _xlfn.XLOOKUP(C1362, dd_accsrycalc!$A$2:$A$51, dd_accsrycalc!$G$2:$G$51, "",0),  F1362&lt;&gt;"",L1362*_xlfn.XLOOKUP(1, (SKUs!$C$2:$C$10001=G1362)*(SKUs!$K$2:$K$10001=I1362),SKUs!$E$2:$E$10001)), 0),"")</f>
        <v/>
      </c>
      <c r="E1362" s="35" t="str">
        <f>_xlfn.XLOOKUP(F1362,dd_item!$B$2:$B$105,dd_item!$C$2:$C$105,"",0)</f>
        <v/>
      </c>
      <c r="F1362" s="35"/>
      <c r="G1362" s="35" cm="1">
        <f t="array" ref="G1362">IFERROR(_xlfn.XLOOKUP(1, (SKUs!$J$2:$J$10001=accsry_unmerged!F1362)*IF(H1362&lt;&gt;"",(SKUs!$L$2:$L$10001=accsry_unmerged!H1362),1)*(SKUs!$K$2:$K$10001=I1362),SKUs!$C$2:$C$10001),"")</f>
        <v>0</v>
      </c>
      <c r="H1362" s="36" cm="1">
        <f t="array" ref="H1362">IFERROR(_xlfn.XLOOKUP(1, (dd_accsryclr!$C$2:$C$1000=accsry_unmerged!F1362)*(dd_accsryclr!$B$2:$B$1000=accsry_unmerged!J1362),dd_accsryclr!$A$2:$A$1000),"")</f>
        <v>0</v>
      </c>
      <c r="I1362" s="35">
        <f>_xlfn.XLOOKUP(C1362,'Project Details'!$C$17:$C$66,'Project Details'!$E$17:$E$66,"",0)</f>
        <v>0</v>
      </c>
      <c r="J1362" s="35">
        <f>_xlfn.XLOOKUP(C1362,'Project Details'!$C$17:$C$66,'Project Details'!$H$17:$H$66,"",0)</f>
        <v>0</v>
      </c>
      <c r="K1362" s="36" t="str">
        <f>IF(AND(_xlfn.XLOOKUP(C1362,'Project Details'!$C$17:$C$66,'Project Details'!$L$17:$L$66,"",0)&gt;550, F1362="Spring-L27cm"),"",SUBSTITUTE(_xlfn.XLOOKUP(G1362,SKUs!$C$2:$C$10001,SKUs!$F$2:$F$10001,"",0), " Accessories",""))</f>
        <v/>
      </c>
      <c r="L1362" s="36">
        <f>_xlfn.XLOOKUP(C1362,'Project Details'!$C$17:$C$66,'Project Details'!$D$17:$D$66,"",0)</f>
        <v>0</v>
      </c>
      <c r="M1362" s="43"/>
    </row>
    <row r="1363" spans="1:13" ht="13.5" customHeight="1" outlineLevel="1" x14ac:dyDescent="0.25">
      <c r="A1363" s="43"/>
      <c r="B1363" s="43"/>
      <c r="C1363" s="16">
        <f t="shared" si="25"/>
        <v>27</v>
      </c>
      <c r="D1363" s="16" t="str" cm="1">
        <f t="array" ref="D1363">IFERROR(ROUNDUP(_xlfn.IFS(F1363="Aluminum Track", _xlfn.XLOOKUP(C1363, dd_accsrycalc!$A$2:$A$51, dd_accsrycalc!$B$2:$B$51, "",0), F1363="10 x 2 1/2 S (Flat)", _xlfn.XLOOKUP(C1363, dd_accsrycalc!$A$2:$A$51, dd_accsrycalc!$C$2:$C$51, "",0), F1363="Tox6", _xlfn.XLOOKUP(C1363, dd_accsrycalc!$A$2:$A$51, dd_accsrycalc!$D$2:$D$51, "",0), F1363="Cover Cap", _xlfn.XLOOKUP(C1363, dd_accsrycalc!$A$2:$A$51, dd_accsrycalc!$E$2:$E$51, "",0), F1363="Drainage Cover", _xlfn.XLOOKUP(C1363, dd_accsrycalc!$A$2:$A$51, dd_accsrycalc!$F$2:$F$51, "",0),AND( F1363="Double Adhesive Tape", I1363="Roll-up Screen"), _xlfn.XLOOKUP(C1363, calc_rusacc!$C$15:$C$65, calc_rusacc!$AD$15:$AD$65, "",0),AND( F1363="Sealant", I1363="Roll-up Screen"), _xlfn.XLOOKUP(C1363, calc_rusacc!$C$15:$C$65, calc_rusacc!$AF$15:$AF$65, "",0),  AND( F1363="Main Chain", I1363="Accordion Screen"), _xlfn.XLOOKUP(C1363, calc_rusacc!$C$15:$C$65, calc_rusacc!$BF$15:$BF$65, "",0), AND( F1363="Sealant", I1363="Accordion Screen"), _xlfn.XLOOKUP(C1363, calc_rusacc!$C$15:$C$65, calc_rusacc!$BJ$15:$BJ$65, "",0),  F1363="Sealant", _xlfn.XLOOKUP(C1363, dd_accsrycalc!$A$2:$A$51, dd_accsrycalc!$G$2:$G$51, "",0),  F1363&lt;&gt;"",L1363*_xlfn.XLOOKUP(1, (SKUs!$C$2:$C$10001=G1363)*(SKUs!$K$2:$K$10001=I1363),SKUs!$E$2:$E$10001)), 0),"")</f>
        <v/>
      </c>
      <c r="E1363" s="16" t="str">
        <f>_xlfn.XLOOKUP(F1363,dd_item!$B$2:$B$105,dd_item!$C$2:$C$105,"",0)</f>
        <v/>
      </c>
      <c r="F1363" s="16"/>
      <c r="G1363" s="16" cm="1">
        <f t="array" ref="G1363">IFERROR(_xlfn.XLOOKUP(1, (SKUs!$J$2:$J$10001=accsry_unmerged!F1363)*IF(H1363&lt;&gt;"",(SKUs!$L$2:$L$10001=accsry_unmerged!H1363),1)*(SKUs!$K$2:$K$10001=I1363),SKUs!$C$2:$C$10001),"")</f>
        <v>0</v>
      </c>
      <c r="H1363" s="33" cm="1">
        <f t="array" ref="H1363">IFERROR(_xlfn.XLOOKUP(1, (dd_accsryclr!$C$2:$C$1000=accsry_unmerged!F1363)*(dd_accsryclr!$B$2:$B$1000=accsry_unmerged!J1363),dd_accsryclr!$A$2:$A$1000),"")</f>
        <v>0</v>
      </c>
      <c r="I1363" s="16">
        <f>_xlfn.XLOOKUP(C1363,'Project Details'!$C$17:$C$66,'Project Details'!$E$17:$E$66,"",0)</f>
        <v>0</v>
      </c>
      <c r="J1363" s="16">
        <f>_xlfn.XLOOKUP(C1363,'Project Details'!$C$17:$C$66,'Project Details'!$H$17:$H$66,"",0)</f>
        <v>0</v>
      </c>
      <c r="K1363" s="33" t="str">
        <f>IF(AND(_xlfn.XLOOKUP(C1363,'Project Details'!$C$17:$C$66,'Project Details'!$L$17:$L$66,"",0)&gt;550, F1363="Spring-L27cm"),"",SUBSTITUTE(_xlfn.XLOOKUP(G1363,SKUs!$C$2:$C$10001,SKUs!$F$2:$F$10001,"",0), " Accessories",""))</f>
        <v/>
      </c>
      <c r="L1363" s="33">
        <f>_xlfn.XLOOKUP(C1363,'Project Details'!$C$17:$C$66,'Project Details'!$D$17:$D$66,"",0)</f>
        <v>0</v>
      </c>
      <c r="M1363" s="43"/>
    </row>
    <row r="1364" spans="1:13" x14ac:dyDescent="0.25">
      <c r="A1364" s="43"/>
      <c r="B1364" s="43"/>
      <c r="C1364" s="43"/>
      <c r="D1364" s="43"/>
      <c r="E1364" s="43"/>
      <c r="F1364" s="43"/>
      <c r="G1364" s="43"/>
      <c r="H1364" s="43"/>
      <c r="I1364" s="43"/>
      <c r="J1364" s="43"/>
      <c r="K1364" s="43"/>
      <c r="L1364" s="43"/>
      <c r="M1364" s="43"/>
    </row>
    <row r="1365" spans="1:13" x14ac:dyDescent="0.25">
      <c r="A1365" s="43"/>
      <c r="B1365" s="43"/>
      <c r="C1365" s="16">
        <f>C1363+1</f>
        <v>28</v>
      </c>
      <c r="D1365" s="48" cm="1">
        <f t="array" ref="D1365">IFERROR(ROUNDUP(_xlfn.IFS(F1365="Aluminum Track", _xlfn.XLOOKUP(C1365, dd_accsrycalc!$A$2:$A$51, dd_accsrycalc!$B$2:$B$51, "",0), F1365="10 x 2 1/2 S (Flat)", _xlfn.XLOOKUP(C1365, dd_accsrycalc!$A$2:$A$51, dd_accsrycalc!$C$2:$C$51, "",0), F1365="Tox6", _xlfn.XLOOKUP(C1365, dd_accsrycalc!$A$2:$A$51, dd_accsrycalc!$D$2:$D$51, "",0), F1365="Cover Cap", _xlfn.XLOOKUP(C1365, dd_accsrycalc!$A$2:$A$51, dd_accsrycalc!$E$2:$E$51, "",0), F1365="Drainage Cover", _xlfn.XLOOKUP(C1365, dd_accsrycalc!$A$2:$A$51, dd_accsrycalc!$F$2:$F$51, "",0),AND( F1365="Double Adhesive Tape", I1365="Roll-up Screen"), _xlfn.XLOOKUP(C1365, calc_rusacc!$C$15:$C$65, calc_rusacc!$AD$15:$AD$65, "",0),AND( F1365="Sealant", I1365="Roll-up Screen"), _xlfn.XLOOKUP(C1365, calc_rusacc!$C$15:$C$65, calc_rusacc!$AF$15:$AF$65, "",0),  AND( F1365="Main Chain", I1365="Accordion Screen"), _xlfn.XLOOKUP(C1365, calc_rusacc!$C$15:$C$65, calc_rusacc!$BF$15:$BF$65, "",0), AND( F1365="Sealant", I1365="Accordion Screen"), _xlfn.XLOOKUP(C1365, calc_rusacc!$C$15:$C$65, calc_rusacc!$BJ$15:$BJ$65, "",0),  F1365="Sealant", _xlfn.XLOOKUP(C1365, dd_accsrycalc!$A$2:$A$51, dd_accsrycalc!$G$2:$G$51, "",0),  F1365&lt;&gt;"",L1365*_xlfn.XLOOKUP(1, (SKUs!$C$2:$C$10001=G1365)*(SKUs!$K$2:$K$10001=I1365),SKUs!$E$2:$E$10001)), 0),"")</f>
        <v>0</v>
      </c>
      <c r="E1365" s="48" t="str">
        <f>_xlfn.XLOOKUP(F1365,dd_item!$B$2:$B$105,dd_item!$C$2:$C$105,"",0)</f>
        <v/>
      </c>
      <c r="F1365" s="48" cm="1">
        <f t="array" ref="F1365">IFERROR(_xlfn.UNIQUE(_xlfn._xlws.FILTER(SKUs!$J$2:$J$10001, (SKUs!$F$2:$F$10001&lt;&gt;"Cutting List") * (SKUs!$A$2:$A$10001=_xlfn.XLOOKUP(_xlfn.XLOOKUP(C1365,'Project Details'!$C$17:$C$66,'Project Details'!$E$17:$E$66,"",0), dd_design_raw!$A$2:$A$101,dd_design_raw!$C$2:$C$101,"",0)))), "")</f>
        <v>0</v>
      </c>
      <c r="G1365" s="16" cm="1">
        <f t="array" ref="G1365">IFERROR(_xlfn.XLOOKUP(1, (SKUs!$J$2:$J$10001=accsry_unmerged!F1365)*IF(H1365&lt;&gt;"",(SKUs!$L$2:$L$10001=accsry_unmerged!H1365),1)*(SKUs!$K$2:$K$10001=I1365),SKUs!$C$2:$C$10001),"")</f>
        <v>0</v>
      </c>
      <c r="H1365" s="16" cm="1">
        <f t="array" ref="H1365">IFERROR(_xlfn.XLOOKUP(1, (dd_accsryclr!$C$2:$C$1000=accsry_unmerged!F1365)*(dd_accsryclr!$B$2:$B$1000=accsry_unmerged!J1365),dd_accsryclr!$A$2:$A$1000),"")</f>
        <v>0</v>
      </c>
      <c r="I1365" s="16">
        <f>_xlfn.XLOOKUP(C1365,'Project Details'!$C$17:$C$66,'Project Details'!$E$17:$E$66,"",0)</f>
        <v>0</v>
      </c>
      <c r="J1365" s="16">
        <f>_xlfn.XLOOKUP(C1365,'Project Details'!$C$17:$C$66,'Project Details'!$H$17:$H$66,"",0)</f>
        <v>0</v>
      </c>
      <c r="K1365" s="16" t="str">
        <f>IF(AND(_xlfn.XLOOKUP(C1365,'Project Details'!$C$17:$C$66,'Project Details'!$L$17:$L$66,"",0)&gt;550, F1365="Spring-L27cm"),"",SUBSTITUTE(_xlfn.XLOOKUP(G1365,SKUs!$C$2:$C$10001,SKUs!$F$2:$F$10001,"",0), " Accessories",""))</f>
        <v/>
      </c>
      <c r="L1365" s="16">
        <f>_xlfn.XLOOKUP(C1365,'Project Details'!$C$17:$C$66,'Project Details'!$D$17:$D$66,"",0)</f>
        <v>0</v>
      </c>
      <c r="M1365" s="43"/>
    </row>
    <row r="1366" spans="1:13" x14ac:dyDescent="0.25">
      <c r="A1366" s="43"/>
      <c r="B1366" s="43"/>
      <c r="C1366" s="35">
        <f>C1365</f>
        <v>28</v>
      </c>
      <c r="D1366" s="35" t="str" cm="1">
        <f t="array" ref="D1366">IFERROR(ROUNDUP(_xlfn.IFS(F1366="Aluminum Track", _xlfn.XLOOKUP(C1366, dd_accsrycalc!$A$2:$A$51, dd_accsrycalc!$B$2:$B$51, "",0), F1366="10 x 2 1/2 S (Flat)", _xlfn.XLOOKUP(C1366, dd_accsrycalc!$A$2:$A$51, dd_accsrycalc!$C$2:$C$51, "",0), F1366="Tox6", _xlfn.XLOOKUP(C1366, dd_accsrycalc!$A$2:$A$51, dd_accsrycalc!$D$2:$D$51, "",0), F1366="Cover Cap", _xlfn.XLOOKUP(C1366, dd_accsrycalc!$A$2:$A$51, dd_accsrycalc!$E$2:$E$51, "",0), F1366="Drainage Cover", _xlfn.XLOOKUP(C1366, dd_accsrycalc!$A$2:$A$51, dd_accsrycalc!$F$2:$F$51, "",0),AND( F1366="Double Adhesive Tape", I1366="Roll-up Screen"), _xlfn.XLOOKUP(C1366, calc_rusacc!$C$15:$C$65, calc_rusacc!$AD$15:$AD$65, "",0),AND( F1366="Sealant", I1366="Roll-up Screen"), _xlfn.XLOOKUP(C1366, calc_rusacc!$C$15:$C$65, calc_rusacc!$AF$15:$AF$65, "",0),  AND( F1366="Main Chain", I1366="Accordion Screen"), _xlfn.XLOOKUP(C1366, calc_rusacc!$C$15:$C$65, calc_rusacc!$BF$15:$BF$65, "",0), AND( F1366="Sealant", I1366="Accordion Screen"), _xlfn.XLOOKUP(C1366, calc_rusacc!$C$15:$C$65, calc_rusacc!$BJ$15:$BJ$65, "",0),  F1366="Sealant", _xlfn.XLOOKUP(C1366, dd_accsrycalc!$A$2:$A$51, dd_accsrycalc!$G$2:$G$51, "",0),  F1366&lt;&gt;"",L1366*_xlfn.XLOOKUP(1, (SKUs!$C$2:$C$10001=G1366)*(SKUs!$K$2:$K$10001=I1366),SKUs!$E$2:$E$10001)), 0),"")</f>
        <v/>
      </c>
      <c r="E1366" s="35" t="str">
        <f>_xlfn.XLOOKUP(F1366,dd_item!$B$2:$B$105,dd_item!$C$2:$C$105,"",0)</f>
        <v/>
      </c>
      <c r="F1366" s="35"/>
      <c r="G1366" s="35" cm="1">
        <f t="array" ref="G1366">IFERROR(_xlfn.XLOOKUP(1, (SKUs!$J$2:$J$10001=accsry_unmerged!F1366)*IF(H1366&lt;&gt;"",(SKUs!$L$2:$L$10001=accsry_unmerged!H1366),1)*(SKUs!$K$2:$K$10001=I1366),SKUs!$C$2:$C$10001),"")</f>
        <v>0</v>
      </c>
      <c r="H1366" s="36" cm="1">
        <f t="array" ref="H1366">IFERROR(_xlfn.XLOOKUP(1, (dd_accsryclr!$C$2:$C$1000=accsry_unmerged!F1366)*(dd_accsryclr!$B$2:$B$1000=accsry_unmerged!J1366),dd_accsryclr!$A$2:$A$1000),"")</f>
        <v>0</v>
      </c>
      <c r="I1366" s="35">
        <f>_xlfn.XLOOKUP(C1366,'Project Details'!$C$17:$C$66,'Project Details'!$E$17:$E$66,"",0)</f>
        <v>0</v>
      </c>
      <c r="J1366" s="35">
        <f>_xlfn.XLOOKUP(C1366,'Project Details'!$C$17:$C$66,'Project Details'!$H$17:$H$66,"",0)</f>
        <v>0</v>
      </c>
      <c r="K1366" s="36" t="str">
        <f>IF(AND(_xlfn.XLOOKUP(C1366,'Project Details'!$C$17:$C$66,'Project Details'!$L$17:$L$66,"",0)&gt;550, F1366="Spring-L27cm"),"",SUBSTITUTE(_xlfn.XLOOKUP(G1366,SKUs!$C$2:$C$10001,SKUs!$F$2:$F$10001,"",0), " Accessories",""))</f>
        <v/>
      </c>
      <c r="L1366" s="36">
        <f>_xlfn.XLOOKUP(C1366,'Project Details'!$C$17:$C$66,'Project Details'!$D$17:$D$66,"",0)</f>
        <v>0</v>
      </c>
      <c r="M1366" s="43"/>
    </row>
    <row r="1367" spans="1:13" x14ac:dyDescent="0.25">
      <c r="A1367" s="43"/>
      <c r="B1367" s="43"/>
      <c r="C1367" s="16">
        <f t="shared" ref="C1367:C1413" si="26">C1366</f>
        <v>28</v>
      </c>
      <c r="D1367" s="16" t="str" cm="1">
        <f t="array" ref="D1367">IFERROR(ROUNDUP(_xlfn.IFS(F1367="Aluminum Track", _xlfn.XLOOKUP(C1367, dd_accsrycalc!$A$2:$A$51, dd_accsrycalc!$B$2:$B$51, "",0), F1367="10 x 2 1/2 S (Flat)", _xlfn.XLOOKUP(C1367, dd_accsrycalc!$A$2:$A$51, dd_accsrycalc!$C$2:$C$51, "",0), F1367="Tox6", _xlfn.XLOOKUP(C1367, dd_accsrycalc!$A$2:$A$51, dd_accsrycalc!$D$2:$D$51, "",0), F1367="Cover Cap", _xlfn.XLOOKUP(C1367, dd_accsrycalc!$A$2:$A$51, dd_accsrycalc!$E$2:$E$51, "",0), F1367="Drainage Cover", _xlfn.XLOOKUP(C1367, dd_accsrycalc!$A$2:$A$51, dd_accsrycalc!$F$2:$F$51, "",0),AND( F1367="Double Adhesive Tape", I1367="Roll-up Screen"), _xlfn.XLOOKUP(C1367, calc_rusacc!$C$15:$C$65, calc_rusacc!$AD$15:$AD$65, "",0),AND( F1367="Sealant", I1367="Roll-up Screen"), _xlfn.XLOOKUP(C1367, calc_rusacc!$C$15:$C$65, calc_rusacc!$AF$15:$AF$65, "",0),  AND( F1367="Main Chain", I1367="Accordion Screen"), _xlfn.XLOOKUP(C1367, calc_rusacc!$C$15:$C$65, calc_rusacc!$BF$15:$BF$65, "",0), AND( F1367="Sealant", I1367="Accordion Screen"), _xlfn.XLOOKUP(C1367, calc_rusacc!$C$15:$C$65, calc_rusacc!$BJ$15:$BJ$65, "",0),  F1367="Sealant", _xlfn.XLOOKUP(C1367, dd_accsrycalc!$A$2:$A$51, dd_accsrycalc!$G$2:$G$51, "",0),  F1367&lt;&gt;"",L1367*_xlfn.XLOOKUP(1, (SKUs!$C$2:$C$10001=G1367)*(SKUs!$K$2:$K$10001=I1367),SKUs!$E$2:$E$10001)), 0),"")</f>
        <v/>
      </c>
      <c r="E1367" s="16" t="str">
        <f>_xlfn.XLOOKUP(F1367,dd_item!$B$2:$B$105,dd_item!$C$2:$C$105,"",0)</f>
        <v/>
      </c>
      <c r="F1367" s="16"/>
      <c r="G1367" s="16" cm="1">
        <f t="array" ref="G1367">IFERROR(_xlfn.XLOOKUP(1, (SKUs!$J$2:$J$10001=accsry_unmerged!F1367)*IF(H1367&lt;&gt;"",(SKUs!$L$2:$L$10001=accsry_unmerged!H1367),1)*(SKUs!$K$2:$K$10001=I1367),SKUs!$C$2:$C$10001),"")</f>
        <v>0</v>
      </c>
      <c r="H1367" s="33" cm="1">
        <f t="array" ref="H1367">IFERROR(_xlfn.XLOOKUP(1, (dd_accsryclr!$C$2:$C$1000=accsry_unmerged!F1367)*(dd_accsryclr!$B$2:$B$1000=accsry_unmerged!J1367),dd_accsryclr!$A$2:$A$1000),"")</f>
        <v>0</v>
      </c>
      <c r="I1367" s="16">
        <f>_xlfn.XLOOKUP(C1367,'Project Details'!$C$17:$C$66,'Project Details'!$E$17:$E$66,"",0)</f>
        <v>0</v>
      </c>
      <c r="J1367" s="16">
        <f>_xlfn.XLOOKUP(C1367,'Project Details'!$C$17:$C$66,'Project Details'!$H$17:$H$66,"",0)</f>
        <v>0</v>
      </c>
      <c r="K1367" s="33" t="str">
        <f>IF(AND(_xlfn.XLOOKUP(C1367,'Project Details'!$C$17:$C$66,'Project Details'!$L$17:$L$66,"",0)&gt;550, F1367="Spring-L27cm"),"",SUBSTITUTE(_xlfn.XLOOKUP(G1367,SKUs!$C$2:$C$10001,SKUs!$F$2:$F$10001,"",0), " Accessories",""))</f>
        <v/>
      </c>
      <c r="L1367" s="33">
        <f>_xlfn.XLOOKUP(C1367,'Project Details'!$C$17:$C$66,'Project Details'!$D$17:$D$66,"",0)</f>
        <v>0</v>
      </c>
      <c r="M1367" s="43"/>
    </row>
    <row r="1368" spans="1:13" x14ac:dyDescent="0.25">
      <c r="A1368" s="43"/>
      <c r="B1368" s="43"/>
      <c r="C1368" s="35">
        <f t="shared" si="26"/>
        <v>28</v>
      </c>
      <c r="D1368" s="35" t="str" cm="1">
        <f t="array" ref="D1368">IFERROR(ROUNDUP(_xlfn.IFS(F1368="Aluminum Track", _xlfn.XLOOKUP(C1368, dd_accsrycalc!$A$2:$A$51, dd_accsrycalc!$B$2:$B$51, "",0), F1368="10 x 2 1/2 S (Flat)", _xlfn.XLOOKUP(C1368, dd_accsrycalc!$A$2:$A$51, dd_accsrycalc!$C$2:$C$51, "",0), F1368="Tox6", _xlfn.XLOOKUP(C1368, dd_accsrycalc!$A$2:$A$51, dd_accsrycalc!$D$2:$D$51, "",0), F1368="Cover Cap", _xlfn.XLOOKUP(C1368, dd_accsrycalc!$A$2:$A$51, dd_accsrycalc!$E$2:$E$51, "",0), F1368="Drainage Cover", _xlfn.XLOOKUP(C1368, dd_accsrycalc!$A$2:$A$51, dd_accsrycalc!$F$2:$F$51, "",0),AND( F1368="Double Adhesive Tape", I1368="Roll-up Screen"), _xlfn.XLOOKUP(C1368, calc_rusacc!$C$15:$C$65, calc_rusacc!$AD$15:$AD$65, "",0),AND( F1368="Sealant", I1368="Roll-up Screen"), _xlfn.XLOOKUP(C1368, calc_rusacc!$C$15:$C$65, calc_rusacc!$AF$15:$AF$65, "",0),  AND( F1368="Main Chain", I1368="Accordion Screen"), _xlfn.XLOOKUP(C1368, calc_rusacc!$C$15:$C$65, calc_rusacc!$BF$15:$BF$65, "",0), AND( F1368="Sealant", I1368="Accordion Screen"), _xlfn.XLOOKUP(C1368, calc_rusacc!$C$15:$C$65, calc_rusacc!$BJ$15:$BJ$65, "",0),  F1368="Sealant", _xlfn.XLOOKUP(C1368, dd_accsrycalc!$A$2:$A$51, dd_accsrycalc!$G$2:$G$51, "",0),  F1368&lt;&gt;"",L1368*_xlfn.XLOOKUP(1, (SKUs!$C$2:$C$10001=G1368)*(SKUs!$K$2:$K$10001=I1368),SKUs!$E$2:$E$10001)), 0),"")</f>
        <v/>
      </c>
      <c r="E1368" s="35" t="str">
        <f>_xlfn.XLOOKUP(F1368,dd_item!$B$2:$B$105,dd_item!$C$2:$C$105,"",0)</f>
        <v/>
      </c>
      <c r="F1368" s="35"/>
      <c r="G1368" s="35" cm="1">
        <f t="array" ref="G1368">IFERROR(_xlfn.XLOOKUP(1, (SKUs!$J$2:$J$10001=accsry_unmerged!F1368)*IF(H1368&lt;&gt;"",(SKUs!$L$2:$L$10001=accsry_unmerged!H1368),1)*(SKUs!$K$2:$K$10001=I1368),SKUs!$C$2:$C$10001),"")</f>
        <v>0</v>
      </c>
      <c r="H1368" s="36" cm="1">
        <f t="array" ref="H1368">IFERROR(_xlfn.XLOOKUP(1, (dd_accsryclr!$C$2:$C$1000=accsry_unmerged!F1368)*(dd_accsryclr!$B$2:$B$1000=accsry_unmerged!J1368),dd_accsryclr!$A$2:$A$1000),"")</f>
        <v>0</v>
      </c>
      <c r="I1368" s="35">
        <f>_xlfn.XLOOKUP(C1368,'Project Details'!$C$17:$C$66,'Project Details'!$E$17:$E$66,"",0)</f>
        <v>0</v>
      </c>
      <c r="J1368" s="35">
        <f>_xlfn.XLOOKUP(C1368,'Project Details'!$C$17:$C$66,'Project Details'!$H$17:$H$66,"",0)</f>
        <v>0</v>
      </c>
      <c r="K1368" s="36" t="str">
        <f>IF(AND(_xlfn.XLOOKUP(C1368,'Project Details'!$C$17:$C$66,'Project Details'!$L$17:$L$66,"",0)&gt;550, F1368="Spring-L27cm"),"",SUBSTITUTE(_xlfn.XLOOKUP(G1368,SKUs!$C$2:$C$10001,SKUs!$F$2:$F$10001,"",0), " Accessories",""))</f>
        <v/>
      </c>
      <c r="L1368" s="36">
        <f>_xlfn.XLOOKUP(C1368,'Project Details'!$C$17:$C$66,'Project Details'!$D$17:$D$66,"",0)</f>
        <v>0</v>
      </c>
      <c r="M1368" s="43"/>
    </row>
    <row r="1369" spans="1:13" x14ac:dyDescent="0.25">
      <c r="A1369" s="43"/>
      <c r="B1369" s="43"/>
      <c r="C1369" s="16">
        <f t="shared" si="26"/>
        <v>28</v>
      </c>
      <c r="D1369" s="16" t="str" cm="1">
        <f t="array" ref="D1369">IFERROR(ROUNDUP(_xlfn.IFS(F1369="Aluminum Track", _xlfn.XLOOKUP(C1369, dd_accsrycalc!$A$2:$A$51, dd_accsrycalc!$B$2:$B$51, "",0), F1369="10 x 2 1/2 S (Flat)", _xlfn.XLOOKUP(C1369, dd_accsrycalc!$A$2:$A$51, dd_accsrycalc!$C$2:$C$51, "",0), F1369="Tox6", _xlfn.XLOOKUP(C1369, dd_accsrycalc!$A$2:$A$51, dd_accsrycalc!$D$2:$D$51, "",0), F1369="Cover Cap", _xlfn.XLOOKUP(C1369, dd_accsrycalc!$A$2:$A$51, dd_accsrycalc!$E$2:$E$51, "",0), F1369="Drainage Cover", _xlfn.XLOOKUP(C1369, dd_accsrycalc!$A$2:$A$51, dd_accsrycalc!$F$2:$F$51, "",0),AND( F1369="Double Adhesive Tape", I1369="Roll-up Screen"), _xlfn.XLOOKUP(C1369, calc_rusacc!$C$15:$C$65, calc_rusacc!$AD$15:$AD$65, "",0),AND( F1369="Sealant", I1369="Roll-up Screen"), _xlfn.XLOOKUP(C1369, calc_rusacc!$C$15:$C$65, calc_rusacc!$AF$15:$AF$65, "",0),  AND( F1369="Main Chain", I1369="Accordion Screen"), _xlfn.XLOOKUP(C1369, calc_rusacc!$C$15:$C$65, calc_rusacc!$BF$15:$BF$65, "",0), AND( F1369="Sealant", I1369="Accordion Screen"), _xlfn.XLOOKUP(C1369, calc_rusacc!$C$15:$C$65, calc_rusacc!$BJ$15:$BJ$65, "",0),  F1369="Sealant", _xlfn.XLOOKUP(C1369, dd_accsrycalc!$A$2:$A$51, dd_accsrycalc!$G$2:$G$51, "",0),  F1369&lt;&gt;"",L1369*_xlfn.XLOOKUP(1, (SKUs!$C$2:$C$10001=G1369)*(SKUs!$K$2:$K$10001=I1369),SKUs!$E$2:$E$10001)), 0),"")</f>
        <v/>
      </c>
      <c r="E1369" s="16" t="str">
        <f>_xlfn.XLOOKUP(F1369,dd_item!$B$2:$B$105,dd_item!$C$2:$C$105,"",0)</f>
        <v/>
      </c>
      <c r="F1369" s="16"/>
      <c r="G1369" s="16" cm="1">
        <f t="array" ref="G1369">IFERROR(_xlfn.XLOOKUP(1, (SKUs!$J$2:$J$10001=accsry_unmerged!F1369)*IF(H1369&lt;&gt;"",(SKUs!$L$2:$L$10001=accsry_unmerged!H1369),1)*(SKUs!$K$2:$K$10001=I1369),SKUs!$C$2:$C$10001),"")</f>
        <v>0</v>
      </c>
      <c r="H1369" s="33" cm="1">
        <f t="array" ref="H1369">IFERROR(_xlfn.XLOOKUP(1, (dd_accsryclr!$C$2:$C$1000=accsry_unmerged!F1369)*(dd_accsryclr!$B$2:$B$1000=accsry_unmerged!J1369),dd_accsryclr!$A$2:$A$1000),"")</f>
        <v>0</v>
      </c>
      <c r="I1369" s="16">
        <f>_xlfn.XLOOKUP(C1369,'Project Details'!$C$17:$C$66,'Project Details'!$E$17:$E$66,"",0)</f>
        <v>0</v>
      </c>
      <c r="J1369" s="16">
        <f>_xlfn.XLOOKUP(C1369,'Project Details'!$C$17:$C$66,'Project Details'!$H$17:$H$66,"",0)</f>
        <v>0</v>
      </c>
      <c r="K1369" s="33" t="str">
        <f>IF(AND(_xlfn.XLOOKUP(C1369,'Project Details'!$C$17:$C$66,'Project Details'!$L$17:$L$66,"",0)&gt;550, F1369="Spring-L27cm"),"",SUBSTITUTE(_xlfn.XLOOKUP(G1369,SKUs!$C$2:$C$10001,SKUs!$F$2:$F$10001,"",0), " Accessories",""))</f>
        <v/>
      </c>
      <c r="L1369" s="33">
        <f>_xlfn.XLOOKUP(C1369,'Project Details'!$C$17:$C$66,'Project Details'!$D$17:$D$66,"",0)</f>
        <v>0</v>
      </c>
      <c r="M1369" s="43"/>
    </row>
    <row r="1370" spans="1:13" x14ac:dyDescent="0.25">
      <c r="A1370" s="43"/>
      <c r="B1370" s="43"/>
      <c r="C1370" s="35">
        <f t="shared" si="26"/>
        <v>28</v>
      </c>
      <c r="D1370" s="35" t="str" cm="1">
        <f t="array" ref="D1370">IFERROR(ROUNDUP(_xlfn.IFS(F1370="Aluminum Track", _xlfn.XLOOKUP(C1370, dd_accsrycalc!$A$2:$A$51, dd_accsrycalc!$B$2:$B$51, "",0), F1370="10 x 2 1/2 S (Flat)", _xlfn.XLOOKUP(C1370, dd_accsrycalc!$A$2:$A$51, dd_accsrycalc!$C$2:$C$51, "",0), F1370="Tox6", _xlfn.XLOOKUP(C1370, dd_accsrycalc!$A$2:$A$51, dd_accsrycalc!$D$2:$D$51, "",0), F1370="Cover Cap", _xlfn.XLOOKUP(C1370, dd_accsrycalc!$A$2:$A$51, dd_accsrycalc!$E$2:$E$51, "",0), F1370="Drainage Cover", _xlfn.XLOOKUP(C1370, dd_accsrycalc!$A$2:$A$51, dd_accsrycalc!$F$2:$F$51, "",0),AND( F1370="Double Adhesive Tape", I1370="Roll-up Screen"), _xlfn.XLOOKUP(C1370, calc_rusacc!$C$15:$C$65, calc_rusacc!$AD$15:$AD$65, "",0),AND( F1370="Sealant", I1370="Roll-up Screen"), _xlfn.XLOOKUP(C1370, calc_rusacc!$C$15:$C$65, calc_rusacc!$AF$15:$AF$65, "",0),  AND( F1370="Main Chain", I1370="Accordion Screen"), _xlfn.XLOOKUP(C1370, calc_rusacc!$C$15:$C$65, calc_rusacc!$BF$15:$BF$65, "",0), AND( F1370="Sealant", I1370="Accordion Screen"), _xlfn.XLOOKUP(C1370, calc_rusacc!$C$15:$C$65, calc_rusacc!$BJ$15:$BJ$65, "",0),  F1370="Sealant", _xlfn.XLOOKUP(C1370, dd_accsrycalc!$A$2:$A$51, dd_accsrycalc!$G$2:$G$51, "",0),  F1370&lt;&gt;"",L1370*_xlfn.XLOOKUP(1, (SKUs!$C$2:$C$10001=G1370)*(SKUs!$K$2:$K$10001=I1370),SKUs!$E$2:$E$10001)), 0),"")</f>
        <v/>
      </c>
      <c r="E1370" s="35" t="str">
        <f>_xlfn.XLOOKUP(F1370,dd_item!$B$2:$B$105,dd_item!$C$2:$C$105,"",0)</f>
        <v/>
      </c>
      <c r="F1370" s="35"/>
      <c r="G1370" s="35" cm="1">
        <f t="array" ref="G1370">IFERROR(_xlfn.XLOOKUP(1, (SKUs!$J$2:$J$10001=accsry_unmerged!F1370)*IF(H1370&lt;&gt;"",(SKUs!$L$2:$L$10001=accsry_unmerged!H1370),1)*(SKUs!$K$2:$K$10001=I1370),SKUs!$C$2:$C$10001),"")</f>
        <v>0</v>
      </c>
      <c r="H1370" s="36" cm="1">
        <f t="array" ref="H1370">IFERROR(_xlfn.XLOOKUP(1, (dd_accsryclr!$C$2:$C$1000=accsry_unmerged!F1370)*(dd_accsryclr!$B$2:$B$1000=accsry_unmerged!J1370),dd_accsryclr!$A$2:$A$1000),"")</f>
        <v>0</v>
      </c>
      <c r="I1370" s="35">
        <f>_xlfn.XLOOKUP(C1370,'Project Details'!$C$17:$C$66,'Project Details'!$E$17:$E$66,"",0)</f>
        <v>0</v>
      </c>
      <c r="J1370" s="35">
        <f>_xlfn.XLOOKUP(C1370,'Project Details'!$C$17:$C$66,'Project Details'!$H$17:$H$66,"",0)</f>
        <v>0</v>
      </c>
      <c r="K1370" s="36" t="str">
        <f>IF(AND(_xlfn.XLOOKUP(C1370,'Project Details'!$C$17:$C$66,'Project Details'!$L$17:$L$66,"",0)&gt;550, F1370="Spring-L27cm"),"",SUBSTITUTE(_xlfn.XLOOKUP(G1370,SKUs!$C$2:$C$10001,SKUs!$F$2:$F$10001,"",0), " Accessories",""))</f>
        <v/>
      </c>
      <c r="L1370" s="36">
        <f>_xlfn.XLOOKUP(C1370,'Project Details'!$C$17:$C$66,'Project Details'!$D$17:$D$66,"",0)</f>
        <v>0</v>
      </c>
      <c r="M1370" s="43"/>
    </row>
    <row r="1371" spans="1:13" x14ac:dyDescent="0.25">
      <c r="A1371" s="43"/>
      <c r="B1371" s="43"/>
      <c r="C1371" s="16">
        <f t="shared" si="26"/>
        <v>28</v>
      </c>
      <c r="D1371" s="16" t="str" cm="1">
        <f t="array" ref="D1371">IFERROR(ROUNDUP(_xlfn.IFS(F1371="Aluminum Track", _xlfn.XLOOKUP(C1371, dd_accsrycalc!$A$2:$A$51, dd_accsrycalc!$B$2:$B$51, "",0), F1371="10 x 2 1/2 S (Flat)", _xlfn.XLOOKUP(C1371, dd_accsrycalc!$A$2:$A$51, dd_accsrycalc!$C$2:$C$51, "",0), F1371="Tox6", _xlfn.XLOOKUP(C1371, dd_accsrycalc!$A$2:$A$51, dd_accsrycalc!$D$2:$D$51, "",0), F1371="Cover Cap", _xlfn.XLOOKUP(C1371, dd_accsrycalc!$A$2:$A$51, dd_accsrycalc!$E$2:$E$51, "",0), F1371="Drainage Cover", _xlfn.XLOOKUP(C1371, dd_accsrycalc!$A$2:$A$51, dd_accsrycalc!$F$2:$F$51, "",0),AND( F1371="Double Adhesive Tape", I1371="Roll-up Screen"), _xlfn.XLOOKUP(C1371, calc_rusacc!$C$15:$C$65, calc_rusacc!$AD$15:$AD$65, "",0),AND( F1371="Sealant", I1371="Roll-up Screen"), _xlfn.XLOOKUP(C1371, calc_rusacc!$C$15:$C$65, calc_rusacc!$AF$15:$AF$65, "",0),  AND( F1371="Main Chain", I1371="Accordion Screen"), _xlfn.XLOOKUP(C1371, calc_rusacc!$C$15:$C$65, calc_rusacc!$BF$15:$BF$65, "",0), AND( F1371="Sealant", I1371="Accordion Screen"), _xlfn.XLOOKUP(C1371, calc_rusacc!$C$15:$C$65, calc_rusacc!$BJ$15:$BJ$65, "",0),  F1371="Sealant", _xlfn.XLOOKUP(C1371, dd_accsrycalc!$A$2:$A$51, dd_accsrycalc!$G$2:$G$51, "",0),  F1371&lt;&gt;"",L1371*_xlfn.XLOOKUP(1, (SKUs!$C$2:$C$10001=G1371)*(SKUs!$K$2:$K$10001=I1371),SKUs!$E$2:$E$10001)), 0),"")</f>
        <v/>
      </c>
      <c r="E1371" s="16" t="str">
        <f>_xlfn.XLOOKUP(F1371,dd_item!$B$2:$B$105,dd_item!$C$2:$C$105,"",0)</f>
        <v/>
      </c>
      <c r="F1371" s="16"/>
      <c r="G1371" s="16" cm="1">
        <f t="array" ref="G1371">IFERROR(_xlfn.XLOOKUP(1, (SKUs!$J$2:$J$10001=accsry_unmerged!F1371)*IF(H1371&lt;&gt;"",(SKUs!$L$2:$L$10001=accsry_unmerged!H1371),1)*(SKUs!$K$2:$K$10001=I1371),SKUs!$C$2:$C$10001),"")</f>
        <v>0</v>
      </c>
      <c r="H1371" s="33" cm="1">
        <f t="array" ref="H1371">IFERROR(_xlfn.XLOOKUP(1, (dd_accsryclr!$C$2:$C$1000=accsry_unmerged!F1371)*(dd_accsryclr!$B$2:$B$1000=accsry_unmerged!J1371),dd_accsryclr!$A$2:$A$1000),"")</f>
        <v>0</v>
      </c>
      <c r="I1371" s="16">
        <f>_xlfn.XLOOKUP(C1371,'Project Details'!$C$17:$C$66,'Project Details'!$E$17:$E$66,"",0)</f>
        <v>0</v>
      </c>
      <c r="J1371" s="16">
        <f>_xlfn.XLOOKUP(C1371,'Project Details'!$C$17:$C$66,'Project Details'!$H$17:$H$66,"",0)</f>
        <v>0</v>
      </c>
      <c r="K1371" s="33" t="str">
        <f>IF(AND(_xlfn.XLOOKUP(C1371,'Project Details'!$C$17:$C$66,'Project Details'!$L$17:$L$66,"",0)&gt;550, F1371="Spring-L27cm"),"",SUBSTITUTE(_xlfn.XLOOKUP(G1371,SKUs!$C$2:$C$10001,SKUs!$F$2:$F$10001,"",0), " Accessories",""))</f>
        <v/>
      </c>
      <c r="L1371" s="33">
        <f>_xlfn.XLOOKUP(C1371,'Project Details'!$C$17:$C$66,'Project Details'!$D$17:$D$66,"",0)</f>
        <v>0</v>
      </c>
      <c r="M1371" s="43"/>
    </row>
    <row r="1372" spans="1:13" x14ac:dyDescent="0.25">
      <c r="A1372" s="43"/>
      <c r="B1372" s="43"/>
      <c r="C1372" s="35">
        <f t="shared" si="26"/>
        <v>28</v>
      </c>
      <c r="D1372" s="35" t="str" cm="1">
        <f t="array" ref="D1372">IFERROR(ROUNDUP(_xlfn.IFS(F1372="Aluminum Track", _xlfn.XLOOKUP(C1372, dd_accsrycalc!$A$2:$A$51, dd_accsrycalc!$B$2:$B$51, "",0), F1372="10 x 2 1/2 S (Flat)", _xlfn.XLOOKUP(C1372, dd_accsrycalc!$A$2:$A$51, dd_accsrycalc!$C$2:$C$51, "",0), F1372="Tox6", _xlfn.XLOOKUP(C1372, dd_accsrycalc!$A$2:$A$51, dd_accsrycalc!$D$2:$D$51, "",0), F1372="Cover Cap", _xlfn.XLOOKUP(C1372, dd_accsrycalc!$A$2:$A$51, dd_accsrycalc!$E$2:$E$51, "",0), F1372="Drainage Cover", _xlfn.XLOOKUP(C1372, dd_accsrycalc!$A$2:$A$51, dd_accsrycalc!$F$2:$F$51, "",0),AND( F1372="Double Adhesive Tape", I1372="Roll-up Screen"), _xlfn.XLOOKUP(C1372, calc_rusacc!$C$15:$C$65, calc_rusacc!$AD$15:$AD$65, "",0),AND( F1372="Sealant", I1372="Roll-up Screen"), _xlfn.XLOOKUP(C1372, calc_rusacc!$C$15:$C$65, calc_rusacc!$AF$15:$AF$65, "",0),  AND( F1372="Main Chain", I1372="Accordion Screen"), _xlfn.XLOOKUP(C1372, calc_rusacc!$C$15:$C$65, calc_rusacc!$BF$15:$BF$65, "",0), AND( F1372="Sealant", I1372="Accordion Screen"), _xlfn.XLOOKUP(C1372, calc_rusacc!$C$15:$C$65, calc_rusacc!$BJ$15:$BJ$65, "",0),  F1372="Sealant", _xlfn.XLOOKUP(C1372, dd_accsrycalc!$A$2:$A$51, dd_accsrycalc!$G$2:$G$51, "",0),  F1372&lt;&gt;"",L1372*_xlfn.XLOOKUP(1, (SKUs!$C$2:$C$10001=G1372)*(SKUs!$K$2:$K$10001=I1372),SKUs!$E$2:$E$10001)), 0),"")</f>
        <v/>
      </c>
      <c r="E1372" s="35" t="str">
        <f>_xlfn.XLOOKUP(F1372,dd_item!$B$2:$B$105,dd_item!$C$2:$C$105,"",0)</f>
        <v/>
      </c>
      <c r="F1372" s="35"/>
      <c r="G1372" s="35" cm="1">
        <f t="array" ref="G1372">IFERROR(_xlfn.XLOOKUP(1, (SKUs!$J$2:$J$10001=accsry_unmerged!F1372)*IF(H1372&lt;&gt;"",(SKUs!$L$2:$L$10001=accsry_unmerged!H1372),1)*(SKUs!$K$2:$K$10001=I1372),SKUs!$C$2:$C$10001),"")</f>
        <v>0</v>
      </c>
      <c r="H1372" s="36" cm="1">
        <f t="array" ref="H1372">IFERROR(_xlfn.XLOOKUP(1, (dd_accsryclr!$C$2:$C$1000=accsry_unmerged!F1372)*(dd_accsryclr!$B$2:$B$1000=accsry_unmerged!J1372),dd_accsryclr!$A$2:$A$1000),"")</f>
        <v>0</v>
      </c>
      <c r="I1372" s="35">
        <f>_xlfn.XLOOKUP(C1372,'Project Details'!$C$17:$C$66,'Project Details'!$E$17:$E$66,"",0)</f>
        <v>0</v>
      </c>
      <c r="J1372" s="35">
        <f>_xlfn.XLOOKUP(C1372,'Project Details'!$C$17:$C$66,'Project Details'!$H$17:$H$66,"",0)</f>
        <v>0</v>
      </c>
      <c r="K1372" s="36" t="str">
        <f>IF(AND(_xlfn.XLOOKUP(C1372,'Project Details'!$C$17:$C$66,'Project Details'!$L$17:$L$66,"",0)&gt;550, F1372="Spring-L27cm"),"",SUBSTITUTE(_xlfn.XLOOKUP(G1372,SKUs!$C$2:$C$10001,SKUs!$F$2:$F$10001,"",0), " Accessories",""))</f>
        <v/>
      </c>
      <c r="L1372" s="36">
        <f>_xlfn.XLOOKUP(C1372,'Project Details'!$C$17:$C$66,'Project Details'!$D$17:$D$66,"",0)</f>
        <v>0</v>
      </c>
      <c r="M1372" s="43"/>
    </row>
    <row r="1373" spans="1:13" x14ac:dyDescent="0.25">
      <c r="A1373" s="43"/>
      <c r="B1373" s="43"/>
      <c r="C1373" s="16">
        <f t="shared" si="26"/>
        <v>28</v>
      </c>
      <c r="D1373" s="16" t="str" cm="1">
        <f t="array" ref="D1373">IFERROR(ROUNDUP(_xlfn.IFS(F1373="Aluminum Track", _xlfn.XLOOKUP(C1373, dd_accsrycalc!$A$2:$A$51, dd_accsrycalc!$B$2:$B$51, "",0), F1373="10 x 2 1/2 S (Flat)", _xlfn.XLOOKUP(C1373, dd_accsrycalc!$A$2:$A$51, dd_accsrycalc!$C$2:$C$51, "",0), F1373="Tox6", _xlfn.XLOOKUP(C1373, dd_accsrycalc!$A$2:$A$51, dd_accsrycalc!$D$2:$D$51, "",0), F1373="Cover Cap", _xlfn.XLOOKUP(C1373, dd_accsrycalc!$A$2:$A$51, dd_accsrycalc!$E$2:$E$51, "",0), F1373="Drainage Cover", _xlfn.XLOOKUP(C1373, dd_accsrycalc!$A$2:$A$51, dd_accsrycalc!$F$2:$F$51, "",0),AND( F1373="Double Adhesive Tape", I1373="Roll-up Screen"), _xlfn.XLOOKUP(C1373, calc_rusacc!$C$15:$C$65, calc_rusacc!$AD$15:$AD$65, "",0),AND( F1373="Sealant", I1373="Roll-up Screen"), _xlfn.XLOOKUP(C1373, calc_rusacc!$C$15:$C$65, calc_rusacc!$AF$15:$AF$65, "",0),  AND( F1373="Main Chain", I1373="Accordion Screen"), _xlfn.XLOOKUP(C1373, calc_rusacc!$C$15:$C$65, calc_rusacc!$BF$15:$BF$65, "",0), AND( F1373="Sealant", I1373="Accordion Screen"), _xlfn.XLOOKUP(C1373, calc_rusacc!$C$15:$C$65, calc_rusacc!$BJ$15:$BJ$65, "",0),  F1373="Sealant", _xlfn.XLOOKUP(C1373, dd_accsrycalc!$A$2:$A$51, dd_accsrycalc!$G$2:$G$51, "",0),  F1373&lt;&gt;"",L1373*_xlfn.XLOOKUP(1, (SKUs!$C$2:$C$10001=G1373)*(SKUs!$K$2:$K$10001=I1373),SKUs!$E$2:$E$10001)), 0),"")</f>
        <v/>
      </c>
      <c r="E1373" s="16" t="str">
        <f>_xlfn.XLOOKUP(F1373,dd_item!$B$2:$B$105,dd_item!$C$2:$C$105,"",0)</f>
        <v/>
      </c>
      <c r="F1373" s="16"/>
      <c r="G1373" s="16" cm="1">
        <f t="array" ref="G1373">IFERROR(_xlfn.XLOOKUP(1, (SKUs!$J$2:$J$10001=accsry_unmerged!F1373)*IF(H1373&lt;&gt;"",(SKUs!$L$2:$L$10001=accsry_unmerged!H1373),1)*(SKUs!$K$2:$K$10001=I1373),SKUs!$C$2:$C$10001),"")</f>
        <v>0</v>
      </c>
      <c r="H1373" s="33" cm="1">
        <f t="array" ref="H1373">IFERROR(_xlfn.XLOOKUP(1, (dd_accsryclr!$C$2:$C$1000=accsry_unmerged!F1373)*(dd_accsryclr!$B$2:$B$1000=accsry_unmerged!J1373),dd_accsryclr!$A$2:$A$1000),"")</f>
        <v>0</v>
      </c>
      <c r="I1373" s="16">
        <f>_xlfn.XLOOKUP(C1373,'Project Details'!$C$17:$C$66,'Project Details'!$E$17:$E$66,"",0)</f>
        <v>0</v>
      </c>
      <c r="J1373" s="16">
        <f>_xlfn.XLOOKUP(C1373,'Project Details'!$C$17:$C$66,'Project Details'!$H$17:$H$66,"",0)</f>
        <v>0</v>
      </c>
      <c r="K1373" s="33" t="str">
        <f>IF(AND(_xlfn.XLOOKUP(C1373,'Project Details'!$C$17:$C$66,'Project Details'!$L$17:$L$66,"",0)&gt;550, F1373="Spring-L27cm"),"",SUBSTITUTE(_xlfn.XLOOKUP(G1373,SKUs!$C$2:$C$10001,SKUs!$F$2:$F$10001,"",0), " Accessories",""))</f>
        <v/>
      </c>
      <c r="L1373" s="33">
        <f>_xlfn.XLOOKUP(C1373,'Project Details'!$C$17:$C$66,'Project Details'!$D$17:$D$66,"",0)</f>
        <v>0</v>
      </c>
      <c r="M1373" s="43"/>
    </row>
    <row r="1374" spans="1:13" x14ac:dyDescent="0.25">
      <c r="A1374" s="43"/>
      <c r="B1374" s="43"/>
      <c r="C1374" s="35">
        <f t="shared" si="26"/>
        <v>28</v>
      </c>
      <c r="D1374" s="35" t="str" cm="1">
        <f t="array" ref="D1374">IFERROR(ROUNDUP(_xlfn.IFS(F1374="Aluminum Track", _xlfn.XLOOKUP(C1374, dd_accsrycalc!$A$2:$A$51, dd_accsrycalc!$B$2:$B$51, "",0), F1374="10 x 2 1/2 S (Flat)", _xlfn.XLOOKUP(C1374, dd_accsrycalc!$A$2:$A$51, dd_accsrycalc!$C$2:$C$51, "",0), F1374="Tox6", _xlfn.XLOOKUP(C1374, dd_accsrycalc!$A$2:$A$51, dd_accsrycalc!$D$2:$D$51, "",0), F1374="Cover Cap", _xlfn.XLOOKUP(C1374, dd_accsrycalc!$A$2:$A$51, dd_accsrycalc!$E$2:$E$51, "",0), F1374="Drainage Cover", _xlfn.XLOOKUP(C1374, dd_accsrycalc!$A$2:$A$51, dd_accsrycalc!$F$2:$F$51, "",0),AND( F1374="Double Adhesive Tape", I1374="Roll-up Screen"), _xlfn.XLOOKUP(C1374, calc_rusacc!$C$15:$C$65, calc_rusacc!$AD$15:$AD$65, "",0),AND( F1374="Sealant", I1374="Roll-up Screen"), _xlfn.XLOOKUP(C1374, calc_rusacc!$C$15:$C$65, calc_rusacc!$AF$15:$AF$65, "",0),  AND( F1374="Main Chain", I1374="Accordion Screen"), _xlfn.XLOOKUP(C1374, calc_rusacc!$C$15:$C$65, calc_rusacc!$BF$15:$BF$65, "",0), AND( F1374="Sealant", I1374="Accordion Screen"), _xlfn.XLOOKUP(C1374, calc_rusacc!$C$15:$C$65, calc_rusacc!$BJ$15:$BJ$65, "",0),  F1374="Sealant", _xlfn.XLOOKUP(C1374, dd_accsrycalc!$A$2:$A$51, dd_accsrycalc!$G$2:$G$51, "",0),  F1374&lt;&gt;"",L1374*_xlfn.XLOOKUP(1, (SKUs!$C$2:$C$10001=G1374)*(SKUs!$K$2:$K$10001=I1374),SKUs!$E$2:$E$10001)), 0),"")</f>
        <v/>
      </c>
      <c r="E1374" s="35" t="str">
        <f>_xlfn.XLOOKUP(F1374,dd_item!$B$2:$B$105,dd_item!$C$2:$C$105,"",0)</f>
        <v/>
      </c>
      <c r="F1374" s="35"/>
      <c r="G1374" s="35" cm="1">
        <f t="array" ref="G1374">IFERROR(_xlfn.XLOOKUP(1, (SKUs!$J$2:$J$10001=accsry_unmerged!F1374)*IF(H1374&lt;&gt;"",(SKUs!$L$2:$L$10001=accsry_unmerged!H1374),1)*(SKUs!$K$2:$K$10001=I1374),SKUs!$C$2:$C$10001),"")</f>
        <v>0</v>
      </c>
      <c r="H1374" s="36" cm="1">
        <f t="array" ref="H1374">IFERROR(_xlfn.XLOOKUP(1, (dd_accsryclr!$C$2:$C$1000=accsry_unmerged!F1374)*(dd_accsryclr!$B$2:$B$1000=accsry_unmerged!J1374),dd_accsryclr!$A$2:$A$1000),"")</f>
        <v>0</v>
      </c>
      <c r="I1374" s="35">
        <f>_xlfn.XLOOKUP(C1374,'Project Details'!$C$17:$C$66,'Project Details'!$E$17:$E$66,"",0)</f>
        <v>0</v>
      </c>
      <c r="J1374" s="35">
        <f>_xlfn.XLOOKUP(C1374,'Project Details'!$C$17:$C$66,'Project Details'!$H$17:$H$66,"",0)</f>
        <v>0</v>
      </c>
      <c r="K1374" s="36" t="str">
        <f>IF(AND(_xlfn.XLOOKUP(C1374,'Project Details'!$C$17:$C$66,'Project Details'!$L$17:$L$66,"",0)&gt;550, F1374="Spring-L27cm"),"",SUBSTITUTE(_xlfn.XLOOKUP(G1374,SKUs!$C$2:$C$10001,SKUs!$F$2:$F$10001,"",0), " Accessories",""))</f>
        <v/>
      </c>
      <c r="L1374" s="36">
        <f>_xlfn.XLOOKUP(C1374,'Project Details'!$C$17:$C$66,'Project Details'!$D$17:$D$66,"",0)</f>
        <v>0</v>
      </c>
      <c r="M1374" s="43"/>
    </row>
    <row r="1375" spans="1:13" x14ac:dyDescent="0.25">
      <c r="A1375" s="43"/>
      <c r="B1375" s="43"/>
      <c r="C1375" s="16">
        <f t="shared" si="26"/>
        <v>28</v>
      </c>
      <c r="D1375" s="16" t="str" cm="1">
        <f t="array" ref="D1375">IFERROR(ROUNDUP(_xlfn.IFS(F1375="Aluminum Track", _xlfn.XLOOKUP(C1375, dd_accsrycalc!$A$2:$A$51, dd_accsrycalc!$B$2:$B$51, "",0), F1375="10 x 2 1/2 S (Flat)", _xlfn.XLOOKUP(C1375, dd_accsrycalc!$A$2:$A$51, dd_accsrycalc!$C$2:$C$51, "",0), F1375="Tox6", _xlfn.XLOOKUP(C1375, dd_accsrycalc!$A$2:$A$51, dd_accsrycalc!$D$2:$D$51, "",0), F1375="Cover Cap", _xlfn.XLOOKUP(C1375, dd_accsrycalc!$A$2:$A$51, dd_accsrycalc!$E$2:$E$51, "",0), F1375="Drainage Cover", _xlfn.XLOOKUP(C1375, dd_accsrycalc!$A$2:$A$51, dd_accsrycalc!$F$2:$F$51, "",0),AND( F1375="Double Adhesive Tape", I1375="Roll-up Screen"), _xlfn.XLOOKUP(C1375, calc_rusacc!$C$15:$C$65, calc_rusacc!$AD$15:$AD$65, "",0),AND( F1375="Sealant", I1375="Roll-up Screen"), _xlfn.XLOOKUP(C1375, calc_rusacc!$C$15:$C$65, calc_rusacc!$AF$15:$AF$65, "",0),  AND( F1375="Main Chain", I1375="Accordion Screen"), _xlfn.XLOOKUP(C1375, calc_rusacc!$C$15:$C$65, calc_rusacc!$BF$15:$BF$65, "",0), AND( F1375="Sealant", I1375="Accordion Screen"), _xlfn.XLOOKUP(C1375, calc_rusacc!$C$15:$C$65, calc_rusacc!$BJ$15:$BJ$65, "",0),  F1375="Sealant", _xlfn.XLOOKUP(C1375, dd_accsrycalc!$A$2:$A$51, dd_accsrycalc!$G$2:$G$51, "",0),  F1375&lt;&gt;"",L1375*_xlfn.XLOOKUP(1, (SKUs!$C$2:$C$10001=G1375)*(SKUs!$K$2:$K$10001=I1375),SKUs!$E$2:$E$10001)), 0),"")</f>
        <v/>
      </c>
      <c r="E1375" s="16" t="str">
        <f>_xlfn.XLOOKUP(F1375,dd_item!$B$2:$B$105,dd_item!$C$2:$C$105,"",0)</f>
        <v/>
      </c>
      <c r="F1375" s="16"/>
      <c r="G1375" s="16" cm="1">
        <f t="array" ref="G1375">IFERROR(_xlfn.XLOOKUP(1, (SKUs!$J$2:$J$10001=accsry_unmerged!F1375)*IF(H1375&lt;&gt;"",(SKUs!$L$2:$L$10001=accsry_unmerged!H1375),1)*(SKUs!$K$2:$K$10001=I1375),SKUs!$C$2:$C$10001),"")</f>
        <v>0</v>
      </c>
      <c r="H1375" s="33" cm="1">
        <f t="array" ref="H1375">IFERROR(_xlfn.XLOOKUP(1, (dd_accsryclr!$C$2:$C$1000=accsry_unmerged!F1375)*(dd_accsryclr!$B$2:$B$1000=accsry_unmerged!J1375),dd_accsryclr!$A$2:$A$1000),"")</f>
        <v>0</v>
      </c>
      <c r="I1375" s="16">
        <f>_xlfn.XLOOKUP(C1375,'Project Details'!$C$17:$C$66,'Project Details'!$E$17:$E$66,"",0)</f>
        <v>0</v>
      </c>
      <c r="J1375" s="16">
        <f>_xlfn.XLOOKUP(C1375,'Project Details'!$C$17:$C$66,'Project Details'!$H$17:$H$66,"",0)</f>
        <v>0</v>
      </c>
      <c r="K1375" s="33" t="str">
        <f>IF(AND(_xlfn.XLOOKUP(C1375,'Project Details'!$C$17:$C$66,'Project Details'!$L$17:$L$66,"",0)&gt;550, F1375="Spring-L27cm"),"",SUBSTITUTE(_xlfn.XLOOKUP(G1375,SKUs!$C$2:$C$10001,SKUs!$F$2:$F$10001,"",0), " Accessories",""))</f>
        <v/>
      </c>
      <c r="L1375" s="33">
        <f>_xlfn.XLOOKUP(C1375,'Project Details'!$C$17:$C$66,'Project Details'!$D$17:$D$66,"",0)</f>
        <v>0</v>
      </c>
      <c r="M1375" s="43"/>
    </row>
    <row r="1376" spans="1:13" x14ac:dyDescent="0.25">
      <c r="A1376" s="43"/>
      <c r="B1376" s="43"/>
      <c r="C1376" s="35">
        <f t="shared" si="26"/>
        <v>28</v>
      </c>
      <c r="D1376" s="35" t="str" cm="1">
        <f t="array" ref="D1376">IFERROR(ROUNDUP(_xlfn.IFS(F1376="Aluminum Track", _xlfn.XLOOKUP(C1376, dd_accsrycalc!$A$2:$A$51, dd_accsrycalc!$B$2:$B$51, "",0), F1376="10 x 2 1/2 S (Flat)", _xlfn.XLOOKUP(C1376, dd_accsrycalc!$A$2:$A$51, dd_accsrycalc!$C$2:$C$51, "",0), F1376="Tox6", _xlfn.XLOOKUP(C1376, dd_accsrycalc!$A$2:$A$51, dd_accsrycalc!$D$2:$D$51, "",0), F1376="Cover Cap", _xlfn.XLOOKUP(C1376, dd_accsrycalc!$A$2:$A$51, dd_accsrycalc!$E$2:$E$51, "",0), F1376="Drainage Cover", _xlfn.XLOOKUP(C1376, dd_accsrycalc!$A$2:$A$51, dd_accsrycalc!$F$2:$F$51, "",0),AND( F1376="Double Adhesive Tape", I1376="Roll-up Screen"), _xlfn.XLOOKUP(C1376, calc_rusacc!$C$15:$C$65, calc_rusacc!$AD$15:$AD$65, "",0),AND( F1376="Sealant", I1376="Roll-up Screen"), _xlfn.XLOOKUP(C1376, calc_rusacc!$C$15:$C$65, calc_rusacc!$AF$15:$AF$65, "",0),  AND( F1376="Main Chain", I1376="Accordion Screen"), _xlfn.XLOOKUP(C1376, calc_rusacc!$C$15:$C$65, calc_rusacc!$BF$15:$BF$65, "",0), AND( F1376="Sealant", I1376="Accordion Screen"), _xlfn.XLOOKUP(C1376, calc_rusacc!$C$15:$C$65, calc_rusacc!$BJ$15:$BJ$65, "",0),  F1376="Sealant", _xlfn.XLOOKUP(C1376, dd_accsrycalc!$A$2:$A$51, dd_accsrycalc!$G$2:$G$51, "",0),  F1376&lt;&gt;"",L1376*_xlfn.XLOOKUP(1, (SKUs!$C$2:$C$10001=G1376)*(SKUs!$K$2:$K$10001=I1376),SKUs!$E$2:$E$10001)), 0),"")</f>
        <v/>
      </c>
      <c r="E1376" s="35" t="str">
        <f>_xlfn.XLOOKUP(F1376,dd_item!$B$2:$B$105,dd_item!$C$2:$C$105,"",0)</f>
        <v/>
      </c>
      <c r="F1376" s="35"/>
      <c r="G1376" s="35" cm="1">
        <f t="array" ref="G1376">IFERROR(_xlfn.XLOOKUP(1, (SKUs!$J$2:$J$10001=accsry_unmerged!F1376)*IF(H1376&lt;&gt;"",(SKUs!$L$2:$L$10001=accsry_unmerged!H1376),1)*(SKUs!$K$2:$K$10001=I1376),SKUs!$C$2:$C$10001),"")</f>
        <v>0</v>
      </c>
      <c r="H1376" s="36" cm="1">
        <f t="array" ref="H1376">IFERROR(_xlfn.XLOOKUP(1, (dd_accsryclr!$C$2:$C$1000=accsry_unmerged!F1376)*(dd_accsryclr!$B$2:$B$1000=accsry_unmerged!J1376),dd_accsryclr!$A$2:$A$1000),"")</f>
        <v>0</v>
      </c>
      <c r="I1376" s="35">
        <f>_xlfn.XLOOKUP(C1376,'Project Details'!$C$17:$C$66,'Project Details'!$E$17:$E$66,"",0)</f>
        <v>0</v>
      </c>
      <c r="J1376" s="35">
        <f>_xlfn.XLOOKUP(C1376,'Project Details'!$C$17:$C$66,'Project Details'!$H$17:$H$66,"",0)</f>
        <v>0</v>
      </c>
      <c r="K1376" s="36" t="str">
        <f>IF(AND(_xlfn.XLOOKUP(C1376,'Project Details'!$C$17:$C$66,'Project Details'!$L$17:$L$66,"",0)&gt;550, F1376="Spring-L27cm"),"",SUBSTITUTE(_xlfn.XLOOKUP(G1376,SKUs!$C$2:$C$10001,SKUs!$F$2:$F$10001,"",0), " Accessories",""))</f>
        <v/>
      </c>
      <c r="L1376" s="36">
        <f>_xlfn.XLOOKUP(C1376,'Project Details'!$C$17:$C$66,'Project Details'!$D$17:$D$66,"",0)</f>
        <v>0</v>
      </c>
      <c r="M1376" s="43"/>
    </row>
    <row r="1377" spans="1:13" x14ac:dyDescent="0.25">
      <c r="A1377" s="43"/>
      <c r="B1377" s="43"/>
      <c r="C1377" s="16">
        <f t="shared" si="26"/>
        <v>28</v>
      </c>
      <c r="D1377" s="16" t="str" cm="1">
        <f t="array" ref="D1377">IFERROR(ROUNDUP(_xlfn.IFS(F1377="Aluminum Track", _xlfn.XLOOKUP(C1377, dd_accsrycalc!$A$2:$A$51, dd_accsrycalc!$B$2:$B$51, "",0), F1377="10 x 2 1/2 S (Flat)", _xlfn.XLOOKUP(C1377, dd_accsrycalc!$A$2:$A$51, dd_accsrycalc!$C$2:$C$51, "",0), F1377="Tox6", _xlfn.XLOOKUP(C1377, dd_accsrycalc!$A$2:$A$51, dd_accsrycalc!$D$2:$D$51, "",0), F1377="Cover Cap", _xlfn.XLOOKUP(C1377, dd_accsrycalc!$A$2:$A$51, dd_accsrycalc!$E$2:$E$51, "",0), F1377="Drainage Cover", _xlfn.XLOOKUP(C1377, dd_accsrycalc!$A$2:$A$51, dd_accsrycalc!$F$2:$F$51, "",0),AND( F1377="Double Adhesive Tape", I1377="Roll-up Screen"), _xlfn.XLOOKUP(C1377, calc_rusacc!$C$15:$C$65, calc_rusacc!$AD$15:$AD$65, "",0),AND( F1377="Sealant", I1377="Roll-up Screen"), _xlfn.XLOOKUP(C1377, calc_rusacc!$C$15:$C$65, calc_rusacc!$AF$15:$AF$65, "",0),  AND( F1377="Main Chain", I1377="Accordion Screen"), _xlfn.XLOOKUP(C1377, calc_rusacc!$C$15:$C$65, calc_rusacc!$BF$15:$BF$65, "",0), AND( F1377="Sealant", I1377="Accordion Screen"), _xlfn.XLOOKUP(C1377, calc_rusacc!$C$15:$C$65, calc_rusacc!$BJ$15:$BJ$65, "",0),  F1377="Sealant", _xlfn.XLOOKUP(C1377, dd_accsrycalc!$A$2:$A$51, dd_accsrycalc!$G$2:$G$51, "",0),  F1377&lt;&gt;"",L1377*_xlfn.XLOOKUP(1, (SKUs!$C$2:$C$10001=G1377)*(SKUs!$K$2:$K$10001=I1377),SKUs!$E$2:$E$10001)), 0),"")</f>
        <v/>
      </c>
      <c r="E1377" s="16" t="str">
        <f>_xlfn.XLOOKUP(F1377,dd_item!$B$2:$B$105,dd_item!$C$2:$C$105,"",0)</f>
        <v/>
      </c>
      <c r="F1377" s="16"/>
      <c r="G1377" s="16" cm="1">
        <f t="array" ref="G1377">IFERROR(_xlfn.XLOOKUP(1, (SKUs!$J$2:$J$10001=accsry_unmerged!F1377)*IF(H1377&lt;&gt;"",(SKUs!$L$2:$L$10001=accsry_unmerged!H1377),1)*(SKUs!$K$2:$K$10001=I1377),SKUs!$C$2:$C$10001),"")</f>
        <v>0</v>
      </c>
      <c r="H1377" s="33" cm="1">
        <f t="array" ref="H1377">IFERROR(_xlfn.XLOOKUP(1, (dd_accsryclr!$C$2:$C$1000=accsry_unmerged!F1377)*(dd_accsryclr!$B$2:$B$1000=accsry_unmerged!J1377),dd_accsryclr!$A$2:$A$1000),"")</f>
        <v>0</v>
      </c>
      <c r="I1377" s="16">
        <f>_xlfn.XLOOKUP(C1377,'Project Details'!$C$17:$C$66,'Project Details'!$E$17:$E$66,"",0)</f>
        <v>0</v>
      </c>
      <c r="J1377" s="16">
        <f>_xlfn.XLOOKUP(C1377,'Project Details'!$C$17:$C$66,'Project Details'!$H$17:$H$66,"",0)</f>
        <v>0</v>
      </c>
      <c r="K1377" s="33" t="str">
        <f>IF(AND(_xlfn.XLOOKUP(C1377,'Project Details'!$C$17:$C$66,'Project Details'!$L$17:$L$66,"",0)&gt;550, F1377="Spring-L27cm"),"",SUBSTITUTE(_xlfn.XLOOKUP(G1377,SKUs!$C$2:$C$10001,SKUs!$F$2:$F$10001,"",0), " Accessories",""))</f>
        <v/>
      </c>
      <c r="L1377" s="33">
        <f>_xlfn.XLOOKUP(C1377,'Project Details'!$C$17:$C$66,'Project Details'!$D$17:$D$66,"",0)</f>
        <v>0</v>
      </c>
      <c r="M1377" s="43"/>
    </row>
    <row r="1378" spans="1:13" x14ac:dyDescent="0.25">
      <c r="A1378" s="43"/>
      <c r="B1378" s="43"/>
      <c r="C1378" s="35">
        <f t="shared" si="26"/>
        <v>28</v>
      </c>
      <c r="D1378" s="35" t="str" cm="1">
        <f t="array" ref="D1378">IFERROR(ROUNDUP(_xlfn.IFS(F1378="Aluminum Track", _xlfn.XLOOKUP(C1378, dd_accsrycalc!$A$2:$A$51, dd_accsrycalc!$B$2:$B$51, "",0), F1378="10 x 2 1/2 S (Flat)", _xlfn.XLOOKUP(C1378, dd_accsrycalc!$A$2:$A$51, dd_accsrycalc!$C$2:$C$51, "",0), F1378="Tox6", _xlfn.XLOOKUP(C1378, dd_accsrycalc!$A$2:$A$51, dd_accsrycalc!$D$2:$D$51, "",0), F1378="Cover Cap", _xlfn.XLOOKUP(C1378, dd_accsrycalc!$A$2:$A$51, dd_accsrycalc!$E$2:$E$51, "",0), F1378="Drainage Cover", _xlfn.XLOOKUP(C1378, dd_accsrycalc!$A$2:$A$51, dd_accsrycalc!$F$2:$F$51, "",0),AND( F1378="Double Adhesive Tape", I1378="Roll-up Screen"), _xlfn.XLOOKUP(C1378, calc_rusacc!$C$15:$C$65, calc_rusacc!$AD$15:$AD$65, "",0),AND( F1378="Sealant", I1378="Roll-up Screen"), _xlfn.XLOOKUP(C1378, calc_rusacc!$C$15:$C$65, calc_rusacc!$AF$15:$AF$65, "",0),  AND( F1378="Main Chain", I1378="Accordion Screen"), _xlfn.XLOOKUP(C1378, calc_rusacc!$C$15:$C$65, calc_rusacc!$BF$15:$BF$65, "",0), AND( F1378="Sealant", I1378="Accordion Screen"), _xlfn.XLOOKUP(C1378, calc_rusacc!$C$15:$C$65, calc_rusacc!$BJ$15:$BJ$65, "",0),  F1378="Sealant", _xlfn.XLOOKUP(C1378, dd_accsrycalc!$A$2:$A$51, dd_accsrycalc!$G$2:$G$51, "",0),  F1378&lt;&gt;"",L1378*_xlfn.XLOOKUP(1, (SKUs!$C$2:$C$10001=G1378)*(SKUs!$K$2:$K$10001=I1378),SKUs!$E$2:$E$10001)), 0),"")</f>
        <v/>
      </c>
      <c r="E1378" s="35" t="str">
        <f>_xlfn.XLOOKUP(F1378,dd_item!$B$2:$B$105,dd_item!$C$2:$C$105,"",0)</f>
        <v/>
      </c>
      <c r="F1378" s="35"/>
      <c r="G1378" s="35" cm="1">
        <f t="array" ref="G1378">IFERROR(_xlfn.XLOOKUP(1, (SKUs!$J$2:$J$10001=accsry_unmerged!F1378)*IF(H1378&lt;&gt;"",(SKUs!$L$2:$L$10001=accsry_unmerged!H1378),1)*(SKUs!$K$2:$K$10001=I1378),SKUs!$C$2:$C$10001),"")</f>
        <v>0</v>
      </c>
      <c r="H1378" s="36" cm="1">
        <f t="array" ref="H1378">IFERROR(_xlfn.XLOOKUP(1, (dd_accsryclr!$C$2:$C$1000=accsry_unmerged!F1378)*(dd_accsryclr!$B$2:$B$1000=accsry_unmerged!J1378),dd_accsryclr!$A$2:$A$1000),"")</f>
        <v>0</v>
      </c>
      <c r="I1378" s="35">
        <f>_xlfn.XLOOKUP(C1378,'Project Details'!$C$17:$C$66,'Project Details'!$E$17:$E$66,"",0)</f>
        <v>0</v>
      </c>
      <c r="J1378" s="35">
        <f>_xlfn.XLOOKUP(C1378,'Project Details'!$C$17:$C$66,'Project Details'!$H$17:$H$66,"",0)</f>
        <v>0</v>
      </c>
      <c r="K1378" s="36" t="str">
        <f>IF(AND(_xlfn.XLOOKUP(C1378,'Project Details'!$C$17:$C$66,'Project Details'!$L$17:$L$66,"",0)&gt;550, F1378="Spring-L27cm"),"",SUBSTITUTE(_xlfn.XLOOKUP(G1378,SKUs!$C$2:$C$10001,SKUs!$F$2:$F$10001,"",0), " Accessories",""))</f>
        <v/>
      </c>
      <c r="L1378" s="36">
        <f>_xlfn.XLOOKUP(C1378,'Project Details'!$C$17:$C$66,'Project Details'!$D$17:$D$66,"",0)</f>
        <v>0</v>
      </c>
      <c r="M1378" s="43"/>
    </row>
    <row r="1379" spans="1:13" x14ac:dyDescent="0.25">
      <c r="A1379" s="43"/>
      <c r="B1379" s="43"/>
      <c r="C1379" s="16">
        <f t="shared" si="26"/>
        <v>28</v>
      </c>
      <c r="D1379" s="16" t="str" cm="1">
        <f t="array" ref="D1379">IFERROR(ROUNDUP(_xlfn.IFS(F1379="Aluminum Track", _xlfn.XLOOKUP(C1379, dd_accsrycalc!$A$2:$A$51, dd_accsrycalc!$B$2:$B$51, "",0), F1379="10 x 2 1/2 S (Flat)", _xlfn.XLOOKUP(C1379, dd_accsrycalc!$A$2:$A$51, dd_accsrycalc!$C$2:$C$51, "",0), F1379="Tox6", _xlfn.XLOOKUP(C1379, dd_accsrycalc!$A$2:$A$51, dd_accsrycalc!$D$2:$D$51, "",0), F1379="Cover Cap", _xlfn.XLOOKUP(C1379, dd_accsrycalc!$A$2:$A$51, dd_accsrycalc!$E$2:$E$51, "",0), F1379="Drainage Cover", _xlfn.XLOOKUP(C1379, dd_accsrycalc!$A$2:$A$51, dd_accsrycalc!$F$2:$F$51, "",0),AND( F1379="Double Adhesive Tape", I1379="Roll-up Screen"), _xlfn.XLOOKUP(C1379, calc_rusacc!$C$15:$C$65, calc_rusacc!$AD$15:$AD$65, "",0),AND( F1379="Sealant", I1379="Roll-up Screen"), _xlfn.XLOOKUP(C1379, calc_rusacc!$C$15:$C$65, calc_rusacc!$AF$15:$AF$65, "",0),  AND( F1379="Main Chain", I1379="Accordion Screen"), _xlfn.XLOOKUP(C1379, calc_rusacc!$C$15:$C$65, calc_rusacc!$BF$15:$BF$65, "",0), AND( F1379="Sealant", I1379="Accordion Screen"), _xlfn.XLOOKUP(C1379, calc_rusacc!$C$15:$C$65, calc_rusacc!$BJ$15:$BJ$65, "",0),  F1379="Sealant", _xlfn.XLOOKUP(C1379, dd_accsrycalc!$A$2:$A$51, dd_accsrycalc!$G$2:$G$51, "",0),  F1379&lt;&gt;"",L1379*_xlfn.XLOOKUP(1, (SKUs!$C$2:$C$10001=G1379)*(SKUs!$K$2:$K$10001=I1379),SKUs!$E$2:$E$10001)), 0),"")</f>
        <v/>
      </c>
      <c r="E1379" s="16" t="str">
        <f>_xlfn.XLOOKUP(F1379,dd_item!$B$2:$B$105,dd_item!$C$2:$C$105,"",0)</f>
        <v/>
      </c>
      <c r="F1379" s="16"/>
      <c r="G1379" s="16" cm="1">
        <f t="array" ref="G1379">IFERROR(_xlfn.XLOOKUP(1, (SKUs!$J$2:$J$10001=accsry_unmerged!F1379)*IF(H1379&lt;&gt;"",(SKUs!$L$2:$L$10001=accsry_unmerged!H1379),1)*(SKUs!$K$2:$K$10001=I1379),SKUs!$C$2:$C$10001),"")</f>
        <v>0</v>
      </c>
      <c r="H1379" s="33" cm="1">
        <f t="array" ref="H1379">IFERROR(_xlfn.XLOOKUP(1, (dd_accsryclr!$C$2:$C$1000=accsry_unmerged!F1379)*(dd_accsryclr!$B$2:$B$1000=accsry_unmerged!J1379),dd_accsryclr!$A$2:$A$1000),"")</f>
        <v>0</v>
      </c>
      <c r="I1379" s="16">
        <f>_xlfn.XLOOKUP(C1379,'Project Details'!$C$17:$C$66,'Project Details'!$E$17:$E$66,"",0)</f>
        <v>0</v>
      </c>
      <c r="J1379" s="16">
        <f>_xlfn.XLOOKUP(C1379,'Project Details'!$C$17:$C$66,'Project Details'!$H$17:$H$66,"",0)</f>
        <v>0</v>
      </c>
      <c r="K1379" s="33" t="str">
        <f>IF(AND(_xlfn.XLOOKUP(C1379,'Project Details'!$C$17:$C$66,'Project Details'!$L$17:$L$66,"",0)&gt;550, F1379="Spring-L27cm"),"",SUBSTITUTE(_xlfn.XLOOKUP(G1379,SKUs!$C$2:$C$10001,SKUs!$F$2:$F$10001,"",0), " Accessories",""))</f>
        <v/>
      </c>
      <c r="L1379" s="33">
        <f>_xlfn.XLOOKUP(C1379,'Project Details'!$C$17:$C$66,'Project Details'!$D$17:$D$66,"",0)</f>
        <v>0</v>
      </c>
      <c r="M1379" s="43"/>
    </row>
    <row r="1380" spans="1:13" x14ac:dyDescent="0.25">
      <c r="A1380" s="43"/>
      <c r="B1380" s="43"/>
      <c r="C1380" s="35">
        <f t="shared" si="26"/>
        <v>28</v>
      </c>
      <c r="D1380" s="35" t="str" cm="1">
        <f t="array" ref="D1380">IFERROR(ROUNDUP(_xlfn.IFS(F1380="Aluminum Track", _xlfn.XLOOKUP(C1380, dd_accsrycalc!$A$2:$A$51, dd_accsrycalc!$B$2:$B$51, "",0), F1380="10 x 2 1/2 S (Flat)", _xlfn.XLOOKUP(C1380, dd_accsrycalc!$A$2:$A$51, dd_accsrycalc!$C$2:$C$51, "",0), F1380="Tox6", _xlfn.XLOOKUP(C1380, dd_accsrycalc!$A$2:$A$51, dd_accsrycalc!$D$2:$D$51, "",0), F1380="Cover Cap", _xlfn.XLOOKUP(C1380, dd_accsrycalc!$A$2:$A$51, dd_accsrycalc!$E$2:$E$51, "",0), F1380="Drainage Cover", _xlfn.XLOOKUP(C1380, dd_accsrycalc!$A$2:$A$51, dd_accsrycalc!$F$2:$F$51, "",0),AND( F1380="Double Adhesive Tape", I1380="Roll-up Screen"), _xlfn.XLOOKUP(C1380, calc_rusacc!$C$15:$C$65, calc_rusacc!$AD$15:$AD$65, "",0),AND( F1380="Sealant", I1380="Roll-up Screen"), _xlfn.XLOOKUP(C1380, calc_rusacc!$C$15:$C$65, calc_rusacc!$AF$15:$AF$65, "",0),  AND( F1380="Main Chain", I1380="Accordion Screen"), _xlfn.XLOOKUP(C1380, calc_rusacc!$C$15:$C$65, calc_rusacc!$BF$15:$BF$65, "",0), AND( F1380="Sealant", I1380="Accordion Screen"), _xlfn.XLOOKUP(C1380, calc_rusacc!$C$15:$C$65, calc_rusacc!$BJ$15:$BJ$65, "",0),  F1380="Sealant", _xlfn.XLOOKUP(C1380, dd_accsrycalc!$A$2:$A$51, dd_accsrycalc!$G$2:$G$51, "",0),  F1380&lt;&gt;"",L1380*_xlfn.XLOOKUP(1, (SKUs!$C$2:$C$10001=G1380)*(SKUs!$K$2:$K$10001=I1380),SKUs!$E$2:$E$10001)), 0),"")</f>
        <v/>
      </c>
      <c r="E1380" s="35" t="str">
        <f>_xlfn.XLOOKUP(F1380,dd_item!$B$2:$B$105,dd_item!$C$2:$C$105,"",0)</f>
        <v/>
      </c>
      <c r="F1380" s="35"/>
      <c r="G1380" s="35" cm="1">
        <f t="array" ref="G1380">IFERROR(_xlfn.XLOOKUP(1, (SKUs!$J$2:$J$10001=accsry_unmerged!F1380)*IF(H1380&lt;&gt;"",(SKUs!$L$2:$L$10001=accsry_unmerged!H1380),1)*(SKUs!$K$2:$K$10001=I1380),SKUs!$C$2:$C$10001),"")</f>
        <v>0</v>
      </c>
      <c r="H1380" s="36" cm="1">
        <f t="array" ref="H1380">IFERROR(_xlfn.XLOOKUP(1, (dd_accsryclr!$C$2:$C$1000=accsry_unmerged!F1380)*(dd_accsryclr!$B$2:$B$1000=accsry_unmerged!J1380),dd_accsryclr!$A$2:$A$1000),"")</f>
        <v>0</v>
      </c>
      <c r="I1380" s="35">
        <f>_xlfn.XLOOKUP(C1380,'Project Details'!$C$17:$C$66,'Project Details'!$E$17:$E$66,"",0)</f>
        <v>0</v>
      </c>
      <c r="J1380" s="35">
        <f>_xlfn.XLOOKUP(C1380,'Project Details'!$C$17:$C$66,'Project Details'!$H$17:$H$66,"",0)</f>
        <v>0</v>
      </c>
      <c r="K1380" s="36" t="str">
        <f>IF(AND(_xlfn.XLOOKUP(C1380,'Project Details'!$C$17:$C$66,'Project Details'!$L$17:$L$66,"",0)&gt;550, F1380="Spring-L27cm"),"",SUBSTITUTE(_xlfn.XLOOKUP(G1380,SKUs!$C$2:$C$10001,SKUs!$F$2:$F$10001,"",0), " Accessories",""))</f>
        <v/>
      </c>
      <c r="L1380" s="36">
        <f>_xlfn.XLOOKUP(C1380,'Project Details'!$C$17:$C$66,'Project Details'!$D$17:$D$66,"",0)</f>
        <v>0</v>
      </c>
      <c r="M1380" s="43"/>
    </row>
    <row r="1381" spans="1:13" x14ac:dyDescent="0.25">
      <c r="A1381" s="43"/>
      <c r="B1381" s="43"/>
      <c r="C1381" s="16">
        <f t="shared" si="26"/>
        <v>28</v>
      </c>
      <c r="D1381" s="16" t="str" cm="1">
        <f t="array" ref="D1381">IFERROR(ROUNDUP(_xlfn.IFS(F1381="Aluminum Track", _xlfn.XLOOKUP(C1381, dd_accsrycalc!$A$2:$A$51, dd_accsrycalc!$B$2:$B$51, "",0), F1381="10 x 2 1/2 S (Flat)", _xlfn.XLOOKUP(C1381, dd_accsrycalc!$A$2:$A$51, dd_accsrycalc!$C$2:$C$51, "",0), F1381="Tox6", _xlfn.XLOOKUP(C1381, dd_accsrycalc!$A$2:$A$51, dd_accsrycalc!$D$2:$D$51, "",0), F1381="Cover Cap", _xlfn.XLOOKUP(C1381, dd_accsrycalc!$A$2:$A$51, dd_accsrycalc!$E$2:$E$51, "",0), F1381="Drainage Cover", _xlfn.XLOOKUP(C1381, dd_accsrycalc!$A$2:$A$51, dd_accsrycalc!$F$2:$F$51, "",0),AND( F1381="Double Adhesive Tape", I1381="Roll-up Screen"), _xlfn.XLOOKUP(C1381, calc_rusacc!$C$15:$C$65, calc_rusacc!$AD$15:$AD$65, "",0),AND( F1381="Sealant", I1381="Roll-up Screen"), _xlfn.XLOOKUP(C1381, calc_rusacc!$C$15:$C$65, calc_rusacc!$AF$15:$AF$65, "",0),  AND( F1381="Main Chain", I1381="Accordion Screen"), _xlfn.XLOOKUP(C1381, calc_rusacc!$C$15:$C$65, calc_rusacc!$BF$15:$BF$65, "",0), AND( F1381="Sealant", I1381="Accordion Screen"), _xlfn.XLOOKUP(C1381, calc_rusacc!$C$15:$C$65, calc_rusacc!$BJ$15:$BJ$65, "",0),  F1381="Sealant", _xlfn.XLOOKUP(C1381, dd_accsrycalc!$A$2:$A$51, dd_accsrycalc!$G$2:$G$51, "",0),  F1381&lt;&gt;"",L1381*_xlfn.XLOOKUP(1, (SKUs!$C$2:$C$10001=G1381)*(SKUs!$K$2:$K$10001=I1381),SKUs!$E$2:$E$10001)), 0),"")</f>
        <v/>
      </c>
      <c r="E1381" s="16" t="str">
        <f>_xlfn.XLOOKUP(F1381,dd_item!$B$2:$B$105,dd_item!$C$2:$C$105,"",0)</f>
        <v/>
      </c>
      <c r="F1381" s="16"/>
      <c r="G1381" s="16" cm="1">
        <f t="array" ref="G1381">IFERROR(_xlfn.XLOOKUP(1, (SKUs!$J$2:$J$10001=accsry_unmerged!F1381)*IF(H1381&lt;&gt;"",(SKUs!$L$2:$L$10001=accsry_unmerged!H1381),1)*(SKUs!$K$2:$K$10001=I1381),SKUs!$C$2:$C$10001),"")</f>
        <v>0</v>
      </c>
      <c r="H1381" s="33" cm="1">
        <f t="array" ref="H1381">IFERROR(_xlfn.XLOOKUP(1, (dd_accsryclr!$C$2:$C$1000=accsry_unmerged!F1381)*(dd_accsryclr!$B$2:$B$1000=accsry_unmerged!J1381),dd_accsryclr!$A$2:$A$1000),"")</f>
        <v>0</v>
      </c>
      <c r="I1381" s="16">
        <f>_xlfn.XLOOKUP(C1381,'Project Details'!$C$17:$C$66,'Project Details'!$E$17:$E$66,"",0)</f>
        <v>0</v>
      </c>
      <c r="J1381" s="16">
        <f>_xlfn.XLOOKUP(C1381,'Project Details'!$C$17:$C$66,'Project Details'!$H$17:$H$66,"",0)</f>
        <v>0</v>
      </c>
      <c r="K1381" s="33" t="str">
        <f>IF(AND(_xlfn.XLOOKUP(C1381,'Project Details'!$C$17:$C$66,'Project Details'!$L$17:$L$66,"",0)&gt;550, F1381="Spring-L27cm"),"",SUBSTITUTE(_xlfn.XLOOKUP(G1381,SKUs!$C$2:$C$10001,SKUs!$F$2:$F$10001,"",0), " Accessories",""))</f>
        <v/>
      </c>
      <c r="L1381" s="33">
        <f>_xlfn.XLOOKUP(C1381,'Project Details'!$C$17:$C$66,'Project Details'!$D$17:$D$66,"",0)</f>
        <v>0</v>
      </c>
      <c r="M1381" s="43"/>
    </row>
    <row r="1382" spans="1:13" x14ac:dyDescent="0.25">
      <c r="A1382" s="43"/>
      <c r="B1382" s="43"/>
      <c r="C1382" s="35">
        <f t="shared" si="26"/>
        <v>28</v>
      </c>
      <c r="D1382" s="35" t="str" cm="1">
        <f t="array" ref="D1382">IFERROR(ROUNDUP(_xlfn.IFS(F1382="Aluminum Track", _xlfn.XLOOKUP(C1382, dd_accsrycalc!$A$2:$A$51, dd_accsrycalc!$B$2:$B$51, "",0), F1382="10 x 2 1/2 S (Flat)", _xlfn.XLOOKUP(C1382, dd_accsrycalc!$A$2:$A$51, dd_accsrycalc!$C$2:$C$51, "",0), F1382="Tox6", _xlfn.XLOOKUP(C1382, dd_accsrycalc!$A$2:$A$51, dd_accsrycalc!$D$2:$D$51, "",0), F1382="Cover Cap", _xlfn.XLOOKUP(C1382, dd_accsrycalc!$A$2:$A$51, dd_accsrycalc!$E$2:$E$51, "",0), F1382="Drainage Cover", _xlfn.XLOOKUP(C1382, dd_accsrycalc!$A$2:$A$51, dd_accsrycalc!$F$2:$F$51, "",0),AND( F1382="Double Adhesive Tape", I1382="Roll-up Screen"), _xlfn.XLOOKUP(C1382, calc_rusacc!$C$15:$C$65, calc_rusacc!$AD$15:$AD$65, "",0),AND( F1382="Sealant", I1382="Roll-up Screen"), _xlfn.XLOOKUP(C1382, calc_rusacc!$C$15:$C$65, calc_rusacc!$AF$15:$AF$65, "",0),  AND( F1382="Main Chain", I1382="Accordion Screen"), _xlfn.XLOOKUP(C1382, calc_rusacc!$C$15:$C$65, calc_rusacc!$BF$15:$BF$65, "",0), AND( F1382="Sealant", I1382="Accordion Screen"), _xlfn.XLOOKUP(C1382, calc_rusacc!$C$15:$C$65, calc_rusacc!$BJ$15:$BJ$65, "",0),  F1382="Sealant", _xlfn.XLOOKUP(C1382, dd_accsrycalc!$A$2:$A$51, dd_accsrycalc!$G$2:$G$51, "",0),  F1382&lt;&gt;"",L1382*_xlfn.XLOOKUP(1, (SKUs!$C$2:$C$10001=G1382)*(SKUs!$K$2:$K$10001=I1382),SKUs!$E$2:$E$10001)), 0),"")</f>
        <v/>
      </c>
      <c r="E1382" s="35" t="str">
        <f>_xlfn.XLOOKUP(F1382,dd_item!$B$2:$B$105,dd_item!$C$2:$C$105,"",0)</f>
        <v/>
      </c>
      <c r="F1382" s="35"/>
      <c r="G1382" s="35" cm="1">
        <f t="array" ref="G1382">IFERROR(_xlfn.XLOOKUP(1, (SKUs!$J$2:$J$10001=accsry_unmerged!F1382)*IF(H1382&lt;&gt;"",(SKUs!$L$2:$L$10001=accsry_unmerged!H1382),1)*(SKUs!$K$2:$K$10001=I1382),SKUs!$C$2:$C$10001),"")</f>
        <v>0</v>
      </c>
      <c r="H1382" s="36" cm="1">
        <f t="array" ref="H1382">IFERROR(_xlfn.XLOOKUP(1, (dd_accsryclr!$C$2:$C$1000=accsry_unmerged!F1382)*(dd_accsryclr!$B$2:$B$1000=accsry_unmerged!J1382),dd_accsryclr!$A$2:$A$1000),"")</f>
        <v>0</v>
      </c>
      <c r="I1382" s="35">
        <f>_xlfn.XLOOKUP(C1382,'Project Details'!$C$17:$C$66,'Project Details'!$E$17:$E$66,"",0)</f>
        <v>0</v>
      </c>
      <c r="J1382" s="35">
        <f>_xlfn.XLOOKUP(C1382,'Project Details'!$C$17:$C$66,'Project Details'!$H$17:$H$66,"",0)</f>
        <v>0</v>
      </c>
      <c r="K1382" s="36" t="str">
        <f>IF(AND(_xlfn.XLOOKUP(C1382,'Project Details'!$C$17:$C$66,'Project Details'!$L$17:$L$66,"",0)&gt;550, F1382="Spring-L27cm"),"",SUBSTITUTE(_xlfn.XLOOKUP(G1382,SKUs!$C$2:$C$10001,SKUs!$F$2:$F$10001,"",0), " Accessories",""))</f>
        <v/>
      </c>
      <c r="L1382" s="36">
        <f>_xlfn.XLOOKUP(C1382,'Project Details'!$C$17:$C$66,'Project Details'!$D$17:$D$66,"",0)</f>
        <v>0</v>
      </c>
      <c r="M1382" s="43"/>
    </row>
    <row r="1383" spans="1:13" x14ac:dyDescent="0.25">
      <c r="A1383" s="43"/>
      <c r="B1383" s="43"/>
      <c r="C1383" s="16">
        <f t="shared" si="26"/>
        <v>28</v>
      </c>
      <c r="D1383" s="16" t="str" cm="1">
        <f t="array" ref="D1383">IFERROR(ROUNDUP(_xlfn.IFS(F1383="Aluminum Track", _xlfn.XLOOKUP(C1383, dd_accsrycalc!$A$2:$A$51, dd_accsrycalc!$B$2:$B$51, "",0), F1383="10 x 2 1/2 S (Flat)", _xlfn.XLOOKUP(C1383, dd_accsrycalc!$A$2:$A$51, dd_accsrycalc!$C$2:$C$51, "",0), F1383="Tox6", _xlfn.XLOOKUP(C1383, dd_accsrycalc!$A$2:$A$51, dd_accsrycalc!$D$2:$D$51, "",0), F1383="Cover Cap", _xlfn.XLOOKUP(C1383, dd_accsrycalc!$A$2:$A$51, dd_accsrycalc!$E$2:$E$51, "",0), F1383="Drainage Cover", _xlfn.XLOOKUP(C1383, dd_accsrycalc!$A$2:$A$51, dd_accsrycalc!$F$2:$F$51, "",0),AND( F1383="Double Adhesive Tape", I1383="Roll-up Screen"), _xlfn.XLOOKUP(C1383, calc_rusacc!$C$15:$C$65, calc_rusacc!$AD$15:$AD$65, "",0),AND( F1383="Sealant", I1383="Roll-up Screen"), _xlfn.XLOOKUP(C1383, calc_rusacc!$C$15:$C$65, calc_rusacc!$AF$15:$AF$65, "",0),  AND( F1383="Main Chain", I1383="Accordion Screen"), _xlfn.XLOOKUP(C1383, calc_rusacc!$C$15:$C$65, calc_rusacc!$BF$15:$BF$65, "",0), AND( F1383="Sealant", I1383="Accordion Screen"), _xlfn.XLOOKUP(C1383, calc_rusacc!$C$15:$C$65, calc_rusacc!$BJ$15:$BJ$65, "",0),  F1383="Sealant", _xlfn.XLOOKUP(C1383, dd_accsrycalc!$A$2:$A$51, dd_accsrycalc!$G$2:$G$51, "",0),  F1383&lt;&gt;"",L1383*_xlfn.XLOOKUP(1, (SKUs!$C$2:$C$10001=G1383)*(SKUs!$K$2:$K$10001=I1383),SKUs!$E$2:$E$10001)), 0),"")</f>
        <v/>
      </c>
      <c r="E1383" s="16" t="str">
        <f>_xlfn.XLOOKUP(F1383,dd_item!$B$2:$B$105,dd_item!$C$2:$C$105,"",0)</f>
        <v/>
      </c>
      <c r="F1383" s="16"/>
      <c r="G1383" s="16" cm="1">
        <f t="array" ref="G1383">IFERROR(_xlfn.XLOOKUP(1, (SKUs!$J$2:$J$10001=accsry_unmerged!F1383)*IF(H1383&lt;&gt;"",(SKUs!$L$2:$L$10001=accsry_unmerged!H1383),1)*(SKUs!$K$2:$K$10001=I1383),SKUs!$C$2:$C$10001),"")</f>
        <v>0</v>
      </c>
      <c r="H1383" s="33" cm="1">
        <f t="array" ref="H1383">IFERROR(_xlfn.XLOOKUP(1, (dd_accsryclr!$C$2:$C$1000=accsry_unmerged!F1383)*(dd_accsryclr!$B$2:$B$1000=accsry_unmerged!J1383),dd_accsryclr!$A$2:$A$1000),"")</f>
        <v>0</v>
      </c>
      <c r="I1383" s="16">
        <f>_xlfn.XLOOKUP(C1383,'Project Details'!$C$17:$C$66,'Project Details'!$E$17:$E$66,"",0)</f>
        <v>0</v>
      </c>
      <c r="J1383" s="16">
        <f>_xlfn.XLOOKUP(C1383,'Project Details'!$C$17:$C$66,'Project Details'!$H$17:$H$66,"",0)</f>
        <v>0</v>
      </c>
      <c r="K1383" s="33" t="str">
        <f>IF(AND(_xlfn.XLOOKUP(C1383,'Project Details'!$C$17:$C$66,'Project Details'!$L$17:$L$66,"",0)&gt;550, F1383="Spring-L27cm"),"",SUBSTITUTE(_xlfn.XLOOKUP(G1383,SKUs!$C$2:$C$10001,SKUs!$F$2:$F$10001,"",0), " Accessories",""))</f>
        <v/>
      </c>
      <c r="L1383" s="33">
        <f>_xlfn.XLOOKUP(C1383,'Project Details'!$C$17:$C$66,'Project Details'!$D$17:$D$66,"",0)</f>
        <v>0</v>
      </c>
      <c r="M1383" s="43"/>
    </row>
    <row r="1384" spans="1:13" ht="13.5" customHeight="1" x14ac:dyDescent="0.25">
      <c r="A1384" s="43"/>
      <c r="B1384" s="43"/>
      <c r="C1384" s="35">
        <f t="shared" si="26"/>
        <v>28</v>
      </c>
      <c r="D1384" s="35" t="str" cm="1">
        <f t="array" ref="D1384">IFERROR(ROUNDUP(_xlfn.IFS(F1384="Aluminum Track", _xlfn.XLOOKUP(C1384, dd_accsrycalc!$A$2:$A$51, dd_accsrycalc!$B$2:$B$51, "",0), F1384="10 x 2 1/2 S (Flat)", _xlfn.XLOOKUP(C1384, dd_accsrycalc!$A$2:$A$51, dd_accsrycalc!$C$2:$C$51, "",0), F1384="Tox6", _xlfn.XLOOKUP(C1384, dd_accsrycalc!$A$2:$A$51, dd_accsrycalc!$D$2:$D$51, "",0), F1384="Cover Cap", _xlfn.XLOOKUP(C1384, dd_accsrycalc!$A$2:$A$51, dd_accsrycalc!$E$2:$E$51, "",0), F1384="Drainage Cover", _xlfn.XLOOKUP(C1384, dd_accsrycalc!$A$2:$A$51, dd_accsrycalc!$F$2:$F$51, "",0),AND( F1384="Double Adhesive Tape", I1384="Roll-up Screen"), _xlfn.XLOOKUP(C1384, calc_rusacc!$C$15:$C$65, calc_rusacc!$AD$15:$AD$65, "",0),AND( F1384="Sealant", I1384="Roll-up Screen"), _xlfn.XLOOKUP(C1384, calc_rusacc!$C$15:$C$65, calc_rusacc!$AF$15:$AF$65, "",0),  AND( F1384="Main Chain", I1384="Accordion Screen"), _xlfn.XLOOKUP(C1384, calc_rusacc!$C$15:$C$65, calc_rusacc!$BF$15:$BF$65, "",0), AND( F1384="Sealant", I1384="Accordion Screen"), _xlfn.XLOOKUP(C1384, calc_rusacc!$C$15:$C$65, calc_rusacc!$BJ$15:$BJ$65, "",0),  F1384="Sealant", _xlfn.XLOOKUP(C1384, dd_accsrycalc!$A$2:$A$51, dd_accsrycalc!$G$2:$G$51, "",0),  F1384&lt;&gt;"",L1384*_xlfn.XLOOKUP(1, (SKUs!$C$2:$C$10001=G1384)*(SKUs!$K$2:$K$10001=I1384),SKUs!$E$2:$E$10001)), 0),"")</f>
        <v/>
      </c>
      <c r="E1384" s="35" t="str">
        <f>_xlfn.XLOOKUP(F1384,dd_item!$B$2:$B$105,dd_item!$C$2:$C$105,"",0)</f>
        <v/>
      </c>
      <c r="F1384" s="35"/>
      <c r="G1384" s="35" cm="1">
        <f t="array" ref="G1384">IFERROR(_xlfn.XLOOKUP(1, (SKUs!$J$2:$J$10001=accsry_unmerged!F1384)*IF(H1384&lt;&gt;"",(SKUs!$L$2:$L$10001=accsry_unmerged!H1384),1)*(SKUs!$K$2:$K$10001=I1384),SKUs!$C$2:$C$10001),"")</f>
        <v>0</v>
      </c>
      <c r="H1384" s="36" cm="1">
        <f t="array" ref="H1384">IFERROR(_xlfn.XLOOKUP(1, (dd_accsryclr!$C$2:$C$1000=accsry_unmerged!F1384)*(dd_accsryclr!$B$2:$B$1000=accsry_unmerged!J1384),dd_accsryclr!$A$2:$A$1000),"")</f>
        <v>0</v>
      </c>
      <c r="I1384" s="35">
        <f>_xlfn.XLOOKUP(C1384,'Project Details'!$C$17:$C$66,'Project Details'!$E$17:$E$66,"",0)</f>
        <v>0</v>
      </c>
      <c r="J1384" s="35">
        <f>_xlfn.XLOOKUP(C1384,'Project Details'!$C$17:$C$66,'Project Details'!$H$17:$H$66,"",0)</f>
        <v>0</v>
      </c>
      <c r="K1384" s="36" t="str">
        <f>IF(AND(_xlfn.XLOOKUP(C1384,'Project Details'!$C$17:$C$66,'Project Details'!$L$17:$L$66,"",0)&gt;550, F1384="Spring-L27cm"),"",SUBSTITUTE(_xlfn.XLOOKUP(G1384,SKUs!$C$2:$C$10001,SKUs!$F$2:$F$10001,"",0), " Accessories",""))</f>
        <v/>
      </c>
      <c r="L1384" s="36">
        <f>_xlfn.XLOOKUP(C1384,'Project Details'!$C$17:$C$66,'Project Details'!$D$17:$D$66,"",0)</f>
        <v>0</v>
      </c>
      <c r="M1384" s="43"/>
    </row>
    <row r="1385" spans="1:13" ht="13.5" customHeight="1" x14ac:dyDescent="0.25">
      <c r="A1385" s="43"/>
      <c r="B1385" s="43"/>
      <c r="C1385" s="16">
        <f t="shared" si="26"/>
        <v>28</v>
      </c>
      <c r="D1385" s="16" t="str" cm="1">
        <f t="array" ref="D1385">IFERROR(ROUNDUP(_xlfn.IFS(F1385="Aluminum Track", _xlfn.XLOOKUP(C1385, dd_accsrycalc!$A$2:$A$51, dd_accsrycalc!$B$2:$B$51, "",0), F1385="10 x 2 1/2 S (Flat)", _xlfn.XLOOKUP(C1385, dd_accsrycalc!$A$2:$A$51, dd_accsrycalc!$C$2:$C$51, "",0), F1385="Tox6", _xlfn.XLOOKUP(C1385, dd_accsrycalc!$A$2:$A$51, dd_accsrycalc!$D$2:$D$51, "",0), F1385="Cover Cap", _xlfn.XLOOKUP(C1385, dd_accsrycalc!$A$2:$A$51, dd_accsrycalc!$E$2:$E$51, "",0), F1385="Drainage Cover", _xlfn.XLOOKUP(C1385, dd_accsrycalc!$A$2:$A$51, dd_accsrycalc!$F$2:$F$51, "",0),AND( F1385="Double Adhesive Tape", I1385="Roll-up Screen"), _xlfn.XLOOKUP(C1385, calc_rusacc!$C$15:$C$65, calc_rusacc!$AD$15:$AD$65, "",0),AND( F1385="Sealant", I1385="Roll-up Screen"), _xlfn.XLOOKUP(C1385, calc_rusacc!$C$15:$C$65, calc_rusacc!$AF$15:$AF$65, "",0),  AND( F1385="Main Chain", I1385="Accordion Screen"), _xlfn.XLOOKUP(C1385, calc_rusacc!$C$15:$C$65, calc_rusacc!$BF$15:$BF$65, "",0), AND( F1385="Sealant", I1385="Accordion Screen"), _xlfn.XLOOKUP(C1385, calc_rusacc!$C$15:$C$65, calc_rusacc!$BJ$15:$BJ$65, "",0),  F1385="Sealant", _xlfn.XLOOKUP(C1385, dd_accsrycalc!$A$2:$A$51, dd_accsrycalc!$G$2:$G$51, "",0),  F1385&lt;&gt;"",L1385*_xlfn.XLOOKUP(1, (SKUs!$C$2:$C$10001=G1385)*(SKUs!$K$2:$K$10001=I1385),SKUs!$E$2:$E$10001)), 0),"")</f>
        <v/>
      </c>
      <c r="E1385" s="16" t="str">
        <f>_xlfn.XLOOKUP(F1385,dd_item!$B$2:$B$105,dd_item!$C$2:$C$105,"",0)</f>
        <v/>
      </c>
      <c r="F1385" s="16"/>
      <c r="G1385" s="16" cm="1">
        <f t="array" ref="G1385">IFERROR(_xlfn.XLOOKUP(1, (SKUs!$J$2:$J$10001=accsry_unmerged!F1385)*IF(H1385&lt;&gt;"",(SKUs!$L$2:$L$10001=accsry_unmerged!H1385),1)*(SKUs!$K$2:$K$10001=I1385),SKUs!$C$2:$C$10001),"")</f>
        <v>0</v>
      </c>
      <c r="H1385" s="33" cm="1">
        <f t="array" ref="H1385">IFERROR(_xlfn.XLOOKUP(1, (dd_accsryclr!$C$2:$C$1000=accsry_unmerged!F1385)*(dd_accsryclr!$B$2:$B$1000=accsry_unmerged!J1385),dd_accsryclr!$A$2:$A$1000),"")</f>
        <v>0</v>
      </c>
      <c r="I1385" s="16">
        <f>_xlfn.XLOOKUP(C1385,'Project Details'!$C$17:$C$66,'Project Details'!$E$17:$E$66,"",0)</f>
        <v>0</v>
      </c>
      <c r="J1385" s="16">
        <f>_xlfn.XLOOKUP(C1385,'Project Details'!$C$17:$C$66,'Project Details'!$H$17:$H$66,"",0)</f>
        <v>0</v>
      </c>
      <c r="K1385" s="33" t="str">
        <f>IF(AND(_xlfn.XLOOKUP(C1385,'Project Details'!$C$17:$C$66,'Project Details'!$L$17:$L$66,"",0)&gt;550, F1385="Spring-L27cm"),"",SUBSTITUTE(_xlfn.XLOOKUP(G1385,SKUs!$C$2:$C$10001,SKUs!$F$2:$F$10001,"",0), " Accessories",""))</f>
        <v/>
      </c>
      <c r="L1385" s="33">
        <f>_xlfn.XLOOKUP(C1385,'Project Details'!$C$17:$C$66,'Project Details'!$D$17:$D$66,"",0)</f>
        <v>0</v>
      </c>
      <c r="M1385" s="43"/>
    </row>
    <row r="1386" spans="1:13" ht="13.5" customHeight="1" x14ac:dyDescent="0.25">
      <c r="A1386" s="43"/>
      <c r="B1386" s="43"/>
      <c r="C1386" s="35">
        <f t="shared" si="26"/>
        <v>28</v>
      </c>
      <c r="D1386" s="35" t="str" cm="1">
        <f t="array" ref="D1386">IFERROR(ROUNDUP(_xlfn.IFS(F1386="Aluminum Track", _xlfn.XLOOKUP(C1386, dd_accsrycalc!$A$2:$A$51, dd_accsrycalc!$B$2:$B$51, "",0), F1386="10 x 2 1/2 S (Flat)", _xlfn.XLOOKUP(C1386, dd_accsrycalc!$A$2:$A$51, dd_accsrycalc!$C$2:$C$51, "",0), F1386="Tox6", _xlfn.XLOOKUP(C1386, dd_accsrycalc!$A$2:$A$51, dd_accsrycalc!$D$2:$D$51, "",0), F1386="Cover Cap", _xlfn.XLOOKUP(C1386, dd_accsrycalc!$A$2:$A$51, dd_accsrycalc!$E$2:$E$51, "",0), F1386="Drainage Cover", _xlfn.XLOOKUP(C1386, dd_accsrycalc!$A$2:$A$51, dd_accsrycalc!$F$2:$F$51, "",0),AND( F1386="Double Adhesive Tape", I1386="Roll-up Screen"), _xlfn.XLOOKUP(C1386, calc_rusacc!$C$15:$C$65, calc_rusacc!$AD$15:$AD$65, "",0),AND( F1386="Sealant", I1386="Roll-up Screen"), _xlfn.XLOOKUP(C1386, calc_rusacc!$C$15:$C$65, calc_rusacc!$AF$15:$AF$65, "",0),  AND( F1386="Main Chain", I1386="Accordion Screen"), _xlfn.XLOOKUP(C1386, calc_rusacc!$C$15:$C$65, calc_rusacc!$BF$15:$BF$65, "",0), AND( F1386="Sealant", I1386="Accordion Screen"), _xlfn.XLOOKUP(C1386, calc_rusacc!$C$15:$C$65, calc_rusacc!$BJ$15:$BJ$65, "",0),  F1386="Sealant", _xlfn.XLOOKUP(C1386, dd_accsrycalc!$A$2:$A$51, dd_accsrycalc!$G$2:$G$51, "",0),  F1386&lt;&gt;"",L1386*_xlfn.XLOOKUP(1, (SKUs!$C$2:$C$10001=G1386)*(SKUs!$K$2:$K$10001=I1386),SKUs!$E$2:$E$10001)), 0),"")</f>
        <v/>
      </c>
      <c r="E1386" s="35" t="str">
        <f>_xlfn.XLOOKUP(F1386,dd_item!$B$2:$B$105,dd_item!$C$2:$C$105,"",0)</f>
        <v/>
      </c>
      <c r="F1386" s="35"/>
      <c r="G1386" s="35" cm="1">
        <f t="array" ref="G1386">IFERROR(_xlfn.XLOOKUP(1, (SKUs!$J$2:$J$10001=accsry_unmerged!F1386)*IF(H1386&lt;&gt;"",(SKUs!$L$2:$L$10001=accsry_unmerged!H1386),1)*(SKUs!$K$2:$K$10001=I1386),SKUs!$C$2:$C$10001),"")</f>
        <v>0</v>
      </c>
      <c r="H1386" s="36" cm="1">
        <f t="array" ref="H1386">IFERROR(_xlfn.XLOOKUP(1, (dd_accsryclr!$C$2:$C$1000=accsry_unmerged!F1386)*(dd_accsryclr!$B$2:$B$1000=accsry_unmerged!J1386),dd_accsryclr!$A$2:$A$1000),"")</f>
        <v>0</v>
      </c>
      <c r="I1386" s="35">
        <f>_xlfn.XLOOKUP(C1386,'Project Details'!$C$17:$C$66,'Project Details'!$E$17:$E$66,"",0)</f>
        <v>0</v>
      </c>
      <c r="J1386" s="35">
        <f>_xlfn.XLOOKUP(C1386,'Project Details'!$C$17:$C$66,'Project Details'!$H$17:$H$66,"",0)</f>
        <v>0</v>
      </c>
      <c r="K1386" s="36" t="str">
        <f>IF(AND(_xlfn.XLOOKUP(C1386,'Project Details'!$C$17:$C$66,'Project Details'!$L$17:$L$66,"",0)&gt;550, F1386="Spring-L27cm"),"",SUBSTITUTE(_xlfn.XLOOKUP(G1386,SKUs!$C$2:$C$10001,SKUs!$F$2:$F$10001,"",0), " Accessories",""))</f>
        <v/>
      </c>
      <c r="L1386" s="36">
        <f>_xlfn.XLOOKUP(C1386,'Project Details'!$C$17:$C$66,'Project Details'!$D$17:$D$66,"",0)</f>
        <v>0</v>
      </c>
      <c r="M1386" s="43"/>
    </row>
    <row r="1387" spans="1:13" ht="13.5" customHeight="1" x14ac:dyDescent="0.25">
      <c r="A1387" s="43"/>
      <c r="B1387" s="43"/>
      <c r="C1387" s="16">
        <f t="shared" si="26"/>
        <v>28</v>
      </c>
      <c r="D1387" s="16" t="str" cm="1">
        <f t="array" ref="D1387">IFERROR(ROUNDUP(_xlfn.IFS(F1387="Aluminum Track", _xlfn.XLOOKUP(C1387, dd_accsrycalc!$A$2:$A$51, dd_accsrycalc!$B$2:$B$51, "",0), F1387="10 x 2 1/2 S (Flat)", _xlfn.XLOOKUP(C1387, dd_accsrycalc!$A$2:$A$51, dd_accsrycalc!$C$2:$C$51, "",0), F1387="Tox6", _xlfn.XLOOKUP(C1387, dd_accsrycalc!$A$2:$A$51, dd_accsrycalc!$D$2:$D$51, "",0), F1387="Cover Cap", _xlfn.XLOOKUP(C1387, dd_accsrycalc!$A$2:$A$51, dd_accsrycalc!$E$2:$E$51, "",0), F1387="Drainage Cover", _xlfn.XLOOKUP(C1387, dd_accsrycalc!$A$2:$A$51, dd_accsrycalc!$F$2:$F$51, "",0),AND( F1387="Double Adhesive Tape", I1387="Roll-up Screen"), _xlfn.XLOOKUP(C1387, calc_rusacc!$C$15:$C$65, calc_rusacc!$AD$15:$AD$65, "",0),AND( F1387="Sealant", I1387="Roll-up Screen"), _xlfn.XLOOKUP(C1387, calc_rusacc!$C$15:$C$65, calc_rusacc!$AF$15:$AF$65, "",0),  AND( F1387="Main Chain", I1387="Accordion Screen"), _xlfn.XLOOKUP(C1387, calc_rusacc!$C$15:$C$65, calc_rusacc!$BF$15:$BF$65, "",0), AND( F1387="Sealant", I1387="Accordion Screen"), _xlfn.XLOOKUP(C1387, calc_rusacc!$C$15:$C$65, calc_rusacc!$BJ$15:$BJ$65, "",0),  F1387="Sealant", _xlfn.XLOOKUP(C1387, dd_accsrycalc!$A$2:$A$51, dd_accsrycalc!$G$2:$G$51, "",0),  F1387&lt;&gt;"",L1387*_xlfn.XLOOKUP(1, (SKUs!$C$2:$C$10001=G1387)*(SKUs!$K$2:$K$10001=I1387),SKUs!$E$2:$E$10001)), 0),"")</f>
        <v/>
      </c>
      <c r="E1387" s="16" t="str">
        <f>_xlfn.XLOOKUP(F1387,dd_item!$B$2:$B$105,dd_item!$C$2:$C$105,"",0)</f>
        <v/>
      </c>
      <c r="F1387" s="16"/>
      <c r="G1387" s="16" cm="1">
        <f t="array" ref="G1387">IFERROR(_xlfn.XLOOKUP(1, (SKUs!$J$2:$J$10001=accsry_unmerged!F1387)*IF(H1387&lt;&gt;"",(SKUs!$L$2:$L$10001=accsry_unmerged!H1387),1)*(SKUs!$K$2:$K$10001=I1387),SKUs!$C$2:$C$10001),"")</f>
        <v>0</v>
      </c>
      <c r="H1387" s="33" cm="1">
        <f t="array" ref="H1387">IFERROR(_xlfn.XLOOKUP(1, (dd_accsryclr!$C$2:$C$1000=accsry_unmerged!F1387)*(dd_accsryclr!$B$2:$B$1000=accsry_unmerged!J1387),dd_accsryclr!$A$2:$A$1000),"")</f>
        <v>0</v>
      </c>
      <c r="I1387" s="16">
        <f>_xlfn.XLOOKUP(C1387,'Project Details'!$C$17:$C$66,'Project Details'!$E$17:$E$66,"",0)</f>
        <v>0</v>
      </c>
      <c r="J1387" s="16">
        <f>_xlfn.XLOOKUP(C1387,'Project Details'!$C$17:$C$66,'Project Details'!$H$17:$H$66,"",0)</f>
        <v>0</v>
      </c>
      <c r="K1387" s="33" t="str">
        <f>IF(AND(_xlfn.XLOOKUP(C1387,'Project Details'!$C$17:$C$66,'Project Details'!$L$17:$L$66,"",0)&gt;550, F1387="Spring-L27cm"),"",SUBSTITUTE(_xlfn.XLOOKUP(G1387,SKUs!$C$2:$C$10001,SKUs!$F$2:$F$10001,"",0), " Accessories",""))</f>
        <v/>
      </c>
      <c r="L1387" s="33">
        <f>_xlfn.XLOOKUP(C1387,'Project Details'!$C$17:$C$66,'Project Details'!$D$17:$D$66,"",0)</f>
        <v>0</v>
      </c>
      <c r="M1387" s="43"/>
    </row>
    <row r="1388" spans="1:13" ht="13.5" customHeight="1" x14ac:dyDescent="0.25">
      <c r="A1388" s="43"/>
      <c r="B1388" s="43"/>
      <c r="C1388" s="35">
        <f t="shared" si="26"/>
        <v>28</v>
      </c>
      <c r="D1388" s="35" t="str" cm="1">
        <f t="array" ref="D1388">IFERROR(ROUNDUP(_xlfn.IFS(F1388="Aluminum Track", _xlfn.XLOOKUP(C1388, dd_accsrycalc!$A$2:$A$51, dd_accsrycalc!$B$2:$B$51, "",0), F1388="10 x 2 1/2 S (Flat)", _xlfn.XLOOKUP(C1388, dd_accsrycalc!$A$2:$A$51, dd_accsrycalc!$C$2:$C$51, "",0), F1388="Tox6", _xlfn.XLOOKUP(C1388, dd_accsrycalc!$A$2:$A$51, dd_accsrycalc!$D$2:$D$51, "",0), F1388="Cover Cap", _xlfn.XLOOKUP(C1388, dd_accsrycalc!$A$2:$A$51, dd_accsrycalc!$E$2:$E$51, "",0), F1388="Drainage Cover", _xlfn.XLOOKUP(C1388, dd_accsrycalc!$A$2:$A$51, dd_accsrycalc!$F$2:$F$51, "",0),AND( F1388="Double Adhesive Tape", I1388="Roll-up Screen"), _xlfn.XLOOKUP(C1388, calc_rusacc!$C$15:$C$65, calc_rusacc!$AD$15:$AD$65, "",0),AND( F1388="Sealant", I1388="Roll-up Screen"), _xlfn.XLOOKUP(C1388, calc_rusacc!$C$15:$C$65, calc_rusacc!$AF$15:$AF$65, "",0),  AND( F1388="Main Chain", I1388="Accordion Screen"), _xlfn.XLOOKUP(C1388, calc_rusacc!$C$15:$C$65, calc_rusacc!$BF$15:$BF$65, "",0), AND( F1388="Sealant", I1388="Accordion Screen"), _xlfn.XLOOKUP(C1388, calc_rusacc!$C$15:$C$65, calc_rusacc!$BJ$15:$BJ$65, "",0),  F1388="Sealant", _xlfn.XLOOKUP(C1388, dd_accsrycalc!$A$2:$A$51, dd_accsrycalc!$G$2:$G$51, "",0),  F1388&lt;&gt;"",L1388*_xlfn.XLOOKUP(1, (SKUs!$C$2:$C$10001=G1388)*(SKUs!$K$2:$K$10001=I1388),SKUs!$E$2:$E$10001)), 0),"")</f>
        <v/>
      </c>
      <c r="E1388" s="35" t="str">
        <f>_xlfn.XLOOKUP(F1388,dd_item!$B$2:$B$105,dd_item!$C$2:$C$105,"",0)</f>
        <v/>
      </c>
      <c r="F1388" s="35"/>
      <c r="G1388" s="35" cm="1">
        <f t="array" ref="G1388">IFERROR(_xlfn.XLOOKUP(1, (SKUs!$J$2:$J$10001=accsry_unmerged!F1388)*IF(H1388&lt;&gt;"",(SKUs!$L$2:$L$10001=accsry_unmerged!H1388),1)*(SKUs!$K$2:$K$10001=I1388),SKUs!$C$2:$C$10001),"")</f>
        <v>0</v>
      </c>
      <c r="H1388" s="36" cm="1">
        <f t="array" ref="H1388">IFERROR(_xlfn.XLOOKUP(1, (dd_accsryclr!$C$2:$C$1000=accsry_unmerged!F1388)*(dd_accsryclr!$B$2:$B$1000=accsry_unmerged!J1388),dd_accsryclr!$A$2:$A$1000),"")</f>
        <v>0</v>
      </c>
      <c r="I1388" s="35">
        <f>_xlfn.XLOOKUP(C1388,'Project Details'!$C$17:$C$66,'Project Details'!$E$17:$E$66,"",0)</f>
        <v>0</v>
      </c>
      <c r="J1388" s="35">
        <f>_xlfn.XLOOKUP(C1388,'Project Details'!$C$17:$C$66,'Project Details'!$H$17:$H$66,"",0)</f>
        <v>0</v>
      </c>
      <c r="K1388" s="36" t="str">
        <f>IF(AND(_xlfn.XLOOKUP(C1388,'Project Details'!$C$17:$C$66,'Project Details'!$L$17:$L$66,"",0)&gt;550, F1388="Spring-L27cm"),"",SUBSTITUTE(_xlfn.XLOOKUP(G1388,SKUs!$C$2:$C$10001,SKUs!$F$2:$F$10001,"",0), " Accessories",""))</f>
        <v/>
      </c>
      <c r="L1388" s="36">
        <f>_xlfn.XLOOKUP(C1388,'Project Details'!$C$17:$C$66,'Project Details'!$D$17:$D$66,"",0)</f>
        <v>0</v>
      </c>
      <c r="M1388" s="43"/>
    </row>
    <row r="1389" spans="1:13" ht="13.5" customHeight="1" x14ac:dyDescent="0.25">
      <c r="A1389" s="43"/>
      <c r="B1389" s="43"/>
      <c r="C1389" s="16">
        <f t="shared" si="26"/>
        <v>28</v>
      </c>
      <c r="D1389" s="16" t="str" cm="1">
        <f t="array" ref="D1389">IFERROR(ROUNDUP(_xlfn.IFS(F1389="Aluminum Track", _xlfn.XLOOKUP(C1389, dd_accsrycalc!$A$2:$A$51, dd_accsrycalc!$B$2:$B$51, "",0), F1389="10 x 2 1/2 S (Flat)", _xlfn.XLOOKUP(C1389, dd_accsrycalc!$A$2:$A$51, dd_accsrycalc!$C$2:$C$51, "",0), F1389="Tox6", _xlfn.XLOOKUP(C1389, dd_accsrycalc!$A$2:$A$51, dd_accsrycalc!$D$2:$D$51, "",0), F1389="Cover Cap", _xlfn.XLOOKUP(C1389, dd_accsrycalc!$A$2:$A$51, dd_accsrycalc!$E$2:$E$51, "",0), F1389="Drainage Cover", _xlfn.XLOOKUP(C1389, dd_accsrycalc!$A$2:$A$51, dd_accsrycalc!$F$2:$F$51, "",0),AND( F1389="Double Adhesive Tape", I1389="Roll-up Screen"), _xlfn.XLOOKUP(C1389, calc_rusacc!$C$15:$C$65, calc_rusacc!$AD$15:$AD$65, "",0),AND( F1389="Sealant", I1389="Roll-up Screen"), _xlfn.XLOOKUP(C1389, calc_rusacc!$C$15:$C$65, calc_rusacc!$AF$15:$AF$65, "",0),  AND( F1389="Main Chain", I1389="Accordion Screen"), _xlfn.XLOOKUP(C1389, calc_rusacc!$C$15:$C$65, calc_rusacc!$BF$15:$BF$65, "",0), AND( F1389="Sealant", I1389="Accordion Screen"), _xlfn.XLOOKUP(C1389, calc_rusacc!$C$15:$C$65, calc_rusacc!$BJ$15:$BJ$65, "",0),  F1389="Sealant", _xlfn.XLOOKUP(C1389, dd_accsrycalc!$A$2:$A$51, dd_accsrycalc!$G$2:$G$51, "",0),  F1389&lt;&gt;"",L1389*_xlfn.XLOOKUP(1, (SKUs!$C$2:$C$10001=G1389)*(SKUs!$K$2:$K$10001=I1389),SKUs!$E$2:$E$10001)), 0),"")</f>
        <v/>
      </c>
      <c r="E1389" s="16" t="str">
        <f>_xlfn.XLOOKUP(F1389,dd_item!$B$2:$B$105,dd_item!$C$2:$C$105,"",0)</f>
        <v/>
      </c>
      <c r="F1389" s="16"/>
      <c r="G1389" s="16" cm="1">
        <f t="array" ref="G1389">IFERROR(_xlfn.XLOOKUP(1, (SKUs!$J$2:$J$10001=accsry_unmerged!F1389)*IF(H1389&lt;&gt;"",(SKUs!$L$2:$L$10001=accsry_unmerged!H1389),1)*(SKUs!$K$2:$K$10001=I1389),SKUs!$C$2:$C$10001),"")</f>
        <v>0</v>
      </c>
      <c r="H1389" s="33" cm="1">
        <f t="array" ref="H1389">IFERROR(_xlfn.XLOOKUP(1, (dd_accsryclr!$C$2:$C$1000=accsry_unmerged!F1389)*(dd_accsryclr!$B$2:$B$1000=accsry_unmerged!J1389),dd_accsryclr!$A$2:$A$1000),"")</f>
        <v>0</v>
      </c>
      <c r="I1389" s="16">
        <f>_xlfn.XLOOKUP(C1389,'Project Details'!$C$17:$C$66,'Project Details'!$E$17:$E$66,"",0)</f>
        <v>0</v>
      </c>
      <c r="J1389" s="16">
        <f>_xlfn.XLOOKUP(C1389,'Project Details'!$C$17:$C$66,'Project Details'!$H$17:$H$66,"",0)</f>
        <v>0</v>
      </c>
      <c r="K1389" s="33" t="str">
        <f>IF(AND(_xlfn.XLOOKUP(C1389,'Project Details'!$C$17:$C$66,'Project Details'!$L$17:$L$66,"",0)&gt;550, F1389="Spring-L27cm"),"",SUBSTITUTE(_xlfn.XLOOKUP(G1389,SKUs!$C$2:$C$10001,SKUs!$F$2:$F$10001,"",0), " Accessories",""))</f>
        <v/>
      </c>
      <c r="L1389" s="33">
        <f>_xlfn.XLOOKUP(C1389,'Project Details'!$C$17:$C$66,'Project Details'!$D$17:$D$66,"",0)</f>
        <v>0</v>
      </c>
      <c r="M1389" s="43"/>
    </row>
    <row r="1390" spans="1:13" ht="13.5" customHeight="1" x14ac:dyDescent="0.25">
      <c r="A1390" s="43"/>
      <c r="B1390" s="43"/>
      <c r="C1390" s="35">
        <f t="shared" si="26"/>
        <v>28</v>
      </c>
      <c r="D1390" s="35" t="str" cm="1">
        <f t="array" ref="D1390">IFERROR(ROUNDUP(_xlfn.IFS(F1390="Aluminum Track", _xlfn.XLOOKUP(C1390, dd_accsrycalc!$A$2:$A$51, dd_accsrycalc!$B$2:$B$51, "",0), F1390="10 x 2 1/2 S (Flat)", _xlfn.XLOOKUP(C1390, dd_accsrycalc!$A$2:$A$51, dd_accsrycalc!$C$2:$C$51, "",0), F1390="Tox6", _xlfn.XLOOKUP(C1390, dd_accsrycalc!$A$2:$A$51, dd_accsrycalc!$D$2:$D$51, "",0), F1390="Cover Cap", _xlfn.XLOOKUP(C1390, dd_accsrycalc!$A$2:$A$51, dd_accsrycalc!$E$2:$E$51, "",0), F1390="Drainage Cover", _xlfn.XLOOKUP(C1390, dd_accsrycalc!$A$2:$A$51, dd_accsrycalc!$F$2:$F$51, "",0),AND( F1390="Double Adhesive Tape", I1390="Roll-up Screen"), _xlfn.XLOOKUP(C1390, calc_rusacc!$C$15:$C$65, calc_rusacc!$AD$15:$AD$65, "",0),AND( F1390="Sealant", I1390="Roll-up Screen"), _xlfn.XLOOKUP(C1390, calc_rusacc!$C$15:$C$65, calc_rusacc!$AF$15:$AF$65, "",0),  AND( F1390="Main Chain", I1390="Accordion Screen"), _xlfn.XLOOKUP(C1390, calc_rusacc!$C$15:$C$65, calc_rusacc!$BF$15:$BF$65, "",0), AND( F1390="Sealant", I1390="Accordion Screen"), _xlfn.XLOOKUP(C1390, calc_rusacc!$C$15:$C$65, calc_rusacc!$BJ$15:$BJ$65, "",0),  F1390="Sealant", _xlfn.XLOOKUP(C1390, dd_accsrycalc!$A$2:$A$51, dd_accsrycalc!$G$2:$G$51, "",0),  F1390&lt;&gt;"",L1390*_xlfn.XLOOKUP(1, (SKUs!$C$2:$C$10001=G1390)*(SKUs!$K$2:$K$10001=I1390),SKUs!$E$2:$E$10001)), 0),"")</f>
        <v/>
      </c>
      <c r="E1390" s="35" t="str">
        <f>_xlfn.XLOOKUP(F1390,dd_item!$B$2:$B$105,dd_item!$C$2:$C$105,"",0)</f>
        <v/>
      </c>
      <c r="F1390" s="35"/>
      <c r="G1390" s="35" cm="1">
        <f t="array" ref="G1390">IFERROR(_xlfn.XLOOKUP(1, (SKUs!$J$2:$J$10001=accsry_unmerged!F1390)*IF(H1390&lt;&gt;"",(SKUs!$L$2:$L$10001=accsry_unmerged!H1390),1)*(SKUs!$K$2:$K$10001=I1390),SKUs!$C$2:$C$10001),"")</f>
        <v>0</v>
      </c>
      <c r="H1390" s="36" cm="1">
        <f t="array" ref="H1390">IFERROR(_xlfn.XLOOKUP(1, (dd_accsryclr!$C$2:$C$1000=accsry_unmerged!F1390)*(dd_accsryclr!$B$2:$B$1000=accsry_unmerged!J1390),dd_accsryclr!$A$2:$A$1000),"")</f>
        <v>0</v>
      </c>
      <c r="I1390" s="35">
        <f>_xlfn.XLOOKUP(C1390,'Project Details'!$C$17:$C$66,'Project Details'!$E$17:$E$66,"",0)</f>
        <v>0</v>
      </c>
      <c r="J1390" s="35">
        <f>_xlfn.XLOOKUP(C1390,'Project Details'!$C$17:$C$66,'Project Details'!$H$17:$H$66,"",0)</f>
        <v>0</v>
      </c>
      <c r="K1390" s="36" t="str">
        <f>IF(AND(_xlfn.XLOOKUP(C1390,'Project Details'!$C$17:$C$66,'Project Details'!$L$17:$L$66,"",0)&gt;550, F1390="Spring-L27cm"),"",SUBSTITUTE(_xlfn.XLOOKUP(G1390,SKUs!$C$2:$C$10001,SKUs!$F$2:$F$10001,"",0), " Accessories",""))</f>
        <v/>
      </c>
      <c r="L1390" s="36">
        <f>_xlfn.XLOOKUP(C1390,'Project Details'!$C$17:$C$66,'Project Details'!$D$17:$D$66,"",0)</f>
        <v>0</v>
      </c>
      <c r="M1390" s="43"/>
    </row>
    <row r="1391" spans="1:13" ht="13.5" customHeight="1" x14ac:dyDescent="0.25">
      <c r="A1391" s="43"/>
      <c r="B1391" s="43"/>
      <c r="C1391" s="16">
        <f t="shared" si="26"/>
        <v>28</v>
      </c>
      <c r="D1391" s="16" t="str" cm="1">
        <f t="array" ref="D1391">IFERROR(ROUNDUP(_xlfn.IFS(F1391="Aluminum Track", _xlfn.XLOOKUP(C1391, dd_accsrycalc!$A$2:$A$51, dd_accsrycalc!$B$2:$B$51, "",0), F1391="10 x 2 1/2 S (Flat)", _xlfn.XLOOKUP(C1391, dd_accsrycalc!$A$2:$A$51, dd_accsrycalc!$C$2:$C$51, "",0), F1391="Tox6", _xlfn.XLOOKUP(C1391, dd_accsrycalc!$A$2:$A$51, dd_accsrycalc!$D$2:$D$51, "",0), F1391="Cover Cap", _xlfn.XLOOKUP(C1391, dd_accsrycalc!$A$2:$A$51, dd_accsrycalc!$E$2:$E$51, "",0), F1391="Drainage Cover", _xlfn.XLOOKUP(C1391, dd_accsrycalc!$A$2:$A$51, dd_accsrycalc!$F$2:$F$51, "",0),AND( F1391="Double Adhesive Tape", I1391="Roll-up Screen"), _xlfn.XLOOKUP(C1391, calc_rusacc!$C$15:$C$65, calc_rusacc!$AD$15:$AD$65, "",0),AND( F1391="Sealant", I1391="Roll-up Screen"), _xlfn.XLOOKUP(C1391, calc_rusacc!$C$15:$C$65, calc_rusacc!$AF$15:$AF$65, "",0),  AND( F1391="Main Chain", I1391="Accordion Screen"), _xlfn.XLOOKUP(C1391, calc_rusacc!$C$15:$C$65, calc_rusacc!$BF$15:$BF$65, "",0), AND( F1391="Sealant", I1391="Accordion Screen"), _xlfn.XLOOKUP(C1391, calc_rusacc!$C$15:$C$65, calc_rusacc!$BJ$15:$BJ$65, "",0),  F1391="Sealant", _xlfn.XLOOKUP(C1391, dd_accsrycalc!$A$2:$A$51, dd_accsrycalc!$G$2:$G$51, "",0),  F1391&lt;&gt;"",L1391*_xlfn.XLOOKUP(1, (SKUs!$C$2:$C$10001=G1391)*(SKUs!$K$2:$K$10001=I1391),SKUs!$E$2:$E$10001)), 0),"")</f>
        <v/>
      </c>
      <c r="E1391" s="16" t="str">
        <f>_xlfn.XLOOKUP(F1391,dd_item!$B$2:$B$105,dd_item!$C$2:$C$105,"",0)</f>
        <v/>
      </c>
      <c r="F1391" s="16"/>
      <c r="G1391" s="16" cm="1">
        <f t="array" ref="G1391">IFERROR(_xlfn.XLOOKUP(1, (SKUs!$J$2:$J$10001=accsry_unmerged!F1391)*IF(H1391&lt;&gt;"",(SKUs!$L$2:$L$10001=accsry_unmerged!H1391),1)*(SKUs!$K$2:$K$10001=I1391),SKUs!$C$2:$C$10001),"")</f>
        <v>0</v>
      </c>
      <c r="H1391" s="33" cm="1">
        <f t="array" ref="H1391">IFERROR(_xlfn.XLOOKUP(1, (dd_accsryclr!$C$2:$C$1000=accsry_unmerged!F1391)*(dd_accsryclr!$B$2:$B$1000=accsry_unmerged!J1391),dd_accsryclr!$A$2:$A$1000),"")</f>
        <v>0</v>
      </c>
      <c r="I1391" s="16">
        <f>_xlfn.XLOOKUP(C1391,'Project Details'!$C$17:$C$66,'Project Details'!$E$17:$E$66,"",0)</f>
        <v>0</v>
      </c>
      <c r="J1391" s="16">
        <f>_xlfn.XLOOKUP(C1391,'Project Details'!$C$17:$C$66,'Project Details'!$H$17:$H$66,"",0)</f>
        <v>0</v>
      </c>
      <c r="K1391" s="33" t="str">
        <f>IF(AND(_xlfn.XLOOKUP(C1391,'Project Details'!$C$17:$C$66,'Project Details'!$L$17:$L$66,"",0)&gt;550, F1391="Spring-L27cm"),"",SUBSTITUTE(_xlfn.XLOOKUP(G1391,SKUs!$C$2:$C$10001,SKUs!$F$2:$F$10001,"",0), " Accessories",""))</f>
        <v/>
      </c>
      <c r="L1391" s="33">
        <f>_xlfn.XLOOKUP(C1391,'Project Details'!$C$17:$C$66,'Project Details'!$D$17:$D$66,"",0)</f>
        <v>0</v>
      </c>
      <c r="M1391" s="43"/>
    </row>
    <row r="1392" spans="1:13" ht="13.5" customHeight="1" x14ac:dyDescent="0.25">
      <c r="A1392" s="43"/>
      <c r="B1392" s="43"/>
      <c r="C1392" s="35">
        <f t="shared" si="26"/>
        <v>28</v>
      </c>
      <c r="D1392" s="35" t="str" cm="1">
        <f t="array" ref="D1392">IFERROR(ROUNDUP(_xlfn.IFS(F1392="Aluminum Track", _xlfn.XLOOKUP(C1392, dd_accsrycalc!$A$2:$A$51, dd_accsrycalc!$B$2:$B$51, "",0), F1392="10 x 2 1/2 S (Flat)", _xlfn.XLOOKUP(C1392, dd_accsrycalc!$A$2:$A$51, dd_accsrycalc!$C$2:$C$51, "",0), F1392="Tox6", _xlfn.XLOOKUP(C1392, dd_accsrycalc!$A$2:$A$51, dd_accsrycalc!$D$2:$D$51, "",0), F1392="Cover Cap", _xlfn.XLOOKUP(C1392, dd_accsrycalc!$A$2:$A$51, dd_accsrycalc!$E$2:$E$51, "",0), F1392="Drainage Cover", _xlfn.XLOOKUP(C1392, dd_accsrycalc!$A$2:$A$51, dd_accsrycalc!$F$2:$F$51, "",0),AND( F1392="Double Adhesive Tape", I1392="Roll-up Screen"), _xlfn.XLOOKUP(C1392, calc_rusacc!$C$15:$C$65, calc_rusacc!$AD$15:$AD$65, "",0),AND( F1392="Sealant", I1392="Roll-up Screen"), _xlfn.XLOOKUP(C1392, calc_rusacc!$C$15:$C$65, calc_rusacc!$AF$15:$AF$65, "",0),  AND( F1392="Main Chain", I1392="Accordion Screen"), _xlfn.XLOOKUP(C1392, calc_rusacc!$C$15:$C$65, calc_rusacc!$BF$15:$BF$65, "",0), AND( F1392="Sealant", I1392="Accordion Screen"), _xlfn.XLOOKUP(C1392, calc_rusacc!$C$15:$C$65, calc_rusacc!$BJ$15:$BJ$65, "",0),  F1392="Sealant", _xlfn.XLOOKUP(C1392, dd_accsrycalc!$A$2:$A$51, dd_accsrycalc!$G$2:$G$51, "",0),  F1392&lt;&gt;"",L1392*_xlfn.XLOOKUP(1, (SKUs!$C$2:$C$10001=G1392)*(SKUs!$K$2:$K$10001=I1392),SKUs!$E$2:$E$10001)), 0),"")</f>
        <v/>
      </c>
      <c r="E1392" s="35" t="str">
        <f>_xlfn.XLOOKUP(F1392,dd_item!$B$2:$B$105,dd_item!$C$2:$C$105,"",0)</f>
        <v/>
      </c>
      <c r="F1392" s="35"/>
      <c r="G1392" s="35" cm="1">
        <f t="array" ref="G1392">IFERROR(_xlfn.XLOOKUP(1, (SKUs!$J$2:$J$10001=accsry_unmerged!F1392)*IF(H1392&lt;&gt;"",(SKUs!$L$2:$L$10001=accsry_unmerged!H1392),1)*(SKUs!$K$2:$K$10001=I1392),SKUs!$C$2:$C$10001),"")</f>
        <v>0</v>
      </c>
      <c r="H1392" s="36" cm="1">
        <f t="array" ref="H1392">IFERROR(_xlfn.XLOOKUP(1, (dd_accsryclr!$C$2:$C$1000=accsry_unmerged!F1392)*(dd_accsryclr!$B$2:$B$1000=accsry_unmerged!J1392),dd_accsryclr!$A$2:$A$1000),"")</f>
        <v>0</v>
      </c>
      <c r="I1392" s="35">
        <f>_xlfn.XLOOKUP(C1392,'Project Details'!$C$17:$C$66,'Project Details'!$E$17:$E$66,"",0)</f>
        <v>0</v>
      </c>
      <c r="J1392" s="35">
        <f>_xlfn.XLOOKUP(C1392,'Project Details'!$C$17:$C$66,'Project Details'!$H$17:$H$66,"",0)</f>
        <v>0</v>
      </c>
      <c r="K1392" s="36" t="str">
        <f>IF(AND(_xlfn.XLOOKUP(C1392,'Project Details'!$C$17:$C$66,'Project Details'!$L$17:$L$66,"",0)&gt;550, F1392="Spring-L27cm"),"",SUBSTITUTE(_xlfn.XLOOKUP(G1392,SKUs!$C$2:$C$10001,SKUs!$F$2:$F$10001,"",0), " Accessories",""))</f>
        <v/>
      </c>
      <c r="L1392" s="36">
        <f>_xlfn.XLOOKUP(C1392,'Project Details'!$C$17:$C$66,'Project Details'!$D$17:$D$66,"",0)</f>
        <v>0</v>
      </c>
      <c r="M1392" s="43"/>
    </row>
    <row r="1393" spans="1:13" ht="13.5" customHeight="1" x14ac:dyDescent="0.25">
      <c r="A1393" s="43"/>
      <c r="B1393" s="43"/>
      <c r="C1393" s="16">
        <f t="shared" si="26"/>
        <v>28</v>
      </c>
      <c r="D1393" s="16" t="str" cm="1">
        <f t="array" ref="D1393">IFERROR(ROUNDUP(_xlfn.IFS(F1393="Aluminum Track", _xlfn.XLOOKUP(C1393, dd_accsrycalc!$A$2:$A$51, dd_accsrycalc!$B$2:$B$51, "",0), F1393="10 x 2 1/2 S (Flat)", _xlfn.XLOOKUP(C1393, dd_accsrycalc!$A$2:$A$51, dd_accsrycalc!$C$2:$C$51, "",0), F1393="Tox6", _xlfn.XLOOKUP(C1393, dd_accsrycalc!$A$2:$A$51, dd_accsrycalc!$D$2:$D$51, "",0), F1393="Cover Cap", _xlfn.XLOOKUP(C1393, dd_accsrycalc!$A$2:$A$51, dd_accsrycalc!$E$2:$E$51, "",0), F1393="Drainage Cover", _xlfn.XLOOKUP(C1393, dd_accsrycalc!$A$2:$A$51, dd_accsrycalc!$F$2:$F$51, "",0),AND( F1393="Double Adhesive Tape", I1393="Roll-up Screen"), _xlfn.XLOOKUP(C1393, calc_rusacc!$C$15:$C$65, calc_rusacc!$AD$15:$AD$65, "",0),AND( F1393="Sealant", I1393="Roll-up Screen"), _xlfn.XLOOKUP(C1393, calc_rusacc!$C$15:$C$65, calc_rusacc!$AF$15:$AF$65, "",0),  AND( F1393="Main Chain", I1393="Accordion Screen"), _xlfn.XLOOKUP(C1393, calc_rusacc!$C$15:$C$65, calc_rusacc!$BF$15:$BF$65, "",0), AND( F1393="Sealant", I1393="Accordion Screen"), _xlfn.XLOOKUP(C1393, calc_rusacc!$C$15:$C$65, calc_rusacc!$BJ$15:$BJ$65, "",0),  F1393="Sealant", _xlfn.XLOOKUP(C1393, dd_accsrycalc!$A$2:$A$51, dd_accsrycalc!$G$2:$G$51, "",0),  F1393&lt;&gt;"",L1393*_xlfn.XLOOKUP(1, (SKUs!$C$2:$C$10001=G1393)*(SKUs!$K$2:$K$10001=I1393),SKUs!$E$2:$E$10001)), 0),"")</f>
        <v/>
      </c>
      <c r="E1393" s="16" t="str">
        <f>_xlfn.XLOOKUP(F1393,dd_item!$B$2:$B$105,dd_item!$C$2:$C$105,"",0)</f>
        <v/>
      </c>
      <c r="F1393" s="16"/>
      <c r="G1393" s="16" cm="1">
        <f t="array" ref="G1393">IFERROR(_xlfn.XLOOKUP(1, (SKUs!$J$2:$J$10001=accsry_unmerged!F1393)*IF(H1393&lt;&gt;"",(SKUs!$L$2:$L$10001=accsry_unmerged!H1393),1)*(SKUs!$K$2:$K$10001=I1393),SKUs!$C$2:$C$10001),"")</f>
        <v>0</v>
      </c>
      <c r="H1393" s="33" cm="1">
        <f t="array" ref="H1393">IFERROR(_xlfn.XLOOKUP(1, (dd_accsryclr!$C$2:$C$1000=accsry_unmerged!F1393)*(dd_accsryclr!$B$2:$B$1000=accsry_unmerged!J1393),dd_accsryclr!$A$2:$A$1000),"")</f>
        <v>0</v>
      </c>
      <c r="I1393" s="16">
        <f>_xlfn.XLOOKUP(C1393,'Project Details'!$C$17:$C$66,'Project Details'!$E$17:$E$66,"",0)</f>
        <v>0</v>
      </c>
      <c r="J1393" s="16">
        <f>_xlfn.XLOOKUP(C1393,'Project Details'!$C$17:$C$66,'Project Details'!$H$17:$H$66,"",0)</f>
        <v>0</v>
      </c>
      <c r="K1393" s="33" t="str">
        <f>IF(AND(_xlfn.XLOOKUP(C1393,'Project Details'!$C$17:$C$66,'Project Details'!$L$17:$L$66,"",0)&gt;550, F1393="Spring-L27cm"),"",SUBSTITUTE(_xlfn.XLOOKUP(G1393,SKUs!$C$2:$C$10001,SKUs!$F$2:$F$10001,"",0), " Accessories",""))</f>
        <v/>
      </c>
      <c r="L1393" s="33">
        <f>_xlfn.XLOOKUP(C1393,'Project Details'!$C$17:$C$66,'Project Details'!$D$17:$D$66,"",0)</f>
        <v>0</v>
      </c>
      <c r="M1393" s="43"/>
    </row>
    <row r="1394" spans="1:13" ht="13.5" customHeight="1" x14ac:dyDescent="0.25">
      <c r="A1394" s="43"/>
      <c r="B1394" s="43"/>
      <c r="C1394" s="35">
        <f t="shared" si="26"/>
        <v>28</v>
      </c>
      <c r="D1394" s="35" t="str" cm="1">
        <f t="array" ref="D1394">IFERROR(ROUNDUP(_xlfn.IFS(F1394="Aluminum Track", _xlfn.XLOOKUP(C1394, dd_accsrycalc!$A$2:$A$51, dd_accsrycalc!$B$2:$B$51, "",0), F1394="10 x 2 1/2 S (Flat)", _xlfn.XLOOKUP(C1394, dd_accsrycalc!$A$2:$A$51, dd_accsrycalc!$C$2:$C$51, "",0), F1394="Tox6", _xlfn.XLOOKUP(C1394, dd_accsrycalc!$A$2:$A$51, dd_accsrycalc!$D$2:$D$51, "",0), F1394="Cover Cap", _xlfn.XLOOKUP(C1394, dd_accsrycalc!$A$2:$A$51, dd_accsrycalc!$E$2:$E$51, "",0), F1394="Drainage Cover", _xlfn.XLOOKUP(C1394, dd_accsrycalc!$A$2:$A$51, dd_accsrycalc!$F$2:$F$51, "",0),AND( F1394="Double Adhesive Tape", I1394="Roll-up Screen"), _xlfn.XLOOKUP(C1394, calc_rusacc!$C$15:$C$65, calc_rusacc!$AD$15:$AD$65, "",0),AND( F1394="Sealant", I1394="Roll-up Screen"), _xlfn.XLOOKUP(C1394, calc_rusacc!$C$15:$C$65, calc_rusacc!$AF$15:$AF$65, "",0),  AND( F1394="Main Chain", I1394="Accordion Screen"), _xlfn.XLOOKUP(C1394, calc_rusacc!$C$15:$C$65, calc_rusacc!$BF$15:$BF$65, "",0), AND( F1394="Sealant", I1394="Accordion Screen"), _xlfn.XLOOKUP(C1394, calc_rusacc!$C$15:$C$65, calc_rusacc!$BJ$15:$BJ$65, "",0),  F1394="Sealant", _xlfn.XLOOKUP(C1394, dd_accsrycalc!$A$2:$A$51, dd_accsrycalc!$G$2:$G$51, "",0),  F1394&lt;&gt;"",L1394*_xlfn.XLOOKUP(1, (SKUs!$C$2:$C$10001=G1394)*(SKUs!$K$2:$K$10001=I1394),SKUs!$E$2:$E$10001)), 0),"")</f>
        <v/>
      </c>
      <c r="E1394" s="35" t="str">
        <f>_xlfn.XLOOKUP(F1394,dd_item!$B$2:$B$105,dd_item!$C$2:$C$105,"",0)</f>
        <v/>
      </c>
      <c r="F1394" s="35"/>
      <c r="G1394" s="35" cm="1">
        <f t="array" ref="G1394">IFERROR(_xlfn.XLOOKUP(1, (SKUs!$J$2:$J$10001=accsry_unmerged!F1394)*IF(H1394&lt;&gt;"",(SKUs!$L$2:$L$10001=accsry_unmerged!H1394),1)*(SKUs!$K$2:$K$10001=I1394),SKUs!$C$2:$C$10001),"")</f>
        <v>0</v>
      </c>
      <c r="H1394" s="36" cm="1">
        <f t="array" ref="H1394">IFERROR(_xlfn.XLOOKUP(1, (dd_accsryclr!$C$2:$C$1000=accsry_unmerged!F1394)*(dd_accsryclr!$B$2:$B$1000=accsry_unmerged!J1394),dd_accsryclr!$A$2:$A$1000),"")</f>
        <v>0</v>
      </c>
      <c r="I1394" s="35">
        <f>_xlfn.XLOOKUP(C1394,'Project Details'!$C$17:$C$66,'Project Details'!$E$17:$E$66,"",0)</f>
        <v>0</v>
      </c>
      <c r="J1394" s="35">
        <f>_xlfn.XLOOKUP(C1394,'Project Details'!$C$17:$C$66,'Project Details'!$H$17:$H$66,"",0)</f>
        <v>0</v>
      </c>
      <c r="K1394" s="36" t="str">
        <f>IF(AND(_xlfn.XLOOKUP(C1394,'Project Details'!$C$17:$C$66,'Project Details'!$L$17:$L$66,"",0)&gt;550, F1394="Spring-L27cm"),"",SUBSTITUTE(_xlfn.XLOOKUP(G1394,SKUs!$C$2:$C$10001,SKUs!$F$2:$F$10001,"",0), " Accessories",""))</f>
        <v/>
      </c>
      <c r="L1394" s="36">
        <f>_xlfn.XLOOKUP(C1394,'Project Details'!$C$17:$C$66,'Project Details'!$D$17:$D$66,"",0)</f>
        <v>0</v>
      </c>
      <c r="M1394" s="43"/>
    </row>
    <row r="1395" spans="1:13" ht="13.5" customHeight="1" outlineLevel="1" x14ac:dyDescent="0.25">
      <c r="A1395" s="43"/>
      <c r="B1395" s="43"/>
      <c r="C1395" s="16">
        <f t="shared" si="26"/>
        <v>28</v>
      </c>
      <c r="D1395" s="16" t="str" cm="1">
        <f t="array" ref="D1395">IFERROR(ROUNDUP(_xlfn.IFS(F1395="Aluminum Track", _xlfn.XLOOKUP(C1395, dd_accsrycalc!$A$2:$A$51, dd_accsrycalc!$B$2:$B$51, "",0), F1395="10 x 2 1/2 S (Flat)", _xlfn.XLOOKUP(C1395, dd_accsrycalc!$A$2:$A$51, dd_accsrycalc!$C$2:$C$51, "",0), F1395="Tox6", _xlfn.XLOOKUP(C1395, dd_accsrycalc!$A$2:$A$51, dd_accsrycalc!$D$2:$D$51, "",0), F1395="Cover Cap", _xlfn.XLOOKUP(C1395, dd_accsrycalc!$A$2:$A$51, dd_accsrycalc!$E$2:$E$51, "",0), F1395="Drainage Cover", _xlfn.XLOOKUP(C1395, dd_accsrycalc!$A$2:$A$51, dd_accsrycalc!$F$2:$F$51, "",0),AND( F1395="Double Adhesive Tape", I1395="Roll-up Screen"), _xlfn.XLOOKUP(C1395, calc_rusacc!$C$15:$C$65, calc_rusacc!$AD$15:$AD$65, "",0),AND( F1395="Sealant", I1395="Roll-up Screen"), _xlfn.XLOOKUP(C1395, calc_rusacc!$C$15:$C$65, calc_rusacc!$AF$15:$AF$65, "",0),  AND( F1395="Main Chain", I1395="Accordion Screen"), _xlfn.XLOOKUP(C1395, calc_rusacc!$C$15:$C$65, calc_rusacc!$BF$15:$BF$65, "",0), AND( F1395="Sealant", I1395="Accordion Screen"), _xlfn.XLOOKUP(C1395, calc_rusacc!$C$15:$C$65, calc_rusacc!$BJ$15:$BJ$65, "",0),  F1395="Sealant", _xlfn.XLOOKUP(C1395, dd_accsrycalc!$A$2:$A$51, dd_accsrycalc!$G$2:$G$51, "",0),  F1395&lt;&gt;"",L1395*_xlfn.XLOOKUP(1, (SKUs!$C$2:$C$10001=G1395)*(SKUs!$K$2:$K$10001=I1395),SKUs!$E$2:$E$10001)), 0),"")</f>
        <v/>
      </c>
      <c r="E1395" s="16" t="str">
        <f>_xlfn.XLOOKUP(F1395,dd_item!$B$2:$B$105,dd_item!$C$2:$C$105,"",0)</f>
        <v/>
      </c>
      <c r="F1395" s="16"/>
      <c r="G1395" s="16" cm="1">
        <f t="array" ref="G1395">IFERROR(_xlfn.XLOOKUP(1, (SKUs!$J$2:$J$10001=accsry_unmerged!F1395)*IF(H1395&lt;&gt;"",(SKUs!$L$2:$L$10001=accsry_unmerged!H1395),1)*(SKUs!$K$2:$K$10001=I1395),SKUs!$C$2:$C$10001),"")</f>
        <v>0</v>
      </c>
      <c r="H1395" s="33" cm="1">
        <f t="array" ref="H1395">IFERROR(_xlfn.XLOOKUP(1, (dd_accsryclr!$C$2:$C$1000=accsry_unmerged!F1395)*(dd_accsryclr!$B$2:$B$1000=accsry_unmerged!J1395),dd_accsryclr!$A$2:$A$1000),"")</f>
        <v>0</v>
      </c>
      <c r="I1395" s="16">
        <f>_xlfn.XLOOKUP(C1395,'Project Details'!$C$17:$C$66,'Project Details'!$E$17:$E$66,"",0)</f>
        <v>0</v>
      </c>
      <c r="J1395" s="16">
        <f>_xlfn.XLOOKUP(C1395,'Project Details'!$C$17:$C$66,'Project Details'!$H$17:$H$66,"",0)</f>
        <v>0</v>
      </c>
      <c r="K1395" s="33" t="str">
        <f>IF(AND(_xlfn.XLOOKUP(C1395,'Project Details'!$C$17:$C$66,'Project Details'!$L$17:$L$66,"",0)&gt;550, F1395="Spring-L27cm"),"",SUBSTITUTE(_xlfn.XLOOKUP(G1395,SKUs!$C$2:$C$10001,SKUs!$F$2:$F$10001,"",0), " Accessories",""))</f>
        <v/>
      </c>
      <c r="L1395" s="33">
        <f>_xlfn.XLOOKUP(C1395,'Project Details'!$C$17:$C$66,'Project Details'!$D$17:$D$66,"",0)</f>
        <v>0</v>
      </c>
      <c r="M1395" s="43"/>
    </row>
    <row r="1396" spans="1:13" ht="13.5" customHeight="1" outlineLevel="1" x14ac:dyDescent="0.25">
      <c r="A1396" s="43"/>
      <c r="B1396" s="43"/>
      <c r="C1396" s="35">
        <f t="shared" si="26"/>
        <v>28</v>
      </c>
      <c r="D1396" s="35" t="str" cm="1">
        <f t="array" ref="D1396">IFERROR(ROUNDUP(_xlfn.IFS(F1396="Aluminum Track", _xlfn.XLOOKUP(C1396, dd_accsrycalc!$A$2:$A$51, dd_accsrycalc!$B$2:$B$51, "",0), F1396="10 x 2 1/2 S (Flat)", _xlfn.XLOOKUP(C1396, dd_accsrycalc!$A$2:$A$51, dd_accsrycalc!$C$2:$C$51, "",0), F1396="Tox6", _xlfn.XLOOKUP(C1396, dd_accsrycalc!$A$2:$A$51, dd_accsrycalc!$D$2:$D$51, "",0), F1396="Cover Cap", _xlfn.XLOOKUP(C1396, dd_accsrycalc!$A$2:$A$51, dd_accsrycalc!$E$2:$E$51, "",0), F1396="Drainage Cover", _xlfn.XLOOKUP(C1396, dd_accsrycalc!$A$2:$A$51, dd_accsrycalc!$F$2:$F$51, "",0),AND( F1396="Double Adhesive Tape", I1396="Roll-up Screen"), _xlfn.XLOOKUP(C1396, calc_rusacc!$C$15:$C$65, calc_rusacc!$AD$15:$AD$65, "",0),AND( F1396="Sealant", I1396="Roll-up Screen"), _xlfn.XLOOKUP(C1396, calc_rusacc!$C$15:$C$65, calc_rusacc!$AF$15:$AF$65, "",0),  AND( F1396="Main Chain", I1396="Accordion Screen"), _xlfn.XLOOKUP(C1396, calc_rusacc!$C$15:$C$65, calc_rusacc!$BF$15:$BF$65, "",0), AND( F1396="Sealant", I1396="Accordion Screen"), _xlfn.XLOOKUP(C1396, calc_rusacc!$C$15:$C$65, calc_rusacc!$BJ$15:$BJ$65, "",0),  F1396="Sealant", _xlfn.XLOOKUP(C1396, dd_accsrycalc!$A$2:$A$51, dd_accsrycalc!$G$2:$G$51, "",0),  F1396&lt;&gt;"",L1396*_xlfn.XLOOKUP(1, (SKUs!$C$2:$C$10001=G1396)*(SKUs!$K$2:$K$10001=I1396),SKUs!$E$2:$E$10001)), 0),"")</f>
        <v/>
      </c>
      <c r="E1396" s="35" t="str">
        <f>_xlfn.XLOOKUP(F1396,dd_item!$B$2:$B$105,dd_item!$C$2:$C$105,"",0)</f>
        <v/>
      </c>
      <c r="F1396" s="35"/>
      <c r="G1396" s="35" cm="1">
        <f t="array" ref="G1396">IFERROR(_xlfn.XLOOKUP(1, (SKUs!$J$2:$J$10001=accsry_unmerged!F1396)*IF(H1396&lt;&gt;"",(SKUs!$L$2:$L$10001=accsry_unmerged!H1396),1)*(SKUs!$K$2:$K$10001=I1396),SKUs!$C$2:$C$10001),"")</f>
        <v>0</v>
      </c>
      <c r="H1396" s="36" cm="1">
        <f t="array" ref="H1396">IFERROR(_xlfn.XLOOKUP(1, (dd_accsryclr!$C$2:$C$1000=accsry_unmerged!F1396)*(dd_accsryclr!$B$2:$B$1000=accsry_unmerged!J1396),dd_accsryclr!$A$2:$A$1000),"")</f>
        <v>0</v>
      </c>
      <c r="I1396" s="35">
        <f>_xlfn.XLOOKUP(C1396,'Project Details'!$C$17:$C$66,'Project Details'!$E$17:$E$66,"",0)</f>
        <v>0</v>
      </c>
      <c r="J1396" s="35">
        <f>_xlfn.XLOOKUP(C1396,'Project Details'!$C$17:$C$66,'Project Details'!$H$17:$H$66,"",0)</f>
        <v>0</v>
      </c>
      <c r="K1396" s="36" t="str">
        <f>IF(AND(_xlfn.XLOOKUP(C1396,'Project Details'!$C$17:$C$66,'Project Details'!$L$17:$L$66,"",0)&gt;550, F1396="Spring-L27cm"),"",SUBSTITUTE(_xlfn.XLOOKUP(G1396,SKUs!$C$2:$C$10001,SKUs!$F$2:$F$10001,"",0), " Accessories",""))</f>
        <v/>
      </c>
      <c r="L1396" s="36">
        <f>_xlfn.XLOOKUP(C1396,'Project Details'!$C$17:$C$66,'Project Details'!$D$17:$D$66,"",0)</f>
        <v>0</v>
      </c>
      <c r="M1396" s="43"/>
    </row>
    <row r="1397" spans="1:13" ht="13.5" customHeight="1" outlineLevel="1" x14ac:dyDescent="0.25">
      <c r="A1397" s="43"/>
      <c r="B1397" s="43"/>
      <c r="C1397" s="16">
        <f t="shared" si="26"/>
        <v>28</v>
      </c>
      <c r="D1397" s="16" t="str" cm="1">
        <f t="array" ref="D1397">IFERROR(ROUNDUP(_xlfn.IFS(F1397="Aluminum Track", _xlfn.XLOOKUP(C1397, dd_accsrycalc!$A$2:$A$51, dd_accsrycalc!$B$2:$B$51, "",0), F1397="10 x 2 1/2 S (Flat)", _xlfn.XLOOKUP(C1397, dd_accsrycalc!$A$2:$A$51, dd_accsrycalc!$C$2:$C$51, "",0), F1397="Tox6", _xlfn.XLOOKUP(C1397, dd_accsrycalc!$A$2:$A$51, dd_accsrycalc!$D$2:$D$51, "",0), F1397="Cover Cap", _xlfn.XLOOKUP(C1397, dd_accsrycalc!$A$2:$A$51, dd_accsrycalc!$E$2:$E$51, "",0), F1397="Drainage Cover", _xlfn.XLOOKUP(C1397, dd_accsrycalc!$A$2:$A$51, dd_accsrycalc!$F$2:$F$51, "",0),AND( F1397="Double Adhesive Tape", I1397="Roll-up Screen"), _xlfn.XLOOKUP(C1397, calc_rusacc!$C$15:$C$65, calc_rusacc!$AD$15:$AD$65, "",0),AND( F1397="Sealant", I1397="Roll-up Screen"), _xlfn.XLOOKUP(C1397, calc_rusacc!$C$15:$C$65, calc_rusacc!$AF$15:$AF$65, "",0),  AND( F1397="Main Chain", I1397="Accordion Screen"), _xlfn.XLOOKUP(C1397, calc_rusacc!$C$15:$C$65, calc_rusacc!$BF$15:$BF$65, "",0), AND( F1397="Sealant", I1397="Accordion Screen"), _xlfn.XLOOKUP(C1397, calc_rusacc!$C$15:$C$65, calc_rusacc!$BJ$15:$BJ$65, "",0),  F1397="Sealant", _xlfn.XLOOKUP(C1397, dd_accsrycalc!$A$2:$A$51, dd_accsrycalc!$G$2:$G$51, "",0),  F1397&lt;&gt;"",L1397*_xlfn.XLOOKUP(1, (SKUs!$C$2:$C$10001=G1397)*(SKUs!$K$2:$K$10001=I1397),SKUs!$E$2:$E$10001)), 0),"")</f>
        <v/>
      </c>
      <c r="E1397" s="16" t="str">
        <f>_xlfn.XLOOKUP(F1397,dd_item!$B$2:$B$105,dd_item!$C$2:$C$105,"",0)</f>
        <v/>
      </c>
      <c r="F1397" s="16"/>
      <c r="G1397" s="16" cm="1">
        <f t="array" ref="G1397">IFERROR(_xlfn.XLOOKUP(1, (SKUs!$J$2:$J$10001=accsry_unmerged!F1397)*IF(H1397&lt;&gt;"",(SKUs!$L$2:$L$10001=accsry_unmerged!H1397),1)*(SKUs!$K$2:$K$10001=I1397),SKUs!$C$2:$C$10001),"")</f>
        <v>0</v>
      </c>
      <c r="H1397" s="33" cm="1">
        <f t="array" ref="H1397">IFERROR(_xlfn.XLOOKUP(1, (dd_accsryclr!$C$2:$C$1000=accsry_unmerged!F1397)*(dd_accsryclr!$B$2:$B$1000=accsry_unmerged!J1397),dd_accsryclr!$A$2:$A$1000),"")</f>
        <v>0</v>
      </c>
      <c r="I1397" s="16">
        <f>_xlfn.XLOOKUP(C1397,'Project Details'!$C$17:$C$66,'Project Details'!$E$17:$E$66,"",0)</f>
        <v>0</v>
      </c>
      <c r="J1397" s="16">
        <f>_xlfn.XLOOKUP(C1397,'Project Details'!$C$17:$C$66,'Project Details'!$H$17:$H$66,"",0)</f>
        <v>0</v>
      </c>
      <c r="K1397" s="33" t="str">
        <f>IF(AND(_xlfn.XLOOKUP(C1397,'Project Details'!$C$17:$C$66,'Project Details'!$L$17:$L$66,"",0)&gt;550, F1397="Spring-L27cm"),"",SUBSTITUTE(_xlfn.XLOOKUP(G1397,SKUs!$C$2:$C$10001,SKUs!$F$2:$F$10001,"",0), " Accessories",""))</f>
        <v/>
      </c>
      <c r="L1397" s="33">
        <f>_xlfn.XLOOKUP(C1397,'Project Details'!$C$17:$C$66,'Project Details'!$D$17:$D$66,"",0)</f>
        <v>0</v>
      </c>
      <c r="M1397" s="43"/>
    </row>
    <row r="1398" spans="1:13" ht="13.5" customHeight="1" outlineLevel="1" x14ac:dyDescent="0.25">
      <c r="A1398" s="43"/>
      <c r="B1398" s="43"/>
      <c r="C1398" s="35">
        <f t="shared" si="26"/>
        <v>28</v>
      </c>
      <c r="D1398" s="35" t="str" cm="1">
        <f t="array" ref="D1398">IFERROR(ROUNDUP(_xlfn.IFS(F1398="Aluminum Track", _xlfn.XLOOKUP(C1398, dd_accsrycalc!$A$2:$A$51, dd_accsrycalc!$B$2:$B$51, "",0), F1398="10 x 2 1/2 S (Flat)", _xlfn.XLOOKUP(C1398, dd_accsrycalc!$A$2:$A$51, dd_accsrycalc!$C$2:$C$51, "",0), F1398="Tox6", _xlfn.XLOOKUP(C1398, dd_accsrycalc!$A$2:$A$51, dd_accsrycalc!$D$2:$D$51, "",0), F1398="Cover Cap", _xlfn.XLOOKUP(C1398, dd_accsrycalc!$A$2:$A$51, dd_accsrycalc!$E$2:$E$51, "",0), F1398="Drainage Cover", _xlfn.XLOOKUP(C1398, dd_accsrycalc!$A$2:$A$51, dd_accsrycalc!$F$2:$F$51, "",0),AND( F1398="Double Adhesive Tape", I1398="Roll-up Screen"), _xlfn.XLOOKUP(C1398, calc_rusacc!$C$15:$C$65, calc_rusacc!$AD$15:$AD$65, "",0),AND( F1398="Sealant", I1398="Roll-up Screen"), _xlfn.XLOOKUP(C1398, calc_rusacc!$C$15:$C$65, calc_rusacc!$AF$15:$AF$65, "",0),  AND( F1398="Main Chain", I1398="Accordion Screen"), _xlfn.XLOOKUP(C1398, calc_rusacc!$C$15:$C$65, calc_rusacc!$BF$15:$BF$65, "",0), AND( F1398="Sealant", I1398="Accordion Screen"), _xlfn.XLOOKUP(C1398, calc_rusacc!$C$15:$C$65, calc_rusacc!$BJ$15:$BJ$65, "",0),  F1398="Sealant", _xlfn.XLOOKUP(C1398, dd_accsrycalc!$A$2:$A$51, dd_accsrycalc!$G$2:$G$51, "",0),  F1398&lt;&gt;"",L1398*_xlfn.XLOOKUP(1, (SKUs!$C$2:$C$10001=G1398)*(SKUs!$K$2:$K$10001=I1398),SKUs!$E$2:$E$10001)), 0),"")</f>
        <v/>
      </c>
      <c r="E1398" s="35" t="str">
        <f>_xlfn.XLOOKUP(F1398,dd_item!$B$2:$B$105,dd_item!$C$2:$C$105,"",0)</f>
        <v/>
      </c>
      <c r="F1398" s="35"/>
      <c r="G1398" s="35" cm="1">
        <f t="array" ref="G1398">IFERROR(_xlfn.XLOOKUP(1, (SKUs!$J$2:$J$10001=accsry_unmerged!F1398)*IF(H1398&lt;&gt;"",(SKUs!$L$2:$L$10001=accsry_unmerged!H1398),1)*(SKUs!$K$2:$K$10001=I1398),SKUs!$C$2:$C$10001),"")</f>
        <v>0</v>
      </c>
      <c r="H1398" s="36" cm="1">
        <f t="array" ref="H1398">IFERROR(_xlfn.XLOOKUP(1, (dd_accsryclr!$C$2:$C$1000=accsry_unmerged!F1398)*(dd_accsryclr!$B$2:$B$1000=accsry_unmerged!J1398),dd_accsryclr!$A$2:$A$1000),"")</f>
        <v>0</v>
      </c>
      <c r="I1398" s="35">
        <f>_xlfn.XLOOKUP(C1398,'Project Details'!$C$17:$C$66,'Project Details'!$E$17:$E$66,"",0)</f>
        <v>0</v>
      </c>
      <c r="J1398" s="35">
        <f>_xlfn.XLOOKUP(C1398,'Project Details'!$C$17:$C$66,'Project Details'!$H$17:$H$66,"",0)</f>
        <v>0</v>
      </c>
      <c r="K1398" s="36" t="str">
        <f>IF(AND(_xlfn.XLOOKUP(C1398,'Project Details'!$C$17:$C$66,'Project Details'!$L$17:$L$66,"",0)&gt;550, F1398="Spring-L27cm"),"",SUBSTITUTE(_xlfn.XLOOKUP(G1398,SKUs!$C$2:$C$10001,SKUs!$F$2:$F$10001,"",0), " Accessories",""))</f>
        <v/>
      </c>
      <c r="L1398" s="36">
        <f>_xlfn.XLOOKUP(C1398,'Project Details'!$C$17:$C$66,'Project Details'!$D$17:$D$66,"",0)</f>
        <v>0</v>
      </c>
      <c r="M1398" s="43"/>
    </row>
    <row r="1399" spans="1:13" ht="13.5" customHeight="1" outlineLevel="1" x14ac:dyDescent="0.25">
      <c r="A1399" s="43"/>
      <c r="B1399" s="43"/>
      <c r="C1399" s="16">
        <f t="shared" si="26"/>
        <v>28</v>
      </c>
      <c r="D1399" s="16" t="str" cm="1">
        <f t="array" ref="D1399">IFERROR(ROUNDUP(_xlfn.IFS(F1399="Aluminum Track", _xlfn.XLOOKUP(C1399, dd_accsrycalc!$A$2:$A$51, dd_accsrycalc!$B$2:$B$51, "",0), F1399="10 x 2 1/2 S (Flat)", _xlfn.XLOOKUP(C1399, dd_accsrycalc!$A$2:$A$51, dd_accsrycalc!$C$2:$C$51, "",0), F1399="Tox6", _xlfn.XLOOKUP(C1399, dd_accsrycalc!$A$2:$A$51, dd_accsrycalc!$D$2:$D$51, "",0), F1399="Cover Cap", _xlfn.XLOOKUP(C1399, dd_accsrycalc!$A$2:$A$51, dd_accsrycalc!$E$2:$E$51, "",0), F1399="Drainage Cover", _xlfn.XLOOKUP(C1399, dd_accsrycalc!$A$2:$A$51, dd_accsrycalc!$F$2:$F$51, "",0),AND( F1399="Double Adhesive Tape", I1399="Roll-up Screen"), _xlfn.XLOOKUP(C1399, calc_rusacc!$C$15:$C$65, calc_rusacc!$AD$15:$AD$65, "",0),AND( F1399="Sealant", I1399="Roll-up Screen"), _xlfn.XLOOKUP(C1399, calc_rusacc!$C$15:$C$65, calc_rusacc!$AF$15:$AF$65, "",0),  AND( F1399="Main Chain", I1399="Accordion Screen"), _xlfn.XLOOKUP(C1399, calc_rusacc!$C$15:$C$65, calc_rusacc!$BF$15:$BF$65, "",0), AND( F1399="Sealant", I1399="Accordion Screen"), _xlfn.XLOOKUP(C1399, calc_rusacc!$C$15:$C$65, calc_rusacc!$BJ$15:$BJ$65, "",0),  F1399="Sealant", _xlfn.XLOOKUP(C1399, dd_accsrycalc!$A$2:$A$51, dd_accsrycalc!$G$2:$G$51, "",0),  F1399&lt;&gt;"",L1399*_xlfn.XLOOKUP(1, (SKUs!$C$2:$C$10001=G1399)*(SKUs!$K$2:$K$10001=I1399),SKUs!$E$2:$E$10001)), 0),"")</f>
        <v/>
      </c>
      <c r="E1399" s="16" t="str">
        <f>_xlfn.XLOOKUP(F1399,dd_item!$B$2:$B$105,dd_item!$C$2:$C$105,"",0)</f>
        <v/>
      </c>
      <c r="F1399" s="16"/>
      <c r="G1399" s="16" cm="1">
        <f t="array" ref="G1399">IFERROR(_xlfn.XLOOKUP(1, (SKUs!$J$2:$J$10001=accsry_unmerged!F1399)*IF(H1399&lt;&gt;"",(SKUs!$L$2:$L$10001=accsry_unmerged!H1399),1)*(SKUs!$K$2:$K$10001=I1399),SKUs!$C$2:$C$10001),"")</f>
        <v>0</v>
      </c>
      <c r="H1399" s="33" cm="1">
        <f t="array" ref="H1399">IFERROR(_xlfn.XLOOKUP(1, (dd_accsryclr!$C$2:$C$1000=accsry_unmerged!F1399)*(dd_accsryclr!$B$2:$B$1000=accsry_unmerged!J1399),dd_accsryclr!$A$2:$A$1000),"")</f>
        <v>0</v>
      </c>
      <c r="I1399" s="16">
        <f>_xlfn.XLOOKUP(C1399,'Project Details'!$C$17:$C$66,'Project Details'!$E$17:$E$66,"",0)</f>
        <v>0</v>
      </c>
      <c r="J1399" s="16">
        <f>_xlfn.XLOOKUP(C1399,'Project Details'!$C$17:$C$66,'Project Details'!$H$17:$H$66,"",0)</f>
        <v>0</v>
      </c>
      <c r="K1399" s="33" t="str">
        <f>IF(AND(_xlfn.XLOOKUP(C1399,'Project Details'!$C$17:$C$66,'Project Details'!$L$17:$L$66,"",0)&gt;550, F1399="Spring-L27cm"),"",SUBSTITUTE(_xlfn.XLOOKUP(G1399,SKUs!$C$2:$C$10001,SKUs!$F$2:$F$10001,"",0), " Accessories",""))</f>
        <v/>
      </c>
      <c r="L1399" s="33">
        <f>_xlfn.XLOOKUP(C1399,'Project Details'!$C$17:$C$66,'Project Details'!$D$17:$D$66,"",0)</f>
        <v>0</v>
      </c>
      <c r="M1399" s="43"/>
    </row>
    <row r="1400" spans="1:13" ht="13.5" customHeight="1" outlineLevel="1" x14ac:dyDescent="0.25">
      <c r="A1400" s="43"/>
      <c r="B1400" s="43"/>
      <c r="C1400" s="35">
        <f t="shared" si="26"/>
        <v>28</v>
      </c>
      <c r="D1400" s="35" t="str" cm="1">
        <f t="array" ref="D1400">IFERROR(ROUNDUP(_xlfn.IFS(F1400="Aluminum Track", _xlfn.XLOOKUP(C1400, dd_accsrycalc!$A$2:$A$51, dd_accsrycalc!$B$2:$B$51, "",0), F1400="10 x 2 1/2 S (Flat)", _xlfn.XLOOKUP(C1400, dd_accsrycalc!$A$2:$A$51, dd_accsrycalc!$C$2:$C$51, "",0), F1400="Tox6", _xlfn.XLOOKUP(C1400, dd_accsrycalc!$A$2:$A$51, dd_accsrycalc!$D$2:$D$51, "",0), F1400="Cover Cap", _xlfn.XLOOKUP(C1400, dd_accsrycalc!$A$2:$A$51, dd_accsrycalc!$E$2:$E$51, "",0), F1400="Drainage Cover", _xlfn.XLOOKUP(C1400, dd_accsrycalc!$A$2:$A$51, dd_accsrycalc!$F$2:$F$51, "",0),AND( F1400="Double Adhesive Tape", I1400="Roll-up Screen"), _xlfn.XLOOKUP(C1400, calc_rusacc!$C$15:$C$65, calc_rusacc!$AD$15:$AD$65, "",0),AND( F1400="Sealant", I1400="Roll-up Screen"), _xlfn.XLOOKUP(C1400, calc_rusacc!$C$15:$C$65, calc_rusacc!$AF$15:$AF$65, "",0),  AND( F1400="Main Chain", I1400="Accordion Screen"), _xlfn.XLOOKUP(C1400, calc_rusacc!$C$15:$C$65, calc_rusacc!$BF$15:$BF$65, "",0), AND( F1400="Sealant", I1400="Accordion Screen"), _xlfn.XLOOKUP(C1400, calc_rusacc!$C$15:$C$65, calc_rusacc!$BJ$15:$BJ$65, "",0),  F1400="Sealant", _xlfn.XLOOKUP(C1400, dd_accsrycalc!$A$2:$A$51, dd_accsrycalc!$G$2:$G$51, "",0),  F1400&lt;&gt;"",L1400*_xlfn.XLOOKUP(1, (SKUs!$C$2:$C$10001=G1400)*(SKUs!$K$2:$K$10001=I1400),SKUs!$E$2:$E$10001)), 0),"")</f>
        <v/>
      </c>
      <c r="E1400" s="35" t="str">
        <f>_xlfn.XLOOKUP(F1400,dd_item!$B$2:$B$105,dd_item!$C$2:$C$105,"",0)</f>
        <v/>
      </c>
      <c r="F1400" s="35"/>
      <c r="G1400" s="35" cm="1">
        <f t="array" ref="G1400">IFERROR(_xlfn.XLOOKUP(1, (SKUs!$J$2:$J$10001=accsry_unmerged!F1400)*IF(H1400&lt;&gt;"",(SKUs!$L$2:$L$10001=accsry_unmerged!H1400),1)*(SKUs!$K$2:$K$10001=I1400),SKUs!$C$2:$C$10001),"")</f>
        <v>0</v>
      </c>
      <c r="H1400" s="36" cm="1">
        <f t="array" ref="H1400">IFERROR(_xlfn.XLOOKUP(1, (dd_accsryclr!$C$2:$C$1000=accsry_unmerged!F1400)*(dd_accsryclr!$B$2:$B$1000=accsry_unmerged!J1400),dd_accsryclr!$A$2:$A$1000),"")</f>
        <v>0</v>
      </c>
      <c r="I1400" s="35">
        <f>_xlfn.XLOOKUP(C1400,'Project Details'!$C$17:$C$66,'Project Details'!$E$17:$E$66,"",0)</f>
        <v>0</v>
      </c>
      <c r="J1400" s="35">
        <f>_xlfn.XLOOKUP(C1400,'Project Details'!$C$17:$C$66,'Project Details'!$H$17:$H$66,"",0)</f>
        <v>0</v>
      </c>
      <c r="K1400" s="36" t="str">
        <f>IF(AND(_xlfn.XLOOKUP(C1400,'Project Details'!$C$17:$C$66,'Project Details'!$L$17:$L$66,"",0)&gt;550, F1400="Spring-L27cm"),"",SUBSTITUTE(_xlfn.XLOOKUP(G1400,SKUs!$C$2:$C$10001,SKUs!$F$2:$F$10001,"",0), " Accessories",""))</f>
        <v/>
      </c>
      <c r="L1400" s="36">
        <f>_xlfn.XLOOKUP(C1400,'Project Details'!$C$17:$C$66,'Project Details'!$D$17:$D$66,"",0)</f>
        <v>0</v>
      </c>
      <c r="M1400" s="43"/>
    </row>
    <row r="1401" spans="1:13" ht="13.5" customHeight="1" outlineLevel="1" x14ac:dyDescent="0.25">
      <c r="A1401" s="43"/>
      <c r="B1401" s="43"/>
      <c r="C1401" s="16">
        <f t="shared" si="26"/>
        <v>28</v>
      </c>
      <c r="D1401" s="16" t="str" cm="1">
        <f t="array" ref="D1401">IFERROR(ROUNDUP(_xlfn.IFS(F1401="Aluminum Track", _xlfn.XLOOKUP(C1401, dd_accsrycalc!$A$2:$A$51, dd_accsrycalc!$B$2:$B$51, "",0), F1401="10 x 2 1/2 S (Flat)", _xlfn.XLOOKUP(C1401, dd_accsrycalc!$A$2:$A$51, dd_accsrycalc!$C$2:$C$51, "",0), F1401="Tox6", _xlfn.XLOOKUP(C1401, dd_accsrycalc!$A$2:$A$51, dd_accsrycalc!$D$2:$D$51, "",0), F1401="Cover Cap", _xlfn.XLOOKUP(C1401, dd_accsrycalc!$A$2:$A$51, dd_accsrycalc!$E$2:$E$51, "",0), F1401="Drainage Cover", _xlfn.XLOOKUP(C1401, dd_accsrycalc!$A$2:$A$51, dd_accsrycalc!$F$2:$F$51, "",0),AND( F1401="Double Adhesive Tape", I1401="Roll-up Screen"), _xlfn.XLOOKUP(C1401, calc_rusacc!$C$15:$C$65, calc_rusacc!$AD$15:$AD$65, "",0),AND( F1401="Sealant", I1401="Roll-up Screen"), _xlfn.XLOOKUP(C1401, calc_rusacc!$C$15:$C$65, calc_rusacc!$AF$15:$AF$65, "",0),  AND( F1401="Main Chain", I1401="Accordion Screen"), _xlfn.XLOOKUP(C1401, calc_rusacc!$C$15:$C$65, calc_rusacc!$BF$15:$BF$65, "",0), AND( F1401="Sealant", I1401="Accordion Screen"), _xlfn.XLOOKUP(C1401, calc_rusacc!$C$15:$C$65, calc_rusacc!$BJ$15:$BJ$65, "",0),  F1401="Sealant", _xlfn.XLOOKUP(C1401, dd_accsrycalc!$A$2:$A$51, dd_accsrycalc!$G$2:$G$51, "",0),  F1401&lt;&gt;"",L1401*_xlfn.XLOOKUP(1, (SKUs!$C$2:$C$10001=G1401)*(SKUs!$K$2:$K$10001=I1401),SKUs!$E$2:$E$10001)), 0),"")</f>
        <v/>
      </c>
      <c r="E1401" s="16" t="str">
        <f>_xlfn.XLOOKUP(F1401,dd_item!$B$2:$B$105,dd_item!$C$2:$C$105,"",0)</f>
        <v/>
      </c>
      <c r="F1401" s="16"/>
      <c r="G1401" s="16" cm="1">
        <f t="array" ref="G1401">IFERROR(_xlfn.XLOOKUP(1, (SKUs!$J$2:$J$10001=accsry_unmerged!F1401)*IF(H1401&lt;&gt;"",(SKUs!$L$2:$L$10001=accsry_unmerged!H1401),1)*(SKUs!$K$2:$K$10001=I1401),SKUs!$C$2:$C$10001),"")</f>
        <v>0</v>
      </c>
      <c r="H1401" s="33" cm="1">
        <f t="array" ref="H1401">IFERROR(_xlfn.XLOOKUP(1, (dd_accsryclr!$C$2:$C$1000=accsry_unmerged!F1401)*(dd_accsryclr!$B$2:$B$1000=accsry_unmerged!J1401),dd_accsryclr!$A$2:$A$1000),"")</f>
        <v>0</v>
      </c>
      <c r="I1401" s="16">
        <f>_xlfn.XLOOKUP(C1401,'Project Details'!$C$17:$C$66,'Project Details'!$E$17:$E$66,"",0)</f>
        <v>0</v>
      </c>
      <c r="J1401" s="16">
        <f>_xlfn.XLOOKUP(C1401,'Project Details'!$C$17:$C$66,'Project Details'!$H$17:$H$66,"",0)</f>
        <v>0</v>
      </c>
      <c r="K1401" s="33" t="str">
        <f>IF(AND(_xlfn.XLOOKUP(C1401,'Project Details'!$C$17:$C$66,'Project Details'!$L$17:$L$66,"",0)&gt;550, F1401="Spring-L27cm"),"",SUBSTITUTE(_xlfn.XLOOKUP(G1401,SKUs!$C$2:$C$10001,SKUs!$F$2:$F$10001,"",0), " Accessories",""))</f>
        <v/>
      </c>
      <c r="L1401" s="33">
        <f>_xlfn.XLOOKUP(C1401,'Project Details'!$C$17:$C$66,'Project Details'!$D$17:$D$66,"",0)</f>
        <v>0</v>
      </c>
      <c r="M1401" s="43"/>
    </row>
    <row r="1402" spans="1:13" ht="13.5" customHeight="1" outlineLevel="1" x14ac:dyDescent="0.25">
      <c r="A1402" s="43"/>
      <c r="B1402" s="43"/>
      <c r="C1402" s="35">
        <f t="shared" si="26"/>
        <v>28</v>
      </c>
      <c r="D1402" s="35" t="str" cm="1">
        <f t="array" ref="D1402">IFERROR(ROUNDUP(_xlfn.IFS(F1402="Aluminum Track", _xlfn.XLOOKUP(C1402, dd_accsrycalc!$A$2:$A$51, dd_accsrycalc!$B$2:$B$51, "",0), F1402="10 x 2 1/2 S (Flat)", _xlfn.XLOOKUP(C1402, dd_accsrycalc!$A$2:$A$51, dd_accsrycalc!$C$2:$C$51, "",0), F1402="Tox6", _xlfn.XLOOKUP(C1402, dd_accsrycalc!$A$2:$A$51, dd_accsrycalc!$D$2:$D$51, "",0), F1402="Cover Cap", _xlfn.XLOOKUP(C1402, dd_accsrycalc!$A$2:$A$51, dd_accsrycalc!$E$2:$E$51, "",0), F1402="Drainage Cover", _xlfn.XLOOKUP(C1402, dd_accsrycalc!$A$2:$A$51, dd_accsrycalc!$F$2:$F$51, "",0),AND( F1402="Double Adhesive Tape", I1402="Roll-up Screen"), _xlfn.XLOOKUP(C1402, calc_rusacc!$C$15:$C$65, calc_rusacc!$AD$15:$AD$65, "",0),AND( F1402="Sealant", I1402="Roll-up Screen"), _xlfn.XLOOKUP(C1402, calc_rusacc!$C$15:$C$65, calc_rusacc!$AF$15:$AF$65, "",0),  AND( F1402="Main Chain", I1402="Accordion Screen"), _xlfn.XLOOKUP(C1402, calc_rusacc!$C$15:$C$65, calc_rusacc!$BF$15:$BF$65, "",0), AND( F1402="Sealant", I1402="Accordion Screen"), _xlfn.XLOOKUP(C1402, calc_rusacc!$C$15:$C$65, calc_rusacc!$BJ$15:$BJ$65, "",0),  F1402="Sealant", _xlfn.XLOOKUP(C1402, dd_accsrycalc!$A$2:$A$51, dd_accsrycalc!$G$2:$G$51, "",0),  F1402&lt;&gt;"",L1402*_xlfn.XLOOKUP(1, (SKUs!$C$2:$C$10001=G1402)*(SKUs!$K$2:$K$10001=I1402),SKUs!$E$2:$E$10001)), 0),"")</f>
        <v/>
      </c>
      <c r="E1402" s="35" t="str">
        <f>_xlfn.XLOOKUP(F1402,dd_item!$B$2:$B$105,dd_item!$C$2:$C$105,"",0)</f>
        <v/>
      </c>
      <c r="F1402" s="35"/>
      <c r="G1402" s="35" cm="1">
        <f t="array" ref="G1402">IFERROR(_xlfn.XLOOKUP(1, (SKUs!$J$2:$J$10001=accsry_unmerged!F1402)*IF(H1402&lt;&gt;"",(SKUs!$L$2:$L$10001=accsry_unmerged!H1402),1)*(SKUs!$K$2:$K$10001=I1402),SKUs!$C$2:$C$10001),"")</f>
        <v>0</v>
      </c>
      <c r="H1402" s="36" cm="1">
        <f t="array" ref="H1402">IFERROR(_xlfn.XLOOKUP(1, (dd_accsryclr!$C$2:$C$1000=accsry_unmerged!F1402)*(dd_accsryclr!$B$2:$B$1000=accsry_unmerged!J1402),dd_accsryclr!$A$2:$A$1000),"")</f>
        <v>0</v>
      </c>
      <c r="I1402" s="35">
        <f>_xlfn.XLOOKUP(C1402,'Project Details'!$C$17:$C$66,'Project Details'!$E$17:$E$66,"",0)</f>
        <v>0</v>
      </c>
      <c r="J1402" s="35">
        <f>_xlfn.XLOOKUP(C1402,'Project Details'!$C$17:$C$66,'Project Details'!$H$17:$H$66,"",0)</f>
        <v>0</v>
      </c>
      <c r="K1402" s="36" t="str">
        <f>IF(AND(_xlfn.XLOOKUP(C1402,'Project Details'!$C$17:$C$66,'Project Details'!$L$17:$L$66,"",0)&gt;550, F1402="Spring-L27cm"),"",SUBSTITUTE(_xlfn.XLOOKUP(G1402,SKUs!$C$2:$C$10001,SKUs!$F$2:$F$10001,"",0), " Accessories",""))</f>
        <v/>
      </c>
      <c r="L1402" s="36">
        <f>_xlfn.XLOOKUP(C1402,'Project Details'!$C$17:$C$66,'Project Details'!$D$17:$D$66,"",0)</f>
        <v>0</v>
      </c>
      <c r="M1402" s="43"/>
    </row>
    <row r="1403" spans="1:13" ht="13.5" customHeight="1" outlineLevel="1" x14ac:dyDescent="0.25">
      <c r="A1403" s="43"/>
      <c r="B1403" s="43"/>
      <c r="C1403" s="16">
        <f t="shared" si="26"/>
        <v>28</v>
      </c>
      <c r="D1403" s="16" t="str" cm="1">
        <f t="array" ref="D1403">IFERROR(ROUNDUP(_xlfn.IFS(F1403="Aluminum Track", _xlfn.XLOOKUP(C1403, dd_accsrycalc!$A$2:$A$51, dd_accsrycalc!$B$2:$B$51, "",0), F1403="10 x 2 1/2 S (Flat)", _xlfn.XLOOKUP(C1403, dd_accsrycalc!$A$2:$A$51, dd_accsrycalc!$C$2:$C$51, "",0), F1403="Tox6", _xlfn.XLOOKUP(C1403, dd_accsrycalc!$A$2:$A$51, dd_accsrycalc!$D$2:$D$51, "",0), F1403="Cover Cap", _xlfn.XLOOKUP(C1403, dd_accsrycalc!$A$2:$A$51, dd_accsrycalc!$E$2:$E$51, "",0), F1403="Drainage Cover", _xlfn.XLOOKUP(C1403, dd_accsrycalc!$A$2:$A$51, dd_accsrycalc!$F$2:$F$51, "",0),AND( F1403="Double Adhesive Tape", I1403="Roll-up Screen"), _xlfn.XLOOKUP(C1403, calc_rusacc!$C$15:$C$65, calc_rusacc!$AD$15:$AD$65, "",0),AND( F1403="Sealant", I1403="Roll-up Screen"), _xlfn.XLOOKUP(C1403, calc_rusacc!$C$15:$C$65, calc_rusacc!$AF$15:$AF$65, "",0),  AND( F1403="Main Chain", I1403="Accordion Screen"), _xlfn.XLOOKUP(C1403, calc_rusacc!$C$15:$C$65, calc_rusacc!$BF$15:$BF$65, "",0), AND( F1403="Sealant", I1403="Accordion Screen"), _xlfn.XLOOKUP(C1403, calc_rusacc!$C$15:$C$65, calc_rusacc!$BJ$15:$BJ$65, "",0),  F1403="Sealant", _xlfn.XLOOKUP(C1403, dd_accsrycalc!$A$2:$A$51, dd_accsrycalc!$G$2:$G$51, "",0),  F1403&lt;&gt;"",L1403*_xlfn.XLOOKUP(1, (SKUs!$C$2:$C$10001=G1403)*(SKUs!$K$2:$K$10001=I1403),SKUs!$E$2:$E$10001)), 0),"")</f>
        <v/>
      </c>
      <c r="E1403" s="16" t="str">
        <f>_xlfn.XLOOKUP(F1403,dd_item!$B$2:$B$105,dd_item!$C$2:$C$105,"",0)</f>
        <v/>
      </c>
      <c r="F1403" s="16"/>
      <c r="G1403" s="16" cm="1">
        <f t="array" ref="G1403">IFERROR(_xlfn.XLOOKUP(1, (SKUs!$J$2:$J$10001=accsry_unmerged!F1403)*IF(H1403&lt;&gt;"",(SKUs!$L$2:$L$10001=accsry_unmerged!H1403),1)*(SKUs!$K$2:$K$10001=I1403),SKUs!$C$2:$C$10001),"")</f>
        <v>0</v>
      </c>
      <c r="H1403" s="33" cm="1">
        <f t="array" ref="H1403">IFERROR(_xlfn.XLOOKUP(1, (dd_accsryclr!$C$2:$C$1000=accsry_unmerged!F1403)*(dd_accsryclr!$B$2:$B$1000=accsry_unmerged!J1403),dd_accsryclr!$A$2:$A$1000),"")</f>
        <v>0</v>
      </c>
      <c r="I1403" s="16">
        <f>_xlfn.XLOOKUP(C1403,'Project Details'!$C$17:$C$66,'Project Details'!$E$17:$E$66,"",0)</f>
        <v>0</v>
      </c>
      <c r="J1403" s="16">
        <f>_xlfn.XLOOKUP(C1403,'Project Details'!$C$17:$C$66,'Project Details'!$H$17:$H$66,"",0)</f>
        <v>0</v>
      </c>
      <c r="K1403" s="33" t="str">
        <f>IF(AND(_xlfn.XLOOKUP(C1403,'Project Details'!$C$17:$C$66,'Project Details'!$L$17:$L$66,"",0)&gt;550, F1403="Spring-L27cm"),"",SUBSTITUTE(_xlfn.XLOOKUP(G1403,SKUs!$C$2:$C$10001,SKUs!$F$2:$F$10001,"",0), " Accessories",""))</f>
        <v/>
      </c>
      <c r="L1403" s="33">
        <f>_xlfn.XLOOKUP(C1403,'Project Details'!$C$17:$C$66,'Project Details'!$D$17:$D$66,"",0)</f>
        <v>0</v>
      </c>
      <c r="M1403" s="43"/>
    </row>
    <row r="1404" spans="1:13" ht="13.5" customHeight="1" outlineLevel="1" x14ac:dyDescent="0.25">
      <c r="A1404" s="43"/>
      <c r="B1404" s="43"/>
      <c r="C1404" s="35">
        <f t="shared" si="26"/>
        <v>28</v>
      </c>
      <c r="D1404" s="35" t="str" cm="1">
        <f t="array" ref="D1404">IFERROR(ROUNDUP(_xlfn.IFS(F1404="Aluminum Track", _xlfn.XLOOKUP(C1404, dd_accsrycalc!$A$2:$A$51, dd_accsrycalc!$B$2:$B$51, "",0), F1404="10 x 2 1/2 S (Flat)", _xlfn.XLOOKUP(C1404, dd_accsrycalc!$A$2:$A$51, dd_accsrycalc!$C$2:$C$51, "",0), F1404="Tox6", _xlfn.XLOOKUP(C1404, dd_accsrycalc!$A$2:$A$51, dd_accsrycalc!$D$2:$D$51, "",0), F1404="Cover Cap", _xlfn.XLOOKUP(C1404, dd_accsrycalc!$A$2:$A$51, dd_accsrycalc!$E$2:$E$51, "",0), F1404="Drainage Cover", _xlfn.XLOOKUP(C1404, dd_accsrycalc!$A$2:$A$51, dd_accsrycalc!$F$2:$F$51, "",0),AND( F1404="Double Adhesive Tape", I1404="Roll-up Screen"), _xlfn.XLOOKUP(C1404, calc_rusacc!$C$15:$C$65, calc_rusacc!$AD$15:$AD$65, "",0),AND( F1404="Sealant", I1404="Roll-up Screen"), _xlfn.XLOOKUP(C1404, calc_rusacc!$C$15:$C$65, calc_rusacc!$AF$15:$AF$65, "",0),  AND( F1404="Main Chain", I1404="Accordion Screen"), _xlfn.XLOOKUP(C1404, calc_rusacc!$C$15:$C$65, calc_rusacc!$BF$15:$BF$65, "",0), AND( F1404="Sealant", I1404="Accordion Screen"), _xlfn.XLOOKUP(C1404, calc_rusacc!$C$15:$C$65, calc_rusacc!$BJ$15:$BJ$65, "",0),  F1404="Sealant", _xlfn.XLOOKUP(C1404, dd_accsrycalc!$A$2:$A$51, dd_accsrycalc!$G$2:$G$51, "",0),  F1404&lt;&gt;"",L1404*_xlfn.XLOOKUP(1, (SKUs!$C$2:$C$10001=G1404)*(SKUs!$K$2:$K$10001=I1404),SKUs!$E$2:$E$10001)), 0),"")</f>
        <v/>
      </c>
      <c r="E1404" s="35" t="str">
        <f>_xlfn.XLOOKUP(F1404,dd_item!$B$2:$B$105,dd_item!$C$2:$C$105,"",0)</f>
        <v/>
      </c>
      <c r="F1404" s="35"/>
      <c r="G1404" s="35" cm="1">
        <f t="array" ref="G1404">IFERROR(_xlfn.XLOOKUP(1, (SKUs!$J$2:$J$10001=accsry_unmerged!F1404)*IF(H1404&lt;&gt;"",(SKUs!$L$2:$L$10001=accsry_unmerged!H1404),1)*(SKUs!$K$2:$K$10001=I1404),SKUs!$C$2:$C$10001),"")</f>
        <v>0</v>
      </c>
      <c r="H1404" s="36" cm="1">
        <f t="array" ref="H1404">IFERROR(_xlfn.XLOOKUP(1, (dd_accsryclr!$C$2:$C$1000=accsry_unmerged!F1404)*(dd_accsryclr!$B$2:$B$1000=accsry_unmerged!J1404),dd_accsryclr!$A$2:$A$1000),"")</f>
        <v>0</v>
      </c>
      <c r="I1404" s="35">
        <f>_xlfn.XLOOKUP(C1404,'Project Details'!$C$17:$C$66,'Project Details'!$E$17:$E$66,"",0)</f>
        <v>0</v>
      </c>
      <c r="J1404" s="35">
        <f>_xlfn.XLOOKUP(C1404,'Project Details'!$C$17:$C$66,'Project Details'!$H$17:$H$66,"",0)</f>
        <v>0</v>
      </c>
      <c r="K1404" s="36" t="str">
        <f>IF(AND(_xlfn.XLOOKUP(C1404,'Project Details'!$C$17:$C$66,'Project Details'!$L$17:$L$66,"",0)&gt;550, F1404="Spring-L27cm"),"",SUBSTITUTE(_xlfn.XLOOKUP(G1404,SKUs!$C$2:$C$10001,SKUs!$F$2:$F$10001,"",0), " Accessories",""))</f>
        <v/>
      </c>
      <c r="L1404" s="36">
        <f>_xlfn.XLOOKUP(C1404,'Project Details'!$C$17:$C$66,'Project Details'!$D$17:$D$66,"",0)</f>
        <v>0</v>
      </c>
      <c r="M1404" s="43"/>
    </row>
    <row r="1405" spans="1:13" ht="13.5" customHeight="1" outlineLevel="1" collapsed="1" x14ac:dyDescent="0.25">
      <c r="A1405" s="43"/>
      <c r="B1405" s="43"/>
      <c r="C1405" s="16">
        <f t="shared" si="26"/>
        <v>28</v>
      </c>
      <c r="D1405" s="16" t="str" cm="1">
        <f t="array" ref="D1405">IFERROR(ROUNDUP(_xlfn.IFS(F1405="Aluminum Track", _xlfn.XLOOKUP(C1405, dd_accsrycalc!$A$2:$A$51, dd_accsrycalc!$B$2:$B$51, "",0), F1405="10 x 2 1/2 S (Flat)", _xlfn.XLOOKUP(C1405, dd_accsrycalc!$A$2:$A$51, dd_accsrycalc!$C$2:$C$51, "",0), F1405="Tox6", _xlfn.XLOOKUP(C1405, dd_accsrycalc!$A$2:$A$51, dd_accsrycalc!$D$2:$D$51, "",0), F1405="Cover Cap", _xlfn.XLOOKUP(C1405, dd_accsrycalc!$A$2:$A$51, dd_accsrycalc!$E$2:$E$51, "",0), F1405="Drainage Cover", _xlfn.XLOOKUP(C1405, dd_accsrycalc!$A$2:$A$51, dd_accsrycalc!$F$2:$F$51, "",0),AND( F1405="Double Adhesive Tape", I1405="Roll-up Screen"), _xlfn.XLOOKUP(C1405, calc_rusacc!$C$15:$C$65, calc_rusacc!$AD$15:$AD$65, "",0),AND( F1405="Sealant", I1405="Roll-up Screen"), _xlfn.XLOOKUP(C1405, calc_rusacc!$C$15:$C$65, calc_rusacc!$AF$15:$AF$65, "",0),  AND( F1405="Main Chain", I1405="Accordion Screen"), _xlfn.XLOOKUP(C1405, calc_rusacc!$C$15:$C$65, calc_rusacc!$BF$15:$BF$65, "",0), AND( F1405="Sealant", I1405="Accordion Screen"), _xlfn.XLOOKUP(C1405, calc_rusacc!$C$15:$C$65, calc_rusacc!$BJ$15:$BJ$65, "",0),  F1405="Sealant", _xlfn.XLOOKUP(C1405, dd_accsrycalc!$A$2:$A$51, dd_accsrycalc!$G$2:$G$51, "",0),  F1405&lt;&gt;"",L1405*_xlfn.XLOOKUP(1, (SKUs!$C$2:$C$10001=G1405)*(SKUs!$K$2:$K$10001=I1405),SKUs!$E$2:$E$10001)), 0),"")</f>
        <v/>
      </c>
      <c r="E1405" s="16" t="str">
        <f>_xlfn.XLOOKUP(F1405,dd_item!$B$2:$B$105,dd_item!$C$2:$C$105,"",0)</f>
        <v/>
      </c>
      <c r="F1405" s="16"/>
      <c r="G1405" s="16" cm="1">
        <f t="array" ref="G1405">IFERROR(_xlfn.XLOOKUP(1, (SKUs!$J$2:$J$10001=accsry_unmerged!F1405)*IF(H1405&lt;&gt;"",(SKUs!$L$2:$L$10001=accsry_unmerged!H1405),1)*(SKUs!$K$2:$K$10001=I1405),SKUs!$C$2:$C$10001),"")</f>
        <v>0</v>
      </c>
      <c r="H1405" s="33" cm="1">
        <f t="array" ref="H1405">IFERROR(_xlfn.XLOOKUP(1, (dd_accsryclr!$C$2:$C$1000=accsry_unmerged!F1405)*(dd_accsryclr!$B$2:$B$1000=accsry_unmerged!J1405),dd_accsryclr!$A$2:$A$1000),"")</f>
        <v>0</v>
      </c>
      <c r="I1405" s="16">
        <f>_xlfn.XLOOKUP(C1405,'Project Details'!$C$17:$C$66,'Project Details'!$E$17:$E$66,"",0)</f>
        <v>0</v>
      </c>
      <c r="J1405" s="16">
        <f>_xlfn.XLOOKUP(C1405,'Project Details'!$C$17:$C$66,'Project Details'!$H$17:$H$66,"",0)</f>
        <v>0</v>
      </c>
      <c r="K1405" s="33" t="str">
        <f>IF(AND(_xlfn.XLOOKUP(C1405,'Project Details'!$C$17:$C$66,'Project Details'!$L$17:$L$66,"",0)&gt;550, F1405="Spring-L27cm"),"",SUBSTITUTE(_xlfn.XLOOKUP(G1405,SKUs!$C$2:$C$10001,SKUs!$F$2:$F$10001,"",0), " Accessories",""))</f>
        <v/>
      </c>
      <c r="L1405" s="33">
        <f>_xlfn.XLOOKUP(C1405,'Project Details'!$C$17:$C$66,'Project Details'!$D$17:$D$66,"",0)</f>
        <v>0</v>
      </c>
      <c r="M1405" s="43"/>
    </row>
    <row r="1406" spans="1:13" ht="13.5" customHeight="1" outlineLevel="1" x14ac:dyDescent="0.25">
      <c r="A1406" s="43"/>
      <c r="B1406" s="43"/>
      <c r="C1406" s="35">
        <f t="shared" si="26"/>
        <v>28</v>
      </c>
      <c r="D1406" s="35" t="str" cm="1">
        <f t="array" ref="D1406">IFERROR(ROUNDUP(_xlfn.IFS(F1406="Aluminum Track", _xlfn.XLOOKUP(C1406, dd_accsrycalc!$A$2:$A$51, dd_accsrycalc!$B$2:$B$51, "",0), F1406="10 x 2 1/2 S (Flat)", _xlfn.XLOOKUP(C1406, dd_accsrycalc!$A$2:$A$51, dd_accsrycalc!$C$2:$C$51, "",0), F1406="Tox6", _xlfn.XLOOKUP(C1406, dd_accsrycalc!$A$2:$A$51, dd_accsrycalc!$D$2:$D$51, "",0), F1406="Cover Cap", _xlfn.XLOOKUP(C1406, dd_accsrycalc!$A$2:$A$51, dd_accsrycalc!$E$2:$E$51, "",0), F1406="Drainage Cover", _xlfn.XLOOKUP(C1406, dd_accsrycalc!$A$2:$A$51, dd_accsrycalc!$F$2:$F$51, "",0),AND( F1406="Double Adhesive Tape", I1406="Roll-up Screen"), _xlfn.XLOOKUP(C1406, calc_rusacc!$C$15:$C$65, calc_rusacc!$AD$15:$AD$65, "",0),AND( F1406="Sealant", I1406="Roll-up Screen"), _xlfn.XLOOKUP(C1406, calc_rusacc!$C$15:$C$65, calc_rusacc!$AF$15:$AF$65, "",0),  AND( F1406="Main Chain", I1406="Accordion Screen"), _xlfn.XLOOKUP(C1406, calc_rusacc!$C$15:$C$65, calc_rusacc!$BF$15:$BF$65, "",0), AND( F1406="Sealant", I1406="Accordion Screen"), _xlfn.XLOOKUP(C1406, calc_rusacc!$C$15:$C$65, calc_rusacc!$BJ$15:$BJ$65, "",0),  F1406="Sealant", _xlfn.XLOOKUP(C1406, dd_accsrycalc!$A$2:$A$51, dd_accsrycalc!$G$2:$G$51, "",0),  F1406&lt;&gt;"",L1406*_xlfn.XLOOKUP(1, (SKUs!$C$2:$C$10001=G1406)*(SKUs!$K$2:$K$10001=I1406),SKUs!$E$2:$E$10001)), 0),"")</f>
        <v/>
      </c>
      <c r="E1406" s="35" t="str">
        <f>_xlfn.XLOOKUP(F1406,dd_item!$B$2:$B$105,dd_item!$C$2:$C$105,"",0)</f>
        <v/>
      </c>
      <c r="F1406" s="35"/>
      <c r="G1406" s="35" cm="1">
        <f t="array" ref="G1406">IFERROR(_xlfn.XLOOKUP(1, (SKUs!$J$2:$J$10001=accsry_unmerged!F1406)*IF(H1406&lt;&gt;"",(SKUs!$L$2:$L$10001=accsry_unmerged!H1406),1)*(SKUs!$K$2:$K$10001=I1406),SKUs!$C$2:$C$10001),"")</f>
        <v>0</v>
      </c>
      <c r="H1406" s="36" cm="1">
        <f t="array" ref="H1406">IFERROR(_xlfn.XLOOKUP(1, (dd_accsryclr!$C$2:$C$1000=accsry_unmerged!F1406)*(dd_accsryclr!$B$2:$B$1000=accsry_unmerged!J1406),dd_accsryclr!$A$2:$A$1000),"")</f>
        <v>0</v>
      </c>
      <c r="I1406" s="35">
        <f>_xlfn.XLOOKUP(C1406,'Project Details'!$C$17:$C$66,'Project Details'!$E$17:$E$66,"",0)</f>
        <v>0</v>
      </c>
      <c r="J1406" s="35">
        <f>_xlfn.XLOOKUP(C1406,'Project Details'!$C$17:$C$66,'Project Details'!$H$17:$H$66,"",0)</f>
        <v>0</v>
      </c>
      <c r="K1406" s="36" t="str">
        <f>IF(AND(_xlfn.XLOOKUP(C1406,'Project Details'!$C$17:$C$66,'Project Details'!$L$17:$L$66,"",0)&gt;550, F1406="Spring-L27cm"),"",SUBSTITUTE(_xlfn.XLOOKUP(G1406,SKUs!$C$2:$C$10001,SKUs!$F$2:$F$10001,"",0), " Accessories",""))</f>
        <v/>
      </c>
      <c r="L1406" s="36">
        <f>_xlfn.XLOOKUP(C1406,'Project Details'!$C$17:$C$66,'Project Details'!$D$17:$D$66,"",0)</f>
        <v>0</v>
      </c>
      <c r="M1406" s="43"/>
    </row>
    <row r="1407" spans="1:13" ht="13.5" customHeight="1" outlineLevel="1" x14ac:dyDescent="0.25">
      <c r="A1407" s="43"/>
      <c r="B1407" s="43"/>
      <c r="C1407" s="16">
        <f t="shared" si="26"/>
        <v>28</v>
      </c>
      <c r="D1407" s="16" t="str" cm="1">
        <f t="array" ref="D1407">IFERROR(ROUNDUP(_xlfn.IFS(F1407="Aluminum Track", _xlfn.XLOOKUP(C1407, dd_accsrycalc!$A$2:$A$51, dd_accsrycalc!$B$2:$B$51, "",0), F1407="10 x 2 1/2 S (Flat)", _xlfn.XLOOKUP(C1407, dd_accsrycalc!$A$2:$A$51, dd_accsrycalc!$C$2:$C$51, "",0), F1407="Tox6", _xlfn.XLOOKUP(C1407, dd_accsrycalc!$A$2:$A$51, dd_accsrycalc!$D$2:$D$51, "",0), F1407="Cover Cap", _xlfn.XLOOKUP(C1407, dd_accsrycalc!$A$2:$A$51, dd_accsrycalc!$E$2:$E$51, "",0), F1407="Drainage Cover", _xlfn.XLOOKUP(C1407, dd_accsrycalc!$A$2:$A$51, dd_accsrycalc!$F$2:$F$51, "",0),AND( F1407="Double Adhesive Tape", I1407="Roll-up Screen"), _xlfn.XLOOKUP(C1407, calc_rusacc!$C$15:$C$65, calc_rusacc!$AD$15:$AD$65, "",0),AND( F1407="Sealant", I1407="Roll-up Screen"), _xlfn.XLOOKUP(C1407, calc_rusacc!$C$15:$C$65, calc_rusacc!$AF$15:$AF$65, "",0),  AND( F1407="Main Chain", I1407="Accordion Screen"), _xlfn.XLOOKUP(C1407, calc_rusacc!$C$15:$C$65, calc_rusacc!$BF$15:$BF$65, "",0), AND( F1407="Sealant", I1407="Accordion Screen"), _xlfn.XLOOKUP(C1407, calc_rusacc!$C$15:$C$65, calc_rusacc!$BJ$15:$BJ$65, "",0),  F1407="Sealant", _xlfn.XLOOKUP(C1407, dd_accsrycalc!$A$2:$A$51, dd_accsrycalc!$G$2:$G$51, "",0),  F1407&lt;&gt;"",L1407*_xlfn.XLOOKUP(1, (SKUs!$C$2:$C$10001=G1407)*(SKUs!$K$2:$K$10001=I1407),SKUs!$E$2:$E$10001)), 0),"")</f>
        <v/>
      </c>
      <c r="E1407" s="16" t="str">
        <f>_xlfn.XLOOKUP(F1407,dd_item!$B$2:$B$105,dd_item!$C$2:$C$105,"",0)</f>
        <v/>
      </c>
      <c r="F1407" s="16"/>
      <c r="G1407" s="16" cm="1">
        <f t="array" ref="G1407">IFERROR(_xlfn.XLOOKUP(1, (SKUs!$J$2:$J$10001=accsry_unmerged!F1407)*IF(H1407&lt;&gt;"",(SKUs!$L$2:$L$10001=accsry_unmerged!H1407),1)*(SKUs!$K$2:$K$10001=I1407),SKUs!$C$2:$C$10001),"")</f>
        <v>0</v>
      </c>
      <c r="H1407" s="33" cm="1">
        <f t="array" ref="H1407">IFERROR(_xlfn.XLOOKUP(1, (dd_accsryclr!$C$2:$C$1000=accsry_unmerged!F1407)*(dd_accsryclr!$B$2:$B$1000=accsry_unmerged!J1407),dd_accsryclr!$A$2:$A$1000),"")</f>
        <v>0</v>
      </c>
      <c r="I1407" s="16">
        <f>_xlfn.XLOOKUP(C1407,'Project Details'!$C$17:$C$66,'Project Details'!$E$17:$E$66,"",0)</f>
        <v>0</v>
      </c>
      <c r="J1407" s="16">
        <f>_xlfn.XLOOKUP(C1407,'Project Details'!$C$17:$C$66,'Project Details'!$H$17:$H$66,"",0)</f>
        <v>0</v>
      </c>
      <c r="K1407" s="33" t="str">
        <f>IF(AND(_xlfn.XLOOKUP(C1407,'Project Details'!$C$17:$C$66,'Project Details'!$L$17:$L$66,"",0)&gt;550, F1407="Spring-L27cm"),"",SUBSTITUTE(_xlfn.XLOOKUP(G1407,SKUs!$C$2:$C$10001,SKUs!$F$2:$F$10001,"",0), " Accessories",""))</f>
        <v/>
      </c>
      <c r="L1407" s="33">
        <f>_xlfn.XLOOKUP(C1407,'Project Details'!$C$17:$C$66,'Project Details'!$D$17:$D$66,"",0)</f>
        <v>0</v>
      </c>
      <c r="M1407" s="43"/>
    </row>
    <row r="1408" spans="1:13" ht="13.5" customHeight="1" outlineLevel="1" x14ac:dyDescent="0.25">
      <c r="A1408" s="43"/>
      <c r="B1408" s="43"/>
      <c r="C1408" s="35">
        <f t="shared" si="26"/>
        <v>28</v>
      </c>
      <c r="D1408" s="35" t="str" cm="1">
        <f t="array" ref="D1408">IFERROR(ROUNDUP(_xlfn.IFS(F1408="Aluminum Track", _xlfn.XLOOKUP(C1408, dd_accsrycalc!$A$2:$A$51, dd_accsrycalc!$B$2:$B$51, "",0), F1408="10 x 2 1/2 S (Flat)", _xlfn.XLOOKUP(C1408, dd_accsrycalc!$A$2:$A$51, dd_accsrycalc!$C$2:$C$51, "",0), F1408="Tox6", _xlfn.XLOOKUP(C1408, dd_accsrycalc!$A$2:$A$51, dd_accsrycalc!$D$2:$D$51, "",0), F1408="Cover Cap", _xlfn.XLOOKUP(C1408, dd_accsrycalc!$A$2:$A$51, dd_accsrycalc!$E$2:$E$51, "",0), F1408="Drainage Cover", _xlfn.XLOOKUP(C1408, dd_accsrycalc!$A$2:$A$51, dd_accsrycalc!$F$2:$F$51, "",0),AND( F1408="Double Adhesive Tape", I1408="Roll-up Screen"), _xlfn.XLOOKUP(C1408, calc_rusacc!$C$15:$C$65, calc_rusacc!$AD$15:$AD$65, "",0),AND( F1408="Sealant", I1408="Roll-up Screen"), _xlfn.XLOOKUP(C1408, calc_rusacc!$C$15:$C$65, calc_rusacc!$AF$15:$AF$65, "",0),  AND( F1408="Main Chain", I1408="Accordion Screen"), _xlfn.XLOOKUP(C1408, calc_rusacc!$C$15:$C$65, calc_rusacc!$BF$15:$BF$65, "",0), AND( F1408="Sealant", I1408="Accordion Screen"), _xlfn.XLOOKUP(C1408, calc_rusacc!$C$15:$C$65, calc_rusacc!$BJ$15:$BJ$65, "",0),  F1408="Sealant", _xlfn.XLOOKUP(C1408, dd_accsrycalc!$A$2:$A$51, dd_accsrycalc!$G$2:$G$51, "",0),  F1408&lt;&gt;"",L1408*_xlfn.XLOOKUP(1, (SKUs!$C$2:$C$10001=G1408)*(SKUs!$K$2:$K$10001=I1408),SKUs!$E$2:$E$10001)), 0),"")</f>
        <v/>
      </c>
      <c r="E1408" s="35" t="str">
        <f>_xlfn.XLOOKUP(F1408,dd_item!$B$2:$B$105,dd_item!$C$2:$C$105,"",0)</f>
        <v/>
      </c>
      <c r="F1408" s="35"/>
      <c r="G1408" s="35" cm="1">
        <f t="array" ref="G1408">IFERROR(_xlfn.XLOOKUP(1, (SKUs!$J$2:$J$10001=accsry_unmerged!F1408)*IF(H1408&lt;&gt;"",(SKUs!$L$2:$L$10001=accsry_unmerged!H1408),1)*(SKUs!$K$2:$K$10001=I1408),SKUs!$C$2:$C$10001),"")</f>
        <v>0</v>
      </c>
      <c r="H1408" s="36" cm="1">
        <f t="array" ref="H1408">IFERROR(_xlfn.XLOOKUP(1, (dd_accsryclr!$C$2:$C$1000=accsry_unmerged!F1408)*(dd_accsryclr!$B$2:$B$1000=accsry_unmerged!J1408),dd_accsryclr!$A$2:$A$1000),"")</f>
        <v>0</v>
      </c>
      <c r="I1408" s="35">
        <f>_xlfn.XLOOKUP(C1408,'Project Details'!$C$17:$C$66,'Project Details'!$E$17:$E$66,"",0)</f>
        <v>0</v>
      </c>
      <c r="J1408" s="35">
        <f>_xlfn.XLOOKUP(C1408,'Project Details'!$C$17:$C$66,'Project Details'!$H$17:$H$66,"",0)</f>
        <v>0</v>
      </c>
      <c r="K1408" s="36" t="str">
        <f>IF(AND(_xlfn.XLOOKUP(C1408,'Project Details'!$C$17:$C$66,'Project Details'!$L$17:$L$66,"",0)&gt;550, F1408="Spring-L27cm"),"",SUBSTITUTE(_xlfn.XLOOKUP(G1408,SKUs!$C$2:$C$10001,SKUs!$F$2:$F$10001,"",0), " Accessories",""))</f>
        <v/>
      </c>
      <c r="L1408" s="36">
        <f>_xlfn.XLOOKUP(C1408,'Project Details'!$C$17:$C$66,'Project Details'!$D$17:$D$66,"",0)</f>
        <v>0</v>
      </c>
      <c r="M1408" s="43"/>
    </row>
    <row r="1409" spans="1:13" ht="13.5" customHeight="1" outlineLevel="1" x14ac:dyDescent="0.25">
      <c r="A1409" s="43"/>
      <c r="B1409" s="43"/>
      <c r="C1409" s="16">
        <f t="shared" si="26"/>
        <v>28</v>
      </c>
      <c r="D1409" s="16" t="str" cm="1">
        <f t="array" ref="D1409">IFERROR(ROUNDUP(_xlfn.IFS(F1409="Aluminum Track", _xlfn.XLOOKUP(C1409, dd_accsrycalc!$A$2:$A$51, dd_accsrycalc!$B$2:$B$51, "",0), F1409="10 x 2 1/2 S (Flat)", _xlfn.XLOOKUP(C1409, dd_accsrycalc!$A$2:$A$51, dd_accsrycalc!$C$2:$C$51, "",0), F1409="Tox6", _xlfn.XLOOKUP(C1409, dd_accsrycalc!$A$2:$A$51, dd_accsrycalc!$D$2:$D$51, "",0), F1409="Cover Cap", _xlfn.XLOOKUP(C1409, dd_accsrycalc!$A$2:$A$51, dd_accsrycalc!$E$2:$E$51, "",0), F1409="Drainage Cover", _xlfn.XLOOKUP(C1409, dd_accsrycalc!$A$2:$A$51, dd_accsrycalc!$F$2:$F$51, "",0),AND( F1409="Double Adhesive Tape", I1409="Roll-up Screen"), _xlfn.XLOOKUP(C1409, calc_rusacc!$C$15:$C$65, calc_rusacc!$AD$15:$AD$65, "",0),AND( F1409="Sealant", I1409="Roll-up Screen"), _xlfn.XLOOKUP(C1409, calc_rusacc!$C$15:$C$65, calc_rusacc!$AF$15:$AF$65, "",0),  AND( F1409="Main Chain", I1409="Accordion Screen"), _xlfn.XLOOKUP(C1409, calc_rusacc!$C$15:$C$65, calc_rusacc!$BF$15:$BF$65, "",0), AND( F1409="Sealant", I1409="Accordion Screen"), _xlfn.XLOOKUP(C1409, calc_rusacc!$C$15:$C$65, calc_rusacc!$BJ$15:$BJ$65, "",0),  F1409="Sealant", _xlfn.XLOOKUP(C1409, dd_accsrycalc!$A$2:$A$51, dd_accsrycalc!$G$2:$G$51, "",0),  F1409&lt;&gt;"",L1409*_xlfn.XLOOKUP(1, (SKUs!$C$2:$C$10001=G1409)*(SKUs!$K$2:$K$10001=I1409),SKUs!$E$2:$E$10001)), 0),"")</f>
        <v/>
      </c>
      <c r="E1409" s="16" t="str">
        <f>_xlfn.XLOOKUP(F1409,dd_item!$B$2:$B$105,dd_item!$C$2:$C$105,"",0)</f>
        <v/>
      </c>
      <c r="F1409" s="16"/>
      <c r="G1409" s="16" cm="1">
        <f t="array" ref="G1409">IFERROR(_xlfn.XLOOKUP(1, (SKUs!$J$2:$J$10001=accsry_unmerged!F1409)*IF(H1409&lt;&gt;"",(SKUs!$L$2:$L$10001=accsry_unmerged!H1409),1)*(SKUs!$K$2:$K$10001=I1409),SKUs!$C$2:$C$10001),"")</f>
        <v>0</v>
      </c>
      <c r="H1409" s="33" cm="1">
        <f t="array" ref="H1409">IFERROR(_xlfn.XLOOKUP(1, (dd_accsryclr!$C$2:$C$1000=accsry_unmerged!F1409)*(dd_accsryclr!$B$2:$B$1000=accsry_unmerged!J1409),dd_accsryclr!$A$2:$A$1000),"")</f>
        <v>0</v>
      </c>
      <c r="I1409" s="16">
        <f>_xlfn.XLOOKUP(C1409,'Project Details'!$C$17:$C$66,'Project Details'!$E$17:$E$66,"",0)</f>
        <v>0</v>
      </c>
      <c r="J1409" s="16">
        <f>_xlfn.XLOOKUP(C1409,'Project Details'!$C$17:$C$66,'Project Details'!$H$17:$H$66,"",0)</f>
        <v>0</v>
      </c>
      <c r="K1409" s="33" t="str">
        <f>IF(AND(_xlfn.XLOOKUP(C1409,'Project Details'!$C$17:$C$66,'Project Details'!$L$17:$L$66,"",0)&gt;550, F1409="Spring-L27cm"),"",SUBSTITUTE(_xlfn.XLOOKUP(G1409,SKUs!$C$2:$C$10001,SKUs!$F$2:$F$10001,"",0), " Accessories",""))</f>
        <v/>
      </c>
      <c r="L1409" s="33">
        <f>_xlfn.XLOOKUP(C1409,'Project Details'!$C$17:$C$66,'Project Details'!$D$17:$D$66,"",0)</f>
        <v>0</v>
      </c>
      <c r="M1409" s="43"/>
    </row>
    <row r="1410" spans="1:13" ht="13.5" customHeight="1" outlineLevel="1" x14ac:dyDescent="0.25">
      <c r="A1410" s="43"/>
      <c r="B1410" s="43"/>
      <c r="C1410" s="35">
        <f t="shared" si="26"/>
        <v>28</v>
      </c>
      <c r="D1410" s="35" t="str" cm="1">
        <f t="array" ref="D1410">IFERROR(ROUNDUP(_xlfn.IFS(F1410="Aluminum Track", _xlfn.XLOOKUP(C1410, dd_accsrycalc!$A$2:$A$51, dd_accsrycalc!$B$2:$B$51, "",0), F1410="10 x 2 1/2 S (Flat)", _xlfn.XLOOKUP(C1410, dd_accsrycalc!$A$2:$A$51, dd_accsrycalc!$C$2:$C$51, "",0), F1410="Tox6", _xlfn.XLOOKUP(C1410, dd_accsrycalc!$A$2:$A$51, dd_accsrycalc!$D$2:$D$51, "",0), F1410="Cover Cap", _xlfn.XLOOKUP(C1410, dd_accsrycalc!$A$2:$A$51, dd_accsrycalc!$E$2:$E$51, "",0), F1410="Drainage Cover", _xlfn.XLOOKUP(C1410, dd_accsrycalc!$A$2:$A$51, dd_accsrycalc!$F$2:$F$51, "",0),AND( F1410="Double Adhesive Tape", I1410="Roll-up Screen"), _xlfn.XLOOKUP(C1410, calc_rusacc!$C$15:$C$65, calc_rusacc!$AD$15:$AD$65, "",0),AND( F1410="Sealant", I1410="Roll-up Screen"), _xlfn.XLOOKUP(C1410, calc_rusacc!$C$15:$C$65, calc_rusacc!$AF$15:$AF$65, "",0),  AND( F1410="Main Chain", I1410="Accordion Screen"), _xlfn.XLOOKUP(C1410, calc_rusacc!$C$15:$C$65, calc_rusacc!$BF$15:$BF$65, "",0), AND( F1410="Sealant", I1410="Accordion Screen"), _xlfn.XLOOKUP(C1410, calc_rusacc!$C$15:$C$65, calc_rusacc!$BJ$15:$BJ$65, "",0),  F1410="Sealant", _xlfn.XLOOKUP(C1410, dd_accsrycalc!$A$2:$A$51, dd_accsrycalc!$G$2:$G$51, "",0),  F1410&lt;&gt;"",L1410*_xlfn.XLOOKUP(1, (SKUs!$C$2:$C$10001=G1410)*(SKUs!$K$2:$K$10001=I1410),SKUs!$E$2:$E$10001)), 0),"")</f>
        <v/>
      </c>
      <c r="E1410" s="35" t="str">
        <f>_xlfn.XLOOKUP(F1410,dd_item!$B$2:$B$105,dd_item!$C$2:$C$105,"",0)</f>
        <v/>
      </c>
      <c r="F1410" s="35"/>
      <c r="G1410" s="35" cm="1">
        <f t="array" ref="G1410">IFERROR(_xlfn.XLOOKUP(1, (SKUs!$J$2:$J$10001=accsry_unmerged!F1410)*IF(H1410&lt;&gt;"",(SKUs!$L$2:$L$10001=accsry_unmerged!H1410),1)*(SKUs!$K$2:$K$10001=I1410),SKUs!$C$2:$C$10001),"")</f>
        <v>0</v>
      </c>
      <c r="H1410" s="36" cm="1">
        <f t="array" ref="H1410">IFERROR(_xlfn.XLOOKUP(1, (dd_accsryclr!$C$2:$C$1000=accsry_unmerged!F1410)*(dd_accsryclr!$B$2:$B$1000=accsry_unmerged!J1410),dd_accsryclr!$A$2:$A$1000),"")</f>
        <v>0</v>
      </c>
      <c r="I1410" s="35">
        <f>_xlfn.XLOOKUP(C1410,'Project Details'!$C$17:$C$66,'Project Details'!$E$17:$E$66,"",0)</f>
        <v>0</v>
      </c>
      <c r="J1410" s="35">
        <f>_xlfn.XLOOKUP(C1410,'Project Details'!$C$17:$C$66,'Project Details'!$H$17:$H$66,"",0)</f>
        <v>0</v>
      </c>
      <c r="K1410" s="36" t="str">
        <f>IF(AND(_xlfn.XLOOKUP(C1410,'Project Details'!$C$17:$C$66,'Project Details'!$L$17:$L$66,"",0)&gt;550, F1410="Spring-L27cm"),"",SUBSTITUTE(_xlfn.XLOOKUP(G1410,SKUs!$C$2:$C$10001,SKUs!$F$2:$F$10001,"",0), " Accessories",""))</f>
        <v/>
      </c>
      <c r="L1410" s="36">
        <f>_xlfn.XLOOKUP(C1410,'Project Details'!$C$17:$C$66,'Project Details'!$D$17:$D$66,"",0)</f>
        <v>0</v>
      </c>
      <c r="M1410" s="43"/>
    </row>
    <row r="1411" spans="1:13" ht="13.5" customHeight="1" outlineLevel="1" x14ac:dyDescent="0.25">
      <c r="A1411" s="43"/>
      <c r="B1411" s="43"/>
      <c r="C1411" s="16">
        <f t="shared" si="26"/>
        <v>28</v>
      </c>
      <c r="D1411" s="16" t="str" cm="1">
        <f t="array" ref="D1411">IFERROR(ROUNDUP(_xlfn.IFS(F1411="Aluminum Track", _xlfn.XLOOKUP(C1411, dd_accsrycalc!$A$2:$A$51, dd_accsrycalc!$B$2:$B$51, "",0), F1411="10 x 2 1/2 S (Flat)", _xlfn.XLOOKUP(C1411, dd_accsrycalc!$A$2:$A$51, dd_accsrycalc!$C$2:$C$51, "",0), F1411="Tox6", _xlfn.XLOOKUP(C1411, dd_accsrycalc!$A$2:$A$51, dd_accsrycalc!$D$2:$D$51, "",0), F1411="Cover Cap", _xlfn.XLOOKUP(C1411, dd_accsrycalc!$A$2:$A$51, dd_accsrycalc!$E$2:$E$51, "",0), F1411="Drainage Cover", _xlfn.XLOOKUP(C1411, dd_accsrycalc!$A$2:$A$51, dd_accsrycalc!$F$2:$F$51, "",0),AND( F1411="Double Adhesive Tape", I1411="Roll-up Screen"), _xlfn.XLOOKUP(C1411, calc_rusacc!$C$15:$C$65, calc_rusacc!$AD$15:$AD$65, "",0),AND( F1411="Sealant", I1411="Roll-up Screen"), _xlfn.XLOOKUP(C1411, calc_rusacc!$C$15:$C$65, calc_rusacc!$AF$15:$AF$65, "",0),  AND( F1411="Main Chain", I1411="Accordion Screen"), _xlfn.XLOOKUP(C1411, calc_rusacc!$C$15:$C$65, calc_rusacc!$BF$15:$BF$65, "",0), AND( F1411="Sealant", I1411="Accordion Screen"), _xlfn.XLOOKUP(C1411, calc_rusacc!$C$15:$C$65, calc_rusacc!$BJ$15:$BJ$65, "",0),  F1411="Sealant", _xlfn.XLOOKUP(C1411, dd_accsrycalc!$A$2:$A$51, dd_accsrycalc!$G$2:$G$51, "",0),  F1411&lt;&gt;"",L1411*_xlfn.XLOOKUP(1, (SKUs!$C$2:$C$10001=G1411)*(SKUs!$K$2:$K$10001=I1411),SKUs!$E$2:$E$10001)), 0),"")</f>
        <v/>
      </c>
      <c r="E1411" s="16" t="str">
        <f>_xlfn.XLOOKUP(F1411,dd_item!$B$2:$B$105,dd_item!$C$2:$C$105,"",0)</f>
        <v/>
      </c>
      <c r="F1411" s="16"/>
      <c r="G1411" s="16" cm="1">
        <f t="array" ref="G1411">IFERROR(_xlfn.XLOOKUP(1, (SKUs!$J$2:$J$10001=accsry_unmerged!F1411)*IF(H1411&lt;&gt;"",(SKUs!$L$2:$L$10001=accsry_unmerged!H1411),1)*(SKUs!$K$2:$K$10001=I1411),SKUs!$C$2:$C$10001),"")</f>
        <v>0</v>
      </c>
      <c r="H1411" s="33" cm="1">
        <f t="array" ref="H1411">IFERROR(_xlfn.XLOOKUP(1, (dd_accsryclr!$C$2:$C$1000=accsry_unmerged!F1411)*(dd_accsryclr!$B$2:$B$1000=accsry_unmerged!J1411),dd_accsryclr!$A$2:$A$1000),"")</f>
        <v>0</v>
      </c>
      <c r="I1411" s="16">
        <f>_xlfn.XLOOKUP(C1411,'Project Details'!$C$17:$C$66,'Project Details'!$E$17:$E$66,"",0)</f>
        <v>0</v>
      </c>
      <c r="J1411" s="16">
        <f>_xlfn.XLOOKUP(C1411,'Project Details'!$C$17:$C$66,'Project Details'!$H$17:$H$66,"",0)</f>
        <v>0</v>
      </c>
      <c r="K1411" s="33" t="str">
        <f>IF(AND(_xlfn.XLOOKUP(C1411,'Project Details'!$C$17:$C$66,'Project Details'!$L$17:$L$66,"",0)&gt;550, F1411="Spring-L27cm"),"",SUBSTITUTE(_xlfn.XLOOKUP(G1411,SKUs!$C$2:$C$10001,SKUs!$F$2:$F$10001,"",0), " Accessories",""))</f>
        <v/>
      </c>
      <c r="L1411" s="33">
        <f>_xlfn.XLOOKUP(C1411,'Project Details'!$C$17:$C$66,'Project Details'!$D$17:$D$66,"",0)</f>
        <v>0</v>
      </c>
      <c r="M1411" s="43"/>
    </row>
    <row r="1412" spans="1:13" ht="13.5" customHeight="1" outlineLevel="1" x14ac:dyDescent="0.25">
      <c r="A1412" s="43"/>
      <c r="B1412" s="43"/>
      <c r="C1412" s="35">
        <f t="shared" si="26"/>
        <v>28</v>
      </c>
      <c r="D1412" s="35" t="str" cm="1">
        <f t="array" ref="D1412">IFERROR(ROUNDUP(_xlfn.IFS(F1412="Aluminum Track", _xlfn.XLOOKUP(C1412, dd_accsrycalc!$A$2:$A$51, dd_accsrycalc!$B$2:$B$51, "",0), F1412="10 x 2 1/2 S (Flat)", _xlfn.XLOOKUP(C1412, dd_accsrycalc!$A$2:$A$51, dd_accsrycalc!$C$2:$C$51, "",0), F1412="Tox6", _xlfn.XLOOKUP(C1412, dd_accsrycalc!$A$2:$A$51, dd_accsrycalc!$D$2:$D$51, "",0), F1412="Cover Cap", _xlfn.XLOOKUP(C1412, dd_accsrycalc!$A$2:$A$51, dd_accsrycalc!$E$2:$E$51, "",0), F1412="Drainage Cover", _xlfn.XLOOKUP(C1412, dd_accsrycalc!$A$2:$A$51, dd_accsrycalc!$F$2:$F$51, "",0),AND( F1412="Double Adhesive Tape", I1412="Roll-up Screen"), _xlfn.XLOOKUP(C1412, calc_rusacc!$C$15:$C$65, calc_rusacc!$AD$15:$AD$65, "",0),AND( F1412="Sealant", I1412="Roll-up Screen"), _xlfn.XLOOKUP(C1412, calc_rusacc!$C$15:$C$65, calc_rusacc!$AF$15:$AF$65, "",0),  AND( F1412="Main Chain", I1412="Accordion Screen"), _xlfn.XLOOKUP(C1412, calc_rusacc!$C$15:$C$65, calc_rusacc!$BF$15:$BF$65, "",0), AND( F1412="Sealant", I1412="Accordion Screen"), _xlfn.XLOOKUP(C1412, calc_rusacc!$C$15:$C$65, calc_rusacc!$BJ$15:$BJ$65, "",0),  F1412="Sealant", _xlfn.XLOOKUP(C1412, dd_accsrycalc!$A$2:$A$51, dd_accsrycalc!$G$2:$G$51, "",0),  F1412&lt;&gt;"",L1412*_xlfn.XLOOKUP(1, (SKUs!$C$2:$C$10001=G1412)*(SKUs!$K$2:$K$10001=I1412),SKUs!$E$2:$E$10001)), 0),"")</f>
        <v/>
      </c>
      <c r="E1412" s="35" t="str">
        <f>_xlfn.XLOOKUP(F1412,dd_item!$B$2:$B$105,dd_item!$C$2:$C$105,"",0)</f>
        <v/>
      </c>
      <c r="F1412" s="35"/>
      <c r="G1412" s="35" cm="1">
        <f t="array" ref="G1412">IFERROR(_xlfn.XLOOKUP(1, (SKUs!$J$2:$J$10001=accsry_unmerged!F1412)*IF(H1412&lt;&gt;"",(SKUs!$L$2:$L$10001=accsry_unmerged!H1412),1)*(SKUs!$K$2:$K$10001=I1412),SKUs!$C$2:$C$10001),"")</f>
        <v>0</v>
      </c>
      <c r="H1412" s="36" cm="1">
        <f t="array" ref="H1412">IFERROR(_xlfn.XLOOKUP(1, (dd_accsryclr!$C$2:$C$1000=accsry_unmerged!F1412)*(dd_accsryclr!$B$2:$B$1000=accsry_unmerged!J1412),dd_accsryclr!$A$2:$A$1000),"")</f>
        <v>0</v>
      </c>
      <c r="I1412" s="35">
        <f>_xlfn.XLOOKUP(C1412,'Project Details'!$C$17:$C$66,'Project Details'!$E$17:$E$66,"",0)</f>
        <v>0</v>
      </c>
      <c r="J1412" s="35">
        <f>_xlfn.XLOOKUP(C1412,'Project Details'!$C$17:$C$66,'Project Details'!$H$17:$H$66,"",0)</f>
        <v>0</v>
      </c>
      <c r="K1412" s="36" t="str">
        <f>IF(AND(_xlfn.XLOOKUP(C1412,'Project Details'!$C$17:$C$66,'Project Details'!$L$17:$L$66,"",0)&gt;550, F1412="Spring-L27cm"),"",SUBSTITUTE(_xlfn.XLOOKUP(G1412,SKUs!$C$2:$C$10001,SKUs!$F$2:$F$10001,"",0), " Accessories",""))</f>
        <v/>
      </c>
      <c r="L1412" s="36">
        <f>_xlfn.XLOOKUP(C1412,'Project Details'!$C$17:$C$66,'Project Details'!$D$17:$D$66,"",0)</f>
        <v>0</v>
      </c>
      <c r="M1412" s="43"/>
    </row>
    <row r="1413" spans="1:13" ht="13.5" customHeight="1" outlineLevel="1" x14ac:dyDescent="0.25">
      <c r="A1413" s="43"/>
      <c r="B1413" s="43"/>
      <c r="C1413" s="16">
        <f t="shared" si="26"/>
        <v>28</v>
      </c>
      <c r="D1413" s="16" t="str" cm="1">
        <f t="array" ref="D1413">IFERROR(ROUNDUP(_xlfn.IFS(F1413="Aluminum Track", _xlfn.XLOOKUP(C1413, dd_accsrycalc!$A$2:$A$51, dd_accsrycalc!$B$2:$B$51, "",0), F1413="10 x 2 1/2 S (Flat)", _xlfn.XLOOKUP(C1413, dd_accsrycalc!$A$2:$A$51, dd_accsrycalc!$C$2:$C$51, "",0), F1413="Tox6", _xlfn.XLOOKUP(C1413, dd_accsrycalc!$A$2:$A$51, dd_accsrycalc!$D$2:$D$51, "",0), F1413="Cover Cap", _xlfn.XLOOKUP(C1413, dd_accsrycalc!$A$2:$A$51, dd_accsrycalc!$E$2:$E$51, "",0), F1413="Drainage Cover", _xlfn.XLOOKUP(C1413, dd_accsrycalc!$A$2:$A$51, dd_accsrycalc!$F$2:$F$51, "",0),AND( F1413="Double Adhesive Tape", I1413="Roll-up Screen"), _xlfn.XLOOKUP(C1413, calc_rusacc!$C$15:$C$65, calc_rusacc!$AD$15:$AD$65, "",0),AND( F1413="Sealant", I1413="Roll-up Screen"), _xlfn.XLOOKUP(C1413, calc_rusacc!$C$15:$C$65, calc_rusacc!$AF$15:$AF$65, "",0),  AND( F1413="Main Chain", I1413="Accordion Screen"), _xlfn.XLOOKUP(C1413, calc_rusacc!$C$15:$C$65, calc_rusacc!$BF$15:$BF$65, "",0), AND( F1413="Sealant", I1413="Accordion Screen"), _xlfn.XLOOKUP(C1413, calc_rusacc!$C$15:$C$65, calc_rusacc!$BJ$15:$BJ$65, "",0),  F1413="Sealant", _xlfn.XLOOKUP(C1413, dd_accsrycalc!$A$2:$A$51, dd_accsrycalc!$G$2:$G$51, "",0),  F1413&lt;&gt;"",L1413*_xlfn.XLOOKUP(1, (SKUs!$C$2:$C$10001=G1413)*(SKUs!$K$2:$K$10001=I1413),SKUs!$E$2:$E$10001)), 0),"")</f>
        <v/>
      </c>
      <c r="E1413" s="16" t="str">
        <f>_xlfn.XLOOKUP(F1413,dd_item!$B$2:$B$105,dd_item!$C$2:$C$105,"",0)</f>
        <v/>
      </c>
      <c r="F1413" s="16"/>
      <c r="G1413" s="16" cm="1">
        <f t="array" ref="G1413">IFERROR(_xlfn.XLOOKUP(1, (SKUs!$J$2:$J$10001=accsry_unmerged!F1413)*IF(H1413&lt;&gt;"",(SKUs!$L$2:$L$10001=accsry_unmerged!H1413),1)*(SKUs!$K$2:$K$10001=I1413),SKUs!$C$2:$C$10001),"")</f>
        <v>0</v>
      </c>
      <c r="H1413" s="33" cm="1">
        <f t="array" ref="H1413">IFERROR(_xlfn.XLOOKUP(1, (dd_accsryclr!$C$2:$C$1000=accsry_unmerged!F1413)*(dd_accsryclr!$B$2:$B$1000=accsry_unmerged!J1413),dd_accsryclr!$A$2:$A$1000),"")</f>
        <v>0</v>
      </c>
      <c r="I1413" s="16">
        <f>_xlfn.XLOOKUP(C1413,'Project Details'!$C$17:$C$66,'Project Details'!$E$17:$E$66,"",0)</f>
        <v>0</v>
      </c>
      <c r="J1413" s="16">
        <f>_xlfn.XLOOKUP(C1413,'Project Details'!$C$17:$C$66,'Project Details'!$H$17:$H$66,"",0)</f>
        <v>0</v>
      </c>
      <c r="K1413" s="33" t="str">
        <f>IF(AND(_xlfn.XLOOKUP(C1413,'Project Details'!$C$17:$C$66,'Project Details'!$L$17:$L$66,"",0)&gt;550, F1413="Spring-L27cm"),"",SUBSTITUTE(_xlfn.XLOOKUP(G1413,SKUs!$C$2:$C$10001,SKUs!$F$2:$F$10001,"",0), " Accessories",""))</f>
        <v/>
      </c>
      <c r="L1413" s="33">
        <f>_xlfn.XLOOKUP(C1413,'Project Details'!$C$17:$C$66,'Project Details'!$D$17:$D$66,"",0)</f>
        <v>0</v>
      </c>
      <c r="M1413" s="43"/>
    </row>
    <row r="1414" spans="1:13" x14ac:dyDescent="0.25">
      <c r="A1414" s="43"/>
      <c r="B1414" s="43"/>
      <c r="C1414" s="43"/>
      <c r="D1414" s="43"/>
      <c r="E1414" s="43"/>
      <c r="F1414" s="43"/>
      <c r="G1414" s="43"/>
      <c r="H1414" s="43"/>
      <c r="I1414" s="43"/>
      <c r="J1414" s="43"/>
      <c r="K1414" s="43"/>
      <c r="L1414" s="43"/>
      <c r="M1414" s="43"/>
    </row>
    <row r="1415" spans="1:13" x14ac:dyDescent="0.25">
      <c r="A1415" s="43"/>
      <c r="B1415" s="43"/>
      <c r="C1415" s="16">
        <f>C1413+1</f>
        <v>29</v>
      </c>
      <c r="D1415" s="48" cm="1">
        <f t="array" ref="D1415">IFERROR(ROUNDUP(_xlfn.IFS(F1415="Aluminum Track", _xlfn.XLOOKUP(C1415, dd_accsrycalc!$A$2:$A$51, dd_accsrycalc!$B$2:$B$51, "",0), F1415="10 x 2 1/2 S (Flat)", _xlfn.XLOOKUP(C1415, dd_accsrycalc!$A$2:$A$51, dd_accsrycalc!$C$2:$C$51, "",0), F1415="Tox6", _xlfn.XLOOKUP(C1415, dd_accsrycalc!$A$2:$A$51, dd_accsrycalc!$D$2:$D$51, "",0), F1415="Cover Cap", _xlfn.XLOOKUP(C1415, dd_accsrycalc!$A$2:$A$51, dd_accsrycalc!$E$2:$E$51, "",0), F1415="Drainage Cover", _xlfn.XLOOKUP(C1415, dd_accsrycalc!$A$2:$A$51, dd_accsrycalc!$F$2:$F$51, "",0),AND( F1415="Double Adhesive Tape", I1415="Roll-up Screen"), _xlfn.XLOOKUP(C1415, calc_rusacc!$C$15:$C$65, calc_rusacc!$AD$15:$AD$65, "",0),AND( F1415="Sealant", I1415="Roll-up Screen"), _xlfn.XLOOKUP(C1415, calc_rusacc!$C$15:$C$65, calc_rusacc!$AF$15:$AF$65, "",0),  AND( F1415="Main Chain", I1415="Accordion Screen"), _xlfn.XLOOKUP(C1415, calc_rusacc!$C$15:$C$65, calc_rusacc!$BF$15:$BF$65, "",0), AND( F1415="Sealant", I1415="Accordion Screen"), _xlfn.XLOOKUP(C1415, calc_rusacc!$C$15:$C$65, calc_rusacc!$BJ$15:$BJ$65, "",0),  F1415="Sealant", _xlfn.XLOOKUP(C1415, dd_accsrycalc!$A$2:$A$51, dd_accsrycalc!$G$2:$G$51, "",0),  F1415&lt;&gt;"",L1415*_xlfn.XLOOKUP(1, (SKUs!$C$2:$C$10001=G1415)*(SKUs!$K$2:$K$10001=I1415),SKUs!$E$2:$E$10001)), 0),"")</f>
        <v>0</v>
      </c>
      <c r="E1415" s="48" t="str">
        <f>_xlfn.XLOOKUP(F1415,dd_item!$B$2:$B$105,dd_item!$C$2:$C$105,"",0)</f>
        <v/>
      </c>
      <c r="F1415" s="48" cm="1">
        <f t="array" ref="F1415">IFERROR(_xlfn.UNIQUE(_xlfn._xlws.FILTER(SKUs!$J$2:$J$10001, (SKUs!$F$2:$F$10001&lt;&gt;"Cutting List") * (SKUs!$A$2:$A$10001=_xlfn.XLOOKUP(_xlfn.XLOOKUP(C1415,'Project Details'!$C$17:$C$66,'Project Details'!$E$17:$E$66,"",0), dd_design_raw!$A$2:$A$101,dd_design_raw!$C$2:$C$101,"",0)))), "")</f>
        <v>0</v>
      </c>
      <c r="G1415" s="16" cm="1">
        <f t="array" ref="G1415">IFERROR(_xlfn.XLOOKUP(1, (SKUs!$J$2:$J$10001=accsry_unmerged!F1415)*IF(H1415&lt;&gt;"",(SKUs!$L$2:$L$10001=accsry_unmerged!H1415),1)*(SKUs!$K$2:$K$10001=I1415),SKUs!$C$2:$C$10001),"")</f>
        <v>0</v>
      </c>
      <c r="H1415" s="16" cm="1">
        <f t="array" ref="H1415">IFERROR(_xlfn.XLOOKUP(1, (dd_accsryclr!$C$2:$C$1000=accsry_unmerged!F1415)*(dd_accsryclr!$B$2:$B$1000=accsry_unmerged!J1415),dd_accsryclr!$A$2:$A$1000),"")</f>
        <v>0</v>
      </c>
      <c r="I1415" s="16">
        <f>_xlfn.XLOOKUP(C1415,'Project Details'!$C$17:$C$66,'Project Details'!$E$17:$E$66,"",0)</f>
        <v>0</v>
      </c>
      <c r="J1415" s="16">
        <f>_xlfn.XLOOKUP(C1415,'Project Details'!$C$17:$C$66,'Project Details'!$H$17:$H$66,"",0)</f>
        <v>0</v>
      </c>
      <c r="K1415" s="16" t="str">
        <f>IF(AND(_xlfn.XLOOKUP(C1415,'Project Details'!$C$17:$C$66,'Project Details'!$L$17:$L$66,"",0)&gt;550, F1415="Spring-L27cm"),"",SUBSTITUTE(_xlfn.XLOOKUP(G1415,SKUs!$C$2:$C$10001,SKUs!$F$2:$F$10001,"",0), " Accessories",""))</f>
        <v/>
      </c>
      <c r="L1415" s="16">
        <f>_xlfn.XLOOKUP(C1415,'Project Details'!$C$17:$C$66,'Project Details'!$D$17:$D$66,"",0)</f>
        <v>0</v>
      </c>
      <c r="M1415" s="43"/>
    </row>
    <row r="1416" spans="1:13" x14ac:dyDescent="0.25">
      <c r="A1416" s="43"/>
      <c r="B1416" s="43"/>
      <c r="C1416" s="35">
        <f>C1415</f>
        <v>29</v>
      </c>
      <c r="D1416" s="35" t="str" cm="1">
        <f t="array" ref="D1416">IFERROR(ROUNDUP(_xlfn.IFS(F1416="Aluminum Track", _xlfn.XLOOKUP(C1416, dd_accsrycalc!$A$2:$A$51, dd_accsrycalc!$B$2:$B$51, "",0), F1416="10 x 2 1/2 S (Flat)", _xlfn.XLOOKUP(C1416, dd_accsrycalc!$A$2:$A$51, dd_accsrycalc!$C$2:$C$51, "",0), F1416="Tox6", _xlfn.XLOOKUP(C1416, dd_accsrycalc!$A$2:$A$51, dd_accsrycalc!$D$2:$D$51, "",0), F1416="Cover Cap", _xlfn.XLOOKUP(C1416, dd_accsrycalc!$A$2:$A$51, dd_accsrycalc!$E$2:$E$51, "",0), F1416="Drainage Cover", _xlfn.XLOOKUP(C1416, dd_accsrycalc!$A$2:$A$51, dd_accsrycalc!$F$2:$F$51, "",0),AND( F1416="Double Adhesive Tape", I1416="Roll-up Screen"), _xlfn.XLOOKUP(C1416, calc_rusacc!$C$15:$C$65, calc_rusacc!$AD$15:$AD$65, "",0),AND( F1416="Sealant", I1416="Roll-up Screen"), _xlfn.XLOOKUP(C1416, calc_rusacc!$C$15:$C$65, calc_rusacc!$AF$15:$AF$65, "",0),  AND( F1416="Main Chain", I1416="Accordion Screen"), _xlfn.XLOOKUP(C1416, calc_rusacc!$C$15:$C$65, calc_rusacc!$BF$15:$BF$65, "",0), AND( F1416="Sealant", I1416="Accordion Screen"), _xlfn.XLOOKUP(C1416, calc_rusacc!$C$15:$C$65, calc_rusacc!$BJ$15:$BJ$65, "",0),  F1416="Sealant", _xlfn.XLOOKUP(C1416, dd_accsrycalc!$A$2:$A$51, dd_accsrycalc!$G$2:$G$51, "",0),  F1416&lt;&gt;"",L1416*_xlfn.XLOOKUP(1, (SKUs!$C$2:$C$10001=G1416)*(SKUs!$K$2:$K$10001=I1416),SKUs!$E$2:$E$10001)), 0),"")</f>
        <v/>
      </c>
      <c r="E1416" s="35" t="str">
        <f>_xlfn.XLOOKUP(F1416,dd_item!$B$2:$B$105,dd_item!$C$2:$C$105,"",0)</f>
        <v/>
      </c>
      <c r="F1416" s="35"/>
      <c r="G1416" s="35" cm="1">
        <f t="array" ref="G1416">IFERROR(_xlfn.XLOOKUP(1, (SKUs!$J$2:$J$10001=accsry_unmerged!F1416)*IF(H1416&lt;&gt;"",(SKUs!$L$2:$L$10001=accsry_unmerged!H1416),1)*(SKUs!$K$2:$K$10001=I1416),SKUs!$C$2:$C$10001),"")</f>
        <v>0</v>
      </c>
      <c r="H1416" s="36" cm="1">
        <f t="array" ref="H1416">IFERROR(_xlfn.XLOOKUP(1, (dd_accsryclr!$C$2:$C$1000=accsry_unmerged!F1416)*(dd_accsryclr!$B$2:$B$1000=accsry_unmerged!J1416),dd_accsryclr!$A$2:$A$1000),"")</f>
        <v>0</v>
      </c>
      <c r="I1416" s="35">
        <f>_xlfn.XLOOKUP(C1416,'Project Details'!$C$17:$C$66,'Project Details'!$E$17:$E$66,"",0)</f>
        <v>0</v>
      </c>
      <c r="J1416" s="35">
        <f>_xlfn.XLOOKUP(C1416,'Project Details'!$C$17:$C$66,'Project Details'!$H$17:$H$66,"",0)</f>
        <v>0</v>
      </c>
      <c r="K1416" s="36" t="str">
        <f>IF(AND(_xlfn.XLOOKUP(C1416,'Project Details'!$C$17:$C$66,'Project Details'!$L$17:$L$66,"",0)&gt;550, F1416="Spring-L27cm"),"",SUBSTITUTE(_xlfn.XLOOKUP(G1416,SKUs!$C$2:$C$10001,SKUs!$F$2:$F$10001,"",0), " Accessories",""))</f>
        <v/>
      </c>
      <c r="L1416" s="36">
        <f>_xlfn.XLOOKUP(C1416,'Project Details'!$C$17:$C$66,'Project Details'!$D$17:$D$66,"",0)</f>
        <v>0</v>
      </c>
      <c r="M1416" s="43"/>
    </row>
    <row r="1417" spans="1:13" x14ac:dyDescent="0.25">
      <c r="A1417" s="43"/>
      <c r="B1417" s="43"/>
      <c r="C1417" s="16">
        <f t="shared" ref="C1417:C1463" si="27">C1416</f>
        <v>29</v>
      </c>
      <c r="D1417" s="16" t="str" cm="1">
        <f t="array" ref="D1417">IFERROR(ROUNDUP(_xlfn.IFS(F1417="Aluminum Track", _xlfn.XLOOKUP(C1417, dd_accsrycalc!$A$2:$A$51, dd_accsrycalc!$B$2:$B$51, "",0), F1417="10 x 2 1/2 S (Flat)", _xlfn.XLOOKUP(C1417, dd_accsrycalc!$A$2:$A$51, dd_accsrycalc!$C$2:$C$51, "",0), F1417="Tox6", _xlfn.XLOOKUP(C1417, dd_accsrycalc!$A$2:$A$51, dd_accsrycalc!$D$2:$D$51, "",0), F1417="Cover Cap", _xlfn.XLOOKUP(C1417, dd_accsrycalc!$A$2:$A$51, dd_accsrycalc!$E$2:$E$51, "",0), F1417="Drainage Cover", _xlfn.XLOOKUP(C1417, dd_accsrycalc!$A$2:$A$51, dd_accsrycalc!$F$2:$F$51, "",0),AND( F1417="Double Adhesive Tape", I1417="Roll-up Screen"), _xlfn.XLOOKUP(C1417, calc_rusacc!$C$15:$C$65, calc_rusacc!$AD$15:$AD$65, "",0),AND( F1417="Sealant", I1417="Roll-up Screen"), _xlfn.XLOOKUP(C1417, calc_rusacc!$C$15:$C$65, calc_rusacc!$AF$15:$AF$65, "",0),  AND( F1417="Main Chain", I1417="Accordion Screen"), _xlfn.XLOOKUP(C1417, calc_rusacc!$C$15:$C$65, calc_rusacc!$BF$15:$BF$65, "",0), AND( F1417="Sealant", I1417="Accordion Screen"), _xlfn.XLOOKUP(C1417, calc_rusacc!$C$15:$C$65, calc_rusacc!$BJ$15:$BJ$65, "",0),  F1417="Sealant", _xlfn.XLOOKUP(C1417, dd_accsrycalc!$A$2:$A$51, dd_accsrycalc!$G$2:$G$51, "",0),  F1417&lt;&gt;"",L1417*_xlfn.XLOOKUP(1, (SKUs!$C$2:$C$10001=G1417)*(SKUs!$K$2:$K$10001=I1417),SKUs!$E$2:$E$10001)), 0),"")</f>
        <v/>
      </c>
      <c r="E1417" s="16" t="str">
        <f>_xlfn.XLOOKUP(F1417,dd_item!$B$2:$B$105,dd_item!$C$2:$C$105,"",0)</f>
        <v/>
      </c>
      <c r="F1417" s="16"/>
      <c r="G1417" s="16" cm="1">
        <f t="array" ref="G1417">IFERROR(_xlfn.XLOOKUP(1, (SKUs!$J$2:$J$10001=accsry_unmerged!F1417)*IF(H1417&lt;&gt;"",(SKUs!$L$2:$L$10001=accsry_unmerged!H1417),1)*(SKUs!$K$2:$K$10001=I1417),SKUs!$C$2:$C$10001),"")</f>
        <v>0</v>
      </c>
      <c r="H1417" s="33" cm="1">
        <f t="array" ref="H1417">IFERROR(_xlfn.XLOOKUP(1, (dd_accsryclr!$C$2:$C$1000=accsry_unmerged!F1417)*(dd_accsryclr!$B$2:$B$1000=accsry_unmerged!J1417),dd_accsryclr!$A$2:$A$1000),"")</f>
        <v>0</v>
      </c>
      <c r="I1417" s="16">
        <f>_xlfn.XLOOKUP(C1417,'Project Details'!$C$17:$C$66,'Project Details'!$E$17:$E$66,"",0)</f>
        <v>0</v>
      </c>
      <c r="J1417" s="16">
        <f>_xlfn.XLOOKUP(C1417,'Project Details'!$C$17:$C$66,'Project Details'!$H$17:$H$66,"",0)</f>
        <v>0</v>
      </c>
      <c r="K1417" s="33" t="str">
        <f>IF(AND(_xlfn.XLOOKUP(C1417,'Project Details'!$C$17:$C$66,'Project Details'!$L$17:$L$66,"",0)&gt;550, F1417="Spring-L27cm"),"",SUBSTITUTE(_xlfn.XLOOKUP(G1417,SKUs!$C$2:$C$10001,SKUs!$F$2:$F$10001,"",0), " Accessories",""))</f>
        <v/>
      </c>
      <c r="L1417" s="33">
        <f>_xlfn.XLOOKUP(C1417,'Project Details'!$C$17:$C$66,'Project Details'!$D$17:$D$66,"",0)</f>
        <v>0</v>
      </c>
      <c r="M1417" s="43"/>
    </row>
    <row r="1418" spans="1:13" x14ac:dyDescent="0.25">
      <c r="A1418" s="43"/>
      <c r="B1418" s="43"/>
      <c r="C1418" s="35">
        <f t="shared" si="27"/>
        <v>29</v>
      </c>
      <c r="D1418" s="35" t="str" cm="1">
        <f t="array" ref="D1418">IFERROR(ROUNDUP(_xlfn.IFS(F1418="Aluminum Track", _xlfn.XLOOKUP(C1418, dd_accsrycalc!$A$2:$A$51, dd_accsrycalc!$B$2:$B$51, "",0), F1418="10 x 2 1/2 S (Flat)", _xlfn.XLOOKUP(C1418, dd_accsrycalc!$A$2:$A$51, dd_accsrycalc!$C$2:$C$51, "",0), F1418="Tox6", _xlfn.XLOOKUP(C1418, dd_accsrycalc!$A$2:$A$51, dd_accsrycalc!$D$2:$D$51, "",0), F1418="Cover Cap", _xlfn.XLOOKUP(C1418, dd_accsrycalc!$A$2:$A$51, dd_accsrycalc!$E$2:$E$51, "",0), F1418="Drainage Cover", _xlfn.XLOOKUP(C1418, dd_accsrycalc!$A$2:$A$51, dd_accsrycalc!$F$2:$F$51, "",0),AND( F1418="Double Adhesive Tape", I1418="Roll-up Screen"), _xlfn.XLOOKUP(C1418, calc_rusacc!$C$15:$C$65, calc_rusacc!$AD$15:$AD$65, "",0),AND( F1418="Sealant", I1418="Roll-up Screen"), _xlfn.XLOOKUP(C1418, calc_rusacc!$C$15:$C$65, calc_rusacc!$AF$15:$AF$65, "",0),  AND( F1418="Main Chain", I1418="Accordion Screen"), _xlfn.XLOOKUP(C1418, calc_rusacc!$C$15:$C$65, calc_rusacc!$BF$15:$BF$65, "",0), AND( F1418="Sealant", I1418="Accordion Screen"), _xlfn.XLOOKUP(C1418, calc_rusacc!$C$15:$C$65, calc_rusacc!$BJ$15:$BJ$65, "",0),  F1418="Sealant", _xlfn.XLOOKUP(C1418, dd_accsrycalc!$A$2:$A$51, dd_accsrycalc!$G$2:$G$51, "",0),  F1418&lt;&gt;"",L1418*_xlfn.XLOOKUP(1, (SKUs!$C$2:$C$10001=G1418)*(SKUs!$K$2:$K$10001=I1418),SKUs!$E$2:$E$10001)), 0),"")</f>
        <v/>
      </c>
      <c r="E1418" s="35" t="str">
        <f>_xlfn.XLOOKUP(F1418,dd_item!$B$2:$B$105,dd_item!$C$2:$C$105,"",0)</f>
        <v/>
      </c>
      <c r="F1418" s="35"/>
      <c r="G1418" s="35" cm="1">
        <f t="array" ref="G1418">IFERROR(_xlfn.XLOOKUP(1, (SKUs!$J$2:$J$10001=accsry_unmerged!F1418)*IF(H1418&lt;&gt;"",(SKUs!$L$2:$L$10001=accsry_unmerged!H1418),1)*(SKUs!$K$2:$K$10001=I1418),SKUs!$C$2:$C$10001),"")</f>
        <v>0</v>
      </c>
      <c r="H1418" s="36" cm="1">
        <f t="array" ref="H1418">IFERROR(_xlfn.XLOOKUP(1, (dd_accsryclr!$C$2:$C$1000=accsry_unmerged!F1418)*(dd_accsryclr!$B$2:$B$1000=accsry_unmerged!J1418),dd_accsryclr!$A$2:$A$1000),"")</f>
        <v>0</v>
      </c>
      <c r="I1418" s="35">
        <f>_xlfn.XLOOKUP(C1418,'Project Details'!$C$17:$C$66,'Project Details'!$E$17:$E$66,"",0)</f>
        <v>0</v>
      </c>
      <c r="J1418" s="35">
        <f>_xlfn.XLOOKUP(C1418,'Project Details'!$C$17:$C$66,'Project Details'!$H$17:$H$66,"",0)</f>
        <v>0</v>
      </c>
      <c r="K1418" s="36" t="str">
        <f>IF(AND(_xlfn.XLOOKUP(C1418,'Project Details'!$C$17:$C$66,'Project Details'!$L$17:$L$66,"",0)&gt;550, F1418="Spring-L27cm"),"",SUBSTITUTE(_xlfn.XLOOKUP(G1418,SKUs!$C$2:$C$10001,SKUs!$F$2:$F$10001,"",0), " Accessories",""))</f>
        <v/>
      </c>
      <c r="L1418" s="36">
        <f>_xlfn.XLOOKUP(C1418,'Project Details'!$C$17:$C$66,'Project Details'!$D$17:$D$66,"",0)</f>
        <v>0</v>
      </c>
      <c r="M1418" s="43"/>
    </row>
    <row r="1419" spans="1:13" x14ac:dyDescent="0.25">
      <c r="A1419" s="43"/>
      <c r="B1419" s="43"/>
      <c r="C1419" s="16">
        <f t="shared" si="27"/>
        <v>29</v>
      </c>
      <c r="D1419" s="16" t="str" cm="1">
        <f t="array" ref="D1419">IFERROR(ROUNDUP(_xlfn.IFS(F1419="Aluminum Track", _xlfn.XLOOKUP(C1419, dd_accsrycalc!$A$2:$A$51, dd_accsrycalc!$B$2:$B$51, "",0), F1419="10 x 2 1/2 S (Flat)", _xlfn.XLOOKUP(C1419, dd_accsrycalc!$A$2:$A$51, dd_accsrycalc!$C$2:$C$51, "",0), F1419="Tox6", _xlfn.XLOOKUP(C1419, dd_accsrycalc!$A$2:$A$51, dd_accsrycalc!$D$2:$D$51, "",0), F1419="Cover Cap", _xlfn.XLOOKUP(C1419, dd_accsrycalc!$A$2:$A$51, dd_accsrycalc!$E$2:$E$51, "",0), F1419="Drainage Cover", _xlfn.XLOOKUP(C1419, dd_accsrycalc!$A$2:$A$51, dd_accsrycalc!$F$2:$F$51, "",0),AND( F1419="Double Adhesive Tape", I1419="Roll-up Screen"), _xlfn.XLOOKUP(C1419, calc_rusacc!$C$15:$C$65, calc_rusacc!$AD$15:$AD$65, "",0),AND( F1419="Sealant", I1419="Roll-up Screen"), _xlfn.XLOOKUP(C1419, calc_rusacc!$C$15:$C$65, calc_rusacc!$AF$15:$AF$65, "",0),  AND( F1419="Main Chain", I1419="Accordion Screen"), _xlfn.XLOOKUP(C1419, calc_rusacc!$C$15:$C$65, calc_rusacc!$BF$15:$BF$65, "",0), AND( F1419="Sealant", I1419="Accordion Screen"), _xlfn.XLOOKUP(C1419, calc_rusacc!$C$15:$C$65, calc_rusacc!$BJ$15:$BJ$65, "",0),  F1419="Sealant", _xlfn.XLOOKUP(C1419, dd_accsrycalc!$A$2:$A$51, dd_accsrycalc!$G$2:$G$51, "",0),  F1419&lt;&gt;"",L1419*_xlfn.XLOOKUP(1, (SKUs!$C$2:$C$10001=G1419)*(SKUs!$K$2:$K$10001=I1419),SKUs!$E$2:$E$10001)), 0),"")</f>
        <v/>
      </c>
      <c r="E1419" s="16" t="str">
        <f>_xlfn.XLOOKUP(F1419,dd_item!$B$2:$B$105,dd_item!$C$2:$C$105,"",0)</f>
        <v/>
      </c>
      <c r="F1419" s="16"/>
      <c r="G1419" s="16" cm="1">
        <f t="array" ref="G1419">IFERROR(_xlfn.XLOOKUP(1, (SKUs!$J$2:$J$10001=accsry_unmerged!F1419)*IF(H1419&lt;&gt;"",(SKUs!$L$2:$L$10001=accsry_unmerged!H1419),1)*(SKUs!$K$2:$K$10001=I1419),SKUs!$C$2:$C$10001),"")</f>
        <v>0</v>
      </c>
      <c r="H1419" s="33" cm="1">
        <f t="array" ref="H1419">IFERROR(_xlfn.XLOOKUP(1, (dd_accsryclr!$C$2:$C$1000=accsry_unmerged!F1419)*(dd_accsryclr!$B$2:$B$1000=accsry_unmerged!J1419),dd_accsryclr!$A$2:$A$1000),"")</f>
        <v>0</v>
      </c>
      <c r="I1419" s="16">
        <f>_xlfn.XLOOKUP(C1419,'Project Details'!$C$17:$C$66,'Project Details'!$E$17:$E$66,"",0)</f>
        <v>0</v>
      </c>
      <c r="J1419" s="16">
        <f>_xlfn.XLOOKUP(C1419,'Project Details'!$C$17:$C$66,'Project Details'!$H$17:$H$66,"",0)</f>
        <v>0</v>
      </c>
      <c r="K1419" s="33" t="str">
        <f>IF(AND(_xlfn.XLOOKUP(C1419,'Project Details'!$C$17:$C$66,'Project Details'!$L$17:$L$66,"",0)&gt;550, F1419="Spring-L27cm"),"",SUBSTITUTE(_xlfn.XLOOKUP(G1419,SKUs!$C$2:$C$10001,SKUs!$F$2:$F$10001,"",0), " Accessories",""))</f>
        <v/>
      </c>
      <c r="L1419" s="33">
        <f>_xlfn.XLOOKUP(C1419,'Project Details'!$C$17:$C$66,'Project Details'!$D$17:$D$66,"",0)</f>
        <v>0</v>
      </c>
      <c r="M1419" s="43"/>
    </row>
    <row r="1420" spans="1:13" x14ac:dyDescent="0.25">
      <c r="A1420" s="43"/>
      <c r="B1420" s="43"/>
      <c r="C1420" s="35">
        <f t="shared" si="27"/>
        <v>29</v>
      </c>
      <c r="D1420" s="35" t="str" cm="1">
        <f t="array" ref="D1420">IFERROR(ROUNDUP(_xlfn.IFS(F1420="Aluminum Track", _xlfn.XLOOKUP(C1420, dd_accsrycalc!$A$2:$A$51, dd_accsrycalc!$B$2:$B$51, "",0), F1420="10 x 2 1/2 S (Flat)", _xlfn.XLOOKUP(C1420, dd_accsrycalc!$A$2:$A$51, dd_accsrycalc!$C$2:$C$51, "",0), F1420="Tox6", _xlfn.XLOOKUP(C1420, dd_accsrycalc!$A$2:$A$51, dd_accsrycalc!$D$2:$D$51, "",0), F1420="Cover Cap", _xlfn.XLOOKUP(C1420, dd_accsrycalc!$A$2:$A$51, dd_accsrycalc!$E$2:$E$51, "",0), F1420="Drainage Cover", _xlfn.XLOOKUP(C1420, dd_accsrycalc!$A$2:$A$51, dd_accsrycalc!$F$2:$F$51, "",0),AND( F1420="Double Adhesive Tape", I1420="Roll-up Screen"), _xlfn.XLOOKUP(C1420, calc_rusacc!$C$15:$C$65, calc_rusacc!$AD$15:$AD$65, "",0),AND( F1420="Sealant", I1420="Roll-up Screen"), _xlfn.XLOOKUP(C1420, calc_rusacc!$C$15:$C$65, calc_rusacc!$AF$15:$AF$65, "",0),  AND( F1420="Main Chain", I1420="Accordion Screen"), _xlfn.XLOOKUP(C1420, calc_rusacc!$C$15:$C$65, calc_rusacc!$BF$15:$BF$65, "",0), AND( F1420="Sealant", I1420="Accordion Screen"), _xlfn.XLOOKUP(C1420, calc_rusacc!$C$15:$C$65, calc_rusacc!$BJ$15:$BJ$65, "",0),  F1420="Sealant", _xlfn.XLOOKUP(C1420, dd_accsrycalc!$A$2:$A$51, dd_accsrycalc!$G$2:$G$51, "",0),  F1420&lt;&gt;"",L1420*_xlfn.XLOOKUP(1, (SKUs!$C$2:$C$10001=G1420)*(SKUs!$K$2:$K$10001=I1420),SKUs!$E$2:$E$10001)), 0),"")</f>
        <v/>
      </c>
      <c r="E1420" s="35" t="str">
        <f>_xlfn.XLOOKUP(F1420,dd_item!$B$2:$B$105,dd_item!$C$2:$C$105,"",0)</f>
        <v/>
      </c>
      <c r="F1420" s="35"/>
      <c r="G1420" s="35" cm="1">
        <f t="array" ref="G1420">IFERROR(_xlfn.XLOOKUP(1, (SKUs!$J$2:$J$10001=accsry_unmerged!F1420)*IF(H1420&lt;&gt;"",(SKUs!$L$2:$L$10001=accsry_unmerged!H1420),1)*(SKUs!$K$2:$K$10001=I1420),SKUs!$C$2:$C$10001),"")</f>
        <v>0</v>
      </c>
      <c r="H1420" s="36" cm="1">
        <f t="array" ref="H1420">IFERROR(_xlfn.XLOOKUP(1, (dd_accsryclr!$C$2:$C$1000=accsry_unmerged!F1420)*(dd_accsryclr!$B$2:$B$1000=accsry_unmerged!J1420),dd_accsryclr!$A$2:$A$1000),"")</f>
        <v>0</v>
      </c>
      <c r="I1420" s="35">
        <f>_xlfn.XLOOKUP(C1420,'Project Details'!$C$17:$C$66,'Project Details'!$E$17:$E$66,"",0)</f>
        <v>0</v>
      </c>
      <c r="J1420" s="35">
        <f>_xlfn.XLOOKUP(C1420,'Project Details'!$C$17:$C$66,'Project Details'!$H$17:$H$66,"",0)</f>
        <v>0</v>
      </c>
      <c r="K1420" s="36" t="str">
        <f>IF(AND(_xlfn.XLOOKUP(C1420,'Project Details'!$C$17:$C$66,'Project Details'!$L$17:$L$66,"",0)&gt;550, F1420="Spring-L27cm"),"",SUBSTITUTE(_xlfn.XLOOKUP(G1420,SKUs!$C$2:$C$10001,SKUs!$F$2:$F$10001,"",0), " Accessories",""))</f>
        <v/>
      </c>
      <c r="L1420" s="36">
        <f>_xlfn.XLOOKUP(C1420,'Project Details'!$C$17:$C$66,'Project Details'!$D$17:$D$66,"",0)</f>
        <v>0</v>
      </c>
      <c r="M1420" s="43"/>
    </row>
    <row r="1421" spans="1:13" x14ac:dyDescent="0.25">
      <c r="A1421" s="43"/>
      <c r="B1421" s="43"/>
      <c r="C1421" s="16">
        <f t="shared" si="27"/>
        <v>29</v>
      </c>
      <c r="D1421" s="16" t="str" cm="1">
        <f t="array" ref="D1421">IFERROR(ROUNDUP(_xlfn.IFS(F1421="Aluminum Track", _xlfn.XLOOKUP(C1421, dd_accsrycalc!$A$2:$A$51, dd_accsrycalc!$B$2:$B$51, "",0), F1421="10 x 2 1/2 S (Flat)", _xlfn.XLOOKUP(C1421, dd_accsrycalc!$A$2:$A$51, dd_accsrycalc!$C$2:$C$51, "",0), F1421="Tox6", _xlfn.XLOOKUP(C1421, dd_accsrycalc!$A$2:$A$51, dd_accsrycalc!$D$2:$D$51, "",0), F1421="Cover Cap", _xlfn.XLOOKUP(C1421, dd_accsrycalc!$A$2:$A$51, dd_accsrycalc!$E$2:$E$51, "",0), F1421="Drainage Cover", _xlfn.XLOOKUP(C1421, dd_accsrycalc!$A$2:$A$51, dd_accsrycalc!$F$2:$F$51, "",0),AND( F1421="Double Adhesive Tape", I1421="Roll-up Screen"), _xlfn.XLOOKUP(C1421, calc_rusacc!$C$15:$C$65, calc_rusacc!$AD$15:$AD$65, "",0),AND( F1421="Sealant", I1421="Roll-up Screen"), _xlfn.XLOOKUP(C1421, calc_rusacc!$C$15:$C$65, calc_rusacc!$AF$15:$AF$65, "",0),  AND( F1421="Main Chain", I1421="Accordion Screen"), _xlfn.XLOOKUP(C1421, calc_rusacc!$C$15:$C$65, calc_rusacc!$BF$15:$BF$65, "",0), AND( F1421="Sealant", I1421="Accordion Screen"), _xlfn.XLOOKUP(C1421, calc_rusacc!$C$15:$C$65, calc_rusacc!$BJ$15:$BJ$65, "",0),  F1421="Sealant", _xlfn.XLOOKUP(C1421, dd_accsrycalc!$A$2:$A$51, dd_accsrycalc!$G$2:$G$51, "",0),  F1421&lt;&gt;"",L1421*_xlfn.XLOOKUP(1, (SKUs!$C$2:$C$10001=G1421)*(SKUs!$K$2:$K$10001=I1421),SKUs!$E$2:$E$10001)), 0),"")</f>
        <v/>
      </c>
      <c r="E1421" s="16" t="str">
        <f>_xlfn.XLOOKUP(F1421,dd_item!$B$2:$B$105,dd_item!$C$2:$C$105,"",0)</f>
        <v/>
      </c>
      <c r="F1421" s="16"/>
      <c r="G1421" s="16" cm="1">
        <f t="array" ref="G1421">IFERROR(_xlfn.XLOOKUP(1, (SKUs!$J$2:$J$10001=accsry_unmerged!F1421)*IF(H1421&lt;&gt;"",(SKUs!$L$2:$L$10001=accsry_unmerged!H1421),1)*(SKUs!$K$2:$K$10001=I1421),SKUs!$C$2:$C$10001),"")</f>
        <v>0</v>
      </c>
      <c r="H1421" s="33" cm="1">
        <f t="array" ref="H1421">IFERROR(_xlfn.XLOOKUP(1, (dd_accsryclr!$C$2:$C$1000=accsry_unmerged!F1421)*(dd_accsryclr!$B$2:$B$1000=accsry_unmerged!J1421),dd_accsryclr!$A$2:$A$1000),"")</f>
        <v>0</v>
      </c>
      <c r="I1421" s="16">
        <f>_xlfn.XLOOKUP(C1421,'Project Details'!$C$17:$C$66,'Project Details'!$E$17:$E$66,"",0)</f>
        <v>0</v>
      </c>
      <c r="J1421" s="16">
        <f>_xlfn.XLOOKUP(C1421,'Project Details'!$C$17:$C$66,'Project Details'!$H$17:$H$66,"",0)</f>
        <v>0</v>
      </c>
      <c r="K1421" s="33" t="str">
        <f>IF(AND(_xlfn.XLOOKUP(C1421,'Project Details'!$C$17:$C$66,'Project Details'!$L$17:$L$66,"",0)&gt;550, F1421="Spring-L27cm"),"",SUBSTITUTE(_xlfn.XLOOKUP(G1421,SKUs!$C$2:$C$10001,SKUs!$F$2:$F$10001,"",0), " Accessories",""))</f>
        <v/>
      </c>
      <c r="L1421" s="33">
        <f>_xlfn.XLOOKUP(C1421,'Project Details'!$C$17:$C$66,'Project Details'!$D$17:$D$66,"",0)</f>
        <v>0</v>
      </c>
      <c r="M1421" s="43"/>
    </row>
    <row r="1422" spans="1:13" x14ac:dyDescent="0.25">
      <c r="A1422" s="43"/>
      <c r="B1422" s="43"/>
      <c r="C1422" s="35">
        <f t="shared" si="27"/>
        <v>29</v>
      </c>
      <c r="D1422" s="35" t="str" cm="1">
        <f t="array" ref="D1422">IFERROR(ROUNDUP(_xlfn.IFS(F1422="Aluminum Track", _xlfn.XLOOKUP(C1422, dd_accsrycalc!$A$2:$A$51, dd_accsrycalc!$B$2:$B$51, "",0), F1422="10 x 2 1/2 S (Flat)", _xlfn.XLOOKUP(C1422, dd_accsrycalc!$A$2:$A$51, dd_accsrycalc!$C$2:$C$51, "",0), F1422="Tox6", _xlfn.XLOOKUP(C1422, dd_accsrycalc!$A$2:$A$51, dd_accsrycalc!$D$2:$D$51, "",0), F1422="Cover Cap", _xlfn.XLOOKUP(C1422, dd_accsrycalc!$A$2:$A$51, dd_accsrycalc!$E$2:$E$51, "",0), F1422="Drainage Cover", _xlfn.XLOOKUP(C1422, dd_accsrycalc!$A$2:$A$51, dd_accsrycalc!$F$2:$F$51, "",0),AND( F1422="Double Adhesive Tape", I1422="Roll-up Screen"), _xlfn.XLOOKUP(C1422, calc_rusacc!$C$15:$C$65, calc_rusacc!$AD$15:$AD$65, "",0),AND( F1422="Sealant", I1422="Roll-up Screen"), _xlfn.XLOOKUP(C1422, calc_rusacc!$C$15:$C$65, calc_rusacc!$AF$15:$AF$65, "",0),  AND( F1422="Main Chain", I1422="Accordion Screen"), _xlfn.XLOOKUP(C1422, calc_rusacc!$C$15:$C$65, calc_rusacc!$BF$15:$BF$65, "",0), AND( F1422="Sealant", I1422="Accordion Screen"), _xlfn.XLOOKUP(C1422, calc_rusacc!$C$15:$C$65, calc_rusacc!$BJ$15:$BJ$65, "",0),  F1422="Sealant", _xlfn.XLOOKUP(C1422, dd_accsrycalc!$A$2:$A$51, dd_accsrycalc!$G$2:$G$51, "",0),  F1422&lt;&gt;"",L1422*_xlfn.XLOOKUP(1, (SKUs!$C$2:$C$10001=G1422)*(SKUs!$K$2:$K$10001=I1422),SKUs!$E$2:$E$10001)), 0),"")</f>
        <v/>
      </c>
      <c r="E1422" s="35" t="str">
        <f>_xlfn.XLOOKUP(F1422,dd_item!$B$2:$B$105,dd_item!$C$2:$C$105,"",0)</f>
        <v/>
      </c>
      <c r="F1422" s="35"/>
      <c r="G1422" s="35" cm="1">
        <f t="array" ref="G1422">IFERROR(_xlfn.XLOOKUP(1, (SKUs!$J$2:$J$10001=accsry_unmerged!F1422)*IF(H1422&lt;&gt;"",(SKUs!$L$2:$L$10001=accsry_unmerged!H1422),1)*(SKUs!$K$2:$K$10001=I1422),SKUs!$C$2:$C$10001),"")</f>
        <v>0</v>
      </c>
      <c r="H1422" s="36" cm="1">
        <f t="array" ref="H1422">IFERROR(_xlfn.XLOOKUP(1, (dd_accsryclr!$C$2:$C$1000=accsry_unmerged!F1422)*(dd_accsryclr!$B$2:$B$1000=accsry_unmerged!J1422),dd_accsryclr!$A$2:$A$1000),"")</f>
        <v>0</v>
      </c>
      <c r="I1422" s="35">
        <f>_xlfn.XLOOKUP(C1422,'Project Details'!$C$17:$C$66,'Project Details'!$E$17:$E$66,"",0)</f>
        <v>0</v>
      </c>
      <c r="J1422" s="35">
        <f>_xlfn.XLOOKUP(C1422,'Project Details'!$C$17:$C$66,'Project Details'!$H$17:$H$66,"",0)</f>
        <v>0</v>
      </c>
      <c r="K1422" s="36" t="str">
        <f>IF(AND(_xlfn.XLOOKUP(C1422,'Project Details'!$C$17:$C$66,'Project Details'!$L$17:$L$66,"",0)&gt;550, F1422="Spring-L27cm"),"",SUBSTITUTE(_xlfn.XLOOKUP(G1422,SKUs!$C$2:$C$10001,SKUs!$F$2:$F$10001,"",0), " Accessories",""))</f>
        <v/>
      </c>
      <c r="L1422" s="36">
        <f>_xlfn.XLOOKUP(C1422,'Project Details'!$C$17:$C$66,'Project Details'!$D$17:$D$66,"",0)</f>
        <v>0</v>
      </c>
      <c r="M1422" s="43"/>
    </row>
    <row r="1423" spans="1:13" x14ac:dyDescent="0.25">
      <c r="A1423" s="43"/>
      <c r="B1423" s="43"/>
      <c r="C1423" s="16">
        <f t="shared" si="27"/>
        <v>29</v>
      </c>
      <c r="D1423" s="16" t="str" cm="1">
        <f t="array" ref="D1423">IFERROR(ROUNDUP(_xlfn.IFS(F1423="Aluminum Track", _xlfn.XLOOKUP(C1423, dd_accsrycalc!$A$2:$A$51, dd_accsrycalc!$B$2:$B$51, "",0), F1423="10 x 2 1/2 S (Flat)", _xlfn.XLOOKUP(C1423, dd_accsrycalc!$A$2:$A$51, dd_accsrycalc!$C$2:$C$51, "",0), F1423="Tox6", _xlfn.XLOOKUP(C1423, dd_accsrycalc!$A$2:$A$51, dd_accsrycalc!$D$2:$D$51, "",0), F1423="Cover Cap", _xlfn.XLOOKUP(C1423, dd_accsrycalc!$A$2:$A$51, dd_accsrycalc!$E$2:$E$51, "",0), F1423="Drainage Cover", _xlfn.XLOOKUP(C1423, dd_accsrycalc!$A$2:$A$51, dd_accsrycalc!$F$2:$F$51, "",0),AND( F1423="Double Adhesive Tape", I1423="Roll-up Screen"), _xlfn.XLOOKUP(C1423, calc_rusacc!$C$15:$C$65, calc_rusacc!$AD$15:$AD$65, "",0),AND( F1423="Sealant", I1423="Roll-up Screen"), _xlfn.XLOOKUP(C1423, calc_rusacc!$C$15:$C$65, calc_rusacc!$AF$15:$AF$65, "",0),  AND( F1423="Main Chain", I1423="Accordion Screen"), _xlfn.XLOOKUP(C1423, calc_rusacc!$C$15:$C$65, calc_rusacc!$BF$15:$BF$65, "",0), AND( F1423="Sealant", I1423="Accordion Screen"), _xlfn.XLOOKUP(C1423, calc_rusacc!$C$15:$C$65, calc_rusacc!$BJ$15:$BJ$65, "",0),  F1423="Sealant", _xlfn.XLOOKUP(C1423, dd_accsrycalc!$A$2:$A$51, dd_accsrycalc!$G$2:$G$51, "",0),  F1423&lt;&gt;"",L1423*_xlfn.XLOOKUP(1, (SKUs!$C$2:$C$10001=G1423)*(SKUs!$K$2:$K$10001=I1423),SKUs!$E$2:$E$10001)), 0),"")</f>
        <v/>
      </c>
      <c r="E1423" s="16" t="str">
        <f>_xlfn.XLOOKUP(F1423,dd_item!$B$2:$B$105,dd_item!$C$2:$C$105,"",0)</f>
        <v/>
      </c>
      <c r="F1423" s="16"/>
      <c r="G1423" s="16" cm="1">
        <f t="array" ref="G1423">IFERROR(_xlfn.XLOOKUP(1, (SKUs!$J$2:$J$10001=accsry_unmerged!F1423)*IF(H1423&lt;&gt;"",(SKUs!$L$2:$L$10001=accsry_unmerged!H1423),1)*(SKUs!$K$2:$K$10001=I1423),SKUs!$C$2:$C$10001),"")</f>
        <v>0</v>
      </c>
      <c r="H1423" s="33" cm="1">
        <f t="array" ref="H1423">IFERROR(_xlfn.XLOOKUP(1, (dd_accsryclr!$C$2:$C$1000=accsry_unmerged!F1423)*(dd_accsryclr!$B$2:$B$1000=accsry_unmerged!J1423),dd_accsryclr!$A$2:$A$1000),"")</f>
        <v>0</v>
      </c>
      <c r="I1423" s="16">
        <f>_xlfn.XLOOKUP(C1423,'Project Details'!$C$17:$C$66,'Project Details'!$E$17:$E$66,"",0)</f>
        <v>0</v>
      </c>
      <c r="J1423" s="16">
        <f>_xlfn.XLOOKUP(C1423,'Project Details'!$C$17:$C$66,'Project Details'!$H$17:$H$66,"",0)</f>
        <v>0</v>
      </c>
      <c r="K1423" s="33" t="str">
        <f>IF(AND(_xlfn.XLOOKUP(C1423,'Project Details'!$C$17:$C$66,'Project Details'!$L$17:$L$66,"",0)&gt;550, F1423="Spring-L27cm"),"",SUBSTITUTE(_xlfn.XLOOKUP(G1423,SKUs!$C$2:$C$10001,SKUs!$F$2:$F$10001,"",0), " Accessories",""))</f>
        <v/>
      </c>
      <c r="L1423" s="33">
        <f>_xlfn.XLOOKUP(C1423,'Project Details'!$C$17:$C$66,'Project Details'!$D$17:$D$66,"",0)</f>
        <v>0</v>
      </c>
      <c r="M1423" s="43"/>
    </row>
    <row r="1424" spans="1:13" x14ac:dyDescent="0.25">
      <c r="A1424" s="43"/>
      <c r="B1424" s="43"/>
      <c r="C1424" s="35">
        <f t="shared" si="27"/>
        <v>29</v>
      </c>
      <c r="D1424" s="35" t="str" cm="1">
        <f t="array" ref="D1424">IFERROR(ROUNDUP(_xlfn.IFS(F1424="Aluminum Track", _xlfn.XLOOKUP(C1424, dd_accsrycalc!$A$2:$A$51, dd_accsrycalc!$B$2:$B$51, "",0), F1424="10 x 2 1/2 S (Flat)", _xlfn.XLOOKUP(C1424, dd_accsrycalc!$A$2:$A$51, dd_accsrycalc!$C$2:$C$51, "",0), F1424="Tox6", _xlfn.XLOOKUP(C1424, dd_accsrycalc!$A$2:$A$51, dd_accsrycalc!$D$2:$D$51, "",0), F1424="Cover Cap", _xlfn.XLOOKUP(C1424, dd_accsrycalc!$A$2:$A$51, dd_accsrycalc!$E$2:$E$51, "",0), F1424="Drainage Cover", _xlfn.XLOOKUP(C1424, dd_accsrycalc!$A$2:$A$51, dd_accsrycalc!$F$2:$F$51, "",0),AND( F1424="Double Adhesive Tape", I1424="Roll-up Screen"), _xlfn.XLOOKUP(C1424, calc_rusacc!$C$15:$C$65, calc_rusacc!$AD$15:$AD$65, "",0),AND( F1424="Sealant", I1424="Roll-up Screen"), _xlfn.XLOOKUP(C1424, calc_rusacc!$C$15:$C$65, calc_rusacc!$AF$15:$AF$65, "",0),  AND( F1424="Main Chain", I1424="Accordion Screen"), _xlfn.XLOOKUP(C1424, calc_rusacc!$C$15:$C$65, calc_rusacc!$BF$15:$BF$65, "",0), AND( F1424="Sealant", I1424="Accordion Screen"), _xlfn.XLOOKUP(C1424, calc_rusacc!$C$15:$C$65, calc_rusacc!$BJ$15:$BJ$65, "",0),  F1424="Sealant", _xlfn.XLOOKUP(C1424, dd_accsrycalc!$A$2:$A$51, dd_accsrycalc!$G$2:$G$51, "",0),  F1424&lt;&gt;"",L1424*_xlfn.XLOOKUP(1, (SKUs!$C$2:$C$10001=G1424)*(SKUs!$K$2:$K$10001=I1424),SKUs!$E$2:$E$10001)), 0),"")</f>
        <v/>
      </c>
      <c r="E1424" s="35" t="str">
        <f>_xlfn.XLOOKUP(F1424,dd_item!$B$2:$B$105,dd_item!$C$2:$C$105,"",0)</f>
        <v/>
      </c>
      <c r="F1424" s="35"/>
      <c r="G1424" s="35" cm="1">
        <f t="array" ref="G1424">IFERROR(_xlfn.XLOOKUP(1, (SKUs!$J$2:$J$10001=accsry_unmerged!F1424)*IF(H1424&lt;&gt;"",(SKUs!$L$2:$L$10001=accsry_unmerged!H1424),1)*(SKUs!$K$2:$K$10001=I1424),SKUs!$C$2:$C$10001),"")</f>
        <v>0</v>
      </c>
      <c r="H1424" s="36" cm="1">
        <f t="array" ref="H1424">IFERROR(_xlfn.XLOOKUP(1, (dd_accsryclr!$C$2:$C$1000=accsry_unmerged!F1424)*(dd_accsryclr!$B$2:$B$1000=accsry_unmerged!J1424),dd_accsryclr!$A$2:$A$1000),"")</f>
        <v>0</v>
      </c>
      <c r="I1424" s="35">
        <f>_xlfn.XLOOKUP(C1424,'Project Details'!$C$17:$C$66,'Project Details'!$E$17:$E$66,"",0)</f>
        <v>0</v>
      </c>
      <c r="J1424" s="35">
        <f>_xlfn.XLOOKUP(C1424,'Project Details'!$C$17:$C$66,'Project Details'!$H$17:$H$66,"",0)</f>
        <v>0</v>
      </c>
      <c r="K1424" s="36" t="str">
        <f>IF(AND(_xlfn.XLOOKUP(C1424,'Project Details'!$C$17:$C$66,'Project Details'!$L$17:$L$66,"",0)&gt;550, F1424="Spring-L27cm"),"",SUBSTITUTE(_xlfn.XLOOKUP(G1424,SKUs!$C$2:$C$10001,SKUs!$F$2:$F$10001,"",0), " Accessories",""))</f>
        <v/>
      </c>
      <c r="L1424" s="36">
        <f>_xlfn.XLOOKUP(C1424,'Project Details'!$C$17:$C$66,'Project Details'!$D$17:$D$66,"",0)</f>
        <v>0</v>
      </c>
      <c r="M1424" s="43"/>
    </row>
    <row r="1425" spans="1:13" x14ac:dyDescent="0.25">
      <c r="A1425" s="43"/>
      <c r="B1425" s="43"/>
      <c r="C1425" s="16">
        <f t="shared" si="27"/>
        <v>29</v>
      </c>
      <c r="D1425" s="16" t="str" cm="1">
        <f t="array" ref="D1425">IFERROR(ROUNDUP(_xlfn.IFS(F1425="Aluminum Track", _xlfn.XLOOKUP(C1425, dd_accsrycalc!$A$2:$A$51, dd_accsrycalc!$B$2:$B$51, "",0), F1425="10 x 2 1/2 S (Flat)", _xlfn.XLOOKUP(C1425, dd_accsrycalc!$A$2:$A$51, dd_accsrycalc!$C$2:$C$51, "",0), F1425="Tox6", _xlfn.XLOOKUP(C1425, dd_accsrycalc!$A$2:$A$51, dd_accsrycalc!$D$2:$D$51, "",0), F1425="Cover Cap", _xlfn.XLOOKUP(C1425, dd_accsrycalc!$A$2:$A$51, dd_accsrycalc!$E$2:$E$51, "",0), F1425="Drainage Cover", _xlfn.XLOOKUP(C1425, dd_accsrycalc!$A$2:$A$51, dd_accsrycalc!$F$2:$F$51, "",0),AND( F1425="Double Adhesive Tape", I1425="Roll-up Screen"), _xlfn.XLOOKUP(C1425, calc_rusacc!$C$15:$C$65, calc_rusacc!$AD$15:$AD$65, "",0),AND( F1425="Sealant", I1425="Roll-up Screen"), _xlfn.XLOOKUP(C1425, calc_rusacc!$C$15:$C$65, calc_rusacc!$AF$15:$AF$65, "",0),  AND( F1425="Main Chain", I1425="Accordion Screen"), _xlfn.XLOOKUP(C1425, calc_rusacc!$C$15:$C$65, calc_rusacc!$BF$15:$BF$65, "",0), AND( F1425="Sealant", I1425="Accordion Screen"), _xlfn.XLOOKUP(C1425, calc_rusacc!$C$15:$C$65, calc_rusacc!$BJ$15:$BJ$65, "",0),  F1425="Sealant", _xlfn.XLOOKUP(C1425, dd_accsrycalc!$A$2:$A$51, dd_accsrycalc!$G$2:$G$51, "",0),  F1425&lt;&gt;"",L1425*_xlfn.XLOOKUP(1, (SKUs!$C$2:$C$10001=G1425)*(SKUs!$K$2:$K$10001=I1425),SKUs!$E$2:$E$10001)), 0),"")</f>
        <v/>
      </c>
      <c r="E1425" s="16" t="str">
        <f>_xlfn.XLOOKUP(F1425,dd_item!$B$2:$B$105,dd_item!$C$2:$C$105,"",0)</f>
        <v/>
      </c>
      <c r="F1425" s="16"/>
      <c r="G1425" s="16" cm="1">
        <f t="array" ref="G1425">IFERROR(_xlfn.XLOOKUP(1, (SKUs!$J$2:$J$10001=accsry_unmerged!F1425)*IF(H1425&lt;&gt;"",(SKUs!$L$2:$L$10001=accsry_unmerged!H1425),1)*(SKUs!$K$2:$K$10001=I1425),SKUs!$C$2:$C$10001),"")</f>
        <v>0</v>
      </c>
      <c r="H1425" s="33" cm="1">
        <f t="array" ref="H1425">IFERROR(_xlfn.XLOOKUP(1, (dd_accsryclr!$C$2:$C$1000=accsry_unmerged!F1425)*(dd_accsryclr!$B$2:$B$1000=accsry_unmerged!J1425),dd_accsryclr!$A$2:$A$1000),"")</f>
        <v>0</v>
      </c>
      <c r="I1425" s="16">
        <f>_xlfn.XLOOKUP(C1425,'Project Details'!$C$17:$C$66,'Project Details'!$E$17:$E$66,"",0)</f>
        <v>0</v>
      </c>
      <c r="J1425" s="16">
        <f>_xlfn.XLOOKUP(C1425,'Project Details'!$C$17:$C$66,'Project Details'!$H$17:$H$66,"",0)</f>
        <v>0</v>
      </c>
      <c r="K1425" s="33" t="str">
        <f>IF(AND(_xlfn.XLOOKUP(C1425,'Project Details'!$C$17:$C$66,'Project Details'!$L$17:$L$66,"",0)&gt;550, F1425="Spring-L27cm"),"",SUBSTITUTE(_xlfn.XLOOKUP(G1425,SKUs!$C$2:$C$10001,SKUs!$F$2:$F$10001,"",0), " Accessories",""))</f>
        <v/>
      </c>
      <c r="L1425" s="33">
        <f>_xlfn.XLOOKUP(C1425,'Project Details'!$C$17:$C$66,'Project Details'!$D$17:$D$66,"",0)</f>
        <v>0</v>
      </c>
      <c r="M1425" s="43"/>
    </row>
    <row r="1426" spans="1:13" x14ac:dyDescent="0.25">
      <c r="A1426" s="43"/>
      <c r="B1426" s="43"/>
      <c r="C1426" s="35">
        <f t="shared" si="27"/>
        <v>29</v>
      </c>
      <c r="D1426" s="35" t="str" cm="1">
        <f t="array" ref="D1426">IFERROR(ROUNDUP(_xlfn.IFS(F1426="Aluminum Track", _xlfn.XLOOKUP(C1426, dd_accsrycalc!$A$2:$A$51, dd_accsrycalc!$B$2:$B$51, "",0), F1426="10 x 2 1/2 S (Flat)", _xlfn.XLOOKUP(C1426, dd_accsrycalc!$A$2:$A$51, dd_accsrycalc!$C$2:$C$51, "",0), F1426="Tox6", _xlfn.XLOOKUP(C1426, dd_accsrycalc!$A$2:$A$51, dd_accsrycalc!$D$2:$D$51, "",0), F1426="Cover Cap", _xlfn.XLOOKUP(C1426, dd_accsrycalc!$A$2:$A$51, dd_accsrycalc!$E$2:$E$51, "",0), F1426="Drainage Cover", _xlfn.XLOOKUP(C1426, dd_accsrycalc!$A$2:$A$51, dd_accsrycalc!$F$2:$F$51, "",0),AND( F1426="Double Adhesive Tape", I1426="Roll-up Screen"), _xlfn.XLOOKUP(C1426, calc_rusacc!$C$15:$C$65, calc_rusacc!$AD$15:$AD$65, "",0),AND( F1426="Sealant", I1426="Roll-up Screen"), _xlfn.XLOOKUP(C1426, calc_rusacc!$C$15:$C$65, calc_rusacc!$AF$15:$AF$65, "",0),  AND( F1426="Main Chain", I1426="Accordion Screen"), _xlfn.XLOOKUP(C1426, calc_rusacc!$C$15:$C$65, calc_rusacc!$BF$15:$BF$65, "",0), AND( F1426="Sealant", I1426="Accordion Screen"), _xlfn.XLOOKUP(C1426, calc_rusacc!$C$15:$C$65, calc_rusacc!$BJ$15:$BJ$65, "",0),  F1426="Sealant", _xlfn.XLOOKUP(C1426, dd_accsrycalc!$A$2:$A$51, dd_accsrycalc!$G$2:$G$51, "",0),  F1426&lt;&gt;"",L1426*_xlfn.XLOOKUP(1, (SKUs!$C$2:$C$10001=G1426)*(SKUs!$K$2:$K$10001=I1426),SKUs!$E$2:$E$10001)), 0),"")</f>
        <v/>
      </c>
      <c r="E1426" s="35" t="str">
        <f>_xlfn.XLOOKUP(F1426,dd_item!$B$2:$B$105,dd_item!$C$2:$C$105,"",0)</f>
        <v/>
      </c>
      <c r="F1426" s="35"/>
      <c r="G1426" s="35" cm="1">
        <f t="array" ref="G1426">IFERROR(_xlfn.XLOOKUP(1, (SKUs!$J$2:$J$10001=accsry_unmerged!F1426)*IF(H1426&lt;&gt;"",(SKUs!$L$2:$L$10001=accsry_unmerged!H1426),1)*(SKUs!$K$2:$K$10001=I1426),SKUs!$C$2:$C$10001),"")</f>
        <v>0</v>
      </c>
      <c r="H1426" s="36" cm="1">
        <f t="array" ref="H1426">IFERROR(_xlfn.XLOOKUP(1, (dd_accsryclr!$C$2:$C$1000=accsry_unmerged!F1426)*(dd_accsryclr!$B$2:$B$1000=accsry_unmerged!J1426),dd_accsryclr!$A$2:$A$1000),"")</f>
        <v>0</v>
      </c>
      <c r="I1426" s="35">
        <f>_xlfn.XLOOKUP(C1426,'Project Details'!$C$17:$C$66,'Project Details'!$E$17:$E$66,"",0)</f>
        <v>0</v>
      </c>
      <c r="J1426" s="35">
        <f>_xlfn.XLOOKUP(C1426,'Project Details'!$C$17:$C$66,'Project Details'!$H$17:$H$66,"",0)</f>
        <v>0</v>
      </c>
      <c r="K1426" s="36" t="str">
        <f>IF(AND(_xlfn.XLOOKUP(C1426,'Project Details'!$C$17:$C$66,'Project Details'!$L$17:$L$66,"",0)&gt;550, F1426="Spring-L27cm"),"",SUBSTITUTE(_xlfn.XLOOKUP(G1426,SKUs!$C$2:$C$10001,SKUs!$F$2:$F$10001,"",0), " Accessories",""))</f>
        <v/>
      </c>
      <c r="L1426" s="36">
        <f>_xlfn.XLOOKUP(C1426,'Project Details'!$C$17:$C$66,'Project Details'!$D$17:$D$66,"",0)</f>
        <v>0</v>
      </c>
      <c r="M1426" s="43"/>
    </row>
    <row r="1427" spans="1:13" x14ac:dyDescent="0.25">
      <c r="A1427" s="43"/>
      <c r="B1427" s="43"/>
      <c r="C1427" s="16">
        <f t="shared" si="27"/>
        <v>29</v>
      </c>
      <c r="D1427" s="16" t="str" cm="1">
        <f t="array" ref="D1427">IFERROR(ROUNDUP(_xlfn.IFS(F1427="Aluminum Track", _xlfn.XLOOKUP(C1427, dd_accsrycalc!$A$2:$A$51, dd_accsrycalc!$B$2:$B$51, "",0), F1427="10 x 2 1/2 S (Flat)", _xlfn.XLOOKUP(C1427, dd_accsrycalc!$A$2:$A$51, dd_accsrycalc!$C$2:$C$51, "",0), F1427="Tox6", _xlfn.XLOOKUP(C1427, dd_accsrycalc!$A$2:$A$51, dd_accsrycalc!$D$2:$D$51, "",0), F1427="Cover Cap", _xlfn.XLOOKUP(C1427, dd_accsrycalc!$A$2:$A$51, dd_accsrycalc!$E$2:$E$51, "",0), F1427="Drainage Cover", _xlfn.XLOOKUP(C1427, dd_accsrycalc!$A$2:$A$51, dd_accsrycalc!$F$2:$F$51, "",0),AND( F1427="Double Adhesive Tape", I1427="Roll-up Screen"), _xlfn.XLOOKUP(C1427, calc_rusacc!$C$15:$C$65, calc_rusacc!$AD$15:$AD$65, "",0),AND( F1427="Sealant", I1427="Roll-up Screen"), _xlfn.XLOOKUP(C1427, calc_rusacc!$C$15:$C$65, calc_rusacc!$AF$15:$AF$65, "",0),  AND( F1427="Main Chain", I1427="Accordion Screen"), _xlfn.XLOOKUP(C1427, calc_rusacc!$C$15:$C$65, calc_rusacc!$BF$15:$BF$65, "",0), AND( F1427="Sealant", I1427="Accordion Screen"), _xlfn.XLOOKUP(C1427, calc_rusacc!$C$15:$C$65, calc_rusacc!$BJ$15:$BJ$65, "",0),  F1427="Sealant", _xlfn.XLOOKUP(C1427, dd_accsrycalc!$A$2:$A$51, dd_accsrycalc!$G$2:$G$51, "",0),  F1427&lt;&gt;"",L1427*_xlfn.XLOOKUP(1, (SKUs!$C$2:$C$10001=G1427)*(SKUs!$K$2:$K$10001=I1427),SKUs!$E$2:$E$10001)), 0),"")</f>
        <v/>
      </c>
      <c r="E1427" s="16" t="str">
        <f>_xlfn.XLOOKUP(F1427,dd_item!$B$2:$B$105,dd_item!$C$2:$C$105,"",0)</f>
        <v/>
      </c>
      <c r="F1427" s="16"/>
      <c r="G1427" s="16" cm="1">
        <f t="array" ref="G1427">IFERROR(_xlfn.XLOOKUP(1, (SKUs!$J$2:$J$10001=accsry_unmerged!F1427)*IF(H1427&lt;&gt;"",(SKUs!$L$2:$L$10001=accsry_unmerged!H1427),1)*(SKUs!$K$2:$K$10001=I1427),SKUs!$C$2:$C$10001),"")</f>
        <v>0</v>
      </c>
      <c r="H1427" s="33" cm="1">
        <f t="array" ref="H1427">IFERROR(_xlfn.XLOOKUP(1, (dd_accsryclr!$C$2:$C$1000=accsry_unmerged!F1427)*(dd_accsryclr!$B$2:$B$1000=accsry_unmerged!J1427),dd_accsryclr!$A$2:$A$1000),"")</f>
        <v>0</v>
      </c>
      <c r="I1427" s="16">
        <f>_xlfn.XLOOKUP(C1427,'Project Details'!$C$17:$C$66,'Project Details'!$E$17:$E$66,"",0)</f>
        <v>0</v>
      </c>
      <c r="J1427" s="16">
        <f>_xlfn.XLOOKUP(C1427,'Project Details'!$C$17:$C$66,'Project Details'!$H$17:$H$66,"",0)</f>
        <v>0</v>
      </c>
      <c r="K1427" s="33" t="str">
        <f>IF(AND(_xlfn.XLOOKUP(C1427,'Project Details'!$C$17:$C$66,'Project Details'!$L$17:$L$66,"",0)&gt;550, F1427="Spring-L27cm"),"",SUBSTITUTE(_xlfn.XLOOKUP(G1427,SKUs!$C$2:$C$10001,SKUs!$F$2:$F$10001,"",0), " Accessories",""))</f>
        <v/>
      </c>
      <c r="L1427" s="33">
        <f>_xlfn.XLOOKUP(C1427,'Project Details'!$C$17:$C$66,'Project Details'!$D$17:$D$66,"",0)</f>
        <v>0</v>
      </c>
      <c r="M1427" s="43"/>
    </row>
    <row r="1428" spans="1:13" x14ac:dyDescent="0.25">
      <c r="A1428" s="43"/>
      <c r="B1428" s="43"/>
      <c r="C1428" s="35">
        <f t="shared" si="27"/>
        <v>29</v>
      </c>
      <c r="D1428" s="35" t="str" cm="1">
        <f t="array" ref="D1428">IFERROR(ROUNDUP(_xlfn.IFS(F1428="Aluminum Track", _xlfn.XLOOKUP(C1428, dd_accsrycalc!$A$2:$A$51, dd_accsrycalc!$B$2:$B$51, "",0), F1428="10 x 2 1/2 S (Flat)", _xlfn.XLOOKUP(C1428, dd_accsrycalc!$A$2:$A$51, dd_accsrycalc!$C$2:$C$51, "",0), F1428="Tox6", _xlfn.XLOOKUP(C1428, dd_accsrycalc!$A$2:$A$51, dd_accsrycalc!$D$2:$D$51, "",0), F1428="Cover Cap", _xlfn.XLOOKUP(C1428, dd_accsrycalc!$A$2:$A$51, dd_accsrycalc!$E$2:$E$51, "",0), F1428="Drainage Cover", _xlfn.XLOOKUP(C1428, dd_accsrycalc!$A$2:$A$51, dd_accsrycalc!$F$2:$F$51, "",0),AND( F1428="Double Adhesive Tape", I1428="Roll-up Screen"), _xlfn.XLOOKUP(C1428, calc_rusacc!$C$15:$C$65, calc_rusacc!$AD$15:$AD$65, "",0),AND( F1428="Sealant", I1428="Roll-up Screen"), _xlfn.XLOOKUP(C1428, calc_rusacc!$C$15:$C$65, calc_rusacc!$AF$15:$AF$65, "",0),  AND( F1428="Main Chain", I1428="Accordion Screen"), _xlfn.XLOOKUP(C1428, calc_rusacc!$C$15:$C$65, calc_rusacc!$BF$15:$BF$65, "",0), AND( F1428="Sealant", I1428="Accordion Screen"), _xlfn.XLOOKUP(C1428, calc_rusacc!$C$15:$C$65, calc_rusacc!$BJ$15:$BJ$65, "",0),  F1428="Sealant", _xlfn.XLOOKUP(C1428, dd_accsrycalc!$A$2:$A$51, dd_accsrycalc!$G$2:$G$51, "",0),  F1428&lt;&gt;"",L1428*_xlfn.XLOOKUP(1, (SKUs!$C$2:$C$10001=G1428)*(SKUs!$K$2:$K$10001=I1428),SKUs!$E$2:$E$10001)), 0),"")</f>
        <v/>
      </c>
      <c r="E1428" s="35" t="str">
        <f>_xlfn.XLOOKUP(F1428,dd_item!$B$2:$B$105,dd_item!$C$2:$C$105,"",0)</f>
        <v/>
      </c>
      <c r="F1428" s="35"/>
      <c r="G1428" s="35" cm="1">
        <f t="array" ref="G1428">IFERROR(_xlfn.XLOOKUP(1, (SKUs!$J$2:$J$10001=accsry_unmerged!F1428)*IF(H1428&lt;&gt;"",(SKUs!$L$2:$L$10001=accsry_unmerged!H1428),1)*(SKUs!$K$2:$K$10001=I1428),SKUs!$C$2:$C$10001),"")</f>
        <v>0</v>
      </c>
      <c r="H1428" s="36" cm="1">
        <f t="array" ref="H1428">IFERROR(_xlfn.XLOOKUP(1, (dd_accsryclr!$C$2:$C$1000=accsry_unmerged!F1428)*(dd_accsryclr!$B$2:$B$1000=accsry_unmerged!J1428),dd_accsryclr!$A$2:$A$1000),"")</f>
        <v>0</v>
      </c>
      <c r="I1428" s="35">
        <f>_xlfn.XLOOKUP(C1428,'Project Details'!$C$17:$C$66,'Project Details'!$E$17:$E$66,"",0)</f>
        <v>0</v>
      </c>
      <c r="J1428" s="35">
        <f>_xlfn.XLOOKUP(C1428,'Project Details'!$C$17:$C$66,'Project Details'!$H$17:$H$66,"",0)</f>
        <v>0</v>
      </c>
      <c r="K1428" s="36" t="str">
        <f>IF(AND(_xlfn.XLOOKUP(C1428,'Project Details'!$C$17:$C$66,'Project Details'!$L$17:$L$66,"",0)&gt;550, F1428="Spring-L27cm"),"",SUBSTITUTE(_xlfn.XLOOKUP(G1428,SKUs!$C$2:$C$10001,SKUs!$F$2:$F$10001,"",0), " Accessories",""))</f>
        <v/>
      </c>
      <c r="L1428" s="36">
        <f>_xlfn.XLOOKUP(C1428,'Project Details'!$C$17:$C$66,'Project Details'!$D$17:$D$66,"",0)</f>
        <v>0</v>
      </c>
      <c r="M1428" s="43"/>
    </row>
    <row r="1429" spans="1:13" x14ac:dyDescent="0.25">
      <c r="A1429" s="43"/>
      <c r="B1429" s="43"/>
      <c r="C1429" s="16">
        <f t="shared" si="27"/>
        <v>29</v>
      </c>
      <c r="D1429" s="16" t="str" cm="1">
        <f t="array" ref="D1429">IFERROR(ROUNDUP(_xlfn.IFS(F1429="Aluminum Track", _xlfn.XLOOKUP(C1429, dd_accsrycalc!$A$2:$A$51, dd_accsrycalc!$B$2:$B$51, "",0), F1429="10 x 2 1/2 S (Flat)", _xlfn.XLOOKUP(C1429, dd_accsrycalc!$A$2:$A$51, dd_accsrycalc!$C$2:$C$51, "",0), F1429="Tox6", _xlfn.XLOOKUP(C1429, dd_accsrycalc!$A$2:$A$51, dd_accsrycalc!$D$2:$D$51, "",0), F1429="Cover Cap", _xlfn.XLOOKUP(C1429, dd_accsrycalc!$A$2:$A$51, dd_accsrycalc!$E$2:$E$51, "",0), F1429="Drainage Cover", _xlfn.XLOOKUP(C1429, dd_accsrycalc!$A$2:$A$51, dd_accsrycalc!$F$2:$F$51, "",0),AND( F1429="Double Adhesive Tape", I1429="Roll-up Screen"), _xlfn.XLOOKUP(C1429, calc_rusacc!$C$15:$C$65, calc_rusacc!$AD$15:$AD$65, "",0),AND( F1429="Sealant", I1429="Roll-up Screen"), _xlfn.XLOOKUP(C1429, calc_rusacc!$C$15:$C$65, calc_rusacc!$AF$15:$AF$65, "",0),  AND( F1429="Main Chain", I1429="Accordion Screen"), _xlfn.XLOOKUP(C1429, calc_rusacc!$C$15:$C$65, calc_rusacc!$BF$15:$BF$65, "",0), AND( F1429="Sealant", I1429="Accordion Screen"), _xlfn.XLOOKUP(C1429, calc_rusacc!$C$15:$C$65, calc_rusacc!$BJ$15:$BJ$65, "",0),  F1429="Sealant", _xlfn.XLOOKUP(C1429, dd_accsrycalc!$A$2:$A$51, dd_accsrycalc!$G$2:$G$51, "",0),  F1429&lt;&gt;"",L1429*_xlfn.XLOOKUP(1, (SKUs!$C$2:$C$10001=G1429)*(SKUs!$K$2:$K$10001=I1429),SKUs!$E$2:$E$10001)), 0),"")</f>
        <v/>
      </c>
      <c r="E1429" s="16" t="str">
        <f>_xlfn.XLOOKUP(F1429,dd_item!$B$2:$B$105,dd_item!$C$2:$C$105,"",0)</f>
        <v/>
      </c>
      <c r="F1429" s="16"/>
      <c r="G1429" s="16" cm="1">
        <f t="array" ref="G1429">IFERROR(_xlfn.XLOOKUP(1, (SKUs!$J$2:$J$10001=accsry_unmerged!F1429)*IF(H1429&lt;&gt;"",(SKUs!$L$2:$L$10001=accsry_unmerged!H1429),1)*(SKUs!$K$2:$K$10001=I1429),SKUs!$C$2:$C$10001),"")</f>
        <v>0</v>
      </c>
      <c r="H1429" s="33" cm="1">
        <f t="array" ref="H1429">IFERROR(_xlfn.XLOOKUP(1, (dd_accsryclr!$C$2:$C$1000=accsry_unmerged!F1429)*(dd_accsryclr!$B$2:$B$1000=accsry_unmerged!J1429),dd_accsryclr!$A$2:$A$1000),"")</f>
        <v>0</v>
      </c>
      <c r="I1429" s="16">
        <f>_xlfn.XLOOKUP(C1429,'Project Details'!$C$17:$C$66,'Project Details'!$E$17:$E$66,"",0)</f>
        <v>0</v>
      </c>
      <c r="J1429" s="16">
        <f>_xlfn.XLOOKUP(C1429,'Project Details'!$C$17:$C$66,'Project Details'!$H$17:$H$66,"",0)</f>
        <v>0</v>
      </c>
      <c r="K1429" s="33" t="str">
        <f>IF(AND(_xlfn.XLOOKUP(C1429,'Project Details'!$C$17:$C$66,'Project Details'!$L$17:$L$66,"",0)&gt;550, F1429="Spring-L27cm"),"",SUBSTITUTE(_xlfn.XLOOKUP(G1429,SKUs!$C$2:$C$10001,SKUs!$F$2:$F$10001,"",0), " Accessories",""))</f>
        <v/>
      </c>
      <c r="L1429" s="33">
        <f>_xlfn.XLOOKUP(C1429,'Project Details'!$C$17:$C$66,'Project Details'!$D$17:$D$66,"",0)</f>
        <v>0</v>
      </c>
      <c r="M1429" s="43"/>
    </row>
    <row r="1430" spans="1:13" x14ac:dyDescent="0.25">
      <c r="A1430" s="43"/>
      <c r="B1430" s="43"/>
      <c r="C1430" s="35">
        <f t="shared" si="27"/>
        <v>29</v>
      </c>
      <c r="D1430" s="35" t="str" cm="1">
        <f t="array" ref="D1430">IFERROR(ROUNDUP(_xlfn.IFS(F1430="Aluminum Track", _xlfn.XLOOKUP(C1430, dd_accsrycalc!$A$2:$A$51, dd_accsrycalc!$B$2:$B$51, "",0), F1430="10 x 2 1/2 S (Flat)", _xlfn.XLOOKUP(C1430, dd_accsrycalc!$A$2:$A$51, dd_accsrycalc!$C$2:$C$51, "",0), F1430="Tox6", _xlfn.XLOOKUP(C1430, dd_accsrycalc!$A$2:$A$51, dd_accsrycalc!$D$2:$D$51, "",0), F1430="Cover Cap", _xlfn.XLOOKUP(C1430, dd_accsrycalc!$A$2:$A$51, dd_accsrycalc!$E$2:$E$51, "",0), F1430="Drainage Cover", _xlfn.XLOOKUP(C1430, dd_accsrycalc!$A$2:$A$51, dd_accsrycalc!$F$2:$F$51, "",0),AND( F1430="Double Adhesive Tape", I1430="Roll-up Screen"), _xlfn.XLOOKUP(C1430, calc_rusacc!$C$15:$C$65, calc_rusacc!$AD$15:$AD$65, "",0),AND( F1430="Sealant", I1430="Roll-up Screen"), _xlfn.XLOOKUP(C1430, calc_rusacc!$C$15:$C$65, calc_rusacc!$AF$15:$AF$65, "",0),  AND( F1430="Main Chain", I1430="Accordion Screen"), _xlfn.XLOOKUP(C1430, calc_rusacc!$C$15:$C$65, calc_rusacc!$BF$15:$BF$65, "",0), AND( F1430="Sealant", I1430="Accordion Screen"), _xlfn.XLOOKUP(C1430, calc_rusacc!$C$15:$C$65, calc_rusacc!$BJ$15:$BJ$65, "",0),  F1430="Sealant", _xlfn.XLOOKUP(C1430, dd_accsrycalc!$A$2:$A$51, dd_accsrycalc!$G$2:$G$51, "",0),  F1430&lt;&gt;"",L1430*_xlfn.XLOOKUP(1, (SKUs!$C$2:$C$10001=G1430)*(SKUs!$K$2:$K$10001=I1430),SKUs!$E$2:$E$10001)), 0),"")</f>
        <v/>
      </c>
      <c r="E1430" s="35" t="str">
        <f>_xlfn.XLOOKUP(F1430,dd_item!$B$2:$B$105,dd_item!$C$2:$C$105,"",0)</f>
        <v/>
      </c>
      <c r="F1430" s="35"/>
      <c r="G1430" s="35" cm="1">
        <f t="array" ref="G1430">IFERROR(_xlfn.XLOOKUP(1, (SKUs!$J$2:$J$10001=accsry_unmerged!F1430)*IF(H1430&lt;&gt;"",(SKUs!$L$2:$L$10001=accsry_unmerged!H1430),1)*(SKUs!$K$2:$K$10001=I1430),SKUs!$C$2:$C$10001),"")</f>
        <v>0</v>
      </c>
      <c r="H1430" s="36" cm="1">
        <f t="array" ref="H1430">IFERROR(_xlfn.XLOOKUP(1, (dd_accsryclr!$C$2:$C$1000=accsry_unmerged!F1430)*(dd_accsryclr!$B$2:$B$1000=accsry_unmerged!J1430),dd_accsryclr!$A$2:$A$1000),"")</f>
        <v>0</v>
      </c>
      <c r="I1430" s="35">
        <f>_xlfn.XLOOKUP(C1430,'Project Details'!$C$17:$C$66,'Project Details'!$E$17:$E$66,"",0)</f>
        <v>0</v>
      </c>
      <c r="J1430" s="35">
        <f>_xlfn.XLOOKUP(C1430,'Project Details'!$C$17:$C$66,'Project Details'!$H$17:$H$66,"",0)</f>
        <v>0</v>
      </c>
      <c r="K1430" s="36" t="str">
        <f>IF(AND(_xlfn.XLOOKUP(C1430,'Project Details'!$C$17:$C$66,'Project Details'!$L$17:$L$66,"",0)&gt;550, F1430="Spring-L27cm"),"",SUBSTITUTE(_xlfn.XLOOKUP(G1430,SKUs!$C$2:$C$10001,SKUs!$F$2:$F$10001,"",0), " Accessories",""))</f>
        <v/>
      </c>
      <c r="L1430" s="36">
        <f>_xlfn.XLOOKUP(C1430,'Project Details'!$C$17:$C$66,'Project Details'!$D$17:$D$66,"",0)</f>
        <v>0</v>
      </c>
      <c r="M1430" s="43"/>
    </row>
    <row r="1431" spans="1:13" x14ac:dyDescent="0.25">
      <c r="A1431" s="43"/>
      <c r="B1431" s="43"/>
      <c r="C1431" s="16">
        <f t="shared" si="27"/>
        <v>29</v>
      </c>
      <c r="D1431" s="16" t="str" cm="1">
        <f t="array" ref="D1431">IFERROR(ROUNDUP(_xlfn.IFS(F1431="Aluminum Track", _xlfn.XLOOKUP(C1431, dd_accsrycalc!$A$2:$A$51, dd_accsrycalc!$B$2:$B$51, "",0), F1431="10 x 2 1/2 S (Flat)", _xlfn.XLOOKUP(C1431, dd_accsrycalc!$A$2:$A$51, dd_accsrycalc!$C$2:$C$51, "",0), F1431="Tox6", _xlfn.XLOOKUP(C1431, dd_accsrycalc!$A$2:$A$51, dd_accsrycalc!$D$2:$D$51, "",0), F1431="Cover Cap", _xlfn.XLOOKUP(C1431, dd_accsrycalc!$A$2:$A$51, dd_accsrycalc!$E$2:$E$51, "",0), F1431="Drainage Cover", _xlfn.XLOOKUP(C1431, dd_accsrycalc!$A$2:$A$51, dd_accsrycalc!$F$2:$F$51, "",0),AND( F1431="Double Adhesive Tape", I1431="Roll-up Screen"), _xlfn.XLOOKUP(C1431, calc_rusacc!$C$15:$C$65, calc_rusacc!$AD$15:$AD$65, "",0),AND( F1431="Sealant", I1431="Roll-up Screen"), _xlfn.XLOOKUP(C1431, calc_rusacc!$C$15:$C$65, calc_rusacc!$AF$15:$AF$65, "",0),  AND( F1431="Main Chain", I1431="Accordion Screen"), _xlfn.XLOOKUP(C1431, calc_rusacc!$C$15:$C$65, calc_rusacc!$BF$15:$BF$65, "",0), AND( F1431="Sealant", I1431="Accordion Screen"), _xlfn.XLOOKUP(C1431, calc_rusacc!$C$15:$C$65, calc_rusacc!$BJ$15:$BJ$65, "",0),  F1431="Sealant", _xlfn.XLOOKUP(C1431, dd_accsrycalc!$A$2:$A$51, dd_accsrycalc!$G$2:$G$51, "",0),  F1431&lt;&gt;"",L1431*_xlfn.XLOOKUP(1, (SKUs!$C$2:$C$10001=G1431)*(SKUs!$K$2:$K$10001=I1431),SKUs!$E$2:$E$10001)), 0),"")</f>
        <v/>
      </c>
      <c r="E1431" s="16" t="str">
        <f>_xlfn.XLOOKUP(F1431,dd_item!$B$2:$B$105,dd_item!$C$2:$C$105,"",0)</f>
        <v/>
      </c>
      <c r="F1431" s="16"/>
      <c r="G1431" s="16" cm="1">
        <f t="array" ref="G1431">IFERROR(_xlfn.XLOOKUP(1, (SKUs!$J$2:$J$10001=accsry_unmerged!F1431)*IF(H1431&lt;&gt;"",(SKUs!$L$2:$L$10001=accsry_unmerged!H1431),1)*(SKUs!$K$2:$K$10001=I1431),SKUs!$C$2:$C$10001),"")</f>
        <v>0</v>
      </c>
      <c r="H1431" s="33" cm="1">
        <f t="array" ref="H1431">IFERROR(_xlfn.XLOOKUP(1, (dd_accsryclr!$C$2:$C$1000=accsry_unmerged!F1431)*(dd_accsryclr!$B$2:$B$1000=accsry_unmerged!J1431),dd_accsryclr!$A$2:$A$1000),"")</f>
        <v>0</v>
      </c>
      <c r="I1431" s="16">
        <f>_xlfn.XLOOKUP(C1431,'Project Details'!$C$17:$C$66,'Project Details'!$E$17:$E$66,"",0)</f>
        <v>0</v>
      </c>
      <c r="J1431" s="16">
        <f>_xlfn.XLOOKUP(C1431,'Project Details'!$C$17:$C$66,'Project Details'!$H$17:$H$66,"",0)</f>
        <v>0</v>
      </c>
      <c r="K1431" s="33" t="str">
        <f>IF(AND(_xlfn.XLOOKUP(C1431,'Project Details'!$C$17:$C$66,'Project Details'!$L$17:$L$66,"",0)&gt;550, F1431="Spring-L27cm"),"",SUBSTITUTE(_xlfn.XLOOKUP(G1431,SKUs!$C$2:$C$10001,SKUs!$F$2:$F$10001,"",0), " Accessories",""))</f>
        <v/>
      </c>
      <c r="L1431" s="33">
        <f>_xlfn.XLOOKUP(C1431,'Project Details'!$C$17:$C$66,'Project Details'!$D$17:$D$66,"",0)</f>
        <v>0</v>
      </c>
      <c r="M1431" s="43"/>
    </row>
    <row r="1432" spans="1:13" x14ac:dyDescent="0.25">
      <c r="A1432" s="43"/>
      <c r="B1432" s="43"/>
      <c r="C1432" s="35">
        <f t="shared" si="27"/>
        <v>29</v>
      </c>
      <c r="D1432" s="35" t="str" cm="1">
        <f t="array" ref="D1432">IFERROR(ROUNDUP(_xlfn.IFS(F1432="Aluminum Track", _xlfn.XLOOKUP(C1432, dd_accsrycalc!$A$2:$A$51, dd_accsrycalc!$B$2:$B$51, "",0), F1432="10 x 2 1/2 S (Flat)", _xlfn.XLOOKUP(C1432, dd_accsrycalc!$A$2:$A$51, dd_accsrycalc!$C$2:$C$51, "",0), F1432="Tox6", _xlfn.XLOOKUP(C1432, dd_accsrycalc!$A$2:$A$51, dd_accsrycalc!$D$2:$D$51, "",0), F1432="Cover Cap", _xlfn.XLOOKUP(C1432, dd_accsrycalc!$A$2:$A$51, dd_accsrycalc!$E$2:$E$51, "",0), F1432="Drainage Cover", _xlfn.XLOOKUP(C1432, dd_accsrycalc!$A$2:$A$51, dd_accsrycalc!$F$2:$F$51, "",0),AND( F1432="Double Adhesive Tape", I1432="Roll-up Screen"), _xlfn.XLOOKUP(C1432, calc_rusacc!$C$15:$C$65, calc_rusacc!$AD$15:$AD$65, "",0),AND( F1432="Sealant", I1432="Roll-up Screen"), _xlfn.XLOOKUP(C1432, calc_rusacc!$C$15:$C$65, calc_rusacc!$AF$15:$AF$65, "",0),  AND( F1432="Main Chain", I1432="Accordion Screen"), _xlfn.XLOOKUP(C1432, calc_rusacc!$C$15:$C$65, calc_rusacc!$BF$15:$BF$65, "",0), AND( F1432="Sealant", I1432="Accordion Screen"), _xlfn.XLOOKUP(C1432, calc_rusacc!$C$15:$C$65, calc_rusacc!$BJ$15:$BJ$65, "",0),  F1432="Sealant", _xlfn.XLOOKUP(C1432, dd_accsrycalc!$A$2:$A$51, dd_accsrycalc!$G$2:$G$51, "",0),  F1432&lt;&gt;"",L1432*_xlfn.XLOOKUP(1, (SKUs!$C$2:$C$10001=G1432)*(SKUs!$K$2:$K$10001=I1432),SKUs!$E$2:$E$10001)), 0),"")</f>
        <v/>
      </c>
      <c r="E1432" s="35" t="str">
        <f>_xlfn.XLOOKUP(F1432,dd_item!$B$2:$B$105,dd_item!$C$2:$C$105,"",0)</f>
        <v/>
      </c>
      <c r="F1432" s="35"/>
      <c r="G1432" s="35" cm="1">
        <f t="array" ref="G1432">IFERROR(_xlfn.XLOOKUP(1, (SKUs!$J$2:$J$10001=accsry_unmerged!F1432)*IF(H1432&lt;&gt;"",(SKUs!$L$2:$L$10001=accsry_unmerged!H1432),1)*(SKUs!$K$2:$K$10001=I1432),SKUs!$C$2:$C$10001),"")</f>
        <v>0</v>
      </c>
      <c r="H1432" s="36" cm="1">
        <f t="array" ref="H1432">IFERROR(_xlfn.XLOOKUP(1, (dd_accsryclr!$C$2:$C$1000=accsry_unmerged!F1432)*(dd_accsryclr!$B$2:$B$1000=accsry_unmerged!J1432),dd_accsryclr!$A$2:$A$1000),"")</f>
        <v>0</v>
      </c>
      <c r="I1432" s="35">
        <f>_xlfn.XLOOKUP(C1432,'Project Details'!$C$17:$C$66,'Project Details'!$E$17:$E$66,"",0)</f>
        <v>0</v>
      </c>
      <c r="J1432" s="35">
        <f>_xlfn.XLOOKUP(C1432,'Project Details'!$C$17:$C$66,'Project Details'!$H$17:$H$66,"",0)</f>
        <v>0</v>
      </c>
      <c r="K1432" s="36" t="str">
        <f>IF(AND(_xlfn.XLOOKUP(C1432,'Project Details'!$C$17:$C$66,'Project Details'!$L$17:$L$66,"",0)&gt;550, F1432="Spring-L27cm"),"",SUBSTITUTE(_xlfn.XLOOKUP(G1432,SKUs!$C$2:$C$10001,SKUs!$F$2:$F$10001,"",0), " Accessories",""))</f>
        <v/>
      </c>
      <c r="L1432" s="36">
        <f>_xlfn.XLOOKUP(C1432,'Project Details'!$C$17:$C$66,'Project Details'!$D$17:$D$66,"",0)</f>
        <v>0</v>
      </c>
      <c r="M1432" s="43"/>
    </row>
    <row r="1433" spans="1:13" x14ac:dyDescent="0.25">
      <c r="A1433" s="43"/>
      <c r="B1433" s="43"/>
      <c r="C1433" s="16">
        <f t="shared" si="27"/>
        <v>29</v>
      </c>
      <c r="D1433" s="16" t="str" cm="1">
        <f t="array" ref="D1433">IFERROR(ROUNDUP(_xlfn.IFS(F1433="Aluminum Track", _xlfn.XLOOKUP(C1433, dd_accsrycalc!$A$2:$A$51, dd_accsrycalc!$B$2:$B$51, "",0), F1433="10 x 2 1/2 S (Flat)", _xlfn.XLOOKUP(C1433, dd_accsrycalc!$A$2:$A$51, dd_accsrycalc!$C$2:$C$51, "",0), F1433="Tox6", _xlfn.XLOOKUP(C1433, dd_accsrycalc!$A$2:$A$51, dd_accsrycalc!$D$2:$D$51, "",0), F1433="Cover Cap", _xlfn.XLOOKUP(C1433, dd_accsrycalc!$A$2:$A$51, dd_accsrycalc!$E$2:$E$51, "",0), F1433="Drainage Cover", _xlfn.XLOOKUP(C1433, dd_accsrycalc!$A$2:$A$51, dd_accsrycalc!$F$2:$F$51, "",0),AND( F1433="Double Adhesive Tape", I1433="Roll-up Screen"), _xlfn.XLOOKUP(C1433, calc_rusacc!$C$15:$C$65, calc_rusacc!$AD$15:$AD$65, "",0),AND( F1433="Sealant", I1433="Roll-up Screen"), _xlfn.XLOOKUP(C1433, calc_rusacc!$C$15:$C$65, calc_rusacc!$AF$15:$AF$65, "",0),  AND( F1433="Main Chain", I1433="Accordion Screen"), _xlfn.XLOOKUP(C1433, calc_rusacc!$C$15:$C$65, calc_rusacc!$BF$15:$BF$65, "",0), AND( F1433="Sealant", I1433="Accordion Screen"), _xlfn.XLOOKUP(C1433, calc_rusacc!$C$15:$C$65, calc_rusacc!$BJ$15:$BJ$65, "",0),  F1433="Sealant", _xlfn.XLOOKUP(C1433, dd_accsrycalc!$A$2:$A$51, dd_accsrycalc!$G$2:$G$51, "",0),  F1433&lt;&gt;"",L1433*_xlfn.XLOOKUP(1, (SKUs!$C$2:$C$10001=G1433)*(SKUs!$K$2:$K$10001=I1433),SKUs!$E$2:$E$10001)), 0),"")</f>
        <v/>
      </c>
      <c r="E1433" s="16" t="str">
        <f>_xlfn.XLOOKUP(F1433,dd_item!$B$2:$B$105,dd_item!$C$2:$C$105,"",0)</f>
        <v/>
      </c>
      <c r="F1433" s="16"/>
      <c r="G1433" s="16" cm="1">
        <f t="array" ref="G1433">IFERROR(_xlfn.XLOOKUP(1, (SKUs!$J$2:$J$10001=accsry_unmerged!F1433)*IF(H1433&lt;&gt;"",(SKUs!$L$2:$L$10001=accsry_unmerged!H1433),1)*(SKUs!$K$2:$K$10001=I1433),SKUs!$C$2:$C$10001),"")</f>
        <v>0</v>
      </c>
      <c r="H1433" s="33" cm="1">
        <f t="array" ref="H1433">IFERROR(_xlfn.XLOOKUP(1, (dd_accsryclr!$C$2:$C$1000=accsry_unmerged!F1433)*(dd_accsryclr!$B$2:$B$1000=accsry_unmerged!J1433),dd_accsryclr!$A$2:$A$1000),"")</f>
        <v>0</v>
      </c>
      <c r="I1433" s="16">
        <f>_xlfn.XLOOKUP(C1433,'Project Details'!$C$17:$C$66,'Project Details'!$E$17:$E$66,"",0)</f>
        <v>0</v>
      </c>
      <c r="J1433" s="16">
        <f>_xlfn.XLOOKUP(C1433,'Project Details'!$C$17:$C$66,'Project Details'!$H$17:$H$66,"",0)</f>
        <v>0</v>
      </c>
      <c r="K1433" s="33" t="str">
        <f>IF(AND(_xlfn.XLOOKUP(C1433,'Project Details'!$C$17:$C$66,'Project Details'!$L$17:$L$66,"",0)&gt;550, F1433="Spring-L27cm"),"",SUBSTITUTE(_xlfn.XLOOKUP(G1433,SKUs!$C$2:$C$10001,SKUs!$F$2:$F$10001,"",0), " Accessories",""))</f>
        <v/>
      </c>
      <c r="L1433" s="33">
        <f>_xlfn.XLOOKUP(C1433,'Project Details'!$C$17:$C$66,'Project Details'!$D$17:$D$66,"",0)</f>
        <v>0</v>
      </c>
      <c r="M1433" s="43"/>
    </row>
    <row r="1434" spans="1:13" ht="13.5" customHeight="1" x14ac:dyDescent="0.25">
      <c r="A1434" s="43"/>
      <c r="B1434" s="43"/>
      <c r="C1434" s="35">
        <f t="shared" si="27"/>
        <v>29</v>
      </c>
      <c r="D1434" s="35" t="str" cm="1">
        <f t="array" ref="D1434">IFERROR(ROUNDUP(_xlfn.IFS(F1434="Aluminum Track", _xlfn.XLOOKUP(C1434, dd_accsrycalc!$A$2:$A$51, dd_accsrycalc!$B$2:$B$51, "",0), F1434="10 x 2 1/2 S (Flat)", _xlfn.XLOOKUP(C1434, dd_accsrycalc!$A$2:$A$51, dd_accsrycalc!$C$2:$C$51, "",0), F1434="Tox6", _xlfn.XLOOKUP(C1434, dd_accsrycalc!$A$2:$A$51, dd_accsrycalc!$D$2:$D$51, "",0), F1434="Cover Cap", _xlfn.XLOOKUP(C1434, dd_accsrycalc!$A$2:$A$51, dd_accsrycalc!$E$2:$E$51, "",0), F1434="Drainage Cover", _xlfn.XLOOKUP(C1434, dd_accsrycalc!$A$2:$A$51, dd_accsrycalc!$F$2:$F$51, "",0),AND( F1434="Double Adhesive Tape", I1434="Roll-up Screen"), _xlfn.XLOOKUP(C1434, calc_rusacc!$C$15:$C$65, calc_rusacc!$AD$15:$AD$65, "",0),AND( F1434="Sealant", I1434="Roll-up Screen"), _xlfn.XLOOKUP(C1434, calc_rusacc!$C$15:$C$65, calc_rusacc!$AF$15:$AF$65, "",0),  AND( F1434="Main Chain", I1434="Accordion Screen"), _xlfn.XLOOKUP(C1434, calc_rusacc!$C$15:$C$65, calc_rusacc!$BF$15:$BF$65, "",0), AND( F1434="Sealant", I1434="Accordion Screen"), _xlfn.XLOOKUP(C1434, calc_rusacc!$C$15:$C$65, calc_rusacc!$BJ$15:$BJ$65, "",0),  F1434="Sealant", _xlfn.XLOOKUP(C1434, dd_accsrycalc!$A$2:$A$51, dd_accsrycalc!$G$2:$G$51, "",0),  F1434&lt;&gt;"",L1434*_xlfn.XLOOKUP(1, (SKUs!$C$2:$C$10001=G1434)*(SKUs!$K$2:$K$10001=I1434),SKUs!$E$2:$E$10001)), 0),"")</f>
        <v/>
      </c>
      <c r="E1434" s="35" t="str">
        <f>_xlfn.XLOOKUP(F1434,dd_item!$B$2:$B$105,dd_item!$C$2:$C$105,"",0)</f>
        <v/>
      </c>
      <c r="F1434" s="35"/>
      <c r="G1434" s="35" cm="1">
        <f t="array" ref="G1434">IFERROR(_xlfn.XLOOKUP(1, (SKUs!$J$2:$J$10001=accsry_unmerged!F1434)*IF(H1434&lt;&gt;"",(SKUs!$L$2:$L$10001=accsry_unmerged!H1434),1)*(SKUs!$K$2:$K$10001=I1434),SKUs!$C$2:$C$10001),"")</f>
        <v>0</v>
      </c>
      <c r="H1434" s="36" cm="1">
        <f t="array" ref="H1434">IFERROR(_xlfn.XLOOKUP(1, (dd_accsryclr!$C$2:$C$1000=accsry_unmerged!F1434)*(dd_accsryclr!$B$2:$B$1000=accsry_unmerged!J1434),dd_accsryclr!$A$2:$A$1000),"")</f>
        <v>0</v>
      </c>
      <c r="I1434" s="35">
        <f>_xlfn.XLOOKUP(C1434,'Project Details'!$C$17:$C$66,'Project Details'!$E$17:$E$66,"",0)</f>
        <v>0</v>
      </c>
      <c r="J1434" s="35">
        <f>_xlfn.XLOOKUP(C1434,'Project Details'!$C$17:$C$66,'Project Details'!$H$17:$H$66,"",0)</f>
        <v>0</v>
      </c>
      <c r="K1434" s="36" t="str">
        <f>IF(AND(_xlfn.XLOOKUP(C1434,'Project Details'!$C$17:$C$66,'Project Details'!$L$17:$L$66,"",0)&gt;550, F1434="Spring-L27cm"),"",SUBSTITUTE(_xlfn.XLOOKUP(G1434,SKUs!$C$2:$C$10001,SKUs!$F$2:$F$10001,"",0), " Accessories",""))</f>
        <v/>
      </c>
      <c r="L1434" s="36">
        <f>_xlfn.XLOOKUP(C1434,'Project Details'!$C$17:$C$66,'Project Details'!$D$17:$D$66,"",0)</f>
        <v>0</v>
      </c>
      <c r="M1434" s="43"/>
    </row>
    <row r="1435" spans="1:13" ht="13.5" customHeight="1" x14ac:dyDescent="0.25">
      <c r="A1435" s="43"/>
      <c r="B1435" s="43"/>
      <c r="C1435" s="16">
        <f t="shared" si="27"/>
        <v>29</v>
      </c>
      <c r="D1435" s="16" t="str" cm="1">
        <f t="array" ref="D1435">IFERROR(ROUNDUP(_xlfn.IFS(F1435="Aluminum Track", _xlfn.XLOOKUP(C1435, dd_accsrycalc!$A$2:$A$51, dd_accsrycalc!$B$2:$B$51, "",0), F1435="10 x 2 1/2 S (Flat)", _xlfn.XLOOKUP(C1435, dd_accsrycalc!$A$2:$A$51, dd_accsrycalc!$C$2:$C$51, "",0), F1435="Tox6", _xlfn.XLOOKUP(C1435, dd_accsrycalc!$A$2:$A$51, dd_accsrycalc!$D$2:$D$51, "",0), F1435="Cover Cap", _xlfn.XLOOKUP(C1435, dd_accsrycalc!$A$2:$A$51, dd_accsrycalc!$E$2:$E$51, "",0), F1435="Drainage Cover", _xlfn.XLOOKUP(C1435, dd_accsrycalc!$A$2:$A$51, dd_accsrycalc!$F$2:$F$51, "",0),AND( F1435="Double Adhesive Tape", I1435="Roll-up Screen"), _xlfn.XLOOKUP(C1435, calc_rusacc!$C$15:$C$65, calc_rusacc!$AD$15:$AD$65, "",0),AND( F1435="Sealant", I1435="Roll-up Screen"), _xlfn.XLOOKUP(C1435, calc_rusacc!$C$15:$C$65, calc_rusacc!$AF$15:$AF$65, "",0),  AND( F1435="Main Chain", I1435="Accordion Screen"), _xlfn.XLOOKUP(C1435, calc_rusacc!$C$15:$C$65, calc_rusacc!$BF$15:$BF$65, "",0), AND( F1435="Sealant", I1435="Accordion Screen"), _xlfn.XLOOKUP(C1435, calc_rusacc!$C$15:$C$65, calc_rusacc!$BJ$15:$BJ$65, "",0),  F1435="Sealant", _xlfn.XLOOKUP(C1435, dd_accsrycalc!$A$2:$A$51, dd_accsrycalc!$G$2:$G$51, "",0),  F1435&lt;&gt;"",L1435*_xlfn.XLOOKUP(1, (SKUs!$C$2:$C$10001=G1435)*(SKUs!$K$2:$K$10001=I1435),SKUs!$E$2:$E$10001)), 0),"")</f>
        <v/>
      </c>
      <c r="E1435" s="16" t="str">
        <f>_xlfn.XLOOKUP(F1435,dd_item!$B$2:$B$105,dd_item!$C$2:$C$105,"",0)</f>
        <v/>
      </c>
      <c r="F1435" s="16"/>
      <c r="G1435" s="16" cm="1">
        <f t="array" ref="G1435">IFERROR(_xlfn.XLOOKUP(1, (SKUs!$J$2:$J$10001=accsry_unmerged!F1435)*IF(H1435&lt;&gt;"",(SKUs!$L$2:$L$10001=accsry_unmerged!H1435),1)*(SKUs!$K$2:$K$10001=I1435),SKUs!$C$2:$C$10001),"")</f>
        <v>0</v>
      </c>
      <c r="H1435" s="33" cm="1">
        <f t="array" ref="H1435">IFERROR(_xlfn.XLOOKUP(1, (dd_accsryclr!$C$2:$C$1000=accsry_unmerged!F1435)*(dd_accsryclr!$B$2:$B$1000=accsry_unmerged!J1435),dd_accsryclr!$A$2:$A$1000),"")</f>
        <v>0</v>
      </c>
      <c r="I1435" s="16">
        <f>_xlfn.XLOOKUP(C1435,'Project Details'!$C$17:$C$66,'Project Details'!$E$17:$E$66,"",0)</f>
        <v>0</v>
      </c>
      <c r="J1435" s="16">
        <f>_xlfn.XLOOKUP(C1435,'Project Details'!$C$17:$C$66,'Project Details'!$H$17:$H$66,"",0)</f>
        <v>0</v>
      </c>
      <c r="K1435" s="33" t="str">
        <f>IF(AND(_xlfn.XLOOKUP(C1435,'Project Details'!$C$17:$C$66,'Project Details'!$L$17:$L$66,"",0)&gt;550, F1435="Spring-L27cm"),"",SUBSTITUTE(_xlfn.XLOOKUP(G1435,SKUs!$C$2:$C$10001,SKUs!$F$2:$F$10001,"",0), " Accessories",""))</f>
        <v/>
      </c>
      <c r="L1435" s="33">
        <f>_xlfn.XLOOKUP(C1435,'Project Details'!$C$17:$C$66,'Project Details'!$D$17:$D$66,"",0)</f>
        <v>0</v>
      </c>
      <c r="M1435" s="43"/>
    </row>
    <row r="1436" spans="1:13" ht="13.5" customHeight="1" x14ac:dyDescent="0.25">
      <c r="A1436" s="43"/>
      <c r="B1436" s="43"/>
      <c r="C1436" s="35">
        <f t="shared" si="27"/>
        <v>29</v>
      </c>
      <c r="D1436" s="35" t="str" cm="1">
        <f t="array" ref="D1436">IFERROR(ROUNDUP(_xlfn.IFS(F1436="Aluminum Track", _xlfn.XLOOKUP(C1436, dd_accsrycalc!$A$2:$A$51, dd_accsrycalc!$B$2:$B$51, "",0), F1436="10 x 2 1/2 S (Flat)", _xlfn.XLOOKUP(C1436, dd_accsrycalc!$A$2:$A$51, dd_accsrycalc!$C$2:$C$51, "",0), F1436="Tox6", _xlfn.XLOOKUP(C1436, dd_accsrycalc!$A$2:$A$51, dd_accsrycalc!$D$2:$D$51, "",0), F1436="Cover Cap", _xlfn.XLOOKUP(C1436, dd_accsrycalc!$A$2:$A$51, dd_accsrycalc!$E$2:$E$51, "",0), F1436="Drainage Cover", _xlfn.XLOOKUP(C1436, dd_accsrycalc!$A$2:$A$51, dd_accsrycalc!$F$2:$F$51, "",0),AND( F1436="Double Adhesive Tape", I1436="Roll-up Screen"), _xlfn.XLOOKUP(C1436, calc_rusacc!$C$15:$C$65, calc_rusacc!$AD$15:$AD$65, "",0),AND( F1436="Sealant", I1436="Roll-up Screen"), _xlfn.XLOOKUP(C1436, calc_rusacc!$C$15:$C$65, calc_rusacc!$AF$15:$AF$65, "",0),  AND( F1436="Main Chain", I1436="Accordion Screen"), _xlfn.XLOOKUP(C1436, calc_rusacc!$C$15:$C$65, calc_rusacc!$BF$15:$BF$65, "",0), AND( F1436="Sealant", I1436="Accordion Screen"), _xlfn.XLOOKUP(C1436, calc_rusacc!$C$15:$C$65, calc_rusacc!$BJ$15:$BJ$65, "",0),  F1436="Sealant", _xlfn.XLOOKUP(C1436, dd_accsrycalc!$A$2:$A$51, dd_accsrycalc!$G$2:$G$51, "",0),  F1436&lt;&gt;"",L1436*_xlfn.XLOOKUP(1, (SKUs!$C$2:$C$10001=G1436)*(SKUs!$K$2:$K$10001=I1436),SKUs!$E$2:$E$10001)), 0),"")</f>
        <v/>
      </c>
      <c r="E1436" s="35" t="str">
        <f>_xlfn.XLOOKUP(F1436,dd_item!$B$2:$B$105,dd_item!$C$2:$C$105,"",0)</f>
        <v/>
      </c>
      <c r="F1436" s="35"/>
      <c r="G1436" s="35" cm="1">
        <f t="array" ref="G1436">IFERROR(_xlfn.XLOOKUP(1, (SKUs!$J$2:$J$10001=accsry_unmerged!F1436)*IF(H1436&lt;&gt;"",(SKUs!$L$2:$L$10001=accsry_unmerged!H1436),1)*(SKUs!$K$2:$K$10001=I1436),SKUs!$C$2:$C$10001),"")</f>
        <v>0</v>
      </c>
      <c r="H1436" s="36" cm="1">
        <f t="array" ref="H1436">IFERROR(_xlfn.XLOOKUP(1, (dd_accsryclr!$C$2:$C$1000=accsry_unmerged!F1436)*(dd_accsryclr!$B$2:$B$1000=accsry_unmerged!J1436),dd_accsryclr!$A$2:$A$1000),"")</f>
        <v>0</v>
      </c>
      <c r="I1436" s="35">
        <f>_xlfn.XLOOKUP(C1436,'Project Details'!$C$17:$C$66,'Project Details'!$E$17:$E$66,"",0)</f>
        <v>0</v>
      </c>
      <c r="J1436" s="35">
        <f>_xlfn.XLOOKUP(C1436,'Project Details'!$C$17:$C$66,'Project Details'!$H$17:$H$66,"",0)</f>
        <v>0</v>
      </c>
      <c r="K1436" s="36" t="str">
        <f>IF(AND(_xlfn.XLOOKUP(C1436,'Project Details'!$C$17:$C$66,'Project Details'!$L$17:$L$66,"",0)&gt;550, F1436="Spring-L27cm"),"",SUBSTITUTE(_xlfn.XLOOKUP(G1436,SKUs!$C$2:$C$10001,SKUs!$F$2:$F$10001,"",0), " Accessories",""))</f>
        <v/>
      </c>
      <c r="L1436" s="36">
        <f>_xlfn.XLOOKUP(C1436,'Project Details'!$C$17:$C$66,'Project Details'!$D$17:$D$66,"",0)</f>
        <v>0</v>
      </c>
      <c r="M1436" s="43"/>
    </row>
    <row r="1437" spans="1:13" ht="13.5" customHeight="1" x14ac:dyDescent="0.25">
      <c r="A1437" s="43"/>
      <c r="B1437" s="43"/>
      <c r="C1437" s="16">
        <f t="shared" si="27"/>
        <v>29</v>
      </c>
      <c r="D1437" s="16" t="str" cm="1">
        <f t="array" ref="D1437">IFERROR(ROUNDUP(_xlfn.IFS(F1437="Aluminum Track", _xlfn.XLOOKUP(C1437, dd_accsrycalc!$A$2:$A$51, dd_accsrycalc!$B$2:$B$51, "",0), F1437="10 x 2 1/2 S (Flat)", _xlfn.XLOOKUP(C1437, dd_accsrycalc!$A$2:$A$51, dd_accsrycalc!$C$2:$C$51, "",0), F1437="Tox6", _xlfn.XLOOKUP(C1437, dd_accsrycalc!$A$2:$A$51, dd_accsrycalc!$D$2:$D$51, "",0), F1437="Cover Cap", _xlfn.XLOOKUP(C1437, dd_accsrycalc!$A$2:$A$51, dd_accsrycalc!$E$2:$E$51, "",0), F1437="Drainage Cover", _xlfn.XLOOKUP(C1437, dd_accsrycalc!$A$2:$A$51, dd_accsrycalc!$F$2:$F$51, "",0),AND( F1437="Double Adhesive Tape", I1437="Roll-up Screen"), _xlfn.XLOOKUP(C1437, calc_rusacc!$C$15:$C$65, calc_rusacc!$AD$15:$AD$65, "",0),AND( F1437="Sealant", I1437="Roll-up Screen"), _xlfn.XLOOKUP(C1437, calc_rusacc!$C$15:$C$65, calc_rusacc!$AF$15:$AF$65, "",0),  AND( F1437="Main Chain", I1437="Accordion Screen"), _xlfn.XLOOKUP(C1437, calc_rusacc!$C$15:$C$65, calc_rusacc!$BF$15:$BF$65, "",0), AND( F1437="Sealant", I1437="Accordion Screen"), _xlfn.XLOOKUP(C1437, calc_rusacc!$C$15:$C$65, calc_rusacc!$BJ$15:$BJ$65, "",0),  F1437="Sealant", _xlfn.XLOOKUP(C1437, dd_accsrycalc!$A$2:$A$51, dd_accsrycalc!$G$2:$G$51, "",0),  F1437&lt;&gt;"",L1437*_xlfn.XLOOKUP(1, (SKUs!$C$2:$C$10001=G1437)*(SKUs!$K$2:$K$10001=I1437),SKUs!$E$2:$E$10001)), 0),"")</f>
        <v/>
      </c>
      <c r="E1437" s="16" t="str">
        <f>_xlfn.XLOOKUP(F1437,dd_item!$B$2:$B$105,dd_item!$C$2:$C$105,"",0)</f>
        <v/>
      </c>
      <c r="F1437" s="16"/>
      <c r="G1437" s="16" cm="1">
        <f t="array" ref="G1437">IFERROR(_xlfn.XLOOKUP(1, (SKUs!$J$2:$J$10001=accsry_unmerged!F1437)*IF(H1437&lt;&gt;"",(SKUs!$L$2:$L$10001=accsry_unmerged!H1437),1)*(SKUs!$K$2:$K$10001=I1437),SKUs!$C$2:$C$10001),"")</f>
        <v>0</v>
      </c>
      <c r="H1437" s="33" cm="1">
        <f t="array" ref="H1437">IFERROR(_xlfn.XLOOKUP(1, (dd_accsryclr!$C$2:$C$1000=accsry_unmerged!F1437)*(dd_accsryclr!$B$2:$B$1000=accsry_unmerged!J1437),dd_accsryclr!$A$2:$A$1000),"")</f>
        <v>0</v>
      </c>
      <c r="I1437" s="16">
        <f>_xlfn.XLOOKUP(C1437,'Project Details'!$C$17:$C$66,'Project Details'!$E$17:$E$66,"",0)</f>
        <v>0</v>
      </c>
      <c r="J1437" s="16">
        <f>_xlfn.XLOOKUP(C1437,'Project Details'!$C$17:$C$66,'Project Details'!$H$17:$H$66,"",0)</f>
        <v>0</v>
      </c>
      <c r="K1437" s="33" t="str">
        <f>IF(AND(_xlfn.XLOOKUP(C1437,'Project Details'!$C$17:$C$66,'Project Details'!$L$17:$L$66,"",0)&gt;550, F1437="Spring-L27cm"),"",SUBSTITUTE(_xlfn.XLOOKUP(G1437,SKUs!$C$2:$C$10001,SKUs!$F$2:$F$10001,"",0), " Accessories",""))</f>
        <v/>
      </c>
      <c r="L1437" s="33">
        <f>_xlfn.XLOOKUP(C1437,'Project Details'!$C$17:$C$66,'Project Details'!$D$17:$D$66,"",0)</f>
        <v>0</v>
      </c>
      <c r="M1437" s="43"/>
    </row>
    <row r="1438" spans="1:13" ht="13.5" customHeight="1" x14ac:dyDescent="0.25">
      <c r="A1438" s="43"/>
      <c r="B1438" s="43"/>
      <c r="C1438" s="35">
        <f t="shared" si="27"/>
        <v>29</v>
      </c>
      <c r="D1438" s="35" t="str" cm="1">
        <f t="array" ref="D1438">IFERROR(ROUNDUP(_xlfn.IFS(F1438="Aluminum Track", _xlfn.XLOOKUP(C1438, dd_accsrycalc!$A$2:$A$51, dd_accsrycalc!$B$2:$B$51, "",0), F1438="10 x 2 1/2 S (Flat)", _xlfn.XLOOKUP(C1438, dd_accsrycalc!$A$2:$A$51, dd_accsrycalc!$C$2:$C$51, "",0), F1438="Tox6", _xlfn.XLOOKUP(C1438, dd_accsrycalc!$A$2:$A$51, dd_accsrycalc!$D$2:$D$51, "",0), F1438="Cover Cap", _xlfn.XLOOKUP(C1438, dd_accsrycalc!$A$2:$A$51, dd_accsrycalc!$E$2:$E$51, "",0), F1438="Drainage Cover", _xlfn.XLOOKUP(C1438, dd_accsrycalc!$A$2:$A$51, dd_accsrycalc!$F$2:$F$51, "",0),AND( F1438="Double Adhesive Tape", I1438="Roll-up Screen"), _xlfn.XLOOKUP(C1438, calc_rusacc!$C$15:$C$65, calc_rusacc!$AD$15:$AD$65, "",0),AND( F1438="Sealant", I1438="Roll-up Screen"), _xlfn.XLOOKUP(C1438, calc_rusacc!$C$15:$C$65, calc_rusacc!$AF$15:$AF$65, "",0),  AND( F1438="Main Chain", I1438="Accordion Screen"), _xlfn.XLOOKUP(C1438, calc_rusacc!$C$15:$C$65, calc_rusacc!$BF$15:$BF$65, "",0), AND( F1438="Sealant", I1438="Accordion Screen"), _xlfn.XLOOKUP(C1438, calc_rusacc!$C$15:$C$65, calc_rusacc!$BJ$15:$BJ$65, "",0),  F1438="Sealant", _xlfn.XLOOKUP(C1438, dd_accsrycalc!$A$2:$A$51, dd_accsrycalc!$G$2:$G$51, "",0),  F1438&lt;&gt;"",L1438*_xlfn.XLOOKUP(1, (SKUs!$C$2:$C$10001=G1438)*(SKUs!$K$2:$K$10001=I1438),SKUs!$E$2:$E$10001)), 0),"")</f>
        <v/>
      </c>
      <c r="E1438" s="35" t="str">
        <f>_xlfn.XLOOKUP(F1438,dd_item!$B$2:$B$105,dd_item!$C$2:$C$105,"",0)</f>
        <v/>
      </c>
      <c r="F1438" s="35"/>
      <c r="G1438" s="35" cm="1">
        <f t="array" ref="G1438">IFERROR(_xlfn.XLOOKUP(1, (SKUs!$J$2:$J$10001=accsry_unmerged!F1438)*IF(H1438&lt;&gt;"",(SKUs!$L$2:$L$10001=accsry_unmerged!H1438),1)*(SKUs!$K$2:$K$10001=I1438),SKUs!$C$2:$C$10001),"")</f>
        <v>0</v>
      </c>
      <c r="H1438" s="36" cm="1">
        <f t="array" ref="H1438">IFERROR(_xlfn.XLOOKUP(1, (dd_accsryclr!$C$2:$C$1000=accsry_unmerged!F1438)*(dd_accsryclr!$B$2:$B$1000=accsry_unmerged!J1438),dd_accsryclr!$A$2:$A$1000),"")</f>
        <v>0</v>
      </c>
      <c r="I1438" s="35">
        <f>_xlfn.XLOOKUP(C1438,'Project Details'!$C$17:$C$66,'Project Details'!$E$17:$E$66,"",0)</f>
        <v>0</v>
      </c>
      <c r="J1438" s="35">
        <f>_xlfn.XLOOKUP(C1438,'Project Details'!$C$17:$C$66,'Project Details'!$H$17:$H$66,"",0)</f>
        <v>0</v>
      </c>
      <c r="K1438" s="36" t="str">
        <f>IF(AND(_xlfn.XLOOKUP(C1438,'Project Details'!$C$17:$C$66,'Project Details'!$L$17:$L$66,"",0)&gt;550, F1438="Spring-L27cm"),"",SUBSTITUTE(_xlfn.XLOOKUP(G1438,SKUs!$C$2:$C$10001,SKUs!$F$2:$F$10001,"",0), " Accessories",""))</f>
        <v/>
      </c>
      <c r="L1438" s="36">
        <f>_xlfn.XLOOKUP(C1438,'Project Details'!$C$17:$C$66,'Project Details'!$D$17:$D$66,"",0)</f>
        <v>0</v>
      </c>
      <c r="M1438" s="43"/>
    </row>
    <row r="1439" spans="1:13" ht="13.5" customHeight="1" x14ac:dyDescent="0.25">
      <c r="A1439" s="43"/>
      <c r="B1439" s="43"/>
      <c r="C1439" s="16">
        <f t="shared" si="27"/>
        <v>29</v>
      </c>
      <c r="D1439" s="16" t="str" cm="1">
        <f t="array" ref="D1439">IFERROR(ROUNDUP(_xlfn.IFS(F1439="Aluminum Track", _xlfn.XLOOKUP(C1439, dd_accsrycalc!$A$2:$A$51, dd_accsrycalc!$B$2:$B$51, "",0), F1439="10 x 2 1/2 S (Flat)", _xlfn.XLOOKUP(C1439, dd_accsrycalc!$A$2:$A$51, dd_accsrycalc!$C$2:$C$51, "",0), F1439="Tox6", _xlfn.XLOOKUP(C1439, dd_accsrycalc!$A$2:$A$51, dd_accsrycalc!$D$2:$D$51, "",0), F1439="Cover Cap", _xlfn.XLOOKUP(C1439, dd_accsrycalc!$A$2:$A$51, dd_accsrycalc!$E$2:$E$51, "",0), F1439="Drainage Cover", _xlfn.XLOOKUP(C1439, dd_accsrycalc!$A$2:$A$51, dd_accsrycalc!$F$2:$F$51, "",0),AND( F1439="Double Adhesive Tape", I1439="Roll-up Screen"), _xlfn.XLOOKUP(C1439, calc_rusacc!$C$15:$C$65, calc_rusacc!$AD$15:$AD$65, "",0),AND( F1439="Sealant", I1439="Roll-up Screen"), _xlfn.XLOOKUP(C1439, calc_rusacc!$C$15:$C$65, calc_rusacc!$AF$15:$AF$65, "",0),  AND( F1439="Main Chain", I1439="Accordion Screen"), _xlfn.XLOOKUP(C1439, calc_rusacc!$C$15:$C$65, calc_rusacc!$BF$15:$BF$65, "",0), AND( F1439="Sealant", I1439="Accordion Screen"), _xlfn.XLOOKUP(C1439, calc_rusacc!$C$15:$C$65, calc_rusacc!$BJ$15:$BJ$65, "",0),  F1439="Sealant", _xlfn.XLOOKUP(C1439, dd_accsrycalc!$A$2:$A$51, dd_accsrycalc!$G$2:$G$51, "",0),  F1439&lt;&gt;"",L1439*_xlfn.XLOOKUP(1, (SKUs!$C$2:$C$10001=G1439)*(SKUs!$K$2:$K$10001=I1439),SKUs!$E$2:$E$10001)), 0),"")</f>
        <v/>
      </c>
      <c r="E1439" s="16" t="str">
        <f>_xlfn.XLOOKUP(F1439,dd_item!$B$2:$B$105,dd_item!$C$2:$C$105,"",0)</f>
        <v/>
      </c>
      <c r="F1439" s="16"/>
      <c r="G1439" s="16" cm="1">
        <f t="array" ref="G1439">IFERROR(_xlfn.XLOOKUP(1, (SKUs!$J$2:$J$10001=accsry_unmerged!F1439)*IF(H1439&lt;&gt;"",(SKUs!$L$2:$L$10001=accsry_unmerged!H1439),1)*(SKUs!$K$2:$K$10001=I1439),SKUs!$C$2:$C$10001),"")</f>
        <v>0</v>
      </c>
      <c r="H1439" s="33" cm="1">
        <f t="array" ref="H1439">IFERROR(_xlfn.XLOOKUP(1, (dd_accsryclr!$C$2:$C$1000=accsry_unmerged!F1439)*(dd_accsryclr!$B$2:$B$1000=accsry_unmerged!J1439),dd_accsryclr!$A$2:$A$1000),"")</f>
        <v>0</v>
      </c>
      <c r="I1439" s="16">
        <f>_xlfn.XLOOKUP(C1439,'Project Details'!$C$17:$C$66,'Project Details'!$E$17:$E$66,"",0)</f>
        <v>0</v>
      </c>
      <c r="J1439" s="16">
        <f>_xlfn.XLOOKUP(C1439,'Project Details'!$C$17:$C$66,'Project Details'!$H$17:$H$66,"",0)</f>
        <v>0</v>
      </c>
      <c r="K1439" s="33" t="str">
        <f>IF(AND(_xlfn.XLOOKUP(C1439,'Project Details'!$C$17:$C$66,'Project Details'!$L$17:$L$66,"",0)&gt;550, F1439="Spring-L27cm"),"",SUBSTITUTE(_xlfn.XLOOKUP(G1439,SKUs!$C$2:$C$10001,SKUs!$F$2:$F$10001,"",0), " Accessories",""))</f>
        <v/>
      </c>
      <c r="L1439" s="33">
        <f>_xlfn.XLOOKUP(C1439,'Project Details'!$C$17:$C$66,'Project Details'!$D$17:$D$66,"",0)</f>
        <v>0</v>
      </c>
      <c r="M1439" s="43"/>
    </row>
    <row r="1440" spans="1:13" ht="13.5" customHeight="1" x14ac:dyDescent="0.25">
      <c r="A1440" s="43"/>
      <c r="B1440" s="43"/>
      <c r="C1440" s="35">
        <f t="shared" si="27"/>
        <v>29</v>
      </c>
      <c r="D1440" s="35" t="str" cm="1">
        <f t="array" ref="D1440">IFERROR(ROUNDUP(_xlfn.IFS(F1440="Aluminum Track", _xlfn.XLOOKUP(C1440, dd_accsrycalc!$A$2:$A$51, dd_accsrycalc!$B$2:$B$51, "",0), F1440="10 x 2 1/2 S (Flat)", _xlfn.XLOOKUP(C1440, dd_accsrycalc!$A$2:$A$51, dd_accsrycalc!$C$2:$C$51, "",0), F1440="Tox6", _xlfn.XLOOKUP(C1440, dd_accsrycalc!$A$2:$A$51, dd_accsrycalc!$D$2:$D$51, "",0), F1440="Cover Cap", _xlfn.XLOOKUP(C1440, dd_accsrycalc!$A$2:$A$51, dd_accsrycalc!$E$2:$E$51, "",0), F1440="Drainage Cover", _xlfn.XLOOKUP(C1440, dd_accsrycalc!$A$2:$A$51, dd_accsrycalc!$F$2:$F$51, "",0),AND( F1440="Double Adhesive Tape", I1440="Roll-up Screen"), _xlfn.XLOOKUP(C1440, calc_rusacc!$C$15:$C$65, calc_rusacc!$AD$15:$AD$65, "",0),AND( F1440="Sealant", I1440="Roll-up Screen"), _xlfn.XLOOKUP(C1440, calc_rusacc!$C$15:$C$65, calc_rusacc!$AF$15:$AF$65, "",0),  AND( F1440="Main Chain", I1440="Accordion Screen"), _xlfn.XLOOKUP(C1440, calc_rusacc!$C$15:$C$65, calc_rusacc!$BF$15:$BF$65, "",0), AND( F1440="Sealant", I1440="Accordion Screen"), _xlfn.XLOOKUP(C1440, calc_rusacc!$C$15:$C$65, calc_rusacc!$BJ$15:$BJ$65, "",0),  F1440="Sealant", _xlfn.XLOOKUP(C1440, dd_accsrycalc!$A$2:$A$51, dd_accsrycalc!$G$2:$G$51, "",0),  F1440&lt;&gt;"",L1440*_xlfn.XLOOKUP(1, (SKUs!$C$2:$C$10001=G1440)*(SKUs!$K$2:$K$10001=I1440),SKUs!$E$2:$E$10001)), 0),"")</f>
        <v/>
      </c>
      <c r="E1440" s="35" t="str">
        <f>_xlfn.XLOOKUP(F1440,dd_item!$B$2:$B$105,dd_item!$C$2:$C$105,"",0)</f>
        <v/>
      </c>
      <c r="F1440" s="35"/>
      <c r="G1440" s="35" cm="1">
        <f t="array" ref="G1440">IFERROR(_xlfn.XLOOKUP(1, (SKUs!$J$2:$J$10001=accsry_unmerged!F1440)*IF(H1440&lt;&gt;"",(SKUs!$L$2:$L$10001=accsry_unmerged!H1440),1)*(SKUs!$K$2:$K$10001=I1440),SKUs!$C$2:$C$10001),"")</f>
        <v>0</v>
      </c>
      <c r="H1440" s="36" cm="1">
        <f t="array" ref="H1440">IFERROR(_xlfn.XLOOKUP(1, (dd_accsryclr!$C$2:$C$1000=accsry_unmerged!F1440)*(dd_accsryclr!$B$2:$B$1000=accsry_unmerged!J1440),dd_accsryclr!$A$2:$A$1000),"")</f>
        <v>0</v>
      </c>
      <c r="I1440" s="35">
        <f>_xlfn.XLOOKUP(C1440,'Project Details'!$C$17:$C$66,'Project Details'!$E$17:$E$66,"",0)</f>
        <v>0</v>
      </c>
      <c r="J1440" s="35">
        <f>_xlfn.XLOOKUP(C1440,'Project Details'!$C$17:$C$66,'Project Details'!$H$17:$H$66,"",0)</f>
        <v>0</v>
      </c>
      <c r="K1440" s="36" t="str">
        <f>IF(AND(_xlfn.XLOOKUP(C1440,'Project Details'!$C$17:$C$66,'Project Details'!$L$17:$L$66,"",0)&gt;550, F1440="Spring-L27cm"),"",SUBSTITUTE(_xlfn.XLOOKUP(G1440,SKUs!$C$2:$C$10001,SKUs!$F$2:$F$10001,"",0), " Accessories",""))</f>
        <v/>
      </c>
      <c r="L1440" s="36">
        <f>_xlfn.XLOOKUP(C1440,'Project Details'!$C$17:$C$66,'Project Details'!$D$17:$D$66,"",0)</f>
        <v>0</v>
      </c>
      <c r="M1440" s="43"/>
    </row>
    <row r="1441" spans="1:13" ht="13.5" customHeight="1" x14ac:dyDescent="0.25">
      <c r="A1441" s="43"/>
      <c r="B1441" s="43"/>
      <c r="C1441" s="16">
        <f t="shared" si="27"/>
        <v>29</v>
      </c>
      <c r="D1441" s="16" t="str" cm="1">
        <f t="array" ref="D1441">IFERROR(ROUNDUP(_xlfn.IFS(F1441="Aluminum Track", _xlfn.XLOOKUP(C1441, dd_accsrycalc!$A$2:$A$51, dd_accsrycalc!$B$2:$B$51, "",0), F1441="10 x 2 1/2 S (Flat)", _xlfn.XLOOKUP(C1441, dd_accsrycalc!$A$2:$A$51, dd_accsrycalc!$C$2:$C$51, "",0), F1441="Tox6", _xlfn.XLOOKUP(C1441, dd_accsrycalc!$A$2:$A$51, dd_accsrycalc!$D$2:$D$51, "",0), F1441="Cover Cap", _xlfn.XLOOKUP(C1441, dd_accsrycalc!$A$2:$A$51, dd_accsrycalc!$E$2:$E$51, "",0), F1441="Drainage Cover", _xlfn.XLOOKUP(C1441, dd_accsrycalc!$A$2:$A$51, dd_accsrycalc!$F$2:$F$51, "",0),AND( F1441="Double Adhesive Tape", I1441="Roll-up Screen"), _xlfn.XLOOKUP(C1441, calc_rusacc!$C$15:$C$65, calc_rusacc!$AD$15:$AD$65, "",0),AND( F1441="Sealant", I1441="Roll-up Screen"), _xlfn.XLOOKUP(C1441, calc_rusacc!$C$15:$C$65, calc_rusacc!$AF$15:$AF$65, "",0),  AND( F1441="Main Chain", I1441="Accordion Screen"), _xlfn.XLOOKUP(C1441, calc_rusacc!$C$15:$C$65, calc_rusacc!$BF$15:$BF$65, "",0), AND( F1441="Sealant", I1441="Accordion Screen"), _xlfn.XLOOKUP(C1441, calc_rusacc!$C$15:$C$65, calc_rusacc!$BJ$15:$BJ$65, "",0),  F1441="Sealant", _xlfn.XLOOKUP(C1441, dd_accsrycalc!$A$2:$A$51, dd_accsrycalc!$G$2:$G$51, "",0),  F1441&lt;&gt;"",L1441*_xlfn.XLOOKUP(1, (SKUs!$C$2:$C$10001=G1441)*(SKUs!$K$2:$K$10001=I1441),SKUs!$E$2:$E$10001)), 0),"")</f>
        <v/>
      </c>
      <c r="E1441" s="16" t="str">
        <f>_xlfn.XLOOKUP(F1441,dd_item!$B$2:$B$105,dd_item!$C$2:$C$105,"",0)</f>
        <v/>
      </c>
      <c r="F1441" s="16"/>
      <c r="G1441" s="16" cm="1">
        <f t="array" ref="G1441">IFERROR(_xlfn.XLOOKUP(1, (SKUs!$J$2:$J$10001=accsry_unmerged!F1441)*IF(H1441&lt;&gt;"",(SKUs!$L$2:$L$10001=accsry_unmerged!H1441),1)*(SKUs!$K$2:$K$10001=I1441),SKUs!$C$2:$C$10001),"")</f>
        <v>0</v>
      </c>
      <c r="H1441" s="33" cm="1">
        <f t="array" ref="H1441">IFERROR(_xlfn.XLOOKUP(1, (dd_accsryclr!$C$2:$C$1000=accsry_unmerged!F1441)*(dd_accsryclr!$B$2:$B$1000=accsry_unmerged!J1441),dd_accsryclr!$A$2:$A$1000),"")</f>
        <v>0</v>
      </c>
      <c r="I1441" s="16">
        <f>_xlfn.XLOOKUP(C1441,'Project Details'!$C$17:$C$66,'Project Details'!$E$17:$E$66,"",0)</f>
        <v>0</v>
      </c>
      <c r="J1441" s="16">
        <f>_xlfn.XLOOKUP(C1441,'Project Details'!$C$17:$C$66,'Project Details'!$H$17:$H$66,"",0)</f>
        <v>0</v>
      </c>
      <c r="K1441" s="33" t="str">
        <f>IF(AND(_xlfn.XLOOKUP(C1441,'Project Details'!$C$17:$C$66,'Project Details'!$L$17:$L$66,"",0)&gt;550, F1441="Spring-L27cm"),"",SUBSTITUTE(_xlfn.XLOOKUP(G1441,SKUs!$C$2:$C$10001,SKUs!$F$2:$F$10001,"",0), " Accessories",""))</f>
        <v/>
      </c>
      <c r="L1441" s="33">
        <f>_xlfn.XLOOKUP(C1441,'Project Details'!$C$17:$C$66,'Project Details'!$D$17:$D$66,"",0)</f>
        <v>0</v>
      </c>
      <c r="M1441" s="43"/>
    </row>
    <row r="1442" spans="1:13" ht="13.5" customHeight="1" x14ac:dyDescent="0.25">
      <c r="A1442" s="43"/>
      <c r="B1442" s="43"/>
      <c r="C1442" s="35">
        <f t="shared" si="27"/>
        <v>29</v>
      </c>
      <c r="D1442" s="35" t="str" cm="1">
        <f t="array" ref="D1442">IFERROR(ROUNDUP(_xlfn.IFS(F1442="Aluminum Track", _xlfn.XLOOKUP(C1442, dd_accsrycalc!$A$2:$A$51, dd_accsrycalc!$B$2:$B$51, "",0), F1442="10 x 2 1/2 S (Flat)", _xlfn.XLOOKUP(C1442, dd_accsrycalc!$A$2:$A$51, dd_accsrycalc!$C$2:$C$51, "",0), F1442="Tox6", _xlfn.XLOOKUP(C1442, dd_accsrycalc!$A$2:$A$51, dd_accsrycalc!$D$2:$D$51, "",0), F1442="Cover Cap", _xlfn.XLOOKUP(C1442, dd_accsrycalc!$A$2:$A$51, dd_accsrycalc!$E$2:$E$51, "",0), F1442="Drainage Cover", _xlfn.XLOOKUP(C1442, dd_accsrycalc!$A$2:$A$51, dd_accsrycalc!$F$2:$F$51, "",0),AND( F1442="Double Adhesive Tape", I1442="Roll-up Screen"), _xlfn.XLOOKUP(C1442, calc_rusacc!$C$15:$C$65, calc_rusacc!$AD$15:$AD$65, "",0),AND( F1442="Sealant", I1442="Roll-up Screen"), _xlfn.XLOOKUP(C1442, calc_rusacc!$C$15:$C$65, calc_rusacc!$AF$15:$AF$65, "",0),  AND( F1442="Main Chain", I1442="Accordion Screen"), _xlfn.XLOOKUP(C1442, calc_rusacc!$C$15:$C$65, calc_rusacc!$BF$15:$BF$65, "",0), AND( F1442="Sealant", I1442="Accordion Screen"), _xlfn.XLOOKUP(C1442, calc_rusacc!$C$15:$C$65, calc_rusacc!$BJ$15:$BJ$65, "",0),  F1442="Sealant", _xlfn.XLOOKUP(C1442, dd_accsrycalc!$A$2:$A$51, dd_accsrycalc!$G$2:$G$51, "",0),  F1442&lt;&gt;"",L1442*_xlfn.XLOOKUP(1, (SKUs!$C$2:$C$10001=G1442)*(SKUs!$K$2:$K$10001=I1442),SKUs!$E$2:$E$10001)), 0),"")</f>
        <v/>
      </c>
      <c r="E1442" s="35" t="str">
        <f>_xlfn.XLOOKUP(F1442,dd_item!$B$2:$B$105,dd_item!$C$2:$C$105,"",0)</f>
        <v/>
      </c>
      <c r="F1442" s="35"/>
      <c r="G1442" s="35" cm="1">
        <f t="array" ref="G1442">IFERROR(_xlfn.XLOOKUP(1, (SKUs!$J$2:$J$10001=accsry_unmerged!F1442)*IF(H1442&lt;&gt;"",(SKUs!$L$2:$L$10001=accsry_unmerged!H1442),1)*(SKUs!$K$2:$K$10001=I1442),SKUs!$C$2:$C$10001),"")</f>
        <v>0</v>
      </c>
      <c r="H1442" s="36" cm="1">
        <f t="array" ref="H1442">IFERROR(_xlfn.XLOOKUP(1, (dd_accsryclr!$C$2:$C$1000=accsry_unmerged!F1442)*(dd_accsryclr!$B$2:$B$1000=accsry_unmerged!J1442),dd_accsryclr!$A$2:$A$1000),"")</f>
        <v>0</v>
      </c>
      <c r="I1442" s="35">
        <f>_xlfn.XLOOKUP(C1442,'Project Details'!$C$17:$C$66,'Project Details'!$E$17:$E$66,"",0)</f>
        <v>0</v>
      </c>
      <c r="J1442" s="35">
        <f>_xlfn.XLOOKUP(C1442,'Project Details'!$C$17:$C$66,'Project Details'!$H$17:$H$66,"",0)</f>
        <v>0</v>
      </c>
      <c r="K1442" s="36" t="str">
        <f>IF(AND(_xlfn.XLOOKUP(C1442,'Project Details'!$C$17:$C$66,'Project Details'!$L$17:$L$66,"",0)&gt;550, F1442="Spring-L27cm"),"",SUBSTITUTE(_xlfn.XLOOKUP(G1442,SKUs!$C$2:$C$10001,SKUs!$F$2:$F$10001,"",0), " Accessories",""))</f>
        <v/>
      </c>
      <c r="L1442" s="36">
        <f>_xlfn.XLOOKUP(C1442,'Project Details'!$C$17:$C$66,'Project Details'!$D$17:$D$66,"",0)</f>
        <v>0</v>
      </c>
      <c r="M1442" s="43"/>
    </row>
    <row r="1443" spans="1:13" ht="13.5" customHeight="1" x14ac:dyDescent="0.25">
      <c r="A1443" s="43"/>
      <c r="B1443" s="43"/>
      <c r="C1443" s="16">
        <f t="shared" si="27"/>
        <v>29</v>
      </c>
      <c r="D1443" s="16" t="str" cm="1">
        <f t="array" ref="D1443">IFERROR(ROUNDUP(_xlfn.IFS(F1443="Aluminum Track", _xlfn.XLOOKUP(C1443, dd_accsrycalc!$A$2:$A$51, dd_accsrycalc!$B$2:$B$51, "",0), F1443="10 x 2 1/2 S (Flat)", _xlfn.XLOOKUP(C1443, dd_accsrycalc!$A$2:$A$51, dd_accsrycalc!$C$2:$C$51, "",0), F1443="Tox6", _xlfn.XLOOKUP(C1443, dd_accsrycalc!$A$2:$A$51, dd_accsrycalc!$D$2:$D$51, "",0), F1443="Cover Cap", _xlfn.XLOOKUP(C1443, dd_accsrycalc!$A$2:$A$51, dd_accsrycalc!$E$2:$E$51, "",0), F1443="Drainage Cover", _xlfn.XLOOKUP(C1443, dd_accsrycalc!$A$2:$A$51, dd_accsrycalc!$F$2:$F$51, "",0),AND( F1443="Double Adhesive Tape", I1443="Roll-up Screen"), _xlfn.XLOOKUP(C1443, calc_rusacc!$C$15:$C$65, calc_rusacc!$AD$15:$AD$65, "",0),AND( F1443="Sealant", I1443="Roll-up Screen"), _xlfn.XLOOKUP(C1443, calc_rusacc!$C$15:$C$65, calc_rusacc!$AF$15:$AF$65, "",0),  AND( F1443="Main Chain", I1443="Accordion Screen"), _xlfn.XLOOKUP(C1443, calc_rusacc!$C$15:$C$65, calc_rusacc!$BF$15:$BF$65, "",0), AND( F1443="Sealant", I1443="Accordion Screen"), _xlfn.XLOOKUP(C1443, calc_rusacc!$C$15:$C$65, calc_rusacc!$BJ$15:$BJ$65, "",0),  F1443="Sealant", _xlfn.XLOOKUP(C1443, dd_accsrycalc!$A$2:$A$51, dd_accsrycalc!$G$2:$G$51, "",0),  F1443&lt;&gt;"",L1443*_xlfn.XLOOKUP(1, (SKUs!$C$2:$C$10001=G1443)*(SKUs!$K$2:$K$10001=I1443),SKUs!$E$2:$E$10001)), 0),"")</f>
        <v/>
      </c>
      <c r="E1443" s="16" t="str">
        <f>_xlfn.XLOOKUP(F1443,dd_item!$B$2:$B$105,dd_item!$C$2:$C$105,"",0)</f>
        <v/>
      </c>
      <c r="F1443" s="16"/>
      <c r="G1443" s="16" cm="1">
        <f t="array" ref="G1443">IFERROR(_xlfn.XLOOKUP(1, (SKUs!$J$2:$J$10001=accsry_unmerged!F1443)*IF(H1443&lt;&gt;"",(SKUs!$L$2:$L$10001=accsry_unmerged!H1443),1)*(SKUs!$K$2:$K$10001=I1443),SKUs!$C$2:$C$10001),"")</f>
        <v>0</v>
      </c>
      <c r="H1443" s="33" cm="1">
        <f t="array" ref="H1443">IFERROR(_xlfn.XLOOKUP(1, (dd_accsryclr!$C$2:$C$1000=accsry_unmerged!F1443)*(dd_accsryclr!$B$2:$B$1000=accsry_unmerged!J1443),dd_accsryclr!$A$2:$A$1000),"")</f>
        <v>0</v>
      </c>
      <c r="I1443" s="16">
        <f>_xlfn.XLOOKUP(C1443,'Project Details'!$C$17:$C$66,'Project Details'!$E$17:$E$66,"",0)</f>
        <v>0</v>
      </c>
      <c r="J1443" s="16">
        <f>_xlfn.XLOOKUP(C1443,'Project Details'!$C$17:$C$66,'Project Details'!$H$17:$H$66,"",0)</f>
        <v>0</v>
      </c>
      <c r="K1443" s="33" t="str">
        <f>IF(AND(_xlfn.XLOOKUP(C1443,'Project Details'!$C$17:$C$66,'Project Details'!$L$17:$L$66,"",0)&gt;550, F1443="Spring-L27cm"),"",SUBSTITUTE(_xlfn.XLOOKUP(G1443,SKUs!$C$2:$C$10001,SKUs!$F$2:$F$10001,"",0), " Accessories",""))</f>
        <v/>
      </c>
      <c r="L1443" s="33">
        <f>_xlfn.XLOOKUP(C1443,'Project Details'!$C$17:$C$66,'Project Details'!$D$17:$D$66,"",0)</f>
        <v>0</v>
      </c>
      <c r="M1443" s="43"/>
    </row>
    <row r="1444" spans="1:13" ht="13.5" customHeight="1" x14ac:dyDescent="0.25">
      <c r="A1444" s="43"/>
      <c r="B1444" s="43"/>
      <c r="C1444" s="35">
        <f t="shared" si="27"/>
        <v>29</v>
      </c>
      <c r="D1444" s="35" t="str" cm="1">
        <f t="array" ref="D1444">IFERROR(ROUNDUP(_xlfn.IFS(F1444="Aluminum Track", _xlfn.XLOOKUP(C1444, dd_accsrycalc!$A$2:$A$51, dd_accsrycalc!$B$2:$B$51, "",0), F1444="10 x 2 1/2 S (Flat)", _xlfn.XLOOKUP(C1444, dd_accsrycalc!$A$2:$A$51, dd_accsrycalc!$C$2:$C$51, "",0), F1444="Tox6", _xlfn.XLOOKUP(C1444, dd_accsrycalc!$A$2:$A$51, dd_accsrycalc!$D$2:$D$51, "",0), F1444="Cover Cap", _xlfn.XLOOKUP(C1444, dd_accsrycalc!$A$2:$A$51, dd_accsrycalc!$E$2:$E$51, "",0), F1444="Drainage Cover", _xlfn.XLOOKUP(C1444, dd_accsrycalc!$A$2:$A$51, dd_accsrycalc!$F$2:$F$51, "",0),AND( F1444="Double Adhesive Tape", I1444="Roll-up Screen"), _xlfn.XLOOKUP(C1444, calc_rusacc!$C$15:$C$65, calc_rusacc!$AD$15:$AD$65, "",0),AND( F1444="Sealant", I1444="Roll-up Screen"), _xlfn.XLOOKUP(C1444, calc_rusacc!$C$15:$C$65, calc_rusacc!$AF$15:$AF$65, "",0),  AND( F1444="Main Chain", I1444="Accordion Screen"), _xlfn.XLOOKUP(C1444, calc_rusacc!$C$15:$C$65, calc_rusacc!$BF$15:$BF$65, "",0), AND( F1444="Sealant", I1444="Accordion Screen"), _xlfn.XLOOKUP(C1444, calc_rusacc!$C$15:$C$65, calc_rusacc!$BJ$15:$BJ$65, "",0),  F1444="Sealant", _xlfn.XLOOKUP(C1444, dd_accsrycalc!$A$2:$A$51, dd_accsrycalc!$G$2:$G$51, "",0),  F1444&lt;&gt;"",L1444*_xlfn.XLOOKUP(1, (SKUs!$C$2:$C$10001=G1444)*(SKUs!$K$2:$K$10001=I1444),SKUs!$E$2:$E$10001)), 0),"")</f>
        <v/>
      </c>
      <c r="E1444" s="35" t="str">
        <f>_xlfn.XLOOKUP(F1444,dd_item!$B$2:$B$105,dd_item!$C$2:$C$105,"",0)</f>
        <v/>
      </c>
      <c r="F1444" s="35"/>
      <c r="G1444" s="35" cm="1">
        <f t="array" ref="G1444">IFERROR(_xlfn.XLOOKUP(1, (SKUs!$J$2:$J$10001=accsry_unmerged!F1444)*IF(H1444&lt;&gt;"",(SKUs!$L$2:$L$10001=accsry_unmerged!H1444),1)*(SKUs!$K$2:$K$10001=I1444),SKUs!$C$2:$C$10001),"")</f>
        <v>0</v>
      </c>
      <c r="H1444" s="36" cm="1">
        <f t="array" ref="H1444">IFERROR(_xlfn.XLOOKUP(1, (dd_accsryclr!$C$2:$C$1000=accsry_unmerged!F1444)*(dd_accsryclr!$B$2:$B$1000=accsry_unmerged!J1444),dd_accsryclr!$A$2:$A$1000),"")</f>
        <v>0</v>
      </c>
      <c r="I1444" s="35">
        <f>_xlfn.XLOOKUP(C1444,'Project Details'!$C$17:$C$66,'Project Details'!$E$17:$E$66,"",0)</f>
        <v>0</v>
      </c>
      <c r="J1444" s="35">
        <f>_xlfn.XLOOKUP(C1444,'Project Details'!$C$17:$C$66,'Project Details'!$H$17:$H$66,"",0)</f>
        <v>0</v>
      </c>
      <c r="K1444" s="36" t="str">
        <f>IF(AND(_xlfn.XLOOKUP(C1444,'Project Details'!$C$17:$C$66,'Project Details'!$L$17:$L$66,"",0)&gt;550, F1444="Spring-L27cm"),"",SUBSTITUTE(_xlfn.XLOOKUP(G1444,SKUs!$C$2:$C$10001,SKUs!$F$2:$F$10001,"",0), " Accessories",""))</f>
        <v/>
      </c>
      <c r="L1444" s="36">
        <f>_xlfn.XLOOKUP(C1444,'Project Details'!$C$17:$C$66,'Project Details'!$D$17:$D$66,"",0)</f>
        <v>0</v>
      </c>
      <c r="M1444" s="43"/>
    </row>
    <row r="1445" spans="1:13" ht="13.5" customHeight="1" outlineLevel="1" x14ac:dyDescent="0.25">
      <c r="A1445" s="43"/>
      <c r="B1445" s="43"/>
      <c r="C1445" s="16">
        <f t="shared" si="27"/>
        <v>29</v>
      </c>
      <c r="D1445" s="16" t="str" cm="1">
        <f t="array" ref="D1445">IFERROR(ROUNDUP(_xlfn.IFS(F1445="Aluminum Track", _xlfn.XLOOKUP(C1445, dd_accsrycalc!$A$2:$A$51, dd_accsrycalc!$B$2:$B$51, "",0), F1445="10 x 2 1/2 S (Flat)", _xlfn.XLOOKUP(C1445, dd_accsrycalc!$A$2:$A$51, dd_accsrycalc!$C$2:$C$51, "",0), F1445="Tox6", _xlfn.XLOOKUP(C1445, dd_accsrycalc!$A$2:$A$51, dd_accsrycalc!$D$2:$D$51, "",0), F1445="Cover Cap", _xlfn.XLOOKUP(C1445, dd_accsrycalc!$A$2:$A$51, dd_accsrycalc!$E$2:$E$51, "",0), F1445="Drainage Cover", _xlfn.XLOOKUP(C1445, dd_accsrycalc!$A$2:$A$51, dd_accsrycalc!$F$2:$F$51, "",0),AND( F1445="Double Adhesive Tape", I1445="Roll-up Screen"), _xlfn.XLOOKUP(C1445, calc_rusacc!$C$15:$C$65, calc_rusacc!$AD$15:$AD$65, "",0),AND( F1445="Sealant", I1445="Roll-up Screen"), _xlfn.XLOOKUP(C1445, calc_rusacc!$C$15:$C$65, calc_rusacc!$AF$15:$AF$65, "",0),  AND( F1445="Main Chain", I1445="Accordion Screen"), _xlfn.XLOOKUP(C1445, calc_rusacc!$C$15:$C$65, calc_rusacc!$BF$15:$BF$65, "",0), AND( F1445="Sealant", I1445="Accordion Screen"), _xlfn.XLOOKUP(C1445, calc_rusacc!$C$15:$C$65, calc_rusacc!$BJ$15:$BJ$65, "",0),  F1445="Sealant", _xlfn.XLOOKUP(C1445, dd_accsrycalc!$A$2:$A$51, dd_accsrycalc!$G$2:$G$51, "",0),  F1445&lt;&gt;"",L1445*_xlfn.XLOOKUP(1, (SKUs!$C$2:$C$10001=G1445)*(SKUs!$K$2:$K$10001=I1445),SKUs!$E$2:$E$10001)), 0),"")</f>
        <v/>
      </c>
      <c r="E1445" s="16" t="str">
        <f>_xlfn.XLOOKUP(F1445,dd_item!$B$2:$B$105,dd_item!$C$2:$C$105,"",0)</f>
        <v/>
      </c>
      <c r="F1445" s="16"/>
      <c r="G1445" s="16" cm="1">
        <f t="array" ref="G1445">IFERROR(_xlfn.XLOOKUP(1, (SKUs!$J$2:$J$10001=accsry_unmerged!F1445)*IF(H1445&lt;&gt;"",(SKUs!$L$2:$L$10001=accsry_unmerged!H1445),1)*(SKUs!$K$2:$K$10001=I1445),SKUs!$C$2:$C$10001),"")</f>
        <v>0</v>
      </c>
      <c r="H1445" s="33" cm="1">
        <f t="array" ref="H1445">IFERROR(_xlfn.XLOOKUP(1, (dd_accsryclr!$C$2:$C$1000=accsry_unmerged!F1445)*(dd_accsryclr!$B$2:$B$1000=accsry_unmerged!J1445),dd_accsryclr!$A$2:$A$1000),"")</f>
        <v>0</v>
      </c>
      <c r="I1445" s="16">
        <f>_xlfn.XLOOKUP(C1445,'Project Details'!$C$17:$C$66,'Project Details'!$E$17:$E$66,"",0)</f>
        <v>0</v>
      </c>
      <c r="J1445" s="16">
        <f>_xlfn.XLOOKUP(C1445,'Project Details'!$C$17:$C$66,'Project Details'!$H$17:$H$66,"",0)</f>
        <v>0</v>
      </c>
      <c r="K1445" s="33" t="str">
        <f>IF(AND(_xlfn.XLOOKUP(C1445,'Project Details'!$C$17:$C$66,'Project Details'!$L$17:$L$66,"",0)&gt;550, F1445="Spring-L27cm"),"",SUBSTITUTE(_xlfn.XLOOKUP(G1445,SKUs!$C$2:$C$10001,SKUs!$F$2:$F$10001,"",0), " Accessories",""))</f>
        <v/>
      </c>
      <c r="L1445" s="33">
        <f>_xlfn.XLOOKUP(C1445,'Project Details'!$C$17:$C$66,'Project Details'!$D$17:$D$66,"",0)</f>
        <v>0</v>
      </c>
      <c r="M1445" s="43"/>
    </row>
    <row r="1446" spans="1:13" ht="13.5" customHeight="1" outlineLevel="1" x14ac:dyDescent="0.25">
      <c r="A1446" s="43"/>
      <c r="B1446" s="43"/>
      <c r="C1446" s="35">
        <f t="shared" si="27"/>
        <v>29</v>
      </c>
      <c r="D1446" s="35" t="str" cm="1">
        <f t="array" ref="D1446">IFERROR(ROUNDUP(_xlfn.IFS(F1446="Aluminum Track", _xlfn.XLOOKUP(C1446, dd_accsrycalc!$A$2:$A$51, dd_accsrycalc!$B$2:$B$51, "",0), F1446="10 x 2 1/2 S (Flat)", _xlfn.XLOOKUP(C1446, dd_accsrycalc!$A$2:$A$51, dd_accsrycalc!$C$2:$C$51, "",0), F1446="Tox6", _xlfn.XLOOKUP(C1446, dd_accsrycalc!$A$2:$A$51, dd_accsrycalc!$D$2:$D$51, "",0), F1446="Cover Cap", _xlfn.XLOOKUP(C1446, dd_accsrycalc!$A$2:$A$51, dd_accsrycalc!$E$2:$E$51, "",0), F1446="Drainage Cover", _xlfn.XLOOKUP(C1446, dd_accsrycalc!$A$2:$A$51, dd_accsrycalc!$F$2:$F$51, "",0),AND( F1446="Double Adhesive Tape", I1446="Roll-up Screen"), _xlfn.XLOOKUP(C1446, calc_rusacc!$C$15:$C$65, calc_rusacc!$AD$15:$AD$65, "",0),AND( F1446="Sealant", I1446="Roll-up Screen"), _xlfn.XLOOKUP(C1446, calc_rusacc!$C$15:$C$65, calc_rusacc!$AF$15:$AF$65, "",0),  AND( F1446="Main Chain", I1446="Accordion Screen"), _xlfn.XLOOKUP(C1446, calc_rusacc!$C$15:$C$65, calc_rusacc!$BF$15:$BF$65, "",0), AND( F1446="Sealant", I1446="Accordion Screen"), _xlfn.XLOOKUP(C1446, calc_rusacc!$C$15:$C$65, calc_rusacc!$BJ$15:$BJ$65, "",0),  F1446="Sealant", _xlfn.XLOOKUP(C1446, dd_accsrycalc!$A$2:$A$51, dd_accsrycalc!$G$2:$G$51, "",0),  F1446&lt;&gt;"",L1446*_xlfn.XLOOKUP(1, (SKUs!$C$2:$C$10001=G1446)*(SKUs!$K$2:$K$10001=I1446),SKUs!$E$2:$E$10001)), 0),"")</f>
        <v/>
      </c>
      <c r="E1446" s="35" t="str">
        <f>_xlfn.XLOOKUP(F1446,dd_item!$B$2:$B$105,dd_item!$C$2:$C$105,"",0)</f>
        <v/>
      </c>
      <c r="F1446" s="35"/>
      <c r="G1446" s="35" cm="1">
        <f t="array" ref="G1446">IFERROR(_xlfn.XLOOKUP(1, (SKUs!$J$2:$J$10001=accsry_unmerged!F1446)*IF(H1446&lt;&gt;"",(SKUs!$L$2:$L$10001=accsry_unmerged!H1446),1)*(SKUs!$K$2:$K$10001=I1446),SKUs!$C$2:$C$10001),"")</f>
        <v>0</v>
      </c>
      <c r="H1446" s="36" cm="1">
        <f t="array" ref="H1446">IFERROR(_xlfn.XLOOKUP(1, (dd_accsryclr!$C$2:$C$1000=accsry_unmerged!F1446)*(dd_accsryclr!$B$2:$B$1000=accsry_unmerged!J1446),dd_accsryclr!$A$2:$A$1000),"")</f>
        <v>0</v>
      </c>
      <c r="I1446" s="35">
        <f>_xlfn.XLOOKUP(C1446,'Project Details'!$C$17:$C$66,'Project Details'!$E$17:$E$66,"",0)</f>
        <v>0</v>
      </c>
      <c r="J1446" s="35">
        <f>_xlfn.XLOOKUP(C1446,'Project Details'!$C$17:$C$66,'Project Details'!$H$17:$H$66,"",0)</f>
        <v>0</v>
      </c>
      <c r="K1446" s="36" t="str">
        <f>IF(AND(_xlfn.XLOOKUP(C1446,'Project Details'!$C$17:$C$66,'Project Details'!$L$17:$L$66,"",0)&gt;550, F1446="Spring-L27cm"),"",SUBSTITUTE(_xlfn.XLOOKUP(G1446,SKUs!$C$2:$C$10001,SKUs!$F$2:$F$10001,"",0), " Accessories",""))</f>
        <v/>
      </c>
      <c r="L1446" s="36">
        <f>_xlfn.XLOOKUP(C1446,'Project Details'!$C$17:$C$66,'Project Details'!$D$17:$D$66,"",0)</f>
        <v>0</v>
      </c>
      <c r="M1446" s="43"/>
    </row>
    <row r="1447" spans="1:13" ht="13.5" customHeight="1" outlineLevel="1" x14ac:dyDescent="0.25">
      <c r="A1447" s="43"/>
      <c r="B1447" s="43"/>
      <c r="C1447" s="16">
        <f t="shared" si="27"/>
        <v>29</v>
      </c>
      <c r="D1447" s="16" t="str" cm="1">
        <f t="array" ref="D1447">IFERROR(ROUNDUP(_xlfn.IFS(F1447="Aluminum Track", _xlfn.XLOOKUP(C1447, dd_accsrycalc!$A$2:$A$51, dd_accsrycalc!$B$2:$B$51, "",0), F1447="10 x 2 1/2 S (Flat)", _xlfn.XLOOKUP(C1447, dd_accsrycalc!$A$2:$A$51, dd_accsrycalc!$C$2:$C$51, "",0), F1447="Tox6", _xlfn.XLOOKUP(C1447, dd_accsrycalc!$A$2:$A$51, dd_accsrycalc!$D$2:$D$51, "",0), F1447="Cover Cap", _xlfn.XLOOKUP(C1447, dd_accsrycalc!$A$2:$A$51, dd_accsrycalc!$E$2:$E$51, "",0), F1447="Drainage Cover", _xlfn.XLOOKUP(C1447, dd_accsrycalc!$A$2:$A$51, dd_accsrycalc!$F$2:$F$51, "",0),AND( F1447="Double Adhesive Tape", I1447="Roll-up Screen"), _xlfn.XLOOKUP(C1447, calc_rusacc!$C$15:$C$65, calc_rusacc!$AD$15:$AD$65, "",0),AND( F1447="Sealant", I1447="Roll-up Screen"), _xlfn.XLOOKUP(C1447, calc_rusacc!$C$15:$C$65, calc_rusacc!$AF$15:$AF$65, "",0),  AND( F1447="Main Chain", I1447="Accordion Screen"), _xlfn.XLOOKUP(C1447, calc_rusacc!$C$15:$C$65, calc_rusacc!$BF$15:$BF$65, "",0), AND( F1447="Sealant", I1447="Accordion Screen"), _xlfn.XLOOKUP(C1447, calc_rusacc!$C$15:$C$65, calc_rusacc!$BJ$15:$BJ$65, "",0),  F1447="Sealant", _xlfn.XLOOKUP(C1447, dd_accsrycalc!$A$2:$A$51, dd_accsrycalc!$G$2:$G$51, "",0),  F1447&lt;&gt;"",L1447*_xlfn.XLOOKUP(1, (SKUs!$C$2:$C$10001=G1447)*(SKUs!$K$2:$K$10001=I1447),SKUs!$E$2:$E$10001)), 0),"")</f>
        <v/>
      </c>
      <c r="E1447" s="16" t="str">
        <f>_xlfn.XLOOKUP(F1447,dd_item!$B$2:$B$105,dd_item!$C$2:$C$105,"",0)</f>
        <v/>
      </c>
      <c r="F1447" s="16"/>
      <c r="G1447" s="16" cm="1">
        <f t="array" ref="G1447">IFERROR(_xlfn.XLOOKUP(1, (SKUs!$J$2:$J$10001=accsry_unmerged!F1447)*IF(H1447&lt;&gt;"",(SKUs!$L$2:$L$10001=accsry_unmerged!H1447),1)*(SKUs!$K$2:$K$10001=I1447),SKUs!$C$2:$C$10001),"")</f>
        <v>0</v>
      </c>
      <c r="H1447" s="33" cm="1">
        <f t="array" ref="H1447">IFERROR(_xlfn.XLOOKUP(1, (dd_accsryclr!$C$2:$C$1000=accsry_unmerged!F1447)*(dd_accsryclr!$B$2:$B$1000=accsry_unmerged!J1447),dd_accsryclr!$A$2:$A$1000),"")</f>
        <v>0</v>
      </c>
      <c r="I1447" s="16">
        <f>_xlfn.XLOOKUP(C1447,'Project Details'!$C$17:$C$66,'Project Details'!$E$17:$E$66,"",0)</f>
        <v>0</v>
      </c>
      <c r="J1447" s="16">
        <f>_xlfn.XLOOKUP(C1447,'Project Details'!$C$17:$C$66,'Project Details'!$H$17:$H$66,"",0)</f>
        <v>0</v>
      </c>
      <c r="K1447" s="33" t="str">
        <f>IF(AND(_xlfn.XLOOKUP(C1447,'Project Details'!$C$17:$C$66,'Project Details'!$L$17:$L$66,"",0)&gt;550, F1447="Spring-L27cm"),"",SUBSTITUTE(_xlfn.XLOOKUP(G1447,SKUs!$C$2:$C$10001,SKUs!$F$2:$F$10001,"",0), " Accessories",""))</f>
        <v/>
      </c>
      <c r="L1447" s="33">
        <f>_xlfn.XLOOKUP(C1447,'Project Details'!$C$17:$C$66,'Project Details'!$D$17:$D$66,"",0)</f>
        <v>0</v>
      </c>
      <c r="M1447" s="43"/>
    </row>
    <row r="1448" spans="1:13" ht="13.5" customHeight="1" outlineLevel="1" x14ac:dyDescent="0.25">
      <c r="A1448" s="43"/>
      <c r="B1448" s="43"/>
      <c r="C1448" s="35">
        <f t="shared" si="27"/>
        <v>29</v>
      </c>
      <c r="D1448" s="35" t="str" cm="1">
        <f t="array" ref="D1448">IFERROR(ROUNDUP(_xlfn.IFS(F1448="Aluminum Track", _xlfn.XLOOKUP(C1448, dd_accsrycalc!$A$2:$A$51, dd_accsrycalc!$B$2:$B$51, "",0), F1448="10 x 2 1/2 S (Flat)", _xlfn.XLOOKUP(C1448, dd_accsrycalc!$A$2:$A$51, dd_accsrycalc!$C$2:$C$51, "",0), F1448="Tox6", _xlfn.XLOOKUP(C1448, dd_accsrycalc!$A$2:$A$51, dd_accsrycalc!$D$2:$D$51, "",0), F1448="Cover Cap", _xlfn.XLOOKUP(C1448, dd_accsrycalc!$A$2:$A$51, dd_accsrycalc!$E$2:$E$51, "",0), F1448="Drainage Cover", _xlfn.XLOOKUP(C1448, dd_accsrycalc!$A$2:$A$51, dd_accsrycalc!$F$2:$F$51, "",0),AND( F1448="Double Adhesive Tape", I1448="Roll-up Screen"), _xlfn.XLOOKUP(C1448, calc_rusacc!$C$15:$C$65, calc_rusacc!$AD$15:$AD$65, "",0),AND( F1448="Sealant", I1448="Roll-up Screen"), _xlfn.XLOOKUP(C1448, calc_rusacc!$C$15:$C$65, calc_rusacc!$AF$15:$AF$65, "",0),  AND( F1448="Main Chain", I1448="Accordion Screen"), _xlfn.XLOOKUP(C1448, calc_rusacc!$C$15:$C$65, calc_rusacc!$BF$15:$BF$65, "",0), AND( F1448="Sealant", I1448="Accordion Screen"), _xlfn.XLOOKUP(C1448, calc_rusacc!$C$15:$C$65, calc_rusacc!$BJ$15:$BJ$65, "",0),  F1448="Sealant", _xlfn.XLOOKUP(C1448, dd_accsrycalc!$A$2:$A$51, dd_accsrycalc!$G$2:$G$51, "",0),  F1448&lt;&gt;"",L1448*_xlfn.XLOOKUP(1, (SKUs!$C$2:$C$10001=G1448)*(SKUs!$K$2:$K$10001=I1448),SKUs!$E$2:$E$10001)), 0),"")</f>
        <v/>
      </c>
      <c r="E1448" s="35" t="str">
        <f>_xlfn.XLOOKUP(F1448,dd_item!$B$2:$B$105,dd_item!$C$2:$C$105,"",0)</f>
        <v/>
      </c>
      <c r="F1448" s="35"/>
      <c r="G1448" s="35" cm="1">
        <f t="array" ref="G1448">IFERROR(_xlfn.XLOOKUP(1, (SKUs!$J$2:$J$10001=accsry_unmerged!F1448)*IF(H1448&lt;&gt;"",(SKUs!$L$2:$L$10001=accsry_unmerged!H1448),1)*(SKUs!$K$2:$K$10001=I1448),SKUs!$C$2:$C$10001),"")</f>
        <v>0</v>
      </c>
      <c r="H1448" s="36" cm="1">
        <f t="array" ref="H1448">IFERROR(_xlfn.XLOOKUP(1, (dd_accsryclr!$C$2:$C$1000=accsry_unmerged!F1448)*(dd_accsryclr!$B$2:$B$1000=accsry_unmerged!J1448),dd_accsryclr!$A$2:$A$1000),"")</f>
        <v>0</v>
      </c>
      <c r="I1448" s="35">
        <f>_xlfn.XLOOKUP(C1448,'Project Details'!$C$17:$C$66,'Project Details'!$E$17:$E$66,"",0)</f>
        <v>0</v>
      </c>
      <c r="J1448" s="35">
        <f>_xlfn.XLOOKUP(C1448,'Project Details'!$C$17:$C$66,'Project Details'!$H$17:$H$66,"",0)</f>
        <v>0</v>
      </c>
      <c r="K1448" s="36" t="str">
        <f>IF(AND(_xlfn.XLOOKUP(C1448,'Project Details'!$C$17:$C$66,'Project Details'!$L$17:$L$66,"",0)&gt;550, F1448="Spring-L27cm"),"",SUBSTITUTE(_xlfn.XLOOKUP(G1448,SKUs!$C$2:$C$10001,SKUs!$F$2:$F$10001,"",0), " Accessories",""))</f>
        <v/>
      </c>
      <c r="L1448" s="36">
        <f>_xlfn.XLOOKUP(C1448,'Project Details'!$C$17:$C$66,'Project Details'!$D$17:$D$66,"",0)</f>
        <v>0</v>
      </c>
      <c r="M1448" s="43"/>
    </row>
    <row r="1449" spans="1:13" ht="13.5" customHeight="1" outlineLevel="1" x14ac:dyDescent="0.25">
      <c r="A1449" s="43"/>
      <c r="B1449" s="43"/>
      <c r="C1449" s="16">
        <f t="shared" si="27"/>
        <v>29</v>
      </c>
      <c r="D1449" s="16" t="str" cm="1">
        <f t="array" ref="D1449">IFERROR(ROUNDUP(_xlfn.IFS(F1449="Aluminum Track", _xlfn.XLOOKUP(C1449, dd_accsrycalc!$A$2:$A$51, dd_accsrycalc!$B$2:$B$51, "",0), F1449="10 x 2 1/2 S (Flat)", _xlfn.XLOOKUP(C1449, dd_accsrycalc!$A$2:$A$51, dd_accsrycalc!$C$2:$C$51, "",0), F1449="Tox6", _xlfn.XLOOKUP(C1449, dd_accsrycalc!$A$2:$A$51, dd_accsrycalc!$D$2:$D$51, "",0), F1449="Cover Cap", _xlfn.XLOOKUP(C1449, dd_accsrycalc!$A$2:$A$51, dd_accsrycalc!$E$2:$E$51, "",0), F1449="Drainage Cover", _xlfn.XLOOKUP(C1449, dd_accsrycalc!$A$2:$A$51, dd_accsrycalc!$F$2:$F$51, "",0),AND( F1449="Double Adhesive Tape", I1449="Roll-up Screen"), _xlfn.XLOOKUP(C1449, calc_rusacc!$C$15:$C$65, calc_rusacc!$AD$15:$AD$65, "",0),AND( F1449="Sealant", I1449="Roll-up Screen"), _xlfn.XLOOKUP(C1449, calc_rusacc!$C$15:$C$65, calc_rusacc!$AF$15:$AF$65, "",0),  AND( F1449="Main Chain", I1449="Accordion Screen"), _xlfn.XLOOKUP(C1449, calc_rusacc!$C$15:$C$65, calc_rusacc!$BF$15:$BF$65, "",0), AND( F1449="Sealant", I1449="Accordion Screen"), _xlfn.XLOOKUP(C1449, calc_rusacc!$C$15:$C$65, calc_rusacc!$BJ$15:$BJ$65, "",0),  F1449="Sealant", _xlfn.XLOOKUP(C1449, dd_accsrycalc!$A$2:$A$51, dd_accsrycalc!$G$2:$G$51, "",0),  F1449&lt;&gt;"",L1449*_xlfn.XLOOKUP(1, (SKUs!$C$2:$C$10001=G1449)*(SKUs!$K$2:$K$10001=I1449),SKUs!$E$2:$E$10001)), 0),"")</f>
        <v/>
      </c>
      <c r="E1449" s="16" t="str">
        <f>_xlfn.XLOOKUP(F1449,dd_item!$B$2:$B$105,dd_item!$C$2:$C$105,"",0)</f>
        <v/>
      </c>
      <c r="F1449" s="16"/>
      <c r="G1449" s="16" cm="1">
        <f t="array" ref="G1449">IFERROR(_xlfn.XLOOKUP(1, (SKUs!$J$2:$J$10001=accsry_unmerged!F1449)*IF(H1449&lt;&gt;"",(SKUs!$L$2:$L$10001=accsry_unmerged!H1449),1)*(SKUs!$K$2:$K$10001=I1449),SKUs!$C$2:$C$10001),"")</f>
        <v>0</v>
      </c>
      <c r="H1449" s="33" cm="1">
        <f t="array" ref="H1449">IFERROR(_xlfn.XLOOKUP(1, (dd_accsryclr!$C$2:$C$1000=accsry_unmerged!F1449)*(dd_accsryclr!$B$2:$B$1000=accsry_unmerged!J1449),dd_accsryclr!$A$2:$A$1000),"")</f>
        <v>0</v>
      </c>
      <c r="I1449" s="16">
        <f>_xlfn.XLOOKUP(C1449,'Project Details'!$C$17:$C$66,'Project Details'!$E$17:$E$66,"",0)</f>
        <v>0</v>
      </c>
      <c r="J1449" s="16">
        <f>_xlfn.XLOOKUP(C1449,'Project Details'!$C$17:$C$66,'Project Details'!$H$17:$H$66,"",0)</f>
        <v>0</v>
      </c>
      <c r="K1449" s="33" t="str">
        <f>IF(AND(_xlfn.XLOOKUP(C1449,'Project Details'!$C$17:$C$66,'Project Details'!$L$17:$L$66,"",0)&gt;550, F1449="Spring-L27cm"),"",SUBSTITUTE(_xlfn.XLOOKUP(G1449,SKUs!$C$2:$C$10001,SKUs!$F$2:$F$10001,"",0), " Accessories",""))</f>
        <v/>
      </c>
      <c r="L1449" s="33">
        <f>_xlfn.XLOOKUP(C1449,'Project Details'!$C$17:$C$66,'Project Details'!$D$17:$D$66,"",0)</f>
        <v>0</v>
      </c>
      <c r="M1449" s="43"/>
    </row>
    <row r="1450" spans="1:13" ht="13.5" customHeight="1" outlineLevel="1" x14ac:dyDescent="0.25">
      <c r="A1450" s="43"/>
      <c r="B1450" s="43"/>
      <c r="C1450" s="35">
        <f t="shared" si="27"/>
        <v>29</v>
      </c>
      <c r="D1450" s="35" t="str" cm="1">
        <f t="array" ref="D1450">IFERROR(ROUNDUP(_xlfn.IFS(F1450="Aluminum Track", _xlfn.XLOOKUP(C1450, dd_accsrycalc!$A$2:$A$51, dd_accsrycalc!$B$2:$B$51, "",0), F1450="10 x 2 1/2 S (Flat)", _xlfn.XLOOKUP(C1450, dd_accsrycalc!$A$2:$A$51, dd_accsrycalc!$C$2:$C$51, "",0), F1450="Tox6", _xlfn.XLOOKUP(C1450, dd_accsrycalc!$A$2:$A$51, dd_accsrycalc!$D$2:$D$51, "",0), F1450="Cover Cap", _xlfn.XLOOKUP(C1450, dd_accsrycalc!$A$2:$A$51, dd_accsrycalc!$E$2:$E$51, "",0), F1450="Drainage Cover", _xlfn.XLOOKUP(C1450, dd_accsrycalc!$A$2:$A$51, dd_accsrycalc!$F$2:$F$51, "",0),AND( F1450="Double Adhesive Tape", I1450="Roll-up Screen"), _xlfn.XLOOKUP(C1450, calc_rusacc!$C$15:$C$65, calc_rusacc!$AD$15:$AD$65, "",0),AND( F1450="Sealant", I1450="Roll-up Screen"), _xlfn.XLOOKUP(C1450, calc_rusacc!$C$15:$C$65, calc_rusacc!$AF$15:$AF$65, "",0),  AND( F1450="Main Chain", I1450="Accordion Screen"), _xlfn.XLOOKUP(C1450, calc_rusacc!$C$15:$C$65, calc_rusacc!$BF$15:$BF$65, "",0), AND( F1450="Sealant", I1450="Accordion Screen"), _xlfn.XLOOKUP(C1450, calc_rusacc!$C$15:$C$65, calc_rusacc!$BJ$15:$BJ$65, "",0),  F1450="Sealant", _xlfn.XLOOKUP(C1450, dd_accsrycalc!$A$2:$A$51, dd_accsrycalc!$G$2:$G$51, "",0),  F1450&lt;&gt;"",L1450*_xlfn.XLOOKUP(1, (SKUs!$C$2:$C$10001=G1450)*(SKUs!$K$2:$K$10001=I1450),SKUs!$E$2:$E$10001)), 0),"")</f>
        <v/>
      </c>
      <c r="E1450" s="35" t="str">
        <f>_xlfn.XLOOKUP(F1450,dd_item!$B$2:$B$105,dd_item!$C$2:$C$105,"",0)</f>
        <v/>
      </c>
      <c r="F1450" s="35"/>
      <c r="G1450" s="35" cm="1">
        <f t="array" ref="G1450">IFERROR(_xlfn.XLOOKUP(1, (SKUs!$J$2:$J$10001=accsry_unmerged!F1450)*IF(H1450&lt;&gt;"",(SKUs!$L$2:$L$10001=accsry_unmerged!H1450),1)*(SKUs!$K$2:$K$10001=I1450),SKUs!$C$2:$C$10001),"")</f>
        <v>0</v>
      </c>
      <c r="H1450" s="36" cm="1">
        <f t="array" ref="H1450">IFERROR(_xlfn.XLOOKUP(1, (dd_accsryclr!$C$2:$C$1000=accsry_unmerged!F1450)*(dd_accsryclr!$B$2:$B$1000=accsry_unmerged!J1450),dd_accsryclr!$A$2:$A$1000),"")</f>
        <v>0</v>
      </c>
      <c r="I1450" s="35">
        <f>_xlfn.XLOOKUP(C1450,'Project Details'!$C$17:$C$66,'Project Details'!$E$17:$E$66,"",0)</f>
        <v>0</v>
      </c>
      <c r="J1450" s="35">
        <f>_xlfn.XLOOKUP(C1450,'Project Details'!$C$17:$C$66,'Project Details'!$H$17:$H$66,"",0)</f>
        <v>0</v>
      </c>
      <c r="K1450" s="36" t="str">
        <f>IF(AND(_xlfn.XLOOKUP(C1450,'Project Details'!$C$17:$C$66,'Project Details'!$L$17:$L$66,"",0)&gt;550, F1450="Spring-L27cm"),"",SUBSTITUTE(_xlfn.XLOOKUP(G1450,SKUs!$C$2:$C$10001,SKUs!$F$2:$F$10001,"",0), " Accessories",""))</f>
        <v/>
      </c>
      <c r="L1450" s="36">
        <f>_xlfn.XLOOKUP(C1450,'Project Details'!$C$17:$C$66,'Project Details'!$D$17:$D$66,"",0)</f>
        <v>0</v>
      </c>
      <c r="M1450" s="43"/>
    </row>
    <row r="1451" spans="1:13" ht="13.5" customHeight="1" outlineLevel="1" x14ac:dyDescent="0.25">
      <c r="A1451" s="43"/>
      <c r="B1451" s="43"/>
      <c r="C1451" s="16">
        <f t="shared" si="27"/>
        <v>29</v>
      </c>
      <c r="D1451" s="16" t="str" cm="1">
        <f t="array" ref="D1451">IFERROR(ROUNDUP(_xlfn.IFS(F1451="Aluminum Track", _xlfn.XLOOKUP(C1451, dd_accsrycalc!$A$2:$A$51, dd_accsrycalc!$B$2:$B$51, "",0), F1451="10 x 2 1/2 S (Flat)", _xlfn.XLOOKUP(C1451, dd_accsrycalc!$A$2:$A$51, dd_accsrycalc!$C$2:$C$51, "",0), F1451="Tox6", _xlfn.XLOOKUP(C1451, dd_accsrycalc!$A$2:$A$51, dd_accsrycalc!$D$2:$D$51, "",0), F1451="Cover Cap", _xlfn.XLOOKUP(C1451, dd_accsrycalc!$A$2:$A$51, dd_accsrycalc!$E$2:$E$51, "",0), F1451="Drainage Cover", _xlfn.XLOOKUP(C1451, dd_accsrycalc!$A$2:$A$51, dd_accsrycalc!$F$2:$F$51, "",0),AND( F1451="Double Adhesive Tape", I1451="Roll-up Screen"), _xlfn.XLOOKUP(C1451, calc_rusacc!$C$15:$C$65, calc_rusacc!$AD$15:$AD$65, "",0),AND( F1451="Sealant", I1451="Roll-up Screen"), _xlfn.XLOOKUP(C1451, calc_rusacc!$C$15:$C$65, calc_rusacc!$AF$15:$AF$65, "",0),  AND( F1451="Main Chain", I1451="Accordion Screen"), _xlfn.XLOOKUP(C1451, calc_rusacc!$C$15:$C$65, calc_rusacc!$BF$15:$BF$65, "",0), AND( F1451="Sealant", I1451="Accordion Screen"), _xlfn.XLOOKUP(C1451, calc_rusacc!$C$15:$C$65, calc_rusacc!$BJ$15:$BJ$65, "",0),  F1451="Sealant", _xlfn.XLOOKUP(C1451, dd_accsrycalc!$A$2:$A$51, dd_accsrycalc!$G$2:$G$51, "",0),  F1451&lt;&gt;"",L1451*_xlfn.XLOOKUP(1, (SKUs!$C$2:$C$10001=G1451)*(SKUs!$K$2:$K$10001=I1451),SKUs!$E$2:$E$10001)), 0),"")</f>
        <v/>
      </c>
      <c r="E1451" s="16" t="str">
        <f>_xlfn.XLOOKUP(F1451,dd_item!$B$2:$B$105,dd_item!$C$2:$C$105,"",0)</f>
        <v/>
      </c>
      <c r="F1451" s="16"/>
      <c r="G1451" s="16" cm="1">
        <f t="array" ref="G1451">IFERROR(_xlfn.XLOOKUP(1, (SKUs!$J$2:$J$10001=accsry_unmerged!F1451)*IF(H1451&lt;&gt;"",(SKUs!$L$2:$L$10001=accsry_unmerged!H1451),1)*(SKUs!$K$2:$K$10001=I1451),SKUs!$C$2:$C$10001),"")</f>
        <v>0</v>
      </c>
      <c r="H1451" s="33" cm="1">
        <f t="array" ref="H1451">IFERROR(_xlfn.XLOOKUP(1, (dd_accsryclr!$C$2:$C$1000=accsry_unmerged!F1451)*(dd_accsryclr!$B$2:$B$1000=accsry_unmerged!J1451),dd_accsryclr!$A$2:$A$1000),"")</f>
        <v>0</v>
      </c>
      <c r="I1451" s="16">
        <f>_xlfn.XLOOKUP(C1451,'Project Details'!$C$17:$C$66,'Project Details'!$E$17:$E$66,"",0)</f>
        <v>0</v>
      </c>
      <c r="J1451" s="16">
        <f>_xlfn.XLOOKUP(C1451,'Project Details'!$C$17:$C$66,'Project Details'!$H$17:$H$66,"",0)</f>
        <v>0</v>
      </c>
      <c r="K1451" s="33" t="str">
        <f>IF(AND(_xlfn.XLOOKUP(C1451,'Project Details'!$C$17:$C$66,'Project Details'!$L$17:$L$66,"",0)&gt;550, F1451="Spring-L27cm"),"",SUBSTITUTE(_xlfn.XLOOKUP(G1451,SKUs!$C$2:$C$10001,SKUs!$F$2:$F$10001,"",0), " Accessories",""))</f>
        <v/>
      </c>
      <c r="L1451" s="33">
        <f>_xlfn.XLOOKUP(C1451,'Project Details'!$C$17:$C$66,'Project Details'!$D$17:$D$66,"",0)</f>
        <v>0</v>
      </c>
      <c r="M1451" s="43"/>
    </row>
    <row r="1452" spans="1:13" ht="13.5" customHeight="1" outlineLevel="1" x14ac:dyDescent="0.25">
      <c r="A1452" s="43"/>
      <c r="B1452" s="43"/>
      <c r="C1452" s="35">
        <f t="shared" si="27"/>
        <v>29</v>
      </c>
      <c r="D1452" s="35" t="str" cm="1">
        <f t="array" ref="D1452">IFERROR(ROUNDUP(_xlfn.IFS(F1452="Aluminum Track", _xlfn.XLOOKUP(C1452, dd_accsrycalc!$A$2:$A$51, dd_accsrycalc!$B$2:$B$51, "",0), F1452="10 x 2 1/2 S (Flat)", _xlfn.XLOOKUP(C1452, dd_accsrycalc!$A$2:$A$51, dd_accsrycalc!$C$2:$C$51, "",0), F1452="Tox6", _xlfn.XLOOKUP(C1452, dd_accsrycalc!$A$2:$A$51, dd_accsrycalc!$D$2:$D$51, "",0), F1452="Cover Cap", _xlfn.XLOOKUP(C1452, dd_accsrycalc!$A$2:$A$51, dd_accsrycalc!$E$2:$E$51, "",0), F1452="Drainage Cover", _xlfn.XLOOKUP(C1452, dd_accsrycalc!$A$2:$A$51, dd_accsrycalc!$F$2:$F$51, "",0),AND( F1452="Double Adhesive Tape", I1452="Roll-up Screen"), _xlfn.XLOOKUP(C1452, calc_rusacc!$C$15:$C$65, calc_rusacc!$AD$15:$AD$65, "",0),AND( F1452="Sealant", I1452="Roll-up Screen"), _xlfn.XLOOKUP(C1452, calc_rusacc!$C$15:$C$65, calc_rusacc!$AF$15:$AF$65, "",0),  AND( F1452="Main Chain", I1452="Accordion Screen"), _xlfn.XLOOKUP(C1452, calc_rusacc!$C$15:$C$65, calc_rusacc!$BF$15:$BF$65, "",0), AND( F1452="Sealant", I1452="Accordion Screen"), _xlfn.XLOOKUP(C1452, calc_rusacc!$C$15:$C$65, calc_rusacc!$BJ$15:$BJ$65, "",0),  F1452="Sealant", _xlfn.XLOOKUP(C1452, dd_accsrycalc!$A$2:$A$51, dd_accsrycalc!$G$2:$G$51, "",0),  F1452&lt;&gt;"",L1452*_xlfn.XLOOKUP(1, (SKUs!$C$2:$C$10001=G1452)*(SKUs!$K$2:$K$10001=I1452),SKUs!$E$2:$E$10001)), 0),"")</f>
        <v/>
      </c>
      <c r="E1452" s="35" t="str">
        <f>_xlfn.XLOOKUP(F1452,dd_item!$B$2:$B$105,dd_item!$C$2:$C$105,"",0)</f>
        <v/>
      </c>
      <c r="F1452" s="35"/>
      <c r="G1452" s="35" cm="1">
        <f t="array" ref="G1452">IFERROR(_xlfn.XLOOKUP(1, (SKUs!$J$2:$J$10001=accsry_unmerged!F1452)*IF(H1452&lt;&gt;"",(SKUs!$L$2:$L$10001=accsry_unmerged!H1452),1)*(SKUs!$K$2:$K$10001=I1452),SKUs!$C$2:$C$10001),"")</f>
        <v>0</v>
      </c>
      <c r="H1452" s="36" cm="1">
        <f t="array" ref="H1452">IFERROR(_xlfn.XLOOKUP(1, (dd_accsryclr!$C$2:$C$1000=accsry_unmerged!F1452)*(dd_accsryclr!$B$2:$B$1000=accsry_unmerged!J1452),dd_accsryclr!$A$2:$A$1000),"")</f>
        <v>0</v>
      </c>
      <c r="I1452" s="35">
        <f>_xlfn.XLOOKUP(C1452,'Project Details'!$C$17:$C$66,'Project Details'!$E$17:$E$66,"",0)</f>
        <v>0</v>
      </c>
      <c r="J1452" s="35">
        <f>_xlfn.XLOOKUP(C1452,'Project Details'!$C$17:$C$66,'Project Details'!$H$17:$H$66,"",0)</f>
        <v>0</v>
      </c>
      <c r="K1452" s="36" t="str">
        <f>IF(AND(_xlfn.XLOOKUP(C1452,'Project Details'!$C$17:$C$66,'Project Details'!$L$17:$L$66,"",0)&gt;550, F1452="Spring-L27cm"),"",SUBSTITUTE(_xlfn.XLOOKUP(G1452,SKUs!$C$2:$C$10001,SKUs!$F$2:$F$10001,"",0), " Accessories",""))</f>
        <v/>
      </c>
      <c r="L1452" s="36">
        <f>_xlfn.XLOOKUP(C1452,'Project Details'!$C$17:$C$66,'Project Details'!$D$17:$D$66,"",0)</f>
        <v>0</v>
      </c>
      <c r="M1452" s="43"/>
    </row>
    <row r="1453" spans="1:13" ht="13.5" customHeight="1" outlineLevel="1" x14ac:dyDescent="0.25">
      <c r="A1453" s="43"/>
      <c r="B1453" s="43"/>
      <c r="C1453" s="16">
        <f t="shared" si="27"/>
        <v>29</v>
      </c>
      <c r="D1453" s="16" t="str" cm="1">
        <f t="array" ref="D1453">IFERROR(ROUNDUP(_xlfn.IFS(F1453="Aluminum Track", _xlfn.XLOOKUP(C1453, dd_accsrycalc!$A$2:$A$51, dd_accsrycalc!$B$2:$B$51, "",0), F1453="10 x 2 1/2 S (Flat)", _xlfn.XLOOKUP(C1453, dd_accsrycalc!$A$2:$A$51, dd_accsrycalc!$C$2:$C$51, "",0), F1453="Tox6", _xlfn.XLOOKUP(C1453, dd_accsrycalc!$A$2:$A$51, dd_accsrycalc!$D$2:$D$51, "",0), F1453="Cover Cap", _xlfn.XLOOKUP(C1453, dd_accsrycalc!$A$2:$A$51, dd_accsrycalc!$E$2:$E$51, "",0), F1453="Drainage Cover", _xlfn.XLOOKUP(C1453, dd_accsrycalc!$A$2:$A$51, dd_accsrycalc!$F$2:$F$51, "",0),AND( F1453="Double Adhesive Tape", I1453="Roll-up Screen"), _xlfn.XLOOKUP(C1453, calc_rusacc!$C$15:$C$65, calc_rusacc!$AD$15:$AD$65, "",0),AND( F1453="Sealant", I1453="Roll-up Screen"), _xlfn.XLOOKUP(C1453, calc_rusacc!$C$15:$C$65, calc_rusacc!$AF$15:$AF$65, "",0),  AND( F1453="Main Chain", I1453="Accordion Screen"), _xlfn.XLOOKUP(C1453, calc_rusacc!$C$15:$C$65, calc_rusacc!$BF$15:$BF$65, "",0), AND( F1453="Sealant", I1453="Accordion Screen"), _xlfn.XLOOKUP(C1453, calc_rusacc!$C$15:$C$65, calc_rusacc!$BJ$15:$BJ$65, "",0),  F1453="Sealant", _xlfn.XLOOKUP(C1453, dd_accsrycalc!$A$2:$A$51, dd_accsrycalc!$G$2:$G$51, "",0),  F1453&lt;&gt;"",L1453*_xlfn.XLOOKUP(1, (SKUs!$C$2:$C$10001=G1453)*(SKUs!$K$2:$K$10001=I1453),SKUs!$E$2:$E$10001)), 0),"")</f>
        <v/>
      </c>
      <c r="E1453" s="16" t="str">
        <f>_xlfn.XLOOKUP(F1453,dd_item!$B$2:$B$105,dd_item!$C$2:$C$105,"",0)</f>
        <v/>
      </c>
      <c r="F1453" s="16"/>
      <c r="G1453" s="16" cm="1">
        <f t="array" ref="G1453">IFERROR(_xlfn.XLOOKUP(1, (SKUs!$J$2:$J$10001=accsry_unmerged!F1453)*IF(H1453&lt;&gt;"",(SKUs!$L$2:$L$10001=accsry_unmerged!H1453),1)*(SKUs!$K$2:$K$10001=I1453),SKUs!$C$2:$C$10001),"")</f>
        <v>0</v>
      </c>
      <c r="H1453" s="33" cm="1">
        <f t="array" ref="H1453">IFERROR(_xlfn.XLOOKUP(1, (dd_accsryclr!$C$2:$C$1000=accsry_unmerged!F1453)*(dd_accsryclr!$B$2:$B$1000=accsry_unmerged!J1453),dd_accsryclr!$A$2:$A$1000),"")</f>
        <v>0</v>
      </c>
      <c r="I1453" s="16">
        <f>_xlfn.XLOOKUP(C1453,'Project Details'!$C$17:$C$66,'Project Details'!$E$17:$E$66,"",0)</f>
        <v>0</v>
      </c>
      <c r="J1453" s="16">
        <f>_xlfn.XLOOKUP(C1453,'Project Details'!$C$17:$C$66,'Project Details'!$H$17:$H$66,"",0)</f>
        <v>0</v>
      </c>
      <c r="K1453" s="33" t="str">
        <f>IF(AND(_xlfn.XLOOKUP(C1453,'Project Details'!$C$17:$C$66,'Project Details'!$L$17:$L$66,"",0)&gt;550, F1453="Spring-L27cm"),"",SUBSTITUTE(_xlfn.XLOOKUP(G1453,SKUs!$C$2:$C$10001,SKUs!$F$2:$F$10001,"",0), " Accessories",""))</f>
        <v/>
      </c>
      <c r="L1453" s="33">
        <f>_xlfn.XLOOKUP(C1453,'Project Details'!$C$17:$C$66,'Project Details'!$D$17:$D$66,"",0)</f>
        <v>0</v>
      </c>
      <c r="M1453" s="43"/>
    </row>
    <row r="1454" spans="1:13" ht="13.5" customHeight="1" outlineLevel="1" x14ac:dyDescent="0.25">
      <c r="A1454" s="43"/>
      <c r="B1454" s="43"/>
      <c r="C1454" s="35">
        <f t="shared" si="27"/>
        <v>29</v>
      </c>
      <c r="D1454" s="35" t="str" cm="1">
        <f t="array" ref="D1454">IFERROR(ROUNDUP(_xlfn.IFS(F1454="Aluminum Track", _xlfn.XLOOKUP(C1454, dd_accsrycalc!$A$2:$A$51, dd_accsrycalc!$B$2:$B$51, "",0), F1454="10 x 2 1/2 S (Flat)", _xlfn.XLOOKUP(C1454, dd_accsrycalc!$A$2:$A$51, dd_accsrycalc!$C$2:$C$51, "",0), F1454="Tox6", _xlfn.XLOOKUP(C1454, dd_accsrycalc!$A$2:$A$51, dd_accsrycalc!$D$2:$D$51, "",0), F1454="Cover Cap", _xlfn.XLOOKUP(C1454, dd_accsrycalc!$A$2:$A$51, dd_accsrycalc!$E$2:$E$51, "",0), F1454="Drainage Cover", _xlfn.XLOOKUP(C1454, dd_accsrycalc!$A$2:$A$51, dd_accsrycalc!$F$2:$F$51, "",0),AND( F1454="Double Adhesive Tape", I1454="Roll-up Screen"), _xlfn.XLOOKUP(C1454, calc_rusacc!$C$15:$C$65, calc_rusacc!$AD$15:$AD$65, "",0),AND( F1454="Sealant", I1454="Roll-up Screen"), _xlfn.XLOOKUP(C1454, calc_rusacc!$C$15:$C$65, calc_rusacc!$AF$15:$AF$65, "",0),  AND( F1454="Main Chain", I1454="Accordion Screen"), _xlfn.XLOOKUP(C1454, calc_rusacc!$C$15:$C$65, calc_rusacc!$BF$15:$BF$65, "",0), AND( F1454="Sealant", I1454="Accordion Screen"), _xlfn.XLOOKUP(C1454, calc_rusacc!$C$15:$C$65, calc_rusacc!$BJ$15:$BJ$65, "",0),  F1454="Sealant", _xlfn.XLOOKUP(C1454, dd_accsrycalc!$A$2:$A$51, dd_accsrycalc!$G$2:$G$51, "",0),  F1454&lt;&gt;"",L1454*_xlfn.XLOOKUP(1, (SKUs!$C$2:$C$10001=G1454)*(SKUs!$K$2:$K$10001=I1454),SKUs!$E$2:$E$10001)), 0),"")</f>
        <v/>
      </c>
      <c r="E1454" s="35" t="str">
        <f>_xlfn.XLOOKUP(F1454,dd_item!$B$2:$B$105,dd_item!$C$2:$C$105,"",0)</f>
        <v/>
      </c>
      <c r="F1454" s="35"/>
      <c r="G1454" s="35" cm="1">
        <f t="array" ref="G1454">IFERROR(_xlfn.XLOOKUP(1, (SKUs!$J$2:$J$10001=accsry_unmerged!F1454)*IF(H1454&lt;&gt;"",(SKUs!$L$2:$L$10001=accsry_unmerged!H1454),1)*(SKUs!$K$2:$K$10001=I1454),SKUs!$C$2:$C$10001),"")</f>
        <v>0</v>
      </c>
      <c r="H1454" s="36" cm="1">
        <f t="array" ref="H1454">IFERROR(_xlfn.XLOOKUP(1, (dd_accsryclr!$C$2:$C$1000=accsry_unmerged!F1454)*(dd_accsryclr!$B$2:$B$1000=accsry_unmerged!J1454),dd_accsryclr!$A$2:$A$1000),"")</f>
        <v>0</v>
      </c>
      <c r="I1454" s="35">
        <f>_xlfn.XLOOKUP(C1454,'Project Details'!$C$17:$C$66,'Project Details'!$E$17:$E$66,"",0)</f>
        <v>0</v>
      </c>
      <c r="J1454" s="35">
        <f>_xlfn.XLOOKUP(C1454,'Project Details'!$C$17:$C$66,'Project Details'!$H$17:$H$66,"",0)</f>
        <v>0</v>
      </c>
      <c r="K1454" s="36" t="str">
        <f>IF(AND(_xlfn.XLOOKUP(C1454,'Project Details'!$C$17:$C$66,'Project Details'!$L$17:$L$66,"",0)&gt;550, F1454="Spring-L27cm"),"",SUBSTITUTE(_xlfn.XLOOKUP(G1454,SKUs!$C$2:$C$10001,SKUs!$F$2:$F$10001,"",0), " Accessories",""))</f>
        <v/>
      </c>
      <c r="L1454" s="36">
        <f>_xlfn.XLOOKUP(C1454,'Project Details'!$C$17:$C$66,'Project Details'!$D$17:$D$66,"",0)</f>
        <v>0</v>
      </c>
      <c r="M1454" s="43"/>
    </row>
    <row r="1455" spans="1:13" ht="13.5" customHeight="1" outlineLevel="1" collapsed="1" x14ac:dyDescent="0.25">
      <c r="A1455" s="43"/>
      <c r="B1455" s="43"/>
      <c r="C1455" s="16">
        <f t="shared" si="27"/>
        <v>29</v>
      </c>
      <c r="D1455" s="16" t="str" cm="1">
        <f t="array" ref="D1455">IFERROR(ROUNDUP(_xlfn.IFS(F1455="Aluminum Track", _xlfn.XLOOKUP(C1455, dd_accsrycalc!$A$2:$A$51, dd_accsrycalc!$B$2:$B$51, "",0), F1455="10 x 2 1/2 S (Flat)", _xlfn.XLOOKUP(C1455, dd_accsrycalc!$A$2:$A$51, dd_accsrycalc!$C$2:$C$51, "",0), F1455="Tox6", _xlfn.XLOOKUP(C1455, dd_accsrycalc!$A$2:$A$51, dd_accsrycalc!$D$2:$D$51, "",0), F1455="Cover Cap", _xlfn.XLOOKUP(C1455, dd_accsrycalc!$A$2:$A$51, dd_accsrycalc!$E$2:$E$51, "",0), F1455="Drainage Cover", _xlfn.XLOOKUP(C1455, dd_accsrycalc!$A$2:$A$51, dd_accsrycalc!$F$2:$F$51, "",0),AND( F1455="Double Adhesive Tape", I1455="Roll-up Screen"), _xlfn.XLOOKUP(C1455, calc_rusacc!$C$15:$C$65, calc_rusacc!$AD$15:$AD$65, "",0),AND( F1455="Sealant", I1455="Roll-up Screen"), _xlfn.XLOOKUP(C1455, calc_rusacc!$C$15:$C$65, calc_rusacc!$AF$15:$AF$65, "",0),  AND( F1455="Main Chain", I1455="Accordion Screen"), _xlfn.XLOOKUP(C1455, calc_rusacc!$C$15:$C$65, calc_rusacc!$BF$15:$BF$65, "",0), AND( F1455="Sealant", I1455="Accordion Screen"), _xlfn.XLOOKUP(C1455, calc_rusacc!$C$15:$C$65, calc_rusacc!$BJ$15:$BJ$65, "",0),  F1455="Sealant", _xlfn.XLOOKUP(C1455, dd_accsrycalc!$A$2:$A$51, dd_accsrycalc!$G$2:$G$51, "",0),  F1455&lt;&gt;"",L1455*_xlfn.XLOOKUP(1, (SKUs!$C$2:$C$10001=G1455)*(SKUs!$K$2:$K$10001=I1455),SKUs!$E$2:$E$10001)), 0),"")</f>
        <v/>
      </c>
      <c r="E1455" s="16" t="str">
        <f>_xlfn.XLOOKUP(F1455,dd_item!$B$2:$B$105,dd_item!$C$2:$C$105,"",0)</f>
        <v/>
      </c>
      <c r="F1455" s="16"/>
      <c r="G1455" s="16" cm="1">
        <f t="array" ref="G1455">IFERROR(_xlfn.XLOOKUP(1, (SKUs!$J$2:$J$10001=accsry_unmerged!F1455)*IF(H1455&lt;&gt;"",(SKUs!$L$2:$L$10001=accsry_unmerged!H1455),1)*(SKUs!$K$2:$K$10001=I1455),SKUs!$C$2:$C$10001),"")</f>
        <v>0</v>
      </c>
      <c r="H1455" s="33" cm="1">
        <f t="array" ref="H1455">IFERROR(_xlfn.XLOOKUP(1, (dd_accsryclr!$C$2:$C$1000=accsry_unmerged!F1455)*(dd_accsryclr!$B$2:$B$1000=accsry_unmerged!J1455),dd_accsryclr!$A$2:$A$1000),"")</f>
        <v>0</v>
      </c>
      <c r="I1455" s="16">
        <f>_xlfn.XLOOKUP(C1455,'Project Details'!$C$17:$C$66,'Project Details'!$E$17:$E$66,"",0)</f>
        <v>0</v>
      </c>
      <c r="J1455" s="16">
        <f>_xlfn.XLOOKUP(C1455,'Project Details'!$C$17:$C$66,'Project Details'!$H$17:$H$66,"",0)</f>
        <v>0</v>
      </c>
      <c r="K1455" s="33" t="str">
        <f>IF(AND(_xlfn.XLOOKUP(C1455,'Project Details'!$C$17:$C$66,'Project Details'!$L$17:$L$66,"",0)&gt;550, F1455="Spring-L27cm"),"",SUBSTITUTE(_xlfn.XLOOKUP(G1455,SKUs!$C$2:$C$10001,SKUs!$F$2:$F$10001,"",0), " Accessories",""))</f>
        <v/>
      </c>
      <c r="L1455" s="33">
        <f>_xlfn.XLOOKUP(C1455,'Project Details'!$C$17:$C$66,'Project Details'!$D$17:$D$66,"",0)</f>
        <v>0</v>
      </c>
      <c r="M1455" s="43"/>
    </row>
    <row r="1456" spans="1:13" ht="13.5" customHeight="1" outlineLevel="1" x14ac:dyDescent="0.25">
      <c r="A1456" s="43"/>
      <c r="B1456" s="43"/>
      <c r="C1456" s="35">
        <f t="shared" si="27"/>
        <v>29</v>
      </c>
      <c r="D1456" s="35" t="str" cm="1">
        <f t="array" ref="D1456">IFERROR(ROUNDUP(_xlfn.IFS(F1456="Aluminum Track", _xlfn.XLOOKUP(C1456, dd_accsrycalc!$A$2:$A$51, dd_accsrycalc!$B$2:$B$51, "",0), F1456="10 x 2 1/2 S (Flat)", _xlfn.XLOOKUP(C1456, dd_accsrycalc!$A$2:$A$51, dd_accsrycalc!$C$2:$C$51, "",0), F1456="Tox6", _xlfn.XLOOKUP(C1456, dd_accsrycalc!$A$2:$A$51, dd_accsrycalc!$D$2:$D$51, "",0), F1456="Cover Cap", _xlfn.XLOOKUP(C1456, dd_accsrycalc!$A$2:$A$51, dd_accsrycalc!$E$2:$E$51, "",0), F1456="Drainage Cover", _xlfn.XLOOKUP(C1456, dd_accsrycalc!$A$2:$A$51, dd_accsrycalc!$F$2:$F$51, "",0),AND( F1456="Double Adhesive Tape", I1456="Roll-up Screen"), _xlfn.XLOOKUP(C1456, calc_rusacc!$C$15:$C$65, calc_rusacc!$AD$15:$AD$65, "",0),AND( F1456="Sealant", I1456="Roll-up Screen"), _xlfn.XLOOKUP(C1456, calc_rusacc!$C$15:$C$65, calc_rusacc!$AF$15:$AF$65, "",0),  AND( F1456="Main Chain", I1456="Accordion Screen"), _xlfn.XLOOKUP(C1456, calc_rusacc!$C$15:$C$65, calc_rusacc!$BF$15:$BF$65, "",0), AND( F1456="Sealant", I1456="Accordion Screen"), _xlfn.XLOOKUP(C1456, calc_rusacc!$C$15:$C$65, calc_rusacc!$BJ$15:$BJ$65, "",0),  F1456="Sealant", _xlfn.XLOOKUP(C1456, dd_accsrycalc!$A$2:$A$51, dd_accsrycalc!$G$2:$G$51, "",0),  F1456&lt;&gt;"",L1456*_xlfn.XLOOKUP(1, (SKUs!$C$2:$C$10001=G1456)*(SKUs!$K$2:$K$10001=I1456),SKUs!$E$2:$E$10001)), 0),"")</f>
        <v/>
      </c>
      <c r="E1456" s="35" t="str">
        <f>_xlfn.XLOOKUP(F1456,dd_item!$B$2:$B$105,dd_item!$C$2:$C$105,"",0)</f>
        <v/>
      </c>
      <c r="F1456" s="35"/>
      <c r="G1456" s="35" cm="1">
        <f t="array" ref="G1456">IFERROR(_xlfn.XLOOKUP(1, (SKUs!$J$2:$J$10001=accsry_unmerged!F1456)*IF(H1456&lt;&gt;"",(SKUs!$L$2:$L$10001=accsry_unmerged!H1456),1)*(SKUs!$K$2:$K$10001=I1456),SKUs!$C$2:$C$10001),"")</f>
        <v>0</v>
      </c>
      <c r="H1456" s="36" cm="1">
        <f t="array" ref="H1456">IFERROR(_xlfn.XLOOKUP(1, (dd_accsryclr!$C$2:$C$1000=accsry_unmerged!F1456)*(dd_accsryclr!$B$2:$B$1000=accsry_unmerged!J1456),dd_accsryclr!$A$2:$A$1000),"")</f>
        <v>0</v>
      </c>
      <c r="I1456" s="35">
        <f>_xlfn.XLOOKUP(C1456,'Project Details'!$C$17:$C$66,'Project Details'!$E$17:$E$66,"",0)</f>
        <v>0</v>
      </c>
      <c r="J1456" s="35">
        <f>_xlfn.XLOOKUP(C1456,'Project Details'!$C$17:$C$66,'Project Details'!$H$17:$H$66,"",0)</f>
        <v>0</v>
      </c>
      <c r="K1456" s="36" t="str">
        <f>IF(AND(_xlfn.XLOOKUP(C1456,'Project Details'!$C$17:$C$66,'Project Details'!$L$17:$L$66,"",0)&gt;550, F1456="Spring-L27cm"),"",SUBSTITUTE(_xlfn.XLOOKUP(G1456,SKUs!$C$2:$C$10001,SKUs!$F$2:$F$10001,"",0), " Accessories",""))</f>
        <v/>
      </c>
      <c r="L1456" s="36">
        <f>_xlfn.XLOOKUP(C1456,'Project Details'!$C$17:$C$66,'Project Details'!$D$17:$D$66,"",0)</f>
        <v>0</v>
      </c>
      <c r="M1456" s="43"/>
    </row>
    <row r="1457" spans="1:13" ht="13.5" customHeight="1" outlineLevel="1" x14ac:dyDescent="0.25">
      <c r="A1457" s="43"/>
      <c r="B1457" s="43"/>
      <c r="C1457" s="16">
        <f t="shared" si="27"/>
        <v>29</v>
      </c>
      <c r="D1457" s="16" t="str" cm="1">
        <f t="array" ref="D1457">IFERROR(ROUNDUP(_xlfn.IFS(F1457="Aluminum Track", _xlfn.XLOOKUP(C1457, dd_accsrycalc!$A$2:$A$51, dd_accsrycalc!$B$2:$B$51, "",0), F1457="10 x 2 1/2 S (Flat)", _xlfn.XLOOKUP(C1457, dd_accsrycalc!$A$2:$A$51, dd_accsrycalc!$C$2:$C$51, "",0), F1457="Tox6", _xlfn.XLOOKUP(C1457, dd_accsrycalc!$A$2:$A$51, dd_accsrycalc!$D$2:$D$51, "",0), F1457="Cover Cap", _xlfn.XLOOKUP(C1457, dd_accsrycalc!$A$2:$A$51, dd_accsrycalc!$E$2:$E$51, "",0), F1457="Drainage Cover", _xlfn.XLOOKUP(C1457, dd_accsrycalc!$A$2:$A$51, dd_accsrycalc!$F$2:$F$51, "",0),AND( F1457="Double Adhesive Tape", I1457="Roll-up Screen"), _xlfn.XLOOKUP(C1457, calc_rusacc!$C$15:$C$65, calc_rusacc!$AD$15:$AD$65, "",0),AND( F1457="Sealant", I1457="Roll-up Screen"), _xlfn.XLOOKUP(C1457, calc_rusacc!$C$15:$C$65, calc_rusacc!$AF$15:$AF$65, "",0),  AND( F1457="Main Chain", I1457="Accordion Screen"), _xlfn.XLOOKUP(C1457, calc_rusacc!$C$15:$C$65, calc_rusacc!$BF$15:$BF$65, "",0), AND( F1457="Sealant", I1457="Accordion Screen"), _xlfn.XLOOKUP(C1457, calc_rusacc!$C$15:$C$65, calc_rusacc!$BJ$15:$BJ$65, "",0),  F1457="Sealant", _xlfn.XLOOKUP(C1457, dd_accsrycalc!$A$2:$A$51, dd_accsrycalc!$G$2:$G$51, "",0),  F1457&lt;&gt;"",L1457*_xlfn.XLOOKUP(1, (SKUs!$C$2:$C$10001=G1457)*(SKUs!$K$2:$K$10001=I1457),SKUs!$E$2:$E$10001)), 0),"")</f>
        <v/>
      </c>
      <c r="E1457" s="16" t="str">
        <f>_xlfn.XLOOKUP(F1457,dd_item!$B$2:$B$105,dd_item!$C$2:$C$105,"",0)</f>
        <v/>
      </c>
      <c r="F1457" s="16"/>
      <c r="G1457" s="16" cm="1">
        <f t="array" ref="G1457">IFERROR(_xlfn.XLOOKUP(1, (SKUs!$J$2:$J$10001=accsry_unmerged!F1457)*IF(H1457&lt;&gt;"",(SKUs!$L$2:$L$10001=accsry_unmerged!H1457),1)*(SKUs!$K$2:$K$10001=I1457),SKUs!$C$2:$C$10001),"")</f>
        <v>0</v>
      </c>
      <c r="H1457" s="33" cm="1">
        <f t="array" ref="H1457">IFERROR(_xlfn.XLOOKUP(1, (dd_accsryclr!$C$2:$C$1000=accsry_unmerged!F1457)*(dd_accsryclr!$B$2:$B$1000=accsry_unmerged!J1457),dd_accsryclr!$A$2:$A$1000),"")</f>
        <v>0</v>
      </c>
      <c r="I1457" s="16">
        <f>_xlfn.XLOOKUP(C1457,'Project Details'!$C$17:$C$66,'Project Details'!$E$17:$E$66,"",0)</f>
        <v>0</v>
      </c>
      <c r="J1457" s="16">
        <f>_xlfn.XLOOKUP(C1457,'Project Details'!$C$17:$C$66,'Project Details'!$H$17:$H$66,"",0)</f>
        <v>0</v>
      </c>
      <c r="K1457" s="33" t="str">
        <f>IF(AND(_xlfn.XLOOKUP(C1457,'Project Details'!$C$17:$C$66,'Project Details'!$L$17:$L$66,"",0)&gt;550, F1457="Spring-L27cm"),"",SUBSTITUTE(_xlfn.XLOOKUP(G1457,SKUs!$C$2:$C$10001,SKUs!$F$2:$F$10001,"",0), " Accessories",""))</f>
        <v/>
      </c>
      <c r="L1457" s="33">
        <f>_xlfn.XLOOKUP(C1457,'Project Details'!$C$17:$C$66,'Project Details'!$D$17:$D$66,"",0)</f>
        <v>0</v>
      </c>
      <c r="M1457" s="43"/>
    </row>
    <row r="1458" spans="1:13" ht="13.5" customHeight="1" outlineLevel="1" x14ac:dyDescent="0.25">
      <c r="A1458" s="43"/>
      <c r="B1458" s="43"/>
      <c r="C1458" s="35">
        <f t="shared" si="27"/>
        <v>29</v>
      </c>
      <c r="D1458" s="35" t="str" cm="1">
        <f t="array" ref="D1458">IFERROR(ROUNDUP(_xlfn.IFS(F1458="Aluminum Track", _xlfn.XLOOKUP(C1458, dd_accsrycalc!$A$2:$A$51, dd_accsrycalc!$B$2:$B$51, "",0), F1458="10 x 2 1/2 S (Flat)", _xlfn.XLOOKUP(C1458, dd_accsrycalc!$A$2:$A$51, dd_accsrycalc!$C$2:$C$51, "",0), F1458="Tox6", _xlfn.XLOOKUP(C1458, dd_accsrycalc!$A$2:$A$51, dd_accsrycalc!$D$2:$D$51, "",0), F1458="Cover Cap", _xlfn.XLOOKUP(C1458, dd_accsrycalc!$A$2:$A$51, dd_accsrycalc!$E$2:$E$51, "",0), F1458="Drainage Cover", _xlfn.XLOOKUP(C1458, dd_accsrycalc!$A$2:$A$51, dd_accsrycalc!$F$2:$F$51, "",0),AND( F1458="Double Adhesive Tape", I1458="Roll-up Screen"), _xlfn.XLOOKUP(C1458, calc_rusacc!$C$15:$C$65, calc_rusacc!$AD$15:$AD$65, "",0),AND( F1458="Sealant", I1458="Roll-up Screen"), _xlfn.XLOOKUP(C1458, calc_rusacc!$C$15:$C$65, calc_rusacc!$AF$15:$AF$65, "",0),  AND( F1458="Main Chain", I1458="Accordion Screen"), _xlfn.XLOOKUP(C1458, calc_rusacc!$C$15:$C$65, calc_rusacc!$BF$15:$BF$65, "",0), AND( F1458="Sealant", I1458="Accordion Screen"), _xlfn.XLOOKUP(C1458, calc_rusacc!$C$15:$C$65, calc_rusacc!$BJ$15:$BJ$65, "",0),  F1458="Sealant", _xlfn.XLOOKUP(C1458, dd_accsrycalc!$A$2:$A$51, dd_accsrycalc!$G$2:$G$51, "",0),  F1458&lt;&gt;"",L1458*_xlfn.XLOOKUP(1, (SKUs!$C$2:$C$10001=G1458)*(SKUs!$K$2:$K$10001=I1458),SKUs!$E$2:$E$10001)), 0),"")</f>
        <v/>
      </c>
      <c r="E1458" s="35" t="str">
        <f>_xlfn.XLOOKUP(F1458,dd_item!$B$2:$B$105,dd_item!$C$2:$C$105,"",0)</f>
        <v/>
      </c>
      <c r="F1458" s="35"/>
      <c r="G1458" s="35" cm="1">
        <f t="array" ref="G1458">IFERROR(_xlfn.XLOOKUP(1, (SKUs!$J$2:$J$10001=accsry_unmerged!F1458)*IF(H1458&lt;&gt;"",(SKUs!$L$2:$L$10001=accsry_unmerged!H1458),1)*(SKUs!$K$2:$K$10001=I1458),SKUs!$C$2:$C$10001),"")</f>
        <v>0</v>
      </c>
      <c r="H1458" s="36" cm="1">
        <f t="array" ref="H1458">IFERROR(_xlfn.XLOOKUP(1, (dd_accsryclr!$C$2:$C$1000=accsry_unmerged!F1458)*(dd_accsryclr!$B$2:$B$1000=accsry_unmerged!J1458),dd_accsryclr!$A$2:$A$1000),"")</f>
        <v>0</v>
      </c>
      <c r="I1458" s="35">
        <f>_xlfn.XLOOKUP(C1458,'Project Details'!$C$17:$C$66,'Project Details'!$E$17:$E$66,"",0)</f>
        <v>0</v>
      </c>
      <c r="J1458" s="35">
        <f>_xlfn.XLOOKUP(C1458,'Project Details'!$C$17:$C$66,'Project Details'!$H$17:$H$66,"",0)</f>
        <v>0</v>
      </c>
      <c r="K1458" s="36" t="str">
        <f>IF(AND(_xlfn.XLOOKUP(C1458,'Project Details'!$C$17:$C$66,'Project Details'!$L$17:$L$66,"",0)&gt;550, F1458="Spring-L27cm"),"",SUBSTITUTE(_xlfn.XLOOKUP(G1458,SKUs!$C$2:$C$10001,SKUs!$F$2:$F$10001,"",0), " Accessories",""))</f>
        <v/>
      </c>
      <c r="L1458" s="36">
        <f>_xlfn.XLOOKUP(C1458,'Project Details'!$C$17:$C$66,'Project Details'!$D$17:$D$66,"",0)</f>
        <v>0</v>
      </c>
      <c r="M1458" s="43"/>
    </row>
    <row r="1459" spans="1:13" ht="13.5" customHeight="1" outlineLevel="1" x14ac:dyDescent="0.25">
      <c r="A1459" s="43"/>
      <c r="B1459" s="43"/>
      <c r="C1459" s="16">
        <f t="shared" si="27"/>
        <v>29</v>
      </c>
      <c r="D1459" s="16" t="str" cm="1">
        <f t="array" ref="D1459">IFERROR(ROUNDUP(_xlfn.IFS(F1459="Aluminum Track", _xlfn.XLOOKUP(C1459, dd_accsrycalc!$A$2:$A$51, dd_accsrycalc!$B$2:$B$51, "",0), F1459="10 x 2 1/2 S (Flat)", _xlfn.XLOOKUP(C1459, dd_accsrycalc!$A$2:$A$51, dd_accsrycalc!$C$2:$C$51, "",0), F1459="Tox6", _xlfn.XLOOKUP(C1459, dd_accsrycalc!$A$2:$A$51, dd_accsrycalc!$D$2:$D$51, "",0), F1459="Cover Cap", _xlfn.XLOOKUP(C1459, dd_accsrycalc!$A$2:$A$51, dd_accsrycalc!$E$2:$E$51, "",0), F1459="Drainage Cover", _xlfn.XLOOKUP(C1459, dd_accsrycalc!$A$2:$A$51, dd_accsrycalc!$F$2:$F$51, "",0),AND( F1459="Double Adhesive Tape", I1459="Roll-up Screen"), _xlfn.XLOOKUP(C1459, calc_rusacc!$C$15:$C$65, calc_rusacc!$AD$15:$AD$65, "",0),AND( F1459="Sealant", I1459="Roll-up Screen"), _xlfn.XLOOKUP(C1459, calc_rusacc!$C$15:$C$65, calc_rusacc!$AF$15:$AF$65, "",0),  AND( F1459="Main Chain", I1459="Accordion Screen"), _xlfn.XLOOKUP(C1459, calc_rusacc!$C$15:$C$65, calc_rusacc!$BF$15:$BF$65, "",0), AND( F1459="Sealant", I1459="Accordion Screen"), _xlfn.XLOOKUP(C1459, calc_rusacc!$C$15:$C$65, calc_rusacc!$BJ$15:$BJ$65, "",0),  F1459="Sealant", _xlfn.XLOOKUP(C1459, dd_accsrycalc!$A$2:$A$51, dd_accsrycalc!$G$2:$G$51, "",0),  F1459&lt;&gt;"",L1459*_xlfn.XLOOKUP(1, (SKUs!$C$2:$C$10001=G1459)*(SKUs!$K$2:$K$10001=I1459),SKUs!$E$2:$E$10001)), 0),"")</f>
        <v/>
      </c>
      <c r="E1459" s="16" t="str">
        <f>_xlfn.XLOOKUP(F1459,dd_item!$B$2:$B$105,dd_item!$C$2:$C$105,"",0)</f>
        <v/>
      </c>
      <c r="F1459" s="16"/>
      <c r="G1459" s="16" cm="1">
        <f t="array" ref="G1459">IFERROR(_xlfn.XLOOKUP(1, (SKUs!$J$2:$J$10001=accsry_unmerged!F1459)*IF(H1459&lt;&gt;"",(SKUs!$L$2:$L$10001=accsry_unmerged!H1459),1)*(SKUs!$K$2:$K$10001=I1459),SKUs!$C$2:$C$10001),"")</f>
        <v>0</v>
      </c>
      <c r="H1459" s="33" cm="1">
        <f t="array" ref="H1459">IFERROR(_xlfn.XLOOKUP(1, (dd_accsryclr!$C$2:$C$1000=accsry_unmerged!F1459)*(dd_accsryclr!$B$2:$B$1000=accsry_unmerged!J1459),dd_accsryclr!$A$2:$A$1000),"")</f>
        <v>0</v>
      </c>
      <c r="I1459" s="16">
        <f>_xlfn.XLOOKUP(C1459,'Project Details'!$C$17:$C$66,'Project Details'!$E$17:$E$66,"",0)</f>
        <v>0</v>
      </c>
      <c r="J1459" s="16">
        <f>_xlfn.XLOOKUP(C1459,'Project Details'!$C$17:$C$66,'Project Details'!$H$17:$H$66,"",0)</f>
        <v>0</v>
      </c>
      <c r="K1459" s="33" t="str">
        <f>IF(AND(_xlfn.XLOOKUP(C1459,'Project Details'!$C$17:$C$66,'Project Details'!$L$17:$L$66,"",0)&gt;550, F1459="Spring-L27cm"),"",SUBSTITUTE(_xlfn.XLOOKUP(G1459,SKUs!$C$2:$C$10001,SKUs!$F$2:$F$10001,"",0), " Accessories",""))</f>
        <v/>
      </c>
      <c r="L1459" s="33">
        <f>_xlfn.XLOOKUP(C1459,'Project Details'!$C$17:$C$66,'Project Details'!$D$17:$D$66,"",0)</f>
        <v>0</v>
      </c>
      <c r="M1459" s="43"/>
    </row>
    <row r="1460" spans="1:13" ht="13.5" customHeight="1" outlineLevel="1" x14ac:dyDescent="0.25">
      <c r="A1460" s="43"/>
      <c r="B1460" s="43"/>
      <c r="C1460" s="35">
        <f t="shared" si="27"/>
        <v>29</v>
      </c>
      <c r="D1460" s="35" t="str" cm="1">
        <f t="array" ref="D1460">IFERROR(ROUNDUP(_xlfn.IFS(F1460="Aluminum Track", _xlfn.XLOOKUP(C1460, dd_accsrycalc!$A$2:$A$51, dd_accsrycalc!$B$2:$B$51, "",0), F1460="10 x 2 1/2 S (Flat)", _xlfn.XLOOKUP(C1460, dd_accsrycalc!$A$2:$A$51, dd_accsrycalc!$C$2:$C$51, "",0), F1460="Tox6", _xlfn.XLOOKUP(C1460, dd_accsrycalc!$A$2:$A$51, dd_accsrycalc!$D$2:$D$51, "",0), F1460="Cover Cap", _xlfn.XLOOKUP(C1460, dd_accsrycalc!$A$2:$A$51, dd_accsrycalc!$E$2:$E$51, "",0), F1460="Drainage Cover", _xlfn.XLOOKUP(C1460, dd_accsrycalc!$A$2:$A$51, dd_accsrycalc!$F$2:$F$51, "",0),AND( F1460="Double Adhesive Tape", I1460="Roll-up Screen"), _xlfn.XLOOKUP(C1460, calc_rusacc!$C$15:$C$65, calc_rusacc!$AD$15:$AD$65, "",0),AND( F1460="Sealant", I1460="Roll-up Screen"), _xlfn.XLOOKUP(C1460, calc_rusacc!$C$15:$C$65, calc_rusacc!$AF$15:$AF$65, "",0),  AND( F1460="Main Chain", I1460="Accordion Screen"), _xlfn.XLOOKUP(C1460, calc_rusacc!$C$15:$C$65, calc_rusacc!$BF$15:$BF$65, "",0), AND( F1460="Sealant", I1460="Accordion Screen"), _xlfn.XLOOKUP(C1460, calc_rusacc!$C$15:$C$65, calc_rusacc!$BJ$15:$BJ$65, "",0),  F1460="Sealant", _xlfn.XLOOKUP(C1460, dd_accsrycalc!$A$2:$A$51, dd_accsrycalc!$G$2:$G$51, "",0),  F1460&lt;&gt;"",L1460*_xlfn.XLOOKUP(1, (SKUs!$C$2:$C$10001=G1460)*(SKUs!$K$2:$K$10001=I1460),SKUs!$E$2:$E$10001)), 0),"")</f>
        <v/>
      </c>
      <c r="E1460" s="35" t="str">
        <f>_xlfn.XLOOKUP(F1460,dd_item!$B$2:$B$105,dd_item!$C$2:$C$105,"",0)</f>
        <v/>
      </c>
      <c r="F1460" s="35"/>
      <c r="G1460" s="35" cm="1">
        <f t="array" ref="G1460">IFERROR(_xlfn.XLOOKUP(1, (SKUs!$J$2:$J$10001=accsry_unmerged!F1460)*IF(H1460&lt;&gt;"",(SKUs!$L$2:$L$10001=accsry_unmerged!H1460),1)*(SKUs!$K$2:$K$10001=I1460),SKUs!$C$2:$C$10001),"")</f>
        <v>0</v>
      </c>
      <c r="H1460" s="36" cm="1">
        <f t="array" ref="H1460">IFERROR(_xlfn.XLOOKUP(1, (dd_accsryclr!$C$2:$C$1000=accsry_unmerged!F1460)*(dd_accsryclr!$B$2:$B$1000=accsry_unmerged!J1460),dd_accsryclr!$A$2:$A$1000),"")</f>
        <v>0</v>
      </c>
      <c r="I1460" s="35">
        <f>_xlfn.XLOOKUP(C1460,'Project Details'!$C$17:$C$66,'Project Details'!$E$17:$E$66,"",0)</f>
        <v>0</v>
      </c>
      <c r="J1460" s="35">
        <f>_xlfn.XLOOKUP(C1460,'Project Details'!$C$17:$C$66,'Project Details'!$H$17:$H$66,"",0)</f>
        <v>0</v>
      </c>
      <c r="K1460" s="36" t="str">
        <f>IF(AND(_xlfn.XLOOKUP(C1460,'Project Details'!$C$17:$C$66,'Project Details'!$L$17:$L$66,"",0)&gt;550, F1460="Spring-L27cm"),"",SUBSTITUTE(_xlfn.XLOOKUP(G1460,SKUs!$C$2:$C$10001,SKUs!$F$2:$F$10001,"",0), " Accessories",""))</f>
        <v/>
      </c>
      <c r="L1460" s="36">
        <f>_xlfn.XLOOKUP(C1460,'Project Details'!$C$17:$C$66,'Project Details'!$D$17:$D$66,"",0)</f>
        <v>0</v>
      </c>
      <c r="M1460" s="43"/>
    </row>
    <row r="1461" spans="1:13" ht="13.5" customHeight="1" outlineLevel="1" x14ac:dyDescent="0.25">
      <c r="A1461" s="43"/>
      <c r="B1461" s="43"/>
      <c r="C1461" s="16">
        <f t="shared" si="27"/>
        <v>29</v>
      </c>
      <c r="D1461" s="16" t="str" cm="1">
        <f t="array" ref="D1461">IFERROR(ROUNDUP(_xlfn.IFS(F1461="Aluminum Track", _xlfn.XLOOKUP(C1461, dd_accsrycalc!$A$2:$A$51, dd_accsrycalc!$B$2:$B$51, "",0), F1461="10 x 2 1/2 S (Flat)", _xlfn.XLOOKUP(C1461, dd_accsrycalc!$A$2:$A$51, dd_accsrycalc!$C$2:$C$51, "",0), F1461="Tox6", _xlfn.XLOOKUP(C1461, dd_accsrycalc!$A$2:$A$51, dd_accsrycalc!$D$2:$D$51, "",0), F1461="Cover Cap", _xlfn.XLOOKUP(C1461, dd_accsrycalc!$A$2:$A$51, dd_accsrycalc!$E$2:$E$51, "",0), F1461="Drainage Cover", _xlfn.XLOOKUP(C1461, dd_accsrycalc!$A$2:$A$51, dd_accsrycalc!$F$2:$F$51, "",0),AND( F1461="Double Adhesive Tape", I1461="Roll-up Screen"), _xlfn.XLOOKUP(C1461, calc_rusacc!$C$15:$C$65, calc_rusacc!$AD$15:$AD$65, "",0),AND( F1461="Sealant", I1461="Roll-up Screen"), _xlfn.XLOOKUP(C1461, calc_rusacc!$C$15:$C$65, calc_rusacc!$AF$15:$AF$65, "",0),  AND( F1461="Main Chain", I1461="Accordion Screen"), _xlfn.XLOOKUP(C1461, calc_rusacc!$C$15:$C$65, calc_rusacc!$BF$15:$BF$65, "",0), AND( F1461="Sealant", I1461="Accordion Screen"), _xlfn.XLOOKUP(C1461, calc_rusacc!$C$15:$C$65, calc_rusacc!$BJ$15:$BJ$65, "",0),  F1461="Sealant", _xlfn.XLOOKUP(C1461, dd_accsrycalc!$A$2:$A$51, dd_accsrycalc!$G$2:$G$51, "",0),  F1461&lt;&gt;"",L1461*_xlfn.XLOOKUP(1, (SKUs!$C$2:$C$10001=G1461)*(SKUs!$K$2:$K$10001=I1461),SKUs!$E$2:$E$10001)), 0),"")</f>
        <v/>
      </c>
      <c r="E1461" s="16" t="str">
        <f>_xlfn.XLOOKUP(F1461,dd_item!$B$2:$B$105,dd_item!$C$2:$C$105,"",0)</f>
        <v/>
      </c>
      <c r="F1461" s="16"/>
      <c r="G1461" s="16" cm="1">
        <f t="array" ref="G1461">IFERROR(_xlfn.XLOOKUP(1, (SKUs!$J$2:$J$10001=accsry_unmerged!F1461)*IF(H1461&lt;&gt;"",(SKUs!$L$2:$L$10001=accsry_unmerged!H1461),1)*(SKUs!$K$2:$K$10001=I1461),SKUs!$C$2:$C$10001),"")</f>
        <v>0</v>
      </c>
      <c r="H1461" s="33" cm="1">
        <f t="array" ref="H1461">IFERROR(_xlfn.XLOOKUP(1, (dd_accsryclr!$C$2:$C$1000=accsry_unmerged!F1461)*(dd_accsryclr!$B$2:$B$1000=accsry_unmerged!J1461),dd_accsryclr!$A$2:$A$1000),"")</f>
        <v>0</v>
      </c>
      <c r="I1461" s="16">
        <f>_xlfn.XLOOKUP(C1461,'Project Details'!$C$17:$C$66,'Project Details'!$E$17:$E$66,"",0)</f>
        <v>0</v>
      </c>
      <c r="J1461" s="16">
        <f>_xlfn.XLOOKUP(C1461,'Project Details'!$C$17:$C$66,'Project Details'!$H$17:$H$66,"",0)</f>
        <v>0</v>
      </c>
      <c r="K1461" s="33" t="str">
        <f>IF(AND(_xlfn.XLOOKUP(C1461,'Project Details'!$C$17:$C$66,'Project Details'!$L$17:$L$66,"",0)&gt;550, F1461="Spring-L27cm"),"",SUBSTITUTE(_xlfn.XLOOKUP(G1461,SKUs!$C$2:$C$10001,SKUs!$F$2:$F$10001,"",0), " Accessories",""))</f>
        <v/>
      </c>
      <c r="L1461" s="33">
        <f>_xlfn.XLOOKUP(C1461,'Project Details'!$C$17:$C$66,'Project Details'!$D$17:$D$66,"",0)</f>
        <v>0</v>
      </c>
      <c r="M1461" s="43"/>
    </row>
    <row r="1462" spans="1:13" ht="13.5" customHeight="1" outlineLevel="1" x14ac:dyDescent="0.25">
      <c r="A1462" s="43"/>
      <c r="B1462" s="43"/>
      <c r="C1462" s="35">
        <f t="shared" si="27"/>
        <v>29</v>
      </c>
      <c r="D1462" s="35" t="str" cm="1">
        <f t="array" ref="D1462">IFERROR(ROUNDUP(_xlfn.IFS(F1462="Aluminum Track", _xlfn.XLOOKUP(C1462, dd_accsrycalc!$A$2:$A$51, dd_accsrycalc!$B$2:$B$51, "",0), F1462="10 x 2 1/2 S (Flat)", _xlfn.XLOOKUP(C1462, dd_accsrycalc!$A$2:$A$51, dd_accsrycalc!$C$2:$C$51, "",0), F1462="Tox6", _xlfn.XLOOKUP(C1462, dd_accsrycalc!$A$2:$A$51, dd_accsrycalc!$D$2:$D$51, "",0), F1462="Cover Cap", _xlfn.XLOOKUP(C1462, dd_accsrycalc!$A$2:$A$51, dd_accsrycalc!$E$2:$E$51, "",0), F1462="Drainage Cover", _xlfn.XLOOKUP(C1462, dd_accsrycalc!$A$2:$A$51, dd_accsrycalc!$F$2:$F$51, "",0),AND( F1462="Double Adhesive Tape", I1462="Roll-up Screen"), _xlfn.XLOOKUP(C1462, calc_rusacc!$C$15:$C$65, calc_rusacc!$AD$15:$AD$65, "",0),AND( F1462="Sealant", I1462="Roll-up Screen"), _xlfn.XLOOKUP(C1462, calc_rusacc!$C$15:$C$65, calc_rusacc!$AF$15:$AF$65, "",0),  AND( F1462="Main Chain", I1462="Accordion Screen"), _xlfn.XLOOKUP(C1462, calc_rusacc!$C$15:$C$65, calc_rusacc!$BF$15:$BF$65, "",0), AND( F1462="Sealant", I1462="Accordion Screen"), _xlfn.XLOOKUP(C1462, calc_rusacc!$C$15:$C$65, calc_rusacc!$BJ$15:$BJ$65, "",0),  F1462="Sealant", _xlfn.XLOOKUP(C1462, dd_accsrycalc!$A$2:$A$51, dd_accsrycalc!$G$2:$G$51, "",0),  F1462&lt;&gt;"",L1462*_xlfn.XLOOKUP(1, (SKUs!$C$2:$C$10001=G1462)*(SKUs!$K$2:$K$10001=I1462),SKUs!$E$2:$E$10001)), 0),"")</f>
        <v/>
      </c>
      <c r="E1462" s="35" t="str">
        <f>_xlfn.XLOOKUP(F1462,dd_item!$B$2:$B$105,dd_item!$C$2:$C$105,"",0)</f>
        <v/>
      </c>
      <c r="F1462" s="35"/>
      <c r="G1462" s="35" cm="1">
        <f t="array" ref="G1462">IFERROR(_xlfn.XLOOKUP(1, (SKUs!$J$2:$J$10001=accsry_unmerged!F1462)*IF(H1462&lt;&gt;"",(SKUs!$L$2:$L$10001=accsry_unmerged!H1462),1)*(SKUs!$K$2:$K$10001=I1462),SKUs!$C$2:$C$10001),"")</f>
        <v>0</v>
      </c>
      <c r="H1462" s="36" cm="1">
        <f t="array" ref="H1462">IFERROR(_xlfn.XLOOKUP(1, (dd_accsryclr!$C$2:$C$1000=accsry_unmerged!F1462)*(dd_accsryclr!$B$2:$B$1000=accsry_unmerged!J1462),dd_accsryclr!$A$2:$A$1000),"")</f>
        <v>0</v>
      </c>
      <c r="I1462" s="35">
        <f>_xlfn.XLOOKUP(C1462,'Project Details'!$C$17:$C$66,'Project Details'!$E$17:$E$66,"",0)</f>
        <v>0</v>
      </c>
      <c r="J1462" s="35">
        <f>_xlfn.XLOOKUP(C1462,'Project Details'!$C$17:$C$66,'Project Details'!$H$17:$H$66,"",0)</f>
        <v>0</v>
      </c>
      <c r="K1462" s="36" t="str">
        <f>IF(AND(_xlfn.XLOOKUP(C1462,'Project Details'!$C$17:$C$66,'Project Details'!$L$17:$L$66,"",0)&gt;550, F1462="Spring-L27cm"),"",SUBSTITUTE(_xlfn.XLOOKUP(G1462,SKUs!$C$2:$C$10001,SKUs!$F$2:$F$10001,"",0), " Accessories",""))</f>
        <v/>
      </c>
      <c r="L1462" s="36">
        <f>_xlfn.XLOOKUP(C1462,'Project Details'!$C$17:$C$66,'Project Details'!$D$17:$D$66,"",0)</f>
        <v>0</v>
      </c>
      <c r="M1462" s="43"/>
    </row>
    <row r="1463" spans="1:13" ht="13.5" customHeight="1" outlineLevel="1" x14ac:dyDescent="0.25">
      <c r="A1463" s="43"/>
      <c r="B1463" s="43"/>
      <c r="C1463" s="16">
        <f t="shared" si="27"/>
        <v>29</v>
      </c>
      <c r="D1463" s="16" t="str" cm="1">
        <f t="array" ref="D1463">IFERROR(ROUNDUP(_xlfn.IFS(F1463="Aluminum Track", _xlfn.XLOOKUP(C1463, dd_accsrycalc!$A$2:$A$51, dd_accsrycalc!$B$2:$B$51, "",0), F1463="10 x 2 1/2 S (Flat)", _xlfn.XLOOKUP(C1463, dd_accsrycalc!$A$2:$A$51, dd_accsrycalc!$C$2:$C$51, "",0), F1463="Tox6", _xlfn.XLOOKUP(C1463, dd_accsrycalc!$A$2:$A$51, dd_accsrycalc!$D$2:$D$51, "",0), F1463="Cover Cap", _xlfn.XLOOKUP(C1463, dd_accsrycalc!$A$2:$A$51, dd_accsrycalc!$E$2:$E$51, "",0), F1463="Drainage Cover", _xlfn.XLOOKUP(C1463, dd_accsrycalc!$A$2:$A$51, dd_accsrycalc!$F$2:$F$51, "",0),AND( F1463="Double Adhesive Tape", I1463="Roll-up Screen"), _xlfn.XLOOKUP(C1463, calc_rusacc!$C$15:$C$65, calc_rusacc!$AD$15:$AD$65, "",0),AND( F1463="Sealant", I1463="Roll-up Screen"), _xlfn.XLOOKUP(C1463, calc_rusacc!$C$15:$C$65, calc_rusacc!$AF$15:$AF$65, "",0),  AND( F1463="Main Chain", I1463="Accordion Screen"), _xlfn.XLOOKUP(C1463, calc_rusacc!$C$15:$C$65, calc_rusacc!$BF$15:$BF$65, "",0), AND( F1463="Sealant", I1463="Accordion Screen"), _xlfn.XLOOKUP(C1463, calc_rusacc!$C$15:$C$65, calc_rusacc!$BJ$15:$BJ$65, "",0),  F1463="Sealant", _xlfn.XLOOKUP(C1463, dd_accsrycalc!$A$2:$A$51, dd_accsrycalc!$G$2:$G$51, "",0),  F1463&lt;&gt;"",L1463*_xlfn.XLOOKUP(1, (SKUs!$C$2:$C$10001=G1463)*(SKUs!$K$2:$K$10001=I1463),SKUs!$E$2:$E$10001)), 0),"")</f>
        <v/>
      </c>
      <c r="E1463" s="16" t="str">
        <f>_xlfn.XLOOKUP(F1463,dd_item!$B$2:$B$105,dd_item!$C$2:$C$105,"",0)</f>
        <v/>
      </c>
      <c r="F1463" s="16"/>
      <c r="G1463" s="16" cm="1">
        <f t="array" ref="G1463">IFERROR(_xlfn.XLOOKUP(1, (SKUs!$J$2:$J$10001=accsry_unmerged!F1463)*IF(H1463&lt;&gt;"",(SKUs!$L$2:$L$10001=accsry_unmerged!H1463),1)*(SKUs!$K$2:$K$10001=I1463),SKUs!$C$2:$C$10001),"")</f>
        <v>0</v>
      </c>
      <c r="H1463" s="33" cm="1">
        <f t="array" ref="H1463">IFERROR(_xlfn.XLOOKUP(1, (dd_accsryclr!$C$2:$C$1000=accsry_unmerged!F1463)*(dd_accsryclr!$B$2:$B$1000=accsry_unmerged!J1463),dd_accsryclr!$A$2:$A$1000),"")</f>
        <v>0</v>
      </c>
      <c r="I1463" s="16">
        <f>_xlfn.XLOOKUP(C1463,'Project Details'!$C$17:$C$66,'Project Details'!$E$17:$E$66,"",0)</f>
        <v>0</v>
      </c>
      <c r="J1463" s="16">
        <f>_xlfn.XLOOKUP(C1463,'Project Details'!$C$17:$C$66,'Project Details'!$H$17:$H$66,"",0)</f>
        <v>0</v>
      </c>
      <c r="K1463" s="33" t="str">
        <f>IF(AND(_xlfn.XLOOKUP(C1463,'Project Details'!$C$17:$C$66,'Project Details'!$L$17:$L$66,"",0)&gt;550, F1463="Spring-L27cm"),"",SUBSTITUTE(_xlfn.XLOOKUP(G1463,SKUs!$C$2:$C$10001,SKUs!$F$2:$F$10001,"",0), " Accessories",""))</f>
        <v/>
      </c>
      <c r="L1463" s="33">
        <f>_xlfn.XLOOKUP(C1463,'Project Details'!$C$17:$C$66,'Project Details'!$D$17:$D$66,"",0)</f>
        <v>0</v>
      </c>
      <c r="M1463" s="43"/>
    </row>
    <row r="1464" spans="1:13" x14ac:dyDescent="0.25">
      <c r="A1464" s="43"/>
      <c r="B1464" s="43"/>
      <c r="C1464" s="43"/>
      <c r="D1464" s="43"/>
      <c r="E1464" s="43"/>
      <c r="F1464" s="43"/>
      <c r="G1464" s="43"/>
      <c r="H1464" s="43"/>
      <c r="I1464" s="43"/>
      <c r="J1464" s="43"/>
      <c r="K1464" s="43"/>
      <c r="L1464" s="43"/>
      <c r="M1464" s="43"/>
    </row>
    <row r="1465" spans="1:13" x14ac:dyDescent="0.25">
      <c r="A1465" s="43"/>
      <c r="B1465" s="43"/>
      <c r="C1465" s="16">
        <f>C1463+1</f>
        <v>30</v>
      </c>
      <c r="D1465" s="48" cm="1">
        <f t="array" ref="D1465">IFERROR(ROUNDUP(_xlfn.IFS(F1465="Aluminum Track", _xlfn.XLOOKUP(C1465, dd_accsrycalc!$A$2:$A$51, dd_accsrycalc!$B$2:$B$51, "",0), F1465="10 x 2 1/2 S (Flat)", _xlfn.XLOOKUP(C1465, dd_accsrycalc!$A$2:$A$51, dd_accsrycalc!$C$2:$C$51, "",0), F1465="Tox6", _xlfn.XLOOKUP(C1465, dd_accsrycalc!$A$2:$A$51, dd_accsrycalc!$D$2:$D$51, "",0), F1465="Cover Cap", _xlfn.XLOOKUP(C1465, dd_accsrycalc!$A$2:$A$51, dd_accsrycalc!$E$2:$E$51, "",0), F1465="Drainage Cover", _xlfn.XLOOKUP(C1465, dd_accsrycalc!$A$2:$A$51, dd_accsrycalc!$F$2:$F$51, "",0),AND( F1465="Double Adhesive Tape", I1465="Roll-up Screen"), _xlfn.XLOOKUP(C1465, calc_rusacc!$C$15:$C$65, calc_rusacc!$AD$15:$AD$65, "",0),AND( F1465="Sealant", I1465="Roll-up Screen"), _xlfn.XLOOKUP(C1465, calc_rusacc!$C$15:$C$65, calc_rusacc!$AF$15:$AF$65, "",0),  AND( F1465="Main Chain", I1465="Accordion Screen"), _xlfn.XLOOKUP(C1465, calc_rusacc!$C$15:$C$65, calc_rusacc!$BF$15:$BF$65, "",0), AND( F1465="Sealant", I1465="Accordion Screen"), _xlfn.XLOOKUP(C1465, calc_rusacc!$C$15:$C$65, calc_rusacc!$BJ$15:$BJ$65, "",0),  F1465="Sealant", _xlfn.XLOOKUP(C1465, dd_accsrycalc!$A$2:$A$51, dd_accsrycalc!$G$2:$G$51, "",0),  F1465&lt;&gt;"",L1465*_xlfn.XLOOKUP(1, (SKUs!$C$2:$C$10001=G1465)*(SKUs!$K$2:$K$10001=I1465),SKUs!$E$2:$E$10001)), 0),"")</f>
        <v>0</v>
      </c>
      <c r="E1465" s="48" t="str">
        <f>_xlfn.XLOOKUP(F1465,dd_item!$B$2:$B$105,dd_item!$C$2:$C$105,"",0)</f>
        <v/>
      </c>
      <c r="F1465" s="48" cm="1">
        <f t="array" ref="F1465">IFERROR(_xlfn.UNIQUE(_xlfn._xlws.FILTER(SKUs!$J$2:$J$10001, (SKUs!$F$2:$F$10001&lt;&gt;"Cutting List") * (SKUs!$A$2:$A$10001=_xlfn.XLOOKUP(_xlfn.XLOOKUP(C1465,'Project Details'!$C$17:$C$66,'Project Details'!$E$17:$E$66,"",0), dd_design_raw!$A$2:$A$101,dd_design_raw!$C$2:$C$101,"",0)))), "")</f>
        <v>0</v>
      </c>
      <c r="G1465" s="16" cm="1">
        <f t="array" ref="G1465">IFERROR(_xlfn.XLOOKUP(1, (SKUs!$J$2:$J$10001=accsry_unmerged!F1465)*IF(H1465&lt;&gt;"",(SKUs!$L$2:$L$10001=accsry_unmerged!H1465),1)*(SKUs!$K$2:$K$10001=I1465),SKUs!$C$2:$C$10001),"")</f>
        <v>0</v>
      </c>
      <c r="H1465" s="16" cm="1">
        <f t="array" ref="H1465">IFERROR(_xlfn.XLOOKUP(1, (dd_accsryclr!$C$2:$C$1000=accsry_unmerged!F1465)*(dd_accsryclr!$B$2:$B$1000=accsry_unmerged!J1465),dd_accsryclr!$A$2:$A$1000),"")</f>
        <v>0</v>
      </c>
      <c r="I1465" s="16">
        <f>_xlfn.XLOOKUP(C1465,'Project Details'!$C$17:$C$66,'Project Details'!$E$17:$E$66,"",0)</f>
        <v>0</v>
      </c>
      <c r="J1465" s="16">
        <f>_xlfn.XLOOKUP(C1465,'Project Details'!$C$17:$C$66,'Project Details'!$H$17:$H$66,"",0)</f>
        <v>0</v>
      </c>
      <c r="K1465" s="16" t="str">
        <f>IF(AND(_xlfn.XLOOKUP(C1465,'Project Details'!$C$17:$C$66,'Project Details'!$L$17:$L$66,"",0)&gt;550, F1465="Spring-L27cm"),"",SUBSTITUTE(_xlfn.XLOOKUP(G1465,SKUs!$C$2:$C$10001,SKUs!$F$2:$F$10001,"",0), " Accessories",""))</f>
        <v/>
      </c>
      <c r="L1465" s="16">
        <f>_xlfn.XLOOKUP(C1465,'Project Details'!$C$17:$C$66,'Project Details'!$D$17:$D$66,"",0)</f>
        <v>0</v>
      </c>
      <c r="M1465" s="43"/>
    </row>
    <row r="1466" spans="1:13" x14ac:dyDescent="0.25">
      <c r="A1466" s="43"/>
      <c r="B1466" s="43"/>
      <c r="C1466" s="35">
        <f>C1465</f>
        <v>30</v>
      </c>
      <c r="D1466" s="35" t="str" cm="1">
        <f t="array" ref="D1466">IFERROR(ROUNDUP(_xlfn.IFS(F1466="Aluminum Track", _xlfn.XLOOKUP(C1466, dd_accsrycalc!$A$2:$A$51, dd_accsrycalc!$B$2:$B$51, "",0), F1466="10 x 2 1/2 S (Flat)", _xlfn.XLOOKUP(C1466, dd_accsrycalc!$A$2:$A$51, dd_accsrycalc!$C$2:$C$51, "",0), F1466="Tox6", _xlfn.XLOOKUP(C1466, dd_accsrycalc!$A$2:$A$51, dd_accsrycalc!$D$2:$D$51, "",0), F1466="Cover Cap", _xlfn.XLOOKUP(C1466, dd_accsrycalc!$A$2:$A$51, dd_accsrycalc!$E$2:$E$51, "",0), F1466="Drainage Cover", _xlfn.XLOOKUP(C1466, dd_accsrycalc!$A$2:$A$51, dd_accsrycalc!$F$2:$F$51, "",0),AND( F1466="Double Adhesive Tape", I1466="Roll-up Screen"), _xlfn.XLOOKUP(C1466, calc_rusacc!$C$15:$C$65, calc_rusacc!$AD$15:$AD$65, "",0),AND( F1466="Sealant", I1466="Roll-up Screen"), _xlfn.XLOOKUP(C1466, calc_rusacc!$C$15:$C$65, calc_rusacc!$AF$15:$AF$65, "",0),  AND( F1466="Main Chain", I1466="Accordion Screen"), _xlfn.XLOOKUP(C1466, calc_rusacc!$C$15:$C$65, calc_rusacc!$BF$15:$BF$65, "",0), AND( F1466="Sealant", I1466="Accordion Screen"), _xlfn.XLOOKUP(C1466, calc_rusacc!$C$15:$C$65, calc_rusacc!$BJ$15:$BJ$65, "",0),  F1466="Sealant", _xlfn.XLOOKUP(C1466, dd_accsrycalc!$A$2:$A$51, dd_accsrycalc!$G$2:$G$51, "",0),  F1466&lt;&gt;"",L1466*_xlfn.XLOOKUP(1, (SKUs!$C$2:$C$10001=G1466)*(SKUs!$K$2:$K$10001=I1466),SKUs!$E$2:$E$10001)), 0),"")</f>
        <v/>
      </c>
      <c r="E1466" s="35" t="str">
        <f>_xlfn.XLOOKUP(F1466,dd_item!$B$2:$B$105,dd_item!$C$2:$C$105,"",0)</f>
        <v/>
      </c>
      <c r="F1466" s="35"/>
      <c r="G1466" s="35" cm="1">
        <f t="array" ref="G1466">IFERROR(_xlfn.XLOOKUP(1, (SKUs!$J$2:$J$10001=accsry_unmerged!F1466)*IF(H1466&lt;&gt;"",(SKUs!$L$2:$L$10001=accsry_unmerged!H1466),1)*(SKUs!$K$2:$K$10001=I1466),SKUs!$C$2:$C$10001),"")</f>
        <v>0</v>
      </c>
      <c r="H1466" s="36" cm="1">
        <f t="array" ref="H1466">IFERROR(_xlfn.XLOOKUP(1, (dd_accsryclr!$C$2:$C$1000=accsry_unmerged!F1466)*(dd_accsryclr!$B$2:$B$1000=accsry_unmerged!J1466),dd_accsryclr!$A$2:$A$1000),"")</f>
        <v>0</v>
      </c>
      <c r="I1466" s="35">
        <f>_xlfn.XLOOKUP(C1466,'Project Details'!$C$17:$C$66,'Project Details'!$E$17:$E$66,"",0)</f>
        <v>0</v>
      </c>
      <c r="J1466" s="35">
        <f>_xlfn.XLOOKUP(C1466,'Project Details'!$C$17:$C$66,'Project Details'!$H$17:$H$66,"",0)</f>
        <v>0</v>
      </c>
      <c r="K1466" s="36" t="str">
        <f>IF(AND(_xlfn.XLOOKUP(C1466,'Project Details'!$C$17:$C$66,'Project Details'!$L$17:$L$66,"",0)&gt;550, F1466="Spring-L27cm"),"",SUBSTITUTE(_xlfn.XLOOKUP(G1466,SKUs!$C$2:$C$10001,SKUs!$F$2:$F$10001,"",0), " Accessories",""))</f>
        <v/>
      </c>
      <c r="L1466" s="36">
        <f>_xlfn.XLOOKUP(C1466,'Project Details'!$C$17:$C$66,'Project Details'!$D$17:$D$66,"",0)</f>
        <v>0</v>
      </c>
      <c r="M1466" s="43"/>
    </row>
    <row r="1467" spans="1:13" x14ac:dyDescent="0.25">
      <c r="A1467" s="43"/>
      <c r="B1467" s="43"/>
      <c r="C1467" s="16">
        <f t="shared" ref="C1467:C1513" si="28">C1466</f>
        <v>30</v>
      </c>
      <c r="D1467" s="16" t="str" cm="1">
        <f t="array" ref="D1467">IFERROR(ROUNDUP(_xlfn.IFS(F1467="Aluminum Track", _xlfn.XLOOKUP(C1467, dd_accsrycalc!$A$2:$A$51, dd_accsrycalc!$B$2:$B$51, "",0), F1467="10 x 2 1/2 S (Flat)", _xlfn.XLOOKUP(C1467, dd_accsrycalc!$A$2:$A$51, dd_accsrycalc!$C$2:$C$51, "",0), F1467="Tox6", _xlfn.XLOOKUP(C1467, dd_accsrycalc!$A$2:$A$51, dd_accsrycalc!$D$2:$D$51, "",0), F1467="Cover Cap", _xlfn.XLOOKUP(C1467, dd_accsrycalc!$A$2:$A$51, dd_accsrycalc!$E$2:$E$51, "",0), F1467="Drainage Cover", _xlfn.XLOOKUP(C1467, dd_accsrycalc!$A$2:$A$51, dd_accsrycalc!$F$2:$F$51, "",0),AND( F1467="Double Adhesive Tape", I1467="Roll-up Screen"), _xlfn.XLOOKUP(C1467, calc_rusacc!$C$15:$C$65, calc_rusacc!$AD$15:$AD$65, "",0),AND( F1467="Sealant", I1467="Roll-up Screen"), _xlfn.XLOOKUP(C1467, calc_rusacc!$C$15:$C$65, calc_rusacc!$AF$15:$AF$65, "",0),  AND( F1467="Main Chain", I1467="Accordion Screen"), _xlfn.XLOOKUP(C1467, calc_rusacc!$C$15:$C$65, calc_rusacc!$BF$15:$BF$65, "",0), AND( F1467="Sealant", I1467="Accordion Screen"), _xlfn.XLOOKUP(C1467, calc_rusacc!$C$15:$C$65, calc_rusacc!$BJ$15:$BJ$65, "",0),  F1467="Sealant", _xlfn.XLOOKUP(C1467, dd_accsrycalc!$A$2:$A$51, dd_accsrycalc!$G$2:$G$51, "",0),  F1467&lt;&gt;"",L1467*_xlfn.XLOOKUP(1, (SKUs!$C$2:$C$10001=G1467)*(SKUs!$K$2:$K$10001=I1467),SKUs!$E$2:$E$10001)), 0),"")</f>
        <v/>
      </c>
      <c r="E1467" s="16" t="str">
        <f>_xlfn.XLOOKUP(F1467,dd_item!$B$2:$B$105,dd_item!$C$2:$C$105,"",0)</f>
        <v/>
      </c>
      <c r="F1467" s="16"/>
      <c r="G1467" s="16" cm="1">
        <f t="array" ref="G1467">IFERROR(_xlfn.XLOOKUP(1, (SKUs!$J$2:$J$10001=accsry_unmerged!F1467)*IF(H1467&lt;&gt;"",(SKUs!$L$2:$L$10001=accsry_unmerged!H1467),1)*(SKUs!$K$2:$K$10001=I1467),SKUs!$C$2:$C$10001),"")</f>
        <v>0</v>
      </c>
      <c r="H1467" s="33" cm="1">
        <f t="array" ref="H1467">IFERROR(_xlfn.XLOOKUP(1, (dd_accsryclr!$C$2:$C$1000=accsry_unmerged!F1467)*(dd_accsryclr!$B$2:$B$1000=accsry_unmerged!J1467),dd_accsryclr!$A$2:$A$1000),"")</f>
        <v>0</v>
      </c>
      <c r="I1467" s="16">
        <f>_xlfn.XLOOKUP(C1467,'Project Details'!$C$17:$C$66,'Project Details'!$E$17:$E$66,"",0)</f>
        <v>0</v>
      </c>
      <c r="J1467" s="16">
        <f>_xlfn.XLOOKUP(C1467,'Project Details'!$C$17:$C$66,'Project Details'!$H$17:$H$66,"",0)</f>
        <v>0</v>
      </c>
      <c r="K1467" s="33" t="str">
        <f>IF(AND(_xlfn.XLOOKUP(C1467,'Project Details'!$C$17:$C$66,'Project Details'!$L$17:$L$66,"",0)&gt;550, F1467="Spring-L27cm"),"",SUBSTITUTE(_xlfn.XLOOKUP(G1467,SKUs!$C$2:$C$10001,SKUs!$F$2:$F$10001,"",0), " Accessories",""))</f>
        <v/>
      </c>
      <c r="L1467" s="33">
        <f>_xlfn.XLOOKUP(C1467,'Project Details'!$C$17:$C$66,'Project Details'!$D$17:$D$66,"",0)</f>
        <v>0</v>
      </c>
      <c r="M1467" s="43"/>
    </row>
    <row r="1468" spans="1:13" x14ac:dyDescent="0.25">
      <c r="A1468" s="43"/>
      <c r="B1468" s="43"/>
      <c r="C1468" s="35">
        <f t="shared" si="28"/>
        <v>30</v>
      </c>
      <c r="D1468" s="35" t="str" cm="1">
        <f t="array" ref="D1468">IFERROR(ROUNDUP(_xlfn.IFS(F1468="Aluminum Track", _xlfn.XLOOKUP(C1468, dd_accsrycalc!$A$2:$A$51, dd_accsrycalc!$B$2:$B$51, "",0), F1468="10 x 2 1/2 S (Flat)", _xlfn.XLOOKUP(C1468, dd_accsrycalc!$A$2:$A$51, dd_accsrycalc!$C$2:$C$51, "",0), F1468="Tox6", _xlfn.XLOOKUP(C1468, dd_accsrycalc!$A$2:$A$51, dd_accsrycalc!$D$2:$D$51, "",0), F1468="Cover Cap", _xlfn.XLOOKUP(C1468, dd_accsrycalc!$A$2:$A$51, dd_accsrycalc!$E$2:$E$51, "",0), F1468="Drainage Cover", _xlfn.XLOOKUP(C1468, dd_accsrycalc!$A$2:$A$51, dd_accsrycalc!$F$2:$F$51, "",0),AND( F1468="Double Adhesive Tape", I1468="Roll-up Screen"), _xlfn.XLOOKUP(C1468, calc_rusacc!$C$15:$C$65, calc_rusacc!$AD$15:$AD$65, "",0),AND( F1468="Sealant", I1468="Roll-up Screen"), _xlfn.XLOOKUP(C1468, calc_rusacc!$C$15:$C$65, calc_rusacc!$AF$15:$AF$65, "",0),  AND( F1468="Main Chain", I1468="Accordion Screen"), _xlfn.XLOOKUP(C1468, calc_rusacc!$C$15:$C$65, calc_rusacc!$BF$15:$BF$65, "",0), AND( F1468="Sealant", I1468="Accordion Screen"), _xlfn.XLOOKUP(C1468, calc_rusacc!$C$15:$C$65, calc_rusacc!$BJ$15:$BJ$65, "",0),  F1468="Sealant", _xlfn.XLOOKUP(C1468, dd_accsrycalc!$A$2:$A$51, dd_accsrycalc!$G$2:$G$51, "",0),  F1468&lt;&gt;"",L1468*_xlfn.XLOOKUP(1, (SKUs!$C$2:$C$10001=G1468)*(SKUs!$K$2:$K$10001=I1468),SKUs!$E$2:$E$10001)), 0),"")</f>
        <v/>
      </c>
      <c r="E1468" s="35" t="str">
        <f>_xlfn.XLOOKUP(F1468,dd_item!$B$2:$B$105,dd_item!$C$2:$C$105,"",0)</f>
        <v/>
      </c>
      <c r="F1468" s="35"/>
      <c r="G1468" s="35" cm="1">
        <f t="array" ref="G1468">IFERROR(_xlfn.XLOOKUP(1, (SKUs!$J$2:$J$10001=accsry_unmerged!F1468)*IF(H1468&lt;&gt;"",(SKUs!$L$2:$L$10001=accsry_unmerged!H1468),1)*(SKUs!$K$2:$K$10001=I1468),SKUs!$C$2:$C$10001),"")</f>
        <v>0</v>
      </c>
      <c r="H1468" s="36" cm="1">
        <f t="array" ref="H1468">IFERROR(_xlfn.XLOOKUP(1, (dd_accsryclr!$C$2:$C$1000=accsry_unmerged!F1468)*(dd_accsryclr!$B$2:$B$1000=accsry_unmerged!J1468),dd_accsryclr!$A$2:$A$1000),"")</f>
        <v>0</v>
      </c>
      <c r="I1468" s="35">
        <f>_xlfn.XLOOKUP(C1468,'Project Details'!$C$17:$C$66,'Project Details'!$E$17:$E$66,"",0)</f>
        <v>0</v>
      </c>
      <c r="J1468" s="35">
        <f>_xlfn.XLOOKUP(C1468,'Project Details'!$C$17:$C$66,'Project Details'!$H$17:$H$66,"",0)</f>
        <v>0</v>
      </c>
      <c r="K1468" s="36" t="str">
        <f>IF(AND(_xlfn.XLOOKUP(C1468,'Project Details'!$C$17:$C$66,'Project Details'!$L$17:$L$66,"",0)&gt;550, F1468="Spring-L27cm"),"",SUBSTITUTE(_xlfn.XLOOKUP(G1468,SKUs!$C$2:$C$10001,SKUs!$F$2:$F$10001,"",0), " Accessories",""))</f>
        <v/>
      </c>
      <c r="L1468" s="36">
        <f>_xlfn.XLOOKUP(C1468,'Project Details'!$C$17:$C$66,'Project Details'!$D$17:$D$66,"",0)</f>
        <v>0</v>
      </c>
      <c r="M1468" s="43"/>
    </row>
    <row r="1469" spans="1:13" x14ac:dyDescent="0.25">
      <c r="A1469" s="43"/>
      <c r="B1469" s="43"/>
      <c r="C1469" s="16">
        <f t="shared" si="28"/>
        <v>30</v>
      </c>
      <c r="D1469" s="16" t="str" cm="1">
        <f t="array" ref="D1469">IFERROR(ROUNDUP(_xlfn.IFS(F1469="Aluminum Track", _xlfn.XLOOKUP(C1469, dd_accsrycalc!$A$2:$A$51, dd_accsrycalc!$B$2:$B$51, "",0), F1469="10 x 2 1/2 S (Flat)", _xlfn.XLOOKUP(C1469, dd_accsrycalc!$A$2:$A$51, dd_accsrycalc!$C$2:$C$51, "",0), F1469="Tox6", _xlfn.XLOOKUP(C1469, dd_accsrycalc!$A$2:$A$51, dd_accsrycalc!$D$2:$D$51, "",0), F1469="Cover Cap", _xlfn.XLOOKUP(C1469, dd_accsrycalc!$A$2:$A$51, dd_accsrycalc!$E$2:$E$51, "",0), F1469="Drainage Cover", _xlfn.XLOOKUP(C1469, dd_accsrycalc!$A$2:$A$51, dd_accsrycalc!$F$2:$F$51, "",0),AND( F1469="Double Adhesive Tape", I1469="Roll-up Screen"), _xlfn.XLOOKUP(C1469, calc_rusacc!$C$15:$C$65, calc_rusacc!$AD$15:$AD$65, "",0),AND( F1469="Sealant", I1469="Roll-up Screen"), _xlfn.XLOOKUP(C1469, calc_rusacc!$C$15:$C$65, calc_rusacc!$AF$15:$AF$65, "",0),  AND( F1469="Main Chain", I1469="Accordion Screen"), _xlfn.XLOOKUP(C1469, calc_rusacc!$C$15:$C$65, calc_rusacc!$BF$15:$BF$65, "",0), AND( F1469="Sealant", I1469="Accordion Screen"), _xlfn.XLOOKUP(C1469, calc_rusacc!$C$15:$C$65, calc_rusacc!$BJ$15:$BJ$65, "",0),  F1469="Sealant", _xlfn.XLOOKUP(C1469, dd_accsrycalc!$A$2:$A$51, dd_accsrycalc!$G$2:$G$51, "",0),  F1469&lt;&gt;"",L1469*_xlfn.XLOOKUP(1, (SKUs!$C$2:$C$10001=G1469)*(SKUs!$K$2:$K$10001=I1469),SKUs!$E$2:$E$10001)), 0),"")</f>
        <v/>
      </c>
      <c r="E1469" s="16" t="str">
        <f>_xlfn.XLOOKUP(F1469,dd_item!$B$2:$B$105,dd_item!$C$2:$C$105,"",0)</f>
        <v/>
      </c>
      <c r="F1469" s="16"/>
      <c r="G1469" s="16" cm="1">
        <f t="array" ref="G1469">IFERROR(_xlfn.XLOOKUP(1, (SKUs!$J$2:$J$10001=accsry_unmerged!F1469)*IF(H1469&lt;&gt;"",(SKUs!$L$2:$L$10001=accsry_unmerged!H1469),1)*(SKUs!$K$2:$K$10001=I1469),SKUs!$C$2:$C$10001),"")</f>
        <v>0</v>
      </c>
      <c r="H1469" s="33" cm="1">
        <f t="array" ref="H1469">IFERROR(_xlfn.XLOOKUP(1, (dd_accsryclr!$C$2:$C$1000=accsry_unmerged!F1469)*(dd_accsryclr!$B$2:$B$1000=accsry_unmerged!J1469),dd_accsryclr!$A$2:$A$1000),"")</f>
        <v>0</v>
      </c>
      <c r="I1469" s="16">
        <f>_xlfn.XLOOKUP(C1469,'Project Details'!$C$17:$C$66,'Project Details'!$E$17:$E$66,"",0)</f>
        <v>0</v>
      </c>
      <c r="J1469" s="16">
        <f>_xlfn.XLOOKUP(C1469,'Project Details'!$C$17:$C$66,'Project Details'!$H$17:$H$66,"",0)</f>
        <v>0</v>
      </c>
      <c r="K1469" s="33" t="str">
        <f>IF(AND(_xlfn.XLOOKUP(C1469,'Project Details'!$C$17:$C$66,'Project Details'!$L$17:$L$66,"",0)&gt;550, F1469="Spring-L27cm"),"",SUBSTITUTE(_xlfn.XLOOKUP(G1469,SKUs!$C$2:$C$10001,SKUs!$F$2:$F$10001,"",0), " Accessories",""))</f>
        <v/>
      </c>
      <c r="L1469" s="33">
        <f>_xlfn.XLOOKUP(C1469,'Project Details'!$C$17:$C$66,'Project Details'!$D$17:$D$66,"",0)</f>
        <v>0</v>
      </c>
      <c r="M1469" s="43"/>
    </row>
    <row r="1470" spans="1:13" x14ac:dyDescent="0.25">
      <c r="A1470" s="43"/>
      <c r="B1470" s="43"/>
      <c r="C1470" s="35">
        <f t="shared" si="28"/>
        <v>30</v>
      </c>
      <c r="D1470" s="35" t="str" cm="1">
        <f t="array" ref="D1470">IFERROR(ROUNDUP(_xlfn.IFS(F1470="Aluminum Track", _xlfn.XLOOKUP(C1470, dd_accsrycalc!$A$2:$A$51, dd_accsrycalc!$B$2:$B$51, "",0), F1470="10 x 2 1/2 S (Flat)", _xlfn.XLOOKUP(C1470, dd_accsrycalc!$A$2:$A$51, dd_accsrycalc!$C$2:$C$51, "",0), F1470="Tox6", _xlfn.XLOOKUP(C1470, dd_accsrycalc!$A$2:$A$51, dd_accsrycalc!$D$2:$D$51, "",0), F1470="Cover Cap", _xlfn.XLOOKUP(C1470, dd_accsrycalc!$A$2:$A$51, dd_accsrycalc!$E$2:$E$51, "",0), F1470="Drainage Cover", _xlfn.XLOOKUP(C1470, dd_accsrycalc!$A$2:$A$51, dd_accsrycalc!$F$2:$F$51, "",0),AND( F1470="Double Adhesive Tape", I1470="Roll-up Screen"), _xlfn.XLOOKUP(C1470, calc_rusacc!$C$15:$C$65, calc_rusacc!$AD$15:$AD$65, "",0),AND( F1470="Sealant", I1470="Roll-up Screen"), _xlfn.XLOOKUP(C1470, calc_rusacc!$C$15:$C$65, calc_rusacc!$AF$15:$AF$65, "",0),  AND( F1470="Main Chain", I1470="Accordion Screen"), _xlfn.XLOOKUP(C1470, calc_rusacc!$C$15:$C$65, calc_rusacc!$BF$15:$BF$65, "",0), AND( F1470="Sealant", I1470="Accordion Screen"), _xlfn.XLOOKUP(C1470, calc_rusacc!$C$15:$C$65, calc_rusacc!$BJ$15:$BJ$65, "",0),  F1470="Sealant", _xlfn.XLOOKUP(C1470, dd_accsrycalc!$A$2:$A$51, dd_accsrycalc!$G$2:$G$51, "",0),  F1470&lt;&gt;"",L1470*_xlfn.XLOOKUP(1, (SKUs!$C$2:$C$10001=G1470)*(SKUs!$K$2:$K$10001=I1470),SKUs!$E$2:$E$10001)), 0),"")</f>
        <v/>
      </c>
      <c r="E1470" s="35" t="str">
        <f>_xlfn.XLOOKUP(F1470,dd_item!$B$2:$B$105,dd_item!$C$2:$C$105,"",0)</f>
        <v/>
      </c>
      <c r="F1470" s="35"/>
      <c r="G1470" s="35" cm="1">
        <f t="array" ref="G1470">IFERROR(_xlfn.XLOOKUP(1, (SKUs!$J$2:$J$10001=accsry_unmerged!F1470)*IF(H1470&lt;&gt;"",(SKUs!$L$2:$L$10001=accsry_unmerged!H1470),1)*(SKUs!$K$2:$K$10001=I1470),SKUs!$C$2:$C$10001),"")</f>
        <v>0</v>
      </c>
      <c r="H1470" s="36" cm="1">
        <f t="array" ref="H1470">IFERROR(_xlfn.XLOOKUP(1, (dd_accsryclr!$C$2:$C$1000=accsry_unmerged!F1470)*(dd_accsryclr!$B$2:$B$1000=accsry_unmerged!J1470),dd_accsryclr!$A$2:$A$1000),"")</f>
        <v>0</v>
      </c>
      <c r="I1470" s="35">
        <f>_xlfn.XLOOKUP(C1470,'Project Details'!$C$17:$C$66,'Project Details'!$E$17:$E$66,"",0)</f>
        <v>0</v>
      </c>
      <c r="J1470" s="35">
        <f>_xlfn.XLOOKUP(C1470,'Project Details'!$C$17:$C$66,'Project Details'!$H$17:$H$66,"",0)</f>
        <v>0</v>
      </c>
      <c r="K1470" s="36" t="str">
        <f>IF(AND(_xlfn.XLOOKUP(C1470,'Project Details'!$C$17:$C$66,'Project Details'!$L$17:$L$66,"",0)&gt;550, F1470="Spring-L27cm"),"",SUBSTITUTE(_xlfn.XLOOKUP(G1470,SKUs!$C$2:$C$10001,SKUs!$F$2:$F$10001,"",0), " Accessories",""))</f>
        <v/>
      </c>
      <c r="L1470" s="36">
        <f>_xlfn.XLOOKUP(C1470,'Project Details'!$C$17:$C$66,'Project Details'!$D$17:$D$66,"",0)</f>
        <v>0</v>
      </c>
      <c r="M1470" s="43"/>
    </row>
    <row r="1471" spans="1:13" x14ac:dyDescent="0.25">
      <c r="A1471" s="43"/>
      <c r="B1471" s="43"/>
      <c r="C1471" s="16">
        <f t="shared" si="28"/>
        <v>30</v>
      </c>
      <c r="D1471" s="16" t="str" cm="1">
        <f t="array" ref="D1471">IFERROR(ROUNDUP(_xlfn.IFS(F1471="Aluminum Track", _xlfn.XLOOKUP(C1471, dd_accsrycalc!$A$2:$A$51, dd_accsrycalc!$B$2:$B$51, "",0), F1471="10 x 2 1/2 S (Flat)", _xlfn.XLOOKUP(C1471, dd_accsrycalc!$A$2:$A$51, dd_accsrycalc!$C$2:$C$51, "",0), F1471="Tox6", _xlfn.XLOOKUP(C1471, dd_accsrycalc!$A$2:$A$51, dd_accsrycalc!$D$2:$D$51, "",0), F1471="Cover Cap", _xlfn.XLOOKUP(C1471, dd_accsrycalc!$A$2:$A$51, dd_accsrycalc!$E$2:$E$51, "",0), F1471="Drainage Cover", _xlfn.XLOOKUP(C1471, dd_accsrycalc!$A$2:$A$51, dd_accsrycalc!$F$2:$F$51, "",0),AND( F1471="Double Adhesive Tape", I1471="Roll-up Screen"), _xlfn.XLOOKUP(C1471, calc_rusacc!$C$15:$C$65, calc_rusacc!$AD$15:$AD$65, "",0),AND( F1471="Sealant", I1471="Roll-up Screen"), _xlfn.XLOOKUP(C1471, calc_rusacc!$C$15:$C$65, calc_rusacc!$AF$15:$AF$65, "",0),  AND( F1471="Main Chain", I1471="Accordion Screen"), _xlfn.XLOOKUP(C1471, calc_rusacc!$C$15:$C$65, calc_rusacc!$BF$15:$BF$65, "",0), AND( F1471="Sealant", I1471="Accordion Screen"), _xlfn.XLOOKUP(C1471, calc_rusacc!$C$15:$C$65, calc_rusacc!$BJ$15:$BJ$65, "",0),  F1471="Sealant", _xlfn.XLOOKUP(C1471, dd_accsrycalc!$A$2:$A$51, dd_accsrycalc!$G$2:$G$51, "",0),  F1471&lt;&gt;"",L1471*_xlfn.XLOOKUP(1, (SKUs!$C$2:$C$10001=G1471)*(SKUs!$K$2:$K$10001=I1471),SKUs!$E$2:$E$10001)), 0),"")</f>
        <v/>
      </c>
      <c r="E1471" s="16" t="str">
        <f>_xlfn.XLOOKUP(F1471,dd_item!$B$2:$B$105,dd_item!$C$2:$C$105,"",0)</f>
        <v/>
      </c>
      <c r="F1471" s="16"/>
      <c r="G1471" s="16" cm="1">
        <f t="array" ref="G1471">IFERROR(_xlfn.XLOOKUP(1, (SKUs!$J$2:$J$10001=accsry_unmerged!F1471)*IF(H1471&lt;&gt;"",(SKUs!$L$2:$L$10001=accsry_unmerged!H1471),1)*(SKUs!$K$2:$K$10001=I1471),SKUs!$C$2:$C$10001),"")</f>
        <v>0</v>
      </c>
      <c r="H1471" s="33" cm="1">
        <f t="array" ref="H1471">IFERROR(_xlfn.XLOOKUP(1, (dd_accsryclr!$C$2:$C$1000=accsry_unmerged!F1471)*(dd_accsryclr!$B$2:$B$1000=accsry_unmerged!J1471),dd_accsryclr!$A$2:$A$1000),"")</f>
        <v>0</v>
      </c>
      <c r="I1471" s="16">
        <f>_xlfn.XLOOKUP(C1471,'Project Details'!$C$17:$C$66,'Project Details'!$E$17:$E$66,"",0)</f>
        <v>0</v>
      </c>
      <c r="J1471" s="16">
        <f>_xlfn.XLOOKUP(C1471,'Project Details'!$C$17:$C$66,'Project Details'!$H$17:$H$66,"",0)</f>
        <v>0</v>
      </c>
      <c r="K1471" s="33" t="str">
        <f>IF(AND(_xlfn.XLOOKUP(C1471,'Project Details'!$C$17:$C$66,'Project Details'!$L$17:$L$66,"",0)&gt;550, F1471="Spring-L27cm"),"",SUBSTITUTE(_xlfn.XLOOKUP(G1471,SKUs!$C$2:$C$10001,SKUs!$F$2:$F$10001,"",0), " Accessories",""))</f>
        <v/>
      </c>
      <c r="L1471" s="33">
        <f>_xlfn.XLOOKUP(C1471,'Project Details'!$C$17:$C$66,'Project Details'!$D$17:$D$66,"",0)</f>
        <v>0</v>
      </c>
      <c r="M1471" s="43"/>
    </row>
    <row r="1472" spans="1:13" x14ac:dyDescent="0.25">
      <c r="A1472" s="43"/>
      <c r="B1472" s="43"/>
      <c r="C1472" s="35">
        <f t="shared" si="28"/>
        <v>30</v>
      </c>
      <c r="D1472" s="35" t="str" cm="1">
        <f t="array" ref="D1472">IFERROR(ROUNDUP(_xlfn.IFS(F1472="Aluminum Track", _xlfn.XLOOKUP(C1472, dd_accsrycalc!$A$2:$A$51, dd_accsrycalc!$B$2:$B$51, "",0), F1472="10 x 2 1/2 S (Flat)", _xlfn.XLOOKUP(C1472, dd_accsrycalc!$A$2:$A$51, dd_accsrycalc!$C$2:$C$51, "",0), F1472="Tox6", _xlfn.XLOOKUP(C1472, dd_accsrycalc!$A$2:$A$51, dd_accsrycalc!$D$2:$D$51, "",0), F1472="Cover Cap", _xlfn.XLOOKUP(C1472, dd_accsrycalc!$A$2:$A$51, dd_accsrycalc!$E$2:$E$51, "",0), F1472="Drainage Cover", _xlfn.XLOOKUP(C1472, dd_accsrycalc!$A$2:$A$51, dd_accsrycalc!$F$2:$F$51, "",0),AND( F1472="Double Adhesive Tape", I1472="Roll-up Screen"), _xlfn.XLOOKUP(C1472, calc_rusacc!$C$15:$C$65, calc_rusacc!$AD$15:$AD$65, "",0),AND( F1472="Sealant", I1472="Roll-up Screen"), _xlfn.XLOOKUP(C1472, calc_rusacc!$C$15:$C$65, calc_rusacc!$AF$15:$AF$65, "",0),  AND( F1472="Main Chain", I1472="Accordion Screen"), _xlfn.XLOOKUP(C1472, calc_rusacc!$C$15:$C$65, calc_rusacc!$BF$15:$BF$65, "",0), AND( F1472="Sealant", I1472="Accordion Screen"), _xlfn.XLOOKUP(C1472, calc_rusacc!$C$15:$C$65, calc_rusacc!$BJ$15:$BJ$65, "",0),  F1472="Sealant", _xlfn.XLOOKUP(C1472, dd_accsrycalc!$A$2:$A$51, dd_accsrycalc!$G$2:$G$51, "",0),  F1472&lt;&gt;"",L1472*_xlfn.XLOOKUP(1, (SKUs!$C$2:$C$10001=G1472)*(SKUs!$K$2:$K$10001=I1472),SKUs!$E$2:$E$10001)), 0),"")</f>
        <v/>
      </c>
      <c r="E1472" s="35" t="str">
        <f>_xlfn.XLOOKUP(F1472,dd_item!$B$2:$B$105,dd_item!$C$2:$C$105,"",0)</f>
        <v/>
      </c>
      <c r="F1472" s="35"/>
      <c r="G1472" s="35" cm="1">
        <f t="array" ref="G1472">IFERROR(_xlfn.XLOOKUP(1, (SKUs!$J$2:$J$10001=accsry_unmerged!F1472)*IF(H1472&lt;&gt;"",(SKUs!$L$2:$L$10001=accsry_unmerged!H1472),1)*(SKUs!$K$2:$K$10001=I1472),SKUs!$C$2:$C$10001),"")</f>
        <v>0</v>
      </c>
      <c r="H1472" s="36" cm="1">
        <f t="array" ref="H1472">IFERROR(_xlfn.XLOOKUP(1, (dd_accsryclr!$C$2:$C$1000=accsry_unmerged!F1472)*(dd_accsryclr!$B$2:$B$1000=accsry_unmerged!J1472),dd_accsryclr!$A$2:$A$1000),"")</f>
        <v>0</v>
      </c>
      <c r="I1472" s="35">
        <f>_xlfn.XLOOKUP(C1472,'Project Details'!$C$17:$C$66,'Project Details'!$E$17:$E$66,"",0)</f>
        <v>0</v>
      </c>
      <c r="J1472" s="35">
        <f>_xlfn.XLOOKUP(C1472,'Project Details'!$C$17:$C$66,'Project Details'!$H$17:$H$66,"",0)</f>
        <v>0</v>
      </c>
      <c r="K1472" s="36" t="str">
        <f>IF(AND(_xlfn.XLOOKUP(C1472,'Project Details'!$C$17:$C$66,'Project Details'!$L$17:$L$66,"",0)&gt;550, F1472="Spring-L27cm"),"",SUBSTITUTE(_xlfn.XLOOKUP(G1472,SKUs!$C$2:$C$10001,SKUs!$F$2:$F$10001,"",0), " Accessories",""))</f>
        <v/>
      </c>
      <c r="L1472" s="36">
        <f>_xlfn.XLOOKUP(C1472,'Project Details'!$C$17:$C$66,'Project Details'!$D$17:$D$66,"",0)</f>
        <v>0</v>
      </c>
      <c r="M1472" s="43"/>
    </row>
    <row r="1473" spans="1:13" x14ac:dyDescent="0.25">
      <c r="A1473" s="43"/>
      <c r="B1473" s="43"/>
      <c r="C1473" s="16">
        <f t="shared" si="28"/>
        <v>30</v>
      </c>
      <c r="D1473" s="16" t="str" cm="1">
        <f t="array" ref="D1473">IFERROR(ROUNDUP(_xlfn.IFS(F1473="Aluminum Track", _xlfn.XLOOKUP(C1473, dd_accsrycalc!$A$2:$A$51, dd_accsrycalc!$B$2:$B$51, "",0), F1473="10 x 2 1/2 S (Flat)", _xlfn.XLOOKUP(C1473, dd_accsrycalc!$A$2:$A$51, dd_accsrycalc!$C$2:$C$51, "",0), F1473="Tox6", _xlfn.XLOOKUP(C1473, dd_accsrycalc!$A$2:$A$51, dd_accsrycalc!$D$2:$D$51, "",0), F1473="Cover Cap", _xlfn.XLOOKUP(C1473, dd_accsrycalc!$A$2:$A$51, dd_accsrycalc!$E$2:$E$51, "",0), F1473="Drainage Cover", _xlfn.XLOOKUP(C1473, dd_accsrycalc!$A$2:$A$51, dd_accsrycalc!$F$2:$F$51, "",0),AND( F1473="Double Adhesive Tape", I1473="Roll-up Screen"), _xlfn.XLOOKUP(C1473, calc_rusacc!$C$15:$C$65, calc_rusacc!$AD$15:$AD$65, "",0),AND( F1473="Sealant", I1473="Roll-up Screen"), _xlfn.XLOOKUP(C1473, calc_rusacc!$C$15:$C$65, calc_rusacc!$AF$15:$AF$65, "",0),  AND( F1473="Main Chain", I1473="Accordion Screen"), _xlfn.XLOOKUP(C1473, calc_rusacc!$C$15:$C$65, calc_rusacc!$BF$15:$BF$65, "",0), AND( F1473="Sealant", I1473="Accordion Screen"), _xlfn.XLOOKUP(C1473, calc_rusacc!$C$15:$C$65, calc_rusacc!$BJ$15:$BJ$65, "",0),  F1473="Sealant", _xlfn.XLOOKUP(C1473, dd_accsrycalc!$A$2:$A$51, dd_accsrycalc!$G$2:$G$51, "",0),  F1473&lt;&gt;"",L1473*_xlfn.XLOOKUP(1, (SKUs!$C$2:$C$10001=G1473)*(SKUs!$K$2:$K$10001=I1473),SKUs!$E$2:$E$10001)), 0),"")</f>
        <v/>
      </c>
      <c r="E1473" s="16" t="str">
        <f>_xlfn.XLOOKUP(F1473,dd_item!$B$2:$B$105,dd_item!$C$2:$C$105,"",0)</f>
        <v/>
      </c>
      <c r="F1473" s="16"/>
      <c r="G1473" s="16" cm="1">
        <f t="array" ref="G1473">IFERROR(_xlfn.XLOOKUP(1, (SKUs!$J$2:$J$10001=accsry_unmerged!F1473)*IF(H1473&lt;&gt;"",(SKUs!$L$2:$L$10001=accsry_unmerged!H1473),1)*(SKUs!$K$2:$K$10001=I1473),SKUs!$C$2:$C$10001),"")</f>
        <v>0</v>
      </c>
      <c r="H1473" s="33" cm="1">
        <f t="array" ref="H1473">IFERROR(_xlfn.XLOOKUP(1, (dd_accsryclr!$C$2:$C$1000=accsry_unmerged!F1473)*(dd_accsryclr!$B$2:$B$1000=accsry_unmerged!J1473),dd_accsryclr!$A$2:$A$1000),"")</f>
        <v>0</v>
      </c>
      <c r="I1473" s="16">
        <f>_xlfn.XLOOKUP(C1473,'Project Details'!$C$17:$C$66,'Project Details'!$E$17:$E$66,"",0)</f>
        <v>0</v>
      </c>
      <c r="J1473" s="16">
        <f>_xlfn.XLOOKUP(C1473,'Project Details'!$C$17:$C$66,'Project Details'!$H$17:$H$66,"",0)</f>
        <v>0</v>
      </c>
      <c r="K1473" s="33" t="str">
        <f>IF(AND(_xlfn.XLOOKUP(C1473,'Project Details'!$C$17:$C$66,'Project Details'!$L$17:$L$66,"",0)&gt;550, F1473="Spring-L27cm"),"",SUBSTITUTE(_xlfn.XLOOKUP(G1473,SKUs!$C$2:$C$10001,SKUs!$F$2:$F$10001,"",0), " Accessories",""))</f>
        <v/>
      </c>
      <c r="L1473" s="33">
        <f>_xlfn.XLOOKUP(C1473,'Project Details'!$C$17:$C$66,'Project Details'!$D$17:$D$66,"",0)</f>
        <v>0</v>
      </c>
      <c r="M1473" s="43"/>
    </row>
    <row r="1474" spans="1:13" x14ac:dyDescent="0.25">
      <c r="A1474" s="43"/>
      <c r="B1474" s="43"/>
      <c r="C1474" s="35">
        <f t="shared" si="28"/>
        <v>30</v>
      </c>
      <c r="D1474" s="35" t="str" cm="1">
        <f t="array" ref="D1474">IFERROR(ROUNDUP(_xlfn.IFS(F1474="Aluminum Track", _xlfn.XLOOKUP(C1474, dd_accsrycalc!$A$2:$A$51, dd_accsrycalc!$B$2:$B$51, "",0), F1474="10 x 2 1/2 S (Flat)", _xlfn.XLOOKUP(C1474, dd_accsrycalc!$A$2:$A$51, dd_accsrycalc!$C$2:$C$51, "",0), F1474="Tox6", _xlfn.XLOOKUP(C1474, dd_accsrycalc!$A$2:$A$51, dd_accsrycalc!$D$2:$D$51, "",0), F1474="Cover Cap", _xlfn.XLOOKUP(C1474, dd_accsrycalc!$A$2:$A$51, dd_accsrycalc!$E$2:$E$51, "",0), F1474="Drainage Cover", _xlfn.XLOOKUP(C1474, dd_accsrycalc!$A$2:$A$51, dd_accsrycalc!$F$2:$F$51, "",0),AND( F1474="Double Adhesive Tape", I1474="Roll-up Screen"), _xlfn.XLOOKUP(C1474, calc_rusacc!$C$15:$C$65, calc_rusacc!$AD$15:$AD$65, "",0),AND( F1474="Sealant", I1474="Roll-up Screen"), _xlfn.XLOOKUP(C1474, calc_rusacc!$C$15:$C$65, calc_rusacc!$AF$15:$AF$65, "",0),  AND( F1474="Main Chain", I1474="Accordion Screen"), _xlfn.XLOOKUP(C1474, calc_rusacc!$C$15:$C$65, calc_rusacc!$BF$15:$BF$65, "",0), AND( F1474="Sealant", I1474="Accordion Screen"), _xlfn.XLOOKUP(C1474, calc_rusacc!$C$15:$C$65, calc_rusacc!$BJ$15:$BJ$65, "",0),  F1474="Sealant", _xlfn.XLOOKUP(C1474, dd_accsrycalc!$A$2:$A$51, dd_accsrycalc!$G$2:$G$51, "",0),  F1474&lt;&gt;"",L1474*_xlfn.XLOOKUP(1, (SKUs!$C$2:$C$10001=G1474)*(SKUs!$K$2:$K$10001=I1474),SKUs!$E$2:$E$10001)), 0),"")</f>
        <v/>
      </c>
      <c r="E1474" s="35" t="str">
        <f>_xlfn.XLOOKUP(F1474,dd_item!$B$2:$B$105,dd_item!$C$2:$C$105,"",0)</f>
        <v/>
      </c>
      <c r="F1474" s="35"/>
      <c r="G1474" s="35" cm="1">
        <f t="array" ref="G1474">IFERROR(_xlfn.XLOOKUP(1, (SKUs!$J$2:$J$10001=accsry_unmerged!F1474)*IF(H1474&lt;&gt;"",(SKUs!$L$2:$L$10001=accsry_unmerged!H1474),1)*(SKUs!$K$2:$K$10001=I1474),SKUs!$C$2:$C$10001),"")</f>
        <v>0</v>
      </c>
      <c r="H1474" s="36" cm="1">
        <f t="array" ref="H1474">IFERROR(_xlfn.XLOOKUP(1, (dd_accsryclr!$C$2:$C$1000=accsry_unmerged!F1474)*(dd_accsryclr!$B$2:$B$1000=accsry_unmerged!J1474),dd_accsryclr!$A$2:$A$1000),"")</f>
        <v>0</v>
      </c>
      <c r="I1474" s="35">
        <f>_xlfn.XLOOKUP(C1474,'Project Details'!$C$17:$C$66,'Project Details'!$E$17:$E$66,"",0)</f>
        <v>0</v>
      </c>
      <c r="J1474" s="35">
        <f>_xlfn.XLOOKUP(C1474,'Project Details'!$C$17:$C$66,'Project Details'!$H$17:$H$66,"",0)</f>
        <v>0</v>
      </c>
      <c r="K1474" s="36" t="str">
        <f>IF(AND(_xlfn.XLOOKUP(C1474,'Project Details'!$C$17:$C$66,'Project Details'!$L$17:$L$66,"",0)&gt;550, F1474="Spring-L27cm"),"",SUBSTITUTE(_xlfn.XLOOKUP(G1474,SKUs!$C$2:$C$10001,SKUs!$F$2:$F$10001,"",0), " Accessories",""))</f>
        <v/>
      </c>
      <c r="L1474" s="36">
        <f>_xlfn.XLOOKUP(C1474,'Project Details'!$C$17:$C$66,'Project Details'!$D$17:$D$66,"",0)</f>
        <v>0</v>
      </c>
      <c r="M1474" s="43"/>
    </row>
    <row r="1475" spans="1:13" x14ac:dyDescent="0.25">
      <c r="A1475" s="43"/>
      <c r="B1475" s="43"/>
      <c r="C1475" s="16">
        <f t="shared" si="28"/>
        <v>30</v>
      </c>
      <c r="D1475" s="16" t="str" cm="1">
        <f t="array" ref="D1475">IFERROR(ROUNDUP(_xlfn.IFS(F1475="Aluminum Track", _xlfn.XLOOKUP(C1475, dd_accsrycalc!$A$2:$A$51, dd_accsrycalc!$B$2:$B$51, "",0), F1475="10 x 2 1/2 S (Flat)", _xlfn.XLOOKUP(C1475, dd_accsrycalc!$A$2:$A$51, dd_accsrycalc!$C$2:$C$51, "",0), F1475="Tox6", _xlfn.XLOOKUP(C1475, dd_accsrycalc!$A$2:$A$51, dd_accsrycalc!$D$2:$D$51, "",0), F1475="Cover Cap", _xlfn.XLOOKUP(C1475, dd_accsrycalc!$A$2:$A$51, dd_accsrycalc!$E$2:$E$51, "",0), F1475="Drainage Cover", _xlfn.XLOOKUP(C1475, dd_accsrycalc!$A$2:$A$51, dd_accsrycalc!$F$2:$F$51, "",0),AND( F1475="Double Adhesive Tape", I1475="Roll-up Screen"), _xlfn.XLOOKUP(C1475, calc_rusacc!$C$15:$C$65, calc_rusacc!$AD$15:$AD$65, "",0),AND( F1475="Sealant", I1475="Roll-up Screen"), _xlfn.XLOOKUP(C1475, calc_rusacc!$C$15:$C$65, calc_rusacc!$AF$15:$AF$65, "",0),  AND( F1475="Main Chain", I1475="Accordion Screen"), _xlfn.XLOOKUP(C1475, calc_rusacc!$C$15:$C$65, calc_rusacc!$BF$15:$BF$65, "",0), AND( F1475="Sealant", I1475="Accordion Screen"), _xlfn.XLOOKUP(C1475, calc_rusacc!$C$15:$C$65, calc_rusacc!$BJ$15:$BJ$65, "",0),  F1475="Sealant", _xlfn.XLOOKUP(C1475, dd_accsrycalc!$A$2:$A$51, dd_accsrycalc!$G$2:$G$51, "",0),  F1475&lt;&gt;"",L1475*_xlfn.XLOOKUP(1, (SKUs!$C$2:$C$10001=G1475)*(SKUs!$K$2:$K$10001=I1475),SKUs!$E$2:$E$10001)), 0),"")</f>
        <v/>
      </c>
      <c r="E1475" s="16" t="str">
        <f>_xlfn.XLOOKUP(F1475,dd_item!$B$2:$B$105,dd_item!$C$2:$C$105,"",0)</f>
        <v/>
      </c>
      <c r="F1475" s="16"/>
      <c r="G1475" s="16" cm="1">
        <f t="array" ref="G1475">IFERROR(_xlfn.XLOOKUP(1, (SKUs!$J$2:$J$10001=accsry_unmerged!F1475)*IF(H1475&lt;&gt;"",(SKUs!$L$2:$L$10001=accsry_unmerged!H1475),1)*(SKUs!$K$2:$K$10001=I1475),SKUs!$C$2:$C$10001),"")</f>
        <v>0</v>
      </c>
      <c r="H1475" s="33" cm="1">
        <f t="array" ref="H1475">IFERROR(_xlfn.XLOOKUP(1, (dd_accsryclr!$C$2:$C$1000=accsry_unmerged!F1475)*(dd_accsryclr!$B$2:$B$1000=accsry_unmerged!J1475),dd_accsryclr!$A$2:$A$1000),"")</f>
        <v>0</v>
      </c>
      <c r="I1475" s="16">
        <f>_xlfn.XLOOKUP(C1475,'Project Details'!$C$17:$C$66,'Project Details'!$E$17:$E$66,"",0)</f>
        <v>0</v>
      </c>
      <c r="J1475" s="16">
        <f>_xlfn.XLOOKUP(C1475,'Project Details'!$C$17:$C$66,'Project Details'!$H$17:$H$66,"",0)</f>
        <v>0</v>
      </c>
      <c r="K1475" s="33" t="str">
        <f>IF(AND(_xlfn.XLOOKUP(C1475,'Project Details'!$C$17:$C$66,'Project Details'!$L$17:$L$66,"",0)&gt;550, F1475="Spring-L27cm"),"",SUBSTITUTE(_xlfn.XLOOKUP(G1475,SKUs!$C$2:$C$10001,SKUs!$F$2:$F$10001,"",0), " Accessories",""))</f>
        <v/>
      </c>
      <c r="L1475" s="33">
        <f>_xlfn.XLOOKUP(C1475,'Project Details'!$C$17:$C$66,'Project Details'!$D$17:$D$66,"",0)</f>
        <v>0</v>
      </c>
      <c r="M1475" s="43"/>
    </row>
    <row r="1476" spans="1:13" x14ac:dyDescent="0.25">
      <c r="A1476" s="43"/>
      <c r="B1476" s="43"/>
      <c r="C1476" s="35">
        <f t="shared" si="28"/>
        <v>30</v>
      </c>
      <c r="D1476" s="35" t="str" cm="1">
        <f t="array" ref="D1476">IFERROR(ROUNDUP(_xlfn.IFS(F1476="Aluminum Track", _xlfn.XLOOKUP(C1476, dd_accsrycalc!$A$2:$A$51, dd_accsrycalc!$B$2:$B$51, "",0), F1476="10 x 2 1/2 S (Flat)", _xlfn.XLOOKUP(C1476, dd_accsrycalc!$A$2:$A$51, dd_accsrycalc!$C$2:$C$51, "",0), F1476="Tox6", _xlfn.XLOOKUP(C1476, dd_accsrycalc!$A$2:$A$51, dd_accsrycalc!$D$2:$D$51, "",0), F1476="Cover Cap", _xlfn.XLOOKUP(C1476, dd_accsrycalc!$A$2:$A$51, dd_accsrycalc!$E$2:$E$51, "",0), F1476="Drainage Cover", _xlfn.XLOOKUP(C1476, dd_accsrycalc!$A$2:$A$51, dd_accsrycalc!$F$2:$F$51, "",0),AND( F1476="Double Adhesive Tape", I1476="Roll-up Screen"), _xlfn.XLOOKUP(C1476, calc_rusacc!$C$15:$C$65, calc_rusacc!$AD$15:$AD$65, "",0),AND( F1476="Sealant", I1476="Roll-up Screen"), _xlfn.XLOOKUP(C1476, calc_rusacc!$C$15:$C$65, calc_rusacc!$AF$15:$AF$65, "",0),  AND( F1476="Main Chain", I1476="Accordion Screen"), _xlfn.XLOOKUP(C1476, calc_rusacc!$C$15:$C$65, calc_rusacc!$BF$15:$BF$65, "",0), AND( F1476="Sealant", I1476="Accordion Screen"), _xlfn.XLOOKUP(C1476, calc_rusacc!$C$15:$C$65, calc_rusacc!$BJ$15:$BJ$65, "",0),  F1476="Sealant", _xlfn.XLOOKUP(C1476, dd_accsrycalc!$A$2:$A$51, dd_accsrycalc!$G$2:$G$51, "",0),  F1476&lt;&gt;"",L1476*_xlfn.XLOOKUP(1, (SKUs!$C$2:$C$10001=G1476)*(SKUs!$K$2:$K$10001=I1476),SKUs!$E$2:$E$10001)), 0),"")</f>
        <v/>
      </c>
      <c r="E1476" s="35" t="str">
        <f>_xlfn.XLOOKUP(F1476,dd_item!$B$2:$B$105,dd_item!$C$2:$C$105,"",0)</f>
        <v/>
      </c>
      <c r="F1476" s="35"/>
      <c r="G1476" s="35" cm="1">
        <f t="array" ref="G1476">IFERROR(_xlfn.XLOOKUP(1, (SKUs!$J$2:$J$10001=accsry_unmerged!F1476)*IF(H1476&lt;&gt;"",(SKUs!$L$2:$L$10001=accsry_unmerged!H1476),1)*(SKUs!$K$2:$K$10001=I1476),SKUs!$C$2:$C$10001),"")</f>
        <v>0</v>
      </c>
      <c r="H1476" s="36" cm="1">
        <f t="array" ref="H1476">IFERROR(_xlfn.XLOOKUP(1, (dd_accsryclr!$C$2:$C$1000=accsry_unmerged!F1476)*(dd_accsryclr!$B$2:$B$1000=accsry_unmerged!J1476),dd_accsryclr!$A$2:$A$1000),"")</f>
        <v>0</v>
      </c>
      <c r="I1476" s="35">
        <f>_xlfn.XLOOKUP(C1476,'Project Details'!$C$17:$C$66,'Project Details'!$E$17:$E$66,"",0)</f>
        <v>0</v>
      </c>
      <c r="J1476" s="35">
        <f>_xlfn.XLOOKUP(C1476,'Project Details'!$C$17:$C$66,'Project Details'!$H$17:$H$66,"",0)</f>
        <v>0</v>
      </c>
      <c r="K1476" s="36" t="str">
        <f>IF(AND(_xlfn.XLOOKUP(C1476,'Project Details'!$C$17:$C$66,'Project Details'!$L$17:$L$66,"",0)&gt;550, F1476="Spring-L27cm"),"",SUBSTITUTE(_xlfn.XLOOKUP(G1476,SKUs!$C$2:$C$10001,SKUs!$F$2:$F$10001,"",0), " Accessories",""))</f>
        <v/>
      </c>
      <c r="L1476" s="36">
        <f>_xlfn.XLOOKUP(C1476,'Project Details'!$C$17:$C$66,'Project Details'!$D$17:$D$66,"",0)</f>
        <v>0</v>
      </c>
      <c r="M1476" s="43"/>
    </row>
    <row r="1477" spans="1:13" x14ac:dyDescent="0.25">
      <c r="A1477" s="43"/>
      <c r="B1477" s="43"/>
      <c r="C1477" s="16">
        <f t="shared" si="28"/>
        <v>30</v>
      </c>
      <c r="D1477" s="16" t="str" cm="1">
        <f t="array" ref="D1477">IFERROR(ROUNDUP(_xlfn.IFS(F1477="Aluminum Track", _xlfn.XLOOKUP(C1477, dd_accsrycalc!$A$2:$A$51, dd_accsrycalc!$B$2:$B$51, "",0), F1477="10 x 2 1/2 S (Flat)", _xlfn.XLOOKUP(C1477, dd_accsrycalc!$A$2:$A$51, dd_accsrycalc!$C$2:$C$51, "",0), F1477="Tox6", _xlfn.XLOOKUP(C1477, dd_accsrycalc!$A$2:$A$51, dd_accsrycalc!$D$2:$D$51, "",0), F1477="Cover Cap", _xlfn.XLOOKUP(C1477, dd_accsrycalc!$A$2:$A$51, dd_accsrycalc!$E$2:$E$51, "",0), F1477="Drainage Cover", _xlfn.XLOOKUP(C1477, dd_accsrycalc!$A$2:$A$51, dd_accsrycalc!$F$2:$F$51, "",0),AND( F1477="Double Adhesive Tape", I1477="Roll-up Screen"), _xlfn.XLOOKUP(C1477, calc_rusacc!$C$15:$C$65, calc_rusacc!$AD$15:$AD$65, "",0),AND( F1477="Sealant", I1477="Roll-up Screen"), _xlfn.XLOOKUP(C1477, calc_rusacc!$C$15:$C$65, calc_rusacc!$AF$15:$AF$65, "",0),  AND( F1477="Main Chain", I1477="Accordion Screen"), _xlfn.XLOOKUP(C1477, calc_rusacc!$C$15:$C$65, calc_rusacc!$BF$15:$BF$65, "",0), AND( F1477="Sealant", I1477="Accordion Screen"), _xlfn.XLOOKUP(C1477, calc_rusacc!$C$15:$C$65, calc_rusacc!$BJ$15:$BJ$65, "",0),  F1477="Sealant", _xlfn.XLOOKUP(C1477, dd_accsrycalc!$A$2:$A$51, dd_accsrycalc!$G$2:$G$51, "",0),  F1477&lt;&gt;"",L1477*_xlfn.XLOOKUP(1, (SKUs!$C$2:$C$10001=G1477)*(SKUs!$K$2:$K$10001=I1477),SKUs!$E$2:$E$10001)), 0),"")</f>
        <v/>
      </c>
      <c r="E1477" s="16" t="str">
        <f>_xlfn.XLOOKUP(F1477,dd_item!$B$2:$B$105,dd_item!$C$2:$C$105,"",0)</f>
        <v/>
      </c>
      <c r="F1477" s="16"/>
      <c r="G1477" s="16" cm="1">
        <f t="array" ref="G1477">IFERROR(_xlfn.XLOOKUP(1, (SKUs!$J$2:$J$10001=accsry_unmerged!F1477)*IF(H1477&lt;&gt;"",(SKUs!$L$2:$L$10001=accsry_unmerged!H1477),1)*(SKUs!$K$2:$K$10001=I1477),SKUs!$C$2:$C$10001),"")</f>
        <v>0</v>
      </c>
      <c r="H1477" s="33" cm="1">
        <f t="array" ref="H1477">IFERROR(_xlfn.XLOOKUP(1, (dd_accsryclr!$C$2:$C$1000=accsry_unmerged!F1477)*(dd_accsryclr!$B$2:$B$1000=accsry_unmerged!J1477),dd_accsryclr!$A$2:$A$1000),"")</f>
        <v>0</v>
      </c>
      <c r="I1477" s="16">
        <f>_xlfn.XLOOKUP(C1477,'Project Details'!$C$17:$C$66,'Project Details'!$E$17:$E$66,"",0)</f>
        <v>0</v>
      </c>
      <c r="J1477" s="16">
        <f>_xlfn.XLOOKUP(C1477,'Project Details'!$C$17:$C$66,'Project Details'!$H$17:$H$66,"",0)</f>
        <v>0</v>
      </c>
      <c r="K1477" s="33" t="str">
        <f>IF(AND(_xlfn.XLOOKUP(C1477,'Project Details'!$C$17:$C$66,'Project Details'!$L$17:$L$66,"",0)&gt;550, F1477="Spring-L27cm"),"",SUBSTITUTE(_xlfn.XLOOKUP(G1477,SKUs!$C$2:$C$10001,SKUs!$F$2:$F$10001,"",0), " Accessories",""))</f>
        <v/>
      </c>
      <c r="L1477" s="33">
        <f>_xlfn.XLOOKUP(C1477,'Project Details'!$C$17:$C$66,'Project Details'!$D$17:$D$66,"",0)</f>
        <v>0</v>
      </c>
      <c r="M1477" s="43"/>
    </row>
    <row r="1478" spans="1:13" x14ac:dyDescent="0.25">
      <c r="A1478" s="43"/>
      <c r="B1478" s="43"/>
      <c r="C1478" s="35">
        <f t="shared" si="28"/>
        <v>30</v>
      </c>
      <c r="D1478" s="35" t="str" cm="1">
        <f t="array" ref="D1478">IFERROR(ROUNDUP(_xlfn.IFS(F1478="Aluminum Track", _xlfn.XLOOKUP(C1478, dd_accsrycalc!$A$2:$A$51, dd_accsrycalc!$B$2:$B$51, "",0), F1478="10 x 2 1/2 S (Flat)", _xlfn.XLOOKUP(C1478, dd_accsrycalc!$A$2:$A$51, dd_accsrycalc!$C$2:$C$51, "",0), F1478="Tox6", _xlfn.XLOOKUP(C1478, dd_accsrycalc!$A$2:$A$51, dd_accsrycalc!$D$2:$D$51, "",0), F1478="Cover Cap", _xlfn.XLOOKUP(C1478, dd_accsrycalc!$A$2:$A$51, dd_accsrycalc!$E$2:$E$51, "",0), F1478="Drainage Cover", _xlfn.XLOOKUP(C1478, dd_accsrycalc!$A$2:$A$51, dd_accsrycalc!$F$2:$F$51, "",0),AND( F1478="Double Adhesive Tape", I1478="Roll-up Screen"), _xlfn.XLOOKUP(C1478, calc_rusacc!$C$15:$C$65, calc_rusacc!$AD$15:$AD$65, "",0),AND( F1478="Sealant", I1478="Roll-up Screen"), _xlfn.XLOOKUP(C1478, calc_rusacc!$C$15:$C$65, calc_rusacc!$AF$15:$AF$65, "",0),  AND( F1478="Main Chain", I1478="Accordion Screen"), _xlfn.XLOOKUP(C1478, calc_rusacc!$C$15:$C$65, calc_rusacc!$BF$15:$BF$65, "",0), AND( F1478="Sealant", I1478="Accordion Screen"), _xlfn.XLOOKUP(C1478, calc_rusacc!$C$15:$C$65, calc_rusacc!$BJ$15:$BJ$65, "",0),  F1478="Sealant", _xlfn.XLOOKUP(C1478, dd_accsrycalc!$A$2:$A$51, dd_accsrycalc!$G$2:$G$51, "",0),  F1478&lt;&gt;"",L1478*_xlfn.XLOOKUP(1, (SKUs!$C$2:$C$10001=G1478)*(SKUs!$K$2:$K$10001=I1478),SKUs!$E$2:$E$10001)), 0),"")</f>
        <v/>
      </c>
      <c r="E1478" s="35" t="str">
        <f>_xlfn.XLOOKUP(F1478,dd_item!$B$2:$B$105,dd_item!$C$2:$C$105,"",0)</f>
        <v/>
      </c>
      <c r="F1478" s="35"/>
      <c r="G1478" s="35" cm="1">
        <f t="array" ref="G1478">IFERROR(_xlfn.XLOOKUP(1, (SKUs!$J$2:$J$10001=accsry_unmerged!F1478)*IF(H1478&lt;&gt;"",(SKUs!$L$2:$L$10001=accsry_unmerged!H1478),1)*(SKUs!$K$2:$K$10001=I1478),SKUs!$C$2:$C$10001),"")</f>
        <v>0</v>
      </c>
      <c r="H1478" s="36" cm="1">
        <f t="array" ref="H1478">IFERROR(_xlfn.XLOOKUP(1, (dd_accsryclr!$C$2:$C$1000=accsry_unmerged!F1478)*(dd_accsryclr!$B$2:$B$1000=accsry_unmerged!J1478),dd_accsryclr!$A$2:$A$1000),"")</f>
        <v>0</v>
      </c>
      <c r="I1478" s="35">
        <f>_xlfn.XLOOKUP(C1478,'Project Details'!$C$17:$C$66,'Project Details'!$E$17:$E$66,"",0)</f>
        <v>0</v>
      </c>
      <c r="J1478" s="35">
        <f>_xlfn.XLOOKUP(C1478,'Project Details'!$C$17:$C$66,'Project Details'!$H$17:$H$66,"",0)</f>
        <v>0</v>
      </c>
      <c r="K1478" s="36" t="str">
        <f>IF(AND(_xlfn.XLOOKUP(C1478,'Project Details'!$C$17:$C$66,'Project Details'!$L$17:$L$66,"",0)&gt;550, F1478="Spring-L27cm"),"",SUBSTITUTE(_xlfn.XLOOKUP(G1478,SKUs!$C$2:$C$10001,SKUs!$F$2:$F$10001,"",0), " Accessories",""))</f>
        <v/>
      </c>
      <c r="L1478" s="36">
        <f>_xlfn.XLOOKUP(C1478,'Project Details'!$C$17:$C$66,'Project Details'!$D$17:$D$66,"",0)</f>
        <v>0</v>
      </c>
      <c r="M1478" s="43"/>
    </row>
    <row r="1479" spans="1:13" x14ac:dyDescent="0.25">
      <c r="A1479" s="43"/>
      <c r="B1479" s="43"/>
      <c r="C1479" s="16">
        <f t="shared" si="28"/>
        <v>30</v>
      </c>
      <c r="D1479" s="16" t="str" cm="1">
        <f t="array" ref="D1479">IFERROR(ROUNDUP(_xlfn.IFS(F1479="Aluminum Track", _xlfn.XLOOKUP(C1479, dd_accsrycalc!$A$2:$A$51, dd_accsrycalc!$B$2:$B$51, "",0), F1479="10 x 2 1/2 S (Flat)", _xlfn.XLOOKUP(C1479, dd_accsrycalc!$A$2:$A$51, dd_accsrycalc!$C$2:$C$51, "",0), F1479="Tox6", _xlfn.XLOOKUP(C1479, dd_accsrycalc!$A$2:$A$51, dd_accsrycalc!$D$2:$D$51, "",0), F1479="Cover Cap", _xlfn.XLOOKUP(C1479, dd_accsrycalc!$A$2:$A$51, dd_accsrycalc!$E$2:$E$51, "",0), F1479="Drainage Cover", _xlfn.XLOOKUP(C1479, dd_accsrycalc!$A$2:$A$51, dd_accsrycalc!$F$2:$F$51, "",0),AND( F1479="Double Adhesive Tape", I1479="Roll-up Screen"), _xlfn.XLOOKUP(C1479, calc_rusacc!$C$15:$C$65, calc_rusacc!$AD$15:$AD$65, "",0),AND( F1479="Sealant", I1479="Roll-up Screen"), _xlfn.XLOOKUP(C1479, calc_rusacc!$C$15:$C$65, calc_rusacc!$AF$15:$AF$65, "",0),  AND( F1479="Main Chain", I1479="Accordion Screen"), _xlfn.XLOOKUP(C1479, calc_rusacc!$C$15:$C$65, calc_rusacc!$BF$15:$BF$65, "",0), AND( F1479="Sealant", I1479="Accordion Screen"), _xlfn.XLOOKUP(C1479, calc_rusacc!$C$15:$C$65, calc_rusacc!$BJ$15:$BJ$65, "",0),  F1479="Sealant", _xlfn.XLOOKUP(C1479, dd_accsrycalc!$A$2:$A$51, dd_accsrycalc!$G$2:$G$51, "",0),  F1479&lt;&gt;"",L1479*_xlfn.XLOOKUP(1, (SKUs!$C$2:$C$10001=G1479)*(SKUs!$K$2:$K$10001=I1479),SKUs!$E$2:$E$10001)), 0),"")</f>
        <v/>
      </c>
      <c r="E1479" s="16" t="str">
        <f>_xlfn.XLOOKUP(F1479,dd_item!$B$2:$B$105,dd_item!$C$2:$C$105,"",0)</f>
        <v/>
      </c>
      <c r="F1479" s="16"/>
      <c r="G1479" s="16" cm="1">
        <f t="array" ref="G1479">IFERROR(_xlfn.XLOOKUP(1, (SKUs!$J$2:$J$10001=accsry_unmerged!F1479)*IF(H1479&lt;&gt;"",(SKUs!$L$2:$L$10001=accsry_unmerged!H1479),1)*(SKUs!$K$2:$K$10001=I1479),SKUs!$C$2:$C$10001),"")</f>
        <v>0</v>
      </c>
      <c r="H1479" s="33" cm="1">
        <f t="array" ref="H1479">IFERROR(_xlfn.XLOOKUP(1, (dd_accsryclr!$C$2:$C$1000=accsry_unmerged!F1479)*(dd_accsryclr!$B$2:$B$1000=accsry_unmerged!J1479),dd_accsryclr!$A$2:$A$1000),"")</f>
        <v>0</v>
      </c>
      <c r="I1479" s="16">
        <f>_xlfn.XLOOKUP(C1479,'Project Details'!$C$17:$C$66,'Project Details'!$E$17:$E$66,"",0)</f>
        <v>0</v>
      </c>
      <c r="J1479" s="16">
        <f>_xlfn.XLOOKUP(C1479,'Project Details'!$C$17:$C$66,'Project Details'!$H$17:$H$66,"",0)</f>
        <v>0</v>
      </c>
      <c r="K1479" s="33" t="str">
        <f>IF(AND(_xlfn.XLOOKUP(C1479,'Project Details'!$C$17:$C$66,'Project Details'!$L$17:$L$66,"",0)&gt;550, F1479="Spring-L27cm"),"",SUBSTITUTE(_xlfn.XLOOKUP(G1479,SKUs!$C$2:$C$10001,SKUs!$F$2:$F$10001,"",0), " Accessories",""))</f>
        <v/>
      </c>
      <c r="L1479" s="33">
        <f>_xlfn.XLOOKUP(C1479,'Project Details'!$C$17:$C$66,'Project Details'!$D$17:$D$66,"",0)</f>
        <v>0</v>
      </c>
      <c r="M1479" s="43"/>
    </row>
    <row r="1480" spans="1:13" x14ac:dyDescent="0.25">
      <c r="A1480" s="43"/>
      <c r="B1480" s="43"/>
      <c r="C1480" s="35">
        <f t="shared" si="28"/>
        <v>30</v>
      </c>
      <c r="D1480" s="35" t="str" cm="1">
        <f t="array" ref="D1480">IFERROR(ROUNDUP(_xlfn.IFS(F1480="Aluminum Track", _xlfn.XLOOKUP(C1480, dd_accsrycalc!$A$2:$A$51, dd_accsrycalc!$B$2:$B$51, "",0), F1480="10 x 2 1/2 S (Flat)", _xlfn.XLOOKUP(C1480, dd_accsrycalc!$A$2:$A$51, dd_accsrycalc!$C$2:$C$51, "",0), F1480="Tox6", _xlfn.XLOOKUP(C1480, dd_accsrycalc!$A$2:$A$51, dd_accsrycalc!$D$2:$D$51, "",0), F1480="Cover Cap", _xlfn.XLOOKUP(C1480, dd_accsrycalc!$A$2:$A$51, dd_accsrycalc!$E$2:$E$51, "",0), F1480="Drainage Cover", _xlfn.XLOOKUP(C1480, dd_accsrycalc!$A$2:$A$51, dd_accsrycalc!$F$2:$F$51, "",0),AND( F1480="Double Adhesive Tape", I1480="Roll-up Screen"), _xlfn.XLOOKUP(C1480, calc_rusacc!$C$15:$C$65, calc_rusacc!$AD$15:$AD$65, "",0),AND( F1480="Sealant", I1480="Roll-up Screen"), _xlfn.XLOOKUP(C1480, calc_rusacc!$C$15:$C$65, calc_rusacc!$AF$15:$AF$65, "",0),  AND( F1480="Main Chain", I1480="Accordion Screen"), _xlfn.XLOOKUP(C1480, calc_rusacc!$C$15:$C$65, calc_rusacc!$BF$15:$BF$65, "",0), AND( F1480="Sealant", I1480="Accordion Screen"), _xlfn.XLOOKUP(C1480, calc_rusacc!$C$15:$C$65, calc_rusacc!$BJ$15:$BJ$65, "",0),  F1480="Sealant", _xlfn.XLOOKUP(C1480, dd_accsrycalc!$A$2:$A$51, dd_accsrycalc!$G$2:$G$51, "",0),  F1480&lt;&gt;"",L1480*_xlfn.XLOOKUP(1, (SKUs!$C$2:$C$10001=G1480)*(SKUs!$K$2:$K$10001=I1480),SKUs!$E$2:$E$10001)), 0),"")</f>
        <v/>
      </c>
      <c r="E1480" s="35" t="str">
        <f>_xlfn.XLOOKUP(F1480,dd_item!$B$2:$B$105,dd_item!$C$2:$C$105,"",0)</f>
        <v/>
      </c>
      <c r="F1480" s="35"/>
      <c r="G1480" s="35" cm="1">
        <f t="array" ref="G1480">IFERROR(_xlfn.XLOOKUP(1, (SKUs!$J$2:$J$10001=accsry_unmerged!F1480)*IF(H1480&lt;&gt;"",(SKUs!$L$2:$L$10001=accsry_unmerged!H1480),1)*(SKUs!$K$2:$K$10001=I1480),SKUs!$C$2:$C$10001),"")</f>
        <v>0</v>
      </c>
      <c r="H1480" s="36" cm="1">
        <f t="array" ref="H1480">IFERROR(_xlfn.XLOOKUP(1, (dd_accsryclr!$C$2:$C$1000=accsry_unmerged!F1480)*(dd_accsryclr!$B$2:$B$1000=accsry_unmerged!J1480),dd_accsryclr!$A$2:$A$1000),"")</f>
        <v>0</v>
      </c>
      <c r="I1480" s="35">
        <f>_xlfn.XLOOKUP(C1480,'Project Details'!$C$17:$C$66,'Project Details'!$E$17:$E$66,"",0)</f>
        <v>0</v>
      </c>
      <c r="J1480" s="35">
        <f>_xlfn.XLOOKUP(C1480,'Project Details'!$C$17:$C$66,'Project Details'!$H$17:$H$66,"",0)</f>
        <v>0</v>
      </c>
      <c r="K1480" s="36" t="str">
        <f>IF(AND(_xlfn.XLOOKUP(C1480,'Project Details'!$C$17:$C$66,'Project Details'!$L$17:$L$66,"",0)&gt;550, F1480="Spring-L27cm"),"",SUBSTITUTE(_xlfn.XLOOKUP(G1480,SKUs!$C$2:$C$10001,SKUs!$F$2:$F$10001,"",0), " Accessories",""))</f>
        <v/>
      </c>
      <c r="L1480" s="36">
        <f>_xlfn.XLOOKUP(C1480,'Project Details'!$C$17:$C$66,'Project Details'!$D$17:$D$66,"",0)</f>
        <v>0</v>
      </c>
      <c r="M1480" s="43"/>
    </row>
    <row r="1481" spans="1:13" x14ac:dyDescent="0.25">
      <c r="A1481" s="43"/>
      <c r="B1481" s="43"/>
      <c r="C1481" s="16">
        <f t="shared" si="28"/>
        <v>30</v>
      </c>
      <c r="D1481" s="16" t="str" cm="1">
        <f t="array" ref="D1481">IFERROR(ROUNDUP(_xlfn.IFS(F1481="Aluminum Track", _xlfn.XLOOKUP(C1481, dd_accsrycalc!$A$2:$A$51, dd_accsrycalc!$B$2:$B$51, "",0), F1481="10 x 2 1/2 S (Flat)", _xlfn.XLOOKUP(C1481, dd_accsrycalc!$A$2:$A$51, dd_accsrycalc!$C$2:$C$51, "",0), F1481="Tox6", _xlfn.XLOOKUP(C1481, dd_accsrycalc!$A$2:$A$51, dd_accsrycalc!$D$2:$D$51, "",0), F1481="Cover Cap", _xlfn.XLOOKUP(C1481, dd_accsrycalc!$A$2:$A$51, dd_accsrycalc!$E$2:$E$51, "",0), F1481="Drainage Cover", _xlfn.XLOOKUP(C1481, dd_accsrycalc!$A$2:$A$51, dd_accsrycalc!$F$2:$F$51, "",0),AND( F1481="Double Adhesive Tape", I1481="Roll-up Screen"), _xlfn.XLOOKUP(C1481, calc_rusacc!$C$15:$C$65, calc_rusacc!$AD$15:$AD$65, "",0),AND( F1481="Sealant", I1481="Roll-up Screen"), _xlfn.XLOOKUP(C1481, calc_rusacc!$C$15:$C$65, calc_rusacc!$AF$15:$AF$65, "",0),  AND( F1481="Main Chain", I1481="Accordion Screen"), _xlfn.XLOOKUP(C1481, calc_rusacc!$C$15:$C$65, calc_rusacc!$BF$15:$BF$65, "",0), AND( F1481="Sealant", I1481="Accordion Screen"), _xlfn.XLOOKUP(C1481, calc_rusacc!$C$15:$C$65, calc_rusacc!$BJ$15:$BJ$65, "",0),  F1481="Sealant", _xlfn.XLOOKUP(C1481, dd_accsrycalc!$A$2:$A$51, dd_accsrycalc!$G$2:$G$51, "",0),  F1481&lt;&gt;"",L1481*_xlfn.XLOOKUP(1, (SKUs!$C$2:$C$10001=G1481)*(SKUs!$K$2:$K$10001=I1481),SKUs!$E$2:$E$10001)), 0),"")</f>
        <v/>
      </c>
      <c r="E1481" s="16" t="str">
        <f>_xlfn.XLOOKUP(F1481,dd_item!$B$2:$B$105,dd_item!$C$2:$C$105,"",0)</f>
        <v/>
      </c>
      <c r="F1481" s="16"/>
      <c r="G1481" s="16" cm="1">
        <f t="array" ref="G1481">IFERROR(_xlfn.XLOOKUP(1, (SKUs!$J$2:$J$10001=accsry_unmerged!F1481)*IF(H1481&lt;&gt;"",(SKUs!$L$2:$L$10001=accsry_unmerged!H1481),1)*(SKUs!$K$2:$K$10001=I1481),SKUs!$C$2:$C$10001),"")</f>
        <v>0</v>
      </c>
      <c r="H1481" s="33" cm="1">
        <f t="array" ref="H1481">IFERROR(_xlfn.XLOOKUP(1, (dd_accsryclr!$C$2:$C$1000=accsry_unmerged!F1481)*(dd_accsryclr!$B$2:$B$1000=accsry_unmerged!J1481),dd_accsryclr!$A$2:$A$1000),"")</f>
        <v>0</v>
      </c>
      <c r="I1481" s="16">
        <f>_xlfn.XLOOKUP(C1481,'Project Details'!$C$17:$C$66,'Project Details'!$E$17:$E$66,"",0)</f>
        <v>0</v>
      </c>
      <c r="J1481" s="16">
        <f>_xlfn.XLOOKUP(C1481,'Project Details'!$C$17:$C$66,'Project Details'!$H$17:$H$66,"",0)</f>
        <v>0</v>
      </c>
      <c r="K1481" s="33" t="str">
        <f>IF(AND(_xlfn.XLOOKUP(C1481,'Project Details'!$C$17:$C$66,'Project Details'!$L$17:$L$66,"",0)&gt;550, F1481="Spring-L27cm"),"",SUBSTITUTE(_xlfn.XLOOKUP(G1481,SKUs!$C$2:$C$10001,SKUs!$F$2:$F$10001,"",0), " Accessories",""))</f>
        <v/>
      </c>
      <c r="L1481" s="33">
        <f>_xlfn.XLOOKUP(C1481,'Project Details'!$C$17:$C$66,'Project Details'!$D$17:$D$66,"",0)</f>
        <v>0</v>
      </c>
      <c r="M1481" s="43"/>
    </row>
    <row r="1482" spans="1:13" x14ac:dyDescent="0.25">
      <c r="A1482" s="43"/>
      <c r="B1482" s="43"/>
      <c r="C1482" s="35">
        <f t="shared" si="28"/>
        <v>30</v>
      </c>
      <c r="D1482" s="35" t="str" cm="1">
        <f t="array" ref="D1482">IFERROR(ROUNDUP(_xlfn.IFS(F1482="Aluminum Track", _xlfn.XLOOKUP(C1482, dd_accsrycalc!$A$2:$A$51, dd_accsrycalc!$B$2:$B$51, "",0), F1482="10 x 2 1/2 S (Flat)", _xlfn.XLOOKUP(C1482, dd_accsrycalc!$A$2:$A$51, dd_accsrycalc!$C$2:$C$51, "",0), F1482="Tox6", _xlfn.XLOOKUP(C1482, dd_accsrycalc!$A$2:$A$51, dd_accsrycalc!$D$2:$D$51, "",0), F1482="Cover Cap", _xlfn.XLOOKUP(C1482, dd_accsrycalc!$A$2:$A$51, dd_accsrycalc!$E$2:$E$51, "",0), F1482="Drainage Cover", _xlfn.XLOOKUP(C1482, dd_accsrycalc!$A$2:$A$51, dd_accsrycalc!$F$2:$F$51, "",0),AND( F1482="Double Adhesive Tape", I1482="Roll-up Screen"), _xlfn.XLOOKUP(C1482, calc_rusacc!$C$15:$C$65, calc_rusacc!$AD$15:$AD$65, "",0),AND( F1482="Sealant", I1482="Roll-up Screen"), _xlfn.XLOOKUP(C1482, calc_rusacc!$C$15:$C$65, calc_rusacc!$AF$15:$AF$65, "",0),  AND( F1482="Main Chain", I1482="Accordion Screen"), _xlfn.XLOOKUP(C1482, calc_rusacc!$C$15:$C$65, calc_rusacc!$BF$15:$BF$65, "",0), AND( F1482="Sealant", I1482="Accordion Screen"), _xlfn.XLOOKUP(C1482, calc_rusacc!$C$15:$C$65, calc_rusacc!$BJ$15:$BJ$65, "",0),  F1482="Sealant", _xlfn.XLOOKUP(C1482, dd_accsrycalc!$A$2:$A$51, dd_accsrycalc!$G$2:$G$51, "",0),  F1482&lt;&gt;"",L1482*_xlfn.XLOOKUP(1, (SKUs!$C$2:$C$10001=G1482)*(SKUs!$K$2:$K$10001=I1482),SKUs!$E$2:$E$10001)), 0),"")</f>
        <v/>
      </c>
      <c r="E1482" s="35" t="str">
        <f>_xlfn.XLOOKUP(F1482,dd_item!$B$2:$B$105,dd_item!$C$2:$C$105,"",0)</f>
        <v/>
      </c>
      <c r="F1482" s="35"/>
      <c r="G1482" s="35" cm="1">
        <f t="array" ref="G1482">IFERROR(_xlfn.XLOOKUP(1, (SKUs!$J$2:$J$10001=accsry_unmerged!F1482)*IF(H1482&lt;&gt;"",(SKUs!$L$2:$L$10001=accsry_unmerged!H1482),1)*(SKUs!$K$2:$K$10001=I1482),SKUs!$C$2:$C$10001),"")</f>
        <v>0</v>
      </c>
      <c r="H1482" s="36" cm="1">
        <f t="array" ref="H1482">IFERROR(_xlfn.XLOOKUP(1, (dd_accsryclr!$C$2:$C$1000=accsry_unmerged!F1482)*(dd_accsryclr!$B$2:$B$1000=accsry_unmerged!J1482),dd_accsryclr!$A$2:$A$1000),"")</f>
        <v>0</v>
      </c>
      <c r="I1482" s="35">
        <f>_xlfn.XLOOKUP(C1482,'Project Details'!$C$17:$C$66,'Project Details'!$E$17:$E$66,"",0)</f>
        <v>0</v>
      </c>
      <c r="J1482" s="35">
        <f>_xlfn.XLOOKUP(C1482,'Project Details'!$C$17:$C$66,'Project Details'!$H$17:$H$66,"",0)</f>
        <v>0</v>
      </c>
      <c r="K1482" s="36" t="str">
        <f>IF(AND(_xlfn.XLOOKUP(C1482,'Project Details'!$C$17:$C$66,'Project Details'!$L$17:$L$66,"",0)&gt;550, F1482="Spring-L27cm"),"",SUBSTITUTE(_xlfn.XLOOKUP(G1482,SKUs!$C$2:$C$10001,SKUs!$F$2:$F$10001,"",0), " Accessories",""))</f>
        <v/>
      </c>
      <c r="L1482" s="36">
        <f>_xlfn.XLOOKUP(C1482,'Project Details'!$C$17:$C$66,'Project Details'!$D$17:$D$66,"",0)</f>
        <v>0</v>
      </c>
      <c r="M1482" s="43"/>
    </row>
    <row r="1483" spans="1:13" x14ac:dyDescent="0.25">
      <c r="A1483" s="43"/>
      <c r="B1483" s="43"/>
      <c r="C1483" s="16">
        <f t="shared" si="28"/>
        <v>30</v>
      </c>
      <c r="D1483" s="16" t="str" cm="1">
        <f t="array" ref="D1483">IFERROR(ROUNDUP(_xlfn.IFS(F1483="Aluminum Track", _xlfn.XLOOKUP(C1483, dd_accsrycalc!$A$2:$A$51, dd_accsrycalc!$B$2:$B$51, "",0), F1483="10 x 2 1/2 S (Flat)", _xlfn.XLOOKUP(C1483, dd_accsrycalc!$A$2:$A$51, dd_accsrycalc!$C$2:$C$51, "",0), F1483="Tox6", _xlfn.XLOOKUP(C1483, dd_accsrycalc!$A$2:$A$51, dd_accsrycalc!$D$2:$D$51, "",0), F1483="Cover Cap", _xlfn.XLOOKUP(C1483, dd_accsrycalc!$A$2:$A$51, dd_accsrycalc!$E$2:$E$51, "",0), F1483="Drainage Cover", _xlfn.XLOOKUP(C1483, dd_accsrycalc!$A$2:$A$51, dd_accsrycalc!$F$2:$F$51, "",0),AND( F1483="Double Adhesive Tape", I1483="Roll-up Screen"), _xlfn.XLOOKUP(C1483, calc_rusacc!$C$15:$C$65, calc_rusacc!$AD$15:$AD$65, "",0),AND( F1483="Sealant", I1483="Roll-up Screen"), _xlfn.XLOOKUP(C1483, calc_rusacc!$C$15:$C$65, calc_rusacc!$AF$15:$AF$65, "",0),  AND( F1483="Main Chain", I1483="Accordion Screen"), _xlfn.XLOOKUP(C1483, calc_rusacc!$C$15:$C$65, calc_rusacc!$BF$15:$BF$65, "",0), AND( F1483="Sealant", I1483="Accordion Screen"), _xlfn.XLOOKUP(C1483, calc_rusacc!$C$15:$C$65, calc_rusacc!$BJ$15:$BJ$65, "",0),  F1483="Sealant", _xlfn.XLOOKUP(C1483, dd_accsrycalc!$A$2:$A$51, dd_accsrycalc!$G$2:$G$51, "",0),  F1483&lt;&gt;"",L1483*_xlfn.XLOOKUP(1, (SKUs!$C$2:$C$10001=G1483)*(SKUs!$K$2:$K$10001=I1483),SKUs!$E$2:$E$10001)), 0),"")</f>
        <v/>
      </c>
      <c r="E1483" s="16" t="str">
        <f>_xlfn.XLOOKUP(F1483,dd_item!$B$2:$B$105,dd_item!$C$2:$C$105,"",0)</f>
        <v/>
      </c>
      <c r="F1483" s="16"/>
      <c r="G1483" s="16" cm="1">
        <f t="array" ref="G1483">IFERROR(_xlfn.XLOOKUP(1, (SKUs!$J$2:$J$10001=accsry_unmerged!F1483)*IF(H1483&lt;&gt;"",(SKUs!$L$2:$L$10001=accsry_unmerged!H1483),1)*(SKUs!$K$2:$K$10001=I1483),SKUs!$C$2:$C$10001),"")</f>
        <v>0</v>
      </c>
      <c r="H1483" s="33" cm="1">
        <f t="array" ref="H1483">IFERROR(_xlfn.XLOOKUP(1, (dd_accsryclr!$C$2:$C$1000=accsry_unmerged!F1483)*(dd_accsryclr!$B$2:$B$1000=accsry_unmerged!J1483),dd_accsryclr!$A$2:$A$1000),"")</f>
        <v>0</v>
      </c>
      <c r="I1483" s="16">
        <f>_xlfn.XLOOKUP(C1483,'Project Details'!$C$17:$C$66,'Project Details'!$E$17:$E$66,"",0)</f>
        <v>0</v>
      </c>
      <c r="J1483" s="16">
        <f>_xlfn.XLOOKUP(C1483,'Project Details'!$C$17:$C$66,'Project Details'!$H$17:$H$66,"",0)</f>
        <v>0</v>
      </c>
      <c r="K1483" s="33" t="str">
        <f>IF(AND(_xlfn.XLOOKUP(C1483,'Project Details'!$C$17:$C$66,'Project Details'!$L$17:$L$66,"",0)&gt;550, F1483="Spring-L27cm"),"",SUBSTITUTE(_xlfn.XLOOKUP(G1483,SKUs!$C$2:$C$10001,SKUs!$F$2:$F$10001,"",0), " Accessories",""))</f>
        <v/>
      </c>
      <c r="L1483" s="33">
        <f>_xlfn.XLOOKUP(C1483,'Project Details'!$C$17:$C$66,'Project Details'!$D$17:$D$66,"",0)</f>
        <v>0</v>
      </c>
      <c r="M1483" s="43"/>
    </row>
    <row r="1484" spans="1:13" ht="13.5" customHeight="1" x14ac:dyDescent="0.25">
      <c r="A1484" s="43"/>
      <c r="B1484" s="43"/>
      <c r="C1484" s="35">
        <f t="shared" si="28"/>
        <v>30</v>
      </c>
      <c r="D1484" s="35" t="str" cm="1">
        <f t="array" ref="D1484">IFERROR(ROUNDUP(_xlfn.IFS(F1484="Aluminum Track", _xlfn.XLOOKUP(C1484, dd_accsrycalc!$A$2:$A$51, dd_accsrycalc!$B$2:$B$51, "",0), F1484="10 x 2 1/2 S (Flat)", _xlfn.XLOOKUP(C1484, dd_accsrycalc!$A$2:$A$51, dd_accsrycalc!$C$2:$C$51, "",0), F1484="Tox6", _xlfn.XLOOKUP(C1484, dd_accsrycalc!$A$2:$A$51, dd_accsrycalc!$D$2:$D$51, "",0), F1484="Cover Cap", _xlfn.XLOOKUP(C1484, dd_accsrycalc!$A$2:$A$51, dd_accsrycalc!$E$2:$E$51, "",0), F1484="Drainage Cover", _xlfn.XLOOKUP(C1484, dd_accsrycalc!$A$2:$A$51, dd_accsrycalc!$F$2:$F$51, "",0),AND( F1484="Double Adhesive Tape", I1484="Roll-up Screen"), _xlfn.XLOOKUP(C1484, calc_rusacc!$C$15:$C$65, calc_rusacc!$AD$15:$AD$65, "",0),AND( F1484="Sealant", I1484="Roll-up Screen"), _xlfn.XLOOKUP(C1484, calc_rusacc!$C$15:$C$65, calc_rusacc!$AF$15:$AF$65, "",0),  AND( F1484="Main Chain", I1484="Accordion Screen"), _xlfn.XLOOKUP(C1484, calc_rusacc!$C$15:$C$65, calc_rusacc!$BF$15:$BF$65, "",0), AND( F1484="Sealant", I1484="Accordion Screen"), _xlfn.XLOOKUP(C1484, calc_rusacc!$C$15:$C$65, calc_rusacc!$BJ$15:$BJ$65, "",0),  F1484="Sealant", _xlfn.XLOOKUP(C1484, dd_accsrycalc!$A$2:$A$51, dd_accsrycalc!$G$2:$G$51, "",0),  F1484&lt;&gt;"",L1484*_xlfn.XLOOKUP(1, (SKUs!$C$2:$C$10001=G1484)*(SKUs!$K$2:$K$10001=I1484),SKUs!$E$2:$E$10001)), 0),"")</f>
        <v/>
      </c>
      <c r="E1484" s="35" t="str">
        <f>_xlfn.XLOOKUP(F1484,dd_item!$B$2:$B$105,dd_item!$C$2:$C$105,"",0)</f>
        <v/>
      </c>
      <c r="F1484" s="35"/>
      <c r="G1484" s="35" cm="1">
        <f t="array" ref="G1484">IFERROR(_xlfn.XLOOKUP(1, (SKUs!$J$2:$J$10001=accsry_unmerged!F1484)*IF(H1484&lt;&gt;"",(SKUs!$L$2:$L$10001=accsry_unmerged!H1484),1)*(SKUs!$K$2:$K$10001=I1484),SKUs!$C$2:$C$10001),"")</f>
        <v>0</v>
      </c>
      <c r="H1484" s="36" cm="1">
        <f t="array" ref="H1484">IFERROR(_xlfn.XLOOKUP(1, (dd_accsryclr!$C$2:$C$1000=accsry_unmerged!F1484)*(dd_accsryclr!$B$2:$B$1000=accsry_unmerged!J1484),dd_accsryclr!$A$2:$A$1000),"")</f>
        <v>0</v>
      </c>
      <c r="I1484" s="35">
        <f>_xlfn.XLOOKUP(C1484,'Project Details'!$C$17:$C$66,'Project Details'!$E$17:$E$66,"",0)</f>
        <v>0</v>
      </c>
      <c r="J1484" s="35">
        <f>_xlfn.XLOOKUP(C1484,'Project Details'!$C$17:$C$66,'Project Details'!$H$17:$H$66,"",0)</f>
        <v>0</v>
      </c>
      <c r="K1484" s="36" t="str">
        <f>IF(AND(_xlfn.XLOOKUP(C1484,'Project Details'!$C$17:$C$66,'Project Details'!$L$17:$L$66,"",0)&gt;550, F1484="Spring-L27cm"),"",SUBSTITUTE(_xlfn.XLOOKUP(G1484,SKUs!$C$2:$C$10001,SKUs!$F$2:$F$10001,"",0), " Accessories",""))</f>
        <v/>
      </c>
      <c r="L1484" s="36">
        <f>_xlfn.XLOOKUP(C1484,'Project Details'!$C$17:$C$66,'Project Details'!$D$17:$D$66,"",0)</f>
        <v>0</v>
      </c>
      <c r="M1484" s="43"/>
    </row>
    <row r="1485" spans="1:13" ht="13.5" customHeight="1" x14ac:dyDescent="0.25">
      <c r="A1485" s="43"/>
      <c r="B1485" s="43"/>
      <c r="C1485" s="16">
        <f t="shared" si="28"/>
        <v>30</v>
      </c>
      <c r="D1485" s="16" t="str" cm="1">
        <f t="array" ref="D1485">IFERROR(ROUNDUP(_xlfn.IFS(F1485="Aluminum Track", _xlfn.XLOOKUP(C1485, dd_accsrycalc!$A$2:$A$51, dd_accsrycalc!$B$2:$B$51, "",0), F1485="10 x 2 1/2 S (Flat)", _xlfn.XLOOKUP(C1485, dd_accsrycalc!$A$2:$A$51, dd_accsrycalc!$C$2:$C$51, "",0), F1485="Tox6", _xlfn.XLOOKUP(C1485, dd_accsrycalc!$A$2:$A$51, dd_accsrycalc!$D$2:$D$51, "",0), F1485="Cover Cap", _xlfn.XLOOKUP(C1485, dd_accsrycalc!$A$2:$A$51, dd_accsrycalc!$E$2:$E$51, "",0), F1485="Drainage Cover", _xlfn.XLOOKUP(C1485, dd_accsrycalc!$A$2:$A$51, dd_accsrycalc!$F$2:$F$51, "",0),AND( F1485="Double Adhesive Tape", I1485="Roll-up Screen"), _xlfn.XLOOKUP(C1485, calc_rusacc!$C$15:$C$65, calc_rusacc!$AD$15:$AD$65, "",0),AND( F1485="Sealant", I1485="Roll-up Screen"), _xlfn.XLOOKUP(C1485, calc_rusacc!$C$15:$C$65, calc_rusacc!$AF$15:$AF$65, "",0),  AND( F1485="Main Chain", I1485="Accordion Screen"), _xlfn.XLOOKUP(C1485, calc_rusacc!$C$15:$C$65, calc_rusacc!$BF$15:$BF$65, "",0), AND( F1485="Sealant", I1485="Accordion Screen"), _xlfn.XLOOKUP(C1485, calc_rusacc!$C$15:$C$65, calc_rusacc!$BJ$15:$BJ$65, "",0),  F1485="Sealant", _xlfn.XLOOKUP(C1485, dd_accsrycalc!$A$2:$A$51, dd_accsrycalc!$G$2:$G$51, "",0),  F1485&lt;&gt;"",L1485*_xlfn.XLOOKUP(1, (SKUs!$C$2:$C$10001=G1485)*(SKUs!$K$2:$K$10001=I1485),SKUs!$E$2:$E$10001)), 0),"")</f>
        <v/>
      </c>
      <c r="E1485" s="16" t="str">
        <f>_xlfn.XLOOKUP(F1485,dd_item!$B$2:$B$105,dd_item!$C$2:$C$105,"",0)</f>
        <v/>
      </c>
      <c r="F1485" s="16"/>
      <c r="G1485" s="16" cm="1">
        <f t="array" ref="G1485">IFERROR(_xlfn.XLOOKUP(1, (SKUs!$J$2:$J$10001=accsry_unmerged!F1485)*IF(H1485&lt;&gt;"",(SKUs!$L$2:$L$10001=accsry_unmerged!H1485),1)*(SKUs!$K$2:$K$10001=I1485),SKUs!$C$2:$C$10001),"")</f>
        <v>0</v>
      </c>
      <c r="H1485" s="33" cm="1">
        <f t="array" ref="H1485">IFERROR(_xlfn.XLOOKUP(1, (dd_accsryclr!$C$2:$C$1000=accsry_unmerged!F1485)*(dd_accsryclr!$B$2:$B$1000=accsry_unmerged!J1485),dd_accsryclr!$A$2:$A$1000),"")</f>
        <v>0</v>
      </c>
      <c r="I1485" s="16">
        <f>_xlfn.XLOOKUP(C1485,'Project Details'!$C$17:$C$66,'Project Details'!$E$17:$E$66,"",0)</f>
        <v>0</v>
      </c>
      <c r="J1485" s="16">
        <f>_xlfn.XLOOKUP(C1485,'Project Details'!$C$17:$C$66,'Project Details'!$H$17:$H$66,"",0)</f>
        <v>0</v>
      </c>
      <c r="K1485" s="33" t="str">
        <f>IF(AND(_xlfn.XLOOKUP(C1485,'Project Details'!$C$17:$C$66,'Project Details'!$L$17:$L$66,"",0)&gt;550, F1485="Spring-L27cm"),"",SUBSTITUTE(_xlfn.XLOOKUP(G1485,SKUs!$C$2:$C$10001,SKUs!$F$2:$F$10001,"",0), " Accessories",""))</f>
        <v/>
      </c>
      <c r="L1485" s="33">
        <f>_xlfn.XLOOKUP(C1485,'Project Details'!$C$17:$C$66,'Project Details'!$D$17:$D$66,"",0)</f>
        <v>0</v>
      </c>
      <c r="M1485" s="43"/>
    </row>
    <row r="1486" spans="1:13" ht="13.5" customHeight="1" x14ac:dyDescent="0.25">
      <c r="A1486" s="43"/>
      <c r="B1486" s="43"/>
      <c r="C1486" s="35">
        <f t="shared" si="28"/>
        <v>30</v>
      </c>
      <c r="D1486" s="35" t="str" cm="1">
        <f t="array" ref="D1486">IFERROR(ROUNDUP(_xlfn.IFS(F1486="Aluminum Track", _xlfn.XLOOKUP(C1486, dd_accsrycalc!$A$2:$A$51, dd_accsrycalc!$B$2:$B$51, "",0), F1486="10 x 2 1/2 S (Flat)", _xlfn.XLOOKUP(C1486, dd_accsrycalc!$A$2:$A$51, dd_accsrycalc!$C$2:$C$51, "",0), F1486="Tox6", _xlfn.XLOOKUP(C1486, dd_accsrycalc!$A$2:$A$51, dd_accsrycalc!$D$2:$D$51, "",0), F1486="Cover Cap", _xlfn.XLOOKUP(C1486, dd_accsrycalc!$A$2:$A$51, dd_accsrycalc!$E$2:$E$51, "",0), F1486="Drainage Cover", _xlfn.XLOOKUP(C1486, dd_accsrycalc!$A$2:$A$51, dd_accsrycalc!$F$2:$F$51, "",0),AND( F1486="Double Adhesive Tape", I1486="Roll-up Screen"), _xlfn.XLOOKUP(C1486, calc_rusacc!$C$15:$C$65, calc_rusacc!$AD$15:$AD$65, "",0),AND( F1486="Sealant", I1486="Roll-up Screen"), _xlfn.XLOOKUP(C1486, calc_rusacc!$C$15:$C$65, calc_rusacc!$AF$15:$AF$65, "",0),  AND( F1486="Main Chain", I1486="Accordion Screen"), _xlfn.XLOOKUP(C1486, calc_rusacc!$C$15:$C$65, calc_rusacc!$BF$15:$BF$65, "",0), AND( F1486="Sealant", I1486="Accordion Screen"), _xlfn.XLOOKUP(C1486, calc_rusacc!$C$15:$C$65, calc_rusacc!$BJ$15:$BJ$65, "",0),  F1486="Sealant", _xlfn.XLOOKUP(C1486, dd_accsrycalc!$A$2:$A$51, dd_accsrycalc!$G$2:$G$51, "",0),  F1486&lt;&gt;"",L1486*_xlfn.XLOOKUP(1, (SKUs!$C$2:$C$10001=G1486)*(SKUs!$K$2:$K$10001=I1486),SKUs!$E$2:$E$10001)), 0),"")</f>
        <v/>
      </c>
      <c r="E1486" s="35" t="str">
        <f>_xlfn.XLOOKUP(F1486,dd_item!$B$2:$B$105,dd_item!$C$2:$C$105,"",0)</f>
        <v/>
      </c>
      <c r="F1486" s="35"/>
      <c r="G1486" s="35" cm="1">
        <f t="array" ref="G1486">IFERROR(_xlfn.XLOOKUP(1, (SKUs!$J$2:$J$10001=accsry_unmerged!F1486)*IF(H1486&lt;&gt;"",(SKUs!$L$2:$L$10001=accsry_unmerged!H1486),1)*(SKUs!$K$2:$K$10001=I1486),SKUs!$C$2:$C$10001),"")</f>
        <v>0</v>
      </c>
      <c r="H1486" s="36" cm="1">
        <f t="array" ref="H1486">IFERROR(_xlfn.XLOOKUP(1, (dd_accsryclr!$C$2:$C$1000=accsry_unmerged!F1486)*(dd_accsryclr!$B$2:$B$1000=accsry_unmerged!J1486),dd_accsryclr!$A$2:$A$1000),"")</f>
        <v>0</v>
      </c>
      <c r="I1486" s="35">
        <f>_xlfn.XLOOKUP(C1486,'Project Details'!$C$17:$C$66,'Project Details'!$E$17:$E$66,"",0)</f>
        <v>0</v>
      </c>
      <c r="J1486" s="35">
        <f>_xlfn.XLOOKUP(C1486,'Project Details'!$C$17:$C$66,'Project Details'!$H$17:$H$66,"",0)</f>
        <v>0</v>
      </c>
      <c r="K1486" s="36" t="str">
        <f>IF(AND(_xlfn.XLOOKUP(C1486,'Project Details'!$C$17:$C$66,'Project Details'!$L$17:$L$66,"",0)&gt;550, F1486="Spring-L27cm"),"",SUBSTITUTE(_xlfn.XLOOKUP(G1486,SKUs!$C$2:$C$10001,SKUs!$F$2:$F$10001,"",0), " Accessories",""))</f>
        <v/>
      </c>
      <c r="L1486" s="36">
        <f>_xlfn.XLOOKUP(C1486,'Project Details'!$C$17:$C$66,'Project Details'!$D$17:$D$66,"",0)</f>
        <v>0</v>
      </c>
      <c r="M1486" s="43"/>
    </row>
    <row r="1487" spans="1:13" ht="13.5" customHeight="1" x14ac:dyDescent="0.25">
      <c r="A1487" s="43"/>
      <c r="B1487" s="43"/>
      <c r="C1487" s="16">
        <f t="shared" si="28"/>
        <v>30</v>
      </c>
      <c r="D1487" s="16" t="str" cm="1">
        <f t="array" ref="D1487">IFERROR(ROUNDUP(_xlfn.IFS(F1487="Aluminum Track", _xlfn.XLOOKUP(C1487, dd_accsrycalc!$A$2:$A$51, dd_accsrycalc!$B$2:$B$51, "",0), F1487="10 x 2 1/2 S (Flat)", _xlfn.XLOOKUP(C1487, dd_accsrycalc!$A$2:$A$51, dd_accsrycalc!$C$2:$C$51, "",0), F1487="Tox6", _xlfn.XLOOKUP(C1487, dd_accsrycalc!$A$2:$A$51, dd_accsrycalc!$D$2:$D$51, "",0), F1487="Cover Cap", _xlfn.XLOOKUP(C1487, dd_accsrycalc!$A$2:$A$51, dd_accsrycalc!$E$2:$E$51, "",0), F1487="Drainage Cover", _xlfn.XLOOKUP(C1487, dd_accsrycalc!$A$2:$A$51, dd_accsrycalc!$F$2:$F$51, "",0),AND( F1487="Double Adhesive Tape", I1487="Roll-up Screen"), _xlfn.XLOOKUP(C1487, calc_rusacc!$C$15:$C$65, calc_rusacc!$AD$15:$AD$65, "",0),AND( F1487="Sealant", I1487="Roll-up Screen"), _xlfn.XLOOKUP(C1487, calc_rusacc!$C$15:$C$65, calc_rusacc!$AF$15:$AF$65, "",0),  AND( F1487="Main Chain", I1487="Accordion Screen"), _xlfn.XLOOKUP(C1487, calc_rusacc!$C$15:$C$65, calc_rusacc!$BF$15:$BF$65, "",0), AND( F1487="Sealant", I1487="Accordion Screen"), _xlfn.XLOOKUP(C1487, calc_rusacc!$C$15:$C$65, calc_rusacc!$BJ$15:$BJ$65, "",0),  F1487="Sealant", _xlfn.XLOOKUP(C1487, dd_accsrycalc!$A$2:$A$51, dd_accsrycalc!$G$2:$G$51, "",0),  F1487&lt;&gt;"",L1487*_xlfn.XLOOKUP(1, (SKUs!$C$2:$C$10001=G1487)*(SKUs!$K$2:$K$10001=I1487),SKUs!$E$2:$E$10001)), 0),"")</f>
        <v/>
      </c>
      <c r="E1487" s="16" t="str">
        <f>_xlfn.XLOOKUP(F1487,dd_item!$B$2:$B$105,dd_item!$C$2:$C$105,"",0)</f>
        <v/>
      </c>
      <c r="F1487" s="16"/>
      <c r="G1487" s="16" cm="1">
        <f t="array" ref="G1487">IFERROR(_xlfn.XLOOKUP(1, (SKUs!$J$2:$J$10001=accsry_unmerged!F1487)*IF(H1487&lt;&gt;"",(SKUs!$L$2:$L$10001=accsry_unmerged!H1487),1)*(SKUs!$K$2:$K$10001=I1487),SKUs!$C$2:$C$10001),"")</f>
        <v>0</v>
      </c>
      <c r="H1487" s="33" cm="1">
        <f t="array" ref="H1487">IFERROR(_xlfn.XLOOKUP(1, (dd_accsryclr!$C$2:$C$1000=accsry_unmerged!F1487)*(dd_accsryclr!$B$2:$B$1000=accsry_unmerged!J1487),dd_accsryclr!$A$2:$A$1000),"")</f>
        <v>0</v>
      </c>
      <c r="I1487" s="16">
        <f>_xlfn.XLOOKUP(C1487,'Project Details'!$C$17:$C$66,'Project Details'!$E$17:$E$66,"",0)</f>
        <v>0</v>
      </c>
      <c r="J1487" s="16">
        <f>_xlfn.XLOOKUP(C1487,'Project Details'!$C$17:$C$66,'Project Details'!$H$17:$H$66,"",0)</f>
        <v>0</v>
      </c>
      <c r="K1487" s="33" t="str">
        <f>IF(AND(_xlfn.XLOOKUP(C1487,'Project Details'!$C$17:$C$66,'Project Details'!$L$17:$L$66,"",0)&gt;550, F1487="Spring-L27cm"),"",SUBSTITUTE(_xlfn.XLOOKUP(G1487,SKUs!$C$2:$C$10001,SKUs!$F$2:$F$10001,"",0), " Accessories",""))</f>
        <v/>
      </c>
      <c r="L1487" s="33">
        <f>_xlfn.XLOOKUP(C1487,'Project Details'!$C$17:$C$66,'Project Details'!$D$17:$D$66,"",0)</f>
        <v>0</v>
      </c>
      <c r="M1487" s="43"/>
    </row>
    <row r="1488" spans="1:13" ht="13.5" customHeight="1" x14ac:dyDescent="0.25">
      <c r="A1488" s="43"/>
      <c r="B1488" s="43"/>
      <c r="C1488" s="35">
        <f t="shared" si="28"/>
        <v>30</v>
      </c>
      <c r="D1488" s="35" t="str" cm="1">
        <f t="array" ref="D1488">IFERROR(ROUNDUP(_xlfn.IFS(F1488="Aluminum Track", _xlfn.XLOOKUP(C1488, dd_accsrycalc!$A$2:$A$51, dd_accsrycalc!$B$2:$B$51, "",0), F1488="10 x 2 1/2 S (Flat)", _xlfn.XLOOKUP(C1488, dd_accsrycalc!$A$2:$A$51, dd_accsrycalc!$C$2:$C$51, "",0), F1488="Tox6", _xlfn.XLOOKUP(C1488, dd_accsrycalc!$A$2:$A$51, dd_accsrycalc!$D$2:$D$51, "",0), F1488="Cover Cap", _xlfn.XLOOKUP(C1488, dd_accsrycalc!$A$2:$A$51, dd_accsrycalc!$E$2:$E$51, "",0), F1488="Drainage Cover", _xlfn.XLOOKUP(C1488, dd_accsrycalc!$A$2:$A$51, dd_accsrycalc!$F$2:$F$51, "",0),AND( F1488="Double Adhesive Tape", I1488="Roll-up Screen"), _xlfn.XLOOKUP(C1488, calc_rusacc!$C$15:$C$65, calc_rusacc!$AD$15:$AD$65, "",0),AND( F1488="Sealant", I1488="Roll-up Screen"), _xlfn.XLOOKUP(C1488, calc_rusacc!$C$15:$C$65, calc_rusacc!$AF$15:$AF$65, "",0),  AND( F1488="Main Chain", I1488="Accordion Screen"), _xlfn.XLOOKUP(C1488, calc_rusacc!$C$15:$C$65, calc_rusacc!$BF$15:$BF$65, "",0), AND( F1488="Sealant", I1488="Accordion Screen"), _xlfn.XLOOKUP(C1488, calc_rusacc!$C$15:$C$65, calc_rusacc!$BJ$15:$BJ$65, "",0),  F1488="Sealant", _xlfn.XLOOKUP(C1488, dd_accsrycalc!$A$2:$A$51, dd_accsrycalc!$G$2:$G$51, "",0),  F1488&lt;&gt;"",L1488*_xlfn.XLOOKUP(1, (SKUs!$C$2:$C$10001=G1488)*(SKUs!$K$2:$K$10001=I1488),SKUs!$E$2:$E$10001)), 0),"")</f>
        <v/>
      </c>
      <c r="E1488" s="35" t="str">
        <f>_xlfn.XLOOKUP(F1488,dd_item!$B$2:$B$105,dd_item!$C$2:$C$105,"",0)</f>
        <v/>
      </c>
      <c r="F1488" s="35"/>
      <c r="G1488" s="35" cm="1">
        <f t="array" ref="G1488">IFERROR(_xlfn.XLOOKUP(1, (SKUs!$J$2:$J$10001=accsry_unmerged!F1488)*IF(H1488&lt;&gt;"",(SKUs!$L$2:$L$10001=accsry_unmerged!H1488),1)*(SKUs!$K$2:$K$10001=I1488),SKUs!$C$2:$C$10001),"")</f>
        <v>0</v>
      </c>
      <c r="H1488" s="36" cm="1">
        <f t="array" ref="H1488">IFERROR(_xlfn.XLOOKUP(1, (dd_accsryclr!$C$2:$C$1000=accsry_unmerged!F1488)*(dd_accsryclr!$B$2:$B$1000=accsry_unmerged!J1488),dd_accsryclr!$A$2:$A$1000),"")</f>
        <v>0</v>
      </c>
      <c r="I1488" s="35">
        <f>_xlfn.XLOOKUP(C1488,'Project Details'!$C$17:$C$66,'Project Details'!$E$17:$E$66,"",0)</f>
        <v>0</v>
      </c>
      <c r="J1488" s="35">
        <f>_xlfn.XLOOKUP(C1488,'Project Details'!$C$17:$C$66,'Project Details'!$H$17:$H$66,"",0)</f>
        <v>0</v>
      </c>
      <c r="K1488" s="36" t="str">
        <f>IF(AND(_xlfn.XLOOKUP(C1488,'Project Details'!$C$17:$C$66,'Project Details'!$L$17:$L$66,"",0)&gt;550, F1488="Spring-L27cm"),"",SUBSTITUTE(_xlfn.XLOOKUP(G1488,SKUs!$C$2:$C$10001,SKUs!$F$2:$F$10001,"",0), " Accessories",""))</f>
        <v/>
      </c>
      <c r="L1488" s="36">
        <f>_xlfn.XLOOKUP(C1488,'Project Details'!$C$17:$C$66,'Project Details'!$D$17:$D$66,"",0)</f>
        <v>0</v>
      </c>
      <c r="M1488" s="43"/>
    </row>
    <row r="1489" spans="1:13" ht="13.5" customHeight="1" x14ac:dyDescent="0.25">
      <c r="A1489" s="43"/>
      <c r="B1489" s="43"/>
      <c r="C1489" s="16">
        <f t="shared" si="28"/>
        <v>30</v>
      </c>
      <c r="D1489" s="16" t="str" cm="1">
        <f t="array" ref="D1489">IFERROR(ROUNDUP(_xlfn.IFS(F1489="Aluminum Track", _xlfn.XLOOKUP(C1489, dd_accsrycalc!$A$2:$A$51, dd_accsrycalc!$B$2:$B$51, "",0), F1489="10 x 2 1/2 S (Flat)", _xlfn.XLOOKUP(C1489, dd_accsrycalc!$A$2:$A$51, dd_accsrycalc!$C$2:$C$51, "",0), F1489="Tox6", _xlfn.XLOOKUP(C1489, dd_accsrycalc!$A$2:$A$51, dd_accsrycalc!$D$2:$D$51, "",0), F1489="Cover Cap", _xlfn.XLOOKUP(C1489, dd_accsrycalc!$A$2:$A$51, dd_accsrycalc!$E$2:$E$51, "",0), F1489="Drainage Cover", _xlfn.XLOOKUP(C1489, dd_accsrycalc!$A$2:$A$51, dd_accsrycalc!$F$2:$F$51, "",0),AND( F1489="Double Adhesive Tape", I1489="Roll-up Screen"), _xlfn.XLOOKUP(C1489, calc_rusacc!$C$15:$C$65, calc_rusacc!$AD$15:$AD$65, "",0),AND( F1489="Sealant", I1489="Roll-up Screen"), _xlfn.XLOOKUP(C1489, calc_rusacc!$C$15:$C$65, calc_rusacc!$AF$15:$AF$65, "",0),  AND( F1489="Main Chain", I1489="Accordion Screen"), _xlfn.XLOOKUP(C1489, calc_rusacc!$C$15:$C$65, calc_rusacc!$BF$15:$BF$65, "",0), AND( F1489="Sealant", I1489="Accordion Screen"), _xlfn.XLOOKUP(C1489, calc_rusacc!$C$15:$C$65, calc_rusacc!$BJ$15:$BJ$65, "",0),  F1489="Sealant", _xlfn.XLOOKUP(C1489, dd_accsrycalc!$A$2:$A$51, dd_accsrycalc!$G$2:$G$51, "",0),  F1489&lt;&gt;"",L1489*_xlfn.XLOOKUP(1, (SKUs!$C$2:$C$10001=G1489)*(SKUs!$K$2:$K$10001=I1489),SKUs!$E$2:$E$10001)), 0),"")</f>
        <v/>
      </c>
      <c r="E1489" s="16" t="str">
        <f>_xlfn.XLOOKUP(F1489,dd_item!$B$2:$B$105,dd_item!$C$2:$C$105,"",0)</f>
        <v/>
      </c>
      <c r="F1489" s="16"/>
      <c r="G1489" s="16" cm="1">
        <f t="array" ref="G1489">IFERROR(_xlfn.XLOOKUP(1, (SKUs!$J$2:$J$10001=accsry_unmerged!F1489)*IF(H1489&lt;&gt;"",(SKUs!$L$2:$L$10001=accsry_unmerged!H1489),1)*(SKUs!$K$2:$K$10001=I1489),SKUs!$C$2:$C$10001),"")</f>
        <v>0</v>
      </c>
      <c r="H1489" s="33" cm="1">
        <f t="array" ref="H1489">IFERROR(_xlfn.XLOOKUP(1, (dd_accsryclr!$C$2:$C$1000=accsry_unmerged!F1489)*(dd_accsryclr!$B$2:$B$1000=accsry_unmerged!J1489),dd_accsryclr!$A$2:$A$1000),"")</f>
        <v>0</v>
      </c>
      <c r="I1489" s="16">
        <f>_xlfn.XLOOKUP(C1489,'Project Details'!$C$17:$C$66,'Project Details'!$E$17:$E$66,"",0)</f>
        <v>0</v>
      </c>
      <c r="J1489" s="16">
        <f>_xlfn.XLOOKUP(C1489,'Project Details'!$C$17:$C$66,'Project Details'!$H$17:$H$66,"",0)</f>
        <v>0</v>
      </c>
      <c r="K1489" s="33" t="str">
        <f>IF(AND(_xlfn.XLOOKUP(C1489,'Project Details'!$C$17:$C$66,'Project Details'!$L$17:$L$66,"",0)&gt;550, F1489="Spring-L27cm"),"",SUBSTITUTE(_xlfn.XLOOKUP(G1489,SKUs!$C$2:$C$10001,SKUs!$F$2:$F$10001,"",0), " Accessories",""))</f>
        <v/>
      </c>
      <c r="L1489" s="33">
        <f>_xlfn.XLOOKUP(C1489,'Project Details'!$C$17:$C$66,'Project Details'!$D$17:$D$66,"",0)</f>
        <v>0</v>
      </c>
      <c r="M1489" s="43"/>
    </row>
    <row r="1490" spans="1:13" ht="13.5" customHeight="1" x14ac:dyDescent="0.25">
      <c r="A1490" s="43"/>
      <c r="B1490" s="43"/>
      <c r="C1490" s="35">
        <f t="shared" si="28"/>
        <v>30</v>
      </c>
      <c r="D1490" s="35" t="str" cm="1">
        <f t="array" ref="D1490">IFERROR(ROUNDUP(_xlfn.IFS(F1490="Aluminum Track", _xlfn.XLOOKUP(C1490, dd_accsrycalc!$A$2:$A$51, dd_accsrycalc!$B$2:$B$51, "",0), F1490="10 x 2 1/2 S (Flat)", _xlfn.XLOOKUP(C1490, dd_accsrycalc!$A$2:$A$51, dd_accsrycalc!$C$2:$C$51, "",0), F1490="Tox6", _xlfn.XLOOKUP(C1490, dd_accsrycalc!$A$2:$A$51, dd_accsrycalc!$D$2:$D$51, "",0), F1490="Cover Cap", _xlfn.XLOOKUP(C1490, dd_accsrycalc!$A$2:$A$51, dd_accsrycalc!$E$2:$E$51, "",0), F1490="Drainage Cover", _xlfn.XLOOKUP(C1490, dd_accsrycalc!$A$2:$A$51, dd_accsrycalc!$F$2:$F$51, "",0),AND( F1490="Double Adhesive Tape", I1490="Roll-up Screen"), _xlfn.XLOOKUP(C1490, calc_rusacc!$C$15:$C$65, calc_rusacc!$AD$15:$AD$65, "",0),AND( F1490="Sealant", I1490="Roll-up Screen"), _xlfn.XLOOKUP(C1490, calc_rusacc!$C$15:$C$65, calc_rusacc!$AF$15:$AF$65, "",0),  AND( F1490="Main Chain", I1490="Accordion Screen"), _xlfn.XLOOKUP(C1490, calc_rusacc!$C$15:$C$65, calc_rusacc!$BF$15:$BF$65, "",0), AND( F1490="Sealant", I1490="Accordion Screen"), _xlfn.XLOOKUP(C1490, calc_rusacc!$C$15:$C$65, calc_rusacc!$BJ$15:$BJ$65, "",0),  F1490="Sealant", _xlfn.XLOOKUP(C1490, dd_accsrycalc!$A$2:$A$51, dd_accsrycalc!$G$2:$G$51, "",0),  F1490&lt;&gt;"",L1490*_xlfn.XLOOKUP(1, (SKUs!$C$2:$C$10001=G1490)*(SKUs!$K$2:$K$10001=I1490),SKUs!$E$2:$E$10001)), 0),"")</f>
        <v/>
      </c>
      <c r="E1490" s="35" t="str">
        <f>_xlfn.XLOOKUP(F1490,dd_item!$B$2:$B$105,dd_item!$C$2:$C$105,"",0)</f>
        <v/>
      </c>
      <c r="F1490" s="35"/>
      <c r="G1490" s="35" cm="1">
        <f t="array" ref="G1490">IFERROR(_xlfn.XLOOKUP(1, (SKUs!$J$2:$J$10001=accsry_unmerged!F1490)*IF(H1490&lt;&gt;"",(SKUs!$L$2:$L$10001=accsry_unmerged!H1490),1)*(SKUs!$K$2:$K$10001=I1490),SKUs!$C$2:$C$10001),"")</f>
        <v>0</v>
      </c>
      <c r="H1490" s="36" cm="1">
        <f t="array" ref="H1490">IFERROR(_xlfn.XLOOKUP(1, (dd_accsryclr!$C$2:$C$1000=accsry_unmerged!F1490)*(dd_accsryclr!$B$2:$B$1000=accsry_unmerged!J1490),dd_accsryclr!$A$2:$A$1000),"")</f>
        <v>0</v>
      </c>
      <c r="I1490" s="35">
        <f>_xlfn.XLOOKUP(C1490,'Project Details'!$C$17:$C$66,'Project Details'!$E$17:$E$66,"",0)</f>
        <v>0</v>
      </c>
      <c r="J1490" s="35">
        <f>_xlfn.XLOOKUP(C1490,'Project Details'!$C$17:$C$66,'Project Details'!$H$17:$H$66,"",0)</f>
        <v>0</v>
      </c>
      <c r="K1490" s="36" t="str">
        <f>IF(AND(_xlfn.XLOOKUP(C1490,'Project Details'!$C$17:$C$66,'Project Details'!$L$17:$L$66,"",0)&gt;550, F1490="Spring-L27cm"),"",SUBSTITUTE(_xlfn.XLOOKUP(G1490,SKUs!$C$2:$C$10001,SKUs!$F$2:$F$10001,"",0), " Accessories",""))</f>
        <v/>
      </c>
      <c r="L1490" s="36">
        <f>_xlfn.XLOOKUP(C1490,'Project Details'!$C$17:$C$66,'Project Details'!$D$17:$D$66,"",0)</f>
        <v>0</v>
      </c>
      <c r="M1490" s="43"/>
    </row>
    <row r="1491" spans="1:13" ht="13.5" customHeight="1" x14ac:dyDescent="0.25">
      <c r="A1491" s="43"/>
      <c r="B1491" s="43"/>
      <c r="C1491" s="16">
        <f t="shared" si="28"/>
        <v>30</v>
      </c>
      <c r="D1491" s="16" t="str" cm="1">
        <f t="array" ref="D1491">IFERROR(ROUNDUP(_xlfn.IFS(F1491="Aluminum Track", _xlfn.XLOOKUP(C1491, dd_accsrycalc!$A$2:$A$51, dd_accsrycalc!$B$2:$B$51, "",0), F1491="10 x 2 1/2 S (Flat)", _xlfn.XLOOKUP(C1491, dd_accsrycalc!$A$2:$A$51, dd_accsrycalc!$C$2:$C$51, "",0), F1491="Tox6", _xlfn.XLOOKUP(C1491, dd_accsrycalc!$A$2:$A$51, dd_accsrycalc!$D$2:$D$51, "",0), F1491="Cover Cap", _xlfn.XLOOKUP(C1491, dd_accsrycalc!$A$2:$A$51, dd_accsrycalc!$E$2:$E$51, "",0), F1491="Drainage Cover", _xlfn.XLOOKUP(C1491, dd_accsrycalc!$A$2:$A$51, dd_accsrycalc!$F$2:$F$51, "",0),AND( F1491="Double Adhesive Tape", I1491="Roll-up Screen"), _xlfn.XLOOKUP(C1491, calc_rusacc!$C$15:$C$65, calc_rusacc!$AD$15:$AD$65, "",0),AND( F1491="Sealant", I1491="Roll-up Screen"), _xlfn.XLOOKUP(C1491, calc_rusacc!$C$15:$C$65, calc_rusacc!$AF$15:$AF$65, "",0),  AND( F1491="Main Chain", I1491="Accordion Screen"), _xlfn.XLOOKUP(C1491, calc_rusacc!$C$15:$C$65, calc_rusacc!$BF$15:$BF$65, "",0), AND( F1491="Sealant", I1491="Accordion Screen"), _xlfn.XLOOKUP(C1491, calc_rusacc!$C$15:$C$65, calc_rusacc!$BJ$15:$BJ$65, "",0),  F1491="Sealant", _xlfn.XLOOKUP(C1491, dd_accsrycalc!$A$2:$A$51, dd_accsrycalc!$G$2:$G$51, "",0),  F1491&lt;&gt;"",L1491*_xlfn.XLOOKUP(1, (SKUs!$C$2:$C$10001=G1491)*(SKUs!$K$2:$K$10001=I1491),SKUs!$E$2:$E$10001)), 0),"")</f>
        <v/>
      </c>
      <c r="E1491" s="16" t="str">
        <f>_xlfn.XLOOKUP(F1491,dd_item!$B$2:$B$105,dd_item!$C$2:$C$105,"",0)</f>
        <v/>
      </c>
      <c r="F1491" s="16"/>
      <c r="G1491" s="16" cm="1">
        <f t="array" ref="G1491">IFERROR(_xlfn.XLOOKUP(1, (SKUs!$J$2:$J$10001=accsry_unmerged!F1491)*IF(H1491&lt;&gt;"",(SKUs!$L$2:$L$10001=accsry_unmerged!H1491),1)*(SKUs!$K$2:$K$10001=I1491),SKUs!$C$2:$C$10001),"")</f>
        <v>0</v>
      </c>
      <c r="H1491" s="33" cm="1">
        <f t="array" ref="H1491">IFERROR(_xlfn.XLOOKUP(1, (dd_accsryclr!$C$2:$C$1000=accsry_unmerged!F1491)*(dd_accsryclr!$B$2:$B$1000=accsry_unmerged!J1491),dd_accsryclr!$A$2:$A$1000),"")</f>
        <v>0</v>
      </c>
      <c r="I1491" s="16">
        <f>_xlfn.XLOOKUP(C1491,'Project Details'!$C$17:$C$66,'Project Details'!$E$17:$E$66,"",0)</f>
        <v>0</v>
      </c>
      <c r="J1491" s="16">
        <f>_xlfn.XLOOKUP(C1491,'Project Details'!$C$17:$C$66,'Project Details'!$H$17:$H$66,"",0)</f>
        <v>0</v>
      </c>
      <c r="K1491" s="33" t="str">
        <f>IF(AND(_xlfn.XLOOKUP(C1491,'Project Details'!$C$17:$C$66,'Project Details'!$L$17:$L$66,"",0)&gt;550, F1491="Spring-L27cm"),"",SUBSTITUTE(_xlfn.XLOOKUP(G1491,SKUs!$C$2:$C$10001,SKUs!$F$2:$F$10001,"",0), " Accessories",""))</f>
        <v/>
      </c>
      <c r="L1491" s="33">
        <f>_xlfn.XLOOKUP(C1491,'Project Details'!$C$17:$C$66,'Project Details'!$D$17:$D$66,"",0)</f>
        <v>0</v>
      </c>
      <c r="M1491" s="43"/>
    </row>
    <row r="1492" spans="1:13" ht="13.5" customHeight="1" x14ac:dyDescent="0.25">
      <c r="A1492" s="43"/>
      <c r="B1492" s="43"/>
      <c r="C1492" s="35">
        <f t="shared" si="28"/>
        <v>30</v>
      </c>
      <c r="D1492" s="35" t="str" cm="1">
        <f t="array" ref="D1492">IFERROR(ROUNDUP(_xlfn.IFS(F1492="Aluminum Track", _xlfn.XLOOKUP(C1492, dd_accsrycalc!$A$2:$A$51, dd_accsrycalc!$B$2:$B$51, "",0), F1492="10 x 2 1/2 S (Flat)", _xlfn.XLOOKUP(C1492, dd_accsrycalc!$A$2:$A$51, dd_accsrycalc!$C$2:$C$51, "",0), F1492="Tox6", _xlfn.XLOOKUP(C1492, dd_accsrycalc!$A$2:$A$51, dd_accsrycalc!$D$2:$D$51, "",0), F1492="Cover Cap", _xlfn.XLOOKUP(C1492, dd_accsrycalc!$A$2:$A$51, dd_accsrycalc!$E$2:$E$51, "",0), F1492="Drainage Cover", _xlfn.XLOOKUP(C1492, dd_accsrycalc!$A$2:$A$51, dd_accsrycalc!$F$2:$F$51, "",0),AND( F1492="Double Adhesive Tape", I1492="Roll-up Screen"), _xlfn.XLOOKUP(C1492, calc_rusacc!$C$15:$C$65, calc_rusacc!$AD$15:$AD$65, "",0),AND( F1492="Sealant", I1492="Roll-up Screen"), _xlfn.XLOOKUP(C1492, calc_rusacc!$C$15:$C$65, calc_rusacc!$AF$15:$AF$65, "",0),  AND( F1492="Main Chain", I1492="Accordion Screen"), _xlfn.XLOOKUP(C1492, calc_rusacc!$C$15:$C$65, calc_rusacc!$BF$15:$BF$65, "",0), AND( F1492="Sealant", I1492="Accordion Screen"), _xlfn.XLOOKUP(C1492, calc_rusacc!$C$15:$C$65, calc_rusacc!$BJ$15:$BJ$65, "",0),  F1492="Sealant", _xlfn.XLOOKUP(C1492, dd_accsrycalc!$A$2:$A$51, dd_accsrycalc!$G$2:$G$51, "",0),  F1492&lt;&gt;"",L1492*_xlfn.XLOOKUP(1, (SKUs!$C$2:$C$10001=G1492)*(SKUs!$K$2:$K$10001=I1492),SKUs!$E$2:$E$10001)), 0),"")</f>
        <v/>
      </c>
      <c r="E1492" s="35" t="str">
        <f>_xlfn.XLOOKUP(F1492,dd_item!$B$2:$B$105,dd_item!$C$2:$C$105,"",0)</f>
        <v/>
      </c>
      <c r="F1492" s="35"/>
      <c r="G1492" s="35" cm="1">
        <f t="array" ref="G1492">IFERROR(_xlfn.XLOOKUP(1, (SKUs!$J$2:$J$10001=accsry_unmerged!F1492)*IF(H1492&lt;&gt;"",(SKUs!$L$2:$L$10001=accsry_unmerged!H1492),1)*(SKUs!$K$2:$K$10001=I1492),SKUs!$C$2:$C$10001),"")</f>
        <v>0</v>
      </c>
      <c r="H1492" s="36" cm="1">
        <f t="array" ref="H1492">IFERROR(_xlfn.XLOOKUP(1, (dd_accsryclr!$C$2:$C$1000=accsry_unmerged!F1492)*(dd_accsryclr!$B$2:$B$1000=accsry_unmerged!J1492),dd_accsryclr!$A$2:$A$1000),"")</f>
        <v>0</v>
      </c>
      <c r="I1492" s="35">
        <f>_xlfn.XLOOKUP(C1492,'Project Details'!$C$17:$C$66,'Project Details'!$E$17:$E$66,"",0)</f>
        <v>0</v>
      </c>
      <c r="J1492" s="35">
        <f>_xlfn.XLOOKUP(C1492,'Project Details'!$C$17:$C$66,'Project Details'!$H$17:$H$66,"",0)</f>
        <v>0</v>
      </c>
      <c r="K1492" s="36" t="str">
        <f>IF(AND(_xlfn.XLOOKUP(C1492,'Project Details'!$C$17:$C$66,'Project Details'!$L$17:$L$66,"",0)&gt;550, F1492="Spring-L27cm"),"",SUBSTITUTE(_xlfn.XLOOKUP(G1492,SKUs!$C$2:$C$10001,SKUs!$F$2:$F$10001,"",0), " Accessories",""))</f>
        <v/>
      </c>
      <c r="L1492" s="36">
        <f>_xlfn.XLOOKUP(C1492,'Project Details'!$C$17:$C$66,'Project Details'!$D$17:$D$66,"",0)</f>
        <v>0</v>
      </c>
      <c r="M1492" s="43"/>
    </row>
    <row r="1493" spans="1:13" ht="13.5" customHeight="1" x14ac:dyDescent="0.25">
      <c r="A1493" s="43"/>
      <c r="B1493" s="43"/>
      <c r="C1493" s="16">
        <f t="shared" si="28"/>
        <v>30</v>
      </c>
      <c r="D1493" s="16" t="str" cm="1">
        <f t="array" ref="D1493">IFERROR(ROUNDUP(_xlfn.IFS(F1493="Aluminum Track", _xlfn.XLOOKUP(C1493, dd_accsrycalc!$A$2:$A$51, dd_accsrycalc!$B$2:$B$51, "",0), F1493="10 x 2 1/2 S (Flat)", _xlfn.XLOOKUP(C1493, dd_accsrycalc!$A$2:$A$51, dd_accsrycalc!$C$2:$C$51, "",0), F1493="Tox6", _xlfn.XLOOKUP(C1493, dd_accsrycalc!$A$2:$A$51, dd_accsrycalc!$D$2:$D$51, "",0), F1493="Cover Cap", _xlfn.XLOOKUP(C1493, dd_accsrycalc!$A$2:$A$51, dd_accsrycalc!$E$2:$E$51, "",0), F1493="Drainage Cover", _xlfn.XLOOKUP(C1493, dd_accsrycalc!$A$2:$A$51, dd_accsrycalc!$F$2:$F$51, "",0),AND( F1493="Double Adhesive Tape", I1493="Roll-up Screen"), _xlfn.XLOOKUP(C1493, calc_rusacc!$C$15:$C$65, calc_rusacc!$AD$15:$AD$65, "",0),AND( F1493="Sealant", I1493="Roll-up Screen"), _xlfn.XLOOKUP(C1493, calc_rusacc!$C$15:$C$65, calc_rusacc!$AF$15:$AF$65, "",0),  AND( F1493="Main Chain", I1493="Accordion Screen"), _xlfn.XLOOKUP(C1493, calc_rusacc!$C$15:$C$65, calc_rusacc!$BF$15:$BF$65, "",0), AND( F1493="Sealant", I1493="Accordion Screen"), _xlfn.XLOOKUP(C1493, calc_rusacc!$C$15:$C$65, calc_rusacc!$BJ$15:$BJ$65, "",0),  F1493="Sealant", _xlfn.XLOOKUP(C1493, dd_accsrycalc!$A$2:$A$51, dd_accsrycalc!$G$2:$G$51, "",0),  F1493&lt;&gt;"",L1493*_xlfn.XLOOKUP(1, (SKUs!$C$2:$C$10001=G1493)*(SKUs!$K$2:$K$10001=I1493),SKUs!$E$2:$E$10001)), 0),"")</f>
        <v/>
      </c>
      <c r="E1493" s="16" t="str">
        <f>_xlfn.XLOOKUP(F1493,dd_item!$B$2:$B$105,dd_item!$C$2:$C$105,"",0)</f>
        <v/>
      </c>
      <c r="F1493" s="16"/>
      <c r="G1493" s="16" cm="1">
        <f t="array" ref="G1493">IFERROR(_xlfn.XLOOKUP(1, (SKUs!$J$2:$J$10001=accsry_unmerged!F1493)*IF(H1493&lt;&gt;"",(SKUs!$L$2:$L$10001=accsry_unmerged!H1493),1)*(SKUs!$K$2:$K$10001=I1493),SKUs!$C$2:$C$10001),"")</f>
        <v>0</v>
      </c>
      <c r="H1493" s="33" cm="1">
        <f t="array" ref="H1493">IFERROR(_xlfn.XLOOKUP(1, (dd_accsryclr!$C$2:$C$1000=accsry_unmerged!F1493)*(dd_accsryclr!$B$2:$B$1000=accsry_unmerged!J1493),dd_accsryclr!$A$2:$A$1000),"")</f>
        <v>0</v>
      </c>
      <c r="I1493" s="16">
        <f>_xlfn.XLOOKUP(C1493,'Project Details'!$C$17:$C$66,'Project Details'!$E$17:$E$66,"",0)</f>
        <v>0</v>
      </c>
      <c r="J1493" s="16">
        <f>_xlfn.XLOOKUP(C1493,'Project Details'!$C$17:$C$66,'Project Details'!$H$17:$H$66,"",0)</f>
        <v>0</v>
      </c>
      <c r="K1493" s="33" t="str">
        <f>IF(AND(_xlfn.XLOOKUP(C1493,'Project Details'!$C$17:$C$66,'Project Details'!$L$17:$L$66,"",0)&gt;550, F1493="Spring-L27cm"),"",SUBSTITUTE(_xlfn.XLOOKUP(G1493,SKUs!$C$2:$C$10001,SKUs!$F$2:$F$10001,"",0), " Accessories",""))</f>
        <v/>
      </c>
      <c r="L1493" s="33">
        <f>_xlfn.XLOOKUP(C1493,'Project Details'!$C$17:$C$66,'Project Details'!$D$17:$D$66,"",0)</f>
        <v>0</v>
      </c>
      <c r="M1493" s="43"/>
    </row>
    <row r="1494" spans="1:13" ht="13.5" customHeight="1" x14ac:dyDescent="0.25">
      <c r="A1494" s="43"/>
      <c r="B1494" s="43"/>
      <c r="C1494" s="35">
        <f t="shared" si="28"/>
        <v>30</v>
      </c>
      <c r="D1494" s="35" t="str" cm="1">
        <f t="array" ref="D1494">IFERROR(ROUNDUP(_xlfn.IFS(F1494="Aluminum Track", _xlfn.XLOOKUP(C1494, dd_accsrycalc!$A$2:$A$51, dd_accsrycalc!$B$2:$B$51, "",0), F1494="10 x 2 1/2 S (Flat)", _xlfn.XLOOKUP(C1494, dd_accsrycalc!$A$2:$A$51, dd_accsrycalc!$C$2:$C$51, "",0), F1494="Tox6", _xlfn.XLOOKUP(C1494, dd_accsrycalc!$A$2:$A$51, dd_accsrycalc!$D$2:$D$51, "",0), F1494="Cover Cap", _xlfn.XLOOKUP(C1494, dd_accsrycalc!$A$2:$A$51, dd_accsrycalc!$E$2:$E$51, "",0), F1494="Drainage Cover", _xlfn.XLOOKUP(C1494, dd_accsrycalc!$A$2:$A$51, dd_accsrycalc!$F$2:$F$51, "",0),AND( F1494="Double Adhesive Tape", I1494="Roll-up Screen"), _xlfn.XLOOKUP(C1494, calc_rusacc!$C$15:$C$65, calc_rusacc!$AD$15:$AD$65, "",0),AND( F1494="Sealant", I1494="Roll-up Screen"), _xlfn.XLOOKUP(C1494, calc_rusacc!$C$15:$C$65, calc_rusacc!$AF$15:$AF$65, "",0),  AND( F1494="Main Chain", I1494="Accordion Screen"), _xlfn.XLOOKUP(C1494, calc_rusacc!$C$15:$C$65, calc_rusacc!$BF$15:$BF$65, "",0), AND( F1494="Sealant", I1494="Accordion Screen"), _xlfn.XLOOKUP(C1494, calc_rusacc!$C$15:$C$65, calc_rusacc!$BJ$15:$BJ$65, "",0),  F1494="Sealant", _xlfn.XLOOKUP(C1494, dd_accsrycalc!$A$2:$A$51, dd_accsrycalc!$G$2:$G$51, "",0),  F1494&lt;&gt;"",L1494*_xlfn.XLOOKUP(1, (SKUs!$C$2:$C$10001=G1494)*(SKUs!$K$2:$K$10001=I1494),SKUs!$E$2:$E$10001)), 0),"")</f>
        <v/>
      </c>
      <c r="E1494" s="35" t="str">
        <f>_xlfn.XLOOKUP(F1494,dd_item!$B$2:$B$105,dd_item!$C$2:$C$105,"",0)</f>
        <v/>
      </c>
      <c r="F1494" s="35"/>
      <c r="G1494" s="35" cm="1">
        <f t="array" ref="G1494">IFERROR(_xlfn.XLOOKUP(1, (SKUs!$J$2:$J$10001=accsry_unmerged!F1494)*IF(H1494&lt;&gt;"",(SKUs!$L$2:$L$10001=accsry_unmerged!H1494),1)*(SKUs!$K$2:$K$10001=I1494),SKUs!$C$2:$C$10001),"")</f>
        <v>0</v>
      </c>
      <c r="H1494" s="36" cm="1">
        <f t="array" ref="H1494">IFERROR(_xlfn.XLOOKUP(1, (dd_accsryclr!$C$2:$C$1000=accsry_unmerged!F1494)*(dd_accsryclr!$B$2:$B$1000=accsry_unmerged!J1494),dd_accsryclr!$A$2:$A$1000),"")</f>
        <v>0</v>
      </c>
      <c r="I1494" s="35">
        <f>_xlfn.XLOOKUP(C1494,'Project Details'!$C$17:$C$66,'Project Details'!$E$17:$E$66,"",0)</f>
        <v>0</v>
      </c>
      <c r="J1494" s="35">
        <f>_xlfn.XLOOKUP(C1494,'Project Details'!$C$17:$C$66,'Project Details'!$H$17:$H$66,"",0)</f>
        <v>0</v>
      </c>
      <c r="K1494" s="36" t="str">
        <f>IF(AND(_xlfn.XLOOKUP(C1494,'Project Details'!$C$17:$C$66,'Project Details'!$L$17:$L$66,"",0)&gt;550, F1494="Spring-L27cm"),"",SUBSTITUTE(_xlfn.XLOOKUP(G1494,SKUs!$C$2:$C$10001,SKUs!$F$2:$F$10001,"",0), " Accessories",""))</f>
        <v/>
      </c>
      <c r="L1494" s="36">
        <f>_xlfn.XLOOKUP(C1494,'Project Details'!$C$17:$C$66,'Project Details'!$D$17:$D$66,"",0)</f>
        <v>0</v>
      </c>
      <c r="M1494" s="43"/>
    </row>
    <row r="1495" spans="1:13" ht="13.5" customHeight="1" outlineLevel="1" x14ac:dyDescent="0.25">
      <c r="A1495" s="43"/>
      <c r="B1495" s="43"/>
      <c r="C1495" s="16">
        <f t="shared" si="28"/>
        <v>30</v>
      </c>
      <c r="D1495" s="16" t="str" cm="1">
        <f t="array" ref="D1495">IFERROR(ROUNDUP(_xlfn.IFS(F1495="Aluminum Track", _xlfn.XLOOKUP(C1495, dd_accsrycalc!$A$2:$A$51, dd_accsrycalc!$B$2:$B$51, "",0), F1495="10 x 2 1/2 S (Flat)", _xlfn.XLOOKUP(C1495, dd_accsrycalc!$A$2:$A$51, dd_accsrycalc!$C$2:$C$51, "",0), F1495="Tox6", _xlfn.XLOOKUP(C1495, dd_accsrycalc!$A$2:$A$51, dd_accsrycalc!$D$2:$D$51, "",0), F1495="Cover Cap", _xlfn.XLOOKUP(C1495, dd_accsrycalc!$A$2:$A$51, dd_accsrycalc!$E$2:$E$51, "",0), F1495="Drainage Cover", _xlfn.XLOOKUP(C1495, dd_accsrycalc!$A$2:$A$51, dd_accsrycalc!$F$2:$F$51, "",0),AND( F1495="Double Adhesive Tape", I1495="Roll-up Screen"), _xlfn.XLOOKUP(C1495, calc_rusacc!$C$15:$C$65, calc_rusacc!$AD$15:$AD$65, "",0),AND( F1495="Sealant", I1495="Roll-up Screen"), _xlfn.XLOOKUP(C1495, calc_rusacc!$C$15:$C$65, calc_rusacc!$AF$15:$AF$65, "",0),  AND( F1495="Main Chain", I1495="Accordion Screen"), _xlfn.XLOOKUP(C1495, calc_rusacc!$C$15:$C$65, calc_rusacc!$BF$15:$BF$65, "",0), AND( F1495="Sealant", I1495="Accordion Screen"), _xlfn.XLOOKUP(C1495, calc_rusacc!$C$15:$C$65, calc_rusacc!$BJ$15:$BJ$65, "",0),  F1495="Sealant", _xlfn.XLOOKUP(C1495, dd_accsrycalc!$A$2:$A$51, dd_accsrycalc!$G$2:$G$51, "",0),  F1495&lt;&gt;"",L1495*_xlfn.XLOOKUP(1, (SKUs!$C$2:$C$10001=G1495)*(SKUs!$K$2:$K$10001=I1495),SKUs!$E$2:$E$10001)), 0),"")</f>
        <v/>
      </c>
      <c r="E1495" s="16" t="str">
        <f>_xlfn.XLOOKUP(F1495,dd_item!$B$2:$B$105,dd_item!$C$2:$C$105,"",0)</f>
        <v/>
      </c>
      <c r="F1495" s="16"/>
      <c r="G1495" s="16" cm="1">
        <f t="array" ref="G1495">IFERROR(_xlfn.XLOOKUP(1, (SKUs!$J$2:$J$10001=accsry_unmerged!F1495)*IF(H1495&lt;&gt;"",(SKUs!$L$2:$L$10001=accsry_unmerged!H1495),1)*(SKUs!$K$2:$K$10001=I1495),SKUs!$C$2:$C$10001),"")</f>
        <v>0</v>
      </c>
      <c r="H1495" s="33" cm="1">
        <f t="array" ref="H1495">IFERROR(_xlfn.XLOOKUP(1, (dd_accsryclr!$C$2:$C$1000=accsry_unmerged!F1495)*(dd_accsryclr!$B$2:$B$1000=accsry_unmerged!J1495),dd_accsryclr!$A$2:$A$1000),"")</f>
        <v>0</v>
      </c>
      <c r="I1495" s="16">
        <f>_xlfn.XLOOKUP(C1495,'Project Details'!$C$17:$C$66,'Project Details'!$E$17:$E$66,"",0)</f>
        <v>0</v>
      </c>
      <c r="J1495" s="16">
        <f>_xlfn.XLOOKUP(C1495,'Project Details'!$C$17:$C$66,'Project Details'!$H$17:$H$66,"",0)</f>
        <v>0</v>
      </c>
      <c r="K1495" s="33" t="str">
        <f>IF(AND(_xlfn.XLOOKUP(C1495,'Project Details'!$C$17:$C$66,'Project Details'!$L$17:$L$66,"",0)&gt;550, F1495="Spring-L27cm"),"",SUBSTITUTE(_xlfn.XLOOKUP(G1495,SKUs!$C$2:$C$10001,SKUs!$F$2:$F$10001,"",0), " Accessories",""))</f>
        <v/>
      </c>
      <c r="L1495" s="33">
        <f>_xlfn.XLOOKUP(C1495,'Project Details'!$C$17:$C$66,'Project Details'!$D$17:$D$66,"",0)</f>
        <v>0</v>
      </c>
      <c r="M1495" s="43"/>
    </row>
    <row r="1496" spans="1:13" ht="13.5" customHeight="1" outlineLevel="1" x14ac:dyDescent="0.25">
      <c r="A1496" s="43"/>
      <c r="B1496" s="43"/>
      <c r="C1496" s="35">
        <f t="shared" si="28"/>
        <v>30</v>
      </c>
      <c r="D1496" s="35" t="str" cm="1">
        <f t="array" ref="D1496">IFERROR(ROUNDUP(_xlfn.IFS(F1496="Aluminum Track", _xlfn.XLOOKUP(C1496, dd_accsrycalc!$A$2:$A$51, dd_accsrycalc!$B$2:$B$51, "",0), F1496="10 x 2 1/2 S (Flat)", _xlfn.XLOOKUP(C1496, dd_accsrycalc!$A$2:$A$51, dd_accsrycalc!$C$2:$C$51, "",0), F1496="Tox6", _xlfn.XLOOKUP(C1496, dd_accsrycalc!$A$2:$A$51, dd_accsrycalc!$D$2:$D$51, "",0), F1496="Cover Cap", _xlfn.XLOOKUP(C1496, dd_accsrycalc!$A$2:$A$51, dd_accsrycalc!$E$2:$E$51, "",0), F1496="Drainage Cover", _xlfn.XLOOKUP(C1496, dd_accsrycalc!$A$2:$A$51, dd_accsrycalc!$F$2:$F$51, "",0),AND( F1496="Double Adhesive Tape", I1496="Roll-up Screen"), _xlfn.XLOOKUP(C1496, calc_rusacc!$C$15:$C$65, calc_rusacc!$AD$15:$AD$65, "",0),AND( F1496="Sealant", I1496="Roll-up Screen"), _xlfn.XLOOKUP(C1496, calc_rusacc!$C$15:$C$65, calc_rusacc!$AF$15:$AF$65, "",0),  AND( F1496="Main Chain", I1496="Accordion Screen"), _xlfn.XLOOKUP(C1496, calc_rusacc!$C$15:$C$65, calc_rusacc!$BF$15:$BF$65, "",0), AND( F1496="Sealant", I1496="Accordion Screen"), _xlfn.XLOOKUP(C1496, calc_rusacc!$C$15:$C$65, calc_rusacc!$BJ$15:$BJ$65, "",0),  F1496="Sealant", _xlfn.XLOOKUP(C1496, dd_accsrycalc!$A$2:$A$51, dd_accsrycalc!$G$2:$G$51, "",0),  F1496&lt;&gt;"",L1496*_xlfn.XLOOKUP(1, (SKUs!$C$2:$C$10001=G1496)*(SKUs!$K$2:$K$10001=I1496),SKUs!$E$2:$E$10001)), 0),"")</f>
        <v/>
      </c>
      <c r="E1496" s="35" t="str">
        <f>_xlfn.XLOOKUP(F1496,dd_item!$B$2:$B$105,dd_item!$C$2:$C$105,"",0)</f>
        <v/>
      </c>
      <c r="F1496" s="35"/>
      <c r="G1496" s="35" cm="1">
        <f t="array" ref="G1496">IFERROR(_xlfn.XLOOKUP(1, (SKUs!$J$2:$J$10001=accsry_unmerged!F1496)*IF(H1496&lt;&gt;"",(SKUs!$L$2:$L$10001=accsry_unmerged!H1496),1)*(SKUs!$K$2:$K$10001=I1496),SKUs!$C$2:$C$10001),"")</f>
        <v>0</v>
      </c>
      <c r="H1496" s="36" cm="1">
        <f t="array" ref="H1496">IFERROR(_xlfn.XLOOKUP(1, (dd_accsryclr!$C$2:$C$1000=accsry_unmerged!F1496)*(dd_accsryclr!$B$2:$B$1000=accsry_unmerged!J1496),dd_accsryclr!$A$2:$A$1000),"")</f>
        <v>0</v>
      </c>
      <c r="I1496" s="35">
        <f>_xlfn.XLOOKUP(C1496,'Project Details'!$C$17:$C$66,'Project Details'!$E$17:$E$66,"",0)</f>
        <v>0</v>
      </c>
      <c r="J1496" s="35">
        <f>_xlfn.XLOOKUP(C1496,'Project Details'!$C$17:$C$66,'Project Details'!$H$17:$H$66,"",0)</f>
        <v>0</v>
      </c>
      <c r="K1496" s="36" t="str">
        <f>IF(AND(_xlfn.XLOOKUP(C1496,'Project Details'!$C$17:$C$66,'Project Details'!$L$17:$L$66,"",0)&gt;550, F1496="Spring-L27cm"),"",SUBSTITUTE(_xlfn.XLOOKUP(G1496,SKUs!$C$2:$C$10001,SKUs!$F$2:$F$10001,"",0), " Accessories",""))</f>
        <v/>
      </c>
      <c r="L1496" s="36">
        <f>_xlfn.XLOOKUP(C1496,'Project Details'!$C$17:$C$66,'Project Details'!$D$17:$D$66,"",0)</f>
        <v>0</v>
      </c>
      <c r="M1496" s="43"/>
    </row>
    <row r="1497" spans="1:13" ht="13.5" customHeight="1" outlineLevel="1" x14ac:dyDescent="0.25">
      <c r="A1497" s="43"/>
      <c r="B1497" s="43"/>
      <c r="C1497" s="16">
        <f t="shared" si="28"/>
        <v>30</v>
      </c>
      <c r="D1497" s="16" t="str" cm="1">
        <f t="array" ref="D1497">IFERROR(ROUNDUP(_xlfn.IFS(F1497="Aluminum Track", _xlfn.XLOOKUP(C1497, dd_accsrycalc!$A$2:$A$51, dd_accsrycalc!$B$2:$B$51, "",0), F1497="10 x 2 1/2 S (Flat)", _xlfn.XLOOKUP(C1497, dd_accsrycalc!$A$2:$A$51, dd_accsrycalc!$C$2:$C$51, "",0), F1497="Tox6", _xlfn.XLOOKUP(C1497, dd_accsrycalc!$A$2:$A$51, dd_accsrycalc!$D$2:$D$51, "",0), F1497="Cover Cap", _xlfn.XLOOKUP(C1497, dd_accsrycalc!$A$2:$A$51, dd_accsrycalc!$E$2:$E$51, "",0), F1497="Drainage Cover", _xlfn.XLOOKUP(C1497, dd_accsrycalc!$A$2:$A$51, dd_accsrycalc!$F$2:$F$51, "",0),AND( F1497="Double Adhesive Tape", I1497="Roll-up Screen"), _xlfn.XLOOKUP(C1497, calc_rusacc!$C$15:$C$65, calc_rusacc!$AD$15:$AD$65, "",0),AND( F1497="Sealant", I1497="Roll-up Screen"), _xlfn.XLOOKUP(C1497, calc_rusacc!$C$15:$C$65, calc_rusacc!$AF$15:$AF$65, "",0),  AND( F1497="Main Chain", I1497="Accordion Screen"), _xlfn.XLOOKUP(C1497, calc_rusacc!$C$15:$C$65, calc_rusacc!$BF$15:$BF$65, "",0), AND( F1497="Sealant", I1497="Accordion Screen"), _xlfn.XLOOKUP(C1497, calc_rusacc!$C$15:$C$65, calc_rusacc!$BJ$15:$BJ$65, "",0),  F1497="Sealant", _xlfn.XLOOKUP(C1497, dd_accsrycalc!$A$2:$A$51, dd_accsrycalc!$G$2:$G$51, "",0),  F1497&lt;&gt;"",L1497*_xlfn.XLOOKUP(1, (SKUs!$C$2:$C$10001=G1497)*(SKUs!$K$2:$K$10001=I1497),SKUs!$E$2:$E$10001)), 0),"")</f>
        <v/>
      </c>
      <c r="E1497" s="16" t="str">
        <f>_xlfn.XLOOKUP(F1497,dd_item!$B$2:$B$105,dd_item!$C$2:$C$105,"",0)</f>
        <v/>
      </c>
      <c r="F1497" s="16"/>
      <c r="G1497" s="16" cm="1">
        <f t="array" ref="G1497">IFERROR(_xlfn.XLOOKUP(1, (SKUs!$J$2:$J$10001=accsry_unmerged!F1497)*IF(H1497&lt;&gt;"",(SKUs!$L$2:$L$10001=accsry_unmerged!H1497),1)*(SKUs!$K$2:$K$10001=I1497),SKUs!$C$2:$C$10001),"")</f>
        <v>0</v>
      </c>
      <c r="H1497" s="33" cm="1">
        <f t="array" ref="H1497">IFERROR(_xlfn.XLOOKUP(1, (dd_accsryclr!$C$2:$C$1000=accsry_unmerged!F1497)*(dd_accsryclr!$B$2:$B$1000=accsry_unmerged!J1497),dd_accsryclr!$A$2:$A$1000),"")</f>
        <v>0</v>
      </c>
      <c r="I1497" s="16">
        <f>_xlfn.XLOOKUP(C1497,'Project Details'!$C$17:$C$66,'Project Details'!$E$17:$E$66,"",0)</f>
        <v>0</v>
      </c>
      <c r="J1497" s="16">
        <f>_xlfn.XLOOKUP(C1497,'Project Details'!$C$17:$C$66,'Project Details'!$H$17:$H$66,"",0)</f>
        <v>0</v>
      </c>
      <c r="K1497" s="33" t="str">
        <f>IF(AND(_xlfn.XLOOKUP(C1497,'Project Details'!$C$17:$C$66,'Project Details'!$L$17:$L$66,"",0)&gt;550, F1497="Spring-L27cm"),"",SUBSTITUTE(_xlfn.XLOOKUP(G1497,SKUs!$C$2:$C$10001,SKUs!$F$2:$F$10001,"",0), " Accessories",""))</f>
        <v/>
      </c>
      <c r="L1497" s="33">
        <f>_xlfn.XLOOKUP(C1497,'Project Details'!$C$17:$C$66,'Project Details'!$D$17:$D$66,"",0)</f>
        <v>0</v>
      </c>
      <c r="M1497" s="43"/>
    </row>
    <row r="1498" spans="1:13" ht="13.5" customHeight="1" outlineLevel="1" x14ac:dyDescent="0.25">
      <c r="A1498" s="43"/>
      <c r="B1498" s="43"/>
      <c r="C1498" s="35">
        <f t="shared" si="28"/>
        <v>30</v>
      </c>
      <c r="D1498" s="35" t="str" cm="1">
        <f t="array" ref="D1498">IFERROR(ROUNDUP(_xlfn.IFS(F1498="Aluminum Track", _xlfn.XLOOKUP(C1498, dd_accsrycalc!$A$2:$A$51, dd_accsrycalc!$B$2:$B$51, "",0), F1498="10 x 2 1/2 S (Flat)", _xlfn.XLOOKUP(C1498, dd_accsrycalc!$A$2:$A$51, dd_accsrycalc!$C$2:$C$51, "",0), F1498="Tox6", _xlfn.XLOOKUP(C1498, dd_accsrycalc!$A$2:$A$51, dd_accsrycalc!$D$2:$D$51, "",0), F1498="Cover Cap", _xlfn.XLOOKUP(C1498, dd_accsrycalc!$A$2:$A$51, dd_accsrycalc!$E$2:$E$51, "",0), F1498="Drainage Cover", _xlfn.XLOOKUP(C1498, dd_accsrycalc!$A$2:$A$51, dd_accsrycalc!$F$2:$F$51, "",0),AND( F1498="Double Adhesive Tape", I1498="Roll-up Screen"), _xlfn.XLOOKUP(C1498, calc_rusacc!$C$15:$C$65, calc_rusacc!$AD$15:$AD$65, "",0),AND( F1498="Sealant", I1498="Roll-up Screen"), _xlfn.XLOOKUP(C1498, calc_rusacc!$C$15:$C$65, calc_rusacc!$AF$15:$AF$65, "",0),  AND( F1498="Main Chain", I1498="Accordion Screen"), _xlfn.XLOOKUP(C1498, calc_rusacc!$C$15:$C$65, calc_rusacc!$BF$15:$BF$65, "",0), AND( F1498="Sealant", I1498="Accordion Screen"), _xlfn.XLOOKUP(C1498, calc_rusacc!$C$15:$C$65, calc_rusacc!$BJ$15:$BJ$65, "",0),  F1498="Sealant", _xlfn.XLOOKUP(C1498, dd_accsrycalc!$A$2:$A$51, dd_accsrycalc!$G$2:$G$51, "",0),  F1498&lt;&gt;"",L1498*_xlfn.XLOOKUP(1, (SKUs!$C$2:$C$10001=G1498)*(SKUs!$K$2:$K$10001=I1498),SKUs!$E$2:$E$10001)), 0),"")</f>
        <v/>
      </c>
      <c r="E1498" s="35" t="str">
        <f>_xlfn.XLOOKUP(F1498,dd_item!$B$2:$B$105,dd_item!$C$2:$C$105,"",0)</f>
        <v/>
      </c>
      <c r="F1498" s="35"/>
      <c r="G1498" s="35" cm="1">
        <f t="array" ref="G1498">IFERROR(_xlfn.XLOOKUP(1, (SKUs!$J$2:$J$10001=accsry_unmerged!F1498)*IF(H1498&lt;&gt;"",(SKUs!$L$2:$L$10001=accsry_unmerged!H1498),1)*(SKUs!$K$2:$K$10001=I1498),SKUs!$C$2:$C$10001),"")</f>
        <v>0</v>
      </c>
      <c r="H1498" s="36" cm="1">
        <f t="array" ref="H1498">IFERROR(_xlfn.XLOOKUP(1, (dd_accsryclr!$C$2:$C$1000=accsry_unmerged!F1498)*(dd_accsryclr!$B$2:$B$1000=accsry_unmerged!J1498),dd_accsryclr!$A$2:$A$1000),"")</f>
        <v>0</v>
      </c>
      <c r="I1498" s="35">
        <f>_xlfn.XLOOKUP(C1498,'Project Details'!$C$17:$C$66,'Project Details'!$E$17:$E$66,"",0)</f>
        <v>0</v>
      </c>
      <c r="J1498" s="35">
        <f>_xlfn.XLOOKUP(C1498,'Project Details'!$C$17:$C$66,'Project Details'!$H$17:$H$66,"",0)</f>
        <v>0</v>
      </c>
      <c r="K1498" s="36" t="str">
        <f>IF(AND(_xlfn.XLOOKUP(C1498,'Project Details'!$C$17:$C$66,'Project Details'!$L$17:$L$66,"",0)&gt;550, F1498="Spring-L27cm"),"",SUBSTITUTE(_xlfn.XLOOKUP(G1498,SKUs!$C$2:$C$10001,SKUs!$F$2:$F$10001,"",0), " Accessories",""))</f>
        <v/>
      </c>
      <c r="L1498" s="36">
        <f>_xlfn.XLOOKUP(C1498,'Project Details'!$C$17:$C$66,'Project Details'!$D$17:$D$66,"",0)</f>
        <v>0</v>
      </c>
      <c r="M1498" s="43"/>
    </row>
    <row r="1499" spans="1:13" ht="13.5" customHeight="1" outlineLevel="1" x14ac:dyDescent="0.25">
      <c r="A1499" s="43"/>
      <c r="B1499" s="43"/>
      <c r="C1499" s="16">
        <f t="shared" si="28"/>
        <v>30</v>
      </c>
      <c r="D1499" s="16" t="str" cm="1">
        <f t="array" ref="D1499">IFERROR(ROUNDUP(_xlfn.IFS(F1499="Aluminum Track", _xlfn.XLOOKUP(C1499, dd_accsrycalc!$A$2:$A$51, dd_accsrycalc!$B$2:$B$51, "",0), F1499="10 x 2 1/2 S (Flat)", _xlfn.XLOOKUP(C1499, dd_accsrycalc!$A$2:$A$51, dd_accsrycalc!$C$2:$C$51, "",0), F1499="Tox6", _xlfn.XLOOKUP(C1499, dd_accsrycalc!$A$2:$A$51, dd_accsrycalc!$D$2:$D$51, "",0), F1499="Cover Cap", _xlfn.XLOOKUP(C1499, dd_accsrycalc!$A$2:$A$51, dd_accsrycalc!$E$2:$E$51, "",0), F1499="Drainage Cover", _xlfn.XLOOKUP(C1499, dd_accsrycalc!$A$2:$A$51, dd_accsrycalc!$F$2:$F$51, "",0),AND( F1499="Double Adhesive Tape", I1499="Roll-up Screen"), _xlfn.XLOOKUP(C1499, calc_rusacc!$C$15:$C$65, calc_rusacc!$AD$15:$AD$65, "",0),AND( F1499="Sealant", I1499="Roll-up Screen"), _xlfn.XLOOKUP(C1499, calc_rusacc!$C$15:$C$65, calc_rusacc!$AF$15:$AF$65, "",0),  AND( F1499="Main Chain", I1499="Accordion Screen"), _xlfn.XLOOKUP(C1499, calc_rusacc!$C$15:$C$65, calc_rusacc!$BF$15:$BF$65, "",0), AND( F1499="Sealant", I1499="Accordion Screen"), _xlfn.XLOOKUP(C1499, calc_rusacc!$C$15:$C$65, calc_rusacc!$BJ$15:$BJ$65, "",0),  F1499="Sealant", _xlfn.XLOOKUP(C1499, dd_accsrycalc!$A$2:$A$51, dd_accsrycalc!$G$2:$G$51, "",0),  F1499&lt;&gt;"",L1499*_xlfn.XLOOKUP(1, (SKUs!$C$2:$C$10001=G1499)*(SKUs!$K$2:$K$10001=I1499),SKUs!$E$2:$E$10001)), 0),"")</f>
        <v/>
      </c>
      <c r="E1499" s="16" t="str">
        <f>_xlfn.XLOOKUP(F1499,dd_item!$B$2:$B$105,dd_item!$C$2:$C$105,"",0)</f>
        <v/>
      </c>
      <c r="F1499" s="16"/>
      <c r="G1499" s="16" cm="1">
        <f t="array" ref="G1499">IFERROR(_xlfn.XLOOKUP(1, (SKUs!$J$2:$J$10001=accsry_unmerged!F1499)*IF(H1499&lt;&gt;"",(SKUs!$L$2:$L$10001=accsry_unmerged!H1499),1)*(SKUs!$K$2:$K$10001=I1499),SKUs!$C$2:$C$10001),"")</f>
        <v>0</v>
      </c>
      <c r="H1499" s="33" cm="1">
        <f t="array" ref="H1499">IFERROR(_xlfn.XLOOKUP(1, (dd_accsryclr!$C$2:$C$1000=accsry_unmerged!F1499)*(dd_accsryclr!$B$2:$B$1000=accsry_unmerged!J1499),dd_accsryclr!$A$2:$A$1000),"")</f>
        <v>0</v>
      </c>
      <c r="I1499" s="16">
        <f>_xlfn.XLOOKUP(C1499,'Project Details'!$C$17:$C$66,'Project Details'!$E$17:$E$66,"",0)</f>
        <v>0</v>
      </c>
      <c r="J1499" s="16">
        <f>_xlfn.XLOOKUP(C1499,'Project Details'!$C$17:$C$66,'Project Details'!$H$17:$H$66,"",0)</f>
        <v>0</v>
      </c>
      <c r="K1499" s="33" t="str">
        <f>IF(AND(_xlfn.XLOOKUP(C1499,'Project Details'!$C$17:$C$66,'Project Details'!$L$17:$L$66,"",0)&gt;550, F1499="Spring-L27cm"),"",SUBSTITUTE(_xlfn.XLOOKUP(G1499,SKUs!$C$2:$C$10001,SKUs!$F$2:$F$10001,"",0), " Accessories",""))</f>
        <v/>
      </c>
      <c r="L1499" s="33">
        <f>_xlfn.XLOOKUP(C1499,'Project Details'!$C$17:$C$66,'Project Details'!$D$17:$D$66,"",0)</f>
        <v>0</v>
      </c>
      <c r="M1499" s="43"/>
    </row>
    <row r="1500" spans="1:13" ht="13.5" customHeight="1" outlineLevel="1" x14ac:dyDescent="0.25">
      <c r="A1500" s="43"/>
      <c r="B1500" s="43"/>
      <c r="C1500" s="35">
        <f t="shared" si="28"/>
        <v>30</v>
      </c>
      <c r="D1500" s="35" t="str" cm="1">
        <f t="array" ref="D1500">IFERROR(ROUNDUP(_xlfn.IFS(F1500="Aluminum Track", _xlfn.XLOOKUP(C1500, dd_accsrycalc!$A$2:$A$51, dd_accsrycalc!$B$2:$B$51, "",0), F1500="10 x 2 1/2 S (Flat)", _xlfn.XLOOKUP(C1500, dd_accsrycalc!$A$2:$A$51, dd_accsrycalc!$C$2:$C$51, "",0), F1500="Tox6", _xlfn.XLOOKUP(C1500, dd_accsrycalc!$A$2:$A$51, dd_accsrycalc!$D$2:$D$51, "",0), F1500="Cover Cap", _xlfn.XLOOKUP(C1500, dd_accsrycalc!$A$2:$A$51, dd_accsrycalc!$E$2:$E$51, "",0), F1500="Drainage Cover", _xlfn.XLOOKUP(C1500, dd_accsrycalc!$A$2:$A$51, dd_accsrycalc!$F$2:$F$51, "",0),AND( F1500="Double Adhesive Tape", I1500="Roll-up Screen"), _xlfn.XLOOKUP(C1500, calc_rusacc!$C$15:$C$65, calc_rusacc!$AD$15:$AD$65, "",0),AND( F1500="Sealant", I1500="Roll-up Screen"), _xlfn.XLOOKUP(C1500, calc_rusacc!$C$15:$C$65, calc_rusacc!$AF$15:$AF$65, "",0),  AND( F1500="Main Chain", I1500="Accordion Screen"), _xlfn.XLOOKUP(C1500, calc_rusacc!$C$15:$C$65, calc_rusacc!$BF$15:$BF$65, "",0), AND( F1500="Sealant", I1500="Accordion Screen"), _xlfn.XLOOKUP(C1500, calc_rusacc!$C$15:$C$65, calc_rusacc!$BJ$15:$BJ$65, "",0),  F1500="Sealant", _xlfn.XLOOKUP(C1500, dd_accsrycalc!$A$2:$A$51, dd_accsrycalc!$G$2:$G$51, "",0),  F1500&lt;&gt;"",L1500*_xlfn.XLOOKUP(1, (SKUs!$C$2:$C$10001=G1500)*(SKUs!$K$2:$K$10001=I1500),SKUs!$E$2:$E$10001)), 0),"")</f>
        <v/>
      </c>
      <c r="E1500" s="35" t="str">
        <f>_xlfn.XLOOKUP(F1500,dd_item!$B$2:$B$105,dd_item!$C$2:$C$105,"",0)</f>
        <v/>
      </c>
      <c r="F1500" s="35"/>
      <c r="G1500" s="35" cm="1">
        <f t="array" ref="G1500">IFERROR(_xlfn.XLOOKUP(1, (SKUs!$J$2:$J$10001=accsry_unmerged!F1500)*IF(H1500&lt;&gt;"",(SKUs!$L$2:$L$10001=accsry_unmerged!H1500),1)*(SKUs!$K$2:$K$10001=I1500),SKUs!$C$2:$C$10001),"")</f>
        <v>0</v>
      </c>
      <c r="H1500" s="36" cm="1">
        <f t="array" ref="H1500">IFERROR(_xlfn.XLOOKUP(1, (dd_accsryclr!$C$2:$C$1000=accsry_unmerged!F1500)*(dd_accsryclr!$B$2:$B$1000=accsry_unmerged!J1500),dd_accsryclr!$A$2:$A$1000),"")</f>
        <v>0</v>
      </c>
      <c r="I1500" s="35">
        <f>_xlfn.XLOOKUP(C1500,'Project Details'!$C$17:$C$66,'Project Details'!$E$17:$E$66,"",0)</f>
        <v>0</v>
      </c>
      <c r="J1500" s="35">
        <f>_xlfn.XLOOKUP(C1500,'Project Details'!$C$17:$C$66,'Project Details'!$H$17:$H$66,"",0)</f>
        <v>0</v>
      </c>
      <c r="K1500" s="36" t="str">
        <f>IF(AND(_xlfn.XLOOKUP(C1500,'Project Details'!$C$17:$C$66,'Project Details'!$L$17:$L$66,"",0)&gt;550, F1500="Spring-L27cm"),"",SUBSTITUTE(_xlfn.XLOOKUP(G1500,SKUs!$C$2:$C$10001,SKUs!$F$2:$F$10001,"",0), " Accessories",""))</f>
        <v/>
      </c>
      <c r="L1500" s="36">
        <f>_xlfn.XLOOKUP(C1500,'Project Details'!$C$17:$C$66,'Project Details'!$D$17:$D$66,"",0)</f>
        <v>0</v>
      </c>
      <c r="M1500" s="43"/>
    </row>
    <row r="1501" spans="1:13" ht="13.5" customHeight="1" outlineLevel="1" x14ac:dyDescent="0.25">
      <c r="A1501" s="43"/>
      <c r="B1501" s="43"/>
      <c r="C1501" s="16">
        <f t="shared" si="28"/>
        <v>30</v>
      </c>
      <c r="D1501" s="16" t="str" cm="1">
        <f t="array" ref="D1501">IFERROR(ROUNDUP(_xlfn.IFS(F1501="Aluminum Track", _xlfn.XLOOKUP(C1501, dd_accsrycalc!$A$2:$A$51, dd_accsrycalc!$B$2:$B$51, "",0), F1501="10 x 2 1/2 S (Flat)", _xlfn.XLOOKUP(C1501, dd_accsrycalc!$A$2:$A$51, dd_accsrycalc!$C$2:$C$51, "",0), F1501="Tox6", _xlfn.XLOOKUP(C1501, dd_accsrycalc!$A$2:$A$51, dd_accsrycalc!$D$2:$D$51, "",0), F1501="Cover Cap", _xlfn.XLOOKUP(C1501, dd_accsrycalc!$A$2:$A$51, dd_accsrycalc!$E$2:$E$51, "",0), F1501="Drainage Cover", _xlfn.XLOOKUP(C1501, dd_accsrycalc!$A$2:$A$51, dd_accsrycalc!$F$2:$F$51, "",0),AND( F1501="Double Adhesive Tape", I1501="Roll-up Screen"), _xlfn.XLOOKUP(C1501, calc_rusacc!$C$15:$C$65, calc_rusacc!$AD$15:$AD$65, "",0),AND( F1501="Sealant", I1501="Roll-up Screen"), _xlfn.XLOOKUP(C1501, calc_rusacc!$C$15:$C$65, calc_rusacc!$AF$15:$AF$65, "",0),  AND( F1501="Main Chain", I1501="Accordion Screen"), _xlfn.XLOOKUP(C1501, calc_rusacc!$C$15:$C$65, calc_rusacc!$BF$15:$BF$65, "",0), AND( F1501="Sealant", I1501="Accordion Screen"), _xlfn.XLOOKUP(C1501, calc_rusacc!$C$15:$C$65, calc_rusacc!$BJ$15:$BJ$65, "",0),  F1501="Sealant", _xlfn.XLOOKUP(C1501, dd_accsrycalc!$A$2:$A$51, dd_accsrycalc!$G$2:$G$51, "",0),  F1501&lt;&gt;"",L1501*_xlfn.XLOOKUP(1, (SKUs!$C$2:$C$10001=G1501)*(SKUs!$K$2:$K$10001=I1501),SKUs!$E$2:$E$10001)), 0),"")</f>
        <v/>
      </c>
      <c r="E1501" s="16" t="str">
        <f>_xlfn.XLOOKUP(F1501,dd_item!$B$2:$B$105,dd_item!$C$2:$C$105,"",0)</f>
        <v/>
      </c>
      <c r="F1501" s="16"/>
      <c r="G1501" s="16" cm="1">
        <f t="array" ref="G1501">IFERROR(_xlfn.XLOOKUP(1, (SKUs!$J$2:$J$10001=accsry_unmerged!F1501)*IF(H1501&lt;&gt;"",(SKUs!$L$2:$L$10001=accsry_unmerged!H1501),1)*(SKUs!$K$2:$K$10001=I1501),SKUs!$C$2:$C$10001),"")</f>
        <v>0</v>
      </c>
      <c r="H1501" s="33" cm="1">
        <f t="array" ref="H1501">IFERROR(_xlfn.XLOOKUP(1, (dd_accsryclr!$C$2:$C$1000=accsry_unmerged!F1501)*(dd_accsryclr!$B$2:$B$1000=accsry_unmerged!J1501),dd_accsryclr!$A$2:$A$1000),"")</f>
        <v>0</v>
      </c>
      <c r="I1501" s="16">
        <f>_xlfn.XLOOKUP(C1501,'Project Details'!$C$17:$C$66,'Project Details'!$E$17:$E$66,"",0)</f>
        <v>0</v>
      </c>
      <c r="J1501" s="16">
        <f>_xlfn.XLOOKUP(C1501,'Project Details'!$C$17:$C$66,'Project Details'!$H$17:$H$66,"",0)</f>
        <v>0</v>
      </c>
      <c r="K1501" s="33" t="str">
        <f>IF(AND(_xlfn.XLOOKUP(C1501,'Project Details'!$C$17:$C$66,'Project Details'!$L$17:$L$66,"",0)&gt;550, F1501="Spring-L27cm"),"",SUBSTITUTE(_xlfn.XLOOKUP(G1501,SKUs!$C$2:$C$10001,SKUs!$F$2:$F$10001,"",0), " Accessories",""))</f>
        <v/>
      </c>
      <c r="L1501" s="33">
        <f>_xlfn.XLOOKUP(C1501,'Project Details'!$C$17:$C$66,'Project Details'!$D$17:$D$66,"",0)</f>
        <v>0</v>
      </c>
      <c r="M1501" s="43"/>
    </row>
    <row r="1502" spans="1:13" ht="13.5" customHeight="1" outlineLevel="1" x14ac:dyDescent="0.25">
      <c r="A1502" s="43"/>
      <c r="B1502" s="43"/>
      <c r="C1502" s="35">
        <f t="shared" si="28"/>
        <v>30</v>
      </c>
      <c r="D1502" s="35" t="str" cm="1">
        <f t="array" ref="D1502">IFERROR(ROUNDUP(_xlfn.IFS(F1502="Aluminum Track", _xlfn.XLOOKUP(C1502, dd_accsrycalc!$A$2:$A$51, dd_accsrycalc!$B$2:$B$51, "",0), F1502="10 x 2 1/2 S (Flat)", _xlfn.XLOOKUP(C1502, dd_accsrycalc!$A$2:$A$51, dd_accsrycalc!$C$2:$C$51, "",0), F1502="Tox6", _xlfn.XLOOKUP(C1502, dd_accsrycalc!$A$2:$A$51, dd_accsrycalc!$D$2:$D$51, "",0), F1502="Cover Cap", _xlfn.XLOOKUP(C1502, dd_accsrycalc!$A$2:$A$51, dd_accsrycalc!$E$2:$E$51, "",0), F1502="Drainage Cover", _xlfn.XLOOKUP(C1502, dd_accsrycalc!$A$2:$A$51, dd_accsrycalc!$F$2:$F$51, "",0),AND( F1502="Double Adhesive Tape", I1502="Roll-up Screen"), _xlfn.XLOOKUP(C1502, calc_rusacc!$C$15:$C$65, calc_rusacc!$AD$15:$AD$65, "",0),AND( F1502="Sealant", I1502="Roll-up Screen"), _xlfn.XLOOKUP(C1502, calc_rusacc!$C$15:$C$65, calc_rusacc!$AF$15:$AF$65, "",0),  AND( F1502="Main Chain", I1502="Accordion Screen"), _xlfn.XLOOKUP(C1502, calc_rusacc!$C$15:$C$65, calc_rusacc!$BF$15:$BF$65, "",0), AND( F1502="Sealant", I1502="Accordion Screen"), _xlfn.XLOOKUP(C1502, calc_rusacc!$C$15:$C$65, calc_rusacc!$BJ$15:$BJ$65, "",0),  F1502="Sealant", _xlfn.XLOOKUP(C1502, dd_accsrycalc!$A$2:$A$51, dd_accsrycalc!$G$2:$G$51, "",0),  F1502&lt;&gt;"",L1502*_xlfn.XLOOKUP(1, (SKUs!$C$2:$C$10001=G1502)*(SKUs!$K$2:$K$10001=I1502),SKUs!$E$2:$E$10001)), 0),"")</f>
        <v/>
      </c>
      <c r="E1502" s="35" t="str">
        <f>_xlfn.XLOOKUP(F1502,dd_item!$B$2:$B$105,dd_item!$C$2:$C$105,"",0)</f>
        <v/>
      </c>
      <c r="F1502" s="35"/>
      <c r="G1502" s="35" cm="1">
        <f t="array" ref="G1502">IFERROR(_xlfn.XLOOKUP(1, (SKUs!$J$2:$J$10001=accsry_unmerged!F1502)*IF(H1502&lt;&gt;"",(SKUs!$L$2:$L$10001=accsry_unmerged!H1502),1)*(SKUs!$K$2:$K$10001=I1502),SKUs!$C$2:$C$10001),"")</f>
        <v>0</v>
      </c>
      <c r="H1502" s="36" cm="1">
        <f t="array" ref="H1502">IFERROR(_xlfn.XLOOKUP(1, (dd_accsryclr!$C$2:$C$1000=accsry_unmerged!F1502)*(dd_accsryclr!$B$2:$B$1000=accsry_unmerged!J1502),dd_accsryclr!$A$2:$A$1000),"")</f>
        <v>0</v>
      </c>
      <c r="I1502" s="35">
        <f>_xlfn.XLOOKUP(C1502,'Project Details'!$C$17:$C$66,'Project Details'!$E$17:$E$66,"",0)</f>
        <v>0</v>
      </c>
      <c r="J1502" s="35">
        <f>_xlfn.XLOOKUP(C1502,'Project Details'!$C$17:$C$66,'Project Details'!$H$17:$H$66,"",0)</f>
        <v>0</v>
      </c>
      <c r="K1502" s="36" t="str">
        <f>IF(AND(_xlfn.XLOOKUP(C1502,'Project Details'!$C$17:$C$66,'Project Details'!$L$17:$L$66,"",0)&gt;550, F1502="Spring-L27cm"),"",SUBSTITUTE(_xlfn.XLOOKUP(G1502,SKUs!$C$2:$C$10001,SKUs!$F$2:$F$10001,"",0), " Accessories",""))</f>
        <v/>
      </c>
      <c r="L1502" s="36">
        <f>_xlfn.XLOOKUP(C1502,'Project Details'!$C$17:$C$66,'Project Details'!$D$17:$D$66,"",0)</f>
        <v>0</v>
      </c>
      <c r="M1502" s="43"/>
    </row>
    <row r="1503" spans="1:13" ht="13.5" customHeight="1" outlineLevel="1" x14ac:dyDescent="0.25">
      <c r="A1503" s="43"/>
      <c r="B1503" s="43"/>
      <c r="C1503" s="16">
        <f t="shared" si="28"/>
        <v>30</v>
      </c>
      <c r="D1503" s="16" t="str" cm="1">
        <f t="array" ref="D1503">IFERROR(ROUNDUP(_xlfn.IFS(F1503="Aluminum Track", _xlfn.XLOOKUP(C1503, dd_accsrycalc!$A$2:$A$51, dd_accsrycalc!$B$2:$B$51, "",0), F1503="10 x 2 1/2 S (Flat)", _xlfn.XLOOKUP(C1503, dd_accsrycalc!$A$2:$A$51, dd_accsrycalc!$C$2:$C$51, "",0), F1503="Tox6", _xlfn.XLOOKUP(C1503, dd_accsrycalc!$A$2:$A$51, dd_accsrycalc!$D$2:$D$51, "",0), F1503="Cover Cap", _xlfn.XLOOKUP(C1503, dd_accsrycalc!$A$2:$A$51, dd_accsrycalc!$E$2:$E$51, "",0), F1503="Drainage Cover", _xlfn.XLOOKUP(C1503, dd_accsrycalc!$A$2:$A$51, dd_accsrycalc!$F$2:$F$51, "",0),AND( F1503="Double Adhesive Tape", I1503="Roll-up Screen"), _xlfn.XLOOKUP(C1503, calc_rusacc!$C$15:$C$65, calc_rusacc!$AD$15:$AD$65, "",0),AND( F1503="Sealant", I1503="Roll-up Screen"), _xlfn.XLOOKUP(C1503, calc_rusacc!$C$15:$C$65, calc_rusacc!$AF$15:$AF$65, "",0),  AND( F1503="Main Chain", I1503="Accordion Screen"), _xlfn.XLOOKUP(C1503, calc_rusacc!$C$15:$C$65, calc_rusacc!$BF$15:$BF$65, "",0), AND( F1503="Sealant", I1503="Accordion Screen"), _xlfn.XLOOKUP(C1503, calc_rusacc!$C$15:$C$65, calc_rusacc!$BJ$15:$BJ$65, "",0),  F1503="Sealant", _xlfn.XLOOKUP(C1503, dd_accsrycalc!$A$2:$A$51, dd_accsrycalc!$G$2:$G$51, "",0),  F1503&lt;&gt;"",L1503*_xlfn.XLOOKUP(1, (SKUs!$C$2:$C$10001=G1503)*(SKUs!$K$2:$K$10001=I1503),SKUs!$E$2:$E$10001)), 0),"")</f>
        <v/>
      </c>
      <c r="E1503" s="16" t="str">
        <f>_xlfn.XLOOKUP(F1503,dd_item!$B$2:$B$105,dd_item!$C$2:$C$105,"",0)</f>
        <v/>
      </c>
      <c r="F1503" s="16"/>
      <c r="G1503" s="16" cm="1">
        <f t="array" ref="G1503">IFERROR(_xlfn.XLOOKUP(1, (SKUs!$J$2:$J$10001=accsry_unmerged!F1503)*IF(H1503&lt;&gt;"",(SKUs!$L$2:$L$10001=accsry_unmerged!H1503),1)*(SKUs!$K$2:$K$10001=I1503),SKUs!$C$2:$C$10001),"")</f>
        <v>0</v>
      </c>
      <c r="H1503" s="33" cm="1">
        <f t="array" ref="H1503">IFERROR(_xlfn.XLOOKUP(1, (dd_accsryclr!$C$2:$C$1000=accsry_unmerged!F1503)*(dd_accsryclr!$B$2:$B$1000=accsry_unmerged!J1503),dd_accsryclr!$A$2:$A$1000),"")</f>
        <v>0</v>
      </c>
      <c r="I1503" s="16">
        <f>_xlfn.XLOOKUP(C1503,'Project Details'!$C$17:$C$66,'Project Details'!$E$17:$E$66,"",0)</f>
        <v>0</v>
      </c>
      <c r="J1503" s="16">
        <f>_xlfn.XLOOKUP(C1503,'Project Details'!$C$17:$C$66,'Project Details'!$H$17:$H$66,"",0)</f>
        <v>0</v>
      </c>
      <c r="K1503" s="33" t="str">
        <f>IF(AND(_xlfn.XLOOKUP(C1503,'Project Details'!$C$17:$C$66,'Project Details'!$L$17:$L$66,"",0)&gt;550, F1503="Spring-L27cm"),"",SUBSTITUTE(_xlfn.XLOOKUP(G1503,SKUs!$C$2:$C$10001,SKUs!$F$2:$F$10001,"",0), " Accessories",""))</f>
        <v/>
      </c>
      <c r="L1503" s="33">
        <f>_xlfn.XLOOKUP(C1503,'Project Details'!$C$17:$C$66,'Project Details'!$D$17:$D$66,"",0)</f>
        <v>0</v>
      </c>
      <c r="M1503" s="43"/>
    </row>
    <row r="1504" spans="1:13" ht="13.5" customHeight="1" outlineLevel="1" x14ac:dyDescent="0.25">
      <c r="A1504" s="43"/>
      <c r="B1504" s="43"/>
      <c r="C1504" s="35">
        <f t="shared" si="28"/>
        <v>30</v>
      </c>
      <c r="D1504" s="35" t="str" cm="1">
        <f t="array" ref="D1504">IFERROR(ROUNDUP(_xlfn.IFS(F1504="Aluminum Track", _xlfn.XLOOKUP(C1504, dd_accsrycalc!$A$2:$A$51, dd_accsrycalc!$B$2:$B$51, "",0), F1504="10 x 2 1/2 S (Flat)", _xlfn.XLOOKUP(C1504, dd_accsrycalc!$A$2:$A$51, dd_accsrycalc!$C$2:$C$51, "",0), F1504="Tox6", _xlfn.XLOOKUP(C1504, dd_accsrycalc!$A$2:$A$51, dd_accsrycalc!$D$2:$D$51, "",0), F1504="Cover Cap", _xlfn.XLOOKUP(C1504, dd_accsrycalc!$A$2:$A$51, dd_accsrycalc!$E$2:$E$51, "",0), F1504="Drainage Cover", _xlfn.XLOOKUP(C1504, dd_accsrycalc!$A$2:$A$51, dd_accsrycalc!$F$2:$F$51, "",0),AND( F1504="Double Adhesive Tape", I1504="Roll-up Screen"), _xlfn.XLOOKUP(C1504, calc_rusacc!$C$15:$C$65, calc_rusacc!$AD$15:$AD$65, "",0),AND( F1504="Sealant", I1504="Roll-up Screen"), _xlfn.XLOOKUP(C1504, calc_rusacc!$C$15:$C$65, calc_rusacc!$AF$15:$AF$65, "",0),  AND( F1504="Main Chain", I1504="Accordion Screen"), _xlfn.XLOOKUP(C1504, calc_rusacc!$C$15:$C$65, calc_rusacc!$BF$15:$BF$65, "",0), AND( F1504="Sealant", I1504="Accordion Screen"), _xlfn.XLOOKUP(C1504, calc_rusacc!$C$15:$C$65, calc_rusacc!$BJ$15:$BJ$65, "",0),  F1504="Sealant", _xlfn.XLOOKUP(C1504, dd_accsrycalc!$A$2:$A$51, dd_accsrycalc!$G$2:$G$51, "",0),  F1504&lt;&gt;"",L1504*_xlfn.XLOOKUP(1, (SKUs!$C$2:$C$10001=G1504)*(SKUs!$K$2:$K$10001=I1504),SKUs!$E$2:$E$10001)), 0),"")</f>
        <v/>
      </c>
      <c r="E1504" s="35" t="str">
        <f>_xlfn.XLOOKUP(F1504,dd_item!$B$2:$B$105,dd_item!$C$2:$C$105,"",0)</f>
        <v/>
      </c>
      <c r="F1504" s="35"/>
      <c r="G1504" s="35" cm="1">
        <f t="array" ref="G1504">IFERROR(_xlfn.XLOOKUP(1, (SKUs!$J$2:$J$10001=accsry_unmerged!F1504)*IF(H1504&lt;&gt;"",(SKUs!$L$2:$L$10001=accsry_unmerged!H1504),1)*(SKUs!$K$2:$K$10001=I1504),SKUs!$C$2:$C$10001),"")</f>
        <v>0</v>
      </c>
      <c r="H1504" s="36" cm="1">
        <f t="array" ref="H1504">IFERROR(_xlfn.XLOOKUP(1, (dd_accsryclr!$C$2:$C$1000=accsry_unmerged!F1504)*(dd_accsryclr!$B$2:$B$1000=accsry_unmerged!J1504),dd_accsryclr!$A$2:$A$1000),"")</f>
        <v>0</v>
      </c>
      <c r="I1504" s="35">
        <f>_xlfn.XLOOKUP(C1504,'Project Details'!$C$17:$C$66,'Project Details'!$E$17:$E$66,"",0)</f>
        <v>0</v>
      </c>
      <c r="J1504" s="35">
        <f>_xlfn.XLOOKUP(C1504,'Project Details'!$C$17:$C$66,'Project Details'!$H$17:$H$66,"",0)</f>
        <v>0</v>
      </c>
      <c r="K1504" s="36" t="str">
        <f>IF(AND(_xlfn.XLOOKUP(C1504,'Project Details'!$C$17:$C$66,'Project Details'!$L$17:$L$66,"",0)&gt;550, F1504="Spring-L27cm"),"",SUBSTITUTE(_xlfn.XLOOKUP(G1504,SKUs!$C$2:$C$10001,SKUs!$F$2:$F$10001,"",0), " Accessories",""))</f>
        <v/>
      </c>
      <c r="L1504" s="36">
        <f>_xlfn.XLOOKUP(C1504,'Project Details'!$C$17:$C$66,'Project Details'!$D$17:$D$66,"",0)</f>
        <v>0</v>
      </c>
      <c r="M1504" s="43"/>
    </row>
    <row r="1505" spans="1:13" ht="13.5" customHeight="1" outlineLevel="1" collapsed="1" x14ac:dyDescent="0.25">
      <c r="A1505" s="43"/>
      <c r="B1505" s="43"/>
      <c r="C1505" s="16">
        <f t="shared" si="28"/>
        <v>30</v>
      </c>
      <c r="D1505" s="16" t="str" cm="1">
        <f t="array" ref="D1505">IFERROR(ROUNDUP(_xlfn.IFS(F1505="Aluminum Track", _xlfn.XLOOKUP(C1505, dd_accsrycalc!$A$2:$A$51, dd_accsrycalc!$B$2:$B$51, "",0), F1505="10 x 2 1/2 S (Flat)", _xlfn.XLOOKUP(C1505, dd_accsrycalc!$A$2:$A$51, dd_accsrycalc!$C$2:$C$51, "",0), F1505="Tox6", _xlfn.XLOOKUP(C1505, dd_accsrycalc!$A$2:$A$51, dd_accsrycalc!$D$2:$D$51, "",0), F1505="Cover Cap", _xlfn.XLOOKUP(C1505, dd_accsrycalc!$A$2:$A$51, dd_accsrycalc!$E$2:$E$51, "",0), F1505="Drainage Cover", _xlfn.XLOOKUP(C1505, dd_accsrycalc!$A$2:$A$51, dd_accsrycalc!$F$2:$F$51, "",0),AND( F1505="Double Adhesive Tape", I1505="Roll-up Screen"), _xlfn.XLOOKUP(C1505, calc_rusacc!$C$15:$C$65, calc_rusacc!$AD$15:$AD$65, "",0),AND( F1505="Sealant", I1505="Roll-up Screen"), _xlfn.XLOOKUP(C1505, calc_rusacc!$C$15:$C$65, calc_rusacc!$AF$15:$AF$65, "",0),  AND( F1505="Main Chain", I1505="Accordion Screen"), _xlfn.XLOOKUP(C1505, calc_rusacc!$C$15:$C$65, calc_rusacc!$BF$15:$BF$65, "",0), AND( F1505="Sealant", I1505="Accordion Screen"), _xlfn.XLOOKUP(C1505, calc_rusacc!$C$15:$C$65, calc_rusacc!$BJ$15:$BJ$65, "",0),  F1505="Sealant", _xlfn.XLOOKUP(C1505, dd_accsrycalc!$A$2:$A$51, dd_accsrycalc!$G$2:$G$51, "",0),  F1505&lt;&gt;"",L1505*_xlfn.XLOOKUP(1, (SKUs!$C$2:$C$10001=G1505)*(SKUs!$K$2:$K$10001=I1505),SKUs!$E$2:$E$10001)), 0),"")</f>
        <v/>
      </c>
      <c r="E1505" s="16" t="str">
        <f>_xlfn.XLOOKUP(F1505,dd_item!$B$2:$B$105,dd_item!$C$2:$C$105,"",0)</f>
        <v/>
      </c>
      <c r="F1505" s="16"/>
      <c r="G1505" s="16" cm="1">
        <f t="array" ref="G1505">IFERROR(_xlfn.XLOOKUP(1, (SKUs!$J$2:$J$10001=accsry_unmerged!F1505)*IF(H1505&lt;&gt;"",(SKUs!$L$2:$L$10001=accsry_unmerged!H1505),1)*(SKUs!$K$2:$K$10001=I1505),SKUs!$C$2:$C$10001),"")</f>
        <v>0</v>
      </c>
      <c r="H1505" s="33" cm="1">
        <f t="array" ref="H1505">IFERROR(_xlfn.XLOOKUP(1, (dd_accsryclr!$C$2:$C$1000=accsry_unmerged!F1505)*(dd_accsryclr!$B$2:$B$1000=accsry_unmerged!J1505),dd_accsryclr!$A$2:$A$1000),"")</f>
        <v>0</v>
      </c>
      <c r="I1505" s="16">
        <f>_xlfn.XLOOKUP(C1505,'Project Details'!$C$17:$C$66,'Project Details'!$E$17:$E$66,"",0)</f>
        <v>0</v>
      </c>
      <c r="J1505" s="16">
        <f>_xlfn.XLOOKUP(C1505,'Project Details'!$C$17:$C$66,'Project Details'!$H$17:$H$66,"",0)</f>
        <v>0</v>
      </c>
      <c r="K1505" s="33" t="str">
        <f>IF(AND(_xlfn.XLOOKUP(C1505,'Project Details'!$C$17:$C$66,'Project Details'!$L$17:$L$66,"",0)&gt;550, F1505="Spring-L27cm"),"",SUBSTITUTE(_xlfn.XLOOKUP(G1505,SKUs!$C$2:$C$10001,SKUs!$F$2:$F$10001,"",0), " Accessories",""))</f>
        <v/>
      </c>
      <c r="L1505" s="33">
        <f>_xlfn.XLOOKUP(C1505,'Project Details'!$C$17:$C$66,'Project Details'!$D$17:$D$66,"",0)</f>
        <v>0</v>
      </c>
      <c r="M1505" s="43"/>
    </row>
    <row r="1506" spans="1:13" ht="13.5" customHeight="1" outlineLevel="1" x14ac:dyDescent="0.25">
      <c r="A1506" s="43"/>
      <c r="B1506" s="43"/>
      <c r="C1506" s="35">
        <f t="shared" si="28"/>
        <v>30</v>
      </c>
      <c r="D1506" s="35" t="str" cm="1">
        <f t="array" ref="D1506">IFERROR(ROUNDUP(_xlfn.IFS(F1506="Aluminum Track", _xlfn.XLOOKUP(C1506, dd_accsrycalc!$A$2:$A$51, dd_accsrycalc!$B$2:$B$51, "",0), F1506="10 x 2 1/2 S (Flat)", _xlfn.XLOOKUP(C1506, dd_accsrycalc!$A$2:$A$51, dd_accsrycalc!$C$2:$C$51, "",0), F1506="Tox6", _xlfn.XLOOKUP(C1506, dd_accsrycalc!$A$2:$A$51, dd_accsrycalc!$D$2:$D$51, "",0), F1506="Cover Cap", _xlfn.XLOOKUP(C1506, dd_accsrycalc!$A$2:$A$51, dd_accsrycalc!$E$2:$E$51, "",0), F1506="Drainage Cover", _xlfn.XLOOKUP(C1506, dd_accsrycalc!$A$2:$A$51, dd_accsrycalc!$F$2:$F$51, "",0),AND( F1506="Double Adhesive Tape", I1506="Roll-up Screen"), _xlfn.XLOOKUP(C1506, calc_rusacc!$C$15:$C$65, calc_rusacc!$AD$15:$AD$65, "",0),AND( F1506="Sealant", I1506="Roll-up Screen"), _xlfn.XLOOKUP(C1506, calc_rusacc!$C$15:$C$65, calc_rusacc!$AF$15:$AF$65, "",0),  AND( F1506="Main Chain", I1506="Accordion Screen"), _xlfn.XLOOKUP(C1506, calc_rusacc!$C$15:$C$65, calc_rusacc!$BF$15:$BF$65, "",0), AND( F1506="Sealant", I1506="Accordion Screen"), _xlfn.XLOOKUP(C1506, calc_rusacc!$C$15:$C$65, calc_rusacc!$BJ$15:$BJ$65, "",0),  F1506="Sealant", _xlfn.XLOOKUP(C1506, dd_accsrycalc!$A$2:$A$51, dd_accsrycalc!$G$2:$G$51, "",0),  F1506&lt;&gt;"",L1506*_xlfn.XLOOKUP(1, (SKUs!$C$2:$C$10001=G1506)*(SKUs!$K$2:$K$10001=I1506),SKUs!$E$2:$E$10001)), 0),"")</f>
        <v/>
      </c>
      <c r="E1506" s="35" t="str">
        <f>_xlfn.XLOOKUP(F1506,dd_item!$B$2:$B$105,dd_item!$C$2:$C$105,"",0)</f>
        <v/>
      </c>
      <c r="F1506" s="35"/>
      <c r="G1506" s="35" cm="1">
        <f t="array" ref="G1506">IFERROR(_xlfn.XLOOKUP(1, (SKUs!$J$2:$J$10001=accsry_unmerged!F1506)*IF(H1506&lt;&gt;"",(SKUs!$L$2:$L$10001=accsry_unmerged!H1506),1)*(SKUs!$K$2:$K$10001=I1506),SKUs!$C$2:$C$10001),"")</f>
        <v>0</v>
      </c>
      <c r="H1506" s="36" cm="1">
        <f t="array" ref="H1506">IFERROR(_xlfn.XLOOKUP(1, (dd_accsryclr!$C$2:$C$1000=accsry_unmerged!F1506)*(dd_accsryclr!$B$2:$B$1000=accsry_unmerged!J1506),dd_accsryclr!$A$2:$A$1000),"")</f>
        <v>0</v>
      </c>
      <c r="I1506" s="35">
        <f>_xlfn.XLOOKUP(C1506,'Project Details'!$C$17:$C$66,'Project Details'!$E$17:$E$66,"",0)</f>
        <v>0</v>
      </c>
      <c r="J1506" s="35">
        <f>_xlfn.XLOOKUP(C1506,'Project Details'!$C$17:$C$66,'Project Details'!$H$17:$H$66,"",0)</f>
        <v>0</v>
      </c>
      <c r="K1506" s="36" t="str">
        <f>IF(AND(_xlfn.XLOOKUP(C1506,'Project Details'!$C$17:$C$66,'Project Details'!$L$17:$L$66,"",0)&gt;550, F1506="Spring-L27cm"),"",SUBSTITUTE(_xlfn.XLOOKUP(G1506,SKUs!$C$2:$C$10001,SKUs!$F$2:$F$10001,"",0), " Accessories",""))</f>
        <v/>
      </c>
      <c r="L1506" s="36">
        <f>_xlfn.XLOOKUP(C1506,'Project Details'!$C$17:$C$66,'Project Details'!$D$17:$D$66,"",0)</f>
        <v>0</v>
      </c>
      <c r="M1506" s="43"/>
    </row>
    <row r="1507" spans="1:13" ht="13.5" customHeight="1" outlineLevel="1" x14ac:dyDescent="0.25">
      <c r="A1507" s="43"/>
      <c r="B1507" s="43"/>
      <c r="C1507" s="16">
        <f t="shared" si="28"/>
        <v>30</v>
      </c>
      <c r="D1507" s="16" t="str" cm="1">
        <f t="array" ref="D1507">IFERROR(ROUNDUP(_xlfn.IFS(F1507="Aluminum Track", _xlfn.XLOOKUP(C1507, dd_accsrycalc!$A$2:$A$51, dd_accsrycalc!$B$2:$B$51, "",0), F1507="10 x 2 1/2 S (Flat)", _xlfn.XLOOKUP(C1507, dd_accsrycalc!$A$2:$A$51, dd_accsrycalc!$C$2:$C$51, "",0), F1507="Tox6", _xlfn.XLOOKUP(C1507, dd_accsrycalc!$A$2:$A$51, dd_accsrycalc!$D$2:$D$51, "",0), F1507="Cover Cap", _xlfn.XLOOKUP(C1507, dd_accsrycalc!$A$2:$A$51, dd_accsrycalc!$E$2:$E$51, "",0), F1507="Drainage Cover", _xlfn.XLOOKUP(C1507, dd_accsrycalc!$A$2:$A$51, dd_accsrycalc!$F$2:$F$51, "",0),AND( F1507="Double Adhesive Tape", I1507="Roll-up Screen"), _xlfn.XLOOKUP(C1507, calc_rusacc!$C$15:$C$65, calc_rusacc!$AD$15:$AD$65, "",0),AND( F1507="Sealant", I1507="Roll-up Screen"), _xlfn.XLOOKUP(C1507, calc_rusacc!$C$15:$C$65, calc_rusacc!$AF$15:$AF$65, "",0),  AND( F1507="Main Chain", I1507="Accordion Screen"), _xlfn.XLOOKUP(C1507, calc_rusacc!$C$15:$C$65, calc_rusacc!$BF$15:$BF$65, "",0), AND( F1507="Sealant", I1507="Accordion Screen"), _xlfn.XLOOKUP(C1507, calc_rusacc!$C$15:$C$65, calc_rusacc!$BJ$15:$BJ$65, "",0),  F1507="Sealant", _xlfn.XLOOKUP(C1507, dd_accsrycalc!$A$2:$A$51, dd_accsrycalc!$G$2:$G$51, "",0),  F1507&lt;&gt;"",L1507*_xlfn.XLOOKUP(1, (SKUs!$C$2:$C$10001=G1507)*(SKUs!$K$2:$K$10001=I1507),SKUs!$E$2:$E$10001)), 0),"")</f>
        <v/>
      </c>
      <c r="E1507" s="16" t="str">
        <f>_xlfn.XLOOKUP(F1507,dd_item!$B$2:$B$105,dd_item!$C$2:$C$105,"",0)</f>
        <v/>
      </c>
      <c r="F1507" s="16"/>
      <c r="G1507" s="16" cm="1">
        <f t="array" ref="G1507">IFERROR(_xlfn.XLOOKUP(1, (SKUs!$J$2:$J$10001=accsry_unmerged!F1507)*IF(H1507&lt;&gt;"",(SKUs!$L$2:$L$10001=accsry_unmerged!H1507),1)*(SKUs!$K$2:$K$10001=I1507),SKUs!$C$2:$C$10001),"")</f>
        <v>0</v>
      </c>
      <c r="H1507" s="33" cm="1">
        <f t="array" ref="H1507">IFERROR(_xlfn.XLOOKUP(1, (dd_accsryclr!$C$2:$C$1000=accsry_unmerged!F1507)*(dd_accsryclr!$B$2:$B$1000=accsry_unmerged!J1507),dd_accsryclr!$A$2:$A$1000),"")</f>
        <v>0</v>
      </c>
      <c r="I1507" s="16">
        <f>_xlfn.XLOOKUP(C1507,'Project Details'!$C$17:$C$66,'Project Details'!$E$17:$E$66,"",0)</f>
        <v>0</v>
      </c>
      <c r="J1507" s="16">
        <f>_xlfn.XLOOKUP(C1507,'Project Details'!$C$17:$C$66,'Project Details'!$H$17:$H$66,"",0)</f>
        <v>0</v>
      </c>
      <c r="K1507" s="33" t="str">
        <f>IF(AND(_xlfn.XLOOKUP(C1507,'Project Details'!$C$17:$C$66,'Project Details'!$L$17:$L$66,"",0)&gt;550, F1507="Spring-L27cm"),"",SUBSTITUTE(_xlfn.XLOOKUP(G1507,SKUs!$C$2:$C$10001,SKUs!$F$2:$F$10001,"",0), " Accessories",""))</f>
        <v/>
      </c>
      <c r="L1507" s="33">
        <f>_xlfn.XLOOKUP(C1507,'Project Details'!$C$17:$C$66,'Project Details'!$D$17:$D$66,"",0)</f>
        <v>0</v>
      </c>
      <c r="M1507" s="43"/>
    </row>
    <row r="1508" spans="1:13" ht="13.5" customHeight="1" outlineLevel="1" x14ac:dyDescent="0.25">
      <c r="A1508" s="43"/>
      <c r="B1508" s="43"/>
      <c r="C1508" s="35">
        <f t="shared" si="28"/>
        <v>30</v>
      </c>
      <c r="D1508" s="35" t="str" cm="1">
        <f t="array" ref="D1508">IFERROR(ROUNDUP(_xlfn.IFS(F1508="Aluminum Track", _xlfn.XLOOKUP(C1508, dd_accsrycalc!$A$2:$A$51, dd_accsrycalc!$B$2:$B$51, "",0), F1508="10 x 2 1/2 S (Flat)", _xlfn.XLOOKUP(C1508, dd_accsrycalc!$A$2:$A$51, dd_accsrycalc!$C$2:$C$51, "",0), F1508="Tox6", _xlfn.XLOOKUP(C1508, dd_accsrycalc!$A$2:$A$51, dd_accsrycalc!$D$2:$D$51, "",0), F1508="Cover Cap", _xlfn.XLOOKUP(C1508, dd_accsrycalc!$A$2:$A$51, dd_accsrycalc!$E$2:$E$51, "",0), F1508="Drainage Cover", _xlfn.XLOOKUP(C1508, dd_accsrycalc!$A$2:$A$51, dd_accsrycalc!$F$2:$F$51, "",0),AND( F1508="Double Adhesive Tape", I1508="Roll-up Screen"), _xlfn.XLOOKUP(C1508, calc_rusacc!$C$15:$C$65, calc_rusacc!$AD$15:$AD$65, "",0),AND( F1508="Sealant", I1508="Roll-up Screen"), _xlfn.XLOOKUP(C1508, calc_rusacc!$C$15:$C$65, calc_rusacc!$AF$15:$AF$65, "",0),  AND( F1508="Main Chain", I1508="Accordion Screen"), _xlfn.XLOOKUP(C1508, calc_rusacc!$C$15:$C$65, calc_rusacc!$BF$15:$BF$65, "",0), AND( F1508="Sealant", I1508="Accordion Screen"), _xlfn.XLOOKUP(C1508, calc_rusacc!$C$15:$C$65, calc_rusacc!$BJ$15:$BJ$65, "",0),  F1508="Sealant", _xlfn.XLOOKUP(C1508, dd_accsrycalc!$A$2:$A$51, dd_accsrycalc!$G$2:$G$51, "",0),  F1508&lt;&gt;"",L1508*_xlfn.XLOOKUP(1, (SKUs!$C$2:$C$10001=G1508)*(SKUs!$K$2:$K$10001=I1508),SKUs!$E$2:$E$10001)), 0),"")</f>
        <v/>
      </c>
      <c r="E1508" s="35" t="str">
        <f>_xlfn.XLOOKUP(F1508,dd_item!$B$2:$B$105,dd_item!$C$2:$C$105,"",0)</f>
        <v/>
      </c>
      <c r="F1508" s="35"/>
      <c r="G1508" s="35" cm="1">
        <f t="array" ref="G1508">IFERROR(_xlfn.XLOOKUP(1, (SKUs!$J$2:$J$10001=accsry_unmerged!F1508)*IF(H1508&lt;&gt;"",(SKUs!$L$2:$L$10001=accsry_unmerged!H1508),1)*(SKUs!$K$2:$K$10001=I1508),SKUs!$C$2:$C$10001),"")</f>
        <v>0</v>
      </c>
      <c r="H1508" s="36" cm="1">
        <f t="array" ref="H1508">IFERROR(_xlfn.XLOOKUP(1, (dd_accsryclr!$C$2:$C$1000=accsry_unmerged!F1508)*(dd_accsryclr!$B$2:$B$1000=accsry_unmerged!J1508),dd_accsryclr!$A$2:$A$1000),"")</f>
        <v>0</v>
      </c>
      <c r="I1508" s="35">
        <f>_xlfn.XLOOKUP(C1508,'Project Details'!$C$17:$C$66,'Project Details'!$E$17:$E$66,"",0)</f>
        <v>0</v>
      </c>
      <c r="J1508" s="35">
        <f>_xlfn.XLOOKUP(C1508,'Project Details'!$C$17:$C$66,'Project Details'!$H$17:$H$66,"",0)</f>
        <v>0</v>
      </c>
      <c r="K1508" s="36" t="str">
        <f>IF(AND(_xlfn.XLOOKUP(C1508,'Project Details'!$C$17:$C$66,'Project Details'!$L$17:$L$66,"",0)&gt;550, F1508="Spring-L27cm"),"",SUBSTITUTE(_xlfn.XLOOKUP(G1508,SKUs!$C$2:$C$10001,SKUs!$F$2:$F$10001,"",0), " Accessories",""))</f>
        <v/>
      </c>
      <c r="L1508" s="36">
        <f>_xlfn.XLOOKUP(C1508,'Project Details'!$C$17:$C$66,'Project Details'!$D$17:$D$66,"",0)</f>
        <v>0</v>
      </c>
      <c r="M1508" s="43"/>
    </row>
    <row r="1509" spans="1:13" ht="13.5" customHeight="1" outlineLevel="1" x14ac:dyDescent="0.25">
      <c r="A1509" s="43"/>
      <c r="B1509" s="43"/>
      <c r="C1509" s="16">
        <f t="shared" si="28"/>
        <v>30</v>
      </c>
      <c r="D1509" s="16" t="str" cm="1">
        <f t="array" ref="D1509">IFERROR(ROUNDUP(_xlfn.IFS(F1509="Aluminum Track", _xlfn.XLOOKUP(C1509, dd_accsrycalc!$A$2:$A$51, dd_accsrycalc!$B$2:$B$51, "",0), F1509="10 x 2 1/2 S (Flat)", _xlfn.XLOOKUP(C1509, dd_accsrycalc!$A$2:$A$51, dd_accsrycalc!$C$2:$C$51, "",0), F1509="Tox6", _xlfn.XLOOKUP(C1509, dd_accsrycalc!$A$2:$A$51, dd_accsrycalc!$D$2:$D$51, "",0), F1509="Cover Cap", _xlfn.XLOOKUP(C1509, dd_accsrycalc!$A$2:$A$51, dd_accsrycalc!$E$2:$E$51, "",0), F1509="Drainage Cover", _xlfn.XLOOKUP(C1509, dd_accsrycalc!$A$2:$A$51, dd_accsrycalc!$F$2:$F$51, "",0),AND( F1509="Double Adhesive Tape", I1509="Roll-up Screen"), _xlfn.XLOOKUP(C1509, calc_rusacc!$C$15:$C$65, calc_rusacc!$AD$15:$AD$65, "",0),AND( F1509="Sealant", I1509="Roll-up Screen"), _xlfn.XLOOKUP(C1509, calc_rusacc!$C$15:$C$65, calc_rusacc!$AF$15:$AF$65, "",0),  AND( F1509="Main Chain", I1509="Accordion Screen"), _xlfn.XLOOKUP(C1509, calc_rusacc!$C$15:$C$65, calc_rusacc!$BF$15:$BF$65, "",0), AND( F1509="Sealant", I1509="Accordion Screen"), _xlfn.XLOOKUP(C1509, calc_rusacc!$C$15:$C$65, calc_rusacc!$BJ$15:$BJ$65, "",0),  F1509="Sealant", _xlfn.XLOOKUP(C1509, dd_accsrycalc!$A$2:$A$51, dd_accsrycalc!$G$2:$G$51, "",0),  F1509&lt;&gt;"",L1509*_xlfn.XLOOKUP(1, (SKUs!$C$2:$C$10001=G1509)*(SKUs!$K$2:$K$10001=I1509),SKUs!$E$2:$E$10001)), 0),"")</f>
        <v/>
      </c>
      <c r="E1509" s="16" t="str">
        <f>_xlfn.XLOOKUP(F1509,dd_item!$B$2:$B$105,dd_item!$C$2:$C$105,"",0)</f>
        <v/>
      </c>
      <c r="F1509" s="16"/>
      <c r="G1509" s="16" cm="1">
        <f t="array" ref="G1509">IFERROR(_xlfn.XLOOKUP(1, (SKUs!$J$2:$J$10001=accsry_unmerged!F1509)*IF(H1509&lt;&gt;"",(SKUs!$L$2:$L$10001=accsry_unmerged!H1509),1)*(SKUs!$K$2:$K$10001=I1509),SKUs!$C$2:$C$10001),"")</f>
        <v>0</v>
      </c>
      <c r="H1509" s="33" cm="1">
        <f t="array" ref="H1509">IFERROR(_xlfn.XLOOKUP(1, (dd_accsryclr!$C$2:$C$1000=accsry_unmerged!F1509)*(dd_accsryclr!$B$2:$B$1000=accsry_unmerged!J1509),dd_accsryclr!$A$2:$A$1000),"")</f>
        <v>0</v>
      </c>
      <c r="I1509" s="16">
        <f>_xlfn.XLOOKUP(C1509,'Project Details'!$C$17:$C$66,'Project Details'!$E$17:$E$66,"",0)</f>
        <v>0</v>
      </c>
      <c r="J1509" s="16">
        <f>_xlfn.XLOOKUP(C1509,'Project Details'!$C$17:$C$66,'Project Details'!$H$17:$H$66,"",0)</f>
        <v>0</v>
      </c>
      <c r="K1509" s="33" t="str">
        <f>IF(AND(_xlfn.XLOOKUP(C1509,'Project Details'!$C$17:$C$66,'Project Details'!$L$17:$L$66,"",0)&gt;550, F1509="Spring-L27cm"),"",SUBSTITUTE(_xlfn.XLOOKUP(G1509,SKUs!$C$2:$C$10001,SKUs!$F$2:$F$10001,"",0), " Accessories",""))</f>
        <v/>
      </c>
      <c r="L1509" s="33">
        <f>_xlfn.XLOOKUP(C1509,'Project Details'!$C$17:$C$66,'Project Details'!$D$17:$D$66,"",0)</f>
        <v>0</v>
      </c>
      <c r="M1509" s="43"/>
    </row>
    <row r="1510" spans="1:13" ht="13.5" customHeight="1" outlineLevel="1" x14ac:dyDescent="0.25">
      <c r="A1510" s="43"/>
      <c r="B1510" s="43"/>
      <c r="C1510" s="35">
        <f t="shared" si="28"/>
        <v>30</v>
      </c>
      <c r="D1510" s="35" t="str" cm="1">
        <f t="array" ref="D1510">IFERROR(ROUNDUP(_xlfn.IFS(F1510="Aluminum Track", _xlfn.XLOOKUP(C1510, dd_accsrycalc!$A$2:$A$51, dd_accsrycalc!$B$2:$B$51, "",0), F1510="10 x 2 1/2 S (Flat)", _xlfn.XLOOKUP(C1510, dd_accsrycalc!$A$2:$A$51, dd_accsrycalc!$C$2:$C$51, "",0), F1510="Tox6", _xlfn.XLOOKUP(C1510, dd_accsrycalc!$A$2:$A$51, dd_accsrycalc!$D$2:$D$51, "",0), F1510="Cover Cap", _xlfn.XLOOKUP(C1510, dd_accsrycalc!$A$2:$A$51, dd_accsrycalc!$E$2:$E$51, "",0), F1510="Drainage Cover", _xlfn.XLOOKUP(C1510, dd_accsrycalc!$A$2:$A$51, dd_accsrycalc!$F$2:$F$51, "",0),AND( F1510="Double Adhesive Tape", I1510="Roll-up Screen"), _xlfn.XLOOKUP(C1510, calc_rusacc!$C$15:$C$65, calc_rusacc!$AD$15:$AD$65, "",0),AND( F1510="Sealant", I1510="Roll-up Screen"), _xlfn.XLOOKUP(C1510, calc_rusacc!$C$15:$C$65, calc_rusacc!$AF$15:$AF$65, "",0),  AND( F1510="Main Chain", I1510="Accordion Screen"), _xlfn.XLOOKUP(C1510, calc_rusacc!$C$15:$C$65, calc_rusacc!$BF$15:$BF$65, "",0), AND( F1510="Sealant", I1510="Accordion Screen"), _xlfn.XLOOKUP(C1510, calc_rusacc!$C$15:$C$65, calc_rusacc!$BJ$15:$BJ$65, "",0),  F1510="Sealant", _xlfn.XLOOKUP(C1510, dd_accsrycalc!$A$2:$A$51, dd_accsrycalc!$G$2:$G$51, "",0),  F1510&lt;&gt;"",L1510*_xlfn.XLOOKUP(1, (SKUs!$C$2:$C$10001=G1510)*(SKUs!$K$2:$K$10001=I1510),SKUs!$E$2:$E$10001)), 0),"")</f>
        <v/>
      </c>
      <c r="E1510" s="35" t="str">
        <f>_xlfn.XLOOKUP(F1510,dd_item!$B$2:$B$105,dd_item!$C$2:$C$105,"",0)</f>
        <v/>
      </c>
      <c r="F1510" s="35"/>
      <c r="G1510" s="35" cm="1">
        <f t="array" ref="G1510">IFERROR(_xlfn.XLOOKUP(1, (SKUs!$J$2:$J$10001=accsry_unmerged!F1510)*IF(H1510&lt;&gt;"",(SKUs!$L$2:$L$10001=accsry_unmerged!H1510),1)*(SKUs!$K$2:$K$10001=I1510),SKUs!$C$2:$C$10001),"")</f>
        <v>0</v>
      </c>
      <c r="H1510" s="36" cm="1">
        <f t="array" ref="H1510">IFERROR(_xlfn.XLOOKUP(1, (dd_accsryclr!$C$2:$C$1000=accsry_unmerged!F1510)*(dd_accsryclr!$B$2:$B$1000=accsry_unmerged!J1510),dd_accsryclr!$A$2:$A$1000),"")</f>
        <v>0</v>
      </c>
      <c r="I1510" s="35">
        <f>_xlfn.XLOOKUP(C1510,'Project Details'!$C$17:$C$66,'Project Details'!$E$17:$E$66,"",0)</f>
        <v>0</v>
      </c>
      <c r="J1510" s="35">
        <f>_xlfn.XLOOKUP(C1510,'Project Details'!$C$17:$C$66,'Project Details'!$H$17:$H$66,"",0)</f>
        <v>0</v>
      </c>
      <c r="K1510" s="36" t="str">
        <f>IF(AND(_xlfn.XLOOKUP(C1510,'Project Details'!$C$17:$C$66,'Project Details'!$L$17:$L$66,"",0)&gt;550, F1510="Spring-L27cm"),"",SUBSTITUTE(_xlfn.XLOOKUP(G1510,SKUs!$C$2:$C$10001,SKUs!$F$2:$F$10001,"",0), " Accessories",""))</f>
        <v/>
      </c>
      <c r="L1510" s="36">
        <f>_xlfn.XLOOKUP(C1510,'Project Details'!$C$17:$C$66,'Project Details'!$D$17:$D$66,"",0)</f>
        <v>0</v>
      </c>
      <c r="M1510" s="43"/>
    </row>
    <row r="1511" spans="1:13" ht="13.5" customHeight="1" outlineLevel="1" x14ac:dyDescent="0.25">
      <c r="A1511" s="43"/>
      <c r="B1511" s="43"/>
      <c r="C1511" s="16">
        <f t="shared" si="28"/>
        <v>30</v>
      </c>
      <c r="D1511" s="16" t="str" cm="1">
        <f t="array" ref="D1511">IFERROR(ROUNDUP(_xlfn.IFS(F1511="Aluminum Track", _xlfn.XLOOKUP(C1511, dd_accsrycalc!$A$2:$A$51, dd_accsrycalc!$B$2:$B$51, "",0), F1511="10 x 2 1/2 S (Flat)", _xlfn.XLOOKUP(C1511, dd_accsrycalc!$A$2:$A$51, dd_accsrycalc!$C$2:$C$51, "",0), F1511="Tox6", _xlfn.XLOOKUP(C1511, dd_accsrycalc!$A$2:$A$51, dd_accsrycalc!$D$2:$D$51, "",0), F1511="Cover Cap", _xlfn.XLOOKUP(C1511, dd_accsrycalc!$A$2:$A$51, dd_accsrycalc!$E$2:$E$51, "",0), F1511="Drainage Cover", _xlfn.XLOOKUP(C1511, dd_accsrycalc!$A$2:$A$51, dd_accsrycalc!$F$2:$F$51, "",0),AND( F1511="Double Adhesive Tape", I1511="Roll-up Screen"), _xlfn.XLOOKUP(C1511, calc_rusacc!$C$15:$C$65, calc_rusacc!$AD$15:$AD$65, "",0),AND( F1511="Sealant", I1511="Roll-up Screen"), _xlfn.XLOOKUP(C1511, calc_rusacc!$C$15:$C$65, calc_rusacc!$AF$15:$AF$65, "",0),  AND( F1511="Main Chain", I1511="Accordion Screen"), _xlfn.XLOOKUP(C1511, calc_rusacc!$C$15:$C$65, calc_rusacc!$BF$15:$BF$65, "",0), AND( F1511="Sealant", I1511="Accordion Screen"), _xlfn.XLOOKUP(C1511, calc_rusacc!$C$15:$C$65, calc_rusacc!$BJ$15:$BJ$65, "",0),  F1511="Sealant", _xlfn.XLOOKUP(C1511, dd_accsrycalc!$A$2:$A$51, dd_accsrycalc!$G$2:$G$51, "",0),  F1511&lt;&gt;"",L1511*_xlfn.XLOOKUP(1, (SKUs!$C$2:$C$10001=G1511)*(SKUs!$K$2:$K$10001=I1511),SKUs!$E$2:$E$10001)), 0),"")</f>
        <v/>
      </c>
      <c r="E1511" s="16" t="str">
        <f>_xlfn.XLOOKUP(F1511,dd_item!$B$2:$B$105,dd_item!$C$2:$C$105,"",0)</f>
        <v/>
      </c>
      <c r="F1511" s="16"/>
      <c r="G1511" s="16" cm="1">
        <f t="array" ref="G1511">IFERROR(_xlfn.XLOOKUP(1, (SKUs!$J$2:$J$10001=accsry_unmerged!F1511)*IF(H1511&lt;&gt;"",(SKUs!$L$2:$L$10001=accsry_unmerged!H1511),1)*(SKUs!$K$2:$K$10001=I1511),SKUs!$C$2:$C$10001),"")</f>
        <v>0</v>
      </c>
      <c r="H1511" s="33" cm="1">
        <f t="array" ref="H1511">IFERROR(_xlfn.XLOOKUP(1, (dd_accsryclr!$C$2:$C$1000=accsry_unmerged!F1511)*(dd_accsryclr!$B$2:$B$1000=accsry_unmerged!J1511),dd_accsryclr!$A$2:$A$1000),"")</f>
        <v>0</v>
      </c>
      <c r="I1511" s="16">
        <f>_xlfn.XLOOKUP(C1511,'Project Details'!$C$17:$C$66,'Project Details'!$E$17:$E$66,"",0)</f>
        <v>0</v>
      </c>
      <c r="J1511" s="16">
        <f>_xlfn.XLOOKUP(C1511,'Project Details'!$C$17:$C$66,'Project Details'!$H$17:$H$66,"",0)</f>
        <v>0</v>
      </c>
      <c r="K1511" s="33" t="str">
        <f>IF(AND(_xlfn.XLOOKUP(C1511,'Project Details'!$C$17:$C$66,'Project Details'!$L$17:$L$66,"",0)&gt;550, F1511="Spring-L27cm"),"",SUBSTITUTE(_xlfn.XLOOKUP(G1511,SKUs!$C$2:$C$10001,SKUs!$F$2:$F$10001,"",0), " Accessories",""))</f>
        <v/>
      </c>
      <c r="L1511" s="33">
        <f>_xlfn.XLOOKUP(C1511,'Project Details'!$C$17:$C$66,'Project Details'!$D$17:$D$66,"",0)</f>
        <v>0</v>
      </c>
      <c r="M1511" s="43"/>
    </row>
    <row r="1512" spans="1:13" ht="13.5" customHeight="1" outlineLevel="1" x14ac:dyDescent="0.25">
      <c r="A1512" s="43"/>
      <c r="B1512" s="43"/>
      <c r="C1512" s="35">
        <f t="shared" si="28"/>
        <v>30</v>
      </c>
      <c r="D1512" s="35" t="str" cm="1">
        <f t="array" ref="D1512">IFERROR(ROUNDUP(_xlfn.IFS(F1512="Aluminum Track", _xlfn.XLOOKUP(C1512, dd_accsrycalc!$A$2:$A$51, dd_accsrycalc!$B$2:$B$51, "",0), F1512="10 x 2 1/2 S (Flat)", _xlfn.XLOOKUP(C1512, dd_accsrycalc!$A$2:$A$51, dd_accsrycalc!$C$2:$C$51, "",0), F1512="Tox6", _xlfn.XLOOKUP(C1512, dd_accsrycalc!$A$2:$A$51, dd_accsrycalc!$D$2:$D$51, "",0), F1512="Cover Cap", _xlfn.XLOOKUP(C1512, dd_accsrycalc!$A$2:$A$51, dd_accsrycalc!$E$2:$E$51, "",0), F1512="Drainage Cover", _xlfn.XLOOKUP(C1512, dd_accsrycalc!$A$2:$A$51, dd_accsrycalc!$F$2:$F$51, "",0),AND( F1512="Double Adhesive Tape", I1512="Roll-up Screen"), _xlfn.XLOOKUP(C1512, calc_rusacc!$C$15:$C$65, calc_rusacc!$AD$15:$AD$65, "",0),AND( F1512="Sealant", I1512="Roll-up Screen"), _xlfn.XLOOKUP(C1512, calc_rusacc!$C$15:$C$65, calc_rusacc!$AF$15:$AF$65, "",0),  AND( F1512="Main Chain", I1512="Accordion Screen"), _xlfn.XLOOKUP(C1512, calc_rusacc!$C$15:$C$65, calc_rusacc!$BF$15:$BF$65, "",0), AND( F1512="Sealant", I1512="Accordion Screen"), _xlfn.XLOOKUP(C1512, calc_rusacc!$C$15:$C$65, calc_rusacc!$BJ$15:$BJ$65, "",0),  F1512="Sealant", _xlfn.XLOOKUP(C1512, dd_accsrycalc!$A$2:$A$51, dd_accsrycalc!$G$2:$G$51, "",0),  F1512&lt;&gt;"",L1512*_xlfn.XLOOKUP(1, (SKUs!$C$2:$C$10001=G1512)*(SKUs!$K$2:$K$10001=I1512),SKUs!$E$2:$E$10001)), 0),"")</f>
        <v/>
      </c>
      <c r="E1512" s="35" t="str">
        <f>_xlfn.XLOOKUP(F1512,dd_item!$B$2:$B$105,dd_item!$C$2:$C$105,"",0)</f>
        <v/>
      </c>
      <c r="F1512" s="35"/>
      <c r="G1512" s="35" cm="1">
        <f t="array" ref="G1512">IFERROR(_xlfn.XLOOKUP(1, (SKUs!$J$2:$J$10001=accsry_unmerged!F1512)*IF(H1512&lt;&gt;"",(SKUs!$L$2:$L$10001=accsry_unmerged!H1512),1)*(SKUs!$K$2:$K$10001=I1512),SKUs!$C$2:$C$10001),"")</f>
        <v>0</v>
      </c>
      <c r="H1512" s="36" cm="1">
        <f t="array" ref="H1512">IFERROR(_xlfn.XLOOKUP(1, (dd_accsryclr!$C$2:$C$1000=accsry_unmerged!F1512)*(dd_accsryclr!$B$2:$B$1000=accsry_unmerged!J1512),dd_accsryclr!$A$2:$A$1000),"")</f>
        <v>0</v>
      </c>
      <c r="I1512" s="35">
        <f>_xlfn.XLOOKUP(C1512,'Project Details'!$C$17:$C$66,'Project Details'!$E$17:$E$66,"",0)</f>
        <v>0</v>
      </c>
      <c r="J1512" s="35">
        <f>_xlfn.XLOOKUP(C1512,'Project Details'!$C$17:$C$66,'Project Details'!$H$17:$H$66,"",0)</f>
        <v>0</v>
      </c>
      <c r="K1512" s="36" t="str">
        <f>IF(AND(_xlfn.XLOOKUP(C1512,'Project Details'!$C$17:$C$66,'Project Details'!$L$17:$L$66,"",0)&gt;550, F1512="Spring-L27cm"),"",SUBSTITUTE(_xlfn.XLOOKUP(G1512,SKUs!$C$2:$C$10001,SKUs!$F$2:$F$10001,"",0), " Accessories",""))</f>
        <v/>
      </c>
      <c r="L1512" s="36">
        <f>_xlfn.XLOOKUP(C1512,'Project Details'!$C$17:$C$66,'Project Details'!$D$17:$D$66,"",0)</f>
        <v>0</v>
      </c>
      <c r="M1512" s="43"/>
    </row>
    <row r="1513" spans="1:13" ht="13.5" customHeight="1" outlineLevel="1" x14ac:dyDescent="0.25">
      <c r="A1513" s="43"/>
      <c r="B1513" s="43"/>
      <c r="C1513" s="16">
        <f t="shared" si="28"/>
        <v>30</v>
      </c>
      <c r="D1513" s="16" t="str" cm="1">
        <f t="array" ref="D1513">IFERROR(ROUNDUP(_xlfn.IFS(F1513="Aluminum Track", _xlfn.XLOOKUP(C1513, dd_accsrycalc!$A$2:$A$51, dd_accsrycalc!$B$2:$B$51, "",0), F1513="10 x 2 1/2 S (Flat)", _xlfn.XLOOKUP(C1513, dd_accsrycalc!$A$2:$A$51, dd_accsrycalc!$C$2:$C$51, "",0), F1513="Tox6", _xlfn.XLOOKUP(C1513, dd_accsrycalc!$A$2:$A$51, dd_accsrycalc!$D$2:$D$51, "",0), F1513="Cover Cap", _xlfn.XLOOKUP(C1513, dd_accsrycalc!$A$2:$A$51, dd_accsrycalc!$E$2:$E$51, "",0), F1513="Drainage Cover", _xlfn.XLOOKUP(C1513, dd_accsrycalc!$A$2:$A$51, dd_accsrycalc!$F$2:$F$51, "",0),AND( F1513="Double Adhesive Tape", I1513="Roll-up Screen"), _xlfn.XLOOKUP(C1513, calc_rusacc!$C$15:$C$65, calc_rusacc!$AD$15:$AD$65, "",0),AND( F1513="Sealant", I1513="Roll-up Screen"), _xlfn.XLOOKUP(C1513, calc_rusacc!$C$15:$C$65, calc_rusacc!$AF$15:$AF$65, "",0),  AND( F1513="Main Chain", I1513="Accordion Screen"), _xlfn.XLOOKUP(C1513, calc_rusacc!$C$15:$C$65, calc_rusacc!$BF$15:$BF$65, "",0), AND( F1513="Sealant", I1513="Accordion Screen"), _xlfn.XLOOKUP(C1513, calc_rusacc!$C$15:$C$65, calc_rusacc!$BJ$15:$BJ$65, "",0),  F1513="Sealant", _xlfn.XLOOKUP(C1513, dd_accsrycalc!$A$2:$A$51, dd_accsrycalc!$G$2:$G$51, "",0),  F1513&lt;&gt;"",L1513*_xlfn.XLOOKUP(1, (SKUs!$C$2:$C$10001=G1513)*(SKUs!$K$2:$K$10001=I1513),SKUs!$E$2:$E$10001)), 0),"")</f>
        <v/>
      </c>
      <c r="E1513" s="16" t="str">
        <f>_xlfn.XLOOKUP(F1513,dd_item!$B$2:$B$105,dd_item!$C$2:$C$105,"",0)</f>
        <v/>
      </c>
      <c r="F1513" s="16"/>
      <c r="G1513" s="16" cm="1">
        <f t="array" ref="G1513">IFERROR(_xlfn.XLOOKUP(1, (SKUs!$J$2:$J$10001=accsry_unmerged!F1513)*IF(H1513&lt;&gt;"",(SKUs!$L$2:$L$10001=accsry_unmerged!H1513),1)*(SKUs!$K$2:$K$10001=I1513),SKUs!$C$2:$C$10001),"")</f>
        <v>0</v>
      </c>
      <c r="H1513" s="33" cm="1">
        <f t="array" ref="H1513">IFERROR(_xlfn.XLOOKUP(1, (dd_accsryclr!$C$2:$C$1000=accsry_unmerged!F1513)*(dd_accsryclr!$B$2:$B$1000=accsry_unmerged!J1513),dd_accsryclr!$A$2:$A$1000),"")</f>
        <v>0</v>
      </c>
      <c r="I1513" s="16">
        <f>_xlfn.XLOOKUP(C1513,'Project Details'!$C$17:$C$66,'Project Details'!$E$17:$E$66,"",0)</f>
        <v>0</v>
      </c>
      <c r="J1513" s="16">
        <f>_xlfn.XLOOKUP(C1513,'Project Details'!$C$17:$C$66,'Project Details'!$H$17:$H$66,"",0)</f>
        <v>0</v>
      </c>
      <c r="K1513" s="33" t="str">
        <f>IF(AND(_xlfn.XLOOKUP(C1513,'Project Details'!$C$17:$C$66,'Project Details'!$L$17:$L$66,"",0)&gt;550, F1513="Spring-L27cm"),"",SUBSTITUTE(_xlfn.XLOOKUP(G1513,SKUs!$C$2:$C$10001,SKUs!$F$2:$F$10001,"",0), " Accessories",""))</f>
        <v/>
      </c>
      <c r="L1513" s="33">
        <f>_xlfn.XLOOKUP(C1513,'Project Details'!$C$17:$C$66,'Project Details'!$D$17:$D$66,"",0)</f>
        <v>0</v>
      </c>
      <c r="M1513" s="43"/>
    </row>
    <row r="1514" spans="1:13" x14ac:dyDescent="0.25">
      <c r="A1514" s="43"/>
      <c r="B1514" s="43"/>
      <c r="C1514" s="43"/>
      <c r="D1514" s="43"/>
      <c r="E1514" s="43"/>
      <c r="F1514" s="43"/>
      <c r="G1514" s="43"/>
      <c r="H1514" s="43"/>
      <c r="I1514" s="43"/>
      <c r="J1514" s="43"/>
      <c r="K1514" s="43"/>
      <c r="L1514" s="43"/>
      <c r="M1514" s="43"/>
    </row>
    <row r="1515" spans="1:13" x14ac:dyDescent="0.25">
      <c r="A1515" s="43"/>
      <c r="B1515" s="43"/>
      <c r="C1515" s="16">
        <f>C1513+1</f>
        <v>31</v>
      </c>
      <c r="D1515" s="48" cm="1">
        <f t="array" ref="D1515">IFERROR(ROUNDUP(_xlfn.IFS(F1515="Aluminum Track", _xlfn.XLOOKUP(C1515, dd_accsrycalc!$A$2:$A$51, dd_accsrycalc!$B$2:$B$51, "",0), F1515="10 x 2 1/2 S (Flat)", _xlfn.XLOOKUP(C1515, dd_accsrycalc!$A$2:$A$51, dd_accsrycalc!$C$2:$C$51, "",0), F1515="Tox6", _xlfn.XLOOKUP(C1515, dd_accsrycalc!$A$2:$A$51, dd_accsrycalc!$D$2:$D$51, "",0), F1515="Cover Cap", _xlfn.XLOOKUP(C1515, dd_accsrycalc!$A$2:$A$51, dd_accsrycalc!$E$2:$E$51, "",0), F1515="Drainage Cover", _xlfn.XLOOKUP(C1515, dd_accsrycalc!$A$2:$A$51, dd_accsrycalc!$F$2:$F$51, "",0),AND( F1515="Double Adhesive Tape", I1515="Roll-up Screen"), _xlfn.XLOOKUP(C1515, calc_rusacc!$C$15:$C$65, calc_rusacc!$AD$15:$AD$65, "",0),AND( F1515="Sealant", I1515="Roll-up Screen"), _xlfn.XLOOKUP(C1515, calc_rusacc!$C$15:$C$65, calc_rusacc!$AF$15:$AF$65, "",0),  AND( F1515="Main Chain", I1515="Accordion Screen"), _xlfn.XLOOKUP(C1515, calc_rusacc!$C$15:$C$65, calc_rusacc!$BF$15:$BF$65, "",0), AND( F1515="Sealant", I1515="Accordion Screen"), _xlfn.XLOOKUP(C1515, calc_rusacc!$C$15:$C$65, calc_rusacc!$BJ$15:$BJ$65, "",0),  F1515="Sealant", _xlfn.XLOOKUP(C1515, dd_accsrycalc!$A$2:$A$51, dd_accsrycalc!$G$2:$G$51, "",0),  F1515&lt;&gt;"",L1515*_xlfn.XLOOKUP(1, (SKUs!$C$2:$C$10001=G1515)*(SKUs!$K$2:$K$10001=I1515),SKUs!$E$2:$E$10001)), 0),"")</f>
        <v>0</v>
      </c>
      <c r="E1515" s="48" t="str">
        <f>_xlfn.XLOOKUP(F1515,dd_item!$B$2:$B$105,dd_item!$C$2:$C$105,"",0)</f>
        <v/>
      </c>
      <c r="F1515" s="48" cm="1">
        <f t="array" ref="F1515">IFERROR(_xlfn.UNIQUE(_xlfn._xlws.FILTER(SKUs!$J$2:$J$10001, (SKUs!$F$2:$F$10001&lt;&gt;"Cutting List") * (SKUs!$A$2:$A$10001=_xlfn.XLOOKUP(_xlfn.XLOOKUP(C1515,'Project Details'!$C$17:$C$66,'Project Details'!$E$17:$E$66,"",0), dd_design_raw!$A$2:$A$101,dd_design_raw!$C$2:$C$101,"",0)))), "")</f>
        <v>0</v>
      </c>
      <c r="G1515" s="16" cm="1">
        <f t="array" ref="G1515">IFERROR(_xlfn.XLOOKUP(1, (SKUs!$J$2:$J$10001=accsry_unmerged!F1515)*IF(H1515&lt;&gt;"",(SKUs!$L$2:$L$10001=accsry_unmerged!H1515),1)*(SKUs!$K$2:$K$10001=I1515),SKUs!$C$2:$C$10001),"")</f>
        <v>0</v>
      </c>
      <c r="H1515" s="16" cm="1">
        <f t="array" ref="H1515">IFERROR(_xlfn.XLOOKUP(1, (dd_accsryclr!$C$2:$C$1000=accsry_unmerged!F1515)*(dd_accsryclr!$B$2:$B$1000=accsry_unmerged!J1515),dd_accsryclr!$A$2:$A$1000),"")</f>
        <v>0</v>
      </c>
      <c r="I1515" s="16">
        <f>_xlfn.XLOOKUP(C1515,'Project Details'!$C$17:$C$66,'Project Details'!$E$17:$E$66,"",0)</f>
        <v>0</v>
      </c>
      <c r="J1515" s="16">
        <f>_xlfn.XLOOKUP(C1515,'Project Details'!$C$17:$C$66,'Project Details'!$H$17:$H$66,"",0)</f>
        <v>0</v>
      </c>
      <c r="K1515" s="16" t="str">
        <f>IF(AND(_xlfn.XLOOKUP(C1515,'Project Details'!$C$17:$C$66,'Project Details'!$L$17:$L$66,"",0)&gt;550, F1515="Spring-L27cm"),"",SUBSTITUTE(_xlfn.XLOOKUP(G1515,SKUs!$C$2:$C$10001,SKUs!$F$2:$F$10001,"",0), " Accessories",""))</f>
        <v/>
      </c>
      <c r="L1515" s="16">
        <f>_xlfn.XLOOKUP(C1515,'Project Details'!$C$17:$C$66,'Project Details'!$D$17:$D$66,"",0)</f>
        <v>0</v>
      </c>
      <c r="M1515" s="43"/>
    </row>
    <row r="1516" spans="1:13" x14ac:dyDescent="0.25">
      <c r="A1516" s="43"/>
      <c r="B1516" s="43"/>
      <c r="C1516" s="35">
        <f>C1515</f>
        <v>31</v>
      </c>
      <c r="D1516" s="35" t="str" cm="1">
        <f t="array" ref="D1516">IFERROR(ROUNDUP(_xlfn.IFS(F1516="Aluminum Track", _xlfn.XLOOKUP(C1516, dd_accsrycalc!$A$2:$A$51, dd_accsrycalc!$B$2:$B$51, "",0), F1516="10 x 2 1/2 S (Flat)", _xlfn.XLOOKUP(C1516, dd_accsrycalc!$A$2:$A$51, dd_accsrycalc!$C$2:$C$51, "",0), F1516="Tox6", _xlfn.XLOOKUP(C1516, dd_accsrycalc!$A$2:$A$51, dd_accsrycalc!$D$2:$D$51, "",0), F1516="Cover Cap", _xlfn.XLOOKUP(C1516, dd_accsrycalc!$A$2:$A$51, dd_accsrycalc!$E$2:$E$51, "",0), F1516="Drainage Cover", _xlfn.XLOOKUP(C1516, dd_accsrycalc!$A$2:$A$51, dd_accsrycalc!$F$2:$F$51, "",0),AND( F1516="Double Adhesive Tape", I1516="Roll-up Screen"), _xlfn.XLOOKUP(C1516, calc_rusacc!$C$15:$C$65, calc_rusacc!$AD$15:$AD$65, "",0),AND( F1516="Sealant", I1516="Roll-up Screen"), _xlfn.XLOOKUP(C1516, calc_rusacc!$C$15:$C$65, calc_rusacc!$AF$15:$AF$65, "",0),  AND( F1516="Main Chain", I1516="Accordion Screen"), _xlfn.XLOOKUP(C1516, calc_rusacc!$C$15:$C$65, calc_rusacc!$BF$15:$BF$65, "",0), AND( F1516="Sealant", I1516="Accordion Screen"), _xlfn.XLOOKUP(C1516, calc_rusacc!$C$15:$C$65, calc_rusacc!$BJ$15:$BJ$65, "",0),  F1516="Sealant", _xlfn.XLOOKUP(C1516, dd_accsrycalc!$A$2:$A$51, dd_accsrycalc!$G$2:$G$51, "",0),  F1516&lt;&gt;"",L1516*_xlfn.XLOOKUP(1, (SKUs!$C$2:$C$10001=G1516)*(SKUs!$K$2:$K$10001=I1516),SKUs!$E$2:$E$10001)), 0),"")</f>
        <v/>
      </c>
      <c r="E1516" s="35" t="str">
        <f>_xlfn.XLOOKUP(F1516,dd_item!$B$2:$B$105,dd_item!$C$2:$C$105,"",0)</f>
        <v/>
      </c>
      <c r="F1516" s="35"/>
      <c r="G1516" s="35" cm="1">
        <f t="array" ref="G1516">IFERROR(_xlfn.XLOOKUP(1, (SKUs!$J$2:$J$10001=accsry_unmerged!F1516)*IF(H1516&lt;&gt;"",(SKUs!$L$2:$L$10001=accsry_unmerged!H1516),1)*(SKUs!$K$2:$K$10001=I1516),SKUs!$C$2:$C$10001),"")</f>
        <v>0</v>
      </c>
      <c r="H1516" s="36" cm="1">
        <f t="array" ref="H1516">IFERROR(_xlfn.XLOOKUP(1, (dd_accsryclr!$C$2:$C$1000=accsry_unmerged!F1516)*(dd_accsryclr!$B$2:$B$1000=accsry_unmerged!J1516),dd_accsryclr!$A$2:$A$1000),"")</f>
        <v>0</v>
      </c>
      <c r="I1516" s="35">
        <f>_xlfn.XLOOKUP(C1516,'Project Details'!$C$17:$C$66,'Project Details'!$E$17:$E$66,"",0)</f>
        <v>0</v>
      </c>
      <c r="J1516" s="35">
        <f>_xlfn.XLOOKUP(C1516,'Project Details'!$C$17:$C$66,'Project Details'!$H$17:$H$66,"",0)</f>
        <v>0</v>
      </c>
      <c r="K1516" s="36" t="str">
        <f>IF(AND(_xlfn.XLOOKUP(C1516,'Project Details'!$C$17:$C$66,'Project Details'!$L$17:$L$66,"",0)&gt;550, F1516="Spring-L27cm"),"",SUBSTITUTE(_xlfn.XLOOKUP(G1516,SKUs!$C$2:$C$10001,SKUs!$F$2:$F$10001,"",0), " Accessories",""))</f>
        <v/>
      </c>
      <c r="L1516" s="36">
        <f>_xlfn.XLOOKUP(C1516,'Project Details'!$C$17:$C$66,'Project Details'!$D$17:$D$66,"",0)</f>
        <v>0</v>
      </c>
      <c r="M1516" s="43"/>
    </row>
    <row r="1517" spans="1:13" x14ac:dyDescent="0.25">
      <c r="A1517" s="43"/>
      <c r="B1517" s="43"/>
      <c r="C1517" s="16">
        <f t="shared" ref="C1517:C1563" si="29">C1516</f>
        <v>31</v>
      </c>
      <c r="D1517" s="16" t="str" cm="1">
        <f t="array" ref="D1517">IFERROR(ROUNDUP(_xlfn.IFS(F1517="Aluminum Track", _xlfn.XLOOKUP(C1517, dd_accsrycalc!$A$2:$A$51, dd_accsrycalc!$B$2:$B$51, "",0), F1517="10 x 2 1/2 S (Flat)", _xlfn.XLOOKUP(C1517, dd_accsrycalc!$A$2:$A$51, dd_accsrycalc!$C$2:$C$51, "",0), F1517="Tox6", _xlfn.XLOOKUP(C1517, dd_accsrycalc!$A$2:$A$51, dd_accsrycalc!$D$2:$D$51, "",0), F1517="Cover Cap", _xlfn.XLOOKUP(C1517, dd_accsrycalc!$A$2:$A$51, dd_accsrycalc!$E$2:$E$51, "",0), F1517="Drainage Cover", _xlfn.XLOOKUP(C1517, dd_accsrycalc!$A$2:$A$51, dd_accsrycalc!$F$2:$F$51, "",0),AND( F1517="Double Adhesive Tape", I1517="Roll-up Screen"), _xlfn.XLOOKUP(C1517, calc_rusacc!$C$15:$C$65, calc_rusacc!$AD$15:$AD$65, "",0),AND( F1517="Sealant", I1517="Roll-up Screen"), _xlfn.XLOOKUP(C1517, calc_rusacc!$C$15:$C$65, calc_rusacc!$AF$15:$AF$65, "",0),  AND( F1517="Main Chain", I1517="Accordion Screen"), _xlfn.XLOOKUP(C1517, calc_rusacc!$C$15:$C$65, calc_rusacc!$BF$15:$BF$65, "",0), AND( F1517="Sealant", I1517="Accordion Screen"), _xlfn.XLOOKUP(C1517, calc_rusacc!$C$15:$C$65, calc_rusacc!$BJ$15:$BJ$65, "",0),  F1517="Sealant", _xlfn.XLOOKUP(C1517, dd_accsrycalc!$A$2:$A$51, dd_accsrycalc!$G$2:$G$51, "",0),  F1517&lt;&gt;"",L1517*_xlfn.XLOOKUP(1, (SKUs!$C$2:$C$10001=G1517)*(SKUs!$K$2:$K$10001=I1517),SKUs!$E$2:$E$10001)), 0),"")</f>
        <v/>
      </c>
      <c r="E1517" s="16" t="str">
        <f>_xlfn.XLOOKUP(F1517,dd_item!$B$2:$B$105,dd_item!$C$2:$C$105,"",0)</f>
        <v/>
      </c>
      <c r="F1517" s="16"/>
      <c r="G1517" s="16" cm="1">
        <f t="array" ref="G1517">IFERROR(_xlfn.XLOOKUP(1, (SKUs!$J$2:$J$10001=accsry_unmerged!F1517)*IF(H1517&lt;&gt;"",(SKUs!$L$2:$L$10001=accsry_unmerged!H1517),1)*(SKUs!$K$2:$K$10001=I1517),SKUs!$C$2:$C$10001),"")</f>
        <v>0</v>
      </c>
      <c r="H1517" s="33" cm="1">
        <f t="array" ref="H1517">IFERROR(_xlfn.XLOOKUP(1, (dd_accsryclr!$C$2:$C$1000=accsry_unmerged!F1517)*(dd_accsryclr!$B$2:$B$1000=accsry_unmerged!J1517),dd_accsryclr!$A$2:$A$1000),"")</f>
        <v>0</v>
      </c>
      <c r="I1517" s="16">
        <f>_xlfn.XLOOKUP(C1517,'Project Details'!$C$17:$C$66,'Project Details'!$E$17:$E$66,"",0)</f>
        <v>0</v>
      </c>
      <c r="J1517" s="16">
        <f>_xlfn.XLOOKUP(C1517,'Project Details'!$C$17:$C$66,'Project Details'!$H$17:$H$66,"",0)</f>
        <v>0</v>
      </c>
      <c r="K1517" s="33" t="str">
        <f>IF(AND(_xlfn.XLOOKUP(C1517,'Project Details'!$C$17:$C$66,'Project Details'!$L$17:$L$66,"",0)&gt;550, F1517="Spring-L27cm"),"",SUBSTITUTE(_xlfn.XLOOKUP(G1517,SKUs!$C$2:$C$10001,SKUs!$F$2:$F$10001,"",0), " Accessories",""))</f>
        <v/>
      </c>
      <c r="L1517" s="33">
        <f>_xlfn.XLOOKUP(C1517,'Project Details'!$C$17:$C$66,'Project Details'!$D$17:$D$66,"",0)</f>
        <v>0</v>
      </c>
      <c r="M1517" s="43"/>
    </row>
    <row r="1518" spans="1:13" x14ac:dyDescent="0.25">
      <c r="A1518" s="43"/>
      <c r="B1518" s="43"/>
      <c r="C1518" s="35">
        <f t="shared" si="29"/>
        <v>31</v>
      </c>
      <c r="D1518" s="35" t="str" cm="1">
        <f t="array" ref="D1518">IFERROR(ROUNDUP(_xlfn.IFS(F1518="Aluminum Track", _xlfn.XLOOKUP(C1518, dd_accsrycalc!$A$2:$A$51, dd_accsrycalc!$B$2:$B$51, "",0), F1518="10 x 2 1/2 S (Flat)", _xlfn.XLOOKUP(C1518, dd_accsrycalc!$A$2:$A$51, dd_accsrycalc!$C$2:$C$51, "",0), F1518="Tox6", _xlfn.XLOOKUP(C1518, dd_accsrycalc!$A$2:$A$51, dd_accsrycalc!$D$2:$D$51, "",0), F1518="Cover Cap", _xlfn.XLOOKUP(C1518, dd_accsrycalc!$A$2:$A$51, dd_accsrycalc!$E$2:$E$51, "",0), F1518="Drainage Cover", _xlfn.XLOOKUP(C1518, dd_accsrycalc!$A$2:$A$51, dd_accsrycalc!$F$2:$F$51, "",0),AND( F1518="Double Adhesive Tape", I1518="Roll-up Screen"), _xlfn.XLOOKUP(C1518, calc_rusacc!$C$15:$C$65, calc_rusacc!$AD$15:$AD$65, "",0),AND( F1518="Sealant", I1518="Roll-up Screen"), _xlfn.XLOOKUP(C1518, calc_rusacc!$C$15:$C$65, calc_rusacc!$AF$15:$AF$65, "",0),  AND( F1518="Main Chain", I1518="Accordion Screen"), _xlfn.XLOOKUP(C1518, calc_rusacc!$C$15:$C$65, calc_rusacc!$BF$15:$BF$65, "",0), AND( F1518="Sealant", I1518="Accordion Screen"), _xlfn.XLOOKUP(C1518, calc_rusacc!$C$15:$C$65, calc_rusacc!$BJ$15:$BJ$65, "",0),  F1518="Sealant", _xlfn.XLOOKUP(C1518, dd_accsrycalc!$A$2:$A$51, dd_accsrycalc!$G$2:$G$51, "",0),  F1518&lt;&gt;"",L1518*_xlfn.XLOOKUP(1, (SKUs!$C$2:$C$10001=G1518)*(SKUs!$K$2:$K$10001=I1518),SKUs!$E$2:$E$10001)), 0),"")</f>
        <v/>
      </c>
      <c r="E1518" s="35" t="str">
        <f>_xlfn.XLOOKUP(F1518,dd_item!$B$2:$B$105,dd_item!$C$2:$C$105,"",0)</f>
        <v/>
      </c>
      <c r="F1518" s="35"/>
      <c r="G1518" s="35" cm="1">
        <f t="array" ref="G1518">IFERROR(_xlfn.XLOOKUP(1, (SKUs!$J$2:$J$10001=accsry_unmerged!F1518)*IF(H1518&lt;&gt;"",(SKUs!$L$2:$L$10001=accsry_unmerged!H1518),1)*(SKUs!$K$2:$K$10001=I1518),SKUs!$C$2:$C$10001),"")</f>
        <v>0</v>
      </c>
      <c r="H1518" s="36" cm="1">
        <f t="array" ref="H1518">IFERROR(_xlfn.XLOOKUP(1, (dd_accsryclr!$C$2:$C$1000=accsry_unmerged!F1518)*(dd_accsryclr!$B$2:$B$1000=accsry_unmerged!J1518),dd_accsryclr!$A$2:$A$1000),"")</f>
        <v>0</v>
      </c>
      <c r="I1518" s="35">
        <f>_xlfn.XLOOKUP(C1518,'Project Details'!$C$17:$C$66,'Project Details'!$E$17:$E$66,"",0)</f>
        <v>0</v>
      </c>
      <c r="J1518" s="35">
        <f>_xlfn.XLOOKUP(C1518,'Project Details'!$C$17:$C$66,'Project Details'!$H$17:$H$66,"",0)</f>
        <v>0</v>
      </c>
      <c r="K1518" s="36" t="str">
        <f>IF(AND(_xlfn.XLOOKUP(C1518,'Project Details'!$C$17:$C$66,'Project Details'!$L$17:$L$66,"",0)&gt;550, F1518="Spring-L27cm"),"",SUBSTITUTE(_xlfn.XLOOKUP(G1518,SKUs!$C$2:$C$10001,SKUs!$F$2:$F$10001,"",0), " Accessories",""))</f>
        <v/>
      </c>
      <c r="L1518" s="36">
        <f>_xlfn.XLOOKUP(C1518,'Project Details'!$C$17:$C$66,'Project Details'!$D$17:$D$66,"",0)</f>
        <v>0</v>
      </c>
      <c r="M1518" s="43"/>
    </row>
    <row r="1519" spans="1:13" x14ac:dyDescent="0.25">
      <c r="A1519" s="43"/>
      <c r="B1519" s="43"/>
      <c r="C1519" s="16">
        <f t="shared" si="29"/>
        <v>31</v>
      </c>
      <c r="D1519" s="16" t="str" cm="1">
        <f t="array" ref="D1519">IFERROR(ROUNDUP(_xlfn.IFS(F1519="Aluminum Track", _xlfn.XLOOKUP(C1519, dd_accsrycalc!$A$2:$A$51, dd_accsrycalc!$B$2:$B$51, "",0), F1519="10 x 2 1/2 S (Flat)", _xlfn.XLOOKUP(C1519, dd_accsrycalc!$A$2:$A$51, dd_accsrycalc!$C$2:$C$51, "",0), F1519="Tox6", _xlfn.XLOOKUP(C1519, dd_accsrycalc!$A$2:$A$51, dd_accsrycalc!$D$2:$D$51, "",0), F1519="Cover Cap", _xlfn.XLOOKUP(C1519, dd_accsrycalc!$A$2:$A$51, dd_accsrycalc!$E$2:$E$51, "",0), F1519="Drainage Cover", _xlfn.XLOOKUP(C1519, dd_accsrycalc!$A$2:$A$51, dd_accsrycalc!$F$2:$F$51, "",0),AND( F1519="Double Adhesive Tape", I1519="Roll-up Screen"), _xlfn.XLOOKUP(C1519, calc_rusacc!$C$15:$C$65, calc_rusacc!$AD$15:$AD$65, "",0),AND( F1519="Sealant", I1519="Roll-up Screen"), _xlfn.XLOOKUP(C1519, calc_rusacc!$C$15:$C$65, calc_rusacc!$AF$15:$AF$65, "",0),  AND( F1519="Main Chain", I1519="Accordion Screen"), _xlfn.XLOOKUP(C1519, calc_rusacc!$C$15:$C$65, calc_rusacc!$BF$15:$BF$65, "",0), AND( F1519="Sealant", I1519="Accordion Screen"), _xlfn.XLOOKUP(C1519, calc_rusacc!$C$15:$C$65, calc_rusacc!$BJ$15:$BJ$65, "",0),  F1519="Sealant", _xlfn.XLOOKUP(C1519, dd_accsrycalc!$A$2:$A$51, dd_accsrycalc!$G$2:$G$51, "",0),  F1519&lt;&gt;"",L1519*_xlfn.XLOOKUP(1, (SKUs!$C$2:$C$10001=G1519)*(SKUs!$K$2:$K$10001=I1519),SKUs!$E$2:$E$10001)), 0),"")</f>
        <v/>
      </c>
      <c r="E1519" s="16" t="str">
        <f>_xlfn.XLOOKUP(F1519,dd_item!$B$2:$B$105,dd_item!$C$2:$C$105,"",0)</f>
        <v/>
      </c>
      <c r="F1519" s="16"/>
      <c r="G1519" s="16" cm="1">
        <f t="array" ref="G1519">IFERROR(_xlfn.XLOOKUP(1, (SKUs!$J$2:$J$10001=accsry_unmerged!F1519)*IF(H1519&lt;&gt;"",(SKUs!$L$2:$L$10001=accsry_unmerged!H1519),1)*(SKUs!$K$2:$K$10001=I1519),SKUs!$C$2:$C$10001),"")</f>
        <v>0</v>
      </c>
      <c r="H1519" s="33" cm="1">
        <f t="array" ref="H1519">IFERROR(_xlfn.XLOOKUP(1, (dd_accsryclr!$C$2:$C$1000=accsry_unmerged!F1519)*(dd_accsryclr!$B$2:$B$1000=accsry_unmerged!J1519),dd_accsryclr!$A$2:$A$1000),"")</f>
        <v>0</v>
      </c>
      <c r="I1519" s="16">
        <f>_xlfn.XLOOKUP(C1519,'Project Details'!$C$17:$C$66,'Project Details'!$E$17:$E$66,"",0)</f>
        <v>0</v>
      </c>
      <c r="J1519" s="16">
        <f>_xlfn.XLOOKUP(C1519,'Project Details'!$C$17:$C$66,'Project Details'!$H$17:$H$66,"",0)</f>
        <v>0</v>
      </c>
      <c r="K1519" s="33" t="str">
        <f>IF(AND(_xlfn.XLOOKUP(C1519,'Project Details'!$C$17:$C$66,'Project Details'!$L$17:$L$66,"",0)&gt;550, F1519="Spring-L27cm"),"",SUBSTITUTE(_xlfn.XLOOKUP(G1519,SKUs!$C$2:$C$10001,SKUs!$F$2:$F$10001,"",0), " Accessories",""))</f>
        <v/>
      </c>
      <c r="L1519" s="33">
        <f>_xlfn.XLOOKUP(C1519,'Project Details'!$C$17:$C$66,'Project Details'!$D$17:$D$66,"",0)</f>
        <v>0</v>
      </c>
      <c r="M1519" s="43"/>
    </row>
    <row r="1520" spans="1:13" x14ac:dyDescent="0.25">
      <c r="A1520" s="43"/>
      <c r="B1520" s="43"/>
      <c r="C1520" s="35">
        <f t="shared" si="29"/>
        <v>31</v>
      </c>
      <c r="D1520" s="35" t="str" cm="1">
        <f t="array" ref="D1520">IFERROR(ROUNDUP(_xlfn.IFS(F1520="Aluminum Track", _xlfn.XLOOKUP(C1520, dd_accsrycalc!$A$2:$A$51, dd_accsrycalc!$B$2:$B$51, "",0), F1520="10 x 2 1/2 S (Flat)", _xlfn.XLOOKUP(C1520, dd_accsrycalc!$A$2:$A$51, dd_accsrycalc!$C$2:$C$51, "",0), F1520="Tox6", _xlfn.XLOOKUP(C1520, dd_accsrycalc!$A$2:$A$51, dd_accsrycalc!$D$2:$D$51, "",0), F1520="Cover Cap", _xlfn.XLOOKUP(C1520, dd_accsrycalc!$A$2:$A$51, dd_accsrycalc!$E$2:$E$51, "",0), F1520="Drainage Cover", _xlfn.XLOOKUP(C1520, dd_accsrycalc!$A$2:$A$51, dd_accsrycalc!$F$2:$F$51, "",0),AND( F1520="Double Adhesive Tape", I1520="Roll-up Screen"), _xlfn.XLOOKUP(C1520, calc_rusacc!$C$15:$C$65, calc_rusacc!$AD$15:$AD$65, "",0),AND( F1520="Sealant", I1520="Roll-up Screen"), _xlfn.XLOOKUP(C1520, calc_rusacc!$C$15:$C$65, calc_rusacc!$AF$15:$AF$65, "",0),  AND( F1520="Main Chain", I1520="Accordion Screen"), _xlfn.XLOOKUP(C1520, calc_rusacc!$C$15:$C$65, calc_rusacc!$BF$15:$BF$65, "",0), AND( F1520="Sealant", I1520="Accordion Screen"), _xlfn.XLOOKUP(C1520, calc_rusacc!$C$15:$C$65, calc_rusacc!$BJ$15:$BJ$65, "",0),  F1520="Sealant", _xlfn.XLOOKUP(C1520, dd_accsrycalc!$A$2:$A$51, dd_accsrycalc!$G$2:$G$51, "",0),  F1520&lt;&gt;"",L1520*_xlfn.XLOOKUP(1, (SKUs!$C$2:$C$10001=G1520)*(SKUs!$K$2:$K$10001=I1520),SKUs!$E$2:$E$10001)), 0),"")</f>
        <v/>
      </c>
      <c r="E1520" s="35" t="str">
        <f>_xlfn.XLOOKUP(F1520,dd_item!$B$2:$B$105,dd_item!$C$2:$C$105,"",0)</f>
        <v/>
      </c>
      <c r="F1520" s="35"/>
      <c r="G1520" s="35" cm="1">
        <f t="array" ref="G1520">IFERROR(_xlfn.XLOOKUP(1, (SKUs!$J$2:$J$10001=accsry_unmerged!F1520)*IF(H1520&lt;&gt;"",(SKUs!$L$2:$L$10001=accsry_unmerged!H1520),1)*(SKUs!$K$2:$K$10001=I1520),SKUs!$C$2:$C$10001),"")</f>
        <v>0</v>
      </c>
      <c r="H1520" s="36" cm="1">
        <f t="array" ref="H1520">IFERROR(_xlfn.XLOOKUP(1, (dd_accsryclr!$C$2:$C$1000=accsry_unmerged!F1520)*(dd_accsryclr!$B$2:$B$1000=accsry_unmerged!J1520),dd_accsryclr!$A$2:$A$1000),"")</f>
        <v>0</v>
      </c>
      <c r="I1520" s="35">
        <f>_xlfn.XLOOKUP(C1520,'Project Details'!$C$17:$C$66,'Project Details'!$E$17:$E$66,"",0)</f>
        <v>0</v>
      </c>
      <c r="J1520" s="35">
        <f>_xlfn.XLOOKUP(C1520,'Project Details'!$C$17:$C$66,'Project Details'!$H$17:$H$66,"",0)</f>
        <v>0</v>
      </c>
      <c r="K1520" s="36" t="str">
        <f>IF(AND(_xlfn.XLOOKUP(C1520,'Project Details'!$C$17:$C$66,'Project Details'!$L$17:$L$66,"",0)&gt;550, F1520="Spring-L27cm"),"",SUBSTITUTE(_xlfn.XLOOKUP(G1520,SKUs!$C$2:$C$10001,SKUs!$F$2:$F$10001,"",0), " Accessories",""))</f>
        <v/>
      </c>
      <c r="L1520" s="36">
        <f>_xlfn.XLOOKUP(C1520,'Project Details'!$C$17:$C$66,'Project Details'!$D$17:$D$66,"",0)</f>
        <v>0</v>
      </c>
      <c r="M1520" s="43"/>
    </row>
    <row r="1521" spans="1:13" x14ac:dyDescent="0.25">
      <c r="A1521" s="43"/>
      <c r="B1521" s="43"/>
      <c r="C1521" s="16">
        <f t="shared" si="29"/>
        <v>31</v>
      </c>
      <c r="D1521" s="16" t="str" cm="1">
        <f t="array" ref="D1521">IFERROR(ROUNDUP(_xlfn.IFS(F1521="Aluminum Track", _xlfn.XLOOKUP(C1521, dd_accsrycalc!$A$2:$A$51, dd_accsrycalc!$B$2:$B$51, "",0), F1521="10 x 2 1/2 S (Flat)", _xlfn.XLOOKUP(C1521, dd_accsrycalc!$A$2:$A$51, dd_accsrycalc!$C$2:$C$51, "",0), F1521="Tox6", _xlfn.XLOOKUP(C1521, dd_accsrycalc!$A$2:$A$51, dd_accsrycalc!$D$2:$D$51, "",0), F1521="Cover Cap", _xlfn.XLOOKUP(C1521, dd_accsrycalc!$A$2:$A$51, dd_accsrycalc!$E$2:$E$51, "",0), F1521="Drainage Cover", _xlfn.XLOOKUP(C1521, dd_accsrycalc!$A$2:$A$51, dd_accsrycalc!$F$2:$F$51, "",0),AND( F1521="Double Adhesive Tape", I1521="Roll-up Screen"), _xlfn.XLOOKUP(C1521, calc_rusacc!$C$15:$C$65, calc_rusacc!$AD$15:$AD$65, "",0),AND( F1521="Sealant", I1521="Roll-up Screen"), _xlfn.XLOOKUP(C1521, calc_rusacc!$C$15:$C$65, calc_rusacc!$AF$15:$AF$65, "",0),  AND( F1521="Main Chain", I1521="Accordion Screen"), _xlfn.XLOOKUP(C1521, calc_rusacc!$C$15:$C$65, calc_rusacc!$BF$15:$BF$65, "",0), AND( F1521="Sealant", I1521="Accordion Screen"), _xlfn.XLOOKUP(C1521, calc_rusacc!$C$15:$C$65, calc_rusacc!$BJ$15:$BJ$65, "",0),  F1521="Sealant", _xlfn.XLOOKUP(C1521, dd_accsrycalc!$A$2:$A$51, dd_accsrycalc!$G$2:$G$51, "",0),  F1521&lt;&gt;"",L1521*_xlfn.XLOOKUP(1, (SKUs!$C$2:$C$10001=G1521)*(SKUs!$K$2:$K$10001=I1521),SKUs!$E$2:$E$10001)), 0),"")</f>
        <v/>
      </c>
      <c r="E1521" s="16" t="str">
        <f>_xlfn.XLOOKUP(F1521,dd_item!$B$2:$B$105,dd_item!$C$2:$C$105,"",0)</f>
        <v/>
      </c>
      <c r="F1521" s="16"/>
      <c r="G1521" s="16" cm="1">
        <f t="array" ref="G1521">IFERROR(_xlfn.XLOOKUP(1, (SKUs!$J$2:$J$10001=accsry_unmerged!F1521)*IF(H1521&lt;&gt;"",(SKUs!$L$2:$L$10001=accsry_unmerged!H1521),1)*(SKUs!$K$2:$K$10001=I1521),SKUs!$C$2:$C$10001),"")</f>
        <v>0</v>
      </c>
      <c r="H1521" s="33" cm="1">
        <f t="array" ref="H1521">IFERROR(_xlfn.XLOOKUP(1, (dd_accsryclr!$C$2:$C$1000=accsry_unmerged!F1521)*(dd_accsryclr!$B$2:$B$1000=accsry_unmerged!J1521),dd_accsryclr!$A$2:$A$1000),"")</f>
        <v>0</v>
      </c>
      <c r="I1521" s="16">
        <f>_xlfn.XLOOKUP(C1521,'Project Details'!$C$17:$C$66,'Project Details'!$E$17:$E$66,"",0)</f>
        <v>0</v>
      </c>
      <c r="J1521" s="16">
        <f>_xlfn.XLOOKUP(C1521,'Project Details'!$C$17:$C$66,'Project Details'!$H$17:$H$66,"",0)</f>
        <v>0</v>
      </c>
      <c r="K1521" s="33" t="str">
        <f>IF(AND(_xlfn.XLOOKUP(C1521,'Project Details'!$C$17:$C$66,'Project Details'!$L$17:$L$66,"",0)&gt;550, F1521="Spring-L27cm"),"",SUBSTITUTE(_xlfn.XLOOKUP(G1521,SKUs!$C$2:$C$10001,SKUs!$F$2:$F$10001,"",0), " Accessories",""))</f>
        <v/>
      </c>
      <c r="L1521" s="33">
        <f>_xlfn.XLOOKUP(C1521,'Project Details'!$C$17:$C$66,'Project Details'!$D$17:$D$66,"",0)</f>
        <v>0</v>
      </c>
      <c r="M1521" s="43"/>
    </row>
    <row r="1522" spans="1:13" x14ac:dyDescent="0.25">
      <c r="A1522" s="43"/>
      <c r="B1522" s="43"/>
      <c r="C1522" s="35">
        <f t="shared" si="29"/>
        <v>31</v>
      </c>
      <c r="D1522" s="35" t="str" cm="1">
        <f t="array" ref="D1522">IFERROR(ROUNDUP(_xlfn.IFS(F1522="Aluminum Track", _xlfn.XLOOKUP(C1522, dd_accsrycalc!$A$2:$A$51, dd_accsrycalc!$B$2:$B$51, "",0), F1522="10 x 2 1/2 S (Flat)", _xlfn.XLOOKUP(C1522, dd_accsrycalc!$A$2:$A$51, dd_accsrycalc!$C$2:$C$51, "",0), F1522="Tox6", _xlfn.XLOOKUP(C1522, dd_accsrycalc!$A$2:$A$51, dd_accsrycalc!$D$2:$D$51, "",0), F1522="Cover Cap", _xlfn.XLOOKUP(C1522, dd_accsrycalc!$A$2:$A$51, dd_accsrycalc!$E$2:$E$51, "",0), F1522="Drainage Cover", _xlfn.XLOOKUP(C1522, dd_accsrycalc!$A$2:$A$51, dd_accsrycalc!$F$2:$F$51, "",0),AND( F1522="Double Adhesive Tape", I1522="Roll-up Screen"), _xlfn.XLOOKUP(C1522, calc_rusacc!$C$15:$C$65, calc_rusacc!$AD$15:$AD$65, "",0),AND( F1522="Sealant", I1522="Roll-up Screen"), _xlfn.XLOOKUP(C1522, calc_rusacc!$C$15:$C$65, calc_rusacc!$AF$15:$AF$65, "",0),  AND( F1522="Main Chain", I1522="Accordion Screen"), _xlfn.XLOOKUP(C1522, calc_rusacc!$C$15:$C$65, calc_rusacc!$BF$15:$BF$65, "",0), AND( F1522="Sealant", I1522="Accordion Screen"), _xlfn.XLOOKUP(C1522, calc_rusacc!$C$15:$C$65, calc_rusacc!$BJ$15:$BJ$65, "",0),  F1522="Sealant", _xlfn.XLOOKUP(C1522, dd_accsrycalc!$A$2:$A$51, dd_accsrycalc!$G$2:$G$51, "",0),  F1522&lt;&gt;"",L1522*_xlfn.XLOOKUP(1, (SKUs!$C$2:$C$10001=G1522)*(SKUs!$K$2:$K$10001=I1522),SKUs!$E$2:$E$10001)), 0),"")</f>
        <v/>
      </c>
      <c r="E1522" s="35" t="str">
        <f>_xlfn.XLOOKUP(F1522,dd_item!$B$2:$B$105,dd_item!$C$2:$C$105,"",0)</f>
        <v/>
      </c>
      <c r="F1522" s="35"/>
      <c r="G1522" s="35" cm="1">
        <f t="array" ref="G1522">IFERROR(_xlfn.XLOOKUP(1, (SKUs!$J$2:$J$10001=accsry_unmerged!F1522)*IF(H1522&lt;&gt;"",(SKUs!$L$2:$L$10001=accsry_unmerged!H1522),1)*(SKUs!$K$2:$K$10001=I1522),SKUs!$C$2:$C$10001),"")</f>
        <v>0</v>
      </c>
      <c r="H1522" s="36" cm="1">
        <f t="array" ref="H1522">IFERROR(_xlfn.XLOOKUP(1, (dd_accsryclr!$C$2:$C$1000=accsry_unmerged!F1522)*(dd_accsryclr!$B$2:$B$1000=accsry_unmerged!J1522),dd_accsryclr!$A$2:$A$1000),"")</f>
        <v>0</v>
      </c>
      <c r="I1522" s="35">
        <f>_xlfn.XLOOKUP(C1522,'Project Details'!$C$17:$C$66,'Project Details'!$E$17:$E$66,"",0)</f>
        <v>0</v>
      </c>
      <c r="J1522" s="35">
        <f>_xlfn.XLOOKUP(C1522,'Project Details'!$C$17:$C$66,'Project Details'!$H$17:$H$66,"",0)</f>
        <v>0</v>
      </c>
      <c r="K1522" s="36" t="str">
        <f>IF(AND(_xlfn.XLOOKUP(C1522,'Project Details'!$C$17:$C$66,'Project Details'!$L$17:$L$66,"",0)&gt;550, F1522="Spring-L27cm"),"",SUBSTITUTE(_xlfn.XLOOKUP(G1522,SKUs!$C$2:$C$10001,SKUs!$F$2:$F$10001,"",0), " Accessories",""))</f>
        <v/>
      </c>
      <c r="L1522" s="36">
        <f>_xlfn.XLOOKUP(C1522,'Project Details'!$C$17:$C$66,'Project Details'!$D$17:$D$66,"",0)</f>
        <v>0</v>
      </c>
      <c r="M1522" s="43"/>
    </row>
    <row r="1523" spans="1:13" x14ac:dyDescent="0.25">
      <c r="A1523" s="43"/>
      <c r="B1523" s="43"/>
      <c r="C1523" s="16">
        <f t="shared" si="29"/>
        <v>31</v>
      </c>
      <c r="D1523" s="16" t="str" cm="1">
        <f t="array" ref="D1523">IFERROR(ROUNDUP(_xlfn.IFS(F1523="Aluminum Track", _xlfn.XLOOKUP(C1523, dd_accsrycalc!$A$2:$A$51, dd_accsrycalc!$B$2:$B$51, "",0), F1523="10 x 2 1/2 S (Flat)", _xlfn.XLOOKUP(C1523, dd_accsrycalc!$A$2:$A$51, dd_accsrycalc!$C$2:$C$51, "",0), F1523="Tox6", _xlfn.XLOOKUP(C1523, dd_accsrycalc!$A$2:$A$51, dd_accsrycalc!$D$2:$D$51, "",0), F1523="Cover Cap", _xlfn.XLOOKUP(C1523, dd_accsrycalc!$A$2:$A$51, dd_accsrycalc!$E$2:$E$51, "",0), F1523="Drainage Cover", _xlfn.XLOOKUP(C1523, dd_accsrycalc!$A$2:$A$51, dd_accsrycalc!$F$2:$F$51, "",0),AND( F1523="Double Adhesive Tape", I1523="Roll-up Screen"), _xlfn.XLOOKUP(C1523, calc_rusacc!$C$15:$C$65, calc_rusacc!$AD$15:$AD$65, "",0),AND( F1523="Sealant", I1523="Roll-up Screen"), _xlfn.XLOOKUP(C1523, calc_rusacc!$C$15:$C$65, calc_rusacc!$AF$15:$AF$65, "",0),  AND( F1523="Main Chain", I1523="Accordion Screen"), _xlfn.XLOOKUP(C1523, calc_rusacc!$C$15:$C$65, calc_rusacc!$BF$15:$BF$65, "",0), AND( F1523="Sealant", I1523="Accordion Screen"), _xlfn.XLOOKUP(C1523, calc_rusacc!$C$15:$C$65, calc_rusacc!$BJ$15:$BJ$65, "",0),  F1523="Sealant", _xlfn.XLOOKUP(C1523, dd_accsrycalc!$A$2:$A$51, dd_accsrycalc!$G$2:$G$51, "",0),  F1523&lt;&gt;"",L1523*_xlfn.XLOOKUP(1, (SKUs!$C$2:$C$10001=G1523)*(SKUs!$K$2:$K$10001=I1523),SKUs!$E$2:$E$10001)), 0),"")</f>
        <v/>
      </c>
      <c r="E1523" s="16" t="str">
        <f>_xlfn.XLOOKUP(F1523,dd_item!$B$2:$B$105,dd_item!$C$2:$C$105,"",0)</f>
        <v/>
      </c>
      <c r="F1523" s="16"/>
      <c r="G1523" s="16" cm="1">
        <f t="array" ref="G1523">IFERROR(_xlfn.XLOOKUP(1, (SKUs!$J$2:$J$10001=accsry_unmerged!F1523)*IF(H1523&lt;&gt;"",(SKUs!$L$2:$L$10001=accsry_unmerged!H1523),1)*(SKUs!$K$2:$K$10001=I1523),SKUs!$C$2:$C$10001),"")</f>
        <v>0</v>
      </c>
      <c r="H1523" s="33" cm="1">
        <f t="array" ref="H1523">IFERROR(_xlfn.XLOOKUP(1, (dd_accsryclr!$C$2:$C$1000=accsry_unmerged!F1523)*(dd_accsryclr!$B$2:$B$1000=accsry_unmerged!J1523),dd_accsryclr!$A$2:$A$1000),"")</f>
        <v>0</v>
      </c>
      <c r="I1523" s="16">
        <f>_xlfn.XLOOKUP(C1523,'Project Details'!$C$17:$C$66,'Project Details'!$E$17:$E$66,"",0)</f>
        <v>0</v>
      </c>
      <c r="J1523" s="16">
        <f>_xlfn.XLOOKUP(C1523,'Project Details'!$C$17:$C$66,'Project Details'!$H$17:$H$66,"",0)</f>
        <v>0</v>
      </c>
      <c r="K1523" s="33" t="str">
        <f>IF(AND(_xlfn.XLOOKUP(C1523,'Project Details'!$C$17:$C$66,'Project Details'!$L$17:$L$66,"",0)&gt;550, F1523="Spring-L27cm"),"",SUBSTITUTE(_xlfn.XLOOKUP(G1523,SKUs!$C$2:$C$10001,SKUs!$F$2:$F$10001,"",0), " Accessories",""))</f>
        <v/>
      </c>
      <c r="L1523" s="33">
        <f>_xlfn.XLOOKUP(C1523,'Project Details'!$C$17:$C$66,'Project Details'!$D$17:$D$66,"",0)</f>
        <v>0</v>
      </c>
      <c r="M1523" s="43"/>
    </row>
    <row r="1524" spans="1:13" x14ac:dyDescent="0.25">
      <c r="A1524" s="43"/>
      <c r="B1524" s="43"/>
      <c r="C1524" s="35">
        <f t="shared" si="29"/>
        <v>31</v>
      </c>
      <c r="D1524" s="35" t="str" cm="1">
        <f t="array" ref="D1524">IFERROR(ROUNDUP(_xlfn.IFS(F1524="Aluminum Track", _xlfn.XLOOKUP(C1524, dd_accsrycalc!$A$2:$A$51, dd_accsrycalc!$B$2:$B$51, "",0), F1524="10 x 2 1/2 S (Flat)", _xlfn.XLOOKUP(C1524, dd_accsrycalc!$A$2:$A$51, dd_accsrycalc!$C$2:$C$51, "",0), F1524="Tox6", _xlfn.XLOOKUP(C1524, dd_accsrycalc!$A$2:$A$51, dd_accsrycalc!$D$2:$D$51, "",0), F1524="Cover Cap", _xlfn.XLOOKUP(C1524, dd_accsrycalc!$A$2:$A$51, dd_accsrycalc!$E$2:$E$51, "",0), F1524="Drainage Cover", _xlfn.XLOOKUP(C1524, dd_accsrycalc!$A$2:$A$51, dd_accsrycalc!$F$2:$F$51, "",0),AND( F1524="Double Adhesive Tape", I1524="Roll-up Screen"), _xlfn.XLOOKUP(C1524, calc_rusacc!$C$15:$C$65, calc_rusacc!$AD$15:$AD$65, "",0),AND( F1524="Sealant", I1524="Roll-up Screen"), _xlfn.XLOOKUP(C1524, calc_rusacc!$C$15:$C$65, calc_rusacc!$AF$15:$AF$65, "",0),  AND( F1524="Main Chain", I1524="Accordion Screen"), _xlfn.XLOOKUP(C1524, calc_rusacc!$C$15:$C$65, calc_rusacc!$BF$15:$BF$65, "",0), AND( F1524="Sealant", I1524="Accordion Screen"), _xlfn.XLOOKUP(C1524, calc_rusacc!$C$15:$C$65, calc_rusacc!$BJ$15:$BJ$65, "",0),  F1524="Sealant", _xlfn.XLOOKUP(C1524, dd_accsrycalc!$A$2:$A$51, dd_accsrycalc!$G$2:$G$51, "",0),  F1524&lt;&gt;"",L1524*_xlfn.XLOOKUP(1, (SKUs!$C$2:$C$10001=G1524)*(SKUs!$K$2:$K$10001=I1524),SKUs!$E$2:$E$10001)), 0),"")</f>
        <v/>
      </c>
      <c r="E1524" s="35" t="str">
        <f>_xlfn.XLOOKUP(F1524,dd_item!$B$2:$B$105,dd_item!$C$2:$C$105,"",0)</f>
        <v/>
      </c>
      <c r="F1524" s="35"/>
      <c r="G1524" s="35" cm="1">
        <f t="array" ref="G1524">IFERROR(_xlfn.XLOOKUP(1, (SKUs!$J$2:$J$10001=accsry_unmerged!F1524)*IF(H1524&lt;&gt;"",(SKUs!$L$2:$L$10001=accsry_unmerged!H1524),1)*(SKUs!$K$2:$K$10001=I1524),SKUs!$C$2:$C$10001),"")</f>
        <v>0</v>
      </c>
      <c r="H1524" s="36" cm="1">
        <f t="array" ref="H1524">IFERROR(_xlfn.XLOOKUP(1, (dd_accsryclr!$C$2:$C$1000=accsry_unmerged!F1524)*(dd_accsryclr!$B$2:$B$1000=accsry_unmerged!J1524),dd_accsryclr!$A$2:$A$1000),"")</f>
        <v>0</v>
      </c>
      <c r="I1524" s="35">
        <f>_xlfn.XLOOKUP(C1524,'Project Details'!$C$17:$C$66,'Project Details'!$E$17:$E$66,"",0)</f>
        <v>0</v>
      </c>
      <c r="J1524" s="35">
        <f>_xlfn.XLOOKUP(C1524,'Project Details'!$C$17:$C$66,'Project Details'!$H$17:$H$66,"",0)</f>
        <v>0</v>
      </c>
      <c r="K1524" s="36" t="str">
        <f>IF(AND(_xlfn.XLOOKUP(C1524,'Project Details'!$C$17:$C$66,'Project Details'!$L$17:$L$66,"",0)&gt;550, F1524="Spring-L27cm"),"",SUBSTITUTE(_xlfn.XLOOKUP(G1524,SKUs!$C$2:$C$10001,SKUs!$F$2:$F$10001,"",0), " Accessories",""))</f>
        <v/>
      </c>
      <c r="L1524" s="36">
        <f>_xlfn.XLOOKUP(C1524,'Project Details'!$C$17:$C$66,'Project Details'!$D$17:$D$66,"",0)</f>
        <v>0</v>
      </c>
      <c r="M1524" s="43"/>
    </row>
    <row r="1525" spans="1:13" x14ac:dyDescent="0.25">
      <c r="A1525" s="43"/>
      <c r="B1525" s="43"/>
      <c r="C1525" s="16">
        <f t="shared" si="29"/>
        <v>31</v>
      </c>
      <c r="D1525" s="16" t="str" cm="1">
        <f t="array" ref="D1525">IFERROR(ROUNDUP(_xlfn.IFS(F1525="Aluminum Track", _xlfn.XLOOKUP(C1525, dd_accsrycalc!$A$2:$A$51, dd_accsrycalc!$B$2:$B$51, "",0), F1525="10 x 2 1/2 S (Flat)", _xlfn.XLOOKUP(C1525, dd_accsrycalc!$A$2:$A$51, dd_accsrycalc!$C$2:$C$51, "",0), F1525="Tox6", _xlfn.XLOOKUP(C1525, dd_accsrycalc!$A$2:$A$51, dd_accsrycalc!$D$2:$D$51, "",0), F1525="Cover Cap", _xlfn.XLOOKUP(C1525, dd_accsrycalc!$A$2:$A$51, dd_accsrycalc!$E$2:$E$51, "",0), F1525="Drainage Cover", _xlfn.XLOOKUP(C1525, dd_accsrycalc!$A$2:$A$51, dd_accsrycalc!$F$2:$F$51, "",0),AND( F1525="Double Adhesive Tape", I1525="Roll-up Screen"), _xlfn.XLOOKUP(C1525, calc_rusacc!$C$15:$C$65, calc_rusacc!$AD$15:$AD$65, "",0),AND( F1525="Sealant", I1525="Roll-up Screen"), _xlfn.XLOOKUP(C1525, calc_rusacc!$C$15:$C$65, calc_rusacc!$AF$15:$AF$65, "",0),  AND( F1525="Main Chain", I1525="Accordion Screen"), _xlfn.XLOOKUP(C1525, calc_rusacc!$C$15:$C$65, calc_rusacc!$BF$15:$BF$65, "",0), AND( F1525="Sealant", I1525="Accordion Screen"), _xlfn.XLOOKUP(C1525, calc_rusacc!$C$15:$C$65, calc_rusacc!$BJ$15:$BJ$65, "",0),  F1525="Sealant", _xlfn.XLOOKUP(C1525, dd_accsrycalc!$A$2:$A$51, dd_accsrycalc!$G$2:$G$51, "",0),  F1525&lt;&gt;"",L1525*_xlfn.XLOOKUP(1, (SKUs!$C$2:$C$10001=G1525)*(SKUs!$K$2:$K$10001=I1525),SKUs!$E$2:$E$10001)), 0),"")</f>
        <v/>
      </c>
      <c r="E1525" s="16" t="str">
        <f>_xlfn.XLOOKUP(F1525,dd_item!$B$2:$B$105,dd_item!$C$2:$C$105,"",0)</f>
        <v/>
      </c>
      <c r="F1525" s="16"/>
      <c r="G1525" s="16" cm="1">
        <f t="array" ref="G1525">IFERROR(_xlfn.XLOOKUP(1, (SKUs!$J$2:$J$10001=accsry_unmerged!F1525)*IF(H1525&lt;&gt;"",(SKUs!$L$2:$L$10001=accsry_unmerged!H1525),1)*(SKUs!$K$2:$K$10001=I1525),SKUs!$C$2:$C$10001),"")</f>
        <v>0</v>
      </c>
      <c r="H1525" s="33" cm="1">
        <f t="array" ref="H1525">IFERROR(_xlfn.XLOOKUP(1, (dd_accsryclr!$C$2:$C$1000=accsry_unmerged!F1525)*(dd_accsryclr!$B$2:$B$1000=accsry_unmerged!J1525),dd_accsryclr!$A$2:$A$1000),"")</f>
        <v>0</v>
      </c>
      <c r="I1525" s="16">
        <f>_xlfn.XLOOKUP(C1525,'Project Details'!$C$17:$C$66,'Project Details'!$E$17:$E$66,"",0)</f>
        <v>0</v>
      </c>
      <c r="J1525" s="16">
        <f>_xlfn.XLOOKUP(C1525,'Project Details'!$C$17:$C$66,'Project Details'!$H$17:$H$66,"",0)</f>
        <v>0</v>
      </c>
      <c r="K1525" s="33" t="str">
        <f>IF(AND(_xlfn.XLOOKUP(C1525,'Project Details'!$C$17:$C$66,'Project Details'!$L$17:$L$66,"",0)&gt;550, F1525="Spring-L27cm"),"",SUBSTITUTE(_xlfn.XLOOKUP(G1525,SKUs!$C$2:$C$10001,SKUs!$F$2:$F$10001,"",0), " Accessories",""))</f>
        <v/>
      </c>
      <c r="L1525" s="33">
        <f>_xlfn.XLOOKUP(C1525,'Project Details'!$C$17:$C$66,'Project Details'!$D$17:$D$66,"",0)</f>
        <v>0</v>
      </c>
      <c r="M1525" s="43"/>
    </row>
    <row r="1526" spans="1:13" x14ac:dyDescent="0.25">
      <c r="A1526" s="43"/>
      <c r="B1526" s="43"/>
      <c r="C1526" s="35">
        <f t="shared" si="29"/>
        <v>31</v>
      </c>
      <c r="D1526" s="35" t="str" cm="1">
        <f t="array" ref="D1526">IFERROR(ROUNDUP(_xlfn.IFS(F1526="Aluminum Track", _xlfn.XLOOKUP(C1526, dd_accsrycalc!$A$2:$A$51, dd_accsrycalc!$B$2:$B$51, "",0), F1526="10 x 2 1/2 S (Flat)", _xlfn.XLOOKUP(C1526, dd_accsrycalc!$A$2:$A$51, dd_accsrycalc!$C$2:$C$51, "",0), F1526="Tox6", _xlfn.XLOOKUP(C1526, dd_accsrycalc!$A$2:$A$51, dd_accsrycalc!$D$2:$D$51, "",0), F1526="Cover Cap", _xlfn.XLOOKUP(C1526, dd_accsrycalc!$A$2:$A$51, dd_accsrycalc!$E$2:$E$51, "",0), F1526="Drainage Cover", _xlfn.XLOOKUP(C1526, dd_accsrycalc!$A$2:$A$51, dd_accsrycalc!$F$2:$F$51, "",0),AND( F1526="Double Adhesive Tape", I1526="Roll-up Screen"), _xlfn.XLOOKUP(C1526, calc_rusacc!$C$15:$C$65, calc_rusacc!$AD$15:$AD$65, "",0),AND( F1526="Sealant", I1526="Roll-up Screen"), _xlfn.XLOOKUP(C1526, calc_rusacc!$C$15:$C$65, calc_rusacc!$AF$15:$AF$65, "",0),  AND( F1526="Main Chain", I1526="Accordion Screen"), _xlfn.XLOOKUP(C1526, calc_rusacc!$C$15:$C$65, calc_rusacc!$BF$15:$BF$65, "",0), AND( F1526="Sealant", I1526="Accordion Screen"), _xlfn.XLOOKUP(C1526, calc_rusacc!$C$15:$C$65, calc_rusacc!$BJ$15:$BJ$65, "",0),  F1526="Sealant", _xlfn.XLOOKUP(C1526, dd_accsrycalc!$A$2:$A$51, dd_accsrycalc!$G$2:$G$51, "",0),  F1526&lt;&gt;"",L1526*_xlfn.XLOOKUP(1, (SKUs!$C$2:$C$10001=G1526)*(SKUs!$K$2:$K$10001=I1526),SKUs!$E$2:$E$10001)), 0),"")</f>
        <v/>
      </c>
      <c r="E1526" s="35" t="str">
        <f>_xlfn.XLOOKUP(F1526,dd_item!$B$2:$B$105,dd_item!$C$2:$C$105,"",0)</f>
        <v/>
      </c>
      <c r="F1526" s="35"/>
      <c r="G1526" s="35" cm="1">
        <f t="array" ref="G1526">IFERROR(_xlfn.XLOOKUP(1, (SKUs!$J$2:$J$10001=accsry_unmerged!F1526)*IF(H1526&lt;&gt;"",(SKUs!$L$2:$L$10001=accsry_unmerged!H1526),1)*(SKUs!$K$2:$K$10001=I1526),SKUs!$C$2:$C$10001),"")</f>
        <v>0</v>
      </c>
      <c r="H1526" s="36" cm="1">
        <f t="array" ref="H1526">IFERROR(_xlfn.XLOOKUP(1, (dd_accsryclr!$C$2:$C$1000=accsry_unmerged!F1526)*(dd_accsryclr!$B$2:$B$1000=accsry_unmerged!J1526),dd_accsryclr!$A$2:$A$1000),"")</f>
        <v>0</v>
      </c>
      <c r="I1526" s="35">
        <f>_xlfn.XLOOKUP(C1526,'Project Details'!$C$17:$C$66,'Project Details'!$E$17:$E$66,"",0)</f>
        <v>0</v>
      </c>
      <c r="J1526" s="35">
        <f>_xlfn.XLOOKUP(C1526,'Project Details'!$C$17:$C$66,'Project Details'!$H$17:$H$66,"",0)</f>
        <v>0</v>
      </c>
      <c r="K1526" s="36" t="str">
        <f>IF(AND(_xlfn.XLOOKUP(C1526,'Project Details'!$C$17:$C$66,'Project Details'!$L$17:$L$66,"",0)&gt;550, F1526="Spring-L27cm"),"",SUBSTITUTE(_xlfn.XLOOKUP(G1526,SKUs!$C$2:$C$10001,SKUs!$F$2:$F$10001,"",0), " Accessories",""))</f>
        <v/>
      </c>
      <c r="L1526" s="36">
        <f>_xlfn.XLOOKUP(C1526,'Project Details'!$C$17:$C$66,'Project Details'!$D$17:$D$66,"",0)</f>
        <v>0</v>
      </c>
      <c r="M1526" s="43"/>
    </row>
    <row r="1527" spans="1:13" x14ac:dyDescent="0.25">
      <c r="A1527" s="43"/>
      <c r="B1527" s="43"/>
      <c r="C1527" s="16">
        <f t="shared" si="29"/>
        <v>31</v>
      </c>
      <c r="D1527" s="16" t="str" cm="1">
        <f t="array" ref="D1527">IFERROR(ROUNDUP(_xlfn.IFS(F1527="Aluminum Track", _xlfn.XLOOKUP(C1527, dd_accsrycalc!$A$2:$A$51, dd_accsrycalc!$B$2:$B$51, "",0), F1527="10 x 2 1/2 S (Flat)", _xlfn.XLOOKUP(C1527, dd_accsrycalc!$A$2:$A$51, dd_accsrycalc!$C$2:$C$51, "",0), F1527="Tox6", _xlfn.XLOOKUP(C1527, dd_accsrycalc!$A$2:$A$51, dd_accsrycalc!$D$2:$D$51, "",0), F1527="Cover Cap", _xlfn.XLOOKUP(C1527, dd_accsrycalc!$A$2:$A$51, dd_accsrycalc!$E$2:$E$51, "",0), F1527="Drainage Cover", _xlfn.XLOOKUP(C1527, dd_accsrycalc!$A$2:$A$51, dd_accsrycalc!$F$2:$F$51, "",0),AND( F1527="Double Adhesive Tape", I1527="Roll-up Screen"), _xlfn.XLOOKUP(C1527, calc_rusacc!$C$15:$C$65, calc_rusacc!$AD$15:$AD$65, "",0),AND( F1527="Sealant", I1527="Roll-up Screen"), _xlfn.XLOOKUP(C1527, calc_rusacc!$C$15:$C$65, calc_rusacc!$AF$15:$AF$65, "",0),  AND( F1527="Main Chain", I1527="Accordion Screen"), _xlfn.XLOOKUP(C1527, calc_rusacc!$C$15:$C$65, calc_rusacc!$BF$15:$BF$65, "",0), AND( F1527="Sealant", I1527="Accordion Screen"), _xlfn.XLOOKUP(C1527, calc_rusacc!$C$15:$C$65, calc_rusacc!$BJ$15:$BJ$65, "",0),  F1527="Sealant", _xlfn.XLOOKUP(C1527, dd_accsrycalc!$A$2:$A$51, dd_accsrycalc!$G$2:$G$51, "",0),  F1527&lt;&gt;"",L1527*_xlfn.XLOOKUP(1, (SKUs!$C$2:$C$10001=G1527)*(SKUs!$K$2:$K$10001=I1527),SKUs!$E$2:$E$10001)), 0),"")</f>
        <v/>
      </c>
      <c r="E1527" s="16" t="str">
        <f>_xlfn.XLOOKUP(F1527,dd_item!$B$2:$B$105,dd_item!$C$2:$C$105,"",0)</f>
        <v/>
      </c>
      <c r="F1527" s="16"/>
      <c r="G1527" s="16" cm="1">
        <f t="array" ref="G1527">IFERROR(_xlfn.XLOOKUP(1, (SKUs!$J$2:$J$10001=accsry_unmerged!F1527)*IF(H1527&lt;&gt;"",(SKUs!$L$2:$L$10001=accsry_unmerged!H1527),1)*(SKUs!$K$2:$K$10001=I1527),SKUs!$C$2:$C$10001),"")</f>
        <v>0</v>
      </c>
      <c r="H1527" s="33" cm="1">
        <f t="array" ref="H1527">IFERROR(_xlfn.XLOOKUP(1, (dd_accsryclr!$C$2:$C$1000=accsry_unmerged!F1527)*(dd_accsryclr!$B$2:$B$1000=accsry_unmerged!J1527),dd_accsryclr!$A$2:$A$1000),"")</f>
        <v>0</v>
      </c>
      <c r="I1527" s="16">
        <f>_xlfn.XLOOKUP(C1527,'Project Details'!$C$17:$C$66,'Project Details'!$E$17:$E$66,"",0)</f>
        <v>0</v>
      </c>
      <c r="J1527" s="16">
        <f>_xlfn.XLOOKUP(C1527,'Project Details'!$C$17:$C$66,'Project Details'!$H$17:$H$66,"",0)</f>
        <v>0</v>
      </c>
      <c r="K1527" s="33" t="str">
        <f>IF(AND(_xlfn.XLOOKUP(C1527,'Project Details'!$C$17:$C$66,'Project Details'!$L$17:$L$66,"",0)&gt;550, F1527="Spring-L27cm"),"",SUBSTITUTE(_xlfn.XLOOKUP(G1527,SKUs!$C$2:$C$10001,SKUs!$F$2:$F$10001,"",0), " Accessories",""))</f>
        <v/>
      </c>
      <c r="L1527" s="33">
        <f>_xlfn.XLOOKUP(C1527,'Project Details'!$C$17:$C$66,'Project Details'!$D$17:$D$66,"",0)</f>
        <v>0</v>
      </c>
      <c r="M1527" s="43"/>
    </row>
    <row r="1528" spans="1:13" x14ac:dyDescent="0.25">
      <c r="A1528" s="43"/>
      <c r="B1528" s="43"/>
      <c r="C1528" s="35">
        <f t="shared" si="29"/>
        <v>31</v>
      </c>
      <c r="D1528" s="35" t="str" cm="1">
        <f t="array" ref="D1528">IFERROR(ROUNDUP(_xlfn.IFS(F1528="Aluminum Track", _xlfn.XLOOKUP(C1528, dd_accsrycalc!$A$2:$A$51, dd_accsrycalc!$B$2:$B$51, "",0), F1528="10 x 2 1/2 S (Flat)", _xlfn.XLOOKUP(C1528, dd_accsrycalc!$A$2:$A$51, dd_accsrycalc!$C$2:$C$51, "",0), F1528="Tox6", _xlfn.XLOOKUP(C1528, dd_accsrycalc!$A$2:$A$51, dd_accsrycalc!$D$2:$D$51, "",0), F1528="Cover Cap", _xlfn.XLOOKUP(C1528, dd_accsrycalc!$A$2:$A$51, dd_accsrycalc!$E$2:$E$51, "",0), F1528="Drainage Cover", _xlfn.XLOOKUP(C1528, dd_accsrycalc!$A$2:$A$51, dd_accsrycalc!$F$2:$F$51, "",0),AND( F1528="Double Adhesive Tape", I1528="Roll-up Screen"), _xlfn.XLOOKUP(C1528, calc_rusacc!$C$15:$C$65, calc_rusacc!$AD$15:$AD$65, "",0),AND( F1528="Sealant", I1528="Roll-up Screen"), _xlfn.XLOOKUP(C1528, calc_rusacc!$C$15:$C$65, calc_rusacc!$AF$15:$AF$65, "",0),  AND( F1528="Main Chain", I1528="Accordion Screen"), _xlfn.XLOOKUP(C1528, calc_rusacc!$C$15:$C$65, calc_rusacc!$BF$15:$BF$65, "",0), AND( F1528="Sealant", I1528="Accordion Screen"), _xlfn.XLOOKUP(C1528, calc_rusacc!$C$15:$C$65, calc_rusacc!$BJ$15:$BJ$65, "",0),  F1528="Sealant", _xlfn.XLOOKUP(C1528, dd_accsrycalc!$A$2:$A$51, dd_accsrycalc!$G$2:$G$51, "",0),  F1528&lt;&gt;"",L1528*_xlfn.XLOOKUP(1, (SKUs!$C$2:$C$10001=G1528)*(SKUs!$K$2:$K$10001=I1528),SKUs!$E$2:$E$10001)), 0),"")</f>
        <v/>
      </c>
      <c r="E1528" s="35" t="str">
        <f>_xlfn.XLOOKUP(F1528,dd_item!$B$2:$B$105,dd_item!$C$2:$C$105,"",0)</f>
        <v/>
      </c>
      <c r="F1528" s="35"/>
      <c r="G1528" s="35" cm="1">
        <f t="array" ref="G1528">IFERROR(_xlfn.XLOOKUP(1, (SKUs!$J$2:$J$10001=accsry_unmerged!F1528)*IF(H1528&lt;&gt;"",(SKUs!$L$2:$L$10001=accsry_unmerged!H1528),1)*(SKUs!$K$2:$K$10001=I1528),SKUs!$C$2:$C$10001),"")</f>
        <v>0</v>
      </c>
      <c r="H1528" s="36" cm="1">
        <f t="array" ref="H1528">IFERROR(_xlfn.XLOOKUP(1, (dd_accsryclr!$C$2:$C$1000=accsry_unmerged!F1528)*(dd_accsryclr!$B$2:$B$1000=accsry_unmerged!J1528),dd_accsryclr!$A$2:$A$1000),"")</f>
        <v>0</v>
      </c>
      <c r="I1528" s="35">
        <f>_xlfn.XLOOKUP(C1528,'Project Details'!$C$17:$C$66,'Project Details'!$E$17:$E$66,"",0)</f>
        <v>0</v>
      </c>
      <c r="J1528" s="35">
        <f>_xlfn.XLOOKUP(C1528,'Project Details'!$C$17:$C$66,'Project Details'!$H$17:$H$66,"",0)</f>
        <v>0</v>
      </c>
      <c r="K1528" s="36" t="str">
        <f>IF(AND(_xlfn.XLOOKUP(C1528,'Project Details'!$C$17:$C$66,'Project Details'!$L$17:$L$66,"",0)&gt;550, F1528="Spring-L27cm"),"",SUBSTITUTE(_xlfn.XLOOKUP(G1528,SKUs!$C$2:$C$10001,SKUs!$F$2:$F$10001,"",0), " Accessories",""))</f>
        <v/>
      </c>
      <c r="L1528" s="36">
        <f>_xlfn.XLOOKUP(C1528,'Project Details'!$C$17:$C$66,'Project Details'!$D$17:$D$66,"",0)</f>
        <v>0</v>
      </c>
      <c r="M1528" s="43"/>
    </row>
    <row r="1529" spans="1:13" x14ac:dyDescent="0.25">
      <c r="A1529" s="43"/>
      <c r="B1529" s="43"/>
      <c r="C1529" s="16">
        <f t="shared" si="29"/>
        <v>31</v>
      </c>
      <c r="D1529" s="16" t="str" cm="1">
        <f t="array" ref="D1529">IFERROR(ROUNDUP(_xlfn.IFS(F1529="Aluminum Track", _xlfn.XLOOKUP(C1529, dd_accsrycalc!$A$2:$A$51, dd_accsrycalc!$B$2:$B$51, "",0), F1529="10 x 2 1/2 S (Flat)", _xlfn.XLOOKUP(C1529, dd_accsrycalc!$A$2:$A$51, dd_accsrycalc!$C$2:$C$51, "",0), F1529="Tox6", _xlfn.XLOOKUP(C1529, dd_accsrycalc!$A$2:$A$51, dd_accsrycalc!$D$2:$D$51, "",0), F1529="Cover Cap", _xlfn.XLOOKUP(C1529, dd_accsrycalc!$A$2:$A$51, dd_accsrycalc!$E$2:$E$51, "",0), F1529="Drainage Cover", _xlfn.XLOOKUP(C1529, dd_accsrycalc!$A$2:$A$51, dd_accsrycalc!$F$2:$F$51, "",0),AND( F1529="Double Adhesive Tape", I1529="Roll-up Screen"), _xlfn.XLOOKUP(C1529, calc_rusacc!$C$15:$C$65, calc_rusacc!$AD$15:$AD$65, "",0),AND( F1529="Sealant", I1529="Roll-up Screen"), _xlfn.XLOOKUP(C1529, calc_rusacc!$C$15:$C$65, calc_rusacc!$AF$15:$AF$65, "",0),  AND( F1529="Main Chain", I1529="Accordion Screen"), _xlfn.XLOOKUP(C1529, calc_rusacc!$C$15:$C$65, calc_rusacc!$BF$15:$BF$65, "",0), AND( F1529="Sealant", I1529="Accordion Screen"), _xlfn.XLOOKUP(C1529, calc_rusacc!$C$15:$C$65, calc_rusacc!$BJ$15:$BJ$65, "",0),  F1529="Sealant", _xlfn.XLOOKUP(C1529, dd_accsrycalc!$A$2:$A$51, dd_accsrycalc!$G$2:$G$51, "",0),  F1529&lt;&gt;"",L1529*_xlfn.XLOOKUP(1, (SKUs!$C$2:$C$10001=G1529)*(SKUs!$K$2:$K$10001=I1529),SKUs!$E$2:$E$10001)), 0),"")</f>
        <v/>
      </c>
      <c r="E1529" s="16" t="str">
        <f>_xlfn.XLOOKUP(F1529,dd_item!$B$2:$B$105,dd_item!$C$2:$C$105,"",0)</f>
        <v/>
      </c>
      <c r="F1529" s="16"/>
      <c r="G1529" s="16" cm="1">
        <f t="array" ref="G1529">IFERROR(_xlfn.XLOOKUP(1, (SKUs!$J$2:$J$10001=accsry_unmerged!F1529)*IF(H1529&lt;&gt;"",(SKUs!$L$2:$L$10001=accsry_unmerged!H1529),1)*(SKUs!$K$2:$K$10001=I1529),SKUs!$C$2:$C$10001),"")</f>
        <v>0</v>
      </c>
      <c r="H1529" s="33" cm="1">
        <f t="array" ref="H1529">IFERROR(_xlfn.XLOOKUP(1, (dd_accsryclr!$C$2:$C$1000=accsry_unmerged!F1529)*(dd_accsryclr!$B$2:$B$1000=accsry_unmerged!J1529),dd_accsryclr!$A$2:$A$1000),"")</f>
        <v>0</v>
      </c>
      <c r="I1529" s="16">
        <f>_xlfn.XLOOKUP(C1529,'Project Details'!$C$17:$C$66,'Project Details'!$E$17:$E$66,"",0)</f>
        <v>0</v>
      </c>
      <c r="J1529" s="16">
        <f>_xlfn.XLOOKUP(C1529,'Project Details'!$C$17:$C$66,'Project Details'!$H$17:$H$66,"",0)</f>
        <v>0</v>
      </c>
      <c r="K1529" s="33" t="str">
        <f>IF(AND(_xlfn.XLOOKUP(C1529,'Project Details'!$C$17:$C$66,'Project Details'!$L$17:$L$66,"",0)&gt;550, F1529="Spring-L27cm"),"",SUBSTITUTE(_xlfn.XLOOKUP(G1529,SKUs!$C$2:$C$10001,SKUs!$F$2:$F$10001,"",0), " Accessories",""))</f>
        <v/>
      </c>
      <c r="L1529" s="33">
        <f>_xlfn.XLOOKUP(C1529,'Project Details'!$C$17:$C$66,'Project Details'!$D$17:$D$66,"",0)</f>
        <v>0</v>
      </c>
      <c r="M1529" s="43"/>
    </row>
    <row r="1530" spans="1:13" x14ac:dyDescent="0.25">
      <c r="A1530" s="43"/>
      <c r="B1530" s="43"/>
      <c r="C1530" s="35">
        <f t="shared" si="29"/>
        <v>31</v>
      </c>
      <c r="D1530" s="35" t="str" cm="1">
        <f t="array" ref="D1530">IFERROR(ROUNDUP(_xlfn.IFS(F1530="Aluminum Track", _xlfn.XLOOKUP(C1530, dd_accsrycalc!$A$2:$A$51, dd_accsrycalc!$B$2:$B$51, "",0), F1530="10 x 2 1/2 S (Flat)", _xlfn.XLOOKUP(C1530, dd_accsrycalc!$A$2:$A$51, dd_accsrycalc!$C$2:$C$51, "",0), F1530="Tox6", _xlfn.XLOOKUP(C1530, dd_accsrycalc!$A$2:$A$51, dd_accsrycalc!$D$2:$D$51, "",0), F1530="Cover Cap", _xlfn.XLOOKUP(C1530, dd_accsrycalc!$A$2:$A$51, dd_accsrycalc!$E$2:$E$51, "",0), F1530="Drainage Cover", _xlfn.XLOOKUP(C1530, dd_accsrycalc!$A$2:$A$51, dd_accsrycalc!$F$2:$F$51, "",0),AND( F1530="Double Adhesive Tape", I1530="Roll-up Screen"), _xlfn.XLOOKUP(C1530, calc_rusacc!$C$15:$C$65, calc_rusacc!$AD$15:$AD$65, "",0),AND( F1530="Sealant", I1530="Roll-up Screen"), _xlfn.XLOOKUP(C1530, calc_rusacc!$C$15:$C$65, calc_rusacc!$AF$15:$AF$65, "",0),  AND( F1530="Main Chain", I1530="Accordion Screen"), _xlfn.XLOOKUP(C1530, calc_rusacc!$C$15:$C$65, calc_rusacc!$BF$15:$BF$65, "",0), AND( F1530="Sealant", I1530="Accordion Screen"), _xlfn.XLOOKUP(C1530, calc_rusacc!$C$15:$C$65, calc_rusacc!$BJ$15:$BJ$65, "",0),  F1530="Sealant", _xlfn.XLOOKUP(C1530, dd_accsrycalc!$A$2:$A$51, dd_accsrycalc!$G$2:$G$51, "",0),  F1530&lt;&gt;"",L1530*_xlfn.XLOOKUP(1, (SKUs!$C$2:$C$10001=G1530)*(SKUs!$K$2:$K$10001=I1530),SKUs!$E$2:$E$10001)), 0),"")</f>
        <v/>
      </c>
      <c r="E1530" s="35" t="str">
        <f>_xlfn.XLOOKUP(F1530,dd_item!$B$2:$B$105,dd_item!$C$2:$C$105,"",0)</f>
        <v/>
      </c>
      <c r="F1530" s="35"/>
      <c r="G1530" s="35" cm="1">
        <f t="array" ref="G1530">IFERROR(_xlfn.XLOOKUP(1, (SKUs!$J$2:$J$10001=accsry_unmerged!F1530)*IF(H1530&lt;&gt;"",(SKUs!$L$2:$L$10001=accsry_unmerged!H1530),1)*(SKUs!$K$2:$K$10001=I1530),SKUs!$C$2:$C$10001),"")</f>
        <v>0</v>
      </c>
      <c r="H1530" s="36" cm="1">
        <f t="array" ref="H1530">IFERROR(_xlfn.XLOOKUP(1, (dd_accsryclr!$C$2:$C$1000=accsry_unmerged!F1530)*(dd_accsryclr!$B$2:$B$1000=accsry_unmerged!J1530),dd_accsryclr!$A$2:$A$1000),"")</f>
        <v>0</v>
      </c>
      <c r="I1530" s="35">
        <f>_xlfn.XLOOKUP(C1530,'Project Details'!$C$17:$C$66,'Project Details'!$E$17:$E$66,"",0)</f>
        <v>0</v>
      </c>
      <c r="J1530" s="35">
        <f>_xlfn.XLOOKUP(C1530,'Project Details'!$C$17:$C$66,'Project Details'!$H$17:$H$66,"",0)</f>
        <v>0</v>
      </c>
      <c r="K1530" s="36" t="str">
        <f>IF(AND(_xlfn.XLOOKUP(C1530,'Project Details'!$C$17:$C$66,'Project Details'!$L$17:$L$66,"",0)&gt;550, F1530="Spring-L27cm"),"",SUBSTITUTE(_xlfn.XLOOKUP(G1530,SKUs!$C$2:$C$10001,SKUs!$F$2:$F$10001,"",0), " Accessories",""))</f>
        <v/>
      </c>
      <c r="L1530" s="36">
        <f>_xlfn.XLOOKUP(C1530,'Project Details'!$C$17:$C$66,'Project Details'!$D$17:$D$66,"",0)</f>
        <v>0</v>
      </c>
      <c r="M1530" s="43"/>
    </row>
    <row r="1531" spans="1:13" x14ac:dyDescent="0.25">
      <c r="A1531" s="43"/>
      <c r="B1531" s="43"/>
      <c r="C1531" s="16">
        <f t="shared" si="29"/>
        <v>31</v>
      </c>
      <c r="D1531" s="16" t="str" cm="1">
        <f t="array" ref="D1531">IFERROR(ROUNDUP(_xlfn.IFS(F1531="Aluminum Track", _xlfn.XLOOKUP(C1531, dd_accsrycalc!$A$2:$A$51, dd_accsrycalc!$B$2:$B$51, "",0), F1531="10 x 2 1/2 S (Flat)", _xlfn.XLOOKUP(C1531, dd_accsrycalc!$A$2:$A$51, dd_accsrycalc!$C$2:$C$51, "",0), F1531="Tox6", _xlfn.XLOOKUP(C1531, dd_accsrycalc!$A$2:$A$51, dd_accsrycalc!$D$2:$D$51, "",0), F1531="Cover Cap", _xlfn.XLOOKUP(C1531, dd_accsrycalc!$A$2:$A$51, dd_accsrycalc!$E$2:$E$51, "",0), F1531="Drainage Cover", _xlfn.XLOOKUP(C1531, dd_accsrycalc!$A$2:$A$51, dd_accsrycalc!$F$2:$F$51, "",0),AND( F1531="Double Adhesive Tape", I1531="Roll-up Screen"), _xlfn.XLOOKUP(C1531, calc_rusacc!$C$15:$C$65, calc_rusacc!$AD$15:$AD$65, "",0),AND( F1531="Sealant", I1531="Roll-up Screen"), _xlfn.XLOOKUP(C1531, calc_rusacc!$C$15:$C$65, calc_rusacc!$AF$15:$AF$65, "",0),  AND( F1531="Main Chain", I1531="Accordion Screen"), _xlfn.XLOOKUP(C1531, calc_rusacc!$C$15:$C$65, calc_rusacc!$BF$15:$BF$65, "",0), AND( F1531="Sealant", I1531="Accordion Screen"), _xlfn.XLOOKUP(C1531, calc_rusacc!$C$15:$C$65, calc_rusacc!$BJ$15:$BJ$65, "",0),  F1531="Sealant", _xlfn.XLOOKUP(C1531, dd_accsrycalc!$A$2:$A$51, dd_accsrycalc!$G$2:$G$51, "",0),  F1531&lt;&gt;"",L1531*_xlfn.XLOOKUP(1, (SKUs!$C$2:$C$10001=G1531)*(SKUs!$K$2:$K$10001=I1531),SKUs!$E$2:$E$10001)), 0),"")</f>
        <v/>
      </c>
      <c r="E1531" s="16" t="str">
        <f>_xlfn.XLOOKUP(F1531,dd_item!$B$2:$B$105,dd_item!$C$2:$C$105,"",0)</f>
        <v/>
      </c>
      <c r="F1531" s="16"/>
      <c r="G1531" s="16" cm="1">
        <f t="array" ref="G1531">IFERROR(_xlfn.XLOOKUP(1, (SKUs!$J$2:$J$10001=accsry_unmerged!F1531)*IF(H1531&lt;&gt;"",(SKUs!$L$2:$L$10001=accsry_unmerged!H1531),1)*(SKUs!$K$2:$K$10001=I1531),SKUs!$C$2:$C$10001),"")</f>
        <v>0</v>
      </c>
      <c r="H1531" s="33" cm="1">
        <f t="array" ref="H1531">IFERROR(_xlfn.XLOOKUP(1, (dd_accsryclr!$C$2:$C$1000=accsry_unmerged!F1531)*(dd_accsryclr!$B$2:$B$1000=accsry_unmerged!J1531),dd_accsryclr!$A$2:$A$1000),"")</f>
        <v>0</v>
      </c>
      <c r="I1531" s="16">
        <f>_xlfn.XLOOKUP(C1531,'Project Details'!$C$17:$C$66,'Project Details'!$E$17:$E$66,"",0)</f>
        <v>0</v>
      </c>
      <c r="J1531" s="16">
        <f>_xlfn.XLOOKUP(C1531,'Project Details'!$C$17:$C$66,'Project Details'!$H$17:$H$66,"",0)</f>
        <v>0</v>
      </c>
      <c r="K1531" s="33" t="str">
        <f>IF(AND(_xlfn.XLOOKUP(C1531,'Project Details'!$C$17:$C$66,'Project Details'!$L$17:$L$66,"",0)&gt;550, F1531="Spring-L27cm"),"",SUBSTITUTE(_xlfn.XLOOKUP(G1531,SKUs!$C$2:$C$10001,SKUs!$F$2:$F$10001,"",0), " Accessories",""))</f>
        <v/>
      </c>
      <c r="L1531" s="33">
        <f>_xlfn.XLOOKUP(C1531,'Project Details'!$C$17:$C$66,'Project Details'!$D$17:$D$66,"",0)</f>
        <v>0</v>
      </c>
      <c r="M1531" s="43"/>
    </row>
    <row r="1532" spans="1:13" x14ac:dyDescent="0.25">
      <c r="A1532" s="43"/>
      <c r="B1532" s="43"/>
      <c r="C1532" s="35">
        <f t="shared" si="29"/>
        <v>31</v>
      </c>
      <c r="D1532" s="35" t="str" cm="1">
        <f t="array" ref="D1532">IFERROR(ROUNDUP(_xlfn.IFS(F1532="Aluminum Track", _xlfn.XLOOKUP(C1532, dd_accsrycalc!$A$2:$A$51, dd_accsrycalc!$B$2:$B$51, "",0), F1532="10 x 2 1/2 S (Flat)", _xlfn.XLOOKUP(C1532, dd_accsrycalc!$A$2:$A$51, dd_accsrycalc!$C$2:$C$51, "",0), F1532="Tox6", _xlfn.XLOOKUP(C1532, dd_accsrycalc!$A$2:$A$51, dd_accsrycalc!$D$2:$D$51, "",0), F1532="Cover Cap", _xlfn.XLOOKUP(C1532, dd_accsrycalc!$A$2:$A$51, dd_accsrycalc!$E$2:$E$51, "",0), F1532="Drainage Cover", _xlfn.XLOOKUP(C1532, dd_accsrycalc!$A$2:$A$51, dd_accsrycalc!$F$2:$F$51, "",0),AND( F1532="Double Adhesive Tape", I1532="Roll-up Screen"), _xlfn.XLOOKUP(C1532, calc_rusacc!$C$15:$C$65, calc_rusacc!$AD$15:$AD$65, "",0),AND( F1532="Sealant", I1532="Roll-up Screen"), _xlfn.XLOOKUP(C1532, calc_rusacc!$C$15:$C$65, calc_rusacc!$AF$15:$AF$65, "",0),  AND( F1532="Main Chain", I1532="Accordion Screen"), _xlfn.XLOOKUP(C1532, calc_rusacc!$C$15:$C$65, calc_rusacc!$BF$15:$BF$65, "",0), AND( F1532="Sealant", I1532="Accordion Screen"), _xlfn.XLOOKUP(C1532, calc_rusacc!$C$15:$C$65, calc_rusacc!$BJ$15:$BJ$65, "",0),  F1532="Sealant", _xlfn.XLOOKUP(C1532, dd_accsrycalc!$A$2:$A$51, dd_accsrycalc!$G$2:$G$51, "",0),  F1532&lt;&gt;"",L1532*_xlfn.XLOOKUP(1, (SKUs!$C$2:$C$10001=G1532)*(SKUs!$K$2:$K$10001=I1532),SKUs!$E$2:$E$10001)), 0),"")</f>
        <v/>
      </c>
      <c r="E1532" s="35" t="str">
        <f>_xlfn.XLOOKUP(F1532,dd_item!$B$2:$B$105,dd_item!$C$2:$C$105,"",0)</f>
        <v/>
      </c>
      <c r="F1532" s="35"/>
      <c r="G1532" s="35" cm="1">
        <f t="array" ref="G1532">IFERROR(_xlfn.XLOOKUP(1, (SKUs!$J$2:$J$10001=accsry_unmerged!F1532)*IF(H1532&lt;&gt;"",(SKUs!$L$2:$L$10001=accsry_unmerged!H1532),1)*(SKUs!$K$2:$K$10001=I1532),SKUs!$C$2:$C$10001),"")</f>
        <v>0</v>
      </c>
      <c r="H1532" s="36" cm="1">
        <f t="array" ref="H1532">IFERROR(_xlfn.XLOOKUP(1, (dd_accsryclr!$C$2:$C$1000=accsry_unmerged!F1532)*(dd_accsryclr!$B$2:$B$1000=accsry_unmerged!J1532),dd_accsryclr!$A$2:$A$1000),"")</f>
        <v>0</v>
      </c>
      <c r="I1532" s="35">
        <f>_xlfn.XLOOKUP(C1532,'Project Details'!$C$17:$C$66,'Project Details'!$E$17:$E$66,"",0)</f>
        <v>0</v>
      </c>
      <c r="J1532" s="35">
        <f>_xlfn.XLOOKUP(C1532,'Project Details'!$C$17:$C$66,'Project Details'!$H$17:$H$66,"",0)</f>
        <v>0</v>
      </c>
      <c r="K1532" s="36" t="str">
        <f>IF(AND(_xlfn.XLOOKUP(C1532,'Project Details'!$C$17:$C$66,'Project Details'!$L$17:$L$66,"",0)&gt;550, F1532="Spring-L27cm"),"",SUBSTITUTE(_xlfn.XLOOKUP(G1532,SKUs!$C$2:$C$10001,SKUs!$F$2:$F$10001,"",0), " Accessories",""))</f>
        <v/>
      </c>
      <c r="L1532" s="36">
        <f>_xlfn.XLOOKUP(C1532,'Project Details'!$C$17:$C$66,'Project Details'!$D$17:$D$66,"",0)</f>
        <v>0</v>
      </c>
      <c r="M1532" s="43"/>
    </row>
    <row r="1533" spans="1:13" x14ac:dyDescent="0.25">
      <c r="A1533" s="43"/>
      <c r="B1533" s="43"/>
      <c r="C1533" s="16">
        <f t="shared" si="29"/>
        <v>31</v>
      </c>
      <c r="D1533" s="16" t="str" cm="1">
        <f t="array" ref="D1533">IFERROR(ROUNDUP(_xlfn.IFS(F1533="Aluminum Track", _xlfn.XLOOKUP(C1533, dd_accsrycalc!$A$2:$A$51, dd_accsrycalc!$B$2:$B$51, "",0), F1533="10 x 2 1/2 S (Flat)", _xlfn.XLOOKUP(C1533, dd_accsrycalc!$A$2:$A$51, dd_accsrycalc!$C$2:$C$51, "",0), F1533="Tox6", _xlfn.XLOOKUP(C1533, dd_accsrycalc!$A$2:$A$51, dd_accsrycalc!$D$2:$D$51, "",0), F1533="Cover Cap", _xlfn.XLOOKUP(C1533, dd_accsrycalc!$A$2:$A$51, dd_accsrycalc!$E$2:$E$51, "",0), F1533="Drainage Cover", _xlfn.XLOOKUP(C1533, dd_accsrycalc!$A$2:$A$51, dd_accsrycalc!$F$2:$F$51, "",0),AND( F1533="Double Adhesive Tape", I1533="Roll-up Screen"), _xlfn.XLOOKUP(C1533, calc_rusacc!$C$15:$C$65, calc_rusacc!$AD$15:$AD$65, "",0),AND( F1533="Sealant", I1533="Roll-up Screen"), _xlfn.XLOOKUP(C1533, calc_rusacc!$C$15:$C$65, calc_rusacc!$AF$15:$AF$65, "",0),  AND( F1533="Main Chain", I1533="Accordion Screen"), _xlfn.XLOOKUP(C1533, calc_rusacc!$C$15:$C$65, calc_rusacc!$BF$15:$BF$65, "",0), AND( F1533="Sealant", I1533="Accordion Screen"), _xlfn.XLOOKUP(C1533, calc_rusacc!$C$15:$C$65, calc_rusacc!$BJ$15:$BJ$65, "",0),  F1533="Sealant", _xlfn.XLOOKUP(C1533, dd_accsrycalc!$A$2:$A$51, dd_accsrycalc!$G$2:$G$51, "",0),  F1533&lt;&gt;"",L1533*_xlfn.XLOOKUP(1, (SKUs!$C$2:$C$10001=G1533)*(SKUs!$K$2:$K$10001=I1533),SKUs!$E$2:$E$10001)), 0),"")</f>
        <v/>
      </c>
      <c r="E1533" s="16" t="str">
        <f>_xlfn.XLOOKUP(F1533,dd_item!$B$2:$B$105,dd_item!$C$2:$C$105,"",0)</f>
        <v/>
      </c>
      <c r="F1533" s="16"/>
      <c r="G1533" s="16" cm="1">
        <f t="array" ref="G1533">IFERROR(_xlfn.XLOOKUP(1, (SKUs!$J$2:$J$10001=accsry_unmerged!F1533)*IF(H1533&lt;&gt;"",(SKUs!$L$2:$L$10001=accsry_unmerged!H1533),1)*(SKUs!$K$2:$K$10001=I1533),SKUs!$C$2:$C$10001),"")</f>
        <v>0</v>
      </c>
      <c r="H1533" s="33" cm="1">
        <f t="array" ref="H1533">IFERROR(_xlfn.XLOOKUP(1, (dd_accsryclr!$C$2:$C$1000=accsry_unmerged!F1533)*(dd_accsryclr!$B$2:$B$1000=accsry_unmerged!J1533),dd_accsryclr!$A$2:$A$1000),"")</f>
        <v>0</v>
      </c>
      <c r="I1533" s="16">
        <f>_xlfn.XLOOKUP(C1533,'Project Details'!$C$17:$C$66,'Project Details'!$E$17:$E$66,"",0)</f>
        <v>0</v>
      </c>
      <c r="J1533" s="16">
        <f>_xlfn.XLOOKUP(C1533,'Project Details'!$C$17:$C$66,'Project Details'!$H$17:$H$66,"",0)</f>
        <v>0</v>
      </c>
      <c r="K1533" s="33" t="str">
        <f>IF(AND(_xlfn.XLOOKUP(C1533,'Project Details'!$C$17:$C$66,'Project Details'!$L$17:$L$66,"",0)&gt;550, F1533="Spring-L27cm"),"",SUBSTITUTE(_xlfn.XLOOKUP(G1533,SKUs!$C$2:$C$10001,SKUs!$F$2:$F$10001,"",0), " Accessories",""))</f>
        <v/>
      </c>
      <c r="L1533" s="33">
        <f>_xlfn.XLOOKUP(C1533,'Project Details'!$C$17:$C$66,'Project Details'!$D$17:$D$66,"",0)</f>
        <v>0</v>
      </c>
      <c r="M1533" s="43"/>
    </row>
    <row r="1534" spans="1:13" ht="13.5" customHeight="1" x14ac:dyDescent="0.25">
      <c r="A1534" s="43"/>
      <c r="B1534" s="43"/>
      <c r="C1534" s="35">
        <f t="shared" si="29"/>
        <v>31</v>
      </c>
      <c r="D1534" s="35" t="str" cm="1">
        <f t="array" ref="D1534">IFERROR(ROUNDUP(_xlfn.IFS(F1534="Aluminum Track", _xlfn.XLOOKUP(C1534, dd_accsrycalc!$A$2:$A$51, dd_accsrycalc!$B$2:$B$51, "",0), F1534="10 x 2 1/2 S (Flat)", _xlfn.XLOOKUP(C1534, dd_accsrycalc!$A$2:$A$51, dd_accsrycalc!$C$2:$C$51, "",0), F1534="Tox6", _xlfn.XLOOKUP(C1534, dd_accsrycalc!$A$2:$A$51, dd_accsrycalc!$D$2:$D$51, "",0), F1534="Cover Cap", _xlfn.XLOOKUP(C1534, dd_accsrycalc!$A$2:$A$51, dd_accsrycalc!$E$2:$E$51, "",0), F1534="Drainage Cover", _xlfn.XLOOKUP(C1534, dd_accsrycalc!$A$2:$A$51, dd_accsrycalc!$F$2:$F$51, "",0),AND( F1534="Double Adhesive Tape", I1534="Roll-up Screen"), _xlfn.XLOOKUP(C1534, calc_rusacc!$C$15:$C$65, calc_rusacc!$AD$15:$AD$65, "",0),AND( F1534="Sealant", I1534="Roll-up Screen"), _xlfn.XLOOKUP(C1534, calc_rusacc!$C$15:$C$65, calc_rusacc!$AF$15:$AF$65, "",0),  AND( F1534="Main Chain", I1534="Accordion Screen"), _xlfn.XLOOKUP(C1534, calc_rusacc!$C$15:$C$65, calc_rusacc!$BF$15:$BF$65, "",0), AND( F1534="Sealant", I1534="Accordion Screen"), _xlfn.XLOOKUP(C1534, calc_rusacc!$C$15:$C$65, calc_rusacc!$BJ$15:$BJ$65, "",0),  F1534="Sealant", _xlfn.XLOOKUP(C1534, dd_accsrycalc!$A$2:$A$51, dd_accsrycalc!$G$2:$G$51, "",0),  F1534&lt;&gt;"",L1534*_xlfn.XLOOKUP(1, (SKUs!$C$2:$C$10001=G1534)*(SKUs!$K$2:$K$10001=I1534),SKUs!$E$2:$E$10001)), 0),"")</f>
        <v/>
      </c>
      <c r="E1534" s="35" t="str">
        <f>_xlfn.XLOOKUP(F1534,dd_item!$B$2:$B$105,dd_item!$C$2:$C$105,"",0)</f>
        <v/>
      </c>
      <c r="F1534" s="35"/>
      <c r="G1534" s="35" cm="1">
        <f t="array" ref="G1534">IFERROR(_xlfn.XLOOKUP(1, (SKUs!$J$2:$J$10001=accsry_unmerged!F1534)*IF(H1534&lt;&gt;"",(SKUs!$L$2:$L$10001=accsry_unmerged!H1534),1)*(SKUs!$K$2:$K$10001=I1534),SKUs!$C$2:$C$10001),"")</f>
        <v>0</v>
      </c>
      <c r="H1534" s="36" cm="1">
        <f t="array" ref="H1534">IFERROR(_xlfn.XLOOKUP(1, (dd_accsryclr!$C$2:$C$1000=accsry_unmerged!F1534)*(dd_accsryclr!$B$2:$B$1000=accsry_unmerged!J1534),dd_accsryclr!$A$2:$A$1000),"")</f>
        <v>0</v>
      </c>
      <c r="I1534" s="35">
        <f>_xlfn.XLOOKUP(C1534,'Project Details'!$C$17:$C$66,'Project Details'!$E$17:$E$66,"",0)</f>
        <v>0</v>
      </c>
      <c r="J1534" s="35">
        <f>_xlfn.XLOOKUP(C1534,'Project Details'!$C$17:$C$66,'Project Details'!$H$17:$H$66,"",0)</f>
        <v>0</v>
      </c>
      <c r="K1534" s="36" t="str">
        <f>IF(AND(_xlfn.XLOOKUP(C1534,'Project Details'!$C$17:$C$66,'Project Details'!$L$17:$L$66,"",0)&gt;550, F1534="Spring-L27cm"),"",SUBSTITUTE(_xlfn.XLOOKUP(G1534,SKUs!$C$2:$C$10001,SKUs!$F$2:$F$10001,"",0), " Accessories",""))</f>
        <v/>
      </c>
      <c r="L1534" s="36">
        <f>_xlfn.XLOOKUP(C1534,'Project Details'!$C$17:$C$66,'Project Details'!$D$17:$D$66,"",0)</f>
        <v>0</v>
      </c>
      <c r="M1534" s="43"/>
    </row>
    <row r="1535" spans="1:13" ht="13.5" customHeight="1" x14ac:dyDescent="0.25">
      <c r="A1535" s="43"/>
      <c r="B1535" s="43"/>
      <c r="C1535" s="16">
        <f t="shared" si="29"/>
        <v>31</v>
      </c>
      <c r="D1535" s="16" t="str" cm="1">
        <f t="array" ref="D1535">IFERROR(ROUNDUP(_xlfn.IFS(F1535="Aluminum Track", _xlfn.XLOOKUP(C1535, dd_accsrycalc!$A$2:$A$51, dd_accsrycalc!$B$2:$B$51, "",0), F1535="10 x 2 1/2 S (Flat)", _xlfn.XLOOKUP(C1535, dd_accsrycalc!$A$2:$A$51, dd_accsrycalc!$C$2:$C$51, "",0), F1535="Tox6", _xlfn.XLOOKUP(C1535, dd_accsrycalc!$A$2:$A$51, dd_accsrycalc!$D$2:$D$51, "",0), F1535="Cover Cap", _xlfn.XLOOKUP(C1535, dd_accsrycalc!$A$2:$A$51, dd_accsrycalc!$E$2:$E$51, "",0), F1535="Drainage Cover", _xlfn.XLOOKUP(C1535, dd_accsrycalc!$A$2:$A$51, dd_accsrycalc!$F$2:$F$51, "",0),AND( F1535="Double Adhesive Tape", I1535="Roll-up Screen"), _xlfn.XLOOKUP(C1535, calc_rusacc!$C$15:$C$65, calc_rusacc!$AD$15:$AD$65, "",0),AND( F1535="Sealant", I1535="Roll-up Screen"), _xlfn.XLOOKUP(C1535, calc_rusacc!$C$15:$C$65, calc_rusacc!$AF$15:$AF$65, "",0),  AND( F1535="Main Chain", I1535="Accordion Screen"), _xlfn.XLOOKUP(C1535, calc_rusacc!$C$15:$C$65, calc_rusacc!$BF$15:$BF$65, "",0), AND( F1535="Sealant", I1535="Accordion Screen"), _xlfn.XLOOKUP(C1535, calc_rusacc!$C$15:$C$65, calc_rusacc!$BJ$15:$BJ$65, "",0),  F1535="Sealant", _xlfn.XLOOKUP(C1535, dd_accsrycalc!$A$2:$A$51, dd_accsrycalc!$G$2:$G$51, "",0),  F1535&lt;&gt;"",L1535*_xlfn.XLOOKUP(1, (SKUs!$C$2:$C$10001=G1535)*(SKUs!$K$2:$K$10001=I1535),SKUs!$E$2:$E$10001)), 0),"")</f>
        <v/>
      </c>
      <c r="E1535" s="16" t="str">
        <f>_xlfn.XLOOKUP(F1535,dd_item!$B$2:$B$105,dd_item!$C$2:$C$105,"",0)</f>
        <v/>
      </c>
      <c r="F1535" s="16"/>
      <c r="G1535" s="16" cm="1">
        <f t="array" ref="G1535">IFERROR(_xlfn.XLOOKUP(1, (SKUs!$J$2:$J$10001=accsry_unmerged!F1535)*IF(H1535&lt;&gt;"",(SKUs!$L$2:$L$10001=accsry_unmerged!H1535),1)*(SKUs!$K$2:$K$10001=I1535),SKUs!$C$2:$C$10001),"")</f>
        <v>0</v>
      </c>
      <c r="H1535" s="33" cm="1">
        <f t="array" ref="H1535">IFERROR(_xlfn.XLOOKUP(1, (dd_accsryclr!$C$2:$C$1000=accsry_unmerged!F1535)*(dd_accsryclr!$B$2:$B$1000=accsry_unmerged!J1535),dd_accsryclr!$A$2:$A$1000),"")</f>
        <v>0</v>
      </c>
      <c r="I1535" s="16">
        <f>_xlfn.XLOOKUP(C1535,'Project Details'!$C$17:$C$66,'Project Details'!$E$17:$E$66,"",0)</f>
        <v>0</v>
      </c>
      <c r="J1535" s="16">
        <f>_xlfn.XLOOKUP(C1535,'Project Details'!$C$17:$C$66,'Project Details'!$H$17:$H$66,"",0)</f>
        <v>0</v>
      </c>
      <c r="K1535" s="33" t="str">
        <f>IF(AND(_xlfn.XLOOKUP(C1535,'Project Details'!$C$17:$C$66,'Project Details'!$L$17:$L$66,"",0)&gt;550, F1535="Spring-L27cm"),"",SUBSTITUTE(_xlfn.XLOOKUP(G1535,SKUs!$C$2:$C$10001,SKUs!$F$2:$F$10001,"",0), " Accessories",""))</f>
        <v/>
      </c>
      <c r="L1535" s="33">
        <f>_xlfn.XLOOKUP(C1535,'Project Details'!$C$17:$C$66,'Project Details'!$D$17:$D$66,"",0)</f>
        <v>0</v>
      </c>
      <c r="M1535" s="43"/>
    </row>
    <row r="1536" spans="1:13" ht="13.5" customHeight="1" x14ac:dyDescent="0.25">
      <c r="A1536" s="43"/>
      <c r="B1536" s="43"/>
      <c r="C1536" s="35">
        <f t="shared" si="29"/>
        <v>31</v>
      </c>
      <c r="D1536" s="35" t="str" cm="1">
        <f t="array" ref="D1536">IFERROR(ROUNDUP(_xlfn.IFS(F1536="Aluminum Track", _xlfn.XLOOKUP(C1536, dd_accsrycalc!$A$2:$A$51, dd_accsrycalc!$B$2:$B$51, "",0), F1536="10 x 2 1/2 S (Flat)", _xlfn.XLOOKUP(C1536, dd_accsrycalc!$A$2:$A$51, dd_accsrycalc!$C$2:$C$51, "",0), F1536="Tox6", _xlfn.XLOOKUP(C1536, dd_accsrycalc!$A$2:$A$51, dd_accsrycalc!$D$2:$D$51, "",0), F1536="Cover Cap", _xlfn.XLOOKUP(C1536, dd_accsrycalc!$A$2:$A$51, dd_accsrycalc!$E$2:$E$51, "",0), F1536="Drainage Cover", _xlfn.XLOOKUP(C1536, dd_accsrycalc!$A$2:$A$51, dd_accsrycalc!$F$2:$F$51, "",0),AND( F1536="Double Adhesive Tape", I1536="Roll-up Screen"), _xlfn.XLOOKUP(C1536, calc_rusacc!$C$15:$C$65, calc_rusacc!$AD$15:$AD$65, "",0),AND( F1536="Sealant", I1536="Roll-up Screen"), _xlfn.XLOOKUP(C1536, calc_rusacc!$C$15:$C$65, calc_rusacc!$AF$15:$AF$65, "",0),  AND( F1536="Main Chain", I1536="Accordion Screen"), _xlfn.XLOOKUP(C1536, calc_rusacc!$C$15:$C$65, calc_rusacc!$BF$15:$BF$65, "",0), AND( F1536="Sealant", I1536="Accordion Screen"), _xlfn.XLOOKUP(C1536, calc_rusacc!$C$15:$C$65, calc_rusacc!$BJ$15:$BJ$65, "",0),  F1536="Sealant", _xlfn.XLOOKUP(C1536, dd_accsrycalc!$A$2:$A$51, dd_accsrycalc!$G$2:$G$51, "",0),  F1536&lt;&gt;"",L1536*_xlfn.XLOOKUP(1, (SKUs!$C$2:$C$10001=G1536)*(SKUs!$K$2:$K$10001=I1536),SKUs!$E$2:$E$10001)), 0),"")</f>
        <v/>
      </c>
      <c r="E1536" s="35" t="str">
        <f>_xlfn.XLOOKUP(F1536,dd_item!$B$2:$B$105,dd_item!$C$2:$C$105,"",0)</f>
        <v/>
      </c>
      <c r="F1536" s="35"/>
      <c r="G1536" s="35" cm="1">
        <f t="array" ref="G1536">IFERROR(_xlfn.XLOOKUP(1, (SKUs!$J$2:$J$10001=accsry_unmerged!F1536)*IF(H1536&lt;&gt;"",(SKUs!$L$2:$L$10001=accsry_unmerged!H1536),1)*(SKUs!$K$2:$K$10001=I1536),SKUs!$C$2:$C$10001),"")</f>
        <v>0</v>
      </c>
      <c r="H1536" s="36" cm="1">
        <f t="array" ref="H1536">IFERROR(_xlfn.XLOOKUP(1, (dd_accsryclr!$C$2:$C$1000=accsry_unmerged!F1536)*(dd_accsryclr!$B$2:$B$1000=accsry_unmerged!J1536),dd_accsryclr!$A$2:$A$1000),"")</f>
        <v>0</v>
      </c>
      <c r="I1536" s="35">
        <f>_xlfn.XLOOKUP(C1536,'Project Details'!$C$17:$C$66,'Project Details'!$E$17:$E$66,"",0)</f>
        <v>0</v>
      </c>
      <c r="J1536" s="35">
        <f>_xlfn.XLOOKUP(C1536,'Project Details'!$C$17:$C$66,'Project Details'!$H$17:$H$66,"",0)</f>
        <v>0</v>
      </c>
      <c r="K1536" s="36" t="str">
        <f>IF(AND(_xlfn.XLOOKUP(C1536,'Project Details'!$C$17:$C$66,'Project Details'!$L$17:$L$66,"",0)&gt;550, F1536="Spring-L27cm"),"",SUBSTITUTE(_xlfn.XLOOKUP(G1536,SKUs!$C$2:$C$10001,SKUs!$F$2:$F$10001,"",0), " Accessories",""))</f>
        <v/>
      </c>
      <c r="L1536" s="36">
        <f>_xlfn.XLOOKUP(C1536,'Project Details'!$C$17:$C$66,'Project Details'!$D$17:$D$66,"",0)</f>
        <v>0</v>
      </c>
      <c r="M1536" s="43"/>
    </row>
    <row r="1537" spans="1:13" ht="13.5" customHeight="1" x14ac:dyDescent="0.25">
      <c r="A1537" s="43"/>
      <c r="B1537" s="43"/>
      <c r="C1537" s="16">
        <f t="shared" si="29"/>
        <v>31</v>
      </c>
      <c r="D1537" s="16" t="str" cm="1">
        <f t="array" ref="D1537">IFERROR(ROUNDUP(_xlfn.IFS(F1537="Aluminum Track", _xlfn.XLOOKUP(C1537, dd_accsrycalc!$A$2:$A$51, dd_accsrycalc!$B$2:$B$51, "",0), F1537="10 x 2 1/2 S (Flat)", _xlfn.XLOOKUP(C1537, dd_accsrycalc!$A$2:$A$51, dd_accsrycalc!$C$2:$C$51, "",0), F1537="Tox6", _xlfn.XLOOKUP(C1537, dd_accsrycalc!$A$2:$A$51, dd_accsrycalc!$D$2:$D$51, "",0), F1537="Cover Cap", _xlfn.XLOOKUP(C1537, dd_accsrycalc!$A$2:$A$51, dd_accsrycalc!$E$2:$E$51, "",0), F1537="Drainage Cover", _xlfn.XLOOKUP(C1537, dd_accsrycalc!$A$2:$A$51, dd_accsrycalc!$F$2:$F$51, "",0),AND( F1537="Double Adhesive Tape", I1537="Roll-up Screen"), _xlfn.XLOOKUP(C1537, calc_rusacc!$C$15:$C$65, calc_rusacc!$AD$15:$AD$65, "",0),AND( F1537="Sealant", I1537="Roll-up Screen"), _xlfn.XLOOKUP(C1537, calc_rusacc!$C$15:$C$65, calc_rusacc!$AF$15:$AF$65, "",0),  AND( F1537="Main Chain", I1537="Accordion Screen"), _xlfn.XLOOKUP(C1537, calc_rusacc!$C$15:$C$65, calc_rusacc!$BF$15:$BF$65, "",0), AND( F1537="Sealant", I1537="Accordion Screen"), _xlfn.XLOOKUP(C1537, calc_rusacc!$C$15:$C$65, calc_rusacc!$BJ$15:$BJ$65, "",0),  F1537="Sealant", _xlfn.XLOOKUP(C1537, dd_accsrycalc!$A$2:$A$51, dd_accsrycalc!$G$2:$G$51, "",0),  F1537&lt;&gt;"",L1537*_xlfn.XLOOKUP(1, (SKUs!$C$2:$C$10001=G1537)*(SKUs!$K$2:$K$10001=I1537),SKUs!$E$2:$E$10001)), 0),"")</f>
        <v/>
      </c>
      <c r="E1537" s="16" t="str">
        <f>_xlfn.XLOOKUP(F1537,dd_item!$B$2:$B$105,dd_item!$C$2:$C$105,"",0)</f>
        <v/>
      </c>
      <c r="F1537" s="16"/>
      <c r="G1537" s="16" cm="1">
        <f t="array" ref="G1537">IFERROR(_xlfn.XLOOKUP(1, (SKUs!$J$2:$J$10001=accsry_unmerged!F1537)*IF(H1537&lt;&gt;"",(SKUs!$L$2:$L$10001=accsry_unmerged!H1537),1)*(SKUs!$K$2:$K$10001=I1537),SKUs!$C$2:$C$10001),"")</f>
        <v>0</v>
      </c>
      <c r="H1537" s="33" cm="1">
        <f t="array" ref="H1537">IFERROR(_xlfn.XLOOKUP(1, (dd_accsryclr!$C$2:$C$1000=accsry_unmerged!F1537)*(dd_accsryclr!$B$2:$B$1000=accsry_unmerged!J1537),dd_accsryclr!$A$2:$A$1000),"")</f>
        <v>0</v>
      </c>
      <c r="I1537" s="16">
        <f>_xlfn.XLOOKUP(C1537,'Project Details'!$C$17:$C$66,'Project Details'!$E$17:$E$66,"",0)</f>
        <v>0</v>
      </c>
      <c r="J1537" s="16">
        <f>_xlfn.XLOOKUP(C1537,'Project Details'!$C$17:$C$66,'Project Details'!$H$17:$H$66,"",0)</f>
        <v>0</v>
      </c>
      <c r="K1537" s="33" t="str">
        <f>IF(AND(_xlfn.XLOOKUP(C1537,'Project Details'!$C$17:$C$66,'Project Details'!$L$17:$L$66,"",0)&gt;550, F1537="Spring-L27cm"),"",SUBSTITUTE(_xlfn.XLOOKUP(G1537,SKUs!$C$2:$C$10001,SKUs!$F$2:$F$10001,"",0), " Accessories",""))</f>
        <v/>
      </c>
      <c r="L1537" s="33">
        <f>_xlfn.XLOOKUP(C1537,'Project Details'!$C$17:$C$66,'Project Details'!$D$17:$D$66,"",0)</f>
        <v>0</v>
      </c>
      <c r="M1537" s="43"/>
    </row>
    <row r="1538" spans="1:13" ht="13.5" customHeight="1" x14ac:dyDescent="0.25">
      <c r="A1538" s="43"/>
      <c r="B1538" s="43"/>
      <c r="C1538" s="35">
        <f t="shared" si="29"/>
        <v>31</v>
      </c>
      <c r="D1538" s="35" t="str" cm="1">
        <f t="array" ref="D1538">IFERROR(ROUNDUP(_xlfn.IFS(F1538="Aluminum Track", _xlfn.XLOOKUP(C1538, dd_accsrycalc!$A$2:$A$51, dd_accsrycalc!$B$2:$B$51, "",0), F1538="10 x 2 1/2 S (Flat)", _xlfn.XLOOKUP(C1538, dd_accsrycalc!$A$2:$A$51, dd_accsrycalc!$C$2:$C$51, "",0), F1538="Tox6", _xlfn.XLOOKUP(C1538, dd_accsrycalc!$A$2:$A$51, dd_accsrycalc!$D$2:$D$51, "",0), F1538="Cover Cap", _xlfn.XLOOKUP(C1538, dd_accsrycalc!$A$2:$A$51, dd_accsrycalc!$E$2:$E$51, "",0), F1538="Drainage Cover", _xlfn.XLOOKUP(C1538, dd_accsrycalc!$A$2:$A$51, dd_accsrycalc!$F$2:$F$51, "",0),AND( F1538="Double Adhesive Tape", I1538="Roll-up Screen"), _xlfn.XLOOKUP(C1538, calc_rusacc!$C$15:$C$65, calc_rusacc!$AD$15:$AD$65, "",0),AND( F1538="Sealant", I1538="Roll-up Screen"), _xlfn.XLOOKUP(C1538, calc_rusacc!$C$15:$C$65, calc_rusacc!$AF$15:$AF$65, "",0),  AND( F1538="Main Chain", I1538="Accordion Screen"), _xlfn.XLOOKUP(C1538, calc_rusacc!$C$15:$C$65, calc_rusacc!$BF$15:$BF$65, "",0), AND( F1538="Sealant", I1538="Accordion Screen"), _xlfn.XLOOKUP(C1538, calc_rusacc!$C$15:$C$65, calc_rusacc!$BJ$15:$BJ$65, "",0),  F1538="Sealant", _xlfn.XLOOKUP(C1538, dd_accsrycalc!$A$2:$A$51, dd_accsrycalc!$G$2:$G$51, "",0),  F1538&lt;&gt;"",L1538*_xlfn.XLOOKUP(1, (SKUs!$C$2:$C$10001=G1538)*(SKUs!$K$2:$K$10001=I1538),SKUs!$E$2:$E$10001)), 0),"")</f>
        <v/>
      </c>
      <c r="E1538" s="35" t="str">
        <f>_xlfn.XLOOKUP(F1538,dd_item!$B$2:$B$105,dd_item!$C$2:$C$105,"",0)</f>
        <v/>
      </c>
      <c r="F1538" s="35"/>
      <c r="G1538" s="35" cm="1">
        <f t="array" ref="G1538">IFERROR(_xlfn.XLOOKUP(1, (SKUs!$J$2:$J$10001=accsry_unmerged!F1538)*IF(H1538&lt;&gt;"",(SKUs!$L$2:$L$10001=accsry_unmerged!H1538),1)*(SKUs!$K$2:$K$10001=I1538),SKUs!$C$2:$C$10001),"")</f>
        <v>0</v>
      </c>
      <c r="H1538" s="36" cm="1">
        <f t="array" ref="H1538">IFERROR(_xlfn.XLOOKUP(1, (dd_accsryclr!$C$2:$C$1000=accsry_unmerged!F1538)*(dd_accsryclr!$B$2:$B$1000=accsry_unmerged!J1538),dd_accsryclr!$A$2:$A$1000),"")</f>
        <v>0</v>
      </c>
      <c r="I1538" s="35">
        <f>_xlfn.XLOOKUP(C1538,'Project Details'!$C$17:$C$66,'Project Details'!$E$17:$E$66,"",0)</f>
        <v>0</v>
      </c>
      <c r="J1538" s="35">
        <f>_xlfn.XLOOKUP(C1538,'Project Details'!$C$17:$C$66,'Project Details'!$H$17:$H$66,"",0)</f>
        <v>0</v>
      </c>
      <c r="K1538" s="36" t="str">
        <f>IF(AND(_xlfn.XLOOKUP(C1538,'Project Details'!$C$17:$C$66,'Project Details'!$L$17:$L$66,"",0)&gt;550, F1538="Spring-L27cm"),"",SUBSTITUTE(_xlfn.XLOOKUP(G1538,SKUs!$C$2:$C$10001,SKUs!$F$2:$F$10001,"",0), " Accessories",""))</f>
        <v/>
      </c>
      <c r="L1538" s="36">
        <f>_xlfn.XLOOKUP(C1538,'Project Details'!$C$17:$C$66,'Project Details'!$D$17:$D$66,"",0)</f>
        <v>0</v>
      </c>
      <c r="M1538" s="43"/>
    </row>
    <row r="1539" spans="1:13" ht="13.5" customHeight="1" x14ac:dyDescent="0.25">
      <c r="A1539" s="43"/>
      <c r="B1539" s="43"/>
      <c r="C1539" s="16">
        <f t="shared" si="29"/>
        <v>31</v>
      </c>
      <c r="D1539" s="16" t="str" cm="1">
        <f t="array" ref="D1539">IFERROR(ROUNDUP(_xlfn.IFS(F1539="Aluminum Track", _xlfn.XLOOKUP(C1539, dd_accsrycalc!$A$2:$A$51, dd_accsrycalc!$B$2:$B$51, "",0), F1539="10 x 2 1/2 S (Flat)", _xlfn.XLOOKUP(C1539, dd_accsrycalc!$A$2:$A$51, dd_accsrycalc!$C$2:$C$51, "",0), F1539="Tox6", _xlfn.XLOOKUP(C1539, dd_accsrycalc!$A$2:$A$51, dd_accsrycalc!$D$2:$D$51, "",0), F1539="Cover Cap", _xlfn.XLOOKUP(C1539, dd_accsrycalc!$A$2:$A$51, dd_accsrycalc!$E$2:$E$51, "",0), F1539="Drainage Cover", _xlfn.XLOOKUP(C1539, dd_accsrycalc!$A$2:$A$51, dd_accsrycalc!$F$2:$F$51, "",0),AND( F1539="Double Adhesive Tape", I1539="Roll-up Screen"), _xlfn.XLOOKUP(C1539, calc_rusacc!$C$15:$C$65, calc_rusacc!$AD$15:$AD$65, "",0),AND( F1539="Sealant", I1539="Roll-up Screen"), _xlfn.XLOOKUP(C1539, calc_rusacc!$C$15:$C$65, calc_rusacc!$AF$15:$AF$65, "",0),  AND( F1539="Main Chain", I1539="Accordion Screen"), _xlfn.XLOOKUP(C1539, calc_rusacc!$C$15:$C$65, calc_rusacc!$BF$15:$BF$65, "",0), AND( F1539="Sealant", I1539="Accordion Screen"), _xlfn.XLOOKUP(C1539, calc_rusacc!$C$15:$C$65, calc_rusacc!$BJ$15:$BJ$65, "",0),  F1539="Sealant", _xlfn.XLOOKUP(C1539, dd_accsrycalc!$A$2:$A$51, dd_accsrycalc!$G$2:$G$51, "",0),  F1539&lt;&gt;"",L1539*_xlfn.XLOOKUP(1, (SKUs!$C$2:$C$10001=G1539)*(SKUs!$K$2:$K$10001=I1539),SKUs!$E$2:$E$10001)), 0),"")</f>
        <v/>
      </c>
      <c r="E1539" s="16" t="str">
        <f>_xlfn.XLOOKUP(F1539,dd_item!$B$2:$B$105,dd_item!$C$2:$C$105,"",0)</f>
        <v/>
      </c>
      <c r="F1539" s="16"/>
      <c r="G1539" s="16" cm="1">
        <f t="array" ref="G1539">IFERROR(_xlfn.XLOOKUP(1, (SKUs!$J$2:$J$10001=accsry_unmerged!F1539)*IF(H1539&lt;&gt;"",(SKUs!$L$2:$L$10001=accsry_unmerged!H1539),1)*(SKUs!$K$2:$K$10001=I1539),SKUs!$C$2:$C$10001),"")</f>
        <v>0</v>
      </c>
      <c r="H1539" s="33" cm="1">
        <f t="array" ref="H1539">IFERROR(_xlfn.XLOOKUP(1, (dd_accsryclr!$C$2:$C$1000=accsry_unmerged!F1539)*(dd_accsryclr!$B$2:$B$1000=accsry_unmerged!J1539),dd_accsryclr!$A$2:$A$1000),"")</f>
        <v>0</v>
      </c>
      <c r="I1539" s="16">
        <f>_xlfn.XLOOKUP(C1539,'Project Details'!$C$17:$C$66,'Project Details'!$E$17:$E$66,"",0)</f>
        <v>0</v>
      </c>
      <c r="J1539" s="16">
        <f>_xlfn.XLOOKUP(C1539,'Project Details'!$C$17:$C$66,'Project Details'!$H$17:$H$66,"",0)</f>
        <v>0</v>
      </c>
      <c r="K1539" s="33" t="str">
        <f>IF(AND(_xlfn.XLOOKUP(C1539,'Project Details'!$C$17:$C$66,'Project Details'!$L$17:$L$66,"",0)&gt;550, F1539="Spring-L27cm"),"",SUBSTITUTE(_xlfn.XLOOKUP(G1539,SKUs!$C$2:$C$10001,SKUs!$F$2:$F$10001,"",0), " Accessories",""))</f>
        <v/>
      </c>
      <c r="L1539" s="33">
        <f>_xlfn.XLOOKUP(C1539,'Project Details'!$C$17:$C$66,'Project Details'!$D$17:$D$66,"",0)</f>
        <v>0</v>
      </c>
      <c r="M1539" s="43"/>
    </row>
    <row r="1540" spans="1:13" ht="13.5" customHeight="1" x14ac:dyDescent="0.25">
      <c r="A1540" s="43"/>
      <c r="B1540" s="43"/>
      <c r="C1540" s="35">
        <f t="shared" si="29"/>
        <v>31</v>
      </c>
      <c r="D1540" s="35" t="str" cm="1">
        <f t="array" ref="D1540">IFERROR(ROUNDUP(_xlfn.IFS(F1540="Aluminum Track", _xlfn.XLOOKUP(C1540, dd_accsrycalc!$A$2:$A$51, dd_accsrycalc!$B$2:$B$51, "",0), F1540="10 x 2 1/2 S (Flat)", _xlfn.XLOOKUP(C1540, dd_accsrycalc!$A$2:$A$51, dd_accsrycalc!$C$2:$C$51, "",0), F1540="Tox6", _xlfn.XLOOKUP(C1540, dd_accsrycalc!$A$2:$A$51, dd_accsrycalc!$D$2:$D$51, "",0), F1540="Cover Cap", _xlfn.XLOOKUP(C1540, dd_accsrycalc!$A$2:$A$51, dd_accsrycalc!$E$2:$E$51, "",0), F1540="Drainage Cover", _xlfn.XLOOKUP(C1540, dd_accsrycalc!$A$2:$A$51, dd_accsrycalc!$F$2:$F$51, "",0),AND( F1540="Double Adhesive Tape", I1540="Roll-up Screen"), _xlfn.XLOOKUP(C1540, calc_rusacc!$C$15:$C$65, calc_rusacc!$AD$15:$AD$65, "",0),AND( F1540="Sealant", I1540="Roll-up Screen"), _xlfn.XLOOKUP(C1540, calc_rusacc!$C$15:$C$65, calc_rusacc!$AF$15:$AF$65, "",0),  AND( F1540="Main Chain", I1540="Accordion Screen"), _xlfn.XLOOKUP(C1540, calc_rusacc!$C$15:$C$65, calc_rusacc!$BF$15:$BF$65, "",0), AND( F1540="Sealant", I1540="Accordion Screen"), _xlfn.XLOOKUP(C1540, calc_rusacc!$C$15:$C$65, calc_rusacc!$BJ$15:$BJ$65, "",0),  F1540="Sealant", _xlfn.XLOOKUP(C1540, dd_accsrycalc!$A$2:$A$51, dd_accsrycalc!$G$2:$G$51, "",0),  F1540&lt;&gt;"",L1540*_xlfn.XLOOKUP(1, (SKUs!$C$2:$C$10001=G1540)*(SKUs!$K$2:$K$10001=I1540),SKUs!$E$2:$E$10001)), 0),"")</f>
        <v/>
      </c>
      <c r="E1540" s="35" t="str">
        <f>_xlfn.XLOOKUP(F1540,dd_item!$B$2:$B$105,dd_item!$C$2:$C$105,"",0)</f>
        <v/>
      </c>
      <c r="F1540" s="35"/>
      <c r="G1540" s="35" cm="1">
        <f t="array" ref="G1540">IFERROR(_xlfn.XLOOKUP(1, (SKUs!$J$2:$J$10001=accsry_unmerged!F1540)*IF(H1540&lt;&gt;"",(SKUs!$L$2:$L$10001=accsry_unmerged!H1540),1)*(SKUs!$K$2:$K$10001=I1540),SKUs!$C$2:$C$10001),"")</f>
        <v>0</v>
      </c>
      <c r="H1540" s="36" cm="1">
        <f t="array" ref="H1540">IFERROR(_xlfn.XLOOKUP(1, (dd_accsryclr!$C$2:$C$1000=accsry_unmerged!F1540)*(dd_accsryclr!$B$2:$B$1000=accsry_unmerged!J1540),dd_accsryclr!$A$2:$A$1000),"")</f>
        <v>0</v>
      </c>
      <c r="I1540" s="35">
        <f>_xlfn.XLOOKUP(C1540,'Project Details'!$C$17:$C$66,'Project Details'!$E$17:$E$66,"",0)</f>
        <v>0</v>
      </c>
      <c r="J1540" s="35">
        <f>_xlfn.XLOOKUP(C1540,'Project Details'!$C$17:$C$66,'Project Details'!$H$17:$H$66,"",0)</f>
        <v>0</v>
      </c>
      <c r="K1540" s="36" t="str">
        <f>IF(AND(_xlfn.XLOOKUP(C1540,'Project Details'!$C$17:$C$66,'Project Details'!$L$17:$L$66,"",0)&gt;550, F1540="Spring-L27cm"),"",SUBSTITUTE(_xlfn.XLOOKUP(G1540,SKUs!$C$2:$C$10001,SKUs!$F$2:$F$10001,"",0), " Accessories",""))</f>
        <v/>
      </c>
      <c r="L1540" s="36">
        <f>_xlfn.XLOOKUP(C1540,'Project Details'!$C$17:$C$66,'Project Details'!$D$17:$D$66,"",0)</f>
        <v>0</v>
      </c>
      <c r="M1540" s="43"/>
    </row>
    <row r="1541" spans="1:13" ht="13.5" customHeight="1" x14ac:dyDescent="0.25">
      <c r="A1541" s="43"/>
      <c r="B1541" s="43"/>
      <c r="C1541" s="16">
        <f t="shared" si="29"/>
        <v>31</v>
      </c>
      <c r="D1541" s="16" t="str" cm="1">
        <f t="array" ref="D1541">IFERROR(ROUNDUP(_xlfn.IFS(F1541="Aluminum Track", _xlfn.XLOOKUP(C1541, dd_accsrycalc!$A$2:$A$51, dd_accsrycalc!$B$2:$B$51, "",0), F1541="10 x 2 1/2 S (Flat)", _xlfn.XLOOKUP(C1541, dd_accsrycalc!$A$2:$A$51, dd_accsrycalc!$C$2:$C$51, "",0), F1541="Tox6", _xlfn.XLOOKUP(C1541, dd_accsrycalc!$A$2:$A$51, dd_accsrycalc!$D$2:$D$51, "",0), F1541="Cover Cap", _xlfn.XLOOKUP(C1541, dd_accsrycalc!$A$2:$A$51, dd_accsrycalc!$E$2:$E$51, "",0), F1541="Drainage Cover", _xlfn.XLOOKUP(C1541, dd_accsrycalc!$A$2:$A$51, dd_accsrycalc!$F$2:$F$51, "",0),AND( F1541="Double Adhesive Tape", I1541="Roll-up Screen"), _xlfn.XLOOKUP(C1541, calc_rusacc!$C$15:$C$65, calc_rusacc!$AD$15:$AD$65, "",0),AND( F1541="Sealant", I1541="Roll-up Screen"), _xlfn.XLOOKUP(C1541, calc_rusacc!$C$15:$C$65, calc_rusacc!$AF$15:$AF$65, "",0),  AND( F1541="Main Chain", I1541="Accordion Screen"), _xlfn.XLOOKUP(C1541, calc_rusacc!$C$15:$C$65, calc_rusacc!$BF$15:$BF$65, "",0), AND( F1541="Sealant", I1541="Accordion Screen"), _xlfn.XLOOKUP(C1541, calc_rusacc!$C$15:$C$65, calc_rusacc!$BJ$15:$BJ$65, "",0),  F1541="Sealant", _xlfn.XLOOKUP(C1541, dd_accsrycalc!$A$2:$A$51, dd_accsrycalc!$G$2:$G$51, "",0),  F1541&lt;&gt;"",L1541*_xlfn.XLOOKUP(1, (SKUs!$C$2:$C$10001=G1541)*(SKUs!$K$2:$K$10001=I1541),SKUs!$E$2:$E$10001)), 0),"")</f>
        <v/>
      </c>
      <c r="E1541" s="16" t="str">
        <f>_xlfn.XLOOKUP(F1541,dd_item!$B$2:$B$105,dd_item!$C$2:$C$105,"",0)</f>
        <v/>
      </c>
      <c r="F1541" s="16"/>
      <c r="G1541" s="16" cm="1">
        <f t="array" ref="G1541">IFERROR(_xlfn.XLOOKUP(1, (SKUs!$J$2:$J$10001=accsry_unmerged!F1541)*IF(H1541&lt;&gt;"",(SKUs!$L$2:$L$10001=accsry_unmerged!H1541),1)*(SKUs!$K$2:$K$10001=I1541),SKUs!$C$2:$C$10001),"")</f>
        <v>0</v>
      </c>
      <c r="H1541" s="33" cm="1">
        <f t="array" ref="H1541">IFERROR(_xlfn.XLOOKUP(1, (dd_accsryclr!$C$2:$C$1000=accsry_unmerged!F1541)*(dd_accsryclr!$B$2:$B$1000=accsry_unmerged!J1541),dd_accsryclr!$A$2:$A$1000),"")</f>
        <v>0</v>
      </c>
      <c r="I1541" s="16">
        <f>_xlfn.XLOOKUP(C1541,'Project Details'!$C$17:$C$66,'Project Details'!$E$17:$E$66,"",0)</f>
        <v>0</v>
      </c>
      <c r="J1541" s="16">
        <f>_xlfn.XLOOKUP(C1541,'Project Details'!$C$17:$C$66,'Project Details'!$H$17:$H$66,"",0)</f>
        <v>0</v>
      </c>
      <c r="K1541" s="33" t="str">
        <f>IF(AND(_xlfn.XLOOKUP(C1541,'Project Details'!$C$17:$C$66,'Project Details'!$L$17:$L$66,"",0)&gt;550, F1541="Spring-L27cm"),"",SUBSTITUTE(_xlfn.XLOOKUP(G1541,SKUs!$C$2:$C$10001,SKUs!$F$2:$F$10001,"",0), " Accessories",""))</f>
        <v/>
      </c>
      <c r="L1541" s="33">
        <f>_xlfn.XLOOKUP(C1541,'Project Details'!$C$17:$C$66,'Project Details'!$D$17:$D$66,"",0)</f>
        <v>0</v>
      </c>
      <c r="M1541" s="43"/>
    </row>
    <row r="1542" spans="1:13" ht="13.5" customHeight="1" x14ac:dyDescent="0.25">
      <c r="A1542" s="43"/>
      <c r="B1542" s="43"/>
      <c r="C1542" s="35">
        <f t="shared" si="29"/>
        <v>31</v>
      </c>
      <c r="D1542" s="35" t="str" cm="1">
        <f t="array" ref="D1542">IFERROR(ROUNDUP(_xlfn.IFS(F1542="Aluminum Track", _xlfn.XLOOKUP(C1542, dd_accsrycalc!$A$2:$A$51, dd_accsrycalc!$B$2:$B$51, "",0), F1542="10 x 2 1/2 S (Flat)", _xlfn.XLOOKUP(C1542, dd_accsrycalc!$A$2:$A$51, dd_accsrycalc!$C$2:$C$51, "",0), F1542="Tox6", _xlfn.XLOOKUP(C1542, dd_accsrycalc!$A$2:$A$51, dd_accsrycalc!$D$2:$D$51, "",0), F1542="Cover Cap", _xlfn.XLOOKUP(C1542, dd_accsrycalc!$A$2:$A$51, dd_accsrycalc!$E$2:$E$51, "",0), F1542="Drainage Cover", _xlfn.XLOOKUP(C1542, dd_accsrycalc!$A$2:$A$51, dd_accsrycalc!$F$2:$F$51, "",0),AND( F1542="Double Adhesive Tape", I1542="Roll-up Screen"), _xlfn.XLOOKUP(C1542, calc_rusacc!$C$15:$C$65, calc_rusacc!$AD$15:$AD$65, "",0),AND( F1542="Sealant", I1542="Roll-up Screen"), _xlfn.XLOOKUP(C1542, calc_rusacc!$C$15:$C$65, calc_rusacc!$AF$15:$AF$65, "",0),  AND( F1542="Main Chain", I1542="Accordion Screen"), _xlfn.XLOOKUP(C1542, calc_rusacc!$C$15:$C$65, calc_rusacc!$BF$15:$BF$65, "",0), AND( F1542="Sealant", I1542="Accordion Screen"), _xlfn.XLOOKUP(C1542, calc_rusacc!$C$15:$C$65, calc_rusacc!$BJ$15:$BJ$65, "",0),  F1542="Sealant", _xlfn.XLOOKUP(C1542, dd_accsrycalc!$A$2:$A$51, dd_accsrycalc!$G$2:$G$51, "",0),  F1542&lt;&gt;"",L1542*_xlfn.XLOOKUP(1, (SKUs!$C$2:$C$10001=G1542)*(SKUs!$K$2:$K$10001=I1542),SKUs!$E$2:$E$10001)), 0),"")</f>
        <v/>
      </c>
      <c r="E1542" s="35" t="str">
        <f>_xlfn.XLOOKUP(F1542,dd_item!$B$2:$B$105,dd_item!$C$2:$C$105,"",0)</f>
        <v/>
      </c>
      <c r="F1542" s="35"/>
      <c r="G1542" s="35" cm="1">
        <f t="array" ref="G1542">IFERROR(_xlfn.XLOOKUP(1, (SKUs!$J$2:$J$10001=accsry_unmerged!F1542)*IF(H1542&lt;&gt;"",(SKUs!$L$2:$L$10001=accsry_unmerged!H1542),1)*(SKUs!$K$2:$K$10001=I1542),SKUs!$C$2:$C$10001),"")</f>
        <v>0</v>
      </c>
      <c r="H1542" s="36" cm="1">
        <f t="array" ref="H1542">IFERROR(_xlfn.XLOOKUP(1, (dd_accsryclr!$C$2:$C$1000=accsry_unmerged!F1542)*(dd_accsryclr!$B$2:$B$1000=accsry_unmerged!J1542),dd_accsryclr!$A$2:$A$1000),"")</f>
        <v>0</v>
      </c>
      <c r="I1542" s="35">
        <f>_xlfn.XLOOKUP(C1542,'Project Details'!$C$17:$C$66,'Project Details'!$E$17:$E$66,"",0)</f>
        <v>0</v>
      </c>
      <c r="J1542" s="35">
        <f>_xlfn.XLOOKUP(C1542,'Project Details'!$C$17:$C$66,'Project Details'!$H$17:$H$66,"",0)</f>
        <v>0</v>
      </c>
      <c r="K1542" s="36" t="str">
        <f>IF(AND(_xlfn.XLOOKUP(C1542,'Project Details'!$C$17:$C$66,'Project Details'!$L$17:$L$66,"",0)&gt;550, F1542="Spring-L27cm"),"",SUBSTITUTE(_xlfn.XLOOKUP(G1542,SKUs!$C$2:$C$10001,SKUs!$F$2:$F$10001,"",0), " Accessories",""))</f>
        <v/>
      </c>
      <c r="L1542" s="36">
        <f>_xlfn.XLOOKUP(C1542,'Project Details'!$C$17:$C$66,'Project Details'!$D$17:$D$66,"",0)</f>
        <v>0</v>
      </c>
      <c r="M1542" s="43"/>
    </row>
    <row r="1543" spans="1:13" ht="13.5" customHeight="1" x14ac:dyDescent="0.25">
      <c r="A1543" s="43"/>
      <c r="B1543" s="43"/>
      <c r="C1543" s="16">
        <f t="shared" si="29"/>
        <v>31</v>
      </c>
      <c r="D1543" s="16" t="str" cm="1">
        <f t="array" ref="D1543">IFERROR(ROUNDUP(_xlfn.IFS(F1543="Aluminum Track", _xlfn.XLOOKUP(C1543, dd_accsrycalc!$A$2:$A$51, dd_accsrycalc!$B$2:$B$51, "",0), F1543="10 x 2 1/2 S (Flat)", _xlfn.XLOOKUP(C1543, dd_accsrycalc!$A$2:$A$51, dd_accsrycalc!$C$2:$C$51, "",0), F1543="Tox6", _xlfn.XLOOKUP(C1543, dd_accsrycalc!$A$2:$A$51, dd_accsrycalc!$D$2:$D$51, "",0), F1543="Cover Cap", _xlfn.XLOOKUP(C1543, dd_accsrycalc!$A$2:$A$51, dd_accsrycalc!$E$2:$E$51, "",0), F1543="Drainage Cover", _xlfn.XLOOKUP(C1543, dd_accsrycalc!$A$2:$A$51, dd_accsrycalc!$F$2:$F$51, "",0),AND( F1543="Double Adhesive Tape", I1543="Roll-up Screen"), _xlfn.XLOOKUP(C1543, calc_rusacc!$C$15:$C$65, calc_rusacc!$AD$15:$AD$65, "",0),AND( F1543="Sealant", I1543="Roll-up Screen"), _xlfn.XLOOKUP(C1543, calc_rusacc!$C$15:$C$65, calc_rusacc!$AF$15:$AF$65, "",0),  AND( F1543="Main Chain", I1543="Accordion Screen"), _xlfn.XLOOKUP(C1543, calc_rusacc!$C$15:$C$65, calc_rusacc!$BF$15:$BF$65, "",0), AND( F1543="Sealant", I1543="Accordion Screen"), _xlfn.XLOOKUP(C1543, calc_rusacc!$C$15:$C$65, calc_rusacc!$BJ$15:$BJ$65, "",0),  F1543="Sealant", _xlfn.XLOOKUP(C1543, dd_accsrycalc!$A$2:$A$51, dd_accsrycalc!$G$2:$G$51, "",0),  F1543&lt;&gt;"",L1543*_xlfn.XLOOKUP(1, (SKUs!$C$2:$C$10001=G1543)*(SKUs!$K$2:$K$10001=I1543),SKUs!$E$2:$E$10001)), 0),"")</f>
        <v/>
      </c>
      <c r="E1543" s="16" t="str">
        <f>_xlfn.XLOOKUP(F1543,dd_item!$B$2:$B$105,dd_item!$C$2:$C$105,"",0)</f>
        <v/>
      </c>
      <c r="F1543" s="16"/>
      <c r="G1543" s="16" cm="1">
        <f t="array" ref="G1543">IFERROR(_xlfn.XLOOKUP(1, (SKUs!$J$2:$J$10001=accsry_unmerged!F1543)*IF(H1543&lt;&gt;"",(SKUs!$L$2:$L$10001=accsry_unmerged!H1543),1)*(SKUs!$K$2:$K$10001=I1543),SKUs!$C$2:$C$10001),"")</f>
        <v>0</v>
      </c>
      <c r="H1543" s="33" cm="1">
        <f t="array" ref="H1543">IFERROR(_xlfn.XLOOKUP(1, (dd_accsryclr!$C$2:$C$1000=accsry_unmerged!F1543)*(dd_accsryclr!$B$2:$B$1000=accsry_unmerged!J1543),dd_accsryclr!$A$2:$A$1000),"")</f>
        <v>0</v>
      </c>
      <c r="I1543" s="16">
        <f>_xlfn.XLOOKUP(C1543,'Project Details'!$C$17:$C$66,'Project Details'!$E$17:$E$66,"",0)</f>
        <v>0</v>
      </c>
      <c r="J1543" s="16">
        <f>_xlfn.XLOOKUP(C1543,'Project Details'!$C$17:$C$66,'Project Details'!$H$17:$H$66,"",0)</f>
        <v>0</v>
      </c>
      <c r="K1543" s="33" t="str">
        <f>IF(AND(_xlfn.XLOOKUP(C1543,'Project Details'!$C$17:$C$66,'Project Details'!$L$17:$L$66,"",0)&gt;550, F1543="Spring-L27cm"),"",SUBSTITUTE(_xlfn.XLOOKUP(G1543,SKUs!$C$2:$C$10001,SKUs!$F$2:$F$10001,"",0), " Accessories",""))</f>
        <v/>
      </c>
      <c r="L1543" s="33">
        <f>_xlfn.XLOOKUP(C1543,'Project Details'!$C$17:$C$66,'Project Details'!$D$17:$D$66,"",0)</f>
        <v>0</v>
      </c>
      <c r="M1543" s="43"/>
    </row>
    <row r="1544" spans="1:13" ht="13.5" customHeight="1" x14ac:dyDescent="0.25">
      <c r="A1544" s="43"/>
      <c r="B1544" s="43"/>
      <c r="C1544" s="35">
        <f t="shared" si="29"/>
        <v>31</v>
      </c>
      <c r="D1544" s="35" t="str" cm="1">
        <f t="array" ref="D1544">IFERROR(ROUNDUP(_xlfn.IFS(F1544="Aluminum Track", _xlfn.XLOOKUP(C1544, dd_accsrycalc!$A$2:$A$51, dd_accsrycalc!$B$2:$B$51, "",0), F1544="10 x 2 1/2 S (Flat)", _xlfn.XLOOKUP(C1544, dd_accsrycalc!$A$2:$A$51, dd_accsrycalc!$C$2:$C$51, "",0), F1544="Tox6", _xlfn.XLOOKUP(C1544, dd_accsrycalc!$A$2:$A$51, dd_accsrycalc!$D$2:$D$51, "",0), F1544="Cover Cap", _xlfn.XLOOKUP(C1544, dd_accsrycalc!$A$2:$A$51, dd_accsrycalc!$E$2:$E$51, "",0), F1544="Drainage Cover", _xlfn.XLOOKUP(C1544, dd_accsrycalc!$A$2:$A$51, dd_accsrycalc!$F$2:$F$51, "",0),AND( F1544="Double Adhesive Tape", I1544="Roll-up Screen"), _xlfn.XLOOKUP(C1544, calc_rusacc!$C$15:$C$65, calc_rusacc!$AD$15:$AD$65, "",0),AND( F1544="Sealant", I1544="Roll-up Screen"), _xlfn.XLOOKUP(C1544, calc_rusacc!$C$15:$C$65, calc_rusacc!$AF$15:$AF$65, "",0),  AND( F1544="Main Chain", I1544="Accordion Screen"), _xlfn.XLOOKUP(C1544, calc_rusacc!$C$15:$C$65, calc_rusacc!$BF$15:$BF$65, "",0), AND( F1544="Sealant", I1544="Accordion Screen"), _xlfn.XLOOKUP(C1544, calc_rusacc!$C$15:$C$65, calc_rusacc!$BJ$15:$BJ$65, "",0),  F1544="Sealant", _xlfn.XLOOKUP(C1544, dd_accsrycalc!$A$2:$A$51, dd_accsrycalc!$G$2:$G$51, "",0),  F1544&lt;&gt;"",L1544*_xlfn.XLOOKUP(1, (SKUs!$C$2:$C$10001=G1544)*(SKUs!$K$2:$K$10001=I1544),SKUs!$E$2:$E$10001)), 0),"")</f>
        <v/>
      </c>
      <c r="E1544" s="35" t="str">
        <f>_xlfn.XLOOKUP(F1544,dd_item!$B$2:$B$105,dd_item!$C$2:$C$105,"",0)</f>
        <v/>
      </c>
      <c r="F1544" s="35"/>
      <c r="G1544" s="35" cm="1">
        <f t="array" ref="G1544">IFERROR(_xlfn.XLOOKUP(1, (SKUs!$J$2:$J$10001=accsry_unmerged!F1544)*IF(H1544&lt;&gt;"",(SKUs!$L$2:$L$10001=accsry_unmerged!H1544),1)*(SKUs!$K$2:$K$10001=I1544),SKUs!$C$2:$C$10001),"")</f>
        <v>0</v>
      </c>
      <c r="H1544" s="36" cm="1">
        <f t="array" ref="H1544">IFERROR(_xlfn.XLOOKUP(1, (dd_accsryclr!$C$2:$C$1000=accsry_unmerged!F1544)*(dd_accsryclr!$B$2:$B$1000=accsry_unmerged!J1544),dd_accsryclr!$A$2:$A$1000),"")</f>
        <v>0</v>
      </c>
      <c r="I1544" s="35">
        <f>_xlfn.XLOOKUP(C1544,'Project Details'!$C$17:$C$66,'Project Details'!$E$17:$E$66,"",0)</f>
        <v>0</v>
      </c>
      <c r="J1544" s="35">
        <f>_xlfn.XLOOKUP(C1544,'Project Details'!$C$17:$C$66,'Project Details'!$H$17:$H$66,"",0)</f>
        <v>0</v>
      </c>
      <c r="K1544" s="36" t="str">
        <f>IF(AND(_xlfn.XLOOKUP(C1544,'Project Details'!$C$17:$C$66,'Project Details'!$L$17:$L$66,"",0)&gt;550, F1544="Spring-L27cm"),"",SUBSTITUTE(_xlfn.XLOOKUP(G1544,SKUs!$C$2:$C$10001,SKUs!$F$2:$F$10001,"",0), " Accessories",""))</f>
        <v/>
      </c>
      <c r="L1544" s="36">
        <f>_xlfn.XLOOKUP(C1544,'Project Details'!$C$17:$C$66,'Project Details'!$D$17:$D$66,"",0)</f>
        <v>0</v>
      </c>
      <c r="M1544" s="43"/>
    </row>
    <row r="1545" spans="1:13" ht="13.5" customHeight="1" outlineLevel="1" x14ac:dyDescent="0.25">
      <c r="A1545" s="43"/>
      <c r="B1545" s="43"/>
      <c r="C1545" s="16">
        <f t="shared" si="29"/>
        <v>31</v>
      </c>
      <c r="D1545" s="16" t="str" cm="1">
        <f t="array" ref="D1545">IFERROR(ROUNDUP(_xlfn.IFS(F1545="Aluminum Track", _xlfn.XLOOKUP(C1545, dd_accsrycalc!$A$2:$A$51, dd_accsrycalc!$B$2:$B$51, "",0), F1545="10 x 2 1/2 S (Flat)", _xlfn.XLOOKUP(C1545, dd_accsrycalc!$A$2:$A$51, dd_accsrycalc!$C$2:$C$51, "",0), F1545="Tox6", _xlfn.XLOOKUP(C1545, dd_accsrycalc!$A$2:$A$51, dd_accsrycalc!$D$2:$D$51, "",0), F1545="Cover Cap", _xlfn.XLOOKUP(C1545, dd_accsrycalc!$A$2:$A$51, dd_accsrycalc!$E$2:$E$51, "",0), F1545="Drainage Cover", _xlfn.XLOOKUP(C1545, dd_accsrycalc!$A$2:$A$51, dd_accsrycalc!$F$2:$F$51, "",0),AND( F1545="Double Adhesive Tape", I1545="Roll-up Screen"), _xlfn.XLOOKUP(C1545, calc_rusacc!$C$15:$C$65, calc_rusacc!$AD$15:$AD$65, "",0),AND( F1545="Sealant", I1545="Roll-up Screen"), _xlfn.XLOOKUP(C1545, calc_rusacc!$C$15:$C$65, calc_rusacc!$AF$15:$AF$65, "",0),  AND( F1545="Main Chain", I1545="Accordion Screen"), _xlfn.XLOOKUP(C1545, calc_rusacc!$C$15:$C$65, calc_rusacc!$BF$15:$BF$65, "",0), AND( F1545="Sealant", I1545="Accordion Screen"), _xlfn.XLOOKUP(C1545, calc_rusacc!$C$15:$C$65, calc_rusacc!$BJ$15:$BJ$65, "",0),  F1545="Sealant", _xlfn.XLOOKUP(C1545, dd_accsrycalc!$A$2:$A$51, dd_accsrycalc!$G$2:$G$51, "",0),  F1545&lt;&gt;"",L1545*_xlfn.XLOOKUP(1, (SKUs!$C$2:$C$10001=G1545)*(SKUs!$K$2:$K$10001=I1545),SKUs!$E$2:$E$10001)), 0),"")</f>
        <v/>
      </c>
      <c r="E1545" s="16" t="str">
        <f>_xlfn.XLOOKUP(F1545,dd_item!$B$2:$B$105,dd_item!$C$2:$C$105,"",0)</f>
        <v/>
      </c>
      <c r="F1545" s="16"/>
      <c r="G1545" s="16" cm="1">
        <f t="array" ref="G1545">IFERROR(_xlfn.XLOOKUP(1, (SKUs!$J$2:$J$10001=accsry_unmerged!F1545)*IF(H1545&lt;&gt;"",(SKUs!$L$2:$L$10001=accsry_unmerged!H1545),1)*(SKUs!$K$2:$K$10001=I1545),SKUs!$C$2:$C$10001),"")</f>
        <v>0</v>
      </c>
      <c r="H1545" s="33" cm="1">
        <f t="array" ref="H1545">IFERROR(_xlfn.XLOOKUP(1, (dd_accsryclr!$C$2:$C$1000=accsry_unmerged!F1545)*(dd_accsryclr!$B$2:$B$1000=accsry_unmerged!J1545),dd_accsryclr!$A$2:$A$1000),"")</f>
        <v>0</v>
      </c>
      <c r="I1545" s="16">
        <f>_xlfn.XLOOKUP(C1545,'Project Details'!$C$17:$C$66,'Project Details'!$E$17:$E$66,"",0)</f>
        <v>0</v>
      </c>
      <c r="J1545" s="16">
        <f>_xlfn.XLOOKUP(C1545,'Project Details'!$C$17:$C$66,'Project Details'!$H$17:$H$66,"",0)</f>
        <v>0</v>
      </c>
      <c r="K1545" s="33" t="str">
        <f>IF(AND(_xlfn.XLOOKUP(C1545,'Project Details'!$C$17:$C$66,'Project Details'!$L$17:$L$66,"",0)&gt;550, F1545="Spring-L27cm"),"",SUBSTITUTE(_xlfn.XLOOKUP(G1545,SKUs!$C$2:$C$10001,SKUs!$F$2:$F$10001,"",0), " Accessories",""))</f>
        <v/>
      </c>
      <c r="L1545" s="33">
        <f>_xlfn.XLOOKUP(C1545,'Project Details'!$C$17:$C$66,'Project Details'!$D$17:$D$66,"",0)</f>
        <v>0</v>
      </c>
      <c r="M1545" s="43"/>
    </row>
    <row r="1546" spans="1:13" ht="13.5" customHeight="1" outlineLevel="1" x14ac:dyDescent="0.25">
      <c r="A1546" s="43"/>
      <c r="B1546" s="43"/>
      <c r="C1546" s="35">
        <f t="shared" si="29"/>
        <v>31</v>
      </c>
      <c r="D1546" s="35" t="str" cm="1">
        <f t="array" ref="D1546">IFERROR(ROUNDUP(_xlfn.IFS(F1546="Aluminum Track", _xlfn.XLOOKUP(C1546, dd_accsrycalc!$A$2:$A$51, dd_accsrycalc!$B$2:$B$51, "",0), F1546="10 x 2 1/2 S (Flat)", _xlfn.XLOOKUP(C1546, dd_accsrycalc!$A$2:$A$51, dd_accsrycalc!$C$2:$C$51, "",0), F1546="Tox6", _xlfn.XLOOKUP(C1546, dd_accsrycalc!$A$2:$A$51, dd_accsrycalc!$D$2:$D$51, "",0), F1546="Cover Cap", _xlfn.XLOOKUP(C1546, dd_accsrycalc!$A$2:$A$51, dd_accsrycalc!$E$2:$E$51, "",0), F1546="Drainage Cover", _xlfn.XLOOKUP(C1546, dd_accsrycalc!$A$2:$A$51, dd_accsrycalc!$F$2:$F$51, "",0),AND( F1546="Double Adhesive Tape", I1546="Roll-up Screen"), _xlfn.XLOOKUP(C1546, calc_rusacc!$C$15:$C$65, calc_rusacc!$AD$15:$AD$65, "",0),AND( F1546="Sealant", I1546="Roll-up Screen"), _xlfn.XLOOKUP(C1546, calc_rusacc!$C$15:$C$65, calc_rusacc!$AF$15:$AF$65, "",0),  AND( F1546="Main Chain", I1546="Accordion Screen"), _xlfn.XLOOKUP(C1546, calc_rusacc!$C$15:$C$65, calc_rusacc!$BF$15:$BF$65, "",0), AND( F1546="Sealant", I1546="Accordion Screen"), _xlfn.XLOOKUP(C1546, calc_rusacc!$C$15:$C$65, calc_rusacc!$BJ$15:$BJ$65, "",0),  F1546="Sealant", _xlfn.XLOOKUP(C1546, dd_accsrycalc!$A$2:$A$51, dd_accsrycalc!$G$2:$G$51, "",0),  F1546&lt;&gt;"",L1546*_xlfn.XLOOKUP(1, (SKUs!$C$2:$C$10001=G1546)*(SKUs!$K$2:$K$10001=I1546),SKUs!$E$2:$E$10001)), 0),"")</f>
        <v/>
      </c>
      <c r="E1546" s="35" t="str">
        <f>_xlfn.XLOOKUP(F1546,dd_item!$B$2:$B$105,dd_item!$C$2:$C$105,"",0)</f>
        <v/>
      </c>
      <c r="F1546" s="35"/>
      <c r="G1546" s="35" cm="1">
        <f t="array" ref="G1546">IFERROR(_xlfn.XLOOKUP(1, (SKUs!$J$2:$J$10001=accsry_unmerged!F1546)*IF(H1546&lt;&gt;"",(SKUs!$L$2:$L$10001=accsry_unmerged!H1546),1)*(SKUs!$K$2:$K$10001=I1546),SKUs!$C$2:$C$10001),"")</f>
        <v>0</v>
      </c>
      <c r="H1546" s="36" cm="1">
        <f t="array" ref="H1546">IFERROR(_xlfn.XLOOKUP(1, (dd_accsryclr!$C$2:$C$1000=accsry_unmerged!F1546)*(dd_accsryclr!$B$2:$B$1000=accsry_unmerged!J1546),dd_accsryclr!$A$2:$A$1000),"")</f>
        <v>0</v>
      </c>
      <c r="I1546" s="35">
        <f>_xlfn.XLOOKUP(C1546,'Project Details'!$C$17:$C$66,'Project Details'!$E$17:$E$66,"",0)</f>
        <v>0</v>
      </c>
      <c r="J1546" s="35">
        <f>_xlfn.XLOOKUP(C1546,'Project Details'!$C$17:$C$66,'Project Details'!$H$17:$H$66,"",0)</f>
        <v>0</v>
      </c>
      <c r="K1546" s="36" t="str">
        <f>IF(AND(_xlfn.XLOOKUP(C1546,'Project Details'!$C$17:$C$66,'Project Details'!$L$17:$L$66,"",0)&gt;550, F1546="Spring-L27cm"),"",SUBSTITUTE(_xlfn.XLOOKUP(G1546,SKUs!$C$2:$C$10001,SKUs!$F$2:$F$10001,"",0), " Accessories",""))</f>
        <v/>
      </c>
      <c r="L1546" s="36">
        <f>_xlfn.XLOOKUP(C1546,'Project Details'!$C$17:$C$66,'Project Details'!$D$17:$D$66,"",0)</f>
        <v>0</v>
      </c>
      <c r="M1546" s="43"/>
    </row>
    <row r="1547" spans="1:13" ht="13.5" customHeight="1" outlineLevel="1" x14ac:dyDescent="0.25">
      <c r="A1547" s="43"/>
      <c r="B1547" s="43"/>
      <c r="C1547" s="16">
        <f t="shared" si="29"/>
        <v>31</v>
      </c>
      <c r="D1547" s="16" t="str" cm="1">
        <f t="array" ref="D1547">IFERROR(ROUNDUP(_xlfn.IFS(F1547="Aluminum Track", _xlfn.XLOOKUP(C1547, dd_accsrycalc!$A$2:$A$51, dd_accsrycalc!$B$2:$B$51, "",0), F1547="10 x 2 1/2 S (Flat)", _xlfn.XLOOKUP(C1547, dd_accsrycalc!$A$2:$A$51, dd_accsrycalc!$C$2:$C$51, "",0), F1547="Tox6", _xlfn.XLOOKUP(C1547, dd_accsrycalc!$A$2:$A$51, dd_accsrycalc!$D$2:$D$51, "",0), F1547="Cover Cap", _xlfn.XLOOKUP(C1547, dd_accsrycalc!$A$2:$A$51, dd_accsrycalc!$E$2:$E$51, "",0), F1547="Drainage Cover", _xlfn.XLOOKUP(C1547, dd_accsrycalc!$A$2:$A$51, dd_accsrycalc!$F$2:$F$51, "",0),AND( F1547="Double Adhesive Tape", I1547="Roll-up Screen"), _xlfn.XLOOKUP(C1547, calc_rusacc!$C$15:$C$65, calc_rusacc!$AD$15:$AD$65, "",0),AND( F1547="Sealant", I1547="Roll-up Screen"), _xlfn.XLOOKUP(C1547, calc_rusacc!$C$15:$C$65, calc_rusacc!$AF$15:$AF$65, "",0),  AND( F1547="Main Chain", I1547="Accordion Screen"), _xlfn.XLOOKUP(C1547, calc_rusacc!$C$15:$C$65, calc_rusacc!$BF$15:$BF$65, "",0), AND( F1547="Sealant", I1547="Accordion Screen"), _xlfn.XLOOKUP(C1547, calc_rusacc!$C$15:$C$65, calc_rusacc!$BJ$15:$BJ$65, "",0),  F1547="Sealant", _xlfn.XLOOKUP(C1547, dd_accsrycalc!$A$2:$A$51, dd_accsrycalc!$G$2:$G$51, "",0),  F1547&lt;&gt;"",L1547*_xlfn.XLOOKUP(1, (SKUs!$C$2:$C$10001=G1547)*(SKUs!$K$2:$K$10001=I1547),SKUs!$E$2:$E$10001)), 0),"")</f>
        <v/>
      </c>
      <c r="E1547" s="16" t="str">
        <f>_xlfn.XLOOKUP(F1547,dd_item!$B$2:$B$105,dd_item!$C$2:$C$105,"",0)</f>
        <v/>
      </c>
      <c r="F1547" s="16"/>
      <c r="G1547" s="16" cm="1">
        <f t="array" ref="G1547">IFERROR(_xlfn.XLOOKUP(1, (SKUs!$J$2:$J$10001=accsry_unmerged!F1547)*IF(H1547&lt;&gt;"",(SKUs!$L$2:$L$10001=accsry_unmerged!H1547),1)*(SKUs!$K$2:$K$10001=I1547),SKUs!$C$2:$C$10001),"")</f>
        <v>0</v>
      </c>
      <c r="H1547" s="33" cm="1">
        <f t="array" ref="H1547">IFERROR(_xlfn.XLOOKUP(1, (dd_accsryclr!$C$2:$C$1000=accsry_unmerged!F1547)*(dd_accsryclr!$B$2:$B$1000=accsry_unmerged!J1547),dd_accsryclr!$A$2:$A$1000),"")</f>
        <v>0</v>
      </c>
      <c r="I1547" s="16">
        <f>_xlfn.XLOOKUP(C1547,'Project Details'!$C$17:$C$66,'Project Details'!$E$17:$E$66,"",0)</f>
        <v>0</v>
      </c>
      <c r="J1547" s="16">
        <f>_xlfn.XLOOKUP(C1547,'Project Details'!$C$17:$C$66,'Project Details'!$H$17:$H$66,"",0)</f>
        <v>0</v>
      </c>
      <c r="K1547" s="33" t="str">
        <f>IF(AND(_xlfn.XLOOKUP(C1547,'Project Details'!$C$17:$C$66,'Project Details'!$L$17:$L$66,"",0)&gt;550, F1547="Spring-L27cm"),"",SUBSTITUTE(_xlfn.XLOOKUP(G1547,SKUs!$C$2:$C$10001,SKUs!$F$2:$F$10001,"",0), " Accessories",""))</f>
        <v/>
      </c>
      <c r="L1547" s="33">
        <f>_xlfn.XLOOKUP(C1547,'Project Details'!$C$17:$C$66,'Project Details'!$D$17:$D$66,"",0)</f>
        <v>0</v>
      </c>
      <c r="M1547" s="43"/>
    </row>
    <row r="1548" spans="1:13" ht="13.5" customHeight="1" outlineLevel="1" x14ac:dyDescent="0.25">
      <c r="A1548" s="43"/>
      <c r="B1548" s="43"/>
      <c r="C1548" s="35">
        <f t="shared" si="29"/>
        <v>31</v>
      </c>
      <c r="D1548" s="35" t="str" cm="1">
        <f t="array" ref="D1548">IFERROR(ROUNDUP(_xlfn.IFS(F1548="Aluminum Track", _xlfn.XLOOKUP(C1548, dd_accsrycalc!$A$2:$A$51, dd_accsrycalc!$B$2:$B$51, "",0), F1548="10 x 2 1/2 S (Flat)", _xlfn.XLOOKUP(C1548, dd_accsrycalc!$A$2:$A$51, dd_accsrycalc!$C$2:$C$51, "",0), F1548="Tox6", _xlfn.XLOOKUP(C1548, dd_accsrycalc!$A$2:$A$51, dd_accsrycalc!$D$2:$D$51, "",0), F1548="Cover Cap", _xlfn.XLOOKUP(C1548, dd_accsrycalc!$A$2:$A$51, dd_accsrycalc!$E$2:$E$51, "",0), F1548="Drainage Cover", _xlfn.XLOOKUP(C1548, dd_accsrycalc!$A$2:$A$51, dd_accsrycalc!$F$2:$F$51, "",0),AND( F1548="Double Adhesive Tape", I1548="Roll-up Screen"), _xlfn.XLOOKUP(C1548, calc_rusacc!$C$15:$C$65, calc_rusacc!$AD$15:$AD$65, "",0),AND( F1548="Sealant", I1548="Roll-up Screen"), _xlfn.XLOOKUP(C1548, calc_rusacc!$C$15:$C$65, calc_rusacc!$AF$15:$AF$65, "",0),  AND( F1548="Main Chain", I1548="Accordion Screen"), _xlfn.XLOOKUP(C1548, calc_rusacc!$C$15:$C$65, calc_rusacc!$BF$15:$BF$65, "",0), AND( F1548="Sealant", I1548="Accordion Screen"), _xlfn.XLOOKUP(C1548, calc_rusacc!$C$15:$C$65, calc_rusacc!$BJ$15:$BJ$65, "",0),  F1548="Sealant", _xlfn.XLOOKUP(C1548, dd_accsrycalc!$A$2:$A$51, dd_accsrycalc!$G$2:$G$51, "",0),  F1548&lt;&gt;"",L1548*_xlfn.XLOOKUP(1, (SKUs!$C$2:$C$10001=G1548)*(SKUs!$K$2:$K$10001=I1548),SKUs!$E$2:$E$10001)), 0),"")</f>
        <v/>
      </c>
      <c r="E1548" s="35" t="str">
        <f>_xlfn.XLOOKUP(F1548,dd_item!$B$2:$B$105,dd_item!$C$2:$C$105,"",0)</f>
        <v/>
      </c>
      <c r="F1548" s="35"/>
      <c r="G1548" s="35" cm="1">
        <f t="array" ref="G1548">IFERROR(_xlfn.XLOOKUP(1, (SKUs!$J$2:$J$10001=accsry_unmerged!F1548)*IF(H1548&lt;&gt;"",(SKUs!$L$2:$L$10001=accsry_unmerged!H1548),1)*(SKUs!$K$2:$K$10001=I1548),SKUs!$C$2:$C$10001),"")</f>
        <v>0</v>
      </c>
      <c r="H1548" s="36" cm="1">
        <f t="array" ref="H1548">IFERROR(_xlfn.XLOOKUP(1, (dd_accsryclr!$C$2:$C$1000=accsry_unmerged!F1548)*(dd_accsryclr!$B$2:$B$1000=accsry_unmerged!J1548),dd_accsryclr!$A$2:$A$1000),"")</f>
        <v>0</v>
      </c>
      <c r="I1548" s="35">
        <f>_xlfn.XLOOKUP(C1548,'Project Details'!$C$17:$C$66,'Project Details'!$E$17:$E$66,"",0)</f>
        <v>0</v>
      </c>
      <c r="J1548" s="35">
        <f>_xlfn.XLOOKUP(C1548,'Project Details'!$C$17:$C$66,'Project Details'!$H$17:$H$66,"",0)</f>
        <v>0</v>
      </c>
      <c r="K1548" s="36" t="str">
        <f>IF(AND(_xlfn.XLOOKUP(C1548,'Project Details'!$C$17:$C$66,'Project Details'!$L$17:$L$66,"",0)&gt;550, F1548="Spring-L27cm"),"",SUBSTITUTE(_xlfn.XLOOKUP(G1548,SKUs!$C$2:$C$10001,SKUs!$F$2:$F$10001,"",0), " Accessories",""))</f>
        <v/>
      </c>
      <c r="L1548" s="36">
        <f>_xlfn.XLOOKUP(C1548,'Project Details'!$C$17:$C$66,'Project Details'!$D$17:$D$66,"",0)</f>
        <v>0</v>
      </c>
      <c r="M1548" s="43"/>
    </row>
    <row r="1549" spans="1:13" ht="13.5" customHeight="1" outlineLevel="1" x14ac:dyDescent="0.25">
      <c r="A1549" s="43"/>
      <c r="B1549" s="43"/>
      <c r="C1549" s="16">
        <f t="shared" si="29"/>
        <v>31</v>
      </c>
      <c r="D1549" s="16" t="str" cm="1">
        <f t="array" ref="D1549">IFERROR(ROUNDUP(_xlfn.IFS(F1549="Aluminum Track", _xlfn.XLOOKUP(C1549, dd_accsrycalc!$A$2:$A$51, dd_accsrycalc!$B$2:$B$51, "",0), F1549="10 x 2 1/2 S (Flat)", _xlfn.XLOOKUP(C1549, dd_accsrycalc!$A$2:$A$51, dd_accsrycalc!$C$2:$C$51, "",0), F1549="Tox6", _xlfn.XLOOKUP(C1549, dd_accsrycalc!$A$2:$A$51, dd_accsrycalc!$D$2:$D$51, "",0), F1549="Cover Cap", _xlfn.XLOOKUP(C1549, dd_accsrycalc!$A$2:$A$51, dd_accsrycalc!$E$2:$E$51, "",0), F1549="Drainage Cover", _xlfn.XLOOKUP(C1549, dd_accsrycalc!$A$2:$A$51, dd_accsrycalc!$F$2:$F$51, "",0),AND( F1549="Double Adhesive Tape", I1549="Roll-up Screen"), _xlfn.XLOOKUP(C1549, calc_rusacc!$C$15:$C$65, calc_rusacc!$AD$15:$AD$65, "",0),AND( F1549="Sealant", I1549="Roll-up Screen"), _xlfn.XLOOKUP(C1549, calc_rusacc!$C$15:$C$65, calc_rusacc!$AF$15:$AF$65, "",0),  AND( F1549="Main Chain", I1549="Accordion Screen"), _xlfn.XLOOKUP(C1549, calc_rusacc!$C$15:$C$65, calc_rusacc!$BF$15:$BF$65, "",0), AND( F1549="Sealant", I1549="Accordion Screen"), _xlfn.XLOOKUP(C1549, calc_rusacc!$C$15:$C$65, calc_rusacc!$BJ$15:$BJ$65, "",0),  F1549="Sealant", _xlfn.XLOOKUP(C1549, dd_accsrycalc!$A$2:$A$51, dd_accsrycalc!$G$2:$G$51, "",0),  F1549&lt;&gt;"",L1549*_xlfn.XLOOKUP(1, (SKUs!$C$2:$C$10001=G1549)*(SKUs!$K$2:$K$10001=I1549),SKUs!$E$2:$E$10001)), 0),"")</f>
        <v/>
      </c>
      <c r="E1549" s="16" t="str">
        <f>_xlfn.XLOOKUP(F1549,dd_item!$B$2:$B$105,dd_item!$C$2:$C$105,"",0)</f>
        <v/>
      </c>
      <c r="F1549" s="16"/>
      <c r="G1549" s="16" cm="1">
        <f t="array" ref="G1549">IFERROR(_xlfn.XLOOKUP(1, (SKUs!$J$2:$J$10001=accsry_unmerged!F1549)*IF(H1549&lt;&gt;"",(SKUs!$L$2:$L$10001=accsry_unmerged!H1549),1)*(SKUs!$K$2:$K$10001=I1549),SKUs!$C$2:$C$10001),"")</f>
        <v>0</v>
      </c>
      <c r="H1549" s="33" cm="1">
        <f t="array" ref="H1549">IFERROR(_xlfn.XLOOKUP(1, (dd_accsryclr!$C$2:$C$1000=accsry_unmerged!F1549)*(dd_accsryclr!$B$2:$B$1000=accsry_unmerged!J1549),dd_accsryclr!$A$2:$A$1000),"")</f>
        <v>0</v>
      </c>
      <c r="I1549" s="16">
        <f>_xlfn.XLOOKUP(C1549,'Project Details'!$C$17:$C$66,'Project Details'!$E$17:$E$66,"",0)</f>
        <v>0</v>
      </c>
      <c r="J1549" s="16">
        <f>_xlfn.XLOOKUP(C1549,'Project Details'!$C$17:$C$66,'Project Details'!$H$17:$H$66,"",0)</f>
        <v>0</v>
      </c>
      <c r="K1549" s="33" t="str">
        <f>IF(AND(_xlfn.XLOOKUP(C1549,'Project Details'!$C$17:$C$66,'Project Details'!$L$17:$L$66,"",0)&gt;550, F1549="Spring-L27cm"),"",SUBSTITUTE(_xlfn.XLOOKUP(G1549,SKUs!$C$2:$C$10001,SKUs!$F$2:$F$10001,"",0), " Accessories",""))</f>
        <v/>
      </c>
      <c r="L1549" s="33">
        <f>_xlfn.XLOOKUP(C1549,'Project Details'!$C$17:$C$66,'Project Details'!$D$17:$D$66,"",0)</f>
        <v>0</v>
      </c>
      <c r="M1549" s="43"/>
    </row>
    <row r="1550" spans="1:13" ht="13.5" customHeight="1" outlineLevel="1" x14ac:dyDescent="0.25">
      <c r="A1550" s="43"/>
      <c r="B1550" s="43"/>
      <c r="C1550" s="35">
        <f t="shared" si="29"/>
        <v>31</v>
      </c>
      <c r="D1550" s="35" t="str" cm="1">
        <f t="array" ref="D1550">IFERROR(ROUNDUP(_xlfn.IFS(F1550="Aluminum Track", _xlfn.XLOOKUP(C1550, dd_accsrycalc!$A$2:$A$51, dd_accsrycalc!$B$2:$B$51, "",0), F1550="10 x 2 1/2 S (Flat)", _xlfn.XLOOKUP(C1550, dd_accsrycalc!$A$2:$A$51, dd_accsrycalc!$C$2:$C$51, "",0), F1550="Tox6", _xlfn.XLOOKUP(C1550, dd_accsrycalc!$A$2:$A$51, dd_accsrycalc!$D$2:$D$51, "",0), F1550="Cover Cap", _xlfn.XLOOKUP(C1550, dd_accsrycalc!$A$2:$A$51, dd_accsrycalc!$E$2:$E$51, "",0), F1550="Drainage Cover", _xlfn.XLOOKUP(C1550, dd_accsrycalc!$A$2:$A$51, dd_accsrycalc!$F$2:$F$51, "",0),AND( F1550="Double Adhesive Tape", I1550="Roll-up Screen"), _xlfn.XLOOKUP(C1550, calc_rusacc!$C$15:$C$65, calc_rusacc!$AD$15:$AD$65, "",0),AND( F1550="Sealant", I1550="Roll-up Screen"), _xlfn.XLOOKUP(C1550, calc_rusacc!$C$15:$C$65, calc_rusacc!$AF$15:$AF$65, "",0),  AND( F1550="Main Chain", I1550="Accordion Screen"), _xlfn.XLOOKUP(C1550, calc_rusacc!$C$15:$C$65, calc_rusacc!$BF$15:$BF$65, "",0), AND( F1550="Sealant", I1550="Accordion Screen"), _xlfn.XLOOKUP(C1550, calc_rusacc!$C$15:$C$65, calc_rusacc!$BJ$15:$BJ$65, "",0),  F1550="Sealant", _xlfn.XLOOKUP(C1550, dd_accsrycalc!$A$2:$A$51, dd_accsrycalc!$G$2:$G$51, "",0),  F1550&lt;&gt;"",L1550*_xlfn.XLOOKUP(1, (SKUs!$C$2:$C$10001=G1550)*(SKUs!$K$2:$K$10001=I1550),SKUs!$E$2:$E$10001)), 0),"")</f>
        <v/>
      </c>
      <c r="E1550" s="35" t="str">
        <f>_xlfn.XLOOKUP(F1550,dd_item!$B$2:$B$105,dd_item!$C$2:$C$105,"",0)</f>
        <v/>
      </c>
      <c r="F1550" s="35"/>
      <c r="G1550" s="35" cm="1">
        <f t="array" ref="G1550">IFERROR(_xlfn.XLOOKUP(1, (SKUs!$J$2:$J$10001=accsry_unmerged!F1550)*IF(H1550&lt;&gt;"",(SKUs!$L$2:$L$10001=accsry_unmerged!H1550),1)*(SKUs!$K$2:$K$10001=I1550),SKUs!$C$2:$C$10001),"")</f>
        <v>0</v>
      </c>
      <c r="H1550" s="36" cm="1">
        <f t="array" ref="H1550">IFERROR(_xlfn.XLOOKUP(1, (dd_accsryclr!$C$2:$C$1000=accsry_unmerged!F1550)*(dd_accsryclr!$B$2:$B$1000=accsry_unmerged!J1550),dd_accsryclr!$A$2:$A$1000),"")</f>
        <v>0</v>
      </c>
      <c r="I1550" s="35">
        <f>_xlfn.XLOOKUP(C1550,'Project Details'!$C$17:$C$66,'Project Details'!$E$17:$E$66,"",0)</f>
        <v>0</v>
      </c>
      <c r="J1550" s="35">
        <f>_xlfn.XLOOKUP(C1550,'Project Details'!$C$17:$C$66,'Project Details'!$H$17:$H$66,"",0)</f>
        <v>0</v>
      </c>
      <c r="K1550" s="36" t="str">
        <f>IF(AND(_xlfn.XLOOKUP(C1550,'Project Details'!$C$17:$C$66,'Project Details'!$L$17:$L$66,"",0)&gt;550, F1550="Spring-L27cm"),"",SUBSTITUTE(_xlfn.XLOOKUP(G1550,SKUs!$C$2:$C$10001,SKUs!$F$2:$F$10001,"",0), " Accessories",""))</f>
        <v/>
      </c>
      <c r="L1550" s="36">
        <f>_xlfn.XLOOKUP(C1550,'Project Details'!$C$17:$C$66,'Project Details'!$D$17:$D$66,"",0)</f>
        <v>0</v>
      </c>
      <c r="M1550" s="43"/>
    </row>
    <row r="1551" spans="1:13" ht="13.5" customHeight="1" outlineLevel="1" x14ac:dyDescent="0.25">
      <c r="A1551" s="43"/>
      <c r="B1551" s="43"/>
      <c r="C1551" s="16">
        <f t="shared" si="29"/>
        <v>31</v>
      </c>
      <c r="D1551" s="16" t="str" cm="1">
        <f t="array" ref="D1551">IFERROR(ROUNDUP(_xlfn.IFS(F1551="Aluminum Track", _xlfn.XLOOKUP(C1551, dd_accsrycalc!$A$2:$A$51, dd_accsrycalc!$B$2:$B$51, "",0), F1551="10 x 2 1/2 S (Flat)", _xlfn.XLOOKUP(C1551, dd_accsrycalc!$A$2:$A$51, dd_accsrycalc!$C$2:$C$51, "",0), F1551="Tox6", _xlfn.XLOOKUP(C1551, dd_accsrycalc!$A$2:$A$51, dd_accsrycalc!$D$2:$D$51, "",0), F1551="Cover Cap", _xlfn.XLOOKUP(C1551, dd_accsrycalc!$A$2:$A$51, dd_accsrycalc!$E$2:$E$51, "",0), F1551="Drainage Cover", _xlfn.XLOOKUP(C1551, dd_accsrycalc!$A$2:$A$51, dd_accsrycalc!$F$2:$F$51, "",0),AND( F1551="Double Adhesive Tape", I1551="Roll-up Screen"), _xlfn.XLOOKUP(C1551, calc_rusacc!$C$15:$C$65, calc_rusacc!$AD$15:$AD$65, "",0),AND( F1551="Sealant", I1551="Roll-up Screen"), _xlfn.XLOOKUP(C1551, calc_rusacc!$C$15:$C$65, calc_rusacc!$AF$15:$AF$65, "",0),  AND( F1551="Main Chain", I1551="Accordion Screen"), _xlfn.XLOOKUP(C1551, calc_rusacc!$C$15:$C$65, calc_rusacc!$BF$15:$BF$65, "",0), AND( F1551="Sealant", I1551="Accordion Screen"), _xlfn.XLOOKUP(C1551, calc_rusacc!$C$15:$C$65, calc_rusacc!$BJ$15:$BJ$65, "",0),  F1551="Sealant", _xlfn.XLOOKUP(C1551, dd_accsrycalc!$A$2:$A$51, dd_accsrycalc!$G$2:$G$51, "",0),  F1551&lt;&gt;"",L1551*_xlfn.XLOOKUP(1, (SKUs!$C$2:$C$10001=G1551)*(SKUs!$K$2:$K$10001=I1551),SKUs!$E$2:$E$10001)), 0),"")</f>
        <v/>
      </c>
      <c r="E1551" s="16" t="str">
        <f>_xlfn.XLOOKUP(F1551,dd_item!$B$2:$B$105,dd_item!$C$2:$C$105,"",0)</f>
        <v/>
      </c>
      <c r="F1551" s="16"/>
      <c r="G1551" s="16" cm="1">
        <f t="array" ref="G1551">IFERROR(_xlfn.XLOOKUP(1, (SKUs!$J$2:$J$10001=accsry_unmerged!F1551)*IF(H1551&lt;&gt;"",(SKUs!$L$2:$L$10001=accsry_unmerged!H1551),1)*(SKUs!$K$2:$K$10001=I1551),SKUs!$C$2:$C$10001),"")</f>
        <v>0</v>
      </c>
      <c r="H1551" s="33" cm="1">
        <f t="array" ref="H1551">IFERROR(_xlfn.XLOOKUP(1, (dd_accsryclr!$C$2:$C$1000=accsry_unmerged!F1551)*(dd_accsryclr!$B$2:$B$1000=accsry_unmerged!J1551),dd_accsryclr!$A$2:$A$1000),"")</f>
        <v>0</v>
      </c>
      <c r="I1551" s="16">
        <f>_xlfn.XLOOKUP(C1551,'Project Details'!$C$17:$C$66,'Project Details'!$E$17:$E$66,"",0)</f>
        <v>0</v>
      </c>
      <c r="J1551" s="16">
        <f>_xlfn.XLOOKUP(C1551,'Project Details'!$C$17:$C$66,'Project Details'!$H$17:$H$66,"",0)</f>
        <v>0</v>
      </c>
      <c r="K1551" s="33" t="str">
        <f>IF(AND(_xlfn.XLOOKUP(C1551,'Project Details'!$C$17:$C$66,'Project Details'!$L$17:$L$66,"",0)&gt;550, F1551="Spring-L27cm"),"",SUBSTITUTE(_xlfn.XLOOKUP(G1551,SKUs!$C$2:$C$10001,SKUs!$F$2:$F$10001,"",0), " Accessories",""))</f>
        <v/>
      </c>
      <c r="L1551" s="33">
        <f>_xlfn.XLOOKUP(C1551,'Project Details'!$C$17:$C$66,'Project Details'!$D$17:$D$66,"",0)</f>
        <v>0</v>
      </c>
      <c r="M1551" s="43"/>
    </row>
    <row r="1552" spans="1:13" ht="13.5" customHeight="1" outlineLevel="1" x14ac:dyDescent="0.25">
      <c r="A1552" s="43"/>
      <c r="B1552" s="43"/>
      <c r="C1552" s="35">
        <f t="shared" si="29"/>
        <v>31</v>
      </c>
      <c r="D1552" s="35" t="str" cm="1">
        <f t="array" ref="D1552">IFERROR(ROUNDUP(_xlfn.IFS(F1552="Aluminum Track", _xlfn.XLOOKUP(C1552, dd_accsrycalc!$A$2:$A$51, dd_accsrycalc!$B$2:$B$51, "",0), F1552="10 x 2 1/2 S (Flat)", _xlfn.XLOOKUP(C1552, dd_accsrycalc!$A$2:$A$51, dd_accsrycalc!$C$2:$C$51, "",0), F1552="Tox6", _xlfn.XLOOKUP(C1552, dd_accsrycalc!$A$2:$A$51, dd_accsrycalc!$D$2:$D$51, "",0), F1552="Cover Cap", _xlfn.XLOOKUP(C1552, dd_accsrycalc!$A$2:$A$51, dd_accsrycalc!$E$2:$E$51, "",0), F1552="Drainage Cover", _xlfn.XLOOKUP(C1552, dd_accsrycalc!$A$2:$A$51, dd_accsrycalc!$F$2:$F$51, "",0),AND( F1552="Double Adhesive Tape", I1552="Roll-up Screen"), _xlfn.XLOOKUP(C1552, calc_rusacc!$C$15:$C$65, calc_rusacc!$AD$15:$AD$65, "",0),AND( F1552="Sealant", I1552="Roll-up Screen"), _xlfn.XLOOKUP(C1552, calc_rusacc!$C$15:$C$65, calc_rusacc!$AF$15:$AF$65, "",0),  AND( F1552="Main Chain", I1552="Accordion Screen"), _xlfn.XLOOKUP(C1552, calc_rusacc!$C$15:$C$65, calc_rusacc!$BF$15:$BF$65, "",0), AND( F1552="Sealant", I1552="Accordion Screen"), _xlfn.XLOOKUP(C1552, calc_rusacc!$C$15:$C$65, calc_rusacc!$BJ$15:$BJ$65, "",0),  F1552="Sealant", _xlfn.XLOOKUP(C1552, dd_accsrycalc!$A$2:$A$51, dd_accsrycalc!$G$2:$G$51, "",0),  F1552&lt;&gt;"",L1552*_xlfn.XLOOKUP(1, (SKUs!$C$2:$C$10001=G1552)*(SKUs!$K$2:$K$10001=I1552),SKUs!$E$2:$E$10001)), 0),"")</f>
        <v/>
      </c>
      <c r="E1552" s="35" t="str">
        <f>_xlfn.XLOOKUP(F1552,dd_item!$B$2:$B$105,dd_item!$C$2:$C$105,"",0)</f>
        <v/>
      </c>
      <c r="F1552" s="35"/>
      <c r="G1552" s="35" cm="1">
        <f t="array" ref="G1552">IFERROR(_xlfn.XLOOKUP(1, (SKUs!$J$2:$J$10001=accsry_unmerged!F1552)*IF(H1552&lt;&gt;"",(SKUs!$L$2:$L$10001=accsry_unmerged!H1552),1)*(SKUs!$K$2:$K$10001=I1552),SKUs!$C$2:$C$10001),"")</f>
        <v>0</v>
      </c>
      <c r="H1552" s="36" cm="1">
        <f t="array" ref="H1552">IFERROR(_xlfn.XLOOKUP(1, (dd_accsryclr!$C$2:$C$1000=accsry_unmerged!F1552)*(dd_accsryclr!$B$2:$B$1000=accsry_unmerged!J1552),dd_accsryclr!$A$2:$A$1000),"")</f>
        <v>0</v>
      </c>
      <c r="I1552" s="35">
        <f>_xlfn.XLOOKUP(C1552,'Project Details'!$C$17:$C$66,'Project Details'!$E$17:$E$66,"",0)</f>
        <v>0</v>
      </c>
      <c r="J1552" s="35">
        <f>_xlfn.XLOOKUP(C1552,'Project Details'!$C$17:$C$66,'Project Details'!$H$17:$H$66,"",0)</f>
        <v>0</v>
      </c>
      <c r="K1552" s="36" t="str">
        <f>IF(AND(_xlfn.XLOOKUP(C1552,'Project Details'!$C$17:$C$66,'Project Details'!$L$17:$L$66,"",0)&gt;550, F1552="Spring-L27cm"),"",SUBSTITUTE(_xlfn.XLOOKUP(G1552,SKUs!$C$2:$C$10001,SKUs!$F$2:$F$10001,"",0), " Accessories",""))</f>
        <v/>
      </c>
      <c r="L1552" s="36">
        <f>_xlfn.XLOOKUP(C1552,'Project Details'!$C$17:$C$66,'Project Details'!$D$17:$D$66,"",0)</f>
        <v>0</v>
      </c>
      <c r="M1552" s="43"/>
    </row>
    <row r="1553" spans="1:13" ht="13.5" customHeight="1" outlineLevel="1" x14ac:dyDescent="0.25">
      <c r="A1553" s="43"/>
      <c r="B1553" s="43"/>
      <c r="C1553" s="16">
        <f t="shared" si="29"/>
        <v>31</v>
      </c>
      <c r="D1553" s="16" t="str" cm="1">
        <f t="array" ref="D1553">IFERROR(ROUNDUP(_xlfn.IFS(F1553="Aluminum Track", _xlfn.XLOOKUP(C1553, dd_accsrycalc!$A$2:$A$51, dd_accsrycalc!$B$2:$B$51, "",0), F1553="10 x 2 1/2 S (Flat)", _xlfn.XLOOKUP(C1553, dd_accsrycalc!$A$2:$A$51, dd_accsrycalc!$C$2:$C$51, "",0), F1553="Tox6", _xlfn.XLOOKUP(C1553, dd_accsrycalc!$A$2:$A$51, dd_accsrycalc!$D$2:$D$51, "",0), F1553="Cover Cap", _xlfn.XLOOKUP(C1553, dd_accsrycalc!$A$2:$A$51, dd_accsrycalc!$E$2:$E$51, "",0), F1553="Drainage Cover", _xlfn.XLOOKUP(C1553, dd_accsrycalc!$A$2:$A$51, dd_accsrycalc!$F$2:$F$51, "",0),AND( F1553="Double Adhesive Tape", I1553="Roll-up Screen"), _xlfn.XLOOKUP(C1553, calc_rusacc!$C$15:$C$65, calc_rusacc!$AD$15:$AD$65, "",0),AND( F1553="Sealant", I1553="Roll-up Screen"), _xlfn.XLOOKUP(C1553, calc_rusacc!$C$15:$C$65, calc_rusacc!$AF$15:$AF$65, "",0),  AND( F1553="Main Chain", I1553="Accordion Screen"), _xlfn.XLOOKUP(C1553, calc_rusacc!$C$15:$C$65, calc_rusacc!$BF$15:$BF$65, "",0), AND( F1553="Sealant", I1553="Accordion Screen"), _xlfn.XLOOKUP(C1553, calc_rusacc!$C$15:$C$65, calc_rusacc!$BJ$15:$BJ$65, "",0),  F1553="Sealant", _xlfn.XLOOKUP(C1553, dd_accsrycalc!$A$2:$A$51, dd_accsrycalc!$G$2:$G$51, "",0),  F1553&lt;&gt;"",L1553*_xlfn.XLOOKUP(1, (SKUs!$C$2:$C$10001=G1553)*(SKUs!$K$2:$K$10001=I1553),SKUs!$E$2:$E$10001)), 0),"")</f>
        <v/>
      </c>
      <c r="E1553" s="16" t="str">
        <f>_xlfn.XLOOKUP(F1553,dd_item!$B$2:$B$105,dd_item!$C$2:$C$105,"",0)</f>
        <v/>
      </c>
      <c r="F1553" s="16"/>
      <c r="G1553" s="16" cm="1">
        <f t="array" ref="G1553">IFERROR(_xlfn.XLOOKUP(1, (SKUs!$J$2:$J$10001=accsry_unmerged!F1553)*IF(H1553&lt;&gt;"",(SKUs!$L$2:$L$10001=accsry_unmerged!H1553),1)*(SKUs!$K$2:$K$10001=I1553),SKUs!$C$2:$C$10001),"")</f>
        <v>0</v>
      </c>
      <c r="H1553" s="33" cm="1">
        <f t="array" ref="H1553">IFERROR(_xlfn.XLOOKUP(1, (dd_accsryclr!$C$2:$C$1000=accsry_unmerged!F1553)*(dd_accsryclr!$B$2:$B$1000=accsry_unmerged!J1553),dd_accsryclr!$A$2:$A$1000),"")</f>
        <v>0</v>
      </c>
      <c r="I1553" s="16">
        <f>_xlfn.XLOOKUP(C1553,'Project Details'!$C$17:$C$66,'Project Details'!$E$17:$E$66,"",0)</f>
        <v>0</v>
      </c>
      <c r="J1553" s="16">
        <f>_xlfn.XLOOKUP(C1553,'Project Details'!$C$17:$C$66,'Project Details'!$H$17:$H$66,"",0)</f>
        <v>0</v>
      </c>
      <c r="K1553" s="33" t="str">
        <f>IF(AND(_xlfn.XLOOKUP(C1553,'Project Details'!$C$17:$C$66,'Project Details'!$L$17:$L$66,"",0)&gt;550, F1553="Spring-L27cm"),"",SUBSTITUTE(_xlfn.XLOOKUP(G1553,SKUs!$C$2:$C$10001,SKUs!$F$2:$F$10001,"",0), " Accessories",""))</f>
        <v/>
      </c>
      <c r="L1553" s="33">
        <f>_xlfn.XLOOKUP(C1553,'Project Details'!$C$17:$C$66,'Project Details'!$D$17:$D$66,"",0)</f>
        <v>0</v>
      </c>
      <c r="M1553" s="43"/>
    </row>
    <row r="1554" spans="1:13" ht="13.5" customHeight="1" outlineLevel="1" x14ac:dyDescent="0.25">
      <c r="A1554" s="43"/>
      <c r="B1554" s="43"/>
      <c r="C1554" s="35">
        <f t="shared" si="29"/>
        <v>31</v>
      </c>
      <c r="D1554" s="35" t="str" cm="1">
        <f t="array" ref="D1554">IFERROR(ROUNDUP(_xlfn.IFS(F1554="Aluminum Track", _xlfn.XLOOKUP(C1554, dd_accsrycalc!$A$2:$A$51, dd_accsrycalc!$B$2:$B$51, "",0), F1554="10 x 2 1/2 S (Flat)", _xlfn.XLOOKUP(C1554, dd_accsrycalc!$A$2:$A$51, dd_accsrycalc!$C$2:$C$51, "",0), F1554="Tox6", _xlfn.XLOOKUP(C1554, dd_accsrycalc!$A$2:$A$51, dd_accsrycalc!$D$2:$D$51, "",0), F1554="Cover Cap", _xlfn.XLOOKUP(C1554, dd_accsrycalc!$A$2:$A$51, dd_accsrycalc!$E$2:$E$51, "",0), F1554="Drainage Cover", _xlfn.XLOOKUP(C1554, dd_accsrycalc!$A$2:$A$51, dd_accsrycalc!$F$2:$F$51, "",0),AND( F1554="Double Adhesive Tape", I1554="Roll-up Screen"), _xlfn.XLOOKUP(C1554, calc_rusacc!$C$15:$C$65, calc_rusacc!$AD$15:$AD$65, "",0),AND( F1554="Sealant", I1554="Roll-up Screen"), _xlfn.XLOOKUP(C1554, calc_rusacc!$C$15:$C$65, calc_rusacc!$AF$15:$AF$65, "",0),  AND( F1554="Main Chain", I1554="Accordion Screen"), _xlfn.XLOOKUP(C1554, calc_rusacc!$C$15:$C$65, calc_rusacc!$BF$15:$BF$65, "",0), AND( F1554="Sealant", I1554="Accordion Screen"), _xlfn.XLOOKUP(C1554, calc_rusacc!$C$15:$C$65, calc_rusacc!$BJ$15:$BJ$65, "",0),  F1554="Sealant", _xlfn.XLOOKUP(C1554, dd_accsrycalc!$A$2:$A$51, dd_accsrycalc!$G$2:$G$51, "",0),  F1554&lt;&gt;"",L1554*_xlfn.XLOOKUP(1, (SKUs!$C$2:$C$10001=G1554)*(SKUs!$K$2:$K$10001=I1554),SKUs!$E$2:$E$10001)), 0),"")</f>
        <v/>
      </c>
      <c r="E1554" s="35" t="str">
        <f>_xlfn.XLOOKUP(F1554,dd_item!$B$2:$B$105,dd_item!$C$2:$C$105,"",0)</f>
        <v/>
      </c>
      <c r="F1554" s="35"/>
      <c r="G1554" s="35" cm="1">
        <f t="array" ref="G1554">IFERROR(_xlfn.XLOOKUP(1, (SKUs!$J$2:$J$10001=accsry_unmerged!F1554)*IF(H1554&lt;&gt;"",(SKUs!$L$2:$L$10001=accsry_unmerged!H1554),1)*(SKUs!$K$2:$K$10001=I1554),SKUs!$C$2:$C$10001),"")</f>
        <v>0</v>
      </c>
      <c r="H1554" s="36" cm="1">
        <f t="array" ref="H1554">IFERROR(_xlfn.XLOOKUP(1, (dd_accsryclr!$C$2:$C$1000=accsry_unmerged!F1554)*(dd_accsryclr!$B$2:$B$1000=accsry_unmerged!J1554),dd_accsryclr!$A$2:$A$1000),"")</f>
        <v>0</v>
      </c>
      <c r="I1554" s="35">
        <f>_xlfn.XLOOKUP(C1554,'Project Details'!$C$17:$C$66,'Project Details'!$E$17:$E$66,"",0)</f>
        <v>0</v>
      </c>
      <c r="J1554" s="35">
        <f>_xlfn.XLOOKUP(C1554,'Project Details'!$C$17:$C$66,'Project Details'!$H$17:$H$66,"",0)</f>
        <v>0</v>
      </c>
      <c r="K1554" s="36" t="str">
        <f>IF(AND(_xlfn.XLOOKUP(C1554,'Project Details'!$C$17:$C$66,'Project Details'!$L$17:$L$66,"",0)&gt;550, F1554="Spring-L27cm"),"",SUBSTITUTE(_xlfn.XLOOKUP(G1554,SKUs!$C$2:$C$10001,SKUs!$F$2:$F$10001,"",0), " Accessories",""))</f>
        <v/>
      </c>
      <c r="L1554" s="36">
        <f>_xlfn.XLOOKUP(C1554,'Project Details'!$C$17:$C$66,'Project Details'!$D$17:$D$66,"",0)</f>
        <v>0</v>
      </c>
      <c r="M1554" s="43"/>
    </row>
    <row r="1555" spans="1:13" ht="13.5" customHeight="1" outlineLevel="1" collapsed="1" x14ac:dyDescent="0.25">
      <c r="A1555" s="43"/>
      <c r="B1555" s="43"/>
      <c r="C1555" s="16">
        <f t="shared" si="29"/>
        <v>31</v>
      </c>
      <c r="D1555" s="16" t="str" cm="1">
        <f t="array" ref="D1555">IFERROR(ROUNDUP(_xlfn.IFS(F1555="Aluminum Track", _xlfn.XLOOKUP(C1555, dd_accsrycalc!$A$2:$A$51, dd_accsrycalc!$B$2:$B$51, "",0), F1555="10 x 2 1/2 S (Flat)", _xlfn.XLOOKUP(C1555, dd_accsrycalc!$A$2:$A$51, dd_accsrycalc!$C$2:$C$51, "",0), F1555="Tox6", _xlfn.XLOOKUP(C1555, dd_accsrycalc!$A$2:$A$51, dd_accsrycalc!$D$2:$D$51, "",0), F1555="Cover Cap", _xlfn.XLOOKUP(C1555, dd_accsrycalc!$A$2:$A$51, dd_accsrycalc!$E$2:$E$51, "",0), F1555="Drainage Cover", _xlfn.XLOOKUP(C1555, dd_accsrycalc!$A$2:$A$51, dd_accsrycalc!$F$2:$F$51, "",0),AND( F1555="Double Adhesive Tape", I1555="Roll-up Screen"), _xlfn.XLOOKUP(C1555, calc_rusacc!$C$15:$C$65, calc_rusacc!$AD$15:$AD$65, "",0),AND( F1555="Sealant", I1555="Roll-up Screen"), _xlfn.XLOOKUP(C1555, calc_rusacc!$C$15:$C$65, calc_rusacc!$AF$15:$AF$65, "",0),  AND( F1555="Main Chain", I1555="Accordion Screen"), _xlfn.XLOOKUP(C1555, calc_rusacc!$C$15:$C$65, calc_rusacc!$BF$15:$BF$65, "",0), AND( F1555="Sealant", I1555="Accordion Screen"), _xlfn.XLOOKUP(C1555, calc_rusacc!$C$15:$C$65, calc_rusacc!$BJ$15:$BJ$65, "",0),  F1555="Sealant", _xlfn.XLOOKUP(C1555, dd_accsrycalc!$A$2:$A$51, dd_accsrycalc!$G$2:$G$51, "",0),  F1555&lt;&gt;"",L1555*_xlfn.XLOOKUP(1, (SKUs!$C$2:$C$10001=G1555)*(SKUs!$K$2:$K$10001=I1555),SKUs!$E$2:$E$10001)), 0),"")</f>
        <v/>
      </c>
      <c r="E1555" s="16" t="str">
        <f>_xlfn.XLOOKUP(F1555,dd_item!$B$2:$B$105,dd_item!$C$2:$C$105,"",0)</f>
        <v/>
      </c>
      <c r="F1555" s="16"/>
      <c r="G1555" s="16" cm="1">
        <f t="array" ref="G1555">IFERROR(_xlfn.XLOOKUP(1, (SKUs!$J$2:$J$10001=accsry_unmerged!F1555)*IF(H1555&lt;&gt;"",(SKUs!$L$2:$L$10001=accsry_unmerged!H1555),1)*(SKUs!$K$2:$K$10001=I1555),SKUs!$C$2:$C$10001),"")</f>
        <v>0</v>
      </c>
      <c r="H1555" s="33" cm="1">
        <f t="array" ref="H1555">IFERROR(_xlfn.XLOOKUP(1, (dd_accsryclr!$C$2:$C$1000=accsry_unmerged!F1555)*(dd_accsryclr!$B$2:$B$1000=accsry_unmerged!J1555),dd_accsryclr!$A$2:$A$1000),"")</f>
        <v>0</v>
      </c>
      <c r="I1555" s="16">
        <f>_xlfn.XLOOKUP(C1555,'Project Details'!$C$17:$C$66,'Project Details'!$E$17:$E$66,"",0)</f>
        <v>0</v>
      </c>
      <c r="J1555" s="16">
        <f>_xlfn.XLOOKUP(C1555,'Project Details'!$C$17:$C$66,'Project Details'!$H$17:$H$66,"",0)</f>
        <v>0</v>
      </c>
      <c r="K1555" s="33" t="str">
        <f>IF(AND(_xlfn.XLOOKUP(C1555,'Project Details'!$C$17:$C$66,'Project Details'!$L$17:$L$66,"",0)&gt;550, F1555="Spring-L27cm"),"",SUBSTITUTE(_xlfn.XLOOKUP(G1555,SKUs!$C$2:$C$10001,SKUs!$F$2:$F$10001,"",0), " Accessories",""))</f>
        <v/>
      </c>
      <c r="L1555" s="33">
        <f>_xlfn.XLOOKUP(C1555,'Project Details'!$C$17:$C$66,'Project Details'!$D$17:$D$66,"",0)</f>
        <v>0</v>
      </c>
      <c r="M1555" s="43"/>
    </row>
    <row r="1556" spans="1:13" ht="13.5" customHeight="1" outlineLevel="1" x14ac:dyDescent="0.25">
      <c r="A1556" s="43"/>
      <c r="B1556" s="43"/>
      <c r="C1556" s="35">
        <f t="shared" si="29"/>
        <v>31</v>
      </c>
      <c r="D1556" s="35" t="str" cm="1">
        <f t="array" ref="D1556">IFERROR(ROUNDUP(_xlfn.IFS(F1556="Aluminum Track", _xlfn.XLOOKUP(C1556, dd_accsrycalc!$A$2:$A$51, dd_accsrycalc!$B$2:$B$51, "",0), F1556="10 x 2 1/2 S (Flat)", _xlfn.XLOOKUP(C1556, dd_accsrycalc!$A$2:$A$51, dd_accsrycalc!$C$2:$C$51, "",0), F1556="Tox6", _xlfn.XLOOKUP(C1556, dd_accsrycalc!$A$2:$A$51, dd_accsrycalc!$D$2:$D$51, "",0), F1556="Cover Cap", _xlfn.XLOOKUP(C1556, dd_accsrycalc!$A$2:$A$51, dd_accsrycalc!$E$2:$E$51, "",0), F1556="Drainage Cover", _xlfn.XLOOKUP(C1556, dd_accsrycalc!$A$2:$A$51, dd_accsrycalc!$F$2:$F$51, "",0),AND( F1556="Double Adhesive Tape", I1556="Roll-up Screen"), _xlfn.XLOOKUP(C1556, calc_rusacc!$C$15:$C$65, calc_rusacc!$AD$15:$AD$65, "",0),AND( F1556="Sealant", I1556="Roll-up Screen"), _xlfn.XLOOKUP(C1556, calc_rusacc!$C$15:$C$65, calc_rusacc!$AF$15:$AF$65, "",0),  AND( F1556="Main Chain", I1556="Accordion Screen"), _xlfn.XLOOKUP(C1556, calc_rusacc!$C$15:$C$65, calc_rusacc!$BF$15:$BF$65, "",0), AND( F1556="Sealant", I1556="Accordion Screen"), _xlfn.XLOOKUP(C1556, calc_rusacc!$C$15:$C$65, calc_rusacc!$BJ$15:$BJ$65, "",0),  F1556="Sealant", _xlfn.XLOOKUP(C1556, dd_accsrycalc!$A$2:$A$51, dd_accsrycalc!$G$2:$G$51, "",0),  F1556&lt;&gt;"",L1556*_xlfn.XLOOKUP(1, (SKUs!$C$2:$C$10001=G1556)*(SKUs!$K$2:$K$10001=I1556),SKUs!$E$2:$E$10001)), 0),"")</f>
        <v/>
      </c>
      <c r="E1556" s="35" t="str">
        <f>_xlfn.XLOOKUP(F1556,dd_item!$B$2:$B$105,dd_item!$C$2:$C$105,"",0)</f>
        <v/>
      </c>
      <c r="F1556" s="35"/>
      <c r="G1556" s="35" cm="1">
        <f t="array" ref="G1556">IFERROR(_xlfn.XLOOKUP(1, (SKUs!$J$2:$J$10001=accsry_unmerged!F1556)*IF(H1556&lt;&gt;"",(SKUs!$L$2:$L$10001=accsry_unmerged!H1556),1)*(SKUs!$K$2:$K$10001=I1556),SKUs!$C$2:$C$10001),"")</f>
        <v>0</v>
      </c>
      <c r="H1556" s="36" cm="1">
        <f t="array" ref="H1556">IFERROR(_xlfn.XLOOKUP(1, (dd_accsryclr!$C$2:$C$1000=accsry_unmerged!F1556)*(dd_accsryclr!$B$2:$B$1000=accsry_unmerged!J1556),dd_accsryclr!$A$2:$A$1000),"")</f>
        <v>0</v>
      </c>
      <c r="I1556" s="35">
        <f>_xlfn.XLOOKUP(C1556,'Project Details'!$C$17:$C$66,'Project Details'!$E$17:$E$66,"",0)</f>
        <v>0</v>
      </c>
      <c r="J1556" s="35">
        <f>_xlfn.XLOOKUP(C1556,'Project Details'!$C$17:$C$66,'Project Details'!$H$17:$H$66,"",0)</f>
        <v>0</v>
      </c>
      <c r="K1556" s="36" t="str">
        <f>IF(AND(_xlfn.XLOOKUP(C1556,'Project Details'!$C$17:$C$66,'Project Details'!$L$17:$L$66,"",0)&gt;550, F1556="Spring-L27cm"),"",SUBSTITUTE(_xlfn.XLOOKUP(G1556,SKUs!$C$2:$C$10001,SKUs!$F$2:$F$10001,"",0), " Accessories",""))</f>
        <v/>
      </c>
      <c r="L1556" s="36">
        <f>_xlfn.XLOOKUP(C1556,'Project Details'!$C$17:$C$66,'Project Details'!$D$17:$D$66,"",0)</f>
        <v>0</v>
      </c>
      <c r="M1556" s="43"/>
    </row>
    <row r="1557" spans="1:13" ht="13.5" customHeight="1" outlineLevel="1" x14ac:dyDescent="0.25">
      <c r="A1557" s="43"/>
      <c r="B1557" s="43"/>
      <c r="C1557" s="16">
        <f t="shared" si="29"/>
        <v>31</v>
      </c>
      <c r="D1557" s="16" t="str" cm="1">
        <f t="array" ref="D1557">IFERROR(ROUNDUP(_xlfn.IFS(F1557="Aluminum Track", _xlfn.XLOOKUP(C1557, dd_accsrycalc!$A$2:$A$51, dd_accsrycalc!$B$2:$B$51, "",0), F1557="10 x 2 1/2 S (Flat)", _xlfn.XLOOKUP(C1557, dd_accsrycalc!$A$2:$A$51, dd_accsrycalc!$C$2:$C$51, "",0), F1557="Tox6", _xlfn.XLOOKUP(C1557, dd_accsrycalc!$A$2:$A$51, dd_accsrycalc!$D$2:$D$51, "",0), F1557="Cover Cap", _xlfn.XLOOKUP(C1557, dd_accsrycalc!$A$2:$A$51, dd_accsrycalc!$E$2:$E$51, "",0), F1557="Drainage Cover", _xlfn.XLOOKUP(C1557, dd_accsrycalc!$A$2:$A$51, dd_accsrycalc!$F$2:$F$51, "",0),AND( F1557="Double Adhesive Tape", I1557="Roll-up Screen"), _xlfn.XLOOKUP(C1557, calc_rusacc!$C$15:$C$65, calc_rusacc!$AD$15:$AD$65, "",0),AND( F1557="Sealant", I1557="Roll-up Screen"), _xlfn.XLOOKUP(C1557, calc_rusacc!$C$15:$C$65, calc_rusacc!$AF$15:$AF$65, "",0),  AND( F1557="Main Chain", I1557="Accordion Screen"), _xlfn.XLOOKUP(C1557, calc_rusacc!$C$15:$C$65, calc_rusacc!$BF$15:$BF$65, "",0), AND( F1557="Sealant", I1557="Accordion Screen"), _xlfn.XLOOKUP(C1557, calc_rusacc!$C$15:$C$65, calc_rusacc!$BJ$15:$BJ$65, "",0),  F1557="Sealant", _xlfn.XLOOKUP(C1557, dd_accsrycalc!$A$2:$A$51, dd_accsrycalc!$G$2:$G$51, "",0),  F1557&lt;&gt;"",L1557*_xlfn.XLOOKUP(1, (SKUs!$C$2:$C$10001=G1557)*(SKUs!$K$2:$K$10001=I1557),SKUs!$E$2:$E$10001)), 0),"")</f>
        <v/>
      </c>
      <c r="E1557" s="16" t="str">
        <f>_xlfn.XLOOKUP(F1557,dd_item!$B$2:$B$105,dd_item!$C$2:$C$105,"",0)</f>
        <v/>
      </c>
      <c r="F1557" s="16"/>
      <c r="G1557" s="16" cm="1">
        <f t="array" ref="G1557">IFERROR(_xlfn.XLOOKUP(1, (SKUs!$J$2:$J$10001=accsry_unmerged!F1557)*IF(H1557&lt;&gt;"",(SKUs!$L$2:$L$10001=accsry_unmerged!H1557),1)*(SKUs!$K$2:$K$10001=I1557),SKUs!$C$2:$C$10001),"")</f>
        <v>0</v>
      </c>
      <c r="H1557" s="33" cm="1">
        <f t="array" ref="H1557">IFERROR(_xlfn.XLOOKUP(1, (dd_accsryclr!$C$2:$C$1000=accsry_unmerged!F1557)*(dd_accsryclr!$B$2:$B$1000=accsry_unmerged!J1557),dd_accsryclr!$A$2:$A$1000),"")</f>
        <v>0</v>
      </c>
      <c r="I1557" s="16">
        <f>_xlfn.XLOOKUP(C1557,'Project Details'!$C$17:$C$66,'Project Details'!$E$17:$E$66,"",0)</f>
        <v>0</v>
      </c>
      <c r="J1557" s="16">
        <f>_xlfn.XLOOKUP(C1557,'Project Details'!$C$17:$C$66,'Project Details'!$H$17:$H$66,"",0)</f>
        <v>0</v>
      </c>
      <c r="K1557" s="33" t="str">
        <f>IF(AND(_xlfn.XLOOKUP(C1557,'Project Details'!$C$17:$C$66,'Project Details'!$L$17:$L$66,"",0)&gt;550, F1557="Spring-L27cm"),"",SUBSTITUTE(_xlfn.XLOOKUP(G1557,SKUs!$C$2:$C$10001,SKUs!$F$2:$F$10001,"",0), " Accessories",""))</f>
        <v/>
      </c>
      <c r="L1557" s="33">
        <f>_xlfn.XLOOKUP(C1557,'Project Details'!$C$17:$C$66,'Project Details'!$D$17:$D$66,"",0)</f>
        <v>0</v>
      </c>
      <c r="M1557" s="43"/>
    </row>
    <row r="1558" spans="1:13" ht="13.5" customHeight="1" outlineLevel="1" x14ac:dyDescent="0.25">
      <c r="A1558" s="43"/>
      <c r="B1558" s="43"/>
      <c r="C1558" s="35">
        <f t="shared" si="29"/>
        <v>31</v>
      </c>
      <c r="D1558" s="35" t="str" cm="1">
        <f t="array" ref="D1558">IFERROR(ROUNDUP(_xlfn.IFS(F1558="Aluminum Track", _xlfn.XLOOKUP(C1558, dd_accsrycalc!$A$2:$A$51, dd_accsrycalc!$B$2:$B$51, "",0), F1558="10 x 2 1/2 S (Flat)", _xlfn.XLOOKUP(C1558, dd_accsrycalc!$A$2:$A$51, dd_accsrycalc!$C$2:$C$51, "",0), F1558="Tox6", _xlfn.XLOOKUP(C1558, dd_accsrycalc!$A$2:$A$51, dd_accsrycalc!$D$2:$D$51, "",0), F1558="Cover Cap", _xlfn.XLOOKUP(C1558, dd_accsrycalc!$A$2:$A$51, dd_accsrycalc!$E$2:$E$51, "",0), F1558="Drainage Cover", _xlfn.XLOOKUP(C1558, dd_accsrycalc!$A$2:$A$51, dd_accsrycalc!$F$2:$F$51, "",0),AND( F1558="Double Adhesive Tape", I1558="Roll-up Screen"), _xlfn.XLOOKUP(C1558, calc_rusacc!$C$15:$C$65, calc_rusacc!$AD$15:$AD$65, "",0),AND( F1558="Sealant", I1558="Roll-up Screen"), _xlfn.XLOOKUP(C1558, calc_rusacc!$C$15:$C$65, calc_rusacc!$AF$15:$AF$65, "",0),  AND( F1558="Main Chain", I1558="Accordion Screen"), _xlfn.XLOOKUP(C1558, calc_rusacc!$C$15:$C$65, calc_rusacc!$BF$15:$BF$65, "",0), AND( F1558="Sealant", I1558="Accordion Screen"), _xlfn.XLOOKUP(C1558, calc_rusacc!$C$15:$C$65, calc_rusacc!$BJ$15:$BJ$65, "",0),  F1558="Sealant", _xlfn.XLOOKUP(C1558, dd_accsrycalc!$A$2:$A$51, dd_accsrycalc!$G$2:$G$51, "",0),  F1558&lt;&gt;"",L1558*_xlfn.XLOOKUP(1, (SKUs!$C$2:$C$10001=G1558)*(SKUs!$K$2:$K$10001=I1558),SKUs!$E$2:$E$10001)), 0),"")</f>
        <v/>
      </c>
      <c r="E1558" s="35" t="str">
        <f>_xlfn.XLOOKUP(F1558,dd_item!$B$2:$B$105,dd_item!$C$2:$C$105,"",0)</f>
        <v/>
      </c>
      <c r="F1558" s="35"/>
      <c r="G1558" s="35" cm="1">
        <f t="array" ref="G1558">IFERROR(_xlfn.XLOOKUP(1, (SKUs!$J$2:$J$10001=accsry_unmerged!F1558)*IF(H1558&lt;&gt;"",(SKUs!$L$2:$L$10001=accsry_unmerged!H1558),1)*(SKUs!$K$2:$K$10001=I1558),SKUs!$C$2:$C$10001),"")</f>
        <v>0</v>
      </c>
      <c r="H1558" s="36" cm="1">
        <f t="array" ref="H1558">IFERROR(_xlfn.XLOOKUP(1, (dd_accsryclr!$C$2:$C$1000=accsry_unmerged!F1558)*(dd_accsryclr!$B$2:$B$1000=accsry_unmerged!J1558),dd_accsryclr!$A$2:$A$1000),"")</f>
        <v>0</v>
      </c>
      <c r="I1558" s="35">
        <f>_xlfn.XLOOKUP(C1558,'Project Details'!$C$17:$C$66,'Project Details'!$E$17:$E$66,"",0)</f>
        <v>0</v>
      </c>
      <c r="J1558" s="35">
        <f>_xlfn.XLOOKUP(C1558,'Project Details'!$C$17:$C$66,'Project Details'!$H$17:$H$66,"",0)</f>
        <v>0</v>
      </c>
      <c r="K1558" s="36" t="str">
        <f>IF(AND(_xlfn.XLOOKUP(C1558,'Project Details'!$C$17:$C$66,'Project Details'!$L$17:$L$66,"",0)&gt;550, F1558="Spring-L27cm"),"",SUBSTITUTE(_xlfn.XLOOKUP(G1558,SKUs!$C$2:$C$10001,SKUs!$F$2:$F$10001,"",0), " Accessories",""))</f>
        <v/>
      </c>
      <c r="L1558" s="36">
        <f>_xlfn.XLOOKUP(C1558,'Project Details'!$C$17:$C$66,'Project Details'!$D$17:$D$66,"",0)</f>
        <v>0</v>
      </c>
      <c r="M1558" s="43"/>
    </row>
    <row r="1559" spans="1:13" ht="13.5" customHeight="1" outlineLevel="1" x14ac:dyDescent="0.25">
      <c r="A1559" s="43"/>
      <c r="B1559" s="43"/>
      <c r="C1559" s="16">
        <f t="shared" si="29"/>
        <v>31</v>
      </c>
      <c r="D1559" s="16" t="str" cm="1">
        <f t="array" ref="D1559">IFERROR(ROUNDUP(_xlfn.IFS(F1559="Aluminum Track", _xlfn.XLOOKUP(C1559, dd_accsrycalc!$A$2:$A$51, dd_accsrycalc!$B$2:$B$51, "",0), F1559="10 x 2 1/2 S (Flat)", _xlfn.XLOOKUP(C1559, dd_accsrycalc!$A$2:$A$51, dd_accsrycalc!$C$2:$C$51, "",0), F1559="Tox6", _xlfn.XLOOKUP(C1559, dd_accsrycalc!$A$2:$A$51, dd_accsrycalc!$D$2:$D$51, "",0), F1559="Cover Cap", _xlfn.XLOOKUP(C1559, dd_accsrycalc!$A$2:$A$51, dd_accsrycalc!$E$2:$E$51, "",0), F1559="Drainage Cover", _xlfn.XLOOKUP(C1559, dd_accsrycalc!$A$2:$A$51, dd_accsrycalc!$F$2:$F$51, "",0),AND( F1559="Double Adhesive Tape", I1559="Roll-up Screen"), _xlfn.XLOOKUP(C1559, calc_rusacc!$C$15:$C$65, calc_rusacc!$AD$15:$AD$65, "",0),AND( F1559="Sealant", I1559="Roll-up Screen"), _xlfn.XLOOKUP(C1559, calc_rusacc!$C$15:$C$65, calc_rusacc!$AF$15:$AF$65, "",0),  AND( F1559="Main Chain", I1559="Accordion Screen"), _xlfn.XLOOKUP(C1559, calc_rusacc!$C$15:$C$65, calc_rusacc!$BF$15:$BF$65, "",0), AND( F1559="Sealant", I1559="Accordion Screen"), _xlfn.XLOOKUP(C1559, calc_rusacc!$C$15:$C$65, calc_rusacc!$BJ$15:$BJ$65, "",0),  F1559="Sealant", _xlfn.XLOOKUP(C1559, dd_accsrycalc!$A$2:$A$51, dd_accsrycalc!$G$2:$G$51, "",0),  F1559&lt;&gt;"",L1559*_xlfn.XLOOKUP(1, (SKUs!$C$2:$C$10001=G1559)*(SKUs!$K$2:$K$10001=I1559),SKUs!$E$2:$E$10001)), 0),"")</f>
        <v/>
      </c>
      <c r="E1559" s="16" t="str">
        <f>_xlfn.XLOOKUP(F1559,dd_item!$B$2:$B$105,dd_item!$C$2:$C$105,"",0)</f>
        <v/>
      </c>
      <c r="F1559" s="16"/>
      <c r="G1559" s="16" cm="1">
        <f t="array" ref="G1559">IFERROR(_xlfn.XLOOKUP(1, (SKUs!$J$2:$J$10001=accsry_unmerged!F1559)*IF(H1559&lt;&gt;"",(SKUs!$L$2:$L$10001=accsry_unmerged!H1559),1)*(SKUs!$K$2:$K$10001=I1559),SKUs!$C$2:$C$10001),"")</f>
        <v>0</v>
      </c>
      <c r="H1559" s="33" cm="1">
        <f t="array" ref="H1559">IFERROR(_xlfn.XLOOKUP(1, (dd_accsryclr!$C$2:$C$1000=accsry_unmerged!F1559)*(dd_accsryclr!$B$2:$B$1000=accsry_unmerged!J1559),dd_accsryclr!$A$2:$A$1000),"")</f>
        <v>0</v>
      </c>
      <c r="I1559" s="16">
        <f>_xlfn.XLOOKUP(C1559,'Project Details'!$C$17:$C$66,'Project Details'!$E$17:$E$66,"",0)</f>
        <v>0</v>
      </c>
      <c r="J1559" s="16">
        <f>_xlfn.XLOOKUP(C1559,'Project Details'!$C$17:$C$66,'Project Details'!$H$17:$H$66,"",0)</f>
        <v>0</v>
      </c>
      <c r="K1559" s="33" t="str">
        <f>IF(AND(_xlfn.XLOOKUP(C1559,'Project Details'!$C$17:$C$66,'Project Details'!$L$17:$L$66,"",0)&gt;550, F1559="Spring-L27cm"),"",SUBSTITUTE(_xlfn.XLOOKUP(G1559,SKUs!$C$2:$C$10001,SKUs!$F$2:$F$10001,"",0), " Accessories",""))</f>
        <v/>
      </c>
      <c r="L1559" s="33">
        <f>_xlfn.XLOOKUP(C1559,'Project Details'!$C$17:$C$66,'Project Details'!$D$17:$D$66,"",0)</f>
        <v>0</v>
      </c>
      <c r="M1559" s="43"/>
    </row>
    <row r="1560" spans="1:13" ht="13.5" customHeight="1" outlineLevel="1" x14ac:dyDescent="0.25">
      <c r="A1560" s="43"/>
      <c r="B1560" s="43"/>
      <c r="C1560" s="35">
        <f t="shared" si="29"/>
        <v>31</v>
      </c>
      <c r="D1560" s="35" t="str" cm="1">
        <f t="array" ref="D1560">IFERROR(ROUNDUP(_xlfn.IFS(F1560="Aluminum Track", _xlfn.XLOOKUP(C1560, dd_accsrycalc!$A$2:$A$51, dd_accsrycalc!$B$2:$B$51, "",0), F1560="10 x 2 1/2 S (Flat)", _xlfn.XLOOKUP(C1560, dd_accsrycalc!$A$2:$A$51, dd_accsrycalc!$C$2:$C$51, "",0), F1560="Tox6", _xlfn.XLOOKUP(C1560, dd_accsrycalc!$A$2:$A$51, dd_accsrycalc!$D$2:$D$51, "",0), F1560="Cover Cap", _xlfn.XLOOKUP(C1560, dd_accsrycalc!$A$2:$A$51, dd_accsrycalc!$E$2:$E$51, "",0), F1560="Drainage Cover", _xlfn.XLOOKUP(C1560, dd_accsrycalc!$A$2:$A$51, dd_accsrycalc!$F$2:$F$51, "",0),AND( F1560="Double Adhesive Tape", I1560="Roll-up Screen"), _xlfn.XLOOKUP(C1560, calc_rusacc!$C$15:$C$65, calc_rusacc!$AD$15:$AD$65, "",0),AND( F1560="Sealant", I1560="Roll-up Screen"), _xlfn.XLOOKUP(C1560, calc_rusacc!$C$15:$C$65, calc_rusacc!$AF$15:$AF$65, "",0),  AND( F1560="Main Chain", I1560="Accordion Screen"), _xlfn.XLOOKUP(C1560, calc_rusacc!$C$15:$C$65, calc_rusacc!$BF$15:$BF$65, "",0), AND( F1560="Sealant", I1560="Accordion Screen"), _xlfn.XLOOKUP(C1560, calc_rusacc!$C$15:$C$65, calc_rusacc!$BJ$15:$BJ$65, "",0),  F1560="Sealant", _xlfn.XLOOKUP(C1560, dd_accsrycalc!$A$2:$A$51, dd_accsrycalc!$G$2:$G$51, "",0),  F1560&lt;&gt;"",L1560*_xlfn.XLOOKUP(1, (SKUs!$C$2:$C$10001=G1560)*(SKUs!$K$2:$K$10001=I1560),SKUs!$E$2:$E$10001)), 0),"")</f>
        <v/>
      </c>
      <c r="E1560" s="35" t="str">
        <f>_xlfn.XLOOKUP(F1560,dd_item!$B$2:$B$105,dd_item!$C$2:$C$105,"",0)</f>
        <v/>
      </c>
      <c r="F1560" s="35"/>
      <c r="G1560" s="35" cm="1">
        <f t="array" ref="G1560">IFERROR(_xlfn.XLOOKUP(1, (SKUs!$J$2:$J$10001=accsry_unmerged!F1560)*IF(H1560&lt;&gt;"",(SKUs!$L$2:$L$10001=accsry_unmerged!H1560),1)*(SKUs!$K$2:$K$10001=I1560),SKUs!$C$2:$C$10001),"")</f>
        <v>0</v>
      </c>
      <c r="H1560" s="36" cm="1">
        <f t="array" ref="H1560">IFERROR(_xlfn.XLOOKUP(1, (dd_accsryclr!$C$2:$C$1000=accsry_unmerged!F1560)*(dd_accsryclr!$B$2:$B$1000=accsry_unmerged!J1560),dd_accsryclr!$A$2:$A$1000),"")</f>
        <v>0</v>
      </c>
      <c r="I1560" s="35">
        <f>_xlfn.XLOOKUP(C1560,'Project Details'!$C$17:$C$66,'Project Details'!$E$17:$E$66,"",0)</f>
        <v>0</v>
      </c>
      <c r="J1560" s="35">
        <f>_xlfn.XLOOKUP(C1560,'Project Details'!$C$17:$C$66,'Project Details'!$H$17:$H$66,"",0)</f>
        <v>0</v>
      </c>
      <c r="K1560" s="36" t="str">
        <f>IF(AND(_xlfn.XLOOKUP(C1560,'Project Details'!$C$17:$C$66,'Project Details'!$L$17:$L$66,"",0)&gt;550, F1560="Spring-L27cm"),"",SUBSTITUTE(_xlfn.XLOOKUP(G1560,SKUs!$C$2:$C$10001,SKUs!$F$2:$F$10001,"",0), " Accessories",""))</f>
        <v/>
      </c>
      <c r="L1560" s="36">
        <f>_xlfn.XLOOKUP(C1560,'Project Details'!$C$17:$C$66,'Project Details'!$D$17:$D$66,"",0)</f>
        <v>0</v>
      </c>
      <c r="M1560" s="43"/>
    </row>
    <row r="1561" spans="1:13" ht="13.5" customHeight="1" outlineLevel="1" x14ac:dyDescent="0.25">
      <c r="A1561" s="43"/>
      <c r="B1561" s="43"/>
      <c r="C1561" s="16">
        <f t="shared" si="29"/>
        <v>31</v>
      </c>
      <c r="D1561" s="16" t="str" cm="1">
        <f t="array" ref="D1561">IFERROR(ROUNDUP(_xlfn.IFS(F1561="Aluminum Track", _xlfn.XLOOKUP(C1561, dd_accsrycalc!$A$2:$A$51, dd_accsrycalc!$B$2:$B$51, "",0), F1561="10 x 2 1/2 S (Flat)", _xlfn.XLOOKUP(C1561, dd_accsrycalc!$A$2:$A$51, dd_accsrycalc!$C$2:$C$51, "",0), F1561="Tox6", _xlfn.XLOOKUP(C1561, dd_accsrycalc!$A$2:$A$51, dd_accsrycalc!$D$2:$D$51, "",0), F1561="Cover Cap", _xlfn.XLOOKUP(C1561, dd_accsrycalc!$A$2:$A$51, dd_accsrycalc!$E$2:$E$51, "",0), F1561="Drainage Cover", _xlfn.XLOOKUP(C1561, dd_accsrycalc!$A$2:$A$51, dd_accsrycalc!$F$2:$F$51, "",0),AND( F1561="Double Adhesive Tape", I1561="Roll-up Screen"), _xlfn.XLOOKUP(C1561, calc_rusacc!$C$15:$C$65, calc_rusacc!$AD$15:$AD$65, "",0),AND( F1561="Sealant", I1561="Roll-up Screen"), _xlfn.XLOOKUP(C1561, calc_rusacc!$C$15:$C$65, calc_rusacc!$AF$15:$AF$65, "",0),  AND( F1561="Main Chain", I1561="Accordion Screen"), _xlfn.XLOOKUP(C1561, calc_rusacc!$C$15:$C$65, calc_rusacc!$BF$15:$BF$65, "",0), AND( F1561="Sealant", I1561="Accordion Screen"), _xlfn.XLOOKUP(C1561, calc_rusacc!$C$15:$C$65, calc_rusacc!$BJ$15:$BJ$65, "",0),  F1561="Sealant", _xlfn.XLOOKUP(C1561, dd_accsrycalc!$A$2:$A$51, dd_accsrycalc!$G$2:$G$51, "",0),  F1561&lt;&gt;"",L1561*_xlfn.XLOOKUP(1, (SKUs!$C$2:$C$10001=G1561)*(SKUs!$K$2:$K$10001=I1561),SKUs!$E$2:$E$10001)), 0),"")</f>
        <v/>
      </c>
      <c r="E1561" s="16" t="str">
        <f>_xlfn.XLOOKUP(F1561,dd_item!$B$2:$B$105,dd_item!$C$2:$C$105,"",0)</f>
        <v/>
      </c>
      <c r="F1561" s="16"/>
      <c r="G1561" s="16" cm="1">
        <f t="array" ref="G1561">IFERROR(_xlfn.XLOOKUP(1, (SKUs!$J$2:$J$10001=accsry_unmerged!F1561)*IF(H1561&lt;&gt;"",(SKUs!$L$2:$L$10001=accsry_unmerged!H1561),1)*(SKUs!$K$2:$K$10001=I1561),SKUs!$C$2:$C$10001),"")</f>
        <v>0</v>
      </c>
      <c r="H1561" s="33" cm="1">
        <f t="array" ref="H1561">IFERROR(_xlfn.XLOOKUP(1, (dd_accsryclr!$C$2:$C$1000=accsry_unmerged!F1561)*(dd_accsryclr!$B$2:$B$1000=accsry_unmerged!J1561),dd_accsryclr!$A$2:$A$1000),"")</f>
        <v>0</v>
      </c>
      <c r="I1561" s="16">
        <f>_xlfn.XLOOKUP(C1561,'Project Details'!$C$17:$C$66,'Project Details'!$E$17:$E$66,"",0)</f>
        <v>0</v>
      </c>
      <c r="J1561" s="16">
        <f>_xlfn.XLOOKUP(C1561,'Project Details'!$C$17:$C$66,'Project Details'!$H$17:$H$66,"",0)</f>
        <v>0</v>
      </c>
      <c r="K1561" s="33" t="str">
        <f>IF(AND(_xlfn.XLOOKUP(C1561,'Project Details'!$C$17:$C$66,'Project Details'!$L$17:$L$66,"",0)&gt;550, F1561="Spring-L27cm"),"",SUBSTITUTE(_xlfn.XLOOKUP(G1561,SKUs!$C$2:$C$10001,SKUs!$F$2:$F$10001,"",0), " Accessories",""))</f>
        <v/>
      </c>
      <c r="L1561" s="33">
        <f>_xlfn.XLOOKUP(C1561,'Project Details'!$C$17:$C$66,'Project Details'!$D$17:$D$66,"",0)</f>
        <v>0</v>
      </c>
      <c r="M1561" s="43"/>
    </row>
    <row r="1562" spans="1:13" ht="13.5" customHeight="1" outlineLevel="1" x14ac:dyDescent="0.25">
      <c r="A1562" s="43"/>
      <c r="B1562" s="43"/>
      <c r="C1562" s="35">
        <f t="shared" si="29"/>
        <v>31</v>
      </c>
      <c r="D1562" s="35" t="str" cm="1">
        <f t="array" ref="D1562">IFERROR(ROUNDUP(_xlfn.IFS(F1562="Aluminum Track", _xlfn.XLOOKUP(C1562, dd_accsrycalc!$A$2:$A$51, dd_accsrycalc!$B$2:$B$51, "",0), F1562="10 x 2 1/2 S (Flat)", _xlfn.XLOOKUP(C1562, dd_accsrycalc!$A$2:$A$51, dd_accsrycalc!$C$2:$C$51, "",0), F1562="Tox6", _xlfn.XLOOKUP(C1562, dd_accsrycalc!$A$2:$A$51, dd_accsrycalc!$D$2:$D$51, "",0), F1562="Cover Cap", _xlfn.XLOOKUP(C1562, dd_accsrycalc!$A$2:$A$51, dd_accsrycalc!$E$2:$E$51, "",0), F1562="Drainage Cover", _xlfn.XLOOKUP(C1562, dd_accsrycalc!$A$2:$A$51, dd_accsrycalc!$F$2:$F$51, "",0),AND( F1562="Double Adhesive Tape", I1562="Roll-up Screen"), _xlfn.XLOOKUP(C1562, calc_rusacc!$C$15:$C$65, calc_rusacc!$AD$15:$AD$65, "",0),AND( F1562="Sealant", I1562="Roll-up Screen"), _xlfn.XLOOKUP(C1562, calc_rusacc!$C$15:$C$65, calc_rusacc!$AF$15:$AF$65, "",0),  AND( F1562="Main Chain", I1562="Accordion Screen"), _xlfn.XLOOKUP(C1562, calc_rusacc!$C$15:$C$65, calc_rusacc!$BF$15:$BF$65, "",0), AND( F1562="Sealant", I1562="Accordion Screen"), _xlfn.XLOOKUP(C1562, calc_rusacc!$C$15:$C$65, calc_rusacc!$BJ$15:$BJ$65, "",0),  F1562="Sealant", _xlfn.XLOOKUP(C1562, dd_accsrycalc!$A$2:$A$51, dd_accsrycalc!$G$2:$G$51, "",0),  F1562&lt;&gt;"",L1562*_xlfn.XLOOKUP(1, (SKUs!$C$2:$C$10001=G1562)*(SKUs!$K$2:$K$10001=I1562),SKUs!$E$2:$E$10001)), 0),"")</f>
        <v/>
      </c>
      <c r="E1562" s="35" t="str">
        <f>_xlfn.XLOOKUP(F1562,dd_item!$B$2:$B$105,dd_item!$C$2:$C$105,"",0)</f>
        <v/>
      </c>
      <c r="F1562" s="35"/>
      <c r="G1562" s="35" cm="1">
        <f t="array" ref="G1562">IFERROR(_xlfn.XLOOKUP(1, (SKUs!$J$2:$J$10001=accsry_unmerged!F1562)*IF(H1562&lt;&gt;"",(SKUs!$L$2:$L$10001=accsry_unmerged!H1562),1)*(SKUs!$K$2:$K$10001=I1562),SKUs!$C$2:$C$10001),"")</f>
        <v>0</v>
      </c>
      <c r="H1562" s="36" cm="1">
        <f t="array" ref="H1562">IFERROR(_xlfn.XLOOKUP(1, (dd_accsryclr!$C$2:$C$1000=accsry_unmerged!F1562)*(dd_accsryclr!$B$2:$B$1000=accsry_unmerged!J1562),dd_accsryclr!$A$2:$A$1000),"")</f>
        <v>0</v>
      </c>
      <c r="I1562" s="35">
        <f>_xlfn.XLOOKUP(C1562,'Project Details'!$C$17:$C$66,'Project Details'!$E$17:$E$66,"",0)</f>
        <v>0</v>
      </c>
      <c r="J1562" s="35">
        <f>_xlfn.XLOOKUP(C1562,'Project Details'!$C$17:$C$66,'Project Details'!$H$17:$H$66,"",0)</f>
        <v>0</v>
      </c>
      <c r="K1562" s="36" t="str">
        <f>IF(AND(_xlfn.XLOOKUP(C1562,'Project Details'!$C$17:$C$66,'Project Details'!$L$17:$L$66,"",0)&gt;550, F1562="Spring-L27cm"),"",SUBSTITUTE(_xlfn.XLOOKUP(G1562,SKUs!$C$2:$C$10001,SKUs!$F$2:$F$10001,"",0), " Accessories",""))</f>
        <v/>
      </c>
      <c r="L1562" s="36">
        <f>_xlfn.XLOOKUP(C1562,'Project Details'!$C$17:$C$66,'Project Details'!$D$17:$D$66,"",0)</f>
        <v>0</v>
      </c>
      <c r="M1562" s="43"/>
    </row>
    <row r="1563" spans="1:13" ht="13.5" customHeight="1" outlineLevel="1" x14ac:dyDescent="0.25">
      <c r="A1563" s="43"/>
      <c r="B1563" s="43"/>
      <c r="C1563" s="16">
        <f t="shared" si="29"/>
        <v>31</v>
      </c>
      <c r="D1563" s="16" t="str" cm="1">
        <f t="array" ref="D1563">IFERROR(ROUNDUP(_xlfn.IFS(F1563="Aluminum Track", _xlfn.XLOOKUP(C1563, dd_accsrycalc!$A$2:$A$51, dd_accsrycalc!$B$2:$B$51, "",0), F1563="10 x 2 1/2 S (Flat)", _xlfn.XLOOKUP(C1563, dd_accsrycalc!$A$2:$A$51, dd_accsrycalc!$C$2:$C$51, "",0), F1563="Tox6", _xlfn.XLOOKUP(C1563, dd_accsrycalc!$A$2:$A$51, dd_accsrycalc!$D$2:$D$51, "",0), F1563="Cover Cap", _xlfn.XLOOKUP(C1563, dd_accsrycalc!$A$2:$A$51, dd_accsrycalc!$E$2:$E$51, "",0), F1563="Drainage Cover", _xlfn.XLOOKUP(C1563, dd_accsrycalc!$A$2:$A$51, dd_accsrycalc!$F$2:$F$51, "",0),AND( F1563="Double Adhesive Tape", I1563="Roll-up Screen"), _xlfn.XLOOKUP(C1563, calc_rusacc!$C$15:$C$65, calc_rusacc!$AD$15:$AD$65, "",0),AND( F1563="Sealant", I1563="Roll-up Screen"), _xlfn.XLOOKUP(C1563, calc_rusacc!$C$15:$C$65, calc_rusacc!$AF$15:$AF$65, "",0),  AND( F1563="Main Chain", I1563="Accordion Screen"), _xlfn.XLOOKUP(C1563, calc_rusacc!$C$15:$C$65, calc_rusacc!$BF$15:$BF$65, "",0), AND( F1563="Sealant", I1563="Accordion Screen"), _xlfn.XLOOKUP(C1563, calc_rusacc!$C$15:$C$65, calc_rusacc!$BJ$15:$BJ$65, "",0),  F1563="Sealant", _xlfn.XLOOKUP(C1563, dd_accsrycalc!$A$2:$A$51, dd_accsrycalc!$G$2:$G$51, "",0),  F1563&lt;&gt;"",L1563*_xlfn.XLOOKUP(1, (SKUs!$C$2:$C$10001=G1563)*(SKUs!$K$2:$K$10001=I1563),SKUs!$E$2:$E$10001)), 0),"")</f>
        <v/>
      </c>
      <c r="E1563" s="16" t="str">
        <f>_xlfn.XLOOKUP(F1563,dd_item!$B$2:$B$105,dd_item!$C$2:$C$105,"",0)</f>
        <v/>
      </c>
      <c r="F1563" s="16"/>
      <c r="G1563" s="16" cm="1">
        <f t="array" ref="G1563">IFERROR(_xlfn.XLOOKUP(1, (SKUs!$J$2:$J$10001=accsry_unmerged!F1563)*IF(H1563&lt;&gt;"",(SKUs!$L$2:$L$10001=accsry_unmerged!H1563),1)*(SKUs!$K$2:$K$10001=I1563),SKUs!$C$2:$C$10001),"")</f>
        <v>0</v>
      </c>
      <c r="H1563" s="33" cm="1">
        <f t="array" ref="H1563">IFERROR(_xlfn.XLOOKUP(1, (dd_accsryclr!$C$2:$C$1000=accsry_unmerged!F1563)*(dd_accsryclr!$B$2:$B$1000=accsry_unmerged!J1563),dd_accsryclr!$A$2:$A$1000),"")</f>
        <v>0</v>
      </c>
      <c r="I1563" s="16">
        <f>_xlfn.XLOOKUP(C1563,'Project Details'!$C$17:$C$66,'Project Details'!$E$17:$E$66,"",0)</f>
        <v>0</v>
      </c>
      <c r="J1563" s="16">
        <f>_xlfn.XLOOKUP(C1563,'Project Details'!$C$17:$C$66,'Project Details'!$H$17:$H$66,"",0)</f>
        <v>0</v>
      </c>
      <c r="K1563" s="33" t="str">
        <f>IF(AND(_xlfn.XLOOKUP(C1563,'Project Details'!$C$17:$C$66,'Project Details'!$L$17:$L$66,"",0)&gt;550, F1563="Spring-L27cm"),"",SUBSTITUTE(_xlfn.XLOOKUP(G1563,SKUs!$C$2:$C$10001,SKUs!$F$2:$F$10001,"",0), " Accessories",""))</f>
        <v/>
      </c>
      <c r="L1563" s="33">
        <f>_xlfn.XLOOKUP(C1563,'Project Details'!$C$17:$C$66,'Project Details'!$D$17:$D$66,"",0)</f>
        <v>0</v>
      </c>
      <c r="M1563" s="43"/>
    </row>
    <row r="1564" spans="1:13" x14ac:dyDescent="0.25">
      <c r="A1564" s="43"/>
      <c r="B1564" s="43"/>
      <c r="C1564" s="43"/>
      <c r="D1564" s="43"/>
      <c r="E1564" s="43"/>
      <c r="F1564" s="43"/>
      <c r="G1564" s="43"/>
      <c r="H1564" s="43"/>
      <c r="I1564" s="43"/>
      <c r="J1564" s="43"/>
      <c r="K1564" s="43"/>
      <c r="L1564" s="43"/>
      <c r="M1564" s="43"/>
    </row>
    <row r="1565" spans="1:13" x14ac:dyDescent="0.25">
      <c r="A1565" s="43"/>
      <c r="B1565" s="43"/>
      <c r="C1565" s="16">
        <f>C1563+1</f>
        <v>32</v>
      </c>
      <c r="D1565" s="48" cm="1">
        <f t="array" ref="D1565">IFERROR(ROUNDUP(_xlfn.IFS(F1565="Aluminum Track", _xlfn.XLOOKUP(C1565, dd_accsrycalc!$A$2:$A$51, dd_accsrycalc!$B$2:$B$51, "",0), F1565="10 x 2 1/2 S (Flat)", _xlfn.XLOOKUP(C1565, dd_accsrycalc!$A$2:$A$51, dd_accsrycalc!$C$2:$C$51, "",0), F1565="Tox6", _xlfn.XLOOKUP(C1565, dd_accsrycalc!$A$2:$A$51, dd_accsrycalc!$D$2:$D$51, "",0), F1565="Cover Cap", _xlfn.XLOOKUP(C1565, dd_accsrycalc!$A$2:$A$51, dd_accsrycalc!$E$2:$E$51, "",0), F1565="Drainage Cover", _xlfn.XLOOKUP(C1565, dd_accsrycalc!$A$2:$A$51, dd_accsrycalc!$F$2:$F$51, "",0),AND( F1565="Double Adhesive Tape", I1565="Roll-up Screen"), _xlfn.XLOOKUP(C1565, calc_rusacc!$C$15:$C$65, calc_rusacc!$AD$15:$AD$65, "",0),AND( F1565="Sealant", I1565="Roll-up Screen"), _xlfn.XLOOKUP(C1565, calc_rusacc!$C$15:$C$65, calc_rusacc!$AF$15:$AF$65, "",0),  AND( F1565="Main Chain", I1565="Accordion Screen"), _xlfn.XLOOKUP(C1565, calc_rusacc!$C$15:$C$65, calc_rusacc!$BF$15:$BF$65, "",0), AND( F1565="Sealant", I1565="Accordion Screen"), _xlfn.XLOOKUP(C1565, calc_rusacc!$C$15:$C$65, calc_rusacc!$BJ$15:$BJ$65, "",0),  F1565="Sealant", _xlfn.XLOOKUP(C1565, dd_accsrycalc!$A$2:$A$51, dd_accsrycalc!$G$2:$G$51, "",0),  F1565&lt;&gt;"",L1565*_xlfn.XLOOKUP(1, (SKUs!$C$2:$C$10001=G1565)*(SKUs!$K$2:$K$10001=I1565),SKUs!$E$2:$E$10001)), 0),"")</f>
        <v>0</v>
      </c>
      <c r="E1565" s="48" t="str">
        <f>_xlfn.XLOOKUP(F1565,dd_item!$B$2:$B$105,dd_item!$C$2:$C$105,"",0)</f>
        <v/>
      </c>
      <c r="F1565" s="48" cm="1">
        <f t="array" ref="F1565">IFERROR(_xlfn.UNIQUE(_xlfn._xlws.FILTER(SKUs!$J$2:$J$10001, (SKUs!$F$2:$F$10001&lt;&gt;"Cutting List") * (SKUs!$A$2:$A$10001=_xlfn.XLOOKUP(_xlfn.XLOOKUP(C1565,'Project Details'!$C$17:$C$66,'Project Details'!$E$17:$E$66,"",0), dd_design_raw!$A$2:$A$101,dd_design_raw!$C$2:$C$101,"",0)))), "")</f>
        <v>0</v>
      </c>
      <c r="G1565" s="16" cm="1">
        <f t="array" ref="G1565">IFERROR(_xlfn.XLOOKUP(1, (SKUs!$J$2:$J$10001=accsry_unmerged!F1565)*IF(H1565&lt;&gt;"",(SKUs!$L$2:$L$10001=accsry_unmerged!H1565),1)*(SKUs!$K$2:$K$10001=I1565),SKUs!$C$2:$C$10001),"")</f>
        <v>0</v>
      </c>
      <c r="H1565" s="16" cm="1">
        <f t="array" ref="H1565">IFERROR(_xlfn.XLOOKUP(1, (dd_accsryclr!$C$2:$C$1000=accsry_unmerged!F1565)*(dd_accsryclr!$B$2:$B$1000=accsry_unmerged!J1565),dd_accsryclr!$A$2:$A$1000),"")</f>
        <v>0</v>
      </c>
      <c r="I1565" s="16">
        <f>_xlfn.XLOOKUP(C1565,'Project Details'!$C$17:$C$66,'Project Details'!$E$17:$E$66,"",0)</f>
        <v>0</v>
      </c>
      <c r="J1565" s="16">
        <f>_xlfn.XLOOKUP(C1565,'Project Details'!$C$17:$C$66,'Project Details'!$H$17:$H$66,"",0)</f>
        <v>0</v>
      </c>
      <c r="K1565" s="16" t="str">
        <f>IF(AND(_xlfn.XLOOKUP(C1565,'Project Details'!$C$17:$C$66,'Project Details'!$L$17:$L$66,"",0)&gt;550, F1565="Spring-L27cm"),"",SUBSTITUTE(_xlfn.XLOOKUP(G1565,SKUs!$C$2:$C$10001,SKUs!$F$2:$F$10001,"",0), " Accessories",""))</f>
        <v/>
      </c>
      <c r="L1565" s="16">
        <f>_xlfn.XLOOKUP(C1565,'Project Details'!$C$17:$C$66,'Project Details'!$D$17:$D$66,"",0)</f>
        <v>0</v>
      </c>
      <c r="M1565" s="43"/>
    </row>
    <row r="1566" spans="1:13" x14ac:dyDescent="0.25">
      <c r="A1566" s="43"/>
      <c r="B1566" s="43"/>
      <c r="C1566" s="35">
        <f>C1565</f>
        <v>32</v>
      </c>
      <c r="D1566" s="35" t="str" cm="1">
        <f t="array" ref="D1566">IFERROR(ROUNDUP(_xlfn.IFS(F1566="Aluminum Track", _xlfn.XLOOKUP(C1566, dd_accsrycalc!$A$2:$A$51, dd_accsrycalc!$B$2:$B$51, "",0), F1566="10 x 2 1/2 S (Flat)", _xlfn.XLOOKUP(C1566, dd_accsrycalc!$A$2:$A$51, dd_accsrycalc!$C$2:$C$51, "",0), F1566="Tox6", _xlfn.XLOOKUP(C1566, dd_accsrycalc!$A$2:$A$51, dd_accsrycalc!$D$2:$D$51, "",0), F1566="Cover Cap", _xlfn.XLOOKUP(C1566, dd_accsrycalc!$A$2:$A$51, dd_accsrycalc!$E$2:$E$51, "",0), F1566="Drainage Cover", _xlfn.XLOOKUP(C1566, dd_accsrycalc!$A$2:$A$51, dd_accsrycalc!$F$2:$F$51, "",0),AND( F1566="Double Adhesive Tape", I1566="Roll-up Screen"), _xlfn.XLOOKUP(C1566, calc_rusacc!$C$15:$C$65, calc_rusacc!$AD$15:$AD$65, "",0),AND( F1566="Sealant", I1566="Roll-up Screen"), _xlfn.XLOOKUP(C1566, calc_rusacc!$C$15:$C$65, calc_rusacc!$AF$15:$AF$65, "",0),  AND( F1566="Main Chain", I1566="Accordion Screen"), _xlfn.XLOOKUP(C1566, calc_rusacc!$C$15:$C$65, calc_rusacc!$BF$15:$BF$65, "",0), AND( F1566="Sealant", I1566="Accordion Screen"), _xlfn.XLOOKUP(C1566, calc_rusacc!$C$15:$C$65, calc_rusacc!$BJ$15:$BJ$65, "",0),  F1566="Sealant", _xlfn.XLOOKUP(C1566, dd_accsrycalc!$A$2:$A$51, dd_accsrycalc!$G$2:$G$51, "",0),  F1566&lt;&gt;"",L1566*_xlfn.XLOOKUP(1, (SKUs!$C$2:$C$10001=G1566)*(SKUs!$K$2:$K$10001=I1566),SKUs!$E$2:$E$10001)), 0),"")</f>
        <v/>
      </c>
      <c r="E1566" s="35" t="str">
        <f>_xlfn.XLOOKUP(F1566,dd_item!$B$2:$B$105,dd_item!$C$2:$C$105,"",0)</f>
        <v/>
      </c>
      <c r="F1566" s="35"/>
      <c r="G1566" s="35" cm="1">
        <f t="array" ref="G1566">IFERROR(_xlfn.XLOOKUP(1, (SKUs!$J$2:$J$10001=accsry_unmerged!F1566)*IF(H1566&lt;&gt;"",(SKUs!$L$2:$L$10001=accsry_unmerged!H1566),1)*(SKUs!$K$2:$K$10001=I1566),SKUs!$C$2:$C$10001),"")</f>
        <v>0</v>
      </c>
      <c r="H1566" s="36" cm="1">
        <f t="array" ref="H1566">IFERROR(_xlfn.XLOOKUP(1, (dd_accsryclr!$C$2:$C$1000=accsry_unmerged!F1566)*(dd_accsryclr!$B$2:$B$1000=accsry_unmerged!J1566),dd_accsryclr!$A$2:$A$1000),"")</f>
        <v>0</v>
      </c>
      <c r="I1566" s="35">
        <f>_xlfn.XLOOKUP(C1566,'Project Details'!$C$17:$C$66,'Project Details'!$E$17:$E$66,"",0)</f>
        <v>0</v>
      </c>
      <c r="J1566" s="35">
        <f>_xlfn.XLOOKUP(C1566,'Project Details'!$C$17:$C$66,'Project Details'!$H$17:$H$66,"",0)</f>
        <v>0</v>
      </c>
      <c r="K1566" s="36" t="str">
        <f>IF(AND(_xlfn.XLOOKUP(C1566,'Project Details'!$C$17:$C$66,'Project Details'!$L$17:$L$66,"",0)&gt;550, F1566="Spring-L27cm"),"",SUBSTITUTE(_xlfn.XLOOKUP(G1566,SKUs!$C$2:$C$10001,SKUs!$F$2:$F$10001,"",0), " Accessories",""))</f>
        <v/>
      </c>
      <c r="L1566" s="36">
        <f>_xlfn.XLOOKUP(C1566,'Project Details'!$C$17:$C$66,'Project Details'!$D$17:$D$66,"",0)</f>
        <v>0</v>
      </c>
      <c r="M1566" s="43"/>
    </row>
    <row r="1567" spans="1:13" x14ac:dyDescent="0.25">
      <c r="A1567" s="43"/>
      <c r="B1567" s="43"/>
      <c r="C1567" s="16">
        <f t="shared" ref="C1567:C1613" si="30">C1566</f>
        <v>32</v>
      </c>
      <c r="D1567" s="16" t="str" cm="1">
        <f t="array" ref="D1567">IFERROR(ROUNDUP(_xlfn.IFS(F1567="Aluminum Track", _xlfn.XLOOKUP(C1567, dd_accsrycalc!$A$2:$A$51, dd_accsrycalc!$B$2:$B$51, "",0), F1567="10 x 2 1/2 S (Flat)", _xlfn.XLOOKUP(C1567, dd_accsrycalc!$A$2:$A$51, dd_accsrycalc!$C$2:$C$51, "",0), F1567="Tox6", _xlfn.XLOOKUP(C1567, dd_accsrycalc!$A$2:$A$51, dd_accsrycalc!$D$2:$D$51, "",0), F1567="Cover Cap", _xlfn.XLOOKUP(C1567, dd_accsrycalc!$A$2:$A$51, dd_accsrycalc!$E$2:$E$51, "",0), F1567="Drainage Cover", _xlfn.XLOOKUP(C1567, dd_accsrycalc!$A$2:$A$51, dd_accsrycalc!$F$2:$F$51, "",0),AND( F1567="Double Adhesive Tape", I1567="Roll-up Screen"), _xlfn.XLOOKUP(C1567, calc_rusacc!$C$15:$C$65, calc_rusacc!$AD$15:$AD$65, "",0),AND( F1567="Sealant", I1567="Roll-up Screen"), _xlfn.XLOOKUP(C1567, calc_rusacc!$C$15:$C$65, calc_rusacc!$AF$15:$AF$65, "",0),  AND( F1567="Main Chain", I1567="Accordion Screen"), _xlfn.XLOOKUP(C1567, calc_rusacc!$C$15:$C$65, calc_rusacc!$BF$15:$BF$65, "",0), AND( F1567="Sealant", I1567="Accordion Screen"), _xlfn.XLOOKUP(C1567, calc_rusacc!$C$15:$C$65, calc_rusacc!$BJ$15:$BJ$65, "",0),  F1567="Sealant", _xlfn.XLOOKUP(C1567, dd_accsrycalc!$A$2:$A$51, dd_accsrycalc!$G$2:$G$51, "",0),  F1567&lt;&gt;"",L1567*_xlfn.XLOOKUP(1, (SKUs!$C$2:$C$10001=G1567)*(SKUs!$K$2:$K$10001=I1567),SKUs!$E$2:$E$10001)), 0),"")</f>
        <v/>
      </c>
      <c r="E1567" s="16" t="str">
        <f>_xlfn.XLOOKUP(F1567,dd_item!$B$2:$B$105,dd_item!$C$2:$C$105,"",0)</f>
        <v/>
      </c>
      <c r="F1567" s="16"/>
      <c r="G1567" s="16" cm="1">
        <f t="array" ref="G1567">IFERROR(_xlfn.XLOOKUP(1, (SKUs!$J$2:$J$10001=accsry_unmerged!F1567)*IF(H1567&lt;&gt;"",(SKUs!$L$2:$L$10001=accsry_unmerged!H1567),1)*(SKUs!$K$2:$K$10001=I1567),SKUs!$C$2:$C$10001),"")</f>
        <v>0</v>
      </c>
      <c r="H1567" s="33" cm="1">
        <f t="array" ref="H1567">IFERROR(_xlfn.XLOOKUP(1, (dd_accsryclr!$C$2:$C$1000=accsry_unmerged!F1567)*(dd_accsryclr!$B$2:$B$1000=accsry_unmerged!J1567),dd_accsryclr!$A$2:$A$1000),"")</f>
        <v>0</v>
      </c>
      <c r="I1567" s="16">
        <f>_xlfn.XLOOKUP(C1567,'Project Details'!$C$17:$C$66,'Project Details'!$E$17:$E$66,"",0)</f>
        <v>0</v>
      </c>
      <c r="J1567" s="16">
        <f>_xlfn.XLOOKUP(C1567,'Project Details'!$C$17:$C$66,'Project Details'!$H$17:$H$66,"",0)</f>
        <v>0</v>
      </c>
      <c r="K1567" s="33" t="str">
        <f>IF(AND(_xlfn.XLOOKUP(C1567,'Project Details'!$C$17:$C$66,'Project Details'!$L$17:$L$66,"",0)&gt;550, F1567="Spring-L27cm"),"",SUBSTITUTE(_xlfn.XLOOKUP(G1567,SKUs!$C$2:$C$10001,SKUs!$F$2:$F$10001,"",0), " Accessories",""))</f>
        <v/>
      </c>
      <c r="L1567" s="33">
        <f>_xlfn.XLOOKUP(C1567,'Project Details'!$C$17:$C$66,'Project Details'!$D$17:$D$66,"",0)</f>
        <v>0</v>
      </c>
      <c r="M1567" s="43"/>
    </row>
    <row r="1568" spans="1:13" x14ac:dyDescent="0.25">
      <c r="A1568" s="43"/>
      <c r="B1568" s="43"/>
      <c r="C1568" s="35">
        <f t="shared" si="30"/>
        <v>32</v>
      </c>
      <c r="D1568" s="35" t="str" cm="1">
        <f t="array" ref="D1568">IFERROR(ROUNDUP(_xlfn.IFS(F1568="Aluminum Track", _xlfn.XLOOKUP(C1568, dd_accsrycalc!$A$2:$A$51, dd_accsrycalc!$B$2:$B$51, "",0), F1568="10 x 2 1/2 S (Flat)", _xlfn.XLOOKUP(C1568, dd_accsrycalc!$A$2:$A$51, dd_accsrycalc!$C$2:$C$51, "",0), F1568="Tox6", _xlfn.XLOOKUP(C1568, dd_accsrycalc!$A$2:$A$51, dd_accsrycalc!$D$2:$D$51, "",0), F1568="Cover Cap", _xlfn.XLOOKUP(C1568, dd_accsrycalc!$A$2:$A$51, dd_accsrycalc!$E$2:$E$51, "",0), F1568="Drainage Cover", _xlfn.XLOOKUP(C1568, dd_accsrycalc!$A$2:$A$51, dd_accsrycalc!$F$2:$F$51, "",0),AND( F1568="Double Adhesive Tape", I1568="Roll-up Screen"), _xlfn.XLOOKUP(C1568, calc_rusacc!$C$15:$C$65, calc_rusacc!$AD$15:$AD$65, "",0),AND( F1568="Sealant", I1568="Roll-up Screen"), _xlfn.XLOOKUP(C1568, calc_rusacc!$C$15:$C$65, calc_rusacc!$AF$15:$AF$65, "",0),  AND( F1568="Main Chain", I1568="Accordion Screen"), _xlfn.XLOOKUP(C1568, calc_rusacc!$C$15:$C$65, calc_rusacc!$BF$15:$BF$65, "",0), AND( F1568="Sealant", I1568="Accordion Screen"), _xlfn.XLOOKUP(C1568, calc_rusacc!$C$15:$C$65, calc_rusacc!$BJ$15:$BJ$65, "",0),  F1568="Sealant", _xlfn.XLOOKUP(C1568, dd_accsrycalc!$A$2:$A$51, dd_accsrycalc!$G$2:$G$51, "",0),  F1568&lt;&gt;"",L1568*_xlfn.XLOOKUP(1, (SKUs!$C$2:$C$10001=G1568)*(SKUs!$K$2:$K$10001=I1568),SKUs!$E$2:$E$10001)), 0),"")</f>
        <v/>
      </c>
      <c r="E1568" s="35" t="str">
        <f>_xlfn.XLOOKUP(F1568,dd_item!$B$2:$B$105,dd_item!$C$2:$C$105,"",0)</f>
        <v/>
      </c>
      <c r="F1568" s="35"/>
      <c r="G1568" s="35" cm="1">
        <f t="array" ref="G1568">IFERROR(_xlfn.XLOOKUP(1, (SKUs!$J$2:$J$10001=accsry_unmerged!F1568)*IF(H1568&lt;&gt;"",(SKUs!$L$2:$L$10001=accsry_unmerged!H1568),1)*(SKUs!$K$2:$K$10001=I1568),SKUs!$C$2:$C$10001),"")</f>
        <v>0</v>
      </c>
      <c r="H1568" s="36" cm="1">
        <f t="array" ref="H1568">IFERROR(_xlfn.XLOOKUP(1, (dd_accsryclr!$C$2:$C$1000=accsry_unmerged!F1568)*(dd_accsryclr!$B$2:$B$1000=accsry_unmerged!J1568),dd_accsryclr!$A$2:$A$1000),"")</f>
        <v>0</v>
      </c>
      <c r="I1568" s="35">
        <f>_xlfn.XLOOKUP(C1568,'Project Details'!$C$17:$C$66,'Project Details'!$E$17:$E$66,"",0)</f>
        <v>0</v>
      </c>
      <c r="J1568" s="35">
        <f>_xlfn.XLOOKUP(C1568,'Project Details'!$C$17:$C$66,'Project Details'!$H$17:$H$66,"",0)</f>
        <v>0</v>
      </c>
      <c r="K1568" s="36" t="str">
        <f>IF(AND(_xlfn.XLOOKUP(C1568,'Project Details'!$C$17:$C$66,'Project Details'!$L$17:$L$66,"",0)&gt;550, F1568="Spring-L27cm"),"",SUBSTITUTE(_xlfn.XLOOKUP(G1568,SKUs!$C$2:$C$10001,SKUs!$F$2:$F$10001,"",0), " Accessories",""))</f>
        <v/>
      </c>
      <c r="L1568" s="36">
        <f>_xlfn.XLOOKUP(C1568,'Project Details'!$C$17:$C$66,'Project Details'!$D$17:$D$66,"",0)</f>
        <v>0</v>
      </c>
      <c r="M1568" s="43"/>
    </row>
    <row r="1569" spans="1:13" x14ac:dyDescent="0.25">
      <c r="A1569" s="43"/>
      <c r="B1569" s="43"/>
      <c r="C1569" s="16">
        <f t="shared" si="30"/>
        <v>32</v>
      </c>
      <c r="D1569" s="16" t="str" cm="1">
        <f t="array" ref="D1569">IFERROR(ROUNDUP(_xlfn.IFS(F1569="Aluminum Track", _xlfn.XLOOKUP(C1569, dd_accsrycalc!$A$2:$A$51, dd_accsrycalc!$B$2:$B$51, "",0), F1569="10 x 2 1/2 S (Flat)", _xlfn.XLOOKUP(C1569, dd_accsrycalc!$A$2:$A$51, dd_accsrycalc!$C$2:$C$51, "",0), F1569="Tox6", _xlfn.XLOOKUP(C1569, dd_accsrycalc!$A$2:$A$51, dd_accsrycalc!$D$2:$D$51, "",0), F1569="Cover Cap", _xlfn.XLOOKUP(C1569, dd_accsrycalc!$A$2:$A$51, dd_accsrycalc!$E$2:$E$51, "",0), F1569="Drainage Cover", _xlfn.XLOOKUP(C1569, dd_accsrycalc!$A$2:$A$51, dd_accsrycalc!$F$2:$F$51, "",0),AND( F1569="Double Adhesive Tape", I1569="Roll-up Screen"), _xlfn.XLOOKUP(C1569, calc_rusacc!$C$15:$C$65, calc_rusacc!$AD$15:$AD$65, "",0),AND( F1569="Sealant", I1569="Roll-up Screen"), _xlfn.XLOOKUP(C1569, calc_rusacc!$C$15:$C$65, calc_rusacc!$AF$15:$AF$65, "",0),  AND( F1569="Main Chain", I1569="Accordion Screen"), _xlfn.XLOOKUP(C1569, calc_rusacc!$C$15:$C$65, calc_rusacc!$BF$15:$BF$65, "",0), AND( F1569="Sealant", I1569="Accordion Screen"), _xlfn.XLOOKUP(C1569, calc_rusacc!$C$15:$C$65, calc_rusacc!$BJ$15:$BJ$65, "",0),  F1569="Sealant", _xlfn.XLOOKUP(C1569, dd_accsrycalc!$A$2:$A$51, dd_accsrycalc!$G$2:$G$51, "",0),  F1569&lt;&gt;"",L1569*_xlfn.XLOOKUP(1, (SKUs!$C$2:$C$10001=G1569)*(SKUs!$K$2:$K$10001=I1569),SKUs!$E$2:$E$10001)), 0),"")</f>
        <v/>
      </c>
      <c r="E1569" s="16" t="str">
        <f>_xlfn.XLOOKUP(F1569,dd_item!$B$2:$B$105,dd_item!$C$2:$C$105,"",0)</f>
        <v/>
      </c>
      <c r="F1569" s="16"/>
      <c r="G1569" s="16" cm="1">
        <f t="array" ref="G1569">IFERROR(_xlfn.XLOOKUP(1, (SKUs!$J$2:$J$10001=accsry_unmerged!F1569)*IF(H1569&lt;&gt;"",(SKUs!$L$2:$L$10001=accsry_unmerged!H1569),1)*(SKUs!$K$2:$K$10001=I1569),SKUs!$C$2:$C$10001),"")</f>
        <v>0</v>
      </c>
      <c r="H1569" s="33" cm="1">
        <f t="array" ref="H1569">IFERROR(_xlfn.XLOOKUP(1, (dd_accsryclr!$C$2:$C$1000=accsry_unmerged!F1569)*(dd_accsryclr!$B$2:$B$1000=accsry_unmerged!J1569),dd_accsryclr!$A$2:$A$1000),"")</f>
        <v>0</v>
      </c>
      <c r="I1569" s="16">
        <f>_xlfn.XLOOKUP(C1569,'Project Details'!$C$17:$C$66,'Project Details'!$E$17:$E$66,"",0)</f>
        <v>0</v>
      </c>
      <c r="J1569" s="16">
        <f>_xlfn.XLOOKUP(C1569,'Project Details'!$C$17:$C$66,'Project Details'!$H$17:$H$66,"",0)</f>
        <v>0</v>
      </c>
      <c r="K1569" s="33" t="str">
        <f>IF(AND(_xlfn.XLOOKUP(C1569,'Project Details'!$C$17:$C$66,'Project Details'!$L$17:$L$66,"",0)&gt;550, F1569="Spring-L27cm"),"",SUBSTITUTE(_xlfn.XLOOKUP(G1569,SKUs!$C$2:$C$10001,SKUs!$F$2:$F$10001,"",0), " Accessories",""))</f>
        <v/>
      </c>
      <c r="L1569" s="33">
        <f>_xlfn.XLOOKUP(C1569,'Project Details'!$C$17:$C$66,'Project Details'!$D$17:$D$66,"",0)</f>
        <v>0</v>
      </c>
      <c r="M1569" s="43"/>
    </row>
    <row r="1570" spans="1:13" x14ac:dyDescent="0.25">
      <c r="A1570" s="43"/>
      <c r="B1570" s="43"/>
      <c r="C1570" s="35">
        <f t="shared" si="30"/>
        <v>32</v>
      </c>
      <c r="D1570" s="35" t="str" cm="1">
        <f t="array" ref="D1570">IFERROR(ROUNDUP(_xlfn.IFS(F1570="Aluminum Track", _xlfn.XLOOKUP(C1570, dd_accsrycalc!$A$2:$A$51, dd_accsrycalc!$B$2:$B$51, "",0), F1570="10 x 2 1/2 S (Flat)", _xlfn.XLOOKUP(C1570, dd_accsrycalc!$A$2:$A$51, dd_accsrycalc!$C$2:$C$51, "",0), F1570="Tox6", _xlfn.XLOOKUP(C1570, dd_accsrycalc!$A$2:$A$51, dd_accsrycalc!$D$2:$D$51, "",0), F1570="Cover Cap", _xlfn.XLOOKUP(C1570, dd_accsrycalc!$A$2:$A$51, dd_accsrycalc!$E$2:$E$51, "",0), F1570="Drainage Cover", _xlfn.XLOOKUP(C1570, dd_accsrycalc!$A$2:$A$51, dd_accsrycalc!$F$2:$F$51, "",0),AND( F1570="Double Adhesive Tape", I1570="Roll-up Screen"), _xlfn.XLOOKUP(C1570, calc_rusacc!$C$15:$C$65, calc_rusacc!$AD$15:$AD$65, "",0),AND( F1570="Sealant", I1570="Roll-up Screen"), _xlfn.XLOOKUP(C1570, calc_rusacc!$C$15:$C$65, calc_rusacc!$AF$15:$AF$65, "",0),  AND( F1570="Main Chain", I1570="Accordion Screen"), _xlfn.XLOOKUP(C1570, calc_rusacc!$C$15:$C$65, calc_rusacc!$BF$15:$BF$65, "",0), AND( F1570="Sealant", I1570="Accordion Screen"), _xlfn.XLOOKUP(C1570, calc_rusacc!$C$15:$C$65, calc_rusacc!$BJ$15:$BJ$65, "",0),  F1570="Sealant", _xlfn.XLOOKUP(C1570, dd_accsrycalc!$A$2:$A$51, dd_accsrycalc!$G$2:$G$51, "",0),  F1570&lt;&gt;"",L1570*_xlfn.XLOOKUP(1, (SKUs!$C$2:$C$10001=G1570)*(SKUs!$K$2:$K$10001=I1570),SKUs!$E$2:$E$10001)), 0),"")</f>
        <v/>
      </c>
      <c r="E1570" s="35" t="str">
        <f>_xlfn.XLOOKUP(F1570,dd_item!$B$2:$B$105,dd_item!$C$2:$C$105,"",0)</f>
        <v/>
      </c>
      <c r="F1570" s="35"/>
      <c r="G1570" s="35" cm="1">
        <f t="array" ref="G1570">IFERROR(_xlfn.XLOOKUP(1, (SKUs!$J$2:$J$10001=accsry_unmerged!F1570)*IF(H1570&lt;&gt;"",(SKUs!$L$2:$L$10001=accsry_unmerged!H1570),1)*(SKUs!$K$2:$K$10001=I1570),SKUs!$C$2:$C$10001),"")</f>
        <v>0</v>
      </c>
      <c r="H1570" s="36" cm="1">
        <f t="array" ref="H1570">IFERROR(_xlfn.XLOOKUP(1, (dd_accsryclr!$C$2:$C$1000=accsry_unmerged!F1570)*(dd_accsryclr!$B$2:$B$1000=accsry_unmerged!J1570),dd_accsryclr!$A$2:$A$1000),"")</f>
        <v>0</v>
      </c>
      <c r="I1570" s="35">
        <f>_xlfn.XLOOKUP(C1570,'Project Details'!$C$17:$C$66,'Project Details'!$E$17:$E$66,"",0)</f>
        <v>0</v>
      </c>
      <c r="J1570" s="35">
        <f>_xlfn.XLOOKUP(C1570,'Project Details'!$C$17:$C$66,'Project Details'!$H$17:$H$66,"",0)</f>
        <v>0</v>
      </c>
      <c r="K1570" s="36" t="str">
        <f>IF(AND(_xlfn.XLOOKUP(C1570,'Project Details'!$C$17:$C$66,'Project Details'!$L$17:$L$66,"",0)&gt;550, F1570="Spring-L27cm"),"",SUBSTITUTE(_xlfn.XLOOKUP(G1570,SKUs!$C$2:$C$10001,SKUs!$F$2:$F$10001,"",0), " Accessories",""))</f>
        <v/>
      </c>
      <c r="L1570" s="36">
        <f>_xlfn.XLOOKUP(C1570,'Project Details'!$C$17:$C$66,'Project Details'!$D$17:$D$66,"",0)</f>
        <v>0</v>
      </c>
      <c r="M1570" s="43"/>
    </row>
    <row r="1571" spans="1:13" x14ac:dyDescent="0.25">
      <c r="A1571" s="43"/>
      <c r="B1571" s="43"/>
      <c r="C1571" s="16">
        <f t="shared" si="30"/>
        <v>32</v>
      </c>
      <c r="D1571" s="16" t="str" cm="1">
        <f t="array" ref="D1571">IFERROR(ROUNDUP(_xlfn.IFS(F1571="Aluminum Track", _xlfn.XLOOKUP(C1571, dd_accsrycalc!$A$2:$A$51, dd_accsrycalc!$B$2:$B$51, "",0), F1571="10 x 2 1/2 S (Flat)", _xlfn.XLOOKUP(C1571, dd_accsrycalc!$A$2:$A$51, dd_accsrycalc!$C$2:$C$51, "",0), F1571="Tox6", _xlfn.XLOOKUP(C1571, dd_accsrycalc!$A$2:$A$51, dd_accsrycalc!$D$2:$D$51, "",0), F1571="Cover Cap", _xlfn.XLOOKUP(C1571, dd_accsrycalc!$A$2:$A$51, dd_accsrycalc!$E$2:$E$51, "",0), F1571="Drainage Cover", _xlfn.XLOOKUP(C1571, dd_accsrycalc!$A$2:$A$51, dd_accsrycalc!$F$2:$F$51, "",0),AND( F1571="Double Adhesive Tape", I1571="Roll-up Screen"), _xlfn.XLOOKUP(C1571, calc_rusacc!$C$15:$C$65, calc_rusacc!$AD$15:$AD$65, "",0),AND( F1571="Sealant", I1571="Roll-up Screen"), _xlfn.XLOOKUP(C1571, calc_rusacc!$C$15:$C$65, calc_rusacc!$AF$15:$AF$65, "",0),  AND( F1571="Main Chain", I1571="Accordion Screen"), _xlfn.XLOOKUP(C1571, calc_rusacc!$C$15:$C$65, calc_rusacc!$BF$15:$BF$65, "",0), AND( F1571="Sealant", I1571="Accordion Screen"), _xlfn.XLOOKUP(C1571, calc_rusacc!$C$15:$C$65, calc_rusacc!$BJ$15:$BJ$65, "",0),  F1571="Sealant", _xlfn.XLOOKUP(C1571, dd_accsrycalc!$A$2:$A$51, dd_accsrycalc!$G$2:$G$51, "",0),  F1571&lt;&gt;"",L1571*_xlfn.XLOOKUP(1, (SKUs!$C$2:$C$10001=G1571)*(SKUs!$K$2:$K$10001=I1571),SKUs!$E$2:$E$10001)), 0),"")</f>
        <v/>
      </c>
      <c r="E1571" s="16" t="str">
        <f>_xlfn.XLOOKUP(F1571,dd_item!$B$2:$B$105,dd_item!$C$2:$C$105,"",0)</f>
        <v/>
      </c>
      <c r="F1571" s="16"/>
      <c r="G1571" s="16" cm="1">
        <f t="array" ref="G1571">IFERROR(_xlfn.XLOOKUP(1, (SKUs!$J$2:$J$10001=accsry_unmerged!F1571)*IF(H1571&lt;&gt;"",(SKUs!$L$2:$L$10001=accsry_unmerged!H1571),1)*(SKUs!$K$2:$K$10001=I1571),SKUs!$C$2:$C$10001),"")</f>
        <v>0</v>
      </c>
      <c r="H1571" s="33" cm="1">
        <f t="array" ref="H1571">IFERROR(_xlfn.XLOOKUP(1, (dd_accsryclr!$C$2:$C$1000=accsry_unmerged!F1571)*(dd_accsryclr!$B$2:$B$1000=accsry_unmerged!J1571),dd_accsryclr!$A$2:$A$1000),"")</f>
        <v>0</v>
      </c>
      <c r="I1571" s="16">
        <f>_xlfn.XLOOKUP(C1571,'Project Details'!$C$17:$C$66,'Project Details'!$E$17:$E$66,"",0)</f>
        <v>0</v>
      </c>
      <c r="J1571" s="16">
        <f>_xlfn.XLOOKUP(C1571,'Project Details'!$C$17:$C$66,'Project Details'!$H$17:$H$66,"",0)</f>
        <v>0</v>
      </c>
      <c r="K1571" s="33" t="str">
        <f>IF(AND(_xlfn.XLOOKUP(C1571,'Project Details'!$C$17:$C$66,'Project Details'!$L$17:$L$66,"",0)&gt;550, F1571="Spring-L27cm"),"",SUBSTITUTE(_xlfn.XLOOKUP(G1571,SKUs!$C$2:$C$10001,SKUs!$F$2:$F$10001,"",0), " Accessories",""))</f>
        <v/>
      </c>
      <c r="L1571" s="33">
        <f>_xlfn.XLOOKUP(C1571,'Project Details'!$C$17:$C$66,'Project Details'!$D$17:$D$66,"",0)</f>
        <v>0</v>
      </c>
      <c r="M1571" s="43"/>
    </row>
    <row r="1572" spans="1:13" x14ac:dyDescent="0.25">
      <c r="A1572" s="43"/>
      <c r="B1572" s="43"/>
      <c r="C1572" s="35">
        <f t="shared" si="30"/>
        <v>32</v>
      </c>
      <c r="D1572" s="35" t="str" cm="1">
        <f t="array" ref="D1572">IFERROR(ROUNDUP(_xlfn.IFS(F1572="Aluminum Track", _xlfn.XLOOKUP(C1572, dd_accsrycalc!$A$2:$A$51, dd_accsrycalc!$B$2:$B$51, "",0), F1572="10 x 2 1/2 S (Flat)", _xlfn.XLOOKUP(C1572, dd_accsrycalc!$A$2:$A$51, dd_accsrycalc!$C$2:$C$51, "",0), F1572="Tox6", _xlfn.XLOOKUP(C1572, dd_accsrycalc!$A$2:$A$51, dd_accsrycalc!$D$2:$D$51, "",0), F1572="Cover Cap", _xlfn.XLOOKUP(C1572, dd_accsrycalc!$A$2:$A$51, dd_accsrycalc!$E$2:$E$51, "",0), F1572="Drainage Cover", _xlfn.XLOOKUP(C1572, dd_accsrycalc!$A$2:$A$51, dd_accsrycalc!$F$2:$F$51, "",0),AND( F1572="Double Adhesive Tape", I1572="Roll-up Screen"), _xlfn.XLOOKUP(C1572, calc_rusacc!$C$15:$C$65, calc_rusacc!$AD$15:$AD$65, "",0),AND( F1572="Sealant", I1572="Roll-up Screen"), _xlfn.XLOOKUP(C1572, calc_rusacc!$C$15:$C$65, calc_rusacc!$AF$15:$AF$65, "",0),  AND( F1572="Main Chain", I1572="Accordion Screen"), _xlfn.XLOOKUP(C1572, calc_rusacc!$C$15:$C$65, calc_rusacc!$BF$15:$BF$65, "",0), AND( F1572="Sealant", I1572="Accordion Screen"), _xlfn.XLOOKUP(C1572, calc_rusacc!$C$15:$C$65, calc_rusacc!$BJ$15:$BJ$65, "",0),  F1572="Sealant", _xlfn.XLOOKUP(C1572, dd_accsrycalc!$A$2:$A$51, dd_accsrycalc!$G$2:$G$51, "",0),  F1572&lt;&gt;"",L1572*_xlfn.XLOOKUP(1, (SKUs!$C$2:$C$10001=G1572)*(SKUs!$K$2:$K$10001=I1572),SKUs!$E$2:$E$10001)), 0),"")</f>
        <v/>
      </c>
      <c r="E1572" s="35" t="str">
        <f>_xlfn.XLOOKUP(F1572,dd_item!$B$2:$B$105,dd_item!$C$2:$C$105,"",0)</f>
        <v/>
      </c>
      <c r="F1572" s="35"/>
      <c r="G1572" s="35" cm="1">
        <f t="array" ref="G1572">IFERROR(_xlfn.XLOOKUP(1, (SKUs!$J$2:$J$10001=accsry_unmerged!F1572)*IF(H1572&lt;&gt;"",(SKUs!$L$2:$L$10001=accsry_unmerged!H1572),1)*(SKUs!$K$2:$K$10001=I1572),SKUs!$C$2:$C$10001),"")</f>
        <v>0</v>
      </c>
      <c r="H1572" s="36" cm="1">
        <f t="array" ref="H1572">IFERROR(_xlfn.XLOOKUP(1, (dd_accsryclr!$C$2:$C$1000=accsry_unmerged!F1572)*(dd_accsryclr!$B$2:$B$1000=accsry_unmerged!J1572),dd_accsryclr!$A$2:$A$1000),"")</f>
        <v>0</v>
      </c>
      <c r="I1572" s="35">
        <f>_xlfn.XLOOKUP(C1572,'Project Details'!$C$17:$C$66,'Project Details'!$E$17:$E$66,"",0)</f>
        <v>0</v>
      </c>
      <c r="J1572" s="35">
        <f>_xlfn.XLOOKUP(C1572,'Project Details'!$C$17:$C$66,'Project Details'!$H$17:$H$66,"",0)</f>
        <v>0</v>
      </c>
      <c r="K1572" s="36" t="str">
        <f>IF(AND(_xlfn.XLOOKUP(C1572,'Project Details'!$C$17:$C$66,'Project Details'!$L$17:$L$66,"",0)&gt;550, F1572="Spring-L27cm"),"",SUBSTITUTE(_xlfn.XLOOKUP(G1572,SKUs!$C$2:$C$10001,SKUs!$F$2:$F$10001,"",0), " Accessories",""))</f>
        <v/>
      </c>
      <c r="L1572" s="36">
        <f>_xlfn.XLOOKUP(C1572,'Project Details'!$C$17:$C$66,'Project Details'!$D$17:$D$66,"",0)</f>
        <v>0</v>
      </c>
      <c r="M1572" s="43"/>
    </row>
    <row r="1573" spans="1:13" x14ac:dyDescent="0.25">
      <c r="A1573" s="43"/>
      <c r="B1573" s="43"/>
      <c r="C1573" s="16">
        <f t="shared" si="30"/>
        <v>32</v>
      </c>
      <c r="D1573" s="16" t="str" cm="1">
        <f t="array" ref="D1573">IFERROR(ROUNDUP(_xlfn.IFS(F1573="Aluminum Track", _xlfn.XLOOKUP(C1573, dd_accsrycalc!$A$2:$A$51, dd_accsrycalc!$B$2:$B$51, "",0), F1573="10 x 2 1/2 S (Flat)", _xlfn.XLOOKUP(C1573, dd_accsrycalc!$A$2:$A$51, dd_accsrycalc!$C$2:$C$51, "",0), F1573="Tox6", _xlfn.XLOOKUP(C1573, dd_accsrycalc!$A$2:$A$51, dd_accsrycalc!$D$2:$D$51, "",0), F1573="Cover Cap", _xlfn.XLOOKUP(C1573, dd_accsrycalc!$A$2:$A$51, dd_accsrycalc!$E$2:$E$51, "",0), F1573="Drainage Cover", _xlfn.XLOOKUP(C1573, dd_accsrycalc!$A$2:$A$51, dd_accsrycalc!$F$2:$F$51, "",0),AND( F1573="Double Adhesive Tape", I1573="Roll-up Screen"), _xlfn.XLOOKUP(C1573, calc_rusacc!$C$15:$C$65, calc_rusacc!$AD$15:$AD$65, "",0),AND( F1573="Sealant", I1573="Roll-up Screen"), _xlfn.XLOOKUP(C1573, calc_rusacc!$C$15:$C$65, calc_rusacc!$AF$15:$AF$65, "",0),  AND( F1573="Main Chain", I1573="Accordion Screen"), _xlfn.XLOOKUP(C1573, calc_rusacc!$C$15:$C$65, calc_rusacc!$BF$15:$BF$65, "",0), AND( F1573="Sealant", I1573="Accordion Screen"), _xlfn.XLOOKUP(C1573, calc_rusacc!$C$15:$C$65, calc_rusacc!$BJ$15:$BJ$65, "",0),  F1573="Sealant", _xlfn.XLOOKUP(C1573, dd_accsrycalc!$A$2:$A$51, dd_accsrycalc!$G$2:$G$51, "",0),  F1573&lt;&gt;"",L1573*_xlfn.XLOOKUP(1, (SKUs!$C$2:$C$10001=G1573)*(SKUs!$K$2:$K$10001=I1573),SKUs!$E$2:$E$10001)), 0),"")</f>
        <v/>
      </c>
      <c r="E1573" s="16" t="str">
        <f>_xlfn.XLOOKUP(F1573,dd_item!$B$2:$B$105,dd_item!$C$2:$C$105,"",0)</f>
        <v/>
      </c>
      <c r="F1573" s="16"/>
      <c r="G1573" s="16" cm="1">
        <f t="array" ref="G1573">IFERROR(_xlfn.XLOOKUP(1, (SKUs!$J$2:$J$10001=accsry_unmerged!F1573)*IF(H1573&lt;&gt;"",(SKUs!$L$2:$L$10001=accsry_unmerged!H1573),1)*(SKUs!$K$2:$K$10001=I1573),SKUs!$C$2:$C$10001),"")</f>
        <v>0</v>
      </c>
      <c r="H1573" s="33" cm="1">
        <f t="array" ref="H1573">IFERROR(_xlfn.XLOOKUP(1, (dd_accsryclr!$C$2:$C$1000=accsry_unmerged!F1573)*(dd_accsryclr!$B$2:$B$1000=accsry_unmerged!J1573),dd_accsryclr!$A$2:$A$1000),"")</f>
        <v>0</v>
      </c>
      <c r="I1573" s="16">
        <f>_xlfn.XLOOKUP(C1573,'Project Details'!$C$17:$C$66,'Project Details'!$E$17:$E$66,"",0)</f>
        <v>0</v>
      </c>
      <c r="J1573" s="16">
        <f>_xlfn.XLOOKUP(C1573,'Project Details'!$C$17:$C$66,'Project Details'!$H$17:$H$66,"",0)</f>
        <v>0</v>
      </c>
      <c r="K1573" s="33" t="str">
        <f>IF(AND(_xlfn.XLOOKUP(C1573,'Project Details'!$C$17:$C$66,'Project Details'!$L$17:$L$66,"",0)&gt;550, F1573="Spring-L27cm"),"",SUBSTITUTE(_xlfn.XLOOKUP(G1573,SKUs!$C$2:$C$10001,SKUs!$F$2:$F$10001,"",0), " Accessories",""))</f>
        <v/>
      </c>
      <c r="L1573" s="33">
        <f>_xlfn.XLOOKUP(C1573,'Project Details'!$C$17:$C$66,'Project Details'!$D$17:$D$66,"",0)</f>
        <v>0</v>
      </c>
      <c r="M1573" s="43"/>
    </row>
    <row r="1574" spans="1:13" x14ac:dyDescent="0.25">
      <c r="A1574" s="43"/>
      <c r="B1574" s="43"/>
      <c r="C1574" s="35">
        <f t="shared" si="30"/>
        <v>32</v>
      </c>
      <c r="D1574" s="35" t="str" cm="1">
        <f t="array" ref="D1574">IFERROR(ROUNDUP(_xlfn.IFS(F1574="Aluminum Track", _xlfn.XLOOKUP(C1574, dd_accsrycalc!$A$2:$A$51, dd_accsrycalc!$B$2:$B$51, "",0), F1574="10 x 2 1/2 S (Flat)", _xlfn.XLOOKUP(C1574, dd_accsrycalc!$A$2:$A$51, dd_accsrycalc!$C$2:$C$51, "",0), F1574="Tox6", _xlfn.XLOOKUP(C1574, dd_accsrycalc!$A$2:$A$51, dd_accsrycalc!$D$2:$D$51, "",0), F1574="Cover Cap", _xlfn.XLOOKUP(C1574, dd_accsrycalc!$A$2:$A$51, dd_accsrycalc!$E$2:$E$51, "",0), F1574="Drainage Cover", _xlfn.XLOOKUP(C1574, dd_accsrycalc!$A$2:$A$51, dd_accsrycalc!$F$2:$F$51, "",0),AND( F1574="Double Adhesive Tape", I1574="Roll-up Screen"), _xlfn.XLOOKUP(C1574, calc_rusacc!$C$15:$C$65, calc_rusacc!$AD$15:$AD$65, "",0),AND( F1574="Sealant", I1574="Roll-up Screen"), _xlfn.XLOOKUP(C1574, calc_rusacc!$C$15:$C$65, calc_rusacc!$AF$15:$AF$65, "",0),  AND( F1574="Main Chain", I1574="Accordion Screen"), _xlfn.XLOOKUP(C1574, calc_rusacc!$C$15:$C$65, calc_rusacc!$BF$15:$BF$65, "",0), AND( F1574="Sealant", I1574="Accordion Screen"), _xlfn.XLOOKUP(C1574, calc_rusacc!$C$15:$C$65, calc_rusacc!$BJ$15:$BJ$65, "",0),  F1574="Sealant", _xlfn.XLOOKUP(C1574, dd_accsrycalc!$A$2:$A$51, dd_accsrycalc!$G$2:$G$51, "",0),  F1574&lt;&gt;"",L1574*_xlfn.XLOOKUP(1, (SKUs!$C$2:$C$10001=G1574)*(SKUs!$K$2:$K$10001=I1574),SKUs!$E$2:$E$10001)), 0),"")</f>
        <v/>
      </c>
      <c r="E1574" s="35" t="str">
        <f>_xlfn.XLOOKUP(F1574,dd_item!$B$2:$B$105,dd_item!$C$2:$C$105,"",0)</f>
        <v/>
      </c>
      <c r="F1574" s="35"/>
      <c r="G1574" s="35" cm="1">
        <f t="array" ref="G1574">IFERROR(_xlfn.XLOOKUP(1, (SKUs!$J$2:$J$10001=accsry_unmerged!F1574)*IF(H1574&lt;&gt;"",(SKUs!$L$2:$L$10001=accsry_unmerged!H1574),1)*(SKUs!$K$2:$K$10001=I1574),SKUs!$C$2:$C$10001),"")</f>
        <v>0</v>
      </c>
      <c r="H1574" s="36" cm="1">
        <f t="array" ref="H1574">IFERROR(_xlfn.XLOOKUP(1, (dd_accsryclr!$C$2:$C$1000=accsry_unmerged!F1574)*(dd_accsryclr!$B$2:$B$1000=accsry_unmerged!J1574),dd_accsryclr!$A$2:$A$1000),"")</f>
        <v>0</v>
      </c>
      <c r="I1574" s="35">
        <f>_xlfn.XLOOKUP(C1574,'Project Details'!$C$17:$C$66,'Project Details'!$E$17:$E$66,"",0)</f>
        <v>0</v>
      </c>
      <c r="J1574" s="35">
        <f>_xlfn.XLOOKUP(C1574,'Project Details'!$C$17:$C$66,'Project Details'!$H$17:$H$66,"",0)</f>
        <v>0</v>
      </c>
      <c r="K1574" s="36" t="str">
        <f>IF(AND(_xlfn.XLOOKUP(C1574,'Project Details'!$C$17:$C$66,'Project Details'!$L$17:$L$66,"",0)&gt;550, F1574="Spring-L27cm"),"",SUBSTITUTE(_xlfn.XLOOKUP(G1574,SKUs!$C$2:$C$10001,SKUs!$F$2:$F$10001,"",0), " Accessories",""))</f>
        <v/>
      </c>
      <c r="L1574" s="36">
        <f>_xlfn.XLOOKUP(C1574,'Project Details'!$C$17:$C$66,'Project Details'!$D$17:$D$66,"",0)</f>
        <v>0</v>
      </c>
      <c r="M1574" s="43"/>
    </row>
    <row r="1575" spans="1:13" x14ac:dyDescent="0.25">
      <c r="A1575" s="43"/>
      <c r="B1575" s="43"/>
      <c r="C1575" s="16">
        <f t="shared" si="30"/>
        <v>32</v>
      </c>
      <c r="D1575" s="16" t="str" cm="1">
        <f t="array" ref="D1575">IFERROR(ROUNDUP(_xlfn.IFS(F1575="Aluminum Track", _xlfn.XLOOKUP(C1575, dd_accsrycalc!$A$2:$A$51, dd_accsrycalc!$B$2:$B$51, "",0), F1575="10 x 2 1/2 S (Flat)", _xlfn.XLOOKUP(C1575, dd_accsrycalc!$A$2:$A$51, dd_accsrycalc!$C$2:$C$51, "",0), F1575="Tox6", _xlfn.XLOOKUP(C1575, dd_accsrycalc!$A$2:$A$51, dd_accsrycalc!$D$2:$D$51, "",0), F1575="Cover Cap", _xlfn.XLOOKUP(C1575, dd_accsrycalc!$A$2:$A$51, dd_accsrycalc!$E$2:$E$51, "",0), F1575="Drainage Cover", _xlfn.XLOOKUP(C1575, dd_accsrycalc!$A$2:$A$51, dd_accsrycalc!$F$2:$F$51, "",0),AND( F1575="Double Adhesive Tape", I1575="Roll-up Screen"), _xlfn.XLOOKUP(C1575, calc_rusacc!$C$15:$C$65, calc_rusacc!$AD$15:$AD$65, "",0),AND( F1575="Sealant", I1575="Roll-up Screen"), _xlfn.XLOOKUP(C1575, calc_rusacc!$C$15:$C$65, calc_rusacc!$AF$15:$AF$65, "",0),  AND( F1575="Main Chain", I1575="Accordion Screen"), _xlfn.XLOOKUP(C1575, calc_rusacc!$C$15:$C$65, calc_rusacc!$BF$15:$BF$65, "",0), AND( F1575="Sealant", I1575="Accordion Screen"), _xlfn.XLOOKUP(C1575, calc_rusacc!$C$15:$C$65, calc_rusacc!$BJ$15:$BJ$65, "",0),  F1575="Sealant", _xlfn.XLOOKUP(C1575, dd_accsrycalc!$A$2:$A$51, dd_accsrycalc!$G$2:$G$51, "",0),  F1575&lt;&gt;"",L1575*_xlfn.XLOOKUP(1, (SKUs!$C$2:$C$10001=G1575)*(SKUs!$K$2:$K$10001=I1575),SKUs!$E$2:$E$10001)), 0),"")</f>
        <v/>
      </c>
      <c r="E1575" s="16" t="str">
        <f>_xlfn.XLOOKUP(F1575,dd_item!$B$2:$B$105,dd_item!$C$2:$C$105,"",0)</f>
        <v/>
      </c>
      <c r="F1575" s="16"/>
      <c r="G1575" s="16" cm="1">
        <f t="array" ref="G1575">IFERROR(_xlfn.XLOOKUP(1, (SKUs!$J$2:$J$10001=accsry_unmerged!F1575)*IF(H1575&lt;&gt;"",(SKUs!$L$2:$L$10001=accsry_unmerged!H1575),1)*(SKUs!$K$2:$K$10001=I1575),SKUs!$C$2:$C$10001),"")</f>
        <v>0</v>
      </c>
      <c r="H1575" s="33" cm="1">
        <f t="array" ref="H1575">IFERROR(_xlfn.XLOOKUP(1, (dd_accsryclr!$C$2:$C$1000=accsry_unmerged!F1575)*(dd_accsryclr!$B$2:$B$1000=accsry_unmerged!J1575),dd_accsryclr!$A$2:$A$1000),"")</f>
        <v>0</v>
      </c>
      <c r="I1575" s="16">
        <f>_xlfn.XLOOKUP(C1575,'Project Details'!$C$17:$C$66,'Project Details'!$E$17:$E$66,"",0)</f>
        <v>0</v>
      </c>
      <c r="J1575" s="16">
        <f>_xlfn.XLOOKUP(C1575,'Project Details'!$C$17:$C$66,'Project Details'!$H$17:$H$66,"",0)</f>
        <v>0</v>
      </c>
      <c r="K1575" s="33" t="str">
        <f>IF(AND(_xlfn.XLOOKUP(C1575,'Project Details'!$C$17:$C$66,'Project Details'!$L$17:$L$66,"",0)&gt;550, F1575="Spring-L27cm"),"",SUBSTITUTE(_xlfn.XLOOKUP(G1575,SKUs!$C$2:$C$10001,SKUs!$F$2:$F$10001,"",0), " Accessories",""))</f>
        <v/>
      </c>
      <c r="L1575" s="33">
        <f>_xlfn.XLOOKUP(C1575,'Project Details'!$C$17:$C$66,'Project Details'!$D$17:$D$66,"",0)</f>
        <v>0</v>
      </c>
      <c r="M1575" s="43"/>
    </row>
    <row r="1576" spans="1:13" x14ac:dyDescent="0.25">
      <c r="A1576" s="43"/>
      <c r="B1576" s="43"/>
      <c r="C1576" s="35">
        <f t="shared" si="30"/>
        <v>32</v>
      </c>
      <c r="D1576" s="35" t="str" cm="1">
        <f t="array" ref="D1576">IFERROR(ROUNDUP(_xlfn.IFS(F1576="Aluminum Track", _xlfn.XLOOKUP(C1576, dd_accsrycalc!$A$2:$A$51, dd_accsrycalc!$B$2:$B$51, "",0), F1576="10 x 2 1/2 S (Flat)", _xlfn.XLOOKUP(C1576, dd_accsrycalc!$A$2:$A$51, dd_accsrycalc!$C$2:$C$51, "",0), F1576="Tox6", _xlfn.XLOOKUP(C1576, dd_accsrycalc!$A$2:$A$51, dd_accsrycalc!$D$2:$D$51, "",0), F1576="Cover Cap", _xlfn.XLOOKUP(C1576, dd_accsrycalc!$A$2:$A$51, dd_accsrycalc!$E$2:$E$51, "",0), F1576="Drainage Cover", _xlfn.XLOOKUP(C1576, dd_accsrycalc!$A$2:$A$51, dd_accsrycalc!$F$2:$F$51, "",0),AND( F1576="Double Adhesive Tape", I1576="Roll-up Screen"), _xlfn.XLOOKUP(C1576, calc_rusacc!$C$15:$C$65, calc_rusacc!$AD$15:$AD$65, "",0),AND( F1576="Sealant", I1576="Roll-up Screen"), _xlfn.XLOOKUP(C1576, calc_rusacc!$C$15:$C$65, calc_rusacc!$AF$15:$AF$65, "",0),  AND( F1576="Main Chain", I1576="Accordion Screen"), _xlfn.XLOOKUP(C1576, calc_rusacc!$C$15:$C$65, calc_rusacc!$BF$15:$BF$65, "",0), AND( F1576="Sealant", I1576="Accordion Screen"), _xlfn.XLOOKUP(C1576, calc_rusacc!$C$15:$C$65, calc_rusacc!$BJ$15:$BJ$65, "",0),  F1576="Sealant", _xlfn.XLOOKUP(C1576, dd_accsrycalc!$A$2:$A$51, dd_accsrycalc!$G$2:$G$51, "",0),  F1576&lt;&gt;"",L1576*_xlfn.XLOOKUP(1, (SKUs!$C$2:$C$10001=G1576)*(SKUs!$K$2:$K$10001=I1576),SKUs!$E$2:$E$10001)), 0),"")</f>
        <v/>
      </c>
      <c r="E1576" s="35" t="str">
        <f>_xlfn.XLOOKUP(F1576,dd_item!$B$2:$B$105,dd_item!$C$2:$C$105,"",0)</f>
        <v/>
      </c>
      <c r="F1576" s="35"/>
      <c r="G1576" s="35" cm="1">
        <f t="array" ref="G1576">IFERROR(_xlfn.XLOOKUP(1, (SKUs!$J$2:$J$10001=accsry_unmerged!F1576)*IF(H1576&lt;&gt;"",(SKUs!$L$2:$L$10001=accsry_unmerged!H1576),1)*(SKUs!$K$2:$K$10001=I1576),SKUs!$C$2:$C$10001),"")</f>
        <v>0</v>
      </c>
      <c r="H1576" s="36" cm="1">
        <f t="array" ref="H1576">IFERROR(_xlfn.XLOOKUP(1, (dd_accsryclr!$C$2:$C$1000=accsry_unmerged!F1576)*(dd_accsryclr!$B$2:$B$1000=accsry_unmerged!J1576),dd_accsryclr!$A$2:$A$1000),"")</f>
        <v>0</v>
      </c>
      <c r="I1576" s="35">
        <f>_xlfn.XLOOKUP(C1576,'Project Details'!$C$17:$C$66,'Project Details'!$E$17:$E$66,"",0)</f>
        <v>0</v>
      </c>
      <c r="J1576" s="35">
        <f>_xlfn.XLOOKUP(C1576,'Project Details'!$C$17:$C$66,'Project Details'!$H$17:$H$66,"",0)</f>
        <v>0</v>
      </c>
      <c r="K1576" s="36" t="str">
        <f>IF(AND(_xlfn.XLOOKUP(C1576,'Project Details'!$C$17:$C$66,'Project Details'!$L$17:$L$66,"",0)&gt;550, F1576="Spring-L27cm"),"",SUBSTITUTE(_xlfn.XLOOKUP(G1576,SKUs!$C$2:$C$10001,SKUs!$F$2:$F$10001,"",0), " Accessories",""))</f>
        <v/>
      </c>
      <c r="L1576" s="36">
        <f>_xlfn.XLOOKUP(C1576,'Project Details'!$C$17:$C$66,'Project Details'!$D$17:$D$66,"",0)</f>
        <v>0</v>
      </c>
      <c r="M1576" s="43"/>
    </row>
    <row r="1577" spans="1:13" x14ac:dyDescent="0.25">
      <c r="A1577" s="43"/>
      <c r="B1577" s="43"/>
      <c r="C1577" s="16">
        <f t="shared" si="30"/>
        <v>32</v>
      </c>
      <c r="D1577" s="16" t="str" cm="1">
        <f t="array" ref="D1577">IFERROR(ROUNDUP(_xlfn.IFS(F1577="Aluminum Track", _xlfn.XLOOKUP(C1577, dd_accsrycalc!$A$2:$A$51, dd_accsrycalc!$B$2:$B$51, "",0), F1577="10 x 2 1/2 S (Flat)", _xlfn.XLOOKUP(C1577, dd_accsrycalc!$A$2:$A$51, dd_accsrycalc!$C$2:$C$51, "",0), F1577="Tox6", _xlfn.XLOOKUP(C1577, dd_accsrycalc!$A$2:$A$51, dd_accsrycalc!$D$2:$D$51, "",0), F1577="Cover Cap", _xlfn.XLOOKUP(C1577, dd_accsrycalc!$A$2:$A$51, dd_accsrycalc!$E$2:$E$51, "",0), F1577="Drainage Cover", _xlfn.XLOOKUP(C1577, dd_accsrycalc!$A$2:$A$51, dd_accsrycalc!$F$2:$F$51, "",0),AND( F1577="Double Adhesive Tape", I1577="Roll-up Screen"), _xlfn.XLOOKUP(C1577, calc_rusacc!$C$15:$C$65, calc_rusacc!$AD$15:$AD$65, "",0),AND( F1577="Sealant", I1577="Roll-up Screen"), _xlfn.XLOOKUP(C1577, calc_rusacc!$C$15:$C$65, calc_rusacc!$AF$15:$AF$65, "",0),  AND( F1577="Main Chain", I1577="Accordion Screen"), _xlfn.XLOOKUP(C1577, calc_rusacc!$C$15:$C$65, calc_rusacc!$BF$15:$BF$65, "",0), AND( F1577="Sealant", I1577="Accordion Screen"), _xlfn.XLOOKUP(C1577, calc_rusacc!$C$15:$C$65, calc_rusacc!$BJ$15:$BJ$65, "",0),  F1577="Sealant", _xlfn.XLOOKUP(C1577, dd_accsrycalc!$A$2:$A$51, dd_accsrycalc!$G$2:$G$51, "",0),  F1577&lt;&gt;"",L1577*_xlfn.XLOOKUP(1, (SKUs!$C$2:$C$10001=G1577)*(SKUs!$K$2:$K$10001=I1577),SKUs!$E$2:$E$10001)), 0),"")</f>
        <v/>
      </c>
      <c r="E1577" s="16" t="str">
        <f>_xlfn.XLOOKUP(F1577,dd_item!$B$2:$B$105,dd_item!$C$2:$C$105,"",0)</f>
        <v/>
      </c>
      <c r="F1577" s="16"/>
      <c r="G1577" s="16" cm="1">
        <f t="array" ref="G1577">IFERROR(_xlfn.XLOOKUP(1, (SKUs!$J$2:$J$10001=accsry_unmerged!F1577)*IF(H1577&lt;&gt;"",(SKUs!$L$2:$L$10001=accsry_unmerged!H1577),1)*(SKUs!$K$2:$K$10001=I1577),SKUs!$C$2:$C$10001),"")</f>
        <v>0</v>
      </c>
      <c r="H1577" s="33" cm="1">
        <f t="array" ref="H1577">IFERROR(_xlfn.XLOOKUP(1, (dd_accsryclr!$C$2:$C$1000=accsry_unmerged!F1577)*(dd_accsryclr!$B$2:$B$1000=accsry_unmerged!J1577),dd_accsryclr!$A$2:$A$1000),"")</f>
        <v>0</v>
      </c>
      <c r="I1577" s="16">
        <f>_xlfn.XLOOKUP(C1577,'Project Details'!$C$17:$C$66,'Project Details'!$E$17:$E$66,"",0)</f>
        <v>0</v>
      </c>
      <c r="J1577" s="16">
        <f>_xlfn.XLOOKUP(C1577,'Project Details'!$C$17:$C$66,'Project Details'!$H$17:$H$66,"",0)</f>
        <v>0</v>
      </c>
      <c r="K1577" s="33" t="str">
        <f>IF(AND(_xlfn.XLOOKUP(C1577,'Project Details'!$C$17:$C$66,'Project Details'!$L$17:$L$66,"",0)&gt;550, F1577="Spring-L27cm"),"",SUBSTITUTE(_xlfn.XLOOKUP(G1577,SKUs!$C$2:$C$10001,SKUs!$F$2:$F$10001,"",0), " Accessories",""))</f>
        <v/>
      </c>
      <c r="L1577" s="33">
        <f>_xlfn.XLOOKUP(C1577,'Project Details'!$C$17:$C$66,'Project Details'!$D$17:$D$66,"",0)</f>
        <v>0</v>
      </c>
      <c r="M1577" s="43"/>
    </row>
    <row r="1578" spans="1:13" x14ac:dyDescent="0.25">
      <c r="A1578" s="43"/>
      <c r="B1578" s="43"/>
      <c r="C1578" s="35">
        <f t="shared" si="30"/>
        <v>32</v>
      </c>
      <c r="D1578" s="35" t="str" cm="1">
        <f t="array" ref="D1578">IFERROR(ROUNDUP(_xlfn.IFS(F1578="Aluminum Track", _xlfn.XLOOKUP(C1578, dd_accsrycalc!$A$2:$A$51, dd_accsrycalc!$B$2:$B$51, "",0), F1578="10 x 2 1/2 S (Flat)", _xlfn.XLOOKUP(C1578, dd_accsrycalc!$A$2:$A$51, dd_accsrycalc!$C$2:$C$51, "",0), F1578="Tox6", _xlfn.XLOOKUP(C1578, dd_accsrycalc!$A$2:$A$51, dd_accsrycalc!$D$2:$D$51, "",0), F1578="Cover Cap", _xlfn.XLOOKUP(C1578, dd_accsrycalc!$A$2:$A$51, dd_accsrycalc!$E$2:$E$51, "",0), F1578="Drainage Cover", _xlfn.XLOOKUP(C1578, dd_accsrycalc!$A$2:$A$51, dd_accsrycalc!$F$2:$F$51, "",0),AND( F1578="Double Adhesive Tape", I1578="Roll-up Screen"), _xlfn.XLOOKUP(C1578, calc_rusacc!$C$15:$C$65, calc_rusacc!$AD$15:$AD$65, "",0),AND( F1578="Sealant", I1578="Roll-up Screen"), _xlfn.XLOOKUP(C1578, calc_rusacc!$C$15:$C$65, calc_rusacc!$AF$15:$AF$65, "",0),  AND( F1578="Main Chain", I1578="Accordion Screen"), _xlfn.XLOOKUP(C1578, calc_rusacc!$C$15:$C$65, calc_rusacc!$BF$15:$BF$65, "",0), AND( F1578="Sealant", I1578="Accordion Screen"), _xlfn.XLOOKUP(C1578, calc_rusacc!$C$15:$C$65, calc_rusacc!$BJ$15:$BJ$65, "",0),  F1578="Sealant", _xlfn.XLOOKUP(C1578, dd_accsrycalc!$A$2:$A$51, dd_accsrycalc!$G$2:$G$51, "",0),  F1578&lt;&gt;"",L1578*_xlfn.XLOOKUP(1, (SKUs!$C$2:$C$10001=G1578)*(SKUs!$K$2:$K$10001=I1578),SKUs!$E$2:$E$10001)), 0),"")</f>
        <v/>
      </c>
      <c r="E1578" s="35" t="str">
        <f>_xlfn.XLOOKUP(F1578,dd_item!$B$2:$B$105,dd_item!$C$2:$C$105,"",0)</f>
        <v/>
      </c>
      <c r="F1578" s="35"/>
      <c r="G1578" s="35" cm="1">
        <f t="array" ref="G1578">IFERROR(_xlfn.XLOOKUP(1, (SKUs!$J$2:$J$10001=accsry_unmerged!F1578)*IF(H1578&lt;&gt;"",(SKUs!$L$2:$L$10001=accsry_unmerged!H1578),1)*(SKUs!$K$2:$K$10001=I1578),SKUs!$C$2:$C$10001),"")</f>
        <v>0</v>
      </c>
      <c r="H1578" s="36" cm="1">
        <f t="array" ref="H1578">IFERROR(_xlfn.XLOOKUP(1, (dd_accsryclr!$C$2:$C$1000=accsry_unmerged!F1578)*(dd_accsryclr!$B$2:$B$1000=accsry_unmerged!J1578),dd_accsryclr!$A$2:$A$1000),"")</f>
        <v>0</v>
      </c>
      <c r="I1578" s="35">
        <f>_xlfn.XLOOKUP(C1578,'Project Details'!$C$17:$C$66,'Project Details'!$E$17:$E$66,"",0)</f>
        <v>0</v>
      </c>
      <c r="J1578" s="35">
        <f>_xlfn.XLOOKUP(C1578,'Project Details'!$C$17:$C$66,'Project Details'!$H$17:$H$66,"",0)</f>
        <v>0</v>
      </c>
      <c r="K1578" s="36" t="str">
        <f>IF(AND(_xlfn.XLOOKUP(C1578,'Project Details'!$C$17:$C$66,'Project Details'!$L$17:$L$66,"",0)&gt;550, F1578="Spring-L27cm"),"",SUBSTITUTE(_xlfn.XLOOKUP(G1578,SKUs!$C$2:$C$10001,SKUs!$F$2:$F$10001,"",0), " Accessories",""))</f>
        <v/>
      </c>
      <c r="L1578" s="36">
        <f>_xlfn.XLOOKUP(C1578,'Project Details'!$C$17:$C$66,'Project Details'!$D$17:$D$66,"",0)</f>
        <v>0</v>
      </c>
      <c r="M1578" s="43"/>
    </row>
    <row r="1579" spans="1:13" x14ac:dyDescent="0.25">
      <c r="A1579" s="43"/>
      <c r="B1579" s="43"/>
      <c r="C1579" s="16">
        <f t="shared" si="30"/>
        <v>32</v>
      </c>
      <c r="D1579" s="16" t="str" cm="1">
        <f t="array" ref="D1579">IFERROR(ROUNDUP(_xlfn.IFS(F1579="Aluminum Track", _xlfn.XLOOKUP(C1579, dd_accsrycalc!$A$2:$A$51, dd_accsrycalc!$B$2:$B$51, "",0), F1579="10 x 2 1/2 S (Flat)", _xlfn.XLOOKUP(C1579, dd_accsrycalc!$A$2:$A$51, dd_accsrycalc!$C$2:$C$51, "",0), F1579="Tox6", _xlfn.XLOOKUP(C1579, dd_accsrycalc!$A$2:$A$51, dd_accsrycalc!$D$2:$D$51, "",0), F1579="Cover Cap", _xlfn.XLOOKUP(C1579, dd_accsrycalc!$A$2:$A$51, dd_accsrycalc!$E$2:$E$51, "",0), F1579="Drainage Cover", _xlfn.XLOOKUP(C1579, dd_accsrycalc!$A$2:$A$51, dd_accsrycalc!$F$2:$F$51, "",0),AND( F1579="Double Adhesive Tape", I1579="Roll-up Screen"), _xlfn.XLOOKUP(C1579, calc_rusacc!$C$15:$C$65, calc_rusacc!$AD$15:$AD$65, "",0),AND( F1579="Sealant", I1579="Roll-up Screen"), _xlfn.XLOOKUP(C1579, calc_rusacc!$C$15:$C$65, calc_rusacc!$AF$15:$AF$65, "",0),  AND( F1579="Main Chain", I1579="Accordion Screen"), _xlfn.XLOOKUP(C1579, calc_rusacc!$C$15:$C$65, calc_rusacc!$BF$15:$BF$65, "",0), AND( F1579="Sealant", I1579="Accordion Screen"), _xlfn.XLOOKUP(C1579, calc_rusacc!$C$15:$C$65, calc_rusacc!$BJ$15:$BJ$65, "",0),  F1579="Sealant", _xlfn.XLOOKUP(C1579, dd_accsrycalc!$A$2:$A$51, dd_accsrycalc!$G$2:$G$51, "",0),  F1579&lt;&gt;"",L1579*_xlfn.XLOOKUP(1, (SKUs!$C$2:$C$10001=G1579)*(SKUs!$K$2:$K$10001=I1579),SKUs!$E$2:$E$10001)), 0),"")</f>
        <v/>
      </c>
      <c r="E1579" s="16" t="str">
        <f>_xlfn.XLOOKUP(F1579,dd_item!$B$2:$B$105,dd_item!$C$2:$C$105,"",0)</f>
        <v/>
      </c>
      <c r="F1579" s="16"/>
      <c r="G1579" s="16" cm="1">
        <f t="array" ref="G1579">IFERROR(_xlfn.XLOOKUP(1, (SKUs!$J$2:$J$10001=accsry_unmerged!F1579)*IF(H1579&lt;&gt;"",(SKUs!$L$2:$L$10001=accsry_unmerged!H1579),1)*(SKUs!$K$2:$K$10001=I1579),SKUs!$C$2:$C$10001),"")</f>
        <v>0</v>
      </c>
      <c r="H1579" s="33" cm="1">
        <f t="array" ref="H1579">IFERROR(_xlfn.XLOOKUP(1, (dd_accsryclr!$C$2:$C$1000=accsry_unmerged!F1579)*(dd_accsryclr!$B$2:$B$1000=accsry_unmerged!J1579),dd_accsryclr!$A$2:$A$1000),"")</f>
        <v>0</v>
      </c>
      <c r="I1579" s="16">
        <f>_xlfn.XLOOKUP(C1579,'Project Details'!$C$17:$C$66,'Project Details'!$E$17:$E$66,"",0)</f>
        <v>0</v>
      </c>
      <c r="J1579" s="16">
        <f>_xlfn.XLOOKUP(C1579,'Project Details'!$C$17:$C$66,'Project Details'!$H$17:$H$66,"",0)</f>
        <v>0</v>
      </c>
      <c r="K1579" s="33" t="str">
        <f>IF(AND(_xlfn.XLOOKUP(C1579,'Project Details'!$C$17:$C$66,'Project Details'!$L$17:$L$66,"",0)&gt;550, F1579="Spring-L27cm"),"",SUBSTITUTE(_xlfn.XLOOKUP(G1579,SKUs!$C$2:$C$10001,SKUs!$F$2:$F$10001,"",0), " Accessories",""))</f>
        <v/>
      </c>
      <c r="L1579" s="33">
        <f>_xlfn.XLOOKUP(C1579,'Project Details'!$C$17:$C$66,'Project Details'!$D$17:$D$66,"",0)</f>
        <v>0</v>
      </c>
      <c r="M1579" s="43"/>
    </row>
    <row r="1580" spans="1:13" x14ac:dyDescent="0.25">
      <c r="A1580" s="43"/>
      <c r="B1580" s="43"/>
      <c r="C1580" s="35">
        <f t="shared" si="30"/>
        <v>32</v>
      </c>
      <c r="D1580" s="35" t="str" cm="1">
        <f t="array" ref="D1580">IFERROR(ROUNDUP(_xlfn.IFS(F1580="Aluminum Track", _xlfn.XLOOKUP(C1580, dd_accsrycalc!$A$2:$A$51, dd_accsrycalc!$B$2:$B$51, "",0), F1580="10 x 2 1/2 S (Flat)", _xlfn.XLOOKUP(C1580, dd_accsrycalc!$A$2:$A$51, dd_accsrycalc!$C$2:$C$51, "",0), F1580="Tox6", _xlfn.XLOOKUP(C1580, dd_accsrycalc!$A$2:$A$51, dd_accsrycalc!$D$2:$D$51, "",0), F1580="Cover Cap", _xlfn.XLOOKUP(C1580, dd_accsrycalc!$A$2:$A$51, dd_accsrycalc!$E$2:$E$51, "",0), F1580="Drainage Cover", _xlfn.XLOOKUP(C1580, dd_accsrycalc!$A$2:$A$51, dd_accsrycalc!$F$2:$F$51, "",0),AND( F1580="Double Adhesive Tape", I1580="Roll-up Screen"), _xlfn.XLOOKUP(C1580, calc_rusacc!$C$15:$C$65, calc_rusacc!$AD$15:$AD$65, "",0),AND( F1580="Sealant", I1580="Roll-up Screen"), _xlfn.XLOOKUP(C1580, calc_rusacc!$C$15:$C$65, calc_rusacc!$AF$15:$AF$65, "",0),  AND( F1580="Main Chain", I1580="Accordion Screen"), _xlfn.XLOOKUP(C1580, calc_rusacc!$C$15:$C$65, calc_rusacc!$BF$15:$BF$65, "",0), AND( F1580="Sealant", I1580="Accordion Screen"), _xlfn.XLOOKUP(C1580, calc_rusacc!$C$15:$C$65, calc_rusacc!$BJ$15:$BJ$65, "",0),  F1580="Sealant", _xlfn.XLOOKUP(C1580, dd_accsrycalc!$A$2:$A$51, dd_accsrycalc!$G$2:$G$51, "",0),  F1580&lt;&gt;"",L1580*_xlfn.XLOOKUP(1, (SKUs!$C$2:$C$10001=G1580)*(SKUs!$K$2:$K$10001=I1580),SKUs!$E$2:$E$10001)), 0),"")</f>
        <v/>
      </c>
      <c r="E1580" s="35" t="str">
        <f>_xlfn.XLOOKUP(F1580,dd_item!$B$2:$B$105,dd_item!$C$2:$C$105,"",0)</f>
        <v/>
      </c>
      <c r="F1580" s="35"/>
      <c r="G1580" s="35" cm="1">
        <f t="array" ref="G1580">IFERROR(_xlfn.XLOOKUP(1, (SKUs!$J$2:$J$10001=accsry_unmerged!F1580)*IF(H1580&lt;&gt;"",(SKUs!$L$2:$L$10001=accsry_unmerged!H1580),1)*(SKUs!$K$2:$K$10001=I1580),SKUs!$C$2:$C$10001),"")</f>
        <v>0</v>
      </c>
      <c r="H1580" s="36" cm="1">
        <f t="array" ref="H1580">IFERROR(_xlfn.XLOOKUP(1, (dd_accsryclr!$C$2:$C$1000=accsry_unmerged!F1580)*(dd_accsryclr!$B$2:$B$1000=accsry_unmerged!J1580),dd_accsryclr!$A$2:$A$1000),"")</f>
        <v>0</v>
      </c>
      <c r="I1580" s="35">
        <f>_xlfn.XLOOKUP(C1580,'Project Details'!$C$17:$C$66,'Project Details'!$E$17:$E$66,"",0)</f>
        <v>0</v>
      </c>
      <c r="J1580" s="35">
        <f>_xlfn.XLOOKUP(C1580,'Project Details'!$C$17:$C$66,'Project Details'!$H$17:$H$66,"",0)</f>
        <v>0</v>
      </c>
      <c r="K1580" s="36" t="str">
        <f>IF(AND(_xlfn.XLOOKUP(C1580,'Project Details'!$C$17:$C$66,'Project Details'!$L$17:$L$66,"",0)&gt;550, F1580="Spring-L27cm"),"",SUBSTITUTE(_xlfn.XLOOKUP(G1580,SKUs!$C$2:$C$10001,SKUs!$F$2:$F$10001,"",0), " Accessories",""))</f>
        <v/>
      </c>
      <c r="L1580" s="36">
        <f>_xlfn.XLOOKUP(C1580,'Project Details'!$C$17:$C$66,'Project Details'!$D$17:$D$66,"",0)</f>
        <v>0</v>
      </c>
      <c r="M1580" s="43"/>
    </row>
    <row r="1581" spans="1:13" x14ac:dyDescent="0.25">
      <c r="A1581" s="43"/>
      <c r="B1581" s="43"/>
      <c r="C1581" s="16">
        <f t="shared" si="30"/>
        <v>32</v>
      </c>
      <c r="D1581" s="16" t="str" cm="1">
        <f t="array" ref="D1581">IFERROR(ROUNDUP(_xlfn.IFS(F1581="Aluminum Track", _xlfn.XLOOKUP(C1581, dd_accsrycalc!$A$2:$A$51, dd_accsrycalc!$B$2:$B$51, "",0), F1581="10 x 2 1/2 S (Flat)", _xlfn.XLOOKUP(C1581, dd_accsrycalc!$A$2:$A$51, dd_accsrycalc!$C$2:$C$51, "",0), F1581="Tox6", _xlfn.XLOOKUP(C1581, dd_accsrycalc!$A$2:$A$51, dd_accsrycalc!$D$2:$D$51, "",0), F1581="Cover Cap", _xlfn.XLOOKUP(C1581, dd_accsrycalc!$A$2:$A$51, dd_accsrycalc!$E$2:$E$51, "",0), F1581="Drainage Cover", _xlfn.XLOOKUP(C1581, dd_accsrycalc!$A$2:$A$51, dd_accsrycalc!$F$2:$F$51, "",0),AND( F1581="Double Adhesive Tape", I1581="Roll-up Screen"), _xlfn.XLOOKUP(C1581, calc_rusacc!$C$15:$C$65, calc_rusacc!$AD$15:$AD$65, "",0),AND( F1581="Sealant", I1581="Roll-up Screen"), _xlfn.XLOOKUP(C1581, calc_rusacc!$C$15:$C$65, calc_rusacc!$AF$15:$AF$65, "",0),  AND( F1581="Main Chain", I1581="Accordion Screen"), _xlfn.XLOOKUP(C1581, calc_rusacc!$C$15:$C$65, calc_rusacc!$BF$15:$BF$65, "",0), AND( F1581="Sealant", I1581="Accordion Screen"), _xlfn.XLOOKUP(C1581, calc_rusacc!$C$15:$C$65, calc_rusacc!$BJ$15:$BJ$65, "",0),  F1581="Sealant", _xlfn.XLOOKUP(C1581, dd_accsrycalc!$A$2:$A$51, dd_accsrycalc!$G$2:$G$51, "",0),  F1581&lt;&gt;"",L1581*_xlfn.XLOOKUP(1, (SKUs!$C$2:$C$10001=G1581)*(SKUs!$K$2:$K$10001=I1581),SKUs!$E$2:$E$10001)), 0),"")</f>
        <v/>
      </c>
      <c r="E1581" s="16" t="str">
        <f>_xlfn.XLOOKUP(F1581,dd_item!$B$2:$B$105,dd_item!$C$2:$C$105,"",0)</f>
        <v/>
      </c>
      <c r="F1581" s="16"/>
      <c r="G1581" s="16" cm="1">
        <f t="array" ref="G1581">IFERROR(_xlfn.XLOOKUP(1, (SKUs!$J$2:$J$10001=accsry_unmerged!F1581)*IF(H1581&lt;&gt;"",(SKUs!$L$2:$L$10001=accsry_unmerged!H1581),1)*(SKUs!$K$2:$K$10001=I1581),SKUs!$C$2:$C$10001),"")</f>
        <v>0</v>
      </c>
      <c r="H1581" s="33" cm="1">
        <f t="array" ref="H1581">IFERROR(_xlfn.XLOOKUP(1, (dd_accsryclr!$C$2:$C$1000=accsry_unmerged!F1581)*(dd_accsryclr!$B$2:$B$1000=accsry_unmerged!J1581),dd_accsryclr!$A$2:$A$1000),"")</f>
        <v>0</v>
      </c>
      <c r="I1581" s="16">
        <f>_xlfn.XLOOKUP(C1581,'Project Details'!$C$17:$C$66,'Project Details'!$E$17:$E$66,"",0)</f>
        <v>0</v>
      </c>
      <c r="J1581" s="16">
        <f>_xlfn.XLOOKUP(C1581,'Project Details'!$C$17:$C$66,'Project Details'!$H$17:$H$66,"",0)</f>
        <v>0</v>
      </c>
      <c r="K1581" s="33" t="str">
        <f>IF(AND(_xlfn.XLOOKUP(C1581,'Project Details'!$C$17:$C$66,'Project Details'!$L$17:$L$66,"",0)&gt;550, F1581="Spring-L27cm"),"",SUBSTITUTE(_xlfn.XLOOKUP(G1581,SKUs!$C$2:$C$10001,SKUs!$F$2:$F$10001,"",0), " Accessories",""))</f>
        <v/>
      </c>
      <c r="L1581" s="33">
        <f>_xlfn.XLOOKUP(C1581,'Project Details'!$C$17:$C$66,'Project Details'!$D$17:$D$66,"",0)</f>
        <v>0</v>
      </c>
      <c r="M1581" s="43"/>
    </row>
    <row r="1582" spans="1:13" x14ac:dyDescent="0.25">
      <c r="A1582" s="43"/>
      <c r="B1582" s="43"/>
      <c r="C1582" s="35">
        <f t="shared" si="30"/>
        <v>32</v>
      </c>
      <c r="D1582" s="35" t="str" cm="1">
        <f t="array" ref="D1582">IFERROR(ROUNDUP(_xlfn.IFS(F1582="Aluminum Track", _xlfn.XLOOKUP(C1582, dd_accsrycalc!$A$2:$A$51, dd_accsrycalc!$B$2:$B$51, "",0), F1582="10 x 2 1/2 S (Flat)", _xlfn.XLOOKUP(C1582, dd_accsrycalc!$A$2:$A$51, dd_accsrycalc!$C$2:$C$51, "",0), F1582="Tox6", _xlfn.XLOOKUP(C1582, dd_accsrycalc!$A$2:$A$51, dd_accsrycalc!$D$2:$D$51, "",0), F1582="Cover Cap", _xlfn.XLOOKUP(C1582, dd_accsrycalc!$A$2:$A$51, dd_accsrycalc!$E$2:$E$51, "",0), F1582="Drainage Cover", _xlfn.XLOOKUP(C1582, dd_accsrycalc!$A$2:$A$51, dd_accsrycalc!$F$2:$F$51, "",0),AND( F1582="Double Adhesive Tape", I1582="Roll-up Screen"), _xlfn.XLOOKUP(C1582, calc_rusacc!$C$15:$C$65, calc_rusacc!$AD$15:$AD$65, "",0),AND( F1582="Sealant", I1582="Roll-up Screen"), _xlfn.XLOOKUP(C1582, calc_rusacc!$C$15:$C$65, calc_rusacc!$AF$15:$AF$65, "",0),  AND( F1582="Main Chain", I1582="Accordion Screen"), _xlfn.XLOOKUP(C1582, calc_rusacc!$C$15:$C$65, calc_rusacc!$BF$15:$BF$65, "",0), AND( F1582="Sealant", I1582="Accordion Screen"), _xlfn.XLOOKUP(C1582, calc_rusacc!$C$15:$C$65, calc_rusacc!$BJ$15:$BJ$65, "",0),  F1582="Sealant", _xlfn.XLOOKUP(C1582, dd_accsrycalc!$A$2:$A$51, dd_accsrycalc!$G$2:$G$51, "",0),  F1582&lt;&gt;"",L1582*_xlfn.XLOOKUP(1, (SKUs!$C$2:$C$10001=G1582)*(SKUs!$K$2:$K$10001=I1582),SKUs!$E$2:$E$10001)), 0),"")</f>
        <v/>
      </c>
      <c r="E1582" s="35" t="str">
        <f>_xlfn.XLOOKUP(F1582,dd_item!$B$2:$B$105,dd_item!$C$2:$C$105,"",0)</f>
        <v/>
      </c>
      <c r="F1582" s="35"/>
      <c r="G1582" s="35" cm="1">
        <f t="array" ref="G1582">IFERROR(_xlfn.XLOOKUP(1, (SKUs!$J$2:$J$10001=accsry_unmerged!F1582)*IF(H1582&lt;&gt;"",(SKUs!$L$2:$L$10001=accsry_unmerged!H1582),1)*(SKUs!$K$2:$K$10001=I1582),SKUs!$C$2:$C$10001),"")</f>
        <v>0</v>
      </c>
      <c r="H1582" s="36" cm="1">
        <f t="array" ref="H1582">IFERROR(_xlfn.XLOOKUP(1, (dd_accsryclr!$C$2:$C$1000=accsry_unmerged!F1582)*(dd_accsryclr!$B$2:$B$1000=accsry_unmerged!J1582),dd_accsryclr!$A$2:$A$1000),"")</f>
        <v>0</v>
      </c>
      <c r="I1582" s="35">
        <f>_xlfn.XLOOKUP(C1582,'Project Details'!$C$17:$C$66,'Project Details'!$E$17:$E$66,"",0)</f>
        <v>0</v>
      </c>
      <c r="J1582" s="35">
        <f>_xlfn.XLOOKUP(C1582,'Project Details'!$C$17:$C$66,'Project Details'!$H$17:$H$66,"",0)</f>
        <v>0</v>
      </c>
      <c r="K1582" s="36" t="str">
        <f>IF(AND(_xlfn.XLOOKUP(C1582,'Project Details'!$C$17:$C$66,'Project Details'!$L$17:$L$66,"",0)&gt;550, F1582="Spring-L27cm"),"",SUBSTITUTE(_xlfn.XLOOKUP(G1582,SKUs!$C$2:$C$10001,SKUs!$F$2:$F$10001,"",0), " Accessories",""))</f>
        <v/>
      </c>
      <c r="L1582" s="36">
        <f>_xlfn.XLOOKUP(C1582,'Project Details'!$C$17:$C$66,'Project Details'!$D$17:$D$66,"",0)</f>
        <v>0</v>
      </c>
      <c r="M1582" s="43"/>
    </row>
    <row r="1583" spans="1:13" x14ac:dyDescent="0.25">
      <c r="A1583" s="43"/>
      <c r="B1583" s="43"/>
      <c r="C1583" s="16">
        <f t="shared" si="30"/>
        <v>32</v>
      </c>
      <c r="D1583" s="16" t="str" cm="1">
        <f t="array" ref="D1583">IFERROR(ROUNDUP(_xlfn.IFS(F1583="Aluminum Track", _xlfn.XLOOKUP(C1583, dd_accsrycalc!$A$2:$A$51, dd_accsrycalc!$B$2:$B$51, "",0), F1583="10 x 2 1/2 S (Flat)", _xlfn.XLOOKUP(C1583, dd_accsrycalc!$A$2:$A$51, dd_accsrycalc!$C$2:$C$51, "",0), F1583="Tox6", _xlfn.XLOOKUP(C1583, dd_accsrycalc!$A$2:$A$51, dd_accsrycalc!$D$2:$D$51, "",0), F1583="Cover Cap", _xlfn.XLOOKUP(C1583, dd_accsrycalc!$A$2:$A$51, dd_accsrycalc!$E$2:$E$51, "",0), F1583="Drainage Cover", _xlfn.XLOOKUP(C1583, dd_accsrycalc!$A$2:$A$51, dd_accsrycalc!$F$2:$F$51, "",0),AND( F1583="Double Adhesive Tape", I1583="Roll-up Screen"), _xlfn.XLOOKUP(C1583, calc_rusacc!$C$15:$C$65, calc_rusacc!$AD$15:$AD$65, "",0),AND( F1583="Sealant", I1583="Roll-up Screen"), _xlfn.XLOOKUP(C1583, calc_rusacc!$C$15:$C$65, calc_rusacc!$AF$15:$AF$65, "",0),  AND( F1583="Main Chain", I1583="Accordion Screen"), _xlfn.XLOOKUP(C1583, calc_rusacc!$C$15:$C$65, calc_rusacc!$BF$15:$BF$65, "",0), AND( F1583="Sealant", I1583="Accordion Screen"), _xlfn.XLOOKUP(C1583, calc_rusacc!$C$15:$C$65, calc_rusacc!$BJ$15:$BJ$65, "",0),  F1583="Sealant", _xlfn.XLOOKUP(C1583, dd_accsrycalc!$A$2:$A$51, dd_accsrycalc!$G$2:$G$51, "",0),  F1583&lt;&gt;"",L1583*_xlfn.XLOOKUP(1, (SKUs!$C$2:$C$10001=G1583)*(SKUs!$K$2:$K$10001=I1583),SKUs!$E$2:$E$10001)), 0),"")</f>
        <v/>
      </c>
      <c r="E1583" s="16" t="str">
        <f>_xlfn.XLOOKUP(F1583,dd_item!$B$2:$B$105,dd_item!$C$2:$C$105,"",0)</f>
        <v/>
      </c>
      <c r="F1583" s="16"/>
      <c r="G1583" s="16" cm="1">
        <f t="array" ref="G1583">IFERROR(_xlfn.XLOOKUP(1, (SKUs!$J$2:$J$10001=accsry_unmerged!F1583)*IF(H1583&lt;&gt;"",(SKUs!$L$2:$L$10001=accsry_unmerged!H1583),1)*(SKUs!$K$2:$K$10001=I1583),SKUs!$C$2:$C$10001),"")</f>
        <v>0</v>
      </c>
      <c r="H1583" s="33" cm="1">
        <f t="array" ref="H1583">IFERROR(_xlfn.XLOOKUP(1, (dd_accsryclr!$C$2:$C$1000=accsry_unmerged!F1583)*(dd_accsryclr!$B$2:$B$1000=accsry_unmerged!J1583),dd_accsryclr!$A$2:$A$1000),"")</f>
        <v>0</v>
      </c>
      <c r="I1583" s="16">
        <f>_xlfn.XLOOKUP(C1583,'Project Details'!$C$17:$C$66,'Project Details'!$E$17:$E$66,"",0)</f>
        <v>0</v>
      </c>
      <c r="J1583" s="16">
        <f>_xlfn.XLOOKUP(C1583,'Project Details'!$C$17:$C$66,'Project Details'!$H$17:$H$66,"",0)</f>
        <v>0</v>
      </c>
      <c r="K1583" s="33" t="str">
        <f>IF(AND(_xlfn.XLOOKUP(C1583,'Project Details'!$C$17:$C$66,'Project Details'!$L$17:$L$66,"",0)&gt;550, F1583="Spring-L27cm"),"",SUBSTITUTE(_xlfn.XLOOKUP(G1583,SKUs!$C$2:$C$10001,SKUs!$F$2:$F$10001,"",0), " Accessories",""))</f>
        <v/>
      </c>
      <c r="L1583" s="33">
        <f>_xlfn.XLOOKUP(C1583,'Project Details'!$C$17:$C$66,'Project Details'!$D$17:$D$66,"",0)</f>
        <v>0</v>
      </c>
      <c r="M1583" s="43"/>
    </row>
    <row r="1584" spans="1:13" ht="13.5" customHeight="1" x14ac:dyDescent="0.25">
      <c r="A1584" s="43"/>
      <c r="B1584" s="43"/>
      <c r="C1584" s="35">
        <f t="shared" si="30"/>
        <v>32</v>
      </c>
      <c r="D1584" s="35" t="str" cm="1">
        <f t="array" ref="D1584">IFERROR(ROUNDUP(_xlfn.IFS(F1584="Aluminum Track", _xlfn.XLOOKUP(C1584, dd_accsrycalc!$A$2:$A$51, dd_accsrycalc!$B$2:$B$51, "",0), F1584="10 x 2 1/2 S (Flat)", _xlfn.XLOOKUP(C1584, dd_accsrycalc!$A$2:$A$51, dd_accsrycalc!$C$2:$C$51, "",0), F1584="Tox6", _xlfn.XLOOKUP(C1584, dd_accsrycalc!$A$2:$A$51, dd_accsrycalc!$D$2:$D$51, "",0), F1584="Cover Cap", _xlfn.XLOOKUP(C1584, dd_accsrycalc!$A$2:$A$51, dd_accsrycalc!$E$2:$E$51, "",0), F1584="Drainage Cover", _xlfn.XLOOKUP(C1584, dd_accsrycalc!$A$2:$A$51, dd_accsrycalc!$F$2:$F$51, "",0),AND( F1584="Double Adhesive Tape", I1584="Roll-up Screen"), _xlfn.XLOOKUP(C1584, calc_rusacc!$C$15:$C$65, calc_rusacc!$AD$15:$AD$65, "",0),AND( F1584="Sealant", I1584="Roll-up Screen"), _xlfn.XLOOKUP(C1584, calc_rusacc!$C$15:$C$65, calc_rusacc!$AF$15:$AF$65, "",0),  AND( F1584="Main Chain", I1584="Accordion Screen"), _xlfn.XLOOKUP(C1584, calc_rusacc!$C$15:$C$65, calc_rusacc!$BF$15:$BF$65, "",0), AND( F1584="Sealant", I1584="Accordion Screen"), _xlfn.XLOOKUP(C1584, calc_rusacc!$C$15:$C$65, calc_rusacc!$BJ$15:$BJ$65, "",0),  F1584="Sealant", _xlfn.XLOOKUP(C1584, dd_accsrycalc!$A$2:$A$51, dd_accsrycalc!$G$2:$G$51, "",0),  F1584&lt;&gt;"",L1584*_xlfn.XLOOKUP(1, (SKUs!$C$2:$C$10001=G1584)*(SKUs!$K$2:$K$10001=I1584),SKUs!$E$2:$E$10001)), 0),"")</f>
        <v/>
      </c>
      <c r="E1584" s="35" t="str">
        <f>_xlfn.XLOOKUP(F1584,dd_item!$B$2:$B$105,dd_item!$C$2:$C$105,"",0)</f>
        <v/>
      </c>
      <c r="F1584" s="35"/>
      <c r="G1584" s="35" cm="1">
        <f t="array" ref="G1584">IFERROR(_xlfn.XLOOKUP(1, (SKUs!$J$2:$J$10001=accsry_unmerged!F1584)*IF(H1584&lt;&gt;"",(SKUs!$L$2:$L$10001=accsry_unmerged!H1584),1)*(SKUs!$K$2:$K$10001=I1584),SKUs!$C$2:$C$10001),"")</f>
        <v>0</v>
      </c>
      <c r="H1584" s="36" cm="1">
        <f t="array" ref="H1584">IFERROR(_xlfn.XLOOKUP(1, (dd_accsryclr!$C$2:$C$1000=accsry_unmerged!F1584)*(dd_accsryclr!$B$2:$B$1000=accsry_unmerged!J1584),dd_accsryclr!$A$2:$A$1000),"")</f>
        <v>0</v>
      </c>
      <c r="I1584" s="35">
        <f>_xlfn.XLOOKUP(C1584,'Project Details'!$C$17:$C$66,'Project Details'!$E$17:$E$66,"",0)</f>
        <v>0</v>
      </c>
      <c r="J1584" s="35">
        <f>_xlfn.XLOOKUP(C1584,'Project Details'!$C$17:$C$66,'Project Details'!$H$17:$H$66,"",0)</f>
        <v>0</v>
      </c>
      <c r="K1584" s="36" t="str">
        <f>IF(AND(_xlfn.XLOOKUP(C1584,'Project Details'!$C$17:$C$66,'Project Details'!$L$17:$L$66,"",0)&gt;550, F1584="Spring-L27cm"),"",SUBSTITUTE(_xlfn.XLOOKUP(G1584,SKUs!$C$2:$C$10001,SKUs!$F$2:$F$10001,"",0), " Accessories",""))</f>
        <v/>
      </c>
      <c r="L1584" s="36">
        <f>_xlfn.XLOOKUP(C1584,'Project Details'!$C$17:$C$66,'Project Details'!$D$17:$D$66,"",0)</f>
        <v>0</v>
      </c>
      <c r="M1584" s="43"/>
    </row>
    <row r="1585" spans="1:13" ht="13.5" customHeight="1" x14ac:dyDescent="0.25">
      <c r="A1585" s="43"/>
      <c r="B1585" s="43"/>
      <c r="C1585" s="16">
        <f t="shared" si="30"/>
        <v>32</v>
      </c>
      <c r="D1585" s="16" t="str" cm="1">
        <f t="array" ref="D1585">IFERROR(ROUNDUP(_xlfn.IFS(F1585="Aluminum Track", _xlfn.XLOOKUP(C1585, dd_accsrycalc!$A$2:$A$51, dd_accsrycalc!$B$2:$B$51, "",0), F1585="10 x 2 1/2 S (Flat)", _xlfn.XLOOKUP(C1585, dd_accsrycalc!$A$2:$A$51, dd_accsrycalc!$C$2:$C$51, "",0), F1585="Tox6", _xlfn.XLOOKUP(C1585, dd_accsrycalc!$A$2:$A$51, dd_accsrycalc!$D$2:$D$51, "",0), F1585="Cover Cap", _xlfn.XLOOKUP(C1585, dd_accsrycalc!$A$2:$A$51, dd_accsrycalc!$E$2:$E$51, "",0), F1585="Drainage Cover", _xlfn.XLOOKUP(C1585, dd_accsrycalc!$A$2:$A$51, dd_accsrycalc!$F$2:$F$51, "",0),AND( F1585="Double Adhesive Tape", I1585="Roll-up Screen"), _xlfn.XLOOKUP(C1585, calc_rusacc!$C$15:$C$65, calc_rusacc!$AD$15:$AD$65, "",0),AND( F1585="Sealant", I1585="Roll-up Screen"), _xlfn.XLOOKUP(C1585, calc_rusacc!$C$15:$C$65, calc_rusacc!$AF$15:$AF$65, "",0),  AND( F1585="Main Chain", I1585="Accordion Screen"), _xlfn.XLOOKUP(C1585, calc_rusacc!$C$15:$C$65, calc_rusacc!$BF$15:$BF$65, "",0), AND( F1585="Sealant", I1585="Accordion Screen"), _xlfn.XLOOKUP(C1585, calc_rusacc!$C$15:$C$65, calc_rusacc!$BJ$15:$BJ$65, "",0),  F1585="Sealant", _xlfn.XLOOKUP(C1585, dd_accsrycalc!$A$2:$A$51, dd_accsrycalc!$G$2:$G$51, "",0),  F1585&lt;&gt;"",L1585*_xlfn.XLOOKUP(1, (SKUs!$C$2:$C$10001=G1585)*(SKUs!$K$2:$K$10001=I1585),SKUs!$E$2:$E$10001)), 0),"")</f>
        <v/>
      </c>
      <c r="E1585" s="16" t="str">
        <f>_xlfn.XLOOKUP(F1585,dd_item!$B$2:$B$105,dd_item!$C$2:$C$105,"",0)</f>
        <v/>
      </c>
      <c r="F1585" s="16"/>
      <c r="G1585" s="16" cm="1">
        <f t="array" ref="G1585">IFERROR(_xlfn.XLOOKUP(1, (SKUs!$J$2:$J$10001=accsry_unmerged!F1585)*IF(H1585&lt;&gt;"",(SKUs!$L$2:$L$10001=accsry_unmerged!H1585),1)*(SKUs!$K$2:$K$10001=I1585),SKUs!$C$2:$C$10001),"")</f>
        <v>0</v>
      </c>
      <c r="H1585" s="33" cm="1">
        <f t="array" ref="H1585">IFERROR(_xlfn.XLOOKUP(1, (dd_accsryclr!$C$2:$C$1000=accsry_unmerged!F1585)*(dd_accsryclr!$B$2:$B$1000=accsry_unmerged!J1585),dd_accsryclr!$A$2:$A$1000),"")</f>
        <v>0</v>
      </c>
      <c r="I1585" s="16">
        <f>_xlfn.XLOOKUP(C1585,'Project Details'!$C$17:$C$66,'Project Details'!$E$17:$E$66,"",0)</f>
        <v>0</v>
      </c>
      <c r="J1585" s="16">
        <f>_xlfn.XLOOKUP(C1585,'Project Details'!$C$17:$C$66,'Project Details'!$H$17:$H$66,"",0)</f>
        <v>0</v>
      </c>
      <c r="K1585" s="33" t="str">
        <f>IF(AND(_xlfn.XLOOKUP(C1585,'Project Details'!$C$17:$C$66,'Project Details'!$L$17:$L$66,"",0)&gt;550, F1585="Spring-L27cm"),"",SUBSTITUTE(_xlfn.XLOOKUP(G1585,SKUs!$C$2:$C$10001,SKUs!$F$2:$F$10001,"",0), " Accessories",""))</f>
        <v/>
      </c>
      <c r="L1585" s="33">
        <f>_xlfn.XLOOKUP(C1585,'Project Details'!$C$17:$C$66,'Project Details'!$D$17:$D$66,"",0)</f>
        <v>0</v>
      </c>
      <c r="M1585" s="43"/>
    </row>
    <row r="1586" spans="1:13" ht="13.5" customHeight="1" x14ac:dyDescent="0.25">
      <c r="A1586" s="43"/>
      <c r="B1586" s="43"/>
      <c r="C1586" s="35">
        <f t="shared" si="30"/>
        <v>32</v>
      </c>
      <c r="D1586" s="35" t="str" cm="1">
        <f t="array" ref="D1586">IFERROR(ROUNDUP(_xlfn.IFS(F1586="Aluminum Track", _xlfn.XLOOKUP(C1586, dd_accsrycalc!$A$2:$A$51, dd_accsrycalc!$B$2:$B$51, "",0), F1586="10 x 2 1/2 S (Flat)", _xlfn.XLOOKUP(C1586, dd_accsrycalc!$A$2:$A$51, dd_accsrycalc!$C$2:$C$51, "",0), F1586="Tox6", _xlfn.XLOOKUP(C1586, dd_accsrycalc!$A$2:$A$51, dd_accsrycalc!$D$2:$D$51, "",0), F1586="Cover Cap", _xlfn.XLOOKUP(C1586, dd_accsrycalc!$A$2:$A$51, dd_accsrycalc!$E$2:$E$51, "",0), F1586="Drainage Cover", _xlfn.XLOOKUP(C1586, dd_accsrycalc!$A$2:$A$51, dd_accsrycalc!$F$2:$F$51, "",0),AND( F1586="Double Adhesive Tape", I1586="Roll-up Screen"), _xlfn.XLOOKUP(C1586, calc_rusacc!$C$15:$C$65, calc_rusacc!$AD$15:$AD$65, "",0),AND( F1586="Sealant", I1586="Roll-up Screen"), _xlfn.XLOOKUP(C1586, calc_rusacc!$C$15:$C$65, calc_rusacc!$AF$15:$AF$65, "",0),  AND( F1586="Main Chain", I1586="Accordion Screen"), _xlfn.XLOOKUP(C1586, calc_rusacc!$C$15:$C$65, calc_rusacc!$BF$15:$BF$65, "",0), AND( F1586="Sealant", I1586="Accordion Screen"), _xlfn.XLOOKUP(C1586, calc_rusacc!$C$15:$C$65, calc_rusacc!$BJ$15:$BJ$65, "",0),  F1586="Sealant", _xlfn.XLOOKUP(C1586, dd_accsrycalc!$A$2:$A$51, dd_accsrycalc!$G$2:$G$51, "",0),  F1586&lt;&gt;"",L1586*_xlfn.XLOOKUP(1, (SKUs!$C$2:$C$10001=G1586)*(SKUs!$K$2:$K$10001=I1586),SKUs!$E$2:$E$10001)), 0),"")</f>
        <v/>
      </c>
      <c r="E1586" s="35" t="str">
        <f>_xlfn.XLOOKUP(F1586,dd_item!$B$2:$B$105,dd_item!$C$2:$C$105,"",0)</f>
        <v/>
      </c>
      <c r="F1586" s="35"/>
      <c r="G1586" s="35" cm="1">
        <f t="array" ref="G1586">IFERROR(_xlfn.XLOOKUP(1, (SKUs!$J$2:$J$10001=accsry_unmerged!F1586)*IF(H1586&lt;&gt;"",(SKUs!$L$2:$L$10001=accsry_unmerged!H1586),1)*(SKUs!$K$2:$K$10001=I1586),SKUs!$C$2:$C$10001),"")</f>
        <v>0</v>
      </c>
      <c r="H1586" s="36" cm="1">
        <f t="array" ref="H1586">IFERROR(_xlfn.XLOOKUP(1, (dd_accsryclr!$C$2:$C$1000=accsry_unmerged!F1586)*(dd_accsryclr!$B$2:$B$1000=accsry_unmerged!J1586),dd_accsryclr!$A$2:$A$1000),"")</f>
        <v>0</v>
      </c>
      <c r="I1586" s="35">
        <f>_xlfn.XLOOKUP(C1586,'Project Details'!$C$17:$C$66,'Project Details'!$E$17:$E$66,"",0)</f>
        <v>0</v>
      </c>
      <c r="J1586" s="35">
        <f>_xlfn.XLOOKUP(C1586,'Project Details'!$C$17:$C$66,'Project Details'!$H$17:$H$66,"",0)</f>
        <v>0</v>
      </c>
      <c r="K1586" s="36" t="str">
        <f>IF(AND(_xlfn.XLOOKUP(C1586,'Project Details'!$C$17:$C$66,'Project Details'!$L$17:$L$66,"",0)&gt;550, F1586="Spring-L27cm"),"",SUBSTITUTE(_xlfn.XLOOKUP(G1586,SKUs!$C$2:$C$10001,SKUs!$F$2:$F$10001,"",0), " Accessories",""))</f>
        <v/>
      </c>
      <c r="L1586" s="36">
        <f>_xlfn.XLOOKUP(C1586,'Project Details'!$C$17:$C$66,'Project Details'!$D$17:$D$66,"",0)</f>
        <v>0</v>
      </c>
      <c r="M1586" s="43"/>
    </row>
    <row r="1587" spans="1:13" ht="13.5" customHeight="1" x14ac:dyDescent="0.25">
      <c r="A1587" s="43"/>
      <c r="B1587" s="43"/>
      <c r="C1587" s="16">
        <f t="shared" si="30"/>
        <v>32</v>
      </c>
      <c r="D1587" s="16" t="str" cm="1">
        <f t="array" ref="D1587">IFERROR(ROUNDUP(_xlfn.IFS(F1587="Aluminum Track", _xlfn.XLOOKUP(C1587, dd_accsrycalc!$A$2:$A$51, dd_accsrycalc!$B$2:$B$51, "",0), F1587="10 x 2 1/2 S (Flat)", _xlfn.XLOOKUP(C1587, dd_accsrycalc!$A$2:$A$51, dd_accsrycalc!$C$2:$C$51, "",0), F1587="Tox6", _xlfn.XLOOKUP(C1587, dd_accsrycalc!$A$2:$A$51, dd_accsrycalc!$D$2:$D$51, "",0), F1587="Cover Cap", _xlfn.XLOOKUP(C1587, dd_accsrycalc!$A$2:$A$51, dd_accsrycalc!$E$2:$E$51, "",0), F1587="Drainage Cover", _xlfn.XLOOKUP(C1587, dd_accsrycalc!$A$2:$A$51, dd_accsrycalc!$F$2:$F$51, "",0),AND( F1587="Double Adhesive Tape", I1587="Roll-up Screen"), _xlfn.XLOOKUP(C1587, calc_rusacc!$C$15:$C$65, calc_rusacc!$AD$15:$AD$65, "",0),AND( F1587="Sealant", I1587="Roll-up Screen"), _xlfn.XLOOKUP(C1587, calc_rusacc!$C$15:$C$65, calc_rusacc!$AF$15:$AF$65, "",0),  AND( F1587="Main Chain", I1587="Accordion Screen"), _xlfn.XLOOKUP(C1587, calc_rusacc!$C$15:$C$65, calc_rusacc!$BF$15:$BF$65, "",0), AND( F1587="Sealant", I1587="Accordion Screen"), _xlfn.XLOOKUP(C1587, calc_rusacc!$C$15:$C$65, calc_rusacc!$BJ$15:$BJ$65, "",0),  F1587="Sealant", _xlfn.XLOOKUP(C1587, dd_accsrycalc!$A$2:$A$51, dd_accsrycalc!$G$2:$G$51, "",0),  F1587&lt;&gt;"",L1587*_xlfn.XLOOKUP(1, (SKUs!$C$2:$C$10001=G1587)*(SKUs!$K$2:$K$10001=I1587),SKUs!$E$2:$E$10001)), 0),"")</f>
        <v/>
      </c>
      <c r="E1587" s="16" t="str">
        <f>_xlfn.XLOOKUP(F1587,dd_item!$B$2:$B$105,dd_item!$C$2:$C$105,"",0)</f>
        <v/>
      </c>
      <c r="F1587" s="16"/>
      <c r="G1587" s="16" cm="1">
        <f t="array" ref="G1587">IFERROR(_xlfn.XLOOKUP(1, (SKUs!$J$2:$J$10001=accsry_unmerged!F1587)*IF(H1587&lt;&gt;"",(SKUs!$L$2:$L$10001=accsry_unmerged!H1587),1)*(SKUs!$K$2:$K$10001=I1587),SKUs!$C$2:$C$10001),"")</f>
        <v>0</v>
      </c>
      <c r="H1587" s="33" cm="1">
        <f t="array" ref="H1587">IFERROR(_xlfn.XLOOKUP(1, (dd_accsryclr!$C$2:$C$1000=accsry_unmerged!F1587)*(dd_accsryclr!$B$2:$B$1000=accsry_unmerged!J1587),dd_accsryclr!$A$2:$A$1000),"")</f>
        <v>0</v>
      </c>
      <c r="I1587" s="16">
        <f>_xlfn.XLOOKUP(C1587,'Project Details'!$C$17:$C$66,'Project Details'!$E$17:$E$66,"",0)</f>
        <v>0</v>
      </c>
      <c r="J1587" s="16">
        <f>_xlfn.XLOOKUP(C1587,'Project Details'!$C$17:$C$66,'Project Details'!$H$17:$H$66,"",0)</f>
        <v>0</v>
      </c>
      <c r="K1587" s="33" t="str">
        <f>IF(AND(_xlfn.XLOOKUP(C1587,'Project Details'!$C$17:$C$66,'Project Details'!$L$17:$L$66,"",0)&gt;550, F1587="Spring-L27cm"),"",SUBSTITUTE(_xlfn.XLOOKUP(G1587,SKUs!$C$2:$C$10001,SKUs!$F$2:$F$10001,"",0), " Accessories",""))</f>
        <v/>
      </c>
      <c r="L1587" s="33">
        <f>_xlfn.XLOOKUP(C1587,'Project Details'!$C$17:$C$66,'Project Details'!$D$17:$D$66,"",0)</f>
        <v>0</v>
      </c>
      <c r="M1587" s="43"/>
    </row>
    <row r="1588" spans="1:13" ht="13.5" customHeight="1" x14ac:dyDescent="0.25">
      <c r="A1588" s="43"/>
      <c r="B1588" s="43"/>
      <c r="C1588" s="35">
        <f t="shared" si="30"/>
        <v>32</v>
      </c>
      <c r="D1588" s="35" t="str" cm="1">
        <f t="array" ref="D1588">IFERROR(ROUNDUP(_xlfn.IFS(F1588="Aluminum Track", _xlfn.XLOOKUP(C1588, dd_accsrycalc!$A$2:$A$51, dd_accsrycalc!$B$2:$B$51, "",0), F1588="10 x 2 1/2 S (Flat)", _xlfn.XLOOKUP(C1588, dd_accsrycalc!$A$2:$A$51, dd_accsrycalc!$C$2:$C$51, "",0), F1588="Tox6", _xlfn.XLOOKUP(C1588, dd_accsrycalc!$A$2:$A$51, dd_accsrycalc!$D$2:$D$51, "",0), F1588="Cover Cap", _xlfn.XLOOKUP(C1588, dd_accsrycalc!$A$2:$A$51, dd_accsrycalc!$E$2:$E$51, "",0), F1588="Drainage Cover", _xlfn.XLOOKUP(C1588, dd_accsrycalc!$A$2:$A$51, dd_accsrycalc!$F$2:$F$51, "",0),AND( F1588="Double Adhesive Tape", I1588="Roll-up Screen"), _xlfn.XLOOKUP(C1588, calc_rusacc!$C$15:$C$65, calc_rusacc!$AD$15:$AD$65, "",0),AND( F1588="Sealant", I1588="Roll-up Screen"), _xlfn.XLOOKUP(C1588, calc_rusacc!$C$15:$C$65, calc_rusacc!$AF$15:$AF$65, "",0),  AND( F1588="Main Chain", I1588="Accordion Screen"), _xlfn.XLOOKUP(C1588, calc_rusacc!$C$15:$C$65, calc_rusacc!$BF$15:$BF$65, "",0), AND( F1588="Sealant", I1588="Accordion Screen"), _xlfn.XLOOKUP(C1588, calc_rusacc!$C$15:$C$65, calc_rusacc!$BJ$15:$BJ$65, "",0),  F1588="Sealant", _xlfn.XLOOKUP(C1588, dd_accsrycalc!$A$2:$A$51, dd_accsrycalc!$G$2:$G$51, "",0),  F1588&lt;&gt;"",L1588*_xlfn.XLOOKUP(1, (SKUs!$C$2:$C$10001=G1588)*(SKUs!$K$2:$K$10001=I1588),SKUs!$E$2:$E$10001)), 0),"")</f>
        <v/>
      </c>
      <c r="E1588" s="35" t="str">
        <f>_xlfn.XLOOKUP(F1588,dd_item!$B$2:$B$105,dd_item!$C$2:$C$105,"",0)</f>
        <v/>
      </c>
      <c r="F1588" s="35"/>
      <c r="G1588" s="35" cm="1">
        <f t="array" ref="G1588">IFERROR(_xlfn.XLOOKUP(1, (SKUs!$J$2:$J$10001=accsry_unmerged!F1588)*IF(H1588&lt;&gt;"",(SKUs!$L$2:$L$10001=accsry_unmerged!H1588),1)*(SKUs!$K$2:$K$10001=I1588),SKUs!$C$2:$C$10001),"")</f>
        <v>0</v>
      </c>
      <c r="H1588" s="36" cm="1">
        <f t="array" ref="H1588">IFERROR(_xlfn.XLOOKUP(1, (dd_accsryclr!$C$2:$C$1000=accsry_unmerged!F1588)*(dd_accsryclr!$B$2:$B$1000=accsry_unmerged!J1588),dd_accsryclr!$A$2:$A$1000),"")</f>
        <v>0</v>
      </c>
      <c r="I1588" s="35">
        <f>_xlfn.XLOOKUP(C1588,'Project Details'!$C$17:$C$66,'Project Details'!$E$17:$E$66,"",0)</f>
        <v>0</v>
      </c>
      <c r="J1588" s="35">
        <f>_xlfn.XLOOKUP(C1588,'Project Details'!$C$17:$C$66,'Project Details'!$H$17:$H$66,"",0)</f>
        <v>0</v>
      </c>
      <c r="K1588" s="36" t="str">
        <f>IF(AND(_xlfn.XLOOKUP(C1588,'Project Details'!$C$17:$C$66,'Project Details'!$L$17:$L$66,"",0)&gt;550, F1588="Spring-L27cm"),"",SUBSTITUTE(_xlfn.XLOOKUP(G1588,SKUs!$C$2:$C$10001,SKUs!$F$2:$F$10001,"",0), " Accessories",""))</f>
        <v/>
      </c>
      <c r="L1588" s="36">
        <f>_xlfn.XLOOKUP(C1588,'Project Details'!$C$17:$C$66,'Project Details'!$D$17:$D$66,"",0)</f>
        <v>0</v>
      </c>
      <c r="M1588" s="43"/>
    </row>
    <row r="1589" spans="1:13" ht="13.5" customHeight="1" x14ac:dyDescent="0.25">
      <c r="A1589" s="43"/>
      <c r="B1589" s="43"/>
      <c r="C1589" s="16">
        <f t="shared" si="30"/>
        <v>32</v>
      </c>
      <c r="D1589" s="16" t="str" cm="1">
        <f t="array" ref="D1589">IFERROR(ROUNDUP(_xlfn.IFS(F1589="Aluminum Track", _xlfn.XLOOKUP(C1589, dd_accsrycalc!$A$2:$A$51, dd_accsrycalc!$B$2:$B$51, "",0), F1589="10 x 2 1/2 S (Flat)", _xlfn.XLOOKUP(C1589, dd_accsrycalc!$A$2:$A$51, dd_accsrycalc!$C$2:$C$51, "",0), F1589="Tox6", _xlfn.XLOOKUP(C1589, dd_accsrycalc!$A$2:$A$51, dd_accsrycalc!$D$2:$D$51, "",0), F1589="Cover Cap", _xlfn.XLOOKUP(C1589, dd_accsrycalc!$A$2:$A$51, dd_accsrycalc!$E$2:$E$51, "",0), F1589="Drainage Cover", _xlfn.XLOOKUP(C1589, dd_accsrycalc!$A$2:$A$51, dd_accsrycalc!$F$2:$F$51, "",0),AND( F1589="Double Adhesive Tape", I1589="Roll-up Screen"), _xlfn.XLOOKUP(C1589, calc_rusacc!$C$15:$C$65, calc_rusacc!$AD$15:$AD$65, "",0),AND( F1589="Sealant", I1589="Roll-up Screen"), _xlfn.XLOOKUP(C1589, calc_rusacc!$C$15:$C$65, calc_rusacc!$AF$15:$AF$65, "",0),  AND( F1589="Main Chain", I1589="Accordion Screen"), _xlfn.XLOOKUP(C1589, calc_rusacc!$C$15:$C$65, calc_rusacc!$BF$15:$BF$65, "",0), AND( F1589="Sealant", I1589="Accordion Screen"), _xlfn.XLOOKUP(C1589, calc_rusacc!$C$15:$C$65, calc_rusacc!$BJ$15:$BJ$65, "",0),  F1589="Sealant", _xlfn.XLOOKUP(C1589, dd_accsrycalc!$A$2:$A$51, dd_accsrycalc!$G$2:$G$51, "",0),  F1589&lt;&gt;"",L1589*_xlfn.XLOOKUP(1, (SKUs!$C$2:$C$10001=G1589)*(SKUs!$K$2:$K$10001=I1589),SKUs!$E$2:$E$10001)), 0),"")</f>
        <v/>
      </c>
      <c r="E1589" s="16" t="str">
        <f>_xlfn.XLOOKUP(F1589,dd_item!$B$2:$B$105,dd_item!$C$2:$C$105,"",0)</f>
        <v/>
      </c>
      <c r="F1589" s="16"/>
      <c r="G1589" s="16" cm="1">
        <f t="array" ref="G1589">IFERROR(_xlfn.XLOOKUP(1, (SKUs!$J$2:$J$10001=accsry_unmerged!F1589)*IF(H1589&lt;&gt;"",(SKUs!$L$2:$L$10001=accsry_unmerged!H1589),1)*(SKUs!$K$2:$K$10001=I1589),SKUs!$C$2:$C$10001),"")</f>
        <v>0</v>
      </c>
      <c r="H1589" s="33" cm="1">
        <f t="array" ref="H1589">IFERROR(_xlfn.XLOOKUP(1, (dd_accsryclr!$C$2:$C$1000=accsry_unmerged!F1589)*(dd_accsryclr!$B$2:$B$1000=accsry_unmerged!J1589),dd_accsryclr!$A$2:$A$1000),"")</f>
        <v>0</v>
      </c>
      <c r="I1589" s="16">
        <f>_xlfn.XLOOKUP(C1589,'Project Details'!$C$17:$C$66,'Project Details'!$E$17:$E$66,"",0)</f>
        <v>0</v>
      </c>
      <c r="J1589" s="16">
        <f>_xlfn.XLOOKUP(C1589,'Project Details'!$C$17:$C$66,'Project Details'!$H$17:$H$66,"",0)</f>
        <v>0</v>
      </c>
      <c r="K1589" s="33" t="str">
        <f>IF(AND(_xlfn.XLOOKUP(C1589,'Project Details'!$C$17:$C$66,'Project Details'!$L$17:$L$66,"",0)&gt;550, F1589="Spring-L27cm"),"",SUBSTITUTE(_xlfn.XLOOKUP(G1589,SKUs!$C$2:$C$10001,SKUs!$F$2:$F$10001,"",0), " Accessories",""))</f>
        <v/>
      </c>
      <c r="L1589" s="33">
        <f>_xlfn.XLOOKUP(C1589,'Project Details'!$C$17:$C$66,'Project Details'!$D$17:$D$66,"",0)</f>
        <v>0</v>
      </c>
      <c r="M1589" s="43"/>
    </row>
    <row r="1590" spans="1:13" ht="13.5" customHeight="1" x14ac:dyDescent="0.25">
      <c r="A1590" s="43"/>
      <c r="B1590" s="43"/>
      <c r="C1590" s="35">
        <f t="shared" si="30"/>
        <v>32</v>
      </c>
      <c r="D1590" s="35" t="str" cm="1">
        <f t="array" ref="D1590">IFERROR(ROUNDUP(_xlfn.IFS(F1590="Aluminum Track", _xlfn.XLOOKUP(C1590, dd_accsrycalc!$A$2:$A$51, dd_accsrycalc!$B$2:$B$51, "",0), F1590="10 x 2 1/2 S (Flat)", _xlfn.XLOOKUP(C1590, dd_accsrycalc!$A$2:$A$51, dd_accsrycalc!$C$2:$C$51, "",0), F1590="Tox6", _xlfn.XLOOKUP(C1590, dd_accsrycalc!$A$2:$A$51, dd_accsrycalc!$D$2:$D$51, "",0), F1590="Cover Cap", _xlfn.XLOOKUP(C1590, dd_accsrycalc!$A$2:$A$51, dd_accsrycalc!$E$2:$E$51, "",0), F1590="Drainage Cover", _xlfn.XLOOKUP(C1590, dd_accsrycalc!$A$2:$A$51, dd_accsrycalc!$F$2:$F$51, "",0),AND( F1590="Double Adhesive Tape", I1590="Roll-up Screen"), _xlfn.XLOOKUP(C1590, calc_rusacc!$C$15:$C$65, calc_rusacc!$AD$15:$AD$65, "",0),AND( F1590="Sealant", I1590="Roll-up Screen"), _xlfn.XLOOKUP(C1590, calc_rusacc!$C$15:$C$65, calc_rusacc!$AF$15:$AF$65, "",0),  AND( F1590="Main Chain", I1590="Accordion Screen"), _xlfn.XLOOKUP(C1590, calc_rusacc!$C$15:$C$65, calc_rusacc!$BF$15:$BF$65, "",0), AND( F1590="Sealant", I1590="Accordion Screen"), _xlfn.XLOOKUP(C1590, calc_rusacc!$C$15:$C$65, calc_rusacc!$BJ$15:$BJ$65, "",0),  F1590="Sealant", _xlfn.XLOOKUP(C1590, dd_accsrycalc!$A$2:$A$51, dd_accsrycalc!$G$2:$G$51, "",0),  F1590&lt;&gt;"",L1590*_xlfn.XLOOKUP(1, (SKUs!$C$2:$C$10001=G1590)*(SKUs!$K$2:$K$10001=I1590),SKUs!$E$2:$E$10001)), 0),"")</f>
        <v/>
      </c>
      <c r="E1590" s="35" t="str">
        <f>_xlfn.XLOOKUP(F1590,dd_item!$B$2:$B$105,dd_item!$C$2:$C$105,"",0)</f>
        <v/>
      </c>
      <c r="F1590" s="35"/>
      <c r="G1590" s="35" cm="1">
        <f t="array" ref="G1590">IFERROR(_xlfn.XLOOKUP(1, (SKUs!$J$2:$J$10001=accsry_unmerged!F1590)*IF(H1590&lt;&gt;"",(SKUs!$L$2:$L$10001=accsry_unmerged!H1590),1)*(SKUs!$K$2:$K$10001=I1590),SKUs!$C$2:$C$10001),"")</f>
        <v>0</v>
      </c>
      <c r="H1590" s="36" cm="1">
        <f t="array" ref="H1590">IFERROR(_xlfn.XLOOKUP(1, (dd_accsryclr!$C$2:$C$1000=accsry_unmerged!F1590)*(dd_accsryclr!$B$2:$B$1000=accsry_unmerged!J1590),dd_accsryclr!$A$2:$A$1000),"")</f>
        <v>0</v>
      </c>
      <c r="I1590" s="35">
        <f>_xlfn.XLOOKUP(C1590,'Project Details'!$C$17:$C$66,'Project Details'!$E$17:$E$66,"",0)</f>
        <v>0</v>
      </c>
      <c r="J1590" s="35">
        <f>_xlfn.XLOOKUP(C1590,'Project Details'!$C$17:$C$66,'Project Details'!$H$17:$H$66,"",0)</f>
        <v>0</v>
      </c>
      <c r="K1590" s="36" t="str">
        <f>IF(AND(_xlfn.XLOOKUP(C1590,'Project Details'!$C$17:$C$66,'Project Details'!$L$17:$L$66,"",0)&gt;550, F1590="Spring-L27cm"),"",SUBSTITUTE(_xlfn.XLOOKUP(G1590,SKUs!$C$2:$C$10001,SKUs!$F$2:$F$10001,"",0), " Accessories",""))</f>
        <v/>
      </c>
      <c r="L1590" s="36">
        <f>_xlfn.XLOOKUP(C1590,'Project Details'!$C$17:$C$66,'Project Details'!$D$17:$D$66,"",0)</f>
        <v>0</v>
      </c>
      <c r="M1590" s="43"/>
    </row>
    <row r="1591" spans="1:13" ht="13.5" customHeight="1" x14ac:dyDescent="0.25">
      <c r="A1591" s="43"/>
      <c r="B1591" s="43"/>
      <c r="C1591" s="16">
        <f t="shared" si="30"/>
        <v>32</v>
      </c>
      <c r="D1591" s="16" t="str" cm="1">
        <f t="array" ref="D1591">IFERROR(ROUNDUP(_xlfn.IFS(F1591="Aluminum Track", _xlfn.XLOOKUP(C1591, dd_accsrycalc!$A$2:$A$51, dd_accsrycalc!$B$2:$B$51, "",0), F1591="10 x 2 1/2 S (Flat)", _xlfn.XLOOKUP(C1591, dd_accsrycalc!$A$2:$A$51, dd_accsrycalc!$C$2:$C$51, "",0), F1591="Tox6", _xlfn.XLOOKUP(C1591, dd_accsrycalc!$A$2:$A$51, dd_accsrycalc!$D$2:$D$51, "",0), F1591="Cover Cap", _xlfn.XLOOKUP(C1591, dd_accsrycalc!$A$2:$A$51, dd_accsrycalc!$E$2:$E$51, "",0), F1591="Drainage Cover", _xlfn.XLOOKUP(C1591, dd_accsrycalc!$A$2:$A$51, dd_accsrycalc!$F$2:$F$51, "",0),AND( F1591="Double Adhesive Tape", I1591="Roll-up Screen"), _xlfn.XLOOKUP(C1591, calc_rusacc!$C$15:$C$65, calc_rusacc!$AD$15:$AD$65, "",0),AND( F1591="Sealant", I1591="Roll-up Screen"), _xlfn.XLOOKUP(C1591, calc_rusacc!$C$15:$C$65, calc_rusacc!$AF$15:$AF$65, "",0),  AND( F1591="Main Chain", I1591="Accordion Screen"), _xlfn.XLOOKUP(C1591, calc_rusacc!$C$15:$C$65, calc_rusacc!$BF$15:$BF$65, "",0), AND( F1591="Sealant", I1591="Accordion Screen"), _xlfn.XLOOKUP(C1591, calc_rusacc!$C$15:$C$65, calc_rusacc!$BJ$15:$BJ$65, "",0),  F1591="Sealant", _xlfn.XLOOKUP(C1591, dd_accsrycalc!$A$2:$A$51, dd_accsrycalc!$G$2:$G$51, "",0),  F1591&lt;&gt;"",L1591*_xlfn.XLOOKUP(1, (SKUs!$C$2:$C$10001=G1591)*(SKUs!$K$2:$K$10001=I1591),SKUs!$E$2:$E$10001)), 0),"")</f>
        <v/>
      </c>
      <c r="E1591" s="16" t="str">
        <f>_xlfn.XLOOKUP(F1591,dd_item!$B$2:$B$105,dd_item!$C$2:$C$105,"",0)</f>
        <v/>
      </c>
      <c r="F1591" s="16"/>
      <c r="G1591" s="16" cm="1">
        <f t="array" ref="G1591">IFERROR(_xlfn.XLOOKUP(1, (SKUs!$J$2:$J$10001=accsry_unmerged!F1591)*IF(H1591&lt;&gt;"",(SKUs!$L$2:$L$10001=accsry_unmerged!H1591),1)*(SKUs!$K$2:$K$10001=I1591),SKUs!$C$2:$C$10001),"")</f>
        <v>0</v>
      </c>
      <c r="H1591" s="33" cm="1">
        <f t="array" ref="H1591">IFERROR(_xlfn.XLOOKUP(1, (dd_accsryclr!$C$2:$C$1000=accsry_unmerged!F1591)*(dd_accsryclr!$B$2:$B$1000=accsry_unmerged!J1591),dd_accsryclr!$A$2:$A$1000),"")</f>
        <v>0</v>
      </c>
      <c r="I1591" s="16">
        <f>_xlfn.XLOOKUP(C1591,'Project Details'!$C$17:$C$66,'Project Details'!$E$17:$E$66,"",0)</f>
        <v>0</v>
      </c>
      <c r="J1591" s="16">
        <f>_xlfn.XLOOKUP(C1591,'Project Details'!$C$17:$C$66,'Project Details'!$H$17:$H$66,"",0)</f>
        <v>0</v>
      </c>
      <c r="K1591" s="33" t="str">
        <f>IF(AND(_xlfn.XLOOKUP(C1591,'Project Details'!$C$17:$C$66,'Project Details'!$L$17:$L$66,"",0)&gt;550, F1591="Spring-L27cm"),"",SUBSTITUTE(_xlfn.XLOOKUP(G1591,SKUs!$C$2:$C$10001,SKUs!$F$2:$F$10001,"",0), " Accessories",""))</f>
        <v/>
      </c>
      <c r="L1591" s="33">
        <f>_xlfn.XLOOKUP(C1591,'Project Details'!$C$17:$C$66,'Project Details'!$D$17:$D$66,"",0)</f>
        <v>0</v>
      </c>
      <c r="M1591" s="43"/>
    </row>
    <row r="1592" spans="1:13" ht="13.5" customHeight="1" x14ac:dyDescent="0.25">
      <c r="A1592" s="43"/>
      <c r="B1592" s="43"/>
      <c r="C1592" s="35">
        <f t="shared" si="30"/>
        <v>32</v>
      </c>
      <c r="D1592" s="35" t="str" cm="1">
        <f t="array" ref="D1592">IFERROR(ROUNDUP(_xlfn.IFS(F1592="Aluminum Track", _xlfn.XLOOKUP(C1592, dd_accsrycalc!$A$2:$A$51, dd_accsrycalc!$B$2:$B$51, "",0), F1592="10 x 2 1/2 S (Flat)", _xlfn.XLOOKUP(C1592, dd_accsrycalc!$A$2:$A$51, dd_accsrycalc!$C$2:$C$51, "",0), F1592="Tox6", _xlfn.XLOOKUP(C1592, dd_accsrycalc!$A$2:$A$51, dd_accsrycalc!$D$2:$D$51, "",0), F1592="Cover Cap", _xlfn.XLOOKUP(C1592, dd_accsrycalc!$A$2:$A$51, dd_accsrycalc!$E$2:$E$51, "",0), F1592="Drainage Cover", _xlfn.XLOOKUP(C1592, dd_accsrycalc!$A$2:$A$51, dd_accsrycalc!$F$2:$F$51, "",0),AND( F1592="Double Adhesive Tape", I1592="Roll-up Screen"), _xlfn.XLOOKUP(C1592, calc_rusacc!$C$15:$C$65, calc_rusacc!$AD$15:$AD$65, "",0),AND( F1592="Sealant", I1592="Roll-up Screen"), _xlfn.XLOOKUP(C1592, calc_rusacc!$C$15:$C$65, calc_rusacc!$AF$15:$AF$65, "",0),  AND( F1592="Main Chain", I1592="Accordion Screen"), _xlfn.XLOOKUP(C1592, calc_rusacc!$C$15:$C$65, calc_rusacc!$BF$15:$BF$65, "",0), AND( F1592="Sealant", I1592="Accordion Screen"), _xlfn.XLOOKUP(C1592, calc_rusacc!$C$15:$C$65, calc_rusacc!$BJ$15:$BJ$65, "",0),  F1592="Sealant", _xlfn.XLOOKUP(C1592, dd_accsrycalc!$A$2:$A$51, dd_accsrycalc!$G$2:$G$51, "",0),  F1592&lt;&gt;"",L1592*_xlfn.XLOOKUP(1, (SKUs!$C$2:$C$10001=G1592)*(SKUs!$K$2:$K$10001=I1592),SKUs!$E$2:$E$10001)), 0),"")</f>
        <v/>
      </c>
      <c r="E1592" s="35" t="str">
        <f>_xlfn.XLOOKUP(F1592,dd_item!$B$2:$B$105,dd_item!$C$2:$C$105,"",0)</f>
        <v/>
      </c>
      <c r="F1592" s="35"/>
      <c r="G1592" s="35" cm="1">
        <f t="array" ref="G1592">IFERROR(_xlfn.XLOOKUP(1, (SKUs!$J$2:$J$10001=accsry_unmerged!F1592)*IF(H1592&lt;&gt;"",(SKUs!$L$2:$L$10001=accsry_unmerged!H1592),1)*(SKUs!$K$2:$K$10001=I1592),SKUs!$C$2:$C$10001),"")</f>
        <v>0</v>
      </c>
      <c r="H1592" s="36" cm="1">
        <f t="array" ref="H1592">IFERROR(_xlfn.XLOOKUP(1, (dd_accsryclr!$C$2:$C$1000=accsry_unmerged!F1592)*(dd_accsryclr!$B$2:$B$1000=accsry_unmerged!J1592),dd_accsryclr!$A$2:$A$1000),"")</f>
        <v>0</v>
      </c>
      <c r="I1592" s="35">
        <f>_xlfn.XLOOKUP(C1592,'Project Details'!$C$17:$C$66,'Project Details'!$E$17:$E$66,"",0)</f>
        <v>0</v>
      </c>
      <c r="J1592" s="35">
        <f>_xlfn.XLOOKUP(C1592,'Project Details'!$C$17:$C$66,'Project Details'!$H$17:$H$66,"",0)</f>
        <v>0</v>
      </c>
      <c r="K1592" s="36" t="str">
        <f>IF(AND(_xlfn.XLOOKUP(C1592,'Project Details'!$C$17:$C$66,'Project Details'!$L$17:$L$66,"",0)&gt;550, F1592="Spring-L27cm"),"",SUBSTITUTE(_xlfn.XLOOKUP(G1592,SKUs!$C$2:$C$10001,SKUs!$F$2:$F$10001,"",0), " Accessories",""))</f>
        <v/>
      </c>
      <c r="L1592" s="36">
        <f>_xlfn.XLOOKUP(C1592,'Project Details'!$C$17:$C$66,'Project Details'!$D$17:$D$66,"",0)</f>
        <v>0</v>
      </c>
      <c r="M1592" s="43"/>
    </row>
    <row r="1593" spans="1:13" ht="13.5" customHeight="1" x14ac:dyDescent="0.25">
      <c r="A1593" s="43"/>
      <c r="B1593" s="43"/>
      <c r="C1593" s="16">
        <f t="shared" si="30"/>
        <v>32</v>
      </c>
      <c r="D1593" s="16" t="str" cm="1">
        <f t="array" ref="D1593">IFERROR(ROUNDUP(_xlfn.IFS(F1593="Aluminum Track", _xlfn.XLOOKUP(C1593, dd_accsrycalc!$A$2:$A$51, dd_accsrycalc!$B$2:$B$51, "",0), F1593="10 x 2 1/2 S (Flat)", _xlfn.XLOOKUP(C1593, dd_accsrycalc!$A$2:$A$51, dd_accsrycalc!$C$2:$C$51, "",0), F1593="Tox6", _xlfn.XLOOKUP(C1593, dd_accsrycalc!$A$2:$A$51, dd_accsrycalc!$D$2:$D$51, "",0), F1593="Cover Cap", _xlfn.XLOOKUP(C1593, dd_accsrycalc!$A$2:$A$51, dd_accsrycalc!$E$2:$E$51, "",0), F1593="Drainage Cover", _xlfn.XLOOKUP(C1593, dd_accsrycalc!$A$2:$A$51, dd_accsrycalc!$F$2:$F$51, "",0),AND( F1593="Double Adhesive Tape", I1593="Roll-up Screen"), _xlfn.XLOOKUP(C1593, calc_rusacc!$C$15:$C$65, calc_rusacc!$AD$15:$AD$65, "",0),AND( F1593="Sealant", I1593="Roll-up Screen"), _xlfn.XLOOKUP(C1593, calc_rusacc!$C$15:$C$65, calc_rusacc!$AF$15:$AF$65, "",0),  AND( F1593="Main Chain", I1593="Accordion Screen"), _xlfn.XLOOKUP(C1593, calc_rusacc!$C$15:$C$65, calc_rusacc!$BF$15:$BF$65, "",0), AND( F1593="Sealant", I1593="Accordion Screen"), _xlfn.XLOOKUP(C1593, calc_rusacc!$C$15:$C$65, calc_rusacc!$BJ$15:$BJ$65, "",0),  F1593="Sealant", _xlfn.XLOOKUP(C1593, dd_accsrycalc!$A$2:$A$51, dd_accsrycalc!$G$2:$G$51, "",0),  F1593&lt;&gt;"",L1593*_xlfn.XLOOKUP(1, (SKUs!$C$2:$C$10001=G1593)*(SKUs!$K$2:$K$10001=I1593),SKUs!$E$2:$E$10001)), 0),"")</f>
        <v/>
      </c>
      <c r="E1593" s="16" t="str">
        <f>_xlfn.XLOOKUP(F1593,dd_item!$B$2:$B$105,dd_item!$C$2:$C$105,"",0)</f>
        <v/>
      </c>
      <c r="F1593" s="16"/>
      <c r="G1593" s="16" cm="1">
        <f t="array" ref="G1593">IFERROR(_xlfn.XLOOKUP(1, (SKUs!$J$2:$J$10001=accsry_unmerged!F1593)*IF(H1593&lt;&gt;"",(SKUs!$L$2:$L$10001=accsry_unmerged!H1593),1)*(SKUs!$K$2:$K$10001=I1593),SKUs!$C$2:$C$10001),"")</f>
        <v>0</v>
      </c>
      <c r="H1593" s="33" cm="1">
        <f t="array" ref="H1593">IFERROR(_xlfn.XLOOKUP(1, (dd_accsryclr!$C$2:$C$1000=accsry_unmerged!F1593)*(dd_accsryclr!$B$2:$B$1000=accsry_unmerged!J1593),dd_accsryclr!$A$2:$A$1000),"")</f>
        <v>0</v>
      </c>
      <c r="I1593" s="16">
        <f>_xlfn.XLOOKUP(C1593,'Project Details'!$C$17:$C$66,'Project Details'!$E$17:$E$66,"",0)</f>
        <v>0</v>
      </c>
      <c r="J1593" s="16">
        <f>_xlfn.XLOOKUP(C1593,'Project Details'!$C$17:$C$66,'Project Details'!$H$17:$H$66,"",0)</f>
        <v>0</v>
      </c>
      <c r="K1593" s="33" t="str">
        <f>IF(AND(_xlfn.XLOOKUP(C1593,'Project Details'!$C$17:$C$66,'Project Details'!$L$17:$L$66,"",0)&gt;550, F1593="Spring-L27cm"),"",SUBSTITUTE(_xlfn.XLOOKUP(G1593,SKUs!$C$2:$C$10001,SKUs!$F$2:$F$10001,"",0), " Accessories",""))</f>
        <v/>
      </c>
      <c r="L1593" s="33">
        <f>_xlfn.XLOOKUP(C1593,'Project Details'!$C$17:$C$66,'Project Details'!$D$17:$D$66,"",0)</f>
        <v>0</v>
      </c>
      <c r="M1593" s="43"/>
    </row>
    <row r="1594" spans="1:13" ht="13.5" customHeight="1" x14ac:dyDescent="0.25">
      <c r="A1594" s="43"/>
      <c r="B1594" s="43"/>
      <c r="C1594" s="35">
        <f t="shared" si="30"/>
        <v>32</v>
      </c>
      <c r="D1594" s="35" t="str" cm="1">
        <f t="array" ref="D1594">IFERROR(ROUNDUP(_xlfn.IFS(F1594="Aluminum Track", _xlfn.XLOOKUP(C1594, dd_accsrycalc!$A$2:$A$51, dd_accsrycalc!$B$2:$B$51, "",0), F1594="10 x 2 1/2 S (Flat)", _xlfn.XLOOKUP(C1594, dd_accsrycalc!$A$2:$A$51, dd_accsrycalc!$C$2:$C$51, "",0), F1594="Tox6", _xlfn.XLOOKUP(C1594, dd_accsrycalc!$A$2:$A$51, dd_accsrycalc!$D$2:$D$51, "",0), F1594="Cover Cap", _xlfn.XLOOKUP(C1594, dd_accsrycalc!$A$2:$A$51, dd_accsrycalc!$E$2:$E$51, "",0), F1594="Drainage Cover", _xlfn.XLOOKUP(C1594, dd_accsrycalc!$A$2:$A$51, dd_accsrycalc!$F$2:$F$51, "",0),AND( F1594="Double Adhesive Tape", I1594="Roll-up Screen"), _xlfn.XLOOKUP(C1594, calc_rusacc!$C$15:$C$65, calc_rusacc!$AD$15:$AD$65, "",0),AND( F1594="Sealant", I1594="Roll-up Screen"), _xlfn.XLOOKUP(C1594, calc_rusacc!$C$15:$C$65, calc_rusacc!$AF$15:$AF$65, "",0),  AND( F1594="Main Chain", I1594="Accordion Screen"), _xlfn.XLOOKUP(C1594, calc_rusacc!$C$15:$C$65, calc_rusacc!$BF$15:$BF$65, "",0), AND( F1594="Sealant", I1594="Accordion Screen"), _xlfn.XLOOKUP(C1594, calc_rusacc!$C$15:$C$65, calc_rusacc!$BJ$15:$BJ$65, "",0),  F1594="Sealant", _xlfn.XLOOKUP(C1594, dd_accsrycalc!$A$2:$A$51, dd_accsrycalc!$G$2:$G$51, "",0),  F1594&lt;&gt;"",L1594*_xlfn.XLOOKUP(1, (SKUs!$C$2:$C$10001=G1594)*(SKUs!$K$2:$K$10001=I1594),SKUs!$E$2:$E$10001)), 0),"")</f>
        <v/>
      </c>
      <c r="E1594" s="35" t="str">
        <f>_xlfn.XLOOKUP(F1594,dd_item!$B$2:$B$105,dd_item!$C$2:$C$105,"",0)</f>
        <v/>
      </c>
      <c r="F1594" s="35"/>
      <c r="G1594" s="35" cm="1">
        <f t="array" ref="G1594">IFERROR(_xlfn.XLOOKUP(1, (SKUs!$J$2:$J$10001=accsry_unmerged!F1594)*IF(H1594&lt;&gt;"",(SKUs!$L$2:$L$10001=accsry_unmerged!H1594),1)*(SKUs!$K$2:$K$10001=I1594),SKUs!$C$2:$C$10001),"")</f>
        <v>0</v>
      </c>
      <c r="H1594" s="36" cm="1">
        <f t="array" ref="H1594">IFERROR(_xlfn.XLOOKUP(1, (dd_accsryclr!$C$2:$C$1000=accsry_unmerged!F1594)*(dd_accsryclr!$B$2:$B$1000=accsry_unmerged!J1594),dd_accsryclr!$A$2:$A$1000),"")</f>
        <v>0</v>
      </c>
      <c r="I1594" s="35">
        <f>_xlfn.XLOOKUP(C1594,'Project Details'!$C$17:$C$66,'Project Details'!$E$17:$E$66,"",0)</f>
        <v>0</v>
      </c>
      <c r="J1594" s="35">
        <f>_xlfn.XLOOKUP(C1594,'Project Details'!$C$17:$C$66,'Project Details'!$H$17:$H$66,"",0)</f>
        <v>0</v>
      </c>
      <c r="K1594" s="36" t="str">
        <f>IF(AND(_xlfn.XLOOKUP(C1594,'Project Details'!$C$17:$C$66,'Project Details'!$L$17:$L$66,"",0)&gt;550, F1594="Spring-L27cm"),"",SUBSTITUTE(_xlfn.XLOOKUP(G1594,SKUs!$C$2:$C$10001,SKUs!$F$2:$F$10001,"",0), " Accessories",""))</f>
        <v/>
      </c>
      <c r="L1594" s="36">
        <f>_xlfn.XLOOKUP(C1594,'Project Details'!$C$17:$C$66,'Project Details'!$D$17:$D$66,"",0)</f>
        <v>0</v>
      </c>
      <c r="M1594" s="43"/>
    </row>
    <row r="1595" spans="1:13" ht="13.5" customHeight="1" outlineLevel="1" x14ac:dyDescent="0.25">
      <c r="A1595" s="43"/>
      <c r="B1595" s="43"/>
      <c r="C1595" s="16">
        <f t="shared" si="30"/>
        <v>32</v>
      </c>
      <c r="D1595" s="16" t="str" cm="1">
        <f t="array" ref="D1595">IFERROR(ROUNDUP(_xlfn.IFS(F1595="Aluminum Track", _xlfn.XLOOKUP(C1595, dd_accsrycalc!$A$2:$A$51, dd_accsrycalc!$B$2:$B$51, "",0), F1595="10 x 2 1/2 S (Flat)", _xlfn.XLOOKUP(C1595, dd_accsrycalc!$A$2:$A$51, dd_accsrycalc!$C$2:$C$51, "",0), F1595="Tox6", _xlfn.XLOOKUP(C1595, dd_accsrycalc!$A$2:$A$51, dd_accsrycalc!$D$2:$D$51, "",0), F1595="Cover Cap", _xlfn.XLOOKUP(C1595, dd_accsrycalc!$A$2:$A$51, dd_accsrycalc!$E$2:$E$51, "",0), F1595="Drainage Cover", _xlfn.XLOOKUP(C1595, dd_accsrycalc!$A$2:$A$51, dd_accsrycalc!$F$2:$F$51, "",0),AND( F1595="Double Adhesive Tape", I1595="Roll-up Screen"), _xlfn.XLOOKUP(C1595, calc_rusacc!$C$15:$C$65, calc_rusacc!$AD$15:$AD$65, "",0),AND( F1595="Sealant", I1595="Roll-up Screen"), _xlfn.XLOOKUP(C1595, calc_rusacc!$C$15:$C$65, calc_rusacc!$AF$15:$AF$65, "",0),  AND( F1595="Main Chain", I1595="Accordion Screen"), _xlfn.XLOOKUP(C1595, calc_rusacc!$C$15:$C$65, calc_rusacc!$BF$15:$BF$65, "",0), AND( F1595="Sealant", I1595="Accordion Screen"), _xlfn.XLOOKUP(C1595, calc_rusacc!$C$15:$C$65, calc_rusacc!$BJ$15:$BJ$65, "",0),  F1595="Sealant", _xlfn.XLOOKUP(C1595, dd_accsrycalc!$A$2:$A$51, dd_accsrycalc!$G$2:$G$51, "",0),  F1595&lt;&gt;"",L1595*_xlfn.XLOOKUP(1, (SKUs!$C$2:$C$10001=G1595)*(SKUs!$K$2:$K$10001=I1595),SKUs!$E$2:$E$10001)), 0),"")</f>
        <v/>
      </c>
      <c r="E1595" s="16" t="str">
        <f>_xlfn.XLOOKUP(F1595,dd_item!$B$2:$B$105,dd_item!$C$2:$C$105,"",0)</f>
        <v/>
      </c>
      <c r="F1595" s="16"/>
      <c r="G1595" s="16" cm="1">
        <f t="array" ref="G1595">IFERROR(_xlfn.XLOOKUP(1, (SKUs!$J$2:$J$10001=accsry_unmerged!F1595)*IF(H1595&lt;&gt;"",(SKUs!$L$2:$L$10001=accsry_unmerged!H1595),1)*(SKUs!$K$2:$K$10001=I1595),SKUs!$C$2:$C$10001),"")</f>
        <v>0</v>
      </c>
      <c r="H1595" s="33" cm="1">
        <f t="array" ref="H1595">IFERROR(_xlfn.XLOOKUP(1, (dd_accsryclr!$C$2:$C$1000=accsry_unmerged!F1595)*(dd_accsryclr!$B$2:$B$1000=accsry_unmerged!J1595),dd_accsryclr!$A$2:$A$1000),"")</f>
        <v>0</v>
      </c>
      <c r="I1595" s="16">
        <f>_xlfn.XLOOKUP(C1595,'Project Details'!$C$17:$C$66,'Project Details'!$E$17:$E$66,"",0)</f>
        <v>0</v>
      </c>
      <c r="J1595" s="16">
        <f>_xlfn.XLOOKUP(C1595,'Project Details'!$C$17:$C$66,'Project Details'!$H$17:$H$66,"",0)</f>
        <v>0</v>
      </c>
      <c r="K1595" s="33" t="str">
        <f>IF(AND(_xlfn.XLOOKUP(C1595,'Project Details'!$C$17:$C$66,'Project Details'!$L$17:$L$66,"",0)&gt;550, F1595="Spring-L27cm"),"",SUBSTITUTE(_xlfn.XLOOKUP(G1595,SKUs!$C$2:$C$10001,SKUs!$F$2:$F$10001,"",0), " Accessories",""))</f>
        <v/>
      </c>
      <c r="L1595" s="33">
        <f>_xlfn.XLOOKUP(C1595,'Project Details'!$C$17:$C$66,'Project Details'!$D$17:$D$66,"",0)</f>
        <v>0</v>
      </c>
      <c r="M1595" s="43"/>
    </row>
    <row r="1596" spans="1:13" ht="13.5" customHeight="1" outlineLevel="1" x14ac:dyDescent="0.25">
      <c r="A1596" s="43"/>
      <c r="B1596" s="43"/>
      <c r="C1596" s="35">
        <f t="shared" si="30"/>
        <v>32</v>
      </c>
      <c r="D1596" s="35" t="str" cm="1">
        <f t="array" ref="D1596">IFERROR(ROUNDUP(_xlfn.IFS(F1596="Aluminum Track", _xlfn.XLOOKUP(C1596, dd_accsrycalc!$A$2:$A$51, dd_accsrycalc!$B$2:$B$51, "",0), F1596="10 x 2 1/2 S (Flat)", _xlfn.XLOOKUP(C1596, dd_accsrycalc!$A$2:$A$51, dd_accsrycalc!$C$2:$C$51, "",0), F1596="Tox6", _xlfn.XLOOKUP(C1596, dd_accsrycalc!$A$2:$A$51, dd_accsrycalc!$D$2:$D$51, "",0), F1596="Cover Cap", _xlfn.XLOOKUP(C1596, dd_accsrycalc!$A$2:$A$51, dd_accsrycalc!$E$2:$E$51, "",0), F1596="Drainage Cover", _xlfn.XLOOKUP(C1596, dd_accsrycalc!$A$2:$A$51, dd_accsrycalc!$F$2:$F$51, "",0),AND( F1596="Double Adhesive Tape", I1596="Roll-up Screen"), _xlfn.XLOOKUP(C1596, calc_rusacc!$C$15:$C$65, calc_rusacc!$AD$15:$AD$65, "",0),AND( F1596="Sealant", I1596="Roll-up Screen"), _xlfn.XLOOKUP(C1596, calc_rusacc!$C$15:$C$65, calc_rusacc!$AF$15:$AF$65, "",0),  AND( F1596="Main Chain", I1596="Accordion Screen"), _xlfn.XLOOKUP(C1596, calc_rusacc!$C$15:$C$65, calc_rusacc!$BF$15:$BF$65, "",0), AND( F1596="Sealant", I1596="Accordion Screen"), _xlfn.XLOOKUP(C1596, calc_rusacc!$C$15:$C$65, calc_rusacc!$BJ$15:$BJ$65, "",0),  F1596="Sealant", _xlfn.XLOOKUP(C1596, dd_accsrycalc!$A$2:$A$51, dd_accsrycalc!$G$2:$G$51, "",0),  F1596&lt;&gt;"",L1596*_xlfn.XLOOKUP(1, (SKUs!$C$2:$C$10001=G1596)*(SKUs!$K$2:$K$10001=I1596),SKUs!$E$2:$E$10001)), 0),"")</f>
        <v/>
      </c>
      <c r="E1596" s="35" t="str">
        <f>_xlfn.XLOOKUP(F1596,dd_item!$B$2:$B$105,dd_item!$C$2:$C$105,"",0)</f>
        <v/>
      </c>
      <c r="F1596" s="35"/>
      <c r="G1596" s="35" cm="1">
        <f t="array" ref="G1596">IFERROR(_xlfn.XLOOKUP(1, (SKUs!$J$2:$J$10001=accsry_unmerged!F1596)*IF(H1596&lt;&gt;"",(SKUs!$L$2:$L$10001=accsry_unmerged!H1596),1)*(SKUs!$K$2:$K$10001=I1596),SKUs!$C$2:$C$10001),"")</f>
        <v>0</v>
      </c>
      <c r="H1596" s="36" cm="1">
        <f t="array" ref="H1596">IFERROR(_xlfn.XLOOKUP(1, (dd_accsryclr!$C$2:$C$1000=accsry_unmerged!F1596)*(dd_accsryclr!$B$2:$B$1000=accsry_unmerged!J1596),dd_accsryclr!$A$2:$A$1000),"")</f>
        <v>0</v>
      </c>
      <c r="I1596" s="35">
        <f>_xlfn.XLOOKUP(C1596,'Project Details'!$C$17:$C$66,'Project Details'!$E$17:$E$66,"",0)</f>
        <v>0</v>
      </c>
      <c r="J1596" s="35">
        <f>_xlfn.XLOOKUP(C1596,'Project Details'!$C$17:$C$66,'Project Details'!$H$17:$H$66,"",0)</f>
        <v>0</v>
      </c>
      <c r="K1596" s="36" t="str">
        <f>IF(AND(_xlfn.XLOOKUP(C1596,'Project Details'!$C$17:$C$66,'Project Details'!$L$17:$L$66,"",0)&gt;550, F1596="Spring-L27cm"),"",SUBSTITUTE(_xlfn.XLOOKUP(G1596,SKUs!$C$2:$C$10001,SKUs!$F$2:$F$10001,"",0), " Accessories",""))</f>
        <v/>
      </c>
      <c r="L1596" s="36">
        <f>_xlfn.XLOOKUP(C1596,'Project Details'!$C$17:$C$66,'Project Details'!$D$17:$D$66,"",0)</f>
        <v>0</v>
      </c>
      <c r="M1596" s="43"/>
    </row>
    <row r="1597" spans="1:13" ht="13.5" customHeight="1" outlineLevel="1" x14ac:dyDescent="0.25">
      <c r="A1597" s="43"/>
      <c r="B1597" s="43"/>
      <c r="C1597" s="16">
        <f t="shared" si="30"/>
        <v>32</v>
      </c>
      <c r="D1597" s="16" t="str" cm="1">
        <f t="array" ref="D1597">IFERROR(ROUNDUP(_xlfn.IFS(F1597="Aluminum Track", _xlfn.XLOOKUP(C1597, dd_accsrycalc!$A$2:$A$51, dd_accsrycalc!$B$2:$B$51, "",0), F1597="10 x 2 1/2 S (Flat)", _xlfn.XLOOKUP(C1597, dd_accsrycalc!$A$2:$A$51, dd_accsrycalc!$C$2:$C$51, "",0), F1597="Tox6", _xlfn.XLOOKUP(C1597, dd_accsrycalc!$A$2:$A$51, dd_accsrycalc!$D$2:$D$51, "",0), F1597="Cover Cap", _xlfn.XLOOKUP(C1597, dd_accsrycalc!$A$2:$A$51, dd_accsrycalc!$E$2:$E$51, "",0), F1597="Drainage Cover", _xlfn.XLOOKUP(C1597, dd_accsrycalc!$A$2:$A$51, dd_accsrycalc!$F$2:$F$51, "",0),AND( F1597="Double Adhesive Tape", I1597="Roll-up Screen"), _xlfn.XLOOKUP(C1597, calc_rusacc!$C$15:$C$65, calc_rusacc!$AD$15:$AD$65, "",0),AND( F1597="Sealant", I1597="Roll-up Screen"), _xlfn.XLOOKUP(C1597, calc_rusacc!$C$15:$C$65, calc_rusacc!$AF$15:$AF$65, "",0),  AND( F1597="Main Chain", I1597="Accordion Screen"), _xlfn.XLOOKUP(C1597, calc_rusacc!$C$15:$C$65, calc_rusacc!$BF$15:$BF$65, "",0), AND( F1597="Sealant", I1597="Accordion Screen"), _xlfn.XLOOKUP(C1597, calc_rusacc!$C$15:$C$65, calc_rusacc!$BJ$15:$BJ$65, "",0),  F1597="Sealant", _xlfn.XLOOKUP(C1597, dd_accsrycalc!$A$2:$A$51, dd_accsrycalc!$G$2:$G$51, "",0),  F1597&lt;&gt;"",L1597*_xlfn.XLOOKUP(1, (SKUs!$C$2:$C$10001=G1597)*(SKUs!$K$2:$K$10001=I1597),SKUs!$E$2:$E$10001)), 0),"")</f>
        <v/>
      </c>
      <c r="E1597" s="16" t="str">
        <f>_xlfn.XLOOKUP(F1597,dd_item!$B$2:$B$105,dd_item!$C$2:$C$105,"",0)</f>
        <v/>
      </c>
      <c r="F1597" s="16"/>
      <c r="G1597" s="16" cm="1">
        <f t="array" ref="G1597">IFERROR(_xlfn.XLOOKUP(1, (SKUs!$J$2:$J$10001=accsry_unmerged!F1597)*IF(H1597&lt;&gt;"",(SKUs!$L$2:$L$10001=accsry_unmerged!H1597),1)*(SKUs!$K$2:$K$10001=I1597),SKUs!$C$2:$C$10001),"")</f>
        <v>0</v>
      </c>
      <c r="H1597" s="33" cm="1">
        <f t="array" ref="H1597">IFERROR(_xlfn.XLOOKUP(1, (dd_accsryclr!$C$2:$C$1000=accsry_unmerged!F1597)*(dd_accsryclr!$B$2:$B$1000=accsry_unmerged!J1597),dd_accsryclr!$A$2:$A$1000),"")</f>
        <v>0</v>
      </c>
      <c r="I1597" s="16">
        <f>_xlfn.XLOOKUP(C1597,'Project Details'!$C$17:$C$66,'Project Details'!$E$17:$E$66,"",0)</f>
        <v>0</v>
      </c>
      <c r="J1597" s="16">
        <f>_xlfn.XLOOKUP(C1597,'Project Details'!$C$17:$C$66,'Project Details'!$H$17:$H$66,"",0)</f>
        <v>0</v>
      </c>
      <c r="K1597" s="33" t="str">
        <f>IF(AND(_xlfn.XLOOKUP(C1597,'Project Details'!$C$17:$C$66,'Project Details'!$L$17:$L$66,"",0)&gt;550, F1597="Spring-L27cm"),"",SUBSTITUTE(_xlfn.XLOOKUP(G1597,SKUs!$C$2:$C$10001,SKUs!$F$2:$F$10001,"",0), " Accessories",""))</f>
        <v/>
      </c>
      <c r="L1597" s="33">
        <f>_xlfn.XLOOKUP(C1597,'Project Details'!$C$17:$C$66,'Project Details'!$D$17:$D$66,"",0)</f>
        <v>0</v>
      </c>
      <c r="M1597" s="43"/>
    </row>
    <row r="1598" spans="1:13" ht="13.5" customHeight="1" outlineLevel="1" x14ac:dyDescent="0.25">
      <c r="A1598" s="43"/>
      <c r="B1598" s="43"/>
      <c r="C1598" s="35">
        <f t="shared" si="30"/>
        <v>32</v>
      </c>
      <c r="D1598" s="35" t="str" cm="1">
        <f t="array" ref="D1598">IFERROR(ROUNDUP(_xlfn.IFS(F1598="Aluminum Track", _xlfn.XLOOKUP(C1598, dd_accsrycalc!$A$2:$A$51, dd_accsrycalc!$B$2:$B$51, "",0), F1598="10 x 2 1/2 S (Flat)", _xlfn.XLOOKUP(C1598, dd_accsrycalc!$A$2:$A$51, dd_accsrycalc!$C$2:$C$51, "",0), F1598="Tox6", _xlfn.XLOOKUP(C1598, dd_accsrycalc!$A$2:$A$51, dd_accsrycalc!$D$2:$D$51, "",0), F1598="Cover Cap", _xlfn.XLOOKUP(C1598, dd_accsrycalc!$A$2:$A$51, dd_accsrycalc!$E$2:$E$51, "",0), F1598="Drainage Cover", _xlfn.XLOOKUP(C1598, dd_accsrycalc!$A$2:$A$51, dd_accsrycalc!$F$2:$F$51, "",0),AND( F1598="Double Adhesive Tape", I1598="Roll-up Screen"), _xlfn.XLOOKUP(C1598, calc_rusacc!$C$15:$C$65, calc_rusacc!$AD$15:$AD$65, "",0),AND( F1598="Sealant", I1598="Roll-up Screen"), _xlfn.XLOOKUP(C1598, calc_rusacc!$C$15:$C$65, calc_rusacc!$AF$15:$AF$65, "",0),  AND( F1598="Main Chain", I1598="Accordion Screen"), _xlfn.XLOOKUP(C1598, calc_rusacc!$C$15:$C$65, calc_rusacc!$BF$15:$BF$65, "",0), AND( F1598="Sealant", I1598="Accordion Screen"), _xlfn.XLOOKUP(C1598, calc_rusacc!$C$15:$C$65, calc_rusacc!$BJ$15:$BJ$65, "",0),  F1598="Sealant", _xlfn.XLOOKUP(C1598, dd_accsrycalc!$A$2:$A$51, dd_accsrycalc!$G$2:$G$51, "",0),  F1598&lt;&gt;"",L1598*_xlfn.XLOOKUP(1, (SKUs!$C$2:$C$10001=G1598)*(SKUs!$K$2:$K$10001=I1598),SKUs!$E$2:$E$10001)), 0),"")</f>
        <v/>
      </c>
      <c r="E1598" s="35" t="str">
        <f>_xlfn.XLOOKUP(F1598,dd_item!$B$2:$B$105,dd_item!$C$2:$C$105,"",0)</f>
        <v/>
      </c>
      <c r="F1598" s="35"/>
      <c r="G1598" s="35" cm="1">
        <f t="array" ref="G1598">IFERROR(_xlfn.XLOOKUP(1, (SKUs!$J$2:$J$10001=accsry_unmerged!F1598)*IF(H1598&lt;&gt;"",(SKUs!$L$2:$L$10001=accsry_unmerged!H1598),1)*(SKUs!$K$2:$K$10001=I1598),SKUs!$C$2:$C$10001),"")</f>
        <v>0</v>
      </c>
      <c r="H1598" s="36" cm="1">
        <f t="array" ref="H1598">IFERROR(_xlfn.XLOOKUP(1, (dd_accsryclr!$C$2:$C$1000=accsry_unmerged!F1598)*(dd_accsryclr!$B$2:$B$1000=accsry_unmerged!J1598),dd_accsryclr!$A$2:$A$1000),"")</f>
        <v>0</v>
      </c>
      <c r="I1598" s="35">
        <f>_xlfn.XLOOKUP(C1598,'Project Details'!$C$17:$C$66,'Project Details'!$E$17:$E$66,"",0)</f>
        <v>0</v>
      </c>
      <c r="J1598" s="35">
        <f>_xlfn.XLOOKUP(C1598,'Project Details'!$C$17:$C$66,'Project Details'!$H$17:$H$66,"",0)</f>
        <v>0</v>
      </c>
      <c r="K1598" s="36" t="str">
        <f>IF(AND(_xlfn.XLOOKUP(C1598,'Project Details'!$C$17:$C$66,'Project Details'!$L$17:$L$66,"",0)&gt;550, F1598="Spring-L27cm"),"",SUBSTITUTE(_xlfn.XLOOKUP(G1598,SKUs!$C$2:$C$10001,SKUs!$F$2:$F$10001,"",0), " Accessories",""))</f>
        <v/>
      </c>
      <c r="L1598" s="36">
        <f>_xlfn.XLOOKUP(C1598,'Project Details'!$C$17:$C$66,'Project Details'!$D$17:$D$66,"",0)</f>
        <v>0</v>
      </c>
      <c r="M1598" s="43"/>
    </row>
    <row r="1599" spans="1:13" ht="13.5" customHeight="1" outlineLevel="1" x14ac:dyDescent="0.25">
      <c r="A1599" s="43"/>
      <c r="B1599" s="43"/>
      <c r="C1599" s="16">
        <f t="shared" si="30"/>
        <v>32</v>
      </c>
      <c r="D1599" s="16" t="str" cm="1">
        <f t="array" ref="D1599">IFERROR(ROUNDUP(_xlfn.IFS(F1599="Aluminum Track", _xlfn.XLOOKUP(C1599, dd_accsrycalc!$A$2:$A$51, dd_accsrycalc!$B$2:$B$51, "",0), F1599="10 x 2 1/2 S (Flat)", _xlfn.XLOOKUP(C1599, dd_accsrycalc!$A$2:$A$51, dd_accsrycalc!$C$2:$C$51, "",0), F1599="Tox6", _xlfn.XLOOKUP(C1599, dd_accsrycalc!$A$2:$A$51, dd_accsrycalc!$D$2:$D$51, "",0), F1599="Cover Cap", _xlfn.XLOOKUP(C1599, dd_accsrycalc!$A$2:$A$51, dd_accsrycalc!$E$2:$E$51, "",0), F1599="Drainage Cover", _xlfn.XLOOKUP(C1599, dd_accsrycalc!$A$2:$A$51, dd_accsrycalc!$F$2:$F$51, "",0),AND( F1599="Double Adhesive Tape", I1599="Roll-up Screen"), _xlfn.XLOOKUP(C1599, calc_rusacc!$C$15:$C$65, calc_rusacc!$AD$15:$AD$65, "",0),AND( F1599="Sealant", I1599="Roll-up Screen"), _xlfn.XLOOKUP(C1599, calc_rusacc!$C$15:$C$65, calc_rusacc!$AF$15:$AF$65, "",0),  AND( F1599="Main Chain", I1599="Accordion Screen"), _xlfn.XLOOKUP(C1599, calc_rusacc!$C$15:$C$65, calc_rusacc!$BF$15:$BF$65, "",0), AND( F1599="Sealant", I1599="Accordion Screen"), _xlfn.XLOOKUP(C1599, calc_rusacc!$C$15:$C$65, calc_rusacc!$BJ$15:$BJ$65, "",0),  F1599="Sealant", _xlfn.XLOOKUP(C1599, dd_accsrycalc!$A$2:$A$51, dd_accsrycalc!$G$2:$G$51, "",0),  F1599&lt;&gt;"",L1599*_xlfn.XLOOKUP(1, (SKUs!$C$2:$C$10001=G1599)*(SKUs!$K$2:$K$10001=I1599),SKUs!$E$2:$E$10001)), 0),"")</f>
        <v/>
      </c>
      <c r="E1599" s="16" t="str">
        <f>_xlfn.XLOOKUP(F1599,dd_item!$B$2:$B$105,dd_item!$C$2:$C$105,"",0)</f>
        <v/>
      </c>
      <c r="F1599" s="16"/>
      <c r="G1599" s="16" cm="1">
        <f t="array" ref="G1599">IFERROR(_xlfn.XLOOKUP(1, (SKUs!$J$2:$J$10001=accsry_unmerged!F1599)*IF(H1599&lt;&gt;"",(SKUs!$L$2:$L$10001=accsry_unmerged!H1599),1)*(SKUs!$K$2:$K$10001=I1599),SKUs!$C$2:$C$10001),"")</f>
        <v>0</v>
      </c>
      <c r="H1599" s="33" cm="1">
        <f t="array" ref="H1599">IFERROR(_xlfn.XLOOKUP(1, (dd_accsryclr!$C$2:$C$1000=accsry_unmerged!F1599)*(dd_accsryclr!$B$2:$B$1000=accsry_unmerged!J1599),dd_accsryclr!$A$2:$A$1000),"")</f>
        <v>0</v>
      </c>
      <c r="I1599" s="16">
        <f>_xlfn.XLOOKUP(C1599,'Project Details'!$C$17:$C$66,'Project Details'!$E$17:$E$66,"",0)</f>
        <v>0</v>
      </c>
      <c r="J1599" s="16">
        <f>_xlfn.XLOOKUP(C1599,'Project Details'!$C$17:$C$66,'Project Details'!$H$17:$H$66,"",0)</f>
        <v>0</v>
      </c>
      <c r="K1599" s="33" t="str">
        <f>IF(AND(_xlfn.XLOOKUP(C1599,'Project Details'!$C$17:$C$66,'Project Details'!$L$17:$L$66,"",0)&gt;550, F1599="Spring-L27cm"),"",SUBSTITUTE(_xlfn.XLOOKUP(G1599,SKUs!$C$2:$C$10001,SKUs!$F$2:$F$10001,"",0), " Accessories",""))</f>
        <v/>
      </c>
      <c r="L1599" s="33">
        <f>_xlfn.XLOOKUP(C1599,'Project Details'!$C$17:$C$66,'Project Details'!$D$17:$D$66,"",0)</f>
        <v>0</v>
      </c>
      <c r="M1599" s="43"/>
    </row>
    <row r="1600" spans="1:13" ht="13.5" customHeight="1" outlineLevel="1" x14ac:dyDescent="0.25">
      <c r="A1600" s="43"/>
      <c r="B1600" s="43"/>
      <c r="C1600" s="35">
        <f t="shared" si="30"/>
        <v>32</v>
      </c>
      <c r="D1600" s="35" t="str" cm="1">
        <f t="array" ref="D1600">IFERROR(ROUNDUP(_xlfn.IFS(F1600="Aluminum Track", _xlfn.XLOOKUP(C1600, dd_accsrycalc!$A$2:$A$51, dd_accsrycalc!$B$2:$B$51, "",0), F1600="10 x 2 1/2 S (Flat)", _xlfn.XLOOKUP(C1600, dd_accsrycalc!$A$2:$A$51, dd_accsrycalc!$C$2:$C$51, "",0), F1600="Tox6", _xlfn.XLOOKUP(C1600, dd_accsrycalc!$A$2:$A$51, dd_accsrycalc!$D$2:$D$51, "",0), F1600="Cover Cap", _xlfn.XLOOKUP(C1600, dd_accsrycalc!$A$2:$A$51, dd_accsrycalc!$E$2:$E$51, "",0), F1600="Drainage Cover", _xlfn.XLOOKUP(C1600, dd_accsrycalc!$A$2:$A$51, dd_accsrycalc!$F$2:$F$51, "",0),AND( F1600="Double Adhesive Tape", I1600="Roll-up Screen"), _xlfn.XLOOKUP(C1600, calc_rusacc!$C$15:$C$65, calc_rusacc!$AD$15:$AD$65, "",0),AND( F1600="Sealant", I1600="Roll-up Screen"), _xlfn.XLOOKUP(C1600, calc_rusacc!$C$15:$C$65, calc_rusacc!$AF$15:$AF$65, "",0),  AND( F1600="Main Chain", I1600="Accordion Screen"), _xlfn.XLOOKUP(C1600, calc_rusacc!$C$15:$C$65, calc_rusacc!$BF$15:$BF$65, "",0), AND( F1600="Sealant", I1600="Accordion Screen"), _xlfn.XLOOKUP(C1600, calc_rusacc!$C$15:$C$65, calc_rusacc!$BJ$15:$BJ$65, "",0),  F1600="Sealant", _xlfn.XLOOKUP(C1600, dd_accsrycalc!$A$2:$A$51, dd_accsrycalc!$G$2:$G$51, "",0),  F1600&lt;&gt;"",L1600*_xlfn.XLOOKUP(1, (SKUs!$C$2:$C$10001=G1600)*(SKUs!$K$2:$K$10001=I1600),SKUs!$E$2:$E$10001)), 0),"")</f>
        <v/>
      </c>
      <c r="E1600" s="35" t="str">
        <f>_xlfn.XLOOKUP(F1600,dd_item!$B$2:$B$105,dd_item!$C$2:$C$105,"",0)</f>
        <v/>
      </c>
      <c r="F1600" s="35"/>
      <c r="G1600" s="35" cm="1">
        <f t="array" ref="G1600">IFERROR(_xlfn.XLOOKUP(1, (SKUs!$J$2:$J$10001=accsry_unmerged!F1600)*IF(H1600&lt;&gt;"",(SKUs!$L$2:$L$10001=accsry_unmerged!H1600),1)*(SKUs!$K$2:$K$10001=I1600),SKUs!$C$2:$C$10001),"")</f>
        <v>0</v>
      </c>
      <c r="H1600" s="36" cm="1">
        <f t="array" ref="H1600">IFERROR(_xlfn.XLOOKUP(1, (dd_accsryclr!$C$2:$C$1000=accsry_unmerged!F1600)*(dd_accsryclr!$B$2:$B$1000=accsry_unmerged!J1600),dd_accsryclr!$A$2:$A$1000),"")</f>
        <v>0</v>
      </c>
      <c r="I1600" s="35">
        <f>_xlfn.XLOOKUP(C1600,'Project Details'!$C$17:$C$66,'Project Details'!$E$17:$E$66,"",0)</f>
        <v>0</v>
      </c>
      <c r="J1600" s="35">
        <f>_xlfn.XLOOKUP(C1600,'Project Details'!$C$17:$C$66,'Project Details'!$H$17:$H$66,"",0)</f>
        <v>0</v>
      </c>
      <c r="K1600" s="36" t="str">
        <f>IF(AND(_xlfn.XLOOKUP(C1600,'Project Details'!$C$17:$C$66,'Project Details'!$L$17:$L$66,"",0)&gt;550, F1600="Spring-L27cm"),"",SUBSTITUTE(_xlfn.XLOOKUP(G1600,SKUs!$C$2:$C$10001,SKUs!$F$2:$F$10001,"",0), " Accessories",""))</f>
        <v/>
      </c>
      <c r="L1600" s="36">
        <f>_xlfn.XLOOKUP(C1600,'Project Details'!$C$17:$C$66,'Project Details'!$D$17:$D$66,"",0)</f>
        <v>0</v>
      </c>
      <c r="M1600" s="43"/>
    </row>
    <row r="1601" spans="1:13" ht="13.5" customHeight="1" outlineLevel="1" x14ac:dyDescent="0.25">
      <c r="A1601" s="43"/>
      <c r="B1601" s="43"/>
      <c r="C1601" s="16">
        <f t="shared" si="30"/>
        <v>32</v>
      </c>
      <c r="D1601" s="16" t="str" cm="1">
        <f t="array" ref="D1601">IFERROR(ROUNDUP(_xlfn.IFS(F1601="Aluminum Track", _xlfn.XLOOKUP(C1601, dd_accsrycalc!$A$2:$A$51, dd_accsrycalc!$B$2:$B$51, "",0), F1601="10 x 2 1/2 S (Flat)", _xlfn.XLOOKUP(C1601, dd_accsrycalc!$A$2:$A$51, dd_accsrycalc!$C$2:$C$51, "",0), F1601="Tox6", _xlfn.XLOOKUP(C1601, dd_accsrycalc!$A$2:$A$51, dd_accsrycalc!$D$2:$D$51, "",0), F1601="Cover Cap", _xlfn.XLOOKUP(C1601, dd_accsrycalc!$A$2:$A$51, dd_accsrycalc!$E$2:$E$51, "",0), F1601="Drainage Cover", _xlfn.XLOOKUP(C1601, dd_accsrycalc!$A$2:$A$51, dd_accsrycalc!$F$2:$F$51, "",0),AND( F1601="Double Adhesive Tape", I1601="Roll-up Screen"), _xlfn.XLOOKUP(C1601, calc_rusacc!$C$15:$C$65, calc_rusacc!$AD$15:$AD$65, "",0),AND( F1601="Sealant", I1601="Roll-up Screen"), _xlfn.XLOOKUP(C1601, calc_rusacc!$C$15:$C$65, calc_rusacc!$AF$15:$AF$65, "",0),  AND( F1601="Main Chain", I1601="Accordion Screen"), _xlfn.XLOOKUP(C1601, calc_rusacc!$C$15:$C$65, calc_rusacc!$BF$15:$BF$65, "",0), AND( F1601="Sealant", I1601="Accordion Screen"), _xlfn.XLOOKUP(C1601, calc_rusacc!$C$15:$C$65, calc_rusacc!$BJ$15:$BJ$65, "",0),  F1601="Sealant", _xlfn.XLOOKUP(C1601, dd_accsrycalc!$A$2:$A$51, dd_accsrycalc!$G$2:$G$51, "",0),  F1601&lt;&gt;"",L1601*_xlfn.XLOOKUP(1, (SKUs!$C$2:$C$10001=G1601)*(SKUs!$K$2:$K$10001=I1601),SKUs!$E$2:$E$10001)), 0),"")</f>
        <v/>
      </c>
      <c r="E1601" s="16" t="str">
        <f>_xlfn.XLOOKUP(F1601,dd_item!$B$2:$B$105,dd_item!$C$2:$C$105,"",0)</f>
        <v/>
      </c>
      <c r="F1601" s="16"/>
      <c r="G1601" s="16" cm="1">
        <f t="array" ref="G1601">IFERROR(_xlfn.XLOOKUP(1, (SKUs!$J$2:$J$10001=accsry_unmerged!F1601)*IF(H1601&lt;&gt;"",(SKUs!$L$2:$L$10001=accsry_unmerged!H1601),1)*(SKUs!$K$2:$K$10001=I1601),SKUs!$C$2:$C$10001),"")</f>
        <v>0</v>
      </c>
      <c r="H1601" s="33" cm="1">
        <f t="array" ref="H1601">IFERROR(_xlfn.XLOOKUP(1, (dd_accsryclr!$C$2:$C$1000=accsry_unmerged!F1601)*(dd_accsryclr!$B$2:$B$1000=accsry_unmerged!J1601),dd_accsryclr!$A$2:$A$1000),"")</f>
        <v>0</v>
      </c>
      <c r="I1601" s="16">
        <f>_xlfn.XLOOKUP(C1601,'Project Details'!$C$17:$C$66,'Project Details'!$E$17:$E$66,"",0)</f>
        <v>0</v>
      </c>
      <c r="J1601" s="16">
        <f>_xlfn.XLOOKUP(C1601,'Project Details'!$C$17:$C$66,'Project Details'!$H$17:$H$66,"",0)</f>
        <v>0</v>
      </c>
      <c r="K1601" s="33" t="str">
        <f>IF(AND(_xlfn.XLOOKUP(C1601,'Project Details'!$C$17:$C$66,'Project Details'!$L$17:$L$66,"",0)&gt;550, F1601="Spring-L27cm"),"",SUBSTITUTE(_xlfn.XLOOKUP(G1601,SKUs!$C$2:$C$10001,SKUs!$F$2:$F$10001,"",0), " Accessories",""))</f>
        <v/>
      </c>
      <c r="L1601" s="33">
        <f>_xlfn.XLOOKUP(C1601,'Project Details'!$C$17:$C$66,'Project Details'!$D$17:$D$66,"",0)</f>
        <v>0</v>
      </c>
      <c r="M1601" s="43"/>
    </row>
    <row r="1602" spans="1:13" ht="13.5" customHeight="1" outlineLevel="1" x14ac:dyDescent="0.25">
      <c r="A1602" s="43"/>
      <c r="B1602" s="43"/>
      <c r="C1602" s="35">
        <f t="shared" si="30"/>
        <v>32</v>
      </c>
      <c r="D1602" s="35" t="str" cm="1">
        <f t="array" ref="D1602">IFERROR(ROUNDUP(_xlfn.IFS(F1602="Aluminum Track", _xlfn.XLOOKUP(C1602, dd_accsrycalc!$A$2:$A$51, dd_accsrycalc!$B$2:$B$51, "",0), F1602="10 x 2 1/2 S (Flat)", _xlfn.XLOOKUP(C1602, dd_accsrycalc!$A$2:$A$51, dd_accsrycalc!$C$2:$C$51, "",0), F1602="Tox6", _xlfn.XLOOKUP(C1602, dd_accsrycalc!$A$2:$A$51, dd_accsrycalc!$D$2:$D$51, "",0), F1602="Cover Cap", _xlfn.XLOOKUP(C1602, dd_accsrycalc!$A$2:$A$51, dd_accsrycalc!$E$2:$E$51, "",0), F1602="Drainage Cover", _xlfn.XLOOKUP(C1602, dd_accsrycalc!$A$2:$A$51, dd_accsrycalc!$F$2:$F$51, "",0),AND( F1602="Double Adhesive Tape", I1602="Roll-up Screen"), _xlfn.XLOOKUP(C1602, calc_rusacc!$C$15:$C$65, calc_rusacc!$AD$15:$AD$65, "",0),AND( F1602="Sealant", I1602="Roll-up Screen"), _xlfn.XLOOKUP(C1602, calc_rusacc!$C$15:$C$65, calc_rusacc!$AF$15:$AF$65, "",0),  AND( F1602="Main Chain", I1602="Accordion Screen"), _xlfn.XLOOKUP(C1602, calc_rusacc!$C$15:$C$65, calc_rusacc!$BF$15:$BF$65, "",0), AND( F1602="Sealant", I1602="Accordion Screen"), _xlfn.XLOOKUP(C1602, calc_rusacc!$C$15:$C$65, calc_rusacc!$BJ$15:$BJ$65, "",0),  F1602="Sealant", _xlfn.XLOOKUP(C1602, dd_accsrycalc!$A$2:$A$51, dd_accsrycalc!$G$2:$G$51, "",0),  F1602&lt;&gt;"",L1602*_xlfn.XLOOKUP(1, (SKUs!$C$2:$C$10001=G1602)*(SKUs!$K$2:$K$10001=I1602),SKUs!$E$2:$E$10001)), 0),"")</f>
        <v/>
      </c>
      <c r="E1602" s="35" t="str">
        <f>_xlfn.XLOOKUP(F1602,dd_item!$B$2:$B$105,dd_item!$C$2:$C$105,"",0)</f>
        <v/>
      </c>
      <c r="F1602" s="35"/>
      <c r="G1602" s="35" cm="1">
        <f t="array" ref="G1602">IFERROR(_xlfn.XLOOKUP(1, (SKUs!$J$2:$J$10001=accsry_unmerged!F1602)*IF(H1602&lt;&gt;"",(SKUs!$L$2:$L$10001=accsry_unmerged!H1602),1)*(SKUs!$K$2:$K$10001=I1602),SKUs!$C$2:$C$10001),"")</f>
        <v>0</v>
      </c>
      <c r="H1602" s="36" cm="1">
        <f t="array" ref="H1602">IFERROR(_xlfn.XLOOKUP(1, (dd_accsryclr!$C$2:$C$1000=accsry_unmerged!F1602)*(dd_accsryclr!$B$2:$B$1000=accsry_unmerged!J1602),dd_accsryclr!$A$2:$A$1000),"")</f>
        <v>0</v>
      </c>
      <c r="I1602" s="35">
        <f>_xlfn.XLOOKUP(C1602,'Project Details'!$C$17:$C$66,'Project Details'!$E$17:$E$66,"",0)</f>
        <v>0</v>
      </c>
      <c r="J1602" s="35">
        <f>_xlfn.XLOOKUP(C1602,'Project Details'!$C$17:$C$66,'Project Details'!$H$17:$H$66,"",0)</f>
        <v>0</v>
      </c>
      <c r="K1602" s="36" t="str">
        <f>IF(AND(_xlfn.XLOOKUP(C1602,'Project Details'!$C$17:$C$66,'Project Details'!$L$17:$L$66,"",0)&gt;550, F1602="Spring-L27cm"),"",SUBSTITUTE(_xlfn.XLOOKUP(G1602,SKUs!$C$2:$C$10001,SKUs!$F$2:$F$10001,"",0), " Accessories",""))</f>
        <v/>
      </c>
      <c r="L1602" s="36">
        <f>_xlfn.XLOOKUP(C1602,'Project Details'!$C$17:$C$66,'Project Details'!$D$17:$D$66,"",0)</f>
        <v>0</v>
      </c>
      <c r="M1602" s="43"/>
    </row>
    <row r="1603" spans="1:13" ht="13.5" customHeight="1" outlineLevel="1" x14ac:dyDescent="0.25">
      <c r="A1603" s="43"/>
      <c r="B1603" s="43"/>
      <c r="C1603" s="16">
        <f t="shared" si="30"/>
        <v>32</v>
      </c>
      <c r="D1603" s="16" t="str" cm="1">
        <f t="array" ref="D1603">IFERROR(ROUNDUP(_xlfn.IFS(F1603="Aluminum Track", _xlfn.XLOOKUP(C1603, dd_accsrycalc!$A$2:$A$51, dd_accsrycalc!$B$2:$B$51, "",0), F1603="10 x 2 1/2 S (Flat)", _xlfn.XLOOKUP(C1603, dd_accsrycalc!$A$2:$A$51, dd_accsrycalc!$C$2:$C$51, "",0), F1603="Tox6", _xlfn.XLOOKUP(C1603, dd_accsrycalc!$A$2:$A$51, dd_accsrycalc!$D$2:$D$51, "",0), F1603="Cover Cap", _xlfn.XLOOKUP(C1603, dd_accsrycalc!$A$2:$A$51, dd_accsrycalc!$E$2:$E$51, "",0), F1603="Drainage Cover", _xlfn.XLOOKUP(C1603, dd_accsrycalc!$A$2:$A$51, dd_accsrycalc!$F$2:$F$51, "",0),AND( F1603="Double Adhesive Tape", I1603="Roll-up Screen"), _xlfn.XLOOKUP(C1603, calc_rusacc!$C$15:$C$65, calc_rusacc!$AD$15:$AD$65, "",0),AND( F1603="Sealant", I1603="Roll-up Screen"), _xlfn.XLOOKUP(C1603, calc_rusacc!$C$15:$C$65, calc_rusacc!$AF$15:$AF$65, "",0),  AND( F1603="Main Chain", I1603="Accordion Screen"), _xlfn.XLOOKUP(C1603, calc_rusacc!$C$15:$C$65, calc_rusacc!$BF$15:$BF$65, "",0), AND( F1603="Sealant", I1603="Accordion Screen"), _xlfn.XLOOKUP(C1603, calc_rusacc!$C$15:$C$65, calc_rusacc!$BJ$15:$BJ$65, "",0),  F1603="Sealant", _xlfn.XLOOKUP(C1603, dd_accsrycalc!$A$2:$A$51, dd_accsrycalc!$G$2:$G$51, "",0),  F1603&lt;&gt;"",L1603*_xlfn.XLOOKUP(1, (SKUs!$C$2:$C$10001=G1603)*(SKUs!$K$2:$K$10001=I1603),SKUs!$E$2:$E$10001)), 0),"")</f>
        <v/>
      </c>
      <c r="E1603" s="16" t="str">
        <f>_xlfn.XLOOKUP(F1603,dd_item!$B$2:$B$105,dd_item!$C$2:$C$105,"",0)</f>
        <v/>
      </c>
      <c r="F1603" s="16"/>
      <c r="G1603" s="16" cm="1">
        <f t="array" ref="G1603">IFERROR(_xlfn.XLOOKUP(1, (SKUs!$J$2:$J$10001=accsry_unmerged!F1603)*IF(H1603&lt;&gt;"",(SKUs!$L$2:$L$10001=accsry_unmerged!H1603),1)*(SKUs!$K$2:$K$10001=I1603),SKUs!$C$2:$C$10001),"")</f>
        <v>0</v>
      </c>
      <c r="H1603" s="33" cm="1">
        <f t="array" ref="H1603">IFERROR(_xlfn.XLOOKUP(1, (dd_accsryclr!$C$2:$C$1000=accsry_unmerged!F1603)*(dd_accsryclr!$B$2:$B$1000=accsry_unmerged!J1603),dd_accsryclr!$A$2:$A$1000),"")</f>
        <v>0</v>
      </c>
      <c r="I1603" s="16">
        <f>_xlfn.XLOOKUP(C1603,'Project Details'!$C$17:$C$66,'Project Details'!$E$17:$E$66,"",0)</f>
        <v>0</v>
      </c>
      <c r="J1603" s="16">
        <f>_xlfn.XLOOKUP(C1603,'Project Details'!$C$17:$C$66,'Project Details'!$H$17:$H$66,"",0)</f>
        <v>0</v>
      </c>
      <c r="K1603" s="33" t="str">
        <f>IF(AND(_xlfn.XLOOKUP(C1603,'Project Details'!$C$17:$C$66,'Project Details'!$L$17:$L$66,"",0)&gt;550, F1603="Spring-L27cm"),"",SUBSTITUTE(_xlfn.XLOOKUP(G1603,SKUs!$C$2:$C$10001,SKUs!$F$2:$F$10001,"",0), " Accessories",""))</f>
        <v/>
      </c>
      <c r="L1603" s="33">
        <f>_xlfn.XLOOKUP(C1603,'Project Details'!$C$17:$C$66,'Project Details'!$D$17:$D$66,"",0)</f>
        <v>0</v>
      </c>
      <c r="M1603" s="43"/>
    </row>
    <row r="1604" spans="1:13" ht="13.5" customHeight="1" outlineLevel="1" x14ac:dyDescent="0.25">
      <c r="A1604" s="43"/>
      <c r="B1604" s="43"/>
      <c r="C1604" s="35">
        <f t="shared" si="30"/>
        <v>32</v>
      </c>
      <c r="D1604" s="35" t="str" cm="1">
        <f t="array" ref="D1604">IFERROR(ROUNDUP(_xlfn.IFS(F1604="Aluminum Track", _xlfn.XLOOKUP(C1604, dd_accsrycalc!$A$2:$A$51, dd_accsrycalc!$B$2:$B$51, "",0), F1604="10 x 2 1/2 S (Flat)", _xlfn.XLOOKUP(C1604, dd_accsrycalc!$A$2:$A$51, dd_accsrycalc!$C$2:$C$51, "",0), F1604="Tox6", _xlfn.XLOOKUP(C1604, dd_accsrycalc!$A$2:$A$51, dd_accsrycalc!$D$2:$D$51, "",0), F1604="Cover Cap", _xlfn.XLOOKUP(C1604, dd_accsrycalc!$A$2:$A$51, dd_accsrycalc!$E$2:$E$51, "",0), F1604="Drainage Cover", _xlfn.XLOOKUP(C1604, dd_accsrycalc!$A$2:$A$51, dd_accsrycalc!$F$2:$F$51, "",0),AND( F1604="Double Adhesive Tape", I1604="Roll-up Screen"), _xlfn.XLOOKUP(C1604, calc_rusacc!$C$15:$C$65, calc_rusacc!$AD$15:$AD$65, "",0),AND( F1604="Sealant", I1604="Roll-up Screen"), _xlfn.XLOOKUP(C1604, calc_rusacc!$C$15:$C$65, calc_rusacc!$AF$15:$AF$65, "",0),  AND( F1604="Main Chain", I1604="Accordion Screen"), _xlfn.XLOOKUP(C1604, calc_rusacc!$C$15:$C$65, calc_rusacc!$BF$15:$BF$65, "",0), AND( F1604="Sealant", I1604="Accordion Screen"), _xlfn.XLOOKUP(C1604, calc_rusacc!$C$15:$C$65, calc_rusacc!$BJ$15:$BJ$65, "",0),  F1604="Sealant", _xlfn.XLOOKUP(C1604, dd_accsrycalc!$A$2:$A$51, dd_accsrycalc!$G$2:$G$51, "",0),  F1604&lt;&gt;"",L1604*_xlfn.XLOOKUP(1, (SKUs!$C$2:$C$10001=G1604)*(SKUs!$K$2:$K$10001=I1604),SKUs!$E$2:$E$10001)), 0),"")</f>
        <v/>
      </c>
      <c r="E1604" s="35" t="str">
        <f>_xlfn.XLOOKUP(F1604,dd_item!$B$2:$B$105,dd_item!$C$2:$C$105,"",0)</f>
        <v/>
      </c>
      <c r="F1604" s="35"/>
      <c r="G1604" s="35" cm="1">
        <f t="array" ref="G1604">IFERROR(_xlfn.XLOOKUP(1, (SKUs!$J$2:$J$10001=accsry_unmerged!F1604)*IF(H1604&lt;&gt;"",(SKUs!$L$2:$L$10001=accsry_unmerged!H1604),1)*(SKUs!$K$2:$K$10001=I1604),SKUs!$C$2:$C$10001),"")</f>
        <v>0</v>
      </c>
      <c r="H1604" s="36" cm="1">
        <f t="array" ref="H1604">IFERROR(_xlfn.XLOOKUP(1, (dd_accsryclr!$C$2:$C$1000=accsry_unmerged!F1604)*(dd_accsryclr!$B$2:$B$1000=accsry_unmerged!J1604),dd_accsryclr!$A$2:$A$1000),"")</f>
        <v>0</v>
      </c>
      <c r="I1604" s="35">
        <f>_xlfn.XLOOKUP(C1604,'Project Details'!$C$17:$C$66,'Project Details'!$E$17:$E$66,"",0)</f>
        <v>0</v>
      </c>
      <c r="J1604" s="35">
        <f>_xlfn.XLOOKUP(C1604,'Project Details'!$C$17:$C$66,'Project Details'!$H$17:$H$66,"",0)</f>
        <v>0</v>
      </c>
      <c r="K1604" s="36" t="str">
        <f>IF(AND(_xlfn.XLOOKUP(C1604,'Project Details'!$C$17:$C$66,'Project Details'!$L$17:$L$66,"",0)&gt;550, F1604="Spring-L27cm"),"",SUBSTITUTE(_xlfn.XLOOKUP(G1604,SKUs!$C$2:$C$10001,SKUs!$F$2:$F$10001,"",0), " Accessories",""))</f>
        <v/>
      </c>
      <c r="L1604" s="36">
        <f>_xlfn.XLOOKUP(C1604,'Project Details'!$C$17:$C$66,'Project Details'!$D$17:$D$66,"",0)</f>
        <v>0</v>
      </c>
      <c r="M1604" s="43"/>
    </row>
    <row r="1605" spans="1:13" ht="13.5" customHeight="1" outlineLevel="1" collapsed="1" x14ac:dyDescent="0.25">
      <c r="A1605" s="43"/>
      <c r="B1605" s="43"/>
      <c r="C1605" s="16">
        <f t="shared" si="30"/>
        <v>32</v>
      </c>
      <c r="D1605" s="16" t="str" cm="1">
        <f t="array" ref="D1605">IFERROR(ROUNDUP(_xlfn.IFS(F1605="Aluminum Track", _xlfn.XLOOKUP(C1605, dd_accsrycalc!$A$2:$A$51, dd_accsrycalc!$B$2:$B$51, "",0), F1605="10 x 2 1/2 S (Flat)", _xlfn.XLOOKUP(C1605, dd_accsrycalc!$A$2:$A$51, dd_accsrycalc!$C$2:$C$51, "",0), F1605="Tox6", _xlfn.XLOOKUP(C1605, dd_accsrycalc!$A$2:$A$51, dd_accsrycalc!$D$2:$D$51, "",0), F1605="Cover Cap", _xlfn.XLOOKUP(C1605, dd_accsrycalc!$A$2:$A$51, dd_accsrycalc!$E$2:$E$51, "",0), F1605="Drainage Cover", _xlfn.XLOOKUP(C1605, dd_accsrycalc!$A$2:$A$51, dd_accsrycalc!$F$2:$F$51, "",0),AND( F1605="Double Adhesive Tape", I1605="Roll-up Screen"), _xlfn.XLOOKUP(C1605, calc_rusacc!$C$15:$C$65, calc_rusacc!$AD$15:$AD$65, "",0),AND( F1605="Sealant", I1605="Roll-up Screen"), _xlfn.XLOOKUP(C1605, calc_rusacc!$C$15:$C$65, calc_rusacc!$AF$15:$AF$65, "",0),  AND( F1605="Main Chain", I1605="Accordion Screen"), _xlfn.XLOOKUP(C1605, calc_rusacc!$C$15:$C$65, calc_rusacc!$BF$15:$BF$65, "",0), AND( F1605="Sealant", I1605="Accordion Screen"), _xlfn.XLOOKUP(C1605, calc_rusacc!$C$15:$C$65, calc_rusacc!$BJ$15:$BJ$65, "",0),  F1605="Sealant", _xlfn.XLOOKUP(C1605, dd_accsrycalc!$A$2:$A$51, dd_accsrycalc!$G$2:$G$51, "",0),  F1605&lt;&gt;"",L1605*_xlfn.XLOOKUP(1, (SKUs!$C$2:$C$10001=G1605)*(SKUs!$K$2:$K$10001=I1605),SKUs!$E$2:$E$10001)), 0),"")</f>
        <v/>
      </c>
      <c r="E1605" s="16" t="str">
        <f>_xlfn.XLOOKUP(F1605,dd_item!$B$2:$B$105,dd_item!$C$2:$C$105,"",0)</f>
        <v/>
      </c>
      <c r="F1605" s="16"/>
      <c r="G1605" s="16" cm="1">
        <f t="array" ref="G1605">IFERROR(_xlfn.XLOOKUP(1, (SKUs!$J$2:$J$10001=accsry_unmerged!F1605)*IF(H1605&lt;&gt;"",(SKUs!$L$2:$L$10001=accsry_unmerged!H1605),1)*(SKUs!$K$2:$K$10001=I1605),SKUs!$C$2:$C$10001),"")</f>
        <v>0</v>
      </c>
      <c r="H1605" s="33" cm="1">
        <f t="array" ref="H1605">IFERROR(_xlfn.XLOOKUP(1, (dd_accsryclr!$C$2:$C$1000=accsry_unmerged!F1605)*(dd_accsryclr!$B$2:$B$1000=accsry_unmerged!J1605),dd_accsryclr!$A$2:$A$1000),"")</f>
        <v>0</v>
      </c>
      <c r="I1605" s="16">
        <f>_xlfn.XLOOKUP(C1605,'Project Details'!$C$17:$C$66,'Project Details'!$E$17:$E$66,"",0)</f>
        <v>0</v>
      </c>
      <c r="J1605" s="16">
        <f>_xlfn.XLOOKUP(C1605,'Project Details'!$C$17:$C$66,'Project Details'!$H$17:$H$66,"",0)</f>
        <v>0</v>
      </c>
      <c r="K1605" s="33" t="str">
        <f>IF(AND(_xlfn.XLOOKUP(C1605,'Project Details'!$C$17:$C$66,'Project Details'!$L$17:$L$66,"",0)&gt;550, F1605="Spring-L27cm"),"",SUBSTITUTE(_xlfn.XLOOKUP(G1605,SKUs!$C$2:$C$10001,SKUs!$F$2:$F$10001,"",0), " Accessories",""))</f>
        <v/>
      </c>
      <c r="L1605" s="33">
        <f>_xlfn.XLOOKUP(C1605,'Project Details'!$C$17:$C$66,'Project Details'!$D$17:$D$66,"",0)</f>
        <v>0</v>
      </c>
      <c r="M1605" s="43"/>
    </row>
    <row r="1606" spans="1:13" ht="13.5" customHeight="1" outlineLevel="1" x14ac:dyDescent="0.25">
      <c r="A1606" s="43"/>
      <c r="B1606" s="43"/>
      <c r="C1606" s="35">
        <f t="shared" si="30"/>
        <v>32</v>
      </c>
      <c r="D1606" s="35" t="str" cm="1">
        <f t="array" ref="D1606">IFERROR(ROUNDUP(_xlfn.IFS(F1606="Aluminum Track", _xlfn.XLOOKUP(C1606, dd_accsrycalc!$A$2:$A$51, dd_accsrycalc!$B$2:$B$51, "",0), F1606="10 x 2 1/2 S (Flat)", _xlfn.XLOOKUP(C1606, dd_accsrycalc!$A$2:$A$51, dd_accsrycalc!$C$2:$C$51, "",0), F1606="Tox6", _xlfn.XLOOKUP(C1606, dd_accsrycalc!$A$2:$A$51, dd_accsrycalc!$D$2:$D$51, "",0), F1606="Cover Cap", _xlfn.XLOOKUP(C1606, dd_accsrycalc!$A$2:$A$51, dd_accsrycalc!$E$2:$E$51, "",0), F1606="Drainage Cover", _xlfn.XLOOKUP(C1606, dd_accsrycalc!$A$2:$A$51, dd_accsrycalc!$F$2:$F$51, "",0),AND( F1606="Double Adhesive Tape", I1606="Roll-up Screen"), _xlfn.XLOOKUP(C1606, calc_rusacc!$C$15:$C$65, calc_rusacc!$AD$15:$AD$65, "",0),AND( F1606="Sealant", I1606="Roll-up Screen"), _xlfn.XLOOKUP(C1606, calc_rusacc!$C$15:$C$65, calc_rusacc!$AF$15:$AF$65, "",0),  AND( F1606="Main Chain", I1606="Accordion Screen"), _xlfn.XLOOKUP(C1606, calc_rusacc!$C$15:$C$65, calc_rusacc!$BF$15:$BF$65, "",0), AND( F1606="Sealant", I1606="Accordion Screen"), _xlfn.XLOOKUP(C1606, calc_rusacc!$C$15:$C$65, calc_rusacc!$BJ$15:$BJ$65, "",0),  F1606="Sealant", _xlfn.XLOOKUP(C1606, dd_accsrycalc!$A$2:$A$51, dd_accsrycalc!$G$2:$G$51, "",0),  F1606&lt;&gt;"",L1606*_xlfn.XLOOKUP(1, (SKUs!$C$2:$C$10001=G1606)*(SKUs!$K$2:$K$10001=I1606),SKUs!$E$2:$E$10001)), 0),"")</f>
        <v/>
      </c>
      <c r="E1606" s="35" t="str">
        <f>_xlfn.XLOOKUP(F1606,dd_item!$B$2:$B$105,dd_item!$C$2:$C$105,"",0)</f>
        <v/>
      </c>
      <c r="F1606" s="35"/>
      <c r="G1606" s="35" cm="1">
        <f t="array" ref="G1606">IFERROR(_xlfn.XLOOKUP(1, (SKUs!$J$2:$J$10001=accsry_unmerged!F1606)*IF(H1606&lt;&gt;"",(SKUs!$L$2:$L$10001=accsry_unmerged!H1606),1)*(SKUs!$K$2:$K$10001=I1606),SKUs!$C$2:$C$10001),"")</f>
        <v>0</v>
      </c>
      <c r="H1606" s="36" cm="1">
        <f t="array" ref="H1606">IFERROR(_xlfn.XLOOKUP(1, (dd_accsryclr!$C$2:$C$1000=accsry_unmerged!F1606)*(dd_accsryclr!$B$2:$B$1000=accsry_unmerged!J1606),dd_accsryclr!$A$2:$A$1000),"")</f>
        <v>0</v>
      </c>
      <c r="I1606" s="35">
        <f>_xlfn.XLOOKUP(C1606,'Project Details'!$C$17:$C$66,'Project Details'!$E$17:$E$66,"",0)</f>
        <v>0</v>
      </c>
      <c r="J1606" s="35">
        <f>_xlfn.XLOOKUP(C1606,'Project Details'!$C$17:$C$66,'Project Details'!$H$17:$H$66,"",0)</f>
        <v>0</v>
      </c>
      <c r="K1606" s="36" t="str">
        <f>IF(AND(_xlfn.XLOOKUP(C1606,'Project Details'!$C$17:$C$66,'Project Details'!$L$17:$L$66,"",0)&gt;550, F1606="Spring-L27cm"),"",SUBSTITUTE(_xlfn.XLOOKUP(G1606,SKUs!$C$2:$C$10001,SKUs!$F$2:$F$10001,"",0), " Accessories",""))</f>
        <v/>
      </c>
      <c r="L1606" s="36">
        <f>_xlfn.XLOOKUP(C1606,'Project Details'!$C$17:$C$66,'Project Details'!$D$17:$D$66,"",0)</f>
        <v>0</v>
      </c>
      <c r="M1606" s="43"/>
    </row>
    <row r="1607" spans="1:13" ht="13.5" customHeight="1" outlineLevel="1" x14ac:dyDescent="0.25">
      <c r="A1607" s="43"/>
      <c r="B1607" s="43"/>
      <c r="C1607" s="16">
        <f t="shared" si="30"/>
        <v>32</v>
      </c>
      <c r="D1607" s="16" t="str" cm="1">
        <f t="array" ref="D1607">IFERROR(ROUNDUP(_xlfn.IFS(F1607="Aluminum Track", _xlfn.XLOOKUP(C1607, dd_accsrycalc!$A$2:$A$51, dd_accsrycalc!$B$2:$B$51, "",0), F1607="10 x 2 1/2 S (Flat)", _xlfn.XLOOKUP(C1607, dd_accsrycalc!$A$2:$A$51, dd_accsrycalc!$C$2:$C$51, "",0), F1607="Tox6", _xlfn.XLOOKUP(C1607, dd_accsrycalc!$A$2:$A$51, dd_accsrycalc!$D$2:$D$51, "",0), F1607="Cover Cap", _xlfn.XLOOKUP(C1607, dd_accsrycalc!$A$2:$A$51, dd_accsrycalc!$E$2:$E$51, "",0), F1607="Drainage Cover", _xlfn.XLOOKUP(C1607, dd_accsrycalc!$A$2:$A$51, dd_accsrycalc!$F$2:$F$51, "",0),AND( F1607="Double Adhesive Tape", I1607="Roll-up Screen"), _xlfn.XLOOKUP(C1607, calc_rusacc!$C$15:$C$65, calc_rusacc!$AD$15:$AD$65, "",0),AND( F1607="Sealant", I1607="Roll-up Screen"), _xlfn.XLOOKUP(C1607, calc_rusacc!$C$15:$C$65, calc_rusacc!$AF$15:$AF$65, "",0),  AND( F1607="Main Chain", I1607="Accordion Screen"), _xlfn.XLOOKUP(C1607, calc_rusacc!$C$15:$C$65, calc_rusacc!$BF$15:$BF$65, "",0), AND( F1607="Sealant", I1607="Accordion Screen"), _xlfn.XLOOKUP(C1607, calc_rusacc!$C$15:$C$65, calc_rusacc!$BJ$15:$BJ$65, "",0),  F1607="Sealant", _xlfn.XLOOKUP(C1607, dd_accsrycalc!$A$2:$A$51, dd_accsrycalc!$G$2:$G$51, "",0),  F1607&lt;&gt;"",L1607*_xlfn.XLOOKUP(1, (SKUs!$C$2:$C$10001=G1607)*(SKUs!$K$2:$K$10001=I1607),SKUs!$E$2:$E$10001)), 0),"")</f>
        <v/>
      </c>
      <c r="E1607" s="16" t="str">
        <f>_xlfn.XLOOKUP(F1607,dd_item!$B$2:$B$105,dd_item!$C$2:$C$105,"",0)</f>
        <v/>
      </c>
      <c r="F1607" s="16"/>
      <c r="G1607" s="16" cm="1">
        <f t="array" ref="G1607">IFERROR(_xlfn.XLOOKUP(1, (SKUs!$J$2:$J$10001=accsry_unmerged!F1607)*IF(H1607&lt;&gt;"",(SKUs!$L$2:$L$10001=accsry_unmerged!H1607),1)*(SKUs!$K$2:$K$10001=I1607),SKUs!$C$2:$C$10001),"")</f>
        <v>0</v>
      </c>
      <c r="H1607" s="33" cm="1">
        <f t="array" ref="H1607">IFERROR(_xlfn.XLOOKUP(1, (dd_accsryclr!$C$2:$C$1000=accsry_unmerged!F1607)*(dd_accsryclr!$B$2:$B$1000=accsry_unmerged!J1607),dd_accsryclr!$A$2:$A$1000),"")</f>
        <v>0</v>
      </c>
      <c r="I1607" s="16">
        <f>_xlfn.XLOOKUP(C1607,'Project Details'!$C$17:$C$66,'Project Details'!$E$17:$E$66,"",0)</f>
        <v>0</v>
      </c>
      <c r="J1607" s="16">
        <f>_xlfn.XLOOKUP(C1607,'Project Details'!$C$17:$C$66,'Project Details'!$H$17:$H$66,"",0)</f>
        <v>0</v>
      </c>
      <c r="K1607" s="33" t="str">
        <f>IF(AND(_xlfn.XLOOKUP(C1607,'Project Details'!$C$17:$C$66,'Project Details'!$L$17:$L$66,"",0)&gt;550, F1607="Spring-L27cm"),"",SUBSTITUTE(_xlfn.XLOOKUP(G1607,SKUs!$C$2:$C$10001,SKUs!$F$2:$F$10001,"",0), " Accessories",""))</f>
        <v/>
      </c>
      <c r="L1607" s="33">
        <f>_xlfn.XLOOKUP(C1607,'Project Details'!$C$17:$C$66,'Project Details'!$D$17:$D$66,"",0)</f>
        <v>0</v>
      </c>
      <c r="M1607" s="43"/>
    </row>
    <row r="1608" spans="1:13" ht="13.5" customHeight="1" outlineLevel="1" x14ac:dyDescent="0.25">
      <c r="A1608" s="43"/>
      <c r="B1608" s="43"/>
      <c r="C1608" s="35">
        <f t="shared" si="30"/>
        <v>32</v>
      </c>
      <c r="D1608" s="35" t="str" cm="1">
        <f t="array" ref="D1608">IFERROR(ROUNDUP(_xlfn.IFS(F1608="Aluminum Track", _xlfn.XLOOKUP(C1608, dd_accsrycalc!$A$2:$A$51, dd_accsrycalc!$B$2:$B$51, "",0), F1608="10 x 2 1/2 S (Flat)", _xlfn.XLOOKUP(C1608, dd_accsrycalc!$A$2:$A$51, dd_accsrycalc!$C$2:$C$51, "",0), F1608="Tox6", _xlfn.XLOOKUP(C1608, dd_accsrycalc!$A$2:$A$51, dd_accsrycalc!$D$2:$D$51, "",0), F1608="Cover Cap", _xlfn.XLOOKUP(C1608, dd_accsrycalc!$A$2:$A$51, dd_accsrycalc!$E$2:$E$51, "",0), F1608="Drainage Cover", _xlfn.XLOOKUP(C1608, dd_accsrycalc!$A$2:$A$51, dd_accsrycalc!$F$2:$F$51, "",0),AND( F1608="Double Adhesive Tape", I1608="Roll-up Screen"), _xlfn.XLOOKUP(C1608, calc_rusacc!$C$15:$C$65, calc_rusacc!$AD$15:$AD$65, "",0),AND( F1608="Sealant", I1608="Roll-up Screen"), _xlfn.XLOOKUP(C1608, calc_rusacc!$C$15:$C$65, calc_rusacc!$AF$15:$AF$65, "",0),  AND( F1608="Main Chain", I1608="Accordion Screen"), _xlfn.XLOOKUP(C1608, calc_rusacc!$C$15:$C$65, calc_rusacc!$BF$15:$BF$65, "",0), AND( F1608="Sealant", I1608="Accordion Screen"), _xlfn.XLOOKUP(C1608, calc_rusacc!$C$15:$C$65, calc_rusacc!$BJ$15:$BJ$65, "",0),  F1608="Sealant", _xlfn.XLOOKUP(C1608, dd_accsrycalc!$A$2:$A$51, dd_accsrycalc!$G$2:$G$51, "",0),  F1608&lt;&gt;"",L1608*_xlfn.XLOOKUP(1, (SKUs!$C$2:$C$10001=G1608)*(SKUs!$K$2:$K$10001=I1608),SKUs!$E$2:$E$10001)), 0),"")</f>
        <v/>
      </c>
      <c r="E1608" s="35" t="str">
        <f>_xlfn.XLOOKUP(F1608,dd_item!$B$2:$B$105,dd_item!$C$2:$C$105,"",0)</f>
        <v/>
      </c>
      <c r="F1608" s="35"/>
      <c r="G1608" s="35" cm="1">
        <f t="array" ref="G1608">IFERROR(_xlfn.XLOOKUP(1, (SKUs!$J$2:$J$10001=accsry_unmerged!F1608)*IF(H1608&lt;&gt;"",(SKUs!$L$2:$L$10001=accsry_unmerged!H1608),1)*(SKUs!$K$2:$K$10001=I1608),SKUs!$C$2:$C$10001),"")</f>
        <v>0</v>
      </c>
      <c r="H1608" s="36" cm="1">
        <f t="array" ref="H1608">IFERROR(_xlfn.XLOOKUP(1, (dd_accsryclr!$C$2:$C$1000=accsry_unmerged!F1608)*(dd_accsryclr!$B$2:$B$1000=accsry_unmerged!J1608),dd_accsryclr!$A$2:$A$1000),"")</f>
        <v>0</v>
      </c>
      <c r="I1608" s="35">
        <f>_xlfn.XLOOKUP(C1608,'Project Details'!$C$17:$C$66,'Project Details'!$E$17:$E$66,"",0)</f>
        <v>0</v>
      </c>
      <c r="J1608" s="35">
        <f>_xlfn.XLOOKUP(C1608,'Project Details'!$C$17:$C$66,'Project Details'!$H$17:$H$66,"",0)</f>
        <v>0</v>
      </c>
      <c r="K1608" s="36" t="str">
        <f>IF(AND(_xlfn.XLOOKUP(C1608,'Project Details'!$C$17:$C$66,'Project Details'!$L$17:$L$66,"",0)&gt;550, F1608="Spring-L27cm"),"",SUBSTITUTE(_xlfn.XLOOKUP(G1608,SKUs!$C$2:$C$10001,SKUs!$F$2:$F$10001,"",0), " Accessories",""))</f>
        <v/>
      </c>
      <c r="L1608" s="36">
        <f>_xlfn.XLOOKUP(C1608,'Project Details'!$C$17:$C$66,'Project Details'!$D$17:$D$66,"",0)</f>
        <v>0</v>
      </c>
      <c r="M1608" s="43"/>
    </row>
    <row r="1609" spans="1:13" ht="13.5" customHeight="1" outlineLevel="1" x14ac:dyDescent="0.25">
      <c r="A1609" s="43"/>
      <c r="B1609" s="43"/>
      <c r="C1609" s="16">
        <f t="shared" si="30"/>
        <v>32</v>
      </c>
      <c r="D1609" s="16" t="str" cm="1">
        <f t="array" ref="D1609">IFERROR(ROUNDUP(_xlfn.IFS(F1609="Aluminum Track", _xlfn.XLOOKUP(C1609, dd_accsrycalc!$A$2:$A$51, dd_accsrycalc!$B$2:$B$51, "",0), F1609="10 x 2 1/2 S (Flat)", _xlfn.XLOOKUP(C1609, dd_accsrycalc!$A$2:$A$51, dd_accsrycalc!$C$2:$C$51, "",0), F1609="Tox6", _xlfn.XLOOKUP(C1609, dd_accsrycalc!$A$2:$A$51, dd_accsrycalc!$D$2:$D$51, "",0), F1609="Cover Cap", _xlfn.XLOOKUP(C1609, dd_accsrycalc!$A$2:$A$51, dd_accsrycalc!$E$2:$E$51, "",0), F1609="Drainage Cover", _xlfn.XLOOKUP(C1609, dd_accsrycalc!$A$2:$A$51, dd_accsrycalc!$F$2:$F$51, "",0),AND( F1609="Double Adhesive Tape", I1609="Roll-up Screen"), _xlfn.XLOOKUP(C1609, calc_rusacc!$C$15:$C$65, calc_rusacc!$AD$15:$AD$65, "",0),AND( F1609="Sealant", I1609="Roll-up Screen"), _xlfn.XLOOKUP(C1609, calc_rusacc!$C$15:$C$65, calc_rusacc!$AF$15:$AF$65, "",0),  AND( F1609="Main Chain", I1609="Accordion Screen"), _xlfn.XLOOKUP(C1609, calc_rusacc!$C$15:$C$65, calc_rusacc!$BF$15:$BF$65, "",0), AND( F1609="Sealant", I1609="Accordion Screen"), _xlfn.XLOOKUP(C1609, calc_rusacc!$C$15:$C$65, calc_rusacc!$BJ$15:$BJ$65, "",0),  F1609="Sealant", _xlfn.XLOOKUP(C1609, dd_accsrycalc!$A$2:$A$51, dd_accsrycalc!$G$2:$G$51, "",0),  F1609&lt;&gt;"",L1609*_xlfn.XLOOKUP(1, (SKUs!$C$2:$C$10001=G1609)*(SKUs!$K$2:$K$10001=I1609),SKUs!$E$2:$E$10001)), 0),"")</f>
        <v/>
      </c>
      <c r="E1609" s="16" t="str">
        <f>_xlfn.XLOOKUP(F1609,dd_item!$B$2:$B$105,dd_item!$C$2:$C$105,"",0)</f>
        <v/>
      </c>
      <c r="F1609" s="16"/>
      <c r="G1609" s="16" cm="1">
        <f t="array" ref="G1609">IFERROR(_xlfn.XLOOKUP(1, (SKUs!$J$2:$J$10001=accsry_unmerged!F1609)*IF(H1609&lt;&gt;"",(SKUs!$L$2:$L$10001=accsry_unmerged!H1609),1)*(SKUs!$K$2:$K$10001=I1609),SKUs!$C$2:$C$10001),"")</f>
        <v>0</v>
      </c>
      <c r="H1609" s="33" cm="1">
        <f t="array" ref="H1609">IFERROR(_xlfn.XLOOKUP(1, (dd_accsryclr!$C$2:$C$1000=accsry_unmerged!F1609)*(dd_accsryclr!$B$2:$B$1000=accsry_unmerged!J1609),dd_accsryclr!$A$2:$A$1000),"")</f>
        <v>0</v>
      </c>
      <c r="I1609" s="16">
        <f>_xlfn.XLOOKUP(C1609,'Project Details'!$C$17:$C$66,'Project Details'!$E$17:$E$66,"",0)</f>
        <v>0</v>
      </c>
      <c r="J1609" s="16">
        <f>_xlfn.XLOOKUP(C1609,'Project Details'!$C$17:$C$66,'Project Details'!$H$17:$H$66,"",0)</f>
        <v>0</v>
      </c>
      <c r="K1609" s="33" t="str">
        <f>IF(AND(_xlfn.XLOOKUP(C1609,'Project Details'!$C$17:$C$66,'Project Details'!$L$17:$L$66,"",0)&gt;550, F1609="Spring-L27cm"),"",SUBSTITUTE(_xlfn.XLOOKUP(G1609,SKUs!$C$2:$C$10001,SKUs!$F$2:$F$10001,"",0), " Accessories",""))</f>
        <v/>
      </c>
      <c r="L1609" s="33">
        <f>_xlfn.XLOOKUP(C1609,'Project Details'!$C$17:$C$66,'Project Details'!$D$17:$D$66,"",0)</f>
        <v>0</v>
      </c>
      <c r="M1609" s="43"/>
    </row>
    <row r="1610" spans="1:13" ht="13.5" customHeight="1" outlineLevel="1" x14ac:dyDescent="0.25">
      <c r="A1610" s="43"/>
      <c r="B1610" s="43"/>
      <c r="C1610" s="35">
        <f t="shared" si="30"/>
        <v>32</v>
      </c>
      <c r="D1610" s="35" t="str" cm="1">
        <f t="array" ref="D1610">IFERROR(ROUNDUP(_xlfn.IFS(F1610="Aluminum Track", _xlfn.XLOOKUP(C1610, dd_accsrycalc!$A$2:$A$51, dd_accsrycalc!$B$2:$B$51, "",0), F1610="10 x 2 1/2 S (Flat)", _xlfn.XLOOKUP(C1610, dd_accsrycalc!$A$2:$A$51, dd_accsrycalc!$C$2:$C$51, "",0), F1610="Tox6", _xlfn.XLOOKUP(C1610, dd_accsrycalc!$A$2:$A$51, dd_accsrycalc!$D$2:$D$51, "",0), F1610="Cover Cap", _xlfn.XLOOKUP(C1610, dd_accsrycalc!$A$2:$A$51, dd_accsrycalc!$E$2:$E$51, "",0), F1610="Drainage Cover", _xlfn.XLOOKUP(C1610, dd_accsrycalc!$A$2:$A$51, dd_accsrycalc!$F$2:$F$51, "",0),AND( F1610="Double Adhesive Tape", I1610="Roll-up Screen"), _xlfn.XLOOKUP(C1610, calc_rusacc!$C$15:$C$65, calc_rusacc!$AD$15:$AD$65, "",0),AND( F1610="Sealant", I1610="Roll-up Screen"), _xlfn.XLOOKUP(C1610, calc_rusacc!$C$15:$C$65, calc_rusacc!$AF$15:$AF$65, "",0),  AND( F1610="Main Chain", I1610="Accordion Screen"), _xlfn.XLOOKUP(C1610, calc_rusacc!$C$15:$C$65, calc_rusacc!$BF$15:$BF$65, "",0), AND( F1610="Sealant", I1610="Accordion Screen"), _xlfn.XLOOKUP(C1610, calc_rusacc!$C$15:$C$65, calc_rusacc!$BJ$15:$BJ$65, "",0),  F1610="Sealant", _xlfn.XLOOKUP(C1610, dd_accsrycalc!$A$2:$A$51, dd_accsrycalc!$G$2:$G$51, "",0),  F1610&lt;&gt;"",L1610*_xlfn.XLOOKUP(1, (SKUs!$C$2:$C$10001=G1610)*(SKUs!$K$2:$K$10001=I1610),SKUs!$E$2:$E$10001)), 0),"")</f>
        <v/>
      </c>
      <c r="E1610" s="35" t="str">
        <f>_xlfn.XLOOKUP(F1610,dd_item!$B$2:$B$105,dd_item!$C$2:$C$105,"",0)</f>
        <v/>
      </c>
      <c r="F1610" s="35"/>
      <c r="G1610" s="35" cm="1">
        <f t="array" ref="G1610">IFERROR(_xlfn.XLOOKUP(1, (SKUs!$J$2:$J$10001=accsry_unmerged!F1610)*IF(H1610&lt;&gt;"",(SKUs!$L$2:$L$10001=accsry_unmerged!H1610),1)*(SKUs!$K$2:$K$10001=I1610),SKUs!$C$2:$C$10001),"")</f>
        <v>0</v>
      </c>
      <c r="H1610" s="36" cm="1">
        <f t="array" ref="H1610">IFERROR(_xlfn.XLOOKUP(1, (dd_accsryclr!$C$2:$C$1000=accsry_unmerged!F1610)*(dd_accsryclr!$B$2:$B$1000=accsry_unmerged!J1610),dd_accsryclr!$A$2:$A$1000),"")</f>
        <v>0</v>
      </c>
      <c r="I1610" s="35">
        <f>_xlfn.XLOOKUP(C1610,'Project Details'!$C$17:$C$66,'Project Details'!$E$17:$E$66,"",0)</f>
        <v>0</v>
      </c>
      <c r="J1610" s="35">
        <f>_xlfn.XLOOKUP(C1610,'Project Details'!$C$17:$C$66,'Project Details'!$H$17:$H$66,"",0)</f>
        <v>0</v>
      </c>
      <c r="K1610" s="36" t="str">
        <f>IF(AND(_xlfn.XLOOKUP(C1610,'Project Details'!$C$17:$C$66,'Project Details'!$L$17:$L$66,"",0)&gt;550, F1610="Spring-L27cm"),"",SUBSTITUTE(_xlfn.XLOOKUP(G1610,SKUs!$C$2:$C$10001,SKUs!$F$2:$F$10001,"",0), " Accessories",""))</f>
        <v/>
      </c>
      <c r="L1610" s="36">
        <f>_xlfn.XLOOKUP(C1610,'Project Details'!$C$17:$C$66,'Project Details'!$D$17:$D$66,"",0)</f>
        <v>0</v>
      </c>
      <c r="M1610" s="43"/>
    </row>
    <row r="1611" spans="1:13" ht="13.5" customHeight="1" outlineLevel="1" x14ac:dyDescent="0.25">
      <c r="A1611" s="43"/>
      <c r="B1611" s="43"/>
      <c r="C1611" s="16">
        <f t="shared" si="30"/>
        <v>32</v>
      </c>
      <c r="D1611" s="16" t="str" cm="1">
        <f t="array" ref="D1611">IFERROR(ROUNDUP(_xlfn.IFS(F1611="Aluminum Track", _xlfn.XLOOKUP(C1611, dd_accsrycalc!$A$2:$A$51, dd_accsrycalc!$B$2:$B$51, "",0), F1611="10 x 2 1/2 S (Flat)", _xlfn.XLOOKUP(C1611, dd_accsrycalc!$A$2:$A$51, dd_accsrycalc!$C$2:$C$51, "",0), F1611="Tox6", _xlfn.XLOOKUP(C1611, dd_accsrycalc!$A$2:$A$51, dd_accsrycalc!$D$2:$D$51, "",0), F1611="Cover Cap", _xlfn.XLOOKUP(C1611, dd_accsrycalc!$A$2:$A$51, dd_accsrycalc!$E$2:$E$51, "",0), F1611="Drainage Cover", _xlfn.XLOOKUP(C1611, dd_accsrycalc!$A$2:$A$51, dd_accsrycalc!$F$2:$F$51, "",0),AND( F1611="Double Adhesive Tape", I1611="Roll-up Screen"), _xlfn.XLOOKUP(C1611, calc_rusacc!$C$15:$C$65, calc_rusacc!$AD$15:$AD$65, "",0),AND( F1611="Sealant", I1611="Roll-up Screen"), _xlfn.XLOOKUP(C1611, calc_rusacc!$C$15:$C$65, calc_rusacc!$AF$15:$AF$65, "",0),  AND( F1611="Main Chain", I1611="Accordion Screen"), _xlfn.XLOOKUP(C1611, calc_rusacc!$C$15:$C$65, calc_rusacc!$BF$15:$BF$65, "",0), AND( F1611="Sealant", I1611="Accordion Screen"), _xlfn.XLOOKUP(C1611, calc_rusacc!$C$15:$C$65, calc_rusacc!$BJ$15:$BJ$65, "",0),  F1611="Sealant", _xlfn.XLOOKUP(C1611, dd_accsrycalc!$A$2:$A$51, dd_accsrycalc!$G$2:$G$51, "",0),  F1611&lt;&gt;"",L1611*_xlfn.XLOOKUP(1, (SKUs!$C$2:$C$10001=G1611)*(SKUs!$K$2:$K$10001=I1611),SKUs!$E$2:$E$10001)), 0),"")</f>
        <v/>
      </c>
      <c r="E1611" s="16" t="str">
        <f>_xlfn.XLOOKUP(F1611,dd_item!$B$2:$B$105,dd_item!$C$2:$C$105,"",0)</f>
        <v/>
      </c>
      <c r="F1611" s="16"/>
      <c r="G1611" s="16" cm="1">
        <f t="array" ref="G1611">IFERROR(_xlfn.XLOOKUP(1, (SKUs!$J$2:$J$10001=accsry_unmerged!F1611)*IF(H1611&lt;&gt;"",(SKUs!$L$2:$L$10001=accsry_unmerged!H1611),1)*(SKUs!$K$2:$K$10001=I1611),SKUs!$C$2:$C$10001),"")</f>
        <v>0</v>
      </c>
      <c r="H1611" s="33" cm="1">
        <f t="array" ref="H1611">IFERROR(_xlfn.XLOOKUP(1, (dd_accsryclr!$C$2:$C$1000=accsry_unmerged!F1611)*(dd_accsryclr!$B$2:$B$1000=accsry_unmerged!J1611),dd_accsryclr!$A$2:$A$1000),"")</f>
        <v>0</v>
      </c>
      <c r="I1611" s="16">
        <f>_xlfn.XLOOKUP(C1611,'Project Details'!$C$17:$C$66,'Project Details'!$E$17:$E$66,"",0)</f>
        <v>0</v>
      </c>
      <c r="J1611" s="16">
        <f>_xlfn.XLOOKUP(C1611,'Project Details'!$C$17:$C$66,'Project Details'!$H$17:$H$66,"",0)</f>
        <v>0</v>
      </c>
      <c r="K1611" s="33" t="str">
        <f>IF(AND(_xlfn.XLOOKUP(C1611,'Project Details'!$C$17:$C$66,'Project Details'!$L$17:$L$66,"",0)&gt;550, F1611="Spring-L27cm"),"",SUBSTITUTE(_xlfn.XLOOKUP(G1611,SKUs!$C$2:$C$10001,SKUs!$F$2:$F$10001,"",0), " Accessories",""))</f>
        <v/>
      </c>
      <c r="L1611" s="33">
        <f>_xlfn.XLOOKUP(C1611,'Project Details'!$C$17:$C$66,'Project Details'!$D$17:$D$66,"",0)</f>
        <v>0</v>
      </c>
      <c r="M1611" s="43"/>
    </row>
    <row r="1612" spans="1:13" ht="13.5" customHeight="1" outlineLevel="1" x14ac:dyDescent="0.25">
      <c r="A1612" s="43"/>
      <c r="B1612" s="43"/>
      <c r="C1612" s="35">
        <f t="shared" si="30"/>
        <v>32</v>
      </c>
      <c r="D1612" s="35" t="str" cm="1">
        <f t="array" ref="D1612">IFERROR(ROUNDUP(_xlfn.IFS(F1612="Aluminum Track", _xlfn.XLOOKUP(C1612, dd_accsrycalc!$A$2:$A$51, dd_accsrycalc!$B$2:$B$51, "",0), F1612="10 x 2 1/2 S (Flat)", _xlfn.XLOOKUP(C1612, dd_accsrycalc!$A$2:$A$51, dd_accsrycalc!$C$2:$C$51, "",0), F1612="Tox6", _xlfn.XLOOKUP(C1612, dd_accsrycalc!$A$2:$A$51, dd_accsrycalc!$D$2:$D$51, "",0), F1612="Cover Cap", _xlfn.XLOOKUP(C1612, dd_accsrycalc!$A$2:$A$51, dd_accsrycalc!$E$2:$E$51, "",0), F1612="Drainage Cover", _xlfn.XLOOKUP(C1612, dd_accsrycalc!$A$2:$A$51, dd_accsrycalc!$F$2:$F$51, "",0),AND( F1612="Double Adhesive Tape", I1612="Roll-up Screen"), _xlfn.XLOOKUP(C1612, calc_rusacc!$C$15:$C$65, calc_rusacc!$AD$15:$AD$65, "",0),AND( F1612="Sealant", I1612="Roll-up Screen"), _xlfn.XLOOKUP(C1612, calc_rusacc!$C$15:$C$65, calc_rusacc!$AF$15:$AF$65, "",0),  AND( F1612="Main Chain", I1612="Accordion Screen"), _xlfn.XLOOKUP(C1612, calc_rusacc!$C$15:$C$65, calc_rusacc!$BF$15:$BF$65, "",0), AND( F1612="Sealant", I1612="Accordion Screen"), _xlfn.XLOOKUP(C1612, calc_rusacc!$C$15:$C$65, calc_rusacc!$BJ$15:$BJ$65, "",0),  F1612="Sealant", _xlfn.XLOOKUP(C1612, dd_accsrycalc!$A$2:$A$51, dd_accsrycalc!$G$2:$G$51, "",0),  F1612&lt;&gt;"",L1612*_xlfn.XLOOKUP(1, (SKUs!$C$2:$C$10001=G1612)*(SKUs!$K$2:$K$10001=I1612),SKUs!$E$2:$E$10001)), 0),"")</f>
        <v/>
      </c>
      <c r="E1612" s="35" t="str">
        <f>_xlfn.XLOOKUP(F1612,dd_item!$B$2:$B$105,dd_item!$C$2:$C$105,"",0)</f>
        <v/>
      </c>
      <c r="F1612" s="35"/>
      <c r="G1612" s="35" cm="1">
        <f t="array" ref="G1612">IFERROR(_xlfn.XLOOKUP(1, (SKUs!$J$2:$J$10001=accsry_unmerged!F1612)*IF(H1612&lt;&gt;"",(SKUs!$L$2:$L$10001=accsry_unmerged!H1612),1)*(SKUs!$K$2:$K$10001=I1612),SKUs!$C$2:$C$10001),"")</f>
        <v>0</v>
      </c>
      <c r="H1612" s="36" cm="1">
        <f t="array" ref="H1612">IFERROR(_xlfn.XLOOKUP(1, (dd_accsryclr!$C$2:$C$1000=accsry_unmerged!F1612)*(dd_accsryclr!$B$2:$B$1000=accsry_unmerged!J1612),dd_accsryclr!$A$2:$A$1000),"")</f>
        <v>0</v>
      </c>
      <c r="I1612" s="35">
        <f>_xlfn.XLOOKUP(C1612,'Project Details'!$C$17:$C$66,'Project Details'!$E$17:$E$66,"",0)</f>
        <v>0</v>
      </c>
      <c r="J1612" s="35">
        <f>_xlfn.XLOOKUP(C1612,'Project Details'!$C$17:$C$66,'Project Details'!$H$17:$H$66,"",0)</f>
        <v>0</v>
      </c>
      <c r="K1612" s="36" t="str">
        <f>IF(AND(_xlfn.XLOOKUP(C1612,'Project Details'!$C$17:$C$66,'Project Details'!$L$17:$L$66,"",0)&gt;550, F1612="Spring-L27cm"),"",SUBSTITUTE(_xlfn.XLOOKUP(G1612,SKUs!$C$2:$C$10001,SKUs!$F$2:$F$10001,"",0), " Accessories",""))</f>
        <v/>
      </c>
      <c r="L1612" s="36">
        <f>_xlfn.XLOOKUP(C1612,'Project Details'!$C$17:$C$66,'Project Details'!$D$17:$D$66,"",0)</f>
        <v>0</v>
      </c>
      <c r="M1612" s="43"/>
    </row>
    <row r="1613" spans="1:13" ht="13.5" customHeight="1" outlineLevel="1" x14ac:dyDescent="0.25">
      <c r="A1613" s="43"/>
      <c r="B1613" s="43"/>
      <c r="C1613" s="16">
        <f t="shared" si="30"/>
        <v>32</v>
      </c>
      <c r="D1613" s="16" t="str" cm="1">
        <f t="array" ref="D1613">IFERROR(ROUNDUP(_xlfn.IFS(F1613="Aluminum Track", _xlfn.XLOOKUP(C1613, dd_accsrycalc!$A$2:$A$51, dd_accsrycalc!$B$2:$B$51, "",0), F1613="10 x 2 1/2 S (Flat)", _xlfn.XLOOKUP(C1613, dd_accsrycalc!$A$2:$A$51, dd_accsrycalc!$C$2:$C$51, "",0), F1613="Tox6", _xlfn.XLOOKUP(C1613, dd_accsrycalc!$A$2:$A$51, dd_accsrycalc!$D$2:$D$51, "",0), F1613="Cover Cap", _xlfn.XLOOKUP(C1613, dd_accsrycalc!$A$2:$A$51, dd_accsrycalc!$E$2:$E$51, "",0), F1613="Drainage Cover", _xlfn.XLOOKUP(C1613, dd_accsrycalc!$A$2:$A$51, dd_accsrycalc!$F$2:$F$51, "",0),AND( F1613="Double Adhesive Tape", I1613="Roll-up Screen"), _xlfn.XLOOKUP(C1613, calc_rusacc!$C$15:$C$65, calc_rusacc!$AD$15:$AD$65, "",0),AND( F1613="Sealant", I1613="Roll-up Screen"), _xlfn.XLOOKUP(C1613, calc_rusacc!$C$15:$C$65, calc_rusacc!$AF$15:$AF$65, "",0),  AND( F1613="Main Chain", I1613="Accordion Screen"), _xlfn.XLOOKUP(C1613, calc_rusacc!$C$15:$C$65, calc_rusacc!$BF$15:$BF$65, "",0), AND( F1613="Sealant", I1613="Accordion Screen"), _xlfn.XLOOKUP(C1613, calc_rusacc!$C$15:$C$65, calc_rusacc!$BJ$15:$BJ$65, "",0),  F1613="Sealant", _xlfn.XLOOKUP(C1613, dd_accsrycalc!$A$2:$A$51, dd_accsrycalc!$G$2:$G$51, "",0),  F1613&lt;&gt;"",L1613*_xlfn.XLOOKUP(1, (SKUs!$C$2:$C$10001=G1613)*(SKUs!$K$2:$K$10001=I1613),SKUs!$E$2:$E$10001)), 0),"")</f>
        <v/>
      </c>
      <c r="E1613" s="16" t="str">
        <f>_xlfn.XLOOKUP(F1613,dd_item!$B$2:$B$105,dd_item!$C$2:$C$105,"",0)</f>
        <v/>
      </c>
      <c r="F1613" s="16"/>
      <c r="G1613" s="16" cm="1">
        <f t="array" ref="G1613">IFERROR(_xlfn.XLOOKUP(1, (SKUs!$J$2:$J$10001=accsry_unmerged!F1613)*IF(H1613&lt;&gt;"",(SKUs!$L$2:$L$10001=accsry_unmerged!H1613),1)*(SKUs!$K$2:$K$10001=I1613),SKUs!$C$2:$C$10001),"")</f>
        <v>0</v>
      </c>
      <c r="H1613" s="33" cm="1">
        <f t="array" ref="H1613">IFERROR(_xlfn.XLOOKUP(1, (dd_accsryclr!$C$2:$C$1000=accsry_unmerged!F1613)*(dd_accsryclr!$B$2:$B$1000=accsry_unmerged!J1613),dd_accsryclr!$A$2:$A$1000),"")</f>
        <v>0</v>
      </c>
      <c r="I1613" s="16">
        <f>_xlfn.XLOOKUP(C1613,'Project Details'!$C$17:$C$66,'Project Details'!$E$17:$E$66,"",0)</f>
        <v>0</v>
      </c>
      <c r="J1613" s="16">
        <f>_xlfn.XLOOKUP(C1613,'Project Details'!$C$17:$C$66,'Project Details'!$H$17:$H$66,"",0)</f>
        <v>0</v>
      </c>
      <c r="K1613" s="33" t="str">
        <f>IF(AND(_xlfn.XLOOKUP(C1613,'Project Details'!$C$17:$C$66,'Project Details'!$L$17:$L$66,"",0)&gt;550, F1613="Spring-L27cm"),"",SUBSTITUTE(_xlfn.XLOOKUP(G1613,SKUs!$C$2:$C$10001,SKUs!$F$2:$F$10001,"",0), " Accessories",""))</f>
        <v/>
      </c>
      <c r="L1613" s="33">
        <f>_xlfn.XLOOKUP(C1613,'Project Details'!$C$17:$C$66,'Project Details'!$D$17:$D$66,"",0)</f>
        <v>0</v>
      </c>
      <c r="M1613" s="43"/>
    </row>
    <row r="1614" spans="1:13" x14ac:dyDescent="0.25">
      <c r="A1614" s="43"/>
      <c r="B1614" s="43"/>
      <c r="C1614" s="43"/>
      <c r="D1614" s="43"/>
      <c r="E1614" s="43"/>
      <c r="F1614" s="43"/>
      <c r="G1614" s="43"/>
      <c r="H1614" s="43"/>
      <c r="I1614" s="43"/>
      <c r="J1614" s="43"/>
      <c r="K1614" s="43"/>
      <c r="L1614" s="43"/>
      <c r="M1614" s="43"/>
    </row>
    <row r="1615" spans="1:13" x14ac:dyDescent="0.25">
      <c r="A1615" s="43"/>
      <c r="B1615" s="43"/>
      <c r="C1615" s="16">
        <f>C1613+1</f>
        <v>33</v>
      </c>
      <c r="D1615" s="48" cm="1">
        <f t="array" ref="D1615">IFERROR(ROUNDUP(_xlfn.IFS(F1615="Aluminum Track", _xlfn.XLOOKUP(C1615, dd_accsrycalc!$A$2:$A$51, dd_accsrycalc!$B$2:$B$51, "",0), F1615="10 x 2 1/2 S (Flat)", _xlfn.XLOOKUP(C1615, dd_accsrycalc!$A$2:$A$51, dd_accsrycalc!$C$2:$C$51, "",0), F1615="Tox6", _xlfn.XLOOKUP(C1615, dd_accsrycalc!$A$2:$A$51, dd_accsrycalc!$D$2:$D$51, "",0), F1615="Cover Cap", _xlfn.XLOOKUP(C1615, dd_accsrycalc!$A$2:$A$51, dd_accsrycalc!$E$2:$E$51, "",0), F1615="Drainage Cover", _xlfn.XLOOKUP(C1615, dd_accsrycalc!$A$2:$A$51, dd_accsrycalc!$F$2:$F$51, "",0),AND( F1615="Double Adhesive Tape", I1615="Roll-up Screen"), _xlfn.XLOOKUP(C1615, calc_rusacc!$C$15:$C$65, calc_rusacc!$AD$15:$AD$65, "",0),AND( F1615="Sealant", I1615="Roll-up Screen"), _xlfn.XLOOKUP(C1615, calc_rusacc!$C$15:$C$65, calc_rusacc!$AF$15:$AF$65, "",0),  AND( F1615="Main Chain", I1615="Accordion Screen"), _xlfn.XLOOKUP(C1615, calc_rusacc!$C$15:$C$65, calc_rusacc!$BF$15:$BF$65, "",0), AND( F1615="Sealant", I1615="Accordion Screen"), _xlfn.XLOOKUP(C1615, calc_rusacc!$C$15:$C$65, calc_rusacc!$BJ$15:$BJ$65, "",0),  F1615="Sealant", _xlfn.XLOOKUP(C1615, dd_accsrycalc!$A$2:$A$51, dd_accsrycalc!$G$2:$G$51, "",0),  F1615&lt;&gt;"",L1615*_xlfn.XLOOKUP(1, (SKUs!$C$2:$C$10001=G1615)*(SKUs!$K$2:$K$10001=I1615),SKUs!$E$2:$E$10001)), 0),"")</f>
        <v>0</v>
      </c>
      <c r="E1615" s="48" t="str">
        <f>_xlfn.XLOOKUP(F1615,dd_item!$B$2:$B$105,dd_item!$C$2:$C$105,"",0)</f>
        <v/>
      </c>
      <c r="F1615" s="48" cm="1">
        <f t="array" ref="F1615">IFERROR(_xlfn.UNIQUE(_xlfn._xlws.FILTER(SKUs!$J$2:$J$10001, (SKUs!$F$2:$F$10001&lt;&gt;"Cutting List") * (SKUs!$A$2:$A$10001=_xlfn.XLOOKUP(_xlfn.XLOOKUP(C1615,'Project Details'!$C$17:$C$66,'Project Details'!$E$17:$E$66,"",0), dd_design_raw!$A$2:$A$101,dd_design_raw!$C$2:$C$101,"",0)))), "")</f>
        <v>0</v>
      </c>
      <c r="G1615" s="16" cm="1">
        <f t="array" ref="G1615">IFERROR(_xlfn.XLOOKUP(1, (SKUs!$J$2:$J$10001=accsry_unmerged!F1615)*IF(H1615&lt;&gt;"",(SKUs!$L$2:$L$10001=accsry_unmerged!H1615),1)*(SKUs!$K$2:$K$10001=I1615),SKUs!$C$2:$C$10001),"")</f>
        <v>0</v>
      </c>
      <c r="H1615" s="16" cm="1">
        <f t="array" ref="H1615">IFERROR(_xlfn.XLOOKUP(1, (dd_accsryclr!$C$2:$C$1000=accsry_unmerged!F1615)*(dd_accsryclr!$B$2:$B$1000=accsry_unmerged!J1615),dd_accsryclr!$A$2:$A$1000),"")</f>
        <v>0</v>
      </c>
      <c r="I1615" s="16">
        <f>_xlfn.XLOOKUP(C1615,'Project Details'!$C$17:$C$66,'Project Details'!$E$17:$E$66,"",0)</f>
        <v>0</v>
      </c>
      <c r="J1615" s="16">
        <f>_xlfn.XLOOKUP(C1615,'Project Details'!$C$17:$C$66,'Project Details'!$H$17:$H$66,"",0)</f>
        <v>0</v>
      </c>
      <c r="K1615" s="16" t="str">
        <f>IF(AND(_xlfn.XLOOKUP(C1615,'Project Details'!$C$17:$C$66,'Project Details'!$L$17:$L$66,"",0)&gt;550, F1615="Spring-L27cm"),"",SUBSTITUTE(_xlfn.XLOOKUP(G1615,SKUs!$C$2:$C$10001,SKUs!$F$2:$F$10001,"",0), " Accessories",""))</f>
        <v/>
      </c>
      <c r="L1615" s="16">
        <f>_xlfn.XLOOKUP(C1615,'Project Details'!$C$17:$C$66,'Project Details'!$D$17:$D$66,"",0)</f>
        <v>0</v>
      </c>
      <c r="M1615" s="43"/>
    </row>
    <row r="1616" spans="1:13" x14ac:dyDescent="0.25">
      <c r="A1616" s="43"/>
      <c r="B1616" s="43"/>
      <c r="C1616" s="35">
        <f>C1615</f>
        <v>33</v>
      </c>
      <c r="D1616" s="35" t="str" cm="1">
        <f t="array" ref="D1616">IFERROR(ROUNDUP(_xlfn.IFS(F1616="Aluminum Track", _xlfn.XLOOKUP(C1616, dd_accsrycalc!$A$2:$A$51, dd_accsrycalc!$B$2:$B$51, "",0), F1616="10 x 2 1/2 S (Flat)", _xlfn.XLOOKUP(C1616, dd_accsrycalc!$A$2:$A$51, dd_accsrycalc!$C$2:$C$51, "",0), F1616="Tox6", _xlfn.XLOOKUP(C1616, dd_accsrycalc!$A$2:$A$51, dd_accsrycalc!$D$2:$D$51, "",0), F1616="Cover Cap", _xlfn.XLOOKUP(C1616, dd_accsrycalc!$A$2:$A$51, dd_accsrycalc!$E$2:$E$51, "",0), F1616="Drainage Cover", _xlfn.XLOOKUP(C1616, dd_accsrycalc!$A$2:$A$51, dd_accsrycalc!$F$2:$F$51, "",0),AND( F1616="Double Adhesive Tape", I1616="Roll-up Screen"), _xlfn.XLOOKUP(C1616, calc_rusacc!$C$15:$C$65, calc_rusacc!$AD$15:$AD$65, "",0),AND( F1616="Sealant", I1616="Roll-up Screen"), _xlfn.XLOOKUP(C1616, calc_rusacc!$C$15:$C$65, calc_rusacc!$AF$15:$AF$65, "",0),  AND( F1616="Main Chain", I1616="Accordion Screen"), _xlfn.XLOOKUP(C1616, calc_rusacc!$C$15:$C$65, calc_rusacc!$BF$15:$BF$65, "",0), AND( F1616="Sealant", I1616="Accordion Screen"), _xlfn.XLOOKUP(C1616, calc_rusacc!$C$15:$C$65, calc_rusacc!$BJ$15:$BJ$65, "",0),  F1616="Sealant", _xlfn.XLOOKUP(C1616, dd_accsrycalc!$A$2:$A$51, dd_accsrycalc!$G$2:$G$51, "",0),  F1616&lt;&gt;"",L1616*_xlfn.XLOOKUP(1, (SKUs!$C$2:$C$10001=G1616)*(SKUs!$K$2:$K$10001=I1616),SKUs!$E$2:$E$10001)), 0),"")</f>
        <v/>
      </c>
      <c r="E1616" s="35" t="str">
        <f>_xlfn.XLOOKUP(F1616,dd_item!$B$2:$B$105,dd_item!$C$2:$C$105,"",0)</f>
        <v/>
      </c>
      <c r="F1616" s="35"/>
      <c r="G1616" s="35" cm="1">
        <f t="array" ref="G1616">IFERROR(_xlfn.XLOOKUP(1, (SKUs!$J$2:$J$10001=accsry_unmerged!F1616)*IF(H1616&lt;&gt;"",(SKUs!$L$2:$L$10001=accsry_unmerged!H1616),1)*(SKUs!$K$2:$K$10001=I1616),SKUs!$C$2:$C$10001),"")</f>
        <v>0</v>
      </c>
      <c r="H1616" s="36" cm="1">
        <f t="array" ref="H1616">IFERROR(_xlfn.XLOOKUP(1, (dd_accsryclr!$C$2:$C$1000=accsry_unmerged!F1616)*(dd_accsryclr!$B$2:$B$1000=accsry_unmerged!J1616),dd_accsryclr!$A$2:$A$1000),"")</f>
        <v>0</v>
      </c>
      <c r="I1616" s="35">
        <f>_xlfn.XLOOKUP(C1616,'Project Details'!$C$17:$C$66,'Project Details'!$E$17:$E$66,"",0)</f>
        <v>0</v>
      </c>
      <c r="J1616" s="35">
        <f>_xlfn.XLOOKUP(C1616,'Project Details'!$C$17:$C$66,'Project Details'!$H$17:$H$66,"",0)</f>
        <v>0</v>
      </c>
      <c r="K1616" s="36" t="str">
        <f>IF(AND(_xlfn.XLOOKUP(C1616,'Project Details'!$C$17:$C$66,'Project Details'!$L$17:$L$66,"",0)&gt;550, F1616="Spring-L27cm"),"",SUBSTITUTE(_xlfn.XLOOKUP(G1616,SKUs!$C$2:$C$10001,SKUs!$F$2:$F$10001,"",0), " Accessories",""))</f>
        <v/>
      </c>
      <c r="L1616" s="36">
        <f>_xlfn.XLOOKUP(C1616,'Project Details'!$C$17:$C$66,'Project Details'!$D$17:$D$66,"",0)</f>
        <v>0</v>
      </c>
      <c r="M1616" s="43"/>
    </row>
    <row r="1617" spans="1:13" x14ac:dyDescent="0.25">
      <c r="A1617" s="43"/>
      <c r="B1617" s="43"/>
      <c r="C1617" s="16">
        <f t="shared" ref="C1617:C1663" si="31">C1616</f>
        <v>33</v>
      </c>
      <c r="D1617" s="16" t="str" cm="1">
        <f t="array" ref="D1617">IFERROR(ROUNDUP(_xlfn.IFS(F1617="Aluminum Track", _xlfn.XLOOKUP(C1617, dd_accsrycalc!$A$2:$A$51, dd_accsrycalc!$B$2:$B$51, "",0), F1617="10 x 2 1/2 S (Flat)", _xlfn.XLOOKUP(C1617, dd_accsrycalc!$A$2:$A$51, dd_accsrycalc!$C$2:$C$51, "",0), F1617="Tox6", _xlfn.XLOOKUP(C1617, dd_accsrycalc!$A$2:$A$51, dd_accsrycalc!$D$2:$D$51, "",0), F1617="Cover Cap", _xlfn.XLOOKUP(C1617, dd_accsrycalc!$A$2:$A$51, dd_accsrycalc!$E$2:$E$51, "",0), F1617="Drainage Cover", _xlfn.XLOOKUP(C1617, dd_accsrycalc!$A$2:$A$51, dd_accsrycalc!$F$2:$F$51, "",0),AND( F1617="Double Adhesive Tape", I1617="Roll-up Screen"), _xlfn.XLOOKUP(C1617, calc_rusacc!$C$15:$C$65, calc_rusacc!$AD$15:$AD$65, "",0),AND( F1617="Sealant", I1617="Roll-up Screen"), _xlfn.XLOOKUP(C1617, calc_rusacc!$C$15:$C$65, calc_rusacc!$AF$15:$AF$65, "",0),  AND( F1617="Main Chain", I1617="Accordion Screen"), _xlfn.XLOOKUP(C1617, calc_rusacc!$C$15:$C$65, calc_rusacc!$BF$15:$BF$65, "",0), AND( F1617="Sealant", I1617="Accordion Screen"), _xlfn.XLOOKUP(C1617, calc_rusacc!$C$15:$C$65, calc_rusacc!$BJ$15:$BJ$65, "",0),  F1617="Sealant", _xlfn.XLOOKUP(C1617, dd_accsrycalc!$A$2:$A$51, dd_accsrycalc!$G$2:$G$51, "",0),  F1617&lt;&gt;"",L1617*_xlfn.XLOOKUP(1, (SKUs!$C$2:$C$10001=G1617)*(SKUs!$K$2:$K$10001=I1617),SKUs!$E$2:$E$10001)), 0),"")</f>
        <v/>
      </c>
      <c r="E1617" s="16" t="str">
        <f>_xlfn.XLOOKUP(F1617,dd_item!$B$2:$B$105,dd_item!$C$2:$C$105,"",0)</f>
        <v/>
      </c>
      <c r="F1617" s="16"/>
      <c r="G1617" s="16" cm="1">
        <f t="array" ref="G1617">IFERROR(_xlfn.XLOOKUP(1, (SKUs!$J$2:$J$10001=accsry_unmerged!F1617)*IF(H1617&lt;&gt;"",(SKUs!$L$2:$L$10001=accsry_unmerged!H1617),1)*(SKUs!$K$2:$K$10001=I1617),SKUs!$C$2:$C$10001),"")</f>
        <v>0</v>
      </c>
      <c r="H1617" s="33" cm="1">
        <f t="array" ref="H1617">IFERROR(_xlfn.XLOOKUP(1, (dd_accsryclr!$C$2:$C$1000=accsry_unmerged!F1617)*(dd_accsryclr!$B$2:$B$1000=accsry_unmerged!J1617),dd_accsryclr!$A$2:$A$1000),"")</f>
        <v>0</v>
      </c>
      <c r="I1617" s="16">
        <f>_xlfn.XLOOKUP(C1617,'Project Details'!$C$17:$C$66,'Project Details'!$E$17:$E$66,"",0)</f>
        <v>0</v>
      </c>
      <c r="J1617" s="16">
        <f>_xlfn.XLOOKUP(C1617,'Project Details'!$C$17:$C$66,'Project Details'!$H$17:$H$66,"",0)</f>
        <v>0</v>
      </c>
      <c r="K1617" s="33" t="str">
        <f>IF(AND(_xlfn.XLOOKUP(C1617,'Project Details'!$C$17:$C$66,'Project Details'!$L$17:$L$66,"",0)&gt;550, F1617="Spring-L27cm"),"",SUBSTITUTE(_xlfn.XLOOKUP(G1617,SKUs!$C$2:$C$10001,SKUs!$F$2:$F$10001,"",0), " Accessories",""))</f>
        <v/>
      </c>
      <c r="L1617" s="33">
        <f>_xlfn.XLOOKUP(C1617,'Project Details'!$C$17:$C$66,'Project Details'!$D$17:$D$66,"",0)</f>
        <v>0</v>
      </c>
      <c r="M1617" s="43"/>
    </row>
    <row r="1618" spans="1:13" x14ac:dyDescent="0.25">
      <c r="A1618" s="43"/>
      <c r="B1618" s="43"/>
      <c r="C1618" s="35">
        <f t="shared" si="31"/>
        <v>33</v>
      </c>
      <c r="D1618" s="35" t="str" cm="1">
        <f t="array" ref="D1618">IFERROR(ROUNDUP(_xlfn.IFS(F1618="Aluminum Track", _xlfn.XLOOKUP(C1618, dd_accsrycalc!$A$2:$A$51, dd_accsrycalc!$B$2:$B$51, "",0), F1618="10 x 2 1/2 S (Flat)", _xlfn.XLOOKUP(C1618, dd_accsrycalc!$A$2:$A$51, dd_accsrycalc!$C$2:$C$51, "",0), F1618="Tox6", _xlfn.XLOOKUP(C1618, dd_accsrycalc!$A$2:$A$51, dd_accsrycalc!$D$2:$D$51, "",0), F1618="Cover Cap", _xlfn.XLOOKUP(C1618, dd_accsrycalc!$A$2:$A$51, dd_accsrycalc!$E$2:$E$51, "",0), F1618="Drainage Cover", _xlfn.XLOOKUP(C1618, dd_accsrycalc!$A$2:$A$51, dd_accsrycalc!$F$2:$F$51, "",0),AND( F1618="Double Adhesive Tape", I1618="Roll-up Screen"), _xlfn.XLOOKUP(C1618, calc_rusacc!$C$15:$C$65, calc_rusacc!$AD$15:$AD$65, "",0),AND( F1618="Sealant", I1618="Roll-up Screen"), _xlfn.XLOOKUP(C1618, calc_rusacc!$C$15:$C$65, calc_rusacc!$AF$15:$AF$65, "",0),  AND( F1618="Main Chain", I1618="Accordion Screen"), _xlfn.XLOOKUP(C1618, calc_rusacc!$C$15:$C$65, calc_rusacc!$BF$15:$BF$65, "",0), AND( F1618="Sealant", I1618="Accordion Screen"), _xlfn.XLOOKUP(C1618, calc_rusacc!$C$15:$C$65, calc_rusacc!$BJ$15:$BJ$65, "",0),  F1618="Sealant", _xlfn.XLOOKUP(C1618, dd_accsrycalc!$A$2:$A$51, dd_accsrycalc!$G$2:$G$51, "",0),  F1618&lt;&gt;"",L1618*_xlfn.XLOOKUP(1, (SKUs!$C$2:$C$10001=G1618)*(SKUs!$K$2:$K$10001=I1618),SKUs!$E$2:$E$10001)), 0),"")</f>
        <v/>
      </c>
      <c r="E1618" s="35" t="str">
        <f>_xlfn.XLOOKUP(F1618,dd_item!$B$2:$B$105,dd_item!$C$2:$C$105,"",0)</f>
        <v/>
      </c>
      <c r="F1618" s="35"/>
      <c r="G1618" s="35" cm="1">
        <f t="array" ref="G1618">IFERROR(_xlfn.XLOOKUP(1, (SKUs!$J$2:$J$10001=accsry_unmerged!F1618)*IF(H1618&lt;&gt;"",(SKUs!$L$2:$L$10001=accsry_unmerged!H1618),1)*(SKUs!$K$2:$K$10001=I1618),SKUs!$C$2:$C$10001),"")</f>
        <v>0</v>
      </c>
      <c r="H1618" s="36" cm="1">
        <f t="array" ref="H1618">IFERROR(_xlfn.XLOOKUP(1, (dd_accsryclr!$C$2:$C$1000=accsry_unmerged!F1618)*(dd_accsryclr!$B$2:$B$1000=accsry_unmerged!J1618),dd_accsryclr!$A$2:$A$1000),"")</f>
        <v>0</v>
      </c>
      <c r="I1618" s="35">
        <f>_xlfn.XLOOKUP(C1618,'Project Details'!$C$17:$C$66,'Project Details'!$E$17:$E$66,"",0)</f>
        <v>0</v>
      </c>
      <c r="J1618" s="35">
        <f>_xlfn.XLOOKUP(C1618,'Project Details'!$C$17:$C$66,'Project Details'!$H$17:$H$66,"",0)</f>
        <v>0</v>
      </c>
      <c r="K1618" s="36" t="str">
        <f>IF(AND(_xlfn.XLOOKUP(C1618,'Project Details'!$C$17:$C$66,'Project Details'!$L$17:$L$66,"",0)&gt;550, F1618="Spring-L27cm"),"",SUBSTITUTE(_xlfn.XLOOKUP(G1618,SKUs!$C$2:$C$10001,SKUs!$F$2:$F$10001,"",0), " Accessories",""))</f>
        <v/>
      </c>
      <c r="L1618" s="36">
        <f>_xlfn.XLOOKUP(C1618,'Project Details'!$C$17:$C$66,'Project Details'!$D$17:$D$66,"",0)</f>
        <v>0</v>
      </c>
      <c r="M1618" s="43"/>
    </row>
    <row r="1619" spans="1:13" x14ac:dyDescent="0.25">
      <c r="A1619" s="43"/>
      <c r="B1619" s="43"/>
      <c r="C1619" s="16">
        <f t="shared" si="31"/>
        <v>33</v>
      </c>
      <c r="D1619" s="16" t="str" cm="1">
        <f t="array" ref="D1619">IFERROR(ROUNDUP(_xlfn.IFS(F1619="Aluminum Track", _xlfn.XLOOKUP(C1619, dd_accsrycalc!$A$2:$A$51, dd_accsrycalc!$B$2:$B$51, "",0), F1619="10 x 2 1/2 S (Flat)", _xlfn.XLOOKUP(C1619, dd_accsrycalc!$A$2:$A$51, dd_accsrycalc!$C$2:$C$51, "",0), F1619="Tox6", _xlfn.XLOOKUP(C1619, dd_accsrycalc!$A$2:$A$51, dd_accsrycalc!$D$2:$D$51, "",0), F1619="Cover Cap", _xlfn.XLOOKUP(C1619, dd_accsrycalc!$A$2:$A$51, dd_accsrycalc!$E$2:$E$51, "",0), F1619="Drainage Cover", _xlfn.XLOOKUP(C1619, dd_accsrycalc!$A$2:$A$51, dd_accsrycalc!$F$2:$F$51, "",0),AND( F1619="Double Adhesive Tape", I1619="Roll-up Screen"), _xlfn.XLOOKUP(C1619, calc_rusacc!$C$15:$C$65, calc_rusacc!$AD$15:$AD$65, "",0),AND( F1619="Sealant", I1619="Roll-up Screen"), _xlfn.XLOOKUP(C1619, calc_rusacc!$C$15:$C$65, calc_rusacc!$AF$15:$AF$65, "",0),  AND( F1619="Main Chain", I1619="Accordion Screen"), _xlfn.XLOOKUP(C1619, calc_rusacc!$C$15:$C$65, calc_rusacc!$BF$15:$BF$65, "",0), AND( F1619="Sealant", I1619="Accordion Screen"), _xlfn.XLOOKUP(C1619, calc_rusacc!$C$15:$C$65, calc_rusacc!$BJ$15:$BJ$65, "",0),  F1619="Sealant", _xlfn.XLOOKUP(C1619, dd_accsrycalc!$A$2:$A$51, dd_accsrycalc!$G$2:$G$51, "",0),  F1619&lt;&gt;"",L1619*_xlfn.XLOOKUP(1, (SKUs!$C$2:$C$10001=G1619)*(SKUs!$K$2:$K$10001=I1619),SKUs!$E$2:$E$10001)), 0),"")</f>
        <v/>
      </c>
      <c r="E1619" s="16" t="str">
        <f>_xlfn.XLOOKUP(F1619,dd_item!$B$2:$B$105,dd_item!$C$2:$C$105,"",0)</f>
        <v/>
      </c>
      <c r="F1619" s="16"/>
      <c r="G1619" s="16" cm="1">
        <f t="array" ref="G1619">IFERROR(_xlfn.XLOOKUP(1, (SKUs!$J$2:$J$10001=accsry_unmerged!F1619)*IF(H1619&lt;&gt;"",(SKUs!$L$2:$L$10001=accsry_unmerged!H1619),1)*(SKUs!$K$2:$K$10001=I1619),SKUs!$C$2:$C$10001),"")</f>
        <v>0</v>
      </c>
      <c r="H1619" s="33" cm="1">
        <f t="array" ref="H1619">IFERROR(_xlfn.XLOOKUP(1, (dd_accsryclr!$C$2:$C$1000=accsry_unmerged!F1619)*(dd_accsryclr!$B$2:$B$1000=accsry_unmerged!J1619),dd_accsryclr!$A$2:$A$1000),"")</f>
        <v>0</v>
      </c>
      <c r="I1619" s="16">
        <f>_xlfn.XLOOKUP(C1619,'Project Details'!$C$17:$C$66,'Project Details'!$E$17:$E$66,"",0)</f>
        <v>0</v>
      </c>
      <c r="J1619" s="16">
        <f>_xlfn.XLOOKUP(C1619,'Project Details'!$C$17:$C$66,'Project Details'!$H$17:$H$66,"",0)</f>
        <v>0</v>
      </c>
      <c r="K1619" s="33" t="str">
        <f>IF(AND(_xlfn.XLOOKUP(C1619,'Project Details'!$C$17:$C$66,'Project Details'!$L$17:$L$66,"",0)&gt;550, F1619="Spring-L27cm"),"",SUBSTITUTE(_xlfn.XLOOKUP(G1619,SKUs!$C$2:$C$10001,SKUs!$F$2:$F$10001,"",0), " Accessories",""))</f>
        <v/>
      </c>
      <c r="L1619" s="33">
        <f>_xlfn.XLOOKUP(C1619,'Project Details'!$C$17:$C$66,'Project Details'!$D$17:$D$66,"",0)</f>
        <v>0</v>
      </c>
      <c r="M1619" s="43"/>
    </row>
    <row r="1620" spans="1:13" x14ac:dyDescent="0.25">
      <c r="A1620" s="43"/>
      <c r="B1620" s="43"/>
      <c r="C1620" s="35">
        <f t="shared" si="31"/>
        <v>33</v>
      </c>
      <c r="D1620" s="35" t="str" cm="1">
        <f t="array" ref="D1620">IFERROR(ROUNDUP(_xlfn.IFS(F1620="Aluminum Track", _xlfn.XLOOKUP(C1620, dd_accsrycalc!$A$2:$A$51, dd_accsrycalc!$B$2:$B$51, "",0), F1620="10 x 2 1/2 S (Flat)", _xlfn.XLOOKUP(C1620, dd_accsrycalc!$A$2:$A$51, dd_accsrycalc!$C$2:$C$51, "",0), F1620="Tox6", _xlfn.XLOOKUP(C1620, dd_accsrycalc!$A$2:$A$51, dd_accsrycalc!$D$2:$D$51, "",0), F1620="Cover Cap", _xlfn.XLOOKUP(C1620, dd_accsrycalc!$A$2:$A$51, dd_accsrycalc!$E$2:$E$51, "",0), F1620="Drainage Cover", _xlfn.XLOOKUP(C1620, dd_accsrycalc!$A$2:$A$51, dd_accsrycalc!$F$2:$F$51, "",0),AND( F1620="Double Adhesive Tape", I1620="Roll-up Screen"), _xlfn.XLOOKUP(C1620, calc_rusacc!$C$15:$C$65, calc_rusacc!$AD$15:$AD$65, "",0),AND( F1620="Sealant", I1620="Roll-up Screen"), _xlfn.XLOOKUP(C1620, calc_rusacc!$C$15:$C$65, calc_rusacc!$AF$15:$AF$65, "",0),  AND( F1620="Main Chain", I1620="Accordion Screen"), _xlfn.XLOOKUP(C1620, calc_rusacc!$C$15:$C$65, calc_rusacc!$BF$15:$BF$65, "",0), AND( F1620="Sealant", I1620="Accordion Screen"), _xlfn.XLOOKUP(C1620, calc_rusacc!$C$15:$C$65, calc_rusacc!$BJ$15:$BJ$65, "",0),  F1620="Sealant", _xlfn.XLOOKUP(C1620, dd_accsrycalc!$A$2:$A$51, dd_accsrycalc!$G$2:$G$51, "",0),  F1620&lt;&gt;"",L1620*_xlfn.XLOOKUP(1, (SKUs!$C$2:$C$10001=G1620)*(SKUs!$K$2:$K$10001=I1620),SKUs!$E$2:$E$10001)), 0),"")</f>
        <v/>
      </c>
      <c r="E1620" s="35" t="str">
        <f>_xlfn.XLOOKUP(F1620,dd_item!$B$2:$B$105,dd_item!$C$2:$C$105,"",0)</f>
        <v/>
      </c>
      <c r="F1620" s="35"/>
      <c r="G1620" s="35" cm="1">
        <f t="array" ref="G1620">IFERROR(_xlfn.XLOOKUP(1, (SKUs!$J$2:$J$10001=accsry_unmerged!F1620)*IF(H1620&lt;&gt;"",(SKUs!$L$2:$L$10001=accsry_unmerged!H1620),1)*(SKUs!$K$2:$K$10001=I1620),SKUs!$C$2:$C$10001),"")</f>
        <v>0</v>
      </c>
      <c r="H1620" s="36" cm="1">
        <f t="array" ref="H1620">IFERROR(_xlfn.XLOOKUP(1, (dd_accsryclr!$C$2:$C$1000=accsry_unmerged!F1620)*(dd_accsryclr!$B$2:$B$1000=accsry_unmerged!J1620),dd_accsryclr!$A$2:$A$1000),"")</f>
        <v>0</v>
      </c>
      <c r="I1620" s="35">
        <f>_xlfn.XLOOKUP(C1620,'Project Details'!$C$17:$C$66,'Project Details'!$E$17:$E$66,"",0)</f>
        <v>0</v>
      </c>
      <c r="J1620" s="35">
        <f>_xlfn.XLOOKUP(C1620,'Project Details'!$C$17:$C$66,'Project Details'!$H$17:$H$66,"",0)</f>
        <v>0</v>
      </c>
      <c r="K1620" s="36" t="str">
        <f>IF(AND(_xlfn.XLOOKUP(C1620,'Project Details'!$C$17:$C$66,'Project Details'!$L$17:$L$66,"",0)&gt;550, F1620="Spring-L27cm"),"",SUBSTITUTE(_xlfn.XLOOKUP(G1620,SKUs!$C$2:$C$10001,SKUs!$F$2:$F$10001,"",0), " Accessories",""))</f>
        <v/>
      </c>
      <c r="L1620" s="36">
        <f>_xlfn.XLOOKUP(C1620,'Project Details'!$C$17:$C$66,'Project Details'!$D$17:$D$66,"",0)</f>
        <v>0</v>
      </c>
      <c r="M1620" s="43"/>
    </row>
    <row r="1621" spans="1:13" x14ac:dyDescent="0.25">
      <c r="A1621" s="43"/>
      <c r="B1621" s="43"/>
      <c r="C1621" s="16">
        <f t="shared" si="31"/>
        <v>33</v>
      </c>
      <c r="D1621" s="16" t="str" cm="1">
        <f t="array" ref="D1621">IFERROR(ROUNDUP(_xlfn.IFS(F1621="Aluminum Track", _xlfn.XLOOKUP(C1621, dd_accsrycalc!$A$2:$A$51, dd_accsrycalc!$B$2:$B$51, "",0), F1621="10 x 2 1/2 S (Flat)", _xlfn.XLOOKUP(C1621, dd_accsrycalc!$A$2:$A$51, dd_accsrycalc!$C$2:$C$51, "",0), F1621="Tox6", _xlfn.XLOOKUP(C1621, dd_accsrycalc!$A$2:$A$51, dd_accsrycalc!$D$2:$D$51, "",0), F1621="Cover Cap", _xlfn.XLOOKUP(C1621, dd_accsrycalc!$A$2:$A$51, dd_accsrycalc!$E$2:$E$51, "",0), F1621="Drainage Cover", _xlfn.XLOOKUP(C1621, dd_accsrycalc!$A$2:$A$51, dd_accsrycalc!$F$2:$F$51, "",0),AND( F1621="Double Adhesive Tape", I1621="Roll-up Screen"), _xlfn.XLOOKUP(C1621, calc_rusacc!$C$15:$C$65, calc_rusacc!$AD$15:$AD$65, "",0),AND( F1621="Sealant", I1621="Roll-up Screen"), _xlfn.XLOOKUP(C1621, calc_rusacc!$C$15:$C$65, calc_rusacc!$AF$15:$AF$65, "",0),  AND( F1621="Main Chain", I1621="Accordion Screen"), _xlfn.XLOOKUP(C1621, calc_rusacc!$C$15:$C$65, calc_rusacc!$BF$15:$BF$65, "",0), AND( F1621="Sealant", I1621="Accordion Screen"), _xlfn.XLOOKUP(C1621, calc_rusacc!$C$15:$C$65, calc_rusacc!$BJ$15:$BJ$65, "",0),  F1621="Sealant", _xlfn.XLOOKUP(C1621, dd_accsrycalc!$A$2:$A$51, dd_accsrycalc!$G$2:$G$51, "",0),  F1621&lt;&gt;"",L1621*_xlfn.XLOOKUP(1, (SKUs!$C$2:$C$10001=G1621)*(SKUs!$K$2:$K$10001=I1621),SKUs!$E$2:$E$10001)), 0),"")</f>
        <v/>
      </c>
      <c r="E1621" s="16" t="str">
        <f>_xlfn.XLOOKUP(F1621,dd_item!$B$2:$B$105,dd_item!$C$2:$C$105,"",0)</f>
        <v/>
      </c>
      <c r="F1621" s="16"/>
      <c r="G1621" s="16" cm="1">
        <f t="array" ref="G1621">IFERROR(_xlfn.XLOOKUP(1, (SKUs!$J$2:$J$10001=accsry_unmerged!F1621)*IF(H1621&lt;&gt;"",(SKUs!$L$2:$L$10001=accsry_unmerged!H1621),1)*(SKUs!$K$2:$K$10001=I1621),SKUs!$C$2:$C$10001),"")</f>
        <v>0</v>
      </c>
      <c r="H1621" s="33" cm="1">
        <f t="array" ref="H1621">IFERROR(_xlfn.XLOOKUP(1, (dd_accsryclr!$C$2:$C$1000=accsry_unmerged!F1621)*(dd_accsryclr!$B$2:$B$1000=accsry_unmerged!J1621),dd_accsryclr!$A$2:$A$1000),"")</f>
        <v>0</v>
      </c>
      <c r="I1621" s="16">
        <f>_xlfn.XLOOKUP(C1621,'Project Details'!$C$17:$C$66,'Project Details'!$E$17:$E$66,"",0)</f>
        <v>0</v>
      </c>
      <c r="J1621" s="16">
        <f>_xlfn.XLOOKUP(C1621,'Project Details'!$C$17:$C$66,'Project Details'!$H$17:$H$66,"",0)</f>
        <v>0</v>
      </c>
      <c r="K1621" s="33" t="str">
        <f>IF(AND(_xlfn.XLOOKUP(C1621,'Project Details'!$C$17:$C$66,'Project Details'!$L$17:$L$66,"",0)&gt;550, F1621="Spring-L27cm"),"",SUBSTITUTE(_xlfn.XLOOKUP(G1621,SKUs!$C$2:$C$10001,SKUs!$F$2:$F$10001,"",0), " Accessories",""))</f>
        <v/>
      </c>
      <c r="L1621" s="33">
        <f>_xlfn.XLOOKUP(C1621,'Project Details'!$C$17:$C$66,'Project Details'!$D$17:$D$66,"",0)</f>
        <v>0</v>
      </c>
      <c r="M1621" s="43"/>
    </row>
    <row r="1622" spans="1:13" x14ac:dyDescent="0.25">
      <c r="A1622" s="43"/>
      <c r="B1622" s="43"/>
      <c r="C1622" s="35">
        <f t="shared" si="31"/>
        <v>33</v>
      </c>
      <c r="D1622" s="35" t="str" cm="1">
        <f t="array" ref="D1622">IFERROR(ROUNDUP(_xlfn.IFS(F1622="Aluminum Track", _xlfn.XLOOKUP(C1622, dd_accsrycalc!$A$2:$A$51, dd_accsrycalc!$B$2:$B$51, "",0), F1622="10 x 2 1/2 S (Flat)", _xlfn.XLOOKUP(C1622, dd_accsrycalc!$A$2:$A$51, dd_accsrycalc!$C$2:$C$51, "",0), F1622="Tox6", _xlfn.XLOOKUP(C1622, dd_accsrycalc!$A$2:$A$51, dd_accsrycalc!$D$2:$D$51, "",0), F1622="Cover Cap", _xlfn.XLOOKUP(C1622, dd_accsrycalc!$A$2:$A$51, dd_accsrycalc!$E$2:$E$51, "",0), F1622="Drainage Cover", _xlfn.XLOOKUP(C1622, dd_accsrycalc!$A$2:$A$51, dd_accsrycalc!$F$2:$F$51, "",0),AND( F1622="Double Adhesive Tape", I1622="Roll-up Screen"), _xlfn.XLOOKUP(C1622, calc_rusacc!$C$15:$C$65, calc_rusacc!$AD$15:$AD$65, "",0),AND( F1622="Sealant", I1622="Roll-up Screen"), _xlfn.XLOOKUP(C1622, calc_rusacc!$C$15:$C$65, calc_rusacc!$AF$15:$AF$65, "",0),  AND( F1622="Main Chain", I1622="Accordion Screen"), _xlfn.XLOOKUP(C1622, calc_rusacc!$C$15:$C$65, calc_rusacc!$BF$15:$BF$65, "",0), AND( F1622="Sealant", I1622="Accordion Screen"), _xlfn.XLOOKUP(C1622, calc_rusacc!$C$15:$C$65, calc_rusacc!$BJ$15:$BJ$65, "",0),  F1622="Sealant", _xlfn.XLOOKUP(C1622, dd_accsrycalc!$A$2:$A$51, dd_accsrycalc!$G$2:$G$51, "",0),  F1622&lt;&gt;"",L1622*_xlfn.XLOOKUP(1, (SKUs!$C$2:$C$10001=G1622)*(SKUs!$K$2:$K$10001=I1622),SKUs!$E$2:$E$10001)), 0),"")</f>
        <v/>
      </c>
      <c r="E1622" s="35" t="str">
        <f>_xlfn.XLOOKUP(F1622,dd_item!$B$2:$B$105,dd_item!$C$2:$C$105,"",0)</f>
        <v/>
      </c>
      <c r="F1622" s="35"/>
      <c r="G1622" s="35" cm="1">
        <f t="array" ref="G1622">IFERROR(_xlfn.XLOOKUP(1, (SKUs!$J$2:$J$10001=accsry_unmerged!F1622)*IF(H1622&lt;&gt;"",(SKUs!$L$2:$L$10001=accsry_unmerged!H1622),1)*(SKUs!$K$2:$K$10001=I1622),SKUs!$C$2:$C$10001),"")</f>
        <v>0</v>
      </c>
      <c r="H1622" s="36" cm="1">
        <f t="array" ref="H1622">IFERROR(_xlfn.XLOOKUP(1, (dd_accsryclr!$C$2:$C$1000=accsry_unmerged!F1622)*(dd_accsryclr!$B$2:$B$1000=accsry_unmerged!J1622),dd_accsryclr!$A$2:$A$1000),"")</f>
        <v>0</v>
      </c>
      <c r="I1622" s="35">
        <f>_xlfn.XLOOKUP(C1622,'Project Details'!$C$17:$C$66,'Project Details'!$E$17:$E$66,"",0)</f>
        <v>0</v>
      </c>
      <c r="J1622" s="35">
        <f>_xlfn.XLOOKUP(C1622,'Project Details'!$C$17:$C$66,'Project Details'!$H$17:$H$66,"",0)</f>
        <v>0</v>
      </c>
      <c r="K1622" s="36" t="str">
        <f>IF(AND(_xlfn.XLOOKUP(C1622,'Project Details'!$C$17:$C$66,'Project Details'!$L$17:$L$66,"",0)&gt;550, F1622="Spring-L27cm"),"",SUBSTITUTE(_xlfn.XLOOKUP(G1622,SKUs!$C$2:$C$10001,SKUs!$F$2:$F$10001,"",0), " Accessories",""))</f>
        <v/>
      </c>
      <c r="L1622" s="36">
        <f>_xlfn.XLOOKUP(C1622,'Project Details'!$C$17:$C$66,'Project Details'!$D$17:$D$66,"",0)</f>
        <v>0</v>
      </c>
      <c r="M1622" s="43"/>
    </row>
    <row r="1623" spans="1:13" x14ac:dyDescent="0.25">
      <c r="A1623" s="43"/>
      <c r="B1623" s="43"/>
      <c r="C1623" s="16">
        <f t="shared" si="31"/>
        <v>33</v>
      </c>
      <c r="D1623" s="16" t="str" cm="1">
        <f t="array" ref="D1623">IFERROR(ROUNDUP(_xlfn.IFS(F1623="Aluminum Track", _xlfn.XLOOKUP(C1623, dd_accsrycalc!$A$2:$A$51, dd_accsrycalc!$B$2:$B$51, "",0), F1623="10 x 2 1/2 S (Flat)", _xlfn.XLOOKUP(C1623, dd_accsrycalc!$A$2:$A$51, dd_accsrycalc!$C$2:$C$51, "",0), F1623="Tox6", _xlfn.XLOOKUP(C1623, dd_accsrycalc!$A$2:$A$51, dd_accsrycalc!$D$2:$D$51, "",0), F1623="Cover Cap", _xlfn.XLOOKUP(C1623, dd_accsrycalc!$A$2:$A$51, dd_accsrycalc!$E$2:$E$51, "",0), F1623="Drainage Cover", _xlfn.XLOOKUP(C1623, dd_accsrycalc!$A$2:$A$51, dd_accsrycalc!$F$2:$F$51, "",0),AND( F1623="Double Adhesive Tape", I1623="Roll-up Screen"), _xlfn.XLOOKUP(C1623, calc_rusacc!$C$15:$C$65, calc_rusacc!$AD$15:$AD$65, "",0),AND( F1623="Sealant", I1623="Roll-up Screen"), _xlfn.XLOOKUP(C1623, calc_rusacc!$C$15:$C$65, calc_rusacc!$AF$15:$AF$65, "",0),  AND( F1623="Main Chain", I1623="Accordion Screen"), _xlfn.XLOOKUP(C1623, calc_rusacc!$C$15:$C$65, calc_rusacc!$BF$15:$BF$65, "",0), AND( F1623="Sealant", I1623="Accordion Screen"), _xlfn.XLOOKUP(C1623, calc_rusacc!$C$15:$C$65, calc_rusacc!$BJ$15:$BJ$65, "",0),  F1623="Sealant", _xlfn.XLOOKUP(C1623, dd_accsrycalc!$A$2:$A$51, dd_accsrycalc!$G$2:$G$51, "",0),  F1623&lt;&gt;"",L1623*_xlfn.XLOOKUP(1, (SKUs!$C$2:$C$10001=G1623)*(SKUs!$K$2:$K$10001=I1623),SKUs!$E$2:$E$10001)), 0),"")</f>
        <v/>
      </c>
      <c r="E1623" s="16" t="str">
        <f>_xlfn.XLOOKUP(F1623,dd_item!$B$2:$B$105,dd_item!$C$2:$C$105,"",0)</f>
        <v/>
      </c>
      <c r="F1623" s="16"/>
      <c r="G1623" s="16" cm="1">
        <f t="array" ref="G1623">IFERROR(_xlfn.XLOOKUP(1, (SKUs!$J$2:$J$10001=accsry_unmerged!F1623)*IF(H1623&lt;&gt;"",(SKUs!$L$2:$L$10001=accsry_unmerged!H1623),1)*(SKUs!$K$2:$K$10001=I1623),SKUs!$C$2:$C$10001),"")</f>
        <v>0</v>
      </c>
      <c r="H1623" s="33" cm="1">
        <f t="array" ref="H1623">IFERROR(_xlfn.XLOOKUP(1, (dd_accsryclr!$C$2:$C$1000=accsry_unmerged!F1623)*(dd_accsryclr!$B$2:$B$1000=accsry_unmerged!J1623),dd_accsryclr!$A$2:$A$1000),"")</f>
        <v>0</v>
      </c>
      <c r="I1623" s="16">
        <f>_xlfn.XLOOKUP(C1623,'Project Details'!$C$17:$C$66,'Project Details'!$E$17:$E$66,"",0)</f>
        <v>0</v>
      </c>
      <c r="J1623" s="16">
        <f>_xlfn.XLOOKUP(C1623,'Project Details'!$C$17:$C$66,'Project Details'!$H$17:$H$66,"",0)</f>
        <v>0</v>
      </c>
      <c r="K1623" s="33" t="str">
        <f>IF(AND(_xlfn.XLOOKUP(C1623,'Project Details'!$C$17:$C$66,'Project Details'!$L$17:$L$66,"",0)&gt;550, F1623="Spring-L27cm"),"",SUBSTITUTE(_xlfn.XLOOKUP(G1623,SKUs!$C$2:$C$10001,SKUs!$F$2:$F$10001,"",0), " Accessories",""))</f>
        <v/>
      </c>
      <c r="L1623" s="33">
        <f>_xlfn.XLOOKUP(C1623,'Project Details'!$C$17:$C$66,'Project Details'!$D$17:$D$66,"",0)</f>
        <v>0</v>
      </c>
      <c r="M1623" s="43"/>
    </row>
    <row r="1624" spans="1:13" x14ac:dyDescent="0.25">
      <c r="A1624" s="43"/>
      <c r="B1624" s="43"/>
      <c r="C1624" s="35">
        <f t="shared" si="31"/>
        <v>33</v>
      </c>
      <c r="D1624" s="35" t="str" cm="1">
        <f t="array" ref="D1624">IFERROR(ROUNDUP(_xlfn.IFS(F1624="Aluminum Track", _xlfn.XLOOKUP(C1624, dd_accsrycalc!$A$2:$A$51, dd_accsrycalc!$B$2:$B$51, "",0), F1624="10 x 2 1/2 S (Flat)", _xlfn.XLOOKUP(C1624, dd_accsrycalc!$A$2:$A$51, dd_accsrycalc!$C$2:$C$51, "",0), F1624="Tox6", _xlfn.XLOOKUP(C1624, dd_accsrycalc!$A$2:$A$51, dd_accsrycalc!$D$2:$D$51, "",0), F1624="Cover Cap", _xlfn.XLOOKUP(C1624, dd_accsrycalc!$A$2:$A$51, dd_accsrycalc!$E$2:$E$51, "",0), F1624="Drainage Cover", _xlfn.XLOOKUP(C1624, dd_accsrycalc!$A$2:$A$51, dd_accsrycalc!$F$2:$F$51, "",0),AND( F1624="Double Adhesive Tape", I1624="Roll-up Screen"), _xlfn.XLOOKUP(C1624, calc_rusacc!$C$15:$C$65, calc_rusacc!$AD$15:$AD$65, "",0),AND( F1624="Sealant", I1624="Roll-up Screen"), _xlfn.XLOOKUP(C1624, calc_rusacc!$C$15:$C$65, calc_rusacc!$AF$15:$AF$65, "",0),  AND( F1624="Main Chain", I1624="Accordion Screen"), _xlfn.XLOOKUP(C1624, calc_rusacc!$C$15:$C$65, calc_rusacc!$BF$15:$BF$65, "",0), AND( F1624="Sealant", I1624="Accordion Screen"), _xlfn.XLOOKUP(C1624, calc_rusacc!$C$15:$C$65, calc_rusacc!$BJ$15:$BJ$65, "",0),  F1624="Sealant", _xlfn.XLOOKUP(C1624, dd_accsrycalc!$A$2:$A$51, dd_accsrycalc!$G$2:$G$51, "",0),  F1624&lt;&gt;"",L1624*_xlfn.XLOOKUP(1, (SKUs!$C$2:$C$10001=G1624)*(SKUs!$K$2:$K$10001=I1624),SKUs!$E$2:$E$10001)), 0),"")</f>
        <v/>
      </c>
      <c r="E1624" s="35" t="str">
        <f>_xlfn.XLOOKUP(F1624,dd_item!$B$2:$B$105,dd_item!$C$2:$C$105,"",0)</f>
        <v/>
      </c>
      <c r="F1624" s="35"/>
      <c r="G1624" s="35" cm="1">
        <f t="array" ref="G1624">IFERROR(_xlfn.XLOOKUP(1, (SKUs!$J$2:$J$10001=accsry_unmerged!F1624)*IF(H1624&lt;&gt;"",(SKUs!$L$2:$L$10001=accsry_unmerged!H1624),1)*(SKUs!$K$2:$K$10001=I1624),SKUs!$C$2:$C$10001),"")</f>
        <v>0</v>
      </c>
      <c r="H1624" s="36" cm="1">
        <f t="array" ref="H1624">IFERROR(_xlfn.XLOOKUP(1, (dd_accsryclr!$C$2:$C$1000=accsry_unmerged!F1624)*(dd_accsryclr!$B$2:$B$1000=accsry_unmerged!J1624),dd_accsryclr!$A$2:$A$1000),"")</f>
        <v>0</v>
      </c>
      <c r="I1624" s="35">
        <f>_xlfn.XLOOKUP(C1624,'Project Details'!$C$17:$C$66,'Project Details'!$E$17:$E$66,"",0)</f>
        <v>0</v>
      </c>
      <c r="J1624" s="35">
        <f>_xlfn.XLOOKUP(C1624,'Project Details'!$C$17:$C$66,'Project Details'!$H$17:$H$66,"",0)</f>
        <v>0</v>
      </c>
      <c r="K1624" s="36" t="str">
        <f>IF(AND(_xlfn.XLOOKUP(C1624,'Project Details'!$C$17:$C$66,'Project Details'!$L$17:$L$66,"",0)&gt;550, F1624="Spring-L27cm"),"",SUBSTITUTE(_xlfn.XLOOKUP(G1624,SKUs!$C$2:$C$10001,SKUs!$F$2:$F$10001,"",0), " Accessories",""))</f>
        <v/>
      </c>
      <c r="L1624" s="36">
        <f>_xlfn.XLOOKUP(C1624,'Project Details'!$C$17:$C$66,'Project Details'!$D$17:$D$66,"",0)</f>
        <v>0</v>
      </c>
      <c r="M1624" s="43"/>
    </row>
    <row r="1625" spans="1:13" x14ac:dyDescent="0.25">
      <c r="A1625" s="43"/>
      <c r="B1625" s="43"/>
      <c r="C1625" s="16">
        <f t="shared" si="31"/>
        <v>33</v>
      </c>
      <c r="D1625" s="16" t="str" cm="1">
        <f t="array" ref="D1625">IFERROR(ROUNDUP(_xlfn.IFS(F1625="Aluminum Track", _xlfn.XLOOKUP(C1625, dd_accsrycalc!$A$2:$A$51, dd_accsrycalc!$B$2:$B$51, "",0), F1625="10 x 2 1/2 S (Flat)", _xlfn.XLOOKUP(C1625, dd_accsrycalc!$A$2:$A$51, dd_accsrycalc!$C$2:$C$51, "",0), F1625="Tox6", _xlfn.XLOOKUP(C1625, dd_accsrycalc!$A$2:$A$51, dd_accsrycalc!$D$2:$D$51, "",0), F1625="Cover Cap", _xlfn.XLOOKUP(C1625, dd_accsrycalc!$A$2:$A$51, dd_accsrycalc!$E$2:$E$51, "",0), F1625="Drainage Cover", _xlfn.XLOOKUP(C1625, dd_accsrycalc!$A$2:$A$51, dd_accsrycalc!$F$2:$F$51, "",0),AND( F1625="Double Adhesive Tape", I1625="Roll-up Screen"), _xlfn.XLOOKUP(C1625, calc_rusacc!$C$15:$C$65, calc_rusacc!$AD$15:$AD$65, "",0),AND( F1625="Sealant", I1625="Roll-up Screen"), _xlfn.XLOOKUP(C1625, calc_rusacc!$C$15:$C$65, calc_rusacc!$AF$15:$AF$65, "",0),  AND( F1625="Main Chain", I1625="Accordion Screen"), _xlfn.XLOOKUP(C1625, calc_rusacc!$C$15:$C$65, calc_rusacc!$BF$15:$BF$65, "",0), AND( F1625="Sealant", I1625="Accordion Screen"), _xlfn.XLOOKUP(C1625, calc_rusacc!$C$15:$C$65, calc_rusacc!$BJ$15:$BJ$65, "",0),  F1625="Sealant", _xlfn.XLOOKUP(C1625, dd_accsrycalc!$A$2:$A$51, dd_accsrycalc!$G$2:$G$51, "",0),  F1625&lt;&gt;"",L1625*_xlfn.XLOOKUP(1, (SKUs!$C$2:$C$10001=G1625)*(SKUs!$K$2:$K$10001=I1625),SKUs!$E$2:$E$10001)), 0),"")</f>
        <v/>
      </c>
      <c r="E1625" s="16" t="str">
        <f>_xlfn.XLOOKUP(F1625,dd_item!$B$2:$B$105,dd_item!$C$2:$C$105,"",0)</f>
        <v/>
      </c>
      <c r="F1625" s="16"/>
      <c r="G1625" s="16" cm="1">
        <f t="array" ref="G1625">IFERROR(_xlfn.XLOOKUP(1, (SKUs!$J$2:$J$10001=accsry_unmerged!F1625)*IF(H1625&lt;&gt;"",(SKUs!$L$2:$L$10001=accsry_unmerged!H1625),1)*(SKUs!$K$2:$K$10001=I1625),SKUs!$C$2:$C$10001),"")</f>
        <v>0</v>
      </c>
      <c r="H1625" s="33" cm="1">
        <f t="array" ref="H1625">IFERROR(_xlfn.XLOOKUP(1, (dd_accsryclr!$C$2:$C$1000=accsry_unmerged!F1625)*(dd_accsryclr!$B$2:$B$1000=accsry_unmerged!J1625),dd_accsryclr!$A$2:$A$1000),"")</f>
        <v>0</v>
      </c>
      <c r="I1625" s="16">
        <f>_xlfn.XLOOKUP(C1625,'Project Details'!$C$17:$C$66,'Project Details'!$E$17:$E$66,"",0)</f>
        <v>0</v>
      </c>
      <c r="J1625" s="16">
        <f>_xlfn.XLOOKUP(C1625,'Project Details'!$C$17:$C$66,'Project Details'!$H$17:$H$66,"",0)</f>
        <v>0</v>
      </c>
      <c r="K1625" s="33" t="str">
        <f>IF(AND(_xlfn.XLOOKUP(C1625,'Project Details'!$C$17:$C$66,'Project Details'!$L$17:$L$66,"",0)&gt;550, F1625="Spring-L27cm"),"",SUBSTITUTE(_xlfn.XLOOKUP(G1625,SKUs!$C$2:$C$10001,SKUs!$F$2:$F$10001,"",0), " Accessories",""))</f>
        <v/>
      </c>
      <c r="L1625" s="33">
        <f>_xlfn.XLOOKUP(C1625,'Project Details'!$C$17:$C$66,'Project Details'!$D$17:$D$66,"",0)</f>
        <v>0</v>
      </c>
      <c r="M1625" s="43"/>
    </row>
    <row r="1626" spans="1:13" x14ac:dyDescent="0.25">
      <c r="A1626" s="43"/>
      <c r="B1626" s="43"/>
      <c r="C1626" s="35">
        <f t="shared" si="31"/>
        <v>33</v>
      </c>
      <c r="D1626" s="35" t="str" cm="1">
        <f t="array" ref="D1626">IFERROR(ROUNDUP(_xlfn.IFS(F1626="Aluminum Track", _xlfn.XLOOKUP(C1626, dd_accsrycalc!$A$2:$A$51, dd_accsrycalc!$B$2:$B$51, "",0), F1626="10 x 2 1/2 S (Flat)", _xlfn.XLOOKUP(C1626, dd_accsrycalc!$A$2:$A$51, dd_accsrycalc!$C$2:$C$51, "",0), F1626="Tox6", _xlfn.XLOOKUP(C1626, dd_accsrycalc!$A$2:$A$51, dd_accsrycalc!$D$2:$D$51, "",0), F1626="Cover Cap", _xlfn.XLOOKUP(C1626, dd_accsrycalc!$A$2:$A$51, dd_accsrycalc!$E$2:$E$51, "",0), F1626="Drainage Cover", _xlfn.XLOOKUP(C1626, dd_accsrycalc!$A$2:$A$51, dd_accsrycalc!$F$2:$F$51, "",0),AND( F1626="Double Adhesive Tape", I1626="Roll-up Screen"), _xlfn.XLOOKUP(C1626, calc_rusacc!$C$15:$C$65, calc_rusacc!$AD$15:$AD$65, "",0),AND( F1626="Sealant", I1626="Roll-up Screen"), _xlfn.XLOOKUP(C1626, calc_rusacc!$C$15:$C$65, calc_rusacc!$AF$15:$AF$65, "",0),  AND( F1626="Main Chain", I1626="Accordion Screen"), _xlfn.XLOOKUP(C1626, calc_rusacc!$C$15:$C$65, calc_rusacc!$BF$15:$BF$65, "",0), AND( F1626="Sealant", I1626="Accordion Screen"), _xlfn.XLOOKUP(C1626, calc_rusacc!$C$15:$C$65, calc_rusacc!$BJ$15:$BJ$65, "",0),  F1626="Sealant", _xlfn.XLOOKUP(C1626, dd_accsrycalc!$A$2:$A$51, dd_accsrycalc!$G$2:$G$51, "",0),  F1626&lt;&gt;"",L1626*_xlfn.XLOOKUP(1, (SKUs!$C$2:$C$10001=G1626)*(SKUs!$K$2:$K$10001=I1626),SKUs!$E$2:$E$10001)), 0),"")</f>
        <v/>
      </c>
      <c r="E1626" s="35" t="str">
        <f>_xlfn.XLOOKUP(F1626,dd_item!$B$2:$B$105,dd_item!$C$2:$C$105,"",0)</f>
        <v/>
      </c>
      <c r="F1626" s="35"/>
      <c r="G1626" s="35" cm="1">
        <f t="array" ref="G1626">IFERROR(_xlfn.XLOOKUP(1, (SKUs!$J$2:$J$10001=accsry_unmerged!F1626)*IF(H1626&lt;&gt;"",(SKUs!$L$2:$L$10001=accsry_unmerged!H1626),1)*(SKUs!$K$2:$K$10001=I1626),SKUs!$C$2:$C$10001),"")</f>
        <v>0</v>
      </c>
      <c r="H1626" s="36" cm="1">
        <f t="array" ref="H1626">IFERROR(_xlfn.XLOOKUP(1, (dd_accsryclr!$C$2:$C$1000=accsry_unmerged!F1626)*(dd_accsryclr!$B$2:$B$1000=accsry_unmerged!J1626),dd_accsryclr!$A$2:$A$1000),"")</f>
        <v>0</v>
      </c>
      <c r="I1626" s="35">
        <f>_xlfn.XLOOKUP(C1626,'Project Details'!$C$17:$C$66,'Project Details'!$E$17:$E$66,"",0)</f>
        <v>0</v>
      </c>
      <c r="J1626" s="35">
        <f>_xlfn.XLOOKUP(C1626,'Project Details'!$C$17:$C$66,'Project Details'!$H$17:$H$66,"",0)</f>
        <v>0</v>
      </c>
      <c r="K1626" s="36" t="str">
        <f>IF(AND(_xlfn.XLOOKUP(C1626,'Project Details'!$C$17:$C$66,'Project Details'!$L$17:$L$66,"",0)&gt;550, F1626="Spring-L27cm"),"",SUBSTITUTE(_xlfn.XLOOKUP(G1626,SKUs!$C$2:$C$10001,SKUs!$F$2:$F$10001,"",0), " Accessories",""))</f>
        <v/>
      </c>
      <c r="L1626" s="36">
        <f>_xlfn.XLOOKUP(C1626,'Project Details'!$C$17:$C$66,'Project Details'!$D$17:$D$66,"",0)</f>
        <v>0</v>
      </c>
      <c r="M1626" s="43"/>
    </row>
    <row r="1627" spans="1:13" x14ac:dyDescent="0.25">
      <c r="A1627" s="43"/>
      <c r="B1627" s="43"/>
      <c r="C1627" s="16">
        <f t="shared" si="31"/>
        <v>33</v>
      </c>
      <c r="D1627" s="16" t="str" cm="1">
        <f t="array" ref="D1627">IFERROR(ROUNDUP(_xlfn.IFS(F1627="Aluminum Track", _xlfn.XLOOKUP(C1627, dd_accsrycalc!$A$2:$A$51, dd_accsrycalc!$B$2:$B$51, "",0), F1627="10 x 2 1/2 S (Flat)", _xlfn.XLOOKUP(C1627, dd_accsrycalc!$A$2:$A$51, dd_accsrycalc!$C$2:$C$51, "",0), F1627="Tox6", _xlfn.XLOOKUP(C1627, dd_accsrycalc!$A$2:$A$51, dd_accsrycalc!$D$2:$D$51, "",0), F1627="Cover Cap", _xlfn.XLOOKUP(C1627, dd_accsrycalc!$A$2:$A$51, dd_accsrycalc!$E$2:$E$51, "",0), F1627="Drainage Cover", _xlfn.XLOOKUP(C1627, dd_accsrycalc!$A$2:$A$51, dd_accsrycalc!$F$2:$F$51, "",0),AND( F1627="Double Adhesive Tape", I1627="Roll-up Screen"), _xlfn.XLOOKUP(C1627, calc_rusacc!$C$15:$C$65, calc_rusacc!$AD$15:$AD$65, "",0),AND( F1627="Sealant", I1627="Roll-up Screen"), _xlfn.XLOOKUP(C1627, calc_rusacc!$C$15:$C$65, calc_rusacc!$AF$15:$AF$65, "",0),  AND( F1627="Main Chain", I1627="Accordion Screen"), _xlfn.XLOOKUP(C1627, calc_rusacc!$C$15:$C$65, calc_rusacc!$BF$15:$BF$65, "",0), AND( F1627="Sealant", I1627="Accordion Screen"), _xlfn.XLOOKUP(C1627, calc_rusacc!$C$15:$C$65, calc_rusacc!$BJ$15:$BJ$65, "",0),  F1627="Sealant", _xlfn.XLOOKUP(C1627, dd_accsrycalc!$A$2:$A$51, dd_accsrycalc!$G$2:$G$51, "",0),  F1627&lt;&gt;"",L1627*_xlfn.XLOOKUP(1, (SKUs!$C$2:$C$10001=G1627)*(SKUs!$K$2:$K$10001=I1627),SKUs!$E$2:$E$10001)), 0),"")</f>
        <v/>
      </c>
      <c r="E1627" s="16" t="str">
        <f>_xlfn.XLOOKUP(F1627,dd_item!$B$2:$B$105,dd_item!$C$2:$C$105,"",0)</f>
        <v/>
      </c>
      <c r="F1627" s="16"/>
      <c r="G1627" s="16" cm="1">
        <f t="array" ref="G1627">IFERROR(_xlfn.XLOOKUP(1, (SKUs!$J$2:$J$10001=accsry_unmerged!F1627)*IF(H1627&lt;&gt;"",(SKUs!$L$2:$L$10001=accsry_unmerged!H1627),1)*(SKUs!$K$2:$K$10001=I1627),SKUs!$C$2:$C$10001),"")</f>
        <v>0</v>
      </c>
      <c r="H1627" s="33" cm="1">
        <f t="array" ref="H1627">IFERROR(_xlfn.XLOOKUP(1, (dd_accsryclr!$C$2:$C$1000=accsry_unmerged!F1627)*(dd_accsryclr!$B$2:$B$1000=accsry_unmerged!J1627),dd_accsryclr!$A$2:$A$1000),"")</f>
        <v>0</v>
      </c>
      <c r="I1627" s="16">
        <f>_xlfn.XLOOKUP(C1627,'Project Details'!$C$17:$C$66,'Project Details'!$E$17:$E$66,"",0)</f>
        <v>0</v>
      </c>
      <c r="J1627" s="16">
        <f>_xlfn.XLOOKUP(C1627,'Project Details'!$C$17:$C$66,'Project Details'!$H$17:$H$66,"",0)</f>
        <v>0</v>
      </c>
      <c r="K1627" s="33" t="str">
        <f>IF(AND(_xlfn.XLOOKUP(C1627,'Project Details'!$C$17:$C$66,'Project Details'!$L$17:$L$66,"",0)&gt;550, F1627="Spring-L27cm"),"",SUBSTITUTE(_xlfn.XLOOKUP(G1627,SKUs!$C$2:$C$10001,SKUs!$F$2:$F$10001,"",0), " Accessories",""))</f>
        <v/>
      </c>
      <c r="L1627" s="33">
        <f>_xlfn.XLOOKUP(C1627,'Project Details'!$C$17:$C$66,'Project Details'!$D$17:$D$66,"",0)</f>
        <v>0</v>
      </c>
      <c r="M1627" s="43"/>
    </row>
    <row r="1628" spans="1:13" x14ac:dyDescent="0.25">
      <c r="A1628" s="43"/>
      <c r="B1628" s="43"/>
      <c r="C1628" s="35">
        <f t="shared" si="31"/>
        <v>33</v>
      </c>
      <c r="D1628" s="35" t="str" cm="1">
        <f t="array" ref="D1628">IFERROR(ROUNDUP(_xlfn.IFS(F1628="Aluminum Track", _xlfn.XLOOKUP(C1628, dd_accsrycalc!$A$2:$A$51, dd_accsrycalc!$B$2:$B$51, "",0), F1628="10 x 2 1/2 S (Flat)", _xlfn.XLOOKUP(C1628, dd_accsrycalc!$A$2:$A$51, dd_accsrycalc!$C$2:$C$51, "",0), F1628="Tox6", _xlfn.XLOOKUP(C1628, dd_accsrycalc!$A$2:$A$51, dd_accsrycalc!$D$2:$D$51, "",0), F1628="Cover Cap", _xlfn.XLOOKUP(C1628, dd_accsrycalc!$A$2:$A$51, dd_accsrycalc!$E$2:$E$51, "",0), F1628="Drainage Cover", _xlfn.XLOOKUP(C1628, dd_accsrycalc!$A$2:$A$51, dd_accsrycalc!$F$2:$F$51, "",0),AND( F1628="Double Adhesive Tape", I1628="Roll-up Screen"), _xlfn.XLOOKUP(C1628, calc_rusacc!$C$15:$C$65, calc_rusacc!$AD$15:$AD$65, "",0),AND( F1628="Sealant", I1628="Roll-up Screen"), _xlfn.XLOOKUP(C1628, calc_rusacc!$C$15:$C$65, calc_rusacc!$AF$15:$AF$65, "",0),  AND( F1628="Main Chain", I1628="Accordion Screen"), _xlfn.XLOOKUP(C1628, calc_rusacc!$C$15:$C$65, calc_rusacc!$BF$15:$BF$65, "",0), AND( F1628="Sealant", I1628="Accordion Screen"), _xlfn.XLOOKUP(C1628, calc_rusacc!$C$15:$C$65, calc_rusacc!$BJ$15:$BJ$65, "",0),  F1628="Sealant", _xlfn.XLOOKUP(C1628, dd_accsrycalc!$A$2:$A$51, dd_accsrycalc!$G$2:$G$51, "",0),  F1628&lt;&gt;"",L1628*_xlfn.XLOOKUP(1, (SKUs!$C$2:$C$10001=G1628)*(SKUs!$K$2:$K$10001=I1628),SKUs!$E$2:$E$10001)), 0),"")</f>
        <v/>
      </c>
      <c r="E1628" s="35" t="str">
        <f>_xlfn.XLOOKUP(F1628,dd_item!$B$2:$B$105,dd_item!$C$2:$C$105,"",0)</f>
        <v/>
      </c>
      <c r="F1628" s="35"/>
      <c r="G1628" s="35" cm="1">
        <f t="array" ref="G1628">IFERROR(_xlfn.XLOOKUP(1, (SKUs!$J$2:$J$10001=accsry_unmerged!F1628)*IF(H1628&lt;&gt;"",(SKUs!$L$2:$L$10001=accsry_unmerged!H1628),1)*(SKUs!$K$2:$K$10001=I1628),SKUs!$C$2:$C$10001),"")</f>
        <v>0</v>
      </c>
      <c r="H1628" s="36" cm="1">
        <f t="array" ref="H1628">IFERROR(_xlfn.XLOOKUP(1, (dd_accsryclr!$C$2:$C$1000=accsry_unmerged!F1628)*(dd_accsryclr!$B$2:$B$1000=accsry_unmerged!J1628),dd_accsryclr!$A$2:$A$1000),"")</f>
        <v>0</v>
      </c>
      <c r="I1628" s="35">
        <f>_xlfn.XLOOKUP(C1628,'Project Details'!$C$17:$C$66,'Project Details'!$E$17:$E$66,"",0)</f>
        <v>0</v>
      </c>
      <c r="J1628" s="35">
        <f>_xlfn.XLOOKUP(C1628,'Project Details'!$C$17:$C$66,'Project Details'!$H$17:$H$66,"",0)</f>
        <v>0</v>
      </c>
      <c r="K1628" s="36" t="str">
        <f>IF(AND(_xlfn.XLOOKUP(C1628,'Project Details'!$C$17:$C$66,'Project Details'!$L$17:$L$66,"",0)&gt;550, F1628="Spring-L27cm"),"",SUBSTITUTE(_xlfn.XLOOKUP(G1628,SKUs!$C$2:$C$10001,SKUs!$F$2:$F$10001,"",0), " Accessories",""))</f>
        <v/>
      </c>
      <c r="L1628" s="36">
        <f>_xlfn.XLOOKUP(C1628,'Project Details'!$C$17:$C$66,'Project Details'!$D$17:$D$66,"",0)</f>
        <v>0</v>
      </c>
      <c r="M1628" s="43"/>
    </row>
    <row r="1629" spans="1:13" x14ac:dyDescent="0.25">
      <c r="A1629" s="43"/>
      <c r="B1629" s="43"/>
      <c r="C1629" s="16">
        <f t="shared" si="31"/>
        <v>33</v>
      </c>
      <c r="D1629" s="16" t="str" cm="1">
        <f t="array" ref="D1629">IFERROR(ROUNDUP(_xlfn.IFS(F1629="Aluminum Track", _xlfn.XLOOKUP(C1629, dd_accsrycalc!$A$2:$A$51, dd_accsrycalc!$B$2:$B$51, "",0), F1629="10 x 2 1/2 S (Flat)", _xlfn.XLOOKUP(C1629, dd_accsrycalc!$A$2:$A$51, dd_accsrycalc!$C$2:$C$51, "",0), F1629="Tox6", _xlfn.XLOOKUP(C1629, dd_accsrycalc!$A$2:$A$51, dd_accsrycalc!$D$2:$D$51, "",0), F1629="Cover Cap", _xlfn.XLOOKUP(C1629, dd_accsrycalc!$A$2:$A$51, dd_accsrycalc!$E$2:$E$51, "",0), F1629="Drainage Cover", _xlfn.XLOOKUP(C1629, dd_accsrycalc!$A$2:$A$51, dd_accsrycalc!$F$2:$F$51, "",0),AND( F1629="Double Adhesive Tape", I1629="Roll-up Screen"), _xlfn.XLOOKUP(C1629, calc_rusacc!$C$15:$C$65, calc_rusacc!$AD$15:$AD$65, "",0),AND( F1629="Sealant", I1629="Roll-up Screen"), _xlfn.XLOOKUP(C1629, calc_rusacc!$C$15:$C$65, calc_rusacc!$AF$15:$AF$65, "",0),  AND( F1629="Main Chain", I1629="Accordion Screen"), _xlfn.XLOOKUP(C1629, calc_rusacc!$C$15:$C$65, calc_rusacc!$BF$15:$BF$65, "",0), AND( F1629="Sealant", I1629="Accordion Screen"), _xlfn.XLOOKUP(C1629, calc_rusacc!$C$15:$C$65, calc_rusacc!$BJ$15:$BJ$65, "",0),  F1629="Sealant", _xlfn.XLOOKUP(C1629, dd_accsrycalc!$A$2:$A$51, dd_accsrycalc!$G$2:$G$51, "",0),  F1629&lt;&gt;"",L1629*_xlfn.XLOOKUP(1, (SKUs!$C$2:$C$10001=G1629)*(SKUs!$K$2:$K$10001=I1629),SKUs!$E$2:$E$10001)), 0),"")</f>
        <v/>
      </c>
      <c r="E1629" s="16" t="str">
        <f>_xlfn.XLOOKUP(F1629,dd_item!$B$2:$B$105,dd_item!$C$2:$C$105,"",0)</f>
        <v/>
      </c>
      <c r="F1629" s="16"/>
      <c r="G1629" s="16" cm="1">
        <f t="array" ref="G1629">IFERROR(_xlfn.XLOOKUP(1, (SKUs!$J$2:$J$10001=accsry_unmerged!F1629)*IF(H1629&lt;&gt;"",(SKUs!$L$2:$L$10001=accsry_unmerged!H1629),1)*(SKUs!$K$2:$K$10001=I1629),SKUs!$C$2:$C$10001),"")</f>
        <v>0</v>
      </c>
      <c r="H1629" s="33" cm="1">
        <f t="array" ref="H1629">IFERROR(_xlfn.XLOOKUP(1, (dd_accsryclr!$C$2:$C$1000=accsry_unmerged!F1629)*(dd_accsryclr!$B$2:$B$1000=accsry_unmerged!J1629),dd_accsryclr!$A$2:$A$1000),"")</f>
        <v>0</v>
      </c>
      <c r="I1629" s="16">
        <f>_xlfn.XLOOKUP(C1629,'Project Details'!$C$17:$C$66,'Project Details'!$E$17:$E$66,"",0)</f>
        <v>0</v>
      </c>
      <c r="J1629" s="16">
        <f>_xlfn.XLOOKUP(C1629,'Project Details'!$C$17:$C$66,'Project Details'!$H$17:$H$66,"",0)</f>
        <v>0</v>
      </c>
      <c r="K1629" s="33" t="str">
        <f>IF(AND(_xlfn.XLOOKUP(C1629,'Project Details'!$C$17:$C$66,'Project Details'!$L$17:$L$66,"",0)&gt;550, F1629="Spring-L27cm"),"",SUBSTITUTE(_xlfn.XLOOKUP(G1629,SKUs!$C$2:$C$10001,SKUs!$F$2:$F$10001,"",0), " Accessories",""))</f>
        <v/>
      </c>
      <c r="L1629" s="33">
        <f>_xlfn.XLOOKUP(C1629,'Project Details'!$C$17:$C$66,'Project Details'!$D$17:$D$66,"",0)</f>
        <v>0</v>
      </c>
      <c r="M1629" s="43"/>
    </row>
    <row r="1630" spans="1:13" x14ac:dyDescent="0.25">
      <c r="A1630" s="43"/>
      <c r="B1630" s="43"/>
      <c r="C1630" s="35">
        <f t="shared" si="31"/>
        <v>33</v>
      </c>
      <c r="D1630" s="35" t="str" cm="1">
        <f t="array" ref="D1630">IFERROR(ROUNDUP(_xlfn.IFS(F1630="Aluminum Track", _xlfn.XLOOKUP(C1630, dd_accsrycalc!$A$2:$A$51, dd_accsrycalc!$B$2:$B$51, "",0), F1630="10 x 2 1/2 S (Flat)", _xlfn.XLOOKUP(C1630, dd_accsrycalc!$A$2:$A$51, dd_accsrycalc!$C$2:$C$51, "",0), F1630="Tox6", _xlfn.XLOOKUP(C1630, dd_accsrycalc!$A$2:$A$51, dd_accsrycalc!$D$2:$D$51, "",0), F1630="Cover Cap", _xlfn.XLOOKUP(C1630, dd_accsrycalc!$A$2:$A$51, dd_accsrycalc!$E$2:$E$51, "",0), F1630="Drainage Cover", _xlfn.XLOOKUP(C1630, dd_accsrycalc!$A$2:$A$51, dd_accsrycalc!$F$2:$F$51, "",0),AND( F1630="Double Adhesive Tape", I1630="Roll-up Screen"), _xlfn.XLOOKUP(C1630, calc_rusacc!$C$15:$C$65, calc_rusacc!$AD$15:$AD$65, "",0),AND( F1630="Sealant", I1630="Roll-up Screen"), _xlfn.XLOOKUP(C1630, calc_rusacc!$C$15:$C$65, calc_rusacc!$AF$15:$AF$65, "",0),  AND( F1630="Main Chain", I1630="Accordion Screen"), _xlfn.XLOOKUP(C1630, calc_rusacc!$C$15:$C$65, calc_rusacc!$BF$15:$BF$65, "",0), AND( F1630="Sealant", I1630="Accordion Screen"), _xlfn.XLOOKUP(C1630, calc_rusacc!$C$15:$C$65, calc_rusacc!$BJ$15:$BJ$65, "",0),  F1630="Sealant", _xlfn.XLOOKUP(C1630, dd_accsrycalc!$A$2:$A$51, dd_accsrycalc!$G$2:$G$51, "",0),  F1630&lt;&gt;"",L1630*_xlfn.XLOOKUP(1, (SKUs!$C$2:$C$10001=G1630)*(SKUs!$K$2:$K$10001=I1630),SKUs!$E$2:$E$10001)), 0),"")</f>
        <v/>
      </c>
      <c r="E1630" s="35" t="str">
        <f>_xlfn.XLOOKUP(F1630,dd_item!$B$2:$B$105,dd_item!$C$2:$C$105,"",0)</f>
        <v/>
      </c>
      <c r="F1630" s="35"/>
      <c r="G1630" s="35" cm="1">
        <f t="array" ref="G1630">IFERROR(_xlfn.XLOOKUP(1, (SKUs!$J$2:$J$10001=accsry_unmerged!F1630)*IF(H1630&lt;&gt;"",(SKUs!$L$2:$L$10001=accsry_unmerged!H1630),1)*(SKUs!$K$2:$K$10001=I1630),SKUs!$C$2:$C$10001),"")</f>
        <v>0</v>
      </c>
      <c r="H1630" s="36" cm="1">
        <f t="array" ref="H1630">IFERROR(_xlfn.XLOOKUP(1, (dd_accsryclr!$C$2:$C$1000=accsry_unmerged!F1630)*(dd_accsryclr!$B$2:$B$1000=accsry_unmerged!J1630),dd_accsryclr!$A$2:$A$1000),"")</f>
        <v>0</v>
      </c>
      <c r="I1630" s="35">
        <f>_xlfn.XLOOKUP(C1630,'Project Details'!$C$17:$C$66,'Project Details'!$E$17:$E$66,"",0)</f>
        <v>0</v>
      </c>
      <c r="J1630" s="35">
        <f>_xlfn.XLOOKUP(C1630,'Project Details'!$C$17:$C$66,'Project Details'!$H$17:$H$66,"",0)</f>
        <v>0</v>
      </c>
      <c r="K1630" s="36" t="str">
        <f>IF(AND(_xlfn.XLOOKUP(C1630,'Project Details'!$C$17:$C$66,'Project Details'!$L$17:$L$66,"",0)&gt;550, F1630="Spring-L27cm"),"",SUBSTITUTE(_xlfn.XLOOKUP(G1630,SKUs!$C$2:$C$10001,SKUs!$F$2:$F$10001,"",0), " Accessories",""))</f>
        <v/>
      </c>
      <c r="L1630" s="36">
        <f>_xlfn.XLOOKUP(C1630,'Project Details'!$C$17:$C$66,'Project Details'!$D$17:$D$66,"",0)</f>
        <v>0</v>
      </c>
      <c r="M1630" s="43"/>
    </row>
    <row r="1631" spans="1:13" x14ac:dyDescent="0.25">
      <c r="A1631" s="43"/>
      <c r="B1631" s="43"/>
      <c r="C1631" s="16">
        <f t="shared" si="31"/>
        <v>33</v>
      </c>
      <c r="D1631" s="16" t="str" cm="1">
        <f t="array" ref="D1631">IFERROR(ROUNDUP(_xlfn.IFS(F1631="Aluminum Track", _xlfn.XLOOKUP(C1631, dd_accsrycalc!$A$2:$A$51, dd_accsrycalc!$B$2:$B$51, "",0), F1631="10 x 2 1/2 S (Flat)", _xlfn.XLOOKUP(C1631, dd_accsrycalc!$A$2:$A$51, dd_accsrycalc!$C$2:$C$51, "",0), F1631="Tox6", _xlfn.XLOOKUP(C1631, dd_accsrycalc!$A$2:$A$51, dd_accsrycalc!$D$2:$D$51, "",0), F1631="Cover Cap", _xlfn.XLOOKUP(C1631, dd_accsrycalc!$A$2:$A$51, dd_accsrycalc!$E$2:$E$51, "",0), F1631="Drainage Cover", _xlfn.XLOOKUP(C1631, dd_accsrycalc!$A$2:$A$51, dd_accsrycalc!$F$2:$F$51, "",0),AND( F1631="Double Adhesive Tape", I1631="Roll-up Screen"), _xlfn.XLOOKUP(C1631, calc_rusacc!$C$15:$C$65, calc_rusacc!$AD$15:$AD$65, "",0),AND( F1631="Sealant", I1631="Roll-up Screen"), _xlfn.XLOOKUP(C1631, calc_rusacc!$C$15:$C$65, calc_rusacc!$AF$15:$AF$65, "",0),  AND( F1631="Main Chain", I1631="Accordion Screen"), _xlfn.XLOOKUP(C1631, calc_rusacc!$C$15:$C$65, calc_rusacc!$BF$15:$BF$65, "",0), AND( F1631="Sealant", I1631="Accordion Screen"), _xlfn.XLOOKUP(C1631, calc_rusacc!$C$15:$C$65, calc_rusacc!$BJ$15:$BJ$65, "",0),  F1631="Sealant", _xlfn.XLOOKUP(C1631, dd_accsrycalc!$A$2:$A$51, dd_accsrycalc!$G$2:$G$51, "",0),  F1631&lt;&gt;"",L1631*_xlfn.XLOOKUP(1, (SKUs!$C$2:$C$10001=G1631)*(SKUs!$K$2:$K$10001=I1631),SKUs!$E$2:$E$10001)), 0),"")</f>
        <v/>
      </c>
      <c r="E1631" s="16" t="str">
        <f>_xlfn.XLOOKUP(F1631,dd_item!$B$2:$B$105,dd_item!$C$2:$C$105,"",0)</f>
        <v/>
      </c>
      <c r="F1631" s="16"/>
      <c r="G1631" s="16" cm="1">
        <f t="array" ref="G1631">IFERROR(_xlfn.XLOOKUP(1, (SKUs!$J$2:$J$10001=accsry_unmerged!F1631)*IF(H1631&lt;&gt;"",(SKUs!$L$2:$L$10001=accsry_unmerged!H1631),1)*(SKUs!$K$2:$K$10001=I1631),SKUs!$C$2:$C$10001),"")</f>
        <v>0</v>
      </c>
      <c r="H1631" s="33" cm="1">
        <f t="array" ref="H1631">IFERROR(_xlfn.XLOOKUP(1, (dd_accsryclr!$C$2:$C$1000=accsry_unmerged!F1631)*(dd_accsryclr!$B$2:$B$1000=accsry_unmerged!J1631),dd_accsryclr!$A$2:$A$1000),"")</f>
        <v>0</v>
      </c>
      <c r="I1631" s="16">
        <f>_xlfn.XLOOKUP(C1631,'Project Details'!$C$17:$C$66,'Project Details'!$E$17:$E$66,"",0)</f>
        <v>0</v>
      </c>
      <c r="J1631" s="16">
        <f>_xlfn.XLOOKUP(C1631,'Project Details'!$C$17:$C$66,'Project Details'!$H$17:$H$66,"",0)</f>
        <v>0</v>
      </c>
      <c r="K1631" s="33" t="str">
        <f>IF(AND(_xlfn.XLOOKUP(C1631,'Project Details'!$C$17:$C$66,'Project Details'!$L$17:$L$66,"",0)&gt;550, F1631="Spring-L27cm"),"",SUBSTITUTE(_xlfn.XLOOKUP(G1631,SKUs!$C$2:$C$10001,SKUs!$F$2:$F$10001,"",0), " Accessories",""))</f>
        <v/>
      </c>
      <c r="L1631" s="33">
        <f>_xlfn.XLOOKUP(C1631,'Project Details'!$C$17:$C$66,'Project Details'!$D$17:$D$66,"",0)</f>
        <v>0</v>
      </c>
      <c r="M1631" s="43"/>
    </row>
    <row r="1632" spans="1:13" x14ac:dyDescent="0.25">
      <c r="A1632" s="43"/>
      <c r="B1632" s="43"/>
      <c r="C1632" s="35">
        <f t="shared" si="31"/>
        <v>33</v>
      </c>
      <c r="D1632" s="35" t="str" cm="1">
        <f t="array" ref="D1632">IFERROR(ROUNDUP(_xlfn.IFS(F1632="Aluminum Track", _xlfn.XLOOKUP(C1632, dd_accsrycalc!$A$2:$A$51, dd_accsrycalc!$B$2:$B$51, "",0), F1632="10 x 2 1/2 S (Flat)", _xlfn.XLOOKUP(C1632, dd_accsrycalc!$A$2:$A$51, dd_accsrycalc!$C$2:$C$51, "",0), F1632="Tox6", _xlfn.XLOOKUP(C1632, dd_accsrycalc!$A$2:$A$51, dd_accsrycalc!$D$2:$D$51, "",0), F1632="Cover Cap", _xlfn.XLOOKUP(C1632, dd_accsrycalc!$A$2:$A$51, dd_accsrycalc!$E$2:$E$51, "",0), F1632="Drainage Cover", _xlfn.XLOOKUP(C1632, dd_accsrycalc!$A$2:$A$51, dd_accsrycalc!$F$2:$F$51, "",0),AND( F1632="Double Adhesive Tape", I1632="Roll-up Screen"), _xlfn.XLOOKUP(C1632, calc_rusacc!$C$15:$C$65, calc_rusacc!$AD$15:$AD$65, "",0),AND( F1632="Sealant", I1632="Roll-up Screen"), _xlfn.XLOOKUP(C1632, calc_rusacc!$C$15:$C$65, calc_rusacc!$AF$15:$AF$65, "",0),  AND( F1632="Main Chain", I1632="Accordion Screen"), _xlfn.XLOOKUP(C1632, calc_rusacc!$C$15:$C$65, calc_rusacc!$BF$15:$BF$65, "",0), AND( F1632="Sealant", I1632="Accordion Screen"), _xlfn.XLOOKUP(C1632, calc_rusacc!$C$15:$C$65, calc_rusacc!$BJ$15:$BJ$65, "",0),  F1632="Sealant", _xlfn.XLOOKUP(C1632, dd_accsrycalc!$A$2:$A$51, dd_accsrycalc!$G$2:$G$51, "",0),  F1632&lt;&gt;"",L1632*_xlfn.XLOOKUP(1, (SKUs!$C$2:$C$10001=G1632)*(SKUs!$K$2:$K$10001=I1632),SKUs!$E$2:$E$10001)), 0),"")</f>
        <v/>
      </c>
      <c r="E1632" s="35" t="str">
        <f>_xlfn.XLOOKUP(F1632,dd_item!$B$2:$B$105,dd_item!$C$2:$C$105,"",0)</f>
        <v/>
      </c>
      <c r="F1632" s="35"/>
      <c r="G1632" s="35" cm="1">
        <f t="array" ref="G1632">IFERROR(_xlfn.XLOOKUP(1, (SKUs!$J$2:$J$10001=accsry_unmerged!F1632)*IF(H1632&lt;&gt;"",(SKUs!$L$2:$L$10001=accsry_unmerged!H1632),1)*(SKUs!$K$2:$K$10001=I1632),SKUs!$C$2:$C$10001),"")</f>
        <v>0</v>
      </c>
      <c r="H1632" s="36" cm="1">
        <f t="array" ref="H1632">IFERROR(_xlfn.XLOOKUP(1, (dd_accsryclr!$C$2:$C$1000=accsry_unmerged!F1632)*(dd_accsryclr!$B$2:$B$1000=accsry_unmerged!J1632),dd_accsryclr!$A$2:$A$1000),"")</f>
        <v>0</v>
      </c>
      <c r="I1632" s="35">
        <f>_xlfn.XLOOKUP(C1632,'Project Details'!$C$17:$C$66,'Project Details'!$E$17:$E$66,"",0)</f>
        <v>0</v>
      </c>
      <c r="J1632" s="35">
        <f>_xlfn.XLOOKUP(C1632,'Project Details'!$C$17:$C$66,'Project Details'!$H$17:$H$66,"",0)</f>
        <v>0</v>
      </c>
      <c r="K1632" s="36" t="str">
        <f>IF(AND(_xlfn.XLOOKUP(C1632,'Project Details'!$C$17:$C$66,'Project Details'!$L$17:$L$66,"",0)&gt;550, F1632="Spring-L27cm"),"",SUBSTITUTE(_xlfn.XLOOKUP(G1632,SKUs!$C$2:$C$10001,SKUs!$F$2:$F$10001,"",0), " Accessories",""))</f>
        <v/>
      </c>
      <c r="L1632" s="36">
        <f>_xlfn.XLOOKUP(C1632,'Project Details'!$C$17:$C$66,'Project Details'!$D$17:$D$66,"",0)</f>
        <v>0</v>
      </c>
      <c r="M1632" s="43"/>
    </row>
    <row r="1633" spans="1:13" x14ac:dyDescent="0.25">
      <c r="A1633" s="43"/>
      <c r="B1633" s="43"/>
      <c r="C1633" s="16">
        <f t="shared" si="31"/>
        <v>33</v>
      </c>
      <c r="D1633" s="16" t="str" cm="1">
        <f t="array" ref="D1633">IFERROR(ROUNDUP(_xlfn.IFS(F1633="Aluminum Track", _xlfn.XLOOKUP(C1633, dd_accsrycalc!$A$2:$A$51, dd_accsrycalc!$B$2:$B$51, "",0), F1633="10 x 2 1/2 S (Flat)", _xlfn.XLOOKUP(C1633, dd_accsrycalc!$A$2:$A$51, dd_accsrycalc!$C$2:$C$51, "",0), F1633="Tox6", _xlfn.XLOOKUP(C1633, dd_accsrycalc!$A$2:$A$51, dd_accsrycalc!$D$2:$D$51, "",0), F1633="Cover Cap", _xlfn.XLOOKUP(C1633, dd_accsrycalc!$A$2:$A$51, dd_accsrycalc!$E$2:$E$51, "",0), F1633="Drainage Cover", _xlfn.XLOOKUP(C1633, dd_accsrycalc!$A$2:$A$51, dd_accsrycalc!$F$2:$F$51, "",0),AND( F1633="Double Adhesive Tape", I1633="Roll-up Screen"), _xlfn.XLOOKUP(C1633, calc_rusacc!$C$15:$C$65, calc_rusacc!$AD$15:$AD$65, "",0),AND( F1633="Sealant", I1633="Roll-up Screen"), _xlfn.XLOOKUP(C1633, calc_rusacc!$C$15:$C$65, calc_rusacc!$AF$15:$AF$65, "",0),  AND( F1633="Main Chain", I1633="Accordion Screen"), _xlfn.XLOOKUP(C1633, calc_rusacc!$C$15:$C$65, calc_rusacc!$BF$15:$BF$65, "",0), AND( F1633="Sealant", I1633="Accordion Screen"), _xlfn.XLOOKUP(C1633, calc_rusacc!$C$15:$C$65, calc_rusacc!$BJ$15:$BJ$65, "",0),  F1633="Sealant", _xlfn.XLOOKUP(C1633, dd_accsrycalc!$A$2:$A$51, dd_accsrycalc!$G$2:$G$51, "",0),  F1633&lt;&gt;"",L1633*_xlfn.XLOOKUP(1, (SKUs!$C$2:$C$10001=G1633)*(SKUs!$K$2:$K$10001=I1633),SKUs!$E$2:$E$10001)), 0),"")</f>
        <v/>
      </c>
      <c r="E1633" s="16" t="str">
        <f>_xlfn.XLOOKUP(F1633,dd_item!$B$2:$B$105,dd_item!$C$2:$C$105,"",0)</f>
        <v/>
      </c>
      <c r="F1633" s="16"/>
      <c r="G1633" s="16" cm="1">
        <f t="array" ref="G1633">IFERROR(_xlfn.XLOOKUP(1, (SKUs!$J$2:$J$10001=accsry_unmerged!F1633)*IF(H1633&lt;&gt;"",(SKUs!$L$2:$L$10001=accsry_unmerged!H1633),1)*(SKUs!$K$2:$K$10001=I1633),SKUs!$C$2:$C$10001),"")</f>
        <v>0</v>
      </c>
      <c r="H1633" s="33" cm="1">
        <f t="array" ref="H1633">IFERROR(_xlfn.XLOOKUP(1, (dd_accsryclr!$C$2:$C$1000=accsry_unmerged!F1633)*(dd_accsryclr!$B$2:$B$1000=accsry_unmerged!J1633),dd_accsryclr!$A$2:$A$1000),"")</f>
        <v>0</v>
      </c>
      <c r="I1633" s="16">
        <f>_xlfn.XLOOKUP(C1633,'Project Details'!$C$17:$C$66,'Project Details'!$E$17:$E$66,"",0)</f>
        <v>0</v>
      </c>
      <c r="J1633" s="16">
        <f>_xlfn.XLOOKUP(C1633,'Project Details'!$C$17:$C$66,'Project Details'!$H$17:$H$66,"",0)</f>
        <v>0</v>
      </c>
      <c r="K1633" s="33" t="str">
        <f>IF(AND(_xlfn.XLOOKUP(C1633,'Project Details'!$C$17:$C$66,'Project Details'!$L$17:$L$66,"",0)&gt;550, F1633="Spring-L27cm"),"",SUBSTITUTE(_xlfn.XLOOKUP(G1633,SKUs!$C$2:$C$10001,SKUs!$F$2:$F$10001,"",0), " Accessories",""))</f>
        <v/>
      </c>
      <c r="L1633" s="33">
        <f>_xlfn.XLOOKUP(C1633,'Project Details'!$C$17:$C$66,'Project Details'!$D$17:$D$66,"",0)</f>
        <v>0</v>
      </c>
      <c r="M1633" s="43"/>
    </row>
    <row r="1634" spans="1:13" ht="13.5" customHeight="1" x14ac:dyDescent="0.25">
      <c r="A1634" s="43"/>
      <c r="B1634" s="43"/>
      <c r="C1634" s="35">
        <f t="shared" si="31"/>
        <v>33</v>
      </c>
      <c r="D1634" s="35" t="str" cm="1">
        <f t="array" ref="D1634">IFERROR(ROUNDUP(_xlfn.IFS(F1634="Aluminum Track", _xlfn.XLOOKUP(C1634, dd_accsrycalc!$A$2:$A$51, dd_accsrycalc!$B$2:$B$51, "",0), F1634="10 x 2 1/2 S (Flat)", _xlfn.XLOOKUP(C1634, dd_accsrycalc!$A$2:$A$51, dd_accsrycalc!$C$2:$C$51, "",0), F1634="Tox6", _xlfn.XLOOKUP(C1634, dd_accsrycalc!$A$2:$A$51, dd_accsrycalc!$D$2:$D$51, "",0), F1634="Cover Cap", _xlfn.XLOOKUP(C1634, dd_accsrycalc!$A$2:$A$51, dd_accsrycalc!$E$2:$E$51, "",0), F1634="Drainage Cover", _xlfn.XLOOKUP(C1634, dd_accsrycalc!$A$2:$A$51, dd_accsrycalc!$F$2:$F$51, "",0),AND( F1634="Double Adhesive Tape", I1634="Roll-up Screen"), _xlfn.XLOOKUP(C1634, calc_rusacc!$C$15:$C$65, calc_rusacc!$AD$15:$AD$65, "",0),AND( F1634="Sealant", I1634="Roll-up Screen"), _xlfn.XLOOKUP(C1634, calc_rusacc!$C$15:$C$65, calc_rusacc!$AF$15:$AF$65, "",0),  AND( F1634="Main Chain", I1634="Accordion Screen"), _xlfn.XLOOKUP(C1634, calc_rusacc!$C$15:$C$65, calc_rusacc!$BF$15:$BF$65, "",0), AND( F1634="Sealant", I1634="Accordion Screen"), _xlfn.XLOOKUP(C1634, calc_rusacc!$C$15:$C$65, calc_rusacc!$BJ$15:$BJ$65, "",0),  F1634="Sealant", _xlfn.XLOOKUP(C1634, dd_accsrycalc!$A$2:$A$51, dd_accsrycalc!$G$2:$G$51, "",0),  F1634&lt;&gt;"",L1634*_xlfn.XLOOKUP(1, (SKUs!$C$2:$C$10001=G1634)*(SKUs!$K$2:$K$10001=I1634),SKUs!$E$2:$E$10001)), 0),"")</f>
        <v/>
      </c>
      <c r="E1634" s="35" t="str">
        <f>_xlfn.XLOOKUP(F1634,dd_item!$B$2:$B$105,dd_item!$C$2:$C$105,"",0)</f>
        <v/>
      </c>
      <c r="F1634" s="35"/>
      <c r="G1634" s="35" cm="1">
        <f t="array" ref="G1634">IFERROR(_xlfn.XLOOKUP(1, (SKUs!$J$2:$J$10001=accsry_unmerged!F1634)*IF(H1634&lt;&gt;"",(SKUs!$L$2:$L$10001=accsry_unmerged!H1634),1)*(SKUs!$K$2:$K$10001=I1634),SKUs!$C$2:$C$10001),"")</f>
        <v>0</v>
      </c>
      <c r="H1634" s="36" cm="1">
        <f t="array" ref="H1634">IFERROR(_xlfn.XLOOKUP(1, (dd_accsryclr!$C$2:$C$1000=accsry_unmerged!F1634)*(dd_accsryclr!$B$2:$B$1000=accsry_unmerged!J1634),dd_accsryclr!$A$2:$A$1000),"")</f>
        <v>0</v>
      </c>
      <c r="I1634" s="35">
        <f>_xlfn.XLOOKUP(C1634,'Project Details'!$C$17:$C$66,'Project Details'!$E$17:$E$66,"",0)</f>
        <v>0</v>
      </c>
      <c r="J1634" s="35">
        <f>_xlfn.XLOOKUP(C1634,'Project Details'!$C$17:$C$66,'Project Details'!$H$17:$H$66,"",0)</f>
        <v>0</v>
      </c>
      <c r="K1634" s="36" t="str">
        <f>IF(AND(_xlfn.XLOOKUP(C1634,'Project Details'!$C$17:$C$66,'Project Details'!$L$17:$L$66,"",0)&gt;550, F1634="Spring-L27cm"),"",SUBSTITUTE(_xlfn.XLOOKUP(G1634,SKUs!$C$2:$C$10001,SKUs!$F$2:$F$10001,"",0), " Accessories",""))</f>
        <v/>
      </c>
      <c r="L1634" s="36">
        <f>_xlfn.XLOOKUP(C1634,'Project Details'!$C$17:$C$66,'Project Details'!$D$17:$D$66,"",0)</f>
        <v>0</v>
      </c>
      <c r="M1634" s="43"/>
    </row>
    <row r="1635" spans="1:13" ht="13.5" customHeight="1" x14ac:dyDescent="0.25">
      <c r="A1635" s="43"/>
      <c r="B1635" s="43"/>
      <c r="C1635" s="16">
        <f t="shared" si="31"/>
        <v>33</v>
      </c>
      <c r="D1635" s="16" t="str" cm="1">
        <f t="array" ref="D1635">IFERROR(ROUNDUP(_xlfn.IFS(F1635="Aluminum Track", _xlfn.XLOOKUP(C1635, dd_accsrycalc!$A$2:$A$51, dd_accsrycalc!$B$2:$B$51, "",0), F1635="10 x 2 1/2 S (Flat)", _xlfn.XLOOKUP(C1635, dd_accsrycalc!$A$2:$A$51, dd_accsrycalc!$C$2:$C$51, "",0), F1635="Tox6", _xlfn.XLOOKUP(C1635, dd_accsrycalc!$A$2:$A$51, dd_accsrycalc!$D$2:$D$51, "",0), F1635="Cover Cap", _xlfn.XLOOKUP(C1635, dd_accsrycalc!$A$2:$A$51, dd_accsrycalc!$E$2:$E$51, "",0), F1635="Drainage Cover", _xlfn.XLOOKUP(C1635, dd_accsrycalc!$A$2:$A$51, dd_accsrycalc!$F$2:$F$51, "",0),AND( F1635="Double Adhesive Tape", I1635="Roll-up Screen"), _xlfn.XLOOKUP(C1635, calc_rusacc!$C$15:$C$65, calc_rusacc!$AD$15:$AD$65, "",0),AND( F1635="Sealant", I1635="Roll-up Screen"), _xlfn.XLOOKUP(C1635, calc_rusacc!$C$15:$C$65, calc_rusacc!$AF$15:$AF$65, "",0),  AND( F1635="Main Chain", I1635="Accordion Screen"), _xlfn.XLOOKUP(C1635, calc_rusacc!$C$15:$C$65, calc_rusacc!$BF$15:$BF$65, "",0), AND( F1635="Sealant", I1635="Accordion Screen"), _xlfn.XLOOKUP(C1635, calc_rusacc!$C$15:$C$65, calc_rusacc!$BJ$15:$BJ$65, "",0),  F1635="Sealant", _xlfn.XLOOKUP(C1635, dd_accsrycalc!$A$2:$A$51, dd_accsrycalc!$G$2:$G$51, "",0),  F1635&lt;&gt;"",L1635*_xlfn.XLOOKUP(1, (SKUs!$C$2:$C$10001=G1635)*(SKUs!$K$2:$K$10001=I1635),SKUs!$E$2:$E$10001)), 0),"")</f>
        <v/>
      </c>
      <c r="E1635" s="16" t="str">
        <f>_xlfn.XLOOKUP(F1635,dd_item!$B$2:$B$105,dd_item!$C$2:$C$105,"",0)</f>
        <v/>
      </c>
      <c r="F1635" s="16"/>
      <c r="G1635" s="16" cm="1">
        <f t="array" ref="G1635">IFERROR(_xlfn.XLOOKUP(1, (SKUs!$J$2:$J$10001=accsry_unmerged!F1635)*IF(H1635&lt;&gt;"",(SKUs!$L$2:$L$10001=accsry_unmerged!H1635),1)*(SKUs!$K$2:$K$10001=I1635),SKUs!$C$2:$C$10001),"")</f>
        <v>0</v>
      </c>
      <c r="H1635" s="33" cm="1">
        <f t="array" ref="H1635">IFERROR(_xlfn.XLOOKUP(1, (dd_accsryclr!$C$2:$C$1000=accsry_unmerged!F1635)*(dd_accsryclr!$B$2:$B$1000=accsry_unmerged!J1635),dd_accsryclr!$A$2:$A$1000),"")</f>
        <v>0</v>
      </c>
      <c r="I1635" s="16">
        <f>_xlfn.XLOOKUP(C1635,'Project Details'!$C$17:$C$66,'Project Details'!$E$17:$E$66,"",0)</f>
        <v>0</v>
      </c>
      <c r="J1635" s="16">
        <f>_xlfn.XLOOKUP(C1635,'Project Details'!$C$17:$C$66,'Project Details'!$H$17:$H$66,"",0)</f>
        <v>0</v>
      </c>
      <c r="K1635" s="33" t="str">
        <f>IF(AND(_xlfn.XLOOKUP(C1635,'Project Details'!$C$17:$C$66,'Project Details'!$L$17:$L$66,"",0)&gt;550, F1635="Spring-L27cm"),"",SUBSTITUTE(_xlfn.XLOOKUP(G1635,SKUs!$C$2:$C$10001,SKUs!$F$2:$F$10001,"",0), " Accessories",""))</f>
        <v/>
      </c>
      <c r="L1635" s="33">
        <f>_xlfn.XLOOKUP(C1635,'Project Details'!$C$17:$C$66,'Project Details'!$D$17:$D$66,"",0)</f>
        <v>0</v>
      </c>
      <c r="M1635" s="43"/>
    </row>
    <row r="1636" spans="1:13" ht="13.5" customHeight="1" x14ac:dyDescent="0.25">
      <c r="A1636" s="43"/>
      <c r="B1636" s="43"/>
      <c r="C1636" s="35">
        <f t="shared" si="31"/>
        <v>33</v>
      </c>
      <c r="D1636" s="35" t="str" cm="1">
        <f t="array" ref="D1636">IFERROR(ROUNDUP(_xlfn.IFS(F1636="Aluminum Track", _xlfn.XLOOKUP(C1636, dd_accsrycalc!$A$2:$A$51, dd_accsrycalc!$B$2:$B$51, "",0), F1636="10 x 2 1/2 S (Flat)", _xlfn.XLOOKUP(C1636, dd_accsrycalc!$A$2:$A$51, dd_accsrycalc!$C$2:$C$51, "",0), F1636="Tox6", _xlfn.XLOOKUP(C1636, dd_accsrycalc!$A$2:$A$51, dd_accsrycalc!$D$2:$D$51, "",0), F1636="Cover Cap", _xlfn.XLOOKUP(C1636, dd_accsrycalc!$A$2:$A$51, dd_accsrycalc!$E$2:$E$51, "",0), F1636="Drainage Cover", _xlfn.XLOOKUP(C1636, dd_accsrycalc!$A$2:$A$51, dd_accsrycalc!$F$2:$F$51, "",0),AND( F1636="Double Adhesive Tape", I1636="Roll-up Screen"), _xlfn.XLOOKUP(C1636, calc_rusacc!$C$15:$C$65, calc_rusacc!$AD$15:$AD$65, "",0),AND( F1636="Sealant", I1636="Roll-up Screen"), _xlfn.XLOOKUP(C1636, calc_rusacc!$C$15:$C$65, calc_rusacc!$AF$15:$AF$65, "",0),  AND( F1636="Main Chain", I1636="Accordion Screen"), _xlfn.XLOOKUP(C1636, calc_rusacc!$C$15:$C$65, calc_rusacc!$BF$15:$BF$65, "",0), AND( F1636="Sealant", I1636="Accordion Screen"), _xlfn.XLOOKUP(C1636, calc_rusacc!$C$15:$C$65, calc_rusacc!$BJ$15:$BJ$65, "",0),  F1636="Sealant", _xlfn.XLOOKUP(C1636, dd_accsrycalc!$A$2:$A$51, dd_accsrycalc!$G$2:$G$51, "",0),  F1636&lt;&gt;"",L1636*_xlfn.XLOOKUP(1, (SKUs!$C$2:$C$10001=G1636)*(SKUs!$K$2:$K$10001=I1636),SKUs!$E$2:$E$10001)), 0),"")</f>
        <v/>
      </c>
      <c r="E1636" s="35" t="str">
        <f>_xlfn.XLOOKUP(F1636,dd_item!$B$2:$B$105,dd_item!$C$2:$C$105,"",0)</f>
        <v/>
      </c>
      <c r="F1636" s="35"/>
      <c r="G1636" s="35" cm="1">
        <f t="array" ref="G1636">IFERROR(_xlfn.XLOOKUP(1, (SKUs!$J$2:$J$10001=accsry_unmerged!F1636)*IF(H1636&lt;&gt;"",(SKUs!$L$2:$L$10001=accsry_unmerged!H1636),1)*(SKUs!$K$2:$K$10001=I1636),SKUs!$C$2:$C$10001),"")</f>
        <v>0</v>
      </c>
      <c r="H1636" s="36" cm="1">
        <f t="array" ref="H1636">IFERROR(_xlfn.XLOOKUP(1, (dd_accsryclr!$C$2:$C$1000=accsry_unmerged!F1636)*(dd_accsryclr!$B$2:$B$1000=accsry_unmerged!J1636),dd_accsryclr!$A$2:$A$1000),"")</f>
        <v>0</v>
      </c>
      <c r="I1636" s="35">
        <f>_xlfn.XLOOKUP(C1636,'Project Details'!$C$17:$C$66,'Project Details'!$E$17:$E$66,"",0)</f>
        <v>0</v>
      </c>
      <c r="J1636" s="35">
        <f>_xlfn.XLOOKUP(C1636,'Project Details'!$C$17:$C$66,'Project Details'!$H$17:$H$66,"",0)</f>
        <v>0</v>
      </c>
      <c r="K1636" s="36" t="str">
        <f>IF(AND(_xlfn.XLOOKUP(C1636,'Project Details'!$C$17:$C$66,'Project Details'!$L$17:$L$66,"",0)&gt;550, F1636="Spring-L27cm"),"",SUBSTITUTE(_xlfn.XLOOKUP(G1636,SKUs!$C$2:$C$10001,SKUs!$F$2:$F$10001,"",0), " Accessories",""))</f>
        <v/>
      </c>
      <c r="L1636" s="36">
        <f>_xlfn.XLOOKUP(C1636,'Project Details'!$C$17:$C$66,'Project Details'!$D$17:$D$66,"",0)</f>
        <v>0</v>
      </c>
      <c r="M1636" s="43"/>
    </row>
    <row r="1637" spans="1:13" ht="13.5" customHeight="1" x14ac:dyDescent="0.25">
      <c r="A1637" s="43"/>
      <c r="B1637" s="43"/>
      <c r="C1637" s="16">
        <f t="shared" si="31"/>
        <v>33</v>
      </c>
      <c r="D1637" s="16" t="str" cm="1">
        <f t="array" ref="D1637">IFERROR(ROUNDUP(_xlfn.IFS(F1637="Aluminum Track", _xlfn.XLOOKUP(C1637, dd_accsrycalc!$A$2:$A$51, dd_accsrycalc!$B$2:$B$51, "",0), F1637="10 x 2 1/2 S (Flat)", _xlfn.XLOOKUP(C1637, dd_accsrycalc!$A$2:$A$51, dd_accsrycalc!$C$2:$C$51, "",0), F1637="Tox6", _xlfn.XLOOKUP(C1637, dd_accsrycalc!$A$2:$A$51, dd_accsrycalc!$D$2:$D$51, "",0), F1637="Cover Cap", _xlfn.XLOOKUP(C1637, dd_accsrycalc!$A$2:$A$51, dd_accsrycalc!$E$2:$E$51, "",0), F1637="Drainage Cover", _xlfn.XLOOKUP(C1637, dd_accsrycalc!$A$2:$A$51, dd_accsrycalc!$F$2:$F$51, "",0),AND( F1637="Double Adhesive Tape", I1637="Roll-up Screen"), _xlfn.XLOOKUP(C1637, calc_rusacc!$C$15:$C$65, calc_rusacc!$AD$15:$AD$65, "",0),AND( F1637="Sealant", I1637="Roll-up Screen"), _xlfn.XLOOKUP(C1637, calc_rusacc!$C$15:$C$65, calc_rusacc!$AF$15:$AF$65, "",0),  AND( F1637="Main Chain", I1637="Accordion Screen"), _xlfn.XLOOKUP(C1637, calc_rusacc!$C$15:$C$65, calc_rusacc!$BF$15:$BF$65, "",0), AND( F1637="Sealant", I1637="Accordion Screen"), _xlfn.XLOOKUP(C1637, calc_rusacc!$C$15:$C$65, calc_rusacc!$BJ$15:$BJ$65, "",0),  F1637="Sealant", _xlfn.XLOOKUP(C1637, dd_accsrycalc!$A$2:$A$51, dd_accsrycalc!$G$2:$G$51, "",0),  F1637&lt;&gt;"",L1637*_xlfn.XLOOKUP(1, (SKUs!$C$2:$C$10001=G1637)*(SKUs!$K$2:$K$10001=I1637),SKUs!$E$2:$E$10001)), 0),"")</f>
        <v/>
      </c>
      <c r="E1637" s="16" t="str">
        <f>_xlfn.XLOOKUP(F1637,dd_item!$B$2:$B$105,dd_item!$C$2:$C$105,"",0)</f>
        <v/>
      </c>
      <c r="F1637" s="16"/>
      <c r="G1637" s="16" cm="1">
        <f t="array" ref="G1637">IFERROR(_xlfn.XLOOKUP(1, (SKUs!$J$2:$J$10001=accsry_unmerged!F1637)*IF(H1637&lt;&gt;"",(SKUs!$L$2:$L$10001=accsry_unmerged!H1637),1)*(SKUs!$K$2:$K$10001=I1637),SKUs!$C$2:$C$10001),"")</f>
        <v>0</v>
      </c>
      <c r="H1637" s="33" cm="1">
        <f t="array" ref="H1637">IFERROR(_xlfn.XLOOKUP(1, (dd_accsryclr!$C$2:$C$1000=accsry_unmerged!F1637)*(dd_accsryclr!$B$2:$B$1000=accsry_unmerged!J1637),dd_accsryclr!$A$2:$A$1000),"")</f>
        <v>0</v>
      </c>
      <c r="I1637" s="16">
        <f>_xlfn.XLOOKUP(C1637,'Project Details'!$C$17:$C$66,'Project Details'!$E$17:$E$66,"",0)</f>
        <v>0</v>
      </c>
      <c r="J1637" s="16">
        <f>_xlfn.XLOOKUP(C1637,'Project Details'!$C$17:$C$66,'Project Details'!$H$17:$H$66,"",0)</f>
        <v>0</v>
      </c>
      <c r="K1637" s="33" t="str">
        <f>IF(AND(_xlfn.XLOOKUP(C1637,'Project Details'!$C$17:$C$66,'Project Details'!$L$17:$L$66,"",0)&gt;550, F1637="Spring-L27cm"),"",SUBSTITUTE(_xlfn.XLOOKUP(G1637,SKUs!$C$2:$C$10001,SKUs!$F$2:$F$10001,"",0), " Accessories",""))</f>
        <v/>
      </c>
      <c r="L1637" s="33">
        <f>_xlfn.XLOOKUP(C1637,'Project Details'!$C$17:$C$66,'Project Details'!$D$17:$D$66,"",0)</f>
        <v>0</v>
      </c>
      <c r="M1637" s="43"/>
    </row>
    <row r="1638" spans="1:13" ht="13.5" customHeight="1" x14ac:dyDescent="0.25">
      <c r="A1638" s="43"/>
      <c r="B1638" s="43"/>
      <c r="C1638" s="35">
        <f t="shared" si="31"/>
        <v>33</v>
      </c>
      <c r="D1638" s="35" t="str" cm="1">
        <f t="array" ref="D1638">IFERROR(ROUNDUP(_xlfn.IFS(F1638="Aluminum Track", _xlfn.XLOOKUP(C1638, dd_accsrycalc!$A$2:$A$51, dd_accsrycalc!$B$2:$B$51, "",0), F1638="10 x 2 1/2 S (Flat)", _xlfn.XLOOKUP(C1638, dd_accsrycalc!$A$2:$A$51, dd_accsrycalc!$C$2:$C$51, "",0), F1638="Tox6", _xlfn.XLOOKUP(C1638, dd_accsrycalc!$A$2:$A$51, dd_accsrycalc!$D$2:$D$51, "",0), F1638="Cover Cap", _xlfn.XLOOKUP(C1638, dd_accsrycalc!$A$2:$A$51, dd_accsrycalc!$E$2:$E$51, "",0), F1638="Drainage Cover", _xlfn.XLOOKUP(C1638, dd_accsrycalc!$A$2:$A$51, dd_accsrycalc!$F$2:$F$51, "",0),AND( F1638="Double Adhesive Tape", I1638="Roll-up Screen"), _xlfn.XLOOKUP(C1638, calc_rusacc!$C$15:$C$65, calc_rusacc!$AD$15:$AD$65, "",0),AND( F1638="Sealant", I1638="Roll-up Screen"), _xlfn.XLOOKUP(C1638, calc_rusacc!$C$15:$C$65, calc_rusacc!$AF$15:$AF$65, "",0),  AND( F1638="Main Chain", I1638="Accordion Screen"), _xlfn.XLOOKUP(C1638, calc_rusacc!$C$15:$C$65, calc_rusacc!$BF$15:$BF$65, "",0), AND( F1638="Sealant", I1638="Accordion Screen"), _xlfn.XLOOKUP(C1638, calc_rusacc!$C$15:$C$65, calc_rusacc!$BJ$15:$BJ$65, "",0),  F1638="Sealant", _xlfn.XLOOKUP(C1638, dd_accsrycalc!$A$2:$A$51, dd_accsrycalc!$G$2:$G$51, "",0),  F1638&lt;&gt;"",L1638*_xlfn.XLOOKUP(1, (SKUs!$C$2:$C$10001=G1638)*(SKUs!$K$2:$K$10001=I1638),SKUs!$E$2:$E$10001)), 0),"")</f>
        <v/>
      </c>
      <c r="E1638" s="35" t="str">
        <f>_xlfn.XLOOKUP(F1638,dd_item!$B$2:$B$105,dd_item!$C$2:$C$105,"",0)</f>
        <v/>
      </c>
      <c r="F1638" s="35"/>
      <c r="G1638" s="35" cm="1">
        <f t="array" ref="G1638">IFERROR(_xlfn.XLOOKUP(1, (SKUs!$J$2:$J$10001=accsry_unmerged!F1638)*IF(H1638&lt;&gt;"",(SKUs!$L$2:$L$10001=accsry_unmerged!H1638),1)*(SKUs!$K$2:$K$10001=I1638),SKUs!$C$2:$C$10001),"")</f>
        <v>0</v>
      </c>
      <c r="H1638" s="36" cm="1">
        <f t="array" ref="H1638">IFERROR(_xlfn.XLOOKUP(1, (dd_accsryclr!$C$2:$C$1000=accsry_unmerged!F1638)*(dd_accsryclr!$B$2:$B$1000=accsry_unmerged!J1638),dd_accsryclr!$A$2:$A$1000),"")</f>
        <v>0</v>
      </c>
      <c r="I1638" s="35">
        <f>_xlfn.XLOOKUP(C1638,'Project Details'!$C$17:$C$66,'Project Details'!$E$17:$E$66,"",0)</f>
        <v>0</v>
      </c>
      <c r="J1638" s="35">
        <f>_xlfn.XLOOKUP(C1638,'Project Details'!$C$17:$C$66,'Project Details'!$H$17:$H$66,"",0)</f>
        <v>0</v>
      </c>
      <c r="K1638" s="36" t="str">
        <f>IF(AND(_xlfn.XLOOKUP(C1638,'Project Details'!$C$17:$C$66,'Project Details'!$L$17:$L$66,"",0)&gt;550, F1638="Spring-L27cm"),"",SUBSTITUTE(_xlfn.XLOOKUP(G1638,SKUs!$C$2:$C$10001,SKUs!$F$2:$F$10001,"",0), " Accessories",""))</f>
        <v/>
      </c>
      <c r="L1638" s="36">
        <f>_xlfn.XLOOKUP(C1638,'Project Details'!$C$17:$C$66,'Project Details'!$D$17:$D$66,"",0)</f>
        <v>0</v>
      </c>
      <c r="M1638" s="43"/>
    </row>
    <row r="1639" spans="1:13" ht="13.5" customHeight="1" x14ac:dyDescent="0.25">
      <c r="A1639" s="43"/>
      <c r="B1639" s="43"/>
      <c r="C1639" s="16">
        <f t="shared" si="31"/>
        <v>33</v>
      </c>
      <c r="D1639" s="16" t="str" cm="1">
        <f t="array" ref="D1639">IFERROR(ROUNDUP(_xlfn.IFS(F1639="Aluminum Track", _xlfn.XLOOKUP(C1639, dd_accsrycalc!$A$2:$A$51, dd_accsrycalc!$B$2:$B$51, "",0), F1639="10 x 2 1/2 S (Flat)", _xlfn.XLOOKUP(C1639, dd_accsrycalc!$A$2:$A$51, dd_accsrycalc!$C$2:$C$51, "",0), F1639="Tox6", _xlfn.XLOOKUP(C1639, dd_accsrycalc!$A$2:$A$51, dd_accsrycalc!$D$2:$D$51, "",0), F1639="Cover Cap", _xlfn.XLOOKUP(C1639, dd_accsrycalc!$A$2:$A$51, dd_accsrycalc!$E$2:$E$51, "",0), F1639="Drainage Cover", _xlfn.XLOOKUP(C1639, dd_accsrycalc!$A$2:$A$51, dd_accsrycalc!$F$2:$F$51, "",0),AND( F1639="Double Adhesive Tape", I1639="Roll-up Screen"), _xlfn.XLOOKUP(C1639, calc_rusacc!$C$15:$C$65, calc_rusacc!$AD$15:$AD$65, "",0),AND( F1639="Sealant", I1639="Roll-up Screen"), _xlfn.XLOOKUP(C1639, calc_rusacc!$C$15:$C$65, calc_rusacc!$AF$15:$AF$65, "",0),  AND( F1639="Main Chain", I1639="Accordion Screen"), _xlfn.XLOOKUP(C1639, calc_rusacc!$C$15:$C$65, calc_rusacc!$BF$15:$BF$65, "",0), AND( F1639="Sealant", I1639="Accordion Screen"), _xlfn.XLOOKUP(C1639, calc_rusacc!$C$15:$C$65, calc_rusacc!$BJ$15:$BJ$65, "",0),  F1639="Sealant", _xlfn.XLOOKUP(C1639, dd_accsrycalc!$A$2:$A$51, dd_accsrycalc!$G$2:$G$51, "",0),  F1639&lt;&gt;"",L1639*_xlfn.XLOOKUP(1, (SKUs!$C$2:$C$10001=G1639)*(SKUs!$K$2:$K$10001=I1639),SKUs!$E$2:$E$10001)), 0),"")</f>
        <v/>
      </c>
      <c r="E1639" s="16" t="str">
        <f>_xlfn.XLOOKUP(F1639,dd_item!$B$2:$B$105,dd_item!$C$2:$C$105,"",0)</f>
        <v/>
      </c>
      <c r="F1639" s="16"/>
      <c r="G1639" s="16" cm="1">
        <f t="array" ref="G1639">IFERROR(_xlfn.XLOOKUP(1, (SKUs!$J$2:$J$10001=accsry_unmerged!F1639)*IF(H1639&lt;&gt;"",(SKUs!$L$2:$L$10001=accsry_unmerged!H1639),1)*(SKUs!$K$2:$K$10001=I1639),SKUs!$C$2:$C$10001),"")</f>
        <v>0</v>
      </c>
      <c r="H1639" s="33" cm="1">
        <f t="array" ref="H1639">IFERROR(_xlfn.XLOOKUP(1, (dd_accsryclr!$C$2:$C$1000=accsry_unmerged!F1639)*(dd_accsryclr!$B$2:$B$1000=accsry_unmerged!J1639),dd_accsryclr!$A$2:$A$1000),"")</f>
        <v>0</v>
      </c>
      <c r="I1639" s="16">
        <f>_xlfn.XLOOKUP(C1639,'Project Details'!$C$17:$C$66,'Project Details'!$E$17:$E$66,"",0)</f>
        <v>0</v>
      </c>
      <c r="J1639" s="16">
        <f>_xlfn.XLOOKUP(C1639,'Project Details'!$C$17:$C$66,'Project Details'!$H$17:$H$66,"",0)</f>
        <v>0</v>
      </c>
      <c r="K1639" s="33" t="str">
        <f>IF(AND(_xlfn.XLOOKUP(C1639,'Project Details'!$C$17:$C$66,'Project Details'!$L$17:$L$66,"",0)&gt;550, F1639="Spring-L27cm"),"",SUBSTITUTE(_xlfn.XLOOKUP(G1639,SKUs!$C$2:$C$10001,SKUs!$F$2:$F$10001,"",0), " Accessories",""))</f>
        <v/>
      </c>
      <c r="L1639" s="33">
        <f>_xlfn.XLOOKUP(C1639,'Project Details'!$C$17:$C$66,'Project Details'!$D$17:$D$66,"",0)</f>
        <v>0</v>
      </c>
      <c r="M1639" s="43"/>
    </row>
    <row r="1640" spans="1:13" ht="13.5" customHeight="1" x14ac:dyDescent="0.25">
      <c r="A1640" s="43"/>
      <c r="B1640" s="43"/>
      <c r="C1640" s="35">
        <f t="shared" si="31"/>
        <v>33</v>
      </c>
      <c r="D1640" s="35" t="str" cm="1">
        <f t="array" ref="D1640">IFERROR(ROUNDUP(_xlfn.IFS(F1640="Aluminum Track", _xlfn.XLOOKUP(C1640, dd_accsrycalc!$A$2:$A$51, dd_accsrycalc!$B$2:$B$51, "",0), F1640="10 x 2 1/2 S (Flat)", _xlfn.XLOOKUP(C1640, dd_accsrycalc!$A$2:$A$51, dd_accsrycalc!$C$2:$C$51, "",0), F1640="Tox6", _xlfn.XLOOKUP(C1640, dd_accsrycalc!$A$2:$A$51, dd_accsrycalc!$D$2:$D$51, "",0), F1640="Cover Cap", _xlfn.XLOOKUP(C1640, dd_accsrycalc!$A$2:$A$51, dd_accsrycalc!$E$2:$E$51, "",0), F1640="Drainage Cover", _xlfn.XLOOKUP(C1640, dd_accsrycalc!$A$2:$A$51, dd_accsrycalc!$F$2:$F$51, "",0),AND( F1640="Double Adhesive Tape", I1640="Roll-up Screen"), _xlfn.XLOOKUP(C1640, calc_rusacc!$C$15:$C$65, calc_rusacc!$AD$15:$AD$65, "",0),AND( F1640="Sealant", I1640="Roll-up Screen"), _xlfn.XLOOKUP(C1640, calc_rusacc!$C$15:$C$65, calc_rusacc!$AF$15:$AF$65, "",0),  AND( F1640="Main Chain", I1640="Accordion Screen"), _xlfn.XLOOKUP(C1640, calc_rusacc!$C$15:$C$65, calc_rusacc!$BF$15:$BF$65, "",0), AND( F1640="Sealant", I1640="Accordion Screen"), _xlfn.XLOOKUP(C1640, calc_rusacc!$C$15:$C$65, calc_rusacc!$BJ$15:$BJ$65, "",0),  F1640="Sealant", _xlfn.XLOOKUP(C1640, dd_accsrycalc!$A$2:$A$51, dd_accsrycalc!$G$2:$G$51, "",0),  F1640&lt;&gt;"",L1640*_xlfn.XLOOKUP(1, (SKUs!$C$2:$C$10001=G1640)*(SKUs!$K$2:$K$10001=I1640),SKUs!$E$2:$E$10001)), 0),"")</f>
        <v/>
      </c>
      <c r="E1640" s="35" t="str">
        <f>_xlfn.XLOOKUP(F1640,dd_item!$B$2:$B$105,dd_item!$C$2:$C$105,"",0)</f>
        <v/>
      </c>
      <c r="F1640" s="35"/>
      <c r="G1640" s="35" cm="1">
        <f t="array" ref="G1640">IFERROR(_xlfn.XLOOKUP(1, (SKUs!$J$2:$J$10001=accsry_unmerged!F1640)*IF(H1640&lt;&gt;"",(SKUs!$L$2:$L$10001=accsry_unmerged!H1640),1)*(SKUs!$K$2:$K$10001=I1640),SKUs!$C$2:$C$10001),"")</f>
        <v>0</v>
      </c>
      <c r="H1640" s="36" cm="1">
        <f t="array" ref="H1640">IFERROR(_xlfn.XLOOKUP(1, (dd_accsryclr!$C$2:$C$1000=accsry_unmerged!F1640)*(dd_accsryclr!$B$2:$B$1000=accsry_unmerged!J1640),dd_accsryclr!$A$2:$A$1000),"")</f>
        <v>0</v>
      </c>
      <c r="I1640" s="35">
        <f>_xlfn.XLOOKUP(C1640,'Project Details'!$C$17:$C$66,'Project Details'!$E$17:$E$66,"",0)</f>
        <v>0</v>
      </c>
      <c r="J1640" s="35">
        <f>_xlfn.XLOOKUP(C1640,'Project Details'!$C$17:$C$66,'Project Details'!$H$17:$H$66,"",0)</f>
        <v>0</v>
      </c>
      <c r="K1640" s="36" t="str">
        <f>IF(AND(_xlfn.XLOOKUP(C1640,'Project Details'!$C$17:$C$66,'Project Details'!$L$17:$L$66,"",0)&gt;550, F1640="Spring-L27cm"),"",SUBSTITUTE(_xlfn.XLOOKUP(G1640,SKUs!$C$2:$C$10001,SKUs!$F$2:$F$10001,"",0), " Accessories",""))</f>
        <v/>
      </c>
      <c r="L1640" s="36">
        <f>_xlfn.XLOOKUP(C1640,'Project Details'!$C$17:$C$66,'Project Details'!$D$17:$D$66,"",0)</f>
        <v>0</v>
      </c>
      <c r="M1640" s="43"/>
    </row>
    <row r="1641" spans="1:13" ht="13.5" customHeight="1" x14ac:dyDescent="0.25">
      <c r="A1641" s="43"/>
      <c r="B1641" s="43"/>
      <c r="C1641" s="16">
        <f t="shared" si="31"/>
        <v>33</v>
      </c>
      <c r="D1641" s="16" t="str" cm="1">
        <f t="array" ref="D1641">IFERROR(ROUNDUP(_xlfn.IFS(F1641="Aluminum Track", _xlfn.XLOOKUP(C1641, dd_accsrycalc!$A$2:$A$51, dd_accsrycalc!$B$2:$B$51, "",0), F1641="10 x 2 1/2 S (Flat)", _xlfn.XLOOKUP(C1641, dd_accsrycalc!$A$2:$A$51, dd_accsrycalc!$C$2:$C$51, "",0), F1641="Tox6", _xlfn.XLOOKUP(C1641, dd_accsrycalc!$A$2:$A$51, dd_accsrycalc!$D$2:$D$51, "",0), F1641="Cover Cap", _xlfn.XLOOKUP(C1641, dd_accsrycalc!$A$2:$A$51, dd_accsrycalc!$E$2:$E$51, "",0), F1641="Drainage Cover", _xlfn.XLOOKUP(C1641, dd_accsrycalc!$A$2:$A$51, dd_accsrycalc!$F$2:$F$51, "",0),AND( F1641="Double Adhesive Tape", I1641="Roll-up Screen"), _xlfn.XLOOKUP(C1641, calc_rusacc!$C$15:$C$65, calc_rusacc!$AD$15:$AD$65, "",0),AND( F1641="Sealant", I1641="Roll-up Screen"), _xlfn.XLOOKUP(C1641, calc_rusacc!$C$15:$C$65, calc_rusacc!$AF$15:$AF$65, "",0),  AND( F1641="Main Chain", I1641="Accordion Screen"), _xlfn.XLOOKUP(C1641, calc_rusacc!$C$15:$C$65, calc_rusacc!$BF$15:$BF$65, "",0), AND( F1641="Sealant", I1641="Accordion Screen"), _xlfn.XLOOKUP(C1641, calc_rusacc!$C$15:$C$65, calc_rusacc!$BJ$15:$BJ$65, "",0),  F1641="Sealant", _xlfn.XLOOKUP(C1641, dd_accsrycalc!$A$2:$A$51, dd_accsrycalc!$G$2:$G$51, "",0),  F1641&lt;&gt;"",L1641*_xlfn.XLOOKUP(1, (SKUs!$C$2:$C$10001=G1641)*(SKUs!$K$2:$K$10001=I1641),SKUs!$E$2:$E$10001)), 0),"")</f>
        <v/>
      </c>
      <c r="E1641" s="16" t="str">
        <f>_xlfn.XLOOKUP(F1641,dd_item!$B$2:$B$105,dd_item!$C$2:$C$105,"",0)</f>
        <v/>
      </c>
      <c r="F1641" s="16"/>
      <c r="G1641" s="16" cm="1">
        <f t="array" ref="G1641">IFERROR(_xlfn.XLOOKUP(1, (SKUs!$J$2:$J$10001=accsry_unmerged!F1641)*IF(H1641&lt;&gt;"",(SKUs!$L$2:$L$10001=accsry_unmerged!H1641),1)*(SKUs!$K$2:$K$10001=I1641),SKUs!$C$2:$C$10001),"")</f>
        <v>0</v>
      </c>
      <c r="H1641" s="33" cm="1">
        <f t="array" ref="H1641">IFERROR(_xlfn.XLOOKUP(1, (dd_accsryclr!$C$2:$C$1000=accsry_unmerged!F1641)*(dd_accsryclr!$B$2:$B$1000=accsry_unmerged!J1641),dd_accsryclr!$A$2:$A$1000),"")</f>
        <v>0</v>
      </c>
      <c r="I1641" s="16">
        <f>_xlfn.XLOOKUP(C1641,'Project Details'!$C$17:$C$66,'Project Details'!$E$17:$E$66,"",0)</f>
        <v>0</v>
      </c>
      <c r="J1641" s="16">
        <f>_xlfn.XLOOKUP(C1641,'Project Details'!$C$17:$C$66,'Project Details'!$H$17:$H$66,"",0)</f>
        <v>0</v>
      </c>
      <c r="K1641" s="33" t="str">
        <f>IF(AND(_xlfn.XLOOKUP(C1641,'Project Details'!$C$17:$C$66,'Project Details'!$L$17:$L$66,"",0)&gt;550, F1641="Spring-L27cm"),"",SUBSTITUTE(_xlfn.XLOOKUP(G1641,SKUs!$C$2:$C$10001,SKUs!$F$2:$F$10001,"",0), " Accessories",""))</f>
        <v/>
      </c>
      <c r="L1641" s="33">
        <f>_xlfn.XLOOKUP(C1641,'Project Details'!$C$17:$C$66,'Project Details'!$D$17:$D$66,"",0)</f>
        <v>0</v>
      </c>
      <c r="M1641" s="43"/>
    </row>
    <row r="1642" spans="1:13" ht="13.5" customHeight="1" x14ac:dyDescent="0.25">
      <c r="A1642" s="43"/>
      <c r="B1642" s="43"/>
      <c r="C1642" s="35">
        <f t="shared" si="31"/>
        <v>33</v>
      </c>
      <c r="D1642" s="35" t="str" cm="1">
        <f t="array" ref="D1642">IFERROR(ROUNDUP(_xlfn.IFS(F1642="Aluminum Track", _xlfn.XLOOKUP(C1642, dd_accsrycalc!$A$2:$A$51, dd_accsrycalc!$B$2:$B$51, "",0), F1642="10 x 2 1/2 S (Flat)", _xlfn.XLOOKUP(C1642, dd_accsrycalc!$A$2:$A$51, dd_accsrycalc!$C$2:$C$51, "",0), F1642="Tox6", _xlfn.XLOOKUP(C1642, dd_accsrycalc!$A$2:$A$51, dd_accsrycalc!$D$2:$D$51, "",0), F1642="Cover Cap", _xlfn.XLOOKUP(C1642, dd_accsrycalc!$A$2:$A$51, dd_accsrycalc!$E$2:$E$51, "",0), F1642="Drainage Cover", _xlfn.XLOOKUP(C1642, dd_accsrycalc!$A$2:$A$51, dd_accsrycalc!$F$2:$F$51, "",0),AND( F1642="Double Adhesive Tape", I1642="Roll-up Screen"), _xlfn.XLOOKUP(C1642, calc_rusacc!$C$15:$C$65, calc_rusacc!$AD$15:$AD$65, "",0),AND( F1642="Sealant", I1642="Roll-up Screen"), _xlfn.XLOOKUP(C1642, calc_rusacc!$C$15:$C$65, calc_rusacc!$AF$15:$AF$65, "",0),  AND( F1642="Main Chain", I1642="Accordion Screen"), _xlfn.XLOOKUP(C1642, calc_rusacc!$C$15:$C$65, calc_rusacc!$BF$15:$BF$65, "",0), AND( F1642="Sealant", I1642="Accordion Screen"), _xlfn.XLOOKUP(C1642, calc_rusacc!$C$15:$C$65, calc_rusacc!$BJ$15:$BJ$65, "",0),  F1642="Sealant", _xlfn.XLOOKUP(C1642, dd_accsrycalc!$A$2:$A$51, dd_accsrycalc!$G$2:$G$51, "",0),  F1642&lt;&gt;"",L1642*_xlfn.XLOOKUP(1, (SKUs!$C$2:$C$10001=G1642)*(SKUs!$K$2:$K$10001=I1642),SKUs!$E$2:$E$10001)), 0),"")</f>
        <v/>
      </c>
      <c r="E1642" s="35" t="str">
        <f>_xlfn.XLOOKUP(F1642,dd_item!$B$2:$B$105,dd_item!$C$2:$C$105,"",0)</f>
        <v/>
      </c>
      <c r="F1642" s="35"/>
      <c r="G1642" s="35" cm="1">
        <f t="array" ref="G1642">IFERROR(_xlfn.XLOOKUP(1, (SKUs!$J$2:$J$10001=accsry_unmerged!F1642)*IF(H1642&lt;&gt;"",(SKUs!$L$2:$L$10001=accsry_unmerged!H1642),1)*(SKUs!$K$2:$K$10001=I1642),SKUs!$C$2:$C$10001),"")</f>
        <v>0</v>
      </c>
      <c r="H1642" s="36" cm="1">
        <f t="array" ref="H1642">IFERROR(_xlfn.XLOOKUP(1, (dd_accsryclr!$C$2:$C$1000=accsry_unmerged!F1642)*(dd_accsryclr!$B$2:$B$1000=accsry_unmerged!J1642),dd_accsryclr!$A$2:$A$1000),"")</f>
        <v>0</v>
      </c>
      <c r="I1642" s="35">
        <f>_xlfn.XLOOKUP(C1642,'Project Details'!$C$17:$C$66,'Project Details'!$E$17:$E$66,"",0)</f>
        <v>0</v>
      </c>
      <c r="J1642" s="35">
        <f>_xlfn.XLOOKUP(C1642,'Project Details'!$C$17:$C$66,'Project Details'!$H$17:$H$66,"",0)</f>
        <v>0</v>
      </c>
      <c r="K1642" s="36" t="str">
        <f>IF(AND(_xlfn.XLOOKUP(C1642,'Project Details'!$C$17:$C$66,'Project Details'!$L$17:$L$66,"",0)&gt;550, F1642="Spring-L27cm"),"",SUBSTITUTE(_xlfn.XLOOKUP(G1642,SKUs!$C$2:$C$10001,SKUs!$F$2:$F$10001,"",0), " Accessories",""))</f>
        <v/>
      </c>
      <c r="L1642" s="36">
        <f>_xlfn.XLOOKUP(C1642,'Project Details'!$C$17:$C$66,'Project Details'!$D$17:$D$66,"",0)</f>
        <v>0</v>
      </c>
      <c r="M1642" s="43"/>
    </row>
    <row r="1643" spans="1:13" ht="13.5" customHeight="1" x14ac:dyDescent="0.25">
      <c r="A1643" s="43"/>
      <c r="B1643" s="43"/>
      <c r="C1643" s="16">
        <f t="shared" si="31"/>
        <v>33</v>
      </c>
      <c r="D1643" s="16" t="str" cm="1">
        <f t="array" ref="D1643">IFERROR(ROUNDUP(_xlfn.IFS(F1643="Aluminum Track", _xlfn.XLOOKUP(C1643, dd_accsrycalc!$A$2:$A$51, dd_accsrycalc!$B$2:$B$51, "",0), F1643="10 x 2 1/2 S (Flat)", _xlfn.XLOOKUP(C1643, dd_accsrycalc!$A$2:$A$51, dd_accsrycalc!$C$2:$C$51, "",0), F1643="Tox6", _xlfn.XLOOKUP(C1643, dd_accsrycalc!$A$2:$A$51, dd_accsrycalc!$D$2:$D$51, "",0), F1643="Cover Cap", _xlfn.XLOOKUP(C1643, dd_accsrycalc!$A$2:$A$51, dd_accsrycalc!$E$2:$E$51, "",0), F1643="Drainage Cover", _xlfn.XLOOKUP(C1643, dd_accsrycalc!$A$2:$A$51, dd_accsrycalc!$F$2:$F$51, "",0),AND( F1643="Double Adhesive Tape", I1643="Roll-up Screen"), _xlfn.XLOOKUP(C1643, calc_rusacc!$C$15:$C$65, calc_rusacc!$AD$15:$AD$65, "",0),AND( F1643="Sealant", I1643="Roll-up Screen"), _xlfn.XLOOKUP(C1643, calc_rusacc!$C$15:$C$65, calc_rusacc!$AF$15:$AF$65, "",0),  AND( F1643="Main Chain", I1643="Accordion Screen"), _xlfn.XLOOKUP(C1643, calc_rusacc!$C$15:$C$65, calc_rusacc!$BF$15:$BF$65, "",0), AND( F1643="Sealant", I1643="Accordion Screen"), _xlfn.XLOOKUP(C1643, calc_rusacc!$C$15:$C$65, calc_rusacc!$BJ$15:$BJ$65, "",0),  F1643="Sealant", _xlfn.XLOOKUP(C1643, dd_accsrycalc!$A$2:$A$51, dd_accsrycalc!$G$2:$G$51, "",0),  F1643&lt;&gt;"",L1643*_xlfn.XLOOKUP(1, (SKUs!$C$2:$C$10001=G1643)*(SKUs!$K$2:$K$10001=I1643),SKUs!$E$2:$E$10001)), 0),"")</f>
        <v/>
      </c>
      <c r="E1643" s="16" t="str">
        <f>_xlfn.XLOOKUP(F1643,dd_item!$B$2:$B$105,dd_item!$C$2:$C$105,"",0)</f>
        <v/>
      </c>
      <c r="F1643" s="16"/>
      <c r="G1643" s="16" cm="1">
        <f t="array" ref="G1643">IFERROR(_xlfn.XLOOKUP(1, (SKUs!$J$2:$J$10001=accsry_unmerged!F1643)*IF(H1643&lt;&gt;"",(SKUs!$L$2:$L$10001=accsry_unmerged!H1643),1)*(SKUs!$K$2:$K$10001=I1643),SKUs!$C$2:$C$10001),"")</f>
        <v>0</v>
      </c>
      <c r="H1643" s="33" cm="1">
        <f t="array" ref="H1643">IFERROR(_xlfn.XLOOKUP(1, (dd_accsryclr!$C$2:$C$1000=accsry_unmerged!F1643)*(dd_accsryclr!$B$2:$B$1000=accsry_unmerged!J1643),dd_accsryclr!$A$2:$A$1000),"")</f>
        <v>0</v>
      </c>
      <c r="I1643" s="16">
        <f>_xlfn.XLOOKUP(C1643,'Project Details'!$C$17:$C$66,'Project Details'!$E$17:$E$66,"",0)</f>
        <v>0</v>
      </c>
      <c r="J1643" s="16">
        <f>_xlfn.XLOOKUP(C1643,'Project Details'!$C$17:$C$66,'Project Details'!$H$17:$H$66,"",0)</f>
        <v>0</v>
      </c>
      <c r="K1643" s="33" t="str">
        <f>IF(AND(_xlfn.XLOOKUP(C1643,'Project Details'!$C$17:$C$66,'Project Details'!$L$17:$L$66,"",0)&gt;550, F1643="Spring-L27cm"),"",SUBSTITUTE(_xlfn.XLOOKUP(G1643,SKUs!$C$2:$C$10001,SKUs!$F$2:$F$10001,"",0), " Accessories",""))</f>
        <v/>
      </c>
      <c r="L1643" s="33">
        <f>_xlfn.XLOOKUP(C1643,'Project Details'!$C$17:$C$66,'Project Details'!$D$17:$D$66,"",0)</f>
        <v>0</v>
      </c>
      <c r="M1643" s="43"/>
    </row>
    <row r="1644" spans="1:13" ht="13.5" customHeight="1" x14ac:dyDescent="0.25">
      <c r="A1644" s="43"/>
      <c r="B1644" s="43"/>
      <c r="C1644" s="35">
        <f t="shared" si="31"/>
        <v>33</v>
      </c>
      <c r="D1644" s="35" t="str" cm="1">
        <f t="array" ref="D1644">IFERROR(ROUNDUP(_xlfn.IFS(F1644="Aluminum Track", _xlfn.XLOOKUP(C1644, dd_accsrycalc!$A$2:$A$51, dd_accsrycalc!$B$2:$B$51, "",0), F1644="10 x 2 1/2 S (Flat)", _xlfn.XLOOKUP(C1644, dd_accsrycalc!$A$2:$A$51, dd_accsrycalc!$C$2:$C$51, "",0), F1644="Tox6", _xlfn.XLOOKUP(C1644, dd_accsrycalc!$A$2:$A$51, dd_accsrycalc!$D$2:$D$51, "",0), F1644="Cover Cap", _xlfn.XLOOKUP(C1644, dd_accsrycalc!$A$2:$A$51, dd_accsrycalc!$E$2:$E$51, "",0), F1644="Drainage Cover", _xlfn.XLOOKUP(C1644, dd_accsrycalc!$A$2:$A$51, dd_accsrycalc!$F$2:$F$51, "",0),AND( F1644="Double Adhesive Tape", I1644="Roll-up Screen"), _xlfn.XLOOKUP(C1644, calc_rusacc!$C$15:$C$65, calc_rusacc!$AD$15:$AD$65, "",0),AND( F1644="Sealant", I1644="Roll-up Screen"), _xlfn.XLOOKUP(C1644, calc_rusacc!$C$15:$C$65, calc_rusacc!$AF$15:$AF$65, "",0),  AND( F1644="Main Chain", I1644="Accordion Screen"), _xlfn.XLOOKUP(C1644, calc_rusacc!$C$15:$C$65, calc_rusacc!$BF$15:$BF$65, "",0), AND( F1644="Sealant", I1644="Accordion Screen"), _xlfn.XLOOKUP(C1644, calc_rusacc!$C$15:$C$65, calc_rusacc!$BJ$15:$BJ$65, "",0),  F1644="Sealant", _xlfn.XLOOKUP(C1644, dd_accsrycalc!$A$2:$A$51, dd_accsrycalc!$G$2:$G$51, "",0),  F1644&lt;&gt;"",L1644*_xlfn.XLOOKUP(1, (SKUs!$C$2:$C$10001=G1644)*(SKUs!$K$2:$K$10001=I1644),SKUs!$E$2:$E$10001)), 0),"")</f>
        <v/>
      </c>
      <c r="E1644" s="35" t="str">
        <f>_xlfn.XLOOKUP(F1644,dd_item!$B$2:$B$105,dd_item!$C$2:$C$105,"",0)</f>
        <v/>
      </c>
      <c r="F1644" s="35"/>
      <c r="G1644" s="35" cm="1">
        <f t="array" ref="G1644">IFERROR(_xlfn.XLOOKUP(1, (SKUs!$J$2:$J$10001=accsry_unmerged!F1644)*IF(H1644&lt;&gt;"",(SKUs!$L$2:$L$10001=accsry_unmerged!H1644),1)*(SKUs!$K$2:$K$10001=I1644),SKUs!$C$2:$C$10001),"")</f>
        <v>0</v>
      </c>
      <c r="H1644" s="36" cm="1">
        <f t="array" ref="H1644">IFERROR(_xlfn.XLOOKUP(1, (dd_accsryclr!$C$2:$C$1000=accsry_unmerged!F1644)*(dd_accsryclr!$B$2:$B$1000=accsry_unmerged!J1644),dd_accsryclr!$A$2:$A$1000),"")</f>
        <v>0</v>
      </c>
      <c r="I1644" s="35">
        <f>_xlfn.XLOOKUP(C1644,'Project Details'!$C$17:$C$66,'Project Details'!$E$17:$E$66,"",0)</f>
        <v>0</v>
      </c>
      <c r="J1644" s="35">
        <f>_xlfn.XLOOKUP(C1644,'Project Details'!$C$17:$C$66,'Project Details'!$H$17:$H$66,"",0)</f>
        <v>0</v>
      </c>
      <c r="K1644" s="36" t="str">
        <f>IF(AND(_xlfn.XLOOKUP(C1644,'Project Details'!$C$17:$C$66,'Project Details'!$L$17:$L$66,"",0)&gt;550, F1644="Spring-L27cm"),"",SUBSTITUTE(_xlfn.XLOOKUP(G1644,SKUs!$C$2:$C$10001,SKUs!$F$2:$F$10001,"",0), " Accessories",""))</f>
        <v/>
      </c>
      <c r="L1644" s="36">
        <f>_xlfn.XLOOKUP(C1644,'Project Details'!$C$17:$C$66,'Project Details'!$D$17:$D$66,"",0)</f>
        <v>0</v>
      </c>
      <c r="M1644" s="43"/>
    </row>
    <row r="1645" spans="1:13" ht="13.5" customHeight="1" outlineLevel="1" x14ac:dyDescent="0.25">
      <c r="A1645" s="43"/>
      <c r="B1645" s="43"/>
      <c r="C1645" s="16">
        <f t="shared" si="31"/>
        <v>33</v>
      </c>
      <c r="D1645" s="16" t="str" cm="1">
        <f t="array" ref="D1645">IFERROR(ROUNDUP(_xlfn.IFS(F1645="Aluminum Track", _xlfn.XLOOKUP(C1645, dd_accsrycalc!$A$2:$A$51, dd_accsrycalc!$B$2:$B$51, "",0), F1645="10 x 2 1/2 S (Flat)", _xlfn.XLOOKUP(C1645, dd_accsrycalc!$A$2:$A$51, dd_accsrycalc!$C$2:$C$51, "",0), F1645="Tox6", _xlfn.XLOOKUP(C1645, dd_accsrycalc!$A$2:$A$51, dd_accsrycalc!$D$2:$D$51, "",0), F1645="Cover Cap", _xlfn.XLOOKUP(C1645, dd_accsrycalc!$A$2:$A$51, dd_accsrycalc!$E$2:$E$51, "",0), F1645="Drainage Cover", _xlfn.XLOOKUP(C1645, dd_accsrycalc!$A$2:$A$51, dd_accsrycalc!$F$2:$F$51, "",0),AND( F1645="Double Adhesive Tape", I1645="Roll-up Screen"), _xlfn.XLOOKUP(C1645, calc_rusacc!$C$15:$C$65, calc_rusacc!$AD$15:$AD$65, "",0),AND( F1645="Sealant", I1645="Roll-up Screen"), _xlfn.XLOOKUP(C1645, calc_rusacc!$C$15:$C$65, calc_rusacc!$AF$15:$AF$65, "",0),  AND( F1645="Main Chain", I1645="Accordion Screen"), _xlfn.XLOOKUP(C1645, calc_rusacc!$C$15:$C$65, calc_rusacc!$BF$15:$BF$65, "",0), AND( F1645="Sealant", I1645="Accordion Screen"), _xlfn.XLOOKUP(C1645, calc_rusacc!$C$15:$C$65, calc_rusacc!$BJ$15:$BJ$65, "",0),  F1645="Sealant", _xlfn.XLOOKUP(C1645, dd_accsrycalc!$A$2:$A$51, dd_accsrycalc!$G$2:$G$51, "",0),  F1645&lt;&gt;"",L1645*_xlfn.XLOOKUP(1, (SKUs!$C$2:$C$10001=G1645)*(SKUs!$K$2:$K$10001=I1645),SKUs!$E$2:$E$10001)), 0),"")</f>
        <v/>
      </c>
      <c r="E1645" s="16" t="str">
        <f>_xlfn.XLOOKUP(F1645,dd_item!$B$2:$B$105,dd_item!$C$2:$C$105,"",0)</f>
        <v/>
      </c>
      <c r="F1645" s="16"/>
      <c r="G1645" s="16" cm="1">
        <f t="array" ref="G1645">IFERROR(_xlfn.XLOOKUP(1, (SKUs!$J$2:$J$10001=accsry_unmerged!F1645)*IF(H1645&lt;&gt;"",(SKUs!$L$2:$L$10001=accsry_unmerged!H1645),1)*(SKUs!$K$2:$K$10001=I1645),SKUs!$C$2:$C$10001),"")</f>
        <v>0</v>
      </c>
      <c r="H1645" s="33" cm="1">
        <f t="array" ref="H1645">IFERROR(_xlfn.XLOOKUP(1, (dd_accsryclr!$C$2:$C$1000=accsry_unmerged!F1645)*(dd_accsryclr!$B$2:$B$1000=accsry_unmerged!J1645),dd_accsryclr!$A$2:$A$1000),"")</f>
        <v>0</v>
      </c>
      <c r="I1645" s="16">
        <f>_xlfn.XLOOKUP(C1645,'Project Details'!$C$17:$C$66,'Project Details'!$E$17:$E$66,"",0)</f>
        <v>0</v>
      </c>
      <c r="J1645" s="16">
        <f>_xlfn.XLOOKUP(C1645,'Project Details'!$C$17:$C$66,'Project Details'!$H$17:$H$66,"",0)</f>
        <v>0</v>
      </c>
      <c r="K1645" s="33" t="str">
        <f>IF(AND(_xlfn.XLOOKUP(C1645,'Project Details'!$C$17:$C$66,'Project Details'!$L$17:$L$66,"",0)&gt;550, F1645="Spring-L27cm"),"",SUBSTITUTE(_xlfn.XLOOKUP(G1645,SKUs!$C$2:$C$10001,SKUs!$F$2:$F$10001,"",0), " Accessories",""))</f>
        <v/>
      </c>
      <c r="L1645" s="33">
        <f>_xlfn.XLOOKUP(C1645,'Project Details'!$C$17:$C$66,'Project Details'!$D$17:$D$66,"",0)</f>
        <v>0</v>
      </c>
      <c r="M1645" s="43"/>
    </row>
    <row r="1646" spans="1:13" ht="13.5" customHeight="1" outlineLevel="1" x14ac:dyDescent="0.25">
      <c r="A1646" s="43"/>
      <c r="B1646" s="43"/>
      <c r="C1646" s="35">
        <f t="shared" si="31"/>
        <v>33</v>
      </c>
      <c r="D1646" s="35" t="str" cm="1">
        <f t="array" ref="D1646">IFERROR(ROUNDUP(_xlfn.IFS(F1646="Aluminum Track", _xlfn.XLOOKUP(C1646, dd_accsrycalc!$A$2:$A$51, dd_accsrycalc!$B$2:$B$51, "",0), F1646="10 x 2 1/2 S (Flat)", _xlfn.XLOOKUP(C1646, dd_accsrycalc!$A$2:$A$51, dd_accsrycalc!$C$2:$C$51, "",0), F1646="Tox6", _xlfn.XLOOKUP(C1646, dd_accsrycalc!$A$2:$A$51, dd_accsrycalc!$D$2:$D$51, "",0), F1646="Cover Cap", _xlfn.XLOOKUP(C1646, dd_accsrycalc!$A$2:$A$51, dd_accsrycalc!$E$2:$E$51, "",0), F1646="Drainage Cover", _xlfn.XLOOKUP(C1646, dd_accsrycalc!$A$2:$A$51, dd_accsrycalc!$F$2:$F$51, "",0),AND( F1646="Double Adhesive Tape", I1646="Roll-up Screen"), _xlfn.XLOOKUP(C1646, calc_rusacc!$C$15:$C$65, calc_rusacc!$AD$15:$AD$65, "",0),AND( F1646="Sealant", I1646="Roll-up Screen"), _xlfn.XLOOKUP(C1646, calc_rusacc!$C$15:$C$65, calc_rusacc!$AF$15:$AF$65, "",0),  AND( F1646="Main Chain", I1646="Accordion Screen"), _xlfn.XLOOKUP(C1646, calc_rusacc!$C$15:$C$65, calc_rusacc!$BF$15:$BF$65, "",0), AND( F1646="Sealant", I1646="Accordion Screen"), _xlfn.XLOOKUP(C1646, calc_rusacc!$C$15:$C$65, calc_rusacc!$BJ$15:$BJ$65, "",0),  F1646="Sealant", _xlfn.XLOOKUP(C1646, dd_accsrycalc!$A$2:$A$51, dd_accsrycalc!$G$2:$G$51, "",0),  F1646&lt;&gt;"",L1646*_xlfn.XLOOKUP(1, (SKUs!$C$2:$C$10001=G1646)*(SKUs!$K$2:$K$10001=I1646),SKUs!$E$2:$E$10001)), 0),"")</f>
        <v/>
      </c>
      <c r="E1646" s="35" t="str">
        <f>_xlfn.XLOOKUP(F1646,dd_item!$B$2:$B$105,dd_item!$C$2:$C$105,"",0)</f>
        <v/>
      </c>
      <c r="F1646" s="35"/>
      <c r="G1646" s="35" cm="1">
        <f t="array" ref="G1646">IFERROR(_xlfn.XLOOKUP(1, (SKUs!$J$2:$J$10001=accsry_unmerged!F1646)*IF(H1646&lt;&gt;"",(SKUs!$L$2:$L$10001=accsry_unmerged!H1646),1)*(SKUs!$K$2:$K$10001=I1646),SKUs!$C$2:$C$10001),"")</f>
        <v>0</v>
      </c>
      <c r="H1646" s="36" cm="1">
        <f t="array" ref="H1646">IFERROR(_xlfn.XLOOKUP(1, (dd_accsryclr!$C$2:$C$1000=accsry_unmerged!F1646)*(dd_accsryclr!$B$2:$B$1000=accsry_unmerged!J1646),dd_accsryclr!$A$2:$A$1000),"")</f>
        <v>0</v>
      </c>
      <c r="I1646" s="35">
        <f>_xlfn.XLOOKUP(C1646,'Project Details'!$C$17:$C$66,'Project Details'!$E$17:$E$66,"",0)</f>
        <v>0</v>
      </c>
      <c r="J1646" s="35">
        <f>_xlfn.XLOOKUP(C1646,'Project Details'!$C$17:$C$66,'Project Details'!$H$17:$H$66,"",0)</f>
        <v>0</v>
      </c>
      <c r="K1646" s="36" t="str">
        <f>IF(AND(_xlfn.XLOOKUP(C1646,'Project Details'!$C$17:$C$66,'Project Details'!$L$17:$L$66,"",0)&gt;550, F1646="Spring-L27cm"),"",SUBSTITUTE(_xlfn.XLOOKUP(G1646,SKUs!$C$2:$C$10001,SKUs!$F$2:$F$10001,"",0), " Accessories",""))</f>
        <v/>
      </c>
      <c r="L1646" s="36">
        <f>_xlfn.XLOOKUP(C1646,'Project Details'!$C$17:$C$66,'Project Details'!$D$17:$D$66,"",0)</f>
        <v>0</v>
      </c>
      <c r="M1646" s="43"/>
    </row>
    <row r="1647" spans="1:13" ht="13.5" customHeight="1" outlineLevel="1" x14ac:dyDescent="0.25">
      <c r="A1647" s="43"/>
      <c r="B1647" s="43"/>
      <c r="C1647" s="16">
        <f t="shared" si="31"/>
        <v>33</v>
      </c>
      <c r="D1647" s="16" t="str" cm="1">
        <f t="array" ref="D1647">IFERROR(ROUNDUP(_xlfn.IFS(F1647="Aluminum Track", _xlfn.XLOOKUP(C1647, dd_accsrycalc!$A$2:$A$51, dd_accsrycalc!$B$2:$B$51, "",0), F1647="10 x 2 1/2 S (Flat)", _xlfn.XLOOKUP(C1647, dd_accsrycalc!$A$2:$A$51, dd_accsrycalc!$C$2:$C$51, "",0), F1647="Tox6", _xlfn.XLOOKUP(C1647, dd_accsrycalc!$A$2:$A$51, dd_accsrycalc!$D$2:$D$51, "",0), F1647="Cover Cap", _xlfn.XLOOKUP(C1647, dd_accsrycalc!$A$2:$A$51, dd_accsrycalc!$E$2:$E$51, "",0), F1647="Drainage Cover", _xlfn.XLOOKUP(C1647, dd_accsrycalc!$A$2:$A$51, dd_accsrycalc!$F$2:$F$51, "",0),AND( F1647="Double Adhesive Tape", I1647="Roll-up Screen"), _xlfn.XLOOKUP(C1647, calc_rusacc!$C$15:$C$65, calc_rusacc!$AD$15:$AD$65, "",0),AND( F1647="Sealant", I1647="Roll-up Screen"), _xlfn.XLOOKUP(C1647, calc_rusacc!$C$15:$C$65, calc_rusacc!$AF$15:$AF$65, "",0),  AND( F1647="Main Chain", I1647="Accordion Screen"), _xlfn.XLOOKUP(C1647, calc_rusacc!$C$15:$C$65, calc_rusacc!$BF$15:$BF$65, "",0), AND( F1647="Sealant", I1647="Accordion Screen"), _xlfn.XLOOKUP(C1647, calc_rusacc!$C$15:$C$65, calc_rusacc!$BJ$15:$BJ$65, "",0),  F1647="Sealant", _xlfn.XLOOKUP(C1647, dd_accsrycalc!$A$2:$A$51, dd_accsrycalc!$G$2:$G$51, "",0),  F1647&lt;&gt;"",L1647*_xlfn.XLOOKUP(1, (SKUs!$C$2:$C$10001=G1647)*(SKUs!$K$2:$K$10001=I1647),SKUs!$E$2:$E$10001)), 0),"")</f>
        <v/>
      </c>
      <c r="E1647" s="16" t="str">
        <f>_xlfn.XLOOKUP(F1647,dd_item!$B$2:$B$105,dd_item!$C$2:$C$105,"",0)</f>
        <v/>
      </c>
      <c r="F1647" s="16"/>
      <c r="G1647" s="16" cm="1">
        <f t="array" ref="G1647">IFERROR(_xlfn.XLOOKUP(1, (SKUs!$J$2:$J$10001=accsry_unmerged!F1647)*IF(H1647&lt;&gt;"",(SKUs!$L$2:$L$10001=accsry_unmerged!H1647),1)*(SKUs!$K$2:$K$10001=I1647),SKUs!$C$2:$C$10001),"")</f>
        <v>0</v>
      </c>
      <c r="H1647" s="33" cm="1">
        <f t="array" ref="H1647">IFERROR(_xlfn.XLOOKUP(1, (dd_accsryclr!$C$2:$C$1000=accsry_unmerged!F1647)*(dd_accsryclr!$B$2:$B$1000=accsry_unmerged!J1647),dd_accsryclr!$A$2:$A$1000),"")</f>
        <v>0</v>
      </c>
      <c r="I1647" s="16">
        <f>_xlfn.XLOOKUP(C1647,'Project Details'!$C$17:$C$66,'Project Details'!$E$17:$E$66,"",0)</f>
        <v>0</v>
      </c>
      <c r="J1647" s="16">
        <f>_xlfn.XLOOKUP(C1647,'Project Details'!$C$17:$C$66,'Project Details'!$H$17:$H$66,"",0)</f>
        <v>0</v>
      </c>
      <c r="K1647" s="33" t="str">
        <f>IF(AND(_xlfn.XLOOKUP(C1647,'Project Details'!$C$17:$C$66,'Project Details'!$L$17:$L$66,"",0)&gt;550, F1647="Spring-L27cm"),"",SUBSTITUTE(_xlfn.XLOOKUP(G1647,SKUs!$C$2:$C$10001,SKUs!$F$2:$F$10001,"",0), " Accessories",""))</f>
        <v/>
      </c>
      <c r="L1647" s="33">
        <f>_xlfn.XLOOKUP(C1647,'Project Details'!$C$17:$C$66,'Project Details'!$D$17:$D$66,"",0)</f>
        <v>0</v>
      </c>
      <c r="M1647" s="43"/>
    </row>
    <row r="1648" spans="1:13" ht="13.5" customHeight="1" outlineLevel="1" x14ac:dyDescent="0.25">
      <c r="A1648" s="43"/>
      <c r="B1648" s="43"/>
      <c r="C1648" s="35">
        <f t="shared" si="31"/>
        <v>33</v>
      </c>
      <c r="D1648" s="35" t="str" cm="1">
        <f t="array" ref="D1648">IFERROR(ROUNDUP(_xlfn.IFS(F1648="Aluminum Track", _xlfn.XLOOKUP(C1648, dd_accsrycalc!$A$2:$A$51, dd_accsrycalc!$B$2:$B$51, "",0), F1648="10 x 2 1/2 S (Flat)", _xlfn.XLOOKUP(C1648, dd_accsrycalc!$A$2:$A$51, dd_accsrycalc!$C$2:$C$51, "",0), F1648="Tox6", _xlfn.XLOOKUP(C1648, dd_accsrycalc!$A$2:$A$51, dd_accsrycalc!$D$2:$D$51, "",0), F1648="Cover Cap", _xlfn.XLOOKUP(C1648, dd_accsrycalc!$A$2:$A$51, dd_accsrycalc!$E$2:$E$51, "",0), F1648="Drainage Cover", _xlfn.XLOOKUP(C1648, dd_accsrycalc!$A$2:$A$51, dd_accsrycalc!$F$2:$F$51, "",0),AND( F1648="Double Adhesive Tape", I1648="Roll-up Screen"), _xlfn.XLOOKUP(C1648, calc_rusacc!$C$15:$C$65, calc_rusacc!$AD$15:$AD$65, "",0),AND( F1648="Sealant", I1648="Roll-up Screen"), _xlfn.XLOOKUP(C1648, calc_rusacc!$C$15:$C$65, calc_rusacc!$AF$15:$AF$65, "",0),  AND( F1648="Main Chain", I1648="Accordion Screen"), _xlfn.XLOOKUP(C1648, calc_rusacc!$C$15:$C$65, calc_rusacc!$BF$15:$BF$65, "",0), AND( F1648="Sealant", I1648="Accordion Screen"), _xlfn.XLOOKUP(C1648, calc_rusacc!$C$15:$C$65, calc_rusacc!$BJ$15:$BJ$65, "",0),  F1648="Sealant", _xlfn.XLOOKUP(C1648, dd_accsrycalc!$A$2:$A$51, dd_accsrycalc!$G$2:$G$51, "",0),  F1648&lt;&gt;"",L1648*_xlfn.XLOOKUP(1, (SKUs!$C$2:$C$10001=G1648)*(SKUs!$K$2:$K$10001=I1648),SKUs!$E$2:$E$10001)), 0),"")</f>
        <v/>
      </c>
      <c r="E1648" s="35" t="str">
        <f>_xlfn.XLOOKUP(F1648,dd_item!$B$2:$B$105,dd_item!$C$2:$C$105,"",0)</f>
        <v/>
      </c>
      <c r="F1648" s="35"/>
      <c r="G1648" s="35" cm="1">
        <f t="array" ref="G1648">IFERROR(_xlfn.XLOOKUP(1, (SKUs!$J$2:$J$10001=accsry_unmerged!F1648)*IF(H1648&lt;&gt;"",(SKUs!$L$2:$L$10001=accsry_unmerged!H1648),1)*(SKUs!$K$2:$K$10001=I1648),SKUs!$C$2:$C$10001),"")</f>
        <v>0</v>
      </c>
      <c r="H1648" s="36" cm="1">
        <f t="array" ref="H1648">IFERROR(_xlfn.XLOOKUP(1, (dd_accsryclr!$C$2:$C$1000=accsry_unmerged!F1648)*(dd_accsryclr!$B$2:$B$1000=accsry_unmerged!J1648),dd_accsryclr!$A$2:$A$1000),"")</f>
        <v>0</v>
      </c>
      <c r="I1648" s="35">
        <f>_xlfn.XLOOKUP(C1648,'Project Details'!$C$17:$C$66,'Project Details'!$E$17:$E$66,"",0)</f>
        <v>0</v>
      </c>
      <c r="J1648" s="35">
        <f>_xlfn.XLOOKUP(C1648,'Project Details'!$C$17:$C$66,'Project Details'!$H$17:$H$66,"",0)</f>
        <v>0</v>
      </c>
      <c r="K1648" s="36" t="str">
        <f>IF(AND(_xlfn.XLOOKUP(C1648,'Project Details'!$C$17:$C$66,'Project Details'!$L$17:$L$66,"",0)&gt;550, F1648="Spring-L27cm"),"",SUBSTITUTE(_xlfn.XLOOKUP(G1648,SKUs!$C$2:$C$10001,SKUs!$F$2:$F$10001,"",0), " Accessories",""))</f>
        <v/>
      </c>
      <c r="L1648" s="36">
        <f>_xlfn.XLOOKUP(C1648,'Project Details'!$C$17:$C$66,'Project Details'!$D$17:$D$66,"",0)</f>
        <v>0</v>
      </c>
      <c r="M1648" s="43"/>
    </row>
    <row r="1649" spans="1:13" ht="13.5" customHeight="1" outlineLevel="1" x14ac:dyDescent="0.25">
      <c r="A1649" s="43"/>
      <c r="B1649" s="43"/>
      <c r="C1649" s="16">
        <f t="shared" si="31"/>
        <v>33</v>
      </c>
      <c r="D1649" s="16" t="str" cm="1">
        <f t="array" ref="D1649">IFERROR(ROUNDUP(_xlfn.IFS(F1649="Aluminum Track", _xlfn.XLOOKUP(C1649, dd_accsrycalc!$A$2:$A$51, dd_accsrycalc!$B$2:$B$51, "",0), F1649="10 x 2 1/2 S (Flat)", _xlfn.XLOOKUP(C1649, dd_accsrycalc!$A$2:$A$51, dd_accsrycalc!$C$2:$C$51, "",0), F1649="Tox6", _xlfn.XLOOKUP(C1649, dd_accsrycalc!$A$2:$A$51, dd_accsrycalc!$D$2:$D$51, "",0), F1649="Cover Cap", _xlfn.XLOOKUP(C1649, dd_accsrycalc!$A$2:$A$51, dd_accsrycalc!$E$2:$E$51, "",0), F1649="Drainage Cover", _xlfn.XLOOKUP(C1649, dd_accsrycalc!$A$2:$A$51, dd_accsrycalc!$F$2:$F$51, "",0),AND( F1649="Double Adhesive Tape", I1649="Roll-up Screen"), _xlfn.XLOOKUP(C1649, calc_rusacc!$C$15:$C$65, calc_rusacc!$AD$15:$AD$65, "",0),AND( F1649="Sealant", I1649="Roll-up Screen"), _xlfn.XLOOKUP(C1649, calc_rusacc!$C$15:$C$65, calc_rusacc!$AF$15:$AF$65, "",0),  AND( F1649="Main Chain", I1649="Accordion Screen"), _xlfn.XLOOKUP(C1649, calc_rusacc!$C$15:$C$65, calc_rusacc!$BF$15:$BF$65, "",0), AND( F1649="Sealant", I1649="Accordion Screen"), _xlfn.XLOOKUP(C1649, calc_rusacc!$C$15:$C$65, calc_rusacc!$BJ$15:$BJ$65, "",0),  F1649="Sealant", _xlfn.XLOOKUP(C1649, dd_accsrycalc!$A$2:$A$51, dd_accsrycalc!$G$2:$G$51, "",0),  F1649&lt;&gt;"",L1649*_xlfn.XLOOKUP(1, (SKUs!$C$2:$C$10001=G1649)*(SKUs!$K$2:$K$10001=I1649),SKUs!$E$2:$E$10001)), 0),"")</f>
        <v/>
      </c>
      <c r="E1649" s="16" t="str">
        <f>_xlfn.XLOOKUP(F1649,dd_item!$B$2:$B$105,dd_item!$C$2:$C$105,"",0)</f>
        <v/>
      </c>
      <c r="F1649" s="16"/>
      <c r="G1649" s="16" cm="1">
        <f t="array" ref="G1649">IFERROR(_xlfn.XLOOKUP(1, (SKUs!$J$2:$J$10001=accsry_unmerged!F1649)*IF(H1649&lt;&gt;"",(SKUs!$L$2:$L$10001=accsry_unmerged!H1649),1)*(SKUs!$K$2:$K$10001=I1649),SKUs!$C$2:$C$10001),"")</f>
        <v>0</v>
      </c>
      <c r="H1649" s="33" cm="1">
        <f t="array" ref="H1649">IFERROR(_xlfn.XLOOKUP(1, (dd_accsryclr!$C$2:$C$1000=accsry_unmerged!F1649)*(dd_accsryclr!$B$2:$B$1000=accsry_unmerged!J1649),dd_accsryclr!$A$2:$A$1000),"")</f>
        <v>0</v>
      </c>
      <c r="I1649" s="16">
        <f>_xlfn.XLOOKUP(C1649,'Project Details'!$C$17:$C$66,'Project Details'!$E$17:$E$66,"",0)</f>
        <v>0</v>
      </c>
      <c r="J1649" s="16">
        <f>_xlfn.XLOOKUP(C1649,'Project Details'!$C$17:$C$66,'Project Details'!$H$17:$H$66,"",0)</f>
        <v>0</v>
      </c>
      <c r="K1649" s="33" t="str">
        <f>IF(AND(_xlfn.XLOOKUP(C1649,'Project Details'!$C$17:$C$66,'Project Details'!$L$17:$L$66,"",0)&gt;550, F1649="Spring-L27cm"),"",SUBSTITUTE(_xlfn.XLOOKUP(G1649,SKUs!$C$2:$C$10001,SKUs!$F$2:$F$10001,"",0), " Accessories",""))</f>
        <v/>
      </c>
      <c r="L1649" s="33">
        <f>_xlfn.XLOOKUP(C1649,'Project Details'!$C$17:$C$66,'Project Details'!$D$17:$D$66,"",0)</f>
        <v>0</v>
      </c>
      <c r="M1649" s="43"/>
    </row>
    <row r="1650" spans="1:13" ht="13.5" customHeight="1" outlineLevel="1" x14ac:dyDescent="0.25">
      <c r="A1650" s="43"/>
      <c r="B1650" s="43"/>
      <c r="C1650" s="35">
        <f t="shared" si="31"/>
        <v>33</v>
      </c>
      <c r="D1650" s="35" t="str" cm="1">
        <f t="array" ref="D1650">IFERROR(ROUNDUP(_xlfn.IFS(F1650="Aluminum Track", _xlfn.XLOOKUP(C1650, dd_accsrycalc!$A$2:$A$51, dd_accsrycalc!$B$2:$B$51, "",0), F1650="10 x 2 1/2 S (Flat)", _xlfn.XLOOKUP(C1650, dd_accsrycalc!$A$2:$A$51, dd_accsrycalc!$C$2:$C$51, "",0), F1650="Tox6", _xlfn.XLOOKUP(C1650, dd_accsrycalc!$A$2:$A$51, dd_accsrycalc!$D$2:$D$51, "",0), F1650="Cover Cap", _xlfn.XLOOKUP(C1650, dd_accsrycalc!$A$2:$A$51, dd_accsrycalc!$E$2:$E$51, "",0), F1650="Drainage Cover", _xlfn.XLOOKUP(C1650, dd_accsrycalc!$A$2:$A$51, dd_accsrycalc!$F$2:$F$51, "",0),AND( F1650="Double Adhesive Tape", I1650="Roll-up Screen"), _xlfn.XLOOKUP(C1650, calc_rusacc!$C$15:$C$65, calc_rusacc!$AD$15:$AD$65, "",0),AND( F1650="Sealant", I1650="Roll-up Screen"), _xlfn.XLOOKUP(C1650, calc_rusacc!$C$15:$C$65, calc_rusacc!$AF$15:$AF$65, "",0),  AND( F1650="Main Chain", I1650="Accordion Screen"), _xlfn.XLOOKUP(C1650, calc_rusacc!$C$15:$C$65, calc_rusacc!$BF$15:$BF$65, "",0), AND( F1650="Sealant", I1650="Accordion Screen"), _xlfn.XLOOKUP(C1650, calc_rusacc!$C$15:$C$65, calc_rusacc!$BJ$15:$BJ$65, "",0),  F1650="Sealant", _xlfn.XLOOKUP(C1650, dd_accsrycalc!$A$2:$A$51, dd_accsrycalc!$G$2:$G$51, "",0),  F1650&lt;&gt;"",L1650*_xlfn.XLOOKUP(1, (SKUs!$C$2:$C$10001=G1650)*(SKUs!$K$2:$K$10001=I1650),SKUs!$E$2:$E$10001)), 0),"")</f>
        <v/>
      </c>
      <c r="E1650" s="35" t="str">
        <f>_xlfn.XLOOKUP(F1650,dd_item!$B$2:$B$105,dd_item!$C$2:$C$105,"",0)</f>
        <v/>
      </c>
      <c r="F1650" s="35"/>
      <c r="G1650" s="35" cm="1">
        <f t="array" ref="G1650">IFERROR(_xlfn.XLOOKUP(1, (SKUs!$J$2:$J$10001=accsry_unmerged!F1650)*IF(H1650&lt;&gt;"",(SKUs!$L$2:$L$10001=accsry_unmerged!H1650),1)*(SKUs!$K$2:$K$10001=I1650),SKUs!$C$2:$C$10001),"")</f>
        <v>0</v>
      </c>
      <c r="H1650" s="36" cm="1">
        <f t="array" ref="H1650">IFERROR(_xlfn.XLOOKUP(1, (dd_accsryclr!$C$2:$C$1000=accsry_unmerged!F1650)*(dd_accsryclr!$B$2:$B$1000=accsry_unmerged!J1650),dd_accsryclr!$A$2:$A$1000),"")</f>
        <v>0</v>
      </c>
      <c r="I1650" s="35">
        <f>_xlfn.XLOOKUP(C1650,'Project Details'!$C$17:$C$66,'Project Details'!$E$17:$E$66,"",0)</f>
        <v>0</v>
      </c>
      <c r="J1650" s="35">
        <f>_xlfn.XLOOKUP(C1650,'Project Details'!$C$17:$C$66,'Project Details'!$H$17:$H$66,"",0)</f>
        <v>0</v>
      </c>
      <c r="K1650" s="36" t="str">
        <f>IF(AND(_xlfn.XLOOKUP(C1650,'Project Details'!$C$17:$C$66,'Project Details'!$L$17:$L$66,"",0)&gt;550, F1650="Spring-L27cm"),"",SUBSTITUTE(_xlfn.XLOOKUP(G1650,SKUs!$C$2:$C$10001,SKUs!$F$2:$F$10001,"",0), " Accessories",""))</f>
        <v/>
      </c>
      <c r="L1650" s="36">
        <f>_xlfn.XLOOKUP(C1650,'Project Details'!$C$17:$C$66,'Project Details'!$D$17:$D$66,"",0)</f>
        <v>0</v>
      </c>
      <c r="M1650" s="43"/>
    </row>
    <row r="1651" spans="1:13" ht="13.5" customHeight="1" outlineLevel="1" x14ac:dyDescent="0.25">
      <c r="A1651" s="43"/>
      <c r="B1651" s="43"/>
      <c r="C1651" s="16">
        <f t="shared" si="31"/>
        <v>33</v>
      </c>
      <c r="D1651" s="16" t="str" cm="1">
        <f t="array" ref="D1651">IFERROR(ROUNDUP(_xlfn.IFS(F1651="Aluminum Track", _xlfn.XLOOKUP(C1651, dd_accsrycalc!$A$2:$A$51, dd_accsrycalc!$B$2:$B$51, "",0), F1651="10 x 2 1/2 S (Flat)", _xlfn.XLOOKUP(C1651, dd_accsrycalc!$A$2:$A$51, dd_accsrycalc!$C$2:$C$51, "",0), F1651="Tox6", _xlfn.XLOOKUP(C1651, dd_accsrycalc!$A$2:$A$51, dd_accsrycalc!$D$2:$D$51, "",0), F1651="Cover Cap", _xlfn.XLOOKUP(C1651, dd_accsrycalc!$A$2:$A$51, dd_accsrycalc!$E$2:$E$51, "",0), F1651="Drainage Cover", _xlfn.XLOOKUP(C1651, dd_accsrycalc!$A$2:$A$51, dd_accsrycalc!$F$2:$F$51, "",0),AND( F1651="Double Adhesive Tape", I1651="Roll-up Screen"), _xlfn.XLOOKUP(C1651, calc_rusacc!$C$15:$C$65, calc_rusacc!$AD$15:$AD$65, "",0),AND( F1651="Sealant", I1651="Roll-up Screen"), _xlfn.XLOOKUP(C1651, calc_rusacc!$C$15:$C$65, calc_rusacc!$AF$15:$AF$65, "",0),  AND( F1651="Main Chain", I1651="Accordion Screen"), _xlfn.XLOOKUP(C1651, calc_rusacc!$C$15:$C$65, calc_rusacc!$BF$15:$BF$65, "",0), AND( F1651="Sealant", I1651="Accordion Screen"), _xlfn.XLOOKUP(C1651, calc_rusacc!$C$15:$C$65, calc_rusacc!$BJ$15:$BJ$65, "",0),  F1651="Sealant", _xlfn.XLOOKUP(C1651, dd_accsrycalc!$A$2:$A$51, dd_accsrycalc!$G$2:$G$51, "",0),  F1651&lt;&gt;"",L1651*_xlfn.XLOOKUP(1, (SKUs!$C$2:$C$10001=G1651)*(SKUs!$K$2:$K$10001=I1651),SKUs!$E$2:$E$10001)), 0),"")</f>
        <v/>
      </c>
      <c r="E1651" s="16" t="str">
        <f>_xlfn.XLOOKUP(F1651,dd_item!$B$2:$B$105,dd_item!$C$2:$C$105,"",0)</f>
        <v/>
      </c>
      <c r="F1651" s="16"/>
      <c r="G1651" s="16" cm="1">
        <f t="array" ref="G1651">IFERROR(_xlfn.XLOOKUP(1, (SKUs!$J$2:$J$10001=accsry_unmerged!F1651)*IF(H1651&lt;&gt;"",(SKUs!$L$2:$L$10001=accsry_unmerged!H1651),1)*(SKUs!$K$2:$K$10001=I1651),SKUs!$C$2:$C$10001),"")</f>
        <v>0</v>
      </c>
      <c r="H1651" s="33" cm="1">
        <f t="array" ref="H1651">IFERROR(_xlfn.XLOOKUP(1, (dd_accsryclr!$C$2:$C$1000=accsry_unmerged!F1651)*(dd_accsryclr!$B$2:$B$1000=accsry_unmerged!J1651),dd_accsryclr!$A$2:$A$1000),"")</f>
        <v>0</v>
      </c>
      <c r="I1651" s="16">
        <f>_xlfn.XLOOKUP(C1651,'Project Details'!$C$17:$C$66,'Project Details'!$E$17:$E$66,"",0)</f>
        <v>0</v>
      </c>
      <c r="J1651" s="16">
        <f>_xlfn.XLOOKUP(C1651,'Project Details'!$C$17:$C$66,'Project Details'!$H$17:$H$66,"",0)</f>
        <v>0</v>
      </c>
      <c r="K1651" s="33" t="str">
        <f>IF(AND(_xlfn.XLOOKUP(C1651,'Project Details'!$C$17:$C$66,'Project Details'!$L$17:$L$66,"",0)&gt;550, F1651="Spring-L27cm"),"",SUBSTITUTE(_xlfn.XLOOKUP(G1651,SKUs!$C$2:$C$10001,SKUs!$F$2:$F$10001,"",0), " Accessories",""))</f>
        <v/>
      </c>
      <c r="L1651" s="33">
        <f>_xlfn.XLOOKUP(C1651,'Project Details'!$C$17:$C$66,'Project Details'!$D$17:$D$66,"",0)</f>
        <v>0</v>
      </c>
      <c r="M1651" s="43"/>
    </row>
    <row r="1652" spans="1:13" ht="13.5" customHeight="1" outlineLevel="1" x14ac:dyDescent="0.25">
      <c r="A1652" s="43"/>
      <c r="B1652" s="43"/>
      <c r="C1652" s="35">
        <f t="shared" si="31"/>
        <v>33</v>
      </c>
      <c r="D1652" s="35" t="str" cm="1">
        <f t="array" ref="D1652">IFERROR(ROUNDUP(_xlfn.IFS(F1652="Aluminum Track", _xlfn.XLOOKUP(C1652, dd_accsrycalc!$A$2:$A$51, dd_accsrycalc!$B$2:$B$51, "",0), F1652="10 x 2 1/2 S (Flat)", _xlfn.XLOOKUP(C1652, dd_accsrycalc!$A$2:$A$51, dd_accsrycalc!$C$2:$C$51, "",0), F1652="Tox6", _xlfn.XLOOKUP(C1652, dd_accsrycalc!$A$2:$A$51, dd_accsrycalc!$D$2:$D$51, "",0), F1652="Cover Cap", _xlfn.XLOOKUP(C1652, dd_accsrycalc!$A$2:$A$51, dd_accsrycalc!$E$2:$E$51, "",0), F1652="Drainage Cover", _xlfn.XLOOKUP(C1652, dd_accsrycalc!$A$2:$A$51, dd_accsrycalc!$F$2:$F$51, "",0),AND( F1652="Double Adhesive Tape", I1652="Roll-up Screen"), _xlfn.XLOOKUP(C1652, calc_rusacc!$C$15:$C$65, calc_rusacc!$AD$15:$AD$65, "",0),AND( F1652="Sealant", I1652="Roll-up Screen"), _xlfn.XLOOKUP(C1652, calc_rusacc!$C$15:$C$65, calc_rusacc!$AF$15:$AF$65, "",0),  AND( F1652="Main Chain", I1652="Accordion Screen"), _xlfn.XLOOKUP(C1652, calc_rusacc!$C$15:$C$65, calc_rusacc!$BF$15:$BF$65, "",0), AND( F1652="Sealant", I1652="Accordion Screen"), _xlfn.XLOOKUP(C1652, calc_rusacc!$C$15:$C$65, calc_rusacc!$BJ$15:$BJ$65, "",0),  F1652="Sealant", _xlfn.XLOOKUP(C1652, dd_accsrycalc!$A$2:$A$51, dd_accsrycalc!$G$2:$G$51, "",0),  F1652&lt;&gt;"",L1652*_xlfn.XLOOKUP(1, (SKUs!$C$2:$C$10001=G1652)*(SKUs!$K$2:$K$10001=I1652),SKUs!$E$2:$E$10001)), 0),"")</f>
        <v/>
      </c>
      <c r="E1652" s="35" t="str">
        <f>_xlfn.XLOOKUP(F1652,dd_item!$B$2:$B$105,dd_item!$C$2:$C$105,"",0)</f>
        <v/>
      </c>
      <c r="F1652" s="35"/>
      <c r="G1652" s="35" cm="1">
        <f t="array" ref="G1652">IFERROR(_xlfn.XLOOKUP(1, (SKUs!$J$2:$J$10001=accsry_unmerged!F1652)*IF(H1652&lt;&gt;"",(SKUs!$L$2:$L$10001=accsry_unmerged!H1652),1)*(SKUs!$K$2:$K$10001=I1652),SKUs!$C$2:$C$10001),"")</f>
        <v>0</v>
      </c>
      <c r="H1652" s="36" cm="1">
        <f t="array" ref="H1652">IFERROR(_xlfn.XLOOKUP(1, (dd_accsryclr!$C$2:$C$1000=accsry_unmerged!F1652)*(dd_accsryclr!$B$2:$B$1000=accsry_unmerged!J1652),dd_accsryclr!$A$2:$A$1000),"")</f>
        <v>0</v>
      </c>
      <c r="I1652" s="35">
        <f>_xlfn.XLOOKUP(C1652,'Project Details'!$C$17:$C$66,'Project Details'!$E$17:$E$66,"",0)</f>
        <v>0</v>
      </c>
      <c r="J1652" s="35">
        <f>_xlfn.XLOOKUP(C1652,'Project Details'!$C$17:$C$66,'Project Details'!$H$17:$H$66,"",0)</f>
        <v>0</v>
      </c>
      <c r="K1652" s="36" t="str">
        <f>IF(AND(_xlfn.XLOOKUP(C1652,'Project Details'!$C$17:$C$66,'Project Details'!$L$17:$L$66,"",0)&gt;550, F1652="Spring-L27cm"),"",SUBSTITUTE(_xlfn.XLOOKUP(G1652,SKUs!$C$2:$C$10001,SKUs!$F$2:$F$10001,"",0), " Accessories",""))</f>
        <v/>
      </c>
      <c r="L1652" s="36">
        <f>_xlfn.XLOOKUP(C1652,'Project Details'!$C$17:$C$66,'Project Details'!$D$17:$D$66,"",0)</f>
        <v>0</v>
      </c>
      <c r="M1652" s="43"/>
    </row>
    <row r="1653" spans="1:13" ht="13.5" customHeight="1" outlineLevel="1" x14ac:dyDescent="0.25">
      <c r="A1653" s="43"/>
      <c r="B1653" s="43"/>
      <c r="C1653" s="16">
        <f t="shared" si="31"/>
        <v>33</v>
      </c>
      <c r="D1653" s="16" t="str" cm="1">
        <f t="array" ref="D1653">IFERROR(ROUNDUP(_xlfn.IFS(F1653="Aluminum Track", _xlfn.XLOOKUP(C1653, dd_accsrycalc!$A$2:$A$51, dd_accsrycalc!$B$2:$B$51, "",0), F1653="10 x 2 1/2 S (Flat)", _xlfn.XLOOKUP(C1653, dd_accsrycalc!$A$2:$A$51, dd_accsrycalc!$C$2:$C$51, "",0), F1653="Tox6", _xlfn.XLOOKUP(C1653, dd_accsrycalc!$A$2:$A$51, dd_accsrycalc!$D$2:$D$51, "",0), F1653="Cover Cap", _xlfn.XLOOKUP(C1653, dd_accsrycalc!$A$2:$A$51, dd_accsrycalc!$E$2:$E$51, "",0), F1653="Drainage Cover", _xlfn.XLOOKUP(C1653, dd_accsrycalc!$A$2:$A$51, dd_accsrycalc!$F$2:$F$51, "",0),AND( F1653="Double Adhesive Tape", I1653="Roll-up Screen"), _xlfn.XLOOKUP(C1653, calc_rusacc!$C$15:$C$65, calc_rusacc!$AD$15:$AD$65, "",0),AND( F1653="Sealant", I1653="Roll-up Screen"), _xlfn.XLOOKUP(C1653, calc_rusacc!$C$15:$C$65, calc_rusacc!$AF$15:$AF$65, "",0),  AND( F1653="Main Chain", I1653="Accordion Screen"), _xlfn.XLOOKUP(C1653, calc_rusacc!$C$15:$C$65, calc_rusacc!$BF$15:$BF$65, "",0), AND( F1653="Sealant", I1653="Accordion Screen"), _xlfn.XLOOKUP(C1653, calc_rusacc!$C$15:$C$65, calc_rusacc!$BJ$15:$BJ$65, "",0),  F1653="Sealant", _xlfn.XLOOKUP(C1653, dd_accsrycalc!$A$2:$A$51, dd_accsrycalc!$G$2:$G$51, "",0),  F1653&lt;&gt;"",L1653*_xlfn.XLOOKUP(1, (SKUs!$C$2:$C$10001=G1653)*(SKUs!$K$2:$K$10001=I1653),SKUs!$E$2:$E$10001)), 0),"")</f>
        <v/>
      </c>
      <c r="E1653" s="16" t="str">
        <f>_xlfn.XLOOKUP(F1653,dd_item!$B$2:$B$105,dd_item!$C$2:$C$105,"",0)</f>
        <v/>
      </c>
      <c r="F1653" s="16"/>
      <c r="G1653" s="16" cm="1">
        <f t="array" ref="G1653">IFERROR(_xlfn.XLOOKUP(1, (SKUs!$J$2:$J$10001=accsry_unmerged!F1653)*IF(H1653&lt;&gt;"",(SKUs!$L$2:$L$10001=accsry_unmerged!H1653),1)*(SKUs!$K$2:$K$10001=I1653),SKUs!$C$2:$C$10001),"")</f>
        <v>0</v>
      </c>
      <c r="H1653" s="33" cm="1">
        <f t="array" ref="H1653">IFERROR(_xlfn.XLOOKUP(1, (dd_accsryclr!$C$2:$C$1000=accsry_unmerged!F1653)*(dd_accsryclr!$B$2:$B$1000=accsry_unmerged!J1653),dd_accsryclr!$A$2:$A$1000),"")</f>
        <v>0</v>
      </c>
      <c r="I1653" s="16">
        <f>_xlfn.XLOOKUP(C1653,'Project Details'!$C$17:$C$66,'Project Details'!$E$17:$E$66,"",0)</f>
        <v>0</v>
      </c>
      <c r="J1653" s="16">
        <f>_xlfn.XLOOKUP(C1653,'Project Details'!$C$17:$C$66,'Project Details'!$H$17:$H$66,"",0)</f>
        <v>0</v>
      </c>
      <c r="K1653" s="33" t="str">
        <f>IF(AND(_xlfn.XLOOKUP(C1653,'Project Details'!$C$17:$C$66,'Project Details'!$L$17:$L$66,"",0)&gt;550, F1653="Spring-L27cm"),"",SUBSTITUTE(_xlfn.XLOOKUP(G1653,SKUs!$C$2:$C$10001,SKUs!$F$2:$F$10001,"",0), " Accessories",""))</f>
        <v/>
      </c>
      <c r="L1653" s="33">
        <f>_xlfn.XLOOKUP(C1653,'Project Details'!$C$17:$C$66,'Project Details'!$D$17:$D$66,"",0)</f>
        <v>0</v>
      </c>
      <c r="M1653" s="43"/>
    </row>
    <row r="1654" spans="1:13" ht="13.5" customHeight="1" outlineLevel="1" x14ac:dyDescent="0.25">
      <c r="A1654" s="43"/>
      <c r="B1654" s="43"/>
      <c r="C1654" s="35">
        <f t="shared" si="31"/>
        <v>33</v>
      </c>
      <c r="D1654" s="35" t="str" cm="1">
        <f t="array" ref="D1654">IFERROR(ROUNDUP(_xlfn.IFS(F1654="Aluminum Track", _xlfn.XLOOKUP(C1654, dd_accsrycalc!$A$2:$A$51, dd_accsrycalc!$B$2:$B$51, "",0), F1654="10 x 2 1/2 S (Flat)", _xlfn.XLOOKUP(C1654, dd_accsrycalc!$A$2:$A$51, dd_accsrycalc!$C$2:$C$51, "",0), F1654="Tox6", _xlfn.XLOOKUP(C1654, dd_accsrycalc!$A$2:$A$51, dd_accsrycalc!$D$2:$D$51, "",0), F1654="Cover Cap", _xlfn.XLOOKUP(C1654, dd_accsrycalc!$A$2:$A$51, dd_accsrycalc!$E$2:$E$51, "",0), F1654="Drainage Cover", _xlfn.XLOOKUP(C1654, dd_accsrycalc!$A$2:$A$51, dd_accsrycalc!$F$2:$F$51, "",0),AND( F1654="Double Adhesive Tape", I1654="Roll-up Screen"), _xlfn.XLOOKUP(C1654, calc_rusacc!$C$15:$C$65, calc_rusacc!$AD$15:$AD$65, "",0),AND( F1654="Sealant", I1654="Roll-up Screen"), _xlfn.XLOOKUP(C1654, calc_rusacc!$C$15:$C$65, calc_rusacc!$AF$15:$AF$65, "",0),  AND( F1654="Main Chain", I1654="Accordion Screen"), _xlfn.XLOOKUP(C1654, calc_rusacc!$C$15:$C$65, calc_rusacc!$BF$15:$BF$65, "",0), AND( F1654="Sealant", I1654="Accordion Screen"), _xlfn.XLOOKUP(C1654, calc_rusacc!$C$15:$C$65, calc_rusacc!$BJ$15:$BJ$65, "",0),  F1654="Sealant", _xlfn.XLOOKUP(C1654, dd_accsrycalc!$A$2:$A$51, dd_accsrycalc!$G$2:$G$51, "",0),  F1654&lt;&gt;"",L1654*_xlfn.XLOOKUP(1, (SKUs!$C$2:$C$10001=G1654)*(SKUs!$K$2:$K$10001=I1654),SKUs!$E$2:$E$10001)), 0),"")</f>
        <v/>
      </c>
      <c r="E1654" s="35" t="str">
        <f>_xlfn.XLOOKUP(F1654,dd_item!$B$2:$B$105,dd_item!$C$2:$C$105,"",0)</f>
        <v/>
      </c>
      <c r="F1654" s="35"/>
      <c r="G1654" s="35" cm="1">
        <f t="array" ref="G1654">IFERROR(_xlfn.XLOOKUP(1, (SKUs!$J$2:$J$10001=accsry_unmerged!F1654)*IF(H1654&lt;&gt;"",(SKUs!$L$2:$L$10001=accsry_unmerged!H1654),1)*(SKUs!$K$2:$K$10001=I1654),SKUs!$C$2:$C$10001),"")</f>
        <v>0</v>
      </c>
      <c r="H1654" s="36" cm="1">
        <f t="array" ref="H1654">IFERROR(_xlfn.XLOOKUP(1, (dd_accsryclr!$C$2:$C$1000=accsry_unmerged!F1654)*(dd_accsryclr!$B$2:$B$1000=accsry_unmerged!J1654),dd_accsryclr!$A$2:$A$1000),"")</f>
        <v>0</v>
      </c>
      <c r="I1654" s="35">
        <f>_xlfn.XLOOKUP(C1654,'Project Details'!$C$17:$C$66,'Project Details'!$E$17:$E$66,"",0)</f>
        <v>0</v>
      </c>
      <c r="J1654" s="35">
        <f>_xlfn.XLOOKUP(C1654,'Project Details'!$C$17:$C$66,'Project Details'!$H$17:$H$66,"",0)</f>
        <v>0</v>
      </c>
      <c r="K1654" s="36" t="str">
        <f>IF(AND(_xlfn.XLOOKUP(C1654,'Project Details'!$C$17:$C$66,'Project Details'!$L$17:$L$66,"",0)&gt;550, F1654="Spring-L27cm"),"",SUBSTITUTE(_xlfn.XLOOKUP(G1654,SKUs!$C$2:$C$10001,SKUs!$F$2:$F$10001,"",0), " Accessories",""))</f>
        <v/>
      </c>
      <c r="L1654" s="36">
        <f>_xlfn.XLOOKUP(C1654,'Project Details'!$C$17:$C$66,'Project Details'!$D$17:$D$66,"",0)</f>
        <v>0</v>
      </c>
      <c r="M1654" s="43"/>
    </row>
    <row r="1655" spans="1:13" ht="13.5" customHeight="1" outlineLevel="1" collapsed="1" x14ac:dyDescent="0.25">
      <c r="A1655" s="43"/>
      <c r="B1655" s="43"/>
      <c r="C1655" s="16">
        <f t="shared" si="31"/>
        <v>33</v>
      </c>
      <c r="D1655" s="16" t="str" cm="1">
        <f t="array" ref="D1655">IFERROR(ROUNDUP(_xlfn.IFS(F1655="Aluminum Track", _xlfn.XLOOKUP(C1655, dd_accsrycalc!$A$2:$A$51, dd_accsrycalc!$B$2:$B$51, "",0), F1655="10 x 2 1/2 S (Flat)", _xlfn.XLOOKUP(C1655, dd_accsrycalc!$A$2:$A$51, dd_accsrycalc!$C$2:$C$51, "",0), F1655="Tox6", _xlfn.XLOOKUP(C1655, dd_accsrycalc!$A$2:$A$51, dd_accsrycalc!$D$2:$D$51, "",0), F1655="Cover Cap", _xlfn.XLOOKUP(C1655, dd_accsrycalc!$A$2:$A$51, dd_accsrycalc!$E$2:$E$51, "",0), F1655="Drainage Cover", _xlfn.XLOOKUP(C1655, dd_accsrycalc!$A$2:$A$51, dd_accsrycalc!$F$2:$F$51, "",0),AND( F1655="Double Adhesive Tape", I1655="Roll-up Screen"), _xlfn.XLOOKUP(C1655, calc_rusacc!$C$15:$C$65, calc_rusacc!$AD$15:$AD$65, "",0),AND( F1655="Sealant", I1655="Roll-up Screen"), _xlfn.XLOOKUP(C1655, calc_rusacc!$C$15:$C$65, calc_rusacc!$AF$15:$AF$65, "",0),  AND( F1655="Main Chain", I1655="Accordion Screen"), _xlfn.XLOOKUP(C1655, calc_rusacc!$C$15:$C$65, calc_rusacc!$BF$15:$BF$65, "",0), AND( F1655="Sealant", I1655="Accordion Screen"), _xlfn.XLOOKUP(C1655, calc_rusacc!$C$15:$C$65, calc_rusacc!$BJ$15:$BJ$65, "",0),  F1655="Sealant", _xlfn.XLOOKUP(C1655, dd_accsrycalc!$A$2:$A$51, dd_accsrycalc!$G$2:$G$51, "",0),  F1655&lt;&gt;"",L1655*_xlfn.XLOOKUP(1, (SKUs!$C$2:$C$10001=G1655)*(SKUs!$K$2:$K$10001=I1655),SKUs!$E$2:$E$10001)), 0),"")</f>
        <v/>
      </c>
      <c r="E1655" s="16" t="str">
        <f>_xlfn.XLOOKUP(F1655,dd_item!$B$2:$B$105,dd_item!$C$2:$C$105,"",0)</f>
        <v/>
      </c>
      <c r="F1655" s="16"/>
      <c r="G1655" s="16" cm="1">
        <f t="array" ref="G1655">IFERROR(_xlfn.XLOOKUP(1, (SKUs!$J$2:$J$10001=accsry_unmerged!F1655)*IF(H1655&lt;&gt;"",(SKUs!$L$2:$L$10001=accsry_unmerged!H1655),1)*(SKUs!$K$2:$K$10001=I1655),SKUs!$C$2:$C$10001),"")</f>
        <v>0</v>
      </c>
      <c r="H1655" s="33" cm="1">
        <f t="array" ref="H1655">IFERROR(_xlfn.XLOOKUP(1, (dd_accsryclr!$C$2:$C$1000=accsry_unmerged!F1655)*(dd_accsryclr!$B$2:$B$1000=accsry_unmerged!J1655),dd_accsryclr!$A$2:$A$1000),"")</f>
        <v>0</v>
      </c>
      <c r="I1655" s="16">
        <f>_xlfn.XLOOKUP(C1655,'Project Details'!$C$17:$C$66,'Project Details'!$E$17:$E$66,"",0)</f>
        <v>0</v>
      </c>
      <c r="J1655" s="16">
        <f>_xlfn.XLOOKUP(C1655,'Project Details'!$C$17:$C$66,'Project Details'!$H$17:$H$66,"",0)</f>
        <v>0</v>
      </c>
      <c r="K1655" s="33" t="str">
        <f>IF(AND(_xlfn.XLOOKUP(C1655,'Project Details'!$C$17:$C$66,'Project Details'!$L$17:$L$66,"",0)&gt;550, F1655="Spring-L27cm"),"",SUBSTITUTE(_xlfn.XLOOKUP(G1655,SKUs!$C$2:$C$10001,SKUs!$F$2:$F$10001,"",0), " Accessories",""))</f>
        <v/>
      </c>
      <c r="L1655" s="33">
        <f>_xlfn.XLOOKUP(C1655,'Project Details'!$C$17:$C$66,'Project Details'!$D$17:$D$66,"",0)</f>
        <v>0</v>
      </c>
      <c r="M1655" s="43"/>
    </row>
    <row r="1656" spans="1:13" ht="13.5" customHeight="1" outlineLevel="1" x14ac:dyDescent="0.25">
      <c r="A1656" s="43"/>
      <c r="B1656" s="43"/>
      <c r="C1656" s="35">
        <f t="shared" si="31"/>
        <v>33</v>
      </c>
      <c r="D1656" s="35" t="str" cm="1">
        <f t="array" ref="D1656">IFERROR(ROUNDUP(_xlfn.IFS(F1656="Aluminum Track", _xlfn.XLOOKUP(C1656, dd_accsrycalc!$A$2:$A$51, dd_accsrycalc!$B$2:$B$51, "",0), F1656="10 x 2 1/2 S (Flat)", _xlfn.XLOOKUP(C1656, dd_accsrycalc!$A$2:$A$51, dd_accsrycalc!$C$2:$C$51, "",0), F1656="Tox6", _xlfn.XLOOKUP(C1656, dd_accsrycalc!$A$2:$A$51, dd_accsrycalc!$D$2:$D$51, "",0), F1656="Cover Cap", _xlfn.XLOOKUP(C1656, dd_accsrycalc!$A$2:$A$51, dd_accsrycalc!$E$2:$E$51, "",0), F1656="Drainage Cover", _xlfn.XLOOKUP(C1656, dd_accsrycalc!$A$2:$A$51, dd_accsrycalc!$F$2:$F$51, "",0),AND( F1656="Double Adhesive Tape", I1656="Roll-up Screen"), _xlfn.XLOOKUP(C1656, calc_rusacc!$C$15:$C$65, calc_rusacc!$AD$15:$AD$65, "",0),AND( F1656="Sealant", I1656="Roll-up Screen"), _xlfn.XLOOKUP(C1656, calc_rusacc!$C$15:$C$65, calc_rusacc!$AF$15:$AF$65, "",0),  AND( F1656="Main Chain", I1656="Accordion Screen"), _xlfn.XLOOKUP(C1656, calc_rusacc!$C$15:$C$65, calc_rusacc!$BF$15:$BF$65, "",0), AND( F1656="Sealant", I1656="Accordion Screen"), _xlfn.XLOOKUP(C1656, calc_rusacc!$C$15:$C$65, calc_rusacc!$BJ$15:$BJ$65, "",0),  F1656="Sealant", _xlfn.XLOOKUP(C1656, dd_accsrycalc!$A$2:$A$51, dd_accsrycalc!$G$2:$G$51, "",0),  F1656&lt;&gt;"",L1656*_xlfn.XLOOKUP(1, (SKUs!$C$2:$C$10001=G1656)*(SKUs!$K$2:$K$10001=I1656),SKUs!$E$2:$E$10001)), 0),"")</f>
        <v/>
      </c>
      <c r="E1656" s="35" t="str">
        <f>_xlfn.XLOOKUP(F1656,dd_item!$B$2:$B$105,dd_item!$C$2:$C$105,"",0)</f>
        <v/>
      </c>
      <c r="F1656" s="35"/>
      <c r="G1656" s="35" cm="1">
        <f t="array" ref="G1656">IFERROR(_xlfn.XLOOKUP(1, (SKUs!$J$2:$J$10001=accsry_unmerged!F1656)*IF(H1656&lt;&gt;"",(SKUs!$L$2:$L$10001=accsry_unmerged!H1656),1)*(SKUs!$K$2:$K$10001=I1656),SKUs!$C$2:$C$10001),"")</f>
        <v>0</v>
      </c>
      <c r="H1656" s="36" cm="1">
        <f t="array" ref="H1656">IFERROR(_xlfn.XLOOKUP(1, (dd_accsryclr!$C$2:$C$1000=accsry_unmerged!F1656)*(dd_accsryclr!$B$2:$B$1000=accsry_unmerged!J1656),dd_accsryclr!$A$2:$A$1000),"")</f>
        <v>0</v>
      </c>
      <c r="I1656" s="35">
        <f>_xlfn.XLOOKUP(C1656,'Project Details'!$C$17:$C$66,'Project Details'!$E$17:$E$66,"",0)</f>
        <v>0</v>
      </c>
      <c r="J1656" s="35">
        <f>_xlfn.XLOOKUP(C1656,'Project Details'!$C$17:$C$66,'Project Details'!$H$17:$H$66,"",0)</f>
        <v>0</v>
      </c>
      <c r="K1656" s="36" t="str">
        <f>IF(AND(_xlfn.XLOOKUP(C1656,'Project Details'!$C$17:$C$66,'Project Details'!$L$17:$L$66,"",0)&gt;550, F1656="Spring-L27cm"),"",SUBSTITUTE(_xlfn.XLOOKUP(G1656,SKUs!$C$2:$C$10001,SKUs!$F$2:$F$10001,"",0), " Accessories",""))</f>
        <v/>
      </c>
      <c r="L1656" s="36">
        <f>_xlfn.XLOOKUP(C1656,'Project Details'!$C$17:$C$66,'Project Details'!$D$17:$D$66,"",0)</f>
        <v>0</v>
      </c>
      <c r="M1656" s="43"/>
    </row>
    <row r="1657" spans="1:13" ht="13.5" customHeight="1" outlineLevel="1" x14ac:dyDescent="0.25">
      <c r="A1657" s="43"/>
      <c r="B1657" s="43"/>
      <c r="C1657" s="16">
        <f t="shared" si="31"/>
        <v>33</v>
      </c>
      <c r="D1657" s="16" t="str" cm="1">
        <f t="array" ref="D1657">IFERROR(ROUNDUP(_xlfn.IFS(F1657="Aluminum Track", _xlfn.XLOOKUP(C1657, dd_accsrycalc!$A$2:$A$51, dd_accsrycalc!$B$2:$B$51, "",0), F1657="10 x 2 1/2 S (Flat)", _xlfn.XLOOKUP(C1657, dd_accsrycalc!$A$2:$A$51, dd_accsrycalc!$C$2:$C$51, "",0), F1657="Tox6", _xlfn.XLOOKUP(C1657, dd_accsrycalc!$A$2:$A$51, dd_accsrycalc!$D$2:$D$51, "",0), F1657="Cover Cap", _xlfn.XLOOKUP(C1657, dd_accsrycalc!$A$2:$A$51, dd_accsrycalc!$E$2:$E$51, "",0), F1657="Drainage Cover", _xlfn.XLOOKUP(C1657, dd_accsrycalc!$A$2:$A$51, dd_accsrycalc!$F$2:$F$51, "",0),AND( F1657="Double Adhesive Tape", I1657="Roll-up Screen"), _xlfn.XLOOKUP(C1657, calc_rusacc!$C$15:$C$65, calc_rusacc!$AD$15:$AD$65, "",0),AND( F1657="Sealant", I1657="Roll-up Screen"), _xlfn.XLOOKUP(C1657, calc_rusacc!$C$15:$C$65, calc_rusacc!$AF$15:$AF$65, "",0),  AND( F1657="Main Chain", I1657="Accordion Screen"), _xlfn.XLOOKUP(C1657, calc_rusacc!$C$15:$C$65, calc_rusacc!$BF$15:$BF$65, "",0), AND( F1657="Sealant", I1657="Accordion Screen"), _xlfn.XLOOKUP(C1657, calc_rusacc!$C$15:$C$65, calc_rusacc!$BJ$15:$BJ$65, "",0),  F1657="Sealant", _xlfn.XLOOKUP(C1657, dd_accsrycalc!$A$2:$A$51, dd_accsrycalc!$G$2:$G$51, "",0),  F1657&lt;&gt;"",L1657*_xlfn.XLOOKUP(1, (SKUs!$C$2:$C$10001=G1657)*(SKUs!$K$2:$K$10001=I1657),SKUs!$E$2:$E$10001)), 0),"")</f>
        <v/>
      </c>
      <c r="E1657" s="16" t="str">
        <f>_xlfn.XLOOKUP(F1657,dd_item!$B$2:$B$105,dd_item!$C$2:$C$105,"",0)</f>
        <v/>
      </c>
      <c r="F1657" s="16"/>
      <c r="G1657" s="16" cm="1">
        <f t="array" ref="G1657">IFERROR(_xlfn.XLOOKUP(1, (SKUs!$J$2:$J$10001=accsry_unmerged!F1657)*IF(H1657&lt;&gt;"",(SKUs!$L$2:$L$10001=accsry_unmerged!H1657),1)*(SKUs!$K$2:$K$10001=I1657),SKUs!$C$2:$C$10001),"")</f>
        <v>0</v>
      </c>
      <c r="H1657" s="33" cm="1">
        <f t="array" ref="H1657">IFERROR(_xlfn.XLOOKUP(1, (dd_accsryclr!$C$2:$C$1000=accsry_unmerged!F1657)*(dd_accsryclr!$B$2:$B$1000=accsry_unmerged!J1657),dd_accsryclr!$A$2:$A$1000),"")</f>
        <v>0</v>
      </c>
      <c r="I1657" s="16">
        <f>_xlfn.XLOOKUP(C1657,'Project Details'!$C$17:$C$66,'Project Details'!$E$17:$E$66,"",0)</f>
        <v>0</v>
      </c>
      <c r="J1657" s="16">
        <f>_xlfn.XLOOKUP(C1657,'Project Details'!$C$17:$C$66,'Project Details'!$H$17:$H$66,"",0)</f>
        <v>0</v>
      </c>
      <c r="K1657" s="33" t="str">
        <f>IF(AND(_xlfn.XLOOKUP(C1657,'Project Details'!$C$17:$C$66,'Project Details'!$L$17:$L$66,"",0)&gt;550, F1657="Spring-L27cm"),"",SUBSTITUTE(_xlfn.XLOOKUP(G1657,SKUs!$C$2:$C$10001,SKUs!$F$2:$F$10001,"",0), " Accessories",""))</f>
        <v/>
      </c>
      <c r="L1657" s="33">
        <f>_xlfn.XLOOKUP(C1657,'Project Details'!$C$17:$C$66,'Project Details'!$D$17:$D$66,"",0)</f>
        <v>0</v>
      </c>
      <c r="M1657" s="43"/>
    </row>
    <row r="1658" spans="1:13" ht="13.5" customHeight="1" outlineLevel="1" x14ac:dyDescent="0.25">
      <c r="A1658" s="43"/>
      <c r="B1658" s="43"/>
      <c r="C1658" s="35">
        <f t="shared" si="31"/>
        <v>33</v>
      </c>
      <c r="D1658" s="35" t="str" cm="1">
        <f t="array" ref="D1658">IFERROR(ROUNDUP(_xlfn.IFS(F1658="Aluminum Track", _xlfn.XLOOKUP(C1658, dd_accsrycalc!$A$2:$A$51, dd_accsrycalc!$B$2:$B$51, "",0), F1658="10 x 2 1/2 S (Flat)", _xlfn.XLOOKUP(C1658, dd_accsrycalc!$A$2:$A$51, dd_accsrycalc!$C$2:$C$51, "",0), F1658="Tox6", _xlfn.XLOOKUP(C1658, dd_accsrycalc!$A$2:$A$51, dd_accsrycalc!$D$2:$D$51, "",0), F1658="Cover Cap", _xlfn.XLOOKUP(C1658, dd_accsrycalc!$A$2:$A$51, dd_accsrycalc!$E$2:$E$51, "",0), F1658="Drainage Cover", _xlfn.XLOOKUP(C1658, dd_accsrycalc!$A$2:$A$51, dd_accsrycalc!$F$2:$F$51, "",0),AND( F1658="Double Adhesive Tape", I1658="Roll-up Screen"), _xlfn.XLOOKUP(C1658, calc_rusacc!$C$15:$C$65, calc_rusacc!$AD$15:$AD$65, "",0),AND( F1658="Sealant", I1658="Roll-up Screen"), _xlfn.XLOOKUP(C1658, calc_rusacc!$C$15:$C$65, calc_rusacc!$AF$15:$AF$65, "",0),  AND( F1658="Main Chain", I1658="Accordion Screen"), _xlfn.XLOOKUP(C1658, calc_rusacc!$C$15:$C$65, calc_rusacc!$BF$15:$BF$65, "",0), AND( F1658="Sealant", I1658="Accordion Screen"), _xlfn.XLOOKUP(C1658, calc_rusacc!$C$15:$C$65, calc_rusacc!$BJ$15:$BJ$65, "",0),  F1658="Sealant", _xlfn.XLOOKUP(C1658, dd_accsrycalc!$A$2:$A$51, dd_accsrycalc!$G$2:$G$51, "",0),  F1658&lt;&gt;"",L1658*_xlfn.XLOOKUP(1, (SKUs!$C$2:$C$10001=G1658)*(SKUs!$K$2:$K$10001=I1658),SKUs!$E$2:$E$10001)), 0),"")</f>
        <v/>
      </c>
      <c r="E1658" s="35" t="str">
        <f>_xlfn.XLOOKUP(F1658,dd_item!$B$2:$B$105,dd_item!$C$2:$C$105,"",0)</f>
        <v/>
      </c>
      <c r="F1658" s="35"/>
      <c r="G1658" s="35" cm="1">
        <f t="array" ref="G1658">IFERROR(_xlfn.XLOOKUP(1, (SKUs!$J$2:$J$10001=accsry_unmerged!F1658)*IF(H1658&lt;&gt;"",(SKUs!$L$2:$L$10001=accsry_unmerged!H1658),1)*(SKUs!$K$2:$K$10001=I1658),SKUs!$C$2:$C$10001),"")</f>
        <v>0</v>
      </c>
      <c r="H1658" s="36" cm="1">
        <f t="array" ref="H1658">IFERROR(_xlfn.XLOOKUP(1, (dd_accsryclr!$C$2:$C$1000=accsry_unmerged!F1658)*(dd_accsryclr!$B$2:$B$1000=accsry_unmerged!J1658),dd_accsryclr!$A$2:$A$1000),"")</f>
        <v>0</v>
      </c>
      <c r="I1658" s="35">
        <f>_xlfn.XLOOKUP(C1658,'Project Details'!$C$17:$C$66,'Project Details'!$E$17:$E$66,"",0)</f>
        <v>0</v>
      </c>
      <c r="J1658" s="35">
        <f>_xlfn.XLOOKUP(C1658,'Project Details'!$C$17:$C$66,'Project Details'!$H$17:$H$66,"",0)</f>
        <v>0</v>
      </c>
      <c r="K1658" s="36" t="str">
        <f>IF(AND(_xlfn.XLOOKUP(C1658,'Project Details'!$C$17:$C$66,'Project Details'!$L$17:$L$66,"",0)&gt;550, F1658="Spring-L27cm"),"",SUBSTITUTE(_xlfn.XLOOKUP(G1658,SKUs!$C$2:$C$10001,SKUs!$F$2:$F$10001,"",0), " Accessories",""))</f>
        <v/>
      </c>
      <c r="L1658" s="36">
        <f>_xlfn.XLOOKUP(C1658,'Project Details'!$C$17:$C$66,'Project Details'!$D$17:$D$66,"",0)</f>
        <v>0</v>
      </c>
      <c r="M1658" s="43"/>
    </row>
    <row r="1659" spans="1:13" ht="13.5" customHeight="1" outlineLevel="1" x14ac:dyDescent="0.25">
      <c r="A1659" s="43"/>
      <c r="B1659" s="43"/>
      <c r="C1659" s="16">
        <f t="shared" si="31"/>
        <v>33</v>
      </c>
      <c r="D1659" s="16" t="str" cm="1">
        <f t="array" ref="D1659">IFERROR(ROUNDUP(_xlfn.IFS(F1659="Aluminum Track", _xlfn.XLOOKUP(C1659, dd_accsrycalc!$A$2:$A$51, dd_accsrycalc!$B$2:$B$51, "",0), F1659="10 x 2 1/2 S (Flat)", _xlfn.XLOOKUP(C1659, dd_accsrycalc!$A$2:$A$51, dd_accsrycalc!$C$2:$C$51, "",0), F1659="Tox6", _xlfn.XLOOKUP(C1659, dd_accsrycalc!$A$2:$A$51, dd_accsrycalc!$D$2:$D$51, "",0), F1659="Cover Cap", _xlfn.XLOOKUP(C1659, dd_accsrycalc!$A$2:$A$51, dd_accsrycalc!$E$2:$E$51, "",0), F1659="Drainage Cover", _xlfn.XLOOKUP(C1659, dd_accsrycalc!$A$2:$A$51, dd_accsrycalc!$F$2:$F$51, "",0),AND( F1659="Double Adhesive Tape", I1659="Roll-up Screen"), _xlfn.XLOOKUP(C1659, calc_rusacc!$C$15:$C$65, calc_rusacc!$AD$15:$AD$65, "",0),AND( F1659="Sealant", I1659="Roll-up Screen"), _xlfn.XLOOKUP(C1659, calc_rusacc!$C$15:$C$65, calc_rusacc!$AF$15:$AF$65, "",0),  AND( F1659="Main Chain", I1659="Accordion Screen"), _xlfn.XLOOKUP(C1659, calc_rusacc!$C$15:$C$65, calc_rusacc!$BF$15:$BF$65, "",0), AND( F1659="Sealant", I1659="Accordion Screen"), _xlfn.XLOOKUP(C1659, calc_rusacc!$C$15:$C$65, calc_rusacc!$BJ$15:$BJ$65, "",0),  F1659="Sealant", _xlfn.XLOOKUP(C1659, dd_accsrycalc!$A$2:$A$51, dd_accsrycalc!$G$2:$G$51, "",0),  F1659&lt;&gt;"",L1659*_xlfn.XLOOKUP(1, (SKUs!$C$2:$C$10001=G1659)*(SKUs!$K$2:$K$10001=I1659),SKUs!$E$2:$E$10001)), 0),"")</f>
        <v/>
      </c>
      <c r="E1659" s="16" t="str">
        <f>_xlfn.XLOOKUP(F1659,dd_item!$B$2:$B$105,dd_item!$C$2:$C$105,"",0)</f>
        <v/>
      </c>
      <c r="F1659" s="16"/>
      <c r="G1659" s="16" cm="1">
        <f t="array" ref="G1659">IFERROR(_xlfn.XLOOKUP(1, (SKUs!$J$2:$J$10001=accsry_unmerged!F1659)*IF(H1659&lt;&gt;"",(SKUs!$L$2:$L$10001=accsry_unmerged!H1659),1)*(SKUs!$K$2:$K$10001=I1659),SKUs!$C$2:$C$10001),"")</f>
        <v>0</v>
      </c>
      <c r="H1659" s="33" cm="1">
        <f t="array" ref="H1659">IFERROR(_xlfn.XLOOKUP(1, (dd_accsryclr!$C$2:$C$1000=accsry_unmerged!F1659)*(dd_accsryclr!$B$2:$B$1000=accsry_unmerged!J1659),dd_accsryclr!$A$2:$A$1000),"")</f>
        <v>0</v>
      </c>
      <c r="I1659" s="16">
        <f>_xlfn.XLOOKUP(C1659,'Project Details'!$C$17:$C$66,'Project Details'!$E$17:$E$66,"",0)</f>
        <v>0</v>
      </c>
      <c r="J1659" s="16">
        <f>_xlfn.XLOOKUP(C1659,'Project Details'!$C$17:$C$66,'Project Details'!$H$17:$H$66,"",0)</f>
        <v>0</v>
      </c>
      <c r="K1659" s="33" t="str">
        <f>IF(AND(_xlfn.XLOOKUP(C1659,'Project Details'!$C$17:$C$66,'Project Details'!$L$17:$L$66,"",0)&gt;550, F1659="Spring-L27cm"),"",SUBSTITUTE(_xlfn.XLOOKUP(G1659,SKUs!$C$2:$C$10001,SKUs!$F$2:$F$10001,"",0), " Accessories",""))</f>
        <v/>
      </c>
      <c r="L1659" s="33">
        <f>_xlfn.XLOOKUP(C1659,'Project Details'!$C$17:$C$66,'Project Details'!$D$17:$D$66,"",0)</f>
        <v>0</v>
      </c>
      <c r="M1659" s="43"/>
    </row>
    <row r="1660" spans="1:13" ht="13.5" customHeight="1" outlineLevel="1" x14ac:dyDescent="0.25">
      <c r="A1660" s="43"/>
      <c r="B1660" s="43"/>
      <c r="C1660" s="35">
        <f t="shared" si="31"/>
        <v>33</v>
      </c>
      <c r="D1660" s="35" t="str" cm="1">
        <f t="array" ref="D1660">IFERROR(ROUNDUP(_xlfn.IFS(F1660="Aluminum Track", _xlfn.XLOOKUP(C1660, dd_accsrycalc!$A$2:$A$51, dd_accsrycalc!$B$2:$B$51, "",0), F1660="10 x 2 1/2 S (Flat)", _xlfn.XLOOKUP(C1660, dd_accsrycalc!$A$2:$A$51, dd_accsrycalc!$C$2:$C$51, "",0), F1660="Tox6", _xlfn.XLOOKUP(C1660, dd_accsrycalc!$A$2:$A$51, dd_accsrycalc!$D$2:$D$51, "",0), F1660="Cover Cap", _xlfn.XLOOKUP(C1660, dd_accsrycalc!$A$2:$A$51, dd_accsrycalc!$E$2:$E$51, "",0), F1660="Drainage Cover", _xlfn.XLOOKUP(C1660, dd_accsrycalc!$A$2:$A$51, dd_accsrycalc!$F$2:$F$51, "",0),AND( F1660="Double Adhesive Tape", I1660="Roll-up Screen"), _xlfn.XLOOKUP(C1660, calc_rusacc!$C$15:$C$65, calc_rusacc!$AD$15:$AD$65, "",0),AND( F1660="Sealant", I1660="Roll-up Screen"), _xlfn.XLOOKUP(C1660, calc_rusacc!$C$15:$C$65, calc_rusacc!$AF$15:$AF$65, "",0),  AND( F1660="Main Chain", I1660="Accordion Screen"), _xlfn.XLOOKUP(C1660, calc_rusacc!$C$15:$C$65, calc_rusacc!$BF$15:$BF$65, "",0), AND( F1660="Sealant", I1660="Accordion Screen"), _xlfn.XLOOKUP(C1660, calc_rusacc!$C$15:$C$65, calc_rusacc!$BJ$15:$BJ$65, "",0),  F1660="Sealant", _xlfn.XLOOKUP(C1660, dd_accsrycalc!$A$2:$A$51, dd_accsrycalc!$G$2:$G$51, "",0),  F1660&lt;&gt;"",L1660*_xlfn.XLOOKUP(1, (SKUs!$C$2:$C$10001=G1660)*(SKUs!$K$2:$K$10001=I1660),SKUs!$E$2:$E$10001)), 0),"")</f>
        <v/>
      </c>
      <c r="E1660" s="35" t="str">
        <f>_xlfn.XLOOKUP(F1660,dd_item!$B$2:$B$105,dd_item!$C$2:$C$105,"",0)</f>
        <v/>
      </c>
      <c r="F1660" s="35"/>
      <c r="G1660" s="35" cm="1">
        <f t="array" ref="G1660">IFERROR(_xlfn.XLOOKUP(1, (SKUs!$J$2:$J$10001=accsry_unmerged!F1660)*IF(H1660&lt;&gt;"",(SKUs!$L$2:$L$10001=accsry_unmerged!H1660),1)*(SKUs!$K$2:$K$10001=I1660),SKUs!$C$2:$C$10001),"")</f>
        <v>0</v>
      </c>
      <c r="H1660" s="36" cm="1">
        <f t="array" ref="H1660">IFERROR(_xlfn.XLOOKUP(1, (dd_accsryclr!$C$2:$C$1000=accsry_unmerged!F1660)*(dd_accsryclr!$B$2:$B$1000=accsry_unmerged!J1660),dd_accsryclr!$A$2:$A$1000),"")</f>
        <v>0</v>
      </c>
      <c r="I1660" s="35">
        <f>_xlfn.XLOOKUP(C1660,'Project Details'!$C$17:$C$66,'Project Details'!$E$17:$E$66,"",0)</f>
        <v>0</v>
      </c>
      <c r="J1660" s="35">
        <f>_xlfn.XLOOKUP(C1660,'Project Details'!$C$17:$C$66,'Project Details'!$H$17:$H$66,"",0)</f>
        <v>0</v>
      </c>
      <c r="K1660" s="36" t="str">
        <f>IF(AND(_xlfn.XLOOKUP(C1660,'Project Details'!$C$17:$C$66,'Project Details'!$L$17:$L$66,"",0)&gt;550, F1660="Spring-L27cm"),"",SUBSTITUTE(_xlfn.XLOOKUP(G1660,SKUs!$C$2:$C$10001,SKUs!$F$2:$F$10001,"",0), " Accessories",""))</f>
        <v/>
      </c>
      <c r="L1660" s="36">
        <f>_xlfn.XLOOKUP(C1660,'Project Details'!$C$17:$C$66,'Project Details'!$D$17:$D$66,"",0)</f>
        <v>0</v>
      </c>
      <c r="M1660" s="43"/>
    </row>
    <row r="1661" spans="1:13" ht="13.5" customHeight="1" outlineLevel="1" x14ac:dyDescent="0.25">
      <c r="A1661" s="43"/>
      <c r="B1661" s="43"/>
      <c r="C1661" s="16">
        <f t="shared" si="31"/>
        <v>33</v>
      </c>
      <c r="D1661" s="16" t="str" cm="1">
        <f t="array" ref="D1661">IFERROR(ROUNDUP(_xlfn.IFS(F1661="Aluminum Track", _xlfn.XLOOKUP(C1661, dd_accsrycalc!$A$2:$A$51, dd_accsrycalc!$B$2:$B$51, "",0), F1661="10 x 2 1/2 S (Flat)", _xlfn.XLOOKUP(C1661, dd_accsrycalc!$A$2:$A$51, dd_accsrycalc!$C$2:$C$51, "",0), F1661="Tox6", _xlfn.XLOOKUP(C1661, dd_accsrycalc!$A$2:$A$51, dd_accsrycalc!$D$2:$D$51, "",0), F1661="Cover Cap", _xlfn.XLOOKUP(C1661, dd_accsrycalc!$A$2:$A$51, dd_accsrycalc!$E$2:$E$51, "",0), F1661="Drainage Cover", _xlfn.XLOOKUP(C1661, dd_accsrycalc!$A$2:$A$51, dd_accsrycalc!$F$2:$F$51, "",0),AND( F1661="Double Adhesive Tape", I1661="Roll-up Screen"), _xlfn.XLOOKUP(C1661, calc_rusacc!$C$15:$C$65, calc_rusacc!$AD$15:$AD$65, "",0),AND( F1661="Sealant", I1661="Roll-up Screen"), _xlfn.XLOOKUP(C1661, calc_rusacc!$C$15:$C$65, calc_rusacc!$AF$15:$AF$65, "",0),  AND( F1661="Main Chain", I1661="Accordion Screen"), _xlfn.XLOOKUP(C1661, calc_rusacc!$C$15:$C$65, calc_rusacc!$BF$15:$BF$65, "",0), AND( F1661="Sealant", I1661="Accordion Screen"), _xlfn.XLOOKUP(C1661, calc_rusacc!$C$15:$C$65, calc_rusacc!$BJ$15:$BJ$65, "",0),  F1661="Sealant", _xlfn.XLOOKUP(C1661, dd_accsrycalc!$A$2:$A$51, dd_accsrycalc!$G$2:$G$51, "",0),  F1661&lt;&gt;"",L1661*_xlfn.XLOOKUP(1, (SKUs!$C$2:$C$10001=G1661)*(SKUs!$K$2:$K$10001=I1661),SKUs!$E$2:$E$10001)), 0),"")</f>
        <v/>
      </c>
      <c r="E1661" s="16" t="str">
        <f>_xlfn.XLOOKUP(F1661,dd_item!$B$2:$B$105,dd_item!$C$2:$C$105,"",0)</f>
        <v/>
      </c>
      <c r="F1661" s="16"/>
      <c r="G1661" s="16" cm="1">
        <f t="array" ref="G1661">IFERROR(_xlfn.XLOOKUP(1, (SKUs!$J$2:$J$10001=accsry_unmerged!F1661)*IF(H1661&lt;&gt;"",(SKUs!$L$2:$L$10001=accsry_unmerged!H1661),1)*(SKUs!$K$2:$K$10001=I1661),SKUs!$C$2:$C$10001),"")</f>
        <v>0</v>
      </c>
      <c r="H1661" s="33" cm="1">
        <f t="array" ref="H1661">IFERROR(_xlfn.XLOOKUP(1, (dd_accsryclr!$C$2:$C$1000=accsry_unmerged!F1661)*(dd_accsryclr!$B$2:$B$1000=accsry_unmerged!J1661),dd_accsryclr!$A$2:$A$1000),"")</f>
        <v>0</v>
      </c>
      <c r="I1661" s="16">
        <f>_xlfn.XLOOKUP(C1661,'Project Details'!$C$17:$C$66,'Project Details'!$E$17:$E$66,"",0)</f>
        <v>0</v>
      </c>
      <c r="J1661" s="16">
        <f>_xlfn.XLOOKUP(C1661,'Project Details'!$C$17:$C$66,'Project Details'!$H$17:$H$66,"",0)</f>
        <v>0</v>
      </c>
      <c r="K1661" s="33" t="str">
        <f>IF(AND(_xlfn.XLOOKUP(C1661,'Project Details'!$C$17:$C$66,'Project Details'!$L$17:$L$66,"",0)&gt;550, F1661="Spring-L27cm"),"",SUBSTITUTE(_xlfn.XLOOKUP(G1661,SKUs!$C$2:$C$10001,SKUs!$F$2:$F$10001,"",0), " Accessories",""))</f>
        <v/>
      </c>
      <c r="L1661" s="33">
        <f>_xlfn.XLOOKUP(C1661,'Project Details'!$C$17:$C$66,'Project Details'!$D$17:$D$66,"",0)</f>
        <v>0</v>
      </c>
      <c r="M1661" s="43"/>
    </row>
    <row r="1662" spans="1:13" ht="13.5" customHeight="1" outlineLevel="1" x14ac:dyDescent="0.25">
      <c r="A1662" s="43"/>
      <c r="B1662" s="43"/>
      <c r="C1662" s="35">
        <f t="shared" si="31"/>
        <v>33</v>
      </c>
      <c r="D1662" s="35" t="str" cm="1">
        <f t="array" ref="D1662">IFERROR(ROUNDUP(_xlfn.IFS(F1662="Aluminum Track", _xlfn.XLOOKUP(C1662, dd_accsrycalc!$A$2:$A$51, dd_accsrycalc!$B$2:$B$51, "",0), F1662="10 x 2 1/2 S (Flat)", _xlfn.XLOOKUP(C1662, dd_accsrycalc!$A$2:$A$51, dd_accsrycalc!$C$2:$C$51, "",0), F1662="Tox6", _xlfn.XLOOKUP(C1662, dd_accsrycalc!$A$2:$A$51, dd_accsrycalc!$D$2:$D$51, "",0), F1662="Cover Cap", _xlfn.XLOOKUP(C1662, dd_accsrycalc!$A$2:$A$51, dd_accsrycalc!$E$2:$E$51, "",0), F1662="Drainage Cover", _xlfn.XLOOKUP(C1662, dd_accsrycalc!$A$2:$A$51, dd_accsrycalc!$F$2:$F$51, "",0),AND( F1662="Double Adhesive Tape", I1662="Roll-up Screen"), _xlfn.XLOOKUP(C1662, calc_rusacc!$C$15:$C$65, calc_rusacc!$AD$15:$AD$65, "",0),AND( F1662="Sealant", I1662="Roll-up Screen"), _xlfn.XLOOKUP(C1662, calc_rusacc!$C$15:$C$65, calc_rusacc!$AF$15:$AF$65, "",0),  AND( F1662="Main Chain", I1662="Accordion Screen"), _xlfn.XLOOKUP(C1662, calc_rusacc!$C$15:$C$65, calc_rusacc!$BF$15:$BF$65, "",0), AND( F1662="Sealant", I1662="Accordion Screen"), _xlfn.XLOOKUP(C1662, calc_rusacc!$C$15:$C$65, calc_rusacc!$BJ$15:$BJ$65, "",0),  F1662="Sealant", _xlfn.XLOOKUP(C1662, dd_accsrycalc!$A$2:$A$51, dd_accsrycalc!$G$2:$G$51, "",0),  F1662&lt;&gt;"",L1662*_xlfn.XLOOKUP(1, (SKUs!$C$2:$C$10001=G1662)*(SKUs!$K$2:$K$10001=I1662),SKUs!$E$2:$E$10001)), 0),"")</f>
        <v/>
      </c>
      <c r="E1662" s="35" t="str">
        <f>_xlfn.XLOOKUP(F1662,dd_item!$B$2:$B$105,dd_item!$C$2:$C$105,"",0)</f>
        <v/>
      </c>
      <c r="F1662" s="35"/>
      <c r="G1662" s="35" cm="1">
        <f t="array" ref="G1662">IFERROR(_xlfn.XLOOKUP(1, (SKUs!$J$2:$J$10001=accsry_unmerged!F1662)*IF(H1662&lt;&gt;"",(SKUs!$L$2:$L$10001=accsry_unmerged!H1662),1)*(SKUs!$K$2:$K$10001=I1662),SKUs!$C$2:$C$10001),"")</f>
        <v>0</v>
      </c>
      <c r="H1662" s="36" cm="1">
        <f t="array" ref="H1662">IFERROR(_xlfn.XLOOKUP(1, (dd_accsryclr!$C$2:$C$1000=accsry_unmerged!F1662)*(dd_accsryclr!$B$2:$B$1000=accsry_unmerged!J1662),dd_accsryclr!$A$2:$A$1000),"")</f>
        <v>0</v>
      </c>
      <c r="I1662" s="35">
        <f>_xlfn.XLOOKUP(C1662,'Project Details'!$C$17:$C$66,'Project Details'!$E$17:$E$66,"",0)</f>
        <v>0</v>
      </c>
      <c r="J1662" s="35">
        <f>_xlfn.XLOOKUP(C1662,'Project Details'!$C$17:$C$66,'Project Details'!$H$17:$H$66,"",0)</f>
        <v>0</v>
      </c>
      <c r="K1662" s="36" t="str">
        <f>IF(AND(_xlfn.XLOOKUP(C1662,'Project Details'!$C$17:$C$66,'Project Details'!$L$17:$L$66,"",0)&gt;550, F1662="Spring-L27cm"),"",SUBSTITUTE(_xlfn.XLOOKUP(G1662,SKUs!$C$2:$C$10001,SKUs!$F$2:$F$10001,"",0), " Accessories",""))</f>
        <v/>
      </c>
      <c r="L1662" s="36">
        <f>_xlfn.XLOOKUP(C1662,'Project Details'!$C$17:$C$66,'Project Details'!$D$17:$D$66,"",0)</f>
        <v>0</v>
      </c>
      <c r="M1662" s="43"/>
    </row>
    <row r="1663" spans="1:13" ht="13.5" customHeight="1" outlineLevel="1" x14ac:dyDescent="0.25">
      <c r="A1663" s="43"/>
      <c r="B1663" s="43"/>
      <c r="C1663" s="16">
        <f t="shared" si="31"/>
        <v>33</v>
      </c>
      <c r="D1663" s="16" t="str" cm="1">
        <f t="array" ref="D1663">IFERROR(ROUNDUP(_xlfn.IFS(F1663="Aluminum Track", _xlfn.XLOOKUP(C1663, dd_accsrycalc!$A$2:$A$51, dd_accsrycalc!$B$2:$B$51, "",0), F1663="10 x 2 1/2 S (Flat)", _xlfn.XLOOKUP(C1663, dd_accsrycalc!$A$2:$A$51, dd_accsrycalc!$C$2:$C$51, "",0), F1663="Tox6", _xlfn.XLOOKUP(C1663, dd_accsrycalc!$A$2:$A$51, dd_accsrycalc!$D$2:$D$51, "",0), F1663="Cover Cap", _xlfn.XLOOKUP(C1663, dd_accsrycalc!$A$2:$A$51, dd_accsrycalc!$E$2:$E$51, "",0), F1663="Drainage Cover", _xlfn.XLOOKUP(C1663, dd_accsrycalc!$A$2:$A$51, dd_accsrycalc!$F$2:$F$51, "",0),AND( F1663="Double Adhesive Tape", I1663="Roll-up Screen"), _xlfn.XLOOKUP(C1663, calc_rusacc!$C$15:$C$65, calc_rusacc!$AD$15:$AD$65, "",0),AND( F1663="Sealant", I1663="Roll-up Screen"), _xlfn.XLOOKUP(C1663, calc_rusacc!$C$15:$C$65, calc_rusacc!$AF$15:$AF$65, "",0),  AND( F1663="Main Chain", I1663="Accordion Screen"), _xlfn.XLOOKUP(C1663, calc_rusacc!$C$15:$C$65, calc_rusacc!$BF$15:$BF$65, "",0), AND( F1663="Sealant", I1663="Accordion Screen"), _xlfn.XLOOKUP(C1663, calc_rusacc!$C$15:$C$65, calc_rusacc!$BJ$15:$BJ$65, "",0),  F1663="Sealant", _xlfn.XLOOKUP(C1663, dd_accsrycalc!$A$2:$A$51, dd_accsrycalc!$G$2:$G$51, "",0),  F1663&lt;&gt;"",L1663*_xlfn.XLOOKUP(1, (SKUs!$C$2:$C$10001=G1663)*(SKUs!$K$2:$K$10001=I1663),SKUs!$E$2:$E$10001)), 0),"")</f>
        <v/>
      </c>
      <c r="E1663" s="16" t="str">
        <f>_xlfn.XLOOKUP(F1663,dd_item!$B$2:$B$105,dd_item!$C$2:$C$105,"",0)</f>
        <v/>
      </c>
      <c r="F1663" s="16"/>
      <c r="G1663" s="16" cm="1">
        <f t="array" ref="G1663">IFERROR(_xlfn.XLOOKUP(1, (SKUs!$J$2:$J$10001=accsry_unmerged!F1663)*IF(H1663&lt;&gt;"",(SKUs!$L$2:$L$10001=accsry_unmerged!H1663),1)*(SKUs!$K$2:$K$10001=I1663),SKUs!$C$2:$C$10001),"")</f>
        <v>0</v>
      </c>
      <c r="H1663" s="33" cm="1">
        <f t="array" ref="H1663">IFERROR(_xlfn.XLOOKUP(1, (dd_accsryclr!$C$2:$C$1000=accsry_unmerged!F1663)*(dd_accsryclr!$B$2:$B$1000=accsry_unmerged!J1663),dd_accsryclr!$A$2:$A$1000),"")</f>
        <v>0</v>
      </c>
      <c r="I1663" s="16">
        <f>_xlfn.XLOOKUP(C1663,'Project Details'!$C$17:$C$66,'Project Details'!$E$17:$E$66,"",0)</f>
        <v>0</v>
      </c>
      <c r="J1663" s="16">
        <f>_xlfn.XLOOKUP(C1663,'Project Details'!$C$17:$C$66,'Project Details'!$H$17:$H$66,"",0)</f>
        <v>0</v>
      </c>
      <c r="K1663" s="33" t="str">
        <f>IF(AND(_xlfn.XLOOKUP(C1663,'Project Details'!$C$17:$C$66,'Project Details'!$L$17:$L$66,"",0)&gt;550, F1663="Spring-L27cm"),"",SUBSTITUTE(_xlfn.XLOOKUP(G1663,SKUs!$C$2:$C$10001,SKUs!$F$2:$F$10001,"",0), " Accessories",""))</f>
        <v/>
      </c>
      <c r="L1663" s="33">
        <f>_xlfn.XLOOKUP(C1663,'Project Details'!$C$17:$C$66,'Project Details'!$D$17:$D$66,"",0)</f>
        <v>0</v>
      </c>
      <c r="M1663" s="43"/>
    </row>
    <row r="1664" spans="1:13" x14ac:dyDescent="0.25">
      <c r="A1664" s="43"/>
      <c r="B1664" s="43"/>
      <c r="C1664" s="43"/>
      <c r="D1664" s="43"/>
      <c r="E1664" s="43"/>
      <c r="F1664" s="43"/>
      <c r="G1664" s="43"/>
      <c r="H1664" s="43"/>
      <c r="I1664" s="43"/>
      <c r="J1664" s="43"/>
      <c r="K1664" s="43"/>
      <c r="L1664" s="43"/>
      <c r="M1664" s="43"/>
    </row>
    <row r="1665" spans="1:13" x14ac:dyDescent="0.25">
      <c r="A1665" s="43"/>
      <c r="B1665" s="43"/>
      <c r="C1665" s="16">
        <f>C1663+1</f>
        <v>34</v>
      </c>
      <c r="D1665" s="48" cm="1">
        <f t="array" ref="D1665">IFERROR(ROUNDUP(_xlfn.IFS(F1665="Aluminum Track", _xlfn.XLOOKUP(C1665, dd_accsrycalc!$A$2:$A$51, dd_accsrycalc!$B$2:$B$51, "",0), F1665="10 x 2 1/2 S (Flat)", _xlfn.XLOOKUP(C1665, dd_accsrycalc!$A$2:$A$51, dd_accsrycalc!$C$2:$C$51, "",0), F1665="Tox6", _xlfn.XLOOKUP(C1665, dd_accsrycalc!$A$2:$A$51, dd_accsrycalc!$D$2:$D$51, "",0), F1665="Cover Cap", _xlfn.XLOOKUP(C1665, dd_accsrycalc!$A$2:$A$51, dd_accsrycalc!$E$2:$E$51, "",0), F1665="Drainage Cover", _xlfn.XLOOKUP(C1665, dd_accsrycalc!$A$2:$A$51, dd_accsrycalc!$F$2:$F$51, "",0),AND( F1665="Double Adhesive Tape", I1665="Roll-up Screen"), _xlfn.XLOOKUP(C1665, calc_rusacc!$C$15:$C$65, calc_rusacc!$AD$15:$AD$65, "",0),AND( F1665="Sealant", I1665="Roll-up Screen"), _xlfn.XLOOKUP(C1665, calc_rusacc!$C$15:$C$65, calc_rusacc!$AF$15:$AF$65, "",0),  AND( F1665="Main Chain", I1665="Accordion Screen"), _xlfn.XLOOKUP(C1665, calc_rusacc!$C$15:$C$65, calc_rusacc!$BF$15:$BF$65, "",0), AND( F1665="Sealant", I1665="Accordion Screen"), _xlfn.XLOOKUP(C1665, calc_rusacc!$C$15:$C$65, calc_rusacc!$BJ$15:$BJ$65, "",0),  F1665="Sealant", _xlfn.XLOOKUP(C1665, dd_accsrycalc!$A$2:$A$51, dd_accsrycalc!$G$2:$G$51, "",0),  F1665&lt;&gt;"",L1665*_xlfn.XLOOKUP(1, (SKUs!$C$2:$C$10001=G1665)*(SKUs!$K$2:$K$10001=I1665),SKUs!$E$2:$E$10001)), 0),"")</f>
        <v>0</v>
      </c>
      <c r="E1665" s="48" t="str">
        <f>_xlfn.XLOOKUP(F1665,dd_item!$B$2:$B$105,dd_item!$C$2:$C$105,"",0)</f>
        <v/>
      </c>
      <c r="F1665" s="48" cm="1">
        <f t="array" ref="F1665">IFERROR(_xlfn.UNIQUE(_xlfn._xlws.FILTER(SKUs!$J$2:$J$10001, (SKUs!$F$2:$F$10001&lt;&gt;"Cutting List") * (SKUs!$A$2:$A$10001=_xlfn.XLOOKUP(_xlfn.XLOOKUP(C1665,'Project Details'!$C$17:$C$66,'Project Details'!$E$17:$E$66,"",0), dd_design_raw!$A$2:$A$101,dd_design_raw!$C$2:$C$101,"",0)))), "")</f>
        <v>0</v>
      </c>
      <c r="G1665" s="16" cm="1">
        <f t="array" ref="G1665">IFERROR(_xlfn.XLOOKUP(1, (SKUs!$J$2:$J$10001=accsry_unmerged!F1665)*IF(H1665&lt;&gt;"",(SKUs!$L$2:$L$10001=accsry_unmerged!H1665),1)*(SKUs!$K$2:$K$10001=I1665),SKUs!$C$2:$C$10001),"")</f>
        <v>0</v>
      </c>
      <c r="H1665" s="16" cm="1">
        <f t="array" ref="H1665">IFERROR(_xlfn.XLOOKUP(1, (dd_accsryclr!$C$2:$C$1000=accsry_unmerged!F1665)*(dd_accsryclr!$B$2:$B$1000=accsry_unmerged!J1665),dd_accsryclr!$A$2:$A$1000),"")</f>
        <v>0</v>
      </c>
      <c r="I1665" s="16">
        <f>_xlfn.XLOOKUP(C1665,'Project Details'!$C$17:$C$66,'Project Details'!$E$17:$E$66,"",0)</f>
        <v>0</v>
      </c>
      <c r="J1665" s="16">
        <f>_xlfn.XLOOKUP(C1665,'Project Details'!$C$17:$C$66,'Project Details'!$H$17:$H$66,"",0)</f>
        <v>0</v>
      </c>
      <c r="K1665" s="16" t="str">
        <f>IF(AND(_xlfn.XLOOKUP(C1665,'Project Details'!$C$17:$C$66,'Project Details'!$L$17:$L$66,"",0)&gt;550, F1665="Spring-L27cm"),"",SUBSTITUTE(_xlfn.XLOOKUP(G1665,SKUs!$C$2:$C$10001,SKUs!$F$2:$F$10001,"",0), " Accessories",""))</f>
        <v/>
      </c>
      <c r="L1665" s="16">
        <f>_xlfn.XLOOKUP(C1665,'Project Details'!$C$17:$C$66,'Project Details'!$D$17:$D$66,"",0)</f>
        <v>0</v>
      </c>
      <c r="M1665" s="43"/>
    </row>
    <row r="1666" spans="1:13" x14ac:dyDescent="0.25">
      <c r="A1666" s="43"/>
      <c r="B1666" s="43"/>
      <c r="C1666" s="35">
        <f>C1665</f>
        <v>34</v>
      </c>
      <c r="D1666" s="35" t="str" cm="1">
        <f t="array" ref="D1666">IFERROR(ROUNDUP(_xlfn.IFS(F1666="Aluminum Track", _xlfn.XLOOKUP(C1666, dd_accsrycalc!$A$2:$A$51, dd_accsrycalc!$B$2:$B$51, "",0), F1666="10 x 2 1/2 S (Flat)", _xlfn.XLOOKUP(C1666, dd_accsrycalc!$A$2:$A$51, dd_accsrycalc!$C$2:$C$51, "",0), F1666="Tox6", _xlfn.XLOOKUP(C1666, dd_accsrycalc!$A$2:$A$51, dd_accsrycalc!$D$2:$D$51, "",0), F1666="Cover Cap", _xlfn.XLOOKUP(C1666, dd_accsrycalc!$A$2:$A$51, dd_accsrycalc!$E$2:$E$51, "",0), F1666="Drainage Cover", _xlfn.XLOOKUP(C1666, dd_accsrycalc!$A$2:$A$51, dd_accsrycalc!$F$2:$F$51, "",0),AND( F1666="Double Adhesive Tape", I1666="Roll-up Screen"), _xlfn.XLOOKUP(C1666, calc_rusacc!$C$15:$C$65, calc_rusacc!$AD$15:$AD$65, "",0),AND( F1666="Sealant", I1666="Roll-up Screen"), _xlfn.XLOOKUP(C1666, calc_rusacc!$C$15:$C$65, calc_rusacc!$AF$15:$AF$65, "",0),  AND( F1666="Main Chain", I1666="Accordion Screen"), _xlfn.XLOOKUP(C1666, calc_rusacc!$C$15:$C$65, calc_rusacc!$BF$15:$BF$65, "",0), AND( F1666="Sealant", I1666="Accordion Screen"), _xlfn.XLOOKUP(C1666, calc_rusacc!$C$15:$C$65, calc_rusacc!$BJ$15:$BJ$65, "",0),  F1666="Sealant", _xlfn.XLOOKUP(C1666, dd_accsrycalc!$A$2:$A$51, dd_accsrycalc!$G$2:$G$51, "",0),  F1666&lt;&gt;"",L1666*_xlfn.XLOOKUP(1, (SKUs!$C$2:$C$10001=G1666)*(SKUs!$K$2:$K$10001=I1666),SKUs!$E$2:$E$10001)), 0),"")</f>
        <v/>
      </c>
      <c r="E1666" s="35" t="str">
        <f>_xlfn.XLOOKUP(F1666,dd_item!$B$2:$B$105,dd_item!$C$2:$C$105,"",0)</f>
        <v/>
      </c>
      <c r="F1666" s="35"/>
      <c r="G1666" s="35" cm="1">
        <f t="array" ref="G1666">IFERROR(_xlfn.XLOOKUP(1, (SKUs!$J$2:$J$10001=accsry_unmerged!F1666)*IF(H1666&lt;&gt;"",(SKUs!$L$2:$L$10001=accsry_unmerged!H1666),1)*(SKUs!$K$2:$K$10001=I1666),SKUs!$C$2:$C$10001),"")</f>
        <v>0</v>
      </c>
      <c r="H1666" s="36" cm="1">
        <f t="array" ref="H1666">IFERROR(_xlfn.XLOOKUP(1, (dd_accsryclr!$C$2:$C$1000=accsry_unmerged!F1666)*(dd_accsryclr!$B$2:$B$1000=accsry_unmerged!J1666),dd_accsryclr!$A$2:$A$1000),"")</f>
        <v>0</v>
      </c>
      <c r="I1666" s="35">
        <f>_xlfn.XLOOKUP(C1666,'Project Details'!$C$17:$C$66,'Project Details'!$E$17:$E$66,"",0)</f>
        <v>0</v>
      </c>
      <c r="J1666" s="35">
        <f>_xlfn.XLOOKUP(C1666,'Project Details'!$C$17:$C$66,'Project Details'!$H$17:$H$66,"",0)</f>
        <v>0</v>
      </c>
      <c r="K1666" s="36" t="str">
        <f>IF(AND(_xlfn.XLOOKUP(C1666,'Project Details'!$C$17:$C$66,'Project Details'!$L$17:$L$66,"",0)&gt;550, F1666="Spring-L27cm"),"",SUBSTITUTE(_xlfn.XLOOKUP(G1666,SKUs!$C$2:$C$10001,SKUs!$F$2:$F$10001,"",0), " Accessories",""))</f>
        <v/>
      </c>
      <c r="L1666" s="36">
        <f>_xlfn.XLOOKUP(C1666,'Project Details'!$C$17:$C$66,'Project Details'!$D$17:$D$66,"",0)</f>
        <v>0</v>
      </c>
      <c r="M1666" s="43"/>
    </row>
    <row r="1667" spans="1:13" x14ac:dyDescent="0.25">
      <c r="A1667" s="43"/>
      <c r="B1667" s="43"/>
      <c r="C1667" s="16">
        <f t="shared" ref="C1667:C1713" si="32">C1666</f>
        <v>34</v>
      </c>
      <c r="D1667" s="16" t="str" cm="1">
        <f t="array" ref="D1667">IFERROR(ROUNDUP(_xlfn.IFS(F1667="Aluminum Track", _xlfn.XLOOKUP(C1667, dd_accsrycalc!$A$2:$A$51, dd_accsrycalc!$B$2:$B$51, "",0), F1667="10 x 2 1/2 S (Flat)", _xlfn.XLOOKUP(C1667, dd_accsrycalc!$A$2:$A$51, dd_accsrycalc!$C$2:$C$51, "",0), F1667="Tox6", _xlfn.XLOOKUP(C1667, dd_accsrycalc!$A$2:$A$51, dd_accsrycalc!$D$2:$D$51, "",0), F1667="Cover Cap", _xlfn.XLOOKUP(C1667, dd_accsrycalc!$A$2:$A$51, dd_accsrycalc!$E$2:$E$51, "",0), F1667="Drainage Cover", _xlfn.XLOOKUP(C1667, dd_accsrycalc!$A$2:$A$51, dd_accsrycalc!$F$2:$F$51, "",0),AND( F1667="Double Adhesive Tape", I1667="Roll-up Screen"), _xlfn.XLOOKUP(C1667, calc_rusacc!$C$15:$C$65, calc_rusacc!$AD$15:$AD$65, "",0),AND( F1667="Sealant", I1667="Roll-up Screen"), _xlfn.XLOOKUP(C1667, calc_rusacc!$C$15:$C$65, calc_rusacc!$AF$15:$AF$65, "",0),  AND( F1667="Main Chain", I1667="Accordion Screen"), _xlfn.XLOOKUP(C1667, calc_rusacc!$C$15:$C$65, calc_rusacc!$BF$15:$BF$65, "",0), AND( F1667="Sealant", I1667="Accordion Screen"), _xlfn.XLOOKUP(C1667, calc_rusacc!$C$15:$C$65, calc_rusacc!$BJ$15:$BJ$65, "",0),  F1667="Sealant", _xlfn.XLOOKUP(C1667, dd_accsrycalc!$A$2:$A$51, dd_accsrycalc!$G$2:$G$51, "",0),  F1667&lt;&gt;"",L1667*_xlfn.XLOOKUP(1, (SKUs!$C$2:$C$10001=G1667)*(SKUs!$K$2:$K$10001=I1667),SKUs!$E$2:$E$10001)), 0),"")</f>
        <v/>
      </c>
      <c r="E1667" s="16" t="str">
        <f>_xlfn.XLOOKUP(F1667,dd_item!$B$2:$B$105,dd_item!$C$2:$C$105,"",0)</f>
        <v/>
      </c>
      <c r="F1667" s="16"/>
      <c r="G1667" s="16" cm="1">
        <f t="array" ref="G1667">IFERROR(_xlfn.XLOOKUP(1, (SKUs!$J$2:$J$10001=accsry_unmerged!F1667)*IF(H1667&lt;&gt;"",(SKUs!$L$2:$L$10001=accsry_unmerged!H1667),1)*(SKUs!$K$2:$K$10001=I1667),SKUs!$C$2:$C$10001),"")</f>
        <v>0</v>
      </c>
      <c r="H1667" s="33" cm="1">
        <f t="array" ref="H1667">IFERROR(_xlfn.XLOOKUP(1, (dd_accsryclr!$C$2:$C$1000=accsry_unmerged!F1667)*(dd_accsryclr!$B$2:$B$1000=accsry_unmerged!J1667),dd_accsryclr!$A$2:$A$1000),"")</f>
        <v>0</v>
      </c>
      <c r="I1667" s="16">
        <f>_xlfn.XLOOKUP(C1667,'Project Details'!$C$17:$C$66,'Project Details'!$E$17:$E$66,"",0)</f>
        <v>0</v>
      </c>
      <c r="J1667" s="16">
        <f>_xlfn.XLOOKUP(C1667,'Project Details'!$C$17:$C$66,'Project Details'!$H$17:$H$66,"",0)</f>
        <v>0</v>
      </c>
      <c r="K1667" s="33" t="str">
        <f>IF(AND(_xlfn.XLOOKUP(C1667,'Project Details'!$C$17:$C$66,'Project Details'!$L$17:$L$66,"",0)&gt;550, F1667="Spring-L27cm"),"",SUBSTITUTE(_xlfn.XLOOKUP(G1667,SKUs!$C$2:$C$10001,SKUs!$F$2:$F$10001,"",0), " Accessories",""))</f>
        <v/>
      </c>
      <c r="L1667" s="33">
        <f>_xlfn.XLOOKUP(C1667,'Project Details'!$C$17:$C$66,'Project Details'!$D$17:$D$66,"",0)</f>
        <v>0</v>
      </c>
      <c r="M1667" s="43"/>
    </row>
    <row r="1668" spans="1:13" x14ac:dyDescent="0.25">
      <c r="A1668" s="43"/>
      <c r="B1668" s="43"/>
      <c r="C1668" s="35">
        <f t="shared" si="32"/>
        <v>34</v>
      </c>
      <c r="D1668" s="35" t="str" cm="1">
        <f t="array" ref="D1668">IFERROR(ROUNDUP(_xlfn.IFS(F1668="Aluminum Track", _xlfn.XLOOKUP(C1668, dd_accsrycalc!$A$2:$A$51, dd_accsrycalc!$B$2:$B$51, "",0), F1668="10 x 2 1/2 S (Flat)", _xlfn.XLOOKUP(C1668, dd_accsrycalc!$A$2:$A$51, dd_accsrycalc!$C$2:$C$51, "",0), F1668="Tox6", _xlfn.XLOOKUP(C1668, dd_accsrycalc!$A$2:$A$51, dd_accsrycalc!$D$2:$D$51, "",0), F1668="Cover Cap", _xlfn.XLOOKUP(C1668, dd_accsrycalc!$A$2:$A$51, dd_accsrycalc!$E$2:$E$51, "",0), F1668="Drainage Cover", _xlfn.XLOOKUP(C1668, dd_accsrycalc!$A$2:$A$51, dd_accsrycalc!$F$2:$F$51, "",0),AND( F1668="Double Adhesive Tape", I1668="Roll-up Screen"), _xlfn.XLOOKUP(C1668, calc_rusacc!$C$15:$C$65, calc_rusacc!$AD$15:$AD$65, "",0),AND( F1668="Sealant", I1668="Roll-up Screen"), _xlfn.XLOOKUP(C1668, calc_rusacc!$C$15:$C$65, calc_rusacc!$AF$15:$AF$65, "",0),  AND( F1668="Main Chain", I1668="Accordion Screen"), _xlfn.XLOOKUP(C1668, calc_rusacc!$C$15:$C$65, calc_rusacc!$BF$15:$BF$65, "",0), AND( F1668="Sealant", I1668="Accordion Screen"), _xlfn.XLOOKUP(C1668, calc_rusacc!$C$15:$C$65, calc_rusacc!$BJ$15:$BJ$65, "",0),  F1668="Sealant", _xlfn.XLOOKUP(C1668, dd_accsrycalc!$A$2:$A$51, dd_accsrycalc!$G$2:$G$51, "",0),  F1668&lt;&gt;"",L1668*_xlfn.XLOOKUP(1, (SKUs!$C$2:$C$10001=G1668)*(SKUs!$K$2:$K$10001=I1668),SKUs!$E$2:$E$10001)), 0),"")</f>
        <v/>
      </c>
      <c r="E1668" s="35" t="str">
        <f>_xlfn.XLOOKUP(F1668,dd_item!$B$2:$B$105,dd_item!$C$2:$C$105,"",0)</f>
        <v/>
      </c>
      <c r="F1668" s="35"/>
      <c r="G1668" s="35" cm="1">
        <f t="array" ref="G1668">IFERROR(_xlfn.XLOOKUP(1, (SKUs!$J$2:$J$10001=accsry_unmerged!F1668)*IF(H1668&lt;&gt;"",(SKUs!$L$2:$L$10001=accsry_unmerged!H1668),1)*(SKUs!$K$2:$K$10001=I1668),SKUs!$C$2:$C$10001),"")</f>
        <v>0</v>
      </c>
      <c r="H1668" s="36" cm="1">
        <f t="array" ref="H1668">IFERROR(_xlfn.XLOOKUP(1, (dd_accsryclr!$C$2:$C$1000=accsry_unmerged!F1668)*(dd_accsryclr!$B$2:$B$1000=accsry_unmerged!J1668),dd_accsryclr!$A$2:$A$1000),"")</f>
        <v>0</v>
      </c>
      <c r="I1668" s="35">
        <f>_xlfn.XLOOKUP(C1668,'Project Details'!$C$17:$C$66,'Project Details'!$E$17:$E$66,"",0)</f>
        <v>0</v>
      </c>
      <c r="J1668" s="35">
        <f>_xlfn.XLOOKUP(C1668,'Project Details'!$C$17:$C$66,'Project Details'!$H$17:$H$66,"",0)</f>
        <v>0</v>
      </c>
      <c r="K1668" s="36" t="str">
        <f>IF(AND(_xlfn.XLOOKUP(C1668,'Project Details'!$C$17:$C$66,'Project Details'!$L$17:$L$66,"",0)&gt;550, F1668="Spring-L27cm"),"",SUBSTITUTE(_xlfn.XLOOKUP(G1668,SKUs!$C$2:$C$10001,SKUs!$F$2:$F$10001,"",0), " Accessories",""))</f>
        <v/>
      </c>
      <c r="L1668" s="36">
        <f>_xlfn.XLOOKUP(C1668,'Project Details'!$C$17:$C$66,'Project Details'!$D$17:$D$66,"",0)</f>
        <v>0</v>
      </c>
      <c r="M1668" s="43"/>
    </row>
    <row r="1669" spans="1:13" x14ac:dyDescent="0.25">
      <c r="A1669" s="43"/>
      <c r="B1669" s="43"/>
      <c r="C1669" s="16">
        <f t="shared" si="32"/>
        <v>34</v>
      </c>
      <c r="D1669" s="16" t="str" cm="1">
        <f t="array" ref="D1669">IFERROR(ROUNDUP(_xlfn.IFS(F1669="Aluminum Track", _xlfn.XLOOKUP(C1669, dd_accsrycalc!$A$2:$A$51, dd_accsrycalc!$B$2:$B$51, "",0), F1669="10 x 2 1/2 S (Flat)", _xlfn.XLOOKUP(C1669, dd_accsrycalc!$A$2:$A$51, dd_accsrycalc!$C$2:$C$51, "",0), F1669="Tox6", _xlfn.XLOOKUP(C1669, dd_accsrycalc!$A$2:$A$51, dd_accsrycalc!$D$2:$D$51, "",0), F1669="Cover Cap", _xlfn.XLOOKUP(C1669, dd_accsrycalc!$A$2:$A$51, dd_accsrycalc!$E$2:$E$51, "",0), F1669="Drainage Cover", _xlfn.XLOOKUP(C1669, dd_accsrycalc!$A$2:$A$51, dd_accsrycalc!$F$2:$F$51, "",0),AND( F1669="Double Adhesive Tape", I1669="Roll-up Screen"), _xlfn.XLOOKUP(C1669, calc_rusacc!$C$15:$C$65, calc_rusacc!$AD$15:$AD$65, "",0),AND( F1669="Sealant", I1669="Roll-up Screen"), _xlfn.XLOOKUP(C1669, calc_rusacc!$C$15:$C$65, calc_rusacc!$AF$15:$AF$65, "",0),  AND( F1669="Main Chain", I1669="Accordion Screen"), _xlfn.XLOOKUP(C1669, calc_rusacc!$C$15:$C$65, calc_rusacc!$BF$15:$BF$65, "",0), AND( F1669="Sealant", I1669="Accordion Screen"), _xlfn.XLOOKUP(C1669, calc_rusacc!$C$15:$C$65, calc_rusacc!$BJ$15:$BJ$65, "",0),  F1669="Sealant", _xlfn.XLOOKUP(C1669, dd_accsrycalc!$A$2:$A$51, dd_accsrycalc!$G$2:$G$51, "",0),  F1669&lt;&gt;"",L1669*_xlfn.XLOOKUP(1, (SKUs!$C$2:$C$10001=G1669)*(SKUs!$K$2:$K$10001=I1669),SKUs!$E$2:$E$10001)), 0),"")</f>
        <v/>
      </c>
      <c r="E1669" s="16" t="str">
        <f>_xlfn.XLOOKUP(F1669,dd_item!$B$2:$B$105,dd_item!$C$2:$C$105,"",0)</f>
        <v/>
      </c>
      <c r="F1669" s="16"/>
      <c r="G1669" s="16" cm="1">
        <f t="array" ref="G1669">IFERROR(_xlfn.XLOOKUP(1, (SKUs!$J$2:$J$10001=accsry_unmerged!F1669)*IF(H1669&lt;&gt;"",(SKUs!$L$2:$L$10001=accsry_unmerged!H1669),1)*(SKUs!$K$2:$K$10001=I1669),SKUs!$C$2:$C$10001),"")</f>
        <v>0</v>
      </c>
      <c r="H1669" s="33" cm="1">
        <f t="array" ref="H1669">IFERROR(_xlfn.XLOOKUP(1, (dd_accsryclr!$C$2:$C$1000=accsry_unmerged!F1669)*(dd_accsryclr!$B$2:$B$1000=accsry_unmerged!J1669),dd_accsryclr!$A$2:$A$1000),"")</f>
        <v>0</v>
      </c>
      <c r="I1669" s="16">
        <f>_xlfn.XLOOKUP(C1669,'Project Details'!$C$17:$C$66,'Project Details'!$E$17:$E$66,"",0)</f>
        <v>0</v>
      </c>
      <c r="J1669" s="16">
        <f>_xlfn.XLOOKUP(C1669,'Project Details'!$C$17:$C$66,'Project Details'!$H$17:$H$66,"",0)</f>
        <v>0</v>
      </c>
      <c r="K1669" s="33" t="str">
        <f>IF(AND(_xlfn.XLOOKUP(C1669,'Project Details'!$C$17:$C$66,'Project Details'!$L$17:$L$66,"",0)&gt;550, F1669="Spring-L27cm"),"",SUBSTITUTE(_xlfn.XLOOKUP(G1669,SKUs!$C$2:$C$10001,SKUs!$F$2:$F$10001,"",0), " Accessories",""))</f>
        <v/>
      </c>
      <c r="L1669" s="33">
        <f>_xlfn.XLOOKUP(C1669,'Project Details'!$C$17:$C$66,'Project Details'!$D$17:$D$66,"",0)</f>
        <v>0</v>
      </c>
      <c r="M1669" s="43"/>
    </row>
    <row r="1670" spans="1:13" x14ac:dyDescent="0.25">
      <c r="A1670" s="43"/>
      <c r="B1670" s="43"/>
      <c r="C1670" s="35">
        <f t="shared" si="32"/>
        <v>34</v>
      </c>
      <c r="D1670" s="35" t="str" cm="1">
        <f t="array" ref="D1670">IFERROR(ROUNDUP(_xlfn.IFS(F1670="Aluminum Track", _xlfn.XLOOKUP(C1670, dd_accsrycalc!$A$2:$A$51, dd_accsrycalc!$B$2:$B$51, "",0), F1670="10 x 2 1/2 S (Flat)", _xlfn.XLOOKUP(C1670, dd_accsrycalc!$A$2:$A$51, dd_accsrycalc!$C$2:$C$51, "",0), F1670="Tox6", _xlfn.XLOOKUP(C1670, dd_accsrycalc!$A$2:$A$51, dd_accsrycalc!$D$2:$D$51, "",0), F1670="Cover Cap", _xlfn.XLOOKUP(C1670, dd_accsrycalc!$A$2:$A$51, dd_accsrycalc!$E$2:$E$51, "",0), F1670="Drainage Cover", _xlfn.XLOOKUP(C1670, dd_accsrycalc!$A$2:$A$51, dd_accsrycalc!$F$2:$F$51, "",0),AND( F1670="Double Adhesive Tape", I1670="Roll-up Screen"), _xlfn.XLOOKUP(C1670, calc_rusacc!$C$15:$C$65, calc_rusacc!$AD$15:$AD$65, "",0),AND( F1670="Sealant", I1670="Roll-up Screen"), _xlfn.XLOOKUP(C1670, calc_rusacc!$C$15:$C$65, calc_rusacc!$AF$15:$AF$65, "",0),  AND( F1670="Main Chain", I1670="Accordion Screen"), _xlfn.XLOOKUP(C1670, calc_rusacc!$C$15:$C$65, calc_rusacc!$BF$15:$BF$65, "",0), AND( F1670="Sealant", I1670="Accordion Screen"), _xlfn.XLOOKUP(C1670, calc_rusacc!$C$15:$C$65, calc_rusacc!$BJ$15:$BJ$65, "",0),  F1670="Sealant", _xlfn.XLOOKUP(C1670, dd_accsrycalc!$A$2:$A$51, dd_accsrycalc!$G$2:$G$51, "",0),  F1670&lt;&gt;"",L1670*_xlfn.XLOOKUP(1, (SKUs!$C$2:$C$10001=G1670)*(SKUs!$K$2:$K$10001=I1670),SKUs!$E$2:$E$10001)), 0),"")</f>
        <v/>
      </c>
      <c r="E1670" s="35" t="str">
        <f>_xlfn.XLOOKUP(F1670,dd_item!$B$2:$B$105,dd_item!$C$2:$C$105,"",0)</f>
        <v/>
      </c>
      <c r="F1670" s="35"/>
      <c r="G1670" s="35" cm="1">
        <f t="array" ref="G1670">IFERROR(_xlfn.XLOOKUP(1, (SKUs!$J$2:$J$10001=accsry_unmerged!F1670)*IF(H1670&lt;&gt;"",(SKUs!$L$2:$L$10001=accsry_unmerged!H1670),1)*(SKUs!$K$2:$K$10001=I1670),SKUs!$C$2:$C$10001),"")</f>
        <v>0</v>
      </c>
      <c r="H1670" s="36" cm="1">
        <f t="array" ref="H1670">IFERROR(_xlfn.XLOOKUP(1, (dd_accsryclr!$C$2:$C$1000=accsry_unmerged!F1670)*(dd_accsryclr!$B$2:$B$1000=accsry_unmerged!J1670),dd_accsryclr!$A$2:$A$1000),"")</f>
        <v>0</v>
      </c>
      <c r="I1670" s="35">
        <f>_xlfn.XLOOKUP(C1670,'Project Details'!$C$17:$C$66,'Project Details'!$E$17:$E$66,"",0)</f>
        <v>0</v>
      </c>
      <c r="J1670" s="35">
        <f>_xlfn.XLOOKUP(C1670,'Project Details'!$C$17:$C$66,'Project Details'!$H$17:$H$66,"",0)</f>
        <v>0</v>
      </c>
      <c r="K1670" s="36" t="str">
        <f>IF(AND(_xlfn.XLOOKUP(C1670,'Project Details'!$C$17:$C$66,'Project Details'!$L$17:$L$66,"",0)&gt;550, F1670="Spring-L27cm"),"",SUBSTITUTE(_xlfn.XLOOKUP(G1670,SKUs!$C$2:$C$10001,SKUs!$F$2:$F$10001,"",0), " Accessories",""))</f>
        <v/>
      </c>
      <c r="L1670" s="36">
        <f>_xlfn.XLOOKUP(C1670,'Project Details'!$C$17:$C$66,'Project Details'!$D$17:$D$66,"",0)</f>
        <v>0</v>
      </c>
      <c r="M1670" s="43"/>
    </row>
    <row r="1671" spans="1:13" x14ac:dyDescent="0.25">
      <c r="A1671" s="43"/>
      <c r="B1671" s="43"/>
      <c r="C1671" s="16">
        <f t="shared" si="32"/>
        <v>34</v>
      </c>
      <c r="D1671" s="16" t="str" cm="1">
        <f t="array" ref="D1671">IFERROR(ROUNDUP(_xlfn.IFS(F1671="Aluminum Track", _xlfn.XLOOKUP(C1671, dd_accsrycalc!$A$2:$A$51, dd_accsrycalc!$B$2:$B$51, "",0), F1671="10 x 2 1/2 S (Flat)", _xlfn.XLOOKUP(C1671, dd_accsrycalc!$A$2:$A$51, dd_accsrycalc!$C$2:$C$51, "",0), F1671="Tox6", _xlfn.XLOOKUP(C1671, dd_accsrycalc!$A$2:$A$51, dd_accsrycalc!$D$2:$D$51, "",0), F1671="Cover Cap", _xlfn.XLOOKUP(C1671, dd_accsrycalc!$A$2:$A$51, dd_accsrycalc!$E$2:$E$51, "",0), F1671="Drainage Cover", _xlfn.XLOOKUP(C1671, dd_accsrycalc!$A$2:$A$51, dd_accsrycalc!$F$2:$F$51, "",0),AND( F1671="Double Adhesive Tape", I1671="Roll-up Screen"), _xlfn.XLOOKUP(C1671, calc_rusacc!$C$15:$C$65, calc_rusacc!$AD$15:$AD$65, "",0),AND( F1671="Sealant", I1671="Roll-up Screen"), _xlfn.XLOOKUP(C1671, calc_rusacc!$C$15:$C$65, calc_rusacc!$AF$15:$AF$65, "",0),  AND( F1671="Main Chain", I1671="Accordion Screen"), _xlfn.XLOOKUP(C1671, calc_rusacc!$C$15:$C$65, calc_rusacc!$BF$15:$BF$65, "",0), AND( F1671="Sealant", I1671="Accordion Screen"), _xlfn.XLOOKUP(C1671, calc_rusacc!$C$15:$C$65, calc_rusacc!$BJ$15:$BJ$65, "",0),  F1671="Sealant", _xlfn.XLOOKUP(C1671, dd_accsrycalc!$A$2:$A$51, dd_accsrycalc!$G$2:$G$51, "",0),  F1671&lt;&gt;"",L1671*_xlfn.XLOOKUP(1, (SKUs!$C$2:$C$10001=G1671)*(SKUs!$K$2:$K$10001=I1671),SKUs!$E$2:$E$10001)), 0),"")</f>
        <v/>
      </c>
      <c r="E1671" s="16" t="str">
        <f>_xlfn.XLOOKUP(F1671,dd_item!$B$2:$B$105,dd_item!$C$2:$C$105,"",0)</f>
        <v/>
      </c>
      <c r="F1671" s="16"/>
      <c r="G1671" s="16" cm="1">
        <f t="array" ref="G1671">IFERROR(_xlfn.XLOOKUP(1, (SKUs!$J$2:$J$10001=accsry_unmerged!F1671)*IF(H1671&lt;&gt;"",(SKUs!$L$2:$L$10001=accsry_unmerged!H1671),1)*(SKUs!$K$2:$K$10001=I1671),SKUs!$C$2:$C$10001),"")</f>
        <v>0</v>
      </c>
      <c r="H1671" s="33" cm="1">
        <f t="array" ref="H1671">IFERROR(_xlfn.XLOOKUP(1, (dd_accsryclr!$C$2:$C$1000=accsry_unmerged!F1671)*(dd_accsryclr!$B$2:$B$1000=accsry_unmerged!J1671),dd_accsryclr!$A$2:$A$1000),"")</f>
        <v>0</v>
      </c>
      <c r="I1671" s="16">
        <f>_xlfn.XLOOKUP(C1671,'Project Details'!$C$17:$C$66,'Project Details'!$E$17:$E$66,"",0)</f>
        <v>0</v>
      </c>
      <c r="J1671" s="16">
        <f>_xlfn.XLOOKUP(C1671,'Project Details'!$C$17:$C$66,'Project Details'!$H$17:$H$66,"",0)</f>
        <v>0</v>
      </c>
      <c r="K1671" s="33" t="str">
        <f>IF(AND(_xlfn.XLOOKUP(C1671,'Project Details'!$C$17:$C$66,'Project Details'!$L$17:$L$66,"",0)&gt;550, F1671="Spring-L27cm"),"",SUBSTITUTE(_xlfn.XLOOKUP(G1671,SKUs!$C$2:$C$10001,SKUs!$F$2:$F$10001,"",0), " Accessories",""))</f>
        <v/>
      </c>
      <c r="L1671" s="33">
        <f>_xlfn.XLOOKUP(C1671,'Project Details'!$C$17:$C$66,'Project Details'!$D$17:$D$66,"",0)</f>
        <v>0</v>
      </c>
      <c r="M1671" s="43"/>
    </row>
    <row r="1672" spans="1:13" x14ac:dyDescent="0.25">
      <c r="A1672" s="43"/>
      <c r="B1672" s="43"/>
      <c r="C1672" s="35">
        <f t="shared" si="32"/>
        <v>34</v>
      </c>
      <c r="D1672" s="35" t="str" cm="1">
        <f t="array" ref="D1672">IFERROR(ROUNDUP(_xlfn.IFS(F1672="Aluminum Track", _xlfn.XLOOKUP(C1672, dd_accsrycalc!$A$2:$A$51, dd_accsrycalc!$B$2:$B$51, "",0), F1672="10 x 2 1/2 S (Flat)", _xlfn.XLOOKUP(C1672, dd_accsrycalc!$A$2:$A$51, dd_accsrycalc!$C$2:$C$51, "",0), F1672="Tox6", _xlfn.XLOOKUP(C1672, dd_accsrycalc!$A$2:$A$51, dd_accsrycalc!$D$2:$D$51, "",0), F1672="Cover Cap", _xlfn.XLOOKUP(C1672, dd_accsrycalc!$A$2:$A$51, dd_accsrycalc!$E$2:$E$51, "",0), F1672="Drainage Cover", _xlfn.XLOOKUP(C1672, dd_accsrycalc!$A$2:$A$51, dd_accsrycalc!$F$2:$F$51, "",0),AND( F1672="Double Adhesive Tape", I1672="Roll-up Screen"), _xlfn.XLOOKUP(C1672, calc_rusacc!$C$15:$C$65, calc_rusacc!$AD$15:$AD$65, "",0),AND( F1672="Sealant", I1672="Roll-up Screen"), _xlfn.XLOOKUP(C1672, calc_rusacc!$C$15:$C$65, calc_rusacc!$AF$15:$AF$65, "",0),  AND( F1672="Main Chain", I1672="Accordion Screen"), _xlfn.XLOOKUP(C1672, calc_rusacc!$C$15:$C$65, calc_rusacc!$BF$15:$BF$65, "",0), AND( F1672="Sealant", I1672="Accordion Screen"), _xlfn.XLOOKUP(C1672, calc_rusacc!$C$15:$C$65, calc_rusacc!$BJ$15:$BJ$65, "",0),  F1672="Sealant", _xlfn.XLOOKUP(C1672, dd_accsrycalc!$A$2:$A$51, dd_accsrycalc!$G$2:$G$51, "",0),  F1672&lt;&gt;"",L1672*_xlfn.XLOOKUP(1, (SKUs!$C$2:$C$10001=G1672)*(SKUs!$K$2:$K$10001=I1672),SKUs!$E$2:$E$10001)), 0),"")</f>
        <v/>
      </c>
      <c r="E1672" s="35" t="str">
        <f>_xlfn.XLOOKUP(F1672,dd_item!$B$2:$B$105,dd_item!$C$2:$C$105,"",0)</f>
        <v/>
      </c>
      <c r="F1672" s="35"/>
      <c r="G1672" s="35" cm="1">
        <f t="array" ref="G1672">IFERROR(_xlfn.XLOOKUP(1, (SKUs!$J$2:$J$10001=accsry_unmerged!F1672)*IF(H1672&lt;&gt;"",(SKUs!$L$2:$L$10001=accsry_unmerged!H1672),1)*(SKUs!$K$2:$K$10001=I1672),SKUs!$C$2:$C$10001),"")</f>
        <v>0</v>
      </c>
      <c r="H1672" s="36" cm="1">
        <f t="array" ref="H1672">IFERROR(_xlfn.XLOOKUP(1, (dd_accsryclr!$C$2:$C$1000=accsry_unmerged!F1672)*(dd_accsryclr!$B$2:$B$1000=accsry_unmerged!J1672),dd_accsryclr!$A$2:$A$1000),"")</f>
        <v>0</v>
      </c>
      <c r="I1672" s="35">
        <f>_xlfn.XLOOKUP(C1672,'Project Details'!$C$17:$C$66,'Project Details'!$E$17:$E$66,"",0)</f>
        <v>0</v>
      </c>
      <c r="J1672" s="35">
        <f>_xlfn.XLOOKUP(C1672,'Project Details'!$C$17:$C$66,'Project Details'!$H$17:$H$66,"",0)</f>
        <v>0</v>
      </c>
      <c r="K1672" s="36" t="str">
        <f>IF(AND(_xlfn.XLOOKUP(C1672,'Project Details'!$C$17:$C$66,'Project Details'!$L$17:$L$66,"",0)&gt;550, F1672="Spring-L27cm"),"",SUBSTITUTE(_xlfn.XLOOKUP(G1672,SKUs!$C$2:$C$10001,SKUs!$F$2:$F$10001,"",0), " Accessories",""))</f>
        <v/>
      </c>
      <c r="L1672" s="36">
        <f>_xlfn.XLOOKUP(C1672,'Project Details'!$C$17:$C$66,'Project Details'!$D$17:$D$66,"",0)</f>
        <v>0</v>
      </c>
      <c r="M1672" s="43"/>
    </row>
    <row r="1673" spans="1:13" x14ac:dyDescent="0.25">
      <c r="A1673" s="43"/>
      <c r="B1673" s="43"/>
      <c r="C1673" s="16">
        <f t="shared" si="32"/>
        <v>34</v>
      </c>
      <c r="D1673" s="16" t="str" cm="1">
        <f t="array" ref="D1673">IFERROR(ROUNDUP(_xlfn.IFS(F1673="Aluminum Track", _xlfn.XLOOKUP(C1673, dd_accsrycalc!$A$2:$A$51, dd_accsrycalc!$B$2:$B$51, "",0), F1673="10 x 2 1/2 S (Flat)", _xlfn.XLOOKUP(C1673, dd_accsrycalc!$A$2:$A$51, dd_accsrycalc!$C$2:$C$51, "",0), F1673="Tox6", _xlfn.XLOOKUP(C1673, dd_accsrycalc!$A$2:$A$51, dd_accsrycalc!$D$2:$D$51, "",0), F1673="Cover Cap", _xlfn.XLOOKUP(C1673, dd_accsrycalc!$A$2:$A$51, dd_accsrycalc!$E$2:$E$51, "",0), F1673="Drainage Cover", _xlfn.XLOOKUP(C1673, dd_accsrycalc!$A$2:$A$51, dd_accsrycalc!$F$2:$F$51, "",0),AND( F1673="Double Adhesive Tape", I1673="Roll-up Screen"), _xlfn.XLOOKUP(C1673, calc_rusacc!$C$15:$C$65, calc_rusacc!$AD$15:$AD$65, "",0),AND( F1673="Sealant", I1673="Roll-up Screen"), _xlfn.XLOOKUP(C1673, calc_rusacc!$C$15:$C$65, calc_rusacc!$AF$15:$AF$65, "",0),  AND( F1673="Main Chain", I1673="Accordion Screen"), _xlfn.XLOOKUP(C1673, calc_rusacc!$C$15:$C$65, calc_rusacc!$BF$15:$BF$65, "",0), AND( F1673="Sealant", I1673="Accordion Screen"), _xlfn.XLOOKUP(C1673, calc_rusacc!$C$15:$C$65, calc_rusacc!$BJ$15:$BJ$65, "",0),  F1673="Sealant", _xlfn.XLOOKUP(C1673, dd_accsrycalc!$A$2:$A$51, dd_accsrycalc!$G$2:$G$51, "",0),  F1673&lt;&gt;"",L1673*_xlfn.XLOOKUP(1, (SKUs!$C$2:$C$10001=G1673)*(SKUs!$K$2:$K$10001=I1673),SKUs!$E$2:$E$10001)), 0),"")</f>
        <v/>
      </c>
      <c r="E1673" s="16" t="str">
        <f>_xlfn.XLOOKUP(F1673,dd_item!$B$2:$B$105,dd_item!$C$2:$C$105,"",0)</f>
        <v/>
      </c>
      <c r="F1673" s="16"/>
      <c r="G1673" s="16" cm="1">
        <f t="array" ref="G1673">IFERROR(_xlfn.XLOOKUP(1, (SKUs!$J$2:$J$10001=accsry_unmerged!F1673)*IF(H1673&lt;&gt;"",(SKUs!$L$2:$L$10001=accsry_unmerged!H1673),1)*(SKUs!$K$2:$K$10001=I1673),SKUs!$C$2:$C$10001),"")</f>
        <v>0</v>
      </c>
      <c r="H1673" s="33" cm="1">
        <f t="array" ref="H1673">IFERROR(_xlfn.XLOOKUP(1, (dd_accsryclr!$C$2:$C$1000=accsry_unmerged!F1673)*(dd_accsryclr!$B$2:$B$1000=accsry_unmerged!J1673),dd_accsryclr!$A$2:$A$1000),"")</f>
        <v>0</v>
      </c>
      <c r="I1673" s="16">
        <f>_xlfn.XLOOKUP(C1673,'Project Details'!$C$17:$C$66,'Project Details'!$E$17:$E$66,"",0)</f>
        <v>0</v>
      </c>
      <c r="J1673" s="16">
        <f>_xlfn.XLOOKUP(C1673,'Project Details'!$C$17:$C$66,'Project Details'!$H$17:$H$66,"",0)</f>
        <v>0</v>
      </c>
      <c r="K1673" s="33" t="str">
        <f>IF(AND(_xlfn.XLOOKUP(C1673,'Project Details'!$C$17:$C$66,'Project Details'!$L$17:$L$66,"",0)&gt;550, F1673="Spring-L27cm"),"",SUBSTITUTE(_xlfn.XLOOKUP(G1673,SKUs!$C$2:$C$10001,SKUs!$F$2:$F$10001,"",0), " Accessories",""))</f>
        <v/>
      </c>
      <c r="L1673" s="33">
        <f>_xlfn.XLOOKUP(C1673,'Project Details'!$C$17:$C$66,'Project Details'!$D$17:$D$66,"",0)</f>
        <v>0</v>
      </c>
      <c r="M1673" s="43"/>
    </row>
    <row r="1674" spans="1:13" x14ac:dyDescent="0.25">
      <c r="A1674" s="43"/>
      <c r="B1674" s="43"/>
      <c r="C1674" s="35">
        <f t="shared" si="32"/>
        <v>34</v>
      </c>
      <c r="D1674" s="35" t="str" cm="1">
        <f t="array" ref="D1674">IFERROR(ROUNDUP(_xlfn.IFS(F1674="Aluminum Track", _xlfn.XLOOKUP(C1674, dd_accsrycalc!$A$2:$A$51, dd_accsrycalc!$B$2:$B$51, "",0), F1674="10 x 2 1/2 S (Flat)", _xlfn.XLOOKUP(C1674, dd_accsrycalc!$A$2:$A$51, dd_accsrycalc!$C$2:$C$51, "",0), F1674="Tox6", _xlfn.XLOOKUP(C1674, dd_accsrycalc!$A$2:$A$51, dd_accsrycalc!$D$2:$D$51, "",0), F1674="Cover Cap", _xlfn.XLOOKUP(C1674, dd_accsrycalc!$A$2:$A$51, dd_accsrycalc!$E$2:$E$51, "",0), F1674="Drainage Cover", _xlfn.XLOOKUP(C1674, dd_accsrycalc!$A$2:$A$51, dd_accsrycalc!$F$2:$F$51, "",0),AND( F1674="Double Adhesive Tape", I1674="Roll-up Screen"), _xlfn.XLOOKUP(C1674, calc_rusacc!$C$15:$C$65, calc_rusacc!$AD$15:$AD$65, "",0),AND( F1674="Sealant", I1674="Roll-up Screen"), _xlfn.XLOOKUP(C1674, calc_rusacc!$C$15:$C$65, calc_rusacc!$AF$15:$AF$65, "",0),  AND( F1674="Main Chain", I1674="Accordion Screen"), _xlfn.XLOOKUP(C1674, calc_rusacc!$C$15:$C$65, calc_rusacc!$BF$15:$BF$65, "",0), AND( F1674="Sealant", I1674="Accordion Screen"), _xlfn.XLOOKUP(C1674, calc_rusacc!$C$15:$C$65, calc_rusacc!$BJ$15:$BJ$65, "",0),  F1674="Sealant", _xlfn.XLOOKUP(C1674, dd_accsrycalc!$A$2:$A$51, dd_accsrycalc!$G$2:$G$51, "",0),  F1674&lt;&gt;"",L1674*_xlfn.XLOOKUP(1, (SKUs!$C$2:$C$10001=G1674)*(SKUs!$K$2:$K$10001=I1674),SKUs!$E$2:$E$10001)), 0),"")</f>
        <v/>
      </c>
      <c r="E1674" s="35" t="str">
        <f>_xlfn.XLOOKUP(F1674,dd_item!$B$2:$B$105,dd_item!$C$2:$C$105,"",0)</f>
        <v/>
      </c>
      <c r="F1674" s="35"/>
      <c r="G1674" s="35" cm="1">
        <f t="array" ref="G1674">IFERROR(_xlfn.XLOOKUP(1, (SKUs!$J$2:$J$10001=accsry_unmerged!F1674)*IF(H1674&lt;&gt;"",(SKUs!$L$2:$L$10001=accsry_unmerged!H1674),1)*(SKUs!$K$2:$K$10001=I1674),SKUs!$C$2:$C$10001),"")</f>
        <v>0</v>
      </c>
      <c r="H1674" s="36" cm="1">
        <f t="array" ref="H1674">IFERROR(_xlfn.XLOOKUP(1, (dd_accsryclr!$C$2:$C$1000=accsry_unmerged!F1674)*(dd_accsryclr!$B$2:$B$1000=accsry_unmerged!J1674),dd_accsryclr!$A$2:$A$1000),"")</f>
        <v>0</v>
      </c>
      <c r="I1674" s="35">
        <f>_xlfn.XLOOKUP(C1674,'Project Details'!$C$17:$C$66,'Project Details'!$E$17:$E$66,"",0)</f>
        <v>0</v>
      </c>
      <c r="J1674" s="35">
        <f>_xlfn.XLOOKUP(C1674,'Project Details'!$C$17:$C$66,'Project Details'!$H$17:$H$66,"",0)</f>
        <v>0</v>
      </c>
      <c r="K1674" s="36" t="str">
        <f>IF(AND(_xlfn.XLOOKUP(C1674,'Project Details'!$C$17:$C$66,'Project Details'!$L$17:$L$66,"",0)&gt;550, F1674="Spring-L27cm"),"",SUBSTITUTE(_xlfn.XLOOKUP(G1674,SKUs!$C$2:$C$10001,SKUs!$F$2:$F$10001,"",0), " Accessories",""))</f>
        <v/>
      </c>
      <c r="L1674" s="36">
        <f>_xlfn.XLOOKUP(C1674,'Project Details'!$C$17:$C$66,'Project Details'!$D$17:$D$66,"",0)</f>
        <v>0</v>
      </c>
      <c r="M1674" s="43"/>
    </row>
    <row r="1675" spans="1:13" x14ac:dyDescent="0.25">
      <c r="A1675" s="43"/>
      <c r="B1675" s="43"/>
      <c r="C1675" s="16">
        <f t="shared" si="32"/>
        <v>34</v>
      </c>
      <c r="D1675" s="16" t="str" cm="1">
        <f t="array" ref="D1675">IFERROR(ROUNDUP(_xlfn.IFS(F1675="Aluminum Track", _xlfn.XLOOKUP(C1675, dd_accsrycalc!$A$2:$A$51, dd_accsrycalc!$B$2:$B$51, "",0), F1675="10 x 2 1/2 S (Flat)", _xlfn.XLOOKUP(C1675, dd_accsrycalc!$A$2:$A$51, dd_accsrycalc!$C$2:$C$51, "",0), F1675="Tox6", _xlfn.XLOOKUP(C1675, dd_accsrycalc!$A$2:$A$51, dd_accsrycalc!$D$2:$D$51, "",0), F1675="Cover Cap", _xlfn.XLOOKUP(C1675, dd_accsrycalc!$A$2:$A$51, dd_accsrycalc!$E$2:$E$51, "",0), F1675="Drainage Cover", _xlfn.XLOOKUP(C1675, dd_accsrycalc!$A$2:$A$51, dd_accsrycalc!$F$2:$F$51, "",0),AND( F1675="Double Adhesive Tape", I1675="Roll-up Screen"), _xlfn.XLOOKUP(C1675, calc_rusacc!$C$15:$C$65, calc_rusacc!$AD$15:$AD$65, "",0),AND( F1675="Sealant", I1675="Roll-up Screen"), _xlfn.XLOOKUP(C1675, calc_rusacc!$C$15:$C$65, calc_rusacc!$AF$15:$AF$65, "",0),  AND( F1675="Main Chain", I1675="Accordion Screen"), _xlfn.XLOOKUP(C1675, calc_rusacc!$C$15:$C$65, calc_rusacc!$BF$15:$BF$65, "",0), AND( F1675="Sealant", I1675="Accordion Screen"), _xlfn.XLOOKUP(C1675, calc_rusacc!$C$15:$C$65, calc_rusacc!$BJ$15:$BJ$65, "",0),  F1675="Sealant", _xlfn.XLOOKUP(C1675, dd_accsrycalc!$A$2:$A$51, dd_accsrycalc!$G$2:$G$51, "",0),  F1675&lt;&gt;"",L1675*_xlfn.XLOOKUP(1, (SKUs!$C$2:$C$10001=G1675)*(SKUs!$K$2:$K$10001=I1675),SKUs!$E$2:$E$10001)), 0),"")</f>
        <v/>
      </c>
      <c r="E1675" s="16" t="str">
        <f>_xlfn.XLOOKUP(F1675,dd_item!$B$2:$B$105,dd_item!$C$2:$C$105,"",0)</f>
        <v/>
      </c>
      <c r="F1675" s="16"/>
      <c r="G1675" s="16" cm="1">
        <f t="array" ref="G1675">IFERROR(_xlfn.XLOOKUP(1, (SKUs!$J$2:$J$10001=accsry_unmerged!F1675)*IF(H1675&lt;&gt;"",(SKUs!$L$2:$L$10001=accsry_unmerged!H1675),1)*(SKUs!$K$2:$K$10001=I1675),SKUs!$C$2:$C$10001),"")</f>
        <v>0</v>
      </c>
      <c r="H1675" s="33" cm="1">
        <f t="array" ref="H1675">IFERROR(_xlfn.XLOOKUP(1, (dd_accsryclr!$C$2:$C$1000=accsry_unmerged!F1675)*(dd_accsryclr!$B$2:$B$1000=accsry_unmerged!J1675),dd_accsryclr!$A$2:$A$1000),"")</f>
        <v>0</v>
      </c>
      <c r="I1675" s="16">
        <f>_xlfn.XLOOKUP(C1675,'Project Details'!$C$17:$C$66,'Project Details'!$E$17:$E$66,"",0)</f>
        <v>0</v>
      </c>
      <c r="J1675" s="16">
        <f>_xlfn.XLOOKUP(C1675,'Project Details'!$C$17:$C$66,'Project Details'!$H$17:$H$66,"",0)</f>
        <v>0</v>
      </c>
      <c r="K1675" s="33" t="str">
        <f>IF(AND(_xlfn.XLOOKUP(C1675,'Project Details'!$C$17:$C$66,'Project Details'!$L$17:$L$66,"",0)&gt;550, F1675="Spring-L27cm"),"",SUBSTITUTE(_xlfn.XLOOKUP(G1675,SKUs!$C$2:$C$10001,SKUs!$F$2:$F$10001,"",0), " Accessories",""))</f>
        <v/>
      </c>
      <c r="L1675" s="33">
        <f>_xlfn.XLOOKUP(C1675,'Project Details'!$C$17:$C$66,'Project Details'!$D$17:$D$66,"",0)</f>
        <v>0</v>
      </c>
      <c r="M1675" s="43"/>
    </row>
    <row r="1676" spans="1:13" x14ac:dyDescent="0.25">
      <c r="A1676" s="43"/>
      <c r="B1676" s="43"/>
      <c r="C1676" s="35">
        <f t="shared" si="32"/>
        <v>34</v>
      </c>
      <c r="D1676" s="35" t="str" cm="1">
        <f t="array" ref="D1676">IFERROR(ROUNDUP(_xlfn.IFS(F1676="Aluminum Track", _xlfn.XLOOKUP(C1676, dd_accsrycalc!$A$2:$A$51, dd_accsrycalc!$B$2:$B$51, "",0), F1676="10 x 2 1/2 S (Flat)", _xlfn.XLOOKUP(C1676, dd_accsrycalc!$A$2:$A$51, dd_accsrycalc!$C$2:$C$51, "",0), F1676="Tox6", _xlfn.XLOOKUP(C1676, dd_accsrycalc!$A$2:$A$51, dd_accsrycalc!$D$2:$D$51, "",0), F1676="Cover Cap", _xlfn.XLOOKUP(C1676, dd_accsrycalc!$A$2:$A$51, dd_accsrycalc!$E$2:$E$51, "",0), F1676="Drainage Cover", _xlfn.XLOOKUP(C1676, dd_accsrycalc!$A$2:$A$51, dd_accsrycalc!$F$2:$F$51, "",0),AND( F1676="Double Adhesive Tape", I1676="Roll-up Screen"), _xlfn.XLOOKUP(C1676, calc_rusacc!$C$15:$C$65, calc_rusacc!$AD$15:$AD$65, "",0),AND( F1676="Sealant", I1676="Roll-up Screen"), _xlfn.XLOOKUP(C1676, calc_rusacc!$C$15:$C$65, calc_rusacc!$AF$15:$AF$65, "",0),  AND( F1676="Main Chain", I1676="Accordion Screen"), _xlfn.XLOOKUP(C1676, calc_rusacc!$C$15:$C$65, calc_rusacc!$BF$15:$BF$65, "",0), AND( F1676="Sealant", I1676="Accordion Screen"), _xlfn.XLOOKUP(C1676, calc_rusacc!$C$15:$C$65, calc_rusacc!$BJ$15:$BJ$65, "",0),  F1676="Sealant", _xlfn.XLOOKUP(C1676, dd_accsrycalc!$A$2:$A$51, dd_accsrycalc!$G$2:$G$51, "",0),  F1676&lt;&gt;"",L1676*_xlfn.XLOOKUP(1, (SKUs!$C$2:$C$10001=G1676)*(SKUs!$K$2:$K$10001=I1676),SKUs!$E$2:$E$10001)), 0),"")</f>
        <v/>
      </c>
      <c r="E1676" s="35" t="str">
        <f>_xlfn.XLOOKUP(F1676,dd_item!$B$2:$B$105,dd_item!$C$2:$C$105,"",0)</f>
        <v/>
      </c>
      <c r="F1676" s="35"/>
      <c r="G1676" s="35" cm="1">
        <f t="array" ref="G1676">IFERROR(_xlfn.XLOOKUP(1, (SKUs!$J$2:$J$10001=accsry_unmerged!F1676)*IF(H1676&lt;&gt;"",(SKUs!$L$2:$L$10001=accsry_unmerged!H1676),1)*(SKUs!$K$2:$K$10001=I1676),SKUs!$C$2:$C$10001),"")</f>
        <v>0</v>
      </c>
      <c r="H1676" s="36" cm="1">
        <f t="array" ref="H1676">IFERROR(_xlfn.XLOOKUP(1, (dd_accsryclr!$C$2:$C$1000=accsry_unmerged!F1676)*(dd_accsryclr!$B$2:$B$1000=accsry_unmerged!J1676),dd_accsryclr!$A$2:$A$1000),"")</f>
        <v>0</v>
      </c>
      <c r="I1676" s="35">
        <f>_xlfn.XLOOKUP(C1676,'Project Details'!$C$17:$C$66,'Project Details'!$E$17:$E$66,"",0)</f>
        <v>0</v>
      </c>
      <c r="J1676" s="35">
        <f>_xlfn.XLOOKUP(C1676,'Project Details'!$C$17:$C$66,'Project Details'!$H$17:$H$66,"",0)</f>
        <v>0</v>
      </c>
      <c r="K1676" s="36" t="str">
        <f>IF(AND(_xlfn.XLOOKUP(C1676,'Project Details'!$C$17:$C$66,'Project Details'!$L$17:$L$66,"",0)&gt;550, F1676="Spring-L27cm"),"",SUBSTITUTE(_xlfn.XLOOKUP(G1676,SKUs!$C$2:$C$10001,SKUs!$F$2:$F$10001,"",0), " Accessories",""))</f>
        <v/>
      </c>
      <c r="L1676" s="36">
        <f>_xlfn.XLOOKUP(C1676,'Project Details'!$C$17:$C$66,'Project Details'!$D$17:$D$66,"",0)</f>
        <v>0</v>
      </c>
      <c r="M1676" s="43"/>
    </row>
    <row r="1677" spans="1:13" x14ac:dyDescent="0.25">
      <c r="A1677" s="43"/>
      <c r="B1677" s="43"/>
      <c r="C1677" s="16">
        <f t="shared" si="32"/>
        <v>34</v>
      </c>
      <c r="D1677" s="16" t="str" cm="1">
        <f t="array" ref="D1677">IFERROR(ROUNDUP(_xlfn.IFS(F1677="Aluminum Track", _xlfn.XLOOKUP(C1677, dd_accsrycalc!$A$2:$A$51, dd_accsrycalc!$B$2:$B$51, "",0), F1677="10 x 2 1/2 S (Flat)", _xlfn.XLOOKUP(C1677, dd_accsrycalc!$A$2:$A$51, dd_accsrycalc!$C$2:$C$51, "",0), F1677="Tox6", _xlfn.XLOOKUP(C1677, dd_accsrycalc!$A$2:$A$51, dd_accsrycalc!$D$2:$D$51, "",0), F1677="Cover Cap", _xlfn.XLOOKUP(C1677, dd_accsrycalc!$A$2:$A$51, dd_accsrycalc!$E$2:$E$51, "",0), F1677="Drainage Cover", _xlfn.XLOOKUP(C1677, dd_accsrycalc!$A$2:$A$51, dd_accsrycalc!$F$2:$F$51, "",0),AND( F1677="Double Adhesive Tape", I1677="Roll-up Screen"), _xlfn.XLOOKUP(C1677, calc_rusacc!$C$15:$C$65, calc_rusacc!$AD$15:$AD$65, "",0),AND( F1677="Sealant", I1677="Roll-up Screen"), _xlfn.XLOOKUP(C1677, calc_rusacc!$C$15:$C$65, calc_rusacc!$AF$15:$AF$65, "",0),  AND( F1677="Main Chain", I1677="Accordion Screen"), _xlfn.XLOOKUP(C1677, calc_rusacc!$C$15:$C$65, calc_rusacc!$BF$15:$BF$65, "",0), AND( F1677="Sealant", I1677="Accordion Screen"), _xlfn.XLOOKUP(C1677, calc_rusacc!$C$15:$C$65, calc_rusacc!$BJ$15:$BJ$65, "",0),  F1677="Sealant", _xlfn.XLOOKUP(C1677, dd_accsrycalc!$A$2:$A$51, dd_accsrycalc!$G$2:$G$51, "",0),  F1677&lt;&gt;"",L1677*_xlfn.XLOOKUP(1, (SKUs!$C$2:$C$10001=G1677)*(SKUs!$K$2:$K$10001=I1677),SKUs!$E$2:$E$10001)), 0),"")</f>
        <v/>
      </c>
      <c r="E1677" s="16" t="str">
        <f>_xlfn.XLOOKUP(F1677,dd_item!$B$2:$B$105,dd_item!$C$2:$C$105,"",0)</f>
        <v/>
      </c>
      <c r="F1677" s="16"/>
      <c r="G1677" s="16" cm="1">
        <f t="array" ref="G1677">IFERROR(_xlfn.XLOOKUP(1, (SKUs!$J$2:$J$10001=accsry_unmerged!F1677)*IF(H1677&lt;&gt;"",(SKUs!$L$2:$L$10001=accsry_unmerged!H1677),1)*(SKUs!$K$2:$K$10001=I1677),SKUs!$C$2:$C$10001),"")</f>
        <v>0</v>
      </c>
      <c r="H1677" s="33" cm="1">
        <f t="array" ref="H1677">IFERROR(_xlfn.XLOOKUP(1, (dd_accsryclr!$C$2:$C$1000=accsry_unmerged!F1677)*(dd_accsryclr!$B$2:$B$1000=accsry_unmerged!J1677),dd_accsryclr!$A$2:$A$1000),"")</f>
        <v>0</v>
      </c>
      <c r="I1677" s="16">
        <f>_xlfn.XLOOKUP(C1677,'Project Details'!$C$17:$C$66,'Project Details'!$E$17:$E$66,"",0)</f>
        <v>0</v>
      </c>
      <c r="J1677" s="16">
        <f>_xlfn.XLOOKUP(C1677,'Project Details'!$C$17:$C$66,'Project Details'!$H$17:$H$66,"",0)</f>
        <v>0</v>
      </c>
      <c r="K1677" s="33" t="str">
        <f>IF(AND(_xlfn.XLOOKUP(C1677,'Project Details'!$C$17:$C$66,'Project Details'!$L$17:$L$66,"",0)&gt;550, F1677="Spring-L27cm"),"",SUBSTITUTE(_xlfn.XLOOKUP(G1677,SKUs!$C$2:$C$10001,SKUs!$F$2:$F$10001,"",0), " Accessories",""))</f>
        <v/>
      </c>
      <c r="L1677" s="33">
        <f>_xlfn.XLOOKUP(C1677,'Project Details'!$C$17:$C$66,'Project Details'!$D$17:$D$66,"",0)</f>
        <v>0</v>
      </c>
      <c r="M1677" s="43"/>
    </row>
    <row r="1678" spans="1:13" x14ac:dyDescent="0.25">
      <c r="A1678" s="43"/>
      <c r="B1678" s="43"/>
      <c r="C1678" s="35">
        <f t="shared" si="32"/>
        <v>34</v>
      </c>
      <c r="D1678" s="35" t="str" cm="1">
        <f t="array" ref="D1678">IFERROR(ROUNDUP(_xlfn.IFS(F1678="Aluminum Track", _xlfn.XLOOKUP(C1678, dd_accsrycalc!$A$2:$A$51, dd_accsrycalc!$B$2:$B$51, "",0), F1678="10 x 2 1/2 S (Flat)", _xlfn.XLOOKUP(C1678, dd_accsrycalc!$A$2:$A$51, dd_accsrycalc!$C$2:$C$51, "",0), F1678="Tox6", _xlfn.XLOOKUP(C1678, dd_accsrycalc!$A$2:$A$51, dd_accsrycalc!$D$2:$D$51, "",0), F1678="Cover Cap", _xlfn.XLOOKUP(C1678, dd_accsrycalc!$A$2:$A$51, dd_accsrycalc!$E$2:$E$51, "",0), F1678="Drainage Cover", _xlfn.XLOOKUP(C1678, dd_accsrycalc!$A$2:$A$51, dd_accsrycalc!$F$2:$F$51, "",0),AND( F1678="Double Adhesive Tape", I1678="Roll-up Screen"), _xlfn.XLOOKUP(C1678, calc_rusacc!$C$15:$C$65, calc_rusacc!$AD$15:$AD$65, "",0),AND( F1678="Sealant", I1678="Roll-up Screen"), _xlfn.XLOOKUP(C1678, calc_rusacc!$C$15:$C$65, calc_rusacc!$AF$15:$AF$65, "",0),  AND( F1678="Main Chain", I1678="Accordion Screen"), _xlfn.XLOOKUP(C1678, calc_rusacc!$C$15:$C$65, calc_rusacc!$BF$15:$BF$65, "",0), AND( F1678="Sealant", I1678="Accordion Screen"), _xlfn.XLOOKUP(C1678, calc_rusacc!$C$15:$C$65, calc_rusacc!$BJ$15:$BJ$65, "",0),  F1678="Sealant", _xlfn.XLOOKUP(C1678, dd_accsrycalc!$A$2:$A$51, dd_accsrycalc!$G$2:$G$51, "",0),  F1678&lt;&gt;"",L1678*_xlfn.XLOOKUP(1, (SKUs!$C$2:$C$10001=G1678)*(SKUs!$K$2:$K$10001=I1678),SKUs!$E$2:$E$10001)), 0),"")</f>
        <v/>
      </c>
      <c r="E1678" s="35" t="str">
        <f>_xlfn.XLOOKUP(F1678,dd_item!$B$2:$B$105,dd_item!$C$2:$C$105,"",0)</f>
        <v/>
      </c>
      <c r="F1678" s="35"/>
      <c r="G1678" s="35" cm="1">
        <f t="array" ref="G1678">IFERROR(_xlfn.XLOOKUP(1, (SKUs!$J$2:$J$10001=accsry_unmerged!F1678)*IF(H1678&lt;&gt;"",(SKUs!$L$2:$L$10001=accsry_unmerged!H1678),1)*(SKUs!$K$2:$K$10001=I1678),SKUs!$C$2:$C$10001),"")</f>
        <v>0</v>
      </c>
      <c r="H1678" s="36" cm="1">
        <f t="array" ref="H1678">IFERROR(_xlfn.XLOOKUP(1, (dd_accsryclr!$C$2:$C$1000=accsry_unmerged!F1678)*(dd_accsryclr!$B$2:$B$1000=accsry_unmerged!J1678),dd_accsryclr!$A$2:$A$1000),"")</f>
        <v>0</v>
      </c>
      <c r="I1678" s="35">
        <f>_xlfn.XLOOKUP(C1678,'Project Details'!$C$17:$C$66,'Project Details'!$E$17:$E$66,"",0)</f>
        <v>0</v>
      </c>
      <c r="J1678" s="35">
        <f>_xlfn.XLOOKUP(C1678,'Project Details'!$C$17:$C$66,'Project Details'!$H$17:$H$66,"",0)</f>
        <v>0</v>
      </c>
      <c r="K1678" s="36" t="str">
        <f>IF(AND(_xlfn.XLOOKUP(C1678,'Project Details'!$C$17:$C$66,'Project Details'!$L$17:$L$66,"",0)&gt;550, F1678="Spring-L27cm"),"",SUBSTITUTE(_xlfn.XLOOKUP(G1678,SKUs!$C$2:$C$10001,SKUs!$F$2:$F$10001,"",0), " Accessories",""))</f>
        <v/>
      </c>
      <c r="L1678" s="36">
        <f>_xlfn.XLOOKUP(C1678,'Project Details'!$C$17:$C$66,'Project Details'!$D$17:$D$66,"",0)</f>
        <v>0</v>
      </c>
      <c r="M1678" s="43"/>
    </row>
    <row r="1679" spans="1:13" x14ac:dyDescent="0.25">
      <c r="A1679" s="43"/>
      <c r="B1679" s="43"/>
      <c r="C1679" s="16">
        <f t="shared" si="32"/>
        <v>34</v>
      </c>
      <c r="D1679" s="16" t="str" cm="1">
        <f t="array" ref="D1679">IFERROR(ROUNDUP(_xlfn.IFS(F1679="Aluminum Track", _xlfn.XLOOKUP(C1679, dd_accsrycalc!$A$2:$A$51, dd_accsrycalc!$B$2:$B$51, "",0), F1679="10 x 2 1/2 S (Flat)", _xlfn.XLOOKUP(C1679, dd_accsrycalc!$A$2:$A$51, dd_accsrycalc!$C$2:$C$51, "",0), F1679="Tox6", _xlfn.XLOOKUP(C1679, dd_accsrycalc!$A$2:$A$51, dd_accsrycalc!$D$2:$D$51, "",0), F1679="Cover Cap", _xlfn.XLOOKUP(C1679, dd_accsrycalc!$A$2:$A$51, dd_accsrycalc!$E$2:$E$51, "",0), F1679="Drainage Cover", _xlfn.XLOOKUP(C1679, dd_accsrycalc!$A$2:$A$51, dd_accsrycalc!$F$2:$F$51, "",0),AND( F1679="Double Adhesive Tape", I1679="Roll-up Screen"), _xlfn.XLOOKUP(C1679, calc_rusacc!$C$15:$C$65, calc_rusacc!$AD$15:$AD$65, "",0),AND( F1679="Sealant", I1679="Roll-up Screen"), _xlfn.XLOOKUP(C1679, calc_rusacc!$C$15:$C$65, calc_rusacc!$AF$15:$AF$65, "",0),  AND( F1679="Main Chain", I1679="Accordion Screen"), _xlfn.XLOOKUP(C1679, calc_rusacc!$C$15:$C$65, calc_rusacc!$BF$15:$BF$65, "",0), AND( F1679="Sealant", I1679="Accordion Screen"), _xlfn.XLOOKUP(C1679, calc_rusacc!$C$15:$C$65, calc_rusacc!$BJ$15:$BJ$65, "",0),  F1679="Sealant", _xlfn.XLOOKUP(C1679, dd_accsrycalc!$A$2:$A$51, dd_accsrycalc!$G$2:$G$51, "",0),  F1679&lt;&gt;"",L1679*_xlfn.XLOOKUP(1, (SKUs!$C$2:$C$10001=G1679)*(SKUs!$K$2:$K$10001=I1679),SKUs!$E$2:$E$10001)), 0),"")</f>
        <v/>
      </c>
      <c r="E1679" s="16" t="str">
        <f>_xlfn.XLOOKUP(F1679,dd_item!$B$2:$B$105,dd_item!$C$2:$C$105,"",0)</f>
        <v/>
      </c>
      <c r="F1679" s="16"/>
      <c r="G1679" s="16" cm="1">
        <f t="array" ref="G1679">IFERROR(_xlfn.XLOOKUP(1, (SKUs!$J$2:$J$10001=accsry_unmerged!F1679)*IF(H1679&lt;&gt;"",(SKUs!$L$2:$L$10001=accsry_unmerged!H1679),1)*(SKUs!$K$2:$K$10001=I1679),SKUs!$C$2:$C$10001),"")</f>
        <v>0</v>
      </c>
      <c r="H1679" s="33" cm="1">
        <f t="array" ref="H1679">IFERROR(_xlfn.XLOOKUP(1, (dd_accsryclr!$C$2:$C$1000=accsry_unmerged!F1679)*(dd_accsryclr!$B$2:$B$1000=accsry_unmerged!J1679),dd_accsryclr!$A$2:$A$1000),"")</f>
        <v>0</v>
      </c>
      <c r="I1679" s="16">
        <f>_xlfn.XLOOKUP(C1679,'Project Details'!$C$17:$C$66,'Project Details'!$E$17:$E$66,"",0)</f>
        <v>0</v>
      </c>
      <c r="J1679" s="16">
        <f>_xlfn.XLOOKUP(C1679,'Project Details'!$C$17:$C$66,'Project Details'!$H$17:$H$66,"",0)</f>
        <v>0</v>
      </c>
      <c r="K1679" s="33" t="str">
        <f>IF(AND(_xlfn.XLOOKUP(C1679,'Project Details'!$C$17:$C$66,'Project Details'!$L$17:$L$66,"",0)&gt;550, F1679="Spring-L27cm"),"",SUBSTITUTE(_xlfn.XLOOKUP(G1679,SKUs!$C$2:$C$10001,SKUs!$F$2:$F$10001,"",0), " Accessories",""))</f>
        <v/>
      </c>
      <c r="L1679" s="33">
        <f>_xlfn.XLOOKUP(C1679,'Project Details'!$C$17:$C$66,'Project Details'!$D$17:$D$66,"",0)</f>
        <v>0</v>
      </c>
      <c r="M1679" s="43"/>
    </row>
    <row r="1680" spans="1:13" x14ac:dyDescent="0.25">
      <c r="A1680" s="43"/>
      <c r="B1680" s="43"/>
      <c r="C1680" s="35">
        <f t="shared" si="32"/>
        <v>34</v>
      </c>
      <c r="D1680" s="35" t="str" cm="1">
        <f t="array" ref="D1680">IFERROR(ROUNDUP(_xlfn.IFS(F1680="Aluminum Track", _xlfn.XLOOKUP(C1680, dd_accsrycalc!$A$2:$A$51, dd_accsrycalc!$B$2:$B$51, "",0), F1680="10 x 2 1/2 S (Flat)", _xlfn.XLOOKUP(C1680, dd_accsrycalc!$A$2:$A$51, dd_accsrycalc!$C$2:$C$51, "",0), F1680="Tox6", _xlfn.XLOOKUP(C1680, dd_accsrycalc!$A$2:$A$51, dd_accsrycalc!$D$2:$D$51, "",0), F1680="Cover Cap", _xlfn.XLOOKUP(C1680, dd_accsrycalc!$A$2:$A$51, dd_accsrycalc!$E$2:$E$51, "",0), F1680="Drainage Cover", _xlfn.XLOOKUP(C1680, dd_accsrycalc!$A$2:$A$51, dd_accsrycalc!$F$2:$F$51, "",0),AND( F1680="Double Adhesive Tape", I1680="Roll-up Screen"), _xlfn.XLOOKUP(C1680, calc_rusacc!$C$15:$C$65, calc_rusacc!$AD$15:$AD$65, "",0),AND( F1680="Sealant", I1680="Roll-up Screen"), _xlfn.XLOOKUP(C1680, calc_rusacc!$C$15:$C$65, calc_rusacc!$AF$15:$AF$65, "",0),  AND( F1680="Main Chain", I1680="Accordion Screen"), _xlfn.XLOOKUP(C1680, calc_rusacc!$C$15:$C$65, calc_rusacc!$BF$15:$BF$65, "",0), AND( F1680="Sealant", I1680="Accordion Screen"), _xlfn.XLOOKUP(C1680, calc_rusacc!$C$15:$C$65, calc_rusacc!$BJ$15:$BJ$65, "",0),  F1680="Sealant", _xlfn.XLOOKUP(C1680, dd_accsrycalc!$A$2:$A$51, dd_accsrycalc!$G$2:$G$51, "",0),  F1680&lt;&gt;"",L1680*_xlfn.XLOOKUP(1, (SKUs!$C$2:$C$10001=G1680)*(SKUs!$K$2:$K$10001=I1680),SKUs!$E$2:$E$10001)), 0),"")</f>
        <v/>
      </c>
      <c r="E1680" s="35" t="str">
        <f>_xlfn.XLOOKUP(F1680,dd_item!$B$2:$B$105,dd_item!$C$2:$C$105,"",0)</f>
        <v/>
      </c>
      <c r="F1680" s="35"/>
      <c r="G1680" s="35" cm="1">
        <f t="array" ref="G1680">IFERROR(_xlfn.XLOOKUP(1, (SKUs!$J$2:$J$10001=accsry_unmerged!F1680)*IF(H1680&lt;&gt;"",(SKUs!$L$2:$L$10001=accsry_unmerged!H1680),1)*(SKUs!$K$2:$K$10001=I1680),SKUs!$C$2:$C$10001),"")</f>
        <v>0</v>
      </c>
      <c r="H1680" s="36" cm="1">
        <f t="array" ref="H1680">IFERROR(_xlfn.XLOOKUP(1, (dd_accsryclr!$C$2:$C$1000=accsry_unmerged!F1680)*(dd_accsryclr!$B$2:$B$1000=accsry_unmerged!J1680),dd_accsryclr!$A$2:$A$1000),"")</f>
        <v>0</v>
      </c>
      <c r="I1680" s="35">
        <f>_xlfn.XLOOKUP(C1680,'Project Details'!$C$17:$C$66,'Project Details'!$E$17:$E$66,"",0)</f>
        <v>0</v>
      </c>
      <c r="J1680" s="35">
        <f>_xlfn.XLOOKUP(C1680,'Project Details'!$C$17:$C$66,'Project Details'!$H$17:$H$66,"",0)</f>
        <v>0</v>
      </c>
      <c r="K1680" s="36" t="str">
        <f>IF(AND(_xlfn.XLOOKUP(C1680,'Project Details'!$C$17:$C$66,'Project Details'!$L$17:$L$66,"",0)&gt;550, F1680="Spring-L27cm"),"",SUBSTITUTE(_xlfn.XLOOKUP(G1680,SKUs!$C$2:$C$10001,SKUs!$F$2:$F$10001,"",0), " Accessories",""))</f>
        <v/>
      </c>
      <c r="L1680" s="36">
        <f>_xlfn.XLOOKUP(C1680,'Project Details'!$C$17:$C$66,'Project Details'!$D$17:$D$66,"",0)</f>
        <v>0</v>
      </c>
      <c r="M1680" s="43"/>
    </row>
    <row r="1681" spans="1:13" x14ac:dyDescent="0.25">
      <c r="A1681" s="43"/>
      <c r="B1681" s="43"/>
      <c r="C1681" s="16">
        <f t="shared" si="32"/>
        <v>34</v>
      </c>
      <c r="D1681" s="16" t="str" cm="1">
        <f t="array" ref="D1681">IFERROR(ROUNDUP(_xlfn.IFS(F1681="Aluminum Track", _xlfn.XLOOKUP(C1681, dd_accsrycalc!$A$2:$A$51, dd_accsrycalc!$B$2:$B$51, "",0), F1681="10 x 2 1/2 S (Flat)", _xlfn.XLOOKUP(C1681, dd_accsrycalc!$A$2:$A$51, dd_accsrycalc!$C$2:$C$51, "",0), F1681="Tox6", _xlfn.XLOOKUP(C1681, dd_accsrycalc!$A$2:$A$51, dd_accsrycalc!$D$2:$D$51, "",0), F1681="Cover Cap", _xlfn.XLOOKUP(C1681, dd_accsrycalc!$A$2:$A$51, dd_accsrycalc!$E$2:$E$51, "",0), F1681="Drainage Cover", _xlfn.XLOOKUP(C1681, dd_accsrycalc!$A$2:$A$51, dd_accsrycalc!$F$2:$F$51, "",0),AND( F1681="Double Adhesive Tape", I1681="Roll-up Screen"), _xlfn.XLOOKUP(C1681, calc_rusacc!$C$15:$C$65, calc_rusacc!$AD$15:$AD$65, "",0),AND( F1681="Sealant", I1681="Roll-up Screen"), _xlfn.XLOOKUP(C1681, calc_rusacc!$C$15:$C$65, calc_rusacc!$AF$15:$AF$65, "",0),  AND( F1681="Main Chain", I1681="Accordion Screen"), _xlfn.XLOOKUP(C1681, calc_rusacc!$C$15:$C$65, calc_rusacc!$BF$15:$BF$65, "",0), AND( F1681="Sealant", I1681="Accordion Screen"), _xlfn.XLOOKUP(C1681, calc_rusacc!$C$15:$C$65, calc_rusacc!$BJ$15:$BJ$65, "",0),  F1681="Sealant", _xlfn.XLOOKUP(C1681, dd_accsrycalc!$A$2:$A$51, dd_accsrycalc!$G$2:$G$51, "",0),  F1681&lt;&gt;"",L1681*_xlfn.XLOOKUP(1, (SKUs!$C$2:$C$10001=G1681)*(SKUs!$K$2:$K$10001=I1681),SKUs!$E$2:$E$10001)), 0),"")</f>
        <v/>
      </c>
      <c r="E1681" s="16" t="str">
        <f>_xlfn.XLOOKUP(F1681,dd_item!$B$2:$B$105,dd_item!$C$2:$C$105,"",0)</f>
        <v/>
      </c>
      <c r="F1681" s="16"/>
      <c r="G1681" s="16" cm="1">
        <f t="array" ref="G1681">IFERROR(_xlfn.XLOOKUP(1, (SKUs!$J$2:$J$10001=accsry_unmerged!F1681)*IF(H1681&lt;&gt;"",(SKUs!$L$2:$L$10001=accsry_unmerged!H1681),1)*(SKUs!$K$2:$K$10001=I1681),SKUs!$C$2:$C$10001),"")</f>
        <v>0</v>
      </c>
      <c r="H1681" s="33" cm="1">
        <f t="array" ref="H1681">IFERROR(_xlfn.XLOOKUP(1, (dd_accsryclr!$C$2:$C$1000=accsry_unmerged!F1681)*(dd_accsryclr!$B$2:$B$1000=accsry_unmerged!J1681),dd_accsryclr!$A$2:$A$1000),"")</f>
        <v>0</v>
      </c>
      <c r="I1681" s="16">
        <f>_xlfn.XLOOKUP(C1681,'Project Details'!$C$17:$C$66,'Project Details'!$E$17:$E$66,"",0)</f>
        <v>0</v>
      </c>
      <c r="J1681" s="16">
        <f>_xlfn.XLOOKUP(C1681,'Project Details'!$C$17:$C$66,'Project Details'!$H$17:$H$66,"",0)</f>
        <v>0</v>
      </c>
      <c r="K1681" s="33" t="str">
        <f>IF(AND(_xlfn.XLOOKUP(C1681,'Project Details'!$C$17:$C$66,'Project Details'!$L$17:$L$66,"",0)&gt;550, F1681="Spring-L27cm"),"",SUBSTITUTE(_xlfn.XLOOKUP(G1681,SKUs!$C$2:$C$10001,SKUs!$F$2:$F$10001,"",0), " Accessories",""))</f>
        <v/>
      </c>
      <c r="L1681" s="33">
        <f>_xlfn.XLOOKUP(C1681,'Project Details'!$C$17:$C$66,'Project Details'!$D$17:$D$66,"",0)</f>
        <v>0</v>
      </c>
      <c r="M1681" s="43"/>
    </row>
    <row r="1682" spans="1:13" x14ac:dyDescent="0.25">
      <c r="A1682" s="43"/>
      <c r="B1682" s="43"/>
      <c r="C1682" s="35">
        <f t="shared" si="32"/>
        <v>34</v>
      </c>
      <c r="D1682" s="35" t="str" cm="1">
        <f t="array" ref="D1682">IFERROR(ROUNDUP(_xlfn.IFS(F1682="Aluminum Track", _xlfn.XLOOKUP(C1682, dd_accsrycalc!$A$2:$A$51, dd_accsrycalc!$B$2:$B$51, "",0), F1682="10 x 2 1/2 S (Flat)", _xlfn.XLOOKUP(C1682, dd_accsrycalc!$A$2:$A$51, dd_accsrycalc!$C$2:$C$51, "",0), F1682="Tox6", _xlfn.XLOOKUP(C1682, dd_accsrycalc!$A$2:$A$51, dd_accsrycalc!$D$2:$D$51, "",0), F1682="Cover Cap", _xlfn.XLOOKUP(C1682, dd_accsrycalc!$A$2:$A$51, dd_accsrycalc!$E$2:$E$51, "",0), F1682="Drainage Cover", _xlfn.XLOOKUP(C1682, dd_accsrycalc!$A$2:$A$51, dd_accsrycalc!$F$2:$F$51, "",0),AND( F1682="Double Adhesive Tape", I1682="Roll-up Screen"), _xlfn.XLOOKUP(C1682, calc_rusacc!$C$15:$C$65, calc_rusacc!$AD$15:$AD$65, "",0),AND( F1682="Sealant", I1682="Roll-up Screen"), _xlfn.XLOOKUP(C1682, calc_rusacc!$C$15:$C$65, calc_rusacc!$AF$15:$AF$65, "",0),  AND( F1682="Main Chain", I1682="Accordion Screen"), _xlfn.XLOOKUP(C1682, calc_rusacc!$C$15:$C$65, calc_rusacc!$BF$15:$BF$65, "",0), AND( F1682="Sealant", I1682="Accordion Screen"), _xlfn.XLOOKUP(C1682, calc_rusacc!$C$15:$C$65, calc_rusacc!$BJ$15:$BJ$65, "",0),  F1682="Sealant", _xlfn.XLOOKUP(C1682, dd_accsrycalc!$A$2:$A$51, dd_accsrycalc!$G$2:$G$51, "",0),  F1682&lt;&gt;"",L1682*_xlfn.XLOOKUP(1, (SKUs!$C$2:$C$10001=G1682)*(SKUs!$K$2:$K$10001=I1682),SKUs!$E$2:$E$10001)), 0),"")</f>
        <v/>
      </c>
      <c r="E1682" s="35" t="str">
        <f>_xlfn.XLOOKUP(F1682,dd_item!$B$2:$B$105,dd_item!$C$2:$C$105,"",0)</f>
        <v/>
      </c>
      <c r="F1682" s="35"/>
      <c r="G1682" s="35" cm="1">
        <f t="array" ref="G1682">IFERROR(_xlfn.XLOOKUP(1, (SKUs!$J$2:$J$10001=accsry_unmerged!F1682)*IF(H1682&lt;&gt;"",(SKUs!$L$2:$L$10001=accsry_unmerged!H1682),1)*(SKUs!$K$2:$K$10001=I1682),SKUs!$C$2:$C$10001),"")</f>
        <v>0</v>
      </c>
      <c r="H1682" s="36" cm="1">
        <f t="array" ref="H1682">IFERROR(_xlfn.XLOOKUP(1, (dd_accsryclr!$C$2:$C$1000=accsry_unmerged!F1682)*(dd_accsryclr!$B$2:$B$1000=accsry_unmerged!J1682),dd_accsryclr!$A$2:$A$1000),"")</f>
        <v>0</v>
      </c>
      <c r="I1682" s="35">
        <f>_xlfn.XLOOKUP(C1682,'Project Details'!$C$17:$C$66,'Project Details'!$E$17:$E$66,"",0)</f>
        <v>0</v>
      </c>
      <c r="J1682" s="35">
        <f>_xlfn.XLOOKUP(C1682,'Project Details'!$C$17:$C$66,'Project Details'!$H$17:$H$66,"",0)</f>
        <v>0</v>
      </c>
      <c r="K1682" s="36" t="str">
        <f>IF(AND(_xlfn.XLOOKUP(C1682,'Project Details'!$C$17:$C$66,'Project Details'!$L$17:$L$66,"",0)&gt;550, F1682="Spring-L27cm"),"",SUBSTITUTE(_xlfn.XLOOKUP(G1682,SKUs!$C$2:$C$10001,SKUs!$F$2:$F$10001,"",0), " Accessories",""))</f>
        <v/>
      </c>
      <c r="L1682" s="36">
        <f>_xlfn.XLOOKUP(C1682,'Project Details'!$C$17:$C$66,'Project Details'!$D$17:$D$66,"",0)</f>
        <v>0</v>
      </c>
      <c r="M1682" s="43"/>
    </row>
    <row r="1683" spans="1:13" x14ac:dyDescent="0.25">
      <c r="A1683" s="43"/>
      <c r="B1683" s="43"/>
      <c r="C1683" s="16">
        <f t="shared" si="32"/>
        <v>34</v>
      </c>
      <c r="D1683" s="16" t="str" cm="1">
        <f t="array" ref="D1683">IFERROR(ROUNDUP(_xlfn.IFS(F1683="Aluminum Track", _xlfn.XLOOKUP(C1683, dd_accsrycalc!$A$2:$A$51, dd_accsrycalc!$B$2:$B$51, "",0), F1683="10 x 2 1/2 S (Flat)", _xlfn.XLOOKUP(C1683, dd_accsrycalc!$A$2:$A$51, dd_accsrycalc!$C$2:$C$51, "",0), F1683="Tox6", _xlfn.XLOOKUP(C1683, dd_accsrycalc!$A$2:$A$51, dd_accsrycalc!$D$2:$D$51, "",0), F1683="Cover Cap", _xlfn.XLOOKUP(C1683, dd_accsrycalc!$A$2:$A$51, dd_accsrycalc!$E$2:$E$51, "",0), F1683="Drainage Cover", _xlfn.XLOOKUP(C1683, dd_accsrycalc!$A$2:$A$51, dd_accsrycalc!$F$2:$F$51, "",0),AND( F1683="Double Adhesive Tape", I1683="Roll-up Screen"), _xlfn.XLOOKUP(C1683, calc_rusacc!$C$15:$C$65, calc_rusacc!$AD$15:$AD$65, "",0),AND( F1683="Sealant", I1683="Roll-up Screen"), _xlfn.XLOOKUP(C1683, calc_rusacc!$C$15:$C$65, calc_rusacc!$AF$15:$AF$65, "",0),  AND( F1683="Main Chain", I1683="Accordion Screen"), _xlfn.XLOOKUP(C1683, calc_rusacc!$C$15:$C$65, calc_rusacc!$BF$15:$BF$65, "",0), AND( F1683="Sealant", I1683="Accordion Screen"), _xlfn.XLOOKUP(C1683, calc_rusacc!$C$15:$C$65, calc_rusacc!$BJ$15:$BJ$65, "",0),  F1683="Sealant", _xlfn.XLOOKUP(C1683, dd_accsrycalc!$A$2:$A$51, dd_accsrycalc!$G$2:$G$51, "",0),  F1683&lt;&gt;"",L1683*_xlfn.XLOOKUP(1, (SKUs!$C$2:$C$10001=G1683)*(SKUs!$K$2:$K$10001=I1683),SKUs!$E$2:$E$10001)), 0),"")</f>
        <v/>
      </c>
      <c r="E1683" s="16" t="str">
        <f>_xlfn.XLOOKUP(F1683,dd_item!$B$2:$B$105,dd_item!$C$2:$C$105,"",0)</f>
        <v/>
      </c>
      <c r="F1683" s="16"/>
      <c r="G1683" s="16" cm="1">
        <f t="array" ref="G1683">IFERROR(_xlfn.XLOOKUP(1, (SKUs!$J$2:$J$10001=accsry_unmerged!F1683)*IF(H1683&lt;&gt;"",(SKUs!$L$2:$L$10001=accsry_unmerged!H1683),1)*(SKUs!$K$2:$K$10001=I1683),SKUs!$C$2:$C$10001),"")</f>
        <v>0</v>
      </c>
      <c r="H1683" s="33" cm="1">
        <f t="array" ref="H1683">IFERROR(_xlfn.XLOOKUP(1, (dd_accsryclr!$C$2:$C$1000=accsry_unmerged!F1683)*(dd_accsryclr!$B$2:$B$1000=accsry_unmerged!J1683),dd_accsryclr!$A$2:$A$1000),"")</f>
        <v>0</v>
      </c>
      <c r="I1683" s="16">
        <f>_xlfn.XLOOKUP(C1683,'Project Details'!$C$17:$C$66,'Project Details'!$E$17:$E$66,"",0)</f>
        <v>0</v>
      </c>
      <c r="J1683" s="16">
        <f>_xlfn.XLOOKUP(C1683,'Project Details'!$C$17:$C$66,'Project Details'!$H$17:$H$66,"",0)</f>
        <v>0</v>
      </c>
      <c r="K1683" s="33" t="str">
        <f>IF(AND(_xlfn.XLOOKUP(C1683,'Project Details'!$C$17:$C$66,'Project Details'!$L$17:$L$66,"",0)&gt;550, F1683="Spring-L27cm"),"",SUBSTITUTE(_xlfn.XLOOKUP(G1683,SKUs!$C$2:$C$10001,SKUs!$F$2:$F$10001,"",0), " Accessories",""))</f>
        <v/>
      </c>
      <c r="L1683" s="33">
        <f>_xlfn.XLOOKUP(C1683,'Project Details'!$C$17:$C$66,'Project Details'!$D$17:$D$66,"",0)</f>
        <v>0</v>
      </c>
      <c r="M1683" s="43"/>
    </row>
    <row r="1684" spans="1:13" ht="13.5" customHeight="1" x14ac:dyDescent="0.25">
      <c r="A1684" s="43"/>
      <c r="B1684" s="43"/>
      <c r="C1684" s="35">
        <f t="shared" si="32"/>
        <v>34</v>
      </c>
      <c r="D1684" s="35" t="str" cm="1">
        <f t="array" ref="D1684">IFERROR(ROUNDUP(_xlfn.IFS(F1684="Aluminum Track", _xlfn.XLOOKUP(C1684, dd_accsrycalc!$A$2:$A$51, dd_accsrycalc!$B$2:$B$51, "",0), F1684="10 x 2 1/2 S (Flat)", _xlfn.XLOOKUP(C1684, dd_accsrycalc!$A$2:$A$51, dd_accsrycalc!$C$2:$C$51, "",0), F1684="Tox6", _xlfn.XLOOKUP(C1684, dd_accsrycalc!$A$2:$A$51, dd_accsrycalc!$D$2:$D$51, "",0), F1684="Cover Cap", _xlfn.XLOOKUP(C1684, dd_accsrycalc!$A$2:$A$51, dd_accsrycalc!$E$2:$E$51, "",0), F1684="Drainage Cover", _xlfn.XLOOKUP(C1684, dd_accsrycalc!$A$2:$A$51, dd_accsrycalc!$F$2:$F$51, "",0),AND( F1684="Double Adhesive Tape", I1684="Roll-up Screen"), _xlfn.XLOOKUP(C1684, calc_rusacc!$C$15:$C$65, calc_rusacc!$AD$15:$AD$65, "",0),AND( F1684="Sealant", I1684="Roll-up Screen"), _xlfn.XLOOKUP(C1684, calc_rusacc!$C$15:$C$65, calc_rusacc!$AF$15:$AF$65, "",0),  AND( F1684="Main Chain", I1684="Accordion Screen"), _xlfn.XLOOKUP(C1684, calc_rusacc!$C$15:$C$65, calc_rusacc!$BF$15:$BF$65, "",0), AND( F1684="Sealant", I1684="Accordion Screen"), _xlfn.XLOOKUP(C1684, calc_rusacc!$C$15:$C$65, calc_rusacc!$BJ$15:$BJ$65, "",0),  F1684="Sealant", _xlfn.XLOOKUP(C1684, dd_accsrycalc!$A$2:$A$51, dd_accsrycalc!$G$2:$G$51, "",0),  F1684&lt;&gt;"",L1684*_xlfn.XLOOKUP(1, (SKUs!$C$2:$C$10001=G1684)*(SKUs!$K$2:$K$10001=I1684),SKUs!$E$2:$E$10001)), 0),"")</f>
        <v/>
      </c>
      <c r="E1684" s="35" t="str">
        <f>_xlfn.XLOOKUP(F1684,dd_item!$B$2:$B$105,dd_item!$C$2:$C$105,"",0)</f>
        <v/>
      </c>
      <c r="F1684" s="35"/>
      <c r="G1684" s="35" cm="1">
        <f t="array" ref="G1684">IFERROR(_xlfn.XLOOKUP(1, (SKUs!$J$2:$J$10001=accsry_unmerged!F1684)*IF(H1684&lt;&gt;"",(SKUs!$L$2:$L$10001=accsry_unmerged!H1684),1)*(SKUs!$K$2:$K$10001=I1684),SKUs!$C$2:$C$10001),"")</f>
        <v>0</v>
      </c>
      <c r="H1684" s="36" cm="1">
        <f t="array" ref="H1684">IFERROR(_xlfn.XLOOKUP(1, (dd_accsryclr!$C$2:$C$1000=accsry_unmerged!F1684)*(dd_accsryclr!$B$2:$B$1000=accsry_unmerged!J1684),dd_accsryclr!$A$2:$A$1000),"")</f>
        <v>0</v>
      </c>
      <c r="I1684" s="35">
        <f>_xlfn.XLOOKUP(C1684,'Project Details'!$C$17:$C$66,'Project Details'!$E$17:$E$66,"",0)</f>
        <v>0</v>
      </c>
      <c r="J1684" s="35">
        <f>_xlfn.XLOOKUP(C1684,'Project Details'!$C$17:$C$66,'Project Details'!$H$17:$H$66,"",0)</f>
        <v>0</v>
      </c>
      <c r="K1684" s="36" t="str">
        <f>IF(AND(_xlfn.XLOOKUP(C1684,'Project Details'!$C$17:$C$66,'Project Details'!$L$17:$L$66,"",0)&gt;550, F1684="Spring-L27cm"),"",SUBSTITUTE(_xlfn.XLOOKUP(G1684,SKUs!$C$2:$C$10001,SKUs!$F$2:$F$10001,"",0), " Accessories",""))</f>
        <v/>
      </c>
      <c r="L1684" s="36">
        <f>_xlfn.XLOOKUP(C1684,'Project Details'!$C$17:$C$66,'Project Details'!$D$17:$D$66,"",0)</f>
        <v>0</v>
      </c>
      <c r="M1684" s="43"/>
    </row>
    <row r="1685" spans="1:13" ht="13.5" customHeight="1" x14ac:dyDescent="0.25">
      <c r="A1685" s="43"/>
      <c r="B1685" s="43"/>
      <c r="C1685" s="16">
        <f t="shared" si="32"/>
        <v>34</v>
      </c>
      <c r="D1685" s="16" t="str" cm="1">
        <f t="array" ref="D1685">IFERROR(ROUNDUP(_xlfn.IFS(F1685="Aluminum Track", _xlfn.XLOOKUP(C1685, dd_accsrycalc!$A$2:$A$51, dd_accsrycalc!$B$2:$B$51, "",0), F1685="10 x 2 1/2 S (Flat)", _xlfn.XLOOKUP(C1685, dd_accsrycalc!$A$2:$A$51, dd_accsrycalc!$C$2:$C$51, "",0), F1685="Tox6", _xlfn.XLOOKUP(C1685, dd_accsrycalc!$A$2:$A$51, dd_accsrycalc!$D$2:$D$51, "",0), F1685="Cover Cap", _xlfn.XLOOKUP(C1685, dd_accsrycalc!$A$2:$A$51, dd_accsrycalc!$E$2:$E$51, "",0), F1685="Drainage Cover", _xlfn.XLOOKUP(C1685, dd_accsrycalc!$A$2:$A$51, dd_accsrycalc!$F$2:$F$51, "",0),AND( F1685="Double Adhesive Tape", I1685="Roll-up Screen"), _xlfn.XLOOKUP(C1685, calc_rusacc!$C$15:$C$65, calc_rusacc!$AD$15:$AD$65, "",0),AND( F1685="Sealant", I1685="Roll-up Screen"), _xlfn.XLOOKUP(C1685, calc_rusacc!$C$15:$C$65, calc_rusacc!$AF$15:$AF$65, "",0),  AND( F1685="Main Chain", I1685="Accordion Screen"), _xlfn.XLOOKUP(C1685, calc_rusacc!$C$15:$C$65, calc_rusacc!$BF$15:$BF$65, "",0), AND( F1685="Sealant", I1685="Accordion Screen"), _xlfn.XLOOKUP(C1685, calc_rusacc!$C$15:$C$65, calc_rusacc!$BJ$15:$BJ$65, "",0),  F1685="Sealant", _xlfn.XLOOKUP(C1685, dd_accsrycalc!$A$2:$A$51, dd_accsrycalc!$G$2:$G$51, "",0),  F1685&lt;&gt;"",L1685*_xlfn.XLOOKUP(1, (SKUs!$C$2:$C$10001=G1685)*(SKUs!$K$2:$K$10001=I1685),SKUs!$E$2:$E$10001)), 0),"")</f>
        <v/>
      </c>
      <c r="E1685" s="16" t="str">
        <f>_xlfn.XLOOKUP(F1685,dd_item!$B$2:$B$105,dd_item!$C$2:$C$105,"",0)</f>
        <v/>
      </c>
      <c r="F1685" s="16"/>
      <c r="G1685" s="16" cm="1">
        <f t="array" ref="G1685">IFERROR(_xlfn.XLOOKUP(1, (SKUs!$J$2:$J$10001=accsry_unmerged!F1685)*IF(H1685&lt;&gt;"",(SKUs!$L$2:$L$10001=accsry_unmerged!H1685),1)*(SKUs!$K$2:$K$10001=I1685),SKUs!$C$2:$C$10001),"")</f>
        <v>0</v>
      </c>
      <c r="H1685" s="33" cm="1">
        <f t="array" ref="H1685">IFERROR(_xlfn.XLOOKUP(1, (dd_accsryclr!$C$2:$C$1000=accsry_unmerged!F1685)*(dd_accsryclr!$B$2:$B$1000=accsry_unmerged!J1685),dd_accsryclr!$A$2:$A$1000),"")</f>
        <v>0</v>
      </c>
      <c r="I1685" s="16">
        <f>_xlfn.XLOOKUP(C1685,'Project Details'!$C$17:$C$66,'Project Details'!$E$17:$E$66,"",0)</f>
        <v>0</v>
      </c>
      <c r="J1685" s="16">
        <f>_xlfn.XLOOKUP(C1685,'Project Details'!$C$17:$C$66,'Project Details'!$H$17:$H$66,"",0)</f>
        <v>0</v>
      </c>
      <c r="K1685" s="33" t="str">
        <f>IF(AND(_xlfn.XLOOKUP(C1685,'Project Details'!$C$17:$C$66,'Project Details'!$L$17:$L$66,"",0)&gt;550, F1685="Spring-L27cm"),"",SUBSTITUTE(_xlfn.XLOOKUP(G1685,SKUs!$C$2:$C$10001,SKUs!$F$2:$F$10001,"",0), " Accessories",""))</f>
        <v/>
      </c>
      <c r="L1685" s="33">
        <f>_xlfn.XLOOKUP(C1685,'Project Details'!$C$17:$C$66,'Project Details'!$D$17:$D$66,"",0)</f>
        <v>0</v>
      </c>
      <c r="M1685" s="43"/>
    </row>
    <row r="1686" spans="1:13" ht="13.5" customHeight="1" x14ac:dyDescent="0.25">
      <c r="A1686" s="43"/>
      <c r="B1686" s="43"/>
      <c r="C1686" s="35">
        <f t="shared" si="32"/>
        <v>34</v>
      </c>
      <c r="D1686" s="35" t="str" cm="1">
        <f t="array" ref="D1686">IFERROR(ROUNDUP(_xlfn.IFS(F1686="Aluminum Track", _xlfn.XLOOKUP(C1686, dd_accsrycalc!$A$2:$A$51, dd_accsrycalc!$B$2:$B$51, "",0), F1686="10 x 2 1/2 S (Flat)", _xlfn.XLOOKUP(C1686, dd_accsrycalc!$A$2:$A$51, dd_accsrycalc!$C$2:$C$51, "",0), F1686="Tox6", _xlfn.XLOOKUP(C1686, dd_accsrycalc!$A$2:$A$51, dd_accsrycalc!$D$2:$D$51, "",0), F1686="Cover Cap", _xlfn.XLOOKUP(C1686, dd_accsrycalc!$A$2:$A$51, dd_accsrycalc!$E$2:$E$51, "",0), F1686="Drainage Cover", _xlfn.XLOOKUP(C1686, dd_accsrycalc!$A$2:$A$51, dd_accsrycalc!$F$2:$F$51, "",0),AND( F1686="Double Adhesive Tape", I1686="Roll-up Screen"), _xlfn.XLOOKUP(C1686, calc_rusacc!$C$15:$C$65, calc_rusacc!$AD$15:$AD$65, "",0),AND( F1686="Sealant", I1686="Roll-up Screen"), _xlfn.XLOOKUP(C1686, calc_rusacc!$C$15:$C$65, calc_rusacc!$AF$15:$AF$65, "",0),  AND( F1686="Main Chain", I1686="Accordion Screen"), _xlfn.XLOOKUP(C1686, calc_rusacc!$C$15:$C$65, calc_rusacc!$BF$15:$BF$65, "",0), AND( F1686="Sealant", I1686="Accordion Screen"), _xlfn.XLOOKUP(C1686, calc_rusacc!$C$15:$C$65, calc_rusacc!$BJ$15:$BJ$65, "",0),  F1686="Sealant", _xlfn.XLOOKUP(C1686, dd_accsrycalc!$A$2:$A$51, dd_accsrycalc!$G$2:$G$51, "",0),  F1686&lt;&gt;"",L1686*_xlfn.XLOOKUP(1, (SKUs!$C$2:$C$10001=G1686)*(SKUs!$K$2:$K$10001=I1686),SKUs!$E$2:$E$10001)), 0),"")</f>
        <v/>
      </c>
      <c r="E1686" s="35" t="str">
        <f>_xlfn.XLOOKUP(F1686,dd_item!$B$2:$B$105,dd_item!$C$2:$C$105,"",0)</f>
        <v/>
      </c>
      <c r="F1686" s="35"/>
      <c r="G1686" s="35" cm="1">
        <f t="array" ref="G1686">IFERROR(_xlfn.XLOOKUP(1, (SKUs!$J$2:$J$10001=accsry_unmerged!F1686)*IF(H1686&lt;&gt;"",(SKUs!$L$2:$L$10001=accsry_unmerged!H1686),1)*(SKUs!$K$2:$K$10001=I1686),SKUs!$C$2:$C$10001),"")</f>
        <v>0</v>
      </c>
      <c r="H1686" s="36" cm="1">
        <f t="array" ref="H1686">IFERROR(_xlfn.XLOOKUP(1, (dd_accsryclr!$C$2:$C$1000=accsry_unmerged!F1686)*(dd_accsryclr!$B$2:$B$1000=accsry_unmerged!J1686),dd_accsryclr!$A$2:$A$1000),"")</f>
        <v>0</v>
      </c>
      <c r="I1686" s="35">
        <f>_xlfn.XLOOKUP(C1686,'Project Details'!$C$17:$C$66,'Project Details'!$E$17:$E$66,"",0)</f>
        <v>0</v>
      </c>
      <c r="J1686" s="35">
        <f>_xlfn.XLOOKUP(C1686,'Project Details'!$C$17:$C$66,'Project Details'!$H$17:$H$66,"",0)</f>
        <v>0</v>
      </c>
      <c r="K1686" s="36" t="str">
        <f>IF(AND(_xlfn.XLOOKUP(C1686,'Project Details'!$C$17:$C$66,'Project Details'!$L$17:$L$66,"",0)&gt;550, F1686="Spring-L27cm"),"",SUBSTITUTE(_xlfn.XLOOKUP(G1686,SKUs!$C$2:$C$10001,SKUs!$F$2:$F$10001,"",0), " Accessories",""))</f>
        <v/>
      </c>
      <c r="L1686" s="36">
        <f>_xlfn.XLOOKUP(C1686,'Project Details'!$C$17:$C$66,'Project Details'!$D$17:$D$66,"",0)</f>
        <v>0</v>
      </c>
      <c r="M1686" s="43"/>
    </row>
    <row r="1687" spans="1:13" ht="13.5" customHeight="1" x14ac:dyDescent="0.25">
      <c r="A1687" s="43"/>
      <c r="B1687" s="43"/>
      <c r="C1687" s="16">
        <f t="shared" si="32"/>
        <v>34</v>
      </c>
      <c r="D1687" s="16" t="str" cm="1">
        <f t="array" ref="D1687">IFERROR(ROUNDUP(_xlfn.IFS(F1687="Aluminum Track", _xlfn.XLOOKUP(C1687, dd_accsrycalc!$A$2:$A$51, dd_accsrycalc!$B$2:$B$51, "",0), F1687="10 x 2 1/2 S (Flat)", _xlfn.XLOOKUP(C1687, dd_accsrycalc!$A$2:$A$51, dd_accsrycalc!$C$2:$C$51, "",0), F1687="Tox6", _xlfn.XLOOKUP(C1687, dd_accsrycalc!$A$2:$A$51, dd_accsrycalc!$D$2:$D$51, "",0), F1687="Cover Cap", _xlfn.XLOOKUP(C1687, dd_accsrycalc!$A$2:$A$51, dd_accsrycalc!$E$2:$E$51, "",0), F1687="Drainage Cover", _xlfn.XLOOKUP(C1687, dd_accsrycalc!$A$2:$A$51, dd_accsrycalc!$F$2:$F$51, "",0),AND( F1687="Double Adhesive Tape", I1687="Roll-up Screen"), _xlfn.XLOOKUP(C1687, calc_rusacc!$C$15:$C$65, calc_rusacc!$AD$15:$AD$65, "",0),AND( F1687="Sealant", I1687="Roll-up Screen"), _xlfn.XLOOKUP(C1687, calc_rusacc!$C$15:$C$65, calc_rusacc!$AF$15:$AF$65, "",0),  AND( F1687="Main Chain", I1687="Accordion Screen"), _xlfn.XLOOKUP(C1687, calc_rusacc!$C$15:$C$65, calc_rusacc!$BF$15:$BF$65, "",0), AND( F1687="Sealant", I1687="Accordion Screen"), _xlfn.XLOOKUP(C1687, calc_rusacc!$C$15:$C$65, calc_rusacc!$BJ$15:$BJ$65, "",0),  F1687="Sealant", _xlfn.XLOOKUP(C1687, dd_accsrycalc!$A$2:$A$51, dd_accsrycalc!$G$2:$G$51, "",0),  F1687&lt;&gt;"",L1687*_xlfn.XLOOKUP(1, (SKUs!$C$2:$C$10001=G1687)*(SKUs!$K$2:$K$10001=I1687),SKUs!$E$2:$E$10001)), 0),"")</f>
        <v/>
      </c>
      <c r="E1687" s="16" t="str">
        <f>_xlfn.XLOOKUP(F1687,dd_item!$B$2:$B$105,dd_item!$C$2:$C$105,"",0)</f>
        <v/>
      </c>
      <c r="F1687" s="16"/>
      <c r="G1687" s="16" cm="1">
        <f t="array" ref="G1687">IFERROR(_xlfn.XLOOKUP(1, (SKUs!$J$2:$J$10001=accsry_unmerged!F1687)*IF(H1687&lt;&gt;"",(SKUs!$L$2:$L$10001=accsry_unmerged!H1687),1)*(SKUs!$K$2:$K$10001=I1687),SKUs!$C$2:$C$10001),"")</f>
        <v>0</v>
      </c>
      <c r="H1687" s="33" cm="1">
        <f t="array" ref="H1687">IFERROR(_xlfn.XLOOKUP(1, (dd_accsryclr!$C$2:$C$1000=accsry_unmerged!F1687)*(dd_accsryclr!$B$2:$B$1000=accsry_unmerged!J1687),dd_accsryclr!$A$2:$A$1000),"")</f>
        <v>0</v>
      </c>
      <c r="I1687" s="16">
        <f>_xlfn.XLOOKUP(C1687,'Project Details'!$C$17:$C$66,'Project Details'!$E$17:$E$66,"",0)</f>
        <v>0</v>
      </c>
      <c r="J1687" s="16">
        <f>_xlfn.XLOOKUP(C1687,'Project Details'!$C$17:$C$66,'Project Details'!$H$17:$H$66,"",0)</f>
        <v>0</v>
      </c>
      <c r="K1687" s="33" t="str">
        <f>IF(AND(_xlfn.XLOOKUP(C1687,'Project Details'!$C$17:$C$66,'Project Details'!$L$17:$L$66,"",0)&gt;550, F1687="Spring-L27cm"),"",SUBSTITUTE(_xlfn.XLOOKUP(G1687,SKUs!$C$2:$C$10001,SKUs!$F$2:$F$10001,"",0), " Accessories",""))</f>
        <v/>
      </c>
      <c r="L1687" s="33">
        <f>_xlfn.XLOOKUP(C1687,'Project Details'!$C$17:$C$66,'Project Details'!$D$17:$D$66,"",0)</f>
        <v>0</v>
      </c>
      <c r="M1687" s="43"/>
    </row>
    <row r="1688" spans="1:13" ht="13.5" customHeight="1" x14ac:dyDescent="0.25">
      <c r="A1688" s="43"/>
      <c r="B1688" s="43"/>
      <c r="C1688" s="35">
        <f t="shared" si="32"/>
        <v>34</v>
      </c>
      <c r="D1688" s="35" t="str" cm="1">
        <f t="array" ref="D1688">IFERROR(ROUNDUP(_xlfn.IFS(F1688="Aluminum Track", _xlfn.XLOOKUP(C1688, dd_accsrycalc!$A$2:$A$51, dd_accsrycalc!$B$2:$B$51, "",0), F1688="10 x 2 1/2 S (Flat)", _xlfn.XLOOKUP(C1688, dd_accsrycalc!$A$2:$A$51, dd_accsrycalc!$C$2:$C$51, "",0), F1688="Tox6", _xlfn.XLOOKUP(C1688, dd_accsrycalc!$A$2:$A$51, dd_accsrycalc!$D$2:$D$51, "",0), F1688="Cover Cap", _xlfn.XLOOKUP(C1688, dd_accsrycalc!$A$2:$A$51, dd_accsrycalc!$E$2:$E$51, "",0), F1688="Drainage Cover", _xlfn.XLOOKUP(C1688, dd_accsrycalc!$A$2:$A$51, dd_accsrycalc!$F$2:$F$51, "",0),AND( F1688="Double Adhesive Tape", I1688="Roll-up Screen"), _xlfn.XLOOKUP(C1688, calc_rusacc!$C$15:$C$65, calc_rusacc!$AD$15:$AD$65, "",0),AND( F1688="Sealant", I1688="Roll-up Screen"), _xlfn.XLOOKUP(C1688, calc_rusacc!$C$15:$C$65, calc_rusacc!$AF$15:$AF$65, "",0),  AND( F1688="Main Chain", I1688="Accordion Screen"), _xlfn.XLOOKUP(C1688, calc_rusacc!$C$15:$C$65, calc_rusacc!$BF$15:$BF$65, "",0), AND( F1688="Sealant", I1688="Accordion Screen"), _xlfn.XLOOKUP(C1688, calc_rusacc!$C$15:$C$65, calc_rusacc!$BJ$15:$BJ$65, "",0),  F1688="Sealant", _xlfn.XLOOKUP(C1688, dd_accsrycalc!$A$2:$A$51, dd_accsrycalc!$G$2:$G$51, "",0),  F1688&lt;&gt;"",L1688*_xlfn.XLOOKUP(1, (SKUs!$C$2:$C$10001=G1688)*(SKUs!$K$2:$K$10001=I1688),SKUs!$E$2:$E$10001)), 0),"")</f>
        <v/>
      </c>
      <c r="E1688" s="35" t="str">
        <f>_xlfn.XLOOKUP(F1688,dd_item!$B$2:$B$105,dd_item!$C$2:$C$105,"",0)</f>
        <v/>
      </c>
      <c r="F1688" s="35"/>
      <c r="G1688" s="35" cm="1">
        <f t="array" ref="G1688">IFERROR(_xlfn.XLOOKUP(1, (SKUs!$J$2:$J$10001=accsry_unmerged!F1688)*IF(H1688&lt;&gt;"",(SKUs!$L$2:$L$10001=accsry_unmerged!H1688),1)*(SKUs!$K$2:$K$10001=I1688),SKUs!$C$2:$C$10001),"")</f>
        <v>0</v>
      </c>
      <c r="H1688" s="36" cm="1">
        <f t="array" ref="H1688">IFERROR(_xlfn.XLOOKUP(1, (dd_accsryclr!$C$2:$C$1000=accsry_unmerged!F1688)*(dd_accsryclr!$B$2:$B$1000=accsry_unmerged!J1688),dd_accsryclr!$A$2:$A$1000),"")</f>
        <v>0</v>
      </c>
      <c r="I1688" s="35">
        <f>_xlfn.XLOOKUP(C1688,'Project Details'!$C$17:$C$66,'Project Details'!$E$17:$E$66,"",0)</f>
        <v>0</v>
      </c>
      <c r="J1688" s="35">
        <f>_xlfn.XLOOKUP(C1688,'Project Details'!$C$17:$C$66,'Project Details'!$H$17:$H$66,"",0)</f>
        <v>0</v>
      </c>
      <c r="K1688" s="36" t="str">
        <f>IF(AND(_xlfn.XLOOKUP(C1688,'Project Details'!$C$17:$C$66,'Project Details'!$L$17:$L$66,"",0)&gt;550, F1688="Spring-L27cm"),"",SUBSTITUTE(_xlfn.XLOOKUP(G1688,SKUs!$C$2:$C$10001,SKUs!$F$2:$F$10001,"",0), " Accessories",""))</f>
        <v/>
      </c>
      <c r="L1688" s="36">
        <f>_xlfn.XLOOKUP(C1688,'Project Details'!$C$17:$C$66,'Project Details'!$D$17:$D$66,"",0)</f>
        <v>0</v>
      </c>
      <c r="M1688" s="43"/>
    </row>
    <row r="1689" spans="1:13" ht="13.5" customHeight="1" x14ac:dyDescent="0.25">
      <c r="A1689" s="43"/>
      <c r="B1689" s="43"/>
      <c r="C1689" s="16">
        <f t="shared" si="32"/>
        <v>34</v>
      </c>
      <c r="D1689" s="16" t="str" cm="1">
        <f t="array" ref="D1689">IFERROR(ROUNDUP(_xlfn.IFS(F1689="Aluminum Track", _xlfn.XLOOKUP(C1689, dd_accsrycalc!$A$2:$A$51, dd_accsrycalc!$B$2:$B$51, "",0), F1689="10 x 2 1/2 S (Flat)", _xlfn.XLOOKUP(C1689, dd_accsrycalc!$A$2:$A$51, dd_accsrycalc!$C$2:$C$51, "",0), F1689="Tox6", _xlfn.XLOOKUP(C1689, dd_accsrycalc!$A$2:$A$51, dd_accsrycalc!$D$2:$D$51, "",0), F1689="Cover Cap", _xlfn.XLOOKUP(C1689, dd_accsrycalc!$A$2:$A$51, dd_accsrycalc!$E$2:$E$51, "",0), F1689="Drainage Cover", _xlfn.XLOOKUP(C1689, dd_accsrycalc!$A$2:$A$51, dd_accsrycalc!$F$2:$F$51, "",0),AND( F1689="Double Adhesive Tape", I1689="Roll-up Screen"), _xlfn.XLOOKUP(C1689, calc_rusacc!$C$15:$C$65, calc_rusacc!$AD$15:$AD$65, "",0),AND( F1689="Sealant", I1689="Roll-up Screen"), _xlfn.XLOOKUP(C1689, calc_rusacc!$C$15:$C$65, calc_rusacc!$AF$15:$AF$65, "",0),  AND( F1689="Main Chain", I1689="Accordion Screen"), _xlfn.XLOOKUP(C1689, calc_rusacc!$C$15:$C$65, calc_rusacc!$BF$15:$BF$65, "",0), AND( F1689="Sealant", I1689="Accordion Screen"), _xlfn.XLOOKUP(C1689, calc_rusacc!$C$15:$C$65, calc_rusacc!$BJ$15:$BJ$65, "",0),  F1689="Sealant", _xlfn.XLOOKUP(C1689, dd_accsrycalc!$A$2:$A$51, dd_accsrycalc!$G$2:$G$51, "",0),  F1689&lt;&gt;"",L1689*_xlfn.XLOOKUP(1, (SKUs!$C$2:$C$10001=G1689)*(SKUs!$K$2:$K$10001=I1689),SKUs!$E$2:$E$10001)), 0),"")</f>
        <v/>
      </c>
      <c r="E1689" s="16" t="str">
        <f>_xlfn.XLOOKUP(F1689,dd_item!$B$2:$B$105,dd_item!$C$2:$C$105,"",0)</f>
        <v/>
      </c>
      <c r="F1689" s="16"/>
      <c r="G1689" s="16" cm="1">
        <f t="array" ref="G1689">IFERROR(_xlfn.XLOOKUP(1, (SKUs!$J$2:$J$10001=accsry_unmerged!F1689)*IF(H1689&lt;&gt;"",(SKUs!$L$2:$L$10001=accsry_unmerged!H1689),1)*(SKUs!$K$2:$K$10001=I1689),SKUs!$C$2:$C$10001),"")</f>
        <v>0</v>
      </c>
      <c r="H1689" s="33" cm="1">
        <f t="array" ref="H1689">IFERROR(_xlfn.XLOOKUP(1, (dd_accsryclr!$C$2:$C$1000=accsry_unmerged!F1689)*(dd_accsryclr!$B$2:$B$1000=accsry_unmerged!J1689),dd_accsryclr!$A$2:$A$1000),"")</f>
        <v>0</v>
      </c>
      <c r="I1689" s="16">
        <f>_xlfn.XLOOKUP(C1689,'Project Details'!$C$17:$C$66,'Project Details'!$E$17:$E$66,"",0)</f>
        <v>0</v>
      </c>
      <c r="J1689" s="16">
        <f>_xlfn.XLOOKUP(C1689,'Project Details'!$C$17:$C$66,'Project Details'!$H$17:$H$66,"",0)</f>
        <v>0</v>
      </c>
      <c r="K1689" s="33" t="str">
        <f>IF(AND(_xlfn.XLOOKUP(C1689,'Project Details'!$C$17:$C$66,'Project Details'!$L$17:$L$66,"",0)&gt;550, F1689="Spring-L27cm"),"",SUBSTITUTE(_xlfn.XLOOKUP(G1689,SKUs!$C$2:$C$10001,SKUs!$F$2:$F$10001,"",0), " Accessories",""))</f>
        <v/>
      </c>
      <c r="L1689" s="33">
        <f>_xlfn.XLOOKUP(C1689,'Project Details'!$C$17:$C$66,'Project Details'!$D$17:$D$66,"",0)</f>
        <v>0</v>
      </c>
      <c r="M1689" s="43"/>
    </row>
    <row r="1690" spans="1:13" ht="13.5" customHeight="1" x14ac:dyDescent="0.25">
      <c r="A1690" s="43"/>
      <c r="B1690" s="43"/>
      <c r="C1690" s="35">
        <f t="shared" si="32"/>
        <v>34</v>
      </c>
      <c r="D1690" s="35" t="str" cm="1">
        <f t="array" ref="D1690">IFERROR(ROUNDUP(_xlfn.IFS(F1690="Aluminum Track", _xlfn.XLOOKUP(C1690, dd_accsrycalc!$A$2:$A$51, dd_accsrycalc!$B$2:$B$51, "",0), F1690="10 x 2 1/2 S (Flat)", _xlfn.XLOOKUP(C1690, dd_accsrycalc!$A$2:$A$51, dd_accsrycalc!$C$2:$C$51, "",0), F1690="Tox6", _xlfn.XLOOKUP(C1690, dd_accsrycalc!$A$2:$A$51, dd_accsrycalc!$D$2:$D$51, "",0), F1690="Cover Cap", _xlfn.XLOOKUP(C1690, dd_accsrycalc!$A$2:$A$51, dd_accsrycalc!$E$2:$E$51, "",0), F1690="Drainage Cover", _xlfn.XLOOKUP(C1690, dd_accsrycalc!$A$2:$A$51, dd_accsrycalc!$F$2:$F$51, "",0),AND( F1690="Double Adhesive Tape", I1690="Roll-up Screen"), _xlfn.XLOOKUP(C1690, calc_rusacc!$C$15:$C$65, calc_rusacc!$AD$15:$AD$65, "",0),AND( F1690="Sealant", I1690="Roll-up Screen"), _xlfn.XLOOKUP(C1690, calc_rusacc!$C$15:$C$65, calc_rusacc!$AF$15:$AF$65, "",0),  AND( F1690="Main Chain", I1690="Accordion Screen"), _xlfn.XLOOKUP(C1690, calc_rusacc!$C$15:$C$65, calc_rusacc!$BF$15:$BF$65, "",0), AND( F1690="Sealant", I1690="Accordion Screen"), _xlfn.XLOOKUP(C1690, calc_rusacc!$C$15:$C$65, calc_rusacc!$BJ$15:$BJ$65, "",0),  F1690="Sealant", _xlfn.XLOOKUP(C1690, dd_accsrycalc!$A$2:$A$51, dd_accsrycalc!$G$2:$G$51, "",0),  F1690&lt;&gt;"",L1690*_xlfn.XLOOKUP(1, (SKUs!$C$2:$C$10001=G1690)*(SKUs!$K$2:$K$10001=I1690),SKUs!$E$2:$E$10001)), 0),"")</f>
        <v/>
      </c>
      <c r="E1690" s="35" t="str">
        <f>_xlfn.XLOOKUP(F1690,dd_item!$B$2:$B$105,dd_item!$C$2:$C$105,"",0)</f>
        <v/>
      </c>
      <c r="F1690" s="35"/>
      <c r="G1690" s="35" cm="1">
        <f t="array" ref="G1690">IFERROR(_xlfn.XLOOKUP(1, (SKUs!$J$2:$J$10001=accsry_unmerged!F1690)*IF(H1690&lt;&gt;"",(SKUs!$L$2:$L$10001=accsry_unmerged!H1690),1)*(SKUs!$K$2:$K$10001=I1690),SKUs!$C$2:$C$10001),"")</f>
        <v>0</v>
      </c>
      <c r="H1690" s="36" cm="1">
        <f t="array" ref="H1690">IFERROR(_xlfn.XLOOKUP(1, (dd_accsryclr!$C$2:$C$1000=accsry_unmerged!F1690)*(dd_accsryclr!$B$2:$B$1000=accsry_unmerged!J1690),dd_accsryclr!$A$2:$A$1000),"")</f>
        <v>0</v>
      </c>
      <c r="I1690" s="35">
        <f>_xlfn.XLOOKUP(C1690,'Project Details'!$C$17:$C$66,'Project Details'!$E$17:$E$66,"",0)</f>
        <v>0</v>
      </c>
      <c r="J1690" s="35">
        <f>_xlfn.XLOOKUP(C1690,'Project Details'!$C$17:$C$66,'Project Details'!$H$17:$H$66,"",0)</f>
        <v>0</v>
      </c>
      <c r="K1690" s="36" t="str">
        <f>IF(AND(_xlfn.XLOOKUP(C1690,'Project Details'!$C$17:$C$66,'Project Details'!$L$17:$L$66,"",0)&gt;550, F1690="Spring-L27cm"),"",SUBSTITUTE(_xlfn.XLOOKUP(G1690,SKUs!$C$2:$C$10001,SKUs!$F$2:$F$10001,"",0), " Accessories",""))</f>
        <v/>
      </c>
      <c r="L1690" s="36">
        <f>_xlfn.XLOOKUP(C1690,'Project Details'!$C$17:$C$66,'Project Details'!$D$17:$D$66,"",0)</f>
        <v>0</v>
      </c>
      <c r="M1690" s="43"/>
    </row>
    <row r="1691" spans="1:13" ht="13.5" customHeight="1" x14ac:dyDescent="0.25">
      <c r="A1691" s="43"/>
      <c r="B1691" s="43"/>
      <c r="C1691" s="16">
        <f t="shared" si="32"/>
        <v>34</v>
      </c>
      <c r="D1691" s="16" t="str" cm="1">
        <f t="array" ref="D1691">IFERROR(ROUNDUP(_xlfn.IFS(F1691="Aluminum Track", _xlfn.XLOOKUP(C1691, dd_accsrycalc!$A$2:$A$51, dd_accsrycalc!$B$2:$B$51, "",0), F1691="10 x 2 1/2 S (Flat)", _xlfn.XLOOKUP(C1691, dd_accsrycalc!$A$2:$A$51, dd_accsrycalc!$C$2:$C$51, "",0), F1691="Tox6", _xlfn.XLOOKUP(C1691, dd_accsrycalc!$A$2:$A$51, dd_accsrycalc!$D$2:$D$51, "",0), F1691="Cover Cap", _xlfn.XLOOKUP(C1691, dd_accsrycalc!$A$2:$A$51, dd_accsrycalc!$E$2:$E$51, "",0), F1691="Drainage Cover", _xlfn.XLOOKUP(C1691, dd_accsrycalc!$A$2:$A$51, dd_accsrycalc!$F$2:$F$51, "",0),AND( F1691="Double Adhesive Tape", I1691="Roll-up Screen"), _xlfn.XLOOKUP(C1691, calc_rusacc!$C$15:$C$65, calc_rusacc!$AD$15:$AD$65, "",0),AND( F1691="Sealant", I1691="Roll-up Screen"), _xlfn.XLOOKUP(C1691, calc_rusacc!$C$15:$C$65, calc_rusacc!$AF$15:$AF$65, "",0),  AND( F1691="Main Chain", I1691="Accordion Screen"), _xlfn.XLOOKUP(C1691, calc_rusacc!$C$15:$C$65, calc_rusacc!$BF$15:$BF$65, "",0), AND( F1691="Sealant", I1691="Accordion Screen"), _xlfn.XLOOKUP(C1691, calc_rusacc!$C$15:$C$65, calc_rusacc!$BJ$15:$BJ$65, "",0),  F1691="Sealant", _xlfn.XLOOKUP(C1691, dd_accsrycalc!$A$2:$A$51, dd_accsrycalc!$G$2:$G$51, "",0),  F1691&lt;&gt;"",L1691*_xlfn.XLOOKUP(1, (SKUs!$C$2:$C$10001=G1691)*(SKUs!$K$2:$K$10001=I1691),SKUs!$E$2:$E$10001)), 0),"")</f>
        <v/>
      </c>
      <c r="E1691" s="16" t="str">
        <f>_xlfn.XLOOKUP(F1691,dd_item!$B$2:$B$105,dd_item!$C$2:$C$105,"",0)</f>
        <v/>
      </c>
      <c r="F1691" s="16"/>
      <c r="G1691" s="16" cm="1">
        <f t="array" ref="G1691">IFERROR(_xlfn.XLOOKUP(1, (SKUs!$J$2:$J$10001=accsry_unmerged!F1691)*IF(H1691&lt;&gt;"",(SKUs!$L$2:$L$10001=accsry_unmerged!H1691),1)*(SKUs!$K$2:$K$10001=I1691),SKUs!$C$2:$C$10001),"")</f>
        <v>0</v>
      </c>
      <c r="H1691" s="33" cm="1">
        <f t="array" ref="H1691">IFERROR(_xlfn.XLOOKUP(1, (dd_accsryclr!$C$2:$C$1000=accsry_unmerged!F1691)*(dd_accsryclr!$B$2:$B$1000=accsry_unmerged!J1691),dd_accsryclr!$A$2:$A$1000),"")</f>
        <v>0</v>
      </c>
      <c r="I1691" s="16">
        <f>_xlfn.XLOOKUP(C1691,'Project Details'!$C$17:$C$66,'Project Details'!$E$17:$E$66,"",0)</f>
        <v>0</v>
      </c>
      <c r="J1691" s="16">
        <f>_xlfn.XLOOKUP(C1691,'Project Details'!$C$17:$C$66,'Project Details'!$H$17:$H$66,"",0)</f>
        <v>0</v>
      </c>
      <c r="K1691" s="33" t="str">
        <f>IF(AND(_xlfn.XLOOKUP(C1691,'Project Details'!$C$17:$C$66,'Project Details'!$L$17:$L$66,"",0)&gt;550, F1691="Spring-L27cm"),"",SUBSTITUTE(_xlfn.XLOOKUP(G1691,SKUs!$C$2:$C$10001,SKUs!$F$2:$F$10001,"",0), " Accessories",""))</f>
        <v/>
      </c>
      <c r="L1691" s="33">
        <f>_xlfn.XLOOKUP(C1691,'Project Details'!$C$17:$C$66,'Project Details'!$D$17:$D$66,"",0)</f>
        <v>0</v>
      </c>
      <c r="M1691" s="43"/>
    </row>
    <row r="1692" spans="1:13" ht="13.5" customHeight="1" x14ac:dyDescent="0.25">
      <c r="A1692" s="43"/>
      <c r="B1692" s="43"/>
      <c r="C1692" s="35">
        <f t="shared" si="32"/>
        <v>34</v>
      </c>
      <c r="D1692" s="35" t="str" cm="1">
        <f t="array" ref="D1692">IFERROR(ROUNDUP(_xlfn.IFS(F1692="Aluminum Track", _xlfn.XLOOKUP(C1692, dd_accsrycalc!$A$2:$A$51, dd_accsrycalc!$B$2:$B$51, "",0), F1692="10 x 2 1/2 S (Flat)", _xlfn.XLOOKUP(C1692, dd_accsrycalc!$A$2:$A$51, dd_accsrycalc!$C$2:$C$51, "",0), F1692="Tox6", _xlfn.XLOOKUP(C1692, dd_accsrycalc!$A$2:$A$51, dd_accsrycalc!$D$2:$D$51, "",0), F1692="Cover Cap", _xlfn.XLOOKUP(C1692, dd_accsrycalc!$A$2:$A$51, dd_accsrycalc!$E$2:$E$51, "",0), F1692="Drainage Cover", _xlfn.XLOOKUP(C1692, dd_accsrycalc!$A$2:$A$51, dd_accsrycalc!$F$2:$F$51, "",0),AND( F1692="Double Adhesive Tape", I1692="Roll-up Screen"), _xlfn.XLOOKUP(C1692, calc_rusacc!$C$15:$C$65, calc_rusacc!$AD$15:$AD$65, "",0),AND( F1692="Sealant", I1692="Roll-up Screen"), _xlfn.XLOOKUP(C1692, calc_rusacc!$C$15:$C$65, calc_rusacc!$AF$15:$AF$65, "",0),  AND( F1692="Main Chain", I1692="Accordion Screen"), _xlfn.XLOOKUP(C1692, calc_rusacc!$C$15:$C$65, calc_rusacc!$BF$15:$BF$65, "",0), AND( F1692="Sealant", I1692="Accordion Screen"), _xlfn.XLOOKUP(C1692, calc_rusacc!$C$15:$C$65, calc_rusacc!$BJ$15:$BJ$65, "",0),  F1692="Sealant", _xlfn.XLOOKUP(C1692, dd_accsrycalc!$A$2:$A$51, dd_accsrycalc!$G$2:$G$51, "",0),  F1692&lt;&gt;"",L1692*_xlfn.XLOOKUP(1, (SKUs!$C$2:$C$10001=G1692)*(SKUs!$K$2:$K$10001=I1692),SKUs!$E$2:$E$10001)), 0),"")</f>
        <v/>
      </c>
      <c r="E1692" s="35" t="str">
        <f>_xlfn.XLOOKUP(F1692,dd_item!$B$2:$B$105,dd_item!$C$2:$C$105,"",0)</f>
        <v/>
      </c>
      <c r="F1692" s="35"/>
      <c r="G1692" s="35" cm="1">
        <f t="array" ref="G1692">IFERROR(_xlfn.XLOOKUP(1, (SKUs!$J$2:$J$10001=accsry_unmerged!F1692)*IF(H1692&lt;&gt;"",(SKUs!$L$2:$L$10001=accsry_unmerged!H1692),1)*(SKUs!$K$2:$K$10001=I1692),SKUs!$C$2:$C$10001),"")</f>
        <v>0</v>
      </c>
      <c r="H1692" s="36" cm="1">
        <f t="array" ref="H1692">IFERROR(_xlfn.XLOOKUP(1, (dd_accsryclr!$C$2:$C$1000=accsry_unmerged!F1692)*(dd_accsryclr!$B$2:$B$1000=accsry_unmerged!J1692),dd_accsryclr!$A$2:$A$1000),"")</f>
        <v>0</v>
      </c>
      <c r="I1692" s="35">
        <f>_xlfn.XLOOKUP(C1692,'Project Details'!$C$17:$C$66,'Project Details'!$E$17:$E$66,"",0)</f>
        <v>0</v>
      </c>
      <c r="J1692" s="35">
        <f>_xlfn.XLOOKUP(C1692,'Project Details'!$C$17:$C$66,'Project Details'!$H$17:$H$66,"",0)</f>
        <v>0</v>
      </c>
      <c r="K1692" s="36" t="str">
        <f>IF(AND(_xlfn.XLOOKUP(C1692,'Project Details'!$C$17:$C$66,'Project Details'!$L$17:$L$66,"",0)&gt;550, F1692="Spring-L27cm"),"",SUBSTITUTE(_xlfn.XLOOKUP(G1692,SKUs!$C$2:$C$10001,SKUs!$F$2:$F$10001,"",0), " Accessories",""))</f>
        <v/>
      </c>
      <c r="L1692" s="36">
        <f>_xlfn.XLOOKUP(C1692,'Project Details'!$C$17:$C$66,'Project Details'!$D$17:$D$66,"",0)</f>
        <v>0</v>
      </c>
      <c r="M1692" s="43"/>
    </row>
    <row r="1693" spans="1:13" ht="13.5" customHeight="1" x14ac:dyDescent="0.25">
      <c r="A1693" s="43"/>
      <c r="B1693" s="43"/>
      <c r="C1693" s="16">
        <f t="shared" si="32"/>
        <v>34</v>
      </c>
      <c r="D1693" s="16" t="str" cm="1">
        <f t="array" ref="D1693">IFERROR(ROUNDUP(_xlfn.IFS(F1693="Aluminum Track", _xlfn.XLOOKUP(C1693, dd_accsrycalc!$A$2:$A$51, dd_accsrycalc!$B$2:$B$51, "",0), F1693="10 x 2 1/2 S (Flat)", _xlfn.XLOOKUP(C1693, dd_accsrycalc!$A$2:$A$51, dd_accsrycalc!$C$2:$C$51, "",0), F1693="Tox6", _xlfn.XLOOKUP(C1693, dd_accsrycalc!$A$2:$A$51, dd_accsrycalc!$D$2:$D$51, "",0), F1693="Cover Cap", _xlfn.XLOOKUP(C1693, dd_accsrycalc!$A$2:$A$51, dd_accsrycalc!$E$2:$E$51, "",0), F1693="Drainage Cover", _xlfn.XLOOKUP(C1693, dd_accsrycalc!$A$2:$A$51, dd_accsrycalc!$F$2:$F$51, "",0),AND( F1693="Double Adhesive Tape", I1693="Roll-up Screen"), _xlfn.XLOOKUP(C1693, calc_rusacc!$C$15:$C$65, calc_rusacc!$AD$15:$AD$65, "",0),AND( F1693="Sealant", I1693="Roll-up Screen"), _xlfn.XLOOKUP(C1693, calc_rusacc!$C$15:$C$65, calc_rusacc!$AF$15:$AF$65, "",0),  AND( F1693="Main Chain", I1693="Accordion Screen"), _xlfn.XLOOKUP(C1693, calc_rusacc!$C$15:$C$65, calc_rusacc!$BF$15:$BF$65, "",0), AND( F1693="Sealant", I1693="Accordion Screen"), _xlfn.XLOOKUP(C1693, calc_rusacc!$C$15:$C$65, calc_rusacc!$BJ$15:$BJ$65, "",0),  F1693="Sealant", _xlfn.XLOOKUP(C1693, dd_accsrycalc!$A$2:$A$51, dd_accsrycalc!$G$2:$G$51, "",0),  F1693&lt;&gt;"",L1693*_xlfn.XLOOKUP(1, (SKUs!$C$2:$C$10001=G1693)*(SKUs!$K$2:$K$10001=I1693),SKUs!$E$2:$E$10001)), 0),"")</f>
        <v/>
      </c>
      <c r="E1693" s="16" t="str">
        <f>_xlfn.XLOOKUP(F1693,dd_item!$B$2:$B$105,dd_item!$C$2:$C$105,"",0)</f>
        <v/>
      </c>
      <c r="F1693" s="16"/>
      <c r="G1693" s="16" cm="1">
        <f t="array" ref="G1693">IFERROR(_xlfn.XLOOKUP(1, (SKUs!$J$2:$J$10001=accsry_unmerged!F1693)*IF(H1693&lt;&gt;"",(SKUs!$L$2:$L$10001=accsry_unmerged!H1693),1)*(SKUs!$K$2:$K$10001=I1693),SKUs!$C$2:$C$10001),"")</f>
        <v>0</v>
      </c>
      <c r="H1693" s="33" cm="1">
        <f t="array" ref="H1693">IFERROR(_xlfn.XLOOKUP(1, (dd_accsryclr!$C$2:$C$1000=accsry_unmerged!F1693)*(dd_accsryclr!$B$2:$B$1000=accsry_unmerged!J1693),dd_accsryclr!$A$2:$A$1000),"")</f>
        <v>0</v>
      </c>
      <c r="I1693" s="16">
        <f>_xlfn.XLOOKUP(C1693,'Project Details'!$C$17:$C$66,'Project Details'!$E$17:$E$66,"",0)</f>
        <v>0</v>
      </c>
      <c r="J1693" s="16">
        <f>_xlfn.XLOOKUP(C1693,'Project Details'!$C$17:$C$66,'Project Details'!$H$17:$H$66,"",0)</f>
        <v>0</v>
      </c>
      <c r="K1693" s="33" t="str">
        <f>IF(AND(_xlfn.XLOOKUP(C1693,'Project Details'!$C$17:$C$66,'Project Details'!$L$17:$L$66,"",0)&gt;550, F1693="Spring-L27cm"),"",SUBSTITUTE(_xlfn.XLOOKUP(G1693,SKUs!$C$2:$C$10001,SKUs!$F$2:$F$10001,"",0), " Accessories",""))</f>
        <v/>
      </c>
      <c r="L1693" s="33">
        <f>_xlfn.XLOOKUP(C1693,'Project Details'!$C$17:$C$66,'Project Details'!$D$17:$D$66,"",0)</f>
        <v>0</v>
      </c>
      <c r="M1693" s="43"/>
    </row>
    <row r="1694" spans="1:13" ht="13.5" customHeight="1" x14ac:dyDescent="0.25">
      <c r="A1694" s="43"/>
      <c r="B1694" s="43"/>
      <c r="C1694" s="35">
        <f t="shared" si="32"/>
        <v>34</v>
      </c>
      <c r="D1694" s="35" t="str" cm="1">
        <f t="array" ref="D1694">IFERROR(ROUNDUP(_xlfn.IFS(F1694="Aluminum Track", _xlfn.XLOOKUP(C1694, dd_accsrycalc!$A$2:$A$51, dd_accsrycalc!$B$2:$B$51, "",0), F1694="10 x 2 1/2 S (Flat)", _xlfn.XLOOKUP(C1694, dd_accsrycalc!$A$2:$A$51, dd_accsrycalc!$C$2:$C$51, "",0), F1694="Tox6", _xlfn.XLOOKUP(C1694, dd_accsrycalc!$A$2:$A$51, dd_accsrycalc!$D$2:$D$51, "",0), F1694="Cover Cap", _xlfn.XLOOKUP(C1694, dd_accsrycalc!$A$2:$A$51, dd_accsrycalc!$E$2:$E$51, "",0), F1694="Drainage Cover", _xlfn.XLOOKUP(C1694, dd_accsrycalc!$A$2:$A$51, dd_accsrycalc!$F$2:$F$51, "",0),AND( F1694="Double Adhesive Tape", I1694="Roll-up Screen"), _xlfn.XLOOKUP(C1694, calc_rusacc!$C$15:$C$65, calc_rusacc!$AD$15:$AD$65, "",0),AND( F1694="Sealant", I1694="Roll-up Screen"), _xlfn.XLOOKUP(C1694, calc_rusacc!$C$15:$C$65, calc_rusacc!$AF$15:$AF$65, "",0),  AND( F1694="Main Chain", I1694="Accordion Screen"), _xlfn.XLOOKUP(C1694, calc_rusacc!$C$15:$C$65, calc_rusacc!$BF$15:$BF$65, "",0), AND( F1694="Sealant", I1694="Accordion Screen"), _xlfn.XLOOKUP(C1694, calc_rusacc!$C$15:$C$65, calc_rusacc!$BJ$15:$BJ$65, "",0),  F1694="Sealant", _xlfn.XLOOKUP(C1694, dd_accsrycalc!$A$2:$A$51, dd_accsrycalc!$G$2:$G$51, "",0),  F1694&lt;&gt;"",L1694*_xlfn.XLOOKUP(1, (SKUs!$C$2:$C$10001=G1694)*(SKUs!$K$2:$K$10001=I1694),SKUs!$E$2:$E$10001)), 0),"")</f>
        <v/>
      </c>
      <c r="E1694" s="35" t="str">
        <f>_xlfn.XLOOKUP(F1694,dd_item!$B$2:$B$105,dd_item!$C$2:$C$105,"",0)</f>
        <v/>
      </c>
      <c r="F1694" s="35"/>
      <c r="G1694" s="35" cm="1">
        <f t="array" ref="G1694">IFERROR(_xlfn.XLOOKUP(1, (SKUs!$J$2:$J$10001=accsry_unmerged!F1694)*IF(H1694&lt;&gt;"",(SKUs!$L$2:$L$10001=accsry_unmerged!H1694),1)*(SKUs!$K$2:$K$10001=I1694),SKUs!$C$2:$C$10001),"")</f>
        <v>0</v>
      </c>
      <c r="H1694" s="36" cm="1">
        <f t="array" ref="H1694">IFERROR(_xlfn.XLOOKUP(1, (dd_accsryclr!$C$2:$C$1000=accsry_unmerged!F1694)*(dd_accsryclr!$B$2:$B$1000=accsry_unmerged!J1694),dd_accsryclr!$A$2:$A$1000),"")</f>
        <v>0</v>
      </c>
      <c r="I1694" s="35">
        <f>_xlfn.XLOOKUP(C1694,'Project Details'!$C$17:$C$66,'Project Details'!$E$17:$E$66,"",0)</f>
        <v>0</v>
      </c>
      <c r="J1694" s="35">
        <f>_xlfn.XLOOKUP(C1694,'Project Details'!$C$17:$C$66,'Project Details'!$H$17:$H$66,"",0)</f>
        <v>0</v>
      </c>
      <c r="K1694" s="36" t="str">
        <f>IF(AND(_xlfn.XLOOKUP(C1694,'Project Details'!$C$17:$C$66,'Project Details'!$L$17:$L$66,"",0)&gt;550, F1694="Spring-L27cm"),"",SUBSTITUTE(_xlfn.XLOOKUP(G1694,SKUs!$C$2:$C$10001,SKUs!$F$2:$F$10001,"",0), " Accessories",""))</f>
        <v/>
      </c>
      <c r="L1694" s="36">
        <f>_xlfn.XLOOKUP(C1694,'Project Details'!$C$17:$C$66,'Project Details'!$D$17:$D$66,"",0)</f>
        <v>0</v>
      </c>
      <c r="M1694" s="43"/>
    </row>
    <row r="1695" spans="1:13" ht="13.5" customHeight="1" outlineLevel="1" x14ac:dyDescent="0.25">
      <c r="A1695" s="43"/>
      <c r="B1695" s="43"/>
      <c r="C1695" s="16">
        <f t="shared" si="32"/>
        <v>34</v>
      </c>
      <c r="D1695" s="16" t="str" cm="1">
        <f t="array" ref="D1695">IFERROR(ROUNDUP(_xlfn.IFS(F1695="Aluminum Track", _xlfn.XLOOKUP(C1695, dd_accsrycalc!$A$2:$A$51, dd_accsrycalc!$B$2:$B$51, "",0), F1695="10 x 2 1/2 S (Flat)", _xlfn.XLOOKUP(C1695, dd_accsrycalc!$A$2:$A$51, dd_accsrycalc!$C$2:$C$51, "",0), F1695="Tox6", _xlfn.XLOOKUP(C1695, dd_accsrycalc!$A$2:$A$51, dd_accsrycalc!$D$2:$D$51, "",0), F1695="Cover Cap", _xlfn.XLOOKUP(C1695, dd_accsrycalc!$A$2:$A$51, dd_accsrycalc!$E$2:$E$51, "",0), F1695="Drainage Cover", _xlfn.XLOOKUP(C1695, dd_accsrycalc!$A$2:$A$51, dd_accsrycalc!$F$2:$F$51, "",0),AND( F1695="Double Adhesive Tape", I1695="Roll-up Screen"), _xlfn.XLOOKUP(C1695, calc_rusacc!$C$15:$C$65, calc_rusacc!$AD$15:$AD$65, "",0),AND( F1695="Sealant", I1695="Roll-up Screen"), _xlfn.XLOOKUP(C1695, calc_rusacc!$C$15:$C$65, calc_rusacc!$AF$15:$AF$65, "",0),  AND( F1695="Main Chain", I1695="Accordion Screen"), _xlfn.XLOOKUP(C1695, calc_rusacc!$C$15:$C$65, calc_rusacc!$BF$15:$BF$65, "",0), AND( F1695="Sealant", I1695="Accordion Screen"), _xlfn.XLOOKUP(C1695, calc_rusacc!$C$15:$C$65, calc_rusacc!$BJ$15:$BJ$65, "",0),  F1695="Sealant", _xlfn.XLOOKUP(C1695, dd_accsrycalc!$A$2:$A$51, dd_accsrycalc!$G$2:$G$51, "",0),  F1695&lt;&gt;"",L1695*_xlfn.XLOOKUP(1, (SKUs!$C$2:$C$10001=G1695)*(SKUs!$K$2:$K$10001=I1695),SKUs!$E$2:$E$10001)), 0),"")</f>
        <v/>
      </c>
      <c r="E1695" s="16" t="str">
        <f>_xlfn.XLOOKUP(F1695,dd_item!$B$2:$B$105,dd_item!$C$2:$C$105,"",0)</f>
        <v/>
      </c>
      <c r="F1695" s="16"/>
      <c r="G1695" s="16" cm="1">
        <f t="array" ref="G1695">IFERROR(_xlfn.XLOOKUP(1, (SKUs!$J$2:$J$10001=accsry_unmerged!F1695)*IF(H1695&lt;&gt;"",(SKUs!$L$2:$L$10001=accsry_unmerged!H1695),1)*(SKUs!$K$2:$K$10001=I1695),SKUs!$C$2:$C$10001),"")</f>
        <v>0</v>
      </c>
      <c r="H1695" s="33" cm="1">
        <f t="array" ref="H1695">IFERROR(_xlfn.XLOOKUP(1, (dd_accsryclr!$C$2:$C$1000=accsry_unmerged!F1695)*(dd_accsryclr!$B$2:$B$1000=accsry_unmerged!J1695),dd_accsryclr!$A$2:$A$1000),"")</f>
        <v>0</v>
      </c>
      <c r="I1695" s="16">
        <f>_xlfn.XLOOKUP(C1695,'Project Details'!$C$17:$C$66,'Project Details'!$E$17:$E$66,"",0)</f>
        <v>0</v>
      </c>
      <c r="J1695" s="16">
        <f>_xlfn.XLOOKUP(C1695,'Project Details'!$C$17:$C$66,'Project Details'!$H$17:$H$66,"",0)</f>
        <v>0</v>
      </c>
      <c r="K1695" s="33" t="str">
        <f>IF(AND(_xlfn.XLOOKUP(C1695,'Project Details'!$C$17:$C$66,'Project Details'!$L$17:$L$66,"",0)&gt;550, F1695="Spring-L27cm"),"",SUBSTITUTE(_xlfn.XLOOKUP(G1695,SKUs!$C$2:$C$10001,SKUs!$F$2:$F$10001,"",0), " Accessories",""))</f>
        <v/>
      </c>
      <c r="L1695" s="33">
        <f>_xlfn.XLOOKUP(C1695,'Project Details'!$C$17:$C$66,'Project Details'!$D$17:$D$66,"",0)</f>
        <v>0</v>
      </c>
      <c r="M1695" s="43"/>
    </row>
    <row r="1696" spans="1:13" ht="13.5" customHeight="1" outlineLevel="1" x14ac:dyDescent="0.25">
      <c r="A1696" s="43"/>
      <c r="B1696" s="43"/>
      <c r="C1696" s="35">
        <f t="shared" si="32"/>
        <v>34</v>
      </c>
      <c r="D1696" s="35" t="str" cm="1">
        <f t="array" ref="D1696">IFERROR(ROUNDUP(_xlfn.IFS(F1696="Aluminum Track", _xlfn.XLOOKUP(C1696, dd_accsrycalc!$A$2:$A$51, dd_accsrycalc!$B$2:$B$51, "",0), F1696="10 x 2 1/2 S (Flat)", _xlfn.XLOOKUP(C1696, dd_accsrycalc!$A$2:$A$51, dd_accsrycalc!$C$2:$C$51, "",0), F1696="Tox6", _xlfn.XLOOKUP(C1696, dd_accsrycalc!$A$2:$A$51, dd_accsrycalc!$D$2:$D$51, "",0), F1696="Cover Cap", _xlfn.XLOOKUP(C1696, dd_accsrycalc!$A$2:$A$51, dd_accsrycalc!$E$2:$E$51, "",0), F1696="Drainage Cover", _xlfn.XLOOKUP(C1696, dd_accsrycalc!$A$2:$A$51, dd_accsrycalc!$F$2:$F$51, "",0),AND( F1696="Double Adhesive Tape", I1696="Roll-up Screen"), _xlfn.XLOOKUP(C1696, calc_rusacc!$C$15:$C$65, calc_rusacc!$AD$15:$AD$65, "",0),AND( F1696="Sealant", I1696="Roll-up Screen"), _xlfn.XLOOKUP(C1696, calc_rusacc!$C$15:$C$65, calc_rusacc!$AF$15:$AF$65, "",0),  AND( F1696="Main Chain", I1696="Accordion Screen"), _xlfn.XLOOKUP(C1696, calc_rusacc!$C$15:$C$65, calc_rusacc!$BF$15:$BF$65, "",0), AND( F1696="Sealant", I1696="Accordion Screen"), _xlfn.XLOOKUP(C1696, calc_rusacc!$C$15:$C$65, calc_rusacc!$BJ$15:$BJ$65, "",0),  F1696="Sealant", _xlfn.XLOOKUP(C1696, dd_accsrycalc!$A$2:$A$51, dd_accsrycalc!$G$2:$G$51, "",0),  F1696&lt;&gt;"",L1696*_xlfn.XLOOKUP(1, (SKUs!$C$2:$C$10001=G1696)*(SKUs!$K$2:$K$10001=I1696),SKUs!$E$2:$E$10001)), 0),"")</f>
        <v/>
      </c>
      <c r="E1696" s="35" t="str">
        <f>_xlfn.XLOOKUP(F1696,dd_item!$B$2:$B$105,dd_item!$C$2:$C$105,"",0)</f>
        <v/>
      </c>
      <c r="F1696" s="35"/>
      <c r="G1696" s="35" cm="1">
        <f t="array" ref="G1696">IFERROR(_xlfn.XLOOKUP(1, (SKUs!$J$2:$J$10001=accsry_unmerged!F1696)*IF(H1696&lt;&gt;"",(SKUs!$L$2:$L$10001=accsry_unmerged!H1696),1)*(SKUs!$K$2:$K$10001=I1696),SKUs!$C$2:$C$10001),"")</f>
        <v>0</v>
      </c>
      <c r="H1696" s="36" cm="1">
        <f t="array" ref="H1696">IFERROR(_xlfn.XLOOKUP(1, (dd_accsryclr!$C$2:$C$1000=accsry_unmerged!F1696)*(dd_accsryclr!$B$2:$B$1000=accsry_unmerged!J1696),dd_accsryclr!$A$2:$A$1000),"")</f>
        <v>0</v>
      </c>
      <c r="I1696" s="35">
        <f>_xlfn.XLOOKUP(C1696,'Project Details'!$C$17:$C$66,'Project Details'!$E$17:$E$66,"",0)</f>
        <v>0</v>
      </c>
      <c r="J1696" s="35">
        <f>_xlfn.XLOOKUP(C1696,'Project Details'!$C$17:$C$66,'Project Details'!$H$17:$H$66,"",0)</f>
        <v>0</v>
      </c>
      <c r="K1696" s="36" t="str">
        <f>IF(AND(_xlfn.XLOOKUP(C1696,'Project Details'!$C$17:$C$66,'Project Details'!$L$17:$L$66,"",0)&gt;550, F1696="Spring-L27cm"),"",SUBSTITUTE(_xlfn.XLOOKUP(G1696,SKUs!$C$2:$C$10001,SKUs!$F$2:$F$10001,"",0), " Accessories",""))</f>
        <v/>
      </c>
      <c r="L1696" s="36">
        <f>_xlfn.XLOOKUP(C1696,'Project Details'!$C$17:$C$66,'Project Details'!$D$17:$D$66,"",0)</f>
        <v>0</v>
      </c>
      <c r="M1696" s="43"/>
    </row>
    <row r="1697" spans="1:13" ht="13.5" customHeight="1" outlineLevel="1" x14ac:dyDescent="0.25">
      <c r="A1697" s="43"/>
      <c r="B1697" s="43"/>
      <c r="C1697" s="16">
        <f t="shared" si="32"/>
        <v>34</v>
      </c>
      <c r="D1697" s="16" t="str" cm="1">
        <f t="array" ref="D1697">IFERROR(ROUNDUP(_xlfn.IFS(F1697="Aluminum Track", _xlfn.XLOOKUP(C1697, dd_accsrycalc!$A$2:$A$51, dd_accsrycalc!$B$2:$B$51, "",0), F1697="10 x 2 1/2 S (Flat)", _xlfn.XLOOKUP(C1697, dd_accsrycalc!$A$2:$A$51, dd_accsrycalc!$C$2:$C$51, "",0), F1697="Tox6", _xlfn.XLOOKUP(C1697, dd_accsrycalc!$A$2:$A$51, dd_accsrycalc!$D$2:$D$51, "",0), F1697="Cover Cap", _xlfn.XLOOKUP(C1697, dd_accsrycalc!$A$2:$A$51, dd_accsrycalc!$E$2:$E$51, "",0), F1697="Drainage Cover", _xlfn.XLOOKUP(C1697, dd_accsrycalc!$A$2:$A$51, dd_accsrycalc!$F$2:$F$51, "",0),AND( F1697="Double Adhesive Tape", I1697="Roll-up Screen"), _xlfn.XLOOKUP(C1697, calc_rusacc!$C$15:$C$65, calc_rusacc!$AD$15:$AD$65, "",0),AND( F1697="Sealant", I1697="Roll-up Screen"), _xlfn.XLOOKUP(C1697, calc_rusacc!$C$15:$C$65, calc_rusacc!$AF$15:$AF$65, "",0),  AND( F1697="Main Chain", I1697="Accordion Screen"), _xlfn.XLOOKUP(C1697, calc_rusacc!$C$15:$C$65, calc_rusacc!$BF$15:$BF$65, "",0), AND( F1697="Sealant", I1697="Accordion Screen"), _xlfn.XLOOKUP(C1697, calc_rusacc!$C$15:$C$65, calc_rusacc!$BJ$15:$BJ$65, "",0),  F1697="Sealant", _xlfn.XLOOKUP(C1697, dd_accsrycalc!$A$2:$A$51, dd_accsrycalc!$G$2:$G$51, "",0),  F1697&lt;&gt;"",L1697*_xlfn.XLOOKUP(1, (SKUs!$C$2:$C$10001=G1697)*(SKUs!$K$2:$K$10001=I1697),SKUs!$E$2:$E$10001)), 0),"")</f>
        <v/>
      </c>
      <c r="E1697" s="16" t="str">
        <f>_xlfn.XLOOKUP(F1697,dd_item!$B$2:$B$105,dd_item!$C$2:$C$105,"",0)</f>
        <v/>
      </c>
      <c r="F1697" s="16"/>
      <c r="G1697" s="16" cm="1">
        <f t="array" ref="G1697">IFERROR(_xlfn.XLOOKUP(1, (SKUs!$J$2:$J$10001=accsry_unmerged!F1697)*IF(H1697&lt;&gt;"",(SKUs!$L$2:$L$10001=accsry_unmerged!H1697),1)*(SKUs!$K$2:$K$10001=I1697),SKUs!$C$2:$C$10001),"")</f>
        <v>0</v>
      </c>
      <c r="H1697" s="33" cm="1">
        <f t="array" ref="H1697">IFERROR(_xlfn.XLOOKUP(1, (dd_accsryclr!$C$2:$C$1000=accsry_unmerged!F1697)*(dd_accsryclr!$B$2:$B$1000=accsry_unmerged!J1697),dd_accsryclr!$A$2:$A$1000),"")</f>
        <v>0</v>
      </c>
      <c r="I1697" s="16">
        <f>_xlfn.XLOOKUP(C1697,'Project Details'!$C$17:$C$66,'Project Details'!$E$17:$E$66,"",0)</f>
        <v>0</v>
      </c>
      <c r="J1697" s="16">
        <f>_xlfn.XLOOKUP(C1697,'Project Details'!$C$17:$C$66,'Project Details'!$H$17:$H$66,"",0)</f>
        <v>0</v>
      </c>
      <c r="K1697" s="33" t="str">
        <f>IF(AND(_xlfn.XLOOKUP(C1697,'Project Details'!$C$17:$C$66,'Project Details'!$L$17:$L$66,"",0)&gt;550, F1697="Spring-L27cm"),"",SUBSTITUTE(_xlfn.XLOOKUP(G1697,SKUs!$C$2:$C$10001,SKUs!$F$2:$F$10001,"",0), " Accessories",""))</f>
        <v/>
      </c>
      <c r="L1697" s="33">
        <f>_xlfn.XLOOKUP(C1697,'Project Details'!$C$17:$C$66,'Project Details'!$D$17:$D$66,"",0)</f>
        <v>0</v>
      </c>
      <c r="M1697" s="43"/>
    </row>
    <row r="1698" spans="1:13" ht="13.5" customHeight="1" outlineLevel="1" x14ac:dyDescent="0.25">
      <c r="A1698" s="43"/>
      <c r="B1698" s="43"/>
      <c r="C1698" s="35">
        <f t="shared" si="32"/>
        <v>34</v>
      </c>
      <c r="D1698" s="35" t="str" cm="1">
        <f t="array" ref="D1698">IFERROR(ROUNDUP(_xlfn.IFS(F1698="Aluminum Track", _xlfn.XLOOKUP(C1698, dd_accsrycalc!$A$2:$A$51, dd_accsrycalc!$B$2:$B$51, "",0), F1698="10 x 2 1/2 S (Flat)", _xlfn.XLOOKUP(C1698, dd_accsrycalc!$A$2:$A$51, dd_accsrycalc!$C$2:$C$51, "",0), F1698="Tox6", _xlfn.XLOOKUP(C1698, dd_accsrycalc!$A$2:$A$51, dd_accsrycalc!$D$2:$D$51, "",0), F1698="Cover Cap", _xlfn.XLOOKUP(C1698, dd_accsrycalc!$A$2:$A$51, dd_accsrycalc!$E$2:$E$51, "",0), F1698="Drainage Cover", _xlfn.XLOOKUP(C1698, dd_accsrycalc!$A$2:$A$51, dd_accsrycalc!$F$2:$F$51, "",0),AND( F1698="Double Adhesive Tape", I1698="Roll-up Screen"), _xlfn.XLOOKUP(C1698, calc_rusacc!$C$15:$C$65, calc_rusacc!$AD$15:$AD$65, "",0),AND( F1698="Sealant", I1698="Roll-up Screen"), _xlfn.XLOOKUP(C1698, calc_rusacc!$C$15:$C$65, calc_rusacc!$AF$15:$AF$65, "",0),  AND( F1698="Main Chain", I1698="Accordion Screen"), _xlfn.XLOOKUP(C1698, calc_rusacc!$C$15:$C$65, calc_rusacc!$BF$15:$BF$65, "",0), AND( F1698="Sealant", I1698="Accordion Screen"), _xlfn.XLOOKUP(C1698, calc_rusacc!$C$15:$C$65, calc_rusacc!$BJ$15:$BJ$65, "",0),  F1698="Sealant", _xlfn.XLOOKUP(C1698, dd_accsrycalc!$A$2:$A$51, dd_accsrycalc!$G$2:$G$51, "",0),  F1698&lt;&gt;"",L1698*_xlfn.XLOOKUP(1, (SKUs!$C$2:$C$10001=G1698)*(SKUs!$K$2:$K$10001=I1698),SKUs!$E$2:$E$10001)), 0),"")</f>
        <v/>
      </c>
      <c r="E1698" s="35" t="str">
        <f>_xlfn.XLOOKUP(F1698,dd_item!$B$2:$B$105,dd_item!$C$2:$C$105,"",0)</f>
        <v/>
      </c>
      <c r="F1698" s="35"/>
      <c r="G1698" s="35" cm="1">
        <f t="array" ref="G1698">IFERROR(_xlfn.XLOOKUP(1, (SKUs!$J$2:$J$10001=accsry_unmerged!F1698)*IF(H1698&lt;&gt;"",(SKUs!$L$2:$L$10001=accsry_unmerged!H1698),1)*(SKUs!$K$2:$K$10001=I1698),SKUs!$C$2:$C$10001),"")</f>
        <v>0</v>
      </c>
      <c r="H1698" s="36" cm="1">
        <f t="array" ref="H1698">IFERROR(_xlfn.XLOOKUP(1, (dd_accsryclr!$C$2:$C$1000=accsry_unmerged!F1698)*(dd_accsryclr!$B$2:$B$1000=accsry_unmerged!J1698),dd_accsryclr!$A$2:$A$1000),"")</f>
        <v>0</v>
      </c>
      <c r="I1698" s="35">
        <f>_xlfn.XLOOKUP(C1698,'Project Details'!$C$17:$C$66,'Project Details'!$E$17:$E$66,"",0)</f>
        <v>0</v>
      </c>
      <c r="J1698" s="35">
        <f>_xlfn.XLOOKUP(C1698,'Project Details'!$C$17:$C$66,'Project Details'!$H$17:$H$66,"",0)</f>
        <v>0</v>
      </c>
      <c r="K1698" s="36" t="str">
        <f>IF(AND(_xlfn.XLOOKUP(C1698,'Project Details'!$C$17:$C$66,'Project Details'!$L$17:$L$66,"",0)&gt;550, F1698="Spring-L27cm"),"",SUBSTITUTE(_xlfn.XLOOKUP(G1698,SKUs!$C$2:$C$10001,SKUs!$F$2:$F$10001,"",0), " Accessories",""))</f>
        <v/>
      </c>
      <c r="L1698" s="36">
        <f>_xlfn.XLOOKUP(C1698,'Project Details'!$C$17:$C$66,'Project Details'!$D$17:$D$66,"",0)</f>
        <v>0</v>
      </c>
      <c r="M1698" s="43"/>
    </row>
    <row r="1699" spans="1:13" ht="13.5" customHeight="1" outlineLevel="1" x14ac:dyDescent="0.25">
      <c r="A1699" s="43"/>
      <c r="B1699" s="43"/>
      <c r="C1699" s="16">
        <f t="shared" si="32"/>
        <v>34</v>
      </c>
      <c r="D1699" s="16" t="str" cm="1">
        <f t="array" ref="D1699">IFERROR(ROUNDUP(_xlfn.IFS(F1699="Aluminum Track", _xlfn.XLOOKUP(C1699, dd_accsrycalc!$A$2:$A$51, dd_accsrycalc!$B$2:$B$51, "",0), F1699="10 x 2 1/2 S (Flat)", _xlfn.XLOOKUP(C1699, dd_accsrycalc!$A$2:$A$51, dd_accsrycalc!$C$2:$C$51, "",0), F1699="Tox6", _xlfn.XLOOKUP(C1699, dd_accsrycalc!$A$2:$A$51, dd_accsrycalc!$D$2:$D$51, "",0), F1699="Cover Cap", _xlfn.XLOOKUP(C1699, dd_accsrycalc!$A$2:$A$51, dd_accsrycalc!$E$2:$E$51, "",0), F1699="Drainage Cover", _xlfn.XLOOKUP(C1699, dd_accsrycalc!$A$2:$A$51, dd_accsrycalc!$F$2:$F$51, "",0),AND( F1699="Double Adhesive Tape", I1699="Roll-up Screen"), _xlfn.XLOOKUP(C1699, calc_rusacc!$C$15:$C$65, calc_rusacc!$AD$15:$AD$65, "",0),AND( F1699="Sealant", I1699="Roll-up Screen"), _xlfn.XLOOKUP(C1699, calc_rusacc!$C$15:$C$65, calc_rusacc!$AF$15:$AF$65, "",0),  AND( F1699="Main Chain", I1699="Accordion Screen"), _xlfn.XLOOKUP(C1699, calc_rusacc!$C$15:$C$65, calc_rusacc!$BF$15:$BF$65, "",0), AND( F1699="Sealant", I1699="Accordion Screen"), _xlfn.XLOOKUP(C1699, calc_rusacc!$C$15:$C$65, calc_rusacc!$BJ$15:$BJ$65, "",0),  F1699="Sealant", _xlfn.XLOOKUP(C1699, dd_accsrycalc!$A$2:$A$51, dd_accsrycalc!$G$2:$G$51, "",0),  F1699&lt;&gt;"",L1699*_xlfn.XLOOKUP(1, (SKUs!$C$2:$C$10001=G1699)*(SKUs!$K$2:$K$10001=I1699),SKUs!$E$2:$E$10001)), 0),"")</f>
        <v/>
      </c>
      <c r="E1699" s="16" t="str">
        <f>_xlfn.XLOOKUP(F1699,dd_item!$B$2:$B$105,dd_item!$C$2:$C$105,"",0)</f>
        <v/>
      </c>
      <c r="F1699" s="16"/>
      <c r="G1699" s="16" cm="1">
        <f t="array" ref="G1699">IFERROR(_xlfn.XLOOKUP(1, (SKUs!$J$2:$J$10001=accsry_unmerged!F1699)*IF(H1699&lt;&gt;"",(SKUs!$L$2:$L$10001=accsry_unmerged!H1699),1)*(SKUs!$K$2:$K$10001=I1699),SKUs!$C$2:$C$10001),"")</f>
        <v>0</v>
      </c>
      <c r="H1699" s="33" cm="1">
        <f t="array" ref="H1699">IFERROR(_xlfn.XLOOKUP(1, (dd_accsryclr!$C$2:$C$1000=accsry_unmerged!F1699)*(dd_accsryclr!$B$2:$B$1000=accsry_unmerged!J1699),dd_accsryclr!$A$2:$A$1000),"")</f>
        <v>0</v>
      </c>
      <c r="I1699" s="16">
        <f>_xlfn.XLOOKUP(C1699,'Project Details'!$C$17:$C$66,'Project Details'!$E$17:$E$66,"",0)</f>
        <v>0</v>
      </c>
      <c r="J1699" s="16">
        <f>_xlfn.XLOOKUP(C1699,'Project Details'!$C$17:$C$66,'Project Details'!$H$17:$H$66,"",0)</f>
        <v>0</v>
      </c>
      <c r="K1699" s="33" t="str">
        <f>IF(AND(_xlfn.XLOOKUP(C1699,'Project Details'!$C$17:$C$66,'Project Details'!$L$17:$L$66,"",0)&gt;550, F1699="Spring-L27cm"),"",SUBSTITUTE(_xlfn.XLOOKUP(G1699,SKUs!$C$2:$C$10001,SKUs!$F$2:$F$10001,"",0), " Accessories",""))</f>
        <v/>
      </c>
      <c r="L1699" s="33">
        <f>_xlfn.XLOOKUP(C1699,'Project Details'!$C$17:$C$66,'Project Details'!$D$17:$D$66,"",0)</f>
        <v>0</v>
      </c>
      <c r="M1699" s="43"/>
    </row>
    <row r="1700" spans="1:13" ht="13.5" customHeight="1" outlineLevel="1" x14ac:dyDescent="0.25">
      <c r="A1700" s="43"/>
      <c r="B1700" s="43"/>
      <c r="C1700" s="35">
        <f t="shared" si="32"/>
        <v>34</v>
      </c>
      <c r="D1700" s="35" t="str" cm="1">
        <f t="array" ref="D1700">IFERROR(ROUNDUP(_xlfn.IFS(F1700="Aluminum Track", _xlfn.XLOOKUP(C1700, dd_accsrycalc!$A$2:$A$51, dd_accsrycalc!$B$2:$B$51, "",0), F1700="10 x 2 1/2 S (Flat)", _xlfn.XLOOKUP(C1700, dd_accsrycalc!$A$2:$A$51, dd_accsrycalc!$C$2:$C$51, "",0), F1700="Tox6", _xlfn.XLOOKUP(C1700, dd_accsrycalc!$A$2:$A$51, dd_accsrycalc!$D$2:$D$51, "",0), F1700="Cover Cap", _xlfn.XLOOKUP(C1700, dd_accsrycalc!$A$2:$A$51, dd_accsrycalc!$E$2:$E$51, "",0), F1700="Drainage Cover", _xlfn.XLOOKUP(C1700, dd_accsrycalc!$A$2:$A$51, dd_accsrycalc!$F$2:$F$51, "",0),AND( F1700="Double Adhesive Tape", I1700="Roll-up Screen"), _xlfn.XLOOKUP(C1700, calc_rusacc!$C$15:$C$65, calc_rusacc!$AD$15:$AD$65, "",0),AND( F1700="Sealant", I1700="Roll-up Screen"), _xlfn.XLOOKUP(C1700, calc_rusacc!$C$15:$C$65, calc_rusacc!$AF$15:$AF$65, "",0),  AND( F1700="Main Chain", I1700="Accordion Screen"), _xlfn.XLOOKUP(C1700, calc_rusacc!$C$15:$C$65, calc_rusacc!$BF$15:$BF$65, "",0), AND( F1700="Sealant", I1700="Accordion Screen"), _xlfn.XLOOKUP(C1700, calc_rusacc!$C$15:$C$65, calc_rusacc!$BJ$15:$BJ$65, "",0),  F1700="Sealant", _xlfn.XLOOKUP(C1700, dd_accsrycalc!$A$2:$A$51, dd_accsrycalc!$G$2:$G$51, "",0),  F1700&lt;&gt;"",L1700*_xlfn.XLOOKUP(1, (SKUs!$C$2:$C$10001=G1700)*(SKUs!$K$2:$K$10001=I1700),SKUs!$E$2:$E$10001)), 0),"")</f>
        <v/>
      </c>
      <c r="E1700" s="35" t="str">
        <f>_xlfn.XLOOKUP(F1700,dd_item!$B$2:$B$105,dd_item!$C$2:$C$105,"",0)</f>
        <v/>
      </c>
      <c r="F1700" s="35"/>
      <c r="G1700" s="35" cm="1">
        <f t="array" ref="G1700">IFERROR(_xlfn.XLOOKUP(1, (SKUs!$J$2:$J$10001=accsry_unmerged!F1700)*IF(H1700&lt;&gt;"",(SKUs!$L$2:$L$10001=accsry_unmerged!H1700),1)*(SKUs!$K$2:$K$10001=I1700),SKUs!$C$2:$C$10001),"")</f>
        <v>0</v>
      </c>
      <c r="H1700" s="36" cm="1">
        <f t="array" ref="H1700">IFERROR(_xlfn.XLOOKUP(1, (dd_accsryclr!$C$2:$C$1000=accsry_unmerged!F1700)*(dd_accsryclr!$B$2:$B$1000=accsry_unmerged!J1700),dd_accsryclr!$A$2:$A$1000),"")</f>
        <v>0</v>
      </c>
      <c r="I1700" s="35">
        <f>_xlfn.XLOOKUP(C1700,'Project Details'!$C$17:$C$66,'Project Details'!$E$17:$E$66,"",0)</f>
        <v>0</v>
      </c>
      <c r="J1700" s="35">
        <f>_xlfn.XLOOKUP(C1700,'Project Details'!$C$17:$C$66,'Project Details'!$H$17:$H$66,"",0)</f>
        <v>0</v>
      </c>
      <c r="K1700" s="36" t="str">
        <f>IF(AND(_xlfn.XLOOKUP(C1700,'Project Details'!$C$17:$C$66,'Project Details'!$L$17:$L$66,"",0)&gt;550, F1700="Spring-L27cm"),"",SUBSTITUTE(_xlfn.XLOOKUP(G1700,SKUs!$C$2:$C$10001,SKUs!$F$2:$F$10001,"",0), " Accessories",""))</f>
        <v/>
      </c>
      <c r="L1700" s="36">
        <f>_xlfn.XLOOKUP(C1700,'Project Details'!$C$17:$C$66,'Project Details'!$D$17:$D$66,"",0)</f>
        <v>0</v>
      </c>
      <c r="M1700" s="43"/>
    </row>
    <row r="1701" spans="1:13" ht="13.5" customHeight="1" outlineLevel="1" x14ac:dyDescent="0.25">
      <c r="A1701" s="43"/>
      <c r="B1701" s="43"/>
      <c r="C1701" s="16">
        <f t="shared" si="32"/>
        <v>34</v>
      </c>
      <c r="D1701" s="16" t="str" cm="1">
        <f t="array" ref="D1701">IFERROR(ROUNDUP(_xlfn.IFS(F1701="Aluminum Track", _xlfn.XLOOKUP(C1701, dd_accsrycalc!$A$2:$A$51, dd_accsrycalc!$B$2:$B$51, "",0), F1701="10 x 2 1/2 S (Flat)", _xlfn.XLOOKUP(C1701, dd_accsrycalc!$A$2:$A$51, dd_accsrycalc!$C$2:$C$51, "",0), F1701="Tox6", _xlfn.XLOOKUP(C1701, dd_accsrycalc!$A$2:$A$51, dd_accsrycalc!$D$2:$D$51, "",0), F1701="Cover Cap", _xlfn.XLOOKUP(C1701, dd_accsrycalc!$A$2:$A$51, dd_accsrycalc!$E$2:$E$51, "",0), F1701="Drainage Cover", _xlfn.XLOOKUP(C1701, dd_accsrycalc!$A$2:$A$51, dd_accsrycalc!$F$2:$F$51, "",0),AND( F1701="Double Adhesive Tape", I1701="Roll-up Screen"), _xlfn.XLOOKUP(C1701, calc_rusacc!$C$15:$C$65, calc_rusacc!$AD$15:$AD$65, "",0),AND( F1701="Sealant", I1701="Roll-up Screen"), _xlfn.XLOOKUP(C1701, calc_rusacc!$C$15:$C$65, calc_rusacc!$AF$15:$AF$65, "",0),  AND( F1701="Main Chain", I1701="Accordion Screen"), _xlfn.XLOOKUP(C1701, calc_rusacc!$C$15:$C$65, calc_rusacc!$BF$15:$BF$65, "",0), AND( F1701="Sealant", I1701="Accordion Screen"), _xlfn.XLOOKUP(C1701, calc_rusacc!$C$15:$C$65, calc_rusacc!$BJ$15:$BJ$65, "",0),  F1701="Sealant", _xlfn.XLOOKUP(C1701, dd_accsrycalc!$A$2:$A$51, dd_accsrycalc!$G$2:$G$51, "",0),  F1701&lt;&gt;"",L1701*_xlfn.XLOOKUP(1, (SKUs!$C$2:$C$10001=G1701)*(SKUs!$K$2:$K$10001=I1701),SKUs!$E$2:$E$10001)), 0),"")</f>
        <v/>
      </c>
      <c r="E1701" s="16" t="str">
        <f>_xlfn.XLOOKUP(F1701,dd_item!$B$2:$B$105,dd_item!$C$2:$C$105,"",0)</f>
        <v/>
      </c>
      <c r="F1701" s="16"/>
      <c r="G1701" s="16" cm="1">
        <f t="array" ref="G1701">IFERROR(_xlfn.XLOOKUP(1, (SKUs!$J$2:$J$10001=accsry_unmerged!F1701)*IF(H1701&lt;&gt;"",(SKUs!$L$2:$L$10001=accsry_unmerged!H1701),1)*(SKUs!$K$2:$K$10001=I1701),SKUs!$C$2:$C$10001),"")</f>
        <v>0</v>
      </c>
      <c r="H1701" s="33" cm="1">
        <f t="array" ref="H1701">IFERROR(_xlfn.XLOOKUP(1, (dd_accsryclr!$C$2:$C$1000=accsry_unmerged!F1701)*(dd_accsryclr!$B$2:$B$1000=accsry_unmerged!J1701),dd_accsryclr!$A$2:$A$1000),"")</f>
        <v>0</v>
      </c>
      <c r="I1701" s="16">
        <f>_xlfn.XLOOKUP(C1701,'Project Details'!$C$17:$C$66,'Project Details'!$E$17:$E$66,"",0)</f>
        <v>0</v>
      </c>
      <c r="J1701" s="16">
        <f>_xlfn.XLOOKUP(C1701,'Project Details'!$C$17:$C$66,'Project Details'!$H$17:$H$66,"",0)</f>
        <v>0</v>
      </c>
      <c r="K1701" s="33" t="str">
        <f>IF(AND(_xlfn.XLOOKUP(C1701,'Project Details'!$C$17:$C$66,'Project Details'!$L$17:$L$66,"",0)&gt;550, F1701="Spring-L27cm"),"",SUBSTITUTE(_xlfn.XLOOKUP(G1701,SKUs!$C$2:$C$10001,SKUs!$F$2:$F$10001,"",0), " Accessories",""))</f>
        <v/>
      </c>
      <c r="L1701" s="33">
        <f>_xlfn.XLOOKUP(C1701,'Project Details'!$C$17:$C$66,'Project Details'!$D$17:$D$66,"",0)</f>
        <v>0</v>
      </c>
      <c r="M1701" s="43"/>
    </row>
    <row r="1702" spans="1:13" ht="13.5" customHeight="1" outlineLevel="1" x14ac:dyDescent="0.25">
      <c r="A1702" s="43"/>
      <c r="B1702" s="43"/>
      <c r="C1702" s="35">
        <f t="shared" si="32"/>
        <v>34</v>
      </c>
      <c r="D1702" s="35" t="str" cm="1">
        <f t="array" ref="D1702">IFERROR(ROUNDUP(_xlfn.IFS(F1702="Aluminum Track", _xlfn.XLOOKUP(C1702, dd_accsrycalc!$A$2:$A$51, dd_accsrycalc!$B$2:$B$51, "",0), F1702="10 x 2 1/2 S (Flat)", _xlfn.XLOOKUP(C1702, dd_accsrycalc!$A$2:$A$51, dd_accsrycalc!$C$2:$C$51, "",0), F1702="Tox6", _xlfn.XLOOKUP(C1702, dd_accsrycalc!$A$2:$A$51, dd_accsrycalc!$D$2:$D$51, "",0), F1702="Cover Cap", _xlfn.XLOOKUP(C1702, dd_accsrycalc!$A$2:$A$51, dd_accsrycalc!$E$2:$E$51, "",0), F1702="Drainage Cover", _xlfn.XLOOKUP(C1702, dd_accsrycalc!$A$2:$A$51, dd_accsrycalc!$F$2:$F$51, "",0),AND( F1702="Double Adhesive Tape", I1702="Roll-up Screen"), _xlfn.XLOOKUP(C1702, calc_rusacc!$C$15:$C$65, calc_rusacc!$AD$15:$AD$65, "",0),AND( F1702="Sealant", I1702="Roll-up Screen"), _xlfn.XLOOKUP(C1702, calc_rusacc!$C$15:$C$65, calc_rusacc!$AF$15:$AF$65, "",0),  AND( F1702="Main Chain", I1702="Accordion Screen"), _xlfn.XLOOKUP(C1702, calc_rusacc!$C$15:$C$65, calc_rusacc!$BF$15:$BF$65, "",0), AND( F1702="Sealant", I1702="Accordion Screen"), _xlfn.XLOOKUP(C1702, calc_rusacc!$C$15:$C$65, calc_rusacc!$BJ$15:$BJ$65, "",0),  F1702="Sealant", _xlfn.XLOOKUP(C1702, dd_accsrycalc!$A$2:$A$51, dd_accsrycalc!$G$2:$G$51, "",0),  F1702&lt;&gt;"",L1702*_xlfn.XLOOKUP(1, (SKUs!$C$2:$C$10001=G1702)*(SKUs!$K$2:$K$10001=I1702),SKUs!$E$2:$E$10001)), 0),"")</f>
        <v/>
      </c>
      <c r="E1702" s="35" t="str">
        <f>_xlfn.XLOOKUP(F1702,dd_item!$B$2:$B$105,dd_item!$C$2:$C$105,"",0)</f>
        <v/>
      </c>
      <c r="F1702" s="35"/>
      <c r="G1702" s="35" cm="1">
        <f t="array" ref="G1702">IFERROR(_xlfn.XLOOKUP(1, (SKUs!$J$2:$J$10001=accsry_unmerged!F1702)*IF(H1702&lt;&gt;"",(SKUs!$L$2:$L$10001=accsry_unmerged!H1702),1)*(SKUs!$K$2:$K$10001=I1702),SKUs!$C$2:$C$10001),"")</f>
        <v>0</v>
      </c>
      <c r="H1702" s="36" cm="1">
        <f t="array" ref="H1702">IFERROR(_xlfn.XLOOKUP(1, (dd_accsryclr!$C$2:$C$1000=accsry_unmerged!F1702)*(dd_accsryclr!$B$2:$B$1000=accsry_unmerged!J1702),dd_accsryclr!$A$2:$A$1000),"")</f>
        <v>0</v>
      </c>
      <c r="I1702" s="35">
        <f>_xlfn.XLOOKUP(C1702,'Project Details'!$C$17:$C$66,'Project Details'!$E$17:$E$66,"",0)</f>
        <v>0</v>
      </c>
      <c r="J1702" s="35">
        <f>_xlfn.XLOOKUP(C1702,'Project Details'!$C$17:$C$66,'Project Details'!$H$17:$H$66,"",0)</f>
        <v>0</v>
      </c>
      <c r="K1702" s="36" t="str">
        <f>IF(AND(_xlfn.XLOOKUP(C1702,'Project Details'!$C$17:$C$66,'Project Details'!$L$17:$L$66,"",0)&gt;550, F1702="Spring-L27cm"),"",SUBSTITUTE(_xlfn.XLOOKUP(G1702,SKUs!$C$2:$C$10001,SKUs!$F$2:$F$10001,"",0), " Accessories",""))</f>
        <v/>
      </c>
      <c r="L1702" s="36">
        <f>_xlfn.XLOOKUP(C1702,'Project Details'!$C$17:$C$66,'Project Details'!$D$17:$D$66,"",0)</f>
        <v>0</v>
      </c>
      <c r="M1702" s="43"/>
    </row>
    <row r="1703" spans="1:13" ht="13.5" customHeight="1" outlineLevel="1" x14ac:dyDescent="0.25">
      <c r="A1703" s="43"/>
      <c r="B1703" s="43"/>
      <c r="C1703" s="16">
        <f t="shared" si="32"/>
        <v>34</v>
      </c>
      <c r="D1703" s="16" t="str" cm="1">
        <f t="array" ref="D1703">IFERROR(ROUNDUP(_xlfn.IFS(F1703="Aluminum Track", _xlfn.XLOOKUP(C1703, dd_accsrycalc!$A$2:$A$51, dd_accsrycalc!$B$2:$B$51, "",0), F1703="10 x 2 1/2 S (Flat)", _xlfn.XLOOKUP(C1703, dd_accsrycalc!$A$2:$A$51, dd_accsrycalc!$C$2:$C$51, "",0), F1703="Tox6", _xlfn.XLOOKUP(C1703, dd_accsrycalc!$A$2:$A$51, dd_accsrycalc!$D$2:$D$51, "",0), F1703="Cover Cap", _xlfn.XLOOKUP(C1703, dd_accsrycalc!$A$2:$A$51, dd_accsrycalc!$E$2:$E$51, "",0), F1703="Drainage Cover", _xlfn.XLOOKUP(C1703, dd_accsrycalc!$A$2:$A$51, dd_accsrycalc!$F$2:$F$51, "",0),AND( F1703="Double Adhesive Tape", I1703="Roll-up Screen"), _xlfn.XLOOKUP(C1703, calc_rusacc!$C$15:$C$65, calc_rusacc!$AD$15:$AD$65, "",0),AND( F1703="Sealant", I1703="Roll-up Screen"), _xlfn.XLOOKUP(C1703, calc_rusacc!$C$15:$C$65, calc_rusacc!$AF$15:$AF$65, "",0),  AND( F1703="Main Chain", I1703="Accordion Screen"), _xlfn.XLOOKUP(C1703, calc_rusacc!$C$15:$C$65, calc_rusacc!$BF$15:$BF$65, "",0), AND( F1703="Sealant", I1703="Accordion Screen"), _xlfn.XLOOKUP(C1703, calc_rusacc!$C$15:$C$65, calc_rusacc!$BJ$15:$BJ$65, "",0),  F1703="Sealant", _xlfn.XLOOKUP(C1703, dd_accsrycalc!$A$2:$A$51, dd_accsrycalc!$G$2:$G$51, "",0),  F1703&lt;&gt;"",L1703*_xlfn.XLOOKUP(1, (SKUs!$C$2:$C$10001=G1703)*(SKUs!$K$2:$K$10001=I1703),SKUs!$E$2:$E$10001)), 0),"")</f>
        <v/>
      </c>
      <c r="E1703" s="16" t="str">
        <f>_xlfn.XLOOKUP(F1703,dd_item!$B$2:$B$105,dd_item!$C$2:$C$105,"",0)</f>
        <v/>
      </c>
      <c r="F1703" s="16"/>
      <c r="G1703" s="16" cm="1">
        <f t="array" ref="G1703">IFERROR(_xlfn.XLOOKUP(1, (SKUs!$J$2:$J$10001=accsry_unmerged!F1703)*IF(H1703&lt;&gt;"",(SKUs!$L$2:$L$10001=accsry_unmerged!H1703),1)*(SKUs!$K$2:$K$10001=I1703),SKUs!$C$2:$C$10001),"")</f>
        <v>0</v>
      </c>
      <c r="H1703" s="33" cm="1">
        <f t="array" ref="H1703">IFERROR(_xlfn.XLOOKUP(1, (dd_accsryclr!$C$2:$C$1000=accsry_unmerged!F1703)*(dd_accsryclr!$B$2:$B$1000=accsry_unmerged!J1703),dd_accsryclr!$A$2:$A$1000),"")</f>
        <v>0</v>
      </c>
      <c r="I1703" s="16">
        <f>_xlfn.XLOOKUP(C1703,'Project Details'!$C$17:$C$66,'Project Details'!$E$17:$E$66,"",0)</f>
        <v>0</v>
      </c>
      <c r="J1703" s="16">
        <f>_xlfn.XLOOKUP(C1703,'Project Details'!$C$17:$C$66,'Project Details'!$H$17:$H$66,"",0)</f>
        <v>0</v>
      </c>
      <c r="K1703" s="33" t="str">
        <f>IF(AND(_xlfn.XLOOKUP(C1703,'Project Details'!$C$17:$C$66,'Project Details'!$L$17:$L$66,"",0)&gt;550, F1703="Spring-L27cm"),"",SUBSTITUTE(_xlfn.XLOOKUP(G1703,SKUs!$C$2:$C$10001,SKUs!$F$2:$F$10001,"",0), " Accessories",""))</f>
        <v/>
      </c>
      <c r="L1703" s="33">
        <f>_xlfn.XLOOKUP(C1703,'Project Details'!$C$17:$C$66,'Project Details'!$D$17:$D$66,"",0)</f>
        <v>0</v>
      </c>
      <c r="M1703" s="43"/>
    </row>
    <row r="1704" spans="1:13" ht="13.5" customHeight="1" outlineLevel="1" x14ac:dyDescent="0.25">
      <c r="A1704" s="43"/>
      <c r="B1704" s="43"/>
      <c r="C1704" s="35">
        <f t="shared" si="32"/>
        <v>34</v>
      </c>
      <c r="D1704" s="35" t="str" cm="1">
        <f t="array" ref="D1704">IFERROR(ROUNDUP(_xlfn.IFS(F1704="Aluminum Track", _xlfn.XLOOKUP(C1704, dd_accsrycalc!$A$2:$A$51, dd_accsrycalc!$B$2:$B$51, "",0), F1704="10 x 2 1/2 S (Flat)", _xlfn.XLOOKUP(C1704, dd_accsrycalc!$A$2:$A$51, dd_accsrycalc!$C$2:$C$51, "",0), F1704="Tox6", _xlfn.XLOOKUP(C1704, dd_accsrycalc!$A$2:$A$51, dd_accsrycalc!$D$2:$D$51, "",0), F1704="Cover Cap", _xlfn.XLOOKUP(C1704, dd_accsrycalc!$A$2:$A$51, dd_accsrycalc!$E$2:$E$51, "",0), F1704="Drainage Cover", _xlfn.XLOOKUP(C1704, dd_accsrycalc!$A$2:$A$51, dd_accsrycalc!$F$2:$F$51, "",0),AND( F1704="Double Adhesive Tape", I1704="Roll-up Screen"), _xlfn.XLOOKUP(C1704, calc_rusacc!$C$15:$C$65, calc_rusacc!$AD$15:$AD$65, "",0),AND( F1704="Sealant", I1704="Roll-up Screen"), _xlfn.XLOOKUP(C1704, calc_rusacc!$C$15:$C$65, calc_rusacc!$AF$15:$AF$65, "",0),  AND( F1704="Main Chain", I1704="Accordion Screen"), _xlfn.XLOOKUP(C1704, calc_rusacc!$C$15:$C$65, calc_rusacc!$BF$15:$BF$65, "",0), AND( F1704="Sealant", I1704="Accordion Screen"), _xlfn.XLOOKUP(C1704, calc_rusacc!$C$15:$C$65, calc_rusacc!$BJ$15:$BJ$65, "",0),  F1704="Sealant", _xlfn.XLOOKUP(C1704, dd_accsrycalc!$A$2:$A$51, dd_accsrycalc!$G$2:$G$51, "",0),  F1704&lt;&gt;"",L1704*_xlfn.XLOOKUP(1, (SKUs!$C$2:$C$10001=G1704)*(SKUs!$K$2:$K$10001=I1704),SKUs!$E$2:$E$10001)), 0),"")</f>
        <v/>
      </c>
      <c r="E1704" s="35" t="str">
        <f>_xlfn.XLOOKUP(F1704,dd_item!$B$2:$B$105,dd_item!$C$2:$C$105,"",0)</f>
        <v/>
      </c>
      <c r="F1704" s="35"/>
      <c r="G1704" s="35" cm="1">
        <f t="array" ref="G1704">IFERROR(_xlfn.XLOOKUP(1, (SKUs!$J$2:$J$10001=accsry_unmerged!F1704)*IF(H1704&lt;&gt;"",(SKUs!$L$2:$L$10001=accsry_unmerged!H1704),1)*(SKUs!$K$2:$K$10001=I1704),SKUs!$C$2:$C$10001),"")</f>
        <v>0</v>
      </c>
      <c r="H1704" s="36" cm="1">
        <f t="array" ref="H1704">IFERROR(_xlfn.XLOOKUP(1, (dd_accsryclr!$C$2:$C$1000=accsry_unmerged!F1704)*(dd_accsryclr!$B$2:$B$1000=accsry_unmerged!J1704),dd_accsryclr!$A$2:$A$1000),"")</f>
        <v>0</v>
      </c>
      <c r="I1704" s="35">
        <f>_xlfn.XLOOKUP(C1704,'Project Details'!$C$17:$C$66,'Project Details'!$E$17:$E$66,"",0)</f>
        <v>0</v>
      </c>
      <c r="J1704" s="35">
        <f>_xlfn.XLOOKUP(C1704,'Project Details'!$C$17:$C$66,'Project Details'!$H$17:$H$66,"",0)</f>
        <v>0</v>
      </c>
      <c r="K1704" s="36" t="str">
        <f>IF(AND(_xlfn.XLOOKUP(C1704,'Project Details'!$C$17:$C$66,'Project Details'!$L$17:$L$66,"",0)&gt;550, F1704="Spring-L27cm"),"",SUBSTITUTE(_xlfn.XLOOKUP(G1704,SKUs!$C$2:$C$10001,SKUs!$F$2:$F$10001,"",0), " Accessories",""))</f>
        <v/>
      </c>
      <c r="L1704" s="36">
        <f>_xlfn.XLOOKUP(C1704,'Project Details'!$C$17:$C$66,'Project Details'!$D$17:$D$66,"",0)</f>
        <v>0</v>
      </c>
      <c r="M1704" s="43"/>
    </row>
    <row r="1705" spans="1:13" ht="13.5" customHeight="1" outlineLevel="1" collapsed="1" x14ac:dyDescent="0.25">
      <c r="A1705" s="43"/>
      <c r="B1705" s="43"/>
      <c r="C1705" s="16">
        <f t="shared" si="32"/>
        <v>34</v>
      </c>
      <c r="D1705" s="16" t="str" cm="1">
        <f t="array" ref="D1705">IFERROR(ROUNDUP(_xlfn.IFS(F1705="Aluminum Track", _xlfn.XLOOKUP(C1705, dd_accsrycalc!$A$2:$A$51, dd_accsrycalc!$B$2:$B$51, "",0), F1705="10 x 2 1/2 S (Flat)", _xlfn.XLOOKUP(C1705, dd_accsrycalc!$A$2:$A$51, dd_accsrycalc!$C$2:$C$51, "",0), F1705="Tox6", _xlfn.XLOOKUP(C1705, dd_accsrycalc!$A$2:$A$51, dd_accsrycalc!$D$2:$D$51, "",0), F1705="Cover Cap", _xlfn.XLOOKUP(C1705, dd_accsrycalc!$A$2:$A$51, dd_accsrycalc!$E$2:$E$51, "",0), F1705="Drainage Cover", _xlfn.XLOOKUP(C1705, dd_accsrycalc!$A$2:$A$51, dd_accsrycalc!$F$2:$F$51, "",0),AND( F1705="Double Adhesive Tape", I1705="Roll-up Screen"), _xlfn.XLOOKUP(C1705, calc_rusacc!$C$15:$C$65, calc_rusacc!$AD$15:$AD$65, "",0),AND( F1705="Sealant", I1705="Roll-up Screen"), _xlfn.XLOOKUP(C1705, calc_rusacc!$C$15:$C$65, calc_rusacc!$AF$15:$AF$65, "",0),  AND( F1705="Main Chain", I1705="Accordion Screen"), _xlfn.XLOOKUP(C1705, calc_rusacc!$C$15:$C$65, calc_rusacc!$BF$15:$BF$65, "",0), AND( F1705="Sealant", I1705="Accordion Screen"), _xlfn.XLOOKUP(C1705, calc_rusacc!$C$15:$C$65, calc_rusacc!$BJ$15:$BJ$65, "",0),  F1705="Sealant", _xlfn.XLOOKUP(C1705, dd_accsrycalc!$A$2:$A$51, dd_accsrycalc!$G$2:$G$51, "",0),  F1705&lt;&gt;"",L1705*_xlfn.XLOOKUP(1, (SKUs!$C$2:$C$10001=G1705)*(SKUs!$K$2:$K$10001=I1705),SKUs!$E$2:$E$10001)), 0),"")</f>
        <v/>
      </c>
      <c r="E1705" s="16" t="str">
        <f>_xlfn.XLOOKUP(F1705,dd_item!$B$2:$B$105,dd_item!$C$2:$C$105,"",0)</f>
        <v/>
      </c>
      <c r="F1705" s="16"/>
      <c r="G1705" s="16" cm="1">
        <f t="array" ref="G1705">IFERROR(_xlfn.XLOOKUP(1, (SKUs!$J$2:$J$10001=accsry_unmerged!F1705)*IF(H1705&lt;&gt;"",(SKUs!$L$2:$L$10001=accsry_unmerged!H1705),1)*(SKUs!$K$2:$K$10001=I1705),SKUs!$C$2:$C$10001),"")</f>
        <v>0</v>
      </c>
      <c r="H1705" s="33" cm="1">
        <f t="array" ref="H1705">IFERROR(_xlfn.XLOOKUP(1, (dd_accsryclr!$C$2:$C$1000=accsry_unmerged!F1705)*(dd_accsryclr!$B$2:$B$1000=accsry_unmerged!J1705),dd_accsryclr!$A$2:$A$1000),"")</f>
        <v>0</v>
      </c>
      <c r="I1705" s="16">
        <f>_xlfn.XLOOKUP(C1705,'Project Details'!$C$17:$C$66,'Project Details'!$E$17:$E$66,"",0)</f>
        <v>0</v>
      </c>
      <c r="J1705" s="16">
        <f>_xlfn.XLOOKUP(C1705,'Project Details'!$C$17:$C$66,'Project Details'!$H$17:$H$66,"",0)</f>
        <v>0</v>
      </c>
      <c r="K1705" s="33" t="str">
        <f>IF(AND(_xlfn.XLOOKUP(C1705,'Project Details'!$C$17:$C$66,'Project Details'!$L$17:$L$66,"",0)&gt;550, F1705="Spring-L27cm"),"",SUBSTITUTE(_xlfn.XLOOKUP(G1705,SKUs!$C$2:$C$10001,SKUs!$F$2:$F$10001,"",0), " Accessories",""))</f>
        <v/>
      </c>
      <c r="L1705" s="33">
        <f>_xlfn.XLOOKUP(C1705,'Project Details'!$C$17:$C$66,'Project Details'!$D$17:$D$66,"",0)</f>
        <v>0</v>
      </c>
      <c r="M1705" s="43"/>
    </row>
    <row r="1706" spans="1:13" ht="13.5" customHeight="1" outlineLevel="1" x14ac:dyDescent="0.25">
      <c r="A1706" s="43"/>
      <c r="B1706" s="43"/>
      <c r="C1706" s="35">
        <f t="shared" si="32"/>
        <v>34</v>
      </c>
      <c r="D1706" s="35" t="str" cm="1">
        <f t="array" ref="D1706">IFERROR(ROUNDUP(_xlfn.IFS(F1706="Aluminum Track", _xlfn.XLOOKUP(C1706, dd_accsrycalc!$A$2:$A$51, dd_accsrycalc!$B$2:$B$51, "",0), F1706="10 x 2 1/2 S (Flat)", _xlfn.XLOOKUP(C1706, dd_accsrycalc!$A$2:$A$51, dd_accsrycalc!$C$2:$C$51, "",0), F1706="Tox6", _xlfn.XLOOKUP(C1706, dd_accsrycalc!$A$2:$A$51, dd_accsrycalc!$D$2:$D$51, "",0), F1706="Cover Cap", _xlfn.XLOOKUP(C1706, dd_accsrycalc!$A$2:$A$51, dd_accsrycalc!$E$2:$E$51, "",0), F1706="Drainage Cover", _xlfn.XLOOKUP(C1706, dd_accsrycalc!$A$2:$A$51, dd_accsrycalc!$F$2:$F$51, "",0),AND( F1706="Double Adhesive Tape", I1706="Roll-up Screen"), _xlfn.XLOOKUP(C1706, calc_rusacc!$C$15:$C$65, calc_rusacc!$AD$15:$AD$65, "",0),AND( F1706="Sealant", I1706="Roll-up Screen"), _xlfn.XLOOKUP(C1706, calc_rusacc!$C$15:$C$65, calc_rusacc!$AF$15:$AF$65, "",0),  AND( F1706="Main Chain", I1706="Accordion Screen"), _xlfn.XLOOKUP(C1706, calc_rusacc!$C$15:$C$65, calc_rusacc!$BF$15:$BF$65, "",0), AND( F1706="Sealant", I1706="Accordion Screen"), _xlfn.XLOOKUP(C1706, calc_rusacc!$C$15:$C$65, calc_rusacc!$BJ$15:$BJ$65, "",0),  F1706="Sealant", _xlfn.XLOOKUP(C1706, dd_accsrycalc!$A$2:$A$51, dd_accsrycalc!$G$2:$G$51, "",0),  F1706&lt;&gt;"",L1706*_xlfn.XLOOKUP(1, (SKUs!$C$2:$C$10001=G1706)*(SKUs!$K$2:$K$10001=I1706),SKUs!$E$2:$E$10001)), 0),"")</f>
        <v/>
      </c>
      <c r="E1706" s="35" t="str">
        <f>_xlfn.XLOOKUP(F1706,dd_item!$B$2:$B$105,dd_item!$C$2:$C$105,"",0)</f>
        <v/>
      </c>
      <c r="F1706" s="35"/>
      <c r="G1706" s="35" cm="1">
        <f t="array" ref="G1706">IFERROR(_xlfn.XLOOKUP(1, (SKUs!$J$2:$J$10001=accsry_unmerged!F1706)*IF(H1706&lt;&gt;"",(SKUs!$L$2:$L$10001=accsry_unmerged!H1706),1)*(SKUs!$K$2:$K$10001=I1706),SKUs!$C$2:$C$10001),"")</f>
        <v>0</v>
      </c>
      <c r="H1706" s="36" cm="1">
        <f t="array" ref="H1706">IFERROR(_xlfn.XLOOKUP(1, (dd_accsryclr!$C$2:$C$1000=accsry_unmerged!F1706)*(dd_accsryclr!$B$2:$B$1000=accsry_unmerged!J1706),dd_accsryclr!$A$2:$A$1000),"")</f>
        <v>0</v>
      </c>
      <c r="I1706" s="35">
        <f>_xlfn.XLOOKUP(C1706,'Project Details'!$C$17:$C$66,'Project Details'!$E$17:$E$66,"",0)</f>
        <v>0</v>
      </c>
      <c r="J1706" s="35">
        <f>_xlfn.XLOOKUP(C1706,'Project Details'!$C$17:$C$66,'Project Details'!$H$17:$H$66,"",0)</f>
        <v>0</v>
      </c>
      <c r="K1706" s="36" t="str">
        <f>IF(AND(_xlfn.XLOOKUP(C1706,'Project Details'!$C$17:$C$66,'Project Details'!$L$17:$L$66,"",0)&gt;550, F1706="Spring-L27cm"),"",SUBSTITUTE(_xlfn.XLOOKUP(G1706,SKUs!$C$2:$C$10001,SKUs!$F$2:$F$10001,"",0), " Accessories",""))</f>
        <v/>
      </c>
      <c r="L1706" s="36">
        <f>_xlfn.XLOOKUP(C1706,'Project Details'!$C$17:$C$66,'Project Details'!$D$17:$D$66,"",0)</f>
        <v>0</v>
      </c>
      <c r="M1706" s="43"/>
    </row>
    <row r="1707" spans="1:13" ht="13.5" customHeight="1" outlineLevel="1" x14ac:dyDescent="0.25">
      <c r="A1707" s="43"/>
      <c r="B1707" s="43"/>
      <c r="C1707" s="16">
        <f t="shared" si="32"/>
        <v>34</v>
      </c>
      <c r="D1707" s="16" t="str" cm="1">
        <f t="array" ref="D1707">IFERROR(ROUNDUP(_xlfn.IFS(F1707="Aluminum Track", _xlfn.XLOOKUP(C1707, dd_accsrycalc!$A$2:$A$51, dd_accsrycalc!$B$2:$B$51, "",0), F1707="10 x 2 1/2 S (Flat)", _xlfn.XLOOKUP(C1707, dd_accsrycalc!$A$2:$A$51, dd_accsrycalc!$C$2:$C$51, "",0), F1707="Tox6", _xlfn.XLOOKUP(C1707, dd_accsrycalc!$A$2:$A$51, dd_accsrycalc!$D$2:$D$51, "",0), F1707="Cover Cap", _xlfn.XLOOKUP(C1707, dd_accsrycalc!$A$2:$A$51, dd_accsrycalc!$E$2:$E$51, "",0), F1707="Drainage Cover", _xlfn.XLOOKUP(C1707, dd_accsrycalc!$A$2:$A$51, dd_accsrycalc!$F$2:$F$51, "",0),AND( F1707="Double Adhesive Tape", I1707="Roll-up Screen"), _xlfn.XLOOKUP(C1707, calc_rusacc!$C$15:$C$65, calc_rusacc!$AD$15:$AD$65, "",0),AND( F1707="Sealant", I1707="Roll-up Screen"), _xlfn.XLOOKUP(C1707, calc_rusacc!$C$15:$C$65, calc_rusacc!$AF$15:$AF$65, "",0),  AND( F1707="Main Chain", I1707="Accordion Screen"), _xlfn.XLOOKUP(C1707, calc_rusacc!$C$15:$C$65, calc_rusacc!$BF$15:$BF$65, "",0), AND( F1707="Sealant", I1707="Accordion Screen"), _xlfn.XLOOKUP(C1707, calc_rusacc!$C$15:$C$65, calc_rusacc!$BJ$15:$BJ$65, "",0),  F1707="Sealant", _xlfn.XLOOKUP(C1707, dd_accsrycalc!$A$2:$A$51, dd_accsrycalc!$G$2:$G$51, "",0),  F1707&lt;&gt;"",L1707*_xlfn.XLOOKUP(1, (SKUs!$C$2:$C$10001=G1707)*(SKUs!$K$2:$K$10001=I1707),SKUs!$E$2:$E$10001)), 0),"")</f>
        <v/>
      </c>
      <c r="E1707" s="16" t="str">
        <f>_xlfn.XLOOKUP(F1707,dd_item!$B$2:$B$105,dd_item!$C$2:$C$105,"",0)</f>
        <v/>
      </c>
      <c r="F1707" s="16"/>
      <c r="G1707" s="16" cm="1">
        <f t="array" ref="G1707">IFERROR(_xlfn.XLOOKUP(1, (SKUs!$J$2:$J$10001=accsry_unmerged!F1707)*IF(H1707&lt;&gt;"",(SKUs!$L$2:$L$10001=accsry_unmerged!H1707),1)*(SKUs!$K$2:$K$10001=I1707),SKUs!$C$2:$C$10001),"")</f>
        <v>0</v>
      </c>
      <c r="H1707" s="33" cm="1">
        <f t="array" ref="H1707">IFERROR(_xlfn.XLOOKUP(1, (dd_accsryclr!$C$2:$C$1000=accsry_unmerged!F1707)*(dd_accsryclr!$B$2:$B$1000=accsry_unmerged!J1707),dd_accsryclr!$A$2:$A$1000),"")</f>
        <v>0</v>
      </c>
      <c r="I1707" s="16">
        <f>_xlfn.XLOOKUP(C1707,'Project Details'!$C$17:$C$66,'Project Details'!$E$17:$E$66,"",0)</f>
        <v>0</v>
      </c>
      <c r="J1707" s="16">
        <f>_xlfn.XLOOKUP(C1707,'Project Details'!$C$17:$C$66,'Project Details'!$H$17:$H$66,"",0)</f>
        <v>0</v>
      </c>
      <c r="K1707" s="33" t="str">
        <f>IF(AND(_xlfn.XLOOKUP(C1707,'Project Details'!$C$17:$C$66,'Project Details'!$L$17:$L$66,"",0)&gt;550, F1707="Spring-L27cm"),"",SUBSTITUTE(_xlfn.XLOOKUP(G1707,SKUs!$C$2:$C$10001,SKUs!$F$2:$F$10001,"",0), " Accessories",""))</f>
        <v/>
      </c>
      <c r="L1707" s="33">
        <f>_xlfn.XLOOKUP(C1707,'Project Details'!$C$17:$C$66,'Project Details'!$D$17:$D$66,"",0)</f>
        <v>0</v>
      </c>
      <c r="M1707" s="43"/>
    </row>
    <row r="1708" spans="1:13" ht="13.5" customHeight="1" outlineLevel="1" x14ac:dyDescent="0.25">
      <c r="A1708" s="43"/>
      <c r="B1708" s="43"/>
      <c r="C1708" s="35">
        <f t="shared" si="32"/>
        <v>34</v>
      </c>
      <c r="D1708" s="35" t="str" cm="1">
        <f t="array" ref="D1708">IFERROR(ROUNDUP(_xlfn.IFS(F1708="Aluminum Track", _xlfn.XLOOKUP(C1708, dd_accsrycalc!$A$2:$A$51, dd_accsrycalc!$B$2:$B$51, "",0), F1708="10 x 2 1/2 S (Flat)", _xlfn.XLOOKUP(C1708, dd_accsrycalc!$A$2:$A$51, dd_accsrycalc!$C$2:$C$51, "",0), F1708="Tox6", _xlfn.XLOOKUP(C1708, dd_accsrycalc!$A$2:$A$51, dd_accsrycalc!$D$2:$D$51, "",0), F1708="Cover Cap", _xlfn.XLOOKUP(C1708, dd_accsrycalc!$A$2:$A$51, dd_accsrycalc!$E$2:$E$51, "",0), F1708="Drainage Cover", _xlfn.XLOOKUP(C1708, dd_accsrycalc!$A$2:$A$51, dd_accsrycalc!$F$2:$F$51, "",0),AND( F1708="Double Adhesive Tape", I1708="Roll-up Screen"), _xlfn.XLOOKUP(C1708, calc_rusacc!$C$15:$C$65, calc_rusacc!$AD$15:$AD$65, "",0),AND( F1708="Sealant", I1708="Roll-up Screen"), _xlfn.XLOOKUP(C1708, calc_rusacc!$C$15:$C$65, calc_rusacc!$AF$15:$AF$65, "",0),  AND( F1708="Main Chain", I1708="Accordion Screen"), _xlfn.XLOOKUP(C1708, calc_rusacc!$C$15:$C$65, calc_rusacc!$BF$15:$BF$65, "",0), AND( F1708="Sealant", I1708="Accordion Screen"), _xlfn.XLOOKUP(C1708, calc_rusacc!$C$15:$C$65, calc_rusacc!$BJ$15:$BJ$65, "",0),  F1708="Sealant", _xlfn.XLOOKUP(C1708, dd_accsrycalc!$A$2:$A$51, dd_accsrycalc!$G$2:$G$51, "",0),  F1708&lt;&gt;"",L1708*_xlfn.XLOOKUP(1, (SKUs!$C$2:$C$10001=G1708)*(SKUs!$K$2:$K$10001=I1708),SKUs!$E$2:$E$10001)), 0),"")</f>
        <v/>
      </c>
      <c r="E1708" s="35" t="str">
        <f>_xlfn.XLOOKUP(F1708,dd_item!$B$2:$B$105,dd_item!$C$2:$C$105,"",0)</f>
        <v/>
      </c>
      <c r="F1708" s="35"/>
      <c r="G1708" s="35" cm="1">
        <f t="array" ref="G1708">IFERROR(_xlfn.XLOOKUP(1, (SKUs!$J$2:$J$10001=accsry_unmerged!F1708)*IF(H1708&lt;&gt;"",(SKUs!$L$2:$L$10001=accsry_unmerged!H1708),1)*(SKUs!$K$2:$K$10001=I1708),SKUs!$C$2:$C$10001),"")</f>
        <v>0</v>
      </c>
      <c r="H1708" s="36" cm="1">
        <f t="array" ref="H1708">IFERROR(_xlfn.XLOOKUP(1, (dd_accsryclr!$C$2:$C$1000=accsry_unmerged!F1708)*(dd_accsryclr!$B$2:$B$1000=accsry_unmerged!J1708),dd_accsryclr!$A$2:$A$1000),"")</f>
        <v>0</v>
      </c>
      <c r="I1708" s="35">
        <f>_xlfn.XLOOKUP(C1708,'Project Details'!$C$17:$C$66,'Project Details'!$E$17:$E$66,"",0)</f>
        <v>0</v>
      </c>
      <c r="J1708" s="35">
        <f>_xlfn.XLOOKUP(C1708,'Project Details'!$C$17:$C$66,'Project Details'!$H$17:$H$66,"",0)</f>
        <v>0</v>
      </c>
      <c r="K1708" s="36" t="str">
        <f>IF(AND(_xlfn.XLOOKUP(C1708,'Project Details'!$C$17:$C$66,'Project Details'!$L$17:$L$66,"",0)&gt;550, F1708="Spring-L27cm"),"",SUBSTITUTE(_xlfn.XLOOKUP(G1708,SKUs!$C$2:$C$10001,SKUs!$F$2:$F$10001,"",0), " Accessories",""))</f>
        <v/>
      </c>
      <c r="L1708" s="36">
        <f>_xlfn.XLOOKUP(C1708,'Project Details'!$C$17:$C$66,'Project Details'!$D$17:$D$66,"",0)</f>
        <v>0</v>
      </c>
      <c r="M1708" s="43"/>
    </row>
    <row r="1709" spans="1:13" ht="13.5" customHeight="1" outlineLevel="1" x14ac:dyDescent="0.25">
      <c r="A1709" s="43"/>
      <c r="B1709" s="43"/>
      <c r="C1709" s="16">
        <f t="shared" si="32"/>
        <v>34</v>
      </c>
      <c r="D1709" s="16" t="str" cm="1">
        <f t="array" ref="D1709">IFERROR(ROUNDUP(_xlfn.IFS(F1709="Aluminum Track", _xlfn.XLOOKUP(C1709, dd_accsrycalc!$A$2:$A$51, dd_accsrycalc!$B$2:$B$51, "",0), F1709="10 x 2 1/2 S (Flat)", _xlfn.XLOOKUP(C1709, dd_accsrycalc!$A$2:$A$51, dd_accsrycalc!$C$2:$C$51, "",0), F1709="Tox6", _xlfn.XLOOKUP(C1709, dd_accsrycalc!$A$2:$A$51, dd_accsrycalc!$D$2:$D$51, "",0), F1709="Cover Cap", _xlfn.XLOOKUP(C1709, dd_accsrycalc!$A$2:$A$51, dd_accsrycalc!$E$2:$E$51, "",0), F1709="Drainage Cover", _xlfn.XLOOKUP(C1709, dd_accsrycalc!$A$2:$A$51, dd_accsrycalc!$F$2:$F$51, "",0),AND( F1709="Double Adhesive Tape", I1709="Roll-up Screen"), _xlfn.XLOOKUP(C1709, calc_rusacc!$C$15:$C$65, calc_rusacc!$AD$15:$AD$65, "",0),AND( F1709="Sealant", I1709="Roll-up Screen"), _xlfn.XLOOKUP(C1709, calc_rusacc!$C$15:$C$65, calc_rusacc!$AF$15:$AF$65, "",0),  AND( F1709="Main Chain", I1709="Accordion Screen"), _xlfn.XLOOKUP(C1709, calc_rusacc!$C$15:$C$65, calc_rusacc!$BF$15:$BF$65, "",0), AND( F1709="Sealant", I1709="Accordion Screen"), _xlfn.XLOOKUP(C1709, calc_rusacc!$C$15:$C$65, calc_rusacc!$BJ$15:$BJ$65, "",0),  F1709="Sealant", _xlfn.XLOOKUP(C1709, dd_accsrycalc!$A$2:$A$51, dd_accsrycalc!$G$2:$G$51, "",0),  F1709&lt;&gt;"",L1709*_xlfn.XLOOKUP(1, (SKUs!$C$2:$C$10001=G1709)*(SKUs!$K$2:$K$10001=I1709),SKUs!$E$2:$E$10001)), 0),"")</f>
        <v/>
      </c>
      <c r="E1709" s="16" t="str">
        <f>_xlfn.XLOOKUP(F1709,dd_item!$B$2:$B$105,dd_item!$C$2:$C$105,"",0)</f>
        <v/>
      </c>
      <c r="F1709" s="16"/>
      <c r="G1709" s="16" cm="1">
        <f t="array" ref="G1709">IFERROR(_xlfn.XLOOKUP(1, (SKUs!$J$2:$J$10001=accsry_unmerged!F1709)*IF(H1709&lt;&gt;"",(SKUs!$L$2:$L$10001=accsry_unmerged!H1709),1)*(SKUs!$K$2:$K$10001=I1709),SKUs!$C$2:$C$10001),"")</f>
        <v>0</v>
      </c>
      <c r="H1709" s="33" cm="1">
        <f t="array" ref="H1709">IFERROR(_xlfn.XLOOKUP(1, (dd_accsryclr!$C$2:$C$1000=accsry_unmerged!F1709)*(dd_accsryclr!$B$2:$B$1000=accsry_unmerged!J1709),dd_accsryclr!$A$2:$A$1000),"")</f>
        <v>0</v>
      </c>
      <c r="I1709" s="16">
        <f>_xlfn.XLOOKUP(C1709,'Project Details'!$C$17:$C$66,'Project Details'!$E$17:$E$66,"",0)</f>
        <v>0</v>
      </c>
      <c r="J1709" s="16">
        <f>_xlfn.XLOOKUP(C1709,'Project Details'!$C$17:$C$66,'Project Details'!$H$17:$H$66,"",0)</f>
        <v>0</v>
      </c>
      <c r="K1709" s="33" t="str">
        <f>IF(AND(_xlfn.XLOOKUP(C1709,'Project Details'!$C$17:$C$66,'Project Details'!$L$17:$L$66,"",0)&gt;550, F1709="Spring-L27cm"),"",SUBSTITUTE(_xlfn.XLOOKUP(G1709,SKUs!$C$2:$C$10001,SKUs!$F$2:$F$10001,"",0), " Accessories",""))</f>
        <v/>
      </c>
      <c r="L1709" s="33">
        <f>_xlfn.XLOOKUP(C1709,'Project Details'!$C$17:$C$66,'Project Details'!$D$17:$D$66,"",0)</f>
        <v>0</v>
      </c>
      <c r="M1709" s="43"/>
    </row>
    <row r="1710" spans="1:13" ht="13.5" customHeight="1" outlineLevel="1" x14ac:dyDescent="0.25">
      <c r="A1710" s="43"/>
      <c r="B1710" s="43"/>
      <c r="C1710" s="35">
        <f t="shared" si="32"/>
        <v>34</v>
      </c>
      <c r="D1710" s="35" t="str" cm="1">
        <f t="array" ref="D1710">IFERROR(ROUNDUP(_xlfn.IFS(F1710="Aluminum Track", _xlfn.XLOOKUP(C1710, dd_accsrycalc!$A$2:$A$51, dd_accsrycalc!$B$2:$B$51, "",0), F1710="10 x 2 1/2 S (Flat)", _xlfn.XLOOKUP(C1710, dd_accsrycalc!$A$2:$A$51, dd_accsrycalc!$C$2:$C$51, "",0), F1710="Tox6", _xlfn.XLOOKUP(C1710, dd_accsrycalc!$A$2:$A$51, dd_accsrycalc!$D$2:$D$51, "",0), F1710="Cover Cap", _xlfn.XLOOKUP(C1710, dd_accsrycalc!$A$2:$A$51, dd_accsrycalc!$E$2:$E$51, "",0), F1710="Drainage Cover", _xlfn.XLOOKUP(C1710, dd_accsrycalc!$A$2:$A$51, dd_accsrycalc!$F$2:$F$51, "",0),AND( F1710="Double Adhesive Tape", I1710="Roll-up Screen"), _xlfn.XLOOKUP(C1710, calc_rusacc!$C$15:$C$65, calc_rusacc!$AD$15:$AD$65, "",0),AND( F1710="Sealant", I1710="Roll-up Screen"), _xlfn.XLOOKUP(C1710, calc_rusacc!$C$15:$C$65, calc_rusacc!$AF$15:$AF$65, "",0),  AND( F1710="Main Chain", I1710="Accordion Screen"), _xlfn.XLOOKUP(C1710, calc_rusacc!$C$15:$C$65, calc_rusacc!$BF$15:$BF$65, "",0), AND( F1710="Sealant", I1710="Accordion Screen"), _xlfn.XLOOKUP(C1710, calc_rusacc!$C$15:$C$65, calc_rusacc!$BJ$15:$BJ$65, "",0),  F1710="Sealant", _xlfn.XLOOKUP(C1710, dd_accsrycalc!$A$2:$A$51, dd_accsrycalc!$G$2:$G$51, "",0),  F1710&lt;&gt;"",L1710*_xlfn.XLOOKUP(1, (SKUs!$C$2:$C$10001=G1710)*(SKUs!$K$2:$K$10001=I1710),SKUs!$E$2:$E$10001)), 0),"")</f>
        <v/>
      </c>
      <c r="E1710" s="35" t="str">
        <f>_xlfn.XLOOKUP(F1710,dd_item!$B$2:$B$105,dd_item!$C$2:$C$105,"",0)</f>
        <v/>
      </c>
      <c r="F1710" s="35"/>
      <c r="G1710" s="35" cm="1">
        <f t="array" ref="G1710">IFERROR(_xlfn.XLOOKUP(1, (SKUs!$J$2:$J$10001=accsry_unmerged!F1710)*IF(H1710&lt;&gt;"",(SKUs!$L$2:$L$10001=accsry_unmerged!H1710),1)*(SKUs!$K$2:$K$10001=I1710),SKUs!$C$2:$C$10001),"")</f>
        <v>0</v>
      </c>
      <c r="H1710" s="36" cm="1">
        <f t="array" ref="H1710">IFERROR(_xlfn.XLOOKUP(1, (dd_accsryclr!$C$2:$C$1000=accsry_unmerged!F1710)*(dd_accsryclr!$B$2:$B$1000=accsry_unmerged!J1710),dd_accsryclr!$A$2:$A$1000),"")</f>
        <v>0</v>
      </c>
      <c r="I1710" s="35">
        <f>_xlfn.XLOOKUP(C1710,'Project Details'!$C$17:$C$66,'Project Details'!$E$17:$E$66,"",0)</f>
        <v>0</v>
      </c>
      <c r="J1710" s="35">
        <f>_xlfn.XLOOKUP(C1710,'Project Details'!$C$17:$C$66,'Project Details'!$H$17:$H$66,"",0)</f>
        <v>0</v>
      </c>
      <c r="K1710" s="36" t="str">
        <f>IF(AND(_xlfn.XLOOKUP(C1710,'Project Details'!$C$17:$C$66,'Project Details'!$L$17:$L$66,"",0)&gt;550, F1710="Spring-L27cm"),"",SUBSTITUTE(_xlfn.XLOOKUP(G1710,SKUs!$C$2:$C$10001,SKUs!$F$2:$F$10001,"",0), " Accessories",""))</f>
        <v/>
      </c>
      <c r="L1710" s="36">
        <f>_xlfn.XLOOKUP(C1710,'Project Details'!$C$17:$C$66,'Project Details'!$D$17:$D$66,"",0)</f>
        <v>0</v>
      </c>
      <c r="M1710" s="43"/>
    </row>
    <row r="1711" spans="1:13" ht="13.5" customHeight="1" outlineLevel="1" x14ac:dyDescent="0.25">
      <c r="A1711" s="43"/>
      <c r="B1711" s="43"/>
      <c r="C1711" s="16">
        <f t="shared" si="32"/>
        <v>34</v>
      </c>
      <c r="D1711" s="16" t="str" cm="1">
        <f t="array" ref="D1711">IFERROR(ROUNDUP(_xlfn.IFS(F1711="Aluminum Track", _xlfn.XLOOKUP(C1711, dd_accsrycalc!$A$2:$A$51, dd_accsrycalc!$B$2:$B$51, "",0), F1711="10 x 2 1/2 S (Flat)", _xlfn.XLOOKUP(C1711, dd_accsrycalc!$A$2:$A$51, dd_accsrycalc!$C$2:$C$51, "",0), F1711="Tox6", _xlfn.XLOOKUP(C1711, dd_accsrycalc!$A$2:$A$51, dd_accsrycalc!$D$2:$D$51, "",0), F1711="Cover Cap", _xlfn.XLOOKUP(C1711, dd_accsrycalc!$A$2:$A$51, dd_accsrycalc!$E$2:$E$51, "",0), F1711="Drainage Cover", _xlfn.XLOOKUP(C1711, dd_accsrycalc!$A$2:$A$51, dd_accsrycalc!$F$2:$F$51, "",0),AND( F1711="Double Adhesive Tape", I1711="Roll-up Screen"), _xlfn.XLOOKUP(C1711, calc_rusacc!$C$15:$C$65, calc_rusacc!$AD$15:$AD$65, "",0),AND( F1711="Sealant", I1711="Roll-up Screen"), _xlfn.XLOOKUP(C1711, calc_rusacc!$C$15:$C$65, calc_rusacc!$AF$15:$AF$65, "",0),  AND( F1711="Main Chain", I1711="Accordion Screen"), _xlfn.XLOOKUP(C1711, calc_rusacc!$C$15:$C$65, calc_rusacc!$BF$15:$BF$65, "",0), AND( F1711="Sealant", I1711="Accordion Screen"), _xlfn.XLOOKUP(C1711, calc_rusacc!$C$15:$C$65, calc_rusacc!$BJ$15:$BJ$65, "",0),  F1711="Sealant", _xlfn.XLOOKUP(C1711, dd_accsrycalc!$A$2:$A$51, dd_accsrycalc!$G$2:$G$51, "",0),  F1711&lt;&gt;"",L1711*_xlfn.XLOOKUP(1, (SKUs!$C$2:$C$10001=G1711)*(SKUs!$K$2:$K$10001=I1711),SKUs!$E$2:$E$10001)), 0),"")</f>
        <v/>
      </c>
      <c r="E1711" s="16" t="str">
        <f>_xlfn.XLOOKUP(F1711,dd_item!$B$2:$B$105,dd_item!$C$2:$C$105,"",0)</f>
        <v/>
      </c>
      <c r="F1711" s="16"/>
      <c r="G1711" s="16" cm="1">
        <f t="array" ref="G1711">IFERROR(_xlfn.XLOOKUP(1, (SKUs!$J$2:$J$10001=accsry_unmerged!F1711)*IF(H1711&lt;&gt;"",(SKUs!$L$2:$L$10001=accsry_unmerged!H1711),1)*(SKUs!$K$2:$K$10001=I1711),SKUs!$C$2:$C$10001),"")</f>
        <v>0</v>
      </c>
      <c r="H1711" s="33" cm="1">
        <f t="array" ref="H1711">IFERROR(_xlfn.XLOOKUP(1, (dd_accsryclr!$C$2:$C$1000=accsry_unmerged!F1711)*(dd_accsryclr!$B$2:$B$1000=accsry_unmerged!J1711),dd_accsryclr!$A$2:$A$1000),"")</f>
        <v>0</v>
      </c>
      <c r="I1711" s="16">
        <f>_xlfn.XLOOKUP(C1711,'Project Details'!$C$17:$C$66,'Project Details'!$E$17:$E$66,"",0)</f>
        <v>0</v>
      </c>
      <c r="J1711" s="16">
        <f>_xlfn.XLOOKUP(C1711,'Project Details'!$C$17:$C$66,'Project Details'!$H$17:$H$66,"",0)</f>
        <v>0</v>
      </c>
      <c r="K1711" s="33" t="str">
        <f>IF(AND(_xlfn.XLOOKUP(C1711,'Project Details'!$C$17:$C$66,'Project Details'!$L$17:$L$66,"",0)&gt;550, F1711="Spring-L27cm"),"",SUBSTITUTE(_xlfn.XLOOKUP(G1711,SKUs!$C$2:$C$10001,SKUs!$F$2:$F$10001,"",0), " Accessories",""))</f>
        <v/>
      </c>
      <c r="L1711" s="33">
        <f>_xlfn.XLOOKUP(C1711,'Project Details'!$C$17:$C$66,'Project Details'!$D$17:$D$66,"",0)</f>
        <v>0</v>
      </c>
      <c r="M1711" s="43"/>
    </row>
    <row r="1712" spans="1:13" ht="13.5" customHeight="1" outlineLevel="1" x14ac:dyDescent="0.25">
      <c r="A1712" s="43"/>
      <c r="B1712" s="43"/>
      <c r="C1712" s="35">
        <f t="shared" si="32"/>
        <v>34</v>
      </c>
      <c r="D1712" s="35" t="str" cm="1">
        <f t="array" ref="D1712">IFERROR(ROUNDUP(_xlfn.IFS(F1712="Aluminum Track", _xlfn.XLOOKUP(C1712, dd_accsrycalc!$A$2:$A$51, dd_accsrycalc!$B$2:$B$51, "",0), F1712="10 x 2 1/2 S (Flat)", _xlfn.XLOOKUP(C1712, dd_accsrycalc!$A$2:$A$51, dd_accsrycalc!$C$2:$C$51, "",0), F1712="Tox6", _xlfn.XLOOKUP(C1712, dd_accsrycalc!$A$2:$A$51, dd_accsrycalc!$D$2:$D$51, "",0), F1712="Cover Cap", _xlfn.XLOOKUP(C1712, dd_accsrycalc!$A$2:$A$51, dd_accsrycalc!$E$2:$E$51, "",0), F1712="Drainage Cover", _xlfn.XLOOKUP(C1712, dd_accsrycalc!$A$2:$A$51, dd_accsrycalc!$F$2:$F$51, "",0),AND( F1712="Double Adhesive Tape", I1712="Roll-up Screen"), _xlfn.XLOOKUP(C1712, calc_rusacc!$C$15:$C$65, calc_rusacc!$AD$15:$AD$65, "",0),AND( F1712="Sealant", I1712="Roll-up Screen"), _xlfn.XLOOKUP(C1712, calc_rusacc!$C$15:$C$65, calc_rusacc!$AF$15:$AF$65, "",0),  AND( F1712="Main Chain", I1712="Accordion Screen"), _xlfn.XLOOKUP(C1712, calc_rusacc!$C$15:$C$65, calc_rusacc!$BF$15:$BF$65, "",0), AND( F1712="Sealant", I1712="Accordion Screen"), _xlfn.XLOOKUP(C1712, calc_rusacc!$C$15:$C$65, calc_rusacc!$BJ$15:$BJ$65, "",0),  F1712="Sealant", _xlfn.XLOOKUP(C1712, dd_accsrycalc!$A$2:$A$51, dd_accsrycalc!$G$2:$G$51, "",0),  F1712&lt;&gt;"",L1712*_xlfn.XLOOKUP(1, (SKUs!$C$2:$C$10001=G1712)*(SKUs!$K$2:$K$10001=I1712),SKUs!$E$2:$E$10001)), 0),"")</f>
        <v/>
      </c>
      <c r="E1712" s="35" t="str">
        <f>_xlfn.XLOOKUP(F1712,dd_item!$B$2:$B$105,dd_item!$C$2:$C$105,"",0)</f>
        <v/>
      </c>
      <c r="F1712" s="35"/>
      <c r="G1712" s="35" cm="1">
        <f t="array" ref="G1712">IFERROR(_xlfn.XLOOKUP(1, (SKUs!$J$2:$J$10001=accsry_unmerged!F1712)*IF(H1712&lt;&gt;"",(SKUs!$L$2:$L$10001=accsry_unmerged!H1712),1)*(SKUs!$K$2:$K$10001=I1712),SKUs!$C$2:$C$10001),"")</f>
        <v>0</v>
      </c>
      <c r="H1712" s="36" cm="1">
        <f t="array" ref="H1712">IFERROR(_xlfn.XLOOKUP(1, (dd_accsryclr!$C$2:$C$1000=accsry_unmerged!F1712)*(dd_accsryclr!$B$2:$B$1000=accsry_unmerged!J1712),dd_accsryclr!$A$2:$A$1000),"")</f>
        <v>0</v>
      </c>
      <c r="I1712" s="35">
        <f>_xlfn.XLOOKUP(C1712,'Project Details'!$C$17:$C$66,'Project Details'!$E$17:$E$66,"",0)</f>
        <v>0</v>
      </c>
      <c r="J1712" s="35">
        <f>_xlfn.XLOOKUP(C1712,'Project Details'!$C$17:$C$66,'Project Details'!$H$17:$H$66,"",0)</f>
        <v>0</v>
      </c>
      <c r="K1712" s="36" t="str">
        <f>IF(AND(_xlfn.XLOOKUP(C1712,'Project Details'!$C$17:$C$66,'Project Details'!$L$17:$L$66,"",0)&gt;550, F1712="Spring-L27cm"),"",SUBSTITUTE(_xlfn.XLOOKUP(G1712,SKUs!$C$2:$C$10001,SKUs!$F$2:$F$10001,"",0), " Accessories",""))</f>
        <v/>
      </c>
      <c r="L1712" s="36">
        <f>_xlfn.XLOOKUP(C1712,'Project Details'!$C$17:$C$66,'Project Details'!$D$17:$D$66,"",0)</f>
        <v>0</v>
      </c>
      <c r="M1712" s="43"/>
    </row>
    <row r="1713" spans="1:13" ht="13.5" customHeight="1" outlineLevel="1" x14ac:dyDescent="0.25">
      <c r="A1713" s="43"/>
      <c r="B1713" s="43"/>
      <c r="C1713" s="16">
        <f t="shared" si="32"/>
        <v>34</v>
      </c>
      <c r="D1713" s="16" t="str" cm="1">
        <f t="array" ref="D1713">IFERROR(ROUNDUP(_xlfn.IFS(F1713="Aluminum Track", _xlfn.XLOOKUP(C1713, dd_accsrycalc!$A$2:$A$51, dd_accsrycalc!$B$2:$B$51, "",0), F1713="10 x 2 1/2 S (Flat)", _xlfn.XLOOKUP(C1713, dd_accsrycalc!$A$2:$A$51, dd_accsrycalc!$C$2:$C$51, "",0), F1713="Tox6", _xlfn.XLOOKUP(C1713, dd_accsrycalc!$A$2:$A$51, dd_accsrycalc!$D$2:$D$51, "",0), F1713="Cover Cap", _xlfn.XLOOKUP(C1713, dd_accsrycalc!$A$2:$A$51, dd_accsrycalc!$E$2:$E$51, "",0), F1713="Drainage Cover", _xlfn.XLOOKUP(C1713, dd_accsrycalc!$A$2:$A$51, dd_accsrycalc!$F$2:$F$51, "",0),AND( F1713="Double Adhesive Tape", I1713="Roll-up Screen"), _xlfn.XLOOKUP(C1713, calc_rusacc!$C$15:$C$65, calc_rusacc!$AD$15:$AD$65, "",0),AND( F1713="Sealant", I1713="Roll-up Screen"), _xlfn.XLOOKUP(C1713, calc_rusacc!$C$15:$C$65, calc_rusacc!$AF$15:$AF$65, "",0),  AND( F1713="Main Chain", I1713="Accordion Screen"), _xlfn.XLOOKUP(C1713, calc_rusacc!$C$15:$C$65, calc_rusacc!$BF$15:$BF$65, "",0), AND( F1713="Sealant", I1713="Accordion Screen"), _xlfn.XLOOKUP(C1713, calc_rusacc!$C$15:$C$65, calc_rusacc!$BJ$15:$BJ$65, "",0),  F1713="Sealant", _xlfn.XLOOKUP(C1713, dd_accsrycalc!$A$2:$A$51, dd_accsrycalc!$G$2:$G$51, "",0),  F1713&lt;&gt;"",L1713*_xlfn.XLOOKUP(1, (SKUs!$C$2:$C$10001=G1713)*(SKUs!$K$2:$K$10001=I1713),SKUs!$E$2:$E$10001)), 0),"")</f>
        <v/>
      </c>
      <c r="E1713" s="16" t="str">
        <f>_xlfn.XLOOKUP(F1713,dd_item!$B$2:$B$105,dd_item!$C$2:$C$105,"",0)</f>
        <v/>
      </c>
      <c r="F1713" s="16"/>
      <c r="G1713" s="16" cm="1">
        <f t="array" ref="G1713">IFERROR(_xlfn.XLOOKUP(1, (SKUs!$J$2:$J$10001=accsry_unmerged!F1713)*IF(H1713&lt;&gt;"",(SKUs!$L$2:$L$10001=accsry_unmerged!H1713),1)*(SKUs!$K$2:$K$10001=I1713),SKUs!$C$2:$C$10001),"")</f>
        <v>0</v>
      </c>
      <c r="H1713" s="33" cm="1">
        <f t="array" ref="H1713">IFERROR(_xlfn.XLOOKUP(1, (dd_accsryclr!$C$2:$C$1000=accsry_unmerged!F1713)*(dd_accsryclr!$B$2:$B$1000=accsry_unmerged!J1713),dd_accsryclr!$A$2:$A$1000),"")</f>
        <v>0</v>
      </c>
      <c r="I1713" s="16">
        <f>_xlfn.XLOOKUP(C1713,'Project Details'!$C$17:$C$66,'Project Details'!$E$17:$E$66,"",0)</f>
        <v>0</v>
      </c>
      <c r="J1713" s="16">
        <f>_xlfn.XLOOKUP(C1713,'Project Details'!$C$17:$C$66,'Project Details'!$H$17:$H$66,"",0)</f>
        <v>0</v>
      </c>
      <c r="K1713" s="33" t="str">
        <f>IF(AND(_xlfn.XLOOKUP(C1713,'Project Details'!$C$17:$C$66,'Project Details'!$L$17:$L$66,"",0)&gt;550, F1713="Spring-L27cm"),"",SUBSTITUTE(_xlfn.XLOOKUP(G1713,SKUs!$C$2:$C$10001,SKUs!$F$2:$F$10001,"",0), " Accessories",""))</f>
        <v/>
      </c>
      <c r="L1713" s="33">
        <f>_xlfn.XLOOKUP(C1713,'Project Details'!$C$17:$C$66,'Project Details'!$D$17:$D$66,"",0)</f>
        <v>0</v>
      </c>
      <c r="M1713" s="43"/>
    </row>
    <row r="1714" spans="1:13" x14ac:dyDescent="0.25">
      <c r="A1714" s="43"/>
      <c r="B1714" s="43"/>
      <c r="C1714" s="43"/>
      <c r="D1714" s="43"/>
      <c r="E1714" s="43"/>
      <c r="F1714" s="43"/>
      <c r="G1714" s="43"/>
      <c r="H1714" s="43"/>
      <c r="I1714" s="43"/>
      <c r="J1714" s="43"/>
      <c r="K1714" s="43"/>
      <c r="L1714" s="43"/>
      <c r="M1714" s="43"/>
    </row>
    <row r="1715" spans="1:13" x14ac:dyDescent="0.25">
      <c r="A1715" s="43"/>
      <c r="B1715" s="43"/>
      <c r="C1715" s="16">
        <f>C1713+1</f>
        <v>35</v>
      </c>
      <c r="D1715" s="48" cm="1">
        <f t="array" ref="D1715">IFERROR(ROUNDUP(_xlfn.IFS(F1715="Aluminum Track", _xlfn.XLOOKUP(C1715, dd_accsrycalc!$A$2:$A$51, dd_accsrycalc!$B$2:$B$51, "",0), F1715="10 x 2 1/2 S (Flat)", _xlfn.XLOOKUP(C1715, dd_accsrycalc!$A$2:$A$51, dd_accsrycalc!$C$2:$C$51, "",0), F1715="Tox6", _xlfn.XLOOKUP(C1715, dd_accsrycalc!$A$2:$A$51, dd_accsrycalc!$D$2:$D$51, "",0), F1715="Cover Cap", _xlfn.XLOOKUP(C1715, dd_accsrycalc!$A$2:$A$51, dd_accsrycalc!$E$2:$E$51, "",0), F1715="Drainage Cover", _xlfn.XLOOKUP(C1715, dd_accsrycalc!$A$2:$A$51, dd_accsrycalc!$F$2:$F$51, "",0),AND( F1715="Double Adhesive Tape", I1715="Roll-up Screen"), _xlfn.XLOOKUP(C1715, calc_rusacc!$C$15:$C$65, calc_rusacc!$AD$15:$AD$65, "",0),AND( F1715="Sealant", I1715="Roll-up Screen"), _xlfn.XLOOKUP(C1715, calc_rusacc!$C$15:$C$65, calc_rusacc!$AF$15:$AF$65, "",0),  AND( F1715="Main Chain", I1715="Accordion Screen"), _xlfn.XLOOKUP(C1715, calc_rusacc!$C$15:$C$65, calc_rusacc!$BF$15:$BF$65, "",0), AND( F1715="Sealant", I1715="Accordion Screen"), _xlfn.XLOOKUP(C1715, calc_rusacc!$C$15:$C$65, calc_rusacc!$BJ$15:$BJ$65, "",0),  F1715="Sealant", _xlfn.XLOOKUP(C1715, dd_accsrycalc!$A$2:$A$51, dd_accsrycalc!$G$2:$G$51, "",0),  F1715&lt;&gt;"",L1715*_xlfn.XLOOKUP(1, (SKUs!$C$2:$C$10001=G1715)*(SKUs!$K$2:$K$10001=I1715),SKUs!$E$2:$E$10001)), 0),"")</f>
        <v>0</v>
      </c>
      <c r="E1715" s="48" t="str">
        <f>_xlfn.XLOOKUP(F1715,dd_item!$B$2:$B$105,dd_item!$C$2:$C$105,"",0)</f>
        <v/>
      </c>
      <c r="F1715" s="48" cm="1">
        <f t="array" ref="F1715">IFERROR(_xlfn.UNIQUE(_xlfn._xlws.FILTER(SKUs!$J$2:$J$10001, (SKUs!$F$2:$F$10001&lt;&gt;"Cutting List") * (SKUs!$A$2:$A$10001=_xlfn.XLOOKUP(_xlfn.XLOOKUP(C1715,'Project Details'!$C$17:$C$66,'Project Details'!$E$17:$E$66,"",0), dd_design_raw!$A$2:$A$101,dd_design_raw!$C$2:$C$101,"",0)))), "")</f>
        <v>0</v>
      </c>
      <c r="G1715" s="16" cm="1">
        <f t="array" ref="G1715">IFERROR(_xlfn.XLOOKUP(1, (SKUs!$J$2:$J$10001=accsry_unmerged!F1715)*IF(H1715&lt;&gt;"",(SKUs!$L$2:$L$10001=accsry_unmerged!H1715),1)*(SKUs!$K$2:$K$10001=I1715),SKUs!$C$2:$C$10001),"")</f>
        <v>0</v>
      </c>
      <c r="H1715" s="16" cm="1">
        <f t="array" ref="H1715">IFERROR(_xlfn.XLOOKUP(1, (dd_accsryclr!$C$2:$C$1000=accsry_unmerged!F1715)*(dd_accsryclr!$B$2:$B$1000=accsry_unmerged!J1715),dd_accsryclr!$A$2:$A$1000),"")</f>
        <v>0</v>
      </c>
      <c r="I1715" s="16">
        <f>_xlfn.XLOOKUP(C1715,'Project Details'!$C$17:$C$66,'Project Details'!$E$17:$E$66,"",0)</f>
        <v>0</v>
      </c>
      <c r="J1715" s="16">
        <f>_xlfn.XLOOKUP(C1715,'Project Details'!$C$17:$C$66,'Project Details'!$H$17:$H$66,"",0)</f>
        <v>0</v>
      </c>
      <c r="K1715" s="16" t="str">
        <f>IF(AND(_xlfn.XLOOKUP(C1715,'Project Details'!$C$17:$C$66,'Project Details'!$L$17:$L$66,"",0)&gt;550, F1715="Spring-L27cm"),"",SUBSTITUTE(_xlfn.XLOOKUP(G1715,SKUs!$C$2:$C$10001,SKUs!$F$2:$F$10001,"",0), " Accessories",""))</f>
        <v/>
      </c>
      <c r="L1715" s="16">
        <f>_xlfn.XLOOKUP(C1715,'Project Details'!$C$17:$C$66,'Project Details'!$D$17:$D$66,"",0)</f>
        <v>0</v>
      </c>
      <c r="M1715" s="43"/>
    </row>
    <row r="1716" spans="1:13" x14ac:dyDescent="0.25">
      <c r="A1716" s="43"/>
      <c r="B1716" s="43"/>
      <c r="C1716" s="35">
        <f>C1715</f>
        <v>35</v>
      </c>
      <c r="D1716" s="35" t="str" cm="1">
        <f t="array" ref="D1716">IFERROR(ROUNDUP(_xlfn.IFS(F1716="Aluminum Track", _xlfn.XLOOKUP(C1716, dd_accsrycalc!$A$2:$A$51, dd_accsrycalc!$B$2:$B$51, "",0), F1716="10 x 2 1/2 S (Flat)", _xlfn.XLOOKUP(C1716, dd_accsrycalc!$A$2:$A$51, dd_accsrycalc!$C$2:$C$51, "",0), F1716="Tox6", _xlfn.XLOOKUP(C1716, dd_accsrycalc!$A$2:$A$51, dd_accsrycalc!$D$2:$D$51, "",0), F1716="Cover Cap", _xlfn.XLOOKUP(C1716, dd_accsrycalc!$A$2:$A$51, dd_accsrycalc!$E$2:$E$51, "",0), F1716="Drainage Cover", _xlfn.XLOOKUP(C1716, dd_accsrycalc!$A$2:$A$51, dd_accsrycalc!$F$2:$F$51, "",0),AND( F1716="Double Adhesive Tape", I1716="Roll-up Screen"), _xlfn.XLOOKUP(C1716, calc_rusacc!$C$15:$C$65, calc_rusacc!$AD$15:$AD$65, "",0),AND( F1716="Sealant", I1716="Roll-up Screen"), _xlfn.XLOOKUP(C1716, calc_rusacc!$C$15:$C$65, calc_rusacc!$AF$15:$AF$65, "",0),  AND( F1716="Main Chain", I1716="Accordion Screen"), _xlfn.XLOOKUP(C1716, calc_rusacc!$C$15:$C$65, calc_rusacc!$BF$15:$BF$65, "",0), AND( F1716="Sealant", I1716="Accordion Screen"), _xlfn.XLOOKUP(C1716, calc_rusacc!$C$15:$C$65, calc_rusacc!$BJ$15:$BJ$65, "",0),  F1716="Sealant", _xlfn.XLOOKUP(C1716, dd_accsrycalc!$A$2:$A$51, dd_accsrycalc!$G$2:$G$51, "",0),  F1716&lt;&gt;"",L1716*_xlfn.XLOOKUP(1, (SKUs!$C$2:$C$10001=G1716)*(SKUs!$K$2:$K$10001=I1716),SKUs!$E$2:$E$10001)), 0),"")</f>
        <v/>
      </c>
      <c r="E1716" s="35" t="str">
        <f>_xlfn.XLOOKUP(F1716,dd_item!$B$2:$B$105,dd_item!$C$2:$C$105,"",0)</f>
        <v/>
      </c>
      <c r="F1716" s="35"/>
      <c r="G1716" s="35" cm="1">
        <f t="array" ref="G1716">IFERROR(_xlfn.XLOOKUP(1, (SKUs!$J$2:$J$10001=accsry_unmerged!F1716)*IF(H1716&lt;&gt;"",(SKUs!$L$2:$L$10001=accsry_unmerged!H1716),1)*(SKUs!$K$2:$K$10001=I1716),SKUs!$C$2:$C$10001),"")</f>
        <v>0</v>
      </c>
      <c r="H1716" s="36" cm="1">
        <f t="array" ref="H1716">IFERROR(_xlfn.XLOOKUP(1, (dd_accsryclr!$C$2:$C$1000=accsry_unmerged!F1716)*(dd_accsryclr!$B$2:$B$1000=accsry_unmerged!J1716),dd_accsryclr!$A$2:$A$1000),"")</f>
        <v>0</v>
      </c>
      <c r="I1716" s="35">
        <f>_xlfn.XLOOKUP(C1716,'Project Details'!$C$17:$C$66,'Project Details'!$E$17:$E$66,"",0)</f>
        <v>0</v>
      </c>
      <c r="J1716" s="35">
        <f>_xlfn.XLOOKUP(C1716,'Project Details'!$C$17:$C$66,'Project Details'!$H$17:$H$66,"",0)</f>
        <v>0</v>
      </c>
      <c r="K1716" s="36" t="str">
        <f>IF(AND(_xlfn.XLOOKUP(C1716,'Project Details'!$C$17:$C$66,'Project Details'!$L$17:$L$66,"",0)&gt;550, F1716="Spring-L27cm"),"",SUBSTITUTE(_xlfn.XLOOKUP(G1716,SKUs!$C$2:$C$10001,SKUs!$F$2:$F$10001,"",0), " Accessories",""))</f>
        <v/>
      </c>
      <c r="L1716" s="36">
        <f>_xlfn.XLOOKUP(C1716,'Project Details'!$C$17:$C$66,'Project Details'!$D$17:$D$66,"",0)</f>
        <v>0</v>
      </c>
      <c r="M1716" s="43"/>
    </row>
    <row r="1717" spans="1:13" x14ac:dyDescent="0.25">
      <c r="A1717" s="43"/>
      <c r="B1717" s="43"/>
      <c r="C1717" s="16">
        <f t="shared" ref="C1717:C1763" si="33">C1716</f>
        <v>35</v>
      </c>
      <c r="D1717" s="16" t="str" cm="1">
        <f t="array" ref="D1717">IFERROR(ROUNDUP(_xlfn.IFS(F1717="Aluminum Track", _xlfn.XLOOKUP(C1717, dd_accsrycalc!$A$2:$A$51, dd_accsrycalc!$B$2:$B$51, "",0), F1717="10 x 2 1/2 S (Flat)", _xlfn.XLOOKUP(C1717, dd_accsrycalc!$A$2:$A$51, dd_accsrycalc!$C$2:$C$51, "",0), F1717="Tox6", _xlfn.XLOOKUP(C1717, dd_accsrycalc!$A$2:$A$51, dd_accsrycalc!$D$2:$D$51, "",0), F1717="Cover Cap", _xlfn.XLOOKUP(C1717, dd_accsrycalc!$A$2:$A$51, dd_accsrycalc!$E$2:$E$51, "",0), F1717="Drainage Cover", _xlfn.XLOOKUP(C1717, dd_accsrycalc!$A$2:$A$51, dd_accsrycalc!$F$2:$F$51, "",0),AND( F1717="Double Adhesive Tape", I1717="Roll-up Screen"), _xlfn.XLOOKUP(C1717, calc_rusacc!$C$15:$C$65, calc_rusacc!$AD$15:$AD$65, "",0),AND( F1717="Sealant", I1717="Roll-up Screen"), _xlfn.XLOOKUP(C1717, calc_rusacc!$C$15:$C$65, calc_rusacc!$AF$15:$AF$65, "",0),  AND( F1717="Main Chain", I1717="Accordion Screen"), _xlfn.XLOOKUP(C1717, calc_rusacc!$C$15:$C$65, calc_rusacc!$BF$15:$BF$65, "",0), AND( F1717="Sealant", I1717="Accordion Screen"), _xlfn.XLOOKUP(C1717, calc_rusacc!$C$15:$C$65, calc_rusacc!$BJ$15:$BJ$65, "",0),  F1717="Sealant", _xlfn.XLOOKUP(C1717, dd_accsrycalc!$A$2:$A$51, dd_accsrycalc!$G$2:$G$51, "",0),  F1717&lt;&gt;"",L1717*_xlfn.XLOOKUP(1, (SKUs!$C$2:$C$10001=G1717)*(SKUs!$K$2:$K$10001=I1717),SKUs!$E$2:$E$10001)), 0),"")</f>
        <v/>
      </c>
      <c r="E1717" s="16" t="str">
        <f>_xlfn.XLOOKUP(F1717,dd_item!$B$2:$B$105,dd_item!$C$2:$C$105,"",0)</f>
        <v/>
      </c>
      <c r="F1717" s="16"/>
      <c r="G1717" s="16" cm="1">
        <f t="array" ref="G1717">IFERROR(_xlfn.XLOOKUP(1, (SKUs!$J$2:$J$10001=accsry_unmerged!F1717)*IF(H1717&lt;&gt;"",(SKUs!$L$2:$L$10001=accsry_unmerged!H1717),1)*(SKUs!$K$2:$K$10001=I1717),SKUs!$C$2:$C$10001),"")</f>
        <v>0</v>
      </c>
      <c r="H1717" s="33" cm="1">
        <f t="array" ref="H1717">IFERROR(_xlfn.XLOOKUP(1, (dd_accsryclr!$C$2:$C$1000=accsry_unmerged!F1717)*(dd_accsryclr!$B$2:$B$1000=accsry_unmerged!J1717),dd_accsryclr!$A$2:$A$1000),"")</f>
        <v>0</v>
      </c>
      <c r="I1717" s="16">
        <f>_xlfn.XLOOKUP(C1717,'Project Details'!$C$17:$C$66,'Project Details'!$E$17:$E$66,"",0)</f>
        <v>0</v>
      </c>
      <c r="J1717" s="16">
        <f>_xlfn.XLOOKUP(C1717,'Project Details'!$C$17:$C$66,'Project Details'!$H$17:$H$66,"",0)</f>
        <v>0</v>
      </c>
      <c r="K1717" s="33" t="str">
        <f>IF(AND(_xlfn.XLOOKUP(C1717,'Project Details'!$C$17:$C$66,'Project Details'!$L$17:$L$66,"",0)&gt;550, F1717="Spring-L27cm"),"",SUBSTITUTE(_xlfn.XLOOKUP(G1717,SKUs!$C$2:$C$10001,SKUs!$F$2:$F$10001,"",0), " Accessories",""))</f>
        <v/>
      </c>
      <c r="L1717" s="33">
        <f>_xlfn.XLOOKUP(C1717,'Project Details'!$C$17:$C$66,'Project Details'!$D$17:$D$66,"",0)</f>
        <v>0</v>
      </c>
      <c r="M1717" s="43"/>
    </row>
    <row r="1718" spans="1:13" x14ac:dyDescent="0.25">
      <c r="A1718" s="43"/>
      <c r="B1718" s="43"/>
      <c r="C1718" s="35">
        <f t="shared" si="33"/>
        <v>35</v>
      </c>
      <c r="D1718" s="35" t="str" cm="1">
        <f t="array" ref="D1718">IFERROR(ROUNDUP(_xlfn.IFS(F1718="Aluminum Track", _xlfn.XLOOKUP(C1718, dd_accsrycalc!$A$2:$A$51, dd_accsrycalc!$B$2:$B$51, "",0), F1718="10 x 2 1/2 S (Flat)", _xlfn.XLOOKUP(C1718, dd_accsrycalc!$A$2:$A$51, dd_accsrycalc!$C$2:$C$51, "",0), F1718="Tox6", _xlfn.XLOOKUP(C1718, dd_accsrycalc!$A$2:$A$51, dd_accsrycalc!$D$2:$D$51, "",0), F1718="Cover Cap", _xlfn.XLOOKUP(C1718, dd_accsrycalc!$A$2:$A$51, dd_accsrycalc!$E$2:$E$51, "",0), F1718="Drainage Cover", _xlfn.XLOOKUP(C1718, dd_accsrycalc!$A$2:$A$51, dd_accsrycalc!$F$2:$F$51, "",0),AND( F1718="Double Adhesive Tape", I1718="Roll-up Screen"), _xlfn.XLOOKUP(C1718, calc_rusacc!$C$15:$C$65, calc_rusacc!$AD$15:$AD$65, "",0),AND( F1718="Sealant", I1718="Roll-up Screen"), _xlfn.XLOOKUP(C1718, calc_rusacc!$C$15:$C$65, calc_rusacc!$AF$15:$AF$65, "",0),  AND( F1718="Main Chain", I1718="Accordion Screen"), _xlfn.XLOOKUP(C1718, calc_rusacc!$C$15:$C$65, calc_rusacc!$BF$15:$BF$65, "",0), AND( F1718="Sealant", I1718="Accordion Screen"), _xlfn.XLOOKUP(C1718, calc_rusacc!$C$15:$C$65, calc_rusacc!$BJ$15:$BJ$65, "",0),  F1718="Sealant", _xlfn.XLOOKUP(C1718, dd_accsrycalc!$A$2:$A$51, dd_accsrycalc!$G$2:$G$51, "",0),  F1718&lt;&gt;"",L1718*_xlfn.XLOOKUP(1, (SKUs!$C$2:$C$10001=G1718)*(SKUs!$K$2:$K$10001=I1718),SKUs!$E$2:$E$10001)), 0),"")</f>
        <v/>
      </c>
      <c r="E1718" s="35" t="str">
        <f>_xlfn.XLOOKUP(F1718,dd_item!$B$2:$B$105,dd_item!$C$2:$C$105,"",0)</f>
        <v/>
      </c>
      <c r="F1718" s="35"/>
      <c r="G1718" s="35" cm="1">
        <f t="array" ref="G1718">IFERROR(_xlfn.XLOOKUP(1, (SKUs!$J$2:$J$10001=accsry_unmerged!F1718)*IF(H1718&lt;&gt;"",(SKUs!$L$2:$L$10001=accsry_unmerged!H1718),1)*(SKUs!$K$2:$K$10001=I1718),SKUs!$C$2:$C$10001),"")</f>
        <v>0</v>
      </c>
      <c r="H1718" s="36" cm="1">
        <f t="array" ref="H1718">IFERROR(_xlfn.XLOOKUP(1, (dd_accsryclr!$C$2:$C$1000=accsry_unmerged!F1718)*(dd_accsryclr!$B$2:$B$1000=accsry_unmerged!J1718),dd_accsryclr!$A$2:$A$1000),"")</f>
        <v>0</v>
      </c>
      <c r="I1718" s="35">
        <f>_xlfn.XLOOKUP(C1718,'Project Details'!$C$17:$C$66,'Project Details'!$E$17:$E$66,"",0)</f>
        <v>0</v>
      </c>
      <c r="J1718" s="35">
        <f>_xlfn.XLOOKUP(C1718,'Project Details'!$C$17:$C$66,'Project Details'!$H$17:$H$66,"",0)</f>
        <v>0</v>
      </c>
      <c r="K1718" s="36" t="str">
        <f>IF(AND(_xlfn.XLOOKUP(C1718,'Project Details'!$C$17:$C$66,'Project Details'!$L$17:$L$66,"",0)&gt;550, F1718="Spring-L27cm"),"",SUBSTITUTE(_xlfn.XLOOKUP(G1718,SKUs!$C$2:$C$10001,SKUs!$F$2:$F$10001,"",0), " Accessories",""))</f>
        <v/>
      </c>
      <c r="L1718" s="36">
        <f>_xlfn.XLOOKUP(C1718,'Project Details'!$C$17:$C$66,'Project Details'!$D$17:$D$66,"",0)</f>
        <v>0</v>
      </c>
      <c r="M1718" s="43"/>
    </row>
    <row r="1719" spans="1:13" x14ac:dyDescent="0.25">
      <c r="A1719" s="43"/>
      <c r="B1719" s="43"/>
      <c r="C1719" s="16">
        <f t="shared" si="33"/>
        <v>35</v>
      </c>
      <c r="D1719" s="16" t="str" cm="1">
        <f t="array" ref="D1719">IFERROR(ROUNDUP(_xlfn.IFS(F1719="Aluminum Track", _xlfn.XLOOKUP(C1719, dd_accsrycalc!$A$2:$A$51, dd_accsrycalc!$B$2:$B$51, "",0), F1719="10 x 2 1/2 S (Flat)", _xlfn.XLOOKUP(C1719, dd_accsrycalc!$A$2:$A$51, dd_accsrycalc!$C$2:$C$51, "",0), F1719="Tox6", _xlfn.XLOOKUP(C1719, dd_accsrycalc!$A$2:$A$51, dd_accsrycalc!$D$2:$D$51, "",0), F1719="Cover Cap", _xlfn.XLOOKUP(C1719, dd_accsrycalc!$A$2:$A$51, dd_accsrycalc!$E$2:$E$51, "",0), F1719="Drainage Cover", _xlfn.XLOOKUP(C1719, dd_accsrycalc!$A$2:$A$51, dd_accsrycalc!$F$2:$F$51, "",0),AND( F1719="Double Adhesive Tape", I1719="Roll-up Screen"), _xlfn.XLOOKUP(C1719, calc_rusacc!$C$15:$C$65, calc_rusacc!$AD$15:$AD$65, "",0),AND( F1719="Sealant", I1719="Roll-up Screen"), _xlfn.XLOOKUP(C1719, calc_rusacc!$C$15:$C$65, calc_rusacc!$AF$15:$AF$65, "",0),  AND( F1719="Main Chain", I1719="Accordion Screen"), _xlfn.XLOOKUP(C1719, calc_rusacc!$C$15:$C$65, calc_rusacc!$BF$15:$BF$65, "",0), AND( F1719="Sealant", I1719="Accordion Screen"), _xlfn.XLOOKUP(C1719, calc_rusacc!$C$15:$C$65, calc_rusacc!$BJ$15:$BJ$65, "",0),  F1719="Sealant", _xlfn.XLOOKUP(C1719, dd_accsrycalc!$A$2:$A$51, dd_accsrycalc!$G$2:$G$51, "",0),  F1719&lt;&gt;"",L1719*_xlfn.XLOOKUP(1, (SKUs!$C$2:$C$10001=G1719)*(SKUs!$K$2:$K$10001=I1719),SKUs!$E$2:$E$10001)), 0),"")</f>
        <v/>
      </c>
      <c r="E1719" s="16" t="str">
        <f>_xlfn.XLOOKUP(F1719,dd_item!$B$2:$B$105,dd_item!$C$2:$C$105,"",0)</f>
        <v/>
      </c>
      <c r="F1719" s="16"/>
      <c r="G1719" s="16" cm="1">
        <f t="array" ref="G1719">IFERROR(_xlfn.XLOOKUP(1, (SKUs!$J$2:$J$10001=accsry_unmerged!F1719)*IF(H1719&lt;&gt;"",(SKUs!$L$2:$L$10001=accsry_unmerged!H1719),1)*(SKUs!$K$2:$K$10001=I1719),SKUs!$C$2:$C$10001),"")</f>
        <v>0</v>
      </c>
      <c r="H1719" s="33" cm="1">
        <f t="array" ref="H1719">IFERROR(_xlfn.XLOOKUP(1, (dd_accsryclr!$C$2:$C$1000=accsry_unmerged!F1719)*(dd_accsryclr!$B$2:$B$1000=accsry_unmerged!J1719),dd_accsryclr!$A$2:$A$1000),"")</f>
        <v>0</v>
      </c>
      <c r="I1719" s="16">
        <f>_xlfn.XLOOKUP(C1719,'Project Details'!$C$17:$C$66,'Project Details'!$E$17:$E$66,"",0)</f>
        <v>0</v>
      </c>
      <c r="J1719" s="16">
        <f>_xlfn.XLOOKUP(C1719,'Project Details'!$C$17:$C$66,'Project Details'!$H$17:$H$66,"",0)</f>
        <v>0</v>
      </c>
      <c r="K1719" s="33" t="str">
        <f>IF(AND(_xlfn.XLOOKUP(C1719,'Project Details'!$C$17:$C$66,'Project Details'!$L$17:$L$66,"",0)&gt;550, F1719="Spring-L27cm"),"",SUBSTITUTE(_xlfn.XLOOKUP(G1719,SKUs!$C$2:$C$10001,SKUs!$F$2:$F$10001,"",0), " Accessories",""))</f>
        <v/>
      </c>
      <c r="L1719" s="33">
        <f>_xlfn.XLOOKUP(C1719,'Project Details'!$C$17:$C$66,'Project Details'!$D$17:$D$66,"",0)</f>
        <v>0</v>
      </c>
      <c r="M1719" s="43"/>
    </row>
    <row r="1720" spans="1:13" x14ac:dyDescent="0.25">
      <c r="A1720" s="43"/>
      <c r="B1720" s="43"/>
      <c r="C1720" s="35">
        <f t="shared" si="33"/>
        <v>35</v>
      </c>
      <c r="D1720" s="35" t="str" cm="1">
        <f t="array" ref="D1720">IFERROR(ROUNDUP(_xlfn.IFS(F1720="Aluminum Track", _xlfn.XLOOKUP(C1720, dd_accsrycalc!$A$2:$A$51, dd_accsrycalc!$B$2:$B$51, "",0), F1720="10 x 2 1/2 S (Flat)", _xlfn.XLOOKUP(C1720, dd_accsrycalc!$A$2:$A$51, dd_accsrycalc!$C$2:$C$51, "",0), F1720="Tox6", _xlfn.XLOOKUP(C1720, dd_accsrycalc!$A$2:$A$51, dd_accsrycalc!$D$2:$D$51, "",0), F1720="Cover Cap", _xlfn.XLOOKUP(C1720, dd_accsrycalc!$A$2:$A$51, dd_accsrycalc!$E$2:$E$51, "",0), F1720="Drainage Cover", _xlfn.XLOOKUP(C1720, dd_accsrycalc!$A$2:$A$51, dd_accsrycalc!$F$2:$F$51, "",0),AND( F1720="Double Adhesive Tape", I1720="Roll-up Screen"), _xlfn.XLOOKUP(C1720, calc_rusacc!$C$15:$C$65, calc_rusacc!$AD$15:$AD$65, "",0),AND( F1720="Sealant", I1720="Roll-up Screen"), _xlfn.XLOOKUP(C1720, calc_rusacc!$C$15:$C$65, calc_rusacc!$AF$15:$AF$65, "",0),  AND( F1720="Main Chain", I1720="Accordion Screen"), _xlfn.XLOOKUP(C1720, calc_rusacc!$C$15:$C$65, calc_rusacc!$BF$15:$BF$65, "",0), AND( F1720="Sealant", I1720="Accordion Screen"), _xlfn.XLOOKUP(C1720, calc_rusacc!$C$15:$C$65, calc_rusacc!$BJ$15:$BJ$65, "",0),  F1720="Sealant", _xlfn.XLOOKUP(C1720, dd_accsrycalc!$A$2:$A$51, dd_accsrycalc!$G$2:$G$51, "",0),  F1720&lt;&gt;"",L1720*_xlfn.XLOOKUP(1, (SKUs!$C$2:$C$10001=G1720)*(SKUs!$K$2:$K$10001=I1720),SKUs!$E$2:$E$10001)), 0),"")</f>
        <v/>
      </c>
      <c r="E1720" s="35" t="str">
        <f>_xlfn.XLOOKUP(F1720,dd_item!$B$2:$B$105,dd_item!$C$2:$C$105,"",0)</f>
        <v/>
      </c>
      <c r="F1720" s="35"/>
      <c r="G1720" s="35" cm="1">
        <f t="array" ref="G1720">IFERROR(_xlfn.XLOOKUP(1, (SKUs!$J$2:$J$10001=accsry_unmerged!F1720)*IF(H1720&lt;&gt;"",(SKUs!$L$2:$L$10001=accsry_unmerged!H1720),1)*(SKUs!$K$2:$K$10001=I1720),SKUs!$C$2:$C$10001),"")</f>
        <v>0</v>
      </c>
      <c r="H1720" s="36" cm="1">
        <f t="array" ref="H1720">IFERROR(_xlfn.XLOOKUP(1, (dd_accsryclr!$C$2:$C$1000=accsry_unmerged!F1720)*(dd_accsryclr!$B$2:$B$1000=accsry_unmerged!J1720),dd_accsryclr!$A$2:$A$1000),"")</f>
        <v>0</v>
      </c>
      <c r="I1720" s="35">
        <f>_xlfn.XLOOKUP(C1720,'Project Details'!$C$17:$C$66,'Project Details'!$E$17:$E$66,"",0)</f>
        <v>0</v>
      </c>
      <c r="J1720" s="35">
        <f>_xlfn.XLOOKUP(C1720,'Project Details'!$C$17:$C$66,'Project Details'!$H$17:$H$66,"",0)</f>
        <v>0</v>
      </c>
      <c r="K1720" s="36" t="str">
        <f>IF(AND(_xlfn.XLOOKUP(C1720,'Project Details'!$C$17:$C$66,'Project Details'!$L$17:$L$66,"",0)&gt;550, F1720="Spring-L27cm"),"",SUBSTITUTE(_xlfn.XLOOKUP(G1720,SKUs!$C$2:$C$10001,SKUs!$F$2:$F$10001,"",0), " Accessories",""))</f>
        <v/>
      </c>
      <c r="L1720" s="36">
        <f>_xlfn.XLOOKUP(C1720,'Project Details'!$C$17:$C$66,'Project Details'!$D$17:$D$66,"",0)</f>
        <v>0</v>
      </c>
      <c r="M1720" s="43"/>
    </row>
    <row r="1721" spans="1:13" x14ac:dyDescent="0.25">
      <c r="A1721" s="43"/>
      <c r="B1721" s="43"/>
      <c r="C1721" s="16">
        <f t="shared" si="33"/>
        <v>35</v>
      </c>
      <c r="D1721" s="16" t="str" cm="1">
        <f t="array" ref="D1721">IFERROR(ROUNDUP(_xlfn.IFS(F1721="Aluminum Track", _xlfn.XLOOKUP(C1721, dd_accsrycalc!$A$2:$A$51, dd_accsrycalc!$B$2:$B$51, "",0), F1721="10 x 2 1/2 S (Flat)", _xlfn.XLOOKUP(C1721, dd_accsrycalc!$A$2:$A$51, dd_accsrycalc!$C$2:$C$51, "",0), F1721="Tox6", _xlfn.XLOOKUP(C1721, dd_accsrycalc!$A$2:$A$51, dd_accsrycalc!$D$2:$D$51, "",0), F1721="Cover Cap", _xlfn.XLOOKUP(C1721, dd_accsrycalc!$A$2:$A$51, dd_accsrycalc!$E$2:$E$51, "",0), F1721="Drainage Cover", _xlfn.XLOOKUP(C1721, dd_accsrycalc!$A$2:$A$51, dd_accsrycalc!$F$2:$F$51, "",0),AND( F1721="Double Adhesive Tape", I1721="Roll-up Screen"), _xlfn.XLOOKUP(C1721, calc_rusacc!$C$15:$C$65, calc_rusacc!$AD$15:$AD$65, "",0),AND( F1721="Sealant", I1721="Roll-up Screen"), _xlfn.XLOOKUP(C1721, calc_rusacc!$C$15:$C$65, calc_rusacc!$AF$15:$AF$65, "",0),  AND( F1721="Main Chain", I1721="Accordion Screen"), _xlfn.XLOOKUP(C1721, calc_rusacc!$C$15:$C$65, calc_rusacc!$BF$15:$BF$65, "",0), AND( F1721="Sealant", I1721="Accordion Screen"), _xlfn.XLOOKUP(C1721, calc_rusacc!$C$15:$C$65, calc_rusacc!$BJ$15:$BJ$65, "",0),  F1721="Sealant", _xlfn.XLOOKUP(C1721, dd_accsrycalc!$A$2:$A$51, dd_accsrycalc!$G$2:$G$51, "",0),  F1721&lt;&gt;"",L1721*_xlfn.XLOOKUP(1, (SKUs!$C$2:$C$10001=G1721)*(SKUs!$K$2:$K$10001=I1721),SKUs!$E$2:$E$10001)), 0),"")</f>
        <v/>
      </c>
      <c r="E1721" s="16" t="str">
        <f>_xlfn.XLOOKUP(F1721,dd_item!$B$2:$B$105,dd_item!$C$2:$C$105,"",0)</f>
        <v/>
      </c>
      <c r="F1721" s="16"/>
      <c r="G1721" s="16" cm="1">
        <f t="array" ref="G1721">IFERROR(_xlfn.XLOOKUP(1, (SKUs!$J$2:$J$10001=accsry_unmerged!F1721)*IF(H1721&lt;&gt;"",(SKUs!$L$2:$L$10001=accsry_unmerged!H1721),1)*(SKUs!$K$2:$K$10001=I1721),SKUs!$C$2:$C$10001),"")</f>
        <v>0</v>
      </c>
      <c r="H1721" s="33" cm="1">
        <f t="array" ref="H1721">IFERROR(_xlfn.XLOOKUP(1, (dd_accsryclr!$C$2:$C$1000=accsry_unmerged!F1721)*(dd_accsryclr!$B$2:$B$1000=accsry_unmerged!J1721),dd_accsryclr!$A$2:$A$1000),"")</f>
        <v>0</v>
      </c>
      <c r="I1721" s="16">
        <f>_xlfn.XLOOKUP(C1721,'Project Details'!$C$17:$C$66,'Project Details'!$E$17:$E$66,"",0)</f>
        <v>0</v>
      </c>
      <c r="J1721" s="16">
        <f>_xlfn.XLOOKUP(C1721,'Project Details'!$C$17:$C$66,'Project Details'!$H$17:$H$66,"",0)</f>
        <v>0</v>
      </c>
      <c r="K1721" s="33" t="str">
        <f>IF(AND(_xlfn.XLOOKUP(C1721,'Project Details'!$C$17:$C$66,'Project Details'!$L$17:$L$66,"",0)&gt;550, F1721="Spring-L27cm"),"",SUBSTITUTE(_xlfn.XLOOKUP(G1721,SKUs!$C$2:$C$10001,SKUs!$F$2:$F$10001,"",0), " Accessories",""))</f>
        <v/>
      </c>
      <c r="L1721" s="33">
        <f>_xlfn.XLOOKUP(C1721,'Project Details'!$C$17:$C$66,'Project Details'!$D$17:$D$66,"",0)</f>
        <v>0</v>
      </c>
      <c r="M1721" s="43"/>
    </row>
    <row r="1722" spans="1:13" x14ac:dyDescent="0.25">
      <c r="A1722" s="43"/>
      <c r="B1722" s="43"/>
      <c r="C1722" s="35">
        <f t="shared" si="33"/>
        <v>35</v>
      </c>
      <c r="D1722" s="35" t="str" cm="1">
        <f t="array" ref="D1722">IFERROR(ROUNDUP(_xlfn.IFS(F1722="Aluminum Track", _xlfn.XLOOKUP(C1722, dd_accsrycalc!$A$2:$A$51, dd_accsrycalc!$B$2:$B$51, "",0), F1722="10 x 2 1/2 S (Flat)", _xlfn.XLOOKUP(C1722, dd_accsrycalc!$A$2:$A$51, dd_accsrycalc!$C$2:$C$51, "",0), F1722="Tox6", _xlfn.XLOOKUP(C1722, dd_accsrycalc!$A$2:$A$51, dd_accsrycalc!$D$2:$D$51, "",0), F1722="Cover Cap", _xlfn.XLOOKUP(C1722, dd_accsrycalc!$A$2:$A$51, dd_accsrycalc!$E$2:$E$51, "",0), F1722="Drainage Cover", _xlfn.XLOOKUP(C1722, dd_accsrycalc!$A$2:$A$51, dd_accsrycalc!$F$2:$F$51, "",0),AND( F1722="Double Adhesive Tape", I1722="Roll-up Screen"), _xlfn.XLOOKUP(C1722, calc_rusacc!$C$15:$C$65, calc_rusacc!$AD$15:$AD$65, "",0),AND( F1722="Sealant", I1722="Roll-up Screen"), _xlfn.XLOOKUP(C1722, calc_rusacc!$C$15:$C$65, calc_rusacc!$AF$15:$AF$65, "",0),  AND( F1722="Main Chain", I1722="Accordion Screen"), _xlfn.XLOOKUP(C1722, calc_rusacc!$C$15:$C$65, calc_rusacc!$BF$15:$BF$65, "",0), AND( F1722="Sealant", I1722="Accordion Screen"), _xlfn.XLOOKUP(C1722, calc_rusacc!$C$15:$C$65, calc_rusacc!$BJ$15:$BJ$65, "",0),  F1722="Sealant", _xlfn.XLOOKUP(C1722, dd_accsrycalc!$A$2:$A$51, dd_accsrycalc!$G$2:$G$51, "",0),  F1722&lt;&gt;"",L1722*_xlfn.XLOOKUP(1, (SKUs!$C$2:$C$10001=G1722)*(SKUs!$K$2:$K$10001=I1722),SKUs!$E$2:$E$10001)), 0),"")</f>
        <v/>
      </c>
      <c r="E1722" s="35" t="str">
        <f>_xlfn.XLOOKUP(F1722,dd_item!$B$2:$B$105,dd_item!$C$2:$C$105,"",0)</f>
        <v/>
      </c>
      <c r="F1722" s="35"/>
      <c r="G1722" s="35" cm="1">
        <f t="array" ref="G1722">IFERROR(_xlfn.XLOOKUP(1, (SKUs!$J$2:$J$10001=accsry_unmerged!F1722)*IF(H1722&lt;&gt;"",(SKUs!$L$2:$L$10001=accsry_unmerged!H1722),1)*(SKUs!$K$2:$K$10001=I1722),SKUs!$C$2:$C$10001),"")</f>
        <v>0</v>
      </c>
      <c r="H1722" s="36" cm="1">
        <f t="array" ref="H1722">IFERROR(_xlfn.XLOOKUP(1, (dd_accsryclr!$C$2:$C$1000=accsry_unmerged!F1722)*(dd_accsryclr!$B$2:$B$1000=accsry_unmerged!J1722),dd_accsryclr!$A$2:$A$1000),"")</f>
        <v>0</v>
      </c>
      <c r="I1722" s="35">
        <f>_xlfn.XLOOKUP(C1722,'Project Details'!$C$17:$C$66,'Project Details'!$E$17:$E$66,"",0)</f>
        <v>0</v>
      </c>
      <c r="J1722" s="35">
        <f>_xlfn.XLOOKUP(C1722,'Project Details'!$C$17:$C$66,'Project Details'!$H$17:$H$66,"",0)</f>
        <v>0</v>
      </c>
      <c r="K1722" s="36" t="str">
        <f>IF(AND(_xlfn.XLOOKUP(C1722,'Project Details'!$C$17:$C$66,'Project Details'!$L$17:$L$66,"",0)&gt;550, F1722="Spring-L27cm"),"",SUBSTITUTE(_xlfn.XLOOKUP(G1722,SKUs!$C$2:$C$10001,SKUs!$F$2:$F$10001,"",0), " Accessories",""))</f>
        <v/>
      </c>
      <c r="L1722" s="36">
        <f>_xlfn.XLOOKUP(C1722,'Project Details'!$C$17:$C$66,'Project Details'!$D$17:$D$66,"",0)</f>
        <v>0</v>
      </c>
      <c r="M1722" s="43"/>
    </row>
    <row r="1723" spans="1:13" x14ac:dyDescent="0.25">
      <c r="A1723" s="43"/>
      <c r="B1723" s="43"/>
      <c r="C1723" s="16">
        <f t="shared" si="33"/>
        <v>35</v>
      </c>
      <c r="D1723" s="16" t="str" cm="1">
        <f t="array" ref="D1723">IFERROR(ROUNDUP(_xlfn.IFS(F1723="Aluminum Track", _xlfn.XLOOKUP(C1723, dd_accsrycalc!$A$2:$A$51, dd_accsrycalc!$B$2:$B$51, "",0), F1723="10 x 2 1/2 S (Flat)", _xlfn.XLOOKUP(C1723, dd_accsrycalc!$A$2:$A$51, dd_accsrycalc!$C$2:$C$51, "",0), F1723="Tox6", _xlfn.XLOOKUP(C1723, dd_accsrycalc!$A$2:$A$51, dd_accsrycalc!$D$2:$D$51, "",0), F1723="Cover Cap", _xlfn.XLOOKUP(C1723, dd_accsrycalc!$A$2:$A$51, dd_accsrycalc!$E$2:$E$51, "",0), F1723="Drainage Cover", _xlfn.XLOOKUP(C1723, dd_accsrycalc!$A$2:$A$51, dd_accsrycalc!$F$2:$F$51, "",0),AND( F1723="Double Adhesive Tape", I1723="Roll-up Screen"), _xlfn.XLOOKUP(C1723, calc_rusacc!$C$15:$C$65, calc_rusacc!$AD$15:$AD$65, "",0),AND( F1723="Sealant", I1723="Roll-up Screen"), _xlfn.XLOOKUP(C1723, calc_rusacc!$C$15:$C$65, calc_rusacc!$AF$15:$AF$65, "",0),  AND( F1723="Main Chain", I1723="Accordion Screen"), _xlfn.XLOOKUP(C1723, calc_rusacc!$C$15:$C$65, calc_rusacc!$BF$15:$BF$65, "",0), AND( F1723="Sealant", I1723="Accordion Screen"), _xlfn.XLOOKUP(C1723, calc_rusacc!$C$15:$C$65, calc_rusacc!$BJ$15:$BJ$65, "",0),  F1723="Sealant", _xlfn.XLOOKUP(C1723, dd_accsrycalc!$A$2:$A$51, dd_accsrycalc!$G$2:$G$51, "",0),  F1723&lt;&gt;"",L1723*_xlfn.XLOOKUP(1, (SKUs!$C$2:$C$10001=G1723)*(SKUs!$K$2:$K$10001=I1723),SKUs!$E$2:$E$10001)), 0),"")</f>
        <v/>
      </c>
      <c r="E1723" s="16" t="str">
        <f>_xlfn.XLOOKUP(F1723,dd_item!$B$2:$B$105,dd_item!$C$2:$C$105,"",0)</f>
        <v/>
      </c>
      <c r="F1723" s="16"/>
      <c r="G1723" s="16" cm="1">
        <f t="array" ref="G1723">IFERROR(_xlfn.XLOOKUP(1, (SKUs!$J$2:$J$10001=accsry_unmerged!F1723)*IF(H1723&lt;&gt;"",(SKUs!$L$2:$L$10001=accsry_unmerged!H1723),1)*(SKUs!$K$2:$K$10001=I1723),SKUs!$C$2:$C$10001),"")</f>
        <v>0</v>
      </c>
      <c r="H1723" s="33" cm="1">
        <f t="array" ref="H1723">IFERROR(_xlfn.XLOOKUP(1, (dd_accsryclr!$C$2:$C$1000=accsry_unmerged!F1723)*(dd_accsryclr!$B$2:$B$1000=accsry_unmerged!J1723),dd_accsryclr!$A$2:$A$1000),"")</f>
        <v>0</v>
      </c>
      <c r="I1723" s="16">
        <f>_xlfn.XLOOKUP(C1723,'Project Details'!$C$17:$C$66,'Project Details'!$E$17:$E$66,"",0)</f>
        <v>0</v>
      </c>
      <c r="J1723" s="16">
        <f>_xlfn.XLOOKUP(C1723,'Project Details'!$C$17:$C$66,'Project Details'!$H$17:$H$66,"",0)</f>
        <v>0</v>
      </c>
      <c r="K1723" s="33" t="str">
        <f>IF(AND(_xlfn.XLOOKUP(C1723,'Project Details'!$C$17:$C$66,'Project Details'!$L$17:$L$66,"",0)&gt;550, F1723="Spring-L27cm"),"",SUBSTITUTE(_xlfn.XLOOKUP(G1723,SKUs!$C$2:$C$10001,SKUs!$F$2:$F$10001,"",0), " Accessories",""))</f>
        <v/>
      </c>
      <c r="L1723" s="33">
        <f>_xlfn.XLOOKUP(C1723,'Project Details'!$C$17:$C$66,'Project Details'!$D$17:$D$66,"",0)</f>
        <v>0</v>
      </c>
      <c r="M1723" s="43"/>
    </row>
    <row r="1724" spans="1:13" x14ac:dyDescent="0.25">
      <c r="A1724" s="43"/>
      <c r="B1724" s="43"/>
      <c r="C1724" s="35">
        <f t="shared" si="33"/>
        <v>35</v>
      </c>
      <c r="D1724" s="35" t="str" cm="1">
        <f t="array" ref="D1724">IFERROR(ROUNDUP(_xlfn.IFS(F1724="Aluminum Track", _xlfn.XLOOKUP(C1724, dd_accsrycalc!$A$2:$A$51, dd_accsrycalc!$B$2:$B$51, "",0), F1724="10 x 2 1/2 S (Flat)", _xlfn.XLOOKUP(C1724, dd_accsrycalc!$A$2:$A$51, dd_accsrycalc!$C$2:$C$51, "",0), F1724="Tox6", _xlfn.XLOOKUP(C1724, dd_accsrycalc!$A$2:$A$51, dd_accsrycalc!$D$2:$D$51, "",0), F1724="Cover Cap", _xlfn.XLOOKUP(C1724, dd_accsrycalc!$A$2:$A$51, dd_accsrycalc!$E$2:$E$51, "",0), F1724="Drainage Cover", _xlfn.XLOOKUP(C1724, dd_accsrycalc!$A$2:$A$51, dd_accsrycalc!$F$2:$F$51, "",0),AND( F1724="Double Adhesive Tape", I1724="Roll-up Screen"), _xlfn.XLOOKUP(C1724, calc_rusacc!$C$15:$C$65, calc_rusacc!$AD$15:$AD$65, "",0),AND( F1724="Sealant", I1724="Roll-up Screen"), _xlfn.XLOOKUP(C1724, calc_rusacc!$C$15:$C$65, calc_rusacc!$AF$15:$AF$65, "",0),  AND( F1724="Main Chain", I1724="Accordion Screen"), _xlfn.XLOOKUP(C1724, calc_rusacc!$C$15:$C$65, calc_rusacc!$BF$15:$BF$65, "",0), AND( F1724="Sealant", I1724="Accordion Screen"), _xlfn.XLOOKUP(C1724, calc_rusacc!$C$15:$C$65, calc_rusacc!$BJ$15:$BJ$65, "",0),  F1724="Sealant", _xlfn.XLOOKUP(C1724, dd_accsrycalc!$A$2:$A$51, dd_accsrycalc!$G$2:$G$51, "",0),  F1724&lt;&gt;"",L1724*_xlfn.XLOOKUP(1, (SKUs!$C$2:$C$10001=G1724)*(SKUs!$K$2:$K$10001=I1724),SKUs!$E$2:$E$10001)), 0),"")</f>
        <v/>
      </c>
      <c r="E1724" s="35" t="str">
        <f>_xlfn.XLOOKUP(F1724,dd_item!$B$2:$B$105,dd_item!$C$2:$C$105,"",0)</f>
        <v/>
      </c>
      <c r="F1724" s="35"/>
      <c r="G1724" s="35" cm="1">
        <f t="array" ref="G1724">IFERROR(_xlfn.XLOOKUP(1, (SKUs!$J$2:$J$10001=accsry_unmerged!F1724)*IF(H1724&lt;&gt;"",(SKUs!$L$2:$L$10001=accsry_unmerged!H1724),1)*(SKUs!$K$2:$K$10001=I1724),SKUs!$C$2:$C$10001),"")</f>
        <v>0</v>
      </c>
      <c r="H1724" s="36" cm="1">
        <f t="array" ref="H1724">IFERROR(_xlfn.XLOOKUP(1, (dd_accsryclr!$C$2:$C$1000=accsry_unmerged!F1724)*(dd_accsryclr!$B$2:$B$1000=accsry_unmerged!J1724),dd_accsryclr!$A$2:$A$1000),"")</f>
        <v>0</v>
      </c>
      <c r="I1724" s="35">
        <f>_xlfn.XLOOKUP(C1724,'Project Details'!$C$17:$C$66,'Project Details'!$E$17:$E$66,"",0)</f>
        <v>0</v>
      </c>
      <c r="J1724" s="35">
        <f>_xlfn.XLOOKUP(C1724,'Project Details'!$C$17:$C$66,'Project Details'!$H$17:$H$66,"",0)</f>
        <v>0</v>
      </c>
      <c r="K1724" s="36" t="str">
        <f>IF(AND(_xlfn.XLOOKUP(C1724,'Project Details'!$C$17:$C$66,'Project Details'!$L$17:$L$66,"",0)&gt;550, F1724="Spring-L27cm"),"",SUBSTITUTE(_xlfn.XLOOKUP(G1724,SKUs!$C$2:$C$10001,SKUs!$F$2:$F$10001,"",0), " Accessories",""))</f>
        <v/>
      </c>
      <c r="L1724" s="36">
        <f>_xlfn.XLOOKUP(C1724,'Project Details'!$C$17:$C$66,'Project Details'!$D$17:$D$66,"",0)</f>
        <v>0</v>
      </c>
      <c r="M1724" s="43"/>
    </row>
    <row r="1725" spans="1:13" x14ac:dyDescent="0.25">
      <c r="A1725" s="43"/>
      <c r="B1725" s="43"/>
      <c r="C1725" s="16">
        <f t="shared" si="33"/>
        <v>35</v>
      </c>
      <c r="D1725" s="16" t="str" cm="1">
        <f t="array" ref="D1725">IFERROR(ROUNDUP(_xlfn.IFS(F1725="Aluminum Track", _xlfn.XLOOKUP(C1725, dd_accsrycalc!$A$2:$A$51, dd_accsrycalc!$B$2:$B$51, "",0), F1725="10 x 2 1/2 S (Flat)", _xlfn.XLOOKUP(C1725, dd_accsrycalc!$A$2:$A$51, dd_accsrycalc!$C$2:$C$51, "",0), F1725="Tox6", _xlfn.XLOOKUP(C1725, dd_accsrycalc!$A$2:$A$51, dd_accsrycalc!$D$2:$D$51, "",0), F1725="Cover Cap", _xlfn.XLOOKUP(C1725, dd_accsrycalc!$A$2:$A$51, dd_accsrycalc!$E$2:$E$51, "",0), F1725="Drainage Cover", _xlfn.XLOOKUP(C1725, dd_accsrycalc!$A$2:$A$51, dd_accsrycalc!$F$2:$F$51, "",0),AND( F1725="Double Adhesive Tape", I1725="Roll-up Screen"), _xlfn.XLOOKUP(C1725, calc_rusacc!$C$15:$C$65, calc_rusacc!$AD$15:$AD$65, "",0),AND( F1725="Sealant", I1725="Roll-up Screen"), _xlfn.XLOOKUP(C1725, calc_rusacc!$C$15:$C$65, calc_rusacc!$AF$15:$AF$65, "",0),  AND( F1725="Main Chain", I1725="Accordion Screen"), _xlfn.XLOOKUP(C1725, calc_rusacc!$C$15:$C$65, calc_rusacc!$BF$15:$BF$65, "",0), AND( F1725="Sealant", I1725="Accordion Screen"), _xlfn.XLOOKUP(C1725, calc_rusacc!$C$15:$C$65, calc_rusacc!$BJ$15:$BJ$65, "",0),  F1725="Sealant", _xlfn.XLOOKUP(C1725, dd_accsrycalc!$A$2:$A$51, dd_accsrycalc!$G$2:$G$51, "",0),  F1725&lt;&gt;"",L1725*_xlfn.XLOOKUP(1, (SKUs!$C$2:$C$10001=G1725)*(SKUs!$K$2:$K$10001=I1725),SKUs!$E$2:$E$10001)), 0),"")</f>
        <v/>
      </c>
      <c r="E1725" s="16" t="str">
        <f>_xlfn.XLOOKUP(F1725,dd_item!$B$2:$B$105,dd_item!$C$2:$C$105,"",0)</f>
        <v/>
      </c>
      <c r="F1725" s="16"/>
      <c r="G1725" s="16" cm="1">
        <f t="array" ref="G1725">IFERROR(_xlfn.XLOOKUP(1, (SKUs!$J$2:$J$10001=accsry_unmerged!F1725)*IF(H1725&lt;&gt;"",(SKUs!$L$2:$L$10001=accsry_unmerged!H1725),1)*(SKUs!$K$2:$K$10001=I1725),SKUs!$C$2:$C$10001),"")</f>
        <v>0</v>
      </c>
      <c r="H1725" s="33" cm="1">
        <f t="array" ref="H1725">IFERROR(_xlfn.XLOOKUP(1, (dd_accsryclr!$C$2:$C$1000=accsry_unmerged!F1725)*(dd_accsryclr!$B$2:$B$1000=accsry_unmerged!J1725),dd_accsryclr!$A$2:$A$1000),"")</f>
        <v>0</v>
      </c>
      <c r="I1725" s="16">
        <f>_xlfn.XLOOKUP(C1725,'Project Details'!$C$17:$C$66,'Project Details'!$E$17:$E$66,"",0)</f>
        <v>0</v>
      </c>
      <c r="J1725" s="16">
        <f>_xlfn.XLOOKUP(C1725,'Project Details'!$C$17:$C$66,'Project Details'!$H$17:$H$66,"",0)</f>
        <v>0</v>
      </c>
      <c r="K1725" s="33" t="str">
        <f>IF(AND(_xlfn.XLOOKUP(C1725,'Project Details'!$C$17:$C$66,'Project Details'!$L$17:$L$66,"",0)&gt;550, F1725="Spring-L27cm"),"",SUBSTITUTE(_xlfn.XLOOKUP(G1725,SKUs!$C$2:$C$10001,SKUs!$F$2:$F$10001,"",0), " Accessories",""))</f>
        <v/>
      </c>
      <c r="L1725" s="33">
        <f>_xlfn.XLOOKUP(C1725,'Project Details'!$C$17:$C$66,'Project Details'!$D$17:$D$66,"",0)</f>
        <v>0</v>
      </c>
      <c r="M1725" s="43"/>
    </row>
    <row r="1726" spans="1:13" x14ac:dyDescent="0.25">
      <c r="A1726" s="43"/>
      <c r="B1726" s="43"/>
      <c r="C1726" s="35">
        <f t="shared" si="33"/>
        <v>35</v>
      </c>
      <c r="D1726" s="35" t="str" cm="1">
        <f t="array" ref="D1726">IFERROR(ROUNDUP(_xlfn.IFS(F1726="Aluminum Track", _xlfn.XLOOKUP(C1726, dd_accsrycalc!$A$2:$A$51, dd_accsrycalc!$B$2:$B$51, "",0), F1726="10 x 2 1/2 S (Flat)", _xlfn.XLOOKUP(C1726, dd_accsrycalc!$A$2:$A$51, dd_accsrycalc!$C$2:$C$51, "",0), F1726="Tox6", _xlfn.XLOOKUP(C1726, dd_accsrycalc!$A$2:$A$51, dd_accsrycalc!$D$2:$D$51, "",0), F1726="Cover Cap", _xlfn.XLOOKUP(C1726, dd_accsrycalc!$A$2:$A$51, dd_accsrycalc!$E$2:$E$51, "",0), F1726="Drainage Cover", _xlfn.XLOOKUP(C1726, dd_accsrycalc!$A$2:$A$51, dd_accsrycalc!$F$2:$F$51, "",0),AND( F1726="Double Adhesive Tape", I1726="Roll-up Screen"), _xlfn.XLOOKUP(C1726, calc_rusacc!$C$15:$C$65, calc_rusacc!$AD$15:$AD$65, "",0),AND( F1726="Sealant", I1726="Roll-up Screen"), _xlfn.XLOOKUP(C1726, calc_rusacc!$C$15:$C$65, calc_rusacc!$AF$15:$AF$65, "",0),  AND( F1726="Main Chain", I1726="Accordion Screen"), _xlfn.XLOOKUP(C1726, calc_rusacc!$C$15:$C$65, calc_rusacc!$BF$15:$BF$65, "",0), AND( F1726="Sealant", I1726="Accordion Screen"), _xlfn.XLOOKUP(C1726, calc_rusacc!$C$15:$C$65, calc_rusacc!$BJ$15:$BJ$65, "",0),  F1726="Sealant", _xlfn.XLOOKUP(C1726, dd_accsrycalc!$A$2:$A$51, dd_accsrycalc!$G$2:$G$51, "",0),  F1726&lt;&gt;"",L1726*_xlfn.XLOOKUP(1, (SKUs!$C$2:$C$10001=G1726)*(SKUs!$K$2:$K$10001=I1726),SKUs!$E$2:$E$10001)), 0),"")</f>
        <v/>
      </c>
      <c r="E1726" s="35" t="str">
        <f>_xlfn.XLOOKUP(F1726,dd_item!$B$2:$B$105,dd_item!$C$2:$C$105,"",0)</f>
        <v/>
      </c>
      <c r="F1726" s="35"/>
      <c r="G1726" s="35" cm="1">
        <f t="array" ref="G1726">IFERROR(_xlfn.XLOOKUP(1, (SKUs!$J$2:$J$10001=accsry_unmerged!F1726)*IF(H1726&lt;&gt;"",(SKUs!$L$2:$L$10001=accsry_unmerged!H1726),1)*(SKUs!$K$2:$K$10001=I1726),SKUs!$C$2:$C$10001),"")</f>
        <v>0</v>
      </c>
      <c r="H1726" s="36" cm="1">
        <f t="array" ref="H1726">IFERROR(_xlfn.XLOOKUP(1, (dd_accsryclr!$C$2:$C$1000=accsry_unmerged!F1726)*(dd_accsryclr!$B$2:$B$1000=accsry_unmerged!J1726),dd_accsryclr!$A$2:$A$1000),"")</f>
        <v>0</v>
      </c>
      <c r="I1726" s="35">
        <f>_xlfn.XLOOKUP(C1726,'Project Details'!$C$17:$C$66,'Project Details'!$E$17:$E$66,"",0)</f>
        <v>0</v>
      </c>
      <c r="J1726" s="35">
        <f>_xlfn.XLOOKUP(C1726,'Project Details'!$C$17:$C$66,'Project Details'!$H$17:$H$66,"",0)</f>
        <v>0</v>
      </c>
      <c r="K1726" s="36" t="str">
        <f>IF(AND(_xlfn.XLOOKUP(C1726,'Project Details'!$C$17:$C$66,'Project Details'!$L$17:$L$66,"",0)&gt;550, F1726="Spring-L27cm"),"",SUBSTITUTE(_xlfn.XLOOKUP(G1726,SKUs!$C$2:$C$10001,SKUs!$F$2:$F$10001,"",0), " Accessories",""))</f>
        <v/>
      </c>
      <c r="L1726" s="36">
        <f>_xlfn.XLOOKUP(C1726,'Project Details'!$C$17:$C$66,'Project Details'!$D$17:$D$66,"",0)</f>
        <v>0</v>
      </c>
      <c r="M1726" s="43"/>
    </row>
    <row r="1727" spans="1:13" x14ac:dyDescent="0.25">
      <c r="A1727" s="43"/>
      <c r="B1727" s="43"/>
      <c r="C1727" s="16">
        <f t="shared" si="33"/>
        <v>35</v>
      </c>
      <c r="D1727" s="16" t="str" cm="1">
        <f t="array" ref="D1727">IFERROR(ROUNDUP(_xlfn.IFS(F1727="Aluminum Track", _xlfn.XLOOKUP(C1727, dd_accsrycalc!$A$2:$A$51, dd_accsrycalc!$B$2:$B$51, "",0), F1727="10 x 2 1/2 S (Flat)", _xlfn.XLOOKUP(C1727, dd_accsrycalc!$A$2:$A$51, dd_accsrycalc!$C$2:$C$51, "",0), F1727="Tox6", _xlfn.XLOOKUP(C1727, dd_accsrycalc!$A$2:$A$51, dd_accsrycalc!$D$2:$D$51, "",0), F1727="Cover Cap", _xlfn.XLOOKUP(C1727, dd_accsrycalc!$A$2:$A$51, dd_accsrycalc!$E$2:$E$51, "",0), F1727="Drainage Cover", _xlfn.XLOOKUP(C1727, dd_accsrycalc!$A$2:$A$51, dd_accsrycalc!$F$2:$F$51, "",0),AND( F1727="Double Adhesive Tape", I1727="Roll-up Screen"), _xlfn.XLOOKUP(C1727, calc_rusacc!$C$15:$C$65, calc_rusacc!$AD$15:$AD$65, "",0),AND( F1727="Sealant", I1727="Roll-up Screen"), _xlfn.XLOOKUP(C1727, calc_rusacc!$C$15:$C$65, calc_rusacc!$AF$15:$AF$65, "",0),  AND( F1727="Main Chain", I1727="Accordion Screen"), _xlfn.XLOOKUP(C1727, calc_rusacc!$C$15:$C$65, calc_rusacc!$BF$15:$BF$65, "",0), AND( F1727="Sealant", I1727="Accordion Screen"), _xlfn.XLOOKUP(C1727, calc_rusacc!$C$15:$C$65, calc_rusacc!$BJ$15:$BJ$65, "",0),  F1727="Sealant", _xlfn.XLOOKUP(C1727, dd_accsrycalc!$A$2:$A$51, dd_accsrycalc!$G$2:$G$51, "",0),  F1727&lt;&gt;"",L1727*_xlfn.XLOOKUP(1, (SKUs!$C$2:$C$10001=G1727)*(SKUs!$K$2:$K$10001=I1727),SKUs!$E$2:$E$10001)), 0),"")</f>
        <v/>
      </c>
      <c r="E1727" s="16" t="str">
        <f>_xlfn.XLOOKUP(F1727,dd_item!$B$2:$B$105,dd_item!$C$2:$C$105,"",0)</f>
        <v/>
      </c>
      <c r="F1727" s="16"/>
      <c r="G1727" s="16" cm="1">
        <f t="array" ref="G1727">IFERROR(_xlfn.XLOOKUP(1, (SKUs!$J$2:$J$10001=accsry_unmerged!F1727)*IF(H1727&lt;&gt;"",(SKUs!$L$2:$L$10001=accsry_unmerged!H1727),1)*(SKUs!$K$2:$K$10001=I1727),SKUs!$C$2:$C$10001),"")</f>
        <v>0</v>
      </c>
      <c r="H1727" s="33" cm="1">
        <f t="array" ref="H1727">IFERROR(_xlfn.XLOOKUP(1, (dd_accsryclr!$C$2:$C$1000=accsry_unmerged!F1727)*(dd_accsryclr!$B$2:$B$1000=accsry_unmerged!J1727),dd_accsryclr!$A$2:$A$1000),"")</f>
        <v>0</v>
      </c>
      <c r="I1727" s="16">
        <f>_xlfn.XLOOKUP(C1727,'Project Details'!$C$17:$C$66,'Project Details'!$E$17:$E$66,"",0)</f>
        <v>0</v>
      </c>
      <c r="J1727" s="16">
        <f>_xlfn.XLOOKUP(C1727,'Project Details'!$C$17:$C$66,'Project Details'!$H$17:$H$66,"",0)</f>
        <v>0</v>
      </c>
      <c r="K1727" s="33" t="str">
        <f>IF(AND(_xlfn.XLOOKUP(C1727,'Project Details'!$C$17:$C$66,'Project Details'!$L$17:$L$66,"",0)&gt;550, F1727="Spring-L27cm"),"",SUBSTITUTE(_xlfn.XLOOKUP(G1727,SKUs!$C$2:$C$10001,SKUs!$F$2:$F$10001,"",0), " Accessories",""))</f>
        <v/>
      </c>
      <c r="L1727" s="33">
        <f>_xlfn.XLOOKUP(C1727,'Project Details'!$C$17:$C$66,'Project Details'!$D$17:$D$66,"",0)</f>
        <v>0</v>
      </c>
      <c r="M1727" s="43"/>
    </row>
    <row r="1728" spans="1:13" x14ac:dyDescent="0.25">
      <c r="A1728" s="43"/>
      <c r="B1728" s="43"/>
      <c r="C1728" s="35">
        <f t="shared" si="33"/>
        <v>35</v>
      </c>
      <c r="D1728" s="35" t="str" cm="1">
        <f t="array" ref="D1728">IFERROR(ROUNDUP(_xlfn.IFS(F1728="Aluminum Track", _xlfn.XLOOKUP(C1728, dd_accsrycalc!$A$2:$A$51, dd_accsrycalc!$B$2:$B$51, "",0), F1728="10 x 2 1/2 S (Flat)", _xlfn.XLOOKUP(C1728, dd_accsrycalc!$A$2:$A$51, dd_accsrycalc!$C$2:$C$51, "",0), F1728="Tox6", _xlfn.XLOOKUP(C1728, dd_accsrycalc!$A$2:$A$51, dd_accsrycalc!$D$2:$D$51, "",0), F1728="Cover Cap", _xlfn.XLOOKUP(C1728, dd_accsrycalc!$A$2:$A$51, dd_accsrycalc!$E$2:$E$51, "",0), F1728="Drainage Cover", _xlfn.XLOOKUP(C1728, dd_accsrycalc!$A$2:$A$51, dd_accsrycalc!$F$2:$F$51, "",0),AND( F1728="Double Adhesive Tape", I1728="Roll-up Screen"), _xlfn.XLOOKUP(C1728, calc_rusacc!$C$15:$C$65, calc_rusacc!$AD$15:$AD$65, "",0),AND( F1728="Sealant", I1728="Roll-up Screen"), _xlfn.XLOOKUP(C1728, calc_rusacc!$C$15:$C$65, calc_rusacc!$AF$15:$AF$65, "",0),  AND( F1728="Main Chain", I1728="Accordion Screen"), _xlfn.XLOOKUP(C1728, calc_rusacc!$C$15:$C$65, calc_rusacc!$BF$15:$BF$65, "",0), AND( F1728="Sealant", I1728="Accordion Screen"), _xlfn.XLOOKUP(C1728, calc_rusacc!$C$15:$C$65, calc_rusacc!$BJ$15:$BJ$65, "",0),  F1728="Sealant", _xlfn.XLOOKUP(C1728, dd_accsrycalc!$A$2:$A$51, dd_accsrycalc!$G$2:$G$51, "",0),  F1728&lt;&gt;"",L1728*_xlfn.XLOOKUP(1, (SKUs!$C$2:$C$10001=G1728)*(SKUs!$K$2:$K$10001=I1728),SKUs!$E$2:$E$10001)), 0),"")</f>
        <v/>
      </c>
      <c r="E1728" s="35" t="str">
        <f>_xlfn.XLOOKUP(F1728,dd_item!$B$2:$B$105,dd_item!$C$2:$C$105,"",0)</f>
        <v/>
      </c>
      <c r="F1728" s="35"/>
      <c r="G1728" s="35" cm="1">
        <f t="array" ref="G1728">IFERROR(_xlfn.XLOOKUP(1, (SKUs!$J$2:$J$10001=accsry_unmerged!F1728)*IF(H1728&lt;&gt;"",(SKUs!$L$2:$L$10001=accsry_unmerged!H1728),1)*(SKUs!$K$2:$K$10001=I1728),SKUs!$C$2:$C$10001),"")</f>
        <v>0</v>
      </c>
      <c r="H1728" s="36" cm="1">
        <f t="array" ref="H1728">IFERROR(_xlfn.XLOOKUP(1, (dd_accsryclr!$C$2:$C$1000=accsry_unmerged!F1728)*(dd_accsryclr!$B$2:$B$1000=accsry_unmerged!J1728),dd_accsryclr!$A$2:$A$1000),"")</f>
        <v>0</v>
      </c>
      <c r="I1728" s="35">
        <f>_xlfn.XLOOKUP(C1728,'Project Details'!$C$17:$C$66,'Project Details'!$E$17:$E$66,"",0)</f>
        <v>0</v>
      </c>
      <c r="J1728" s="35">
        <f>_xlfn.XLOOKUP(C1728,'Project Details'!$C$17:$C$66,'Project Details'!$H$17:$H$66,"",0)</f>
        <v>0</v>
      </c>
      <c r="K1728" s="36" t="str">
        <f>IF(AND(_xlfn.XLOOKUP(C1728,'Project Details'!$C$17:$C$66,'Project Details'!$L$17:$L$66,"",0)&gt;550, F1728="Spring-L27cm"),"",SUBSTITUTE(_xlfn.XLOOKUP(G1728,SKUs!$C$2:$C$10001,SKUs!$F$2:$F$10001,"",0), " Accessories",""))</f>
        <v/>
      </c>
      <c r="L1728" s="36">
        <f>_xlfn.XLOOKUP(C1728,'Project Details'!$C$17:$C$66,'Project Details'!$D$17:$D$66,"",0)</f>
        <v>0</v>
      </c>
      <c r="M1728" s="43"/>
    </row>
    <row r="1729" spans="1:13" x14ac:dyDescent="0.25">
      <c r="A1729" s="43"/>
      <c r="B1729" s="43"/>
      <c r="C1729" s="16">
        <f t="shared" si="33"/>
        <v>35</v>
      </c>
      <c r="D1729" s="16" t="str" cm="1">
        <f t="array" ref="D1729">IFERROR(ROUNDUP(_xlfn.IFS(F1729="Aluminum Track", _xlfn.XLOOKUP(C1729, dd_accsrycalc!$A$2:$A$51, dd_accsrycalc!$B$2:$B$51, "",0), F1729="10 x 2 1/2 S (Flat)", _xlfn.XLOOKUP(C1729, dd_accsrycalc!$A$2:$A$51, dd_accsrycalc!$C$2:$C$51, "",0), F1729="Tox6", _xlfn.XLOOKUP(C1729, dd_accsrycalc!$A$2:$A$51, dd_accsrycalc!$D$2:$D$51, "",0), F1729="Cover Cap", _xlfn.XLOOKUP(C1729, dd_accsrycalc!$A$2:$A$51, dd_accsrycalc!$E$2:$E$51, "",0), F1729="Drainage Cover", _xlfn.XLOOKUP(C1729, dd_accsrycalc!$A$2:$A$51, dd_accsrycalc!$F$2:$F$51, "",0),AND( F1729="Double Adhesive Tape", I1729="Roll-up Screen"), _xlfn.XLOOKUP(C1729, calc_rusacc!$C$15:$C$65, calc_rusacc!$AD$15:$AD$65, "",0),AND( F1729="Sealant", I1729="Roll-up Screen"), _xlfn.XLOOKUP(C1729, calc_rusacc!$C$15:$C$65, calc_rusacc!$AF$15:$AF$65, "",0),  AND( F1729="Main Chain", I1729="Accordion Screen"), _xlfn.XLOOKUP(C1729, calc_rusacc!$C$15:$C$65, calc_rusacc!$BF$15:$BF$65, "",0), AND( F1729="Sealant", I1729="Accordion Screen"), _xlfn.XLOOKUP(C1729, calc_rusacc!$C$15:$C$65, calc_rusacc!$BJ$15:$BJ$65, "",0),  F1729="Sealant", _xlfn.XLOOKUP(C1729, dd_accsrycalc!$A$2:$A$51, dd_accsrycalc!$G$2:$G$51, "",0),  F1729&lt;&gt;"",L1729*_xlfn.XLOOKUP(1, (SKUs!$C$2:$C$10001=G1729)*(SKUs!$K$2:$K$10001=I1729),SKUs!$E$2:$E$10001)), 0),"")</f>
        <v/>
      </c>
      <c r="E1729" s="16" t="str">
        <f>_xlfn.XLOOKUP(F1729,dd_item!$B$2:$B$105,dd_item!$C$2:$C$105,"",0)</f>
        <v/>
      </c>
      <c r="F1729" s="16"/>
      <c r="G1729" s="16" cm="1">
        <f t="array" ref="G1729">IFERROR(_xlfn.XLOOKUP(1, (SKUs!$J$2:$J$10001=accsry_unmerged!F1729)*IF(H1729&lt;&gt;"",(SKUs!$L$2:$L$10001=accsry_unmerged!H1729),1)*(SKUs!$K$2:$K$10001=I1729),SKUs!$C$2:$C$10001),"")</f>
        <v>0</v>
      </c>
      <c r="H1729" s="33" cm="1">
        <f t="array" ref="H1729">IFERROR(_xlfn.XLOOKUP(1, (dd_accsryclr!$C$2:$C$1000=accsry_unmerged!F1729)*(dd_accsryclr!$B$2:$B$1000=accsry_unmerged!J1729),dd_accsryclr!$A$2:$A$1000),"")</f>
        <v>0</v>
      </c>
      <c r="I1729" s="16">
        <f>_xlfn.XLOOKUP(C1729,'Project Details'!$C$17:$C$66,'Project Details'!$E$17:$E$66,"",0)</f>
        <v>0</v>
      </c>
      <c r="J1729" s="16">
        <f>_xlfn.XLOOKUP(C1729,'Project Details'!$C$17:$C$66,'Project Details'!$H$17:$H$66,"",0)</f>
        <v>0</v>
      </c>
      <c r="K1729" s="33" t="str">
        <f>IF(AND(_xlfn.XLOOKUP(C1729,'Project Details'!$C$17:$C$66,'Project Details'!$L$17:$L$66,"",0)&gt;550, F1729="Spring-L27cm"),"",SUBSTITUTE(_xlfn.XLOOKUP(G1729,SKUs!$C$2:$C$10001,SKUs!$F$2:$F$10001,"",0), " Accessories",""))</f>
        <v/>
      </c>
      <c r="L1729" s="33">
        <f>_xlfn.XLOOKUP(C1729,'Project Details'!$C$17:$C$66,'Project Details'!$D$17:$D$66,"",0)</f>
        <v>0</v>
      </c>
      <c r="M1729" s="43"/>
    </row>
    <row r="1730" spans="1:13" x14ac:dyDescent="0.25">
      <c r="A1730" s="43"/>
      <c r="B1730" s="43"/>
      <c r="C1730" s="35">
        <f t="shared" si="33"/>
        <v>35</v>
      </c>
      <c r="D1730" s="35" t="str" cm="1">
        <f t="array" ref="D1730">IFERROR(ROUNDUP(_xlfn.IFS(F1730="Aluminum Track", _xlfn.XLOOKUP(C1730, dd_accsrycalc!$A$2:$A$51, dd_accsrycalc!$B$2:$B$51, "",0), F1730="10 x 2 1/2 S (Flat)", _xlfn.XLOOKUP(C1730, dd_accsrycalc!$A$2:$A$51, dd_accsrycalc!$C$2:$C$51, "",0), F1730="Tox6", _xlfn.XLOOKUP(C1730, dd_accsrycalc!$A$2:$A$51, dd_accsrycalc!$D$2:$D$51, "",0), F1730="Cover Cap", _xlfn.XLOOKUP(C1730, dd_accsrycalc!$A$2:$A$51, dd_accsrycalc!$E$2:$E$51, "",0), F1730="Drainage Cover", _xlfn.XLOOKUP(C1730, dd_accsrycalc!$A$2:$A$51, dd_accsrycalc!$F$2:$F$51, "",0),AND( F1730="Double Adhesive Tape", I1730="Roll-up Screen"), _xlfn.XLOOKUP(C1730, calc_rusacc!$C$15:$C$65, calc_rusacc!$AD$15:$AD$65, "",0),AND( F1730="Sealant", I1730="Roll-up Screen"), _xlfn.XLOOKUP(C1730, calc_rusacc!$C$15:$C$65, calc_rusacc!$AF$15:$AF$65, "",0),  AND( F1730="Main Chain", I1730="Accordion Screen"), _xlfn.XLOOKUP(C1730, calc_rusacc!$C$15:$C$65, calc_rusacc!$BF$15:$BF$65, "",0), AND( F1730="Sealant", I1730="Accordion Screen"), _xlfn.XLOOKUP(C1730, calc_rusacc!$C$15:$C$65, calc_rusacc!$BJ$15:$BJ$65, "",0),  F1730="Sealant", _xlfn.XLOOKUP(C1730, dd_accsrycalc!$A$2:$A$51, dd_accsrycalc!$G$2:$G$51, "",0),  F1730&lt;&gt;"",L1730*_xlfn.XLOOKUP(1, (SKUs!$C$2:$C$10001=G1730)*(SKUs!$K$2:$K$10001=I1730),SKUs!$E$2:$E$10001)), 0),"")</f>
        <v/>
      </c>
      <c r="E1730" s="35" t="str">
        <f>_xlfn.XLOOKUP(F1730,dd_item!$B$2:$B$105,dd_item!$C$2:$C$105,"",0)</f>
        <v/>
      </c>
      <c r="F1730" s="35"/>
      <c r="G1730" s="35" cm="1">
        <f t="array" ref="G1730">IFERROR(_xlfn.XLOOKUP(1, (SKUs!$J$2:$J$10001=accsry_unmerged!F1730)*IF(H1730&lt;&gt;"",(SKUs!$L$2:$L$10001=accsry_unmerged!H1730),1)*(SKUs!$K$2:$K$10001=I1730),SKUs!$C$2:$C$10001),"")</f>
        <v>0</v>
      </c>
      <c r="H1730" s="36" cm="1">
        <f t="array" ref="H1730">IFERROR(_xlfn.XLOOKUP(1, (dd_accsryclr!$C$2:$C$1000=accsry_unmerged!F1730)*(dd_accsryclr!$B$2:$B$1000=accsry_unmerged!J1730),dd_accsryclr!$A$2:$A$1000),"")</f>
        <v>0</v>
      </c>
      <c r="I1730" s="35">
        <f>_xlfn.XLOOKUP(C1730,'Project Details'!$C$17:$C$66,'Project Details'!$E$17:$E$66,"",0)</f>
        <v>0</v>
      </c>
      <c r="J1730" s="35">
        <f>_xlfn.XLOOKUP(C1730,'Project Details'!$C$17:$C$66,'Project Details'!$H$17:$H$66,"",0)</f>
        <v>0</v>
      </c>
      <c r="K1730" s="36" t="str">
        <f>IF(AND(_xlfn.XLOOKUP(C1730,'Project Details'!$C$17:$C$66,'Project Details'!$L$17:$L$66,"",0)&gt;550, F1730="Spring-L27cm"),"",SUBSTITUTE(_xlfn.XLOOKUP(G1730,SKUs!$C$2:$C$10001,SKUs!$F$2:$F$10001,"",0), " Accessories",""))</f>
        <v/>
      </c>
      <c r="L1730" s="36">
        <f>_xlfn.XLOOKUP(C1730,'Project Details'!$C$17:$C$66,'Project Details'!$D$17:$D$66,"",0)</f>
        <v>0</v>
      </c>
      <c r="M1730" s="43"/>
    </row>
    <row r="1731" spans="1:13" x14ac:dyDescent="0.25">
      <c r="A1731" s="43"/>
      <c r="B1731" s="43"/>
      <c r="C1731" s="16">
        <f t="shared" si="33"/>
        <v>35</v>
      </c>
      <c r="D1731" s="16" t="str" cm="1">
        <f t="array" ref="D1731">IFERROR(ROUNDUP(_xlfn.IFS(F1731="Aluminum Track", _xlfn.XLOOKUP(C1731, dd_accsrycalc!$A$2:$A$51, dd_accsrycalc!$B$2:$B$51, "",0), F1731="10 x 2 1/2 S (Flat)", _xlfn.XLOOKUP(C1731, dd_accsrycalc!$A$2:$A$51, dd_accsrycalc!$C$2:$C$51, "",0), F1731="Tox6", _xlfn.XLOOKUP(C1731, dd_accsrycalc!$A$2:$A$51, dd_accsrycalc!$D$2:$D$51, "",0), F1731="Cover Cap", _xlfn.XLOOKUP(C1731, dd_accsrycalc!$A$2:$A$51, dd_accsrycalc!$E$2:$E$51, "",0), F1731="Drainage Cover", _xlfn.XLOOKUP(C1731, dd_accsrycalc!$A$2:$A$51, dd_accsrycalc!$F$2:$F$51, "",0),AND( F1731="Double Adhesive Tape", I1731="Roll-up Screen"), _xlfn.XLOOKUP(C1731, calc_rusacc!$C$15:$C$65, calc_rusacc!$AD$15:$AD$65, "",0),AND( F1731="Sealant", I1731="Roll-up Screen"), _xlfn.XLOOKUP(C1731, calc_rusacc!$C$15:$C$65, calc_rusacc!$AF$15:$AF$65, "",0),  AND( F1731="Main Chain", I1731="Accordion Screen"), _xlfn.XLOOKUP(C1731, calc_rusacc!$C$15:$C$65, calc_rusacc!$BF$15:$BF$65, "",0), AND( F1731="Sealant", I1731="Accordion Screen"), _xlfn.XLOOKUP(C1731, calc_rusacc!$C$15:$C$65, calc_rusacc!$BJ$15:$BJ$65, "",0),  F1731="Sealant", _xlfn.XLOOKUP(C1731, dd_accsrycalc!$A$2:$A$51, dd_accsrycalc!$G$2:$G$51, "",0),  F1731&lt;&gt;"",L1731*_xlfn.XLOOKUP(1, (SKUs!$C$2:$C$10001=G1731)*(SKUs!$K$2:$K$10001=I1731),SKUs!$E$2:$E$10001)), 0),"")</f>
        <v/>
      </c>
      <c r="E1731" s="16" t="str">
        <f>_xlfn.XLOOKUP(F1731,dd_item!$B$2:$B$105,dd_item!$C$2:$C$105,"",0)</f>
        <v/>
      </c>
      <c r="F1731" s="16"/>
      <c r="G1731" s="16" cm="1">
        <f t="array" ref="G1731">IFERROR(_xlfn.XLOOKUP(1, (SKUs!$J$2:$J$10001=accsry_unmerged!F1731)*IF(H1731&lt;&gt;"",(SKUs!$L$2:$L$10001=accsry_unmerged!H1731),1)*(SKUs!$K$2:$K$10001=I1731),SKUs!$C$2:$C$10001),"")</f>
        <v>0</v>
      </c>
      <c r="H1731" s="33" cm="1">
        <f t="array" ref="H1731">IFERROR(_xlfn.XLOOKUP(1, (dd_accsryclr!$C$2:$C$1000=accsry_unmerged!F1731)*(dd_accsryclr!$B$2:$B$1000=accsry_unmerged!J1731),dd_accsryclr!$A$2:$A$1000),"")</f>
        <v>0</v>
      </c>
      <c r="I1731" s="16">
        <f>_xlfn.XLOOKUP(C1731,'Project Details'!$C$17:$C$66,'Project Details'!$E$17:$E$66,"",0)</f>
        <v>0</v>
      </c>
      <c r="J1731" s="16">
        <f>_xlfn.XLOOKUP(C1731,'Project Details'!$C$17:$C$66,'Project Details'!$H$17:$H$66,"",0)</f>
        <v>0</v>
      </c>
      <c r="K1731" s="33" t="str">
        <f>IF(AND(_xlfn.XLOOKUP(C1731,'Project Details'!$C$17:$C$66,'Project Details'!$L$17:$L$66,"",0)&gt;550, F1731="Spring-L27cm"),"",SUBSTITUTE(_xlfn.XLOOKUP(G1731,SKUs!$C$2:$C$10001,SKUs!$F$2:$F$10001,"",0), " Accessories",""))</f>
        <v/>
      </c>
      <c r="L1731" s="33">
        <f>_xlfn.XLOOKUP(C1731,'Project Details'!$C$17:$C$66,'Project Details'!$D$17:$D$66,"",0)</f>
        <v>0</v>
      </c>
      <c r="M1731" s="43"/>
    </row>
    <row r="1732" spans="1:13" x14ac:dyDescent="0.25">
      <c r="A1732" s="43"/>
      <c r="B1732" s="43"/>
      <c r="C1732" s="35">
        <f t="shared" si="33"/>
        <v>35</v>
      </c>
      <c r="D1732" s="35" t="str" cm="1">
        <f t="array" ref="D1732">IFERROR(ROUNDUP(_xlfn.IFS(F1732="Aluminum Track", _xlfn.XLOOKUP(C1732, dd_accsrycalc!$A$2:$A$51, dd_accsrycalc!$B$2:$B$51, "",0), F1732="10 x 2 1/2 S (Flat)", _xlfn.XLOOKUP(C1732, dd_accsrycalc!$A$2:$A$51, dd_accsrycalc!$C$2:$C$51, "",0), F1732="Tox6", _xlfn.XLOOKUP(C1732, dd_accsrycalc!$A$2:$A$51, dd_accsrycalc!$D$2:$D$51, "",0), F1732="Cover Cap", _xlfn.XLOOKUP(C1732, dd_accsrycalc!$A$2:$A$51, dd_accsrycalc!$E$2:$E$51, "",0), F1732="Drainage Cover", _xlfn.XLOOKUP(C1732, dd_accsrycalc!$A$2:$A$51, dd_accsrycalc!$F$2:$F$51, "",0),AND( F1732="Double Adhesive Tape", I1732="Roll-up Screen"), _xlfn.XLOOKUP(C1732, calc_rusacc!$C$15:$C$65, calc_rusacc!$AD$15:$AD$65, "",0),AND( F1732="Sealant", I1732="Roll-up Screen"), _xlfn.XLOOKUP(C1732, calc_rusacc!$C$15:$C$65, calc_rusacc!$AF$15:$AF$65, "",0),  AND( F1732="Main Chain", I1732="Accordion Screen"), _xlfn.XLOOKUP(C1732, calc_rusacc!$C$15:$C$65, calc_rusacc!$BF$15:$BF$65, "",0), AND( F1732="Sealant", I1732="Accordion Screen"), _xlfn.XLOOKUP(C1732, calc_rusacc!$C$15:$C$65, calc_rusacc!$BJ$15:$BJ$65, "",0),  F1732="Sealant", _xlfn.XLOOKUP(C1732, dd_accsrycalc!$A$2:$A$51, dd_accsrycalc!$G$2:$G$51, "",0),  F1732&lt;&gt;"",L1732*_xlfn.XLOOKUP(1, (SKUs!$C$2:$C$10001=G1732)*(SKUs!$K$2:$K$10001=I1732),SKUs!$E$2:$E$10001)), 0),"")</f>
        <v/>
      </c>
      <c r="E1732" s="35" t="str">
        <f>_xlfn.XLOOKUP(F1732,dd_item!$B$2:$B$105,dd_item!$C$2:$C$105,"",0)</f>
        <v/>
      </c>
      <c r="F1732" s="35"/>
      <c r="G1732" s="35" cm="1">
        <f t="array" ref="G1732">IFERROR(_xlfn.XLOOKUP(1, (SKUs!$J$2:$J$10001=accsry_unmerged!F1732)*IF(H1732&lt;&gt;"",(SKUs!$L$2:$L$10001=accsry_unmerged!H1732),1)*(SKUs!$K$2:$K$10001=I1732),SKUs!$C$2:$C$10001),"")</f>
        <v>0</v>
      </c>
      <c r="H1732" s="36" cm="1">
        <f t="array" ref="H1732">IFERROR(_xlfn.XLOOKUP(1, (dd_accsryclr!$C$2:$C$1000=accsry_unmerged!F1732)*(dd_accsryclr!$B$2:$B$1000=accsry_unmerged!J1732),dd_accsryclr!$A$2:$A$1000),"")</f>
        <v>0</v>
      </c>
      <c r="I1732" s="35">
        <f>_xlfn.XLOOKUP(C1732,'Project Details'!$C$17:$C$66,'Project Details'!$E$17:$E$66,"",0)</f>
        <v>0</v>
      </c>
      <c r="J1732" s="35">
        <f>_xlfn.XLOOKUP(C1732,'Project Details'!$C$17:$C$66,'Project Details'!$H$17:$H$66,"",0)</f>
        <v>0</v>
      </c>
      <c r="K1732" s="36" t="str">
        <f>IF(AND(_xlfn.XLOOKUP(C1732,'Project Details'!$C$17:$C$66,'Project Details'!$L$17:$L$66,"",0)&gt;550, F1732="Spring-L27cm"),"",SUBSTITUTE(_xlfn.XLOOKUP(G1732,SKUs!$C$2:$C$10001,SKUs!$F$2:$F$10001,"",0), " Accessories",""))</f>
        <v/>
      </c>
      <c r="L1732" s="36">
        <f>_xlfn.XLOOKUP(C1732,'Project Details'!$C$17:$C$66,'Project Details'!$D$17:$D$66,"",0)</f>
        <v>0</v>
      </c>
      <c r="M1732" s="43"/>
    </row>
    <row r="1733" spans="1:13" x14ac:dyDescent="0.25">
      <c r="A1733" s="43"/>
      <c r="B1733" s="43"/>
      <c r="C1733" s="16">
        <f t="shared" si="33"/>
        <v>35</v>
      </c>
      <c r="D1733" s="16" t="str" cm="1">
        <f t="array" ref="D1733">IFERROR(ROUNDUP(_xlfn.IFS(F1733="Aluminum Track", _xlfn.XLOOKUP(C1733, dd_accsrycalc!$A$2:$A$51, dd_accsrycalc!$B$2:$B$51, "",0), F1733="10 x 2 1/2 S (Flat)", _xlfn.XLOOKUP(C1733, dd_accsrycalc!$A$2:$A$51, dd_accsrycalc!$C$2:$C$51, "",0), F1733="Tox6", _xlfn.XLOOKUP(C1733, dd_accsrycalc!$A$2:$A$51, dd_accsrycalc!$D$2:$D$51, "",0), F1733="Cover Cap", _xlfn.XLOOKUP(C1733, dd_accsrycalc!$A$2:$A$51, dd_accsrycalc!$E$2:$E$51, "",0), F1733="Drainage Cover", _xlfn.XLOOKUP(C1733, dd_accsrycalc!$A$2:$A$51, dd_accsrycalc!$F$2:$F$51, "",0),AND( F1733="Double Adhesive Tape", I1733="Roll-up Screen"), _xlfn.XLOOKUP(C1733, calc_rusacc!$C$15:$C$65, calc_rusacc!$AD$15:$AD$65, "",0),AND( F1733="Sealant", I1733="Roll-up Screen"), _xlfn.XLOOKUP(C1733, calc_rusacc!$C$15:$C$65, calc_rusacc!$AF$15:$AF$65, "",0),  AND( F1733="Main Chain", I1733="Accordion Screen"), _xlfn.XLOOKUP(C1733, calc_rusacc!$C$15:$C$65, calc_rusacc!$BF$15:$BF$65, "",0), AND( F1733="Sealant", I1733="Accordion Screen"), _xlfn.XLOOKUP(C1733, calc_rusacc!$C$15:$C$65, calc_rusacc!$BJ$15:$BJ$65, "",0),  F1733="Sealant", _xlfn.XLOOKUP(C1733, dd_accsrycalc!$A$2:$A$51, dd_accsrycalc!$G$2:$G$51, "",0),  F1733&lt;&gt;"",L1733*_xlfn.XLOOKUP(1, (SKUs!$C$2:$C$10001=G1733)*(SKUs!$K$2:$K$10001=I1733),SKUs!$E$2:$E$10001)), 0),"")</f>
        <v/>
      </c>
      <c r="E1733" s="16" t="str">
        <f>_xlfn.XLOOKUP(F1733,dd_item!$B$2:$B$105,dd_item!$C$2:$C$105,"",0)</f>
        <v/>
      </c>
      <c r="F1733" s="16"/>
      <c r="G1733" s="16" cm="1">
        <f t="array" ref="G1733">IFERROR(_xlfn.XLOOKUP(1, (SKUs!$J$2:$J$10001=accsry_unmerged!F1733)*IF(H1733&lt;&gt;"",(SKUs!$L$2:$L$10001=accsry_unmerged!H1733),1)*(SKUs!$K$2:$K$10001=I1733),SKUs!$C$2:$C$10001),"")</f>
        <v>0</v>
      </c>
      <c r="H1733" s="33" cm="1">
        <f t="array" ref="H1733">IFERROR(_xlfn.XLOOKUP(1, (dd_accsryclr!$C$2:$C$1000=accsry_unmerged!F1733)*(dd_accsryclr!$B$2:$B$1000=accsry_unmerged!J1733),dd_accsryclr!$A$2:$A$1000),"")</f>
        <v>0</v>
      </c>
      <c r="I1733" s="16">
        <f>_xlfn.XLOOKUP(C1733,'Project Details'!$C$17:$C$66,'Project Details'!$E$17:$E$66,"",0)</f>
        <v>0</v>
      </c>
      <c r="J1733" s="16">
        <f>_xlfn.XLOOKUP(C1733,'Project Details'!$C$17:$C$66,'Project Details'!$H$17:$H$66,"",0)</f>
        <v>0</v>
      </c>
      <c r="K1733" s="33" t="str">
        <f>IF(AND(_xlfn.XLOOKUP(C1733,'Project Details'!$C$17:$C$66,'Project Details'!$L$17:$L$66,"",0)&gt;550, F1733="Spring-L27cm"),"",SUBSTITUTE(_xlfn.XLOOKUP(G1733,SKUs!$C$2:$C$10001,SKUs!$F$2:$F$10001,"",0), " Accessories",""))</f>
        <v/>
      </c>
      <c r="L1733" s="33">
        <f>_xlfn.XLOOKUP(C1733,'Project Details'!$C$17:$C$66,'Project Details'!$D$17:$D$66,"",0)</f>
        <v>0</v>
      </c>
      <c r="M1733" s="43"/>
    </row>
    <row r="1734" spans="1:13" ht="13.5" customHeight="1" x14ac:dyDescent="0.25">
      <c r="A1734" s="43"/>
      <c r="B1734" s="43"/>
      <c r="C1734" s="35">
        <f t="shared" si="33"/>
        <v>35</v>
      </c>
      <c r="D1734" s="35" t="str" cm="1">
        <f t="array" ref="D1734">IFERROR(ROUNDUP(_xlfn.IFS(F1734="Aluminum Track", _xlfn.XLOOKUP(C1734, dd_accsrycalc!$A$2:$A$51, dd_accsrycalc!$B$2:$B$51, "",0), F1734="10 x 2 1/2 S (Flat)", _xlfn.XLOOKUP(C1734, dd_accsrycalc!$A$2:$A$51, dd_accsrycalc!$C$2:$C$51, "",0), F1734="Tox6", _xlfn.XLOOKUP(C1734, dd_accsrycalc!$A$2:$A$51, dd_accsrycalc!$D$2:$D$51, "",0), F1734="Cover Cap", _xlfn.XLOOKUP(C1734, dd_accsrycalc!$A$2:$A$51, dd_accsrycalc!$E$2:$E$51, "",0), F1734="Drainage Cover", _xlfn.XLOOKUP(C1734, dd_accsrycalc!$A$2:$A$51, dd_accsrycalc!$F$2:$F$51, "",0),AND( F1734="Double Adhesive Tape", I1734="Roll-up Screen"), _xlfn.XLOOKUP(C1734, calc_rusacc!$C$15:$C$65, calc_rusacc!$AD$15:$AD$65, "",0),AND( F1734="Sealant", I1734="Roll-up Screen"), _xlfn.XLOOKUP(C1734, calc_rusacc!$C$15:$C$65, calc_rusacc!$AF$15:$AF$65, "",0),  AND( F1734="Main Chain", I1734="Accordion Screen"), _xlfn.XLOOKUP(C1734, calc_rusacc!$C$15:$C$65, calc_rusacc!$BF$15:$BF$65, "",0), AND( F1734="Sealant", I1734="Accordion Screen"), _xlfn.XLOOKUP(C1734, calc_rusacc!$C$15:$C$65, calc_rusacc!$BJ$15:$BJ$65, "",0),  F1734="Sealant", _xlfn.XLOOKUP(C1734, dd_accsrycalc!$A$2:$A$51, dd_accsrycalc!$G$2:$G$51, "",0),  F1734&lt;&gt;"",L1734*_xlfn.XLOOKUP(1, (SKUs!$C$2:$C$10001=G1734)*(SKUs!$K$2:$K$10001=I1734),SKUs!$E$2:$E$10001)), 0),"")</f>
        <v/>
      </c>
      <c r="E1734" s="35" t="str">
        <f>_xlfn.XLOOKUP(F1734,dd_item!$B$2:$B$105,dd_item!$C$2:$C$105,"",0)</f>
        <v/>
      </c>
      <c r="F1734" s="35"/>
      <c r="G1734" s="35" cm="1">
        <f t="array" ref="G1734">IFERROR(_xlfn.XLOOKUP(1, (SKUs!$J$2:$J$10001=accsry_unmerged!F1734)*IF(H1734&lt;&gt;"",(SKUs!$L$2:$L$10001=accsry_unmerged!H1734),1)*(SKUs!$K$2:$K$10001=I1734),SKUs!$C$2:$C$10001),"")</f>
        <v>0</v>
      </c>
      <c r="H1734" s="36" cm="1">
        <f t="array" ref="H1734">IFERROR(_xlfn.XLOOKUP(1, (dd_accsryclr!$C$2:$C$1000=accsry_unmerged!F1734)*(dd_accsryclr!$B$2:$B$1000=accsry_unmerged!J1734),dd_accsryclr!$A$2:$A$1000),"")</f>
        <v>0</v>
      </c>
      <c r="I1734" s="35">
        <f>_xlfn.XLOOKUP(C1734,'Project Details'!$C$17:$C$66,'Project Details'!$E$17:$E$66,"",0)</f>
        <v>0</v>
      </c>
      <c r="J1734" s="35">
        <f>_xlfn.XLOOKUP(C1734,'Project Details'!$C$17:$C$66,'Project Details'!$H$17:$H$66,"",0)</f>
        <v>0</v>
      </c>
      <c r="K1734" s="36" t="str">
        <f>IF(AND(_xlfn.XLOOKUP(C1734,'Project Details'!$C$17:$C$66,'Project Details'!$L$17:$L$66,"",0)&gt;550, F1734="Spring-L27cm"),"",SUBSTITUTE(_xlfn.XLOOKUP(G1734,SKUs!$C$2:$C$10001,SKUs!$F$2:$F$10001,"",0), " Accessories",""))</f>
        <v/>
      </c>
      <c r="L1734" s="36">
        <f>_xlfn.XLOOKUP(C1734,'Project Details'!$C$17:$C$66,'Project Details'!$D$17:$D$66,"",0)</f>
        <v>0</v>
      </c>
      <c r="M1734" s="43"/>
    </row>
    <row r="1735" spans="1:13" ht="13.5" customHeight="1" x14ac:dyDescent="0.25">
      <c r="A1735" s="43"/>
      <c r="B1735" s="43"/>
      <c r="C1735" s="16">
        <f t="shared" si="33"/>
        <v>35</v>
      </c>
      <c r="D1735" s="16" t="str" cm="1">
        <f t="array" ref="D1735">IFERROR(ROUNDUP(_xlfn.IFS(F1735="Aluminum Track", _xlfn.XLOOKUP(C1735, dd_accsrycalc!$A$2:$A$51, dd_accsrycalc!$B$2:$B$51, "",0), F1735="10 x 2 1/2 S (Flat)", _xlfn.XLOOKUP(C1735, dd_accsrycalc!$A$2:$A$51, dd_accsrycalc!$C$2:$C$51, "",0), F1735="Tox6", _xlfn.XLOOKUP(C1735, dd_accsrycalc!$A$2:$A$51, dd_accsrycalc!$D$2:$D$51, "",0), F1735="Cover Cap", _xlfn.XLOOKUP(C1735, dd_accsrycalc!$A$2:$A$51, dd_accsrycalc!$E$2:$E$51, "",0), F1735="Drainage Cover", _xlfn.XLOOKUP(C1735, dd_accsrycalc!$A$2:$A$51, dd_accsrycalc!$F$2:$F$51, "",0),AND( F1735="Double Adhesive Tape", I1735="Roll-up Screen"), _xlfn.XLOOKUP(C1735, calc_rusacc!$C$15:$C$65, calc_rusacc!$AD$15:$AD$65, "",0),AND( F1735="Sealant", I1735="Roll-up Screen"), _xlfn.XLOOKUP(C1735, calc_rusacc!$C$15:$C$65, calc_rusacc!$AF$15:$AF$65, "",0),  AND( F1735="Main Chain", I1735="Accordion Screen"), _xlfn.XLOOKUP(C1735, calc_rusacc!$C$15:$C$65, calc_rusacc!$BF$15:$BF$65, "",0), AND( F1735="Sealant", I1735="Accordion Screen"), _xlfn.XLOOKUP(C1735, calc_rusacc!$C$15:$C$65, calc_rusacc!$BJ$15:$BJ$65, "",0),  F1735="Sealant", _xlfn.XLOOKUP(C1735, dd_accsrycalc!$A$2:$A$51, dd_accsrycalc!$G$2:$G$51, "",0),  F1735&lt;&gt;"",L1735*_xlfn.XLOOKUP(1, (SKUs!$C$2:$C$10001=G1735)*(SKUs!$K$2:$K$10001=I1735),SKUs!$E$2:$E$10001)), 0),"")</f>
        <v/>
      </c>
      <c r="E1735" s="16" t="str">
        <f>_xlfn.XLOOKUP(F1735,dd_item!$B$2:$B$105,dd_item!$C$2:$C$105,"",0)</f>
        <v/>
      </c>
      <c r="F1735" s="16"/>
      <c r="G1735" s="16" cm="1">
        <f t="array" ref="G1735">IFERROR(_xlfn.XLOOKUP(1, (SKUs!$J$2:$J$10001=accsry_unmerged!F1735)*IF(H1735&lt;&gt;"",(SKUs!$L$2:$L$10001=accsry_unmerged!H1735),1)*(SKUs!$K$2:$K$10001=I1735),SKUs!$C$2:$C$10001),"")</f>
        <v>0</v>
      </c>
      <c r="H1735" s="33" cm="1">
        <f t="array" ref="H1735">IFERROR(_xlfn.XLOOKUP(1, (dd_accsryclr!$C$2:$C$1000=accsry_unmerged!F1735)*(dd_accsryclr!$B$2:$B$1000=accsry_unmerged!J1735),dd_accsryclr!$A$2:$A$1000),"")</f>
        <v>0</v>
      </c>
      <c r="I1735" s="16">
        <f>_xlfn.XLOOKUP(C1735,'Project Details'!$C$17:$C$66,'Project Details'!$E$17:$E$66,"",0)</f>
        <v>0</v>
      </c>
      <c r="J1735" s="16">
        <f>_xlfn.XLOOKUP(C1735,'Project Details'!$C$17:$C$66,'Project Details'!$H$17:$H$66,"",0)</f>
        <v>0</v>
      </c>
      <c r="K1735" s="33" t="str">
        <f>IF(AND(_xlfn.XLOOKUP(C1735,'Project Details'!$C$17:$C$66,'Project Details'!$L$17:$L$66,"",0)&gt;550, F1735="Spring-L27cm"),"",SUBSTITUTE(_xlfn.XLOOKUP(G1735,SKUs!$C$2:$C$10001,SKUs!$F$2:$F$10001,"",0), " Accessories",""))</f>
        <v/>
      </c>
      <c r="L1735" s="33">
        <f>_xlfn.XLOOKUP(C1735,'Project Details'!$C$17:$C$66,'Project Details'!$D$17:$D$66,"",0)</f>
        <v>0</v>
      </c>
      <c r="M1735" s="43"/>
    </row>
    <row r="1736" spans="1:13" ht="13.5" customHeight="1" x14ac:dyDescent="0.25">
      <c r="A1736" s="43"/>
      <c r="B1736" s="43"/>
      <c r="C1736" s="35">
        <f t="shared" si="33"/>
        <v>35</v>
      </c>
      <c r="D1736" s="35" t="str" cm="1">
        <f t="array" ref="D1736">IFERROR(ROUNDUP(_xlfn.IFS(F1736="Aluminum Track", _xlfn.XLOOKUP(C1736, dd_accsrycalc!$A$2:$A$51, dd_accsrycalc!$B$2:$B$51, "",0), F1736="10 x 2 1/2 S (Flat)", _xlfn.XLOOKUP(C1736, dd_accsrycalc!$A$2:$A$51, dd_accsrycalc!$C$2:$C$51, "",0), F1736="Tox6", _xlfn.XLOOKUP(C1736, dd_accsrycalc!$A$2:$A$51, dd_accsrycalc!$D$2:$D$51, "",0), F1736="Cover Cap", _xlfn.XLOOKUP(C1736, dd_accsrycalc!$A$2:$A$51, dd_accsrycalc!$E$2:$E$51, "",0), F1736="Drainage Cover", _xlfn.XLOOKUP(C1736, dd_accsrycalc!$A$2:$A$51, dd_accsrycalc!$F$2:$F$51, "",0),AND( F1736="Double Adhesive Tape", I1736="Roll-up Screen"), _xlfn.XLOOKUP(C1736, calc_rusacc!$C$15:$C$65, calc_rusacc!$AD$15:$AD$65, "",0),AND( F1736="Sealant", I1736="Roll-up Screen"), _xlfn.XLOOKUP(C1736, calc_rusacc!$C$15:$C$65, calc_rusacc!$AF$15:$AF$65, "",0),  AND( F1736="Main Chain", I1736="Accordion Screen"), _xlfn.XLOOKUP(C1736, calc_rusacc!$C$15:$C$65, calc_rusacc!$BF$15:$BF$65, "",0), AND( F1736="Sealant", I1736="Accordion Screen"), _xlfn.XLOOKUP(C1736, calc_rusacc!$C$15:$C$65, calc_rusacc!$BJ$15:$BJ$65, "",0),  F1736="Sealant", _xlfn.XLOOKUP(C1736, dd_accsrycalc!$A$2:$A$51, dd_accsrycalc!$G$2:$G$51, "",0),  F1736&lt;&gt;"",L1736*_xlfn.XLOOKUP(1, (SKUs!$C$2:$C$10001=G1736)*(SKUs!$K$2:$K$10001=I1736),SKUs!$E$2:$E$10001)), 0),"")</f>
        <v/>
      </c>
      <c r="E1736" s="35" t="str">
        <f>_xlfn.XLOOKUP(F1736,dd_item!$B$2:$B$105,dd_item!$C$2:$C$105,"",0)</f>
        <v/>
      </c>
      <c r="F1736" s="35"/>
      <c r="G1736" s="35" cm="1">
        <f t="array" ref="G1736">IFERROR(_xlfn.XLOOKUP(1, (SKUs!$J$2:$J$10001=accsry_unmerged!F1736)*IF(H1736&lt;&gt;"",(SKUs!$L$2:$L$10001=accsry_unmerged!H1736),1)*(SKUs!$K$2:$K$10001=I1736),SKUs!$C$2:$C$10001),"")</f>
        <v>0</v>
      </c>
      <c r="H1736" s="36" cm="1">
        <f t="array" ref="H1736">IFERROR(_xlfn.XLOOKUP(1, (dd_accsryclr!$C$2:$C$1000=accsry_unmerged!F1736)*(dd_accsryclr!$B$2:$B$1000=accsry_unmerged!J1736),dd_accsryclr!$A$2:$A$1000),"")</f>
        <v>0</v>
      </c>
      <c r="I1736" s="35">
        <f>_xlfn.XLOOKUP(C1736,'Project Details'!$C$17:$C$66,'Project Details'!$E$17:$E$66,"",0)</f>
        <v>0</v>
      </c>
      <c r="J1736" s="35">
        <f>_xlfn.XLOOKUP(C1736,'Project Details'!$C$17:$C$66,'Project Details'!$H$17:$H$66,"",0)</f>
        <v>0</v>
      </c>
      <c r="K1736" s="36" t="str">
        <f>IF(AND(_xlfn.XLOOKUP(C1736,'Project Details'!$C$17:$C$66,'Project Details'!$L$17:$L$66,"",0)&gt;550, F1736="Spring-L27cm"),"",SUBSTITUTE(_xlfn.XLOOKUP(G1736,SKUs!$C$2:$C$10001,SKUs!$F$2:$F$10001,"",0), " Accessories",""))</f>
        <v/>
      </c>
      <c r="L1736" s="36">
        <f>_xlfn.XLOOKUP(C1736,'Project Details'!$C$17:$C$66,'Project Details'!$D$17:$D$66,"",0)</f>
        <v>0</v>
      </c>
      <c r="M1736" s="43"/>
    </row>
    <row r="1737" spans="1:13" ht="13.5" customHeight="1" x14ac:dyDescent="0.25">
      <c r="A1737" s="43"/>
      <c r="B1737" s="43"/>
      <c r="C1737" s="16">
        <f t="shared" si="33"/>
        <v>35</v>
      </c>
      <c r="D1737" s="16" t="str" cm="1">
        <f t="array" ref="D1737">IFERROR(ROUNDUP(_xlfn.IFS(F1737="Aluminum Track", _xlfn.XLOOKUP(C1737, dd_accsrycalc!$A$2:$A$51, dd_accsrycalc!$B$2:$B$51, "",0), F1737="10 x 2 1/2 S (Flat)", _xlfn.XLOOKUP(C1737, dd_accsrycalc!$A$2:$A$51, dd_accsrycalc!$C$2:$C$51, "",0), F1737="Tox6", _xlfn.XLOOKUP(C1737, dd_accsrycalc!$A$2:$A$51, dd_accsrycalc!$D$2:$D$51, "",0), F1737="Cover Cap", _xlfn.XLOOKUP(C1737, dd_accsrycalc!$A$2:$A$51, dd_accsrycalc!$E$2:$E$51, "",0), F1737="Drainage Cover", _xlfn.XLOOKUP(C1737, dd_accsrycalc!$A$2:$A$51, dd_accsrycalc!$F$2:$F$51, "",0),AND( F1737="Double Adhesive Tape", I1737="Roll-up Screen"), _xlfn.XLOOKUP(C1737, calc_rusacc!$C$15:$C$65, calc_rusacc!$AD$15:$AD$65, "",0),AND( F1737="Sealant", I1737="Roll-up Screen"), _xlfn.XLOOKUP(C1737, calc_rusacc!$C$15:$C$65, calc_rusacc!$AF$15:$AF$65, "",0),  AND( F1737="Main Chain", I1737="Accordion Screen"), _xlfn.XLOOKUP(C1737, calc_rusacc!$C$15:$C$65, calc_rusacc!$BF$15:$BF$65, "",0), AND( F1737="Sealant", I1737="Accordion Screen"), _xlfn.XLOOKUP(C1737, calc_rusacc!$C$15:$C$65, calc_rusacc!$BJ$15:$BJ$65, "",0),  F1737="Sealant", _xlfn.XLOOKUP(C1737, dd_accsrycalc!$A$2:$A$51, dd_accsrycalc!$G$2:$G$51, "",0),  F1737&lt;&gt;"",L1737*_xlfn.XLOOKUP(1, (SKUs!$C$2:$C$10001=G1737)*(SKUs!$K$2:$K$10001=I1737),SKUs!$E$2:$E$10001)), 0),"")</f>
        <v/>
      </c>
      <c r="E1737" s="16" t="str">
        <f>_xlfn.XLOOKUP(F1737,dd_item!$B$2:$B$105,dd_item!$C$2:$C$105,"",0)</f>
        <v/>
      </c>
      <c r="F1737" s="16"/>
      <c r="G1737" s="16" cm="1">
        <f t="array" ref="G1737">IFERROR(_xlfn.XLOOKUP(1, (SKUs!$J$2:$J$10001=accsry_unmerged!F1737)*IF(H1737&lt;&gt;"",(SKUs!$L$2:$L$10001=accsry_unmerged!H1737),1)*(SKUs!$K$2:$K$10001=I1737),SKUs!$C$2:$C$10001),"")</f>
        <v>0</v>
      </c>
      <c r="H1737" s="33" cm="1">
        <f t="array" ref="H1737">IFERROR(_xlfn.XLOOKUP(1, (dd_accsryclr!$C$2:$C$1000=accsry_unmerged!F1737)*(dd_accsryclr!$B$2:$B$1000=accsry_unmerged!J1737),dd_accsryclr!$A$2:$A$1000),"")</f>
        <v>0</v>
      </c>
      <c r="I1737" s="16">
        <f>_xlfn.XLOOKUP(C1737,'Project Details'!$C$17:$C$66,'Project Details'!$E$17:$E$66,"",0)</f>
        <v>0</v>
      </c>
      <c r="J1737" s="16">
        <f>_xlfn.XLOOKUP(C1737,'Project Details'!$C$17:$C$66,'Project Details'!$H$17:$H$66,"",0)</f>
        <v>0</v>
      </c>
      <c r="K1737" s="33" t="str">
        <f>IF(AND(_xlfn.XLOOKUP(C1737,'Project Details'!$C$17:$C$66,'Project Details'!$L$17:$L$66,"",0)&gt;550, F1737="Spring-L27cm"),"",SUBSTITUTE(_xlfn.XLOOKUP(G1737,SKUs!$C$2:$C$10001,SKUs!$F$2:$F$10001,"",0), " Accessories",""))</f>
        <v/>
      </c>
      <c r="L1737" s="33">
        <f>_xlfn.XLOOKUP(C1737,'Project Details'!$C$17:$C$66,'Project Details'!$D$17:$D$66,"",0)</f>
        <v>0</v>
      </c>
      <c r="M1737" s="43"/>
    </row>
    <row r="1738" spans="1:13" ht="13.5" customHeight="1" x14ac:dyDescent="0.25">
      <c r="A1738" s="43"/>
      <c r="B1738" s="43"/>
      <c r="C1738" s="35">
        <f t="shared" si="33"/>
        <v>35</v>
      </c>
      <c r="D1738" s="35" t="str" cm="1">
        <f t="array" ref="D1738">IFERROR(ROUNDUP(_xlfn.IFS(F1738="Aluminum Track", _xlfn.XLOOKUP(C1738, dd_accsrycalc!$A$2:$A$51, dd_accsrycalc!$B$2:$B$51, "",0), F1738="10 x 2 1/2 S (Flat)", _xlfn.XLOOKUP(C1738, dd_accsrycalc!$A$2:$A$51, dd_accsrycalc!$C$2:$C$51, "",0), F1738="Tox6", _xlfn.XLOOKUP(C1738, dd_accsrycalc!$A$2:$A$51, dd_accsrycalc!$D$2:$D$51, "",0), F1738="Cover Cap", _xlfn.XLOOKUP(C1738, dd_accsrycalc!$A$2:$A$51, dd_accsrycalc!$E$2:$E$51, "",0), F1738="Drainage Cover", _xlfn.XLOOKUP(C1738, dd_accsrycalc!$A$2:$A$51, dd_accsrycalc!$F$2:$F$51, "",0),AND( F1738="Double Adhesive Tape", I1738="Roll-up Screen"), _xlfn.XLOOKUP(C1738, calc_rusacc!$C$15:$C$65, calc_rusacc!$AD$15:$AD$65, "",0),AND( F1738="Sealant", I1738="Roll-up Screen"), _xlfn.XLOOKUP(C1738, calc_rusacc!$C$15:$C$65, calc_rusacc!$AF$15:$AF$65, "",0),  AND( F1738="Main Chain", I1738="Accordion Screen"), _xlfn.XLOOKUP(C1738, calc_rusacc!$C$15:$C$65, calc_rusacc!$BF$15:$BF$65, "",0), AND( F1738="Sealant", I1738="Accordion Screen"), _xlfn.XLOOKUP(C1738, calc_rusacc!$C$15:$C$65, calc_rusacc!$BJ$15:$BJ$65, "",0),  F1738="Sealant", _xlfn.XLOOKUP(C1738, dd_accsrycalc!$A$2:$A$51, dd_accsrycalc!$G$2:$G$51, "",0),  F1738&lt;&gt;"",L1738*_xlfn.XLOOKUP(1, (SKUs!$C$2:$C$10001=G1738)*(SKUs!$K$2:$K$10001=I1738),SKUs!$E$2:$E$10001)), 0),"")</f>
        <v/>
      </c>
      <c r="E1738" s="35" t="str">
        <f>_xlfn.XLOOKUP(F1738,dd_item!$B$2:$B$105,dd_item!$C$2:$C$105,"",0)</f>
        <v/>
      </c>
      <c r="F1738" s="35"/>
      <c r="G1738" s="35" cm="1">
        <f t="array" ref="G1738">IFERROR(_xlfn.XLOOKUP(1, (SKUs!$J$2:$J$10001=accsry_unmerged!F1738)*IF(H1738&lt;&gt;"",(SKUs!$L$2:$L$10001=accsry_unmerged!H1738),1)*(SKUs!$K$2:$K$10001=I1738),SKUs!$C$2:$C$10001),"")</f>
        <v>0</v>
      </c>
      <c r="H1738" s="36" cm="1">
        <f t="array" ref="H1738">IFERROR(_xlfn.XLOOKUP(1, (dd_accsryclr!$C$2:$C$1000=accsry_unmerged!F1738)*(dd_accsryclr!$B$2:$B$1000=accsry_unmerged!J1738),dd_accsryclr!$A$2:$A$1000),"")</f>
        <v>0</v>
      </c>
      <c r="I1738" s="35">
        <f>_xlfn.XLOOKUP(C1738,'Project Details'!$C$17:$C$66,'Project Details'!$E$17:$E$66,"",0)</f>
        <v>0</v>
      </c>
      <c r="J1738" s="35">
        <f>_xlfn.XLOOKUP(C1738,'Project Details'!$C$17:$C$66,'Project Details'!$H$17:$H$66,"",0)</f>
        <v>0</v>
      </c>
      <c r="K1738" s="36" t="str">
        <f>IF(AND(_xlfn.XLOOKUP(C1738,'Project Details'!$C$17:$C$66,'Project Details'!$L$17:$L$66,"",0)&gt;550, F1738="Spring-L27cm"),"",SUBSTITUTE(_xlfn.XLOOKUP(G1738,SKUs!$C$2:$C$10001,SKUs!$F$2:$F$10001,"",0), " Accessories",""))</f>
        <v/>
      </c>
      <c r="L1738" s="36">
        <f>_xlfn.XLOOKUP(C1738,'Project Details'!$C$17:$C$66,'Project Details'!$D$17:$D$66,"",0)</f>
        <v>0</v>
      </c>
      <c r="M1738" s="43"/>
    </row>
    <row r="1739" spans="1:13" ht="13.5" customHeight="1" x14ac:dyDescent="0.25">
      <c r="A1739" s="43"/>
      <c r="B1739" s="43"/>
      <c r="C1739" s="16">
        <f t="shared" si="33"/>
        <v>35</v>
      </c>
      <c r="D1739" s="16" t="str" cm="1">
        <f t="array" ref="D1739">IFERROR(ROUNDUP(_xlfn.IFS(F1739="Aluminum Track", _xlfn.XLOOKUP(C1739, dd_accsrycalc!$A$2:$A$51, dd_accsrycalc!$B$2:$B$51, "",0), F1739="10 x 2 1/2 S (Flat)", _xlfn.XLOOKUP(C1739, dd_accsrycalc!$A$2:$A$51, dd_accsrycalc!$C$2:$C$51, "",0), F1739="Tox6", _xlfn.XLOOKUP(C1739, dd_accsrycalc!$A$2:$A$51, dd_accsrycalc!$D$2:$D$51, "",0), F1739="Cover Cap", _xlfn.XLOOKUP(C1739, dd_accsrycalc!$A$2:$A$51, dd_accsrycalc!$E$2:$E$51, "",0), F1739="Drainage Cover", _xlfn.XLOOKUP(C1739, dd_accsrycalc!$A$2:$A$51, dd_accsrycalc!$F$2:$F$51, "",0),AND( F1739="Double Adhesive Tape", I1739="Roll-up Screen"), _xlfn.XLOOKUP(C1739, calc_rusacc!$C$15:$C$65, calc_rusacc!$AD$15:$AD$65, "",0),AND( F1739="Sealant", I1739="Roll-up Screen"), _xlfn.XLOOKUP(C1739, calc_rusacc!$C$15:$C$65, calc_rusacc!$AF$15:$AF$65, "",0),  AND( F1739="Main Chain", I1739="Accordion Screen"), _xlfn.XLOOKUP(C1739, calc_rusacc!$C$15:$C$65, calc_rusacc!$BF$15:$BF$65, "",0), AND( F1739="Sealant", I1739="Accordion Screen"), _xlfn.XLOOKUP(C1739, calc_rusacc!$C$15:$C$65, calc_rusacc!$BJ$15:$BJ$65, "",0),  F1739="Sealant", _xlfn.XLOOKUP(C1739, dd_accsrycalc!$A$2:$A$51, dd_accsrycalc!$G$2:$G$51, "",0),  F1739&lt;&gt;"",L1739*_xlfn.XLOOKUP(1, (SKUs!$C$2:$C$10001=G1739)*(SKUs!$K$2:$K$10001=I1739),SKUs!$E$2:$E$10001)), 0),"")</f>
        <v/>
      </c>
      <c r="E1739" s="16" t="str">
        <f>_xlfn.XLOOKUP(F1739,dd_item!$B$2:$B$105,dd_item!$C$2:$C$105,"",0)</f>
        <v/>
      </c>
      <c r="F1739" s="16"/>
      <c r="G1739" s="16" cm="1">
        <f t="array" ref="G1739">IFERROR(_xlfn.XLOOKUP(1, (SKUs!$J$2:$J$10001=accsry_unmerged!F1739)*IF(H1739&lt;&gt;"",(SKUs!$L$2:$L$10001=accsry_unmerged!H1739),1)*(SKUs!$K$2:$K$10001=I1739),SKUs!$C$2:$C$10001),"")</f>
        <v>0</v>
      </c>
      <c r="H1739" s="33" cm="1">
        <f t="array" ref="H1739">IFERROR(_xlfn.XLOOKUP(1, (dd_accsryclr!$C$2:$C$1000=accsry_unmerged!F1739)*(dd_accsryclr!$B$2:$B$1000=accsry_unmerged!J1739),dd_accsryclr!$A$2:$A$1000),"")</f>
        <v>0</v>
      </c>
      <c r="I1739" s="16">
        <f>_xlfn.XLOOKUP(C1739,'Project Details'!$C$17:$C$66,'Project Details'!$E$17:$E$66,"",0)</f>
        <v>0</v>
      </c>
      <c r="J1739" s="16">
        <f>_xlfn.XLOOKUP(C1739,'Project Details'!$C$17:$C$66,'Project Details'!$H$17:$H$66,"",0)</f>
        <v>0</v>
      </c>
      <c r="K1739" s="33" t="str">
        <f>IF(AND(_xlfn.XLOOKUP(C1739,'Project Details'!$C$17:$C$66,'Project Details'!$L$17:$L$66,"",0)&gt;550, F1739="Spring-L27cm"),"",SUBSTITUTE(_xlfn.XLOOKUP(G1739,SKUs!$C$2:$C$10001,SKUs!$F$2:$F$10001,"",0), " Accessories",""))</f>
        <v/>
      </c>
      <c r="L1739" s="33">
        <f>_xlfn.XLOOKUP(C1739,'Project Details'!$C$17:$C$66,'Project Details'!$D$17:$D$66,"",0)</f>
        <v>0</v>
      </c>
      <c r="M1739" s="43"/>
    </row>
    <row r="1740" spans="1:13" ht="13.5" customHeight="1" x14ac:dyDescent="0.25">
      <c r="A1740" s="43"/>
      <c r="B1740" s="43"/>
      <c r="C1740" s="35">
        <f t="shared" si="33"/>
        <v>35</v>
      </c>
      <c r="D1740" s="35" t="str" cm="1">
        <f t="array" ref="D1740">IFERROR(ROUNDUP(_xlfn.IFS(F1740="Aluminum Track", _xlfn.XLOOKUP(C1740, dd_accsrycalc!$A$2:$A$51, dd_accsrycalc!$B$2:$B$51, "",0), F1740="10 x 2 1/2 S (Flat)", _xlfn.XLOOKUP(C1740, dd_accsrycalc!$A$2:$A$51, dd_accsrycalc!$C$2:$C$51, "",0), F1740="Tox6", _xlfn.XLOOKUP(C1740, dd_accsrycalc!$A$2:$A$51, dd_accsrycalc!$D$2:$D$51, "",0), F1740="Cover Cap", _xlfn.XLOOKUP(C1740, dd_accsrycalc!$A$2:$A$51, dd_accsrycalc!$E$2:$E$51, "",0), F1740="Drainage Cover", _xlfn.XLOOKUP(C1740, dd_accsrycalc!$A$2:$A$51, dd_accsrycalc!$F$2:$F$51, "",0),AND( F1740="Double Adhesive Tape", I1740="Roll-up Screen"), _xlfn.XLOOKUP(C1740, calc_rusacc!$C$15:$C$65, calc_rusacc!$AD$15:$AD$65, "",0),AND( F1740="Sealant", I1740="Roll-up Screen"), _xlfn.XLOOKUP(C1740, calc_rusacc!$C$15:$C$65, calc_rusacc!$AF$15:$AF$65, "",0),  AND( F1740="Main Chain", I1740="Accordion Screen"), _xlfn.XLOOKUP(C1740, calc_rusacc!$C$15:$C$65, calc_rusacc!$BF$15:$BF$65, "",0), AND( F1740="Sealant", I1740="Accordion Screen"), _xlfn.XLOOKUP(C1740, calc_rusacc!$C$15:$C$65, calc_rusacc!$BJ$15:$BJ$65, "",0),  F1740="Sealant", _xlfn.XLOOKUP(C1740, dd_accsrycalc!$A$2:$A$51, dd_accsrycalc!$G$2:$G$51, "",0),  F1740&lt;&gt;"",L1740*_xlfn.XLOOKUP(1, (SKUs!$C$2:$C$10001=G1740)*(SKUs!$K$2:$K$10001=I1740),SKUs!$E$2:$E$10001)), 0),"")</f>
        <v/>
      </c>
      <c r="E1740" s="35" t="str">
        <f>_xlfn.XLOOKUP(F1740,dd_item!$B$2:$B$105,dd_item!$C$2:$C$105,"",0)</f>
        <v/>
      </c>
      <c r="F1740" s="35"/>
      <c r="G1740" s="35" cm="1">
        <f t="array" ref="G1740">IFERROR(_xlfn.XLOOKUP(1, (SKUs!$J$2:$J$10001=accsry_unmerged!F1740)*IF(H1740&lt;&gt;"",(SKUs!$L$2:$L$10001=accsry_unmerged!H1740),1)*(SKUs!$K$2:$K$10001=I1740),SKUs!$C$2:$C$10001),"")</f>
        <v>0</v>
      </c>
      <c r="H1740" s="36" cm="1">
        <f t="array" ref="H1740">IFERROR(_xlfn.XLOOKUP(1, (dd_accsryclr!$C$2:$C$1000=accsry_unmerged!F1740)*(dd_accsryclr!$B$2:$B$1000=accsry_unmerged!J1740),dd_accsryclr!$A$2:$A$1000),"")</f>
        <v>0</v>
      </c>
      <c r="I1740" s="35">
        <f>_xlfn.XLOOKUP(C1740,'Project Details'!$C$17:$C$66,'Project Details'!$E$17:$E$66,"",0)</f>
        <v>0</v>
      </c>
      <c r="J1740" s="35">
        <f>_xlfn.XLOOKUP(C1740,'Project Details'!$C$17:$C$66,'Project Details'!$H$17:$H$66,"",0)</f>
        <v>0</v>
      </c>
      <c r="K1740" s="36" t="str">
        <f>IF(AND(_xlfn.XLOOKUP(C1740,'Project Details'!$C$17:$C$66,'Project Details'!$L$17:$L$66,"",0)&gt;550, F1740="Spring-L27cm"),"",SUBSTITUTE(_xlfn.XLOOKUP(G1740,SKUs!$C$2:$C$10001,SKUs!$F$2:$F$10001,"",0), " Accessories",""))</f>
        <v/>
      </c>
      <c r="L1740" s="36">
        <f>_xlfn.XLOOKUP(C1740,'Project Details'!$C$17:$C$66,'Project Details'!$D$17:$D$66,"",0)</f>
        <v>0</v>
      </c>
      <c r="M1740" s="43"/>
    </row>
    <row r="1741" spans="1:13" ht="13.5" customHeight="1" x14ac:dyDescent="0.25">
      <c r="A1741" s="43"/>
      <c r="B1741" s="43"/>
      <c r="C1741" s="16">
        <f t="shared" si="33"/>
        <v>35</v>
      </c>
      <c r="D1741" s="16" t="str" cm="1">
        <f t="array" ref="D1741">IFERROR(ROUNDUP(_xlfn.IFS(F1741="Aluminum Track", _xlfn.XLOOKUP(C1741, dd_accsrycalc!$A$2:$A$51, dd_accsrycalc!$B$2:$B$51, "",0), F1741="10 x 2 1/2 S (Flat)", _xlfn.XLOOKUP(C1741, dd_accsrycalc!$A$2:$A$51, dd_accsrycalc!$C$2:$C$51, "",0), F1741="Tox6", _xlfn.XLOOKUP(C1741, dd_accsrycalc!$A$2:$A$51, dd_accsrycalc!$D$2:$D$51, "",0), F1741="Cover Cap", _xlfn.XLOOKUP(C1741, dd_accsrycalc!$A$2:$A$51, dd_accsrycalc!$E$2:$E$51, "",0), F1741="Drainage Cover", _xlfn.XLOOKUP(C1741, dd_accsrycalc!$A$2:$A$51, dd_accsrycalc!$F$2:$F$51, "",0),AND( F1741="Double Adhesive Tape", I1741="Roll-up Screen"), _xlfn.XLOOKUP(C1741, calc_rusacc!$C$15:$C$65, calc_rusacc!$AD$15:$AD$65, "",0),AND( F1741="Sealant", I1741="Roll-up Screen"), _xlfn.XLOOKUP(C1741, calc_rusacc!$C$15:$C$65, calc_rusacc!$AF$15:$AF$65, "",0),  AND( F1741="Main Chain", I1741="Accordion Screen"), _xlfn.XLOOKUP(C1741, calc_rusacc!$C$15:$C$65, calc_rusacc!$BF$15:$BF$65, "",0), AND( F1741="Sealant", I1741="Accordion Screen"), _xlfn.XLOOKUP(C1741, calc_rusacc!$C$15:$C$65, calc_rusacc!$BJ$15:$BJ$65, "",0),  F1741="Sealant", _xlfn.XLOOKUP(C1741, dd_accsrycalc!$A$2:$A$51, dd_accsrycalc!$G$2:$G$51, "",0),  F1741&lt;&gt;"",L1741*_xlfn.XLOOKUP(1, (SKUs!$C$2:$C$10001=G1741)*(SKUs!$K$2:$K$10001=I1741),SKUs!$E$2:$E$10001)), 0),"")</f>
        <v/>
      </c>
      <c r="E1741" s="16" t="str">
        <f>_xlfn.XLOOKUP(F1741,dd_item!$B$2:$B$105,dd_item!$C$2:$C$105,"",0)</f>
        <v/>
      </c>
      <c r="F1741" s="16"/>
      <c r="G1741" s="16" cm="1">
        <f t="array" ref="G1741">IFERROR(_xlfn.XLOOKUP(1, (SKUs!$J$2:$J$10001=accsry_unmerged!F1741)*IF(H1741&lt;&gt;"",(SKUs!$L$2:$L$10001=accsry_unmerged!H1741),1)*(SKUs!$K$2:$K$10001=I1741),SKUs!$C$2:$C$10001),"")</f>
        <v>0</v>
      </c>
      <c r="H1741" s="33" cm="1">
        <f t="array" ref="H1741">IFERROR(_xlfn.XLOOKUP(1, (dd_accsryclr!$C$2:$C$1000=accsry_unmerged!F1741)*(dd_accsryclr!$B$2:$B$1000=accsry_unmerged!J1741),dd_accsryclr!$A$2:$A$1000),"")</f>
        <v>0</v>
      </c>
      <c r="I1741" s="16">
        <f>_xlfn.XLOOKUP(C1741,'Project Details'!$C$17:$C$66,'Project Details'!$E$17:$E$66,"",0)</f>
        <v>0</v>
      </c>
      <c r="J1741" s="16">
        <f>_xlfn.XLOOKUP(C1741,'Project Details'!$C$17:$C$66,'Project Details'!$H$17:$H$66,"",0)</f>
        <v>0</v>
      </c>
      <c r="K1741" s="33" t="str">
        <f>IF(AND(_xlfn.XLOOKUP(C1741,'Project Details'!$C$17:$C$66,'Project Details'!$L$17:$L$66,"",0)&gt;550, F1741="Spring-L27cm"),"",SUBSTITUTE(_xlfn.XLOOKUP(G1741,SKUs!$C$2:$C$10001,SKUs!$F$2:$F$10001,"",0), " Accessories",""))</f>
        <v/>
      </c>
      <c r="L1741" s="33">
        <f>_xlfn.XLOOKUP(C1741,'Project Details'!$C$17:$C$66,'Project Details'!$D$17:$D$66,"",0)</f>
        <v>0</v>
      </c>
      <c r="M1741" s="43"/>
    </row>
    <row r="1742" spans="1:13" ht="13.5" customHeight="1" x14ac:dyDescent="0.25">
      <c r="A1742" s="43"/>
      <c r="B1742" s="43"/>
      <c r="C1742" s="35">
        <f t="shared" si="33"/>
        <v>35</v>
      </c>
      <c r="D1742" s="35" t="str" cm="1">
        <f t="array" ref="D1742">IFERROR(ROUNDUP(_xlfn.IFS(F1742="Aluminum Track", _xlfn.XLOOKUP(C1742, dd_accsrycalc!$A$2:$A$51, dd_accsrycalc!$B$2:$B$51, "",0), F1742="10 x 2 1/2 S (Flat)", _xlfn.XLOOKUP(C1742, dd_accsrycalc!$A$2:$A$51, dd_accsrycalc!$C$2:$C$51, "",0), F1742="Tox6", _xlfn.XLOOKUP(C1742, dd_accsrycalc!$A$2:$A$51, dd_accsrycalc!$D$2:$D$51, "",0), F1742="Cover Cap", _xlfn.XLOOKUP(C1742, dd_accsrycalc!$A$2:$A$51, dd_accsrycalc!$E$2:$E$51, "",0), F1742="Drainage Cover", _xlfn.XLOOKUP(C1742, dd_accsrycalc!$A$2:$A$51, dd_accsrycalc!$F$2:$F$51, "",0),AND( F1742="Double Adhesive Tape", I1742="Roll-up Screen"), _xlfn.XLOOKUP(C1742, calc_rusacc!$C$15:$C$65, calc_rusacc!$AD$15:$AD$65, "",0),AND( F1742="Sealant", I1742="Roll-up Screen"), _xlfn.XLOOKUP(C1742, calc_rusacc!$C$15:$C$65, calc_rusacc!$AF$15:$AF$65, "",0),  AND( F1742="Main Chain", I1742="Accordion Screen"), _xlfn.XLOOKUP(C1742, calc_rusacc!$C$15:$C$65, calc_rusacc!$BF$15:$BF$65, "",0), AND( F1742="Sealant", I1742="Accordion Screen"), _xlfn.XLOOKUP(C1742, calc_rusacc!$C$15:$C$65, calc_rusacc!$BJ$15:$BJ$65, "",0),  F1742="Sealant", _xlfn.XLOOKUP(C1742, dd_accsrycalc!$A$2:$A$51, dd_accsrycalc!$G$2:$G$51, "",0),  F1742&lt;&gt;"",L1742*_xlfn.XLOOKUP(1, (SKUs!$C$2:$C$10001=G1742)*(SKUs!$K$2:$K$10001=I1742),SKUs!$E$2:$E$10001)), 0),"")</f>
        <v/>
      </c>
      <c r="E1742" s="35" t="str">
        <f>_xlfn.XLOOKUP(F1742,dd_item!$B$2:$B$105,dd_item!$C$2:$C$105,"",0)</f>
        <v/>
      </c>
      <c r="F1742" s="35"/>
      <c r="G1742" s="35" cm="1">
        <f t="array" ref="G1742">IFERROR(_xlfn.XLOOKUP(1, (SKUs!$J$2:$J$10001=accsry_unmerged!F1742)*IF(H1742&lt;&gt;"",(SKUs!$L$2:$L$10001=accsry_unmerged!H1742),1)*(SKUs!$K$2:$K$10001=I1742),SKUs!$C$2:$C$10001),"")</f>
        <v>0</v>
      </c>
      <c r="H1742" s="36" cm="1">
        <f t="array" ref="H1742">IFERROR(_xlfn.XLOOKUP(1, (dd_accsryclr!$C$2:$C$1000=accsry_unmerged!F1742)*(dd_accsryclr!$B$2:$B$1000=accsry_unmerged!J1742),dd_accsryclr!$A$2:$A$1000),"")</f>
        <v>0</v>
      </c>
      <c r="I1742" s="35">
        <f>_xlfn.XLOOKUP(C1742,'Project Details'!$C$17:$C$66,'Project Details'!$E$17:$E$66,"",0)</f>
        <v>0</v>
      </c>
      <c r="J1742" s="35">
        <f>_xlfn.XLOOKUP(C1742,'Project Details'!$C$17:$C$66,'Project Details'!$H$17:$H$66,"",0)</f>
        <v>0</v>
      </c>
      <c r="K1742" s="36" t="str">
        <f>IF(AND(_xlfn.XLOOKUP(C1742,'Project Details'!$C$17:$C$66,'Project Details'!$L$17:$L$66,"",0)&gt;550, F1742="Spring-L27cm"),"",SUBSTITUTE(_xlfn.XLOOKUP(G1742,SKUs!$C$2:$C$10001,SKUs!$F$2:$F$10001,"",0), " Accessories",""))</f>
        <v/>
      </c>
      <c r="L1742" s="36">
        <f>_xlfn.XLOOKUP(C1742,'Project Details'!$C$17:$C$66,'Project Details'!$D$17:$D$66,"",0)</f>
        <v>0</v>
      </c>
      <c r="M1742" s="43"/>
    </row>
    <row r="1743" spans="1:13" ht="13.5" customHeight="1" x14ac:dyDescent="0.25">
      <c r="A1743" s="43"/>
      <c r="B1743" s="43"/>
      <c r="C1743" s="16">
        <f t="shared" si="33"/>
        <v>35</v>
      </c>
      <c r="D1743" s="16" t="str" cm="1">
        <f t="array" ref="D1743">IFERROR(ROUNDUP(_xlfn.IFS(F1743="Aluminum Track", _xlfn.XLOOKUP(C1743, dd_accsrycalc!$A$2:$A$51, dd_accsrycalc!$B$2:$B$51, "",0), F1743="10 x 2 1/2 S (Flat)", _xlfn.XLOOKUP(C1743, dd_accsrycalc!$A$2:$A$51, dd_accsrycalc!$C$2:$C$51, "",0), F1743="Tox6", _xlfn.XLOOKUP(C1743, dd_accsrycalc!$A$2:$A$51, dd_accsrycalc!$D$2:$D$51, "",0), F1743="Cover Cap", _xlfn.XLOOKUP(C1743, dd_accsrycalc!$A$2:$A$51, dd_accsrycalc!$E$2:$E$51, "",0), F1743="Drainage Cover", _xlfn.XLOOKUP(C1743, dd_accsrycalc!$A$2:$A$51, dd_accsrycalc!$F$2:$F$51, "",0),AND( F1743="Double Adhesive Tape", I1743="Roll-up Screen"), _xlfn.XLOOKUP(C1743, calc_rusacc!$C$15:$C$65, calc_rusacc!$AD$15:$AD$65, "",0),AND( F1743="Sealant", I1743="Roll-up Screen"), _xlfn.XLOOKUP(C1743, calc_rusacc!$C$15:$C$65, calc_rusacc!$AF$15:$AF$65, "",0),  AND( F1743="Main Chain", I1743="Accordion Screen"), _xlfn.XLOOKUP(C1743, calc_rusacc!$C$15:$C$65, calc_rusacc!$BF$15:$BF$65, "",0), AND( F1743="Sealant", I1743="Accordion Screen"), _xlfn.XLOOKUP(C1743, calc_rusacc!$C$15:$C$65, calc_rusacc!$BJ$15:$BJ$65, "",0),  F1743="Sealant", _xlfn.XLOOKUP(C1743, dd_accsrycalc!$A$2:$A$51, dd_accsrycalc!$G$2:$G$51, "",0),  F1743&lt;&gt;"",L1743*_xlfn.XLOOKUP(1, (SKUs!$C$2:$C$10001=G1743)*(SKUs!$K$2:$K$10001=I1743),SKUs!$E$2:$E$10001)), 0),"")</f>
        <v/>
      </c>
      <c r="E1743" s="16" t="str">
        <f>_xlfn.XLOOKUP(F1743,dd_item!$B$2:$B$105,dd_item!$C$2:$C$105,"",0)</f>
        <v/>
      </c>
      <c r="F1743" s="16"/>
      <c r="G1743" s="16" cm="1">
        <f t="array" ref="G1743">IFERROR(_xlfn.XLOOKUP(1, (SKUs!$J$2:$J$10001=accsry_unmerged!F1743)*IF(H1743&lt;&gt;"",(SKUs!$L$2:$L$10001=accsry_unmerged!H1743),1)*(SKUs!$K$2:$K$10001=I1743),SKUs!$C$2:$C$10001),"")</f>
        <v>0</v>
      </c>
      <c r="H1743" s="33" cm="1">
        <f t="array" ref="H1743">IFERROR(_xlfn.XLOOKUP(1, (dd_accsryclr!$C$2:$C$1000=accsry_unmerged!F1743)*(dd_accsryclr!$B$2:$B$1000=accsry_unmerged!J1743),dd_accsryclr!$A$2:$A$1000),"")</f>
        <v>0</v>
      </c>
      <c r="I1743" s="16">
        <f>_xlfn.XLOOKUP(C1743,'Project Details'!$C$17:$C$66,'Project Details'!$E$17:$E$66,"",0)</f>
        <v>0</v>
      </c>
      <c r="J1743" s="16">
        <f>_xlfn.XLOOKUP(C1743,'Project Details'!$C$17:$C$66,'Project Details'!$H$17:$H$66,"",0)</f>
        <v>0</v>
      </c>
      <c r="K1743" s="33" t="str">
        <f>IF(AND(_xlfn.XLOOKUP(C1743,'Project Details'!$C$17:$C$66,'Project Details'!$L$17:$L$66,"",0)&gt;550, F1743="Spring-L27cm"),"",SUBSTITUTE(_xlfn.XLOOKUP(G1743,SKUs!$C$2:$C$10001,SKUs!$F$2:$F$10001,"",0), " Accessories",""))</f>
        <v/>
      </c>
      <c r="L1743" s="33">
        <f>_xlfn.XLOOKUP(C1743,'Project Details'!$C$17:$C$66,'Project Details'!$D$17:$D$66,"",0)</f>
        <v>0</v>
      </c>
      <c r="M1743" s="43"/>
    </row>
    <row r="1744" spans="1:13" ht="13.5" customHeight="1" x14ac:dyDescent="0.25">
      <c r="A1744" s="43"/>
      <c r="B1744" s="43"/>
      <c r="C1744" s="35">
        <f t="shared" si="33"/>
        <v>35</v>
      </c>
      <c r="D1744" s="35" t="str" cm="1">
        <f t="array" ref="D1744">IFERROR(ROUNDUP(_xlfn.IFS(F1744="Aluminum Track", _xlfn.XLOOKUP(C1744, dd_accsrycalc!$A$2:$A$51, dd_accsrycalc!$B$2:$B$51, "",0), F1744="10 x 2 1/2 S (Flat)", _xlfn.XLOOKUP(C1744, dd_accsrycalc!$A$2:$A$51, dd_accsrycalc!$C$2:$C$51, "",0), F1744="Tox6", _xlfn.XLOOKUP(C1744, dd_accsrycalc!$A$2:$A$51, dd_accsrycalc!$D$2:$D$51, "",0), F1744="Cover Cap", _xlfn.XLOOKUP(C1744, dd_accsrycalc!$A$2:$A$51, dd_accsrycalc!$E$2:$E$51, "",0), F1744="Drainage Cover", _xlfn.XLOOKUP(C1744, dd_accsrycalc!$A$2:$A$51, dd_accsrycalc!$F$2:$F$51, "",0),AND( F1744="Double Adhesive Tape", I1744="Roll-up Screen"), _xlfn.XLOOKUP(C1744, calc_rusacc!$C$15:$C$65, calc_rusacc!$AD$15:$AD$65, "",0),AND( F1744="Sealant", I1744="Roll-up Screen"), _xlfn.XLOOKUP(C1744, calc_rusacc!$C$15:$C$65, calc_rusacc!$AF$15:$AF$65, "",0),  AND( F1744="Main Chain", I1744="Accordion Screen"), _xlfn.XLOOKUP(C1744, calc_rusacc!$C$15:$C$65, calc_rusacc!$BF$15:$BF$65, "",0), AND( F1744="Sealant", I1744="Accordion Screen"), _xlfn.XLOOKUP(C1744, calc_rusacc!$C$15:$C$65, calc_rusacc!$BJ$15:$BJ$65, "",0),  F1744="Sealant", _xlfn.XLOOKUP(C1744, dd_accsrycalc!$A$2:$A$51, dd_accsrycalc!$G$2:$G$51, "",0),  F1744&lt;&gt;"",L1744*_xlfn.XLOOKUP(1, (SKUs!$C$2:$C$10001=G1744)*(SKUs!$K$2:$K$10001=I1744),SKUs!$E$2:$E$10001)), 0),"")</f>
        <v/>
      </c>
      <c r="E1744" s="35" t="str">
        <f>_xlfn.XLOOKUP(F1744,dd_item!$B$2:$B$105,dd_item!$C$2:$C$105,"",0)</f>
        <v/>
      </c>
      <c r="F1744" s="35"/>
      <c r="G1744" s="35" cm="1">
        <f t="array" ref="G1744">IFERROR(_xlfn.XLOOKUP(1, (SKUs!$J$2:$J$10001=accsry_unmerged!F1744)*IF(H1744&lt;&gt;"",(SKUs!$L$2:$L$10001=accsry_unmerged!H1744),1)*(SKUs!$K$2:$K$10001=I1744),SKUs!$C$2:$C$10001),"")</f>
        <v>0</v>
      </c>
      <c r="H1744" s="36" cm="1">
        <f t="array" ref="H1744">IFERROR(_xlfn.XLOOKUP(1, (dd_accsryclr!$C$2:$C$1000=accsry_unmerged!F1744)*(dd_accsryclr!$B$2:$B$1000=accsry_unmerged!J1744),dd_accsryclr!$A$2:$A$1000),"")</f>
        <v>0</v>
      </c>
      <c r="I1744" s="35">
        <f>_xlfn.XLOOKUP(C1744,'Project Details'!$C$17:$C$66,'Project Details'!$E$17:$E$66,"",0)</f>
        <v>0</v>
      </c>
      <c r="J1744" s="35">
        <f>_xlfn.XLOOKUP(C1744,'Project Details'!$C$17:$C$66,'Project Details'!$H$17:$H$66,"",0)</f>
        <v>0</v>
      </c>
      <c r="K1744" s="36" t="str">
        <f>IF(AND(_xlfn.XLOOKUP(C1744,'Project Details'!$C$17:$C$66,'Project Details'!$L$17:$L$66,"",0)&gt;550, F1744="Spring-L27cm"),"",SUBSTITUTE(_xlfn.XLOOKUP(G1744,SKUs!$C$2:$C$10001,SKUs!$F$2:$F$10001,"",0), " Accessories",""))</f>
        <v/>
      </c>
      <c r="L1744" s="36">
        <f>_xlfn.XLOOKUP(C1744,'Project Details'!$C$17:$C$66,'Project Details'!$D$17:$D$66,"",0)</f>
        <v>0</v>
      </c>
      <c r="M1744" s="43"/>
    </row>
    <row r="1745" spans="1:13" ht="13.5" customHeight="1" outlineLevel="1" x14ac:dyDescent="0.25">
      <c r="A1745" s="43"/>
      <c r="B1745" s="43"/>
      <c r="C1745" s="16">
        <f t="shared" si="33"/>
        <v>35</v>
      </c>
      <c r="D1745" s="16" t="str" cm="1">
        <f t="array" ref="D1745">IFERROR(ROUNDUP(_xlfn.IFS(F1745="Aluminum Track", _xlfn.XLOOKUP(C1745, dd_accsrycalc!$A$2:$A$51, dd_accsrycalc!$B$2:$B$51, "",0), F1745="10 x 2 1/2 S (Flat)", _xlfn.XLOOKUP(C1745, dd_accsrycalc!$A$2:$A$51, dd_accsrycalc!$C$2:$C$51, "",0), F1745="Tox6", _xlfn.XLOOKUP(C1745, dd_accsrycalc!$A$2:$A$51, dd_accsrycalc!$D$2:$D$51, "",0), F1745="Cover Cap", _xlfn.XLOOKUP(C1745, dd_accsrycalc!$A$2:$A$51, dd_accsrycalc!$E$2:$E$51, "",0), F1745="Drainage Cover", _xlfn.XLOOKUP(C1745, dd_accsrycalc!$A$2:$A$51, dd_accsrycalc!$F$2:$F$51, "",0),AND( F1745="Double Adhesive Tape", I1745="Roll-up Screen"), _xlfn.XLOOKUP(C1745, calc_rusacc!$C$15:$C$65, calc_rusacc!$AD$15:$AD$65, "",0),AND( F1745="Sealant", I1745="Roll-up Screen"), _xlfn.XLOOKUP(C1745, calc_rusacc!$C$15:$C$65, calc_rusacc!$AF$15:$AF$65, "",0),  AND( F1745="Main Chain", I1745="Accordion Screen"), _xlfn.XLOOKUP(C1745, calc_rusacc!$C$15:$C$65, calc_rusacc!$BF$15:$BF$65, "",0), AND( F1745="Sealant", I1745="Accordion Screen"), _xlfn.XLOOKUP(C1745, calc_rusacc!$C$15:$C$65, calc_rusacc!$BJ$15:$BJ$65, "",0),  F1745="Sealant", _xlfn.XLOOKUP(C1745, dd_accsrycalc!$A$2:$A$51, dd_accsrycalc!$G$2:$G$51, "",0),  F1745&lt;&gt;"",L1745*_xlfn.XLOOKUP(1, (SKUs!$C$2:$C$10001=G1745)*(SKUs!$K$2:$K$10001=I1745),SKUs!$E$2:$E$10001)), 0),"")</f>
        <v/>
      </c>
      <c r="E1745" s="16" t="str">
        <f>_xlfn.XLOOKUP(F1745,dd_item!$B$2:$B$105,dd_item!$C$2:$C$105,"",0)</f>
        <v/>
      </c>
      <c r="F1745" s="16"/>
      <c r="G1745" s="16" cm="1">
        <f t="array" ref="G1745">IFERROR(_xlfn.XLOOKUP(1, (SKUs!$J$2:$J$10001=accsry_unmerged!F1745)*IF(H1745&lt;&gt;"",(SKUs!$L$2:$L$10001=accsry_unmerged!H1745),1)*(SKUs!$K$2:$K$10001=I1745),SKUs!$C$2:$C$10001),"")</f>
        <v>0</v>
      </c>
      <c r="H1745" s="33" cm="1">
        <f t="array" ref="H1745">IFERROR(_xlfn.XLOOKUP(1, (dd_accsryclr!$C$2:$C$1000=accsry_unmerged!F1745)*(dd_accsryclr!$B$2:$B$1000=accsry_unmerged!J1745),dd_accsryclr!$A$2:$A$1000),"")</f>
        <v>0</v>
      </c>
      <c r="I1745" s="16">
        <f>_xlfn.XLOOKUP(C1745,'Project Details'!$C$17:$C$66,'Project Details'!$E$17:$E$66,"",0)</f>
        <v>0</v>
      </c>
      <c r="J1745" s="16">
        <f>_xlfn.XLOOKUP(C1745,'Project Details'!$C$17:$C$66,'Project Details'!$H$17:$H$66,"",0)</f>
        <v>0</v>
      </c>
      <c r="K1745" s="33" t="str">
        <f>IF(AND(_xlfn.XLOOKUP(C1745,'Project Details'!$C$17:$C$66,'Project Details'!$L$17:$L$66,"",0)&gt;550, F1745="Spring-L27cm"),"",SUBSTITUTE(_xlfn.XLOOKUP(G1745,SKUs!$C$2:$C$10001,SKUs!$F$2:$F$10001,"",0), " Accessories",""))</f>
        <v/>
      </c>
      <c r="L1745" s="33">
        <f>_xlfn.XLOOKUP(C1745,'Project Details'!$C$17:$C$66,'Project Details'!$D$17:$D$66,"",0)</f>
        <v>0</v>
      </c>
      <c r="M1745" s="43"/>
    </row>
    <row r="1746" spans="1:13" ht="13.5" customHeight="1" outlineLevel="1" x14ac:dyDescent="0.25">
      <c r="A1746" s="43"/>
      <c r="B1746" s="43"/>
      <c r="C1746" s="35">
        <f t="shared" si="33"/>
        <v>35</v>
      </c>
      <c r="D1746" s="35" t="str" cm="1">
        <f t="array" ref="D1746">IFERROR(ROUNDUP(_xlfn.IFS(F1746="Aluminum Track", _xlfn.XLOOKUP(C1746, dd_accsrycalc!$A$2:$A$51, dd_accsrycalc!$B$2:$B$51, "",0), F1746="10 x 2 1/2 S (Flat)", _xlfn.XLOOKUP(C1746, dd_accsrycalc!$A$2:$A$51, dd_accsrycalc!$C$2:$C$51, "",0), F1746="Tox6", _xlfn.XLOOKUP(C1746, dd_accsrycalc!$A$2:$A$51, dd_accsrycalc!$D$2:$D$51, "",0), F1746="Cover Cap", _xlfn.XLOOKUP(C1746, dd_accsrycalc!$A$2:$A$51, dd_accsrycalc!$E$2:$E$51, "",0), F1746="Drainage Cover", _xlfn.XLOOKUP(C1746, dd_accsrycalc!$A$2:$A$51, dd_accsrycalc!$F$2:$F$51, "",0),AND( F1746="Double Adhesive Tape", I1746="Roll-up Screen"), _xlfn.XLOOKUP(C1746, calc_rusacc!$C$15:$C$65, calc_rusacc!$AD$15:$AD$65, "",0),AND( F1746="Sealant", I1746="Roll-up Screen"), _xlfn.XLOOKUP(C1746, calc_rusacc!$C$15:$C$65, calc_rusacc!$AF$15:$AF$65, "",0),  AND( F1746="Main Chain", I1746="Accordion Screen"), _xlfn.XLOOKUP(C1746, calc_rusacc!$C$15:$C$65, calc_rusacc!$BF$15:$BF$65, "",0), AND( F1746="Sealant", I1746="Accordion Screen"), _xlfn.XLOOKUP(C1746, calc_rusacc!$C$15:$C$65, calc_rusacc!$BJ$15:$BJ$65, "",0),  F1746="Sealant", _xlfn.XLOOKUP(C1746, dd_accsrycalc!$A$2:$A$51, dd_accsrycalc!$G$2:$G$51, "",0),  F1746&lt;&gt;"",L1746*_xlfn.XLOOKUP(1, (SKUs!$C$2:$C$10001=G1746)*(SKUs!$K$2:$K$10001=I1746),SKUs!$E$2:$E$10001)), 0),"")</f>
        <v/>
      </c>
      <c r="E1746" s="35" t="str">
        <f>_xlfn.XLOOKUP(F1746,dd_item!$B$2:$B$105,dd_item!$C$2:$C$105,"",0)</f>
        <v/>
      </c>
      <c r="F1746" s="35"/>
      <c r="G1746" s="35" cm="1">
        <f t="array" ref="G1746">IFERROR(_xlfn.XLOOKUP(1, (SKUs!$J$2:$J$10001=accsry_unmerged!F1746)*IF(H1746&lt;&gt;"",(SKUs!$L$2:$L$10001=accsry_unmerged!H1746),1)*(SKUs!$K$2:$K$10001=I1746),SKUs!$C$2:$C$10001),"")</f>
        <v>0</v>
      </c>
      <c r="H1746" s="36" cm="1">
        <f t="array" ref="H1746">IFERROR(_xlfn.XLOOKUP(1, (dd_accsryclr!$C$2:$C$1000=accsry_unmerged!F1746)*(dd_accsryclr!$B$2:$B$1000=accsry_unmerged!J1746),dd_accsryclr!$A$2:$A$1000),"")</f>
        <v>0</v>
      </c>
      <c r="I1746" s="35">
        <f>_xlfn.XLOOKUP(C1746,'Project Details'!$C$17:$C$66,'Project Details'!$E$17:$E$66,"",0)</f>
        <v>0</v>
      </c>
      <c r="J1746" s="35">
        <f>_xlfn.XLOOKUP(C1746,'Project Details'!$C$17:$C$66,'Project Details'!$H$17:$H$66,"",0)</f>
        <v>0</v>
      </c>
      <c r="K1746" s="36" t="str">
        <f>IF(AND(_xlfn.XLOOKUP(C1746,'Project Details'!$C$17:$C$66,'Project Details'!$L$17:$L$66,"",0)&gt;550, F1746="Spring-L27cm"),"",SUBSTITUTE(_xlfn.XLOOKUP(G1746,SKUs!$C$2:$C$10001,SKUs!$F$2:$F$10001,"",0), " Accessories",""))</f>
        <v/>
      </c>
      <c r="L1746" s="36">
        <f>_xlfn.XLOOKUP(C1746,'Project Details'!$C$17:$C$66,'Project Details'!$D$17:$D$66,"",0)</f>
        <v>0</v>
      </c>
      <c r="M1746" s="43"/>
    </row>
    <row r="1747" spans="1:13" ht="13.5" customHeight="1" outlineLevel="1" x14ac:dyDescent="0.25">
      <c r="A1747" s="43"/>
      <c r="B1747" s="43"/>
      <c r="C1747" s="16">
        <f t="shared" si="33"/>
        <v>35</v>
      </c>
      <c r="D1747" s="16" t="str" cm="1">
        <f t="array" ref="D1747">IFERROR(ROUNDUP(_xlfn.IFS(F1747="Aluminum Track", _xlfn.XLOOKUP(C1747, dd_accsrycalc!$A$2:$A$51, dd_accsrycalc!$B$2:$B$51, "",0), F1747="10 x 2 1/2 S (Flat)", _xlfn.XLOOKUP(C1747, dd_accsrycalc!$A$2:$A$51, dd_accsrycalc!$C$2:$C$51, "",0), F1747="Tox6", _xlfn.XLOOKUP(C1747, dd_accsrycalc!$A$2:$A$51, dd_accsrycalc!$D$2:$D$51, "",0), F1747="Cover Cap", _xlfn.XLOOKUP(C1747, dd_accsrycalc!$A$2:$A$51, dd_accsrycalc!$E$2:$E$51, "",0), F1747="Drainage Cover", _xlfn.XLOOKUP(C1747, dd_accsrycalc!$A$2:$A$51, dd_accsrycalc!$F$2:$F$51, "",0),AND( F1747="Double Adhesive Tape", I1747="Roll-up Screen"), _xlfn.XLOOKUP(C1747, calc_rusacc!$C$15:$C$65, calc_rusacc!$AD$15:$AD$65, "",0),AND( F1747="Sealant", I1747="Roll-up Screen"), _xlfn.XLOOKUP(C1747, calc_rusacc!$C$15:$C$65, calc_rusacc!$AF$15:$AF$65, "",0),  AND( F1747="Main Chain", I1747="Accordion Screen"), _xlfn.XLOOKUP(C1747, calc_rusacc!$C$15:$C$65, calc_rusacc!$BF$15:$BF$65, "",0), AND( F1747="Sealant", I1747="Accordion Screen"), _xlfn.XLOOKUP(C1747, calc_rusacc!$C$15:$C$65, calc_rusacc!$BJ$15:$BJ$65, "",0),  F1747="Sealant", _xlfn.XLOOKUP(C1747, dd_accsrycalc!$A$2:$A$51, dd_accsrycalc!$G$2:$G$51, "",0),  F1747&lt;&gt;"",L1747*_xlfn.XLOOKUP(1, (SKUs!$C$2:$C$10001=G1747)*(SKUs!$K$2:$K$10001=I1747),SKUs!$E$2:$E$10001)), 0),"")</f>
        <v/>
      </c>
      <c r="E1747" s="16" t="str">
        <f>_xlfn.XLOOKUP(F1747,dd_item!$B$2:$B$105,dd_item!$C$2:$C$105,"",0)</f>
        <v/>
      </c>
      <c r="F1747" s="16"/>
      <c r="G1747" s="16" cm="1">
        <f t="array" ref="G1747">IFERROR(_xlfn.XLOOKUP(1, (SKUs!$J$2:$J$10001=accsry_unmerged!F1747)*IF(H1747&lt;&gt;"",(SKUs!$L$2:$L$10001=accsry_unmerged!H1747),1)*(SKUs!$K$2:$K$10001=I1747),SKUs!$C$2:$C$10001),"")</f>
        <v>0</v>
      </c>
      <c r="H1747" s="33" cm="1">
        <f t="array" ref="H1747">IFERROR(_xlfn.XLOOKUP(1, (dd_accsryclr!$C$2:$C$1000=accsry_unmerged!F1747)*(dd_accsryclr!$B$2:$B$1000=accsry_unmerged!J1747),dd_accsryclr!$A$2:$A$1000),"")</f>
        <v>0</v>
      </c>
      <c r="I1747" s="16">
        <f>_xlfn.XLOOKUP(C1747,'Project Details'!$C$17:$C$66,'Project Details'!$E$17:$E$66,"",0)</f>
        <v>0</v>
      </c>
      <c r="J1747" s="16">
        <f>_xlfn.XLOOKUP(C1747,'Project Details'!$C$17:$C$66,'Project Details'!$H$17:$H$66,"",0)</f>
        <v>0</v>
      </c>
      <c r="K1747" s="33" t="str">
        <f>IF(AND(_xlfn.XLOOKUP(C1747,'Project Details'!$C$17:$C$66,'Project Details'!$L$17:$L$66,"",0)&gt;550, F1747="Spring-L27cm"),"",SUBSTITUTE(_xlfn.XLOOKUP(G1747,SKUs!$C$2:$C$10001,SKUs!$F$2:$F$10001,"",0), " Accessories",""))</f>
        <v/>
      </c>
      <c r="L1747" s="33">
        <f>_xlfn.XLOOKUP(C1747,'Project Details'!$C$17:$C$66,'Project Details'!$D$17:$D$66,"",0)</f>
        <v>0</v>
      </c>
      <c r="M1747" s="43"/>
    </row>
    <row r="1748" spans="1:13" ht="13.5" customHeight="1" outlineLevel="1" x14ac:dyDescent="0.25">
      <c r="A1748" s="43"/>
      <c r="B1748" s="43"/>
      <c r="C1748" s="35">
        <f t="shared" si="33"/>
        <v>35</v>
      </c>
      <c r="D1748" s="35" t="str" cm="1">
        <f t="array" ref="D1748">IFERROR(ROUNDUP(_xlfn.IFS(F1748="Aluminum Track", _xlfn.XLOOKUP(C1748, dd_accsrycalc!$A$2:$A$51, dd_accsrycalc!$B$2:$B$51, "",0), F1748="10 x 2 1/2 S (Flat)", _xlfn.XLOOKUP(C1748, dd_accsrycalc!$A$2:$A$51, dd_accsrycalc!$C$2:$C$51, "",0), F1748="Tox6", _xlfn.XLOOKUP(C1748, dd_accsrycalc!$A$2:$A$51, dd_accsrycalc!$D$2:$D$51, "",0), F1748="Cover Cap", _xlfn.XLOOKUP(C1748, dd_accsrycalc!$A$2:$A$51, dd_accsrycalc!$E$2:$E$51, "",0), F1748="Drainage Cover", _xlfn.XLOOKUP(C1748, dd_accsrycalc!$A$2:$A$51, dd_accsrycalc!$F$2:$F$51, "",0),AND( F1748="Double Adhesive Tape", I1748="Roll-up Screen"), _xlfn.XLOOKUP(C1748, calc_rusacc!$C$15:$C$65, calc_rusacc!$AD$15:$AD$65, "",0),AND( F1748="Sealant", I1748="Roll-up Screen"), _xlfn.XLOOKUP(C1748, calc_rusacc!$C$15:$C$65, calc_rusacc!$AF$15:$AF$65, "",0),  AND( F1748="Main Chain", I1748="Accordion Screen"), _xlfn.XLOOKUP(C1748, calc_rusacc!$C$15:$C$65, calc_rusacc!$BF$15:$BF$65, "",0), AND( F1748="Sealant", I1748="Accordion Screen"), _xlfn.XLOOKUP(C1748, calc_rusacc!$C$15:$C$65, calc_rusacc!$BJ$15:$BJ$65, "",0),  F1748="Sealant", _xlfn.XLOOKUP(C1748, dd_accsrycalc!$A$2:$A$51, dd_accsrycalc!$G$2:$G$51, "",0),  F1748&lt;&gt;"",L1748*_xlfn.XLOOKUP(1, (SKUs!$C$2:$C$10001=G1748)*(SKUs!$K$2:$K$10001=I1748),SKUs!$E$2:$E$10001)), 0),"")</f>
        <v/>
      </c>
      <c r="E1748" s="35" t="str">
        <f>_xlfn.XLOOKUP(F1748,dd_item!$B$2:$B$105,dd_item!$C$2:$C$105,"",0)</f>
        <v/>
      </c>
      <c r="F1748" s="35"/>
      <c r="G1748" s="35" cm="1">
        <f t="array" ref="G1748">IFERROR(_xlfn.XLOOKUP(1, (SKUs!$J$2:$J$10001=accsry_unmerged!F1748)*IF(H1748&lt;&gt;"",(SKUs!$L$2:$L$10001=accsry_unmerged!H1748),1)*(SKUs!$K$2:$K$10001=I1748),SKUs!$C$2:$C$10001),"")</f>
        <v>0</v>
      </c>
      <c r="H1748" s="36" cm="1">
        <f t="array" ref="H1748">IFERROR(_xlfn.XLOOKUP(1, (dd_accsryclr!$C$2:$C$1000=accsry_unmerged!F1748)*(dd_accsryclr!$B$2:$B$1000=accsry_unmerged!J1748),dd_accsryclr!$A$2:$A$1000),"")</f>
        <v>0</v>
      </c>
      <c r="I1748" s="35">
        <f>_xlfn.XLOOKUP(C1748,'Project Details'!$C$17:$C$66,'Project Details'!$E$17:$E$66,"",0)</f>
        <v>0</v>
      </c>
      <c r="J1748" s="35">
        <f>_xlfn.XLOOKUP(C1748,'Project Details'!$C$17:$C$66,'Project Details'!$H$17:$H$66,"",0)</f>
        <v>0</v>
      </c>
      <c r="K1748" s="36" t="str">
        <f>IF(AND(_xlfn.XLOOKUP(C1748,'Project Details'!$C$17:$C$66,'Project Details'!$L$17:$L$66,"",0)&gt;550, F1748="Spring-L27cm"),"",SUBSTITUTE(_xlfn.XLOOKUP(G1748,SKUs!$C$2:$C$10001,SKUs!$F$2:$F$10001,"",0), " Accessories",""))</f>
        <v/>
      </c>
      <c r="L1748" s="36">
        <f>_xlfn.XLOOKUP(C1748,'Project Details'!$C$17:$C$66,'Project Details'!$D$17:$D$66,"",0)</f>
        <v>0</v>
      </c>
      <c r="M1748" s="43"/>
    </row>
    <row r="1749" spans="1:13" ht="13.5" customHeight="1" outlineLevel="1" x14ac:dyDescent="0.25">
      <c r="A1749" s="43"/>
      <c r="B1749" s="43"/>
      <c r="C1749" s="16">
        <f t="shared" si="33"/>
        <v>35</v>
      </c>
      <c r="D1749" s="16" t="str" cm="1">
        <f t="array" ref="D1749">IFERROR(ROUNDUP(_xlfn.IFS(F1749="Aluminum Track", _xlfn.XLOOKUP(C1749, dd_accsrycalc!$A$2:$A$51, dd_accsrycalc!$B$2:$B$51, "",0), F1749="10 x 2 1/2 S (Flat)", _xlfn.XLOOKUP(C1749, dd_accsrycalc!$A$2:$A$51, dd_accsrycalc!$C$2:$C$51, "",0), F1749="Tox6", _xlfn.XLOOKUP(C1749, dd_accsrycalc!$A$2:$A$51, dd_accsrycalc!$D$2:$D$51, "",0), F1749="Cover Cap", _xlfn.XLOOKUP(C1749, dd_accsrycalc!$A$2:$A$51, dd_accsrycalc!$E$2:$E$51, "",0), F1749="Drainage Cover", _xlfn.XLOOKUP(C1749, dd_accsrycalc!$A$2:$A$51, dd_accsrycalc!$F$2:$F$51, "",0),AND( F1749="Double Adhesive Tape", I1749="Roll-up Screen"), _xlfn.XLOOKUP(C1749, calc_rusacc!$C$15:$C$65, calc_rusacc!$AD$15:$AD$65, "",0),AND( F1749="Sealant", I1749="Roll-up Screen"), _xlfn.XLOOKUP(C1749, calc_rusacc!$C$15:$C$65, calc_rusacc!$AF$15:$AF$65, "",0),  AND( F1749="Main Chain", I1749="Accordion Screen"), _xlfn.XLOOKUP(C1749, calc_rusacc!$C$15:$C$65, calc_rusacc!$BF$15:$BF$65, "",0), AND( F1749="Sealant", I1749="Accordion Screen"), _xlfn.XLOOKUP(C1749, calc_rusacc!$C$15:$C$65, calc_rusacc!$BJ$15:$BJ$65, "",0),  F1749="Sealant", _xlfn.XLOOKUP(C1749, dd_accsrycalc!$A$2:$A$51, dd_accsrycalc!$G$2:$G$51, "",0),  F1749&lt;&gt;"",L1749*_xlfn.XLOOKUP(1, (SKUs!$C$2:$C$10001=G1749)*(SKUs!$K$2:$K$10001=I1749),SKUs!$E$2:$E$10001)), 0),"")</f>
        <v/>
      </c>
      <c r="E1749" s="16" t="str">
        <f>_xlfn.XLOOKUP(F1749,dd_item!$B$2:$B$105,dd_item!$C$2:$C$105,"",0)</f>
        <v/>
      </c>
      <c r="F1749" s="16"/>
      <c r="G1749" s="16" cm="1">
        <f t="array" ref="G1749">IFERROR(_xlfn.XLOOKUP(1, (SKUs!$J$2:$J$10001=accsry_unmerged!F1749)*IF(H1749&lt;&gt;"",(SKUs!$L$2:$L$10001=accsry_unmerged!H1749),1)*(SKUs!$K$2:$K$10001=I1749),SKUs!$C$2:$C$10001),"")</f>
        <v>0</v>
      </c>
      <c r="H1749" s="33" cm="1">
        <f t="array" ref="H1749">IFERROR(_xlfn.XLOOKUP(1, (dd_accsryclr!$C$2:$C$1000=accsry_unmerged!F1749)*(dd_accsryclr!$B$2:$B$1000=accsry_unmerged!J1749),dd_accsryclr!$A$2:$A$1000),"")</f>
        <v>0</v>
      </c>
      <c r="I1749" s="16">
        <f>_xlfn.XLOOKUP(C1749,'Project Details'!$C$17:$C$66,'Project Details'!$E$17:$E$66,"",0)</f>
        <v>0</v>
      </c>
      <c r="J1749" s="16">
        <f>_xlfn.XLOOKUP(C1749,'Project Details'!$C$17:$C$66,'Project Details'!$H$17:$H$66,"",0)</f>
        <v>0</v>
      </c>
      <c r="K1749" s="33" t="str">
        <f>IF(AND(_xlfn.XLOOKUP(C1749,'Project Details'!$C$17:$C$66,'Project Details'!$L$17:$L$66,"",0)&gt;550, F1749="Spring-L27cm"),"",SUBSTITUTE(_xlfn.XLOOKUP(G1749,SKUs!$C$2:$C$10001,SKUs!$F$2:$F$10001,"",0), " Accessories",""))</f>
        <v/>
      </c>
      <c r="L1749" s="33">
        <f>_xlfn.XLOOKUP(C1749,'Project Details'!$C$17:$C$66,'Project Details'!$D$17:$D$66,"",0)</f>
        <v>0</v>
      </c>
      <c r="M1749" s="43"/>
    </row>
    <row r="1750" spans="1:13" ht="13.5" customHeight="1" outlineLevel="1" x14ac:dyDescent="0.25">
      <c r="A1750" s="43"/>
      <c r="B1750" s="43"/>
      <c r="C1750" s="35">
        <f t="shared" si="33"/>
        <v>35</v>
      </c>
      <c r="D1750" s="35" t="str" cm="1">
        <f t="array" ref="D1750">IFERROR(ROUNDUP(_xlfn.IFS(F1750="Aluminum Track", _xlfn.XLOOKUP(C1750, dd_accsrycalc!$A$2:$A$51, dd_accsrycalc!$B$2:$B$51, "",0), F1750="10 x 2 1/2 S (Flat)", _xlfn.XLOOKUP(C1750, dd_accsrycalc!$A$2:$A$51, dd_accsrycalc!$C$2:$C$51, "",0), F1750="Tox6", _xlfn.XLOOKUP(C1750, dd_accsrycalc!$A$2:$A$51, dd_accsrycalc!$D$2:$D$51, "",0), F1750="Cover Cap", _xlfn.XLOOKUP(C1750, dd_accsrycalc!$A$2:$A$51, dd_accsrycalc!$E$2:$E$51, "",0), F1750="Drainage Cover", _xlfn.XLOOKUP(C1750, dd_accsrycalc!$A$2:$A$51, dd_accsrycalc!$F$2:$F$51, "",0),AND( F1750="Double Adhesive Tape", I1750="Roll-up Screen"), _xlfn.XLOOKUP(C1750, calc_rusacc!$C$15:$C$65, calc_rusacc!$AD$15:$AD$65, "",0),AND( F1750="Sealant", I1750="Roll-up Screen"), _xlfn.XLOOKUP(C1750, calc_rusacc!$C$15:$C$65, calc_rusacc!$AF$15:$AF$65, "",0),  AND( F1750="Main Chain", I1750="Accordion Screen"), _xlfn.XLOOKUP(C1750, calc_rusacc!$C$15:$C$65, calc_rusacc!$BF$15:$BF$65, "",0), AND( F1750="Sealant", I1750="Accordion Screen"), _xlfn.XLOOKUP(C1750, calc_rusacc!$C$15:$C$65, calc_rusacc!$BJ$15:$BJ$65, "",0),  F1750="Sealant", _xlfn.XLOOKUP(C1750, dd_accsrycalc!$A$2:$A$51, dd_accsrycalc!$G$2:$G$51, "",0),  F1750&lt;&gt;"",L1750*_xlfn.XLOOKUP(1, (SKUs!$C$2:$C$10001=G1750)*(SKUs!$K$2:$K$10001=I1750),SKUs!$E$2:$E$10001)), 0),"")</f>
        <v/>
      </c>
      <c r="E1750" s="35" t="str">
        <f>_xlfn.XLOOKUP(F1750,dd_item!$B$2:$B$105,dd_item!$C$2:$C$105,"",0)</f>
        <v/>
      </c>
      <c r="F1750" s="35"/>
      <c r="G1750" s="35" cm="1">
        <f t="array" ref="G1750">IFERROR(_xlfn.XLOOKUP(1, (SKUs!$J$2:$J$10001=accsry_unmerged!F1750)*IF(H1750&lt;&gt;"",(SKUs!$L$2:$L$10001=accsry_unmerged!H1750),1)*(SKUs!$K$2:$K$10001=I1750),SKUs!$C$2:$C$10001),"")</f>
        <v>0</v>
      </c>
      <c r="H1750" s="36" cm="1">
        <f t="array" ref="H1750">IFERROR(_xlfn.XLOOKUP(1, (dd_accsryclr!$C$2:$C$1000=accsry_unmerged!F1750)*(dd_accsryclr!$B$2:$B$1000=accsry_unmerged!J1750),dd_accsryclr!$A$2:$A$1000),"")</f>
        <v>0</v>
      </c>
      <c r="I1750" s="35">
        <f>_xlfn.XLOOKUP(C1750,'Project Details'!$C$17:$C$66,'Project Details'!$E$17:$E$66,"",0)</f>
        <v>0</v>
      </c>
      <c r="J1750" s="35">
        <f>_xlfn.XLOOKUP(C1750,'Project Details'!$C$17:$C$66,'Project Details'!$H$17:$H$66,"",0)</f>
        <v>0</v>
      </c>
      <c r="K1750" s="36" t="str">
        <f>IF(AND(_xlfn.XLOOKUP(C1750,'Project Details'!$C$17:$C$66,'Project Details'!$L$17:$L$66,"",0)&gt;550, F1750="Spring-L27cm"),"",SUBSTITUTE(_xlfn.XLOOKUP(G1750,SKUs!$C$2:$C$10001,SKUs!$F$2:$F$10001,"",0), " Accessories",""))</f>
        <v/>
      </c>
      <c r="L1750" s="36">
        <f>_xlfn.XLOOKUP(C1750,'Project Details'!$C$17:$C$66,'Project Details'!$D$17:$D$66,"",0)</f>
        <v>0</v>
      </c>
      <c r="M1750" s="43"/>
    </row>
    <row r="1751" spans="1:13" ht="13.5" customHeight="1" outlineLevel="1" x14ac:dyDescent="0.25">
      <c r="A1751" s="43"/>
      <c r="B1751" s="43"/>
      <c r="C1751" s="16">
        <f t="shared" si="33"/>
        <v>35</v>
      </c>
      <c r="D1751" s="16" t="str" cm="1">
        <f t="array" ref="D1751">IFERROR(ROUNDUP(_xlfn.IFS(F1751="Aluminum Track", _xlfn.XLOOKUP(C1751, dd_accsrycalc!$A$2:$A$51, dd_accsrycalc!$B$2:$B$51, "",0), F1751="10 x 2 1/2 S (Flat)", _xlfn.XLOOKUP(C1751, dd_accsrycalc!$A$2:$A$51, dd_accsrycalc!$C$2:$C$51, "",0), F1751="Tox6", _xlfn.XLOOKUP(C1751, dd_accsrycalc!$A$2:$A$51, dd_accsrycalc!$D$2:$D$51, "",0), F1751="Cover Cap", _xlfn.XLOOKUP(C1751, dd_accsrycalc!$A$2:$A$51, dd_accsrycalc!$E$2:$E$51, "",0), F1751="Drainage Cover", _xlfn.XLOOKUP(C1751, dd_accsrycalc!$A$2:$A$51, dd_accsrycalc!$F$2:$F$51, "",0),AND( F1751="Double Adhesive Tape", I1751="Roll-up Screen"), _xlfn.XLOOKUP(C1751, calc_rusacc!$C$15:$C$65, calc_rusacc!$AD$15:$AD$65, "",0),AND( F1751="Sealant", I1751="Roll-up Screen"), _xlfn.XLOOKUP(C1751, calc_rusacc!$C$15:$C$65, calc_rusacc!$AF$15:$AF$65, "",0),  AND( F1751="Main Chain", I1751="Accordion Screen"), _xlfn.XLOOKUP(C1751, calc_rusacc!$C$15:$C$65, calc_rusacc!$BF$15:$BF$65, "",0), AND( F1751="Sealant", I1751="Accordion Screen"), _xlfn.XLOOKUP(C1751, calc_rusacc!$C$15:$C$65, calc_rusacc!$BJ$15:$BJ$65, "",0),  F1751="Sealant", _xlfn.XLOOKUP(C1751, dd_accsrycalc!$A$2:$A$51, dd_accsrycalc!$G$2:$G$51, "",0),  F1751&lt;&gt;"",L1751*_xlfn.XLOOKUP(1, (SKUs!$C$2:$C$10001=G1751)*(SKUs!$K$2:$K$10001=I1751),SKUs!$E$2:$E$10001)), 0),"")</f>
        <v/>
      </c>
      <c r="E1751" s="16" t="str">
        <f>_xlfn.XLOOKUP(F1751,dd_item!$B$2:$B$105,dd_item!$C$2:$C$105,"",0)</f>
        <v/>
      </c>
      <c r="F1751" s="16"/>
      <c r="G1751" s="16" cm="1">
        <f t="array" ref="G1751">IFERROR(_xlfn.XLOOKUP(1, (SKUs!$J$2:$J$10001=accsry_unmerged!F1751)*IF(H1751&lt;&gt;"",(SKUs!$L$2:$L$10001=accsry_unmerged!H1751),1)*(SKUs!$K$2:$K$10001=I1751),SKUs!$C$2:$C$10001),"")</f>
        <v>0</v>
      </c>
      <c r="H1751" s="33" cm="1">
        <f t="array" ref="H1751">IFERROR(_xlfn.XLOOKUP(1, (dd_accsryclr!$C$2:$C$1000=accsry_unmerged!F1751)*(dd_accsryclr!$B$2:$B$1000=accsry_unmerged!J1751),dd_accsryclr!$A$2:$A$1000),"")</f>
        <v>0</v>
      </c>
      <c r="I1751" s="16">
        <f>_xlfn.XLOOKUP(C1751,'Project Details'!$C$17:$C$66,'Project Details'!$E$17:$E$66,"",0)</f>
        <v>0</v>
      </c>
      <c r="J1751" s="16">
        <f>_xlfn.XLOOKUP(C1751,'Project Details'!$C$17:$C$66,'Project Details'!$H$17:$H$66,"",0)</f>
        <v>0</v>
      </c>
      <c r="K1751" s="33" t="str">
        <f>IF(AND(_xlfn.XLOOKUP(C1751,'Project Details'!$C$17:$C$66,'Project Details'!$L$17:$L$66,"",0)&gt;550, F1751="Spring-L27cm"),"",SUBSTITUTE(_xlfn.XLOOKUP(G1751,SKUs!$C$2:$C$10001,SKUs!$F$2:$F$10001,"",0), " Accessories",""))</f>
        <v/>
      </c>
      <c r="L1751" s="33">
        <f>_xlfn.XLOOKUP(C1751,'Project Details'!$C$17:$C$66,'Project Details'!$D$17:$D$66,"",0)</f>
        <v>0</v>
      </c>
      <c r="M1751" s="43"/>
    </row>
    <row r="1752" spans="1:13" ht="13.5" customHeight="1" outlineLevel="1" x14ac:dyDescent="0.25">
      <c r="A1752" s="43"/>
      <c r="B1752" s="43"/>
      <c r="C1752" s="35">
        <f t="shared" si="33"/>
        <v>35</v>
      </c>
      <c r="D1752" s="35" t="str" cm="1">
        <f t="array" ref="D1752">IFERROR(ROUNDUP(_xlfn.IFS(F1752="Aluminum Track", _xlfn.XLOOKUP(C1752, dd_accsrycalc!$A$2:$A$51, dd_accsrycalc!$B$2:$B$51, "",0), F1752="10 x 2 1/2 S (Flat)", _xlfn.XLOOKUP(C1752, dd_accsrycalc!$A$2:$A$51, dd_accsrycalc!$C$2:$C$51, "",0), F1752="Tox6", _xlfn.XLOOKUP(C1752, dd_accsrycalc!$A$2:$A$51, dd_accsrycalc!$D$2:$D$51, "",0), F1752="Cover Cap", _xlfn.XLOOKUP(C1752, dd_accsrycalc!$A$2:$A$51, dd_accsrycalc!$E$2:$E$51, "",0), F1752="Drainage Cover", _xlfn.XLOOKUP(C1752, dd_accsrycalc!$A$2:$A$51, dd_accsrycalc!$F$2:$F$51, "",0),AND( F1752="Double Adhesive Tape", I1752="Roll-up Screen"), _xlfn.XLOOKUP(C1752, calc_rusacc!$C$15:$C$65, calc_rusacc!$AD$15:$AD$65, "",0),AND( F1752="Sealant", I1752="Roll-up Screen"), _xlfn.XLOOKUP(C1752, calc_rusacc!$C$15:$C$65, calc_rusacc!$AF$15:$AF$65, "",0),  AND( F1752="Main Chain", I1752="Accordion Screen"), _xlfn.XLOOKUP(C1752, calc_rusacc!$C$15:$C$65, calc_rusacc!$BF$15:$BF$65, "",0), AND( F1752="Sealant", I1752="Accordion Screen"), _xlfn.XLOOKUP(C1752, calc_rusacc!$C$15:$C$65, calc_rusacc!$BJ$15:$BJ$65, "",0),  F1752="Sealant", _xlfn.XLOOKUP(C1752, dd_accsrycalc!$A$2:$A$51, dd_accsrycalc!$G$2:$G$51, "",0),  F1752&lt;&gt;"",L1752*_xlfn.XLOOKUP(1, (SKUs!$C$2:$C$10001=G1752)*(SKUs!$K$2:$K$10001=I1752),SKUs!$E$2:$E$10001)), 0),"")</f>
        <v/>
      </c>
      <c r="E1752" s="35" t="str">
        <f>_xlfn.XLOOKUP(F1752,dd_item!$B$2:$B$105,dd_item!$C$2:$C$105,"",0)</f>
        <v/>
      </c>
      <c r="F1752" s="35"/>
      <c r="G1752" s="35" cm="1">
        <f t="array" ref="G1752">IFERROR(_xlfn.XLOOKUP(1, (SKUs!$J$2:$J$10001=accsry_unmerged!F1752)*IF(H1752&lt;&gt;"",(SKUs!$L$2:$L$10001=accsry_unmerged!H1752),1)*(SKUs!$K$2:$K$10001=I1752),SKUs!$C$2:$C$10001),"")</f>
        <v>0</v>
      </c>
      <c r="H1752" s="36" cm="1">
        <f t="array" ref="H1752">IFERROR(_xlfn.XLOOKUP(1, (dd_accsryclr!$C$2:$C$1000=accsry_unmerged!F1752)*(dd_accsryclr!$B$2:$B$1000=accsry_unmerged!J1752),dd_accsryclr!$A$2:$A$1000),"")</f>
        <v>0</v>
      </c>
      <c r="I1752" s="35">
        <f>_xlfn.XLOOKUP(C1752,'Project Details'!$C$17:$C$66,'Project Details'!$E$17:$E$66,"",0)</f>
        <v>0</v>
      </c>
      <c r="J1752" s="35">
        <f>_xlfn.XLOOKUP(C1752,'Project Details'!$C$17:$C$66,'Project Details'!$H$17:$H$66,"",0)</f>
        <v>0</v>
      </c>
      <c r="K1752" s="36" t="str">
        <f>IF(AND(_xlfn.XLOOKUP(C1752,'Project Details'!$C$17:$C$66,'Project Details'!$L$17:$L$66,"",0)&gt;550, F1752="Spring-L27cm"),"",SUBSTITUTE(_xlfn.XLOOKUP(G1752,SKUs!$C$2:$C$10001,SKUs!$F$2:$F$10001,"",0), " Accessories",""))</f>
        <v/>
      </c>
      <c r="L1752" s="36">
        <f>_xlfn.XLOOKUP(C1752,'Project Details'!$C$17:$C$66,'Project Details'!$D$17:$D$66,"",0)</f>
        <v>0</v>
      </c>
      <c r="M1752" s="43"/>
    </row>
    <row r="1753" spans="1:13" ht="13.5" customHeight="1" outlineLevel="1" x14ac:dyDescent="0.25">
      <c r="A1753" s="43"/>
      <c r="B1753" s="43"/>
      <c r="C1753" s="16">
        <f t="shared" si="33"/>
        <v>35</v>
      </c>
      <c r="D1753" s="16" t="str" cm="1">
        <f t="array" ref="D1753">IFERROR(ROUNDUP(_xlfn.IFS(F1753="Aluminum Track", _xlfn.XLOOKUP(C1753, dd_accsrycalc!$A$2:$A$51, dd_accsrycalc!$B$2:$B$51, "",0), F1753="10 x 2 1/2 S (Flat)", _xlfn.XLOOKUP(C1753, dd_accsrycalc!$A$2:$A$51, dd_accsrycalc!$C$2:$C$51, "",0), F1753="Tox6", _xlfn.XLOOKUP(C1753, dd_accsrycalc!$A$2:$A$51, dd_accsrycalc!$D$2:$D$51, "",0), F1753="Cover Cap", _xlfn.XLOOKUP(C1753, dd_accsrycalc!$A$2:$A$51, dd_accsrycalc!$E$2:$E$51, "",0), F1753="Drainage Cover", _xlfn.XLOOKUP(C1753, dd_accsrycalc!$A$2:$A$51, dd_accsrycalc!$F$2:$F$51, "",0),AND( F1753="Double Adhesive Tape", I1753="Roll-up Screen"), _xlfn.XLOOKUP(C1753, calc_rusacc!$C$15:$C$65, calc_rusacc!$AD$15:$AD$65, "",0),AND( F1753="Sealant", I1753="Roll-up Screen"), _xlfn.XLOOKUP(C1753, calc_rusacc!$C$15:$C$65, calc_rusacc!$AF$15:$AF$65, "",0),  AND( F1753="Main Chain", I1753="Accordion Screen"), _xlfn.XLOOKUP(C1753, calc_rusacc!$C$15:$C$65, calc_rusacc!$BF$15:$BF$65, "",0), AND( F1753="Sealant", I1753="Accordion Screen"), _xlfn.XLOOKUP(C1753, calc_rusacc!$C$15:$C$65, calc_rusacc!$BJ$15:$BJ$65, "",0),  F1753="Sealant", _xlfn.XLOOKUP(C1753, dd_accsrycalc!$A$2:$A$51, dd_accsrycalc!$G$2:$G$51, "",0),  F1753&lt;&gt;"",L1753*_xlfn.XLOOKUP(1, (SKUs!$C$2:$C$10001=G1753)*(SKUs!$K$2:$K$10001=I1753),SKUs!$E$2:$E$10001)), 0),"")</f>
        <v/>
      </c>
      <c r="E1753" s="16" t="str">
        <f>_xlfn.XLOOKUP(F1753,dd_item!$B$2:$B$105,dd_item!$C$2:$C$105,"",0)</f>
        <v/>
      </c>
      <c r="F1753" s="16"/>
      <c r="G1753" s="16" cm="1">
        <f t="array" ref="G1753">IFERROR(_xlfn.XLOOKUP(1, (SKUs!$J$2:$J$10001=accsry_unmerged!F1753)*IF(H1753&lt;&gt;"",(SKUs!$L$2:$L$10001=accsry_unmerged!H1753),1)*(SKUs!$K$2:$K$10001=I1753),SKUs!$C$2:$C$10001),"")</f>
        <v>0</v>
      </c>
      <c r="H1753" s="33" cm="1">
        <f t="array" ref="H1753">IFERROR(_xlfn.XLOOKUP(1, (dd_accsryclr!$C$2:$C$1000=accsry_unmerged!F1753)*(dd_accsryclr!$B$2:$B$1000=accsry_unmerged!J1753),dd_accsryclr!$A$2:$A$1000),"")</f>
        <v>0</v>
      </c>
      <c r="I1753" s="16">
        <f>_xlfn.XLOOKUP(C1753,'Project Details'!$C$17:$C$66,'Project Details'!$E$17:$E$66,"",0)</f>
        <v>0</v>
      </c>
      <c r="J1753" s="16">
        <f>_xlfn.XLOOKUP(C1753,'Project Details'!$C$17:$C$66,'Project Details'!$H$17:$H$66,"",0)</f>
        <v>0</v>
      </c>
      <c r="K1753" s="33" t="str">
        <f>IF(AND(_xlfn.XLOOKUP(C1753,'Project Details'!$C$17:$C$66,'Project Details'!$L$17:$L$66,"",0)&gt;550, F1753="Spring-L27cm"),"",SUBSTITUTE(_xlfn.XLOOKUP(G1753,SKUs!$C$2:$C$10001,SKUs!$F$2:$F$10001,"",0), " Accessories",""))</f>
        <v/>
      </c>
      <c r="L1753" s="33">
        <f>_xlfn.XLOOKUP(C1753,'Project Details'!$C$17:$C$66,'Project Details'!$D$17:$D$66,"",0)</f>
        <v>0</v>
      </c>
      <c r="M1753" s="43"/>
    </row>
    <row r="1754" spans="1:13" ht="13.5" customHeight="1" outlineLevel="1" x14ac:dyDescent="0.25">
      <c r="A1754" s="43"/>
      <c r="B1754" s="43"/>
      <c r="C1754" s="35">
        <f t="shared" si="33"/>
        <v>35</v>
      </c>
      <c r="D1754" s="35" t="str" cm="1">
        <f t="array" ref="D1754">IFERROR(ROUNDUP(_xlfn.IFS(F1754="Aluminum Track", _xlfn.XLOOKUP(C1754, dd_accsrycalc!$A$2:$A$51, dd_accsrycalc!$B$2:$B$51, "",0), F1754="10 x 2 1/2 S (Flat)", _xlfn.XLOOKUP(C1754, dd_accsrycalc!$A$2:$A$51, dd_accsrycalc!$C$2:$C$51, "",0), F1754="Tox6", _xlfn.XLOOKUP(C1754, dd_accsrycalc!$A$2:$A$51, dd_accsrycalc!$D$2:$D$51, "",0), F1754="Cover Cap", _xlfn.XLOOKUP(C1754, dd_accsrycalc!$A$2:$A$51, dd_accsrycalc!$E$2:$E$51, "",0), F1754="Drainage Cover", _xlfn.XLOOKUP(C1754, dd_accsrycalc!$A$2:$A$51, dd_accsrycalc!$F$2:$F$51, "",0),AND( F1754="Double Adhesive Tape", I1754="Roll-up Screen"), _xlfn.XLOOKUP(C1754, calc_rusacc!$C$15:$C$65, calc_rusacc!$AD$15:$AD$65, "",0),AND( F1754="Sealant", I1754="Roll-up Screen"), _xlfn.XLOOKUP(C1754, calc_rusacc!$C$15:$C$65, calc_rusacc!$AF$15:$AF$65, "",0),  AND( F1754="Main Chain", I1754="Accordion Screen"), _xlfn.XLOOKUP(C1754, calc_rusacc!$C$15:$C$65, calc_rusacc!$BF$15:$BF$65, "",0), AND( F1754="Sealant", I1754="Accordion Screen"), _xlfn.XLOOKUP(C1754, calc_rusacc!$C$15:$C$65, calc_rusacc!$BJ$15:$BJ$65, "",0),  F1754="Sealant", _xlfn.XLOOKUP(C1754, dd_accsrycalc!$A$2:$A$51, dd_accsrycalc!$G$2:$G$51, "",0),  F1754&lt;&gt;"",L1754*_xlfn.XLOOKUP(1, (SKUs!$C$2:$C$10001=G1754)*(SKUs!$K$2:$K$10001=I1754),SKUs!$E$2:$E$10001)), 0),"")</f>
        <v/>
      </c>
      <c r="E1754" s="35" t="str">
        <f>_xlfn.XLOOKUP(F1754,dd_item!$B$2:$B$105,dd_item!$C$2:$C$105,"",0)</f>
        <v/>
      </c>
      <c r="F1754" s="35"/>
      <c r="G1754" s="35" cm="1">
        <f t="array" ref="G1754">IFERROR(_xlfn.XLOOKUP(1, (SKUs!$J$2:$J$10001=accsry_unmerged!F1754)*IF(H1754&lt;&gt;"",(SKUs!$L$2:$L$10001=accsry_unmerged!H1754),1)*(SKUs!$K$2:$K$10001=I1754),SKUs!$C$2:$C$10001),"")</f>
        <v>0</v>
      </c>
      <c r="H1754" s="36" cm="1">
        <f t="array" ref="H1754">IFERROR(_xlfn.XLOOKUP(1, (dd_accsryclr!$C$2:$C$1000=accsry_unmerged!F1754)*(dd_accsryclr!$B$2:$B$1000=accsry_unmerged!J1754),dd_accsryclr!$A$2:$A$1000),"")</f>
        <v>0</v>
      </c>
      <c r="I1754" s="35">
        <f>_xlfn.XLOOKUP(C1754,'Project Details'!$C$17:$C$66,'Project Details'!$E$17:$E$66,"",0)</f>
        <v>0</v>
      </c>
      <c r="J1754" s="35">
        <f>_xlfn.XLOOKUP(C1754,'Project Details'!$C$17:$C$66,'Project Details'!$H$17:$H$66,"",0)</f>
        <v>0</v>
      </c>
      <c r="K1754" s="36" t="str">
        <f>IF(AND(_xlfn.XLOOKUP(C1754,'Project Details'!$C$17:$C$66,'Project Details'!$L$17:$L$66,"",0)&gt;550, F1754="Spring-L27cm"),"",SUBSTITUTE(_xlfn.XLOOKUP(G1754,SKUs!$C$2:$C$10001,SKUs!$F$2:$F$10001,"",0), " Accessories",""))</f>
        <v/>
      </c>
      <c r="L1754" s="36">
        <f>_xlfn.XLOOKUP(C1754,'Project Details'!$C$17:$C$66,'Project Details'!$D$17:$D$66,"",0)</f>
        <v>0</v>
      </c>
      <c r="M1754" s="43"/>
    </row>
    <row r="1755" spans="1:13" ht="13.5" customHeight="1" outlineLevel="1" collapsed="1" x14ac:dyDescent="0.25">
      <c r="A1755" s="43"/>
      <c r="B1755" s="43"/>
      <c r="C1755" s="16">
        <f t="shared" si="33"/>
        <v>35</v>
      </c>
      <c r="D1755" s="16" t="str" cm="1">
        <f t="array" ref="D1755">IFERROR(ROUNDUP(_xlfn.IFS(F1755="Aluminum Track", _xlfn.XLOOKUP(C1755, dd_accsrycalc!$A$2:$A$51, dd_accsrycalc!$B$2:$B$51, "",0), F1755="10 x 2 1/2 S (Flat)", _xlfn.XLOOKUP(C1755, dd_accsrycalc!$A$2:$A$51, dd_accsrycalc!$C$2:$C$51, "",0), F1755="Tox6", _xlfn.XLOOKUP(C1755, dd_accsrycalc!$A$2:$A$51, dd_accsrycalc!$D$2:$D$51, "",0), F1755="Cover Cap", _xlfn.XLOOKUP(C1755, dd_accsrycalc!$A$2:$A$51, dd_accsrycalc!$E$2:$E$51, "",0), F1755="Drainage Cover", _xlfn.XLOOKUP(C1755, dd_accsrycalc!$A$2:$A$51, dd_accsrycalc!$F$2:$F$51, "",0),AND( F1755="Double Adhesive Tape", I1755="Roll-up Screen"), _xlfn.XLOOKUP(C1755, calc_rusacc!$C$15:$C$65, calc_rusacc!$AD$15:$AD$65, "",0),AND( F1755="Sealant", I1755="Roll-up Screen"), _xlfn.XLOOKUP(C1755, calc_rusacc!$C$15:$C$65, calc_rusacc!$AF$15:$AF$65, "",0),  AND( F1755="Main Chain", I1755="Accordion Screen"), _xlfn.XLOOKUP(C1755, calc_rusacc!$C$15:$C$65, calc_rusacc!$BF$15:$BF$65, "",0), AND( F1755="Sealant", I1755="Accordion Screen"), _xlfn.XLOOKUP(C1755, calc_rusacc!$C$15:$C$65, calc_rusacc!$BJ$15:$BJ$65, "",0),  F1755="Sealant", _xlfn.XLOOKUP(C1755, dd_accsrycalc!$A$2:$A$51, dd_accsrycalc!$G$2:$G$51, "",0),  F1755&lt;&gt;"",L1755*_xlfn.XLOOKUP(1, (SKUs!$C$2:$C$10001=G1755)*(SKUs!$K$2:$K$10001=I1755),SKUs!$E$2:$E$10001)), 0),"")</f>
        <v/>
      </c>
      <c r="E1755" s="16" t="str">
        <f>_xlfn.XLOOKUP(F1755,dd_item!$B$2:$B$105,dd_item!$C$2:$C$105,"",0)</f>
        <v/>
      </c>
      <c r="F1755" s="16"/>
      <c r="G1755" s="16" cm="1">
        <f t="array" ref="G1755">IFERROR(_xlfn.XLOOKUP(1, (SKUs!$J$2:$J$10001=accsry_unmerged!F1755)*IF(H1755&lt;&gt;"",(SKUs!$L$2:$L$10001=accsry_unmerged!H1755),1)*(SKUs!$K$2:$K$10001=I1755),SKUs!$C$2:$C$10001),"")</f>
        <v>0</v>
      </c>
      <c r="H1755" s="33" cm="1">
        <f t="array" ref="H1755">IFERROR(_xlfn.XLOOKUP(1, (dd_accsryclr!$C$2:$C$1000=accsry_unmerged!F1755)*(dd_accsryclr!$B$2:$B$1000=accsry_unmerged!J1755),dd_accsryclr!$A$2:$A$1000),"")</f>
        <v>0</v>
      </c>
      <c r="I1755" s="16">
        <f>_xlfn.XLOOKUP(C1755,'Project Details'!$C$17:$C$66,'Project Details'!$E$17:$E$66,"",0)</f>
        <v>0</v>
      </c>
      <c r="J1755" s="16">
        <f>_xlfn.XLOOKUP(C1755,'Project Details'!$C$17:$C$66,'Project Details'!$H$17:$H$66,"",0)</f>
        <v>0</v>
      </c>
      <c r="K1755" s="33" t="str">
        <f>IF(AND(_xlfn.XLOOKUP(C1755,'Project Details'!$C$17:$C$66,'Project Details'!$L$17:$L$66,"",0)&gt;550, F1755="Spring-L27cm"),"",SUBSTITUTE(_xlfn.XLOOKUP(G1755,SKUs!$C$2:$C$10001,SKUs!$F$2:$F$10001,"",0), " Accessories",""))</f>
        <v/>
      </c>
      <c r="L1755" s="33">
        <f>_xlfn.XLOOKUP(C1755,'Project Details'!$C$17:$C$66,'Project Details'!$D$17:$D$66,"",0)</f>
        <v>0</v>
      </c>
      <c r="M1755" s="43"/>
    </row>
    <row r="1756" spans="1:13" ht="13.5" customHeight="1" outlineLevel="1" x14ac:dyDescent="0.25">
      <c r="A1756" s="43"/>
      <c r="B1756" s="43"/>
      <c r="C1756" s="35">
        <f t="shared" si="33"/>
        <v>35</v>
      </c>
      <c r="D1756" s="35" t="str" cm="1">
        <f t="array" ref="D1756">IFERROR(ROUNDUP(_xlfn.IFS(F1756="Aluminum Track", _xlfn.XLOOKUP(C1756, dd_accsrycalc!$A$2:$A$51, dd_accsrycalc!$B$2:$B$51, "",0), F1756="10 x 2 1/2 S (Flat)", _xlfn.XLOOKUP(C1756, dd_accsrycalc!$A$2:$A$51, dd_accsrycalc!$C$2:$C$51, "",0), F1756="Tox6", _xlfn.XLOOKUP(C1756, dd_accsrycalc!$A$2:$A$51, dd_accsrycalc!$D$2:$D$51, "",0), F1756="Cover Cap", _xlfn.XLOOKUP(C1756, dd_accsrycalc!$A$2:$A$51, dd_accsrycalc!$E$2:$E$51, "",0), F1756="Drainage Cover", _xlfn.XLOOKUP(C1756, dd_accsrycalc!$A$2:$A$51, dd_accsrycalc!$F$2:$F$51, "",0),AND( F1756="Double Adhesive Tape", I1756="Roll-up Screen"), _xlfn.XLOOKUP(C1756, calc_rusacc!$C$15:$C$65, calc_rusacc!$AD$15:$AD$65, "",0),AND( F1756="Sealant", I1756="Roll-up Screen"), _xlfn.XLOOKUP(C1756, calc_rusacc!$C$15:$C$65, calc_rusacc!$AF$15:$AF$65, "",0),  AND( F1756="Main Chain", I1756="Accordion Screen"), _xlfn.XLOOKUP(C1756, calc_rusacc!$C$15:$C$65, calc_rusacc!$BF$15:$BF$65, "",0), AND( F1756="Sealant", I1756="Accordion Screen"), _xlfn.XLOOKUP(C1756, calc_rusacc!$C$15:$C$65, calc_rusacc!$BJ$15:$BJ$65, "",0),  F1756="Sealant", _xlfn.XLOOKUP(C1756, dd_accsrycalc!$A$2:$A$51, dd_accsrycalc!$G$2:$G$51, "",0),  F1756&lt;&gt;"",L1756*_xlfn.XLOOKUP(1, (SKUs!$C$2:$C$10001=G1756)*(SKUs!$K$2:$K$10001=I1756),SKUs!$E$2:$E$10001)), 0),"")</f>
        <v/>
      </c>
      <c r="E1756" s="35" t="str">
        <f>_xlfn.XLOOKUP(F1756,dd_item!$B$2:$B$105,dd_item!$C$2:$C$105,"",0)</f>
        <v/>
      </c>
      <c r="F1756" s="35"/>
      <c r="G1756" s="35" cm="1">
        <f t="array" ref="G1756">IFERROR(_xlfn.XLOOKUP(1, (SKUs!$J$2:$J$10001=accsry_unmerged!F1756)*IF(H1756&lt;&gt;"",(SKUs!$L$2:$L$10001=accsry_unmerged!H1756),1)*(SKUs!$K$2:$K$10001=I1756),SKUs!$C$2:$C$10001),"")</f>
        <v>0</v>
      </c>
      <c r="H1756" s="36" cm="1">
        <f t="array" ref="H1756">IFERROR(_xlfn.XLOOKUP(1, (dd_accsryclr!$C$2:$C$1000=accsry_unmerged!F1756)*(dd_accsryclr!$B$2:$B$1000=accsry_unmerged!J1756),dd_accsryclr!$A$2:$A$1000),"")</f>
        <v>0</v>
      </c>
      <c r="I1756" s="35">
        <f>_xlfn.XLOOKUP(C1756,'Project Details'!$C$17:$C$66,'Project Details'!$E$17:$E$66,"",0)</f>
        <v>0</v>
      </c>
      <c r="J1756" s="35">
        <f>_xlfn.XLOOKUP(C1756,'Project Details'!$C$17:$C$66,'Project Details'!$H$17:$H$66,"",0)</f>
        <v>0</v>
      </c>
      <c r="K1756" s="36" t="str">
        <f>IF(AND(_xlfn.XLOOKUP(C1756,'Project Details'!$C$17:$C$66,'Project Details'!$L$17:$L$66,"",0)&gt;550, F1756="Spring-L27cm"),"",SUBSTITUTE(_xlfn.XLOOKUP(G1756,SKUs!$C$2:$C$10001,SKUs!$F$2:$F$10001,"",0), " Accessories",""))</f>
        <v/>
      </c>
      <c r="L1756" s="36">
        <f>_xlfn.XLOOKUP(C1756,'Project Details'!$C$17:$C$66,'Project Details'!$D$17:$D$66,"",0)</f>
        <v>0</v>
      </c>
      <c r="M1756" s="43"/>
    </row>
    <row r="1757" spans="1:13" ht="13.5" customHeight="1" outlineLevel="1" x14ac:dyDescent="0.25">
      <c r="A1757" s="43"/>
      <c r="B1757" s="43"/>
      <c r="C1757" s="16">
        <f t="shared" si="33"/>
        <v>35</v>
      </c>
      <c r="D1757" s="16" t="str" cm="1">
        <f t="array" ref="D1757">IFERROR(ROUNDUP(_xlfn.IFS(F1757="Aluminum Track", _xlfn.XLOOKUP(C1757, dd_accsrycalc!$A$2:$A$51, dd_accsrycalc!$B$2:$B$51, "",0), F1757="10 x 2 1/2 S (Flat)", _xlfn.XLOOKUP(C1757, dd_accsrycalc!$A$2:$A$51, dd_accsrycalc!$C$2:$C$51, "",0), F1757="Tox6", _xlfn.XLOOKUP(C1757, dd_accsrycalc!$A$2:$A$51, dd_accsrycalc!$D$2:$D$51, "",0), F1757="Cover Cap", _xlfn.XLOOKUP(C1757, dd_accsrycalc!$A$2:$A$51, dd_accsrycalc!$E$2:$E$51, "",0), F1757="Drainage Cover", _xlfn.XLOOKUP(C1757, dd_accsrycalc!$A$2:$A$51, dd_accsrycalc!$F$2:$F$51, "",0),AND( F1757="Double Adhesive Tape", I1757="Roll-up Screen"), _xlfn.XLOOKUP(C1757, calc_rusacc!$C$15:$C$65, calc_rusacc!$AD$15:$AD$65, "",0),AND( F1757="Sealant", I1757="Roll-up Screen"), _xlfn.XLOOKUP(C1757, calc_rusacc!$C$15:$C$65, calc_rusacc!$AF$15:$AF$65, "",0),  AND( F1757="Main Chain", I1757="Accordion Screen"), _xlfn.XLOOKUP(C1757, calc_rusacc!$C$15:$C$65, calc_rusacc!$BF$15:$BF$65, "",0), AND( F1757="Sealant", I1757="Accordion Screen"), _xlfn.XLOOKUP(C1757, calc_rusacc!$C$15:$C$65, calc_rusacc!$BJ$15:$BJ$65, "",0),  F1757="Sealant", _xlfn.XLOOKUP(C1757, dd_accsrycalc!$A$2:$A$51, dd_accsrycalc!$G$2:$G$51, "",0),  F1757&lt;&gt;"",L1757*_xlfn.XLOOKUP(1, (SKUs!$C$2:$C$10001=G1757)*(SKUs!$K$2:$K$10001=I1757),SKUs!$E$2:$E$10001)), 0),"")</f>
        <v/>
      </c>
      <c r="E1757" s="16" t="str">
        <f>_xlfn.XLOOKUP(F1757,dd_item!$B$2:$B$105,dd_item!$C$2:$C$105,"",0)</f>
        <v/>
      </c>
      <c r="F1757" s="16"/>
      <c r="G1757" s="16" cm="1">
        <f t="array" ref="G1757">IFERROR(_xlfn.XLOOKUP(1, (SKUs!$J$2:$J$10001=accsry_unmerged!F1757)*IF(H1757&lt;&gt;"",(SKUs!$L$2:$L$10001=accsry_unmerged!H1757),1)*(SKUs!$K$2:$K$10001=I1757),SKUs!$C$2:$C$10001),"")</f>
        <v>0</v>
      </c>
      <c r="H1757" s="33" cm="1">
        <f t="array" ref="H1757">IFERROR(_xlfn.XLOOKUP(1, (dd_accsryclr!$C$2:$C$1000=accsry_unmerged!F1757)*(dd_accsryclr!$B$2:$B$1000=accsry_unmerged!J1757),dd_accsryclr!$A$2:$A$1000),"")</f>
        <v>0</v>
      </c>
      <c r="I1757" s="16">
        <f>_xlfn.XLOOKUP(C1757,'Project Details'!$C$17:$C$66,'Project Details'!$E$17:$E$66,"",0)</f>
        <v>0</v>
      </c>
      <c r="J1757" s="16">
        <f>_xlfn.XLOOKUP(C1757,'Project Details'!$C$17:$C$66,'Project Details'!$H$17:$H$66,"",0)</f>
        <v>0</v>
      </c>
      <c r="K1757" s="33" t="str">
        <f>IF(AND(_xlfn.XLOOKUP(C1757,'Project Details'!$C$17:$C$66,'Project Details'!$L$17:$L$66,"",0)&gt;550, F1757="Spring-L27cm"),"",SUBSTITUTE(_xlfn.XLOOKUP(G1757,SKUs!$C$2:$C$10001,SKUs!$F$2:$F$10001,"",0), " Accessories",""))</f>
        <v/>
      </c>
      <c r="L1757" s="33">
        <f>_xlfn.XLOOKUP(C1757,'Project Details'!$C$17:$C$66,'Project Details'!$D$17:$D$66,"",0)</f>
        <v>0</v>
      </c>
      <c r="M1757" s="43"/>
    </row>
    <row r="1758" spans="1:13" ht="13.5" customHeight="1" outlineLevel="1" x14ac:dyDescent="0.25">
      <c r="A1758" s="43"/>
      <c r="B1758" s="43"/>
      <c r="C1758" s="35">
        <f t="shared" si="33"/>
        <v>35</v>
      </c>
      <c r="D1758" s="35" t="str" cm="1">
        <f t="array" ref="D1758">IFERROR(ROUNDUP(_xlfn.IFS(F1758="Aluminum Track", _xlfn.XLOOKUP(C1758, dd_accsrycalc!$A$2:$A$51, dd_accsrycalc!$B$2:$B$51, "",0), F1758="10 x 2 1/2 S (Flat)", _xlfn.XLOOKUP(C1758, dd_accsrycalc!$A$2:$A$51, dd_accsrycalc!$C$2:$C$51, "",0), F1758="Tox6", _xlfn.XLOOKUP(C1758, dd_accsrycalc!$A$2:$A$51, dd_accsrycalc!$D$2:$D$51, "",0), F1758="Cover Cap", _xlfn.XLOOKUP(C1758, dd_accsrycalc!$A$2:$A$51, dd_accsrycalc!$E$2:$E$51, "",0), F1758="Drainage Cover", _xlfn.XLOOKUP(C1758, dd_accsrycalc!$A$2:$A$51, dd_accsrycalc!$F$2:$F$51, "",0),AND( F1758="Double Adhesive Tape", I1758="Roll-up Screen"), _xlfn.XLOOKUP(C1758, calc_rusacc!$C$15:$C$65, calc_rusacc!$AD$15:$AD$65, "",0),AND( F1758="Sealant", I1758="Roll-up Screen"), _xlfn.XLOOKUP(C1758, calc_rusacc!$C$15:$C$65, calc_rusacc!$AF$15:$AF$65, "",0),  AND( F1758="Main Chain", I1758="Accordion Screen"), _xlfn.XLOOKUP(C1758, calc_rusacc!$C$15:$C$65, calc_rusacc!$BF$15:$BF$65, "",0), AND( F1758="Sealant", I1758="Accordion Screen"), _xlfn.XLOOKUP(C1758, calc_rusacc!$C$15:$C$65, calc_rusacc!$BJ$15:$BJ$65, "",0),  F1758="Sealant", _xlfn.XLOOKUP(C1758, dd_accsrycalc!$A$2:$A$51, dd_accsrycalc!$G$2:$G$51, "",0),  F1758&lt;&gt;"",L1758*_xlfn.XLOOKUP(1, (SKUs!$C$2:$C$10001=G1758)*(SKUs!$K$2:$K$10001=I1758),SKUs!$E$2:$E$10001)), 0),"")</f>
        <v/>
      </c>
      <c r="E1758" s="35" t="str">
        <f>_xlfn.XLOOKUP(F1758,dd_item!$B$2:$B$105,dd_item!$C$2:$C$105,"",0)</f>
        <v/>
      </c>
      <c r="F1758" s="35"/>
      <c r="G1758" s="35" cm="1">
        <f t="array" ref="G1758">IFERROR(_xlfn.XLOOKUP(1, (SKUs!$J$2:$J$10001=accsry_unmerged!F1758)*IF(H1758&lt;&gt;"",(SKUs!$L$2:$L$10001=accsry_unmerged!H1758),1)*(SKUs!$K$2:$K$10001=I1758),SKUs!$C$2:$C$10001),"")</f>
        <v>0</v>
      </c>
      <c r="H1758" s="36" cm="1">
        <f t="array" ref="H1758">IFERROR(_xlfn.XLOOKUP(1, (dd_accsryclr!$C$2:$C$1000=accsry_unmerged!F1758)*(dd_accsryclr!$B$2:$B$1000=accsry_unmerged!J1758),dd_accsryclr!$A$2:$A$1000),"")</f>
        <v>0</v>
      </c>
      <c r="I1758" s="35">
        <f>_xlfn.XLOOKUP(C1758,'Project Details'!$C$17:$C$66,'Project Details'!$E$17:$E$66,"",0)</f>
        <v>0</v>
      </c>
      <c r="J1758" s="35">
        <f>_xlfn.XLOOKUP(C1758,'Project Details'!$C$17:$C$66,'Project Details'!$H$17:$H$66,"",0)</f>
        <v>0</v>
      </c>
      <c r="K1758" s="36" t="str">
        <f>IF(AND(_xlfn.XLOOKUP(C1758,'Project Details'!$C$17:$C$66,'Project Details'!$L$17:$L$66,"",0)&gt;550, F1758="Spring-L27cm"),"",SUBSTITUTE(_xlfn.XLOOKUP(G1758,SKUs!$C$2:$C$10001,SKUs!$F$2:$F$10001,"",0), " Accessories",""))</f>
        <v/>
      </c>
      <c r="L1758" s="36">
        <f>_xlfn.XLOOKUP(C1758,'Project Details'!$C$17:$C$66,'Project Details'!$D$17:$D$66,"",0)</f>
        <v>0</v>
      </c>
      <c r="M1758" s="43"/>
    </row>
    <row r="1759" spans="1:13" ht="13.5" customHeight="1" outlineLevel="1" x14ac:dyDescent="0.25">
      <c r="A1759" s="43"/>
      <c r="B1759" s="43"/>
      <c r="C1759" s="16">
        <f t="shared" si="33"/>
        <v>35</v>
      </c>
      <c r="D1759" s="16" t="str" cm="1">
        <f t="array" ref="D1759">IFERROR(ROUNDUP(_xlfn.IFS(F1759="Aluminum Track", _xlfn.XLOOKUP(C1759, dd_accsrycalc!$A$2:$A$51, dd_accsrycalc!$B$2:$B$51, "",0), F1759="10 x 2 1/2 S (Flat)", _xlfn.XLOOKUP(C1759, dd_accsrycalc!$A$2:$A$51, dd_accsrycalc!$C$2:$C$51, "",0), F1759="Tox6", _xlfn.XLOOKUP(C1759, dd_accsrycalc!$A$2:$A$51, dd_accsrycalc!$D$2:$D$51, "",0), F1759="Cover Cap", _xlfn.XLOOKUP(C1759, dd_accsrycalc!$A$2:$A$51, dd_accsrycalc!$E$2:$E$51, "",0), F1759="Drainage Cover", _xlfn.XLOOKUP(C1759, dd_accsrycalc!$A$2:$A$51, dd_accsrycalc!$F$2:$F$51, "",0),AND( F1759="Double Adhesive Tape", I1759="Roll-up Screen"), _xlfn.XLOOKUP(C1759, calc_rusacc!$C$15:$C$65, calc_rusacc!$AD$15:$AD$65, "",0),AND( F1759="Sealant", I1759="Roll-up Screen"), _xlfn.XLOOKUP(C1759, calc_rusacc!$C$15:$C$65, calc_rusacc!$AF$15:$AF$65, "",0),  AND( F1759="Main Chain", I1759="Accordion Screen"), _xlfn.XLOOKUP(C1759, calc_rusacc!$C$15:$C$65, calc_rusacc!$BF$15:$BF$65, "",0), AND( F1759="Sealant", I1759="Accordion Screen"), _xlfn.XLOOKUP(C1759, calc_rusacc!$C$15:$C$65, calc_rusacc!$BJ$15:$BJ$65, "",0),  F1759="Sealant", _xlfn.XLOOKUP(C1759, dd_accsrycalc!$A$2:$A$51, dd_accsrycalc!$G$2:$G$51, "",0),  F1759&lt;&gt;"",L1759*_xlfn.XLOOKUP(1, (SKUs!$C$2:$C$10001=G1759)*(SKUs!$K$2:$K$10001=I1759),SKUs!$E$2:$E$10001)), 0),"")</f>
        <v/>
      </c>
      <c r="E1759" s="16" t="str">
        <f>_xlfn.XLOOKUP(F1759,dd_item!$B$2:$B$105,dd_item!$C$2:$C$105,"",0)</f>
        <v/>
      </c>
      <c r="F1759" s="16"/>
      <c r="G1759" s="16" cm="1">
        <f t="array" ref="G1759">IFERROR(_xlfn.XLOOKUP(1, (SKUs!$J$2:$J$10001=accsry_unmerged!F1759)*IF(H1759&lt;&gt;"",(SKUs!$L$2:$L$10001=accsry_unmerged!H1759),1)*(SKUs!$K$2:$K$10001=I1759),SKUs!$C$2:$C$10001),"")</f>
        <v>0</v>
      </c>
      <c r="H1759" s="33" cm="1">
        <f t="array" ref="H1759">IFERROR(_xlfn.XLOOKUP(1, (dd_accsryclr!$C$2:$C$1000=accsry_unmerged!F1759)*(dd_accsryclr!$B$2:$B$1000=accsry_unmerged!J1759),dd_accsryclr!$A$2:$A$1000),"")</f>
        <v>0</v>
      </c>
      <c r="I1759" s="16">
        <f>_xlfn.XLOOKUP(C1759,'Project Details'!$C$17:$C$66,'Project Details'!$E$17:$E$66,"",0)</f>
        <v>0</v>
      </c>
      <c r="J1759" s="16">
        <f>_xlfn.XLOOKUP(C1759,'Project Details'!$C$17:$C$66,'Project Details'!$H$17:$H$66,"",0)</f>
        <v>0</v>
      </c>
      <c r="K1759" s="33" t="str">
        <f>IF(AND(_xlfn.XLOOKUP(C1759,'Project Details'!$C$17:$C$66,'Project Details'!$L$17:$L$66,"",0)&gt;550, F1759="Spring-L27cm"),"",SUBSTITUTE(_xlfn.XLOOKUP(G1759,SKUs!$C$2:$C$10001,SKUs!$F$2:$F$10001,"",0), " Accessories",""))</f>
        <v/>
      </c>
      <c r="L1759" s="33">
        <f>_xlfn.XLOOKUP(C1759,'Project Details'!$C$17:$C$66,'Project Details'!$D$17:$D$66,"",0)</f>
        <v>0</v>
      </c>
      <c r="M1759" s="43"/>
    </row>
    <row r="1760" spans="1:13" ht="13.5" customHeight="1" outlineLevel="1" x14ac:dyDescent="0.25">
      <c r="A1760" s="43"/>
      <c r="B1760" s="43"/>
      <c r="C1760" s="35">
        <f t="shared" si="33"/>
        <v>35</v>
      </c>
      <c r="D1760" s="35" t="str" cm="1">
        <f t="array" ref="D1760">IFERROR(ROUNDUP(_xlfn.IFS(F1760="Aluminum Track", _xlfn.XLOOKUP(C1760, dd_accsrycalc!$A$2:$A$51, dd_accsrycalc!$B$2:$B$51, "",0), F1760="10 x 2 1/2 S (Flat)", _xlfn.XLOOKUP(C1760, dd_accsrycalc!$A$2:$A$51, dd_accsrycalc!$C$2:$C$51, "",0), F1760="Tox6", _xlfn.XLOOKUP(C1760, dd_accsrycalc!$A$2:$A$51, dd_accsrycalc!$D$2:$D$51, "",0), F1760="Cover Cap", _xlfn.XLOOKUP(C1760, dd_accsrycalc!$A$2:$A$51, dd_accsrycalc!$E$2:$E$51, "",0), F1760="Drainage Cover", _xlfn.XLOOKUP(C1760, dd_accsrycalc!$A$2:$A$51, dd_accsrycalc!$F$2:$F$51, "",0),AND( F1760="Double Adhesive Tape", I1760="Roll-up Screen"), _xlfn.XLOOKUP(C1760, calc_rusacc!$C$15:$C$65, calc_rusacc!$AD$15:$AD$65, "",0),AND( F1760="Sealant", I1760="Roll-up Screen"), _xlfn.XLOOKUP(C1760, calc_rusacc!$C$15:$C$65, calc_rusacc!$AF$15:$AF$65, "",0),  AND( F1760="Main Chain", I1760="Accordion Screen"), _xlfn.XLOOKUP(C1760, calc_rusacc!$C$15:$C$65, calc_rusacc!$BF$15:$BF$65, "",0), AND( F1760="Sealant", I1760="Accordion Screen"), _xlfn.XLOOKUP(C1760, calc_rusacc!$C$15:$C$65, calc_rusacc!$BJ$15:$BJ$65, "",0),  F1760="Sealant", _xlfn.XLOOKUP(C1760, dd_accsrycalc!$A$2:$A$51, dd_accsrycalc!$G$2:$G$51, "",0),  F1760&lt;&gt;"",L1760*_xlfn.XLOOKUP(1, (SKUs!$C$2:$C$10001=G1760)*(SKUs!$K$2:$K$10001=I1760),SKUs!$E$2:$E$10001)), 0),"")</f>
        <v/>
      </c>
      <c r="E1760" s="35" t="str">
        <f>_xlfn.XLOOKUP(F1760,dd_item!$B$2:$B$105,dd_item!$C$2:$C$105,"",0)</f>
        <v/>
      </c>
      <c r="F1760" s="35"/>
      <c r="G1760" s="35" cm="1">
        <f t="array" ref="G1760">IFERROR(_xlfn.XLOOKUP(1, (SKUs!$J$2:$J$10001=accsry_unmerged!F1760)*IF(H1760&lt;&gt;"",(SKUs!$L$2:$L$10001=accsry_unmerged!H1760),1)*(SKUs!$K$2:$K$10001=I1760),SKUs!$C$2:$C$10001),"")</f>
        <v>0</v>
      </c>
      <c r="H1760" s="36" cm="1">
        <f t="array" ref="H1760">IFERROR(_xlfn.XLOOKUP(1, (dd_accsryclr!$C$2:$C$1000=accsry_unmerged!F1760)*(dd_accsryclr!$B$2:$B$1000=accsry_unmerged!J1760),dd_accsryclr!$A$2:$A$1000),"")</f>
        <v>0</v>
      </c>
      <c r="I1760" s="35">
        <f>_xlfn.XLOOKUP(C1760,'Project Details'!$C$17:$C$66,'Project Details'!$E$17:$E$66,"",0)</f>
        <v>0</v>
      </c>
      <c r="J1760" s="35">
        <f>_xlfn.XLOOKUP(C1760,'Project Details'!$C$17:$C$66,'Project Details'!$H$17:$H$66,"",0)</f>
        <v>0</v>
      </c>
      <c r="K1760" s="36" t="str">
        <f>IF(AND(_xlfn.XLOOKUP(C1760,'Project Details'!$C$17:$C$66,'Project Details'!$L$17:$L$66,"",0)&gt;550, F1760="Spring-L27cm"),"",SUBSTITUTE(_xlfn.XLOOKUP(G1760,SKUs!$C$2:$C$10001,SKUs!$F$2:$F$10001,"",0), " Accessories",""))</f>
        <v/>
      </c>
      <c r="L1760" s="36">
        <f>_xlfn.XLOOKUP(C1760,'Project Details'!$C$17:$C$66,'Project Details'!$D$17:$D$66,"",0)</f>
        <v>0</v>
      </c>
      <c r="M1760" s="43"/>
    </row>
    <row r="1761" spans="1:13" ht="13.5" customHeight="1" outlineLevel="1" x14ac:dyDescent="0.25">
      <c r="A1761" s="43"/>
      <c r="B1761" s="43"/>
      <c r="C1761" s="16">
        <f t="shared" si="33"/>
        <v>35</v>
      </c>
      <c r="D1761" s="16" t="str" cm="1">
        <f t="array" ref="D1761">IFERROR(ROUNDUP(_xlfn.IFS(F1761="Aluminum Track", _xlfn.XLOOKUP(C1761, dd_accsrycalc!$A$2:$A$51, dd_accsrycalc!$B$2:$B$51, "",0), F1761="10 x 2 1/2 S (Flat)", _xlfn.XLOOKUP(C1761, dd_accsrycalc!$A$2:$A$51, dd_accsrycalc!$C$2:$C$51, "",0), F1761="Tox6", _xlfn.XLOOKUP(C1761, dd_accsrycalc!$A$2:$A$51, dd_accsrycalc!$D$2:$D$51, "",0), F1761="Cover Cap", _xlfn.XLOOKUP(C1761, dd_accsrycalc!$A$2:$A$51, dd_accsrycalc!$E$2:$E$51, "",0), F1761="Drainage Cover", _xlfn.XLOOKUP(C1761, dd_accsrycalc!$A$2:$A$51, dd_accsrycalc!$F$2:$F$51, "",0),AND( F1761="Double Adhesive Tape", I1761="Roll-up Screen"), _xlfn.XLOOKUP(C1761, calc_rusacc!$C$15:$C$65, calc_rusacc!$AD$15:$AD$65, "",0),AND( F1761="Sealant", I1761="Roll-up Screen"), _xlfn.XLOOKUP(C1761, calc_rusacc!$C$15:$C$65, calc_rusacc!$AF$15:$AF$65, "",0),  AND( F1761="Main Chain", I1761="Accordion Screen"), _xlfn.XLOOKUP(C1761, calc_rusacc!$C$15:$C$65, calc_rusacc!$BF$15:$BF$65, "",0), AND( F1761="Sealant", I1761="Accordion Screen"), _xlfn.XLOOKUP(C1761, calc_rusacc!$C$15:$C$65, calc_rusacc!$BJ$15:$BJ$65, "",0),  F1761="Sealant", _xlfn.XLOOKUP(C1761, dd_accsrycalc!$A$2:$A$51, dd_accsrycalc!$G$2:$G$51, "",0),  F1761&lt;&gt;"",L1761*_xlfn.XLOOKUP(1, (SKUs!$C$2:$C$10001=G1761)*(SKUs!$K$2:$K$10001=I1761),SKUs!$E$2:$E$10001)), 0),"")</f>
        <v/>
      </c>
      <c r="E1761" s="16" t="str">
        <f>_xlfn.XLOOKUP(F1761,dd_item!$B$2:$B$105,dd_item!$C$2:$C$105,"",0)</f>
        <v/>
      </c>
      <c r="F1761" s="16"/>
      <c r="G1761" s="16" cm="1">
        <f t="array" ref="G1761">IFERROR(_xlfn.XLOOKUP(1, (SKUs!$J$2:$J$10001=accsry_unmerged!F1761)*IF(H1761&lt;&gt;"",(SKUs!$L$2:$L$10001=accsry_unmerged!H1761),1)*(SKUs!$K$2:$K$10001=I1761),SKUs!$C$2:$C$10001),"")</f>
        <v>0</v>
      </c>
      <c r="H1761" s="33" cm="1">
        <f t="array" ref="H1761">IFERROR(_xlfn.XLOOKUP(1, (dd_accsryclr!$C$2:$C$1000=accsry_unmerged!F1761)*(dd_accsryclr!$B$2:$B$1000=accsry_unmerged!J1761),dd_accsryclr!$A$2:$A$1000),"")</f>
        <v>0</v>
      </c>
      <c r="I1761" s="16">
        <f>_xlfn.XLOOKUP(C1761,'Project Details'!$C$17:$C$66,'Project Details'!$E$17:$E$66,"",0)</f>
        <v>0</v>
      </c>
      <c r="J1761" s="16">
        <f>_xlfn.XLOOKUP(C1761,'Project Details'!$C$17:$C$66,'Project Details'!$H$17:$H$66,"",0)</f>
        <v>0</v>
      </c>
      <c r="K1761" s="33" t="str">
        <f>IF(AND(_xlfn.XLOOKUP(C1761,'Project Details'!$C$17:$C$66,'Project Details'!$L$17:$L$66,"",0)&gt;550, F1761="Spring-L27cm"),"",SUBSTITUTE(_xlfn.XLOOKUP(G1761,SKUs!$C$2:$C$10001,SKUs!$F$2:$F$10001,"",0), " Accessories",""))</f>
        <v/>
      </c>
      <c r="L1761" s="33">
        <f>_xlfn.XLOOKUP(C1761,'Project Details'!$C$17:$C$66,'Project Details'!$D$17:$D$66,"",0)</f>
        <v>0</v>
      </c>
      <c r="M1761" s="43"/>
    </row>
    <row r="1762" spans="1:13" ht="13.5" customHeight="1" outlineLevel="1" x14ac:dyDescent="0.25">
      <c r="A1762" s="43"/>
      <c r="B1762" s="43"/>
      <c r="C1762" s="35">
        <f t="shared" si="33"/>
        <v>35</v>
      </c>
      <c r="D1762" s="35" t="str" cm="1">
        <f t="array" ref="D1762">IFERROR(ROUNDUP(_xlfn.IFS(F1762="Aluminum Track", _xlfn.XLOOKUP(C1762, dd_accsrycalc!$A$2:$A$51, dd_accsrycalc!$B$2:$B$51, "",0), F1762="10 x 2 1/2 S (Flat)", _xlfn.XLOOKUP(C1762, dd_accsrycalc!$A$2:$A$51, dd_accsrycalc!$C$2:$C$51, "",0), F1762="Tox6", _xlfn.XLOOKUP(C1762, dd_accsrycalc!$A$2:$A$51, dd_accsrycalc!$D$2:$D$51, "",0), F1762="Cover Cap", _xlfn.XLOOKUP(C1762, dd_accsrycalc!$A$2:$A$51, dd_accsrycalc!$E$2:$E$51, "",0), F1762="Drainage Cover", _xlfn.XLOOKUP(C1762, dd_accsrycalc!$A$2:$A$51, dd_accsrycalc!$F$2:$F$51, "",0),AND( F1762="Double Adhesive Tape", I1762="Roll-up Screen"), _xlfn.XLOOKUP(C1762, calc_rusacc!$C$15:$C$65, calc_rusacc!$AD$15:$AD$65, "",0),AND( F1762="Sealant", I1762="Roll-up Screen"), _xlfn.XLOOKUP(C1762, calc_rusacc!$C$15:$C$65, calc_rusacc!$AF$15:$AF$65, "",0),  AND( F1762="Main Chain", I1762="Accordion Screen"), _xlfn.XLOOKUP(C1762, calc_rusacc!$C$15:$C$65, calc_rusacc!$BF$15:$BF$65, "",0), AND( F1762="Sealant", I1762="Accordion Screen"), _xlfn.XLOOKUP(C1762, calc_rusacc!$C$15:$C$65, calc_rusacc!$BJ$15:$BJ$65, "",0),  F1762="Sealant", _xlfn.XLOOKUP(C1762, dd_accsrycalc!$A$2:$A$51, dd_accsrycalc!$G$2:$G$51, "",0),  F1762&lt;&gt;"",L1762*_xlfn.XLOOKUP(1, (SKUs!$C$2:$C$10001=G1762)*(SKUs!$K$2:$K$10001=I1762),SKUs!$E$2:$E$10001)), 0),"")</f>
        <v/>
      </c>
      <c r="E1762" s="35" t="str">
        <f>_xlfn.XLOOKUP(F1762,dd_item!$B$2:$B$105,dd_item!$C$2:$C$105,"",0)</f>
        <v/>
      </c>
      <c r="F1762" s="35"/>
      <c r="G1762" s="35" cm="1">
        <f t="array" ref="G1762">IFERROR(_xlfn.XLOOKUP(1, (SKUs!$J$2:$J$10001=accsry_unmerged!F1762)*IF(H1762&lt;&gt;"",(SKUs!$L$2:$L$10001=accsry_unmerged!H1762),1)*(SKUs!$K$2:$K$10001=I1762),SKUs!$C$2:$C$10001),"")</f>
        <v>0</v>
      </c>
      <c r="H1762" s="36" cm="1">
        <f t="array" ref="H1762">IFERROR(_xlfn.XLOOKUP(1, (dd_accsryclr!$C$2:$C$1000=accsry_unmerged!F1762)*(dd_accsryclr!$B$2:$B$1000=accsry_unmerged!J1762),dd_accsryclr!$A$2:$A$1000),"")</f>
        <v>0</v>
      </c>
      <c r="I1762" s="35">
        <f>_xlfn.XLOOKUP(C1762,'Project Details'!$C$17:$C$66,'Project Details'!$E$17:$E$66,"",0)</f>
        <v>0</v>
      </c>
      <c r="J1762" s="35">
        <f>_xlfn.XLOOKUP(C1762,'Project Details'!$C$17:$C$66,'Project Details'!$H$17:$H$66,"",0)</f>
        <v>0</v>
      </c>
      <c r="K1762" s="36" t="str">
        <f>IF(AND(_xlfn.XLOOKUP(C1762,'Project Details'!$C$17:$C$66,'Project Details'!$L$17:$L$66,"",0)&gt;550, F1762="Spring-L27cm"),"",SUBSTITUTE(_xlfn.XLOOKUP(G1762,SKUs!$C$2:$C$10001,SKUs!$F$2:$F$10001,"",0), " Accessories",""))</f>
        <v/>
      </c>
      <c r="L1762" s="36">
        <f>_xlfn.XLOOKUP(C1762,'Project Details'!$C$17:$C$66,'Project Details'!$D$17:$D$66,"",0)</f>
        <v>0</v>
      </c>
      <c r="M1762" s="43"/>
    </row>
    <row r="1763" spans="1:13" ht="13.5" customHeight="1" outlineLevel="1" x14ac:dyDescent="0.25">
      <c r="A1763" s="43"/>
      <c r="B1763" s="43"/>
      <c r="C1763" s="16">
        <f t="shared" si="33"/>
        <v>35</v>
      </c>
      <c r="D1763" s="16" t="str" cm="1">
        <f t="array" ref="D1763">IFERROR(ROUNDUP(_xlfn.IFS(F1763="Aluminum Track", _xlfn.XLOOKUP(C1763, dd_accsrycalc!$A$2:$A$51, dd_accsrycalc!$B$2:$B$51, "",0), F1763="10 x 2 1/2 S (Flat)", _xlfn.XLOOKUP(C1763, dd_accsrycalc!$A$2:$A$51, dd_accsrycalc!$C$2:$C$51, "",0), F1763="Tox6", _xlfn.XLOOKUP(C1763, dd_accsrycalc!$A$2:$A$51, dd_accsrycalc!$D$2:$D$51, "",0), F1763="Cover Cap", _xlfn.XLOOKUP(C1763, dd_accsrycalc!$A$2:$A$51, dd_accsrycalc!$E$2:$E$51, "",0), F1763="Drainage Cover", _xlfn.XLOOKUP(C1763, dd_accsrycalc!$A$2:$A$51, dd_accsrycalc!$F$2:$F$51, "",0),AND( F1763="Double Adhesive Tape", I1763="Roll-up Screen"), _xlfn.XLOOKUP(C1763, calc_rusacc!$C$15:$C$65, calc_rusacc!$AD$15:$AD$65, "",0),AND( F1763="Sealant", I1763="Roll-up Screen"), _xlfn.XLOOKUP(C1763, calc_rusacc!$C$15:$C$65, calc_rusacc!$AF$15:$AF$65, "",0),  AND( F1763="Main Chain", I1763="Accordion Screen"), _xlfn.XLOOKUP(C1763, calc_rusacc!$C$15:$C$65, calc_rusacc!$BF$15:$BF$65, "",0), AND( F1763="Sealant", I1763="Accordion Screen"), _xlfn.XLOOKUP(C1763, calc_rusacc!$C$15:$C$65, calc_rusacc!$BJ$15:$BJ$65, "",0),  F1763="Sealant", _xlfn.XLOOKUP(C1763, dd_accsrycalc!$A$2:$A$51, dd_accsrycalc!$G$2:$G$51, "",0),  F1763&lt;&gt;"",L1763*_xlfn.XLOOKUP(1, (SKUs!$C$2:$C$10001=G1763)*(SKUs!$K$2:$K$10001=I1763),SKUs!$E$2:$E$10001)), 0),"")</f>
        <v/>
      </c>
      <c r="E1763" s="16" t="str">
        <f>_xlfn.XLOOKUP(F1763,dd_item!$B$2:$B$105,dd_item!$C$2:$C$105,"",0)</f>
        <v/>
      </c>
      <c r="F1763" s="16"/>
      <c r="G1763" s="16" cm="1">
        <f t="array" ref="G1763">IFERROR(_xlfn.XLOOKUP(1, (SKUs!$J$2:$J$10001=accsry_unmerged!F1763)*IF(H1763&lt;&gt;"",(SKUs!$L$2:$L$10001=accsry_unmerged!H1763),1)*(SKUs!$K$2:$K$10001=I1763),SKUs!$C$2:$C$10001),"")</f>
        <v>0</v>
      </c>
      <c r="H1763" s="33" cm="1">
        <f t="array" ref="H1763">IFERROR(_xlfn.XLOOKUP(1, (dd_accsryclr!$C$2:$C$1000=accsry_unmerged!F1763)*(dd_accsryclr!$B$2:$B$1000=accsry_unmerged!J1763),dd_accsryclr!$A$2:$A$1000),"")</f>
        <v>0</v>
      </c>
      <c r="I1763" s="16">
        <f>_xlfn.XLOOKUP(C1763,'Project Details'!$C$17:$C$66,'Project Details'!$E$17:$E$66,"",0)</f>
        <v>0</v>
      </c>
      <c r="J1763" s="16">
        <f>_xlfn.XLOOKUP(C1763,'Project Details'!$C$17:$C$66,'Project Details'!$H$17:$H$66,"",0)</f>
        <v>0</v>
      </c>
      <c r="K1763" s="33" t="str">
        <f>IF(AND(_xlfn.XLOOKUP(C1763,'Project Details'!$C$17:$C$66,'Project Details'!$L$17:$L$66,"",0)&gt;550, F1763="Spring-L27cm"),"",SUBSTITUTE(_xlfn.XLOOKUP(G1763,SKUs!$C$2:$C$10001,SKUs!$F$2:$F$10001,"",0), " Accessories",""))</f>
        <v/>
      </c>
      <c r="L1763" s="33">
        <f>_xlfn.XLOOKUP(C1763,'Project Details'!$C$17:$C$66,'Project Details'!$D$17:$D$66,"",0)</f>
        <v>0</v>
      </c>
      <c r="M1763" s="43"/>
    </row>
    <row r="1764" spans="1:13" x14ac:dyDescent="0.25">
      <c r="A1764" s="43"/>
      <c r="B1764" s="43"/>
      <c r="C1764" s="43"/>
      <c r="D1764" s="43"/>
      <c r="E1764" s="43"/>
      <c r="F1764" s="43"/>
      <c r="G1764" s="43"/>
      <c r="H1764" s="43"/>
      <c r="I1764" s="43"/>
      <c r="J1764" s="43"/>
      <c r="K1764" s="43"/>
      <c r="L1764" s="43"/>
      <c r="M1764" s="43"/>
    </row>
    <row r="1765" spans="1:13" x14ac:dyDescent="0.25">
      <c r="A1765" s="43"/>
      <c r="B1765" s="43"/>
      <c r="C1765" s="16">
        <f>C1763+1</f>
        <v>36</v>
      </c>
      <c r="D1765" s="48" cm="1">
        <f t="array" ref="D1765">IFERROR(ROUNDUP(_xlfn.IFS(F1765="Aluminum Track", _xlfn.XLOOKUP(C1765, dd_accsrycalc!$A$2:$A$51, dd_accsrycalc!$B$2:$B$51, "",0), F1765="10 x 2 1/2 S (Flat)", _xlfn.XLOOKUP(C1765, dd_accsrycalc!$A$2:$A$51, dd_accsrycalc!$C$2:$C$51, "",0), F1765="Tox6", _xlfn.XLOOKUP(C1765, dd_accsrycalc!$A$2:$A$51, dd_accsrycalc!$D$2:$D$51, "",0), F1765="Cover Cap", _xlfn.XLOOKUP(C1765, dd_accsrycalc!$A$2:$A$51, dd_accsrycalc!$E$2:$E$51, "",0), F1765="Drainage Cover", _xlfn.XLOOKUP(C1765, dd_accsrycalc!$A$2:$A$51, dd_accsrycalc!$F$2:$F$51, "",0),AND( F1765="Double Adhesive Tape", I1765="Roll-up Screen"), _xlfn.XLOOKUP(C1765, calc_rusacc!$C$15:$C$65, calc_rusacc!$AD$15:$AD$65, "",0),AND( F1765="Sealant", I1765="Roll-up Screen"), _xlfn.XLOOKUP(C1765, calc_rusacc!$C$15:$C$65, calc_rusacc!$AF$15:$AF$65, "",0),  AND( F1765="Main Chain", I1765="Accordion Screen"), _xlfn.XLOOKUP(C1765, calc_rusacc!$C$15:$C$65, calc_rusacc!$BF$15:$BF$65, "",0), AND( F1765="Sealant", I1765="Accordion Screen"), _xlfn.XLOOKUP(C1765, calc_rusacc!$C$15:$C$65, calc_rusacc!$BJ$15:$BJ$65, "",0),  F1765="Sealant", _xlfn.XLOOKUP(C1765, dd_accsrycalc!$A$2:$A$51, dd_accsrycalc!$G$2:$G$51, "",0),  F1765&lt;&gt;"",L1765*_xlfn.XLOOKUP(1, (SKUs!$C$2:$C$10001=G1765)*(SKUs!$K$2:$K$10001=I1765),SKUs!$E$2:$E$10001)), 0),"")</f>
        <v>0</v>
      </c>
      <c r="E1765" s="48" t="str">
        <f>_xlfn.XLOOKUP(F1765,dd_item!$B$2:$B$105,dd_item!$C$2:$C$105,"",0)</f>
        <v/>
      </c>
      <c r="F1765" s="48" cm="1">
        <f t="array" ref="F1765">IFERROR(_xlfn.UNIQUE(_xlfn._xlws.FILTER(SKUs!$J$2:$J$10001, (SKUs!$F$2:$F$10001&lt;&gt;"Cutting List") * (SKUs!$A$2:$A$10001=_xlfn.XLOOKUP(_xlfn.XLOOKUP(C1765,'Project Details'!$C$17:$C$66,'Project Details'!$E$17:$E$66,"",0), dd_design_raw!$A$2:$A$101,dd_design_raw!$C$2:$C$101,"",0)))), "")</f>
        <v>0</v>
      </c>
      <c r="G1765" s="16" cm="1">
        <f t="array" ref="G1765">IFERROR(_xlfn.XLOOKUP(1, (SKUs!$J$2:$J$10001=accsry_unmerged!F1765)*IF(H1765&lt;&gt;"",(SKUs!$L$2:$L$10001=accsry_unmerged!H1765),1)*(SKUs!$K$2:$K$10001=I1765),SKUs!$C$2:$C$10001),"")</f>
        <v>0</v>
      </c>
      <c r="H1765" s="16" cm="1">
        <f t="array" ref="H1765">IFERROR(_xlfn.XLOOKUP(1, (dd_accsryclr!$C$2:$C$1000=accsry_unmerged!F1765)*(dd_accsryclr!$B$2:$B$1000=accsry_unmerged!J1765),dd_accsryclr!$A$2:$A$1000),"")</f>
        <v>0</v>
      </c>
      <c r="I1765" s="16">
        <f>_xlfn.XLOOKUP(C1765,'Project Details'!$C$17:$C$66,'Project Details'!$E$17:$E$66,"",0)</f>
        <v>0</v>
      </c>
      <c r="J1765" s="16">
        <f>_xlfn.XLOOKUP(C1765,'Project Details'!$C$17:$C$66,'Project Details'!$H$17:$H$66,"",0)</f>
        <v>0</v>
      </c>
      <c r="K1765" s="16" t="str">
        <f>IF(AND(_xlfn.XLOOKUP(C1765,'Project Details'!$C$17:$C$66,'Project Details'!$L$17:$L$66,"",0)&gt;550, F1765="Spring-L27cm"),"",SUBSTITUTE(_xlfn.XLOOKUP(G1765,SKUs!$C$2:$C$10001,SKUs!$F$2:$F$10001,"",0), " Accessories",""))</f>
        <v/>
      </c>
      <c r="L1765" s="16">
        <f>_xlfn.XLOOKUP(C1765,'Project Details'!$C$17:$C$66,'Project Details'!$D$17:$D$66,"",0)</f>
        <v>0</v>
      </c>
      <c r="M1765" s="43"/>
    </row>
    <row r="1766" spans="1:13" x14ac:dyDescent="0.25">
      <c r="A1766" s="43"/>
      <c r="B1766" s="43"/>
      <c r="C1766" s="35">
        <f>C1765</f>
        <v>36</v>
      </c>
      <c r="D1766" s="35" t="str" cm="1">
        <f t="array" ref="D1766">IFERROR(ROUNDUP(_xlfn.IFS(F1766="Aluminum Track", _xlfn.XLOOKUP(C1766, dd_accsrycalc!$A$2:$A$51, dd_accsrycalc!$B$2:$B$51, "",0), F1766="10 x 2 1/2 S (Flat)", _xlfn.XLOOKUP(C1766, dd_accsrycalc!$A$2:$A$51, dd_accsrycalc!$C$2:$C$51, "",0), F1766="Tox6", _xlfn.XLOOKUP(C1766, dd_accsrycalc!$A$2:$A$51, dd_accsrycalc!$D$2:$D$51, "",0), F1766="Cover Cap", _xlfn.XLOOKUP(C1766, dd_accsrycalc!$A$2:$A$51, dd_accsrycalc!$E$2:$E$51, "",0), F1766="Drainage Cover", _xlfn.XLOOKUP(C1766, dd_accsrycalc!$A$2:$A$51, dd_accsrycalc!$F$2:$F$51, "",0),AND( F1766="Double Adhesive Tape", I1766="Roll-up Screen"), _xlfn.XLOOKUP(C1766, calc_rusacc!$C$15:$C$65, calc_rusacc!$AD$15:$AD$65, "",0),AND( F1766="Sealant", I1766="Roll-up Screen"), _xlfn.XLOOKUP(C1766, calc_rusacc!$C$15:$C$65, calc_rusacc!$AF$15:$AF$65, "",0),  AND( F1766="Main Chain", I1766="Accordion Screen"), _xlfn.XLOOKUP(C1766, calc_rusacc!$C$15:$C$65, calc_rusacc!$BF$15:$BF$65, "",0), AND( F1766="Sealant", I1766="Accordion Screen"), _xlfn.XLOOKUP(C1766, calc_rusacc!$C$15:$C$65, calc_rusacc!$BJ$15:$BJ$65, "",0),  F1766="Sealant", _xlfn.XLOOKUP(C1766, dd_accsrycalc!$A$2:$A$51, dd_accsrycalc!$G$2:$G$51, "",0),  F1766&lt;&gt;"",L1766*_xlfn.XLOOKUP(1, (SKUs!$C$2:$C$10001=G1766)*(SKUs!$K$2:$K$10001=I1766),SKUs!$E$2:$E$10001)), 0),"")</f>
        <v/>
      </c>
      <c r="E1766" s="35" t="str">
        <f>_xlfn.XLOOKUP(F1766,dd_item!$B$2:$B$105,dd_item!$C$2:$C$105,"",0)</f>
        <v/>
      </c>
      <c r="F1766" s="35"/>
      <c r="G1766" s="35" cm="1">
        <f t="array" ref="G1766">IFERROR(_xlfn.XLOOKUP(1, (SKUs!$J$2:$J$10001=accsry_unmerged!F1766)*IF(H1766&lt;&gt;"",(SKUs!$L$2:$L$10001=accsry_unmerged!H1766),1)*(SKUs!$K$2:$K$10001=I1766),SKUs!$C$2:$C$10001),"")</f>
        <v>0</v>
      </c>
      <c r="H1766" s="36" cm="1">
        <f t="array" ref="H1766">IFERROR(_xlfn.XLOOKUP(1, (dd_accsryclr!$C$2:$C$1000=accsry_unmerged!F1766)*(dd_accsryclr!$B$2:$B$1000=accsry_unmerged!J1766),dd_accsryclr!$A$2:$A$1000),"")</f>
        <v>0</v>
      </c>
      <c r="I1766" s="35">
        <f>_xlfn.XLOOKUP(C1766,'Project Details'!$C$17:$C$66,'Project Details'!$E$17:$E$66,"",0)</f>
        <v>0</v>
      </c>
      <c r="J1766" s="35">
        <f>_xlfn.XLOOKUP(C1766,'Project Details'!$C$17:$C$66,'Project Details'!$H$17:$H$66,"",0)</f>
        <v>0</v>
      </c>
      <c r="K1766" s="36" t="str">
        <f>IF(AND(_xlfn.XLOOKUP(C1766,'Project Details'!$C$17:$C$66,'Project Details'!$L$17:$L$66,"",0)&gt;550, F1766="Spring-L27cm"),"",SUBSTITUTE(_xlfn.XLOOKUP(G1766,SKUs!$C$2:$C$10001,SKUs!$F$2:$F$10001,"",0), " Accessories",""))</f>
        <v/>
      </c>
      <c r="L1766" s="36">
        <f>_xlfn.XLOOKUP(C1766,'Project Details'!$C$17:$C$66,'Project Details'!$D$17:$D$66,"",0)</f>
        <v>0</v>
      </c>
      <c r="M1766" s="43"/>
    </row>
    <row r="1767" spans="1:13" x14ac:dyDescent="0.25">
      <c r="A1767" s="43"/>
      <c r="B1767" s="43"/>
      <c r="C1767" s="16">
        <f t="shared" ref="C1767:C1813" si="34">C1766</f>
        <v>36</v>
      </c>
      <c r="D1767" s="16" t="str" cm="1">
        <f t="array" ref="D1767">IFERROR(ROUNDUP(_xlfn.IFS(F1767="Aluminum Track", _xlfn.XLOOKUP(C1767, dd_accsrycalc!$A$2:$A$51, dd_accsrycalc!$B$2:$B$51, "",0), F1767="10 x 2 1/2 S (Flat)", _xlfn.XLOOKUP(C1767, dd_accsrycalc!$A$2:$A$51, dd_accsrycalc!$C$2:$C$51, "",0), F1767="Tox6", _xlfn.XLOOKUP(C1767, dd_accsrycalc!$A$2:$A$51, dd_accsrycalc!$D$2:$D$51, "",0), F1767="Cover Cap", _xlfn.XLOOKUP(C1767, dd_accsrycalc!$A$2:$A$51, dd_accsrycalc!$E$2:$E$51, "",0), F1767="Drainage Cover", _xlfn.XLOOKUP(C1767, dd_accsrycalc!$A$2:$A$51, dd_accsrycalc!$F$2:$F$51, "",0),AND( F1767="Double Adhesive Tape", I1767="Roll-up Screen"), _xlfn.XLOOKUP(C1767, calc_rusacc!$C$15:$C$65, calc_rusacc!$AD$15:$AD$65, "",0),AND( F1767="Sealant", I1767="Roll-up Screen"), _xlfn.XLOOKUP(C1767, calc_rusacc!$C$15:$C$65, calc_rusacc!$AF$15:$AF$65, "",0),  AND( F1767="Main Chain", I1767="Accordion Screen"), _xlfn.XLOOKUP(C1767, calc_rusacc!$C$15:$C$65, calc_rusacc!$BF$15:$BF$65, "",0), AND( F1767="Sealant", I1767="Accordion Screen"), _xlfn.XLOOKUP(C1767, calc_rusacc!$C$15:$C$65, calc_rusacc!$BJ$15:$BJ$65, "",0),  F1767="Sealant", _xlfn.XLOOKUP(C1767, dd_accsrycalc!$A$2:$A$51, dd_accsrycalc!$G$2:$G$51, "",0),  F1767&lt;&gt;"",L1767*_xlfn.XLOOKUP(1, (SKUs!$C$2:$C$10001=G1767)*(SKUs!$K$2:$K$10001=I1767),SKUs!$E$2:$E$10001)), 0),"")</f>
        <v/>
      </c>
      <c r="E1767" s="16" t="str">
        <f>_xlfn.XLOOKUP(F1767,dd_item!$B$2:$B$105,dd_item!$C$2:$C$105,"",0)</f>
        <v/>
      </c>
      <c r="F1767" s="16"/>
      <c r="G1767" s="16" cm="1">
        <f t="array" ref="G1767">IFERROR(_xlfn.XLOOKUP(1, (SKUs!$J$2:$J$10001=accsry_unmerged!F1767)*IF(H1767&lt;&gt;"",(SKUs!$L$2:$L$10001=accsry_unmerged!H1767),1)*(SKUs!$K$2:$K$10001=I1767),SKUs!$C$2:$C$10001),"")</f>
        <v>0</v>
      </c>
      <c r="H1767" s="33" cm="1">
        <f t="array" ref="H1767">IFERROR(_xlfn.XLOOKUP(1, (dd_accsryclr!$C$2:$C$1000=accsry_unmerged!F1767)*(dd_accsryclr!$B$2:$B$1000=accsry_unmerged!J1767),dd_accsryclr!$A$2:$A$1000),"")</f>
        <v>0</v>
      </c>
      <c r="I1767" s="16">
        <f>_xlfn.XLOOKUP(C1767,'Project Details'!$C$17:$C$66,'Project Details'!$E$17:$E$66,"",0)</f>
        <v>0</v>
      </c>
      <c r="J1767" s="16">
        <f>_xlfn.XLOOKUP(C1767,'Project Details'!$C$17:$C$66,'Project Details'!$H$17:$H$66,"",0)</f>
        <v>0</v>
      </c>
      <c r="K1767" s="33" t="str">
        <f>IF(AND(_xlfn.XLOOKUP(C1767,'Project Details'!$C$17:$C$66,'Project Details'!$L$17:$L$66,"",0)&gt;550, F1767="Spring-L27cm"),"",SUBSTITUTE(_xlfn.XLOOKUP(G1767,SKUs!$C$2:$C$10001,SKUs!$F$2:$F$10001,"",0), " Accessories",""))</f>
        <v/>
      </c>
      <c r="L1767" s="33">
        <f>_xlfn.XLOOKUP(C1767,'Project Details'!$C$17:$C$66,'Project Details'!$D$17:$D$66,"",0)</f>
        <v>0</v>
      </c>
      <c r="M1767" s="43"/>
    </row>
    <row r="1768" spans="1:13" x14ac:dyDescent="0.25">
      <c r="A1768" s="43"/>
      <c r="B1768" s="43"/>
      <c r="C1768" s="35">
        <f t="shared" si="34"/>
        <v>36</v>
      </c>
      <c r="D1768" s="35" t="str" cm="1">
        <f t="array" ref="D1768">IFERROR(ROUNDUP(_xlfn.IFS(F1768="Aluminum Track", _xlfn.XLOOKUP(C1768, dd_accsrycalc!$A$2:$A$51, dd_accsrycalc!$B$2:$B$51, "",0), F1768="10 x 2 1/2 S (Flat)", _xlfn.XLOOKUP(C1768, dd_accsrycalc!$A$2:$A$51, dd_accsrycalc!$C$2:$C$51, "",0), F1768="Tox6", _xlfn.XLOOKUP(C1768, dd_accsrycalc!$A$2:$A$51, dd_accsrycalc!$D$2:$D$51, "",0), F1768="Cover Cap", _xlfn.XLOOKUP(C1768, dd_accsrycalc!$A$2:$A$51, dd_accsrycalc!$E$2:$E$51, "",0), F1768="Drainage Cover", _xlfn.XLOOKUP(C1768, dd_accsrycalc!$A$2:$A$51, dd_accsrycalc!$F$2:$F$51, "",0),AND( F1768="Double Adhesive Tape", I1768="Roll-up Screen"), _xlfn.XLOOKUP(C1768, calc_rusacc!$C$15:$C$65, calc_rusacc!$AD$15:$AD$65, "",0),AND( F1768="Sealant", I1768="Roll-up Screen"), _xlfn.XLOOKUP(C1768, calc_rusacc!$C$15:$C$65, calc_rusacc!$AF$15:$AF$65, "",0),  AND( F1768="Main Chain", I1768="Accordion Screen"), _xlfn.XLOOKUP(C1768, calc_rusacc!$C$15:$C$65, calc_rusacc!$BF$15:$BF$65, "",0), AND( F1768="Sealant", I1768="Accordion Screen"), _xlfn.XLOOKUP(C1768, calc_rusacc!$C$15:$C$65, calc_rusacc!$BJ$15:$BJ$65, "",0),  F1768="Sealant", _xlfn.XLOOKUP(C1768, dd_accsrycalc!$A$2:$A$51, dd_accsrycalc!$G$2:$G$51, "",0),  F1768&lt;&gt;"",L1768*_xlfn.XLOOKUP(1, (SKUs!$C$2:$C$10001=G1768)*(SKUs!$K$2:$K$10001=I1768),SKUs!$E$2:$E$10001)), 0),"")</f>
        <v/>
      </c>
      <c r="E1768" s="35" t="str">
        <f>_xlfn.XLOOKUP(F1768,dd_item!$B$2:$B$105,dd_item!$C$2:$C$105,"",0)</f>
        <v/>
      </c>
      <c r="F1768" s="35"/>
      <c r="G1768" s="35" cm="1">
        <f t="array" ref="G1768">IFERROR(_xlfn.XLOOKUP(1, (SKUs!$J$2:$J$10001=accsry_unmerged!F1768)*IF(H1768&lt;&gt;"",(SKUs!$L$2:$L$10001=accsry_unmerged!H1768),1)*(SKUs!$K$2:$K$10001=I1768),SKUs!$C$2:$C$10001),"")</f>
        <v>0</v>
      </c>
      <c r="H1768" s="36" cm="1">
        <f t="array" ref="H1768">IFERROR(_xlfn.XLOOKUP(1, (dd_accsryclr!$C$2:$C$1000=accsry_unmerged!F1768)*(dd_accsryclr!$B$2:$B$1000=accsry_unmerged!J1768),dd_accsryclr!$A$2:$A$1000),"")</f>
        <v>0</v>
      </c>
      <c r="I1768" s="35">
        <f>_xlfn.XLOOKUP(C1768,'Project Details'!$C$17:$C$66,'Project Details'!$E$17:$E$66,"",0)</f>
        <v>0</v>
      </c>
      <c r="J1768" s="35">
        <f>_xlfn.XLOOKUP(C1768,'Project Details'!$C$17:$C$66,'Project Details'!$H$17:$H$66,"",0)</f>
        <v>0</v>
      </c>
      <c r="K1768" s="36" t="str">
        <f>IF(AND(_xlfn.XLOOKUP(C1768,'Project Details'!$C$17:$C$66,'Project Details'!$L$17:$L$66,"",0)&gt;550, F1768="Spring-L27cm"),"",SUBSTITUTE(_xlfn.XLOOKUP(G1768,SKUs!$C$2:$C$10001,SKUs!$F$2:$F$10001,"",0), " Accessories",""))</f>
        <v/>
      </c>
      <c r="L1768" s="36">
        <f>_xlfn.XLOOKUP(C1768,'Project Details'!$C$17:$C$66,'Project Details'!$D$17:$D$66,"",0)</f>
        <v>0</v>
      </c>
      <c r="M1768" s="43"/>
    </row>
    <row r="1769" spans="1:13" x14ac:dyDescent="0.25">
      <c r="A1769" s="43"/>
      <c r="B1769" s="43"/>
      <c r="C1769" s="16">
        <f t="shared" si="34"/>
        <v>36</v>
      </c>
      <c r="D1769" s="16" t="str" cm="1">
        <f t="array" ref="D1769">IFERROR(ROUNDUP(_xlfn.IFS(F1769="Aluminum Track", _xlfn.XLOOKUP(C1769, dd_accsrycalc!$A$2:$A$51, dd_accsrycalc!$B$2:$B$51, "",0), F1769="10 x 2 1/2 S (Flat)", _xlfn.XLOOKUP(C1769, dd_accsrycalc!$A$2:$A$51, dd_accsrycalc!$C$2:$C$51, "",0), F1769="Tox6", _xlfn.XLOOKUP(C1769, dd_accsrycalc!$A$2:$A$51, dd_accsrycalc!$D$2:$D$51, "",0), F1769="Cover Cap", _xlfn.XLOOKUP(C1769, dd_accsrycalc!$A$2:$A$51, dd_accsrycalc!$E$2:$E$51, "",0), F1769="Drainage Cover", _xlfn.XLOOKUP(C1769, dd_accsrycalc!$A$2:$A$51, dd_accsrycalc!$F$2:$F$51, "",0),AND( F1769="Double Adhesive Tape", I1769="Roll-up Screen"), _xlfn.XLOOKUP(C1769, calc_rusacc!$C$15:$C$65, calc_rusacc!$AD$15:$AD$65, "",0),AND( F1769="Sealant", I1769="Roll-up Screen"), _xlfn.XLOOKUP(C1769, calc_rusacc!$C$15:$C$65, calc_rusacc!$AF$15:$AF$65, "",0),  AND( F1769="Main Chain", I1769="Accordion Screen"), _xlfn.XLOOKUP(C1769, calc_rusacc!$C$15:$C$65, calc_rusacc!$BF$15:$BF$65, "",0), AND( F1769="Sealant", I1769="Accordion Screen"), _xlfn.XLOOKUP(C1769, calc_rusacc!$C$15:$C$65, calc_rusacc!$BJ$15:$BJ$65, "",0),  F1769="Sealant", _xlfn.XLOOKUP(C1769, dd_accsrycalc!$A$2:$A$51, dd_accsrycalc!$G$2:$G$51, "",0),  F1769&lt;&gt;"",L1769*_xlfn.XLOOKUP(1, (SKUs!$C$2:$C$10001=G1769)*(SKUs!$K$2:$K$10001=I1769),SKUs!$E$2:$E$10001)), 0),"")</f>
        <v/>
      </c>
      <c r="E1769" s="16" t="str">
        <f>_xlfn.XLOOKUP(F1769,dd_item!$B$2:$B$105,dd_item!$C$2:$C$105,"",0)</f>
        <v/>
      </c>
      <c r="F1769" s="16"/>
      <c r="G1769" s="16" cm="1">
        <f t="array" ref="G1769">IFERROR(_xlfn.XLOOKUP(1, (SKUs!$J$2:$J$10001=accsry_unmerged!F1769)*IF(H1769&lt;&gt;"",(SKUs!$L$2:$L$10001=accsry_unmerged!H1769),1)*(SKUs!$K$2:$K$10001=I1769),SKUs!$C$2:$C$10001),"")</f>
        <v>0</v>
      </c>
      <c r="H1769" s="33" cm="1">
        <f t="array" ref="H1769">IFERROR(_xlfn.XLOOKUP(1, (dd_accsryclr!$C$2:$C$1000=accsry_unmerged!F1769)*(dd_accsryclr!$B$2:$B$1000=accsry_unmerged!J1769),dd_accsryclr!$A$2:$A$1000),"")</f>
        <v>0</v>
      </c>
      <c r="I1769" s="16">
        <f>_xlfn.XLOOKUP(C1769,'Project Details'!$C$17:$C$66,'Project Details'!$E$17:$E$66,"",0)</f>
        <v>0</v>
      </c>
      <c r="J1769" s="16">
        <f>_xlfn.XLOOKUP(C1769,'Project Details'!$C$17:$C$66,'Project Details'!$H$17:$H$66,"",0)</f>
        <v>0</v>
      </c>
      <c r="K1769" s="33" t="str">
        <f>IF(AND(_xlfn.XLOOKUP(C1769,'Project Details'!$C$17:$C$66,'Project Details'!$L$17:$L$66,"",0)&gt;550, F1769="Spring-L27cm"),"",SUBSTITUTE(_xlfn.XLOOKUP(G1769,SKUs!$C$2:$C$10001,SKUs!$F$2:$F$10001,"",0), " Accessories",""))</f>
        <v/>
      </c>
      <c r="L1769" s="33">
        <f>_xlfn.XLOOKUP(C1769,'Project Details'!$C$17:$C$66,'Project Details'!$D$17:$D$66,"",0)</f>
        <v>0</v>
      </c>
      <c r="M1769" s="43"/>
    </row>
    <row r="1770" spans="1:13" x14ac:dyDescent="0.25">
      <c r="A1770" s="43"/>
      <c r="B1770" s="43"/>
      <c r="C1770" s="35">
        <f t="shared" si="34"/>
        <v>36</v>
      </c>
      <c r="D1770" s="35" t="str" cm="1">
        <f t="array" ref="D1770">IFERROR(ROUNDUP(_xlfn.IFS(F1770="Aluminum Track", _xlfn.XLOOKUP(C1770, dd_accsrycalc!$A$2:$A$51, dd_accsrycalc!$B$2:$B$51, "",0), F1770="10 x 2 1/2 S (Flat)", _xlfn.XLOOKUP(C1770, dd_accsrycalc!$A$2:$A$51, dd_accsrycalc!$C$2:$C$51, "",0), F1770="Tox6", _xlfn.XLOOKUP(C1770, dd_accsrycalc!$A$2:$A$51, dd_accsrycalc!$D$2:$D$51, "",0), F1770="Cover Cap", _xlfn.XLOOKUP(C1770, dd_accsrycalc!$A$2:$A$51, dd_accsrycalc!$E$2:$E$51, "",0), F1770="Drainage Cover", _xlfn.XLOOKUP(C1770, dd_accsrycalc!$A$2:$A$51, dd_accsrycalc!$F$2:$F$51, "",0),AND( F1770="Double Adhesive Tape", I1770="Roll-up Screen"), _xlfn.XLOOKUP(C1770, calc_rusacc!$C$15:$C$65, calc_rusacc!$AD$15:$AD$65, "",0),AND( F1770="Sealant", I1770="Roll-up Screen"), _xlfn.XLOOKUP(C1770, calc_rusacc!$C$15:$C$65, calc_rusacc!$AF$15:$AF$65, "",0),  AND( F1770="Main Chain", I1770="Accordion Screen"), _xlfn.XLOOKUP(C1770, calc_rusacc!$C$15:$C$65, calc_rusacc!$BF$15:$BF$65, "",0), AND( F1770="Sealant", I1770="Accordion Screen"), _xlfn.XLOOKUP(C1770, calc_rusacc!$C$15:$C$65, calc_rusacc!$BJ$15:$BJ$65, "",0),  F1770="Sealant", _xlfn.XLOOKUP(C1770, dd_accsrycalc!$A$2:$A$51, dd_accsrycalc!$G$2:$G$51, "",0),  F1770&lt;&gt;"",L1770*_xlfn.XLOOKUP(1, (SKUs!$C$2:$C$10001=G1770)*(SKUs!$K$2:$K$10001=I1770),SKUs!$E$2:$E$10001)), 0),"")</f>
        <v/>
      </c>
      <c r="E1770" s="35" t="str">
        <f>_xlfn.XLOOKUP(F1770,dd_item!$B$2:$B$105,dd_item!$C$2:$C$105,"",0)</f>
        <v/>
      </c>
      <c r="F1770" s="35"/>
      <c r="G1770" s="35" cm="1">
        <f t="array" ref="G1770">IFERROR(_xlfn.XLOOKUP(1, (SKUs!$J$2:$J$10001=accsry_unmerged!F1770)*IF(H1770&lt;&gt;"",(SKUs!$L$2:$L$10001=accsry_unmerged!H1770),1)*(SKUs!$K$2:$K$10001=I1770),SKUs!$C$2:$C$10001),"")</f>
        <v>0</v>
      </c>
      <c r="H1770" s="36" cm="1">
        <f t="array" ref="H1770">IFERROR(_xlfn.XLOOKUP(1, (dd_accsryclr!$C$2:$C$1000=accsry_unmerged!F1770)*(dd_accsryclr!$B$2:$B$1000=accsry_unmerged!J1770),dd_accsryclr!$A$2:$A$1000),"")</f>
        <v>0</v>
      </c>
      <c r="I1770" s="35">
        <f>_xlfn.XLOOKUP(C1770,'Project Details'!$C$17:$C$66,'Project Details'!$E$17:$E$66,"",0)</f>
        <v>0</v>
      </c>
      <c r="J1770" s="35">
        <f>_xlfn.XLOOKUP(C1770,'Project Details'!$C$17:$C$66,'Project Details'!$H$17:$H$66,"",0)</f>
        <v>0</v>
      </c>
      <c r="K1770" s="36" t="str">
        <f>IF(AND(_xlfn.XLOOKUP(C1770,'Project Details'!$C$17:$C$66,'Project Details'!$L$17:$L$66,"",0)&gt;550, F1770="Spring-L27cm"),"",SUBSTITUTE(_xlfn.XLOOKUP(G1770,SKUs!$C$2:$C$10001,SKUs!$F$2:$F$10001,"",0), " Accessories",""))</f>
        <v/>
      </c>
      <c r="L1770" s="36">
        <f>_xlfn.XLOOKUP(C1770,'Project Details'!$C$17:$C$66,'Project Details'!$D$17:$D$66,"",0)</f>
        <v>0</v>
      </c>
      <c r="M1770" s="43"/>
    </row>
    <row r="1771" spans="1:13" x14ac:dyDescent="0.25">
      <c r="A1771" s="43"/>
      <c r="B1771" s="43"/>
      <c r="C1771" s="16">
        <f t="shared" si="34"/>
        <v>36</v>
      </c>
      <c r="D1771" s="16" t="str" cm="1">
        <f t="array" ref="D1771">IFERROR(ROUNDUP(_xlfn.IFS(F1771="Aluminum Track", _xlfn.XLOOKUP(C1771, dd_accsrycalc!$A$2:$A$51, dd_accsrycalc!$B$2:$B$51, "",0), F1771="10 x 2 1/2 S (Flat)", _xlfn.XLOOKUP(C1771, dd_accsrycalc!$A$2:$A$51, dd_accsrycalc!$C$2:$C$51, "",0), F1771="Tox6", _xlfn.XLOOKUP(C1771, dd_accsrycalc!$A$2:$A$51, dd_accsrycalc!$D$2:$D$51, "",0), F1771="Cover Cap", _xlfn.XLOOKUP(C1771, dd_accsrycalc!$A$2:$A$51, dd_accsrycalc!$E$2:$E$51, "",0), F1771="Drainage Cover", _xlfn.XLOOKUP(C1771, dd_accsrycalc!$A$2:$A$51, dd_accsrycalc!$F$2:$F$51, "",0),AND( F1771="Double Adhesive Tape", I1771="Roll-up Screen"), _xlfn.XLOOKUP(C1771, calc_rusacc!$C$15:$C$65, calc_rusacc!$AD$15:$AD$65, "",0),AND( F1771="Sealant", I1771="Roll-up Screen"), _xlfn.XLOOKUP(C1771, calc_rusacc!$C$15:$C$65, calc_rusacc!$AF$15:$AF$65, "",0),  AND( F1771="Main Chain", I1771="Accordion Screen"), _xlfn.XLOOKUP(C1771, calc_rusacc!$C$15:$C$65, calc_rusacc!$BF$15:$BF$65, "",0), AND( F1771="Sealant", I1771="Accordion Screen"), _xlfn.XLOOKUP(C1771, calc_rusacc!$C$15:$C$65, calc_rusacc!$BJ$15:$BJ$65, "",0),  F1771="Sealant", _xlfn.XLOOKUP(C1771, dd_accsrycalc!$A$2:$A$51, dd_accsrycalc!$G$2:$G$51, "",0),  F1771&lt;&gt;"",L1771*_xlfn.XLOOKUP(1, (SKUs!$C$2:$C$10001=G1771)*(SKUs!$K$2:$K$10001=I1771),SKUs!$E$2:$E$10001)), 0),"")</f>
        <v/>
      </c>
      <c r="E1771" s="16" t="str">
        <f>_xlfn.XLOOKUP(F1771,dd_item!$B$2:$B$105,dd_item!$C$2:$C$105,"",0)</f>
        <v/>
      </c>
      <c r="F1771" s="16"/>
      <c r="G1771" s="16" cm="1">
        <f t="array" ref="G1771">IFERROR(_xlfn.XLOOKUP(1, (SKUs!$J$2:$J$10001=accsry_unmerged!F1771)*IF(H1771&lt;&gt;"",(SKUs!$L$2:$L$10001=accsry_unmerged!H1771),1)*(SKUs!$K$2:$K$10001=I1771),SKUs!$C$2:$C$10001),"")</f>
        <v>0</v>
      </c>
      <c r="H1771" s="33" cm="1">
        <f t="array" ref="H1771">IFERROR(_xlfn.XLOOKUP(1, (dd_accsryclr!$C$2:$C$1000=accsry_unmerged!F1771)*(dd_accsryclr!$B$2:$B$1000=accsry_unmerged!J1771),dd_accsryclr!$A$2:$A$1000),"")</f>
        <v>0</v>
      </c>
      <c r="I1771" s="16">
        <f>_xlfn.XLOOKUP(C1771,'Project Details'!$C$17:$C$66,'Project Details'!$E$17:$E$66,"",0)</f>
        <v>0</v>
      </c>
      <c r="J1771" s="16">
        <f>_xlfn.XLOOKUP(C1771,'Project Details'!$C$17:$C$66,'Project Details'!$H$17:$H$66,"",0)</f>
        <v>0</v>
      </c>
      <c r="K1771" s="33" t="str">
        <f>IF(AND(_xlfn.XLOOKUP(C1771,'Project Details'!$C$17:$C$66,'Project Details'!$L$17:$L$66,"",0)&gt;550, F1771="Spring-L27cm"),"",SUBSTITUTE(_xlfn.XLOOKUP(G1771,SKUs!$C$2:$C$10001,SKUs!$F$2:$F$10001,"",0), " Accessories",""))</f>
        <v/>
      </c>
      <c r="L1771" s="33">
        <f>_xlfn.XLOOKUP(C1771,'Project Details'!$C$17:$C$66,'Project Details'!$D$17:$D$66,"",0)</f>
        <v>0</v>
      </c>
      <c r="M1771" s="43"/>
    </row>
    <row r="1772" spans="1:13" x14ac:dyDescent="0.25">
      <c r="A1772" s="43"/>
      <c r="B1772" s="43"/>
      <c r="C1772" s="35">
        <f t="shared" si="34"/>
        <v>36</v>
      </c>
      <c r="D1772" s="35" t="str" cm="1">
        <f t="array" ref="D1772">IFERROR(ROUNDUP(_xlfn.IFS(F1772="Aluminum Track", _xlfn.XLOOKUP(C1772, dd_accsrycalc!$A$2:$A$51, dd_accsrycalc!$B$2:$B$51, "",0), F1772="10 x 2 1/2 S (Flat)", _xlfn.XLOOKUP(C1772, dd_accsrycalc!$A$2:$A$51, dd_accsrycalc!$C$2:$C$51, "",0), F1772="Tox6", _xlfn.XLOOKUP(C1772, dd_accsrycalc!$A$2:$A$51, dd_accsrycalc!$D$2:$D$51, "",0), F1772="Cover Cap", _xlfn.XLOOKUP(C1772, dd_accsrycalc!$A$2:$A$51, dd_accsrycalc!$E$2:$E$51, "",0), F1772="Drainage Cover", _xlfn.XLOOKUP(C1772, dd_accsrycalc!$A$2:$A$51, dd_accsrycalc!$F$2:$F$51, "",0),AND( F1772="Double Adhesive Tape", I1772="Roll-up Screen"), _xlfn.XLOOKUP(C1772, calc_rusacc!$C$15:$C$65, calc_rusacc!$AD$15:$AD$65, "",0),AND( F1772="Sealant", I1772="Roll-up Screen"), _xlfn.XLOOKUP(C1772, calc_rusacc!$C$15:$C$65, calc_rusacc!$AF$15:$AF$65, "",0),  AND( F1772="Main Chain", I1772="Accordion Screen"), _xlfn.XLOOKUP(C1772, calc_rusacc!$C$15:$C$65, calc_rusacc!$BF$15:$BF$65, "",0), AND( F1772="Sealant", I1772="Accordion Screen"), _xlfn.XLOOKUP(C1772, calc_rusacc!$C$15:$C$65, calc_rusacc!$BJ$15:$BJ$65, "",0),  F1772="Sealant", _xlfn.XLOOKUP(C1772, dd_accsrycalc!$A$2:$A$51, dd_accsrycalc!$G$2:$G$51, "",0),  F1772&lt;&gt;"",L1772*_xlfn.XLOOKUP(1, (SKUs!$C$2:$C$10001=G1772)*(SKUs!$K$2:$K$10001=I1772),SKUs!$E$2:$E$10001)), 0),"")</f>
        <v/>
      </c>
      <c r="E1772" s="35" t="str">
        <f>_xlfn.XLOOKUP(F1772,dd_item!$B$2:$B$105,dd_item!$C$2:$C$105,"",0)</f>
        <v/>
      </c>
      <c r="F1772" s="35"/>
      <c r="G1772" s="35" cm="1">
        <f t="array" ref="G1772">IFERROR(_xlfn.XLOOKUP(1, (SKUs!$J$2:$J$10001=accsry_unmerged!F1772)*IF(H1772&lt;&gt;"",(SKUs!$L$2:$L$10001=accsry_unmerged!H1772),1)*(SKUs!$K$2:$K$10001=I1772),SKUs!$C$2:$C$10001),"")</f>
        <v>0</v>
      </c>
      <c r="H1772" s="36" cm="1">
        <f t="array" ref="H1772">IFERROR(_xlfn.XLOOKUP(1, (dd_accsryclr!$C$2:$C$1000=accsry_unmerged!F1772)*(dd_accsryclr!$B$2:$B$1000=accsry_unmerged!J1772),dd_accsryclr!$A$2:$A$1000),"")</f>
        <v>0</v>
      </c>
      <c r="I1772" s="35">
        <f>_xlfn.XLOOKUP(C1772,'Project Details'!$C$17:$C$66,'Project Details'!$E$17:$E$66,"",0)</f>
        <v>0</v>
      </c>
      <c r="J1772" s="35">
        <f>_xlfn.XLOOKUP(C1772,'Project Details'!$C$17:$C$66,'Project Details'!$H$17:$H$66,"",0)</f>
        <v>0</v>
      </c>
      <c r="K1772" s="36" t="str">
        <f>IF(AND(_xlfn.XLOOKUP(C1772,'Project Details'!$C$17:$C$66,'Project Details'!$L$17:$L$66,"",0)&gt;550, F1772="Spring-L27cm"),"",SUBSTITUTE(_xlfn.XLOOKUP(G1772,SKUs!$C$2:$C$10001,SKUs!$F$2:$F$10001,"",0), " Accessories",""))</f>
        <v/>
      </c>
      <c r="L1772" s="36">
        <f>_xlfn.XLOOKUP(C1772,'Project Details'!$C$17:$C$66,'Project Details'!$D$17:$D$66,"",0)</f>
        <v>0</v>
      </c>
      <c r="M1772" s="43"/>
    </row>
    <row r="1773" spans="1:13" x14ac:dyDescent="0.25">
      <c r="A1773" s="43"/>
      <c r="B1773" s="43"/>
      <c r="C1773" s="16">
        <f t="shared" si="34"/>
        <v>36</v>
      </c>
      <c r="D1773" s="16" t="str" cm="1">
        <f t="array" ref="D1773">IFERROR(ROUNDUP(_xlfn.IFS(F1773="Aluminum Track", _xlfn.XLOOKUP(C1773, dd_accsrycalc!$A$2:$A$51, dd_accsrycalc!$B$2:$B$51, "",0), F1773="10 x 2 1/2 S (Flat)", _xlfn.XLOOKUP(C1773, dd_accsrycalc!$A$2:$A$51, dd_accsrycalc!$C$2:$C$51, "",0), F1773="Tox6", _xlfn.XLOOKUP(C1773, dd_accsrycalc!$A$2:$A$51, dd_accsrycalc!$D$2:$D$51, "",0), F1773="Cover Cap", _xlfn.XLOOKUP(C1773, dd_accsrycalc!$A$2:$A$51, dd_accsrycalc!$E$2:$E$51, "",0), F1773="Drainage Cover", _xlfn.XLOOKUP(C1773, dd_accsrycalc!$A$2:$A$51, dd_accsrycalc!$F$2:$F$51, "",0),AND( F1773="Double Adhesive Tape", I1773="Roll-up Screen"), _xlfn.XLOOKUP(C1773, calc_rusacc!$C$15:$C$65, calc_rusacc!$AD$15:$AD$65, "",0),AND( F1773="Sealant", I1773="Roll-up Screen"), _xlfn.XLOOKUP(C1773, calc_rusacc!$C$15:$C$65, calc_rusacc!$AF$15:$AF$65, "",0),  AND( F1773="Main Chain", I1773="Accordion Screen"), _xlfn.XLOOKUP(C1773, calc_rusacc!$C$15:$C$65, calc_rusacc!$BF$15:$BF$65, "",0), AND( F1773="Sealant", I1773="Accordion Screen"), _xlfn.XLOOKUP(C1773, calc_rusacc!$C$15:$C$65, calc_rusacc!$BJ$15:$BJ$65, "",0),  F1773="Sealant", _xlfn.XLOOKUP(C1773, dd_accsrycalc!$A$2:$A$51, dd_accsrycalc!$G$2:$G$51, "",0),  F1773&lt;&gt;"",L1773*_xlfn.XLOOKUP(1, (SKUs!$C$2:$C$10001=G1773)*(SKUs!$K$2:$K$10001=I1773),SKUs!$E$2:$E$10001)), 0),"")</f>
        <v/>
      </c>
      <c r="E1773" s="16" t="str">
        <f>_xlfn.XLOOKUP(F1773,dd_item!$B$2:$B$105,dd_item!$C$2:$C$105,"",0)</f>
        <v/>
      </c>
      <c r="F1773" s="16"/>
      <c r="G1773" s="16" cm="1">
        <f t="array" ref="G1773">IFERROR(_xlfn.XLOOKUP(1, (SKUs!$J$2:$J$10001=accsry_unmerged!F1773)*IF(H1773&lt;&gt;"",(SKUs!$L$2:$L$10001=accsry_unmerged!H1773),1)*(SKUs!$K$2:$K$10001=I1773),SKUs!$C$2:$C$10001),"")</f>
        <v>0</v>
      </c>
      <c r="H1773" s="33" cm="1">
        <f t="array" ref="H1773">IFERROR(_xlfn.XLOOKUP(1, (dd_accsryclr!$C$2:$C$1000=accsry_unmerged!F1773)*(dd_accsryclr!$B$2:$B$1000=accsry_unmerged!J1773),dd_accsryclr!$A$2:$A$1000),"")</f>
        <v>0</v>
      </c>
      <c r="I1773" s="16">
        <f>_xlfn.XLOOKUP(C1773,'Project Details'!$C$17:$C$66,'Project Details'!$E$17:$E$66,"",0)</f>
        <v>0</v>
      </c>
      <c r="J1773" s="16">
        <f>_xlfn.XLOOKUP(C1773,'Project Details'!$C$17:$C$66,'Project Details'!$H$17:$H$66,"",0)</f>
        <v>0</v>
      </c>
      <c r="K1773" s="33" t="str">
        <f>IF(AND(_xlfn.XLOOKUP(C1773,'Project Details'!$C$17:$C$66,'Project Details'!$L$17:$L$66,"",0)&gt;550, F1773="Spring-L27cm"),"",SUBSTITUTE(_xlfn.XLOOKUP(G1773,SKUs!$C$2:$C$10001,SKUs!$F$2:$F$10001,"",0), " Accessories",""))</f>
        <v/>
      </c>
      <c r="L1773" s="33">
        <f>_xlfn.XLOOKUP(C1773,'Project Details'!$C$17:$C$66,'Project Details'!$D$17:$D$66,"",0)</f>
        <v>0</v>
      </c>
      <c r="M1773" s="43"/>
    </row>
    <row r="1774" spans="1:13" x14ac:dyDescent="0.25">
      <c r="A1774" s="43"/>
      <c r="B1774" s="43"/>
      <c r="C1774" s="35">
        <f t="shared" si="34"/>
        <v>36</v>
      </c>
      <c r="D1774" s="35" t="str" cm="1">
        <f t="array" ref="D1774">IFERROR(ROUNDUP(_xlfn.IFS(F1774="Aluminum Track", _xlfn.XLOOKUP(C1774, dd_accsrycalc!$A$2:$A$51, dd_accsrycalc!$B$2:$B$51, "",0), F1774="10 x 2 1/2 S (Flat)", _xlfn.XLOOKUP(C1774, dd_accsrycalc!$A$2:$A$51, dd_accsrycalc!$C$2:$C$51, "",0), F1774="Tox6", _xlfn.XLOOKUP(C1774, dd_accsrycalc!$A$2:$A$51, dd_accsrycalc!$D$2:$D$51, "",0), F1774="Cover Cap", _xlfn.XLOOKUP(C1774, dd_accsrycalc!$A$2:$A$51, dd_accsrycalc!$E$2:$E$51, "",0), F1774="Drainage Cover", _xlfn.XLOOKUP(C1774, dd_accsrycalc!$A$2:$A$51, dd_accsrycalc!$F$2:$F$51, "",0),AND( F1774="Double Adhesive Tape", I1774="Roll-up Screen"), _xlfn.XLOOKUP(C1774, calc_rusacc!$C$15:$C$65, calc_rusacc!$AD$15:$AD$65, "",0),AND( F1774="Sealant", I1774="Roll-up Screen"), _xlfn.XLOOKUP(C1774, calc_rusacc!$C$15:$C$65, calc_rusacc!$AF$15:$AF$65, "",0),  AND( F1774="Main Chain", I1774="Accordion Screen"), _xlfn.XLOOKUP(C1774, calc_rusacc!$C$15:$C$65, calc_rusacc!$BF$15:$BF$65, "",0), AND( F1774="Sealant", I1774="Accordion Screen"), _xlfn.XLOOKUP(C1774, calc_rusacc!$C$15:$C$65, calc_rusacc!$BJ$15:$BJ$65, "",0),  F1774="Sealant", _xlfn.XLOOKUP(C1774, dd_accsrycalc!$A$2:$A$51, dd_accsrycalc!$G$2:$G$51, "",0),  F1774&lt;&gt;"",L1774*_xlfn.XLOOKUP(1, (SKUs!$C$2:$C$10001=G1774)*(SKUs!$K$2:$K$10001=I1774),SKUs!$E$2:$E$10001)), 0),"")</f>
        <v/>
      </c>
      <c r="E1774" s="35" t="str">
        <f>_xlfn.XLOOKUP(F1774,dd_item!$B$2:$B$105,dd_item!$C$2:$C$105,"",0)</f>
        <v/>
      </c>
      <c r="F1774" s="35"/>
      <c r="G1774" s="35" cm="1">
        <f t="array" ref="G1774">IFERROR(_xlfn.XLOOKUP(1, (SKUs!$J$2:$J$10001=accsry_unmerged!F1774)*IF(H1774&lt;&gt;"",(SKUs!$L$2:$L$10001=accsry_unmerged!H1774),1)*(SKUs!$K$2:$K$10001=I1774),SKUs!$C$2:$C$10001),"")</f>
        <v>0</v>
      </c>
      <c r="H1774" s="36" cm="1">
        <f t="array" ref="H1774">IFERROR(_xlfn.XLOOKUP(1, (dd_accsryclr!$C$2:$C$1000=accsry_unmerged!F1774)*(dd_accsryclr!$B$2:$B$1000=accsry_unmerged!J1774),dd_accsryclr!$A$2:$A$1000),"")</f>
        <v>0</v>
      </c>
      <c r="I1774" s="35">
        <f>_xlfn.XLOOKUP(C1774,'Project Details'!$C$17:$C$66,'Project Details'!$E$17:$E$66,"",0)</f>
        <v>0</v>
      </c>
      <c r="J1774" s="35">
        <f>_xlfn.XLOOKUP(C1774,'Project Details'!$C$17:$C$66,'Project Details'!$H$17:$H$66,"",0)</f>
        <v>0</v>
      </c>
      <c r="K1774" s="36" t="str">
        <f>IF(AND(_xlfn.XLOOKUP(C1774,'Project Details'!$C$17:$C$66,'Project Details'!$L$17:$L$66,"",0)&gt;550, F1774="Spring-L27cm"),"",SUBSTITUTE(_xlfn.XLOOKUP(G1774,SKUs!$C$2:$C$10001,SKUs!$F$2:$F$10001,"",0), " Accessories",""))</f>
        <v/>
      </c>
      <c r="L1774" s="36">
        <f>_xlfn.XLOOKUP(C1774,'Project Details'!$C$17:$C$66,'Project Details'!$D$17:$D$66,"",0)</f>
        <v>0</v>
      </c>
      <c r="M1774" s="43"/>
    </row>
    <row r="1775" spans="1:13" x14ac:dyDescent="0.25">
      <c r="A1775" s="43"/>
      <c r="B1775" s="43"/>
      <c r="C1775" s="16">
        <f t="shared" si="34"/>
        <v>36</v>
      </c>
      <c r="D1775" s="16" t="str" cm="1">
        <f t="array" ref="D1775">IFERROR(ROUNDUP(_xlfn.IFS(F1775="Aluminum Track", _xlfn.XLOOKUP(C1775, dd_accsrycalc!$A$2:$A$51, dd_accsrycalc!$B$2:$B$51, "",0), F1775="10 x 2 1/2 S (Flat)", _xlfn.XLOOKUP(C1775, dd_accsrycalc!$A$2:$A$51, dd_accsrycalc!$C$2:$C$51, "",0), F1775="Tox6", _xlfn.XLOOKUP(C1775, dd_accsrycalc!$A$2:$A$51, dd_accsrycalc!$D$2:$D$51, "",0), F1775="Cover Cap", _xlfn.XLOOKUP(C1775, dd_accsrycalc!$A$2:$A$51, dd_accsrycalc!$E$2:$E$51, "",0), F1775="Drainage Cover", _xlfn.XLOOKUP(C1775, dd_accsrycalc!$A$2:$A$51, dd_accsrycalc!$F$2:$F$51, "",0),AND( F1775="Double Adhesive Tape", I1775="Roll-up Screen"), _xlfn.XLOOKUP(C1775, calc_rusacc!$C$15:$C$65, calc_rusacc!$AD$15:$AD$65, "",0),AND( F1775="Sealant", I1775="Roll-up Screen"), _xlfn.XLOOKUP(C1775, calc_rusacc!$C$15:$C$65, calc_rusacc!$AF$15:$AF$65, "",0),  AND( F1775="Main Chain", I1775="Accordion Screen"), _xlfn.XLOOKUP(C1775, calc_rusacc!$C$15:$C$65, calc_rusacc!$BF$15:$BF$65, "",0), AND( F1775="Sealant", I1775="Accordion Screen"), _xlfn.XLOOKUP(C1775, calc_rusacc!$C$15:$C$65, calc_rusacc!$BJ$15:$BJ$65, "",0),  F1775="Sealant", _xlfn.XLOOKUP(C1775, dd_accsrycalc!$A$2:$A$51, dd_accsrycalc!$G$2:$G$51, "",0),  F1775&lt;&gt;"",L1775*_xlfn.XLOOKUP(1, (SKUs!$C$2:$C$10001=G1775)*(SKUs!$K$2:$K$10001=I1775),SKUs!$E$2:$E$10001)), 0),"")</f>
        <v/>
      </c>
      <c r="E1775" s="16" t="str">
        <f>_xlfn.XLOOKUP(F1775,dd_item!$B$2:$B$105,dd_item!$C$2:$C$105,"",0)</f>
        <v/>
      </c>
      <c r="F1775" s="16"/>
      <c r="G1775" s="16" cm="1">
        <f t="array" ref="G1775">IFERROR(_xlfn.XLOOKUP(1, (SKUs!$J$2:$J$10001=accsry_unmerged!F1775)*IF(H1775&lt;&gt;"",(SKUs!$L$2:$L$10001=accsry_unmerged!H1775),1)*(SKUs!$K$2:$K$10001=I1775),SKUs!$C$2:$C$10001),"")</f>
        <v>0</v>
      </c>
      <c r="H1775" s="33" cm="1">
        <f t="array" ref="H1775">IFERROR(_xlfn.XLOOKUP(1, (dd_accsryclr!$C$2:$C$1000=accsry_unmerged!F1775)*(dd_accsryclr!$B$2:$B$1000=accsry_unmerged!J1775),dd_accsryclr!$A$2:$A$1000),"")</f>
        <v>0</v>
      </c>
      <c r="I1775" s="16">
        <f>_xlfn.XLOOKUP(C1775,'Project Details'!$C$17:$C$66,'Project Details'!$E$17:$E$66,"",0)</f>
        <v>0</v>
      </c>
      <c r="J1775" s="16">
        <f>_xlfn.XLOOKUP(C1775,'Project Details'!$C$17:$C$66,'Project Details'!$H$17:$H$66,"",0)</f>
        <v>0</v>
      </c>
      <c r="K1775" s="33" t="str">
        <f>IF(AND(_xlfn.XLOOKUP(C1775,'Project Details'!$C$17:$C$66,'Project Details'!$L$17:$L$66,"",0)&gt;550, F1775="Spring-L27cm"),"",SUBSTITUTE(_xlfn.XLOOKUP(G1775,SKUs!$C$2:$C$10001,SKUs!$F$2:$F$10001,"",0), " Accessories",""))</f>
        <v/>
      </c>
      <c r="L1775" s="33">
        <f>_xlfn.XLOOKUP(C1775,'Project Details'!$C$17:$C$66,'Project Details'!$D$17:$D$66,"",0)</f>
        <v>0</v>
      </c>
      <c r="M1775" s="43"/>
    </row>
    <row r="1776" spans="1:13" x14ac:dyDescent="0.25">
      <c r="A1776" s="43"/>
      <c r="B1776" s="43"/>
      <c r="C1776" s="35">
        <f t="shared" si="34"/>
        <v>36</v>
      </c>
      <c r="D1776" s="35" t="str" cm="1">
        <f t="array" ref="D1776">IFERROR(ROUNDUP(_xlfn.IFS(F1776="Aluminum Track", _xlfn.XLOOKUP(C1776, dd_accsrycalc!$A$2:$A$51, dd_accsrycalc!$B$2:$B$51, "",0), F1776="10 x 2 1/2 S (Flat)", _xlfn.XLOOKUP(C1776, dd_accsrycalc!$A$2:$A$51, dd_accsrycalc!$C$2:$C$51, "",0), F1776="Tox6", _xlfn.XLOOKUP(C1776, dd_accsrycalc!$A$2:$A$51, dd_accsrycalc!$D$2:$D$51, "",0), F1776="Cover Cap", _xlfn.XLOOKUP(C1776, dd_accsrycalc!$A$2:$A$51, dd_accsrycalc!$E$2:$E$51, "",0), F1776="Drainage Cover", _xlfn.XLOOKUP(C1776, dd_accsrycalc!$A$2:$A$51, dd_accsrycalc!$F$2:$F$51, "",0),AND( F1776="Double Adhesive Tape", I1776="Roll-up Screen"), _xlfn.XLOOKUP(C1776, calc_rusacc!$C$15:$C$65, calc_rusacc!$AD$15:$AD$65, "",0),AND( F1776="Sealant", I1776="Roll-up Screen"), _xlfn.XLOOKUP(C1776, calc_rusacc!$C$15:$C$65, calc_rusacc!$AF$15:$AF$65, "",0),  AND( F1776="Main Chain", I1776="Accordion Screen"), _xlfn.XLOOKUP(C1776, calc_rusacc!$C$15:$C$65, calc_rusacc!$BF$15:$BF$65, "",0), AND( F1776="Sealant", I1776="Accordion Screen"), _xlfn.XLOOKUP(C1776, calc_rusacc!$C$15:$C$65, calc_rusacc!$BJ$15:$BJ$65, "",0),  F1776="Sealant", _xlfn.XLOOKUP(C1776, dd_accsrycalc!$A$2:$A$51, dd_accsrycalc!$G$2:$G$51, "",0),  F1776&lt;&gt;"",L1776*_xlfn.XLOOKUP(1, (SKUs!$C$2:$C$10001=G1776)*(SKUs!$K$2:$K$10001=I1776),SKUs!$E$2:$E$10001)), 0),"")</f>
        <v/>
      </c>
      <c r="E1776" s="35" t="str">
        <f>_xlfn.XLOOKUP(F1776,dd_item!$B$2:$B$105,dd_item!$C$2:$C$105,"",0)</f>
        <v/>
      </c>
      <c r="F1776" s="35"/>
      <c r="G1776" s="35" cm="1">
        <f t="array" ref="G1776">IFERROR(_xlfn.XLOOKUP(1, (SKUs!$J$2:$J$10001=accsry_unmerged!F1776)*IF(H1776&lt;&gt;"",(SKUs!$L$2:$L$10001=accsry_unmerged!H1776),1)*(SKUs!$K$2:$K$10001=I1776),SKUs!$C$2:$C$10001),"")</f>
        <v>0</v>
      </c>
      <c r="H1776" s="36" cm="1">
        <f t="array" ref="H1776">IFERROR(_xlfn.XLOOKUP(1, (dd_accsryclr!$C$2:$C$1000=accsry_unmerged!F1776)*(dd_accsryclr!$B$2:$B$1000=accsry_unmerged!J1776),dd_accsryclr!$A$2:$A$1000),"")</f>
        <v>0</v>
      </c>
      <c r="I1776" s="35">
        <f>_xlfn.XLOOKUP(C1776,'Project Details'!$C$17:$C$66,'Project Details'!$E$17:$E$66,"",0)</f>
        <v>0</v>
      </c>
      <c r="J1776" s="35">
        <f>_xlfn.XLOOKUP(C1776,'Project Details'!$C$17:$C$66,'Project Details'!$H$17:$H$66,"",0)</f>
        <v>0</v>
      </c>
      <c r="K1776" s="36" t="str">
        <f>IF(AND(_xlfn.XLOOKUP(C1776,'Project Details'!$C$17:$C$66,'Project Details'!$L$17:$L$66,"",0)&gt;550, F1776="Spring-L27cm"),"",SUBSTITUTE(_xlfn.XLOOKUP(G1776,SKUs!$C$2:$C$10001,SKUs!$F$2:$F$10001,"",0), " Accessories",""))</f>
        <v/>
      </c>
      <c r="L1776" s="36">
        <f>_xlfn.XLOOKUP(C1776,'Project Details'!$C$17:$C$66,'Project Details'!$D$17:$D$66,"",0)</f>
        <v>0</v>
      </c>
      <c r="M1776" s="43"/>
    </row>
    <row r="1777" spans="1:13" x14ac:dyDescent="0.25">
      <c r="A1777" s="43"/>
      <c r="B1777" s="43"/>
      <c r="C1777" s="16">
        <f t="shared" si="34"/>
        <v>36</v>
      </c>
      <c r="D1777" s="16" t="str" cm="1">
        <f t="array" ref="D1777">IFERROR(ROUNDUP(_xlfn.IFS(F1777="Aluminum Track", _xlfn.XLOOKUP(C1777, dd_accsrycalc!$A$2:$A$51, dd_accsrycalc!$B$2:$B$51, "",0), F1777="10 x 2 1/2 S (Flat)", _xlfn.XLOOKUP(C1777, dd_accsrycalc!$A$2:$A$51, dd_accsrycalc!$C$2:$C$51, "",0), F1777="Tox6", _xlfn.XLOOKUP(C1777, dd_accsrycalc!$A$2:$A$51, dd_accsrycalc!$D$2:$D$51, "",0), F1777="Cover Cap", _xlfn.XLOOKUP(C1777, dd_accsrycalc!$A$2:$A$51, dd_accsrycalc!$E$2:$E$51, "",0), F1777="Drainage Cover", _xlfn.XLOOKUP(C1777, dd_accsrycalc!$A$2:$A$51, dd_accsrycalc!$F$2:$F$51, "",0),AND( F1777="Double Adhesive Tape", I1777="Roll-up Screen"), _xlfn.XLOOKUP(C1777, calc_rusacc!$C$15:$C$65, calc_rusacc!$AD$15:$AD$65, "",0),AND( F1777="Sealant", I1777="Roll-up Screen"), _xlfn.XLOOKUP(C1777, calc_rusacc!$C$15:$C$65, calc_rusacc!$AF$15:$AF$65, "",0),  AND( F1777="Main Chain", I1777="Accordion Screen"), _xlfn.XLOOKUP(C1777, calc_rusacc!$C$15:$C$65, calc_rusacc!$BF$15:$BF$65, "",0), AND( F1777="Sealant", I1777="Accordion Screen"), _xlfn.XLOOKUP(C1777, calc_rusacc!$C$15:$C$65, calc_rusacc!$BJ$15:$BJ$65, "",0),  F1777="Sealant", _xlfn.XLOOKUP(C1777, dd_accsrycalc!$A$2:$A$51, dd_accsrycalc!$G$2:$G$51, "",0),  F1777&lt;&gt;"",L1777*_xlfn.XLOOKUP(1, (SKUs!$C$2:$C$10001=G1777)*(SKUs!$K$2:$K$10001=I1777),SKUs!$E$2:$E$10001)), 0),"")</f>
        <v/>
      </c>
      <c r="E1777" s="16" t="str">
        <f>_xlfn.XLOOKUP(F1777,dd_item!$B$2:$B$105,dd_item!$C$2:$C$105,"",0)</f>
        <v/>
      </c>
      <c r="F1777" s="16"/>
      <c r="G1777" s="16" cm="1">
        <f t="array" ref="G1777">IFERROR(_xlfn.XLOOKUP(1, (SKUs!$J$2:$J$10001=accsry_unmerged!F1777)*IF(H1777&lt;&gt;"",(SKUs!$L$2:$L$10001=accsry_unmerged!H1777),1)*(SKUs!$K$2:$K$10001=I1777),SKUs!$C$2:$C$10001),"")</f>
        <v>0</v>
      </c>
      <c r="H1777" s="33" cm="1">
        <f t="array" ref="H1777">IFERROR(_xlfn.XLOOKUP(1, (dd_accsryclr!$C$2:$C$1000=accsry_unmerged!F1777)*(dd_accsryclr!$B$2:$B$1000=accsry_unmerged!J1777),dd_accsryclr!$A$2:$A$1000),"")</f>
        <v>0</v>
      </c>
      <c r="I1777" s="16">
        <f>_xlfn.XLOOKUP(C1777,'Project Details'!$C$17:$C$66,'Project Details'!$E$17:$E$66,"",0)</f>
        <v>0</v>
      </c>
      <c r="J1777" s="16">
        <f>_xlfn.XLOOKUP(C1777,'Project Details'!$C$17:$C$66,'Project Details'!$H$17:$H$66,"",0)</f>
        <v>0</v>
      </c>
      <c r="K1777" s="33" t="str">
        <f>IF(AND(_xlfn.XLOOKUP(C1777,'Project Details'!$C$17:$C$66,'Project Details'!$L$17:$L$66,"",0)&gt;550, F1777="Spring-L27cm"),"",SUBSTITUTE(_xlfn.XLOOKUP(G1777,SKUs!$C$2:$C$10001,SKUs!$F$2:$F$10001,"",0), " Accessories",""))</f>
        <v/>
      </c>
      <c r="L1777" s="33">
        <f>_xlfn.XLOOKUP(C1777,'Project Details'!$C$17:$C$66,'Project Details'!$D$17:$D$66,"",0)</f>
        <v>0</v>
      </c>
      <c r="M1777" s="43"/>
    </row>
    <row r="1778" spans="1:13" x14ac:dyDescent="0.25">
      <c r="A1778" s="43"/>
      <c r="B1778" s="43"/>
      <c r="C1778" s="35">
        <f t="shared" si="34"/>
        <v>36</v>
      </c>
      <c r="D1778" s="35" t="str" cm="1">
        <f t="array" ref="D1778">IFERROR(ROUNDUP(_xlfn.IFS(F1778="Aluminum Track", _xlfn.XLOOKUP(C1778, dd_accsrycalc!$A$2:$A$51, dd_accsrycalc!$B$2:$B$51, "",0), F1778="10 x 2 1/2 S (Flat)", _xlfn.XLOOKUP(C1778, dd_accsrycalc!$A$2:$A$51, dd_accsrycalc!$C$2:$C$51, "",0), F1778="Tox6", _xlfn.XLOOKUP(C1778, dd_accsrycalc!$A$2:$A$51, dd_accsrycalc!$D$2:$D$51, "",0), F1778="Cover Cap", _xlfn.XLOOKUP(C1778, dd_accsrycalc!$A$2:$A$51, dd_accsrycalc!$E$2:$E$51, "",0), F1778="Drainage Cover", _xlfn.XLOOKUP(C1778, dd_accsrycalc!$A$2:$A$51, dd_accsrycalc!$F$2:$F$51, "",0),AND( F1778="Double Adhesive Tape", I1778="Roll-up Screen"), _xlfn.XLOOKUP(C1778, calc_rusacc!$C$15:$C$65, calc_rusacc!$AD$15:$AD$65, "",0),AND( F1778="Sealant", I1778="Roll-up Screen"), _xlfn.XLOOKUP(C1778, calc_rusacc!$C$15:$C$65, calc_rusacc!$AF$15:$AF$65, "",0),  AND( F1778="Main Chain", I1778="Accordion Screen"), _xlfn.XLOOKUP(C1778, calc_rusacc!$C$15:$C$65, calc_rusacc!$BF$15:$BF$65, "",0), AND( F1778="Sealant", I1778="Accordion Screen"), _xlfn.XLOOKUP(C1778, calc_rusacc!$C$15:$C$65, calc_rusacc!$BJ$15:$BJ$65, "",0),  F1778="Sealant", _xlfn.XLOOKUP(C1778, dd_accsrycalc!$A$2:$A$51, dd_accsrycalc!$G$2:$G$51, "",0),  F1778&lt;&gt;"",L1778*_xlfn.XLOOKUP(1, (SKUs!$C$2:$C$10001=G1778)*(SKUs!$K$2:$K$10001=I1778),SKUs!$E$2:$E$10001)), 0),"")</f>
        <v/>
      </c>
      <c r="E1778" s="35" t="str">
        <f>_xlfn.XLOOKUP(F1778,dd_item!$B$2:$B$105,dd_item!$C$2:$C$105,"",0)</f>
        <v/>
      </c>
      <c r="F1778" s="35"/>
      <c r="G1778" s="35" cm="1">
        <f t="array" ref="G1778">IFERROR(_xlfn.XLOOKUP(1, (SKUs!$J$2:$J$10001=accsry_unmerged!F1778)*IF(H1778&lt;&gt;"",(SKUs!$L$2:$L$10001=accsry_unmerged!H1778),1)*(SKUs!$K$2:$K$10001=I1778),SKUs!$C$2:$C$10001),"")</f>
        <v>0</v>
      </c>
      <c r="H1778" s="36" cm="1">
        <f t="array" ref="H1778">IFERROR(_xlfn.XLOOKUP(1, (dd_accsryclr!$C$2:$C$1000=accsry_unmerged!F1778)*(dd_accsryclr!$B$2:$B$1000=accsry_unmerged!J1778),dd_accsryclr!$A$2:$A$1000),"")</f>
        <v>0</v>
      </c>
      <c r="I1778" s="35">
        <f>_xlfn.XLOOKUP(C1778,'Project Details'!$C$17:$C$66,'Project Details'!$E$17:$E$66,"",0)</f>
        <v>0</v>
      </c>
      <c r="J1778" s="35">
        <f>_xlfn.XLOOKUP(C1778,'Project Details'!$C$17:$C$66,'Project Details'!$H$17:$H$66,"",0)</f>
        <v>0</v>
      </c>
      <c r="K1778" s="36" t="str">
        <f>IF(AND(_xlfn.XLOOKUP(C1778,'Project Details'!$C$17:$C$66,'Project Details'!$L$17:$L$66,"",0)&gt;550, F1778="Spring-L27cm"),"",SUBSTITUTE(_xlfn.XLOOKUP(G1778,SKUs!$C$2:$C$10001,SKUs!$F$2:$F$10001,"",0), " Accessories",""))</f>
        <v/>
      </c>
      <c r="L1778" s="36">
        <f>_xlfn.XLOOKUP(C1778,'Project Details'!$C$17:$C$66,'Project Details'!$D$17:$D$66,"",0)</f>
        <v>0</v>
      </c>
      <c r="M1778" s="43"/>
    </row>
    <row r="1779" spans="1:13" x14ac:dyDescent="0.25">
      <c r="A1779" s="43"/>
      <c r="B1779" s="43"/>
      <c r="C1779" s="16">
        <f t="shared" si="34"/>
        <v>36</v>
      </c>
      <c r="D1779" s="16" t="str" cm="1">
        <f t="array" ref="D1779">IFERROR(ROUNDUP(_xlfn.IFS(F1779="Aluminum Track", _xlfn.XLOOKUP(C1779, dd_accsrycalc!$A$2:$A$51, dd_accsrycalc!$B$2:$B$51, "",0), F1779="10 x 2 1/2 S (Flat)", _xlfn.XLOOKUP(C1779, dd_accsrycalc!$A$2:$A$51, dd_accsrycalc!$C$2:$C$51, "",0), F1779="Tox6", _xlfn.XLOOKUP(C1779, dd_accsrycalc!$A$2:$A$51, dd_accsrycalc!$D$2:$D$51, "",0), F1779="Cover Cap", _xlfn.XLOOKUP(C1779, dd_accsrycalc!$A$2:$A$51, dd_accsrycalc!$E$2:$E$51, "",0), F1779="Drainage Cover", _xlfn.XLOOKUP(C1779, dd_accsrycalc!$A$2:$A$51, dd_accsrycalc!$F$2:$F$51, "",0),AND( F1779="Double Adhesive Tape", I1779="Roll-up Screen"), _xlfn.XLOOKUP(C1779, calc_rusacc!$C$15:$C$65, calc_rusacc!$AD$15:$AD$65, "",0),AND( F1779="Sealant", I1779="Roll-up Screen"), _xlfn.XLOOKUP(C1779, calc_rusacc!$C$15:$C$65, calc_rusacc!$AF$15:$AF$65, "",0),  AND( F1779="Main Chain", I1779="Accordion Screen"), _xlfn.XLOOKUP(C1779, calc_rusacc!$C$15:$C$65, calc_rusacc!$BF$15:$BF$65, "",0), AND( F1779="Sealant", I1779="Accordion Screen"), _xlfn.XLOOKUP(C1779, calc_rusacc!$C$15:$C$65, calc_rusacc!$BJ$15:$BJ$65, "",0),  F1779="Sealant", _xlfn.XLOOKUP(C1779, dd_accsrycalc!$A$2:$A$51, dd_accsrycalc!$G$2:$G$51, "",0),  F1779&lt;&gt;"",L1779*_xlfn.XLOOKUP(1, (SKUs!$C$2:$C$10001=G1779)*(SKUs!$K$2:$K$10001=I1779),SKUs!$E$2:$E$10001)), 0),"")</f>
        <v/>
      </c>
      <c r="E1779" s="16" t="str">
        <f>_xlfn.XLOOKUP(F1779,dd_item!$B$2:$B$105,dd_item!$C$2:$C$105,"",0)</f>
        <v/>
      </c>
      <c r="F1779" s="16"/>
      <c r="G1779" s="16" cm="1">
        <f t="array" ref="G1779">IFERROR(_xlfn.XLOOKUP(1, (SKUs!$J$2:$J$10001=accsry_unmerged!F1779)*IF(H1779&lt;&gt;"",(SKUs!$L$2:$L$10001=accsry_unmerged!H1779),1)*(SKUs!$K$2:$K$10001=I1779),SKUs!$C$2:$C$10001),"")</f>
        <v>0</v>
      </c>
      <c r="H1779" s="33" cm="1">
        <f t="array" ref="H1779">IFERROR(_xlfn.XLOOKUP(1, (dd_accsryclr!$C$2:$C$1000=accsry_unmerged!F1779)*(dd_accsryclr!$B$2:$B$1000=accsry_unmerged!J1779),dd_accsryclr!$A$2:$A$1000),"")</f>
        <v>0</v>
      </c>
      <c r="I1779" s="16">
        <f>_xlfn.XLOOKUP(C1779,'Project Details'!$C$17:$C$66,'Project Details'!$E$17:$E$66,"",0)</f>
        <v>0</v>
      </c>
      <c r="J1779" s="16">
        <f>_xlfn.XLOOKUP(C1779,'Project Details'!$C$17:$C$66,'Project Details'!$H$17:$H$66,"",0)</f>
        <v>0</v>
      </c>
      <c r="K1779" s="33" t="str">
        <f>IF(AND(_xlfn.XLOOKUP(C1779,'Project Details'!$C$17:$C$66,'Project Details'!$L$17:$L$66,"",0)&gt;550, F1779="Spring-L27cm"),"",SUBSTITUTE(_xlfn.XLOOKUP(G1779,SKUs!$C$2:$C$10001,SKUs!$F$2:$F$10001,"",0), " Accessories",""))</f>
        <v/>
      </c>
      <c r="L1779" s="33">
        <f>_xlfn.XLOOKUP(C1779,'Project Details'!$C$17:$C$66,'Project Details'!$D$17:$D$66,"",0)</f>
        <v>0</v>
      </c>
      <c r="M1779" s="43"/>
    </row>
    <row r="1780" spans="1:13" x14ac:dyDescent="0.25">
      <c r="A1780" s="43"/>
      <c r="B1780" s="43"/>
      <c r="C1780" s="35">
        <f t="shared" si="34"/>
        <v>36</v>
      </c>
      <c r="D1780" s="35" t="str" cm="1">
        <f t="array" ref="D1780">IFERROR(ROUNDUP(_xlfn.IFS(F1780="Aluminum Track", _xlfn.XLOOKUP(C1780, dd_accsrycalc!$A$2:$A$51, dd_accsrycalc!$B$2:$B$51, "",0), F1780="10 x 2 1/2 S (Flat)", _xlfn.XLOOKUP(C1780, dd_accsrycalc!$A$2:$A$51, dd_accsrycalc!$C$2:$C$51, "",0), F1780="Tox6", _xlfn.XLOOKUP(C1780, dd_accsrycalc!$A$2:$A$51, dd_accsrycalc!$D$2:$D$51, "",0), F1780="Cover Cap", _xlfn.XLOOKUP(C1780, dd_accsrycalc!$A$2:$A$51, dd_accsrycalc!$E$2:$E$51, "",0), F1780="Drainage Cover", _xlfn.XLOOKUP(C1780, dd_accsrycalc!$A$2:$A$51, dd_accsrycalc!$F$2:$F$51, "",0),AND( F1780="Double Adhesive Tape", I1780="Roll-up Screen"), _xlfn.XLOOKUP(C1780, calc_rusacc!$C$15:$C$65, calc_rusacc!$AD$15:$AD$65, "",0),AND( F1780="Sealant", I1780="Roll-up Screen"), _xlfn.XLOOKUP(C1780, calc_rusacc!$C$15:$C$65, calc_rusacc!$AF$15:$AF$65, "",0),  AND( F1780="Main Chain", I1780="Accordion Screen"), _xlfn.XLOOKUP(C1780, calc_rusacc!$C$15:$C$65, calc_rusacc!$BF$15:$BF$65, "",0), AND( F1780="Sealant", I1780="Accordion Screen"), _xlfn.XLOOKUP(C1780, calc_rusacc!$C$15:$C$65, calc_rusacc!$BJ$15:$BJ$65, "",0),  F1780="Sealant", _xlfn.XLOOKUP(C1780, dd_accsrycalc!$A$2:$A$51, dd_accsrycalc!$G$2:$G$51, "",0),  F1780&lt;&gt;"",L1780*_xlfn.XLOOKUP(1, (SKUs!$C$2:$C$10001=G1780)*(SKUs!$K$2:$K$10001=I1780),SKUs!$E$2:$E$10001)), 0),"")</f>
        <v/>
      </c>
      <c r="E1780" s="35" t="str">
        <f>_xlfn.XLOOKUP(F1780,dd_item!$B$2:$B$105,dd_item!$C$2:$C$105,"",0)</f>
        <v/>
      </c>
      <c r="F1780" s="35"/>
      <c r="G1780" s="35" cm="1">
        <f t="array" ref="G1780">IFERROR(_xlfn.XLOOKUP(1, (SKUs!$J$2:$J$10001=accsry_unmerged!F1780)*IF(H1780&lt;&gt;"",(SKUs!$L$2:$L$10001=accsry_unmerged!H1780),1)*(SKUs!$K$2:$K$10001=I1780),SKUs!$C$2:$C$10001),"")</f>
        <v>0</v>
      </c>
      <c r="H1780" s="36" cm="1">
        <f t="array" ref="H1780">IFERROR(_xlfn.XLOOKUP(1, (dd_accsryclr!$C$2:$C$1000=accsry_unmerged!F1780)*(dd_accsryclr!$B$2:$B$1000=accsry_unmerged!J1780),dd_accsryclr!$A$2:$A$1000),"")</f>
        <v>0</v>
      </c>
      <c r="I1780" s="35">
        <f>_xlfn.XLOOKUP(C1780,'Project Details'!$C$17:$C$66,'Project Details'!$E$17:$E$66,"",0)</f>
        <v>0</v>
      </c>
      <c r="J1780" s="35">
        <f>_xlfn.XLOOKUP(C1780,'Project Details'!$C$17:$C$66,'Project Details'!$H$17:$H$66,"",0)</f>
        <v>0</v>
      </c>
      <c r="K1780" s="36" t="str">
        <f>IF(AND(_xlfn.XLOOKUP(C1780,'Project Details'!$C$17:$C$66,'Project Details'!$L$17:$L$66,"",0)&gt;550, F1780="Spring-L27cm"),"",SUBSTITUTE(_xlfn.XLOOKUP(G1780,SKUs!$C$2:$C$10001,SKUs!$F$2:$F$10001,"",0), " Accessories",""))</f>
        <v/>
      </c>
      <c r="L1780" s="36">
        <f>_xlfn.XLOOKUP(C1780,'Project Details'!$C$17:$C$66,'Project Details'!$D$17:$D$66,"",0)</f>
        <v>0</v>
      </c>
      <c r="M1780" s="43"/>
    </row>
    <row r="1781" spans="1:13" x14ac:dyDescent="0.25">
      <c r="A1781" s="43"/>
      <c r="B1781" s="43"/>
      <c r="C1781" s="16">
        <f t="shared" si="34"/>
        <v>36</v>
      </c>
      <c r="D1781" s="16" t="str" cm="1">
        <f t="array" ref="D1781">IFERROR(ROUNDUP(_xlfn.IFS(F1781="Aluminum Track", _xlfn.XLOOKUP(C1781, dd_accsrycalc!$A$2:$A$51, dd_accsrycalc!$B$2:$B$51, "",0), F1781="10 x 2 1/2 S (Flat)", _xlfn.XLOOKUP(C1781, dd_accsrycalc!$A$2:$A$51, dd_accsrycalc!$C$2:$C$51, "",0), F1781="Tox6", _xlfn.XLOOKUP(C1781, dd_accsrycalc!$A$2:$A$51, dd_accsrycalc!$D$2:$D$51, "",0), F1781="Cover Cap", _xlfn.XLOOKUP(C1781, dd_accsrycalc!$A$2:$A$51, dd_accsrycalc!$E$2:$E$51, "",0), F1781="Drainage Cover", _xlfn.XLOOKUP(C1781, dd_accsrycalc!$A$2:$A$51, dd_accsrycalc!$F$2:$F$51, "",0),AND( F1781="Double Adhesive Tape", I1781="Roll-up Screen"), _xlfn.XLOOKUP(C1781, calc_rusacc!$C$15:$C$65, calc_rusacc!$AD$15:$AD$65, "",0),AND( F1781="Sealant", I1781="Roll-up Screen"), _xlfn.XLOOKUP(C1781, calc_rusacc!$C$15:$C$65, calc_rusacc!$AF$15:$AF$65, "",0),  AND( F1781="Main Chain", I1781="Accordion Screen"), _xlfn.XLOOKUP(C1781, calc_rusacc!$C$15:$C$65, calc_rusacc!$BF$15:$BF$65, "",0), AND( F1781="Sealant", I1781="Accordion Screen"), _xlfn.XLOOKUP(C1781, calc_rusacc!$C$15:$C$65, calc_rusacc!$BJ$15:$BJ$65, "",0),  F1781="Sealant", _xlfn.XLOOKUP(C1781, dd_accsrycalc!$A$2:$A$51, dd_accsrycalc!$G$2:$G$51, "",0),  F1781&lt;&gt;"",L1781*_xlfn.XLOOKUP(1, (SKUs!$C$2:$C$10001=G1781)*(SKUs!$K$2:$K$10001=I1781),SKUs!$E$2:$E$10001)), 0),"")</f>
        <v/>
      </c>
      <c r="E1781" s="16" t="str">
        <f>_xlfn.XLOOKUP(F1781,dd_item!$B$2:$B$105,dd_item!$C$2:$C$105,"",0)</f>
        <v/>
      </c>
      <c r="F1781" s="16"/>
      <c r="G1781" s="16" cm="1">
        <f t="array" ref="G1781">IFERROR(_xlfn.XLOOKUP(1, (SKUs!$J$2:$J$10001=accsry_unmerged!F1781)*IF(H1781&lt;&gt;"",(SKUs!$L$2:$L$10001=accsry_unmerged!H1781),1)*(SKUs!$K$2:$K$10001=I1781),SKUs!$C$2:$C$10001),"")</f>
        <v>0</v>
      </c>
      <c r="H1781" s="33" cm="1">
        <f t="array" ref="H1781">IFERROR(_xlfn.XLOOKUP(1, (dd_accsryclr!$C$2:$C$1000=accsry_unmerged!F1781)*(dd_accsryclr!$B$2:$B$1000=accsry_unmerged!J1781),dd_accsryclr!$A$2:$A$1000),"")</f>
        <v>0</v>
      </c>
      <c r="I1781" s="16">
        <f>_xlfn.XLOOKUP(C1781,'Project Details'!$C$17:$C$66,'Project Details'!$E$17:$E$66,"",0)</f>
        <v>0</v>
      </c>
      <c r="J1781" s="16">
        <f>_xlfn.XLOOKUP(C1781,'Project Details'!$C$17:$C$66,'Project Details'!$H$17:$H$66,"",0)</f>
        <v>0</v>
      </c>
      <c r="K1781" s="33" t="str">
        <f>IF(AND(_xlfn.XLOOKUP(C1781,'Project Details'!$C$17:$C$66,'Project Details'!$L$17:$L$66,"",0)&gt;550, F1781="Spring-L27cm"),"",SUBSTITUTE(_xlfn.XLOOKUP(G1781,SKUs!$C$2:$C$10001,SKUs!$F$2:$F$10001,"",0), " Accessories",""))</f>
        <v/>
      </c>
      <c r="L1781" s="33">
        <f>_xlfn.XLOOKUP(C1781,'Project Details'!$C$17:$C$66,'Project Details'!$D$17:$D$66,"",0)</f>
        <v>0</v>
      </c>
      <c r="M1781" s="43"/>
    </row>
    <row r="1782" spans="1:13" x14ac:dyDescent="0.25">
      <c r="A1782" s="43"/>
      <c r="B1782" s="43"/>
      <c r="C1782" s="35">
        <f t="shared" si="34"/>
        <v>36</v>
      </c>
      <c r="D1782" s="35" t="str" cm="1">
        <f t="array" ref="D1782">IFERROR(ROUNDUP(_xlfn.IFS(F1782="Aluminum Track", _xlfn.XLOOKUP(C1782, dd_accsrycalc!$A$2:$A$51, dd_accsrycalc!$B$2:$B$51, "",0), F1782="10 x 2 1/2 S (Flat)", _xlfn.XLOOKUP(C1782, dd_accsrycalc!$A$2:$A$51, dd_accsrycalc!$C$2:$C$51, "",0), F1782="Tox6", _xlfn.XLOOKUP(C1782, dd_accsrycalc!$A$2:$A$51, dd_accsrycalc!$D$2:$D$51, "",0), F1782="Cover Cap", _xlfn.XLOOKUP(C1782, dd_accsrycalc!$A$2:$A$51, dd_accsrycalc!$E$2:$E$51, "",0), F1782="Drainage Cover", _xlfn.XLOOKUP(C1782, dd_accsrycalc!$A$2:$A$51, dd_accsrycalc!$F$2:$F$51, "",0),AND( F1782="Double Adhesive Tape", I1782="Roll-up Screen"), _xlfn.XLOOKUP(C1782, calc_rusacc!$C$15:$C$65, calc_rusacc!$AD$15:$AD$65, "",0),AND( F1782="Sealant", I1782="Roll-up Screen"), _xlfn.XLOOKUP(C1782, calc_rusacc!$C$15:$C$65, calc_rusacc!$AF$15:$AF$65, "",0),  AND( F1782="Main Chain", I1782="Accordion Screen"), _xlfn.XLOOKUP(C1782, calc_rusacc!$C$15:$C$65, calc_rusacc!$BF$15:$BF$65, "",0), AND( F1782="Sealant", I1782="Accordion Screen"), _xlfn.XLOOKUP(C1782, calc_rusacc!$C$15:$C$65, calc_rusacc!$BJ$15:$BJ$65, "",0),  F1782="Sealant", _xlfn.XLOOKUP(C1782, dd_accsrycalc!$A$2:$A$51, dd_accsrycalc!$G$2:$G$51, "",0),  F1782&lt;&gt;"",L1782*_xlfn.XLOOKUP(1, (SKUs!$C$2:$C$10001=G1782)*(SKUs!$K$2:$K$10001=I1782),SKUs!$E$2:$E$10001)), 0),"")</f>
        <v/>
      </c>
      <c r="E1782" s="35" t="str">
        <f>_xlfn.XLOOKUP(F1782,dd_item!$B$2:$B$105,dd_item!$C$2:$C$105,"",0)</f>
        <v/>
      </c>
      <c r="F1782" s="35"/>
      <c r="G1782" s="35" cm="1">
        <f t="array" ref="G1782">IFERROR(_xlfn.XLOOKUP(1, (SKUs!$J$2:$J$10001=accsry_unmerged!F1782)*IF(H1782&lt;&gt;"",(SKUs!$L$2:$L$10001=accsry_unmerged!H1782),1)*(SKUs!$K$2:$K$10001=I1782),SKUs!$C$2:$C$10001),"")</f>
        <v>0</v>
      </c>
      <c r="H1782" s="36" cm="1">
        <f t="array" ref="H1782">IFERROR(_xlfn.XLOOKUP(1, (dd_accsryclr!$C$2:$C$1000=accsry_unmerged!F1782)*(dd_accsryclr!$B$2:$B$1000=accsry_unmerged!J1782),dd_accsryclr!$A$2:$A$1000),"")</f>
        <v>0</v>
      </c>
      <c r="I1782" s="35">
        <f>_xlfn.XLOOKUP(C1782,'Project Details'!$C$17:$C$66,'Project Details'!$E$17:$E$66,"",0)</f>
        <v>0</v>
      </c>
      <c r="J1782" s="35">
        <f>_xlfn.XLOOKUP(C1782,'Project Details'!$C$17:$C$66,'Project Details'!$H$17:$H$66,"",0)</f>
        <v>0</v>
      </c>
      <c r="K1782" s="36" t="str">
        <f>IF(AND(_xlfn.XLOOKUP(C1782,'Project Details'!$C$17:$C$66,'Project Details'!$L$17:$L$66,"",0)&gt;550, F1782="Spring-L27cm"),"",SUBSTITUTE(_xlfn.XLOOKUP(G1782,SKUs!$C$2:$C$10001,SKUs!$F$2:$F$10001,"",0), " Accessories",""))</f>
        <v/>
      </c>
      <c r="L1782" s="36">
        <f>_xlfn.XLOOKUP(C1782,'Project Details'!$C$17:$C$66,'Project Details'!$D$17:$D$66,"",0)</f>
        <v>0</v>
      </c>
      <c r="M1782" s="43"/>
    </row>
    <row r="1783" spans="1:13" x14ac:dyDescent="0.25">
      <c r="A1783" s="43"/>
      <c r="B1783" s="43"/>
      <c r="C1783" s="16">
        <f t="shared" si="34"/>
        <v>36</v>
      </c>
      <c r="D1783" s="16" t="str" cm="1">
        <f t="array" ref="D1783">IFERROR(ROUNDUP(_xlfn.IFS(F1783="Aluminum Track", _xlfn.XLOOKUP(C1783, dd_accsrycalc!$A$2:$A$51, dd_accsrycalc!$B$2:$B$51, "",0), F1783="10 x 2 1/2 S (Flat)", _xlfn.XLOOKUP(C1783, dd_accsrycalc!$A$2:$A$51, dd_accsrycalc!$C$2:$C$51, "",0), F1783="Tox6", _xlfn.XLOOKUP(C1783, dd_accsrycalc!$A$2:$A$51, dd_accsrycalc!$D$2:$D$51, "",0), F1783="Cover Cap", _xlfn.XLOOKUP(C1783, dd_accsrycalc!$A$2:$A$51, dd_accsrycalc!$E$2:$E$51, "",0), F1783="Drainage Cover", _xlfn.XLOOKUP(C1783, dd_accsrycalc!$A$2:$A$51, dd_accsrycalc!$F$2:$F$51, "",0),AND( F1783="Double Adhesive Tape", I1783="Roll-up Screen"), _xlfn.XLOOKUP(C1783, calc_rusacc!$C$15:$C$65, calc_rusacc!$AD$15:$AD$65, "",0),AND( F1783="Sealant", I1783="Roll-up Screen"), _xlfn.XLOOKUP(C1783, calc_rusacc!$C$15:$C$65, calc_rusacc!$AF$15:$AF$65, "",0),  AND( F1783="Main Chain", I1783="Accordion Screen"), _xlfn.XLOOKUP(C1783, calc_rusacc!$C$15:$C$65, calc_rusacc!$BF$15:$BF$65, "",0), AND( F1783="Sealant", I1783="Accordion Screen"), _xlfn.XLOOKUP(C1783, calc_rusacc!$C$15:$C$65, calc_rusacc!$BJ$15:$BJ$65, "",0),  F1783="Sealant", _xlfn.XLOOKUP(C1783, dd_accsrycalc!$A$2:$A$51, dd_accsrycalc!$G$2:$G$51, "",0),  F1783&lt;&gt;"",L1783*_xlfn.XLOOKUP(1, (SKUs!$C$2:$C$10001=G1783)*(SKUs!$K$2:$K$10001=I1783),SKUs!$E$2:$E$10001)), 0),"")</f>
        <v/>
      </c>
      <c r="E1783" s="16" t="str">
        <f>_xlfn.XLOOKUP(F1783,dd_item!$B$2:$B$105,dd_item!$C$2:$C$105,"",0)</f>
        <v/>
      </c>
      <c r="F1783" s="16"/>
      <c r="G1783" s="16" cm="1">
        <f t="array" ref="G1783">IFERROR(_xlfn.XLOOKUP(1, (SKUs!$J$2:$J$10001=accsry_unmerged!F1783)*IF(H1783&lt;&gt;"",(SKUs!$L$2:$L$10001=accsry_unmerged!H1783),1)*(SKUs!$K$2:$K$10001=I1783),SKUs!$C$2:$C$10001),"")</f>
        <v>0</v>
      </c>
      <c r="H1783" s="33" cm="1">
        <f t="array" ref="H1783">IFERROR(_xlfn.XLOOKUP(1, (dd_accsryclr!$C$2:$C$1000=accsry_unmerged!F1783)*(dd_accsryclr!$B$2:$B$1000=accsry_unmerged!J1783),dd_accsryclr!$A$2:$A$1000),"")</f>
        <v>0</v>
      </c>
      <c r="I1783" s="16">
        <f>_xlfn.XLOOKUP(C1783,'Project Details'!$C$17:$C$66,'Project Details'!$E$17:$E$66,"",0)</f>
        <v>0</v>
      </c>
      <c r="J1783" s="16">
        <f>_xlfn.XLOOKUP(C1783,'Project Details'!$C$17:$C$66,'Project Details'!$H$17:$H$66,"",0)</f>
        <v>0</v>
      </c>
      <c r="K1783" s="33" t="str">
        <f>IF(AND(_xlfn.XLOOKUP(C1783,'Project Details'!$C$17:$C$66,'Project Details'!$L$17:$L$66,"",0)&gt;550, F1783="Spring-L27cm"),"",SUBSTITUTE(_xlfn.XLOOKUP(G1783,SKUs!$C$2:$C$10001,SKUs!$F$2:$F$10001,"",0), " Accessories",""))</f>
        <v/>
      </c>
      <c r="L1783" s="33">
        <f>_xlfn.XLOOKUP(C1783,'Project Details'!$C$17:$C$66,'Project Details'!$D$17:$D$66,"",0)</f>
        <v>0</v>
      </c>
      <c r="M1783" s="43"/>
    </row>
    <row r="1784" spans="1:13" ht="13.5" customHeight="1" x14ac:dyDescent="0.25">
      <c r="A1784" s="43"/>
      <c r="B1784" s="43"/>
      <c r="C1784" s="35">
        <f t="shared" si="34"/>
        <v>36</v>
      </c>
      <c r="D1784" s="35" t="str" cm="1">
        <f t="array" ref="D1784">IFERROR(ROUNDUP(_xlfn.IFS(F1784="Aluminum Track", _xlfn.XLOOKUP(C1784, dd_accsrycalc!$A$2:$A$51, dd_accsrycalc!$B$2:$B$51, "",0), F1784="10 x 2 1/2 S (Flat)", _xlfn.XLOOKUP(C1784, dd_accsrycalc!$A$2:$A$51, dd_accsrycalc!$C$2:$C$51, "",0), F1784="Tox6", _xlfn.XLOOKUP(C1784, dd_accsrycalc!$A$2:$A$51, dd_accsrycalc!$D$2:$D$51, "",0), F1784="Cover Cap", _xlfn.XLOOKUP(C1784, dd_accsrycalc!$A$2:$A$51, dd_accsrycalc!$E$2:$E$51, "",0), F1784="Drainage Cover", _xlfn.XLOOKUP(C1784, dd_accsrycalc!$A$2:$A$51, dd_accsrycalc!$F$2:$F$51, "",0),AND( F1784="Double Adhesive Tape", I1784="Roll-up Screen"), _xlfn.XLOOKUP(C1784, calc_rusacc!$C$15:$C$65, calc_rusacc!$AD$15:$AD$65, "",0),AND( F1784="Sealant", I1784="Roll-up Screen"), _xlfn.XLOOKUP(C1784, calc_rusacc!$C$15:$C$65, calc_rusacc!$AF$15:$AF$65, "",0),  AND( F1784="Main Chain", I1784="Accordion Screen"), _xlfn.XLOOKUP(C1784, calc_rusacc!$C$15:$C$65, calc_rusacc!$BF$15:$BF$65, "",0), AND( F1784="Sealant", I1784="Accordion Screen"), _xlfn.XLOOKUP(C1784, calc_rusacc!$C$15:$C$65, calc_rusacc!$BJ$15:$BJ$65, "",0),  F1784="Sealant", _xlfn.XLOOKUP(C1784, dd_accsrycalc!$A$2:$A$51, dd_accsrycalc!$G$2:$G$51, "",0),  F1784&lt;&gt;"",L1784*_xlfn.XLOOKUP(1, (SKUs!$C$2:$C$10001=G1784)*(SKUs!$K$2:$K$10001=I1784),SKUs!$E$2:$E$10001)), 0),"")</f>
        <v/>
      </c>
      <c r="E1784" s="35" t="str">
        <f>_xlfn.XLOOKUP(F1784,dd_item!$B$2:$B$105,dd_item!$C$2:$C$105,"",0)</f>
        <v/>
      </c>
      <c r="F1784" s="35"/>
      <c r="G1784" s="35" cm="1">
        <f t="array" ref="G1784">IFERROR(_xlfn.XLOOKUP(1, (SKUs!$J$2:$J$10001=accsry_unmerged!F1784)*IF(H1784&lt;&gt;"",(SKUs!$L$2:$L$10001=accsry_unmerged!H1784),1)*(SKUs!$K$2:$K$10001=I1784),SKUs!$C$2:$C$10001),"")</f>
        <v>0</v>
      </c>
      <c r="H1784" s="36" cm="1">
        <f t="array" ref="H1784">IFERROR(_xlfn.XLOOKUP(1, (dd_accsryclr!$C$2:$C$1000=accsry_unmerged!F1784)*(dd_accsryclr!$B$2:$B$1000=accsry_unmerged!J1784),dd_accsryclr!$A$2:$A$1000),"")</f>
        <v>0</v>
      </c>
      <c r="I1784" s="35">
        <f>_xlfn.XLOOKUP(C1784,'Project Details'!$C$17:$C$66,'Project Details'!$E$17:$E$66,"",0)</f>
        <v>0</v>
      </c>
      <c r="J1784" s="35">
        <f>_xlfn.XLOOKUP(C1784,'Project Details'!$C$17:$C$66,'Project Details'!$H$17:$H$66,"",0)</f>
        <v>0</v>
      </c>
      <c r="K1784" s="36" t="str">
        <f>IF(AND(_xlfn.XLOOKUP(C1784,'Project Details'!$C$17:$C$66,'Project Details'!$L$17:$L$66,"",0)&gt;550, F1784="Spring-L27cm"),"",SUBSTITUTE(_xlfn.XLOOKUP(G1784,SKUs!$C$2:$C$10001,SKUs!$F$2:$F$10001,"",0), " Accessories",""))</f>
        <v/>
      </c>
      <c r="L1784" s="36">
        <f>_xlfn.XLOOKUP(C1784,'Project Details'!$C$17:$C$66,'Project Details'!$D$17:$D$66,"",0)</f>
        <v>0</v>
      </c>
      <c r="M1784" s="43"/>
    </row>
    <row r="1785" spans="1:13" ht="13.5" customHeight="1" x14ac:dyDescent="0.25">
      <c r="A1785" s="43"/>
      <c r="B1785" s="43"/>
      <c r="C1785" s="16">
        <f t="shared" si="34"/>
        <v>36</v>
      </c>
      <c r="D1785" s="16" t="str" cm="1">
        <f t="array" ref="D1785">IFERROR(ROUNDUP(_xlfn.IFS(F1785="Aluminum Track", _xlfn.XLOOKUP(C1785, dd_accsrycalc!$A$2:$A$51, dd_accsrycalc!$B$2:$B$51, "",0), F1785="10 x 2 1/2 S (Flat)", _xlfn.XLOOKUP(C1785, dd_accsrycalc!$A$2:$A$51, dd_accsrycalc!$C$2:$C$51, "",0), F1785="Tox6", _xlfn.XLOOKUP(C1785, dd_accsrycalc!$A$2:$A$51, dd_accsrycalc!$D$2:$D$51, "",0), F1785="Cover Cap", _xlfn.XLOOKUP(C1785, dd_accsrycalc!$A$2:$A$51, dd_accsrycalc!$E$2:$E$51, "",0), F1785="Drainage Cover", _xlfn.XLOOKUP(C1785, dd_accsrycalc!$A$2:$A$51, dd_accsrycalc!$F$2:$F$51, "",0),AND( F1785="Double Adhesive Tape", I1785="Roll-up Screen"), _xlfn.XLOOKUP(C1785, calc_rusacc!$C$15:$C$65, calc_rusacc!$AD$15:$AD$65, "",0),AND( F1785="Sealant", I1785="Roll-up Screen"), _xlfn.XLOOKUP(C1785, calc_rusacc!$C$15:$C$65, calc_rusacc!$AF$15:$AF$65, "",0),  AND( F1785="Main Chain", I1785="Accordion Screen"), _xlfn.XLOOKUP(C1785, calc_rusacc!$C$15:$C$65, calc_rusacc!$BF$15:$BF$65, "",0), AND( F1785="Sealant", I1785="Accordion Screen"), _xlfn.XLOOKUP(C1785, calc_rusacc!$C$15:$C$65, calc_rusacc!$BJ$15:$BJ$65, "",0),  F1785="Sealant", _xlfn.XLOOKUP(C1785, dd_accsrycalc!$A$2:$A$51, dd_accsrycalc!$G$2:$G$51, "",0),  F1785&lt;&gt;"",L1785*_xlfn.XLOOKUP(1, (SKUs!$C$2:$C$10001=G1785)*(SKUs!$K$2:$K$10001=I1785),SKUs!$E$2:$E$10001)), 0),"")</f>
        <v/>
      </c>
      <c r="E1785" s="16" t="str">
        <f>_xlfn.XLOOKUP(F1785,dd_item!$B$2:$B$105,dd_item!$C$2:$C$105,"",0)</f>
        <v/>
      </c>
      <c r="F1785" s="16"/>
      <c r="G1785" s="16" cm="1">
        <f t="array" ref="G1785">IFERROR(_xlfn.XLOOKUP(1, (SKUs!$J$2:$J$10001=accsry_unmerged!F1785)*IF(H1785&lt;&gt;"",(SKUs!$L$2:$L$10001=accsry_unmerged!H1785),1)*(SKUs!$K$2:$K$10001=I1785),SKUs!$C$2:$C$10001),"")</f>
        <v>0</v>
      </c>
      <c r="H1785" s="33" cm="1">
        <f t="array" ref="H1785">IFERROR(_xlfn.XLOOKUP(1, (dd_accsryclr!$C$2:$C$1000=accsry_unmerged!F1785)*(dd_accsryclr!$B$2:$B$1000=accsry_unmerged!J1785),dd_accsryclr!$A$2:$A$1000),"")</f>
        <v>0</v>
      </c>
      <c r="I1785" s="16">
        <f>_xlfn.XLOOKUP(C1785,'Project Details'!$C$17:$C$66,'Project Details'!$E$17:$E$66,"",0)</f>
        <v>0</v>
      </c>
      <c r="J1785" s="16">
        <f>_xlfn.XLOOKUP(C1785,'Project Details'!$C$17:$C$66,'Project Details'!$H$17:$H$66,"",0)</f>
        <v>0</v>
      </c>
      <c r="K1785" s="33" t="str">
        <f>IF(AND(_xlfn.XLOOKUP(C1785,'Project Details'!$C$17:$C$66,'Project Details'!$L$17:$L$66,"",0)&gt;550, F1785="Spring-L27cm"),"",SUBSTITUTE(_xlfn.XLOOKUP(G1785,SKUs!$C$2:$C$10001,SKUs!$F$2:$F$10001,"",0), " Accessories",""))</f>
        <v/>
      </c>
      <c r="L1785" s="33">
        <f>_xlfn.XLOOKUP(C1785,'Project Details'!$C$17:$C$66,'Project Details'!$D$17:$D$66,"",0)</f>
        <v>0</v>
      </c>
      <c r="M1785" s="43"/>
    </row>
    <row r="1786" spans="1:13" ht="13.5" customHeight="1" x14ac:dyDescent="0.25">
      <c r="A1786" s="43"/>
      <c r="B1786" s="43"/>
      <c r="C1786" s="35">
        <f t="shared" si="34"/>
        <v>36</v>
      </c>
      <c r="D1786" s="35" t="str" cm="1">
        <f t="array" ref="D1786">IFERROR(ROUNDUP(_xlfn.IFS(F1786="Aluminum Track", _xlfn.XLOOKUP(C1786, dd_accsrycalc!$A$2:$A$51, dd_accsrycalc!$B$2:$B$51, "",0), F1786="10 x 2 1/2 S (Flat)", _xlfn.XLOOKUP(C1786, dd_accsrycalc!$A$2:$A$51, dd_accsrycalc!$C$2:$C$51, "",0), F1786="Tox6", _xlfn.XLOOKUP(C1786, dd_accsrycalc!$A$2:$A$51, dd_accsrycalc!$D$2:$D$51, "",0), F1786="Cover Cap", _xlfn.XLOOKUP(C1786, dd_accsrycalc!$A$2:$A$51, dd_accsrycalc!$E$2:$E$51, "",0), F1786="Drainage Cover", _xlfn.XLOOKUP(C1786, dd_accsrycalc!$A$2:$A$51, dd_accsrycalc!$F$2:$F$51, "",0),AND( F1786="Double Adhesive Tape", I1786="Roll-up Screen"), _xlfn.XLOOKUP(C1786, calc_rusacc!$C$15:$C$65, calc_rusacc!$AD$15:$AD$65, "",0),AND( F1786="Sealant", I1786="Roll-up Screen"), _xlfn.XLOOKUP(C1786, calc_rusacc!$C$15:$C$65, calc_rusacc!$AF$15:$AF$65, "",0),  AND( F1786="Main Chain", I1786="Accordion Screen"), _xlfn.XLOOKUP(C1786, calc_rusacc!$C$15:$C$65, calc_rusacc!$BF$15:$BF$65, "",0), AND( F1786="Sealant", I1786="Accordion Screen"), _xlfn.XLOOKUP(C1786, calc_rusacc!$C$15:$C$65, calc_rusacc!$BJ$15:$BJ$65, "",0),  F1786="Sealant", _xlfn.XLOOKUP(C1786, dd_accsrycalc!$A$2:$A$51, dd_accsrycalc!$G$2:$G$51, "",0),  F1786&lt;&gt;"",L1786*_xlfn.XLOOKUP(1, (SKUs!$C$2:$C$10001=G1786)*(SKUs!$K$2:$K$10001=I1786),SKUs!$E$2:$E$10001)), 0),"")</f>
        <v/>
      </c>
      <c r="E1786" s="35" t="str">
        <f>_xlfn.XLOOKUP(F1786,dd_item!$B$2:$B$105,dd_item!$C$2:$C$105,"",0)</f>
        <v/>
      </c>
      <c r="F1786" s="35"/>
      <c r="G1786" s="35" cm="1">
        <f t="array" ref="G1786">IFERROR(_xlfn.XLOOKUP(1, (SKUs!$J$2:$J$10001=accsry_unmerged!F1786)*IF(H1786&lt;&gt;"",(SKUs!$L$2:$L$10001=accsry_unmerged!H1786),1)*(SKUs!$K$2:$K$10001=I1786),SKUs!$C$2:$C$10001),"")</f>
        <v>0</v>
      </c>
      <c r="H1786" s="36" cm="1">
        <f t="array" ref="H1786">IFERROR(_xlfn.XLOOKUP(1, (dd_accsryclr!$C$2:$C$1000=accsry_unmerged!F1786)*(dd_accsryclr!$B$2:$B$1000=accsry_unmerged!J1786),dd_accsryclr!$A$2:$A$1000),"")</f>
        <v>0</v>
      </c>
      <c r="I1786" s="35">
        <f>_xlfn.XLOOKUP(C1786,'Project Details'!$C$17:$C$66,'Project Details'!$E$17:$E$66,"",0)</f>
        <v>0</v>
      </c>
      <c r="J1786" s="35">
        <f>_xlfn.XLOOKUP(C1786,'Project Details'!$C$17:$C$66,'Project Details'!$H$17:$H$66,"",0)</f>
        <v>0</v>
      </c>
      <c r="K1786" s="36" t="str">
        <f>IF(AND(_xlfn.XLOOKUP(C1786,'Project Details'!$C$17:$C$66,'Project Details'!$L$17:$L$66,"",0)&gt;550, F1786="Spring-L27cm"),"",SUBSTITUTE(_xlfn.XLOOKUP(G1786,SKUs!$C$2:$C$10001,SKUs!$F$2:$F$10001,"",0), " Accessories",""))</f>
        <v/>
      </c>
      <c r="L1786" s="36">
        <f>_xlfn.XLOOKUP(C1786,'Project Details'!$C$17:$C$66,'Project Details'!$D$17:$D$66,"",0)</f>
        <v>0</v>
      </c>
      <c r="M1786" s="43"/>
    </row>
    <row r="1787" spans="1:13" ht="13.5" customHeight="1" x14ac:dyDescent="0.25">
      <c r="A1787" s="43"/>
      <c r="B1787" s="43"/>
      <c r="C1787" s="16">
        <f t="shared" si="34"/>
        <v>36</v>
      </c>
      <c r="D1787" s="16" t="str" cm="1">
        <f t="array" ref="D1787">IFERROR(ROUNDUP(_xlfn.IFS(F1787="Aluminum Track", _xlfn.XLOOKUP(C1787, dd_accsrycalc!$A$2:$A$51, dd_accsrycalc!$B$2:$B$51, "",0), F1787="10 x 2 1/2 S (Flat)", _xlfn.XLOOKUP(C1787, dd_accsrycalc!$A$2:$A$51, dd_accsrycalc!$C$2:$C$51, "",0), F1787="Tox6", _xlfn.XLOOKUP(C1787, dd_accsrycalc!$A$2:$A$51, dd_accsrycalc!$D$2:$D$51, "",0), F1787="Cover Cap", _xlfn.XLOOKUP(C1787, dd_accsrycalc!$A$2:$A$51, dd_accsrycalc!$E$2:$E$51, "",0), F1787="Drainage Cover", _xlfn.XLOOKUP(C1787, dd_accsrycalc!$A$2:$A$51, dd_accsrycalc!$F$2:$F$51, "",0),AND( F1787="Double Adhesive Tape", I1787="Roll-up Screen"), _xlfn.XLOOKUP(C1787, calc_rusacc!$C$15:$C$65, calc_rusacc!$AD$15:$AD$65, "",0),AND( F1787="Sealant", I1787="Roll-up Screen"), _xlfn.XLOOKUP(C1787, calc_rusacc!$C$15:$C$65, calc_rusacc!$AF$15:$AF$65, "",0),  AND( F1787="Main Chain", I1787="Accordion Screen"), _xlfn.XLOOKUP(C1787, calc_rusacc!$C$15:$C$65, calc_rusacc!$BF$15:$BF$65, "",0), AND( F1787="Sealant", I1787="Accordion Screen"), _xlfn.XLOOKUP(C1787, calc_rusacc!$C$15:$C$65, calc_rusacc!$BJ$15:$BJ$65, "",0),  F1787="Sealant", _xlfn.XLOOKUP(C1787, dd_accsrycalc!$A$2:$A$51, dd_accsrycalc!$G$2:$G$51, "",0),  F1787&lt;&gt;"",L1787*_xlfn.XLOOKUP(1, (SKUs!$C$2:$C$10001=G1787)*(SKUs!$K$2:$K$10001=I1787),SKUs!$E$2:$E$10001)), 0),"")</f>
        <v/>
      </c>
      <c r="E1787" s="16" t="str">
        <f>_xlfn.XLOOKUP(F1787,dd_item!$B$2:$B$105,dd_item!$C$2:$C$105,"",0)</f>
        <v/>
      </c>
      <c r="F1787" s="16"/>
      <c r="G1787" s="16" cm="1">
        <f t="array" ref="G1787">IFERROR(_xlfn.XLOOKUP(1, (SKUs!$J$2:$J$10001=accsry_unmerged!F1787)*IF(H1787&lt;&gt;"",(SKUs!$L$2:$L$10001=accsry_unmerged!H1787),1)*(SKUs!$K$2:$K$10001=I1787),SKUs!$C$2:$C$10001),"")</f>
        <v>0</v>
      </c>
      <c r="H1787" s="33" cm="1">
        <f t="array" ref="H1787">IFERROR(_xlfn.XLOOKUP(1, (dd_accsryclr!$C$2:$C$1000=accsry_unmerged!F1787)*(dd_accsryclr!$B$2:$B$1000=accsry_unmerged!J1787),dd_accsryclr!$A$2:$A$1000),"")</f>
        <v>0</v>
      </c>
      <c r="I1787" s="16">
        <f>_xlfn.XLOOKUP(C1787,'Project Details'!$C$17:$C$66,'Project Details'!$E$17:$E$66,"",0)</f>
        <v>0</v>
      </c>
      <c r="J1787" s="16">
        <f>_xlfn.XLOOKUP(C1787,'Project Details'!$C$17:$C$66,'Project Details'!$H$17:$H$66,"",0)</f>
        <v>0</v>
      </c>
      <c r="K1787" s="33" t="str">
        <f>IF(AND(_xlfn.XLOOKUP(C1787,'Project Details'!$C$17:$C$66,'Project Details'!$L$17:$L$66,"",0)&gt;550, F1787="Spring-L27cm"),"",SUBSTITUTE(_xlfn.XLOOKUP(G1787,SKUs!$C$2:$C$10001,SKUs!$F$2:$F$10001,"",0), " Accessories",""))</f>
        <v/>
      </c>
      <c r="L1787" s="33">
        <f>_xlfn.XLOOKUP(C1787,'Project Details'!$C$17:$C$66,'Project Details'!$D$17:$D$66,"",0)</f>
        <v>0</v>
      </c>
      <c r="M1787" s="43"/>
    </row>
    <row r="1788" spans="1:13" ht="13.5" customHeight="1" x14ac:dyDescent="0.25">
      <c r="A1788" s="43"/>
      <c r="B1788" s="43"/>
      <c r="C1788" s="35">
        <f t="shared" si="34"/>
        <v>36</v>
      </c>
      <c r="D1788" s="35" t="str" cm="1">
        <f t="array" ref="D1788">IFERROR(ROUNDUP(_xlfn.IFS(F1788="Aluminum Track", _xlfn.XLOOKUP(C1788, dd_accsrycalc!$A$2:$A$51, dd_accsrycalc!$B$2:$B$51, "",0), F1788="10 x 2 1/2 S (Flat)", _xlfn.XLOOKUP(C1788, dd_accsrycalc!$A$2:$A$51, dd_accsrycalc!$C$2:$C$51, "",0), F1788="Tox6", _xlfn.XLOOKUP(C1788, dd_accsrycalc!$A$2:$A$51, dd_accsrycalc!$D$2:$D$51, "",0), F1788="Cover Cap", _xlfn.XLOOKUP(C1788, dd_accsrycalc!$A$2:$A$51, dd_accsrycalc!$E$2:$E$51, "",0), F1788="Drainage Cover", _xlfn.XLOOKUP(C1788, dd_accsrycalc!$A$2:$A$51, dd_accsrycalc!$F$2:$F$51, "",0),AND( F1788="Double Adhesive Tape", I1788="Roll-up Screen"), _xlfn.XLOOKUP(C1788, calc_rusacc!$C$15:$C$65, calc_rusacc!$AD$15:$AD$65, "",0),AND( F1788="Sealant", I1788="Roll-up Screen"), _xlfn.XLOOKUP(C1788, calc_rusacc!$C$15:$C$65, calc_rusacc!$AF$15:$AF$65, "",0),  AND( F1788="Main Chain", I1788="Accordion Screen"), _xlfn.XLOOKUP(C1788, calc_rusacc!$C$15:$C$65, calc_rusacc!$BF$15:$BF$65, "",0), AND( F1788="Sealant", I1788="Accordion Screen"), _xlfn.XLOOKUP(C1788, calc_rusacc!$C$15:$C$65, calc_rusacc!$BJ$15:$BJ$65, "",0),  F1788="Sealant", _xlfn.XLOOKUP(C1788, dd_accsrycalc!$A$2:$A$51, dd_accsrycalc!$G$2:$G$51, "",0),  F1788&lt;&gt;"",L1788*_xlfn.XLOOKUP(1, (SKUs!$C$2:$C$10001=G1788)*(SKUs!$K$2:$K$10001=I1788),SKUs!$E$2:$E$10001)), 0),"")</f>
        <v/>
      </c>
      <c r="E1788" s="35" t="str">
        <f>_xlfn.XLOOKUP(F1788,dd_item!$B$2:$B$105,dd_item!$C$2:$C$105,"",0)</f>
        <v/>
      </c>
      <c r="F1788" s="35"/>
      <c r="G1788" s="35" cm="1">
        <f t="array" ref="G1788">IFERROR(_xlfn.XLOOKUP(1, (SKUs!$J$2:$J$10001=accsry_unmerged!F1788)*IF(H1788&lt;&gt;"",(SKUs!$L$2:$L$10001=accsry_unmerged!H1788),1)*(SKUs!$K$2:$K$10001=I1788),SKUs!$C$2:$C$10001),"")</f>
        <v>0</v>
      </c>
      <c r="H1788" s="36" cm="1">
        <f t="array" ref="H1788">IFERROR(_xlfn.XLOOKUP(1, (dd_accsryclr!$C$2:$C$1000=accsry_unmerged!F1788)*(dd_accsryclr!$B$2:$B$1000=accsry_unmerged!J1788),dd_accsryclr!$A$2:$A$1000),"")</f>
        <v>0</v>
      </c>
      <c r="I1788" s="35">
        <f>_xlfn.XLOOKUP(C1788,'Project Details'!$C$17:$C$66,'Project Details'!$E$17:$E$66,"",0)</f>
        <v>0</v>
      </c>
      <c r="J1788" s="35">
        <f>_xlfn.XLOOKUP(C1788,'Project Details'!$C$17:$C$66,'Project Details'!$H$17:$H$66,"",0)</f>
        <v>0</v>
      </c>
      <c r="K1788" s="36" t="str">
        <f>IF(AND(_xlfn.XLOOKUP(C1788,'Project Details'!$C$17:$C$66,'Project Details'!$L$17:$L$66,"",0)&gt;550, F1788="Spring-L27cm"),"",SUBSTITUTE(_xlfn.XLOOKUP(G1788,SKUs!$C$2:$C$10001,SKUs!$F$2:$F$10001,"",0), " Accessories",""))</f>
        <v/>
      </c>
      <c r="L1788" s="36">
        <f>_xlfn.XLOOKUP(C1788,'Project Details'!$C$17:$C$66,'Project Details'!$D$17:$D$66,"",0)</f>
        <v>0</v>
      </c>
      <c r="M1788" s="43"/>
    </row>
    <row r="1789" spans="1:13" ht="13.5" customHeight="1" x14ac:dyDescent="0.25">
      <c r="A1789" s="43"/>
      <c r="B1789" s="43"/>
      <c r="C1789" s="16">
        <f t="shared" si="34"/>
        <v>36</v>
      </c>
      <c r="D1789" s="16" t="str" cm="1">
        <f t="array" ref="D1789">IFERROR(ROUNDUP(_xlfn.IFS(F1789="Aluminum Track", _xlfn.XLOOKUP(C1789, dd_accsrycalc!$A$2:$A$51, dd_accsrycalc!$B$2:$B$51, "",0), F1789="10 x 2 1/2 S (Flat)", _xlfn.XLOOKUP(C1789, dd_accsrycalc!$A$2:$A$51, dd_accsrycalc!$C$2:$C$51, "",0), F1789="Tox6", _xlfn.XLOOKUP(C1789, dd_accsrycalc!$A$2:$A$51, dd_accsrycalc!$D$2:$D$51, "",0), F1789="Cover Cap", _xlfn.XLOOKUP(C1789, dd_accsrycalc!$A$2:$A$51, dd_accsrycalc!$E$2:$E$51, "",0), F1789="Drainage Cover", _xlfn.XLOOKUP(C1789, dd_accsrycalc!$A$2:$A$51, dd_accsrycalc!$F$2:$F$51, "",0),AND( F1789="Double Adhesive Tape", I1789="Roll-up Screen"), _xlfn.XLOOKUP(C1789, calc_rusacc!$C$15:$C$65, calc_rusacc!$AD$15:$AD$65, "",0),AND( F1789="Sealant", I1789="Roll-up Screen"), _xlfn.XLOOKUP(C1789, calc_rusacc!$C$15:$C$65, calc_rusacc!$AF$15:$AF$65, "",0),  AND( F1789="Main Chain", I1789="Accordion Screen"), _xlfn.XLOOKUP(C1789, calc_rusacc!$C$15:$C$65, calc_rusacc!$BF$15:$BF$65, "",0), AND( F1789="Sealant", I1789="Accordion Screen"), _xlfn.XLOOKUP(C1789, calc_rusacc!$C$15:$C$65, calc_rusacc!$BJ$15:$BJ$65, "",0),  F1789="Sealant", _xlfn.XLOOKUP(C1789, dd_accsrycalc!$A$2:$A$51, dd_accsrycalc!$G$2:$G$51, "",0),  F1789&lt;&gt;"",L1789*_xlfn.XLOOKUP(1, (SKUs!$C$2:$C$10001=G1789)*(SKUs!$K$2:$K$10001=I1789),SKUs!$E$2:$E$10001)), 0),"")</f>
        <v/>
      </c>
      <c r="E1789" s="16" t="str">
        <f>_xlfn.XLOOKUP(F1789,dd_item!$B$2:$B$105,dd_item!$C$2:$C$105,"",0)</f>
        <v/>
      </c>
      <c r="F1789" s="16"/>
      <c r="G1789" s="16" cm="1">
        <f t="array" ref="G1789">IFERROR(_xlfn.XLOOKUP(1, (SKUs!$J$2:$J$10001=accsry_unmerged!F1789)*IF(H1789&lt;&gt;"",(SKUs!$L$2:$L$10001=accsry_unmerged!H1789),1)*(SKUs!$K$2:$K$10001=I1789),SKUs!$C$2:$C$10001),"")</f>
        <v>0</v>
      </c>
      <c r="H1789" s="33" cm="1">
        <f t="array" ref="H1789">IFERROR(_xlfn.XLOOKUP(1, (dd_accsryclr!$C$2:$C$1000=accsry_unmerged!F1789)*(dd_accsryclr!$B$2:$B$1000=accsry_unmerged!J1789),dd_accsryclr!$A$2:$A$1000),"")</f>
        <v>0</v>
      </c>
      <c r="I1789" s="16">
        <f>_xlfn.XLOOKUP(C1789,'Project Details'!$C$17:$C$66,'Project Details'!$E$17:$E$66,"",0)</f>
        <v>0</v>
      </c>
      <c r="J1789" s="16">
        <f>_xlfn.XLOOKUP(C1789,'Project Details'!$C$17:$C$66,'Project Details'!$H$17:$H$66,"",0)</f>
        <v>0</v>
      </c>
      <c r="K1789" s="33" t="str">
        <f>IF(AND(_xlfn.XLOOKUP(C1789,'Project Details'!$C$17:$C$66,'Project Details'!$L$17:$L$66,"",0)&gt;550, F1789="Spring-L27cm"),"",SUBSTITUTE(_xlfn.XLOOKUP(G1789,SKUs!$C$2:$C$10001,SKUs!$F$2:$F$10001,"",0), " Accessories",""))</f>
        <v/>
      </c>
      <c r="L1789" s="33">
        <f>_xlfn.XLOOKUP(C1789,'Project Details'!$C$17:$C$66,'Project Details'!$D$17:$D$66,"",0)</f>
        <v>0</v>
      </c>
      <c r="M1789" s="43"/>
    </row>
    <row r="1790" spans="1:13" ht="13.5" customHeight="1" x14ac:dyDescent="0.25">
      <c r="A1790" s="43"/>
      <c r="B1790" s="43"/>
      <c r="C1790" s="35">
        <f t="shared" si="34"/>
        <v>36</v>
      </c>
      <c r="D1790" s="35" t="str" cm="1">
        <f t="array" ref="D1790">IFERROR(ROUNDUP(_xlfn.IFS(F1790="Aluminum Track", _xlfn.XLOOKUP(C1790, dd_accsrycalc!$A$2:$A$51, dd_accsrycalc!$B$2:$B$51, "",0), F1790="10 x 2 1/2 S (Flat)", _xlfn.XLOOKUP(C1790, dd_accsrycalc!$A$2:$A$51, dd_accsrycalc!$C$2:$C$51, "",0), F1790="Tox6", _xlfn.XLOOKUP(C1790, dd_accsrycalc!$A$2:$A$51, dd_accsrycalc!$D$2:$D$51, "",0), F1790="Cover Cap", _xlfn.XLOOKUP(C1790, dd_accsrycalc!$A$2:$A$51, dd_accsrycalc!$E$2:$E$51, "",0), F1790="Drainage Cover", _xlfn.XLOOKUP(C1790, dd_accsrycalc!$A$2:$A$51, dd_accsrycalc!$F$2:$F$51, "",0),AND( F1790="Double Adhesive Tape", I1790="Roll-up Screen"), _xlfn.XLOOKUP(C1790, calc_rusacc!$C$15:$C$65, calc_rusacc!$AD$15:$AD$65, "",0),AND( F1790="Sealant", I1790="Roll-up Screen"), _xlfn.XLOOKUP(C1790, calc_rusacc!$C$15:$C$65, calc_rusacc!$AF$15:$AF$65, "",0),  AND( F1790="Main Chain", I1790="Accordion Screen"), _xlfn.XLOOKUP(C1790, calc_rusacc!$C$15:$C$65, calc_rusacc!$BF$15:$BF$65, "",0), AND( F1790="Sealant", I1790="Accordion Screen"), _xlfn.XLOOKUP(C1790, calc_rusacc!$C$15:$C$65, calc_rusacc!$BJ$15:$BJ$65, "",0),  F1790="Sealant", _xlfn.XLOOKUP(C1790, dd_accsrycalc!$A$2:$A$51, dd_accsrycalc!$G$2:$G$51, "",0),  F1790&lt;&gt;"",L1790*_xlfn.XLOOKUP(1, (SKUs!$C$2:$C$10001=G1790)*(SKUs!$K$2:$K$10001=I1790),SKUs!$E$2:$E$10001)), 0),"")</f>
        <v/>
      </c>
      <c r="E1790" s="35" t="str">
        <f>_xlfn.XLOOKUP(F1790,dd_item!$B$2:$B$105,dd_item!$C$2:$C$105,"",0)</f>
        <v/>
      </c>
      <c r="F1790" s="35"/>
      <c r="G1790" s="35" cm="1">
        <f t="array" ref="G1790">IFERROR(_xlfn.XLOOKUP(1, (SKUs!$J$2:$J$10001=accsry_unmerged!F1790)*IF(H1790&lt;&gt;"",(SKUs!$L$2:$L$10001=accsry_unmerged!H1790),1)*(SKUs!$K$2:$K$10001=I1790),SKUs!$C$2:$C$10001),"")</f>
        <v>0</v>
      </c>
      <c r="H1790" s="36" cm="1">
        <f t="array" ref="H1790">IFERROR(_xlfn.XLOOKUP(1, (dd_accsryclr!$C$2:$C$1000=accsry_unmerged!F1790)*(dd_accsryclr!$B$2:$B$1000=accsry_unmerged!J1790),dd_accsryclr!$A$2:$A$1000),"")</f>
        <v>0</v>
      </c>
      <c r="I1790" s="35">
        <f>_xlfn.XLOOKUP(C1790,'Project Details'!$C$17:$C$66,'Project Details'!$E$17:$E$66,"",0)</f>
        <v>0</v>
      </c>
      <c r="J1790" s="35">
        <f>_xlfn.XLOOKUP(C1790,'Project Details'!$C$17:$C$66,'Project Details'!$H$17:$H$66,"",0)</f>
        <v>0</v>
      </c>
      <c r="K1790" s="36" t="str">
        <f>IF(AND(_xlfn.XLOOKUP(C1790,'Project Details'!$C$17:$C$66,'Project Details'!$L$17:$L$66,"",0)&gt;550, F1790="Spring-L27cm"),"",SUBSTITUTE(_xlfn.XLOOKUP(G1790,SKUs!$C$2:$C$10001,SKUs!$F$2:$F$10001,"",0), " Accessories",""))</f>
        <v/>
      </c>
      <c r="L1790" s="36">
        <f>_xlfn.XLOOKUP(C1790,'Project Details'!$C$17:$C$66,'Project Details'!$D$17:$D$66,"",0)</f>
        <v>0</v>
      </c>
      <c r="M1790" s="43"/>
    </row>
    <row r="1791" spans="1:13" ht="13.5" customHeight="1" x14ac:dyDescent="0.25">
      <c r="A1791" s="43"/>
      <c r="B1791" s="43"/>
      <c r="C1791" s="16">
        <f t="shared" si="34"/>
        <v>36</v>
      </c>
      <c r="D1791" s="16" t="str" cm="1">
        <f t="array" ref="D1791">IFERROR(ROUNDUP(_xlfn.IFS(F1791="Aluminum Track", _xlfn.XLOOKUP(C1791, dd_accsrycalc!$A$2:$A$51, dd_accsrycalc!$B$2:$B$51, "",0), F1791="10 x 2 1/2 S (Flat)", _xlfn.XLOOKUP(C1791, dd_accsrycalc!$A$2:$A$51, dd_accsrycalc!$C$2:$C$51, "",0), F1791="Tox6", _xlfn.XLOOKUP(C1791, dd_accsrycalc!$A$2:$A$51, dd_accsrycalc!$D$2:$D$51, "",0), F1791="Cover Cap", _xlfn.XLOOKUP(C1791, dd_accsrycalc!$A$2:$A$51, dd_accsrycalc!$E$2:$E$51, "",0), F1791="Drainage Cover", _xlfn.XLOOKUP(C1791, dd_accsrycalc!$A$2:$A$51, dd_accsrycalc!$F$2:$F$51, "",0),AND( F1791="Double Adhesive Tape", I1791="Roll-up Screen"), _xlfn.XLOOKUP(C1791, calc_rusacc!$C$15:$C$65, calc_rusacc!$AD$15:$AD$65, "",0),AND( F1791="Sealant", I1791="Roll-up Screen"), _xlfn.XLOOKUP(C1791, calc_rusacc!$C$15:$C$65, calc_rusacc!$AF$15:$AF$65, "",0),  AND( F1791="Main Chain", I1791="Accordion Screen"), _xlfn.XLOOKUP(C1791, calc_rusacc!$C$15:$C$65, calc_rusacc!$BF$15:$BF$65, "",0), AND( F1791="Sealant", I1791="Accordion Screen"), _xlfn.XLOOKUP(C1791, calc_rusacc!$C$15:$C$65, calc_rusacc!$BJ$15:$BJ$65, "",0),  F1791="Sealant", _xlfn.XLOOKUP(C1791, dd_accsrycalc!$A$2:$A$51, dd_accsrycalc!$G$2:$G$51, "",0),  F1791&lt;&gt;"",L1791*_xlfn.XLOOKUP(1, (SKUs!$C$2:$C$10001=G1791)*(SKUs!$K$2:$K$10001=I1791),SKUs!$E$2:$E$10001)), 0),"")</f>
        <v/>
      </c>
      <c r="E1791" s="16" t="str">
        <f>_xlfn.XLOOKUP(F1791,dd_item!$B$2:$B$105,dd_item!$C$2:$C$105,"",0)</f>
        <v/>
      </c>
      <c r="F1791" s="16"/>
      <c r="G1791" s="16" cm="1">
        <f t="array" ref="G1791">IFERROR(_xlfn.XLOOKUP(1, (SKUs!$J$2:$J$10001=accsry_unmerged!F1791)*IF(H1791&lt;&gt;"",(SKUs!$L$2:$L$10001=accsry_unmerged!H1791),1)*(SKUs!$K$2:$K$10001=I1791),SKUs!$C$2:$C$10001),"")</f>
        <v>0</v>
      </c>
      <c r="H1791" s="33" cm="1">
        <f t="array" ref="H1791">IFERROR(_xlfn.XLOOKUP(1, (dd_accsryclr!$C$2:$C$1000=accsry_unmerged!F1791)*(dd_accsryclr!$B$2:$B$1000=accsry_unmerged!J1791),dd_accsryclr!$A$2:$A$1000),"")</f>
        <v>0</v>
      </c>
      <c r="I1791" s="16">
        <f>_xlfn.XLOOKUP(C1791,'Project Details'!$C$17:$C$66,'Project Details'!$E$17:$E$66,"",0)</f>
        <v>0</v>
      </c>
      <c r="J1791" s="16">
        <f>_xlfn.XLOOKUP(C1791,'Project Details'!$C$17:$C$66,'Project Details'!$H$17:$H$66,"",0)</f>
        <v>0</v>
      </c>
      <c r="K1791" s="33" t="str">
        <f>IF(AND(_xlfn.XLOOKUP(C1791,'Project Details'!$C$17:$C$66,'Project Details'!$L$17:$L$66,"",0)&gt;550, F1791="Spring-L27cm"),"",SUBSTITUTE(_xlfn.XLOOKUP(G1791,SKUs!$C$2:$C$10001,SKUs!$F$2:$F$10001,"",0), " Accessories",""))</f>
        <v/>
      </c>
      <c r="L1791" s="33">
        <f>_xlfn.XLOOKUP(C1791,'Project Details'!$C$17:$C$66,'Project Details'!$D$17:$D$66,"",0)</f>
        <v>0</v>
      </c>
      <c r="M1791" s="43"/>
    </row>
    <row r="1792" spans="1:13" ht="13.5" customHeight="1" x14ac:dyDescent="0.25">
      <c r="A1792" s="43"/>
      <c r="B1792" s="43"/>
      <c r="C1792" s="35">
        <f t="shared" si="34"/>
        <v>36</v>
      </c>
      <c r="D1792" s="35" t="str" cm="1">
        <f t="array" ref="D1792">IFERROR(ROUNDUP(_xlfn.IFS(F1792="Aluminum Track", _xlfn.XLOOKUP(C1792, dd_accsrycalc!$A$2:$A$51, dd_accsrycalc!$B$2:$B$51, "",0), F1792="10 x 2 1/2 S (Flat)", _xlfn.XLOOKUP(C1792, dd_accsrycalc!$A$2:$A$51, dd_accsrycalc!$C$2:$C$51, "",0), F1792="Tox6", _xlfn.XLOOKUP(C1792, dd_accsrycalc!$A$2:$A$51, dd_accsrycalc!$D$2:$D$51, "",0), F1792="Cover Cap", _xlfn.XLOOKUP(C1792, dd_accsrycalc!$A$2:$A$51, dd_accsrycalc!$E$2:$E$51, "",0), F1792="Drainage Cover", _xlfn.XLOOKUP(C1792, dd_accsrycalc!$A$2:$A$51, dd_accsrycalc!$F$2:$F$51, "",0),AND( F1792="Double Adhesive Tape", I1792="Roll-up Screen"), _xlfn.XLOOKUP(C1792, calc_rusacc!$C$15:$C$65, calc_rusacc!$AD$15:$AD$65, "",0),AND( F1792="Sealant", I1792="Roll-up Screen"), _xlfn.XLOOKUP(C1792, calc_rusacc!$C$15:$C$65, calc_rusacc!$AF$15:$AF$65, "",0),  AND( F1792="Main Chain", I1792="Accordion Screen"), _xlfn.XLOOKUP(C1792, calc_rusacc!$C$15:$C$65, calc_rusacc!$BF$15:$BF$65, "",0), AND( F1792="Sealant", I1792="Accordion Screen"), _xlfn.XLOOKUP(C1792, calc_rusacc!$C$15:$C$65, calc_rusacc!$BJ$15:$BJ$65, "",0),  F1792="Sealant", _xlfn.XLOOKUP(C1792, dd_accsrycalc!$A$2:$A$51, dd_accsrycalc!$G$2:$G$51, "",0),  F1792&lt;&gt;"",L1792*_xlfn.XLOOKUP(1, (SKUs!$C$2:$C$10001=G1792)*(SKUs!$K$2:$K$10001=I1792),SKUs!$E$2:$E$10001)), 0),"")</f>
        <v/>
      </c>
      <c r="E1792" s="35" t="str">
        <f>_xlfn.XLOOKUP(F1792,dd_item!$B$2:$B$105,dd_item!$C$2:$C$105,"",0)</f>
        <v/>
      </c>
      <c r="F1792" s="35"/>
      <c r="G1792" s="35" cm="1">
        <f t="array" ref="G1792">IFERROR(_xlfn.XLOOKUP(1, (SKUs!$J$2:$J$10001=accsry_unmerged!F1792)*IF(H1792&lt;&gt;"",(SKUs!$L$2:$L$10001=accsry_unmerged!H1792),1)*(SKUs!$K$2:$K$10001=I1792),SKUs!$C$2:$C$10001),"")</f>
        <v>0</v>
      </c>
      <c r="H1792" s="36" cm="1">
        <f t="array" ref="H1792">IFERROR(_xlfn.XLOOKUP(1, (dd_accsryclr!$C$2:$C$1000=accsry_unmerged!F1792)*(dd_accsryclr!$B$2:$B$1000=accsry_unmerged!J1792),dd_accsryclr!$A$2:$A$1000),"")</f>
        <v>0</v>
      </c>
      <c r="I1792" s="35">
        <f>_xlfn.XLOOKUP(C1792,'Project Details'!$C$17:$C$66,'Project Details'!$E$17:$E$66,"",0)</f>
        <v>0</v>
      </c>
      <c r="J1792" s="35">
        <f>_xlfn.XLOOKUP(C1792,'Project Details'!$C$17:$C$66,'Project Details'!$H$17:$H$66,"",0)</f>
        <v>0</v>
      </c>
      <c r="K1792" s="36" t="str">
        <f>IF(AND(_xlfn.XLOOKUP(C1792,'Project Details'!$C$17:$C$66,'Project Details'!$L$17:$L$66,"",0)&gt;550, F1792="Spring-L27cm"),"",SUBSTITUTE(_xlfn.XLOOKUP(G1792,SKUs!$C$2:$C$10001,SKUs!$F$2:$F$10001,"",0), " Accessories",""))</f>
        <v/>
      </c>
      <c r="L1792" s="36">
        <f>_xlfn.XLOOKUP(C1792,'Project Details'!$C$17:$C$66,'Project Details'!$D$17:$D$66,"",0)</f>
        <v>0</v>
      </c>
      <c r="M1792" s="43"/>
    </row>
    <row r="1793" spans="1:13" ht="13.5" customHeight="1" x14ac:dyDescent="0.25">
      <c r="A1793" s="43"/>
      <c r="B1793" s="43"/>
      <c r="C1793" s="16">
        <f t="shared" si="34"/>
        <v>36</v>
      </c>
      <c r="D1793" s="16" t="str" cm="1">
        <f t="array" ref="D1793">IFERROR(ROUNDUP(_xlfn.IFS(F1793="Aluminum Track", _xlfn.XLOOKUP(C1793, dd_accsrycalc!$A$2:$A$51, dd_accsrycalc!$B$2:$B$51, "",0), F1793="10 x 2 1/2 S (Flat)", _xlfn.XLOOKUP(C1793, dd_accsrycalc!$A$2:$A$51, dd_accsrycalc!$C$2:$C$51, "",0), F1793="Tox6", _xlfn.XLOOKUP(C1793, dd_accsrycalc!$A$2:$A$51, dd_accsrycalc!$D$2:$D$51, "",0), F1793="Cover Cap", _xlfn.XLOOKUP(C1793, dd_accsrycalc!$A$2:$A$51, dd_accsrycalc!$E$2:$E$51, "",0), F1793="Drainage Cover", _xlfn.XLOOKUP(C1793, dd_accsrycalc!$A$2:$A$51, dd_accsrycalc!$F$2:$F$51, "",0),AND( F1793="Double Adhesive Tape", I1793="Roll-up Screen"), _xlfn.XLOOKUP(C1793, calc_rusacc!$C$15:$C$65, calc_rusacc!$AD$15:$AD$65, "",0),AND( F1793="Sealant", I1793="Roll-up Screen"), _xlfn.XLOOKUP(C1793, calc_rusacc!$C$15:$C$65, calc_rusacc!$AF$15:$AF$65, "",0),  AND( F1793="Main Chain", I1793="Accordion Screen"), _xlfn.XLOOKUP(C1793, calc_rusacc!$C$15:$C$65, calc_rusacc!$BF$15:$BF$65, "",0), AND( F1793="Sealant", I1793="Accordion Screen"), _xlfn.XLOOKUP(C1793, calc_rusacc!$C$15:$C$65, calc_rusacc!$BJ$15:$BJ$65, "",0),  F1793="Sealant", _xlfn.XLOOKUP(C1793, dd_accsrycalc!$A$2:$A$51, dd_accsrycalc!$G$2:$G$51, "",0),  F1793&lt;&gt;"",L1793*_xlfn.XLOOKUP(1, (SKUs!$C$2:$C$10001=G1793)*(SKUs!$K$2:$K$10001=I1793),SKUs!$E$2:$E$10001)), 0),"")</f>
        <v/>
      </c>
      <c r="E1793" s="16" t="str">
        <f>_xlfn.XLOOKUP(F1793,dd_item!$B$2:$B$105,dd_item!$C$2:$C$105,"",0)</f>
        <v/>
      </c>
      <c r="F1793" s="16"/>
      <c r="G1793" s="16" cm="1">
        <f t="array" ref="G1793">IFERROR(_xlfn.XLOOKUP(1, (SKUs!$J$2:$J$10001=accsry_unmerged!F1793)*IF(H1793&lt;&gt;"",(SKUs!$L$2:$L$10001=accsry_unmerged!H1793),1)*(SKUs!$K$2:$K$10001=I1793),SKUs!$C$2:$C$10001),"")</f>
        <v>0</v>
      </c>
      <c r="H1793" s="33" cm="1">
        <f t="array" ref="H1793">IFERROR(_xlfn.XLOOKUP(1, (dd_accsryclr!$C$2:$C$1000=accsry_unmerged!F1793)*(dd_accsryclr!$B$2:$B$1000=accsry_unmerged!J1793),dd_accsryclr!$A$2:$A$1000),"")</f>
        <v>0</v>
      </c>
      <c r="I1793" s="16">
        <f>_xlfn.XLOOKUP(C1793,'Project Details'!$C$17:$C$66,'Project Details'!$E$17:$E$66,"",0)</f>
        <v>0</v>
      </c>
      <c r="J1793" s="16">
        <f>_xlfn.XLOOKUP(C1793,'Project Details'!$C$17:$C$66,'Project Details'!$H$17:$H$66,"",0)</f>
        <v>0</v>
      </c>
      <c r="K1793" s="33" t="str">
        <f>IF(AND(_xlfn.XLOOKUP(C1793,'Project Details'!$C$17:$C$66,'Project Details'!$L$17:$L$66,"",0)&gt;550, F1793="Spring-L27cm"),"",SUBSTITUTE(_xlfn.XLOOKUP(G1793,SKUs!$C$2:$C$10001,SKUs!$F$2:$F$10001,"",0), " Accessories",""))</f>
        <v/>
      </c>
      <c r="L1793" s="33">
        <f>_xlfn.XLOOKUP(C1793,'Project Details'!$C$17:$C$66,'Project Details'!$D$17:$D$66,"",0)</f>
        <v>0</v>
      </c>
      <c r="M1793" s="43"/>
    </row>
    <row r="1794" spans="1:13" ht="13.5" customHeight="1" x14ac:dyDescent="0.25">
      <c r="A1794" s="43"/>
      <c r="B1794" s="43"/>
      <c r="C1794" s="35">
        <f t="shared" si="34"/>
        <v>36</v>
      </c>
      <c r="D1794" s="35" t="str" cm="1">
        <f t="array" ref="D1794">IFERROR(ROUNDUP(_xlfn.IFS(F1794="Aluminum Track", _xlfn.XLOOKUP(C1794, dd_accsrycalc!$A$2:$A$51, dd_accsrycalc!$B$2:$B$51, "",0), F1794="10 x 2 1/2 S (Flat)", _xlfn.XLOOKUP(C1794, dd_accsrycalc!$A$2:$A$51, dd_accsrycalc!$C$2:$C$51, "",0), F1794="Tox6", _xlfn.XLOOKUP(C1794, dd_accsrycalc!$A$2:$A$51, dd_accsrycalc!$D$2:$D$51, "",0), F1794="Cover Cap", _xlfn.XLOOKUP(C1794, dd_accsrycalc!$A$2:$A$51, dd_accsrycalc!$E$2:$E$51, "",0), F1794="Drainage Cover", _xlfn.XLOOKUP(C1794, dd_accsrycalc!$A$2:$A$51, dd_accsrycalc!$F$2:$F$51, "",0),AND( F1794="Double Adhesive Tape", I1794="Roll-up Screen"), _xlfn.XLOOKUP(C1794, calc_rusacc!$C$15:$C$65, calc_rusacc!$AD$15:$AD$65, "",0),AND( F1794="Sealant", I1794="Roll-up Screen"), _xlfn.XLOOKUP(C1794, calc_rusacc!$C$15:$C$65, calc_rusacc!$AF$15:$AF$65, "",0),  AND( F1794="Main Chain", I1794="Accordion Screen"), _xlfn.XLOOKUP(C1794, calc_rusacc!$C$15:$C$65, calc_rusacc!$BF$15:$BF$65, "",0), AND( F1794="Sealant", I1794="Accordion Screen"), _xlfn.XLOOKUP(C1794, calc_rusacc!$C$15:$C$65, calc_rusacc!$BJ$15:$BJ$65, "",0),  F1794="Sealant", _xlfn.XLOOKUP(C1794, dd_accsrycalc!$A$2:$A$51, dd_accsrycalc!$G$2:$G$51, "",0),  F1794&lt;&gt;"",L1794*_xlfn.XLOOKUP(1, (SKUs!$C$2:$C$10001=G1794)*(SKUs!$K$2:$K$10001=I1794),SKUs!$E$2:$E$10001)), 0),"")</f>
        <v/>
      </c>
      <c r="E1794" s="35" t="str">
        <f>_xlfn.XLOOKUP(F1794,dd_item!$B$2:$B$105,dd_item!$C$2:$C$105,"",0)</f>
        <v/>
      </c>
      <c r="F1794" s="35"/>
      <c r="G1794" s="35" cm="1">
        <f t="array" ref="G1794">IFERROR(_xlfn.XLOOKUP(1, (SKUs!$J$2:$J$10001=accsry_unmerged!F1794)*IF(H1794&lt;&gt;"",(SKUs!$L$2:$L$10001=accsry_unmerged!H1794),1)*(SKUs!$K$2:$K$10001=I1794),SKUs!$C$2:$C$10001),"")</f>
        <v>0</v>
      </c>
      <c r="H1794" s="36" cm="1">
        <f t="array" ref="H1794">IFERROR(_xlfn.XLOOKUP(1, (dd_accsryclr!$C$2:$C$1000=accsry_unmerged!F1794)*(dd_accsryclr!$B$2:$B$1000=accsry_unmerged!J1794),dd_accsryclr!$A$2:$A$1000),"")</f>
        <v>0</v>
      </c>
      <c r="I1794" s="35">
        <f>_xlfn.XLOOKUP(C1794,'Project Details'!$C$17:$C$66,'Project Details'!$E$17:$E$66,"",0)</f>
        <v>0</v>
      </c>
      <c r="J1794" s="35">
        <f>_xlfn.XLOOKUP(C1794,'Project Details'!$C$17:$C$66,'Project Details'!$H$17:$H$66,"",0)</f>
        <v>0</v>
      </c>
      <c r="K1794" s="36" t="str">
        <f>IF(AND(_xlfn.XLOOKUP(C1794,'Project Details'!$C$17:$C$66,'Project Details'!$L$17:$L$66,"",0)&gt;550, F1794="Spring-L27cm"),"",SUBSTITUTE(_xlfn.XLOOKUP(G1794,SKUs!$C$2:$C$10001,SKUs!$F$2:$F$10001,"",0), " Accessories",""))</f>
        <v/>
      </c>
      <c r="L1794" s="36">
        <f>_xlfn.XLOOKUP(C1794,'Project Details'!$C$17:$C$66,'Project Details'!$D$17:$D$66,"",0)</f>
        <v>0</v>
      </c>
      <c r="M1794" s="43"/>
    </row>
    <row r="1795" spans="1:13" ht="13.5" customHeight="1" outlineLevel="1" x14ac:dyDescent="0.25">
      <c r="A1795" s="43"/>
      <c r="B1795" s="43"/>
      <c r="C1795" s="16">
        <f t="shared" si="34"/>
        <v>36</v>
      </c>
      <c r="D1795" s="16" t="str" cm="1">
        <f t="array" ref="D1795">IFERROR(ROUNDUP(_xlfn.IFS(F1795="Aluminum Track", _xlfn.XLOOKUP(C1795, dd_accsrycalc!$A$2:$A$51, dd_accsrycalc!$B$2:$B$51, "",0), F1795="10 x 2 1/2 S (Flat)", _xlfn.XLOOKUP(C1795, dd_accsrycalc!$A$2:$A$51, dd_accsrycalc!$C$2:$C$51, "",0), F1795="Tox6", _xlfn.XLOOKUP(C1795, dd_accsrycalc!$A$2:$A$51, dd_accsrycalc!$D$2:$D$51, "",0), F1795="Cover Cap", _xlfn.XLOOKUP(C1795, dd_accsrycalc!$A$2:$A$51, dd_accsrycalc!$E$2:$E$51, "",0), F1795="Drainage Cover", _xlfn.XLOOKUP(C1795, dd_accsrycalc!$A$2:$A$51, dd_accsrycalc!$F$2:$F$51, "",0),AND( F1795="Double Adhesive Tape", I1795="Roll-up Screen"), _xlfn.XLOOKUP(C1795, calc_rusacc!$C$15:$C$65, calc_rusacc!$AD$15:$AD$65, "",0),AND( F1795="Sealant", I1795="Roll-up Screen"), _xlfn.XLOOKUP(C1795, calc_rusacc!$C$15:$C$65, calc_rusacc!$AF$15:$AF$65, "",0),  AND( F1795="Main Chain", I1795="Accordion Screen"), _xlfn.XLOOKUP(C1795, calc_rusacc!$C$15:$C$65, calc_rusacc!$BF$15:$BF$65, "",0), AND( F1795="Sealant", I1795="Accordion Screen"), _xlfn.XLOOKUP(C1795, calc_rusacc!$C$15:$C$65, calc_rusacc!$BJ$15:$BJ$65, "",0),  F1795="Sealant", _xlfn.XLOOKUP(C1795, dd_accsrycalc!$A$2:$A$51, dd_accsrycalc!$G$2:$G$51, "",0),  F1795&lt;&gt;"",L1795*_xlfn.XLOOKUP(1, (SKUs!$C$2:$C$10001=G1795)*(SKUs!$K$2:$K$10001=I1795),SKUs!$E$2:$E$10001)), 0),"")</f>
        <v/>
      </c>
      <c r="E1795" s="16" t="str">
        <f>_xlfn.XLOOKUP(F1795,dd_item!$B$2:$B$105,dd_item!$C$2:$C$105,"",0)</f>
        <v/>
      </c>
      <c r="F1795" s="16"/>
      <c r="G1795" s="16" cm="1">
        <f t="array" ref="G1795">IFERROR(_xlfn.XLOOKUP(1, (SKUs!$J$2:$J$10001=accsry_unmerged!F1795)*IF(H1795&lt;&gt;"",(SKUs!$L$2:$L$10001=accsry_unmerged!H1795),1)*(SKUs!$K$2:$K$10001=I1795),SKUs!$C$2:$C$10001),"")</f>
        <v>0</v>
      </c>
      <c r="H1795" s="33" cm="1">
        <f t="array" ref="H1795">IFERROR(_xlfn.XLOOKUP(1, (dd_accsryclr!$C$2:$C$1000=accsry_unmerged!F1795)*(dd_accsryclr!$B$2:$B$1000=accsry_unmerged!J1795),dd_accsryclr!$A$2:$A$1000),"")</f>
        <v>0</v>
      </c>
      <c r="I1795" s="16">
        <f>_xlfn.XLOOKUP(C1795,'Project Details'!$C$17:$C$66,'Project Details'!$E$17:$E$66,"",0)</f>
        <v>0</v>
      </c>
      <c r="J1795" s="16">
        <f>_xlfn.XLOOKUP(C1795,'Project Details'!$C$17:$C$66,'Project Details'!$H$17:$H$66,"",0)</f>
        <v>0</v>
      </c>
      <c r="K1795" s="33" t="str">
        <f>IF(AND(_xlfn.XLOOKUP(C1795,'Project Details'!$C$17:$C$66,'Project Details'!$L$17:$L$66,"",0)&gt;550, F1795="Spring-L27cm"),"",SUBSTITUTE(_xlfn.XLOOKUP(G1795,SKUs!$C$2:$C$10001,SKUs!$F$2:$F$10001,"",0), " Accessories",""))</f>
        <v/>
      </c>
      <c r="L1795" s="33">
        <f>_xlfn.XLOOKUP(C1795,'Project Details'!$C$17:$C$66,'Project Details'!$D$17:$D$66,"",0)</f>
        <v>0</v>
      </c>
      <c r="M1795" s="43"/>
    </row>
    <row r="1796" spans="1:13" ht="13.5" customHeight="1" outlineLevel="1" x14ac:dyDescent="0.25">
      <c r="A1796" s="43"/>
      <c r="B1796" s="43"/>
      <c r="C1796" s="35">
        <f t="shared" si="34"/>
        <v>36</v>
      </c>
      <c r="D1796" s="35" t="str" cm="1">
        <f t="array" ref="D1796">IFERROR(ROUNDUP(_xlfn.IFS(F1796="Aluminum Track", _xlfn.XLOOKUP(C1796, dd_accsrycalc!$A$2:$A$51, dd_accsrycalc!$B$2:$B$51, "",0), F1796="10 x 2 1/2 S (Flat)", _xlfn.XLOOKUP(C1796, dd_accsrycalc!$A$2:$A$51, dd_accsrycalc!$C$2:$C$51, "",0), F1796="Tox6", _xlfn.XLOOKUP(C1796, dd_accsrycalc!$A$2:$A$51, dd_accsrycalc!$D$2:$D$51, "",0), F1796="Cover Cap", _xlfn.XLOOKUP(C1796, dd_accsrycalc!$A$2:$A$51, dd_accsrycalc!$E$2:$E$51, "",0), F1796="Drainage Cover", _xlfn.XLOOKUP(C1796, dd_accsrycalc!$A$2:$A$51, dd_accsrycalc!$F$2:$F$51, "",0),AND( F1796="Double Adhesive Tape", I1796="Roll-up Screen"), _xlfn.XLOOKUP(C1796, calc_rusacc!$C$15:$C$65, calc_rusacc!$AD$15:$AD$65, "",0),AND( F1796="Sealant", I1796="Roll-up Screen"), _xlfn.XLOOKUP(C1796, calc_rusacc!$C$15:$C$65, calc_rusacc!$AF$15:$AF$65, "",0),  AND( F1796="Main Chain", I1796="Accordion Screen"), _xlfn.XLOOKUP(C1796, calc_rusacc!$C$15:$C$65, calc_rusacc!$BF$15:$BF$65, "",0), AND( F1796="Sealant", I1796="Accordion Screen"), _xlfn.XLOOKUP(C1796, calc_rusacc!$C$15:$C$65, calc_rusacc!$BJ$15:$BJ$65, "",0),  F1796="Sealant", _xlfn.XLOOKUP(C1796, dd_accsrycalc!$A$2:$A$51, dd_accsrycalc!$G$2:$G$51, "",0),  F1796&lt;&gt;"",L1796*_xlfn.XLOOKUP(1, (SKUs!$C$2:$C$10001=G1796)*(SKUs!$K$2:$K$10001=I1796),SKUs!$E$2:$E$10001)), 0),"")</f>
        <v/>
      </c>
      <c r="E1796" s="35" t="str">
        <f>_xlfn.XLOOKUP(F1796,dd_item!$B$2:$B$105,dd_item!$C$2:$C$105,"",0)</f>
        <v/>
      </c>
      <c r="F1796" s="35"/>
      <c r="G1796" s="35" cm="1">
        <f t="array" ref="G1796">IFERROR(_xlfn.XLOOKUP(1, (SKUs!$J$2:$J$10001=accsry_unmerged!F1796)*IF(H1796&lt;&gt;"",(SKUs!$L$2:$L$10001=accsry_unmerged!H1796),1)*(SKUs!$K$2:$K$10001=I1796),SKUs!$C$2:$C$10001),"")</f>
        <v>0</v>
      </c>
      <c r="H1796" s="36" cm="1">
        <f t="array" ref="H1796">IFERROR(_xlfn.XLOOKUP(1, (dd_accsryclr!$C$2:$C$1000=accsry_unmerged!F1796)*(dd_accsryclr!$B$2:$B$1000=accsry_unmerged!J1796),dd_accsryclr!$A$2:$A$1000),"")</f>
        <v>0</v>
      </c>
      <c r="I1796" s="35">
        <f>_xlfn.XLOOKUP(C1796,'Project Details'!$C$17:$C$66,'Project Details'!$E$17:$E$66,"",0)</f>
        <v>0</v>
      </c>
      <c r="J1796" s="35">
        <f>_xlfn.XLOOKUP(C1796,'Project Details'!$C$17:$C$66,'Project Details'!$H$17:$H$66,"",0)</f>
        <v>0</v>
      </c>
      <c r="K1796" s="36" t="str">
        <f>IF(AND(_xlfn.XLOOKUP(C1796,'Project Details'!$C$17:$C$66,'Project Details'!$L$17:$L$66,"",0)&gt;550, F1796="Spring-L27cm"),"",SUBSTITUTE(_xlfn.XLOOKUP(G1796,SKUs!$C$2:$C$10001,SKUs!$F$2:$F$10001,"",0), " Accessories",""))</f>
        <v/>
      </c>
      <c r="L1796" s="36">
        <f>_xlfn.XLOOKUP(C1796,'Project Details'!$C$17:$C$66,'Project Details'!$D$17:$D$66,"",0)</f>
        <v>0</v>
      </c>
      <c r="M1796" s="43"/>
    </row>
    <row r="1797" spans="1:13" ht="13.5" customHeight="1" outlineLevel="1" x14ac:dyDescent="0.25">
      <c r="A1797" s="43"/>
      <c r="B1797" s="43"/>
      <c r="C1797" s="16">
        <f t="shared" si="34"/>
        <v>36</v>
      </c>
      <c r="D1797" s="16" t="str" cm="1">
        <f t="array" ref="D1797">IFERROR(ROUNDUP(_xlfn.IFS(F1797="Aluminum Track", _xlfn.XLOOKUP(C1797, dd_accsrycalc!$A$2:$A$51, dd_accsrycalc!$B$2:$B$51, "",0), F1797="10 x 2 1/2 S (Flat)", _xlfn.XLOOKUP(C1797, dd_accsrycalc!$A$2:$A$51, dd_accsrycalc!$C$2:$C$51, "",0), F1797="Tox6", _xlfn.XLOOKUP(C1797, dd_accsrycalc!$A$2:$A$51, dd_accsrycalc!$D$2:$D$51, "",0), F1797="Cover Cap", _xlfn.XLOOKUP(C1797, dd_accsrycalc!$A$2:$A$51, dd_accsrycalc!$E$2:$E$51, "",0), F1797="Drainage Cover", _xlfn.XLOOKUP(C1797, dd_accsrycalc!$A$2:$A$51, dd_accsrycalc!$F$2:$F$51, "",0),AND( F1797="Double Adhesive Tape", I1797="Roll-up Screen"), _xlfn.XLOOKUP(C1797, calc_rusacc!$C$15:$C$65, calc_rusacc!$AD$15:$AD$65, "",0),AND( F1797="Sealant", I1797="Roll-up Screen"), _xlfn.XLOOKUP(C1797, calc_rusacc!$C$15:$C$65, calc_rusacc!$AF$15:$AF$65, "",0),  AND( F1797="Main Chain", I1797="Accordion Screen"), _xlfn.XLOOKUP(C1797, calc_rusacc!$C$15:$C$65, calc_rusacc!$BF$15:$BF$65, "",0), AND( F1797="Sealant", I1797="Accordion Screen"), _xlfn.XLOOKUP(C1797, calc_rusacc!$C$15:$C$65, calc_rusacc!$BJ$15:$BJ$65, "",0),  F1797="Sealant", _xlfn.XLOOKUP(C1797, dd_accsrycalc!$A$2:$A$51, dd_accsrycalc!$G$2:$G$51, "",0),  F1797&lt;&gt;"",L1797*_xlfn.XLOOKUP(1, (SKUs!$C$2:$C$10001=G1797)*(SKUs!$K$2:$K$10001=I1797),SKUs!$E$2:$E$10001)), 0),"")</f>
        <v/>
      </c>
      <c r="E1797" s="16" t="str">
        <f>_xlfn.XLOOKUP(F1797,dd_item!$B$2:$B$105,dd_item!$C$2:$C$105,"",0)</f>
        <v/>
      </c>
      <c r="F1797" s="16"/>
      <c r="G1797" s="16" cm="1">
        <f t="array" ref="G1797">IFERROR(_xlfn.XLOOKUP(1, (SKUs!$J$2:$J$10001=accsry_unmerged!F1797)*IF(H1797&lt;&gt;"",(SKUs!$L$2:$L$10001=accsry_unmerged!H1797),1)*(SKUs!$K$2:$K$10001=I1797),SKUs!$C$2:$C$10001),"")</f>
        <v>0</v>
      </c>
      <c r="H1797" s="33" cm="1">
        <f t="array" ref="H1797">IFERROR(_xlfn.XLOOKUP(1, (dd_accsryclr!$C$2:$C$1000=accsry_unmerged!F1797)*(dd_accsryclr!$B$2:$B$1000=accsry_unmerged!J1797),dd_accsryclr!$A$2:$A$1000),"")</f>
        <v>0</v>
      </c>
      <c r="I1797" s="16">
        <f>_xlfn.XLOOKUP(C1797,'Project Details'!$C$17:$C$66,'Project Details'!$E$17:$E$66,"",0)</f>
        <v>0</v>
      </c>
      <c r="J1797" s="16">
        <f>_xlfn.XLOOKUP(C1797,'Project Details'!$C$17:$C$66,'Project Details'!$H$17:$H$66,"",0)</f>
        <v>0</v>
      </c>
      <c r="K1797" s="33" t="str">
        <f>IF(AND(_xlfn.XLOOKUP(C1797,'Project Details'!$C$17:$C$66,'Project Details'!$L$17:$L$66,"",0)&gt;550, F1797="Spring-L27cm"),"",SUBSTITUTE(_xlfn.XLOOKUP(G1797,SKUs!$C$2:$C$10001,SKUs!$F$2:$F$10001,"",0), " Accessories",""))</f>
        <v/>
      </c>
      <c r="L1797" s="33">
        <f>_xlfn.XLOOKUP(C1797,'Project Details'!$C$17:$C$66,'Project Details'!$D$17:$D$66,"",0)</f>
        <v>0</v>
      </c>
      <c r="M1797" s="43"/>
    </row>
    <row r="1798" spans="1:13" ht="13.5" customHeight="1" outlineLevel="1" x14ac:dyDescent="0.25">
      <c r="A1798" s="43"/>
      <c r="B1798" s="43"/>
      <c r="C1798" s="35">
        <f t="shared" si="34"/>
        <v>36</v>
      </c>
      <c r="D1798" s="35" t="str" cm="1">
        <f t="array" ref="D1798">IFERROR(ROUNDUP(_xlfn.IFS(F1798="Aluminum Track", _xlfn.XLOOKUP(C1798, dd_accsrycalc!$A$2:$A$51, dd_accsrycalc!$B$2:$B$51, "",0), F1798="10 x 2 1/2 S (Flat)", _xlfn.XLOOKUP(C1798, dd_accsrycalc!$A$2:$A$51, dd_accsrycalc!$C$2:$C$51, "",0), F1798="Tox6", _xlfn.XLOOKUP(C1798, dd_accsrycalc!$A$2:$A$51, dd_accsrycalc!$D$2:$D$51, "",0), F1798="Cover Cap", _xlfn.XLOOKUP(C1798, dd_accsrycalc!$A$2:$A$51, dd_accsrycalc!$E$2:$E$51, "",0), F1798="Drainage Cover", _xlfn.XLOOKUP(C1798, dd_accsrycalc!$A$2:$A$51, dd_accsrycalc!$F$2:$F$51, "",0),AND( F1798="Double Adhesive Tape", I1798="Roll-up Screen"), _xlfn.XLOOKUP(C1798, calc_rusacc!$C$15:$C$65, calc_rusacc!$AD$15:$AD$65, "",0),AND( F1798="Sealant", I1798="Roll-up Screen"), _xlfn.XLOOKUP(C1798, calc_rusacc!$C$15:$C$65, calc_rusacc!$AF$15:$AF$65, "",0),  AND( F1798="Main Chain", I1798="Accordion Screen"), _xlfn.XLOOKUP(C1798, calc_rusacc!$C$15:$C$65, calc_rusacc!$BF$15:$BF$65, "",0), AND( F1798="Sealant", I1798="Accordion Screen"), _xlfn.XLOOKUP(C1798, calc_rusacc!$C$15:$C$65, calc_rusacc!$BJ$15:$BJ$65, "",0),  F1798="Sealant", _xlfn.XLOOKUP(C1798, dd_accsrycalc!$A$2:$A$51, dd_accsrycalc!$G$2:$G$51, "",0),  F1798&lt;&gt;"",L1798*_xlfn.XLOOKUP(1, (SKUs!$C$2:$C$10001=G1798)*(SKUs!$K$2:$K$10001=I1798),SKUs!$E$2:$E$10001)), 0),"")</f>
        <v/>
      </c>
      <c r="E1798" s="35" t="str">
        <f>_xlfn.XLOOKUP(F1798,dd_item!$B$2:$B$105,dd_item!$C$2:$C$105,"",0)</f>
        <v/>
      </c>
      <c r="F1798" s="35"/>
      <c r="G1798" s="35" cm="1">
        <f t="array" ref="G1798">IFERROR(_xlfn.XLOOKUP(1, (SKUs!$J$2:$J$10001=accsry_unmerged!F1798)*IF(H1798&lt;&gt;"",(SKUs!$L$2:$L$10001=accsry_unmerged!H1798),1)*(SKUs!$K$2:$K$10001=I1798),SKUs!$C$2:$C$10001),"")</f>
        <v>0</v>
      </c>
      <c r="H1798" s="36" cm="1">
        <f t="array" ref="H1798">IFERROR(_xlfn.XLOOKUP(1, (dd_accsryclr!$C$2:$C$1000=accsry_unmerged!F1798)*(dd_accsryclr!$B$2:$B$1000=accsry_unmerged!J1798),dd_accsryclr!$A$2:$A$1000),"")</f>
        <v>0</v>
      </c>
      <c r="I1798" s="35">
        <f>_xlfn.XLOOKUP(C1798,'Project Details'!$C$17:$C$66,'Project Details'!$E$17:$E$66,"",0)</f>
        <v>0</v>
      </c>
      <c r="J1798" s="35">
        <f>_xlfn.XLOOKUP(C1798,'Project Details'!$C$17:$C$66,'Project Details'!$H$17:$H$66,"",0)</f>
        <v>0</v>
      </c>
      <c r="K1798" s="36" t="str">
        <f>IF(AND(_xlfn.XLOOKUP(C1798,'Project Details'!$C$17:$C$66,'Project Details'!$L$17:$L$66,"",0)&gt;550, F1798="Spring-L27cm"),"",SUBSTITUTE(_xlfn.XLOOKUP(G1798,SKUs!$C$2:$C$10001,SKUs!$F$2:$F$10001,"",0), " Accessories",""))</f>
        <v/>
      </c>
      <c r="L1798" s="36">
        <f>_xlfn.XLOOKUP(C1798,'Project Details'!$C$17:$C$66,'Project Details'!$D$17:$D$66,"",0)</f>
        <v>0</v>
      </c>
      <c r="M1798" s="43"/>
    </row>
    <row r="1799" spans="1:13" ht="13.5" customHeight="1" outlineLevel="1" x14ac:dyDescent="0.25">
      <c r="A1799" s="43"/>
      <c r="B1799" s="43"/>
      <c r="C1799" s="16">
        <f t="shared" si="34"/>
        <v>36</v>
      </c>
      <c r="D1799" s="16" t="str" cm="1">
        <f t="array" ref="D1799">IFERROR(ROUNDUP(_xlfn.IFS(F1799="Aluminum Track", _xlfn.XLOOKUP(C1799, dd_accsrycalc!$A$2:$A$51, dd_accsrycalc!$B$2:$B$51, "",0), F1799="10 x 2 1/2 S (Flat)", _xlfn.XLOOKUP(C1799, dd_accsrycalc!$A$2:$A$51, dd_accsrycalc!$C$2:$C$51, "",0), F1799="Tox6", _xlfn.XLOOKUP(C1799, dd_accsrycalc!$A$2:$A$51, dd_accsrycalc!$D$2:$D$51, "",0), F1799="Cover Cap", _xlfn.XLOOKUP(C1799, dd_accsrycalc!$A$2:$A$51, dd_accsrycalc!$E$2:$E$51, "",0), F1799="Drainage Cover", _xlfn.XLOOKUP(C1799, dd_accsrycalc!$A$2:$A$51, dd_accsrycalc!$F$2:$F$51, "",0),AND( F1799="Double Adhesive Tape", I1799="Roll-up Screen"), _xlfn.XLOOKUP(C1799, calc_rusacc!$C$15:$C$65, calc_rusacc!$AD$15:$AD$65, "",0),AND( F1799="Sealant", I1799="Roll-up Screen"), _xlfn.XLOOKUP(C1799, calc_rusacc!$C$15:$C$65, calc_rusacc!$AF$15:$AF$65, "",0),  AND( F1799="Main Chain", I1799="Accordion Screen"), _xlfn.XLOOKUP(C1799, calc_rusacc!$C$15:$C$65, calc_rusacc!$BF$15:$BF$65, "",0), AND( F1799="Sealant", I1799="Accordion Screen"), _xlfn.XLOOKUP(C1799, calc_rusacc!$C$15:$C$65, calc_rusacc!$BJ$15:$BJ$65, "",0),  F1799="Sealant", _xlfn.XLOOKUP(C1799, dd_accsrycalc!$A$2:$A$51, dd_accsrycalc!$G$2:$G$51, "",0),  F1799&lt;&gt;"",L1799*_xlfn.XLOOKUP(1, (SKUs!$C$2:$C$10001=G1799)*(SKUs!$K$2:$K$10001=I1799),SKUs!$E$2:$E$10001)), 0),"")</f>
        <v/>
      </c>
      <c r="E1799" s="16" t="str">
        <f>_xlfn.XLOOKUP(F1799,dd_item!$B$2:$B$105,dd_item!$C$2:$C$105,"",0)</f>
        <v/>
      </c>
      <c r="F1799" s="16"/>
      <c r="G1799" s="16" cm="1">
        <f t="array" ref="G1799">IFERROR(_xlfn.XLOOKUP(1, (SKUs!$J$2:$J$10001=accsry_unmerged!F1799)*IF(H1799&lt;&gt;"",(SKUs!$L$2:$L$10001=accsry_unmerged!H1799),1)*(SKUs!$K$2:$K$10001=I1799),SKUs!$C$2:$C$10001),"")</f>
        <v>0</v>
      </c>
      <c r="H1799" s="33" cm="1">
        <f t="array" ref="H1799">IFERROR(_xlfn.XLOOKUP(1, (dd_accsryclr!$C$2:$C$1000=accsry_unmerged!F1799)*(dd_accsryclr!$B$2:$B$1000=accsry_unmerged!J1799),dd_accsryclr!$A$2:$A$1000),"")</f>
        <v>0</v>
      </c>
      <c r="I1799" s="16">
        <f>_xlfn.XLOOKUP(C1799,'Project Details'!$C$17:$C$66,'Project Details'!$E$17:$E$66,"",0)</f>
        <v>0</v>
      </c>
      <c r="J1799" s="16">
        <f>_xlfn.XLOOKUP(C1799,'Project Details'!$C$17:$C$66,'Project Details'!$H$17:$H$66,"",0)</f>
        <v>0</v>
      </c>
      <c r="K1799" s="33" t="str">
        <f>IF(AND(_xlfn.XLOOKUP(C1799,'Project Details'!$C$17:$C$66,'Project Details'!$L$17:$L$66,"",0)&gt;550, F1799="Spring-L27cm"),"",SUBSTITUTE(_xlfn.XLOOKUP(G1799,SKUs!$C$2:$C$10001,SKUs!$F$2:$F$10001,"",0), " Accessories",""))</f>
        <v/>
      </c>
      <c r="L1799" s="33">
        <f>_xlfn.XLOOKUP(C1799,'Project Details'!$C$17:$C$66,'Project Details'!$D$17:$D$66,"",0)</f>
        <v>0</v>
      </c>
      <c r="M1799" s="43"/>
    </row>
    <row r="1800" spans="1:13" ht="13.5" customHeight="1" outlineLevel="1" x14ac:dyDescent="0.25">
      <c r="A1800" s="43"/>
      <c r="B1800" s="43"/>
      <c r="C1800" s="35">
        <f t="shared" si="34"/>
        <v>36</v>
      </c>
      <c r="D1800" s="35" t="str" cm="1">
        <f t="array" ref="D1800">IFERROR(ROUNDUP(_xlfn.IFS(F1800="Aluminum Track", _xlfn.XLOOKUP(C1800, dd_accsrycalc!$A$2:$A$51, dd_accsrycalc!$B$2:$B$51, "",0), F1800="10 x 2 1/2 S (Flat)", _xlfn.XLOOKUP(C1800, dd_accsrycalc!$A$2:$A$51, dd_accsrycalc!$C$2:$C$51, "",0), F1800="Tox6", _xlfn.XLOOKUP(C1800, dd_accsrycalc!$A$2:$A$51, dd_accsrycalc!$D$2:$D$51, "",0), F1800="Cover Cap", _xlfn.XLOOKUP(C1800, dd_accsrycalc!$A$2:$A$51, dd_accsrycalc!$E$2:$E$51, "",0), F1800="Drainage Cover", _xlfn.XLOOKUP(C1800, dd_accsrycalc!$A$2:$A$51, dd_accsrycalc!$F$2:$F$51, "",0),AND( F1800="Double Adhesive Tape", I1800="Roll-up Screen"), _xlfn.XLOOKUP(C1800, calc_rusacc!$C$15:$C$65, calc_rusacc!$AD$15:$AD$65, "",0),AND( F1800="Sealant", I1800="Roll-up Screen"), _xlfn.XLOOKUP(C1800, calc_rusacc!$C$15:$C$65, calc_rusacc!$AF$15:$AF$65, "",0),  AND( F1800="Main Chain", I1800="Accordion Screen"), _xlfn.XLOOKUP(C1800, calc_rusacc!$C$15:$C$65, calc_rusacc!$BF$15:$BF$65, "",0), AND( F1800="Sealant", I1800="Accordion Screen"), _xlfn.XLOOKUP(C1800, calc_rusacc!$C$15:$C$65, calc_rusacc!$BJ$15:$BJ$65, "",0),  F1800="Sealant", _xlfn.XLOOKUP(C1800, dd_accsrycalc!$A$2:$A$51, dd_accsrycalc!$G$2:$G$51, "",0),  F1800&lt;&gt;"",L1800*_xlfn.XLOOKUP(1, (SKUs!$C$2:$C$10001=G1800)*(SKUs!$K$2:$K$10001=I1800),SKUs!$E$2:$E$10001)), 0),"")</f>
        <v/>
      </c>
      <c r="E1800" s="35" t="str">
        <f>_xlfn.XLOOKUP(F1800,dd_item!$B$2:$B$105,dd_item!$C$2:$C$105,"",0)</f>
        <v/>
      </c>
      <c r="F1800" s="35"/>
      <c r="G1800" s="35" cm="1">
        <f t="array" ref="G1800">IFERROR(_xlfn.XLOOKUP(1, (SKUs!$J$2:$J$10001=accsry_unmerged!F1800)*IF(H1800&lt;&gt;"",(SKUs!$L$2:$L$10001=accsry_unmerged!H1800),1)*(SKUs!$K$2:$K$10001=I1800),SKUs!$C$2:$C$10001),"")</f>
        <v>0</v>
      </c>
      <c r="H1800" s="36" cm="1">
        <f t="array" ref="H1800">IFERROR(_xlfn.XLOOKUP(1, (dd_accsryclr!$C$2:$C$1000=accsry_unmerged!F1800)*(dd_accsryclr!$B$2:$B$1000=accsry_unmerged!J1800),dd_accsryclr!$A$2:$A$1000),"")</f>
        <v>0</v>
      </c>
      <c r="I1800" s="35">
        <f>_xlfn.XLOOKUP(C1800,'Project Details'!$C$17:$C$66,'Project Details'!$E$17:$E$66,"",0)</f>
        <v>0</v>
      </c>
      <c r="J1800" s="35">
        <f>_xlfn.XLOOKUP(C1800,'Project Details'!$C$17:$C$66,'Project Details'!$H$17:$H$66,"",0)</f>
        <v>0</v>
      </c>
      <c r="K1800" s="36" t="str">
        <f>IF(AND(_xlfn.XLOOKUP(C1800,'Project Details'!$C$17:$C$66,'Project Details'!$L$17:$L$66,"",0)&gt;550, F1800="Spring-L27cm"),"",SUBSTITUTE(_xlfn.XLOOKUP(G1800,SKUs!$C$2:$C$10001,SKUs!$F$2:$F$10001,"",0), " Accessories",""))</f>
        <v/>
      </c>
      <c r="L1800" s="36">
        <f>_xlfn.XLOOKUP(C1800,'Project Details'!$C$17:$C$66,'Project Details'!$D$17:$D$66,"",0)</f>
        <v>0</v>
      </c>
      <c r="M1800" s="43"/>
    </row>
    <row r="1801" spans="1:13" ht="13.5" customHeight="1" outlineLevel="1" x14ac:dyDescent="0.25">
      <c r="A1801" s="43"/>
      <c r="B1801" s="43"/>
      <c r="C1801" s="16">
        <f t="shared" si="34"/>
        <v>36</v>
      </c>
      <c r="D1801" s="16" t="str" cm="1">
        <f t="array" ref="D1801">IFERROR(ROUNDUP(_xlfn.IFS(F1801="Aluminum Track", _xlfn.XLOOKUP(C1801, dd_accsrycalc!$A$2:$A$51, dd_accsrycalc!$B$2:$B$51, "",0), F1801="10 x 2 1/2 S (Flat)", _xlfn.XLOOKUP(C1801, dd_accsrycalc!$A$2:$A$51, dd_accsrycalc!$C$2:$C$51, "",0), F1801="Tox6", _xlfn.XLOOKUP(C1801, dd_accsrycalc!$A$2:$A$51, dd_accsrycalc!$D$2:$D$51, "",0), F1801="Cover Cap", _xlfn.XLOOKUP(C1801, dd_accsrycalc!$A$2:$A$51, dd_accsrycalc!$E$2:$E$51, "",0), F1801="Drainage Cover", _xlfn.XLOOKUP(C1801, dd_accsrycalc!$A$2:$A$51, dd_accsrycalc!$F$2:$F$51, "",0),AND( F1801="Double Adhesive Tape", I1801="Roll-up Screen"), _xlfn.XLOOKUP(C1801, calc_rusacc!$C$15:$C$65, calc_rusacc!$AD$15:$AD$65, "",0),AND( F1801="Sealant", I1801="Roll-up Screen"), _xlfn.XLOOKUP(C1801, calc_rusacc!$C$15:$C$65, calc_rusacc!$AF$15:$AF$65, "",0),  AND( F1801="Main Chain", I1801="Accordion Screen"), _xlfn.XLOOKUP(C1801, calc_rusacc!$C$15:$C$65, calc_rusacc!$BF$15:$BF$65, "",0), AND( F1801="Sealant", I1801="Accordion Screen"), _xlfn.XLOOKUP(C1801, calc_rusacc!$C$15:$C$65, calc_rusacc!$BJ$15:$BJ$65, "",0),  F1801="Sealant", _xlfn.XLOOKUP(C1801, dd_accsrycalc!$A$2:$A$51, dd_accsrycalc!$G$2:$G$51, "",0),  F1801&lt;&gt;"",L1801*_xlfn.XLOOKUP(1, (SKUs!$C$2:$C$10001=G1801)*(SKUs!$K$2:$K$10001=I1801),SKUs!$E$2:$E$10001)), 0),"")</f>
        <v/>
      </c>
      <c r="E1801" s="16" t="str">
        <f>_xlfn.XLOOKUP(F1801,dd_item!$B$2:$B$105,dd_item!$C$2:$C$105,"",0)</f>
        <v/>
      </c>
      <c r="F1801" s="16"/>
      <c r="G1801" s="16" cm="1">
        <f t="array" ref="G1801">IFERROR(_xlfn.XLOOKUP(1, (SKUs!$J$2:$J$10001=accsry_unmerged!F1801)*IF(H1801&lt;&gt;"",(SKUs!$L$2:$L$10001=accsry_unmerged!H1801),1)*(SKUs!$K$2:$K$10001=I1801),SKUs!$C$2:$C$10001),"")</f>
        <v>0</v>
      </c>
      <c r="H1801" s="33" cm="1">
        <f t="array" ref="H1801">IFERROR(_xlfn.XLOOKUP(1, (dd_accsryclr!$C$2:$C$1000=accsry_unmerged!F1801)*(dd_accsryclr!$B$2:$B$1000=accsry_unmerged!J1801),dd_accsryclr!$A$2:$A$1000),"")</f>
        <v>0</v>
      </c>
      <c r="I1801" s="16">
        <f>_xlfn.XLOOKUP(C1801,'Project Details'!$C$17:$C$66,'Project Details'!$E$17:$E$66,"",0)</f>
        <v>0</v>
      </c>
      <c r="J1801" s="16">
        <f>_xlfn.XLOOKUP(C1801,'Project Details'!$C$17:$C$66,'Project Details'!$H$17:$H$66,"",0)</f>
        <v>0</v>
      </c>
      <c r="K1801" s="33" t="str">
        <f>IF(AND(_xlfn.XLOOKUP(C1801,'Project Details'!$C$17:$C$66,'Project Details'!$L$17:$L$66,"",0)&gt;550, F1801="Spring-L27cm"),"",SUBSTITUTE(_xlfn.XLOOKUP(G1801,SKUs!$C$2:$C$10001,SKUs!$F$2:$F$10001,"",0), " Accessories",""))</f>
        <v/>
      </c>
      <c r="L1801" s="33">
        <f>_xlfn.XLOOKUP(C1801,'Project Details'!$C$17:$C$66,'Project Details'!$D$17:$D$66,"",0)</f>
        <v>0</v>
      </c>
      <c r="M1801" s="43"/>
    </row>
    <row r="1802" spans="1:13" ht="13.5" customHeight="1" outlineLevel="1" x14ac:dyDescent="0.25">
      <c r="A1802" s="43"/>
      <c r="B1802" s="43"/>
      <c r="C1802" s="35">
        <f t="shared" si="34"/>
        <v>36</v>
      </c>
      <c r="D1802" s="35" t="str" cm="1">
        <f t="array" ref="D1802">IFERROR(ROUNDUP(_xlfn.IFS(F1802="Aluminum Track", _xlfn.XLOOKUP(C1802, dd_accsrycalc!$A$2:$A$51, dd_accsrycalc!$B$2:$B$51, "",0), F1802="10 x 2 1/2 S (Flat)", _xlfn.XLOOKUP(C1802, dd_accsrycalc!$A$2:$A$51, dd_accsrycalc!$C$2:$C$51, "",0), F1802="Tox6", _xlfn.XLOOKUP(C1802, dd_accsrycalc!$A$2:$A$51, dd_accsrycalc!$D$2:$D$51, "",0), F1802="Cover Cap", _xlfn.XLOOKUP(C1802, dd_accsrycalc!$A$2:$A$51, dd_accsrycalc!$E$2:$E$51, "",0), F1802="Drainage Cover", _xlfn.XLOOKUP(C1802, dd_accsrycalc!$A$2:$A$51, dd_accsrycalc!$F$2:$F$51, "",0),AND( F1802="Double Adhesive Tape", I1802="Roll-up Screen"), _xlfn.XLOOKUP(C1802, calc_rusacc!$C$15:$C$65, calc_rusacc!$AD$15:$AD$65, "",0),AND( F1802="Sealant", I1802="Roll-up Screen"), _xlfn.XLOOKUP(C1802, calc_rusacc!$C$15:$C$65, calc_rusacc!$AF$15:$AF$65, "",0),  AND( F1802="Main Chain", I1802="Accordion Screen"), _xlfn.XLOOKUP(C1802, calc_rusacc!$C$15:$C$65, calc_rusacc!$BF$15:$BF$65, "",0), AND( F1802="Sealant", I1802="Accordion Screen"), _xlfn.XLOOKUP(C1802, calc_rusacc!$C$15:$C$65, calc_rusacc!$BJ$15:$BJ$65, "",0),  F1802="Sealant", _xlfn.XLOOKUP(C1802, dd_accsrycalc!$A$2:$A$51, dd_accsrycalc!$G$2:$G$51, "",0),  F1802&lt;&gt;"",L1802*_xlfn.XLOOKUP(1, (SKUs!$C$2:$C$10001=G1802)*(SKUs!$K$2:$K$10001=I1802),SKUs!$E$2:$E$10001)), 0),"")</f>
        <v/>
      </c>
      <c r="E1802" s="35" t="str">
        <f>_xlfn.XLOOKUP(F1802,dd_item!$B$2:$B$105,dd_item!$C$2:$C$105,"",0)</f>
        <v/>
      </c>
      <c r="F1802" s="35"/>
      <c r="G1802" s="35" cm="1">
        <f t="array" ref="G1802">IFERROR(_xlfn.XLOOKUP(1, (SKUs!$J$2:$J$10001=accsry_unmerged!F1802)*IF(H1802&lt;&gt;"",(SKUs!$L$2:$L$10001=accsry_unmerged!H1802),1)*(SKUs!$K$2:$K$10001=I1802),SKUs!$C$2:$C$10001),"")</f>
        <v>0</v>
      </c>
      <c r="H1802" s="36" cm="1">
        <f t="array" ref="H1802">IFERROR(_xlfn.XLOOKUP(1, (dd_accsryclr!$C$2:$C$1000=accsry_unmerged!F1802)*(dd_accsryclr!$B$2:$B$1000=accsry_unmerged!J1802),dd_accsryclr!$A$2:$A$1000),"")</f>
        <v>0</v>
      </c>
      <c r="I1802" s="35">
        <f>_xlfn.XLOOKUP(C1802,'Project Details'!$C$17:$C$66,'Project Details'!$E$17:$E$66,"",0)</f>
        <v>0</v>
      </c>
      <c r="J1802" s="35">
        <f>_xlfn.XLOOKUP(C1802,'Project Details'!$C$17:$C$66,'Project Details'!$H$17:$H$66,"",0)</f>
        <v>0</v>
      </c>
      <c r="K1802" s="36" t="str">
        <f>IF(AND(_xlfn.XLOOKUP(C1802,'Project Details'!$C$17:$C$66,'Project Details'!$L$17:$L$66,"",0)&gt;550, F1802="Spring-L27cm"),"",SUBSTITUTE(_xlfn.XLOOKUP(G1802,SKUs!$C$2:$C$10001,SKUs!$F$2:$F$10001,"",0), " Accessories",""))</f>
        <v/>
      </c>
      <c r="L1802" s="36">
        <f>_xlfn.XLOOKUP(C1802,'Project Details'!$C$17:$C$66,'Project Details'!$D$17:$D$66,"",0)</f>
        <v>0</v>
      </c>
      <c r="M1802" s="43"/>
    </row>
    <row r="1803" spans="1:13" ht="13.5" customHeight="1" outlineLevel="1" x14ac:dyDescent="0.25">
      <c r="A1803" s="43"/>
      <c r="B1803" s="43"/>
      <c r="C1803" s="16">
        <f t="shared" si="34"/>
        <v>36</v>
      </c>
      <c r="D1803" s="16" t="str" cm="1">
        <f t="array" ref="D1803">IFERROR(ROUNDUP(_xlfn.IFS(F1803="Aluminum Track", _xlfn.XLOOKUP(C1803, dd_accsrycalc!$A$2:$A$51, dd_accsrycalc!$B$2:$B$51, "",0), F1803="10 x 2 1/2 S (Flat)", _xlfn.XLOOKUP(C1803, dd_accsrycalc!$A$2:$A$51, dd_accsrycalc!$C$2:$C$51, "",0), F1803="Tox6", _xlfn.XLOOKUP(C1803, dd_accsrycalc!$A$2:$A$51, dd_accsrycalc!$D$2:$D$51, "",0), F1803="Cover Cap", _xlfn.XLOOKUP(C1803, dd_accsrycalc!$A$2:$A$51, dd_accsrycalc!$E$2:$E$51, "",0), F1803="Drainage Cover", _xlfn.XLOOKUP(C1803, dd_accsrycalc!$A$2:$A$51, dd_accsrycalc!$F$2:$F$51, "",0),AND( F1803="Double Adhesive Tape", I1803="Roll-up Screen"), _xlfn.XLOOKUP(C1803, calc_rusacc!$C$15:$C$65, calc_rusacc!$AD$15:$AD$65, "",0),AND( F1803="Sealant", I1803="Roll-up Screen"), _xlfn.XLOOKUP(C1803, calc_rusacc!$C$15:$C$65, calc_rusacc!$AF$15:$AF$65, "",0),  AND( F1803="Main Chain", I1803="Accordion Screen"), _xlfn.XLOOKUP(C1803, calc_rusacc!$C$15:$C$65, calc_rusacc!$BF$15:$BF$65, "",0), AND( F1803="Sealant", I1803="Accordion Screen"), _xlfn.XLOOKUP(C1803, calc_rusacc!$C$15:$C$65, calc_rusacc!$BJ$15:$BJ$65, "",0),  F1803="Sealant", _xlfn.XLOOKUP(C1803, dd_accsrycalc!$A$2:$A$51, dd_accsrycalc!$G$2:$G$51, "",0),  F1803&lt;&gt;"",L1803*_xlfn.XLOOKUP(1, (SKUs!$C$2:$C$10001=G1803)*(SKUs!$K$2:$K$10001=I1803),SKUs!$E$2:$E$10001)), 0),"")</f>
        <v/>
      </c>
      <c r="E1803" s="16" t="str">
        <f>_xlfn.XLOOKUP(F1803,dd_item!$B$2:$B$105,dd_item!$C$2:$C$105,"",0)</f>
        <v/>
      </c>
      <c r="F1803" s="16"/>
      <c r="G1803" s="16" cm="1">
        <f t="array" ref="G1803">IFERROR(_xlfn.XLOOKUP(1, (SKUs!$J$2:$J$10001=accsry_unmerged!F1803)*IF(H1803&lt;&gt;"",(SKUs!$L$2:$L$10001=accsry_unmerged!H1803),1)*(SKUs!$K$2:$K$10001=I1803),SKUs!$C$2:$C$10001),"")</f>
        <v>0</v>
      </c>
      <c r="H1803" s="33" cm="1">
        <f t="array" ref="H1803">IFERROR(_xlfn.XLOOKUP(1, (dd_accsryclr!$C$2:$C$1000=accsry_unmerged!F1803)*(dd_accsryclr!$B$2:$B$1000=accsry_unmerged!J1803),dd_accsryclr!$A$2:$A$1000),"")</f>
        <v>0</v>
      </c>
      <c r="I1803" s="16">
        <f>_xlfn.XLOOKUP(C1803,'Project Details'!$C$17:$C$66,'Project Details'!$E$17:$E$66,"",0)</f>
        <v>0</v>
      </c>
      <c r="J1803" s="16">
        <f>_xlfn.XLOOKUP(C1803,'Project Details'!$C$17:$C$66,'Project Details'!$H$17:$H$66,"",0)</f>
        <v>0</v>
      </c>
      <c r="K1803" s="33" t="str">
        <f>IF(AND(_xlfn.XLOOKUP(C1803,'Project Details'!$C$17:$C$66,'Project Details'!$L$17:$L$66,"",0)&gt;550, F1803="Spring-L27cm"),"",SUBSTITUTE(_xlfn.XLOOKUP(G1803,SKUs!$C$2:$C$10001,SKUs!$F$2:$F$10001,"",0), " Accessories",""))</f>
        <v/>
      </c>
      <c r="L1803" s="33">
        <f>_xlfn.XLOOKUP(C1803,'Project Details'!$C$17:$C$66,'Project Details'!$D$17:$D$66,"",0)</f>
        <v>0</v>
      </c>
      <c r="M1803" s="43"/>
    </row>
    <row r="1804" spans="1:13" ht="13.5" customHeight="1" outlineLevel="1" x14ac:dyDescent="0.25">
      <c r="A1804" s="43"/>
      <c r="B1804" s="43"/>
      <c r="C1804" s="35">
        <f t="shared" si="34"/>
        <v>36</v>
      </c>
      <c r="D1804" s="35" t="str" cm="1">
        <f t="array" ref="D1804">IFERROR(ROUNDUP(_xlfn.IFS(F1804="Aluminum Track", _xlfn.XLOOKUP(C1804, dd_accsrycalc!$A$2:$A$51, dd_accsrycalc!$B$2:$B$51, "",0), F1804="10 x 2 1/2 S (Flat)", _xlfn.XLOOKUP(C1804, dd_accsrycalc!$A$2:$A$51, dd_accsrycalc!$C$2:$C$51, "",0), F1804="Tox6", _xlfn.XLOOKUP(C1804, dd_accsrycalc!$A$2:$A$51, dd_accsrycalc!$D$2:$D$51, "",0), F1804="Cover Cap", _xlfn.XLOOKUP(C1804, dd_accsrycalc!$A$2:$A$51, dd_accsrycalc!$E$2:$E$51, "",0), F1804="Drainage Cover", _xlfn.XLOOKUP(C1804, dd_accsrycalc!$A$2:$A$51, dd_accsrycalc!$F$2:$F$51, "",0),AND( F1804="Double Adhesive Tape", I1804="Roll-up Screen"), _xlfn.XLOOKUP(C1804, calc_rusacc!$C$15:$C$65, calc_rusacc!$AD$15:$AD$65, "",0),AND( F1804="Sealant", I1804="Roll-up Screen"), _xlfn.XLOOKUP(C1804, calc_rusacc!$C$15:$C$65, calc_rusacc!$AF$15:$AF$65, "",0),  AND( F1804="Main Chain", I1804="Accordion Screen"), _xlfn.XLOOKUP(C1804, calc_rusacc!$C$15:$C$65, calc_rusacc!$BF$15:$BF$65, "",0), AND( F1804="Sealant", I1804="Accordion Screen"), _xlfn.XLOOKUP(C1804, calc_rusacc!$C$15:$C$65, calc_rusacc!$BJ$15:$BJ$65, "",0),  F1804="Sealant", _xlfn.XLOOKUP(C1804, dd_accsrycalc!$A$2:$A$51, dd_accsrycalc!$G$2:$G$51, "",0),  F1804&lt;&gt;"",L1804*_xlfn.XLOOKUP(1, (SKUs!$C$2:$C$10001=G1804)*(SKUs!$K$2:$K$10001=I1804),SKUs!$E$2:$E$10001)), 0),"")</f>
        <v/>
      </c>
      <c r="E1804" s="35" t="str">
        <f>_xlfn.XLOOKUP(F1804,dd_item!$B$2:$B$105,dd_item!$C$2:$C$105,"",0)</f>
        <v/>
      </c>
      <c r="F1804" s="35"/>
      <c r="G1804" s="35" cm="1">
        <f t="array" ref="G1804">IFERROR(_xlfn.XLOOKUP(1, (SKUs!$J$2:$J$10001=accsry_unmerged!F1804)*IF(H1804&lt;&gt;"",(SKUs!$L$2:$L$10001=accsry_unmerged!H1804),1)*(SKUs!$K$2:$K$10001=I1804),SKUs!$C$2:$C$10001),"")</f>
        <v>0</v>
      </c>
      <c r="H1804" s="36" cm="1">
        <f t="array" ref="H1804">IFERROR(_xlfn.XLOOKUP(1, (dd_accsryclr!$C$2:$C$1000=accsry_unmerged!F1804)*(dd_accsryclr!$B$2:$B$1000=accsry_unmerged!J1804),dd_accsryclr!$A$2:$A$1000),"")</f>
        <v>0</v>
      </c>
      <c r="I1804" s="35">
        <f>_xlfn.XLOOKUP(C1804,'Project Details'!$C$17:$C$66,'Project Details'!$E$17:$E$66,"",0)</f>
        <v>0</v>
      </c>
      <c r="J1804" s="35">
        <f>_xlfn.XLOOKUP(C1804,'Project Details'!$C$17:$C$66,'Project Details'!$H$17:$H$66,"",0)</f>
        <v>0</v>
      </c>
      <c r="K1804" s="36" t="str">
        <f>IF(AND(_xlfn.XLOOKUP(C1804,'Project Details'!$C$17:$C$66,'Project Details'!$L$17:$L$66,"",0)&gt;550, F1804="Spring-L27cm"),"",SUBSTITUTE(_xlfn.XLOOKUP(G1804,SKUs!$C$2:$C$10001,SKUs!$F$2:$F$10001,"",0), " Accessories",""))</f>
        <v/>
      </c>
      <c r="L1804" s="36">
        <f>_xlfn.XLOOKUP(C1804,'Project Details'!$C$17:$C$66,'Project Details'!$D$17:$D$66,"",0)</f>
        <v>0</v>
      </c>
      <c r="M1804" s="43"/>
    </row>
    <row r="1805" spans="1:13" ht="13.5" customHeight="1" outlineLevel="1" collapsed="1" x14ac:dyDescent="0.25">
      <c r="A1805" s="43"/>
      <c r="B1805" s="43"/>
      <c r="C1805" s="16">
        <f t="shared" si="34"/>
        <v>36</v>
      </c>
      <c r="D1805" s="16" t="str" cm="1">
        <f t="array" ref="D1805">IFERROR(ROUNDUP(_xlfn.IFS(F1805="Aluminum Track", _xlfn.XLOOKUP(C1805, dd_accsrycalc!$A$2:$A$51, dd_accsrycalc!$B$2:$B$51, "",0), F1805="10 x 2 1/2 S (Flat)", _xlfn.XLOOKUP(C1805, dd_accsrycalc!$A$2:$A$51, dd_accsrycalc!$C$2:$C$51, "",0), F1805="Tox6", _xlfn.XLOOKUP(C1805, dd_accsrycalc!$A$2:$A$51, dd_accsrycalc!$D$2:$D$51, "",0), F1805="Cover Cap", _xlfn.XLOOKUP(C1805, dd_accsrycalc!$A$2:$A$51, dd_accsrycalc!$E$2:$E$51, "",0), F1805="Drainage Cover", _xlfn.XLOOKUP(C1805, dd_accsrycalc!$A$2:$A$51, dd_accsrycalc!$F$2:$F$51, "",0),AND( F1805="Double Adhesive Tape", I1805="Roll-up Screen"), _xlfn.XLOOKUP(C1805, calc_rusacc!$C$15:$C$65, calc_rusacc!$AD$15:$AD$65, "",0),AND( F1805="Sealant", I1805="Roll-up Screen"), _xlfn.XLOOKUP(C1805, calc_rusacc!$C$15:$C$65, calc_rusacc!$AF$15:$AF$65, "",0),  AND( F1805="Main Chain", I1805="Accordion Screen"), _xlfn.XLOOKUP(C1805, calc_rusacc!$C$15:$C$65, calc_rusacc!$BF$15:$BF$65, "",0), AND( F1805="Sealant", I1805="Accordion Screen"), _xlfn.XLOOKUP(C1805, calc_rusacc!$C$15:$C$65, calc_rusacc!$BJ$15:$BJ$65, "",0),  F1805="Sealant", _xlfn.XLOOKUP(C1805, dd_accsrycalc!$A$2:$A$51, dd_accsrycalc!$G$2:$G$51, "",0),  F1805&lt;&gt;"",L1805*_xlfn.XLOOKUP(1, (SKUs!$C$2:$C$10001=G1805)*(SKUs!$K$2:$K$10001=I1805),SKUs!$E$2:$E$10001)), 0),"")</f>
        <v/>
      </c>
      <c r="E1805" s="16" t="str">
        <f>_xlfn.XLOOKUP(F1805,dd_item!$B$2:$B$105,dd_item!$C$2:$C$105,"",0)</f>
        <v/>
      </c>
      <c r="F1805" s="16"/>
      <c r="G1805" s="16" cm="1">
        <f t="array" ref="G1805">IFERROR(_xlfn.XLOOKUP(1, (SKUs!$J$2:$J$10001=accsry_unmerged!F1805)*IF(H1805&lt;&gt;"",(SKUs!$L$2:$L$10001=accsry_unmerged!H1805),1)*(SKUs!$K$2:$K$10001=I1805),SKUs!$C$2:$C$10001),"")</f>
        <v>0</v>
      </c>
      <c r="H1805" s="33" cm="1">
        <f t="array" ref="H1805">IFERROR(_xlfn.XLOOKUP(1, (dd_accsryclr!$C$2:$C$1000=accsry_unmerged!F1805)*(dd_accsryclr!$B$2:$B$1000=accsry_unmerged!J1805),dd_accsryclr!$A$2:$A$1000),"")</f>
        <v>0</v>
      </c>
      <c r="I1805" s="16">
        <f>_xlfn.XLOOKUP(C1805,'Project Details'!$C$17:$C$66,'Project Details'!$E$17:$E$66,"",0)</f>
        <v>0</v>
      </c>
      <c r="J1805" s="16">
        <f>_xlfn.XLOOKUP(C1805,'Project Details'!$C$17:$C$66,'Project Details'!$H$17:$H$66,"",0)</f>
        <v>0</v>
      </c>
      <c r="K1805" s="33" t="str">
        <f>IF(AND(_xlfn.XLOOKUP(C1805,'Project Details'!$C$17:$C$66,'Project Details'!$L$17:$L$66,"",0)&gt;550, F1805="Spring-L27cm"),"",SUBSTITUTE(_xlfn.XLOOKUP(G1805,SKUs!$C$2:$C$10001,SKUs!$F$2:$F$10001,"",0), " Accessories",""))</f>
        <v/>
      </c>
      <c r="L1805" s="33">
        <f>_xlfn.XLOOKUP(C1805,'Project Details'!$C$17:$C$66,'Project Details'!$D$17:$D$66,"",0)</f>
        <v>0</v>
      </c>
      <c r="M1805" s="43"/>
    </row>
    <row r="1806" spans="1:13" ht="13.5" customHeight="1" outlineLevel="1" x14ac:dyDescent="0.25">
      <c r="A1806" s="43"/>
      <c r="B1806" s="43"/>
      <c r="C1806" s="35">
        <f t="shared" si="34"/>
        <v>36</v>
      </c>
      <c r="D1806" s="35" t="str" cm="1">
        <f t="array" ref="D1806">IFERROR(ROUNDUP(_xlfn.IFS(F1806="Aluminum Track", _xlfn.XLOOKUP(C1806, dd_accsrycalc!$A$2:$A$51, dd_accsrycalc!$B$2:$B$51, "",0), F1806="10 x 2 1/2 S (Flat)", _xlfn.XLOOKUP(C1806, dd_accsrycalc!$A$2:$A$51, dd_accsrycalc!$C$2:$C$51, "",0), F1806="Tox6", _xlfn.XLOOKUP(C1806, dd_accsrycalc!$A$2:$A$51, dd_accsrycalc!$D$2:$D$51, "",0), F1806="Cover Cap", _xlfn.XLOOKUP(C1806, dd_accsrycalc!$A$2:$A$51, dd_accsrycalc!$E$2:$E$51, "",0), F1806="Drainage Cover", _xlfn.XLOOKUP(C1806, dd_accsrycalc!$A$2:$A$51, dd_accsrycalc!$F$2:$F$51, "",0),AND( F1806="Double Adhesive Tape", I1806="Roll-up Screen"), _xlfn.XLOOKUP(C1806, calc_rusacc!$C$15:$C$65, calc_rusacc!$AD$15:$AD$65, "",0),AND( F1806="Sealant", I1806="Roll-up Screen"), _xlfn.XLOOKUP(C1806, calc_rusacc!$C$15:$C$65, calc_rusacc!$AF$15:$AF$65, "",0),  AND( F1806="Main Chain", I1806="Accordion Screen"), _xlfn.XLOOKUP(C1806, calc_rusacc!$C$15:$C$65, calc_rusacc!$BF$15:$BF$65, "",0), AND( F1806="Sealant", I1806="Accordion Screen"), _xlfn.XLOOKUP(C1806, calc_rusacc!$C$15:$C$65, calc_rusacc!$BJ$15:$BJ$65, "",0),  F1806="Sealant", _xlfn.XLOOKUP(C1806, dd_accsrycalc!$A$2:$A$51, dd_accsrycalc!$G$2:$G$51, "",0),  F1806&lt;&gt;"",L1806*_xlfn.XLOOKUP(1, (SKUs!$C$2:$C$10001=G1806)*(SKUs!$K$2:$K$10001=I1806),SKUs!$E$2:$E$10001)), 0),"")</f>
        <v/>
      </c>
      <c r="E1806" s="35" t="str">
        <f>_xlfn.XLOOKUP(F1806,dd_item!$B$2:$B$105,dd_item!$C$2:$C$105,"",0)</f>
        <v/>
      </c>
      <c r="F1806" s="35"/>
      <c r="G1806" s="35" cm="1">
        <f t="array" ref="G1806">IFERROR(_xlfn.XLOOKUP(1, (SKUs!$J$2:$J$10001=accsry_unmerged!F1806)*IF(H1806&lt;&gt;"",(SKUs!$L$2:$L$10001=accsry_unmerged!H1806),1)*(SKUs!$K$2:$K$10001=I1806),SKUs!$C$2:$C$10001),"")</f>
        <v>0</v>
      </c>
      <c r="H1806" s="36" cm="1">
        <f t="array" ref="H1806">IFERROR(_xlfn.XLOOKUP(1, (dd_accsryclr!$C$2:$C$1000=accsry_unmerged!F1806)*(dd_accsryclr!$B$2:$B$1000=accsry_unmerged!J1806),dd_accsryclr!$A$2:$A$1000),"")</f>
        <v>0</v>
      </c>
      <c r="I1806" s="35">
        <f>_xlfn.XLOOKUP(C1806,'Project Details'!$C$17:$C$66,'Project Details'!$E$17:$E$66,"",0)</f>
        <v>0</v>
      </c>
      <c r="J1806" s="35">
        <f>_xlfn.XLOOKUP(C1806,'Project Details'!$C$17:$C$66,'Project Details'!$H$17:$H$66,"",0)</f>
        <v>0</v>
      </c>
      <c r="K1806" s="36" t="str">
        <f>IF(AND(_xlfn.XLOOKUP(C1806,'Project Details'!$C$17:$C$66,'Project Details'!$L$17:$L$66,"",0)&gt;550, F1806="Spring-L27cm"),"",SUBSTITUTE(_xlfn.XLOOKUP(G1806,SKUs!$C$2:$C$10001,SKUs!$F$2:$F$10001,"",0), " Accessories",""))</f>
        <v/>
      </c>
      <c r="L1806" s="36">
        <f>_xlfn.XLOOKUP(C1806,'Project Details'!$C$17:$C$66,'Project Details'!$D$17:$D$66,"",0)</f>
        <v>0</v>
      </c>
      <c r="M1806" s="43"/>
    </row>
    <row r="1807" spans="1:13" ht="13.5" customHeight="1" outlineLevel="1" x14ac:dyDescent="0.25">
      <c r="A1807" s="43"/>
      <c r="B1807" s="43"/>
      <c r="C1807" s="16">
        <f t="shared" si="34"/>
        <v>36</v>
      </c>
      <c r="D1807" s="16" t="str" cm="1">
        <f t="array" ref="D1807">IFERROR(ROUNDUP(_xlfn.IFS(F1807="Aluminum Track", _xlfn.XLOOKUP(C1807, dd_accsrycalc!$A$2:$A$51, dd_accsrycalc!$B$2:$B$51, "",0), F1807="10 x 2 1/2 S (Flat)", _xlfn.XLOOKUP(C1807, dd_accsrycalc!$A$2:$A$51, dd_accsrycalc!$C$2:$C$51, "",0), F1807="Tox6", _xlfn.XLOOKUP(C1807, dd_accsrycalc!$A$2:$A$51, dd_accsrycalc!$D$2:$D$51, "",0), F1807="Cover Cap", _xlfn.XLOOKUP(C1807, dd_accsrycalc!$A$2:$A$51, dd_accsrycalc!$E$2:$E$51, "",0), F1807="Drainage Cover", _xlfn.XLOOKUP(C1807, dd_accsrycalc!$A$2:$A$51, dd_accsrycalc!$F$2:$F$51, "",0),AND( F1807="Double Adhesive Tape", I1807="Roll-up Screen"), _xlfn.XLOOKUP(C1807, calc_rusacc!$C$15:$C$65, calc_rusacc!$AD$15:$AD$65, "",0),AND( F1807="Sealant", I1807="Roll-up Screen"), _xlfn.XLOOKUP(C1807, calc_rusacc!$C$15:$C$65, calc_rusacc!$AF$15:$AF$65, "",0),  AND( F1807="Main Chain", I1807="Accordion Screen"), _xlfn.XLOOKUP(C1807, calc_rusacc!$C$15:$C$65, calc_rusacc!$BF$15:$BF$65, "",0), AND( F1807="Sealant", I1807="Accordion Screen"), _xlfn.XLOOKUP(C1807, calc_rusacc!$C$15:$C$65, calc_rusacc!$BJ$15:$BJ$65, "",0),  F1807="Sealant", _xlfn.XLOOKUP(C1807, dd_accsrycalc!$A$2:$A$51, dd_accsrycalc!$G$2:$G$51, "",0),  F1807&lt;&gt;"",L1807*_xlfn.XLOOKUP(1, (SKUs!$C$2:$C$10001=G1807)*(SKUs!$K$2:$K$10001=I1807),SKUs!$E$2:$E$10001)), 0),"")</f>
        <v/>
      </c>
      <c r="E1807" s="16" t="str">
        <f>_xlfn.XLOOKUP(F1807,dd_item!$B$2:$B$105,dd_item!$C$2:$C$105,"",0)</f>
        <v/>
      </c>
      <c r="F1807" s="16"/>
      <c r="G1807" s="16" cm="1">
        <f t="array" ref="G1807">IFERROR(_xlfn.XLOOKUP(1, (SKUs!$J$2:$J$10001=accsry_unmerged!F1807)*IF(H1807&lt;&gt;"",(SKUs!$L$2:$L$10001=accsry_unmerged!H1807),1)*(SKUs!$K$2:$K$10001=I1807),SKUs!$C$2:$C$10001),"")</f>
        <v>0</v>
      </c>
      <c r="H1807" s="33" cm="1">
        <f t="array" ref="H1807">IFERROR(_xlfn.XLOOKUP(1, (dd_accsryclr!$C$2:$C$1000=accsry_unmerged!F1807)*(dd_accsryclr!$B$2:$B$1000=accsry_unmerged!J1807),dd_accsryclr!$A$2:$A$1000),"")</f>
        <v>0</v>
      </c>
      <c r="I1807" s="16">
        <f>_xlfn.XLOOKUP(C1807,'Project Details'!$C$17:$C$66,'Project Details'!$E$17:$E$66,"",0)</f>
        <v>0</v>
      </c>
      <c r="J1807" s="16">
        <f>_xlfn.XLOOKUP(C1807,'Project Details'!$C$17:$C$66,'Project Details'!$H$17:$H$66,"",0)</f>
        <v>0</v>
      </c>
      <c r="K1807" s="33" t="str">
        <f>IF(AND(_xlfn.XLOOKUP(C1807,'Project Details'!$C$17:$C$66,'Project Details'!$L$17:$L$66,"",0)&gt;550, F1807="Spring-L27cm"),"",SUBSTITUTE(_xlfn.XLOOKUP(G1807,SKUs!$C$2:$C$10001,SKUs!$F$2:$F$10001,"",0), " Accessories",""))</f>
        <v/>
      </c>
      <c r="L1807" s="33">
        <f>_xlfn.XLOOKUP(C1807,'Project Details'!$C$17:$C$66,'Project Details'!$D$17:$D$66,"",0)</f>
        <v>0</v>
      </c>
      <c r="M1807" s="43"/>
    </row>
    <row r="1808" spans="1:13" ht="13.5" customHeight="1" outlineLevel="1" x14ac:dyDescent="0.25">
      <c r="A1808" s="43"/>
      <c r="B1808" s="43"/>
      <c r="C1808" s="35">
        <f t="shared" si="34"/>
        <v>36</v>
      </c>
      <c r="D1808" s="35" t="str" cm="1">
        <f t="array" ref="D1808">IFERROR(ROUNDUP(_xlfn.IFS(F1808="Aluminum Track", _xlfn.XLOOKUP(C1808, dd_accsrycalc!$A$2:$A$51, dd_accsrycalc!$B$2:$B$51, "",0), F1808="10 x 2 1/2 S (Flat)", _xlfn.XLOOKUP(C1808, dd_accsrycalc!$A$2:$A$51, dd_accsrycalc!$C$2:$C$51, "",0), F1808="Tox6", _xlfn.XLOOKUP(C1808, dd_accsrycalc!$A$2:$A$51, dd_accsrycalc!$D$2:$D$51, "",0), F1808="Cover Cap", _xlfn.XLOOKUP(C1808, dd_accsrycalc!$A$2:$A$51, dd_accsrycalc!$E$2:$E$51, "",0), F1808="Drainage Cover", _xlfn.XLOOKUP(C1808, dd_accsrycalc!$A$2:$A$51, dd_accsrycalc!$F$2:$F$51, "",0),AND( F1808="Double Adhesive Tape", I1808="Roll-up Screen"), _xlfn.XLOOKUP(C1808, calc_rusacc!$C$15:$C$65, calc_rusacc!$AD$15:$AD$65, "",0),AND( F1808="Sealant", I1808="Roll-up Screen"), _xlfn.XLOOKUP(C1808, calc_rusacc!$C$15:$C$65, calc_rusacc!$AF$15:$AF$65, "",0),  AND( F1808="Main Chain", I1808="Accordion Screen"), _xlfn.XLOOKUP(C1808, calc_rusacc!$C$15:$C$65, calc_rusacc!$BF$15:$BF$65, "",0), AND( F1808="Sealant", I1808="Accordion Screen"), _xlfn.XLOOKUP(C1808, calc_rusacc!$C$15:$C$65, calc_rusacc!$BJ$15:$BJ$65, "",0),  F1808="Sealant", _xlfn.XLOOKUP(C1808, dd_accsrycalc!$A$2:$A$51, dd_accsrycalc!$G$2:$G$51, "",0),  F1808&lt;&gt;"",L1808*_xlfn.XLOOKUP(1, (SKUs!$C$2:$C$10001=G1808)*(SKUs!$K$2:$K$10001=I1808),SKUs!$E$2:$E$10001)), 0),"")</f>
        <v/>
      </c>
      <c r="E1808" s="35" t="str">
        <f>_xlfn.XLOOKUP(F1808,dd_item!$B$2:$B$105,dd_item!$C$2:$C$105,"",0)</f>
        <v/>
      </c>
      <c r="F1808" s="35"/>
      <c r="G1808" s="35" cm="1">
        <f t="array" ref="G1808">IFERROR(_xlfn.XLOOKUP(1, (SKUs!$J$2:$J$10001=accsry_unmerged!F1808)*IF(H1808&lt;&gt;"",(SKUs!$L$2:$L$10001=accsry_unmerged!H1808),1)*(SKUs!$K$2:$K$10001=I1808),SKUs!$C$2:$C$10001),"")</f>
        <v>0</v>
      </c>
      <c r="H1808" s="36" cm="1">
        <f t="array" ref="H1808">IFERROR(_xlfn.XLOOKUP(1, (dd_accsryclr!$C$2:$C$1000=accsry_unmerged!F1808)*(dd_accsryclr!$B$2:$B$1000=accsry_unmerged!J1808),dd_accsryclr!$A$2:$A$1000),"")</f>
        <v>0</v>
      </c>
      <c r="I1808" s="35">
        <f>_xlfn.XLOOKUP(C1808,'Project Details'!$C$17:$C$66,'Project Details'!$E$17:$E$66,"",0)</f>
        <v>0</v>
      </c>
      <c r="J1808" s="35">
        <f>_xlfn.XLOOKUP(C1808,'Project Details'!$C$17:$C$66,'Project Details'!$H$17:$H$66,"",0)</f>
        <v>0</v>
      </c>
      <c r="K1808" s="36" t="str">
        <f>IF(AND(_xlfn.XLOOKUP(C1808,'Project Details'!$C$17:$C$66,'Project Details'!$L$17:$L$66,"",0)&gt;550, F1808="Spring-L27cm"),"",SUBSTITUTE(_xlfn.XLOOKUP(G1808,SKUs!$C$2:$C$10001,SKUs!$F$2:$F$10001,"",0), " Accessories",""))</f>
        <v/>
      </c>
      <c r="L1808" s="36">
        <f>_xlfn.XLOOKUP(C1808,'Project Details'!$C$17:$C$66,'Project Details'!$D$17:$D$66,"",0)</f>
        <v>0</v>
      </c>
      <c r="M1808" s="43"/>
    </row>
    <row r="1809" spans="1:13" ht="13.5" customHeight="1" outlineLevel="1" x14ac:dyDescent="0.25">
      <c r="A1809" s="43"/>
      <c r="B1809" s="43"/>
      <c r="C1809" s="16">
        <f t="shared" si="34"/>
        <v>36</v>
      </c>
      <c r="D1809" s="16" t="str" cm="1">
        <f t="array" ref="D1809">IFERROR(ROUNDUP(_xlfn.IFS(F1809="Aluminum Track", _xlfn.XLOOKUP(C1809, dd_accsrycalc!$A$2:$A$51, dd_accsrycalc!$B$2:$B$51, "",0), F1809="10 x 2 1/2 S (Flat)", _xlfn.XLOOKUP(C1809, dd_accsrycalc!$A$2:$A$51, dd_accsrycalc!$C$2:$C$51, "",0), F1809="Tox6", _xlfn.XLOOKUP(C1809, dd_accsrycalc!$A$2:$A$51, dd_accsrycalc!$D$2:$D$51, "",0), F1809="Cover Cap", _xlfn.XLOOKUP(C1809, dd_accsrycalc!$A$2:$A$51, dd_accsrycalc!$E$2:$E$51, "",0), F1809="Drainage Cover", _xlfn.XLOOKUP(C1809, dd_accsrycalc!$A$2:$A$51, dd_accsrycalc!$F$2:$F$51, "",0),AND( F1809="Double Adhesive Tape", I1809="Roll-up Screen"), _xlfn.XLOOKUP(C1809, calc_rusacc!$C$15:$C$65, calc_rusacc!$AD$15:$AD$65, "",0),AND( F1809="Sealant", I1809="Roll-up Screen"), _xlfn.XLOOKUP(C1809, calc_rusacc!$C$15:$C$65, calc_rusacc!$AF$15:$AF$65, "",0),  AND( F1809="Main Chain", I1809="Accordion Screen"), _xlfn.XLOOKUP(C1809, calc_rusacc!$C$15:$C$65, calc_rusacc!$BF$15:$BF$65, "",0), AND( F1809="Sealant", I1809="Accordion Screen"), _xlfn.XLOOKUP(C1809, calc_rusacc!$C$15:$C$65, calc_rusacc!$BJ$15:$BJ$65, "",0),  F1809="Sealant", _xlfn.XLOOKUP(C1809, dd_accsrycalc!$A$2:$A$51, dd_accsrycalc!$G$2:$G$51, "",0),  F1809&lt;&gt;"",L1809*_xlfn.XLOOKUP(1, (SKUs!$C$2:$C$10001=G1809)*(SKUs!$K$2:$K$10001=I1809),SKUs!$E$2:$E$10001)), 0),"")</f>
        <v/>
      </c>
      <c r="E1809" s="16" t="str">
        <f>_xlfn.XLOOKUP(F1809,dd_item!$B$2:$B$105,dd_item!$C$2:$C$105,"",0)</f>
        <v/>
      </c>
      <c r="F1809" s="16"/>
      <c r="G1809" s="16" cm="1">
        <f t="array" ref="G1809">IFERROR(_xlfn.XLOOKUP(1, (SKUs!$J$2:$J$10001=accsry_unmerged!F1809)*IF(H1809&lt;&gt;"",(SKUs!$L$2:$L$10001=accsry_unmerged!H1809),1)*(SKUs!$K$2:$K$10001=I1809),SKUs!$C$2:$C$10001),"")</f>
        <v>0</v>
      </c>
      <c r="H1809" s="33" cm="1">
        <f t="array" ref="H1809">IFERROR(_xlfn.XLOOKUP(1, (dd_accsryclr!$C$2:$C$1000=accsry_unmerged!F1809)*(dd_accsryclr!$B$2:$B$1000=accsry_unmerged!J1809),dd_accsryclr!$A$2:$A$1000),"")</f>
        <v>0</v>
      </c>
      <c r="I1809" s="16">
        <f>_xlfn.XLOOKUP(C1809,'Project Details'!$C$17:$C$66,'Project Details'!$E$17:$E$66,"",0)</f>
        <v>0</v>
      </c>
      <c r="J1809" s="16">
        <f>_xlfn.XLOOKUP(C1809,'Project Details'!$C$17:$C$66,'Project Details'!$H$17:$H$66,"",0)</f>
        <v>0</v>
      </c>
      <c r="K1809" s="33" t="str">
        <f>IF(AND(_xlfn.XLOOKUP(C1809,'Project Details'!$C$17:$C$66,'Project Details'!$L$17:$L$66,"",0)&gt;550, F1809="Spring-L27cm"),"",SUBSTITUTE(_xlfn.XLOOKUP(G1809,SKUs!$C$2:$C$10001,SKUs!$F$2:$F$10001,"",0), " Accessories",""))</f>
        <v/>
      </c>
      <c r="L1809" s="33">
        <f>_xlfn.XLOOKUP(C1809,'Project Details'!$C$17:$C$66,'Project Details'!$D$17:$D$66,"",0)</f>
        <v>0</v>
      </c>
      <c r="M1809" s="43"/>
    </row>
    <row r="1810" spans="1:13" ht="13.5" customHeight="1" outlineLevel="1" x14ac:dyDescent="0.25">
      <c r="A1810" s="43"/>
      <c r="B1810" s="43"/>
      <c r="C1810" s="35">
        <f t="shared" si="34"/>
        <v>36</v>
      </c>
      <c r="D1810" s="35" t="str" cm="1">
        <f t="array" ref="D1810">IFERROR(ROUNDUP(_xlfn.IFS(F1810="Aluminum Track", _xlfn.XLOOKUP(C1810, dd_accsrycalc!$A$2:$A$51, dd_accsrycalc!$B$2:$B$51, "",0), F1810="10 x 2 1/2 S (Flat)", _xlfn.XLOOKUP(C1810, dd_accsrycalc!$A$2:$A$51, dd_accsrycalc!$C$2:$C$51, "",0), F1810="Tox6", _xlfn.XLOOKUP(C1810, dd_accsrycalc!$A$2:$A$51, dd_accsrycalc!$D$2:$D$51, "",0), F1810="Cover Cap", _xlfn.XLOOKUP(C1810, dd_accsrycalc!$A$2:$A$51, dd_accsrycalc!$E$2:$E$51, "",0), F1810="Drainage Cover", _xlfn.XLOOKUP(C1810, dd_accsrycalc!$A$2:$A$51, dd_accsrycalc!$F$2:$F$51, "",0),AND( F1810="Double Adhesive Tape", I1810="Roll-up Screen"), _xlfn.XLOOKUP(C1810, calc_rusacc!$C$15:$C$65, calc_rusacc!$AD$15:$AD$65, "",0),AND( F1810="Sealant", I1810="Roll-up Screen"), _xlfn.XLOOKUP(C1810, calc_rusacc!$C$15:$C$65, calc_rusacc!$AF$15:$AF$65, "",0),  AND( F1810="Main Chain", I1810="Accordion Screen"), _xlfn.XLOOKUP(C1810, calc_rusacc!$C$15:$C$65, calc_rusacc!$BF$15:$BF$65, "",0), AND( F1810="Sealant", I1810="Accordion Screen"), _xlfn.XLOOKUP(C1810, calc_rusacc!$C$15:$C$65, calc_rusacc!$BJ$15:$BJ$65, "",0),  F1810="Sealant", _xlfn.XLOOKUP(C1810, dd_accsrycalc!$A$2:$A$51, dd_accsrycalc!$G$2:$G$51, "",0),  F1810&lt;&gt;"",L1810*_xlfn.XLOOKUP(1, (SKUs!$C$2:$C$10001=G1810)*(SKUs!$K$2:$K$10001=I1810),SKUs!$E$2:$E$10001)), 0),"")</f>
        <v/>
      </c>
      <c r="E1810" s="35" t="str">
        <f>_xlfn.XLOOKUP(F1810,dd_item!$B$2:$B$105,dd_item!$C$2:$C$105,"",0)</f>
        <v/>
      </c>
      <c r="F1810" s="35"/>
      <c r="G1810" s="35" cm="1">
        <f t="array" ref="G1810">IFERROR(_xlfn.XLOOKUP(1, (SKUs!$J$2:$J$10001=accsry_unmerged!F1810)*IF(H1810&lt;&gt;"",(SKUs!$L$2:$L$10001=accsry_unmerged!H1810),1)*(SKUs!$K$2:$K$10001=I1810),SKUs!$C$2:$C$10001),"")</f>
        <v>0</v>
      </c>
      <c r="H1810" s="36" cm="1">
        <f t="array" ref="H1810">IFERROR(_xlfn.XLOOKUP(1, (dd_accsryclr!$C$2:$C$1000=accsry_unmerged!F1810)*(dd_accsryclr!$B$2:$B$1000=accsry_unmerged!J1810),dd_accsryclr!$A$2:$A$1000),"")</f>
        <v>0</v>
      </c>
      <c r="I1810" s="35">
        <f>_xlfn.XLOOKUP(C1810,'Project Details'!$C$17:$C$66,'Project Details'!$E$17:$E$66,"",0)</f>
        <v>0</v>
      </c>
      <c r="J1810" s="35">
        <f>_xlfn.XLOOKUP(C1810,'Project Details'!$C$17:$C$66,'Project Details'!$H$17:$H$66,"",0)</f>
        <v>0</v>
      </c>
      <c r="K1810" s="36" t="str">
        <f>IF(AND(_xlfn.XLOOKUP(C1810,'Project Details'!$C$17:$C$66,'Project Details'!$L$17:$L$66,"",0)&gt;550, F1810="Spring-L27cm"),"",SUBSTITUTE(_xlfn.XLOOKUP(G1810,SKUs!$C$2:$C$10001,SKUs!$F$2:$F$10001,"",0), " Accessories",""))</f>
        <v/>
      </c>
      <c r="L1810" s="36">
        <f>_xlfn.XLOOKUP(C1810,'Project Details'!$C$17:$C$66,'Project Details'!$D$17:$D$66,"",0)</f>
        <v>0</v>
      </c>
      <c r="M1810" s="43"/>
    </row>
    <row r="1811" spans="1:13" ht="13.5" customHeight="1" outlineLevel="1" x14ac:dyDescent="0.25">
      <c r="A1811" s="43"/>
      <c r="B1811" s="43"/>
      <c r="C1811" s="16">
        <f t="shared" si="34"/>
        <v>36</v>
      </c>
      <c r="D1811" s="16" t="str" cm="1">
        <f t="array" ref="D1811">IFERROR(ROUNDUP(_xlfn.IFS(F1811="Aluminum Track", _xlfn.XLOOKUP(C1811, dd_accsrycalc!$A$2:$A$51, dd_accsrycalc!$B$2:$B$51, "",0), F1811="10 x 2 1/2 S (Flat)", _xlfn.XLOOKUP(C1811, dd_accsrycalc!$A$2:$A$51, dd_accsrycalc!$C$2:$C$51, "",0), F1811="Tox6", _xlfn.XLOOKUP(C1811, dd_accsrycalc!$A$2:$A$51, dd_accsrycalc!$D$2:$D$51, "",0), F1811="Cover Cap", _xlfn.XLOOKUP(C1811, dd_accsrycalc!$A$2:$A$51, dd_accsrycalc!$E$2:$E$51, "",0), F1811="Drainage Cover", _xlfn.XLOOKUP(C1811, dd_accsrycalc!$A$2:$A$51, dd_accsrycalc!$F$2:$F$51, "",0),AND( F1811="Double Adhesive Tape", I1811="Roll-up Screen"), _xlfn.XLOOKUP(C1811, calc_rusacc!$C$15:$C$65, calc_rusacc!$AD$15:$AD$65, "",0),AND( F1811="Sealant", I1811="Roll-up Screen"), _xlfn.XLOOKUP(C1811, calc_rusacc!$C$15:$C$65, calc_rusacc!$AF$15:$AF$65, "",0),  AND( F1811="Main Chain", I1811="Accordion Screen"), _xlfn.XLOOKUP(C1811, calc_rusacc!$C$15:$C$65, calc_rusacc!$BF$15:$BF$65, "",0), AND( F1811="Sealant", I1811="Accordion Screen"), _xlfn.XLOOKUP(C1811, calc_rusacc!$C$15:$C$65, calc_rusacc!$BJ$15:$BJ$65, "",0),  F1811="Sealant", _xlfn.XLOOKUP(C1811, dd_accsrycalc!$A$2:$A$51, dd_accsrycalc!$G$2:$G$51, "",0),  F1811&lt;&gt;"",L1811*_xlfn.XLOOKUP(1, (SKUs!$C$2:$C$10001=G1811)*(SKUs!$K$2:$K$10001=I1811),SKUs!$E$2:$E$10001)), 0),"")</f>
        <v/>
      </c>
      <c r="E1811" s="16" t="str">
        <f>_xlfn.XLOOKUP(F1811,dd_item!$B$2:$B$105,dd_item!$C$2:$C$105,"",0)</f>
        <v/>
      </c>
      <c r="F1811" s="16"/>
      <c r="G1811" s="16" cm="1">
        <f t="array" ref="G1811">IFERROR(_xlfn.XLOOKUP(1, (SKUs!$J$2:$J$10001=accsry_unmerged!F1811)*IF(H1811&lt;&gt;"",(SKUs!$L$2:$L$10001=accsry_unmerged!H1811),1)*(SKUs!$K$2:$K$10001=I1811),SKUs!$C$2:$C$10001),"")</f>
        <v>0</v>
      </c>
      <c r="H1811" s="33" cm="1">
        <f t="array" ref="H1811">IFERROR(_xlfn.XLOOKUP(1, (dd_accsryclr!$C$2:$C$1000=accsry_unmerged!F1811)*(dd_accsryclr!$B$2:$B$1000=accsry_unmerged!J1811),dd_accsryclr!$A$2:$A$1000),"")</f>
        <v>0</v>
      </c>
      <c r="I1811" s="16">
        <f>_xlfn.XLOOKUP(C1811,'Project Details'!$C$17:$C$66,'Project Details'!$E$17:$E$66,"",0)</f>
        <v>0</v>
      </c>
      <c r="J1811" s="16">
        <f>_xlfn.XLOOKUP(C1811,'Project Details'!$C$17:$C$66,'Project Details'!$H$17:$H$66,"",0)</f>
        <v>0</v>
      </c>
      <c r="K1811" s="33" t="str">
        <f>IF(AND(_xlfn.XLOOKUP(C1811,'Project Details'!$C$17:$C$66,'Project Details'!$L$17:$L$66,"",0)&gt;550, F1811="Spring-L27cm"),"",SUBSTITUTE(_xlfn.XLOOKUP(G1811,SKUs!$C$2:$C$10001,SKUs!$F$2:$F$10001,"",0), " Accessories",""))</f>
        <v/>
      </c>
      <c r="L1811" s="33">
        <f>_xlfn.XLOOKUP(C1811,'Project Details'!$C$17:$C$66,'Project Details'!$D$17:$D$66,"",0)</f>
        <v>0</v>
      </c>
      <c r="M1811" s="43"/>
    </row>
    <row r="1812" spans="1:13" ht="13.5" customHeight="1" outlineLevel="1" x14ac:dyDescent="0.25">
      <c r="A1812" s="43"/>
      <c r="B1812" s="43"/>
      <c r="C1812" s="35">
        <f t="shared" si="34"/>
        <v>36</v>
      </c>
      <c r="D1812" s="35" t="str" cm="1">
        <f t="array" ref="D1812">IFERROR(ROUNDUP(_xlfn.IFS(F1812="Aluminum Track", _xlfn.XLOOKUP(C1812, dd_accsrycalc!$A$2:$A$51, dd_accsrycalc!$B$2:$B$51, "",0), F1812="10 x 2 1/2 S (Flat)", _xlfn.XLOOKUP(C1812, dd_accsrycalc!$A$2:$A$51, dd_accsrycalc!$C$2:$C$51, "",0), F1812="Tox6", _xlfn.XLOOKUP(C1812, dd_accsrycalc!$A$2:$A$51, dd_accsrycalc!$D$2:$D$51, "",0), F1812="Cover Cap", _xlfn.XLOOKUP(C1812, dd_accsrycalc!$A$2:$A$51, dd_accsrycalc!$E$2:$E$51, "",0), F1812="Drainage Cover", _xlfn.XLOOKUP(C1812, dd_accsrycalc!$A$2:$A$51, dd_accsrycalc!$F$2:$F$51, "",0),AND( F1812="Double Adhesive Tape", I1812="Roll-up Screen"), _xlfn.XLOOKUP(C1812, calc_rusacc!$C$15:$C$65, calc_rusacc!$AD$15:$AD$65, "",0),AND( F1812="Sealant", I1812="Roll-up Screen"), _xlfn.XLOOKUP(C1812, calc_rusacc!$C$15:$C$65, calc_rusacc!$AF$15:$AF$65, "",0),  AND( F1812="Main Chain", I1812="Accordion Screen"), _xlfn.XLOOKUP(C1812, calc_rusacc!$C$15:$C$65, calc_rusacc!$BF$15:$BF$65, "",0), AND( F1812="Sealant", I1812="Accordion Screen"), _xlfn.XLOOKUP(C1812, calc_rusacc!$C$15:$C$65, calc_rusacc!$BJ$15:$BJ$65, "",0),  F1812="Sealant", _xlfn.XLOOKUP(C1812, dd_accsrycalc!$A$2:$A$51, dd_accsrycalc!$G$2:$G$51, "",0),  F1812&lt;&gt;"",L1812*_xlfn.XLOOKUP(1, (SKUs!$C$2:$C$10001=G1812)*(SKUs!$K$2:$K$10001=I1812),SKUs!$E$2:$E$10001)), 0),"")</f>
        <v/>
      </c>
      <c r="E1812" s="35" t="str">
        <f>_xlfn.XLOOKUP(F1812,dd_item!$B$2:$B$105,dd_item!$C$2:$C$105,"",0)</f>
        <v/>
      </c>
      <c r="F1812" s="35"/>
      <c r="G1812" s="35" cm="1">
        <f t="array" ref="G1812">IFERROR(_xlfn.XLOOKUP(1, (SKUs!$J$2:$J$10001=accsry_unmerged!F1812)*IF(H1812&lt;&gt;"",(SKUs!$L$2:$L$10001=accsry_unmerged!H1812),1)*(SKUs!$K$2:$K$10001=I1812),SKUs!$C$2:$C$10001),"")</f>
        <v>0</v>
      </c>
      <c r="H1812" s="36" cm="1">
        <f t="array" ref="H1812">IFERROR(_xlfn.XLOOKUP(1, (dd_accsryclr!$C$2:$C$1000=accsry_unmerged!F1812)*(dd_accsryclr!$B$2:$B$1000=accsry_unmerged!J1812),dd_accsryclr!$A$2:$A$1000),"")</f>
        <v>0</v>
      </c>
      <c r="I1812" s="35">
        <f>_xlfn.XLOOKUP(C1812,'Project Details'!$C$17:$C$66,'Project Details'!$E$17:$E$66,"",0)</f>
        <v>0</v>
      </c>
      <c r="J1812" s="35">
        <f>_xlfn.XLOOKUP(C1812,'Project Details'!$C$17:$C$66,'Project Details'!$H$17:$H$66,"",0)</f>
        <v>0</v>
      </c>
      <c r="K1812" s="36" t="str">
        <f>IF(AND(_xlfn.XLOOKUP(C1812,'Project Details'!$C$17:$C$66,'Project Details'!$L$17:$L$66,"",0)&gt;550, F1812="Spring-L27cm"),"",SUBSTITUTE(_xlfn.XLOOKUP(G1812,SKUs!$C$2:$C$10001,SKUs!$F$2:$F$10001,"",0), " Accessories",""))</f>
        <v/>
      </c>
      <c r="L1812" s="36">
        <f>_xlfn.XLOOKUP(C1812,'Project Details'!$C$17:$C$66,'Project Details'!$D$17:$D$66,"",0)</f>
        <v>0</v>
      </c>
      <c r="M1812" s="43"/>
    </row>
    <row r="1813" spans="1:13" ht="13.5" customHeight="1" outlineLevel="1" x14ac:dyDescent="0.25">
      <c r="A1813" s="43"/>
      <c r="B1813" s="43"/>
      <c r="C1813" s="16">
        <f t="shared" si="34"/>
        <v>36</v>
      </c>
      <c r="D1813" s="16" t="str" cm="1">
        <f t="array" ref="D1813">IFERROR(ROUNDUP(_xlfn.IFS(F1813="Aluminum Track", _xlfn.XLOOKUP(C1813, dd_accsrycalc!$A$2:$A$51, dd_accsrycalc!$B$2:$B$51, "",0), F1813="10 x 2 1/2 S (Flat)", _xlfn.XLOOKUP(C1813, dd_accsrycalc!$A$2:$A$51, dd_accsrycalc!$C$2:$C$51, "",0), F1813="Tox6", _xlfn.XLOOKUP(C1813, dd_accsrycalc!$A$2:$A$51, dd_accsrycalc!$D$2:$D$51, "",0), F1813="Cover Cap", _xlfn.XLOOKUP(C1813, dd_accsrycalc!$A$2:$A$51, dd_accsrycalc!$E$2:$E$51, "",0), F1813="Drainage Cover", _xlfn.XLOOKUP(C1813, dd_accsrycalc!$A$2:$A$51, dd_accsrycalc!$F$2:$F$51, "",0),AND( F1813="Double Adhesive Tape", I1813="Roll-up Screen"), _xlfn.XLOOKUP(C1813, calc_rusacc!$C$15:$C$65, calc_rusacc!$AD$15:$AD$65, "",0),AND( F1813="Sealant", I1813="Roll-up Screen"), _xlfn.XLOOKUP(C1813, calc_rusacc!$C$15:$C$65, calc_rusacc!$AF$15:$AF$65, "",0),  AND( F1813="Main Chain", I1813="Accordion Screen"), _xlfn.XLOOKUP(C1813, calc_rusacc!$C$15:$C$65, calc_rusacc!$BF$15:$BF$65, "",0), AND( F1813="Sealant", I1813="Accordion Screen"), _xlfn.XLOOKUP(C1813, calc_rusacc!$C$15:$C$65, calc_rusacc!$BJ$15:$BJ$65, "",0),  F1813="Sealant", _xlfn.XLOOKUP(C1813, dd_accsrycalc!$A$2:$A$51, dd_accsrycalc!$G$2:$G$51, "",0),  F1813&lt;&gt;"",L1813*_xlfn.XLOOKUP(1, (SKUs!$C$2:$C$10001=G1813)*(SKUs!$K$2:$K$10001=I1813),SKUs!$E$2:$E$10001)), 0),"")</f>
        <v/>
      </c>
      <c r="E1813" s="16" t="str">
        <f>_xlfn.XLOOKUP(F1813,dd_item!$B$2:$B$105,dd_item!$C$2:$C$105,"",0)</f>
        <v/>
      </c>
      <c r="F1813" s="16"/>
      <c r="G1813" s="16" cm="1">
        <f t="array" ref="G1813">IFERROR(_xlfn.XLOOKUP(1, (SKUs!$J$2:$J$10001=accsry_unmerged!F1813)*IF(H1813&lt;&gt;"",(SKUs!$L$2:$L$10001=accsry_unmerged!H1813),1)*(SKUs!$K$2:$K$10001=I1813),SKUs!$C$2:$C$10001),"")</f>
        <v>0</v>
      </c>
      <c r="H1813" s="33" cm="1">
        <f t="array" ref="H1813">IFERROR(_xlfn.XLOOKUP(1, (dd_accsryclr!$C$2:$C$1000=accsry_unmerged!F1813)*(dd_accsryclr!$B$2:$B$1000=accsry_unmerged!J1813),dd_accsryclr!$A$2:$A$1000),"")</f>
        <v>0</v>
      </c>
      <c r="I1813" s="16">
        <f>_xlfn.XLOOKUP(C1813,'Project Details'!$C$17:$C$66,'Project Details'!$E$17:$E$66,"",0)</f>
        <v>0</v>
      </c>
      <c r="J1813" s="16">
        <f>_xlfn.XLOOKUP(C1813,'Project Details'!$C$17:$C$66,'Project Details'!$H$17:$H$66,"",0)</f>
        <v>0</v>
      </c>
      <c r="K1813" s="33" t="str">
        <f>IF(AND(_xlfn.XLOOKUP(C1813,'Project Details'!$C$17:$C$66,'Project Details'!$L$17:$L$66,"",0)&gt;550, F1813="Spring-L27cm"),"",SUBSTITUTE(_xlfn.XLOOKUP(G1813,SKUs!$C$2:$C$10001,SKUs!$F$2:$F$10001,"",0), " Accessories",""))</f>
        <v/>
      </c>
      <c r="L1813" s="33">
        <f>_xlfn.XLOOKUP(C1813,'Project Details'!$C$17:$C$66,'Project Details'!$D$17:$D$66,"",0)</f>
        <v>0</v>
      </c>
      <c r="M1813" s="43"/>
    </row>
    <row r="1814" spans="1:13" x14ac:dyDescent="0.25">
      <c r="A1814" s="43"/>
      <c r="B1814" s="43"/>
      <c r="C1814" s="43"/>
      <c r="D1814" s="43"/>
      <c r="E1814" s="43"/>
      <c r="F1814" s="43"/>
      <c r="G1814" s="43"/>
      <c r="H1814" s="43"/>
      <c r="I1814" s="43"/>
      <c r="J1814" s="43"/>
      <c r="K1814" s="43"/>
      <c r="L1814" s="43"/>
      <c r="M1814" s="43"/>
    </row>
    <row r="1815" spans="1:13" x14ac:dyDescent="0.25">
      <c r="A1815" s="43"/>
      <c r="B1815" s="43"/>
      <c r="C1815" s="16">
        <f>C1813+1</f>
        <v>37</v>
      </c>
      <c r="D1815" s="48" cm="1">
        <f t="array" ref="D1815">IFERROR(ROUNDUP(_xlfn.IFS(F1815="Aluminum Track", _xlfn.XLOOKUP(C1815, dd_accsrycalc!$A$2:$A$51, dd_accsrycalc!$B$2:$B$51, "",0), F1815="10 x 2 1/2 S (Flat)", _xlfn.XLOOKUP(C1815, dd_accsrycalc!$A$2:$A$51, dd_accsrycalc!$C$2:$C$51, "",0), F1815="Tox6", _xlfn.XLOOKUP(C1815, dd_accsrycalc!$A$2:$A$51, dd_accsrycalc!$D$2:$D$51, "",0), F1815="Cover Cap", _xlfn.XLOOKUP(C1815, dd_accsrycalc!$A$2:$A$51, dd_accsrycalc!$E$2:$E$51, "",0), F1815="Drainage Cover", _xlfn.XLOOKUP(C1815, dd_accsrycalc!$A$2:$A$51, dd_accsrycalc!$F$2:$F$51, "",0),AND( F1815="Double Adhesive Tape", I1815="Roll-up Screen"), _xlfn.XLOOKUP(C1815, calc_rusacc!$C$15:$C$65, calc_rusacc!$AD$15:$AD$65, "",0),AND( F1815="Sealant", I1815="Roll-up Screen"), _xlfn.XLOOKUP(C1815, calc_rusacc!$C$15:$C$65, calc_rusacc!$AF$15:$AF$65, "",0),  AND( F1815="Main Chain", I1815="Accordion Screen"), _xlfn.XLOOKUP(C1815, calc_rusacc!$C$15:$C$65, calc_rusacc!$BF$15:$BF$65, "",0), AND( F1815="Sealant", I1815="Accordion Screen"), _xlfn.XLOOKUP(C1815, calc_rusacc!$C$15:$C$65, calc_rusacc!$BJ$15:$BJ$65, "",0),  F1815="Sealant", _xlfn.XLOOKUP(C1815, dd_accsrycalc!$A$2:$A$51, dd_accsrycalc!$G$2:$G$51, "",0),  F1815&lt;&gt;"",L1815*_xlfn.XLOOKUP(1, (SKUs!$C$2:$C$10001=G1815)*(SKUs!$K$2:$K$10001=I1815),SKUs!$E$2:$E$10001)), 0),"")</f>
        <v>0</v>
      </c>
      <c r="E1815" s="48" t="str">
        <f>_xlfn.XLOOKUP(F1815,dd_item!$B$2:$B$105,dd_item!$C$2:$C$105,"",0)</f>
        <v/>
      </c>
      <c r="F1815" s="48" cm="1">
        <f t="array" ref="F1815">IFERROR(_xlfn.UNIQUE(_xlfn._xlws.FILTER(SKUs!$J$2:$J$10001, (SKUs!$F$2:$F$10001&lt;&gt;"Cutting List") * (SKUs!$A$2:$A$10001=_xlfn.XLOOKUP(_xlfn.XLOOKUP(C1815,'Project Details'!$C$17:$C$66,'Project Details'!$E$17:$E$66,"",0), dd_design_raw!$A$2:$A$101,dd_design_raw!$C$2:$C$101,"",0)))), "")</f>
        <v>0</v>
      </c>
      <c r="G1815" s="16" cm="1">
        <f t="array" ref="G1815">IFERROR(_xlfn.XLOOKUP(1, (SKUs!$J$2:$J$10001=accsry_unmerged!F1815)*IF(H1815&lt;&gt;"",(SKUs!$L$2:$L$10001=accsry_unmerged!H1815),1)*(SKUs!$K$2:$K$10001=I1815),SKUs!$C$2:$C$10001),"")</f>
        <v>0</v>
      </c>
      <c r="H1815" s="16" cm="1">
        <f t="array" ref="H1815">IFERROR(_xlfn.XLOOKUP(1, (dd_accsryclr!$C$2:$C$1000=accsry_unmerged!F1815)*(dd_accsryclr!$B$2:$B$1000=accsry_unmerged!J1815),dd_accsryclr!$A$2:$A$1000),"")</f>
        <v>0</v>
      </c>
      <c r="I1815" s="16">
        <f>_xlfn.XLOOKUP(C1815,'Project Details'!$C$17:$C$66,'Project Details'!$E$17:$E$66,"",0)</f>
        <v>0</v>
      </c>
      <c r="J1815" s="16">
        <f>_xlfn.XLOOKUP(C1815,'Project Details'!$C$17:$C$66,'Project Details'!$H$17:$H$66,"",0)</f>
        <v>0</v>
      </c>
      <c r="K1815" s="16" t="str">
        <f>IF(AND(_xlfn.XLOOKUP(C1815,'Project Details'!$C$17:$C$66,'Project Details'!$L$17:$L$66,"",0)&gt;550, F1815="Spring-L27cm"),"",SUBSTITUTE(_xlfn.XLOOKUP(G1815,SKUs!$C$2:$C$10001,SKUs!$F$2:$F$10001,"",0), " Accessories",""))</f>
        <v/>
      </c>
      <c r="L1815" s="16">
        <f>_xlfn.XLOOKUP(C1815,'Project Details'!$C$17:$C$66,'Project Details'!$D$17:$D$66,"",0)</f>
        <v>0</v>
      </c>
      <c r="M1815" s="43"/>
    </row>
    <row r="1816" spans="1:13" x14ac:dyDescent="0.25">
      <c r="A1816" s="43"/>
      <c r="B1816" s="43"/>
      <c r="C1816" s="35">
        <f>C1815</f>
        <v>37</v>
      </c>
      <c r="D1816" s="35" t="str" cm="1">
        <f t="array" ref="D1816">IFERROR(ROUNDUP(_xlfn.IFS(F1816="Aluminum Track", _xlfn.XLOOKUP(C1816, dd_accsrycalc!$A$2:$A$51, dd_accsrycalc!$B$2:$B$51, "",0), F1816="10 x 2 1/2 S (Flat)", _xlfn.XLOOKUP(C1816, dd_accsrycalc!$A$2:$A$51, dd_accsrycalc!$C$2:$C$51, "",0), F1816="Tox6", _xlfn.XLOOKUP(C1816, dd_accsrycalc!$A$2:$A$51, dd_accsrycalc!$D$2:$D$51, "",0), F1816="Cover Cap", _xlfn.XLOOKUP(C1816, dd_accsrycalc!$A$2:$A$51, dd_accsrycalc!$E$2:$E$51, "",0), F1816="Drainage Cover", _xlfn.XLOOKUP(C1816, dd_accsrycalc!$A$2:$A$51, dd_accsrycalc!$F$2:$F$51, "",0),AND( F1816="Double Adhesive Tape", I1816="Roll-up Screen"), _xlfn.XLOOKUP(C1816, calc_rusacc!$C$15:$C$65, calc_rusacc!$AD$15:$AD$65, "",0),AND( F1816="Sealant", I1816="Roll-up Screen"), _xlfn.XLOOKUP(C1816, calc_rusacc!$C$15:$C$65, calc_rusacc!$AF$15:$AF$65, "",0),  AND( F1816="Main Chain", I1816="Accordion Screen"), _xlfn.XLOOKUP(C1816, calc_rusacc!$C$15:$C$65, calc_rusacc!$BF$15:$BF$65, "",0), AND( F1816="Sealant", I1816="Accordion Screen"), _xlfn.XLOOKUP(C1816, calc_rusacc!$C$15:$C$65, calc_rusacc!$BJ$15:$BJ$65, "",0),  F1816="Sealant", _xlfn.XLOOKUP(C1816, dd_accsrycalc!$A$2:$A$51, dd_accsrycalc!$G$2:$G$51, "",0),  F1816&lt;&gt;"",L1816*_xlfn.XLOOKUP(1, (SKUs!$C$2:$C$10001=G1816)*(SKUs!$K$2:$K$10001=I1816),SKUs!$E$2:$E$10001)), 0),"")</f>
        <v/>
      </c>
      <c r="E1816" s="35" t="str">
        <f>_xlfn.XLOOKUP(F1816,dd_item!$B$2:$B$105,dd_item!$C$2:$C$105,"",0)</f>
        <v/>
      </c>
      <c r="F1816" s="35"/>
      <c r="G1816" s="35" cm="1">
        <f t="array" ref="G1816">IFERROR(_xlfn.XLOOKUP(1, (SKUs!$J$2:$J$10001=accsry_unmerged!F1816)*IF(H1816&lt;&gt;"",(SKUs!$L$2:$L$10001=accsry_unmerged!H1816),1)*(SKUs!$K$2:$K$10001=I1816),SKUs!$C$2:$C$10001),"")</f>
        <v>0</v>
      </c>
      <c r="H1816" s="36" cm="1">
        <f t="array" ref="H1816">IFERROR(_xlfn.XLOOKUP(1, (dd_accsryclr!$C$2:$C$1000=accsry_unmerged!F1816)*(dd_accsryclr!$B$2:$B$1000=accsry_unmerged!J1816),dd_accsryclr!$A$2:$A$1000),"")</f>
        <v>0</v>
      </c>
      <c r="I1816" s="35">
        <f>_xlfn.XLOOKUP(C1816,'Project Details'!$C$17:$C$66,'Project Details'!$E$17:$E$66,"",0)</f>
        <v>0</v>
      </c>
      <c r="J1816" s="35">
        <f>_xlfn.XLOOKUP(C1816,'Project Details'!$C$17:$C$66,'Project Details'!$H$17:$H$66,"",0)</f>
        <v>0</v>
      </c>
      <c r="K1816" s="36" t="str">
        <f>IF(AND(_xlfn.XLOOKUP(C1816,'Project Details'!$C$17:$C$66,'Project Details'!$L$17:$L$66,"",0)&gt;550, F1816="Spring-L27cm"),"",SUBSTITUTE(_xlfn.XLOOKUP(G1816,SKUs!$C$2:$C$10001,SKUs!$F$2:$F$10001,"",0), " Accessories",""))</f>
        <v/>
      </c>
      <c r="L1816" s="36">
        <f>_xlfn.XLOOKUP(C1816,'Project Details'!$C$17:$C$66,'Project Details'!$D$17:$D$66,"",0)</f>
        <v>0</v>
      </c>
      <c r="M1816" s="43"/>
    </row>
    <row r="1817" spans="1:13" x14ac:dyDescent="0.25">
      <c r="A1817" s="43"/>
      <c r="B1817" s="43"/>
      <c r="C1817" s="16">
        <f t="shared" ref="C1817:C1863" si="35">C1816</f>
        <v>37</v>
      </c>
      <c r="D1817" s="16" t="str" cm="1">
        <f t="array" ref="D1817">IFERROR(ROUNDUP(_xlfn.IFS(F1817="Aluminum Track", _xlfn.XLOOKUP(C1817, dd_accsrycalc!$A$2:$A$51, dd_accsrycalc!$B$2:$B$51, "",0), F1817="10 x 2 1/2 S (Flat)", _xlfn.XLOOKUP(C1817, dd_accsrycalc!$A$2:$A$51, dd_accsrycalc!$C$2:$C$51, "",0), F1817="Tox6", _xlfn.XLOOKUP(C1817, dd_accsrycalc!$A$2:$A$51, dd_accsrycalc!$D$2:$D$51, "",0), F1817="Cover Cap", _xlfn.XLOOKUP(C1817, dd_accsrycalc!$A$2:$A$51, dd_accsrycalc!$E$2:$E$51, "",0), F1817="Drainage Cover", _xlfn.XLOOKUP(C1817, dd_accsrycalc!$A$2:$A$51, dd_accsrycalc!$F$2:$F$51, "",0),AND( F1817="Double Adhesive Tape", I1817="Roll-up Screen"), _xlfn.XLOOKUP(C1817, calc_rusacc!$C$15:$C$65, calc_rusacc!$AD$15:$AD$65, "",0),AND( F1817="Sealant", I1817="Roll-up Screen"), _xlfn.XLOOKUP(C1817, calc_rusacc!$C$15:$C$65, calc_rusacc!$AF$15:$AF$65, "",0),  AND( F1817="Main Chain", I1817="Accordion Screen"), _xlfn.XLOOKUP(C1817, calc_rusacc!$C$15:$C$65, calc_rusacc!$BF$15:$BF$65, "",0), AND( F1817="Sealant", I1817="Accordion Screen"), _xlfn.XLOOKUP(C1817, calc_rusacc!$C$15:$C$65, calc_rusacc!$BJ$15:$BJ$65, "",0),  F1817="Sealant", _xlfn.XLOOKUP(C1817, dd_accsrycalc!$A$2:$A$51, dd_accsrycalc!$G$2:$G$51, "",0),  F1817&lt;&gt;"",L1817*_xlfn.XLOOKUP(1, (SKUs!$C$2:$C$10001=G1817)*(SKUs!$K$2:$K$10001=I1817),SKUs!$E$2:$E$10001)), 0),"")</f>
        <v/>
      </c>
      <c r="E1817" s="16" t="str">
        <f>_xlfn.XLOOKUP(F1817,dd_item!$B$2:$B$105,dd_item!$C$2:$C$105,"",0)</f>
        <v/>
      </c>
      <c r="F1817" s="16"/>
      <c r="G1817" s="16" cm="1">
        <f t="array" ref="G1817">IFERROR(_xlfn.XLOOKUP(1, (SKUs!$J$2:$J$10001=accsry_unmerged!F1817)*IF(H1817&lt;&gt;"",(SKUs!$L$2:$L$10001=accsry_unmerged!H1817),1)*(SKUs!$K$2:$K$10001=I1817),SKUs!$C$2:$C$10001),"")</f>
        <v>0</v>
      </c>
      <c r="H1817" s="33" cm="1">
        <f t="array" ref="H1817">IFERROR(_xlfn.XLOOKUP(1, (dd_accsryclr!$C$2:$C$1000=accsry_unmerged!F1817)*(dd_accsryclr!$B$2:$B$1000=accsry_unmerged!J1817),dd_accsryclr!$A$2:$A$1000),"")</f>
        <v>0</v>
      </c>
      <c r="I1817" s="16">
        <f>_xlfn.XLOOKUP(C1817,'Project Details'!$C$17:$C$66,'Project Details'!$E$17:$E$66,"",0)</f>
        <v>0</v>
      </c>
      <c r="J1817" s="16">
        <f>_xlfn.XLOOKUP(C1817,'Project Details'!$C$17:$C$66,'Project Details'!$H$17:$H$66,"",0)</f>
        <v>0</v>
      </c>
      <c r="K1817" s="33" t="str">
        <f>IF(AND(_xlfn.XLOOKUP(C1817,'Project Details'!$C$17:$C$66,'Project Details'!$L$17:$L$66,"",0)&gt;550, F1817="Spring-L27cm"),"",SUBSTITUTE(_xlfn.XLOOKUP(G1817,SKUs!$C$2:$C$10001,SKUs!$F$2:$F$10001,"",0), " Accessories",""))</f>
        <v/>
      </c>
      <c r="L1817" s="33">
        <f>_xlfn.XLOOKUP(C1817,'Project Details'!$C$17:$C$66,'Project Details'!$D$17:$D$66,"",0)</f>
        <v>0</v>
      </c>
      <c r="M1817" s="43"/>
    </row>
    <row r="1818" spans="1:13" x14ac:dyDescent="0.25">
      <c r="A1818" s="43"/>
      <c r="B1818" s="43"/>
      <c r="C1818" s="35">
        <f t="shared" si="35"/>
        <v>37</v>
      </c>
      <c r="D1818" s="35" t="str" cm="1">
        <f t="array" ref="D1818">IFERROR(ROUNDUP(_xlfn.IFS(F1818="Aluminum Track", _xlfn.XLOOKUP(C1818, dd_accsrycalc!$A$2:$A$51, dd_accsrycalc!$B$2:$B$51, "",0), F1818="10 x 2 1/2 S (Flat)", _xlfn.XLOOKUP(C1818, dd_accsrycalc!$A$2:$A$51, dd_accsrycalc!$C$2:$C$51, "",0), F1818="Tox6", _xlfn.XLOOKUP(C1818, dd_accsrycalc!$A$2:$A$51, dd_accsrycalc!$D$2:$D$51, "",0), F1818="Cover Cap", _xlfn.XLOOKUP(C1818, dd_accsrycalc!$A$2:$A$51, dd_accsrycalc!$E$2:$E$51, "",0), F1818="Drainage Cover", _xlfn.XLOOKUP(C1818, dd_accsrycalc!$A$2:$A$51, dd_accsrycalc!$F$2:$F$51, "",0),AND( F1818="Double Adhesive Tape", I1818="Roll-up Screen"), _xlfn.XLOOKUP(C1818, calc_rusacc!$C$15:$C$65, calc_rusacc!$AD$15:$AD$65, "",0),AND( F1818="Sealant", I1818="Roll-up Screen"), _xlfn.XLOOKUP(C1818, calc_rusacc!$C$15:$C$65, calc_rusacc!$AF$15:$AF$65, "",0),  AND( F1818="Main Chain", I1818="Accordion Screen"), _xlfn.XLOOKUP(C1818, calc_rusacc!$C$15:$C$65, calc_rusacc!$BF$15:$BF$65, "",0), AND( F1818="Sealant", I1818="Accordion Screen"), _xlfn.XLOOKUP(C1818, calc_rusacc!$C$15:$C$65, calc_rusacc!$BJ$15:$BJ$65, "",0),  F1818="Sealant", _xlfn.XLOOKUP(C1818, dd_accsrycalc!$A$2:$A$51, dd_accsrycalc!$G$2:$G$51, "",0),  F1818&lt;&gt;"",L1818*_xlfn.XLOOKUP(1, (SKUs!$C$2:$C$10001=G1818)*(SKUs!$K$2:$K$10001=I1818),SKUs!$E$2:$E$10001)), 0),"")</f>
        <v/>
      </c>
      <c r="E1818" s="35" t="str">
        <f>_xlfn.XLOOKUP(F1818,dd_item!$B$2:$B$105,dd_item!$C$2:$C$105,"",0)</f>
        <v/>
      </c>
      <c r="F1818" s="35"/>
      <c r="G1818" s="35" cm="1">
        <f t="array" ref="G1818">IFERROR(_xlfn.XLOOKUP(1, (SKUs!$J$2:$J$10001=accsry_unmerged!F1818)*IF(H1818&lt;&gt;"",(SKUs!$L$2:$L$10001=accsry_unmerged!H1818),1)*(SKUs!$K$2:$K$10001=I1818),SKUs!$C$2:$C$10001),"")</f>
        <v>0</v>
      </c>
      <c r="H1818" s="36" cm="1">
        <f t="array" ref="H1818">IFERROR(_xlfn.XLOOKUP(1, (dd_accsryclr!$C$2:$C$1000=accsry_unmerged!F1818)*(dd_accsryclr!$B$2:$B$1000=accsry_unmerged!J1818),dd_accsryclr!$A$2:$A$1000),"")</f>
        <v>0</v>
      </c>
      <c r="I1818" s="35">
        <f>_xlfn.XLOOKUP(C1818,'Project Details'!$C$17:$C$66,'Project Details'!$E$17:$E$66,"",0)</f>
        <v>0</v>
      </c>
      <c r="J1818" s="35">
        <f>_xlfn.XLOOKUP(C1818,'Project Details'!$C$17:$C$66,'Project Details'!$H$17:$H$66,"",0)</f>
        <v>0</v>
      </c>
      <c r="K1818" s="36" t="str">
        <f>IF(AND(_xlfn.XLOOKUP(C1818,'Project Details'!$C$17:$C$66,'Project Details'!$L$17:$L$66,"",0)&gt;550, F1818="Spring-L27cm"),"",SUBSTITUTE(_xlfn.XLOOKUP(G1818,SKUs!$C$2:$C$10001,SKUs!$F$2:$F$10001,"",0), " Accessories",""))</f>
        <v/>
      </c>
      <c r="L1818" s="36">
        <f>_xlfn.XLOOKUP(C1818,'Project Details'!$C$17:$C$66,'Project Details'!$D$17:$D$66,"",0)</f>
        <v>0</v>
      </c>
      <c r="M1818" s="43"/>
    </row>
    <row r="1819" spans="1:13" x14ac:dyDescent="0.25">
      <c r="A1819" s="43"/>
      <c r="B1819" s="43"/>
      <c r="C1819" s="16">
        <f t="shared" si="35"/>
        <v>37</v>
      </c>
      <c r="D1819" s="16" t="str" cm="1">
        <f t="array" ref="D1819">IFERROR(ROUNDUP(_xlfn.IFS(F1819="Aluminum Track", _xlfn.XLOOKUP(C1819, dd_accsrycalc!$A$2:$A$51, dd_accsrycalc!$B$2:$B$51, "",0), F1819="10 x 2 1/2 S (Flat)", _xlfn.XLOOKUP(C1819, dd_accsrycalc!$A$2:$A$51, dd_accsrycalc!$C$2:$C$51, "",0), F1819="Tox6", _xlfn.XLOOKUP(C1819, dd_accsrycalc!$A$2:$A$51, dd_accsrycalc!$D$2:$D$51, "",0), F1819="Cover Cap", _xlfn.XLOOKUP(C1819, dd_accsrycalc!$A$2:$A$51, dd_accsrycalc!$E$2:$E$51, "",0), F1819="Drainage Cover", _xlfn.XLOOKUP(C1819, dd_accsrycalc!$A$2:$A$51, dd_accsrycalc!$F$2:$F$51, "",0),AND( F1819="Double Adhesive Tape", I1819="Roll-up Screen"), _xlfn.XLOOKUP(C1819, calc_rusacc!$C$15:$C$65, calc_rusacc!$AD$15:$AD$65, "",0),AND( F1819="Sealant", I1819="Roll-up Screen"), _xlfn.XLOOKUP(C1819, calc_rusacc!$C$15:$C$65, calc_rusacc!$AF$15:$AF$65, "",0),  AND( F1819="Main Chain", I1819="Accordion Screen"), _xlfn.XLOOKUP(C1819, calc_rusacc!$C$15:$C$65, calc_rusacc!$BF$15:$BF$65, "",0), AND( F1819="Sealant", I1819="Accordion Screen"), _xlfn.XLOOKUP(C1819, calc_rusacc!$C$15:$C$65, calc_rusacc!$BJ$15:$BJ$65, "",0),  F1819="Sealant", _xlfn.XLOOKUP(C1819, dd_accsrycalc!$A$2:$A$51, dd_accsrycalc!$G$2:$G$51, "",0),  F1819&lt;&gt;"",L1819*_xlfn.XLOOKUP(1, (SKUs!$C$2:$C$10001=G1819)*(SKUs!$K$2:$K$10001=I1819),SKUs!$E$2:$E$10001)), 0),"")</f>
        <v/>
      </c>
      <c r="E1819" s="16" t="str">
        <f>_xlfn.XLOOKUP(F1819,dd_item!$B$2:$B$105,dd_item!$C$2:$C$105,"",0)</f>
        <v/>
      </c>
      <c r="F1819" s="16"/>
      <c r="G1819" s="16" cm="1">
        <f t="array" ref="G1819">IFERROR(_xlfn.XLOOKUP(1, (SKUs!$J$2:$J$10001=accsry_unmerged!F1819)*IF(H1819&lt;&gt;"",(SKUs!$L$2:$L$10001=accsry_unmerged!H1819),1)*(SKUs!$K$2:$K$10001=I1819),SKUs!$C$2:$C$10001),"")</f>
        <v>0</v>
      </c>
      <c r="H1819" s="33" cm="1">
        <f t="array" ref="H1819">IFERROR(_xlfn.XLOOKUP(1, (dd_accsryclr!$C$2:$C$1000=accsry_unmerged!F1819)*(dd_accsryclr!$B$2:$B$1000=accsry_unmerged!J1819),dd_accsryclr!$A$2:$A$1000),"")</f>
        <v>0</v>
      </c>
      <c r="I1819" s="16">
        <f>_xlfn.XLOOKUP(C1819,'Project Details'!$C$17:$C$66,'Project Details'!$E$17:$E$66,"",0)</f>
        <v>0</v>
      </c>
      <c r="J1819" s="16">
        <f>_xlfn.XLOOKUP(C1819,'Project Details'!$C$17:$C$66,'Project Details'!$H$17:$H$66,"",0)</f>
        <v>0</v>
      </c>
      <c r="K1819" s="33" t="str">
        <f>IF(AND(_xlfn.XLOOKUP(C1819,'Project Details'!$C$17:$C$66,'Project Details'!$L$17:$L$66,"",0)&gt;550, F1819="Spring-L27cm"),"",SUBSTITUTE(_xlfn.XLOOKUP(G1819,SKUs!$C$2:$C$10001,SKUs!$F$2:$F$10001,"",0), " Accessories",""))</f>
        <v/>
      </c>
      <c r="L1819" s="33">
        <f>_xlfn.XLOOKUP(C1819,'Project Details'!$C$17:$C$66,'Project Details'!$D$17:$D$66,"",0)</f>
        <v>0</v>
      </c>
      <c r="M1819" s="43"/>
    </row>
    <row r="1820" spans="1:13" x14ac:dyDescent="0.25">
      <c r="A1820" s="43"/>
      <c r="B1820" s="43"/>
      <c r="C1820" s="35">
        <f t="shared" si="35"/>
        <v>37</v>
      </c>
      <c r="D1820" s="35" t="str" cm="1">
        <f t="array" ref="D1820">IFERROR(ROUNDUP(_xlfn.IFS(F1820="Aluminum Track", _xlfn.XLOOKUP(C1820, dd_accsrycalc!$A$2:$A$51, dd_accsrycalc!$B$2:$B$51, "",0), F1820="10 x 2 1/2 S (Flat)", _xlfn.XLOOKUP(C1820, dd_accsrycalc!$A$2:$A$51, dd_accsrycalc!$C$2:$C$51, "",0), F1820="Tox6", _xlfn.XLOOKUP(C1820, dd_accsrycalc!$A$2:$A$51, dd_accsrycalc!$D$2:$D$51, "",0), F1820="Cover Cap", _xlfn.XLOOKUP(C1820, dd_accsrycalc!$A$2:$A$51, dd_accsrycalc!$E$2:$E$51, "",0), F1820="Drainage Cover", _xlfn.XLOOKUP(C1820, dd_accsrycalc!$A$2:$A$51, dd_accsrycalc!$F$2:$F$51, "",0),AND( F1820="Double Adhesive Tape", I1820="Roll-up Screen"), _xlfn.XLOOKUP(C1820, calc_rusacc!$C$15:$C$65, calc_rusacc!$AD$15:$AD$65, "",0),AND( F1820="Sealant", I1820="Roll-up Screen"), _xlfn.XLOOKUP(C1820, calc_rusacc!$C$15:$C$65, calc_rusacc!$AF$15:$AF$65, "",0),  AND( F1820="Main Chain", I1820="Accordion Screen"), _xlfn.XLOOKUP(C1820, calc_rusacc!$C$15:$C$65, calc_rusacc!$BF$15:$BF$65, "",0), AND( F1820="Sealant", I1820="Accordion Screen"), _xlfn.XLOOKUP(C1820, calc_rusacc!$C$15:$C$65, calc_rusacc!$BJ$15:$BJ$65, "",0),  F1820="Sealant", _xlfn.XLOOKUP(C1820, dd_accsrycalc!$A$2:$A$51, dd_accsrycalc!$G$2:$G$51, "",0),  F1820&lt;&gt;"",L1820*_xlfn.XLOOKUP(1, (SKUs!$C$2:$C$10001=G1820)*(SKUs!$K$2:$K$10001=I1820),SKUs!$E$2:$E$10001)), 0),"")</f>
        <v/>
      </c>
      <c r="E1820" s="35" t="str">
        <f>_xlfn.XLOOKUP(F1820,dd_item!$B$2:$B$105,dd_item!$C$2:$C$105,"",0)</f>
        <v/>
      </c>
      <c r="F1820" s="35"/>
      <c r="G1820" s="35" cm="1">
        <f t="array" ref="G1820">IFERROR(_xlfn.XLOOKUP(1, (SKUs!$J$2:$J$10001=accsry_unmerged!F1820)*IF(H1820&lt;&gt;"",(SKUs!$L$2:$L$10001=accsry_unmerged!H1820),1)*(SKUs!$K$2:$K$10001=I1820),SKUs!$C$2:$C$10001),"")</f>
        <v>0</v>
      </c>
      <c r="H1820" s="36" cm="1">
        <f t="array" ref="H1820">IFERROR(_xlfn.XLOOKUP(1, (dd_accsryclr!$C$2:$C$1000=accsry_unmerged!F1820)*(dd_accsryclr!$B$2:$B$1000=accsry_unmerged!J1820),dd_accsryclr!$A$2:$A$1000),"")</f>
        <v>0</v>
      </c>
      <c r="I1820" s="35">
        <f>_xlfn.XLOOKUP(C1820,'Project Details'!$C$17:$C$66,'Project Details'!$E$17:$E$66,"",0)</f>
        <v>0</v>
      </c>
      <c r="J1820" s="35">
        <f>_xlfn.XLOOKUP(C1820,'Project Details'!$C$17:$C$66,'Project Details'!$H$17:$H$66,"",0)</f>
        <v>0</v>
      </c>
      <c r="K1820" s="36" t="str">
        <f>IF(AND(_xlfn.XLOOKUP(C1820,'Project Details'!$C$17:$C$66,'Project Details'!$L$17:$L$66,"",0)&gt;550, F1820="Spring-L27cm"),"",SUBSTITUTE(_xlfn.XLOOKUP(G1820,SKUs!$C$2:$C$10001,SKUs!$F$2:$F$10001,"",0), " Accessories",""))</f>
        <v/>
      </c>
      <c r="L1820" s="36">
        <f>_xlfn.XLOOKUP(C1820,'Project Details'!$C$17:$C$66,'Project Details'!$D$17:$D$66,"",0)</f>
        <v>0</v>
      </c>
      <c r="M1820" s="43"/>
    </row>
    <row r="1821" spans="1:13" x14ac:dyDescent="0.25">
      <c r="A1821" s="43"/>
      <c r="B1821" s="43"/>
      <c r="C1821" s="16">
        <f t="shared" si="35"/>
        <v>37</v>
      </c>
      <c r="D1821" s="16" t="str" cm="1">
        <f t="array" ref="D1821">IFERROR(ROUNDUP(_xlfn.IFS(F1821="Aluminum Track", _xlfn.XLOOKUP(C1821, dd_accsrycalc!$A$2:$A$51, dd_accsrycalc!$B$2:$B$51, "",0), F1821="10 x 2 1/2 S (Flat)", _xlfn.XLOOKUP(C1821, dd_accsrycalc!$A$2:$A$51, dd_accsrycalc!$C$2:$C$51, "",0), F1821="Tox6", _xlfn.XLOOKUP(C1821, dd_accsrycalc!$A$2:$A$51, dd_accsrycalc!$D$2:$D$51, "",0), F1821="Cover Cap", _xlfn.XLOOKUP(C1821, dd_accsrycalc!$A$2:$A$51, dd_accsrycalc!$E$2:$E$51, "",0), F1821="Drainage Cover", _xlfn.XLOOKUP(C1821, dd_accsrycalc!$A$2:$A$51, dd_accsrycalc!$F$2:$F$51, "",0),AND( F1821="Double Adhesive Tape", I1821="Roll-up Screen"), _xlfn.XLOOKUP(C1821, calc_rusacc!$C$15:$C$65, calc_rusacc!$AD$15:$AD$65, "",0),AND( F1821="Sealant", I1821="Roll-up Screen"), _xlfn.XLOOKUP(C1821, calc_rusacc!$C$15:$C$65, calc_rusacc!$AF$15:$AF$65, "",0),  AND( F1821="Main Chain", I1821="Accordion Screen"), _xlfn.XLOOKUP(C1821, calc_rusacc!$C$15:$C$65, calc_rusacc!$BF$15:$BF$65, "",0), AND( F1821="Sealant", I1821="Accordion Screen"), _xlfn.XLOOKUP(C1821, calc_rusacc!$C$15:$C$65, calc_rusacc!$BJ$15:$BJ$65, "",0),  F1821="Sealant", _xlfn.XLOOKUP(C1821, dd_accsrycalc!$A$2:$A$51, dd_accsrycalc!$G$2:$G$51, "",0),  F1821&lt;&gt;"",L1821*_xlfn.XLOOKUP(1, (SKUs!$C$2:$C$10001=G1821)*(SKUs!$K$2:$K$10001=I1821),SKUs!$E$2:$E$10001)), 0),"")</f>
        <v/>
      </c>
      <c r="E1821" s="16" t="str">
        <f>_xlfn.XLOOKUP(F1821,dd_item!$B$2:$B$105,dd_item!$C$2:$C$105,"",0)</f>
        <v/>
      </c>
      <c r="F1821" s="16"/>
      <c r="G1821" s="16" cm="1">
        <f t="array" ref="G1821">IFERROR(_xlfn.XLOOKUP(1, (SKUs!$J$2:$J$10001=accsry_unmerged!F1821)*IF(H1821&lt;&gt;"",(SKUs!$L$2:$L$10001=accsry_unmerged!H1821),1)*(SKUs!$K$2:$K$10001=I1821),SKUs!$C$2:$C$10001),"")</f>
        <v>0</v>
      </c>
      <c r="H1821" s="33" cm="1">
        <f t="array" ref="H1821">IFERROR(_xlfn.XLOOKUP(1, (dd_accsryclr!$C$2:$C$1000=accsry_unmerged!F1821)*(dd_accsryclr!$B$2:$B$1000=accsry_unmerged!J1821),dd_accsryclr!$A$2:$A$1000),"")</f>
        <v>0</v>
      </c>
      <c r="I1821" s="16">
        <f>_xlfn.XLOOKUP(C1821,'Project Details'!$C$17:$C$66,'Project Details'!$E$17:$E$66,"",0)</f>
        <v>0</v>
      </c>
      <c r="J1821" s="16">
        <f>_xlfn.XLOOKUP(C1821,'Project Details'!$C$17:$C$66,'Project Details'!$H$17:$H$66,"",0)</f>
        <v>0</v>
      </c>
      <c r="K1821" s="33" t="str">
        <f>IF(AND(_xlfn.XLOOKUP(C1821,'Project Details'!$C$17:$C$66,'Project Details'!$L$17:$L$66,"",0)&gt;550, F1821="Spring-L27cm"),"",SUBSTITUTE(_xlfn.XLOOKUP(G1821,SKUs!$C$2:$C$10001,SKUs!$F$2:$F$10001,"",0), " Accessories",""))</f>
        <v/>
      </c>
      <c r="L1821" s="33">
        <f>_xlfn.XLOOKUP(C1821,'Project Details'!$C$17:$C$66,'Project Details'!$D$17:$D$66,"",0)</f>
        <v>0</v>
      </c>
      <c r="M1821" s="43"/>
    </row>
    <row r="1822" spans="1:13" x14ac:dyDescent="0.25">
      <c r="A1822" s="43"/>
      <c r="B1822" s="43"/>
      <c r="C1822" s="35">
        <f t="shared" si="35"/>
        <v>37</v>
      </c>
      <c r="D1822" s="35" t="str" cm="1">
        <f t="array" ref="D1822">IFERROR(ROUNDUP(_xlfn.IFS(F1822="Aluminum Track", _xlfn.XLOOKUP(C1822, dd_accsrycalc!$A$2:$A$51, dd_accsrycalc!$B$2:$B$51, "",0), F1822="10 x 2 1/2 S (Flat)", _xlfn.XLOOKUP(C1822, dd_accsrycalc!$A$2:$A$51, dd_accsrycalc!$C$2:$C$51, "",0), F1822="Tox6", _xlfn.XLOOKUP(C1822, dd_accsrycalc!$A$2:$A$51, dd_accsrycalc!$D$2:$D$51, "",0), F1822="Cover Cap", _xlfn.XLOOKUP(C1822, dd_accsrycalc!$A$2:$A$51, dd_accsrycalc!$E$2:$E$51, "",0), F1822="Drainage Cover", _xlfn.XLOOKUP(C1822, dd_accsrycalc!$A$2:$A$51, dd_accsrycalc!$F$2:$F$51, "",0),AND( F1822="Double Adhesive Tape", I1822="Roll-up Screen"), _xlfn.XLOOKUP(C1822, calc_rusacc!$C$15:$C$65, calc_rusacc!$AD$15:$AD$65, "",0),AND( F1822="Sealant", I1822="Roll-up Screen"), _xlfn.XLOOKUP(C1822, calc_rusacc!$C$15:$C$65, calc_rusacc!$AF$15:$AF$65, "",0),  AND( F1822="Main Chain", I1822="Accordion Screen"), _xlfn.XLOOKUP(C1822, calc_rusacc!$C$15:$C$65, calc_rusacc!$BF$15:$BF$65, "",0), AND( F1822="Sealant", I1822="Accordion Screen"), _xlfn.XLOOKUP(C1822, calc_rusacc!$C$15:$C$65, calc_rusacc!$BJ$15:$BJ$65, "",0),  F1822="Sealant", _xlfn.XLOOKUP(C1822, dd_accsrycalc!$A$2:$A$51, dd_accsrycalc!$G$2:$G$51, "",0),  F1822&lt;&gt;"",L1822*_xlfn.XLOOKUP(1, (SKUs!$C$2:$C$10001=G1822)*(SKUs!$K$2:$K$10001=I1822),SKUs!$E$2:$E$10001)), 0),"")</f>
        <v/>
      </c>
      <c r="E1822" s="35" t="str">
        <f>_xlfn.XLOOKUP(F1822,dd_item!$B$2:$B$105,dd_item!$C$2:$C$105,"",0)</f>
        <v/>
      </c>
      <c r="F1822" s="35"/>
      <c r="G1822" s="35" cm="1">
        <f t="array" ref="G1822">IFERROR(_xlfn.XLOOKUP(1, (SKUs!$J$2:$J$10001=accsry_unmerged!F1822)*IF(H1822&lt;&gt;"",(SKUs!$L$2:$L$10001=accsry_unmerged!H1822),1)*(SKUs!$K$2:$K$10001=I1822),SKUs!$C$2:$C$10001),"")</f>
        <v>0</v>
      </c>
      <c r="H1822" s="36" cm="1">
        <f t="array" ref="H1822">IFERROR(_xlfn.XLOOKUP(1, (dd_accsryclr!$C$2:$C$1000=accsry_unmerged!F1822)*(dd_accsryclr!$B$2:$B$1000=accsry_unmerged!J1822),dd_accsryclr!$A$2:$A$1000),"")</f>
        <v>0</v>
      </c>
      <c r="I1822" s="35">
        <f>_xlfn.XLOOKUP(C1822,'Project Details'!$C$17:$C$66,'Project Details'!$E$17:$E$66,"",0)</f>
        <v>0</v>
      </c>
      <c r="J1822" s="35">
        <f>_xlfn.XLOOKUP(C1822,'Project Details'!$C$17:$C$66,'Project Details'!$H$17:$H$66,"",0)</f>
        <v>0</v>
      </c>
      <c r="K1822" s="36" t="str">
        <f>IF(AND(_xlfn.XLOOKUP(C1822,'Project Details'!$C$17:$C$66,'Project Details'!$L$17:$L$66,"",0)&gt;550, F1822="Spring-L27cm"),"",SUBSTITUTE(_xlfn.XLOOKUP(G1822,SKUs!$C$2:$C$10001,SKUs!$F$2:$F$10001,"",0), " Accessories",""))</f>
        <v/>
      </c>
      <c r="L1822" s="36">
        <f>_xlfn.XLOOKUP(C1822,'Project Details'!$C$17:$C$66,'Project Details'!$D$17:$D$66,"",0)</f>
        <v>0</v>
      </c>
      <c r="M1822" s="43"/>
    </row>
    <row r="1823" spans="1:13" x14ac:dyDescent="0.25">
      <c r="A1823" s="43"/>
      <c r="B1823" s="43"/>
      <c r="C1823" s="16">
        <f t="shared" si="35"/>
        <v>37</v>
      </c>
      <c r="D1823" s="16" t="str" cm="1">
        <f t="array" ref="D1823">IFERROR(ROUNDUP(_xlfn.IFS(F1823="Aluminum Track", _xlfn.XLOOKUP(C1823, dd_accsrycalc!$A$2:$A$51, dd_accsrycalc!$B$2:$B$51, "",0), F1823="10 x 2 1/2 S (Flat)", _xlfn.XLOOKUP(C1823, dd_accsrycalc!$A$2:$A$51, dd_accsrycalc!$C$2:$C$51, "",0), F1823="Tox6", _xlfn.XLOOKUP(C1823, dd_accsrycalc!$A$2:$A$51, dd_accsrycalc!$D$2:$D$51, "",0), F1823="Cover Cap", _xlfn.XLOOKUP(C1823, dd_accsrycalc!$A$2:$A$51, dd_accsrycalc!$E$2:$E$51, "",0), F1823="Drainage Cover", _xlfn.XLOOKUP(C1823, dd_accsrycalc!$A$2:$A$51, dd_accsrycalc!$F$2:$F$51, "",0),AND( F1823="Double Adhesive Tape", I1823="Roll-up Screen"), _xlfn.XLOOKUP(C1823, calc_rusacc!$C$15:$C$65, calc_rusacc!$AD$15:$AD$65, "",0),AND( F1823="Sealant", I1823="Roll-up Screen"), _xlfn.XLOOKUP(C1823, calc_rusacc!$C$15:$C$65, calc_rusacc!$AF$15:$AF$65, "",0),  AND( F1823="Main Chain", I1823="Accordion Screen"), _xlfn.XLOOKUP(C1823, calc_rusacc!$C$15:$C$65, calc_rusacc!$BF$15:$BF$65, "",0), AND( F1823="Sealant", I1823="Accordion Screen"), _xlfn.XLOOKUP(C1823, calc_rusacc!$C$15:$C$65, calc_rusacc!$BJ$15:$BJ$65, "",0),  F1823="Sealant", _xlfn.XLOOKUP(C1823, dd_accsrycalc!$A$2:$A$51, dd_accsrycalc!$G$2:$G$51, "",0),  F1823&lt;&gt;"",L1823*_xlfn.XLOOKUP(1, (SKUs!$C$2:$C$10001=G1823)*(SKUs!$K$2:$K$10001=I1823),SKUs!$E$2:$E$10001)), 0),"")</f>
        <v/>
      </c>
      <c r="E1823" s="16" t="str">
        <f>_xlfn.XLOOKUP(F1823,dd_item!$B$2:$B$105,dd_item!$C$2:$C$105,"",0)</f>
        <v/>
      </c>
      <c r="F1823" s="16"/>
      <c r="G1823" s="16" cm="1">
        <f t="array" ref="G1823">IFERROR(_xlfn.XLOOKUP(1, (SKUs!$J$2:$J$10001=accsry_unmerged!F1823)*IF(H1823&lt;&gt;"",(SKUs!$L$2:$L$10001=accsry_unmerged!H1823),1)*(SKUs!$K$2:$K$10001=I1823),SKUs!$C$2:$C$10001),"")</f>
        <v>0</v>
      </c>
      <c r="H1823" s="33" cm="1">
        <f t="array" ref="H1823">IFERROR(_xlfn.XLOOKUP(1, (dd_accsryclr!$C$2:$C$1000=accsry_unmerged!F1823)*(dd_accsryclr!$B$2:$B$1000=accsry_unmerged!J1823),dd_accsryclr!$A$2:$A$1000),"")</f>
        <v>0</v>
      </c>
      <c r="I1823" s="16">
        <f>_xlfn.XLOOKUP(C1823,'Project Details'!$C$17:$C$66,'Project Details'!$E$17:$E$66,"",0)</f>
        <v>0</v>
      </c>
      <c r="J1823" s="16">
        <f>_xlfn.XLOOKUP(C1823,'Project Details'!$C$17:$C$66,'Project Details'!$H$17:$H$66,"",0)</f>
        <v>0</v>
      </c>
      <c r="K1823" s="33" t="str">
        <f>IF(AND(_xlfn.XLOOKUP(C1823,'Project Details'!$C$17:$C$66,'Project Details'!$L$17:$L$66,"",0)&gt;550, F1823="Spring-L27cm"),"",SUBSTITUTE(_xlfn.XLOOKUP(G1823,SKUs!$C$2:$C$10001,SKUs!$F$2:$F$10001,"",0), " Accessories",""))</f>
        <v/>
      </c>
      <c r="L1823" s="33">
        <f>_xlfn.XLOOKUP(C1823,'Project Details'!$C$17:$C$66,'Project Details'!$D$17:$D$66,"",0)</f>
        <v>0</v>
      </c>
      <c r="M1823" s="43"/>
    </row>
    <row r="1824" spans="1:13" x14ac:dyDescent="0.25">
      <c r="A1824" s="43"/>
      <c r="B1824" s="43"/>
      <c r="C1824" s="35">
        <f t="shared" si="35"/>
        <v>37</v>
      </c>
      <c r="D1824" s="35" t="str" cm="1">
        <f t="array" ref="D1824">IFERROR(ROUNDUP(_xlfn.IFS(F1824="Aluminum Track", _xlfn.XLOOKUP(C1824, dd_accsrycalc!$A$2:$A$51, dd_accsrycalc!$B$2:$B$51, "",0), F1824="10 x 2 1/2 S (Flat)", _xlfn.XLOOKUP(C1824, dd_accsrycalc!$A$2:$A$51, dd_accsrycalc!$C$2:$C$51, "",0), F1824="Tox6", _xlfn.XLOOKUP(C1824, dd_accsrycalc!$A$2:$A$51, dd_accsrycalc!$D$2:$D$51, "",0), F1824="Cover Cap", _xlfn.XLOOKUP(C1824, dd_accsrycalc!$A$2:$A$51, dd_accsrycalc!$E$2:$E$51, "",0), F1824="Drainage Cover", _xlfn.XLOOKUP(C1824, dd_accsrycalc!$A$2:$A$51, dd_accsrycalc!$F$2:$F$51, "",0),AND( F1824="Double Adhesive Tape", I1824="Roll-up Screen"), _xlfn.XLOOKUP(C1824, calc_rusacc!$C$15:$C$65, calc_rusacc!$AD$15:$AD$65, "",0),AND( F1824="Sealant", I1824="Roll-up Screen"), _xlfn.XLOOKUP(C1824, calc_rusacc!$C$15:$C$65, calc_rusacc!$AF$15:$AF$65, "",0),  AND( F1824="Main Chain", I1824="Accordion Screen"), _xlfn.XLOOKUP(C1824, calc_rusacc!$C$15:$C$65, calc_rusacc!$BF$15:$BF$65, "",0), AND( F1824="Sealant", I1824="Accordion Screen"), _xlfn.XLOOKUP(C1824, calc_rusacc!$C$15:$C$65, calc_rusacc!$BJ$15:$BJ$65, "",0),  F1824="Sealant", _xlfn.XLOOKUP(C1824, dd_accsrycalc!$A$2:$A$51, dd_accsrycalc!$G$2:$G$51, "",0),  F1824&lt;&gt;"",L1824*_xlfn.XLOOKUP(1, (SKUs!$C$2:$C$10001=G1824)*(SKUs!$K$2:$K$10001=I1824),SKUs!$E$2:$E$10001)), 0),"")</f>
        <v/>
      </c>
      <c r="E1824" s="35" t="str">
        <f>_xlfn.XLOOKUP(F1824,dd_item!$B$2:$B$105,dd_item!$C$2:$C$105,"",0)</f>
        <v/>
      </c>
      <c r="F1824" s="35"/>
      <c r="G1824" s="35" cm="1">
        <f t="array" ref="G1824">IFERROR(_xlfn.XLOOKUP(1, (SKUs!$J$2:$J$10001=accsry_unmerged!F1824)*IF(H1824&lt;&gt;"",(SKUs!$L$2:$L$10001=accsry_unmerged!H1824),1)*(SKUs!$K$2:$K$10001=I1824),SKUs!$C$2:$C$10001),"")</f>
        <v>0</v>
      </c>
      <c r="H1824" s="36" cm="1">
        <f t="array" ref="H1824">IFERROR(_xlfn.XLOOKUP(1, (dd_accsryclr!$C$2:$C$1000=accsry_unmerged!F1824)*(dd_accsryclr!$B$2:$B$1000=accsry_unmerged!J1824),dd_accsryclr!$A$2:$A$1000),"")</f>
        <v>0</v>
      </c>
      <c r="I1824" s="35">
        <f>_xlfn.XLOOKUP(C1824,'Project Details'!$C$17:$C$66,'Project Details'!$E$17:$E$66,"",0)</f>
        <v>0</v>
      </c>
      <c r="J1824" s="35">
        <f>_xlfn.XLOOKUP(C1824,'Project Details'!$C$17:$C$66,'Project Details'!$H$17:$H$66,"",0)</f>
        <v>0</v>
      </c>
      <c r="K1824" s="36" t="str">
        <f>IF(AND(_xlfn.XLOOKUP(C1824,'Project Details'!$C$17:$C$66,'Project Details'!$L$17:$L$66,"",0)&gt;550, F1824="Spring-L27cm"),"",SUBSTITUTE(_xlfn.XLOOKUP(G1824,SKUs!$C$2:$C$10001,SKUs!$F$2:$F$10001,"",0), " Accessories",""))</f>
        <v/>
      </c>
      <c r="L1824" s="36">
        <f>_xlfn.XLOOKUP(C1824,'Project Details'!$C$17:$C$66,'Project Details'!$D$17:$D$66,"",0)</f>
        <v>0</v>
      </c>
      <c r="M1824" s="43"/>
    </row>
    <row r="1825" spans="1:13" x14ac:dyDescent="0.25">
      <c r="A1825" s="43"/>
      <c r="B1825" s="43"/>
      <c r="C1825" s="16">
        <f t="shared" si="35"/>
        <v>37</v>
      </c>
      <c r="D1825" s="16" t="str" cm="1">
        <f t="array" ref="D1825">IFERROR(ROUNDUP(_xlfn.IFS(F1825="Aluminum Track", _xlfn.XLOOKUP(C1825, dd_accsrycalc!$A$2:$A$51, dd_accsrycalc!$B$2:$B$51, "",0), F1825="10 x 2 1/2 S (Flat)", _xlfn.XLOOKUP(C1825, dd_accsrycalc!$A$2:$A$51, dd_accsrycalc!$C$2:$C$51, "",0), F1825="Tox6", _xlfn.XLOOKUP(C1825, dd_accsrycalc!$A$2:$A$51, dd_accsrycalc!$D$2:$D$51, "",0), F1825="Cover Cap", _xlfn.XLOOKUP(C1825, dd_accsrycalc!$A$2:$A$51, dd_accsrycalc!$E$2:$E$51, "",0), F1825="Drainage Cover", _xlfn.XLOOKUP(C1825, dd_accsrycalc!$A$2:$A$51, dd_accsrycalc!$F$2:$F$51, "",0),AND( F1825="Double Adhesive Tape", I1825="Roll-up Screen"), _xlfn.XLOOKUP(C1825, calc_rusacc!$C$15:$C$65, calc_rusacc!$AD$15:$AD$65, "",0),AND( F1825="Sealant", I1825="Roll-up Screen"), _xlfn.XLOOKUP(C1825, calc_rusacc!$C$15:$C$65, calc_rusacc!$AF$15:$AF$65, "",0),  AND( F1825="Main Chain", I1825="Accordion Screen"), _xlfn.XLOOKUP(C1825, calc_rusacc!$C$15:$C$65, calc_rusacc!$BF$15:$BF$65, "",0), AND( F1825="Sealant", I1825="Accordion Screen"), _xlfn.XLOOKUP(C1825, calc_rusacc!$C$15:$C$65, calc_rusacc!$BJ$15:$BJ$65, "",0),  F1825="Sealant", _xlfn.XLOOKUP(C1825, dd_accsrycalc!$A$2:$A$51, dd_accsrycalc!$G$2:$G$51, "",0),  F1825&lt;&gt;"",L1825*_xlfn.XLOOKUP(1, (SKUs!$C$2:$C$10001=G1825)*(SKUs!$K$2:$K$10001=I1825),SKUs!$E$2:$E$10001)), 0),"")</f>
        <v/>
      </c>
      <c r="E1825" s="16" t="str">
        <f>_xlfn.XLOOKUP(F1825,dd_item!$B$2:$B$105,dd_item!$C$2:$C$105,"",0)</f>
        <v/>
      </c>
      <c r="F1825" s="16"/>
      <c r="G1825" s="16" cm="1">
        <f t="array" ref="G1825">IFERROR(_xlfn.XLOOKUP(1, (SKUs!$J$2:$J$10001=accsry_unmerged!F1825)*IF(H1825&lt;&gt;"",(SKUs!$L$2:$L$10001=accsry_unmerged!H1825),1)*(SKUs!$K$2:$K$10001=I1825),SKUs!$C$2:$C$10001),"")</f>
        <v>0</v>
      </c>
      <c r="H1825" s="33" cm="1">
        <f t="array" ref="H1825">IFERROR(_xlfn.XLOOKUP(1, (dd_accsryclr!$C$2:$C$1000=accsry_unmerged!F1825)*(dd_accsryclr!$B$2:$B$1000=accsry_unmerged!J1825),dd_accsryclr!$A$2:$A$1000),"")</f>
        <v>0</v>
      </c>
      <c r="I1825" s="16">
        <f>_xlfn.XLOOKUP(C1825,'Project Details'!$C$17:$C$66,'Project Details'!$E$17:$E$66,"",0)</f>
        <v>0</v>
      </c>
      <c r="J1825" s="16">
        <f>_xlfn.XLOOKUP(C1825,'Project Details'!$C$17:$C$66,'Project Details'!$H$17:$H$66,"",0)</f>
        <v>0</v>
      </c>
      <c r="K1825" s="33" t="str">
        <f>IF(AND(_xlfn.XLOOKUP(C1825,'Project Details'!$C$17:$C$66,'Project Details'!$L$17:$L$66,"",0)&gt;550, F1825="Spring-L27cm"),"",SUBSTITUTE(_xlfn.XLOOKUP(G1825,SKUs!$C$2:$C$10001,SKUs!$F$2:$F$10001,"",0), " Accessories",""))</f>
        <v/>
      </c>
      <c r="L1825" s="33">
        <f>_xlfn.XLOOKUP(C1825,'Project Details'!$C$17:$C$66,'Project Details'!$D$17:$D$66,"",0)</f>
        <v>0</v>
      </c>
      <c r="M1825" s="43"/>
    </row>
    <row r="1826" spans="1:13" x14ac:dyDescent="0.25">
      <c r="A1826" s="43"/>
      <c r="B1826" s="43"/>
      <c r="C1826" s="35">
        <f t="shared" si="35"/>
        <v>37</v>
      </c>
      <c r="D1826" s="35" t="str" cm="1">
        <f t="array" ref="D1826">IFERROR(ROUNDUP(_xlfn.IFS(F1826="Aluminum Track", _xlfn.XLOOKUP(C1826, dd_accsrycalc!$A$2:$A$51, dd_accsrycalc!$B$2:$B$51, "",0), F1826="10 x 2 1/2 S (Flat)", _xlfn.XLOOKUP(C1826, dd_accsrycalc!$A$2:$A$51, dd_accsrycalc!$C$2:$C$51, "",0), F1826="Tox6", _xlfn.XLOOKUP(C1826, dd_accsrycalc!$A$2:$A$51, dd_accsrycalc!$D$2:$D$51, "",0), F1826="Cover Cap", _xlfn.XLOOKUP(C1826, dd_accsrycalc!$A$2:$A$51, dd_accsrycalc!$E$2:$E$51, "",0), F1826="Drainage Cover", _xlfn.XLOOKUP(C1826, dd_accsrycalc!$A$2:$A$51, dd_accsrycalc!$F$2:$F$51, "",0),AND( F1826="Double Adhesive Tape", I1826="Roll-up Screen"), _xlfn.XLOOKUP(C1826, calc_rusacc!$C$15:$C$65, calc_rusacc!$AD$15:$AD$65, "",0),AND( F1826="Sealant", I1826="Roll-up Screen"), _xlfn.XLOOKUP(C1826, calc_rusacc!$C$15:$C$65, calc_rusacc!$AF$15:$AF$65, "",0),  AND( F1826="Main Chain", I1826="Accordion Screen"), _xlfn.XLOOKUP(C1826, calc_rusacc!$C$15:$C$65, calc_rusacc!$BF$15:$BF$65, "",0), AND( F1826="Sealant", I1826="Accordion Screen"), _xlfn.XLOOKUP(C1826, calc_rusacc!$C$15:$C$65, calc_rusacc!$BJ$15:$BJ$65, "",0),  F1826="Sealant", _xlfn.XLOOKUP(C1826, dd_accsrycalc!$A$2:$A$51, dd_accsrycalc!$G$2:$G$51, "",0),  F1826&lt;&gt;"",L1826*_xlfn.XLOOKUP(1, (SKUs!$C$2:$C$10001=G1826)*(SKUs!$K$2:$K$10001=I1826),SKUs!$E$2:$E$10001)), 0),"")</f>
        <v/>
      </c>
      <c r="E1826" s="35" t="str">
        <f>_xlfn.XLOOKUP(F1826,dd_item!$B$2:$B$105,dd_item!$C$2:$C$105,"",0)</f>
        <v/>
      </c>
      <c r="F1826" s="35"/>
      <c r="G1826" s="35" cm="1">
        <f t="array" ref="G1826">IFERROR(_xlfn.XLOOKUP(1, (SKUs!$J$2:$J$10001=accsry_unmerged!F1826)*IF(H1826&lt;&gt;"",(SKUs!$L$2:$L$10001=accsry_unmerged!H1826),1)*(SKUs!$K$2:$K$10001=I1826),SKUs!$C$2:$C$10001),"")</f>
        <v>0</v>
      </c>
      <c r="H1826" s="36" cm="1">
        <f t="array" ref="H1826">IFERROR(_xlfn.XLOOKUP(1, (dd_accsryclr!$C$2:$C$1000=accsry_unmerged!F1826)*(dd_accsryclr!$B$2:$B$1000=accsry_unmerged!J1826),dd_accsryclr!$A$2:$A$1000),"")</f>
        <v>0</v>
      </c>
      <c r="I1826" s="35">
        <f>_xlfn.XLOOKUP(C1826,'Project Details'!$C$17:$C$66,'Project Details'!$E$17:$E$66,"",0)</f>
        <v>0</v>
      </c>
      <c r="J1826" s="35">
        <f>_xlfn.XLOOKUP(C1826,'Project Details'!$C$17:$C$66,'Project Details'!$H$17:$H$66,"",0)</f>
        <v>0</v>
      </c>
      <c r="K1826" s="36" t="str">
        <f>IF(AND(_xlfn.XLOOKUP(C1826,'Project Details'!$C$17:$C$66,'Project Details'!$L$17:$L$66,"",0)&gt;550, F1826="Spring-L27cm"),"",SUBSTITUTE(_xlfn.XLOOKUP(G1826,SKUs!$C$2:$C$10001,SKUs!$F$2:$F$10001,"",0), " Accessories",""))</f>
        <v/>
      </c>
      <c r="L1826" s="36">
        <f>_xlfn.XLOOKUP(C1826,'Project Details'!$C$17:$C$66,'Project Details'!$D$17:$D$66,"",0)</f>
        <v>0</v>
      </c>
      <c r="M1826" s="43"/>
    </row>
    <row r="1827" spans="1:13" x14ac:dyDescent="0.25">
      <c r="A1827" s="43"/>
      <c r="B1827" s="43"/>
      <c r="C1827" s="16">
        <f t="shared" si="35"/>
        <v>37</v>
      </c>
      <c r="D1827" s="16" t="str" cm="1">
        <f t="array" ref="D1827">IFERROR(ROUNDUP(_xlfn.IFS(F1827="Aluminum Track", _xlfn.XLOOKUP(C1827, dd_accsrycalc!$A$2:$A$51, dd_accsrycalc!$B$2:$B$51, "",0), F1827="10 x 2 1/2 S (Flat)", _xlfn.XLOOKUP(C1827, dd_accsrycalc!$A$2:$A$51, dd_accsrycalc!$C$2:$C$51, "",0), F1827="Tox6", _xlfn.XLOOKUP(C1827, dd_accsrycalc!$A$2:$A$51, dd_accsrycalc!$D$2:$D$51, "",0), F1827="Cover Cap", _xlfn.XLOOKUP(C1827, dd_accsrycalc!$A$2:$A$51, dd_accsrycalc!$E$2:$E$51, "",0), F1827="Drainage Cover", _xlfn.XLOOKUP(C1827, dd_accsrycalc!$A$2:$A$51, dd_accsrycalc!$F$2:$F$51, "",0),AND( F1827="Double Adhesive Tape", I1827="Roll-up Screen"), _xlfn.XLOOKUP(C1827, calc_rusacc!$C$15:$C$65, calc_rusacc!$AD$15:$AD$65, "",0),AND( F1827="Sealant", I1827="Roll-up Screen"), _xlfn.XLOOKUP(C1827, calc_rusacc!$C$15:$C$65, calc_rusacc!$AF$15:$AF$65, "",0),  AND( F1827="Main Chain", I1827="Accordion Screen"), _xlfn.XLOOKUP(C1827, calc_rusacc!$C$15:$C$65, calc_rusacc!$BF$15:$BF$65, "",0), AND( F1827="Sealant", I1827="Accordion Screen"), _xlfn.XLOOKUP(C1827, calc_rusacc!$C$15:$C$65, calc_rusacc!$BJ$15:$BJ$65, "",0),  F1827="Sealant", _xlfn.XLOOKUP(C1827, dd_accsrycalc!$A$2:$A$51, dd_accsrycalc!$G$2:$G$51, "",0),  F1827&lt;&gt;"",L1827*_xlfn.XLOOKUP(1, (SKUs!$C$2:$C$10001=G1827)*(SKUs!$K$2:$K$10001=I1827),SKUs!$E$2:$E$10001)), 0),"")</f>
        <v/>
      </c>
      <c r="E1827" s="16" t="str">
        <f>_xlfn.XLOOKUP(F1827,dd_item!$B$2:$B$105,dd_item!$C$2:$C$105,"",0)</f>
        <v/>
      </c>
      <c r="F1827" s="16"/>
      <c r="G1827" s="16" cm="1">
        <f t="array" ref="G1827">IFERROR(_xlfn.XLOOKUP(1, (SKUs!$J$2:$J$10001=accsry_unmerged!F1827)*IF(H1827&lt;&gt;"",(SKUs!$L$2:$L$10001=accsry_unmerged!H1827),1)*(SKUs!$K$2:$K$10001=I1827),SKUs!$C$2:$C$10001),"")</f>
        <v>0</v>
      </c>
      <c r="H1827" s="33" cm="1">
        <f t="array" ref="H1827">IFERROR(_xlfn.XLOOKUP(1, (dd_accsryclr!$C$2:$C$1000=accsry_unmerged!F1827)*(dd_accsryclr!$B$2:$B$1000=accsry_unmerged!J1827),dd_accsryclr!$A$2:$A$1000),"")</f>
        <v>0</v>
      </c>
      <c r="I1827" s="16">
        <f>_xlfn.XLOOKUP(C1827,'Project Details'!$C$17:$C$66,'Project Details'!$E$17:$E$66,"",0)</f>
        <v>0</v>
      </c>
      <c r="J1827" s="16">
        <f>_xlfn.XLOOKUP(C1827,'Project Details'!$C$17:$C$66,'Project Details'!$H$17:$H$66,"",0)</f>
        <v>0</v>
      </c>
      <c r="K1827" s="33" t="str">
        <f>IF(AND(_xlfn.XLOOKUP(C1827,'Project Details'!$C$17:$C$66,'Project Details'!$L$17:$L$66,"",0)&gt;550, F1827="Spring-L27cm"),"",SUBSTITUTE(_xlfn.XLOOKUP(G1827,SKUs!$C$2:$C$10001,SKUs!$F$2:$F$10001,"",0), " Accessories",""))</f>
        <v/>
      </c>
      <c r="L1827" s="33">
        <f>_xlfn.XLOOKUP(C1827,'Project Details'!$C$17:$C$66,'Project Details'!$D$17:$D$66,"",0)</f>
        <v>0</v>
      </c>
      <c r="M1827" s="43"/>
    </row>
    <row r="1828" spans="1:13" x14ac:dyDescent="0.25">
      <c r="A1828" s="43"/>
      <c r="B1828" s="43"/>
      <c r="C1828" s="35">
        <f t="shared" si="35"/>
        <v>37</v>
      </c>
      <c r="D1828" s="35" t="str" cm="1">
        <f t="array" ref="D1828">IFERROR(ROUNDUP(_xlfn.IFS(F1828="Aluminum Track", _xlfn.XLOOKUP(C1828, dd_accsrycalc!$A$2:$A$51, dd_accsrycalc!$B$2:$B$51, "",0), F1828="10 x 2 1/2 S (Flat)", _xlfn.XLOOKUP(C1828, dd_accsrycalc!$A$2:$A$51, dd_accsrycalc!$C$2:$C$51, "",0), F1828="Tox6", _xlfn.XLOOKUP(C1828, dd_accsrycalc!$A$2:$A$51, dd_accsrycalc!$D$2:$D$51, "",0), F1828="Cover Cap", _xlfn.XLOOKUP(C1828, dd_accsrycalc!$A$2:$A$51, dd_accsrycalc!$E$2:$E$51, "",0), F1828="Drainage Cover", _xlfn.XLOOKUP(C1828, dd_accsrycalc!$A$2:$A$51, dd_accsrycalc!$F$2:$F$51, "",0),AND( F1828="Double Adhesive Tape", I1828="Roll-up Screen"), _xlfn.XLOOKUP(C1828, calc_rusacc!$C$15:$C$65, calc_rusacc!$AD$15:$AD$65, "",0),AND( F1828="Sealant", I1828="Roll-up Screen"), _xlfn.XLOOKUP(C1828, calc_rusacc!$C$15:$C$65, calc_rusacc!$AF$15:$AF$65, "",0),  AND( F1828="Main Chain", I1828="Accordion Screen"), _xlfn.XLOOKUP(C1828, calc_rusacc!$C$15:$C$65, calc_rusacc!$BF$15:$BF$65, "",0), AND( F1828="Sealant", I1828="Accordion Screen"), _xlfn.XLOOKUP(C1828, calc_rusacc!$C$15:$C$65, calc_rusacc!$BJ$15:$BJ$65, "",0),  F1828="Sealant", _xlfn.XLOOKUP(C1828, dd_accsrycalc!$A$2:$A$51, dd_accsrycalc!$G$2:$G$51, "",0),  F1828&lt;&gt;"",L1828*_xlfn.XLOOKUP(1, (SKUs!$C$2:$C$10001=G1828)*(SKUs!$K$2:$K$10001=I1828),SKUs!$E$2:$E$10001)), 0),"")</f>
        <v/>
      </c>
      <c r="E1828" s="35" t="str">
        <f>_xlfn.XLOOKUP(F1828,dd_item!$B$2:$B$105,dd_item!$C$2:$C$105,"",0)</f>
        <v/>
      </c>
      <c r="F1828" s="35"/>
      <c r="G1828" s="35" cm="1">
        <f t="array" ref="G1828">IFERROR(_xlfn.XLOOKUP(1, (SKUs!$J$2:$J$10001=accsry_unmerged!F1828)*IF(H1828&lt;&gt;"",(SKUs!$L$2:$L$10001=accsry_unmerged!H1828),1)*(SKUs!$K$2:$K$10001=I1828),SKUs!$C$2:$C$10001),"")</f>
        <v>0</v>
      </c>
      <c r="H1828" s="36" cm="1">
        <f t="array" ref="H1828">IFERROR(_xlfn.XLOOKUP(1, (dd_accsryclr!$C$2:$C$1000=accsry_unmerged!F1828)*(dd_accsryclr!$B$2:$B$1000=accsry_unmerged!J1828),dd_accsryclr!$A$2:$A$1000),"")</f>
        <v>0</v>
      </c>
      <c r="I1828" s="35">
        <f>_xlfn.XLOOKUP(C1828,'Project Details'!$C$17:$C$66,'Project Details'!$E$17:$E$66,"",0)</f>
        <v>0</v>
      </c>
      <c r="J1828" s="35">
        <f>_xlfn.XLOOKUP(C1828,'Project Details'!$C$17:$C$66,'Project Details'!$H$17:$H$66,"",0)</f>
        <v>0</v>
      </c>
      <c r="K1828" s="36" t="str">
        <f>IF(AND(_xlfn.XLOOKUP(C1828,'Project Details'!$C$17:$C$66,'Project Details'!$L$17:$L$66,"",0)&gt;550, F1828="Spring-L27cm"),"",SUBSTITUTE(_xlfn.XLOOKUP(G1828,SKUs!$C$2:$C$10001,SKUs!$F$2:$F$10001,"",0), " Accessories",""))</f>
        <v/>
      </c>
      <c r="L1828" s="36">
        <f>_xlfn.XLOOKUP(C1828,'Project Details'!$C$17:$C$66,'Project Details'!$D$17:$D$66,"",0)</f>
        <v>0</v>
      </c>
      <c r="M1828" s="43"/>
    </row>
    <row r="1829" spans="1:13" x14ac:dyDescent="0.25">
      <c r="A1829" s="43"/>
      <c r="B1829" s="43"/>
      <c r="C1829" s="16">
        <f t="shared" si="35"/>
        <v>37</v>
      </c>
      <c r="D1829" s="16" t="str" cm="1">
        <f t="array" ref="D1829">IFERROR(ROUNDUP(_xlfn.IFS(F1829="Aluminum Track", _xlfn.XLOOKUP(C1829, dd_accsrycalc!$A$2:$A$51, dd_accsrycalc!$B$2:$B$51, "",0), F1829="10 x 2 1/2 S (Flat)", _xlfn.XLOOKUP(C1829, dd_accsrycalc!$A$2:$A$51, dd_accsrycalc!$C$2:$C$51, "",0), F1829="Tox6", _xlfn.XLOOKUP(C1829, dd_accsrycalc!$A$2:$A$51, dd_accsrycalc!$D$2:$D$51, "",0), F1829="Cover Cap", _xlfn.XLOOKUP(C1829, dd_accsrycalc!$A$2:$A$51, dd_accsrycalc!$E$2:$E$51, "",0), F1829="Drainage Cover", _xlfn.XLOOKUP(C1829, dd_accsrycalc!$A$2:$A$51, dd_accsrycalc!$F$2:$F$51, "",0),AND( F1829="Double Adhesive Tape", I1829="Roll-up Screen"), _xlfn.XLOOKUP(C1829, calc_rusacc!$C$15:$C$65, calc_rusacc!$AD$15:$AD$65, "",0),AND( F1829="Sealant", I1829="Roll-up Screen"), _xlfn.XLOOKUP(C1829, calc_rusacc!$C$15:$C$65, calc_rusacc!$AF$15:$AF$65, "",0),  AND( F1829="Main Chain", I1829="Accordion Screen"), _xlfn.XLOOKUP(C1829, calc_rusacc!$C$15:$C$65, calc_rusacc!$BF$15:$BF$65, "",0), AND( F1829="Sealant", I1829="Accordion Screen"), _xlfn.XLOOKUP(C1829, calc_rusacc!$C$15:$C$65, calc_rusacc!$BJ$15:$BJ$65, "",0),  F1829="Sealant", _xlfn.XLOOKUP(C1829, dd_accsrycalc!$A$2:$A$51, dd_accsrycalc!$G$2:$G$51, "",0),  F1829&lt;&gt;"",L1829*_xlfn.XLOOKUP(1, (SKUs!$C$2:$C$10001=G1829)*(SKUs!$K$2:$K$10001=I1829),SKUs!$E$2:$E$10001)), 0),"")</f>
        <v/>
      </c>
      <c r="E1829" s="16" t="str">
        <f>_xlfn.XLOOKUP(F1829,dd_item!$B$2:$B$105,dd_item!$C$2:$C$105,"",0)</f>
        <v/>
      </c>
      <c r="F1829" s="16"/>
      <c r="G1829" s="16" cm="1">
        <f t="array" ref="G1829">IFERROR(_xlfn.XLOOKUP(1, (SKUs!$J$2:$J$10001=accsry_unmerged!F1829)*IF(H1829&lt;&gt;"",(SKUs!$L$2:$L$10001=accsry_unmerged!H1829),1)*(SKUs!$K$2:$K$10001=I1829),SKUs!$C$2:$C$10001),"")</f>
        <v>0</v>
      </c>
      <c r="H1829" s="33" cm="1">
        <f t="array" ref="H1829">IFERROR(_xlfn.XLOOKUP(1, (dd_accsryclr!$C$2:$C$1000=accsry_unmerged!F1829)*(dd_accsryclr!$B$2:$B$1000=accsry_unmerged!J1829),dd_accsryclr!$A$2:$A$1000),"")</f>
        <v>0</v>
      </c>
      <c r="I1829" s="16">
        <f>_xlfn.XLOOKUP(C1829,'Project Details'!$C$17:$C$66,'Project Details'!$E$17:$E$66,"",0)</f>
        <v>0</v>
      </c>
      <c r="J1829" s="16">
        <f>_xlfn.XLOOKUP(C1829,'Project Details'!$C$17:$C$66,'Project Details'!$H$17:$H$66,"",0)</f>
        <v>0</v>
      </c>
      <c r="K1829" s="33" t="str">
        <f>IF(AND(_xlfn.XLOOKUP(C1829,'Project Details'!$C$17:$C$66,'Project Details'!$L$17:$L$66,"",0)&gt;550, F1829="Spring-L27cm"),"",SUBSTITUTE(_xlfn.XLOOKUP(G1829,SKUs!$C$2:$C$10001,SKUs!$F$2:$F$10001,"",0), " Accessories",""))</f>
        <v/>
      </c>
      <c r="L1829" s="33">
        <f>_xlfn.XLOOKUP(C1829,'Project Details'!$C$17:$C$66,'Project Details'!$D$17:$D$66,"",0)</f>
        <v>0</v>
      </c>
      <c r="M1829" s="43"/>
    </row>
    <row r="1830" spans="1:13" x14ac:dyDescent="0.25">
      <c r="A1830" s="43"/>
      <c r="B1830" s="43"/>
      <c r="C1830" s="35">
        <f t="shared" si="35"/>
        <v>37</v>
      </c>
      <c r="D1830" s="35" t="str" cm="1">
        <f t="array" ref="D1830">IFERROR(ROUNDUP(_xlfn.IFS(F1830="Aluminum Track", _xlfn.XLOOKUP(C1830, dd_accsrycalc!$A$2:$A$51, dd_accsrycalc!$B$2:$B$51, "",0), F1830="10 x 2 1/2 S (Flat)", _xlfn.XLOOKUP(C1830, dd_accsrycalc!$A$2:$A$51, dd_accsrycalc!$C$2:$C$51, "",0), F1830="Tox6", _xlfn.XLOOKUP(C1830, dd_accsrycalc!$A$2:$A$51, dd_accsrycalc!$D$2:$D$51, "",0), F1830="Cover Cap", _xlfn.XLOOKUP(C1830, dd_accsrycalc!$A$2:$A$51, dd_accsrycalc!$E$2:$E$51, "",0), F1830="Drainage Cover", _xlfn.XLOOKUP(C1830, dd_accsrycalc!$A$2:$A$51, dd_accsrycalc!$F$2:$F$51, "",0),AND( F1830="Double Adhesive Tape", I1830="Roll-up Screen"), _xlfn.XLOOKUP(C1830, calc_rusacc!$C$15:$C$65, calc_rusacc!$AD$15:$AD$65, "",0),AND( F1830="Sealant", I1830="Roll-up Screen"), _xlfn.XLOOKUP(C1830, calc_rusacc!$C$15:$C$65, calc_rusacc!$AF$15:$AF$65, "",0),  AND( F1830="Main Chain", I1830="Accordion Screen"), _xlfn.XLOOKUP(C1830, calc_rusacc!$C$15:$C$65, calc_rusacc!$BF$15:$BF$65, "",0), AND( F1830="Sealant", I1830="Accordion Screen"), _xlfn.XLOOKUP(C1830, calc_rusacc!$C$15:$C$65, calc_rusacc!$BJ$15:$BJ$65, "",0),  F1830="Sealant", _xlfn.XLOOKUP(C1830, dd_accsrycalc!$A$2:$A$51, dd_accsrycalc!$G$2:$G$51, "",0),  F1830&lt;&gt;"",L1830*_xlfn.XLOOKUP(1, (SKUs!$C$2:$C$10001=G1830)*(SKUs!$K$2:$K$10001=I1830),SKUs!$E$2:$E$10001)), 0),"")</f>
        <v/>
      </c>
      <c r="E1830" s="35" t="str">
        <f>_xlfn.XLOOKUP(F1830,dd_item!$B$2:$B$105,dd_item!$C$2:$C$105,"",0)</f>
        <v/>
      </c>
      <c r="F1830" s="35"/>
      <c r="G1830" s="35" cm="1">
        <f t="array" ref="G1830">IFERROR(_xlfn.XLOOKUP(1, (SKUs!$J$2:$J$10001=accsry_unmerged!F1830)*IF(H1830&lt;&gt;"",(SKUs!$L$2:$L$10001=accsry_unmerged!H1830),1)*(SKUs!$K$2:$K$10001=I1830),SKUs!$C$2:$C$10001),"")</f>
        <v>0</v>
      </c>
      <c r="H1830" s="36" cm="1">
        <f t="array" ref="H1830">IFERROR(_xlfn.XLOOKUP(1, (dd_accsryclr!$C$2:$C$1000=accsry_unmerged!F1830)*(dd_accsryclr!$B$2:$B$1000=accsry_unmerged!J1830),dd_accsryclr!$A$2:$A$1000),"")</f>
        <v>0</v>
      </c>
      <c r="I1830" s="35">
        <f>_xlfn.XLOOKUP(C1830,'Project Details'!$C$17:$C$66,'Project Details'!$E$17:$E$66,"",0)</f>
        <v>0</v>
      </c>
      <c r="J1830" s="35">
        <f>_xlfn.XLOOKUP(C1830,'Project Details'!$C$17:$C$66,'Project Details'!$H$17:$H$66,"",0)</f>
        <v>0</v>
      </c>
      <c r="K1830" s="36" t="str">
        <f>IF(AND(_xlfn.XLOOKUP(C1830,'Project Details'!$C$17:$C$66,'Project Details'!$L$17:$L$66,"",0)&gt;550, F1830="Spring-L27cm"),"",SUBSTITUTE(_xlfn.XLOOKUP(G1830,SKUs!$C$2:$C$10001,SKUs!$F$2:$F$10001,"",0), " Accessories",""))</f>
        <v/>
      </c>
      <c r="L1830" s="36">
        <f>_xlfn.XLOOKUP(C1830,'Project Details'!$C$17:$C$66,'Project Details'!$D$17:$D$66,"",0)</f>
        <v>0</v>
      </c>
      <c r="M1830" s="43"/>
    </row>
    <row r="1831" spans="1:13" x14ac:dyDescent="0.25">
      <c r="A1831" s="43"/>
      <c r="B1831" s="43"/>
      <c r="C1831" s="16">
        <f t="shared" si="35"/>
        <v>37</v>
      </c>
      <c r="D1831" s="16" t="str" cm="1">
        <f t="array" ref="D1831">IFERROR(ROUNDUP(_xlfn.IFS(F1831="Aluminum Track", _xlfn.XLOOKUP(C1831, dd_accsrycalc!$A$2:$A$51, dd_accsrycalc!$B$2:$B$51, "",0), F1831="10 x 2 1/2 S (Flat)", _xlfn.XLOOKUP(C1831, dd_accsrycalc!$A$2:$A$51, dd_accsrycalc!$C$2:$C$51, "",0), F1831="Tox6", _xlfn.XLOOKUP(C1831, dd_accsrycalc!$A$2:$A$51, dd_accsrycalc!$D$2:$D$51, "",0), F1831="Cover Cap", _xlfn.XLOOKUP(C1831, dd_accsrycalc!$A$2:$A$51, dd_accsrycalc!$E$2:$E$51, "",0), F1831="Drainage Cover", _xlfn.XLOOKUP(C1831, dd_accsrycalc!$A$2:$A$51, dd_accsrycalc!$F$2:$F$51, "",0),AND( F1831="Double Adhesive Tape", I1831="Roll-up Screen"), _xlfn.XLOOKUP(C1831, calc_rusacc!$C$15:$C$65, calc_rusacc!$AD$15:$AD$65, "",0),AND( F1831="Sealant", I1831="Roll-up Screen"), _xlfn.XLOOKUP(C1831, calc_rusacc!$C$15:$C$65, calc_rusacc!$AF$15:$AF$65, "",0),  AND( F1831="Main Chain", I1831="Accordion Screen"), _xlfn.XLOOKUP(C1831, calc_rusacc!$C$15:$C$65, calc_rusacc!$BF$15:$BF$65, "",0), AND( F1831="Sealant", I1831="Accordion Screen"), _xlfn.XLOOKUP(C1831, calc_rusacc!$C$15:$C$65, calc_rusacc!$BJ$15:$BJ$65, "",0),  F1831="Sealant", _xlfn.XLOOKUP(C1831, dd_accsrycalc!$A$2:$A$51, dd_accsrycalc!$G$2:$G$51, "",0),  F1831&lt;&gt;"",L1831*_xlfn.XLOOKUP(1, (SKUs!$C$2:$C$10001=G1831)*(SKUs!$K$2:$K$10001=I1831),SKUs!$E$2:$E$10001)), 0),"")</f>
        <v/>
      </c>
      <c r="E1831" s="16" t="str">
        <f>_xlfn.XLOOKUP(F1831,dd_item!$B$2:$B$105,dd_item!$C$2:$C$105,"",0)</f>
        <v/>
      </c>
      <c r="F1831" s="16"/>
      <c r="G1831" s="16" cm="1">
        <f t="array" ref="G1831">IFERROR(_xlfn.XLOOKUP(1, (SKUs!$J$2:$J$10001=accsry_unmerged!F1831)*IF(H1831&lt;&gt;"",(SKUs!$L$2:$L$10001=accsry_unmerged!H1831),1)*(SKUs!$K$2:$K$10001=I1831),SKUs!$C$2:$C$10001),"")</f>
        <v>0</v>
      </c>
      <c r="H1831" s="33" cm="1">
        <f t="array" ref="H1831">IFERROR(_xlfn.XLOOKUP(1, (dd_accsryclr!$C$2:$C$1000=accsry_unmerged!F1831)*(dd_accsryclr!$B$2:$B$1000=accsry_unmerged!J1831),dd_accsryclr!$A$2:$A$1000),"")</f>
        <v>0</v>
      </c>
      <c r="I1831" s="16">
        <f>_xlfn.XLOOKUP(C1831,'Project Details'!$C$17:$C$66,'Project Details'!$E$17:$E$66,"",0)</f>
        <v>0</v>
      </c>
      <c r="J1831" s="16">
        <f>_xlfn.XLOOKUP(C1831,'Project Details'!$C$17:$C$66,'Project Details'!$H$17:$H$66,"",0)</f>
        <v>0</v>
      </c>
      <c r="K1831" s="33" t="str">
        <f>IF(AND(_xlfn.XLOOKUP(C1831,'Project Details'!$C$17:$C$66,'Project Details'!$L$17:$L$66,"",0)&gt;550, F1831="Spring-L27cm"),"",SUBSTITUTE(_xlfn.XLOOKUP(G1831,SKUs!$C$2:$C$10001,SKUs!$F$2:$F$10001,"",0), " Accessories",""))</f>
        <v/>
      </c>
      <c r="L1831" s="33">
        <f>_xlfn.XLOOKUP(C1831,'Project Details'!$C$17:$C$66,'Project Details'!$D$17:$D$66,"",0)</f>
        <v>0</v>
      </c>
      <c r="M1831" s="43"/>
    </row>
    <row r="1832" spans="1:13" x14ac:dyDescent="0.25">
      <c r="A1832" s="43"/>
      <c r="B1832" s="43"/>
      <c r="C1832" s="35">
        <f t="shared" si="35"/>
        <v>37</v>
      </c>
      <c r="D1832" s="35" t="str" cm="1">
        <f t="array" ref="D1832">IFERROR(ROUNDUP(_xlfn.IFS(F1832="Aluminum Track", _xlfn.XLOOKUP(C1832, dd_accsrycalc!$A$2:$A$51, dd_accsrycalc!$B$2:$B$51, "",0), F1832="10 x 2 1/2 S (Flat)", _xlfn.XLOOKUP(C1832, dd_accsrycalc!$A$2:$A$51, dd_accsrycalc!$C$2:$C$51, "",0), F1832="Tox6", _xlfn.XLOOKUP(C1832, dd_accsrycalc!$A$2:$A$51, dd_accsrycalc!$D$2:$D$51, "",0), F1832="Cover Cap", _xlfn.XLOOKUP(C1832, dd_accsrycalc!$A$2:$A$51, dd_accsrycalc!$E$2:$E$51, "",0), F1832="Drainage Cover", _xlfn.XLOOKUP(C1832, dd_accsrycalc!$A$2:$A$51, dd_accsrycalc!$F$2:$F$51, "",0),AND( F1832="Double Adhesive Tape", I1832="Roll-up Screen"), _xlfn.XLOOKUP(C1832, calc_rusacc!$C$15:$C$65, calc_rusacc!$AD$15:$AD$65, "",0),AND( F1832="Sealant", I1832="Roll-up Screen"), _xlfn.XLOOKUP(C1832, calc_rusacc!$C$15:$C$65, calc_rusacc!$AF$15:$AF$65, "",0),  AND( F1832="Main Chain", I1832="Accordion Screen"), _xlfn.XLOOKUP(C1832, calc_rusacc!$C$15:$C$65, calc_rusacc!$BF$15:$BF$65, "",0), AND( F1832="Sealant", I1832="Accordion Screen"), _xlfn.XLOOKUP(C1832, calc_rusacc!$C$15:$C$65, calc_rusacc!$BJ$15:$BJ$65, "",0),  F1832="Sealant", _xlfn.XLOOKUP(C1832, dd_accsrycalc!$A$2:$A$51, dd_accsrycalc!$G$2:$G$51, "",0),  F1832&lt;&gt;"",L1832*_xlfn.XLOOKUP(1, (SKUs!$C$2:$C$10001=G1832)*(SKUs!$K$2:$K$10001=I1832),SKUs!$E$2:$E$10001)), 0),"")</f>
        <v/>
      </c>
      <c r="E1832" s="35" t="str">
        <f>_xlfn.XLOOKUP(F1832,dd_item!$B$2:$B$105,dd_item!$C$2:$C$105,"",0)</f>
        <v/>
      </c>
      <c r="F1832" s="35"/>
      <c r="G1832" s="35" cm="1">
        <f t="array" ref="G1832">IFERROR(_xlfn.XLOOKUP(1, (SKUs!$J$2:$J$10001=accsry_unmerged!F1832)*IF(H1832&lt;&gt;"",(SKUs!$L$2:$L$10001=accsry_unmerged!H1832),1)*(SKUs!$K$2:$K$10001=I1832),SKUs!$C$2:$C$10001),"")</f>
        <v>0</v>
      </c>
      <c r="H1832" s="36" cm="1">
        <f t="array" ref="H1832">IFERROR(_xlfn.XLOOKUP(1, (dd_accsryclr!$C$2:$C$1000=accsry_unmerged!F1832)*(dd_accsryclr!$B$2:$B$1000=accsry_unmerged!J1832),dd_accsryclr!$A$2:$A$1000),"")</f>
        <v>0</v>
      </c>
      <c r="I1832" s="35">
        <f>_xlfn.XLOOKUP(C1832,'Project Details'!$C$17:$C$66,'Project Details'!$E$17:$E$66,"",0)</f>
        <v>0</v>
      </c>
      <c r="J1832" s="35">
        <f>_xlfn.XLOOKUP(C1832,'Project Details'!$C$17:$C$66,'Project Details'!$H$17:$H$66,"",0)</f>
        <v>0</v>
      </c>
      <c r="K1832" s="36" t="str">
        <f>IF(AND(_xlfn.XLOOKUP(C1832,'Project Details'!$C$17:$C$66,'Project Details'!$L$17:$L$66,"",0)&gt;550, F1832="Spring-L27cm"),"",SUBSTITUTE(_xlfn.XLOOKUP(G1832,SKUs!$C$2:$C$10001,SKUs!$F$2:$F$10001,"",0), " Accessories",""))</f>
        <v/>
      </c>
      <c r="L1832" s="36">
        <f>_xlfn.XLOOKUP(C1832,'Project Details'!$C$17:$C$66,'Project Details'!$D$17:$D$66,"",0)</f>
        <v>0</v>
      </c>
      <c r="M1832" s="43"/>
    </row>
    <row r="1833" spans="1:13" x14ac:dyDescent="0.25">
      <c r="A1833" s="43"/>
      <c r="B1833" s="43"/>
      <c r="C1833" s="16">
        <f t="shared" si="35"/>
        <v>37</v>
      </c>
      <c r="D1833" s="16" t="str" cm="1">
        <f t="array" ref="D1833">IFERROR(ROUNDUP(_xlfn.IFS(F1833="Aluminum Track", _xlfn.XLOOKUP(C1833, dd_accsrycalc!$A$2:$A$51, dd_accsrycalc!$B$2:$B$51, "",0), F1833="10 x 2 1/2 S (Flat)", _xlfn.XLOOKUP(C1833, dd_accsrycalc!$A$2:$A$51, dd_accsrycalc!$C$2:$C$51, "",0), F1833="Tox6", _xlfn.XLOOKUP(C1833, dd_accsrycalc!$A$2:$A$51, dd_accsrycalc!$D$2:$D$51, "",0), F1833="Cover Cap", _xlfn.XLOOKUP(C1833, dd_accsrycalc!$A$2:$A$51, dd_accsrycalc!$E$2:$E$51, "",0), F1833="Drainage Cover", _xlfn.XLOOKUP(C1833, dd_accsrycalc!$A$2:$A$51, dd_accsrycalc!$F$2:$F$51, "",0),AND( F1833="Double Adhesive Tape", I1833="Roll-up Screen"), _xlfn.XLOOKUP(C1833, calc_rusacc!$C$15:$C$65, calc_rusacc!$AD$15:$AD$65, "",0),AND( F1833="Sealant", I1833="Roll-up Screen"), _xlfn.XLOOKUP(C1833, calc_rusacc!$C$15:$C$65, calc_rusacc!$AF$15:$AF$65, "",0),  AND( F1833="Main Chain", I1833="Accordion Screen"), _xlfn.XLOOKUP(C1833, calc_rusacc!$C$15:$C$65, calc_rusacc!$BF$15:$BF$65, "",0), AND( F1833="Sealant", I1833="Accordion Screen"), _xlfn.XLOOKUP(C1833, calc_rusacc!$C$15:$C$65, calc_rusacc!$BJ$15:$BJ$65, "",0),  F1833="Sealant", _xlfn.XLOOKUP(C1833, dd_accsrycalc!$A$2:$A$51, dd_accsrycalc!$G$2:$G$51, "",0),  F1833&lt;&gt;"",L1833*_xlfn.XLOOKUP(1, (SKUs!$C$2:$C$10001=G1833)*(SKUs!$K$2:$K$10001=I1833),SKUs!$E$2:$E$10001)), 0),"")</f>
        <v/>
      </c>
      <c r="E1833" s="16" t="str">
        <f>_xlfn.XLOOKUP(F1833,dd_item!$B$2:$B$105,dd_item!$C$2:$C$105,"",0)</f>
        <v/>
      </c>
      <c r="F1833" s="16"/>
      <c r="G1833" s="16" cm="1">
        <f t="array" ref="G1833">IFERROR(_xlfn.XLOOKUP(1, (SKUs!$J$2:$J$10001=accsry_unmerged!F1833)*IF(H1833&lt;&gt;"",(SKUs!$L$2:$L$10001=accsry_unmerged!H1833),1)*(SKUs!$K$2:$K$10001=I1833),SKUs!$C$2:$C$10001),"")</f>
        <v>0</v>
      </c>
      <c r="H1833" s="33" cm="1">
        <f t="array" ref="H1833">IFERROR(_xlfn.XLOOKUP(1, (dd_accsryclr!$C$2:$C$1000=accsry_unmerged!F1833)*(dd_accsryclr!$B$2:$B$1000=accsry_unmerged!J1833),dd_accsryclr!$A$2:$A$1000),"")</f>
        <v>0</v>
      </c>
      <c r="I1833" s="16">
        <f>_xlfn.XLOOKUP(C1833,'Project Details'!$C$17:$C$66,'Project Details'!$E$17:$E$66,"",0)</f>
        <v>0</v>
      </c>
      <c r="J1833" s="16">
        <f>_xlfn.XLOOKUP(C1833,'Project Details'!$C$17:$C$66,'Project Details'!$H$17:$H$66,"",0)</f>
        <v>0</v>
      </c>
      <c r="K1833" s="33" t="str">
        <f>IF(AND(_xlfn.XLOOKUP(C1833,'Project Details'!$C$17:$C$66,'Project Details'!$L$17:$L$66,"",0)&gt;550, F1833="Spring-L27cm"),"",SUBSTITUTE(_xlfn.XLOOKUP(G1833,SKUs!$C$2:$C$10001,SKUs!$F$2:$F$10001,"",0), " Accessories",""))</f>
        <v/>
      </c>
      <c r="L1833" s="33">
        <f>_xlfn.XLOOKUP(C1833,'Project Details'!$C$17:$C$66,'Project Details'!$D$17:$D$66,"",0)</f>
        <v>0</v>
      </c>
      <c r="M1833" s="43"/>
    </row>
    <row r="1834" spans="1:13" ht="13.5" customHeight="1" x14ac:dyDescent="0.25">
      <c r="A1834" s="43"/>
      <c r="B1834" s="43"/>
      <c r="C1834" s="35">
        <f t="shared" si="35"/>
        <v>37</v>
      </c>
      <c r="D1834" s="35" t="str" cm="1">
        <f t="array" ref="D1834">IFERROR(ROUNDUP(_xlfn.IFS(F1834="Aluminum Track", _xlfn.XLOOKUP(C1834, dd_accsrycalc!$A$2:$A$51, dd_accsrycalc!$B$2:$B$51, "",0), F1834="10 x 2 1/2 S (Flat)", _xlfn.XLOOKUP(C1834, dd_accsrycalc!$A$2:$A$51, dd_accsrycalc!$C$2:$C$51, "",0), F1834="Tox6", _xlfn.XLOOKUP(C1834, dd_accsrycalc!$A$2:$A$51, dd_accsrycalc!$D$2:$D$51, "",0), F1834="Cover Cap", _xlfn.XLOOKUP(C1834, dd_accsrycalc!$A$2:$A$51, dd_accsrycalc!$E$2:$E$51, "",0), F1834="Drainage Cover", _xlfn.XLOOKUP(C1834, dd_accsrycalc!$A$2:$A$51, dd_accsrycalc!$F$2:$F$51, "",0),AND( F1834="Double Adhesive Tape", I1834="Roll-up Screen"), _xlfn.XLOOKUP(C1834, calc_rusacc!$C$15:$C$65, calc_rusacc!$AD$15:$AD$65, "",0),AND( F1834="Sealant", I1834="Roll-up Screen"), _xlfn.XLOOKUP(C1834, calc_rusacc!$C$15:$C$65, calc_rusacc!$AF$15:$AF$65, "",0),  AND( F1834="Main Chain", I1834="Accordion Screen"), _xlfn.XLOOKUP(C1834, calc_rusacc!$C$15:$C$65, calc_rusacc!$BF$15:$BF$65, "",0), AND( F1834="Sealant", I1834="Accordion Screen"), _xlfn.XLOOKUP(C1834, calc_rusacc!$C$15:$C$65, calc_rusacc!$BJ$15:$BJ$65, "",0),  F1834="Sealant", _xlfn.XLOOKUP(C1834, dd_accsrycalc!$A$2:$A$51, dd_accsrycalc!$G$2:$G$51, "",0),  F1834&lt;&gt;"",L1834*_xlfn.XLOOKUP(1, (SKUs!$C$2:$C$10001=G1834)*(SKUs!$K$2:$K$10001=I1834),SKUs!$E$2:$E$10001)), 0),"")</f>
        <v/>
      </c>
      <c r="E1834" s="35" t="str">
        <f>_xlfn.XLOOKUP(F1834,dd_item!$B$2:$B$105,dd_item!$C$2:$C$105,"",0)</f>
        <v/>
      </c>
      <c r="F1834" s="35"/>
      <c r="G1834" s="35" cm="1">
        <f t="array" ref="G1834">IFERROR(_xlfn.XLOOKUP(1, (SKUs!$J$2:$J$10001=accsry_unmerged!F1834)*IF(H1834&lt;&gt;"",(SKUs!$L$2:$L$10001=accsry_unmerged!H1834),1)*(SKUs!$K$2:$K$10001=I1834),SKUs!$C$2:$C$10001),"")</f>
        <v>0</v>
      </c>
      <c r="H1834" s="36" cm="1">
        <f t="array" ref="H1834">IFERROR(_xlfn.XLOOKUP(1, (dd_accsryclr!$C$2:$C$1000=accsry_unmerged!F1834)*(dd_accsryclr!$B$2:$B$1000=accsry_unmerged!J1834),dd_accsryclr!$A$2:$A$1000),"")</f>
        <v>0</v>
      </c>
      <c r="I1834" s="35">
        <f>_xlfn.XLOOKUP(C1834,'Project Details'!$C$17:$C$66,'Project Details'!$E$17:$E$66,"",0)</f>
        <v>0</v>
      </c>
      <c r="J1834" s="35">
        <f>_xlfn.XLOOKUP(C1834,'Project Details'!$C$17:$C$66,'Project Details'!$H$17:$H$66,"",0)</f>
        <v>0</v>
      </c>
      <c r="K1834" s="36" t="str">
        <f>IF(AND(_xlfn.XLOOKUP(C1834,'Project Details'!$C$17:$C$66,'Project Details'!$L$17:$L$66,"",0)&gt;550, F1834="Spring-L27cm"),"",SUBSTITUTE(_xlfn.XLOOKUP(G1834,SKUs!$C$2:$C$10001,SKUs!$F$2:$F$10001,"",0), " Accessories",""))</f>
        <v/>
      </c>
      <c r="L1834" s="36">
        <f>_xlfn.XLOOKUP(C1834,'Project Details'!$C$17:$C$66,'Project Details'!$D$17:$D$66,"",0)</f>
        <v>0</v>
      </c>
      <c r="M1834" s="43"/>
    </row>
    <row r="1835" spans="1:13" ht="13.5" customHeight="1" x14ac:dyDescent="0.25">
      <c r="A1835" s="43"/>
      <c r="B1835" s="43"/>
      <c r="C1835" s="16">
        <f t="shared" si="35"/>
        <v>37</v>
      </c>
      <c r="D1835" s="16" t="str" cm="1">
        <f t="array" ref="D1835">IFERROR(ROUNDUP(_xlfn.IFS(F1835="Aluminum Track", _xlfn.XLOOKUP(C1835, dd_accsrycalc!$A$2:$A$51, dd_accsrycalc!$B$2:$B$51, "",0), F1835="10 x 2 1/2 S (Flat)", _xlfn.XLOOKUP(C1835, dd_accsrycalc!$A$2:$A$51, dd_accsrycalc!$C$2:$C$51, "",0), F1835="Tox6", _xlfn.XLOOKUP(C1835, dd_accsrycalc!$A$2:$A$51, dd_accsrycalc!$D$2:$D$51, "",0), F1835="Cover Cap", _xlfn.XLOOKUP(C1835, dd_accsrycalc!$A$2:$A$51, dd_accsrycalc!$E$2:$E$51, "",0), F1835="Drainage Cover", _xlfn.XLOOKUP(C1835, dd_accsrycalc!$A$2:$A$51, dd_accsrycalc!$F$2:$F$51, "",0),AND( F1835="Double Adhesive Tape", I1835="Roll-up Screen"), _xlfn.XLOOKUP(C1835, calc_rusacc!$C$15:$C$65, calc_rusacc!$AD$15:$AD$65, "",0),AND( F1835="Sealant", I1835="Roll-up Screen"), _xlfn.XLOOKUP(C1835, calc_rusacc!$C$15:$C$65, calc_rusacc!$AF$15:$AF$65, "",0),  AND( F1835="Main Chain", I1835="Accordion Screen"), _xlfn.XLOOKUP(C1835, calc_rusacc!$C$15:$C$65, calc_rusacc!$BF$15:$BF$65, "",0), AND( F1835="Sealant", I1835="Accordion Screen"), _xlfn.XLOOKUP(C1835, calc_rusacc!$C$15:$C$65, calc_rusacc!$BJ$15:$BJ$65, "",0),  F1835="Sealant", _xlfn.XLOOKUP(C1835, dd_accsrycalc!$A$2:$A$51, dd_accsrycalc!$G$2:$G$51, "",0),  F1835&lt;&gt;"",L1835*_xlfn.XLOOKUP(1, (SKUs!$C$2:$C$10001=G1835)*(SKUs!$K$2:$K$10001=I1835),SKUs!$E$2:$E$10001)), 0),"")</f>
        <v/>
      </c>
      <c r="E1835" s="16" t="str">
        <f>_xlfn.XLOOKUP(F1835,dd_item!$B$2:$B$105,dd_item!$C$2:$C$105,"",0)</f>
        <v/>
      </c>
      <c r="F1835" s="16"/>
      <c r="G1835" s="16" cm="1">
        <f t="array" ref="G1835">IFERROR(_xlfn.XLOOKUP(1, (SKUs!$J$2:$J$10001=accsry_unmerged!F1835)*IF(H1835&lt;&gt;"",(SKUs!$L$2:$L$10001=accsry_unmerged!H1835),1)*(SKUs!$K$2:$K$10001=I1835),SKUs!$C$2:$C$10001),"")</f>
        <v>0</v>
      </c>
      <c r="H1835" s="33" cm="1">
        <f t="array" ref="H1835">IFERROR(_xlfn.XLOOKUP(1, (dd_accsryclr!$C$2:$C$1000=accsry_unmerged!F1835)*(dd_accsryclr!$B$2:$B$1000=accsry_unmerged!J1835),dd_accsryclr!$A$2:$A$1000),"")</f>
        <v>0</v>
      </c>
      <c r="I1835" s="16">
        <f>_xlfn.XLOOKUP(C1835,'Project Details'!$C$17:$C$66,'Project Details'!$E$17:$E$66,"",0)</f>
        <v>0</v>
      </c>
      <c r="J1835" s="16">
        <f>_xlfn.XLOOKUP(C1835,'Project Details'!$C$17:$C$66,'Project Details'!$H$17:$H$66,"",0)</f>
        <v>0</v>
      </c>
      <c r="K1835" s="33" t="str">
        <f>IF(AND(_xlfn.XLOOKUP(C1835,'Project Details'!$C$17:$C$66,'Project Details'!$L$17:$L$66,"",0)&gt;550, F1835="Spring-L27cm"),"",SUBSTITUTE(_xlfn.XLOOKUP(G1835,SKUs!$C$2:$C$10001,SKUs!$F$2:$F$10001,"",0), " Accessories",""))</f>
        <v/>
      </c>
      <c r="L1835" s="33">
        <f>_xlfn.XLOOKUP(C1835,'Project Details'!$C$17:$C$66,'Project Details'!$D$17:$D$66,"",0)</f>
        <v>0</v>
      </c>
      <c r="M1835" s="43"/>
    </row>
    <row r="1836" spans="1:13" ht="13.5" customHeight="1" x14ac:dyDescent="0.25">
      <c r="A1836" s="43"/>
      <c r="B1836" s="43"/>
      <c r="C1836" s="35">
        <f t="shared" si="35"/>
        <v>37</v>
      </c>
      <c r="D1836" s="35" t="str" cm="1">
        <f t="array" ref="D1836">IFERROR(ROUNDUP(_xlfn.IFS(F1836="Aluminum Track", _xlfn.XLOOKUP(C1836, dd_accsrycalc!$A$2:$A$51, dd_accsrycalc!$B$2:$B$51, "",0), F1836="10 x 2 1/2 S (Flat)", _xlfn.XLOOKUP(C1836, dd_accsrycalc!$A$2:$A$51, dd_accsrycalc!$C$2:$C$51, "",0), F1836="Tox6", _xlfn.XLOOKUP(C1836, dd_accsrycalc!$A$2:$A$51, dd_accsrycalc!$D$2:$D$51, "",0), F1836="Cover Cap", _xlfn.XLOOKUP(C1836, dd_accsrycalc!$A$2:$A$51, dd_accsrycalc!$E$2:$E$51, "",0), F1836="Drainage Cover", _xlfn.XLOOKUP(C1836, dd_accsrycalc!$A$2:$A$51, dd_accsrycalc!$F$2:$F$51, "",0),AND( F1836="Double Adhesive Tape", I1836="Roll-up Screen"), _xlfn.XLOOKUP(C1836, calc_rusacc!$C$15:$C$65, calc_rusacc!$AD$15:$AD$65, "",0),AND( F1836="Sealant", I1836="Roll-up Screen"), _xlfn.XLOOKUP(C1836, calc_rusacc!$C$15:$C$65, calc_rusacc!$AF$15:$AF$65, "",0),  AND( F1836="Main Chain", I1836="Accordion Screen"), _xlfn.XLOOKUP(C1836, calc_rusacc!$C$15:$C$65, calc_rusacc!$BF$15:$BF$65, "",0), AND( F1836="Sealant", I1836="Accordion Screen"), _xlfn.XLOOKUP(C1836, calc_rusacc!$C$15:$C$65, calc_rusacc!$BJ$15:$BJ$65, "",0),  F1836="Sealant", _xlfn.XLOOKUP(C1836, dd_accsrycalc!$A$2:$A$51, dd_accsrycalc!$G$2:$G$51, "",0),  F1836&lt;&gt;"",L1836*_xlfn.XLOOKUP(1, (SKUs!$C$2:$C$10001=G1836)*(SKUs!$K$2:$K$10001=I1836),SKUs!$E$2:$E$10001)), 0),"")</f>
        <v/>
      </c>
      <c r="E1836" s="35" t="str">
        <f>_xlfn.XLOOKUP(F1836,dd_item!$B$2:$B$105,dd_item!$C$2:$C$105,"",0)</f>
        <v/>
      </c>
      <c r="F1836" s="35"/>
      <c r="G1836" s="35" cm="1">
        <f t="array" ref="G1836">IFERROR(_xlfn.XLOOKUP(1, (SKUs!$J$2:$J$10001=accsry_unmerged!F1836)*IF(H1836&lt;&gt;"",(SKUs!$L$2:$L$10001=accsry_unmerged!H1836),1)*(SKUs!$K$2:$K$10001=I1836),SKUs!$C$2:$C$10001),"")</f>
        <v>0</v>
      </c>
      <c r="H1836" s="36" cm="1">
        <f t="array" ref="H1836">IFERROR(_xlfn.XLOOKUP(1, (dd_accsryclr!$C$2:$C$1000=accsry_unmerged!F1836)*(dd_accsryclr!$B$2:$B$1000=accsry_unmerged!J1836),dd_accsryclr!$A$2:$A$1000),"")</f>
        <v>0</v>
      </c>
      <c r="I1836" s="35">
        <f>_xlfn.XLOOKUP(C1836,'Project Details'!$C$17:$C$66,'Project Details'!$E$17:$E$66,"",0)</f>
        <v>0</v>
      </c>
      <c r="J1836" s="35">
        <f>_xlfn.XLOOKUP(C1836,'Project Details'!$C$17:$C$66,'Project Details'!$H$17:$H$66,"",0)</f>
        <v>0</v>
      </c>
      <c r="K1836" s="36" t="str">
        <f>IF(AND(_xlfn.XLOOKUP(C1836,'Project Details'!$C$17:$C$66,'Project Details'!$L$17:$L$66,"",0)&gt;550, F1836="Spring-L27cm"),"",SUBSTITUTE(_xlfn.XLOOKUP(G1836,SKUs!$C$2:$C$10001,SKUs!$F$2:$F$10001,"",0), " Accessories",""))</f>
        <v/>
      </c>
      <c r="L1836" s="36">
        <f>_xlfn.XLOOKUP(C1836,'Project Details'!$C$17:$C$66,'Project Details'!$D$17:$D$66,"",0)</f>
        <v>0</v>
      </c>
      <c r="M1836" s="43"/>
    </row>
    <row r="1837" spans="1:13" ht="13.5" customHeight="1" x14ac:dyDescent="0.25">
      <c r="A1837" s="43"/>
      <c r="B1837" s="43"/>
      <c r="C1837" s="16">
        <f t="shared" si="35"/>
        <v>37</v>
      </c>
      <c r="D1837" s="16" t="str" cm="1">
        <f t="array" ref="D1837">IFERROR(ROUNDUP(_xlfn.IFS(F1837="Aluminum Track", _xlfn.XLOOKUP(C1837, dd_accsrycalc!$A$2:$A$51, dd_accsrycalc!$B$2:$B$51, "",0), F1837="10 x 2 1/2 S (Flat)", _xlfn.XLOOKUP(C1837, dd_accsrycalc!$A$2:$A$51, dd_accsrycalc!$C$2:$C$51, "",0), F1837="Tox6", _xlfn.XLOOKUP(C1837, dd_accsrycalc!$A$2:$A$51, dd_accsrycalc!$D$2:$D$51, "",0), F1837="Cover Cap", _xlfn.XLOOKUP(C1837, dd_accsrycalc!$A$2:$A$51, dd_accsrycalc!$E$2:$E$51, "",0), F1837="Drainage Cover", _xlfn.XLOOKUP(C1837, dd_accsrycalc!$A$2:$A$51, dd_accsrycalc!$F$2:$F$51, "",0),AND( F1837="Double Adhesive Tape", I1837="Roll-up Screen"), _xlfn.XLOOKUP(C1837, calc_rusacc!$C$15:$C$65, calc_rusacc!$AD$15:$AD$65, "",0),AND( F1837="Sealant", I1837="Roll-up Screen"), _xlfn.XLOOKUP(C1837, calc_rusacc!$C$15:$C$65, calc_rusacc!$AF$15:$AF$65, "",0),  AND( F1837="Main Chain", I1837="Accordion Screen"), _xlfn.XLOOKUP(C1837, calc_rusacc!$C$15:$C$65, calc_rusacc!$BF$15:$BF$65, "",0), AND( F1837="Sealant", I1837="Accordion Screen"), _xlfn.XLOOKUP(C1837, calc_rusacc!$C$15:$C$65, calc_rusacc!$BJ$15:$BJ$65, "",0),  F1837="Sealant", _xlfn.XLOOKUP(C1837, dd_accsrycalc!$A$2:$A$51, dd_accsrycalc!$G$2:$G$51, "",0),  F1837&lt;&gt;"",L1837*_xlfn.XLOOKUP(1, (SKUs!$C$2:$C$10001=G1837)*(SKUs!$K$2:$K$10001=I1837),SKUs!$E$2:$E$10001)), 0),"")</f>
        <v/>
      </c>
      <c r="E1837" s="16" t="str">
        <f>_xlfn.XLOOKUP(F1837,dd_item!$B$2:$B$105,dd_item!$C$2:$C$105,"",0)</f>
        <v/>
      </c>
      <c r="F1837" s="16"/>
      <c r="G1837" s="16" cm="1">
        <f t="array" ref="G1837">IFERROR(_xlfn.XLOOKUP(1, (SKUs!$J$2:$J$10001=accsry_unmerged!F1837)*IF(H1837&lt;&gt;"",(SKUs!$L$2:$L$10001=accsry_unmerged!H1837),1)*(SKUs!$K$2:$K$10001=I1837),SKUs!$C$2:$C$10001),"")</f>
        <v>0</v>
      </c>
      <c r="H1837" s="33" cm="1">
        <f t="array" ref="H1837">IFERROR(_xlfn.XLOOKUP(1, (dd_accsryclr!$C$2:$C$1000=accsry_unmerged!F1837)*(dd_accsryclr!$B$2:$B$1000=accsry_unmerged!J1837),dd_accsryclr!$A$2:$A$1000),"")</f>
        <v>0</v>
      </c>
      <c r="I1837" s="16">
        <f>_xlfn.XLOOKUP(C1837,'Project Details'!$C$17:$C$66,'Project Details'!$E$17:$E$66,"",0)</f>
        <v>0</v>
      </c>
      <c r="J1837" s="16">
        <f>_xlfn.XLOOKUP(C1837,'Project Details'!$C$17:$C$66,'Project Details'!$H$17:$H$66,"",0)</f>
        <v>0</v>
      </c>
      <c r="K1837" s="33" t="str">
        <f>IF(AND(_xlfn.XLOOKUP(C1837,'Project Details'!$C$17:$C$66,'Project Details'!$L$17:$L$66,"",0)&gt;550, F1837="Spring-L27cm"),"",SUBSTITUTE(_xlfn.XLOOKUP(G1837,SKUs!$C$2:$C$10001,SKUs!$F$2:$F$10001,"",0), " Accessories",""))</f>
        <v/>
      </c>
      <c r="L1837" s="33">
        <f>_xlfn.XLOOKUP(C1837,'Project Details'!$C$17:$C$66,'Project Details'!$D$17:$D$66,"",0)</f>
        <v>0</v>
      </c>
      <c r="M1837" s="43"/>
    </row>
    <row r="1838" spans="1:13" ht="13.5" customHeight="1" x14ac:dyDescent="0.25">
      <c r="A1838" s="43"/>
      <c r="B1838" s="43"/>
      <c r="C1838" s="35">
        <f t="shared" si="35"/>
        <v>37</v>
      </c>
      <c r="D1838" s="35" t="str" cm="1">
        <f t="array" ref="D1838">IFERROR(ROUNDUP(_xlfn.IFS(F1838="Aluminum Track", _xlfn.XLOOKUP(C1838, dd_accsrycalc!$A$2:$A$51, dd_accsrycalc!$B$2:$B$51, "",0), F1838="10 x 2 1/2 S (Flat)", _xlfn.XLOOKUP(C1838, dd_accsrycalc!$A$2:$A$51, dd_accsrycalc!$C$2:$C$51, "",0), F1838="Tox6", _xlfn.XLOOKUP(C1838, dd_accsrycalc!$A$2:$A$51, dd_accsrycalc!$D$2:$D$51, "",0), F1838="Cover Cap", _xlfn.XLOOKUP(C1838, dd_accsrycalc!$A$2:$A$51, dd_accsrycalc!$E$2:$E$51, "",0), F1838="Drainage Cover", _xlfn.XLOOKUP(C1838, dd_accsrycalc!$A$2:$A$51, dd_accsrycalc!$F$2:$F$51, "",0),AND( F1838="Double Adhesive Tape", I1838="Roll-up Screen"), _xlfn.XLOOKUP(C1838, calc_rusacc!$C$15:$C$65, calc_rusacc!$AD$15:$AD$65, "",0),AND( F1838="Sealant", I1838="Roll-up Screen"), _xlfn.XLOOKUP(C1838, calc_rusacc!$C$15:$C$65, calc_rusacc!$AF$15:$AF$65, "",0),  AND( F1838="Main Chain", I1838="Accordion Screen"), _xlfn.XLOOKUP(C1838, calc_rusacc!$C$15:$C$65, calc_rusacc!$BF$15:$BF$65, "",0), AND( F1838="Sealant", I1838="Accordion Screen"), _xlfn.XLOOKUP(C1838, calc_rusacc!$C$15:$C$65, calc_rusacc!$BJ$15:$BJ$65, "",0),  F1838="Sealant", _xlfn.XLOOKUP(C1838, dd_accsrycalc!$A$2:$A$51, dd_accsrycalc!$G$2:$G$51, "",0),  F1838&lt;&gt;"",L1838*_xlfn.XLOOKUP(1, (SKUs!$C$2:$C$10001=G1838)*(SKUs!$K$2:$K$10001=I1838),SKUs!$E$2:$E$10001)), 0),"")</f>
        <v/>
      </c>
      <c r="E1838" s="35" t="str">
        <f>_xlfn.XLOOKUP(F1838,dd_item!$B$2:$B$105,dd_item!$C$2:$C$105,"",0)</f>
        <v/>
      </c>
      <c r="F1838" s="35"/>
      <c r="G1838" s="35" cm="1">
        <f t="array" ref="G1838">IFERROR(_xlfn.XLOOKUP(1, (SKUs!$J$2:$J$10001=accsry_unmerged!F1838)*IF(H1838&lt;&gt;"",(SKUs!$L$2:$L$10001=accsry_unmerged!H1838),1)*(SKUs!$K$2:$K$10001=I1838),SKUs!$C$2:$C$10001),"")</f>
        <v>0</v>
      </c>
      <c r="H1838" s="36" cm="1">
        <f t="array" ref="H1838">IFERROR(_xlfn.XLOOKUP(1, (dd_accsryclr!$C$2:$C$1000=accsry_unmerged!F1838)*(dd_accsryclr!$B$2:$B$1000=accsry_unmerged!J1838),dd_accsryclr!$A$2:$A$1000),"")</f>
        <v>0</v>
      </c>
      <c r="I1838" s="35">
        <f>_xlfn.XLOOKUP(C1838,'Project Details'!$C$17:$C$66,'Project Details'!$E$17:$E$66,"",0)</f>
        <v>0</v>
      </c>
      <c r="J1838" s="35">
        <f>_xlfn.XLOOKUP(C1838,'Project Details'!$C$17:$C$66,'Project Details'!$H$17:$H$66,"",0)</f>
        <v>0</v>
      </c>
      <c r="K1838" s="36" t="str">
        <f>IF(AND(_xlfn.XLOOKUP(C1838,'Project Details'!$C$17:$C$66,'Project Details'!$L$17:$L$66,"",0)&gt;550, F1838="Spring-L27cm"),"",SUBSTITUTE(_xlfn.XLOOKUP(G1838,SKUs!$C$2:$C$10001,SKUs!$F$2:$F$10001,"",0), " Accessories",""))</f>
        <v/>
      </c>
      <c r="L1838" s="36">
        <f>_xlfn.XLOOKUP(C1838,'Project Details'!$C$17:$C$66,'Project Details'!$D$17:$D$66,"",0)</f>
        <v>0</v>
      </c>
      <c r="M1838" s="43"/>
    </row>
    <row r="1839" spans="1:13" ht="13.5" customHeight="1" x14ac:dyDescent="0.25">
      <c r="A1839" s="43"/>
      <c r="B1839" s="43"/>
      <c r="C1839" s="16">
        <f t="shared" si="35"/>
        <v>37</v>
      </c>
      <c r="D1839" s="16" t="str" cm="1">
        <f t="array" ref="D1839">IFERROR(ROUNDUP(_xlfn.IFS(F1839="Aluminum Track", _xlfn.XLOOKUP(C1839, dd_accsrycalc!$A$2:$A$51, dd_accsrycalc!$B$2:$B$51, "",0), F1839="10 x 2 1/2 S (Flat)", _xlfn.XLOOKUP(C1839, dd_accsrycalc!$A$2:$A$51, dd_accsrycalc!$C$2:$C$51, "",0), F1839="Tox6", _xlfn.XLOOKUP(C1839, dd_accsrycalc!$A$2:$A$51, dd_accsrycalc!$D$2:$D$51, "",0), F1839="Cover Cap", _xlfn.XLOOKUP(C1839, dd_accsrycalc!$A$2:$A$51, dd_accsrycalc!$E$2:$E$51, "",0), F1839="Drainage Cover", _xlfn.XLOOKUP(C1839, dd_accsrycalc!$A$2:$A$51, dd_accsrycalc!$F$2:$F$51, "",0),AND( F1839="Double Adhesive Tape", I1839="Roll-up Screen"), _xlfn.XLOOKUP(C1839, calc_rusacc!$C$15:$C$65, calc_rusacc!$AD$15:$AD$65, "",0),AND( F1839="Sealant", I1839="Roll-up Screen"), _xlfn.XLOOKUP(C1839, calc_rusacc!$C$15:$C$65, calc_rusacc!$AF$15:$AF$65, "",0),  AND( F1839="Main Chain", I1839="Accordion Screen"), _xlfn.XLOOKUP(C1839, calc_rusacc!$C$15:$C$65, calc_rusacc!$BF$15:$BF$65, "",0), AND( F1839="Sealant", I1839="Accordion Screen"), _xlfn.XLOOKUP(C1839, calc_rusacc!$C$15:$C$65, calc_rusacc!$BJ$15:$BJ$65, "",0),  F1839="Sealant", _xlfn.XLOOKUP(C1839, dd_accsrycalc!$A$2:$A$51, dd_accsrycalc!$G$2:$G$51, "",0),  F1839&lt;&gt;"",L1839*_xlfn.XLOOKUP(1, (SKUs!$C$2:$C$10001=G1839)*(SKUs!$K$2:$K$10001=I1839),SKUs!$E$2:$E$10001)), 0),"")</f>
        <v/>
      </c>
      <c r="E1839" s="16" t="str">
        <f>_xlfn.XLOOKUP(F1839,dd_item!$B$2:$B$105,dd_item!$C$2:$C$105,"",0)</f>
        <v/>
      </c>
      <c r="F1839" s="16"/>
      <c r="G1839" s="16" cm="1">
        <f t="array" ref="G1839">IFERROR(_xlfn.XLOOKUP(1, (SKUs!$J$2:$J$10001=accsry_unmerged!F1839)*IF(H1839&lt;&gt;"",(SKUs!$L$2:$L$10001=accsry_unmerged!H1839),1)*(SKUs!$K$2:$K$10001=I1839),SKUs!$C$2:$C$10001),"")</f>
        <v>0</v>
      </c>
      <c r="H1839" s="33" cm="1">
        <f t="array" ref="H1839">IFERROR(_xlfn.XLOOKUP(1, (dd_accsryclr!$C$2:$C$1000=accsry_unmerged!F1839)*(dd_accsryclr!$B$2:$B$1000=accsry_unmerged!J1839),dd_accsryclr!$A$2:$A$1000),"")</f>
        <v>0</v>
      </c>
      <c r="I1839" s="16">
        <f>_xlfn.XLOOKUP(C1839,'Project Details'!$C$17:$C$66,'Project Details'!$E$17:$E$66,"",0)</f>
        <v>0</v>
      </c>
      <c r="J1839" s="16">
        <f>_xlfn.XLOOKUP(C1839,'Project Details'!$C$17:$C$66,'Project Details'!$H$17:$H$66,"",0)</f>
        <v>0</v>
      </c>
      <c r="K1839" s="33" t="str">
        <f>IF(AND(_xlfn.XLOOKUP(C1839,'Project Details'!$C$17:$C$66,'Project Details'!$L$17:$L$66,"",0)&gt;550, F1839="Spring-L27cm"),"",SUBSTITUTE(_xlfn.XLOOKUP(G1839,SKUs!$C$2:$C$10001,SKUs!$F$2:$F$10001,"",0), " Accessories",""))</f>
        <v/>
      </c>
      <c r="L1839" s="33">
        <f>_xlfn.XLOOKUP(C1839,'Project Details'!$C$17:$C$66,'Project Details'!$D$17:$D$66,"",0)</f>
        <v>0</v>
      </c>
      <c r="M1839" s="43"/>
    </row>
    <row r="1840" spans="1:13" ht="13.5" customHeight="1" x14ac:dyDescent="0.25">
      <c r="A1840" s="43"/>
      <c r="B1840" s="43"/>
      <c r="C1840" s="35">
        <f t="shared" si="35"/>
        <v>37</v>
      </c>
      <c r="D1840" s="35" t="str" cm="1">
        <f t="array" ref="D1840">IFERROR(ROUNDUP(_xlfn.IFS(F1840="Aluminum Track", _xlfn.XLOOKUP(C1840, dd_accsrycalc!$A$2:$A$51, dd_accsrycalc!$B$2:$B$51, "",0), F1840="10 x 2 1/2 S (Flat)", _xlfn.XLOOKUP(C1840, dd_accsrycalc!$A$2:$A$51, dd_accsrycalc!$C$2:$C$51, "",0), F1840="Tox6", _xlfn.XLOOKUP(C1840, dd_accsrycalc!$A$2:$A$51, dd_accsrycalc!$D$2:$D$51, "",0), F1840="Cover Cap", _xlfn.XLOOKUP(C1840, dd_accsrycalc!$A$2:$A$51, dd_accsrycalc!$E$2:$E$51, "",0), F1840="Drainage Cover", _xlfn.XLOOKUP(C1840, dd_accsrycalc!$A$2:$A$51, dd_accsrycalc!$F$2:$F$51, "",0),AND( F1840="Double Adhesive Tape", I1840="Roll-up Screen"), _xlfn.XLOOKUP(C1840, calc_rusacc!$C$15:$C$65, calc_rusacc!$AD$15:$AD$65, "",0),AND( F1840="Sealant", I1840="Roll-up Screen"), _xlfn.XLOOKUP(C1840, calc_rusacc!$C$15:$C$65, calc_rusacc!$AF$15:$AF$65, "",0),  AND( F1840="Main Chain", I1840="Accordion Screen"), _xlfn.XLOOKUP(C1840, calc_rusacc!$C$15:$C$65, calc_rusacc!$BF$15:$BF$65, "",0), AND( F1840="Sealant", I1840="Accordion Screen"), _xlfn.XLOOKUP(C1840, calc_rusacc!$C$15:$C$65, calc_rusacc!$BJ$15:$BJ$65, "",0),  F1840="Sealant", _xlfn.XLOOKUP(C1840, dd_accsrycalc!$A$2:$A$51, dd_accsrycalc!$G$2:$G$51, "",0),  F1840&lt;&gt;"",L1840*_xlfn.XLOOKUP(1, (SKUs!$C$2:$C$10001=G1840)*(SKUs!$K$2:$K$10001=I1840),SKUs!$E$2:$E$10001)), 0),"")</f>
        <v/>
      </c>
      <c r="E1840" s="35" t="str">
        <f>_xlfn.XLOOKUP(F1840,dd_item!$B$2:$B$105,dd_item!$C$2:$C$105,"",0)</f>
        <v/>
      </c>
      <c r="F1840" s="35"/>
      <c r="G1840" s="35" cm="1">
        <f t="array" ref="G1840">IFERROR(_xlfn.XLOOKUP(1, (SKUs!$J$2:$J$10001=accsry_unmerged!F1840)*IF(H1840&lt;&gt;"",(SKUs!$L$2:$L$10001=accsry_unmerged!H1840),1)*(SKUs!$K$2:$K$10001=I1840),SKUs!$C$2:$C$10001),"")</f>
        <v>0</v>
      </c>
      <c r="H1840" s="36" cm="1">
        <f t="array" ref="H1840">IFERROR(_xlfn.XLOOKUP(1, (dd_accsryclr!$C$2:$C$1000=accsry_unmerged!F1840)*(dd_accsryclr!$B$2:$B$1000=accsry_unmerged!J1840),dd_accsryclr!$A$2:$A$1000),"")</f>
        <v>0</v>
      </c>
      <c r="I1840" s="35">
        <f>_xlfn.XLOOKUP(C1840,'Project Details'!$C$17:$C$66,'Project Details'!$E$17:$E$66,"",0)</f>
        <v>0</v>
      </c>
      <c r="J1840" s="35">
        <f>_xlfn.XLOOKUP(C1840,'Project Details'!$C$17:$C$66,'Project Details'!$H$17:$H$66,"",0)</f>
        <v>0</v>
      </c>
      <c r="K1840" s="36" t="str">
        <f>IF(AND(_xlfn.XLOOKUP(C1840,'Project Details'!$C$17:$C$66,'Project Details'!$L$17:$L$66,"",0)&gt;550, F1840="Spring-L27cm"),"",SUBSTITUTE(_xlfn.XLOOKUP(G1840,SKUs!$C$2:$C$10001,SKUs!$F$2:$F$10001,"",0), " Accessories",""))</f>
        <v/>
      </c>
      <c r="L1840" s="36">
        <f>_xlfn.XLOOKUP(C1840,'Project Details'!$C$17:$C$66,'Project Details'!$D$17:$D$66,"",0)</f>
        <v>0</v>
      </c>
      <c r="M1840" s="43"/>
    </row>
    <row r="1841" spans="1:13" ht="13.5" customHeight="1" x14ac:dyDescent="0.25">
      <c r="A1841" s="43"/>
      <c r="B1841" s="43"/>
      <c r="C1841" s="16">
        <f t="shared" si="35"/>
        <v>37</v>
      </c>
      <c r="D1841" s="16" t="str" cm="1">
        <f t="array" ref="D1841">IFERROR(ROUNDUP(_xlfn.IFS(F1841="Aluminum Track", _xlfn.XLOOKUP(C1841, dd_accsrycalc!$A$2:$A$51, dd_accsrycalc!$B$2:$B$51, "",0), F1841="10 x 2 1/2 S (Flat)", _xlfn.XLOOKUP(C1841, dd_accsrycalc!$A$2:$A$51, dd_accsrycalc!$C$2:$C$51, "",0), F1841="Tox6", _xlfn.XLOOKUP(C1841, dd_accsrycalc!$A$2:$A$51, dd_accsrycalc!$D$2:$D$51, "",0), F1841="Cover Cap", _xlfn.XLOOKUP(C1841, dd_accsrycalc!$A$2:$A$51, dd_accsrycalc!$E$2:$E$51, "",0), F1841="Drainage Cover", _xlfn.XLOOKUP(C1841, dd_accsrycalc!$A$2:$A$51, dd_accsrycalc!$F$2:$F$51, "",0),AND( F1841="Double Adhesive Tape", I1841="Roll-up Screen"), _xlfn.XLOOKUP(C1841, calc_rusacc!$C$15:$C$65, calc_rusacc!$AD$15:$AD$65, "",0),AND( F1841="Sealant", I1841="Roll-up Screen"), _xlfn.XLOOKUP(C1841, calc_rusacc!$C$15:$C$65, calc_rusacc!$AF$15:$AF$65, "",0),  AND( F1841="Main Chain", I1841="Accordion Screen"), _xlfn.XLOOKUP(C1841, calc_rusacc!$C$15:$C$65, calc_rusacc!$BF$15:$BF$65, "",0), AND( F1841="Sealant", I1841="Accordion Screen"), _xlfn.XLOOKUP(C1841, calc_rusacc!$C$15:$C$65, calc_rusacc!$BJ$15:$BJ$65, "",0),  F1841="Sealant", _xlfn.XLOOKUP(C1841, dd_accsrycalc!$A$2:$A$51, dd_accsrycalc!$G$2:$G$51, "",0),  F1841&lt;&gt;"",L1841*_xlfn.XLOOKUP(1, (SKUs!$C$2:$C$10001=G1841)*(SKUs!$K$2:$K$10001=I1841),SKUs!$E$2:$E$10001)), 0),"")</f>
        <v/>
      </c>
      <c r="E1841" s="16" t="str">
        <f>_xlfn.XLOOKUP(F1841,dd_item!$B$2:$B$105,dd_item!$C$2:$C$105,"",0)</f>
        <v/>
      </c>
      <c r="F1841" s="16"/>
      <c r="G1841" s="16" cm="1">
        <f t="array" ref="G1841">IFERROR(_xlfn.XLOOKUP(1, (SKUs!$J$2:$J$10001=accsry_unmerged!F1841)*IF(H1841&lt;&gt;"",(SKUs!$L$2:$L$10001=accsry_unmerged!H1841),1)*(SKUs!$K$2:$K$10001=I1841),SKUs!$C$2:$C$10001),"")</f>
        <v>0</v>
      </c>
      <c r="H1841" s="33" cm="1">
        <f t="array" ref="H1841">IFERROR(_xlfn.XLOOKUP(1, (dd_accsryclr!$C$2:$C$1000=accsry_unmerged!F1841)*(dd_accsryclr!$B$2:$B$1000=accsry_unmerged!J1841),dd_accsryclr!$A$2:$A$1000),"")</f>
        <v>0</v>
      </c>
      <c r="I1841" s="16">
        <f>_xlfn.XLOOKUP(C1841,'Project Details'!$C$17:$C$66,'Project Details'!$E$17:$E$66,"",0)</f>
        <v>0</v>
      </c>
      <c r="J1841" s="16">
        <f>_xlfn.XLOOKUP(C1841,'Project Details'!$C$17:$C$66,'Project Details'!$H$17:$H$66,"",0)</f>
        <v>0</v>
      </c>
      <c r="K1841" s="33" t="str">
        <f>IF(AND(_xlfn.XLOOKUP(C1841,'Project Details'!$C$17:$C$66,'Project Details'!$L$17:$L$66,"",0)&gt;550, F1841="Spring-L27cm"),"",SUBSTITUTE(_xlfn.XLOOKUP(G1841,SKUs!$C$2:$C$10001,SKUs!$F$2:$F$10001,"",0), " Accessories",""))</f>
        <v/>
      </c>
      <c r="L1841" s="33">
        <f>_xlfn.XLOOKUP(C1841,'Project Details'!$C$17:$C$66,'Project Details'!$D$17:$D$66,"",0)</f>
        <v>0</v>
      </c>
      <c r="M1841" s="43"/>
    </row>
    <row r="1842" spans="1:13" ht="13.5" customHeight="1" x14ac:dyDescent="0.25">
      <c r="A1842" s="43"/>
      <c r="B1842" s="43"/>
      <c r="C1842" s="35">
        <f t="shared" si="35"/>
        <v>37</v>
      </c>
      <c r="D1842" s="35" t="str" cm="1">
        <f t="array" ref="D1842">IFERROR(ROUNDUP(_xlfn.IFS(F1842="Aluminum Track", _xlfn.XLOOKUP(C1842, dd_accsrycalc!$A$2:$A$51, dd_accsrycalc!$B$2:$B$51, "",0), F1842="10 x 2 1/2 S (Flat)", _xlfn.XLOOKUP(C1842, dd_accsrycalc!$A$2:$A$51, dd_accsrycalc!$C$2:$C$51, "",0), F1842="Tox6", _xlfn.XLOOKUP(C1842, dd_accsrycalc!$A$2:$A$51, dd_accsrycalc!$D$2:$D$51, "",0), F1842="Cover Cap", _xlfn.XLOOKUP(C1842, dd_accsrycalc!$A$2:$A$51, dd_accsrycalc!$E$2:$E$51, "",0), F1842="Drainage Cover", _xlfn.XLOOKUP(C1842, dd_accsrycalc!$A$2:$A$51, dd_accsrycalc!$F$2:$F$51, "",0),AND( F1842="Double Adhesive Tape", I1842="Roll-up Screen"), _xlfn.XLOOKUP(C1842, calc_rusacc!$C$15:$C$65, calc_rusacc!$AD$15:$AD$65, "",0),AND( F1842="Sealant", I1842="Roll-up Screen"), _xlfn.XLOOKUP(C1842, calc_rusacc!$C$15:$C$65, calc_rusacc!$AF$15:$AF$65, "",0),  AND( F1842="Main Chain", I1842="Accordion Screen"), _xlfn.XLOOKUP(C1842, calc_rusacc!$C$15:$C$65, calc_rusacc!$BF$15:$BF$65, "",0), AND( F1842="Sealant", I1842="Accordion Screen"), _xlfn.XLOOKUP(C1842, calc_rusacc!$C$15:$C$65, calc_rusacc!$BJ$15:$BJ$65, "",0),  F1842="Sealant", _xlfn.XLOOKUP(C1842, dd_accsrycalc!$A$2:$A$51, dd_accsrycalc!$G$2:$G$51, "",0),  F1842&lt;&gt;"",L1842*_xlfn.XLOOKUP(1, (SKUs!$C$2:$C$10001=G1842)*(SKUs!$K$2:$K$10001=I1842),SKUs!$E$2:$E$10001)), 0),"")</f>
        <v/>
      </c>
      <c r="E1842" s="35" t="str">
        <f>_xlfn.XLOOKUP(F1842,dd_item!$B$2:$B$105,dd_item!$C$2:$C$105,"",0)</f>
        <v/>
      </c>
      <c r="F1842" s="35"/>
      <c r="G1842" s="35" cm="1">
        <f t="array" ref="G1842">IFERROR(_xlfn.XLOOKUP(1, (SKUs!$J$2:$J$10001=accsry_unmerged!F1842)*IF(H1842&lt;&gt;"",(SKUs!$L$2:$L$10001=accsry_unmerged!H1842),1)*(SKUs!$K$2:$K$10001=I1842),SKUs!$C$2:$C$10001),"")</f>
        <v>0</v>
      </c>
      <c r="H1842" s="36" cm="1">
        <f t="array" ref="H1842">IFERROR(_xlfn.XLOOKUP(1, (dd_accsryclr!$C$2:$C$1000=accsry_unmerged!F1842)*(dd_accsryclr!$B$2:$B$1000=accsry_unmerged!J1842),dd_accsryclr!$A$2:$A$1000),"")</f>
        <v>0</v>
      </c>
      <c r="I1842" s="35">
        <f>_xlfn.XLOOKUP(C1842,'Project Details'!$C$17:$C$66,'Project Details'!$E$17:$E$66,"",0)</f>
        <v>0</v>
      </c>
      <c r="J1842" s="35">
        <f>_xlfn.XLOOKUP(C1842,'Project Details'!$C$17:$C$66,'Project Details'!$H$17:$H$66,"",0)</f>
        <v>0</v>
      </c>
      <c r="K1842" s="36" t="str">
        <f>IF(AND(_xlfn.XLOOKUP(C1842,'Project Details'!$C$17:$C$66,'Project Details'!$L$17:$L$66,"",0)&gt;550, F1842="Spring-L27cm"),"",SUBSTITUTE(_xlfn.XLOOKUP(G1842,SKUs!$C$2:$C$10001,SKUs!$F$2:$F$10001,"",0), " Accessories",""))</f>
        <v/>
      </c>
      <c r="L1842" s="36">
        <f>_xlfn.XLOOKUP(C1842,'Project Details'!$C$17:$C$66,'Project Details'!$D$17:$D$66,"",0)</f>
        <v>0</v>
      </c>
      <c r="M1842" s="43"/>
    </row>
    <row r="1843" spans="1:13" ht="13.5" customHeight="1" x14ac:dyDescent="0.25">
      <c r="A1843" s="43"/>
      <c r="B1843" s="43"/>
      <c r="C1843" s="16">
        <f t="shared" si="35"/>
        <v>37</v>
      </c>
      <c r="D1843" s="16" t="str" cm="1">
        <f t="array" ref="D1843">IFERROR(ROUNDUP(_xlfn.IFS(F1843="Aluminum Track", _xlfn.XLOOKUP(C1843, dd_accsrycalc!$A$2:$A$51, dd_accsrycalc!$B$2:$B$51, "",0), F1843="10 x 2 1/2 S (Flat)", _xlfn.XLOOKUP(C1843, dd_accsrycalc!$A$2:$A$51, dd_accsrycalc!$C$2:$C$51, "",0), F1843="Tox6", _xlfn.XLOOKUP(C1843, dd_accsrycalc!$A$2:$A$51, dd_accsrycalc!$D$2:$D$51, "",0), F1843="Cover Cap", _xlfn.XLOOKUP(C1843, dd_accsrycalc!$A$2:$A$51, dd_accsrycalc!$E$2:$E$51, "",0), F1843="Drainage Cover", _xlfn.XLOOKUP(C1843, dd_accsrycalc!$A$2:$A$51, dd_accsrycalc!$F$2:$F$51, "",0),AND( F1843="Double Adhesive Tape", I1843="Roll-up Screen"), _xlfn.XLOOKUP(C1843, calc_rusacc!$C$15:$C$65, calc_rusacc!$AD$15:$AD$65, "",0),AND( F1843="Sealant", I1843="Roll-up Screen"), _xlfn.XLOOKUP(C1843, calc_rusacc!$C$15:$C$65, calc_rusacc!$AF$15:$AF$65, "",0),  AND( F1843="Main Chain", I1843="Accordion Screen"), _xlfn.XLOOKUP(C1843, calc_rusacc!$C$15:$C$65, calc_rusacc!$BF$15:$BF$65, "",0), AND( F1843="Sealant", I1843="Accordion Screen"), _xlfn.XLOOKUP(C1843, calc_rusacc!$C$15:$C$65, calc_rusacc!$BJ$15:$BJ$65, "",0),  F1843="Sealant", _xlfn.XLOOKUP(C1843, dd_accsrycalc!$A$2:$A$51, dd_accsrycalc!$G$2:$G$51, "",0),  F1843&lt;&gt;"",L1843*_xlfn.XLOOKUP(1, (SKUs!$C$2:$C$10001=G1843)*(SKUs!$K$2:$K$10001=I1843),SKUs!$E$2:$E$10001)), 0),"")</f>
        <v/>
      </c>
      <c r="E1843" s="16" t="str">
        <f>_xlfn.XLOOKUP(F1843,dd_item!$B$2:$B$105,dd_item!$C$2:$C$105,"",0)</f>
        <v/>
      </c>
      <c r="F1843" s="16"/>
      <c r="G1843" s="16" cm="1">
        <f t="array" ref="G1843">IFERROR(_xlfn.XLOOKUP(1, (SKUs!$J$2:$J$10001=accsry_unmerged!F1843)*IF(H1843&lt;&gt;"",(SKUs!$L$2:$L$10001=accsry_unmerged!H1843),1)*(SKUs!$K$2:$K$10001=I1843),SKUs!$C$2:$C$10001),"")</f>
        <v>0</v>
      </c>
      <c r="H1843" s="33" cm="1">
        <f t="array" ref="H1843">IFERROR(_xlfn.XLOOKUP(1, (dd_accsryclr!$C$2:$C$1000=accsry_unmerged!F1843)*(dd_accsryclr!$B$2:$B$1000=accsry_unmerged!J1843),dd_accsryclr!$A$2:$A$1000),"")</f>
        <v>0</v>
      </c>
      <c r="I1843" s="16">
        <f>_xlfn.XLOOKUP(C1843,'Project Details'!$C$17:$C$66,'Project Details'!$E$17:$E$66,"",0)</f>
        <v>0</v>
      </c>
      <c r="J1843" s="16">
        <f>_xlfn.XLOOKUP(C1843,'Project Details'!$C$17:$C$66,'Project Details'!$H$17:$H$66,"",0)</f>
        <v>0</v>
      </c>
      <c r="K1843" s="33" t="str">
        <f>IF(AND(_xlfn.XLOOKUP(C1843,'Project Details'!$C$17:$C$66,'Project Details'!$L$17:$L$66,"",0)&gt;550, F1843="Spring-L27cm"),"",SUBSTITUTE(_xlfn.XLOOKUP(G1843,SKUs!$C$2:$C$10001,SKUs!$F$2:$F$10001,"",0), " Accessories",""))</f>
        <v/>
      </c>
      <c r="L1843" s="33">
        <f>_xlfn.XLOOKUP(C1843,'Project Details'!$C$17:$C$66,'Project Details'!$D$17:$D$66,"",0)</f>
        <v>0</v>
      </c>
      <c r="M1843" s="43"/>
    </row>
    <row r="1844" spans="1:13" ht="13.5" customHeight="1" x14ac:dyDescent="0.25">
      <c r="A1844" s="43"/>
      <c r="B1844" s="43"/>
      <c r="C1844" s="35">
        <f t="shared" si="35"/>
        <v>37</v>
      </c>
      <c r="D1844" s="35" t="str" cm="1">
        <f t="array" ref="D1844">IFERROR(ROUNDUP(_xlfn.IFS(F1844="Aluminum Track", _xlfn.XLOOKUP(C1844, dd_accsrycalc!$A$2:$A$51, dd_accsrycalc!$B$2:$B$51, "",0), F1844="10 x 2 1/2 S (Flat)", _xlfn.XLOOKUP(C1844, dd_accsrycalc!$A$2:$A$51, dd_accsrycalc!$C$2:$C$51, "",0), F1844="Tox6", _xlfn.XLOOKUP(C1844, dd_accsrycalc!$A$2:$A$51, dd_accsrycalc!$D$2:$D$51, "",0), F1844="Cover Cap", _xlfn.XLOOKUP(C1844, dd_accsrycalc!$A$2:$A$51, dd_accsrycalc!$E$2:$E$51, "",0), F1844="Drainage Cover", _xlfn.XLOOKUP(C1844, dd_accsrycalc!$A$2:$A$51, dd_accsrycalc!$F$2:$F$51, "",0),AND( F1844="Double Adhesive Tape", I1844="Roll-up Screen"), _xlfn.XLOOKUP(C1844, calc_rusacc!$C$15:$C$65, calc_rusacc!$AD$15:$AD$65, "",0),AND( F1844="Sealant", I1844="Roll-up Screen"), _xlfn.XLOOKUP(C1844, calc_rusacc!$C$15:$C$65, calc_rusacc!$AF$15:$AF$65, "",0),  AND( F1844="Main Chain", I1844="Accordion Screen"), _xlfn.XLOOKUP(C1844, calc_rusacc!$C$15:$C$65, calc_rusacc!$BF$15:$BF$65, "",0), AND( F1844="Sealant", I1844="Accordion Screen"), _xlfn.XLOOKUP(C1844, calc_rusacc!$C$15:$C$65, calc_rusacc!$BJ$15:$BJ$65, "",0),  F1844="Sealant", _xlfn.XLOOKUP(C1844, dd_accsrycalc!$A$2:$A$51, dd_accsrycalc!$G$2:$G$51, "",0),  F1844&lt;&gt;"",L1844*_xlfn.XLOOKUP(1, (SKUs!$C$2:$C$10001=G1844)*(SKUs!$K$2:$K$10001=I1844),SKUs!$E$2:$E$10001)), 0),"")</f>
        <v/>
      </c>
      <c r="E1844" s="35" t="str">
        <f>_xlfn.XLOOKUP(F1844,dd_item!$B$2:$B$105,dd_item!$C$2:$C$105,"",0)</f>
        <v/>
      </c>
      <c r="F1844" s="35"/>
      <c r="G1844" s="35" cm="1">
        <f t="array" ref="G1844">IFERROR(_xlfn.XLOOKUP(1, (SKUs!$J$2:$J$10001=accsry_unmerged!F1844)*IF(H1844&lt;&gt;"",(SKUs!$L$2:$L$10001=accsry_unmerged!H1844),1)*(SKUs!$K$2:$K$10001=I1844),SKUs!$C$2:$C$10001),"")</f>
        <v>0</v>
      </c>
      <c r="H1844" s="36" cm="1">
        <f t="array" ref="H1844">IFERROR(_xlfn.XLOOKUP(1, (dd_accsryclr!$C$2:$C$1000=accsry_unmerged!F1844)*(dd_accsryclr!$B$2:$B$1000=accsry_unmerged!J1844),dd_accsryclr!$A$2:$A$1000),"")</f>
        <v>0</v>
      </c>
      <c r="I1844" s="35">
        <f>_xlfn.XLOOKUP(C1844,'Project Details'!$C$17:$C$66,'Project Details'!$E$17:$E$66,"",0)</f>
        <v>0</v>
      </c>
      <c r="J1844" s="35">
        <f>_xlfn.XLOOKUP(C1844,'Project Details'!$C$17:$C$66,'Project Details'!$H$17:$H$66,"",0)</f>
        <v>0</v>
      </c>
      <c r="K1844" s="36" t="str">
        <f>IF(AND(_xlfn.XLOOKUP(C1844,'Project Details'!$C$17:$C$66,'Project Details'!$L$17:$L$66,"",0)&gt;550, F1844="Spring-L27cm"),"",SUBSTITUTE(_xlfn.XLOOKUP(G1844,SKUs!$C$2:$C$10001,SKUs!$F$2:$F$10001,"",0), " Accessories",""))</f>
        <v/>
      </c>
      <c r="L1844" s="36">
        <f>_xlfn.XLOOKUP(C1844,'Project Details'!$C$17:$C$66,'Project Details'!$D$17:$D$66,"",0)</f>
        <v>0</v>
      </c>
      <c r="M1844" s="43"/>
    </row>
    <row r="1845" spans="1:13" ht="13.5" customHeight="1" outlineLevel="1" x14ac:dyDescent="0.25">
      <c r="A1845" s="43"/>
      <c r="B1845" s="43"/>
      <c r="C1845" s="16">
        <f t="shared" si="35"/>
        <v>37</v>
      </c>
      <c r="D1845" s="16" t="str" cm="1">
        <f t="array" ref="D1845">IFERROR(ROUNDUP(_xlfn.IFS(F1845="Aluminum Track", _xlfn.XLOOKUP(C1845, dd_accsrycalc!$A$2:$A$51, dd_accsrycalc!$B$2:$B$51, "",0), F1845="10 x 2 1/2 S (Flat)", _xlfn.XLOOKUP(C1845, dd_accsrycalc!$A$2:$A$51, dd_accsrycalc!$C$2:$C$51, "",0), F1845="Tox6", _xlfn.XLOOKUP(C1845, dd_accsrycalc!$A$2:$A$51, dd_accsrycalc!$D$2:$D$51, "",0), F1845="Cover Cap", _xlfn.XLOOKUP(C1845, dd_accsrycalc!$A$2:$A$51, dd_accsrycalc!$E$2:$E$51, "",0), F1845="Drainage Cover", _xlfn.XLOOKUP(C1845, dd_accsrycalc!$A$2:$A$51, dd_accsrycalc!$F$2:$F$51, "",0),AND( F1845="Double Adhesive Tape", I1845="Roll-up Screen"), _xlfn.XLOOKUP(C1845, calc_rusacc!$C$15:$C$65, calc_rusacc!$AD$15:$AD$65, "",0),AND( F1845="Sealant", I1845="Roll-up Screen"), _xlfn.XLOOKUP(C1845, calc_rusacc!$C$15:$C$65, calc_rusacc!$AF$15:$AF$65, "",0),  AND( F1845="Main Chain", I1845="Accordion Screen"), _xlfn.XLOOKUP(C1845, calc_rusacc!$C$15:$C$65, calc_rusacc!$BF$15:$BF$65, "",0), AND( F1845="Sealant", I1845="Accordion Screen"), _xlfn.XLOOKUP(C1845, calc_rusacc!$C$15:$C$65, calc_rusacc!$BJ$15:$BJ$65, "",0),  F1845="Sealant", _xlfn.XLOOKUP(C1845, dd_accsrycalc!$A$2:$A$51, dd_accsrycalc!$G$2:$G$51, "",0),  F1845&lt;&gt;"",L1845*_xlfn.XLOOKUP(1, (SKUs!$C$2:$C$10001=G1845)*(SKUs!$K$2:$K$10001=I1845),SKUs!$E$2:$E$10001)), 0),"")</f>
        <v/>
      </c>
      <c r="E1845" s="16" t="str">
        <f>_xlfn.XLOOKUP(F1845,dd_item!$B$2:$B$105,dd_item!$C$2:$C$105,"",0)</f>
        <v/>
      </c>
      <c r="F1845" s="16"/>
      <c r="G1845" s="16" cm="1">
        <f t="array" ref="G1845">IFERROR(_xlfn.XLOOKUP(1, (SKUs!$J$2:$J$10001=accsry_unmerged!F1845)*IF(H1845&lt;&gt;"",(SKUs!$L$2:$L$10001=accsry_unmerged!H1845),1)*(SKUs!$K$2:$K$10001=I1845),SKUs!$C$2:$C$10001),"")</f>
        <v>0</v>
      </c>
      <c r="H1845" s="33" cm="1">
        <f t="array" ref="H1845">IFERROR(_xlfn.XLOOKUP(1, (dd_accsryclr!$C$2:$C$1000=accsry_unmerged!F1845)*(dd_accsryclr!$B$2:$B$1000=accsry_unmerged!J1845),dd_accsryclr!$A$2:$A$1000),"")</f>
        <v>0</v>
      </c>
      <c r="I1845" s="16">
        <f>_xlfn.XLOOKUP(C1845,'Project Details'!$C$17:$C$66,'Project Details'!$E$17:$E$66,"",0)</f>
        <v>0</v>
      </c>
      <c r="J1845" s="16">
        <f>_xlfn.XLOOKUP(C1845,'Project Details'!$C$17:$C$66,'Project Details'!$H$17:$H$66,"",0)</f>
        <v>0</v>
      </c>
      <c r="K1845" s="33" t="str">
        <f>IF(AND(_xlfn.XLOOKUP(C1845,'Project Details'!$C$17:$C$66,'Project Details'!$L$17:$L$66,"",0)&gt;550, F1845="Spring-L27cm"),"",SUBSTITUTE(_xlfn.XLOOKUP(G1845,SKUs!$C$2:$C$10001,SKUs!$F$2:$F$10001,"",0), " Accessories",""))</f>
        <v/>
      </c>
      <c r="L1845" s="33">
        <f>_xlfn.XLOOKUP(C1845,'Project Details'!$C$17:$C$66,'Project Details'!$D$17:$D$66,"",0)</f>
        <v>0</v>
      </c>
      <c r="M1845" s="43"/>
    </row>
    <row r="1846" spans="1:13" ht="13.5" customHeight="1" outlineLevel="1" x14ac:dyDescent="0.25">
      <c r="A1846" s="43"/>
      <c r="B1846" s="43"/>
      <c r="C1846" s="35">
        <f t="shared" si="35"/>
        <v>37</v>
      </c>
      <c r="D1846" s="35" t="str" cm="1">
        <f t="array" ref="D1846">IFERROR(ROUNDUP(_xlfn.IFS(F1846="Aluminum Track", _xlfn.XLOOKUP(C1846, dd_accsrycalc!$A$2:$A$51, dd_accsrycalc!$B$2:$B$51, "",0), F1846="10 x 2 1/2 S (Flat)", _xlfn.XLOOKUP(C1846, dd_accsrycalc!$A$2:$A$51, dd_accsrycalc!$C$2:$C$51, "",0), F1846="Tox6", _xlfn.XLOOKUP(C1846, dd_accsrycalc!$A$2:$A$51, dd_accsrycalc!$D$2:$D$51, "",0), F1846="Cover Cap", _xlfn.XLOOKUP(C1846, dd_accsrycalc!$A$2:$A$51, dd_accsrycalc!$E$2:$E$51, "",0), F1846="Drainage Cover", _xlfn.XLOOKUP(C1846, dd_accsrycalc!$A$2:$A$51, dd_accsrycalc!$F$2:$F$51, "",0),AND( F1846="Double Adhesive Tape", I1846="Roll-up Screen"), _xlfn.XLOOKUP(C1846, calc_rusacc!$C$15:$C$65, calc_rusacc!$AD$15:$AD$65, "",0),AND( F1846="Sealant", I1846="Roll-up Screen"), _xlfn.XLOOKUP(C1846, calc_rusacc!$C$15:$C$65, calc_rusacc!$AF$15:$AF$65, "",0),  AND( F1846="Main Chain", I1846="Accordion Screen"), _xlfn.XLOOKUP(C1846, calc_rusacc!$C$15:$C$65, calc_rusacc!$BF$15:$BF$65, "",0), AND( F1846="Sealant", I1846="Accordion Screen"), _xlfn.XLOOKUP(C1846, calc_rusacc!$C$15:$C$65, calc_rusacc!$BJ$15:$BJ$65, "",0),  F1846="Sealant", _xlfn.XLOOKUP(C1846, dd_accsrycalc!$A$2:$A$51, dd_accsrycalc!$G$2:$G$51, "",0),  F1846&lt;&gt;"",L1846*_xlfn.XLOOKUP(1, (SKUs!$C$2:$C$10001=G1846)*(SKUs!$K$2:$K$10001=I1846),SKUs!$E$2:$E$10001)), 0),"")</f>
        <v/>
      </c>
      <c r="E1846" s="35" t="str">
        <f>_xlfn.XLOOKUP(F1846,dd_item!$B$2:$B$105,dd_item!$C$2:$C$105,"",0)</f>
        <v/>
      </c>
      <c r="F1846" s="35"/>
      <c r="G1846" s="35" cm="1">
        <f t="array" ref="G1846">IFERROR(_xlfn.XLOOKUP(1, (SKUs!$J$2:$J$10001=accsry_unmerged!F1846)*IF(H1846&lt;&gt;"",(SKUs!$L$2:$L$10001=accsry_unmerged!H1846),1)*(SKUs!$K$2:$K$10001=I1846),SKUs!$C$2:$C$10001),"")</f>
        <v>0</v>
      </c>
      <c r="H1846" s="36" cm="1">
        <f t="array" ref="H1846">IFERROR(_xlfn.XLOOKUP(1, (dd_accsryclr!$C$2:$C$1000=accsry_unmerged!F1846)*(dd_accsryclr!$B$2:$B$1000=accsry_unmerged!J1846),dd_accsryclr!$A$2:$A$1000),"")</f>
        <v>0</v>
      </c>
      <c r="I1846" s="35">
        <f>_xlfn.XLOOKUP(C1846,'Project Details'!$C$17:$C$66,'Project Details'!$E$17:$E$66,"",0)</f>
        <v>0</v>
      </c>
      <c r="J1846" s="35">
        <f>_xlfn.XLOOKUP(C1846,'Project Details'!$C$17:$C$66,'Project Details'!$H$17:$H$66,"",0)</f>
        <v>0</v>
      </c>
      <c r="K1846" s="36" t="str">
        <f>IF(AND(_xlfn.XLOOKUP(C1846,'Project Details'!$C$17:$C$66,'Project Details'!$L$17:$L$66,"",0)&gt;550, F1846="Spring-L27cm"),"",SUBSTITUTE(_xlfn.XLOOKUP(G1846,SKUs!$C$2:$C$10001,SKUs!$F$2:$F$10001,"",0), " Accessories",""))</f>
        <v/>
      </c>
      <c r="L1846" s="36">
        <f>_xlfn.XLOOKUP(C1846,'Project Details'!$C$17:$C$66,'Project Details'!$D$17:$D$66,"",0)</f>
        <v>0</v>
      </c>
      <c r="M1846" s="43"/>
    </row>
    <row r="1847" spans="1:13" ht="13.5" customHeight="1" outlineLevel="1" x14ac:dyDescent="0.25">
      <c r="A1847" s="43"/>
      <c r="B1847" s="43"/>
      <c r="C1847" s="16">
        <f t="shared" si="35"/>
        <v>37</v>
      </c>
      <c r="D1847" s="16" t="str" cm="1">
        <f t="array" ref="D1847">IFERROR(ROUNDUP(_xlfn.IFS(F1847="Aluminum Track", _xlfn.XLOOKUP(C1847, dd_accsrycalc!$A$2:$A$51, dd_accsrycalc!$B$2:$B$51, "",0), F1847="10 x 2 1/2 S (Flat)", _xlfn.XLOOKUP(C1847, dd_accsrycalc!$A$2:$A$51, dd_accsrycalc!$C$2:$C$51, "",0), F1847="Tox6", _xlfn.XLOOKUP(C1847, dd_accsrycalc!$A$2:$A$51, dd_accsrycalc!$D$2:$D$51, "",0), F1847="Cover Cap", _xlfn.XLOOKUP(C1847, dd_accsrycalc!$A$2:$A$51, dd_accsrycalc!$E$2:$E$51, "",0), F1847="Drainage Cover", _xlfn.XLOOKUP(C1847, dd_accsrycalc!$A$2:$A$51, dd_accsrycalc!$F$2:$F$51, "",0),AND( F1847="Double Adhesive Tape", I1847="Roll-up Screen"), _xlfn.XLOOKUP(C1847, calc_rusacc!$C$15:$C$65, calc_rusacc!$AD$15:$AD$65, "",0),AND( F1847="Sealant", I1847="Roll-up Screen"), _xlfn.XLOOKUP(C1847, calc_rusacc!$C$15:$C$65, calc_rusacc!$AF$15:$AF$65, "",0),  AND( F1847="Main Chain", I1847="Accordion Screen"), _xlfn.XLOOKUP(C1847, calc_rusacc!$C$15:$C$65, calc_rusacc!$BF$15:$BF$65, "",0), AND( F1847="Sealant", I1847="Accordion Screen"), _xlfn.XLOOKUP(C1847, calc_rusacc!$C$15:$C$65, calc_rusacc!$BJ$15:$BJ$65, "",0),  F1847="Sealant", _xlfn.XLOOKUP(C1847, dd_accsrycalc!$A$2:$A$51, dd_accsrycalc!$G$2:$G$51, "",0),  F1847&lt;&gt;"",L1847*_xlfn.XLOOKUP(1, (SKUs!$C$2:$C$10001=G1847)*(SKUs!$K$2:$K$10001=I1847),SKUs!$E$2:$E$10001)), 0),"")</f>
        <v/>
      </c>
      <c r="E1847" s="16" t="str">
        <f>_xlfn.XLOOKUP(F1847,dd_item!$B$2:$B$105,dd_item!$C$2:$C$105,"",0)</f>
        <v/>
      </c>
      <c r="F1847" s="16"/>
      <c r="G1847" s="16" cm="1">
        <f t="array" ref="G1847">IFERROR(_xlfn.XLOOKUP(1, (SKUs!$J$2:$J$10001=accsry_unmerged!F1847)*IF(H1847&lt;&gt;"",(SKUs!$L$2:$L$10001=accsry_unmerged!H1847),1)*(SKUs!$K$2:$K$10001=I1847),SKUs!$C$2:$C$10001),"")</f>
        <v>0</v>
      </c>
      <c r="H1847" s="33" cm="1">
        <f t="array" ref="H1847">IFERROR(_xlfn.XLOOKUP(1, (dd_accsryclr!$C$2:$C$1000=accsry_unmerged!F1847)*(dd_accsryclr!$B$2:$B$1000=accsry_unmerged!J1847),dd_accsryclr!$A$2:$A$1000),"")</f>
        <v>0</v>
      </c>
      <c r="I1847" s="16">
        <f>_xlfn.XLOOKUP(C1847,'Project Details'!$C$17:$C$66,'Project Details'!$E$17:$E$66,"",0)</f>
        <v>0</v>
      </c>
      <c r="J1847" s="16">
        <f>_xlfn.XLOOKUP(C1847,'Project Details'!$C$17:$C$66,'Project Details'!$H$17:$H$66,"",0)</f>
        <v>0</v>
      </c>
      <c r="K1847" s="33" t="str">
        <f>IF(AND(_xlfn.XLOOKUP(C1847,'Project Details'!$C$17:$C$66,'Project Details'!$L$17:$L$66,"",0)&gt;550, F1847="Spring-L27cm"),"",SUBSTITUTE(_xlfn.XLOOKUP(G1847,SKUs!$C$2:$C$10001,SKUs!$F$2:$F$10001,"",0), " Accessories",""))</f>
        <v/>
      </c>
      <c r="L1847" s="33">
        <f>_xlfn.XLOOKUP(C1847,'Project Details'!$C$17:$C$66,'Project Details'!$D$17:$D$66,"",0)</f>
        <v>0</v>
      </c>
      <c r="M1847" s="43"/>
    </row>
    <row r="1848" spans="1:13" ht="13.5" customHeight="1" outlineLevel="1" x14ac:dyDescent="0.25">
      <c r="A1848" s="43"/>
      <c r="B1848" s="43"/>
      <c r="C1848" s="35">
        <f t="shared" si="35"/>
        <v>37</v>
      </c>
      <c r="D1848" s="35" t="str" cm="1">
        <f t="array" ref="D1848">IFERROR(ROUNDUP(_xlfn.IFS(F1848="Aluminum Track", _xlfn.XLOOKUP(C1848, dd_accsrycalc!$A$2:$A$51, dd_accsrycalc!$B$2:$B$51, "",0), F1848="10 x 2 1/2 S (Flat)", _xlfn.XLOOKUP(C1848, dd_accsrycalc!$A$2:$A$51, dd_accsrycalc!$C$2:$C$51, "",0), F1848="Tox6", _xlfn.XLOOKUP(C1848, dd_accsrycalc!$A$2:$A$51, dd_accsrycalc!$D$2:$D$51, "",0), F1848="Cover Cap", _xlfn.XLOOKUP(C1848, dd_accsrycalc!$A$2:$A$51, dd_accsrycalc!$E$2:$E$51, "",0), F1848="Drainage Cover", _xlfn.XLOOKUP(C1848, dd_accsrycalc!$A$2:$A$51, dd_accsrycalc!$F$2:$F$51, "",0),AND( F1848="Double Adhesive Tape", I1848="Roll-up Screen"), _xlfn.XLOOKUP(C1848, calc_rusacc!$C$15:$C$65, calc_rusacc!$AD$15:$AD$65, "",0),AND( F1848="Sealant", I1848="Roll-up Screen"), _xlfn.XLOOKUP(C1848, calc_rusacc!$C$15:$C$65, calc_rusacc!$AF$15:$AF$65, "",0),  AND( F1848="Main Chain", I1848="Accordion Screen"), _xlfn.XLOOKUP(C1848, calc_rusacc!$C$15:$C$65, calc_rusacc!$BF$15:$BF$65, "",0), AND( F1848="Sealant", I1848="Accordion Screen"), _xlfn.XLOOKUP(C1848, calc_rusacc!$C$15:$C$65, calc_rusacc!$BJ$15:$BJ$65, "",0),  F1848="Sealant", _xlfn.XLOOKUP(C1848, dd_accsrycalc!$A$2:$A$51, dd_accsrycalc!$G$2:$G$51, "",0),  F1848&lt;&gt;"",L1848*_xlfn.XLOOKUP(1, (SKUs!$C$2:$C$10001=G1848)*(SKUs!$K$2:$K$10001=I1848),SKUs!$E$2:$E$10001)), 0),"")</f>
        <v/>
      </c>
      <c r="E1848" s="35" t="str">
        <f>_xlfn.XLOOKUP(F1848,dd_item!$B$2:$B$105,dd_item!$C$2:$C$105,"",0)</f>
        <v/>
      </c>
      <c r="F1848" s="35"/>
      <c r="G1848" s="35" cm="1">
        <f t="array" ref="G1848">IFERROR(_xlfn.XLOOKUP(1, (SKUs!$J$2:$J$10001=accsry_unmerged!F1848)*IF(H1848&lt;&gt;"",(SKUs!$L$2:$L$10001=accsry_unmerged!H1848),1)*(SKUs!$K$2:$K$10001=I1848),SKUs!$C$2:$C$10001),"")</f>
        <v>0</v>
      </c>
      <c r="H1848" s="36" cm="1">
        <f t="array" ref="H1848">IFERROR(_xlfn.XLOOKUP(1, (dd_accsryclr!$C$2:$C$1000=accsry_unmerged!F1848)*(dd_accsryclr!$B$2:$B$1000=accsry_unmerged!J1848),dd_accsryclr!$A$2:$A$1000),"")</f>
        <v>0</v>
      </c>
      <c r="I1848" s="35">
        <f>_xlfn.XLOOKUP(C1848,'Project Details'!$C$17:$C$66,'Project Details'!$E$17:$E$66,"",0)</f>
        <v>0</v>
      </c>
      <c r="J1848" s="35">
        <f>_xlfn.XLOOKUP(C1848,'Project Details'!$C$17:$C$66,'Project Details'!$H$17:$H$66,"",0)</f>
        <v>0</v>
      </c>
      <c r="K1848" s="36" t="str">
        <f>IF(AND(_xlfn.XLOOKUP(C1848,'Project Details'!$C$17:$C$66,'Project Details'!$L$17:$L$66,"",0)&gt;550, F1848="Spring-L27cm"),"",SUBSTITUTE(_xlfn.XLOOKUP(G1848,SKUs!$C$2:$C$10001,SKUs!$F$2:$F$10001,"",0), " Accessories",""))</f>
        <v/>
      </c>
      <c r="L1848" s="36">
        <f>_xlfn.XLOOKUP(C1848,'Project Details'!$C$17:$C$66,'Project Details'!$D$17:$D$66,"",0)</f>
        <v>0</v>
      </c>
      <c r="M1848" s="43"/>
    </row>
    <row r="1849" spans="1:13" ht="13.5" customHeight="1" outlineLevel="1" x14ac:dyDescent="0.25">
      <c r="A1849" s="43"/>
      <c r="B1849" s="43"/>
      <c r="C1849" s="16">
        <f t="shared" si="35"/>
        <v>37</v>
      </c>
      <c r="D1849" s="16" t="str" cm="1">
        <f t="array" ref="D1849">IFERROR(ROUNDUP(_xlfn.IFS(F1849="Aluminum Track", _xlfn.XLOOKUP(C1849, dd_accsrycalc!$A$2:$A$51, dd_accsrycalc!$B$2:$B$51, "",0), F1849="10 x 2 1/2 S (Flat)", _xlfn.XLOOKUP(C1849, dd_accsrycalc!$A$2:$A$51, dd_accsrycalc!$C$2:$C$51, "",0), F1849="Tox6", _xlfn.XLOOKUP(C1849, dd_accsrycalc!$A$2:$A$51, dd_accsrycalc!$D$2:$D$51, "",0), F1849="Cover Cap", _xlfn.XLOOKUP(C1849, dd_accsrycalc!$A$2:$A$51, dd_accsrycalc!$E$2:$E$51, "",0), F1849="Drainage Cover", _xlfn.XLOOKUP(C1849, dd_accsrycalc!$A$2:$A$51, dd_accsrycalc!$F$2:$F$51, "",0),AND( F1849="Double Adhesive Tape", I1849="Roll-up Screen"), _xlfn.XLOOKUP(C1849, calc_rusacc!$C$15:$C$65, calc_rusacc!$AD$15:$AD$65, "",0),AND( F1849="Sealant", I1849="Roll-up Screen"), _xlfn.XLOOKUP(C1849, calc_rusacc!$C$15:$C$65, calc_rusacc!$AF$15:$AF$65, "",0),  AND( F1849="Main Chain", I1849="Accordion Screen"), _xlfn.XLOOKUP(C1849, calc_rusacc!$C$15:$C$65, calc_rusacc!$BF$15:$BF$65, "",0), AND( F1849="Sealant", I1849="Accordion Screen"), _xlfn.XLOOKUP(C1849, calc_rusacc!$C$15:$C$65, calc_rusacc!$BJ$15:$BJ$65, "",0),  F1849="Sealant", _xlfn.XLOOKUP(C1849, dd_accsrycalc!$A$2:$A$51, dd_accsrycalc!$G$2:$G$51, "",0),  F1849&lt;&gt;"",L1849*_xlfn.XLOOKUP(1, (SKUs!$C$2:$C$10001=G1849)*(SKUs!$K$2:$K$10001=I1849),SKUs!$E$2:$E$10001)), 0),"")</f>
        <v/>
      </c>
      <c r="E1849" s="16" t="str">
        <f>_xlfn.XLOOKUP(F1849,dd_item!$B$2:$B$105,dd_item!$C$2:$C$105,"",0)</f>
        <v/>
      </c>
      <c r="F1849" s="16"/>
      <c r="G1849" s="16" cm="1">
        <f t="array" ref="G1849">IFERROR(_xlfn.XLOOKUP(1, (SKUs!$J$2:$J$10001=accsry_unmerged!F1849)*IF(H1849&lt;&gt;"",(SKUs!$L$2:$L$10001=accsry_unmerged!H1849),1)*(SKUs!$K$2:$K$10001=I1849),SKUs!$C$2:$C$10001),"")</f>
        <v>0</v>
      </c>
      <c r="H1849" s="33" cm="1">
        <f t="array" ref="H1849">IFERROR(_xlfn.XLOOKUP(1, (dd_accsryclr!$C$2:$C$1000=accsry_unmerged!F1849)*(dd_accsryclr!$B$2:$B$1000=accsry_unmerged!J1849),dd_accsryclr!$A$2:$A$1000),"")</f>
        <v>0</v>
      </c>
      <c r="I1849" s="16">
        <f>_xlfn.XLOOKUP(C1849,'Project Details'!$C$17:$C$66,'Project Details'!$E$17:$E$66,"",0)</f>
        <v>0</v>
      </c>
      <c r="J1849" s="16">
        <f>_xlfn.XLOOKUP(C1849,'Project Details'!$C$17:$C$66,'Project Details'!$H$17:$H$66,"",0)</f>
        <v>0</v>
      </c>
      <c r="K1849" s="33" t="str">
        <f>IF(AND(_xlfn.XLOOKUP(C1849,'Project Details'!$C$17:$C$66,'Project Details'!$L$17:$L$66,"",0)&gt;550, F1849="Spring-L27cm"),"",SUBSTITUTE(_xlfn.XLOOKUP(G1849,SKUs!$C$2:$C$10001,SKUs!$F$2:$F$10001,"",0), " Accessories",""))</f>
        <v/>
      </c>
      <c r="L1849" s="33">
        <f>_xlfn.XLOOKUP(C1849,'Project Details'!$C$17:$C$66,'Project Details'!$D$17:$D$66,"",0)</f>
        <v>0</v>
      </c>
      <c r="M1849" s="43"/>
    </row>
    <row r="1850" spans="1:13" ht="13.5" customHeight="1" outlineLevel="1" x14ac:dyDescent="0.25">
      <c r="A1850" s="43"/>
      <c r="B1850" s="43"/>
      <c r="C1850" s="35">
        <f t="shared" si="35"/>
        <v>37</v>
      </c>
      <c r="D1850" s="35" t="str" cm="1">
        <f t="array" ref="D1850">IFERROR(ROUNDUP(_xlfn.IFS(F1850="Aluminum Track", _xlfn.XLOOKUP(C1850, dd_accsrycalc!$A$2:$A$51, dd_accsrycalc!$B$2:$B$51, "",0), F1850="10 x 2 1/2 S (Flat)", _xlfn.XLOOKUP(C1850, dd_accsrycalc!$A$2:$A$51, dd_accsrycalc!$C$2:$C$51, "",0), F1850="Tox6", _xlfn.XLOOKUP(C1850, dd_accsrycalc!$A$2:$A$51, dd_accsrycalc!$D$2:$D$51, "",0), F1850="Cover Cap", _xlfn.XLOOKUP(C1850, dd_accsrycalc!$A$2:$A$51, dd_accsrycalc!$E$2:$E$51, "",0), F1850="Drainage Cover", _xlfn.XLOOKUP(C1850, dd_accsrycalc!$A$2:$A$51, dd_accsrycalc!$F$2:$F$51, "",0),AND( F1850="Double Adhesive Tape", I1850="Roll-up Screen"), _xlfn.XLOOKUP(C1850, calc_rusacc!$C$15:$C$65, calc_rusacc!$AD$15:$AD$65, "",0),AND( F1850="Sealant", I1850="Roll-up Screen"), _xlfn.XLOOKUP(C1850, calc_rusacc!$C$15:$C$65, calc_rusacc!$AF$15:$AF$65, "",0),  AND( F1850="Main Chain", I1850="Accordion Screen"), _xlfn.XLOOKUP(C1850, calc_rusacc!$C$15:$C$65, calc_rusacc!$BF$15:$BF$65, "",0), AND( F1850="Sealant", I1850="Accordion Screen"), _xlfn.XLOOKUP(C1850, calc_rusacc!$C$15:$C$65, calc_rusacc!$BJ$15:$BJ$65, "",0),  F1850="Sealant", _xlfn.XLOOKUP(C1850, dd_accsrycalc!$A$2:$A$51, dd_accsrycalc!$G$2:$G$51, "",0),  F1850&lt;&gt;"",L1850*_xlfn.XLOOKUP(1, (SKUs!$C$2:$C$10001=G1850)*(SKUs!$K$2:$K$10001=I1850),SKUs!$E$2:$E$10001)), 0),"")</f>
        <v/>
      </c>
      <c r="E1850" s="35" t="str">
        <f>_xlfn.XLOOKUP(F1850,dd_item!$B$2:$B$105,dd_item!$C$2:$C$105,"",0)</f>
        <v/>
      </c>
      <c r="F1850" s="35"/>
      <c r="G1850" s="35" cm="1">
        <f t="array" ref="G1850">IFERROR(_xlfn.XLOOKUP(1, (SKUs!$J$2:$J$10001=accsry_unmerged!F1850)*IF(H1850&lt;&gt;"",(SKUs!$L$2:$L$10001=accsry_unmerged!H1850),1)*(SKUs!$K$2:$K$10001=I1850),SKUs!$C$2:$C$10001),"")</f>
        <v>0</v>
      </c>
      <c r="H1850" s="36" cm="1">
        <f t="array" ref="H1850">IFERROR(_xlfn.XLOOKUP(1, (dd_accsryclr!$C$2:$C$1000=accsry_unmerged!F1850)*(dd_accsryclr!$B$2:$B$1000=accsry_unmerged!J1850),dd_accsryclr!$A$2:$A$1000),"")</f>
        <v>0</v>
      </c>
      <c r="I1850" s="35">
        <f>_xlfn.XLOOKUP(C1850,'Project Details'!$C$17:$C$66,'Project Details'!$E$17:$E$66,"",0)</f>
        <v>0</v>
      </c>
      <c r="J1850" s="35">
        <f>_xlfn.XLOOKUP(C1850,'Project Details'!$C$17:$C$66,'Project Details'!$H$17:$H$66,"",0)</f>
        <v>0</v>
      </c>
      <c r="K1850" s="36" t="str">
        <f>IF(AND(_xlfn.XLOOKUP(C1850,'Project Details'!$C$17:$C$66,'Project Details'!$L$17:$L$66,"",0)&gt;550, F1850="Spring-L27cm"),"",SUBSTITUTE(_xlfn.XLOOKUP(G1850,SKUs!$C$2:$C$10001,SKUs!$F$2:$F$10001,"",0), " Accessories",""))</f>
        <v/>
      </c>
      <c r="L1850" s="36">
        <f>_xlfn.XLOOKUP(C1850,'Project Details'!$C$17:$C$66,'Project Details'!$D$17:$D$66,"",0)</f>
        <v>0</v>
      </c>
      <c r="M1850" s="43"/>
    </row>
    <row r="1851" spans="1:13" ht="13.5" customHeight="1" outlineLevel="1" x14ac:dyDescent="0.25">
      <c r="A1851" s="43"/>
      <c r="B1851" s="43"/>
      <c r="C1851" s="16">
        <f t="shared" si="35"/>
        <v>37</v>
      </c>
      <c r="D1851" s="16" t="str" cm="1">
        <f t="array" ref="D1851">IFERROR(ROUNDUP(_xlfn.IFS(F1851="Aluminum Track", _xlfn.XLOOKUP(C1851, dd_accsrycalc!$A$2:$A$51, dd_accsrycalc!$B$2:$B$51, "",0), F1851="10 x 2 1/2 S (Flat)", _xlfn.XLOOKUP(C1851, dd_accsrycalc!$A$2:$A$51, dd_accsrycalc!$C$2:$C$51, "",0), F1851="Tox6", _xlfn.XLOOKUP(C1851, dd_accsrycalc!$A$2:$A$51, dd_accsrycalc!$D$2:$D$51, "",0), F1851="Cover Cap", _xlfn.XLOOKUP(C1851, dd_accsrycalc!$A$2:$A$51, dd_accsrycalc!$E$2:$E$51, "",0), F1851="Drainage Cover", _xlfn.XLOOKUP(C1851, dd_accsrycalc!$A$2:$A$51, dd_accsrycalc!$F$2:$F$51, "",0),AND( F1851="Double Adhesive Tape", I1851="Roll-up Screen"), _xlfn.XLOOKUP(C1851, calc_rusacc!$C$15:$C$65, calc_rusacc!$AD$15:$AD$65, "",0),AND( F1851="Sealant", I1851="Roll-up Screen"), _xlfn.XLOOKUP(C1851, calc_rusacc!$C$15:$C$65, calc_rusacc!$AF$15:$AF$65, "",0),  AND( F1851="Main Chain", I1851="Accordion Screen"), _xlfn.XLOOKUP(C1851, calc_rusacc!$C$15:$C$65, calc_rusacc!$BF$15:$BF$65, "",0), AND( F1851="Sealant", I1851="Accordion Screen"), _xlfn.XLOOKUP(C1851, calc_rusacc!$C$15:$C$65, calc_rusacc!$BJ$15:$BJ$65, "",0),  F1851="Sealant", _xlfn.XLOOKUP(C1851, dd_accsrycalc!$A$2:$A$51, dd_accsrycalc!$G$2:$G$51, "",0),  F1851&lt;&gt;"",L1851*_xlfn.XLOOKUP(1, (SKUs!$C$2:$C$10001=G1851)*(SKUs!$K$2:$K$10001=I1851),SKUs!$E$2:$E$10001)), 0),"")</f>
        <v/>
      </c>
      <c r="E1851" s="16" t="str">
        <f>_xlfn.XLOOKUP(F1851,dd_item!$B$2:$B$105,dd_item!$C$2:$C$105,"",0)</f>
        <v/>
      </c>
      <c r="F1851" s="16"/>
      <c r="G1851" s="16" cm="1">
        <f t="array" ref="G1851">IFERROR(_xlfn.XLOOKUP(1, (SKUs!$J$2:$J$10001=accsry_unmerged!F1851)*IF(H1851&lt;&gt;"",(SKUs!$L$2:$L$10001=accsry_unmerged!H1851),1)*(SKUs!$K$2:$K$10001=I1851),SKUs!$C$2:$C$10001),"")</f>
        <v>0</v>
      </c>
      <c r="H1851" s="33" cm="1">
        <f t="array" ref="H1851">IFERROR(_xlfn.XLOOKUP(1, (dd_accsryclr!$C$2:$C$1000=accsry_unmerged!F1851)*(dd_accsryclr!$B$2:$B$1000=accsry_unmerged!J1851),dd_accsryclr!$A$2:$A$1000),"")</f>
        <v>0</v>
      </c>
      <c r="I1851" s="16">
        <f>_xlfn.XLOOKUP(C1851,'Project Details'!$C$17:$C$66,'Project Details'!$E$17:$E$66,"",0)</f>
        <v>0</v>
      </c>
      <c r="J1851" s="16">
        <f>_xlfn.XLOOKUP(C1851,'Project Details'!$C$17:$C$66,'Project Details'!$H$17:$H$66,"",0)</f>
        <v>0</v>
      </c>
      <c r="K1851" s="33" t="str">
        <f>IF(AND(_xlfn.XLOOKUP(C1851,'Project Details'!$C$17:$C$66,'Project Details'!$L$17:$L$66,"",0)&gt;550, F1851="Spring-L27cm"),"",SUBSTITUTE(_xlfn.XLOOKUP(G1851,SKUs!$C$2:$C$10001,SKUs!$F$2:$F$10001,"",0), " Accessories",""))</f>
        <v/>
      </c>
      <c r="L1851" s="33">
        <f>_xlfn.XLOOKUP(C1851,'Project Details'!$C$17:$C$66,'Project Details'!$D$17:$D$66,"",0)</f>
        <v>0</v>
      </c>
      <c r="M1851" s="43"/>
    </row>
    <row r="1852" spans="1:13" ht="13.5" customHeight="1" outlineLevel="1" x14ac:dyDescent="0.25">
      <c r="A1852" s="43"/>
      <c r="B1852" s="43"/>
      <c r="C1852" s="35">
        <f t="shared" si="35"/>
        <v>37</v>
      </c>
      <c r="D1852" s="35" t="str" cm="1">
        <f t="array" ref="D1852">IFERROR(ROUNDUP(_xlfn.IFS(F1852="Aluminum Track", _xlfn.XLOOKUP(C1852, dd_accsrycalc!$A$2:$A$51, dd_accsrycalc!$B$2:$B$51, "",0), F1852="10 x 2 1/2 S (Flat)", _xlfn.XLOOKUP(C1852, dd_accsrycalc!$A$2:$A$51, dd_accsrycalc!$C$2:$C$51, "",0), F1852="Tox6", _xlfn.XLOOKUP(C1852, dd_accsrycalc!$A$2:$A$51, dd_accsrycalc!$D$2:$D$51, "",0), F1852="Cover Cap", _xlfn.XLOOKUP(C1852, dd_accsrycalc!$A$2:$A$51, dd_accsrycalc!$E$2:$E$51, "",0), F1852="Drainage Cover", _xlfn.XLOOKUP(C1852, dd_accsrycalc!$A$2:$A$51, dd_accsrycalc!$F$2:$F$51, "",0),AND( F1852="Double Adhesive Tape", I1852="Roll-up Screen"), _xlfn.XLOOKUP(C1852, calc_rusacc!$C$15:$C$65, calc_rusacc!$AD$15:$AD$65, "",0),AND( F1852="Sealant", I1852="Roll-up Screen"), _xlfn.XLOOKUP(C1852, calc_rusacc!$C$15:$C$65, calc_rusacc!$AF$15:$AF$65, "",0),  AND( F1852="Main Chain", I1852="Accordion Screen"), _xlfn.XLOOKUP(C1852, calc_rusacc!$C$15:$C$65, calc_rusacc!$BF$15:$BF$65, "",0), AND( F1852="Sealant", I1852="Accordion Screen"), _xlfn.XLOOKUP(C1852, calc_rusacc!$C$15:$C$65, calc_rusacc!$BJ$15:$BJ$65, "",0),  F1852="Sealant", _xlfn.XLOOKUP(C1852, dd_accsrycalc!$A$2:$A$51, dd_accsrycalc!$G$2:$G$51, "",0),  F1852&lt;&gt;"",L1852*_xlfn.XLOOKUP(1, (SKUs!$C$2:$C$10001=G1852)*(SKUs!$K$2:$K$10001=I1852),SKUs!$E$2:$E$10001)), 0),"")</f>
        <v/>
      </c>
      <c r="E1852" s="35" t="str">
        <f>_xlfn.XLOOKUP(F1852,dd_item!$B$2:$B$105,dd_item!$C$2:$C$105,"",0)</f>
        <v/>
      </c>
      <c r="F1852" s="35"/>
      <c r="G1852" s="35" cm="1">
        <f t="array" ref="G1852">IFERROR(_xlfn.XLOOKUP(1, (SKUs!$J$2:$J$10001=accsry_unmerged!F1852)*IF(H1852&lt;&gt;"",(SKUs!$L$2:$L$10001=accsry_unmerged!H1852),1)*(SKUs!$K$2:$K$10001=I1852),SKUs!$C$2:$C$10001),"")</f>
        <v>0</v>
      </c>
      <c r="H1852" s="36" cm="1">
        <f t="array" ref="H1852">IFERROR(_xlfn.XLOOKUP(1, (dd_accsryclr!$C$2:$C$1000=accsry_unmerged!F1852)*(dd_accsryclr!$B$2:$B$1000=accsry_unmerged!J1852),dd_accsryclr!$A$2:$A$1000),"")</f>
        <v>0</v>
      </c>
      <c r="I1852" s="35">
        <f>_xlfn.XLOOKUP(C1852,'Project Details'!$C$17:$C$66,'Project Details'!$E$17:$E$66,"",0)</f>
        <v>0</v>
      </c>
      <c r="J1852" s="35">
        <f>_xlfn.XLOOKUP(C1852,'Project Details'!$C$17:$C$66,'Project Details'!$H$17:$H$66,"",0)</f>
        <v>0</v>
      </c>
      <c r="K1852" s="36" t="str">
        <f>IF(AND(_xlfn.XLOOKUP(C1852,'Project Details'!$C$17:$C$66,'Project Details'!$L$17:$L$66,"",0)&gt;550, F1852="Spring-L27cm"),"",SUBSTITUTE(_xlfn.XLOOKUP(G1852,SKUs!$C$2:$C$10001,SKUs!$F$2:$F$10001,"",0), " Accessories",""))</f>
        <v/>
      </c>
      <c r="L1852" s="36">
        <f>_xlfn.XLOOKUP(C1852,'Project Details'!$C$17:$C$66,'Project Details'!$D$17:$D$66,"",0)</f>
        <v>0</v>
      </c>
      <c r="M1852" s="43"/>
    </row>
    <row r="1853" spans="1:13" ht="13.5" customHeight="1" outlineLevel="1" x14ac:dyDescent="0.25">
      <c r="A1853" s="43"/>
      <c r="B1853" s="43"/>
      <c r="C1853" s="16">
        <f t="shared" si="35"/>
        <v>37</v>
      </c>
      <c r="D1853" s="16" t="str" cm="1">
        <f t="array" ref="D1853">IFERROR(ROUNDUP(_xlfn.IFS(F1853="Aluminum Track", _xlfn.XLOOKUP(C1853, dd_accsrycalc!$A$2:$A$51, dd_accsrycalc!$B$2:$B$51, "",0), F1853="10 x 2 1/2 S (Flat)", _xlfn.XLOOKUP(C1853, dd_accsrycalc!$A$2:$A$51, dd_accsrycalc!$C$2:$C$51, "",0), F1853="Tox6", _xlfn.XLOOKUP(C1853, dd_accsrycalc!$A$2:$A$51, dd_accsrycalc!$D$2:$D$51, "",0), F1853="Cover Cap", _xlfn.XLOOKUP(C1853, dd_accsrycalc!$A$2:$A$51, dd_accsrycalc!$E$2:$E$51, "",0), F1853="Drainage Cover", _xlfn.XLOOKUP(C1853, dd_accsrycalc!$A$2:$A$51, dd_accsrycalc!$F$2:$F$51, "",0),AND( F1853="Double Adhesive Tape", I1853="Roll-up Screen"), _xlfn.XLOOKUP(C1853, calc_rusacc!$C$15:$C$65, calc_rusacc!$AD$15:$AD$65, "",0),AND( F1853="Sealant", I1853="Roll-up Screen"), _xlfn.XLOOKUP(C1853, calc_rusacc!$C$15:$C$65, calc_rusacc!$AF$15:$AF$65, "",0),  AND( F1853="Main Chain", I1853="Accordion Screen"), _xlfn.XLOOKUP(C1853, calc_rusacc!$C$15:$C$65, calc_rusacc!$BF$15:$BF$65, "",0), AND( F1853="Sealant", I1853="Accordion Screen"), _xlfn.XLOOKUP(C1853, calc_rusacc!$C$15:$C$65, calc_rusacc!$BJ$15:$BJ$65, "",0),  F1853="Sealant", _xlfn.XLOOKUP(C1853, dd_accsrycalc!$A$2:$A$51, dd_accsrycalc!$G$2:$G$51, "",0),  F1853&lt;&gt;"",L1853*_xlfn.XLOOKUP(1, (SKUs!$C$2:$C$10001=G1853)*(SKUs!$K$2:$K$10001=I1853),SKUs!$E$2:$E$10001)), 0),"")</f>
        <v/>
      </c>
      <c r="E1853" s="16" t="str">
        <f>_xlfn.XLOOKUP(F1853,dd_item!$B$2:$B$105,dd_item!$C$2:$C$105,"",0)</f>
        <v/>
      </c>
      <c r="F1853" s="16"/>
      <c r="G1853" s="16" cm="1">
        <f t="array" ref="G1853">IFERROR(_xlfn.XLOOKUP(1, (SKUs!$J$2:$J$10001=accsry_unmerged!F1853)*IF(H1853&lt;&gt;"",(SKUs!$L$2:$L$10001=accsry_unmerged!H1853),1)*(SKUs!$K$2:$K$10001=I1853),SKUs!$C$2:$C$10001),"")</f>
        <v>0</v>
      </c>
      <c r="H1853" s="33" cm="1">
        <f t="array" ref="H1853">IFERROR(_xlfn.XLOOKUP(1, (dd_accsryclr!$C$2:$C$1000=accsry_unmerged!F1853)*(dd_accsryclr!$B$2:$B$1000=accsry_unmerged!J1853),dd_accsryclr!$A$2:$A$1000),"")</f>
        <v>0</v>
      </c>
      <c r="I1853" s="16">
        <f>_xlfn.XLOOKUP(C1853,'Project Details'!$C$17:$C$66,'Project Details'!$E$17:$E$66,"",0)</f>
        <v>0</v>
      </c>
      <c r="J1853" s="16">
        <f>_xlfn.XLOOKUP(C1853,'Project Details'!$C$17:$C$66,'Project Details'!$H$17:$H$66,"",0)</f>
        <v>0</v>
      </c>
      <c r="K1853" s="33" t="str">
        <f>IF(AND(_xlfn.XLOOKUP(C1853,'Project Details'!$C$17:$C$66,'Project Details'!$L$17:$L$66,"",0)&gt;550, F1853="Spring-L27cm"),"",SUBSTITUTE(_xlfn.XLOOKUP(G1853,SKUs!$C$2:$C$10001,SKUs!$F$2:$F$10001,"",0), " Accessories",""))</f>
        <v/>
      </c>
      <c r="L1853" s="33">
        <f>_xlfn.XLOOKUP(C1853,'Project Details'!$C$17:$C$66,'Project Details'!$D$17:$D$66,"",0)</f>
        <v>0</v>
      </c>
      <c r="M1853" s="43"/>
    </row>
    <row r="1854" spans="1:13" ht="13.5" customHeight="1" outlineLevel="1" x14ac:dyDescent="0.25">
      <c r="A1854" s="43"/>
      <c r="B1854" s="43"/>
      <c r="C1854" s="35">
        <f t="shared" si="35"/>
        <v>37</v>
      </c>
      <c r="D1854" s="35" t="str" cm="1">
        <f t="array" ref="D1854">IFERROR(ROUNDUP(_xlfn.IFS(F1854="Aluminum Track", _xlfn.XLOOKUP(C1854, dd_accsrycalc!$A$2:$A$51, dd_accsrycalc!$B$2:$B$51, "",0), F1854="10 x 2 1/2 S (Flat)", _xlfn.XLOOKUP(C1854, dd_accsrycalc!$A$2:$A$51, dd_accsrycalc!$C$2:$C$51, "",0), F1854="Tox6", _xlfn.XLOOKUP(C1854, dd_accsrycalc!$A$2:$A$51, dd_accsrycalc!$D$2:$D$51, "",0), F1854="Cover Cap", _xlfn.XLOOKUP(C1854, dd_accsrycalc!$A$2:$A$51, dd_accsrycalc!$E$2:$E$51, "",0), F1854="Drainage Cover", _xlfn.XLOOKUP(C1854, dd_accsrycalc!$A$2:$A$51, dd_accsrycalc!$F$2:$F$51, "",0),AND( F1854="Double Adhesive Tape", I1854="Roll-up Screen"), _xlfn.XLOOKUP(C1854, calc_rusacc!$C$15:$C$65, calc_rusacc!$AD$15:$AD$65, "",0),AND( F1854="Sealant", I1854="Roll-up Screen"), _xlfn.XLOOKUP(C1854, calc_rusacc!$C$15:$C$65, calc_rusacc!$AF$15:$AF$65, "",0),  AND( F1854="Main Chain", I1854="Accordion Screen"), _xlfn.XLOOKUP(C1854, calc_rusacc!$C$15:$C$65, calc_rusacc!$BF$15:$BF$65, "",0), AND( F1854="Sealant", I1854="Accordion Screen"), _xlfn.XLOOKUP(C1854, calc_rusacc!$C$15:$C$65, calc_rusacc!$BJ$15:$BJ$65, "",0),  F1854="Sealant", _xlfn.XLOOKUP(C1854, dd_accsrycalc!$A$2:$A$51, dd_accsrycalc!$G$2:$G$51, "",0),  F1854&lt;&gt;"",L1854*_xlfn.XLOOKUP(1, (SKUs!$C$2:$C$10001=G1854)*(SKUs!$K$2:$K$10001=I1854),SKUs!$E$2:$E$10001)), 0),"")</f>
        <v/>
      </c>
      <c r="E1854" s="35" t="str">
        <f>_xlfn.XLOOKUP(F1854,dd_item!$B$2:$B$105,dd_item!$C$2:$C$105,"",0)</f>
        <v/>
      </c>
      <c r="F1854" s="35"/>
      <c r="G1854" s="35" cm="1">
        <f t="array" ref="G1854">IFERROR(_xlfn.XLOOKUP(1, (SKUs!$J$2:$J$10001=accsry_unmerged!F1854)*IF(H1854&lt;&gt;"",(SKUs!$L$2:$L$10001=accsry_unmerged!H1854),1)*(SKUs!$K$2:$K$10001=I1854),SKUs!$C$2:$C$10001),"")</f>
        <v>0</v>
      </c>
      <c r="H1854" s="36" cm="1">
        <f t="array" ref="H1854">IFERROR(_xlfn.XLOOKUP(1, (dd_accsryclr!$C$2:$C$1000=accsry_unmerged!F1854)*(dd_accsryclr!$B$2:$B$1000=accsry_unmerged!J1854),dd_accsryclr!$A$2:$A$1000),"")</f>
        <v>0</v>
      </c>
      <c r="I1854" s="35">
        <f>_xlfn.XLOOKUP(C1854,'Project Details'!$C$17:$C$66,'Project Details'!$E$17:$E$66,"",0)</f>
        <v>0</v>
      </c>
      <c r="J1854" s="35">
        <f>_xlfn.XLOOKUP(C1854,'Project Details'!$C$17:$C$66,'Project Details'!$H$17:$H$66,"",0)</f>
        <v>0</v>
      </c>
      <c r="K1854" s="36" t="str">
        <f>IF(AND(_xlfn.XLOOKUP(C1854,'Project Details'!$C$17:$C$66,'Project Details'!$L$17:$L$66,"",0)&gt;550, F1854="Spring-L27cm"),"",SUBSTITUTE(_xlfn.XLOOKUP(G1854,SKUs!$C$2:$C$10001,SKUs!$F$2:$F$10001,"",0), " Accessories",""))</f>
        <v/>
      </c>
      <c r="L1854" s="36">
        <f>_xlfn.XLOOKUP(C1854,'Project Details'!$C$17:$C$66,'Project Details'!$D$17:$D$66,"",0)</f>
        <v>0</v>
      </c>
      <c r="M1854" s="43"/>
    </row>
    <row r="1855" spans="1:13" ht="13.5" customHeight="1" outlineLevel="1" collapsed="1" x14ac:dyDescent="0.25">
      <c r="A1855" s="43"/>
      <c r="B1855" s="43"/>
      <c r="C1855" s="16">
        <f t="shared" si="35"/>
        <v>37</v>
      </c>
      <c r="D1855" s="16" t="str" cm="1">
        <f t="array" ref="D1855">IFERROR(ROUNDUP(_xlfn.IFS(F1855="Aluminum Track", _xlfn.XLOOKUP(C1855, dd_accsrycalc!$A$2:$A$51, dd_accsrycalc!$B$2:$B$51, "",0), F1855="10 x 2 1/2 S (Flat)", _xlfn.XLOOKUP(C1855, dd_accsrycalc!$A$2:$A$51, dd_accsrycalc!$C$2:$C$51, "",0), F1855="Tox6", _xlfn.XLOOKUP(C1855, dd_accsrycalc!$A$2:$A$51, dd_accsrycalc!$D$2:$D$51, "",0), F1855="Cover Cap", _xlfn.XLOOKUP(C1855, dd_accsrycalc!$A$2:$A$51, dd_accsrycalc!$E$2:$E$51, "",0), F1855="Drainage Cover", _xlfn.XLOOKUP(C1855, dd_accsrycalc!$A$2:$A$51, dd_accsrycalc!$F$2:$F$51, "",0),AND( F1855="Double Adhesive Tape", I1855="Roll-up Screen"), _xlfn.XLOOKUP(C1855, calc_rusacc!$C$15:$C$65, calc_rusacc!$AD$15:$AD$65, "",0),AND( F1855="Sealant", I1855="Roll-up Screen"), _xlfn.XLOOKUP(C1855, calc_rusacc!$C$15:$C$65, calc_rusacc!$AF$15:$AF$65, "",0),  AND( F1855="Main Chain", I1855="Accordion Screen"), _xlfn.XLOOKUP(C1855, calc_rusacc!$C$15:$C$65, calc_rusacc!$BF$15:$BF$65, "",0), AND( F1855="Sealant", I1855="Accordion Screen"), _xlfn.XLOOKUP(C1855, calc_rusacc!$C$15:$C$65, calc_rusacc!$BJ$15:$BJ$65, "",0),  F1855="Sealant", _xlfn.XLOOKUP(C1855, dd_accsrycalc!$A$2:$A$51, dd_accsrycalc!$G$2:$G$51, "",0),  F1855&lt;&gt;"",L1855*_xlfn.XLOOKUP(1, (SKUs!$C$2:$C$10001=G1855)*(SKUs!$K$2:$K$10001=I1855),SKUs!$E$2:$E$10001)), 0),"")</f>
        <v/>
      </c>
      <c r="E1855" s="16" t="str">
        <f>_xlfn.XLOOKUP(F1855,dd_item!$B$2:$B$105,dd_item!$C$2:$C$105,"",0)</f>
        <v/>
      </c>
      <c r="F1855" s="16"/>
      <c r="G1855" s="16" cm="1">
        <f t="array" ref="G1855">IFERROR(_xlfn.XLOOKUP(1, (SKUs!$J$2:$J$10001=accsry_unmerged!F1855)*IF(H1855&lt;&gt;"",(SKUs!$L$2:$L$10001=accsry_unmerged!H1855),1)*(SKUs!$K$2:$K$10001=I1855),SKUs!$C$2:$C$10001),"")</f>
        <v>0</v>
      </c>
      <c r="H1855" s="33" cm="1">
        <f t="array" ref="H1855">IFERROR(_xlfn.XLOOKUP(1, (dd_accsryclr!$C$2:$C$1000=accsry_unmerged!F1855)*(dd_accsryclr!$B$2:$B$1000=accsry_unmerged!J1855),dd_accsryclr!$A$2:$A$1000),"")</f>
        <v>0</v>
      </c>
      <c r="I1855" s="16">
        <f>_xlfn.XLOOKUP(C1855,'Project Details'!$C$17:$C$66,'Project Details'!$E$17:$E$66,"",0)</f>
        <v>0</v>
      </c>
      <c r="J1855" s="16">
        <f>_xlfn.XLOOKUP(C1855,'Project Details'!$C$17:$C$66,'Project Details'!$H$17:$H$66,"",0)</f>
        <v>0</v>
      </c>
      <c r="K1855" s="33" t="str">
        <f>IF(AND(_xlfn.XLOOKUP(C1855,'Project Details'!$C$17:$C$66,'Project Details'!$L$17:$L$66,"",0)&gt;550, F1855="Spring-L27cm"),"",SUBSTITUTE(_xlfn.XLOOKUP(G1855,SKUs!$C$2:$C$10001,SKUs!$F$2:$F$10001,"",0), " Accessories",""))</f>
        <v/>
      </c>
      <c r="L1855" s="33">
        <f>_xlfn.XLOOKUP(C1855,'Project Details'!$C$17:$C$66,'Project Details'!$D$17:$D$66,"",0)</f>
        <v>0</v>
      </c>
      <c r="M1855" s="43"/>
    </row>
    <row r="1856" spans="1:13" ht="13.5" customHeight="1" outlineLevel="1" x14ac:dyDescent="0.25">
      <c r="A1856" s="43"/>
      <c r="B1856" s="43"/>
      <c r="C1856" s="35">
        <f t="shared" si="35"/>
        <v>37</v>
      </c>
      <c r="D1856" s="35" t="str" cm="1">
        <f t="array" ref="D1856">IFERROR(ROUNDUP(_xlfn.IFS(F1856="Aluminum Track", _xlfn.XLOOKUP(C1856, dd_accsrycalc!$A$2:$A$51, dd_accsrycalc!$B$2:$B$51, "",0), F1856="10 x 2 1/2 S (Flat)", _xlfn.XLOOKUP(C1856, dd_accsrycalc!$A$2:$A$51, dd_accsrycalc!$C$2:$C$51, "",0), F1856="Tox6", _xlfn.XLOOKUP(C1856, dd_accsrycalc!$A$2:$A$51, dd_accsrycalc!$D$2:$D$51, "",0), F1856="Cover Cap", _xlfn.XLOOKUP(C1856, dd_accsrycalc!$A$2:$A$51, dd_accsrycalc!$E$2:$E$51, "",0), F1856="Drainage Cover", _xlfn.XLOOKUP(C1856, dd_accsrycalc!$A$2:$A$51, dd_accsrycalc!$F$2:$F$51, "",0),AND( F1856="Double Adhesive Tape", I1856="Roll-up Screen"), _xlfn.XLOOKUP(C1856, calc_rusacc!$C$15:$C$65, calc_rusacc!$AD$15:$AD$65, "",0),AND( F1856="Sealant", I1856="Roll-up Screen"), _xlfn.XLOOKUP(C1856, calc_rusacc!$C$15:$C$65, calc_rusacc!$AF$15:$AF$65, "",0),  AND( F1856="Main Chain", I1856="Accordion Screen"), _xlfn.XLOOKUP(C1856, calc_rusacc!$C$15:$C$65, calc_rusacc!$BF$15:$BF$65, "",0), AND( F1856="Sealant", I1856="Accordion Screen"), _xlfn.XLOOKUP(C1856, calc_rusacc!$C$15:$C$65, calc_rusacc!$BJ$15:$BJ$65, "",0),  F1856="Sealant", _xlfn.XLOOKUP(C1856, dd_accsrycalc!$A$2:$A$51, dd_accsrycalc!$G$2:$G$51, "",0),  F1856&lt;&gt;"",L1856*_xlfn.XLOOKUP(1, (SKUs!$C$2:$C$10001=G1856)*(SKUs!$K$2:$K$10001=I1856),SKUs!$E$2:$E$10001)), 0),"")</f>
        <v/>
      </c>
      <c r="E1856" s="35" t="str">
        <f>_xlfn.XLOOKUP(F1856,dd_item!$B$2:$B$105,dd_item!$C$2:$C$105,"",0)</f>
        <v/>
      </c>
      <c r="F1856" s="35"/>
      <c r="G1856" s="35" cm="1">
        <f t="array" ref="G1856">IFERROR(_xlfn.XLOOKUP(1, (SKUs!$J$2:$J$10001=accsry_unmerged!F1856)*IF(H1856&lt;&gt;"",(SKUs!$L$2:$L$10001=accsry_unmerged!H1856),1)*(SKUs!$K$2:$K$10001=I1856),SKUs!$C$2:$C$10001),"")</f>
        <v>0</v>
      </c>
      <c r="H1856" s="36" cm="1">
        <f t="array" ref="H1856">IFERROR(_xlfn.XLOOKUP(1, (dd_accsryclr!$C$2:$C$1000=accsry_unmerged!F1856)*(dd_accsryclr!$B$2:$B$1000=accsry_unmerged!J1856),dd_accsryclr!$A$2:$A$1000),"")</f>
        <v>0</v>
      </c>
      <c r="I1856" s="35">
        <f>_xlfn.XLOOKUP(C1856,'Project Details'!$C$17:$C$66,'Project Details'!$E$17:$E$66,"",0)</f>
        <v>0</v>
      </c>
      <c r="J1856" s="35">
        <f>_xlfn.XLOOKUP(C1856,'Project Details'!$C$17:$C$66,'Project Details'!$H$17:$H$66,"",0)</f>
        <v>0</v>
      </c>
      <c r="K1856" s="36" t="str">
        <f>IF(AND(_xlfn.XLOOKUP(C1856,'Project Details'!$C$17:$C$66,'Project Details'!$L$17:$L$66,"",0)&gt;550, F1856="Spring-L27cm"),"",SUBSTITUTE(_xlfn.XLOOKUP(G1856,SKUs!$C$2:$C$10001,SKUs!$F$2:$F$10001,"",0), " Accessories",""))</f>
        <v/>
      </c>
      <c r="L1856" s="36">
        <f>_xlfn.XLOOKUP(C1856,'Project Details'!$C$17:$C$66,'Project Details'!$D$17:$D$66,"",0)</f>
        <v>0</v>
      </c>
      <c r="M1856" s="43"/>
    </row>
    <row r="1857" spans="1:13" ht="13.5" customHeight="1" outlineLevel="1" x14ac:dyDescent="0.25">
      <c r="A1857" s="43"/>
      <c r="B1857" s="43"/>
      <c r="C1857" s="16">
        <f t="shared" si="35"/>
        <v>37</v>
      </c>
      <c r="D1857" s="16" t="str" cm="1">
        <f t="array" ref="D1857">IFERROR(ROUNDUP(_xlfn.IFS(F1857="Aluminum Track", _xlfn.XLOOKUP(C1857, dd_accsrycalc!$A$2:$A$51, dd_accsrycalc!$B$2:$B$51, "",0), F1857="10 x 2 1/2 S (Flat)", _xlfn.XLOOKUP(C1857, dd_accsrycalc!$A$2:$A$51, dd_accsrycalc!$C$2:$C$51, "",0), F1857="Tox6", _xlfn.XLOOKUP(C1857, dd_accsrycalc!$A$2:$A$51, dd_accsrycalc!$D$2:$D$51, "",0), F1857="Cover Cap", _xlfn.XLOOKUP(C1857, dd_accsrycalc!$A$2:$A$51, dd_accsrycalc!$E$2:$E$51, "",0), F1857="Drainage Cover", _xlfn.XLOOKUP(C1857, dd_accsrycalc!$A$2:$A$51, dd_accsrycalc!$F$2:$F$51, "",0),AND( F1857="Double Adhesive Tape", I1857="Roll-up Screen"), _xlfn.XLOOKUP(C1857, calc_rusacc!$C$15:$C$65, calc_rusacc!$AD$15:$AD$65, "",0),AND( F1857="Sealant", I1857="Roll-up Screen"), _xlfn.XLOOKUP(C1857, calc_rusacc!$C$15:$C$65, calc_rusacc!$AF$15:$AF$65, "",0),  AND( F1857="Main Chain", I1857="Accordion Screen"), _xlfn.XLOOKUP(C1857, calc_rusacc!$C$15:$C$65, calc_rusacc!$BF$15:$BF$65, "",0), AND( F1857="Sealant", I1857="Accordion Screen"), _xlfn.XLOOKUP(C1857, calc_rusacc!$C$15:$C$65, calc_rusacc!$BJ$15:$BJ$65, "",0),  F1857="Sealant", _xlfn.XLOOKUP(C1857, dd_accsrycalc!$A$2:$A$51, dd_accsrycalc!$G$2:$G$51, "",0),  F1857&lt;&gt;"",L1857*_xlfn.XLOOKUP(1, (SKUs!$C$2:$C$10001=G1857)*(SKUs!$K$2:$K$10001=I1857),SKUs!$E$2:$E$10001)), 0),"")</f>
        <v/>
      </c>
      <c r="E1857" s="16" t="str">
        <f>_xlfn.XLOOKUP(F1857,dd_item!$B$2:$B$105,dd_item!$C$2:$C$105,"",0)</f>
        <v/>
      </c>
      <c r="F1857" s="16"/>
      <c r="G1857" s="16" cm="1">
        <f t="array" ref="G1857">IFERROR(_xlfn.XLOOKUP(1, (SKUs!$J$2:$J$10001=accsry_unmerged!F1857)*IF(H1857&lt;&gt;"",(SKUs!$L$2:$L$10001=accsry_unmerged!H1857),1)*(SKUs!$K$2:$K$10001=I1857),SKUs!$C$2:$C$10001),"")</f>
        <v>0</v>
      </c>
      <c r="H1857" s="33" cm="1">
        <f t="array" ref="H1857">IFERROR(_xlfn.XLOOKUP(1, (dd_accsryclr!$C$2:$C$1000=accsry_unmerged!F1857)*(dd_accsryclr!$B$2:$B$1000=accsry_unmerged!J1857),dd_accsryclr!$A$2:$A$1000),"")</f>
        <v>0</v>
      </c>
      <c r="I1857" s="16">
        <f>_xlfn.XLOOKUP(C1857,'Project Details'!$C$17:$C$66,'Project Details'!$E$17:$E$66,"",0)</f>
        <v>0</v>
      </c>
      <c r="J1857" s="16">
        <f>_xlfn.XLOOKUP(C1857,'Project Details'!$C$17:$C$66,'Project Details'!$H$17:$H$66,"",0)</f>
        <v>0</v>
      </c>
      <c r="K1857" s="33" t="str">
        <f>IF(AND(_xlfn.XLOOKUP(C1857,'Project Details'!$C$17:$C$66,'Project Details'!$L$17:$L$66,"",0)&gt;550, F1857="Spring-L27cm"),"",SUBSTITUTE(_xlfn.XLOOKUP(G1857,SKUs!$C$2:$C$10001,SKUs!$F$2:$F$10001,"",0), " Accessories",""))</f>
        <v/>
      </c>
      <c r="L1857" s="33">
        <f>_xlfn.XLOOKUP(C1857,'Project Details'!$C$17:$C$66,'Project Details'!$D$17:$D$66,"",0)</f>
        <v>0</v>
      </c>
      <c r="M1857" s="43"/>
    </row>
    <row r="1858" spans="1:13" ht="13.5" customHeight="1" outlineLevel="1" x14ac:dyDescent="0.25">
      <c r="A1858" s="43"/>
      <c r="B1858" s="43"/>
      <c r="C1858" s="35">
        <f t="shared" si="35"/>
        <v>37</v>
      </c>
      <c r="D1858" s="35" t="str" cm="1">
        <f t="array" ref="D1858">IFERROR(ROUNDUP(_xlfn.IFS(F1858="Aluminum Track", _xlfn.XLOOKUP(C1858, dd_accsrycalc!$A$2:$A$51, dd_accsrycalc!$B$2:$B$51, "",0), F1858="10 x 2 1/2 S (Flat)", _xlfn.XLOOKUP(C1858, dd_accsrycalc!$A$2:$A$51, dd_accsrycalc!$C$2:$C$51, "",0), F1858="Tox6", _xlfn.XLOOKUP(C1858, dd_accsrycalc!$A$2:$A$51, dd_accsrycalc!$D$2:$D$51, "",0), F1858="Cover Cap", _xlfn.XLOOKUP(C1858, dd_accsrycalc!$A$2:$A$51, dd_accsrycalc!$E$2:$E$51, "",0), F1858="Drainage Cover", _xlfn.XLOOKUP(C1858, dd_accsrycalc!$A$2:$A$51, dd_accsrycalc!$F$2:$F$51, "",0),AND( F1858="Double Adhesive Tape", I1858="Roll-up Screen"), _xlfn.XLOOKUP(C1858, calc_rusacc!$C$15:$C$65, calc_rusacc!$AD$15:$AD$65, "",0),AND( F1858="Sealant", I1858="Roll-up Screen"), _xlfn.XLOOKUP(C1858, calc_rusacc!$C$15:$C$65, calc_rusacc!$AF$15:$AF$65, "",0),  AND( F1858="Main Chain", I1858="Accordion Screen"), _xlfn.XLOOKUP(C1858, calc_rusacc!$C$15:$C$65, calc_rusacc!$BF$15:$BF$65, "",0), AND( F1858="Sealant", I1858="Accordion Screen"), _xlfn.XLOOKUP(C1858, calc_rusacc!$C$15:$C$65, calc_rusacc!$BJ$15:$BJ$65, "",0),  F1858="Sealant", _xlfn.XLOOKUP(C1858, dd_accsrycalc!$A$2:$A$51, dd_accsrycalc!$G$2:$G$51, "",0),  F1858&lt;&gt;"",L1858*_xlfn.XLOOKUP(1, (SKUs!$C$2:$C$10001=G1858)*(SKUs!$K$2:$K$10001=I1858),SKUs!$E$2:$E$10001)), 0),"")</f>
        <v/>
      </c>
      <c r="E1858" s="35" t="str">
        <f>_xlfn.XLOOKUP(F1858,dd_item!$B$2:$B$105,dd_item!$C$2:$C$105,"",0)</f>
        <v/>
      </c>
      <c r="F1858" s="35"/>
      <c r="G1858" s="35" cm="1">
        <f t="array" ref="G1858">IFERROR(_xlfn.XLOOKUP(1, (SKUs!$J$2:$J$10001=accsry_unmerged!F1858)*IF(H1858&lt;&gt;"",(SKUs!$L$2:$L$10001=accsry_unmerged!H1858),1)*(SKUs!$K$2:$K$10001=I1858),SKUs!$C$2:$C$10001),"")</f>
        <v>0</v>
      </c>
      <c r="H1858" s="36" cm="1">
        <f t="array" ref="H1858">IFERROR(_xlfn.XLOOKUP(1, (dd_accsryclr!$C$2:$C$1000=accsry_unmerged!F1858)*(dd_accsryclr!$B$2:$B$1000=accsry_unmerged!J1858),dd_accsryclr!$A$2:$A$1000),"")</f>
        <v>0</v>
      </c>
      <c r="I1858" s="35">
        <f>_xlfn.XLOOKUP(C1858,'Project Details'!$C$17:$C$66,'Project Details'!$E$17:$E$66,"",0)</f>
        <v>0</v>
      </c>
      <c r="J1858" s="35">
        <f>_xlfn.XLOOKUP(C1858,'Project Details'!$C$17:$C$66,'Project Details'!$H$17:$H$66,"",0)</f>
        <v>0</v>
      </c>
      <c r="K1858" s="36" t="str">
        <f>IF(AND(_xlfn.XLOOKUP(C1858,'Project Details'!$C$17:$C$66,'Project Details'!$L$17:$L$66,"",0)&gt;550, F1858="Spring-L27cm"),"",SUBSTITUTE(_xlfn.XLOOKUP(G1858,SKUs!$C$2:$C$10001,SKUs!$F$2:$F$10001,"",0), " Accessories",""))</f>
        <v/>
      </c>
      <c r="L1858" s="36">
        <f>_xlfn.XLOOKUP(C1858,'Project Details'!$C$17:$C$66,'Project Details'!$D$17:$D$66,"",0)</f>
        <v>0</v>
      </c>
      <c r="M1858" s="43"/>
    </row>
    <row r="1859" spans="1:13" ht="13.5" customHeight="1" outlineLevel="1" x14ac:dyDescent="0.25">
      <c r="A1859" s="43"/>
      <c r="B1859" s="43"/>
      <c r="C1859" s="16">
        <f t="shared" si="35"/>
        <v>37</v>
      </c>
      <c r="D1859" s="16" t="str" cm="1">
        <f t="array" ref="D1859">IFERROR(ROUNDUP(_xlfn.IFS(F1859="Aluminum Track", _xlfn.XLOOKUP(C1859, dd_accsrycalc!$A$2:$A$51, dd_accsrycalc!$B$2:$B$51, "",0), F1859="10 x 2 1/2 S (Flat)", _xlfn.XLOOKUP(C1859, dd_accsrycalc!$A$2:$A$51, dd_accsrycalc!$C$2:$C$51, "",0), F1859="Tox6", _xlfn.XLOOKUP(C1859, dd_accsrycalc!$A$2:$A$51, dd_accsrycalc!$D$2:$D$51, "",0), F1859="Cover Cap", _xlfn.XLOOKUP(C1859, dd_accsrycalc!$A$2:$A$51, dd_accsrycalc!$E$2:$E$51, "",0), F1859="Drainage Cover", _xlfn.XLOOKUP(C1859, dd_accsrycalc!$A$2:$A$51, dd_accsrycalc!$F$2:$F$51, "",0),AND( F1859="Double Adhesive Tape", I1859="Roll-up Screen"), _xlfn.XLOOKUP(C1859, calc_rusacc!$C$15:$C$65, calc_rusacc!$AD$15:$AD$65, "",0),AND( F1859="Sealant", I1859="Roll-up Screen"), _xlfn.XLOOKUP(C1859, calc_rusacc!$C$15:$C$65, calc_rusacc!$AF$15:$AF$65, "",0),  AND( F1859="Main Chain", I1859="Accordion Screen"), _xlfn.XLOOKUP(C1859, calc_rusacc!$C$15:$C$65, calc_rusacc!$BF$15:$BF$65, "",0), AND( F1859="Sealant", I1859="Accordion Screen"), _xlfn.XLOOKUP(C1859, calc_rusacc!$C$15:$C$65, calc_rusacc!$BJ$15:$BJ$65, "",0),  F1859="Sealant", _xlfn.XLOOKUP(C1859, dd_accsrycalc!$A$2:$A$51, dd_accsrycalc!$G$2:$G$51, "",0),  F1859&lt;&gt;"",L1859*_xlfn.XLOOKUP(1, (SKUs!$C$2:$C$10001=G1859)*(SKUs!$K$2:$K$10001=I1859),SKUs!$E$2:$E$10001)), 0),"")</f>
        <v/>
      </c>
      <c r="E1859" s="16" t="str">
        <f>_xlfn.XLOOKUP(F1859,dd_item!$B$2:$B$105,dd_item!$C$2:$C$105,"",0)</f>
        <v/>
      </c>
      <c r="F1859" s="16"/>
      <c r="G1859" s="16" cm="1">
        <f t="array" ref="G1859">IFERROR(_xlfn.XLOOKUP(1, (SKUs!$J$2:$J$10001=accsry_unmerged!F1859)*IF(H1859&lt;&gt;"",(SKUs!$L$2:$L$10001=accsry_unmerged!H1859),1)*(SKUs!$K$2:$K$10001=I1859),SKUs!$C$2:$C$10001),"")</f>
        <v>0</v>
      </c>
      <c r="H1859" s="33" cm="1">
        <f t="array" ref="H1859">IFERROR(_xlfn.XLOOKUP(1, (dd_accsryclr!$C$2:$C$1000=accsry_unmerged!F1859)*(dd_accsryclr!$B$2:$B$1000=accsry_unmerged!J1859),dd_accsryclr!$A$2:$A$1000),"")</f>
        <v>0</v>
      </c>
      <c r="I1859" s="16">
        <f>_xlfn.XLOOKUP(C1859,'Project Details'!$C$17:$C$66,'Project Details'!$E$17:$E$66,"",0)</f>
        <v>0</v>
      </c>
      <c r="J1859" s="16">
        <f>_xlfn.XLOOKUP(C1859,'Project Details'!$C$17:$C$66,'Project Details'!$H$17:$H$66,"",0)</f>
        <v>0</v>
      </c>
      <c r="K1859" s="33" t="str">
        <f>IF(AND(_xlfn.XLOOKUP(C1859,'Project Details'!$C$17:$C$66,'Project Details'!$L$17:$L$66,"",0)&gt;550, F1859="Spring-L27cm"),"",SUBSTITUTE(_xlfn.XLOOKUP(G1859,SKUs!$C$2:$C$10001,SKUs!$F$2:$F$10001,"",0), " Accessories",""))</f>
        <v/>
      </c>
      <c r="L1859" s="33">
        <f>_xlfn.XLOOKUP(C1859,'Project Details'!$C$17:$C$66,'Project Details'!$D$17:$D$66,"",0)</f>
        <v>0</v>
      </c>
      <c r="M1859" s="43"/>
    </row>
    <row r="1860" spans="1:13" ht="13.5" customHeight="1" outlineLevel="1" x14ac:dyDescent="0.25">
      <c r="A1860" s="43"/>
      <c r="B1860" s="43"/>
      <c r="C1860" s="35">
        <f t="shared" si="35"/>
        <v>37</v>
      </c>
      <c r="D1860" s="35" t="str" cm="1">
        <f t="array" ref="D1860">IFERROR(ROUNDUP(_xlfn.IFS(F1860="Aluminum Track", _xlfn.XLOOKUP(C1860, dd_accsrycalc!$A$2:$A$51, dd_accsrycalc!$B$2:$B$51, "",0), F1860="10 x 2 1/2 S (Flat)", _xlfn.XLOOKUP(C1860, dd_accsrycalc!$A$2:$A$51, dd_accsrycalc!$C$2:$C$51, "",0), F1860="Tox6", _xlfn.XLOOKUP(C1860, dd_accsrycalc!$A$2:$A$51, dd_accsrycalc!$D$2:$D$51, "",0), F1860="Cover Cap", _xlfn.XLOOKUP(C1860, dd_accsrycalc!$A$2:$A$51, dd_accsrycalc!$E$2:$E$51, "",0), F1860="Drainage Cover", _xlfn.XLOOKUP(C1860, dd_accsrycalc!$A$2:$A$51, dd_accsrycalc!$F$2:$F$51, "",0),AND( F1860="Double Adhesive Tape", I1860="Roll-up Screen"), _xlfn.XLOOKUP(C1860, calc_rusacc!$C$15:$C$65, calc_rusacc!$AD$15:$AD$65, "",0),AND( F1860="Sealant", I1860="Roll-up Screen"), _xlfn.XLOOKUP(C1860, calc_rusacc!$C$15:$C$65, calc_rusacc!$AF$15:$AF$65, "",0),  AND( F1860="Main Chain", I1860="Accordion Screen"), _xlfn.XLOOKUP(C1860, calc_rusacc!$C$15:$C$65, calc_rusacc!$BF$15:$BF$65, "",0), AND( F1860="Sealant", I1860="Accordion Screen"), _xlfn.XLOOKUP(C1860, calc_rusacc!$C$15:$C$65, calc_rusacc!$BJ$15:$BJ$65, "",0),  F1860="Sealant", _xlfn.XLOOKUP(C1860, dd_accsrycalc!$A$2:$A$51, dd_accsrycalc!$G$2:$G$51, "",0),  F1860&lt;&gt;"",L1860*_xlfn.XLOOKUP(1, (SKUs!$C$2:$C$10001=G1860)*(SKUs!$K$2:$K$10001=I1860),SKUs!$E$2:$E$10001)), 0),"")</f>
        <v/>
      </c>
      <c r="E1860" s="35" t="str">
        <f>_xlfn.XLOOKUP(F1860,dd_item!$B$2:$B$105,dd_item!$C$2:$C$105,"",0)</f>
        <v/>
      </c>
      <c r="F1860" s="35"/>
      <c r="G1860" s="35" cm="1">
        <f t="array" ref="G1860">IFERROR(_xlfn.XLOOKUP(1, (SKUs!$J$2:$J$10001=accsry_unmerged!F1860)*IF(H1860&lt;&gt;"",(SKUs!$L$2:$L$10001=accsry_unmerged!H1860),1)*(SKUs!$K$2:$K$10001=I1860),SKUs!$C$2:$C$10001),"")</f>
        <v>0</v>
      </c>
      <c r="H1860" s="36" cm="1">
        <f t="array" ref="H1860">IFERROR(_xlfn.XLOOKUP(1, (dd_accsryclr!$C$2:$C$1000=accsry_unmerged!F1860)*(dd_accsryclr!$B$2:$B$1000=accsry_unmerged!J1860),dd_accsryclr!$A$2:$A$1000),"")</f>
        <v>0</v>
      </c>
      <c r="I1860" s="35">
        <f>_xlfn.XLOOKUP(C1860,'Project Details'!$C$17:$C$66,'Project Details'!$E$17:$E$66,"",0)</f>
        <v>0</v>
      </c>
      <c r="J1860" s="35">
        <f>_xlfn.XLOOKUP(C1860,'Project Details'!$C$17:$C$66,'Project Details'!$H$17:$H$66,"",0)</f>
        <v>0</v>
      </c>
      <c r="K1860" s="36" t="str">
        <f>IF(AND(_xlfn.XLOOKUP(C1860,'Project Details'!$C$17:$C$66,'Project Details'!$L$17:$L$66,"",0)&gt;550, F1860="Spring-L27cm"),"",SUBSTITUTE(_xlfn.XLOOKUP(G1860,SKUs!$C$2:$C$10001,SKUs!$F$2:$F$10001,"",0), " Accessories",""))</f>
        <v/>
      </c>
      <c r="L1860" s="36">
        <f>_xlfn.XLOOKUP(C1860,'Project Details'!$C$17:$C$66,'Project Details'!$D$17:$D$66,"",0)</f>
        <v>0</v>
      </c>
      <c r="M1860" s="43"/>
    </row>
    <row r="1861" spans="1:13" ht="13.5" customHeight="1" outlineLevel="1" x14ac:dyDescent="0.25">
      <c r="A1861" s="43"/>
      <c r="B1861" s="43"/>
      <c r="C1861" s="16">
        <f t="shared" si="35"/>
        <v>37</v>
      </c>
      <c r="D1861" s="16" t="str" cm="1">
        <f t="array" ref="D1861">IFERROR(ROUNDUP(_xlfn.IFS(F1861="Aluminum Track", _xlfn.XLOOKUP(C1861, dd_accsrycalc!$A$2:$A$51, dd_accsrycalc!$B$2:$B$51, "",0), F1861="10 x 2 1/2 S (Flat)", _xlfn.XLOOKUP(C1861, dd_accsrycalc!$A$2:$A$51, dd_accsrycalc!$C$2:$C$51, "",0), F1861="Tox6", _xlfn.XLOOKUP(C1861, dd_accsrycalc!$A$2:$A$51, dd_accsrycalc!$D$2:$D$51, "",0), F1861="Cover Cap", _xlfn.XLOOKUP(C1861, dd_accsrycalc!$A$2:$A$51, dd_accsrycalc!$E$2:$E$51, "",0), F1861="Drainage Cover", _xlfn.XLOOKUP(C1861, dd_accsrycalc!$A$2:$A$51, dd_accsrycalc!$F$2:$F$51, "",0),AND( F1861="Double Adhesive Tape", I1861="Roll-up Screen"), _xlfn.XLOOKUP(C1861, calc_rusacc!$C$15:$C$65, calc_rusacc!$AD$15:$AD$65, "",0),AND( F1861="Sealant", I1861="Roll-up Screen"), _xlfn.XLOOKUP(C1861, calc_rusacc!$C$15:$C$65, calc_rusacc!$AF$15:$AF$65, "",0),  AND( F1861="Main Chain", I1861="Accordion Screen"), _xlfn.XLOOKUP(C1861, calc_rusacc!$C$15:$C$65, calc_rusacc!$BF$15:$BF$65, "",0), AND( F1861="Sealant", I1861="Accordion Screen"), _xlfn.XLOOKUP(C1861, calc_rusacc!$C$15:$C$65, calc_rusacc!$BJ$15:$BJ$65, "",0),  F1861="Sealant", _xlfn.XLOOKUP(C1861, dd_accsrycalc!$A$2:$A$51, dd_accsrycalc!$G$2:$G$51, "",0),  F1861&lt;&gt;"",L1861*_xlfn.XLOOKUP(1, (SKUs!$C$2:$C$10001=G1861)*(SKUs!$K$2:$K$10001=I1861),SKUs!$E$2:$E$10001)), 0),"")</f>
        <v/>
      </c>
      <c r="E1861" s="16" t="str">
        <f>_xlfn.XLOOKUP(F1861,dd_item!$B$2:$B$105,dd_item!$C$2:$C$105,"",0)</f>
        <v/>
      </c>
      <c r="F1861" s="16"/>
      <c r="G1861" s="16" cm="1">
        <f t="array" ref="G1861">IFERROR(_xlfn.XLOOKUP(1, (SKUs!$J$2:$J$10001=accsry_unmerged!F1861)*IF(H1861&lt;&gt;"",(SKUs!$L$2:$L$10001=accsry_unmerged!H1861),1)*(SKUs!$K$2:$K$10001=I1861),SKUs!$C$2:$C$10001),"")</f>
        <v>0</v>
      </c>
      <c r="H1861" s="33" cm="1">
        <f t="array" ref="H1861">IFERROR(_xlfn.XLOOKUP(1, (dd_accsryclr!$C$2:$C$1000=accsry_unmerged!F1861)*(dd_accsryclr!$B$2:$B$1000=accsry_unmerged!J1861),dd_accsryclr!$A$2:$A$1000),"")</f>
        <v>0</v>
      </c>
      <c r="I1861" s="16">
        <f>_xlfn.XLOOKUP(C1861,'Project Details'!$C$17:$C$66,'Project Details'!$E$17:$E$66,"",0)</f>
        <v>0</v>
      </c>
      <c r="J1861" s="16">
        <f>_xlfn.XLOOKUP(C1861,'Project Details'!$C$17:$C$66,'Project Details'!$H$17:$H$66,"",0)</f>
        <v>0</v>
      </c>
      <c r="K1861" s="33" t="str">
        <f>IF(AND(_xlfn.XLOOKUP(C1861,'Project Details'!$C$17:$C$66,'Project Details'!$L$17:$L$66,"",0)&gt;550, F1861="Spring-L27cm"),"",SUBSTITUTE(_xlfn.XLOOKUP(G1861,SKUs!$C$2:$C$10001,SKUs!$F$2:$F$10001,"",0), " Accessories",""))</f>
        <v/>
      </c>
      <c r="L1861" s="33">
        <f>_xlfn.XLOOKUP(C1861,'Project Details'!$C$17:$C$66,'Project Details'!$D$17:$D$66,"",0)</f>
        <v>0</v>
      </c>
      <c r="M1861" s="43"/>
    </row>
    <row r="1862" spans="1:13" ht="13.5" customHeight="1" outlineLevel="1" x14ac:dyDescent="0.25">
      <c r="A1862" s="43"/>
      <c r="B1862" s="43"/>
      <c r="C1862" s="35">
        <f t="shared" si="35"/>
        <v>37</v>
      </c>
      <c r="D1862" s="35" t="str" cm="1">
        <f t="array" ref="D1862">IFERROR(ROUNDUP(_xlfn.IFS(F1862="Aluminum Track", _xlfn.XLOOKUP(C1862, dd_accsrycalc!$A$2:$A$51, dd_accsrycalc!$B$2:$B$51, "",0), F1862="10 x 2 1/2 S (Flat)", _xlfn.XLOOKUP(C1862, dd_accsrycalc!$A$2:$A$51, dd_accsrycalc!$C$2:$C$51, "",0), F1862="Tox6", _xlfn.XLOOKUP(C1862, dd_accsrycalc!$A$2:$A$51, dd_accsrycalc!$D$2:$D$51, "",0), F1862="Cover Cap", _xlfn.XLOOKUP(C1862, dd_accsrycalc!$A$2:$A$51, dd_accsrycalc!$E$2:$E$51, "",0), F1862="Drainage Cover", _xlfn.XLOOKUP(C1862, dd_accsrycalc!$A$2:$A$51, dd_accsrycalc!$F$2:$F$51, "",0),AND( F1862="Double Adhesive Tape", I1862="Roll-up Screen"), _xlfn.XLOOKUP(C1862, calc_rusacc!$C$15:$C$65, calc_rusacc!$AD$15:$AD$65, "",0),AND( F1862="Sealant", I1862="Roll-up Screen"), _xlfn.XLOOKUP(C1862, calc_rusacc!$C$15:$C$65, calc_rusacc!$AF$15:$AF$65, "",0),  AND( F1862="Main Chain", I1862="Accordion Screen"), _xlfn.XLOOKUP(C1862, calc_rusacc!$C$15:$C$65, calc_rusacc!$BF$15:$BF$65, "",0), AND( F1862="Sealant", I1862="Accordion Screen"), _xlfn.XLOOKUP(C1862, calc_rusacc!$C$15:$C$65, calc_rusacc!$BJ$15:$BJ$65, "",0),  F1862="Sealant", _xlfn.XLOOKUP(C1862, dd_accsrycalc!$A$2:$A$51, dd_accsrycalc!$G$2:$G$51, "",0),  F1862&lt;&gt;"",L1862*_xlfn.XLOOKUP(1, (SKUs!$C$2:$C$10001=G1862)*(SKUs!$K$2:$K$10001=I1862),SKUs!$E$2:$E$10001)), 0),"")</f>
        <v/>
      </c>
      <c r="E1862" s="35" t="str">
        <f>_xlfn.XLOOKUP(F1862,dd_item!$B$2:$B$105,dd_item!$C$2:$C$105,"",0)</f>
        <v/>
      </c>
      <c r="F1862" s="35"/>
      <c r="G1862" s="35" cm="1">
        <f t="array" ref="G1862">IFERROR(_xlfn.XLOOKUP(1, (SKUs!$J$2:$J$10001=accsry_unmerged!F1862)*IF(H1862&lt;&gt;"",(SKUs!$L$2:$L$10001=accsry_unmerged!H1862),1)*(SKUs!$K$2:$K$10001=I1862),SKUs!$C$2:$C$10001),"")</f>
        <v>0</v>
      </c>
      <c r="H1862" s="36" cm="1">
        <f t="array" ref="H1862">IFERROR(_xlfn.XLOOKUP(1, (dd_accsryclr!$C$2:$C$1000=accsry_unmerged!F1862)*(dd_accsryclr!$B$2:$B$1000=accsry_unmerged!J1862),dd_accsryclr!$A$2:$A$1000),"")</f>
        <v>0</v>
      </c>
      <c r="I1862" s="35">
        <f>_xlfn.XLOOKUP(C1862,'Project Details'!$C$17:$C$66,'Project Details'!$E$17:$E$66,"",0)</f>
        <v>0</v>
      </c>
      <c r="J1862" s="35">
        <f>_xlfn.XLOOKUP(C1862,'Project Details'!$C$17:$C$66,'Project Details'!$H$17:$H$66,"",0)</f>
        <v>0</v>
      </c>
      <c r="K1862" s="36" t="str">
        <f>IF(AND(_xlfn.XLOOKUP(C1862,'Project Details'!$C$17:$C$66,'Project Details'!$L$17:$L$66,"",0)&gt;550, F1862="Spring-L27cm"),"",SUBSTITUTE(_xlfn.XLOOKUP(G1862,SKUs!$C$2:$C$10001,SKUs!$F$2:$F$10001,"",0), " Accessories",""))</f>
        <v/>
      </c>
      <c r="L1862" s="36">
        <f>_xlfn.XLOOKUP(C1862,'Project Details'!$C$17:$C$66,'Project Details'!$D$17:$D$66,"",0)</f>
        <v>0</v>
      </c>
      <c r="M1862" s="43"/>
    </row>
    <row r="1863" spans="1:13" ht="13.5" customHeight="1" outlineLevel="1" x14ac:dyDescent="0.25">
      <c r="A1863" s="43"/>
      <c r="B1863" s="43"/>
      <c r="C1863" s="16">
        <f t="shared" si="35"/>
        <v>37</v>
      </c>
      <c r="D1863" s="16" t="str" cm="1">
        <f t="array" ref="D1863">IFERROR(ROUNDUP(_xlfn.IFS(F1863="Aluminum Track", _xlfn.XLOOKUP(C1863, dd_accsrycalc!$A$2:$A$51, dd_accsrycalc!$B$2:$B$51, "",0), F1863="10 x 2 1/2 S (Flat)", _xlfn.XLOOKUP(C1863, dd_accsrycalc!$A$2:$A$51, dd_accsrycalc!$C$2:$C$51, "",0), F1863="Tox6", _xlfn.XLOOKUP(C1863, dd_accsrycalc!$A$2:$A$51, dd_accsrycalc!$D$2:$D$51, "",0), F1863="Cover Cap", _xlfn.XLOOKUP(C1863, dd_accsrycalc!$A$2:$A$51, dd_accsrycalc!$E$2:$E$51, "",0), F1863="Drainage Cover", _xlfn.XLOOKUP(C1863, dd_accsrycalc!$A$2:$A$51, dd_accsrycalc!$F$2:$F$51, "",0),AND( F1863="Double Adhesive Tape", I1863="Roll-up Screen"), _xlfn.XLOOKUP(C1863, calc_rusacc!$C$15:$C$65, calc_rusacc!$AD$15:$AD$65, "",0),AND( F1863="Sealant", I1863="Roll-up Screen"), _xlfn.XLOOKUP(C1863, calc_rusacc!$C$15:$C$65, calc_rusacc!$AF$15:$AF$65, "",0),  AND( F1863="Main Chain", I1863="Accordion Screen"), _xlfn.XLOOKUP(C1863, calc_rusacc!$C$15:$C$65, calc_rusacc!$BF$15:$BF$65, "",0), AND( F1863="Sealant", I1863="Accordion Screen"), _xlfn.XLOOKUP(C1863, calc_rusacc!$C$15:$C$65, calc_rusacc!$BJ$15:$BJ$65, "",0),  F1863="Sealant", _xlfn.XLOOKUP(C1863, dd_accsrycalc!$A$2:$A$51, dd_accsrycalc!$G$2:$G$51, "",0),  F1863&lt;&gt;"",L1863*_xlfn.XLOOKUP(1, (SKUs!$C$2:$C$10001=G1863)*(SKUs!$K$2:$K$10001=I1863),SKUs!$E$2:$E$10001)), 0),"")</f>
        <v/>
      </c>
      <c r="E1863" s="16" t="str">
        <f>_xlfn.XLOOKUP(F1863,dd_item!$B$2:$B$105,dd_item!$C$2:$C$105,"",0)</f>
        <v/>
      </c>
      <c r="F1863" s="16"/>
      <c r="G1863" s="16" cm="1">
        <f t="array" ref="G1863">IFERROR(_xlfn.XLOOKUP(1, (SKUs!$J$2:$J$10001=accsry_unmerged!F1863)*IF(H1863&lt;&gt;"",(SKUs!$L$2:$L$10001=accsry_unmerged!H1863),1)*(SKUs!$K$2:$K$10001=I1863),SKUs!$C$2:$C$10001),"")</f>
        <v>0</v>
      </c>
      <c r="H1863" s="33" cm="1">
        <f t="array" ref="H1863">IFERROR(_xlfn.XLOOKUP(1, (dd_accsryclr!$C$2:$C$1000=accsry_unmerged!F1863)*(dd_accsryclr!$B$2:$B$1000=accsry_unmerged!J1863),dd_accsryclr!$A$2:$A$1000),"")</f>
        <v>0</v>
      </c>
      <c r="I1863" s="16">
        <f>_xlfn.XLOOKUP(C1863,'Project Details'!$C$17:$C$66,'Project Details'!$E$17:$E$66,"",0)</f>
        <v>0</v>
      </c>
      <c r="J1863" s="16">
        <f>_xlfn.XLOOKUP(C1863,'Project Details'!$C$17:$C$66,'Project Details'!$H$17:$H$66,"",0)</f>
        <v>0</v>
      </c>
      <c r="K1863" s="33" t="str">
        <f>IF(AND(_xlfn.XLOOKUP(C1863,'Project Details'!$C$17:$C$66,'Project Details'!$L$17:$L$66,"",0)&gt;550, F1863="Spring-L27cm"),"",SUBSTITUTE(_xlfn.XLOOKUP(G1863,SKUs!$C$2:$C$10001,SKUs!$F$2:$F$10001,"",0), " Accessories",""))</f>
        <v/>
      </c>
      <c r="L1863" s="33">
        <f>_xlfn.XLOOKUP(C1863,'Project Details'!$C$17:$C$66,'Project Details'!$D$17:$D$66,"",0)</f>
        <v>0</v>
      </c>
      <c r="M1863" s="43"/>
    </row>
    <row r="1864" spans="1:13" x14ac:dyDescent="0.25">
      <c r="A1864" s="43"/>
      <c r="B1864" s="43"/>
      <c r="C1864" s="43"/>
      <c r="D1864" s="43"/>
      <c r="E1864" s="43"/>
      <c r="F1864" s="43"/>
      <c r="G1864" s="43"/>
      <c r="H1864" s="43"/>
      <c r="I1864" s="43"/>
      <c r="J1864" s="43"/>
      <c r="K1864" s="43"/>
      <c r="L1864" s="43"/>
      <c r="M1864" s="43"/>
    </row>
    <row r="1865" spans="1:13" x14ac:dyDescent="0.25">
      <c r="A1865" s="43"/>
      <c r="B1865" s="43"/>
      <c r="C1865" s="16">
        <f>C1863+1</f>
        <v>38</v>
      </c>
      <c r="D1865" s="48" cm="1">
        <f t="array" ref="D1865">IFERROR(ROUNDUP(_xlfn.IFS(F1865="Aluminum Track", _xlfn.XLOOKUP(C1865, dd_accsrycalc!$A$2:$A$51, dd_accsrycalc!$B$2:$B$51, "",0), F1865="10 x 2 1/2 S (Flat)", _xlfn.XLOOKUP(C1865, dd_accsrycalc!$A$2:$A$51, dd_accsrycalc!$C$2:$C$51, "",0), F1865="Tox6", _xlfn.XLOOKUP(C1865, dd_accsrycalc!$A$2:$A$51, dd_accsrycalc!$D$2:$D$51, "",0), F1865="Cover Cap", _xlfn.XLOOKUP(C1865, dd_accsrycalc!$A$2:$A$51, dd_accsrycalc!$E$2:$E$51, "",0), F1865="Drainage Cover", _xlfn.XLOOKUP(C1865, dd_accsrycalc!$A$2:$A$51, dd_accsrycalc!$F$2:$F$51, "",0),AND( F1865="Double Adhesive Tape", I1865="Roll-up Screen"), _xlfn.XLOOKUP(C1865, calc_rusacc!$C$15:$C$65, calc_rusacc!$AD$15:$AD$65, "",0),AND( F1865="Sealant", I1865="Roll-up Screen"), _xlfn.XLOOKUP(C1865, calc_rusacc!$C$15:$C$65, calc_rusacc!$AF$15:$AF$65, "",0),  AND( F1865="Main Chain", I1865="Accordion Screen"), _xlfn.XLOOKUP(C1865, calc_rusacc!$C$15:$C$65, calc_rusacc!$BF$15:$BF$65, "",0), AND( F1865="Sealant", I1865="Accordion Screen"), _xlfn.XLOOKUP(C1865, calc_rusacc!$C$15:$C$65, calc_rusacc!$BJ$15:$BJ$65, "",0),  F1865="Sealant", _xlfn.XLOOKUP(C1865, dd_accsrycalc!$A$2:$A$51, dd_accsrycalc!$G$2:$G$51, "",0),  F1865&lt;&gt;"",L1865*_xlfn.XLOOKUP(1, (SKUs!$C$2:$C$10001=G1865)*(SKUs!$K$2:$K$10001=I1865),SKUs!$E$2:$E$10001)), 0),"")</f>
        <v>0</v>
      </c>
      <c r="E1865" s="48" t="str">
        <f>_xlfn.XLOOKUP(F1865,dd_item!$B$2:$B$105,dd_item!$C$2:$C$105,"",0)</f>
        <v/>
      </c>
      <c r="F1865" s="48" cm="1">
        <f t="array" ref="F1865">IFERROR(_xlfn.UNIQUE(_xlfn._xlws.FILTER(SKUs!$J$2:$J$10001, (SKUs!$F$2:$F$10001&lt;&gt;"Cutting List") * (SKUs!$A$2:$A$10001=_xlfn.XLOOKUP(_xlfn.XLOOKUP(C1865,'Project Details'!$C$17:$C$66,'Project Details'!$E$17:$E$66,"",0), dd_design_raw!$A$2:$A$101,dd_design_raw!$C$2:$C$101,"",0)))), "")</f>
        <v>0</v>
      </c>
      <c r="G1865" s="16" cm="1">
        <f t="array" ref="G1865">IFERROR(_xlfn.XLOOKUP(1, (SKUs!$J$2:$J$10001=accsry_unmerged!F1865)*IF(H1865&lt;&gt;"",(SKUs!$L$2:$L$10001=accsry_unmerged!H1865),1)*(SKUs!$K$2:$K$10001=I1865),SKUs!$C$2:$C$10001),"")</f>
        <v>0</v>
      </c>
      <c r="H1865" s="16" cm="1">
        <f t="array" ref="H1865">IFERROR(_xlfn.XLOOKUP(1, (dd_accsryclr!$C$2:$C$1000=accsry_unmerged!F1865)*(dd_accsryclr!$B$2:$B$1000=accsry_unmerged!J1865),dd_accsryclr!$A$2:$A$1000),"")</f>
        <v>0</v>
      </c>
      <c r="I1865" s="16">
        <f>_xlfn.XLOOKUP(C1865,'Project Details'!$C$17:$C$66,'Project Details'!$E$17:$E$66,"",0)</f>
        <v>0</v>
      </c>
      <c r="J1865" s="16">
        <f>_xlfn.XLOOKUP(C1865,'Project Details'!$C$17:$C$66,'Project Details'!$H$17:$H$66,"",0)</f>
        <v>0</v>
      </c>
      <c r="K1865" s="16" t="str">
        <f>IF(AND(_xlfn.XLOOKUP(C1865,'Project Details'!$C$17:$C$66,'Project Details'!$L$17:$L$66,"",0)&gt;550, F1865="Spring-L27cm"),"",SUBSTITUTE(_xlfn.XLOOKUP(G1865,SKUs!$C$2:$C$10001,SKUs!$F$2:$F$10001,"",0), " Accessories",""))</f>
        <v/>
      </c>
      <c r="L1865" s="16">
        <f>_xlfn.XLOOKUP(C1865,'Project Details'!$C$17:$C$66,'Project Details'!$D$17:$D$66,"",0)</f>
        <v>0</v>
      </c>
      <c r="M1865" s="43"/>
    </row>
    <row r="1866" spans="1:13" x14ac:dyDescent="0.25">
      <c r="A1866" s="43"/>
      <c r="B1866" s="43"/>
      <c r="C1866" s="35">
        <f>C1865</f>
        <v>38</v>
      </c>
      <c r="D1866" s="35" t="str" cm="1">
        <f t="array" ref="D1866">IFERROR(ROUNDUP(_xlfn.IFS(F1866="Aluminum Track", _xlfn.XLOOKUP(C1866, dd_accsrycalc!$A$2:$A$51, dd_accsrycalc!$B$2:$B$51, "",0), F1866="10 x 2 1/2 S (Flat)", _xlfn.XLOOKUP(C1866, dd_accsrycalc!$A$2:$A$51, dd_accsrycalc!$C$2:$C$51, "",0), F1866="Tox6", _xlfn.XLOOKUP(C1866, dd_accsrycalc!$A$2:$A$51, dd_accsrycalc!$D$2:$D$51, "",0), F1866="Cover Cap", _xlfn.XLOOKUP(C1866, dd_accsrycalc!$A$2:$A$51, dd_accsrycalc!$E$2:$E$51, "",0), F1866="Drainage Cover", _xlfn.XLOOKUP(C1866, dd_accsrycalc!$A$2:$A$51, dd_accsrycalc!$F$2:$F$51, "",0),AND( F1866="Double Adhesive Tape", I1866="Roll-up Screen"), _xlfn.XLOOKUP(C1866, calc_rusacc!$C$15:$C$65, calc_rusacc!$AD$15:$AD$65, "",0),AND( F1866="Sealant", I1866="Roll-up Screen"), _xlfn.XLOOKUP(C1866, calc_rusacc!$C$15:$C$65, calc_rusacc!$AF$15:$AF$65, "",0),  AND( F1866="Main Chain", I1866="Accordion Screen"), _xlfn.XLOOKUP(C1866, calc_rusacc!$C$15:$C$65, calc_rusacc!$BF$15:$BF$65, "",0), AND( F1866="Sealant", I1866="Accordion Screen"), _xlfn.XLOOKUP(C1866, calc_rusacc!$C$15:$C$65, calc_rusacc!$BJ$15:$BJ$65, "",0),  F1866="Sealant", _xlfn.XLOOKUP(C1866, dd_accsrycalc!$A$2:$A$51, dd_accsrycalc!$G$2:$G$51, "",0),  F1866&lt;&gt;"",L1866*_xlfn.XLOOKUP(1, (SKUs!$C$2:$C$10001=G1866)*(SKUs!$K$2:$K$10001=I1866),SKUs!$E$2:$E$10001)), 0),"")</f>
        <v/>
      </c>
      <c r="E1866" s="35" t="str">
        <f>_xlfn.XLOOKUP(F1866,dd_item!$B$2:$B$105,dd_item!$C$2:$C$105,"",0)</f>
        <v/>
      </c>
      <c r="F1866" s="35"/>
      <c r="G1866" s="35" cm="1">
        <f t="array" ref="G1866">IFERROR(_xlfn.XLOOKUP(1, (SKUs!$J$2:$J$10001=accsry_unmerged!F1866)*IF(H1866&lt;&gt;"",(SKUs!$L$2:$L$10001=accsry_unmerged!H1866),1)*(SKUs!$K$2:$K$10001=I1866),SKUs!$C$2:$C$10001),"")</f>
        <v>0</v>
      </c>
      <c r="H1866" s="36" cm="1">
        <f t="array" ref="H1866">IFERROR(_xlfn.XLOOKUP(1, (dd_accsryclr!$C$2:$C$1000=accsry_unmerged!F1866)*(dd_accsryclr!$B$2:$B$1000=accsry_unmerged!J1866),dd_accsryclr!$A$2:$A$1000),"")</f>
        <v>0</v>
      </c>
      <c r="I1866" s="35">
        <f>_xlfn.XLOOKUP(C1866,'Project Details'!$C$17:$C$66,'Project Details'!$E$17:$E$66,"",0)</f>
        <v>0</v>
      </c>
      <c r="J1866" s="35">
        <f>_xlfn.XLOOKUP(C1866,'Project Details'!$C$17:$C$66,'Project Details'!$H$17:$H$66,"",0)</f>
        <v>0</v>
      </c>
      <c r="K1866" s="36" t="str">
        <f>IF(AND(_xlfn.XLOOKUP(C1866,'Project Details'!$C$17:$C$66,'Project Details'!$L$17:$L$66,"",0)&gt;550, F1866="Spring-L27cm"),"",SUBSTITUTE(_xlfn.XLOOKUP(G1866,SKUs!$C$2:$C$10001,SKUs!$F$2:$F$10001,"",0), " Accessories",""))</f>
        <v/>
      </c>
      <c r="L1866" s="36">
        <f>_xlfn.XLOOKUP(C1866,'Project Details'!$C$17:$C$66,'Project Details'!$D$17:$D$66,"",0)</f>
        <v>0</v>
      </c>
      <c r="M1866" s="43"/>
    </row>
    <row r="1867" spans="1:13" x14ac:dyDescent="0.25">
      <c r="A1867" s="43"/>
      <c r="B1867" s="43"/>
      <c r="C1867" s="16">
        <f t="shared" ref="C1867:C1913" si="36">C1866</f>
        <v>38</v>
      </c>
      <c r="D1867" s="16" t="str" cm="1">
        <f t="array" ref="D1867">IFERROR(ROUNDUP(_xlfn.IFS(F1867="Aluminum Track", _xlfn.XLOOKUP(C1867, dd_accsrycalc!$A$2:$A$51, dd_accsrycalc!$B$2:$B$51, "",0), F1867="10 x 2 1/2 S (Flat)", _xlfn.XLOOKUP(C1867, dd_accsrycalc!$A$2:$A$51, dd_accsrycalc!$C$2:$C$51, "",0), F1867="Tox6", _xlfn.XLOOKUP(C1867, dd_accsrycalc!$A$2:$A$51, dd_accsrycalc!$D$2:$D$51, "",0), F1867="Cover Cap", _xlfn.XLOOKUP(C1867, dd_accsrycalc!$A$2:$A$51, dd_accsrycalc!$E$2:$E$51, "",0), F1867="Drainage Cover", _xlfn.XLOOKUP(C1867, dd_accsrycalc!$A$2:$A$51, dd_accsrycalc!$F$2:$F$51, "",0),AND( F1867="Double Adhesive Tape", I1867="Roll-up Screen"), _xlfn.XLOOKUP(C1867, calc_rusacc!$C$15:$C$65, calc_rusacc!$AD$15:$AD$65, "",0),AND( F1867="Sealant", I1867="Roll-up Screen"), _xlfn.XLOOKUP(C1867, calc_rusacc!$C$15:$C$65, calc_rusacc!$AF$15:$AF$65, "",0),  AND( F1867="Main Chain", I1867="Accordion Screen"), _xlfn.XLOOKUP(C1867, calc_rusacc!$C$15:$C$65, calc_rusacc!$BF$15:$BF$65, "",0), AND( F1867="Sealant", I1867="Accordion Screen"), _xlfn.XLOOKUP(C1867, calc_rusacc!$C$15:$C$65, calc_rusacc!$BJ$15:$BJ$65, "",0),  F1867="Sealant", _xlfn.XLOOKUP(C1867, dd_accsrycalc!$A$2:$A$51, dd_accsrycalc!$G$2:$G$51, "",0),  F1867&lt;&gt;"",L1867*_xlfn.XLOOKUP(1, (SKUs!$C$2:$C$10001=G1867)*(SKUs!$K$2:$K$10001=I1867),SKUs!$E$2:$E$10001)), 0),"")</f>
        <v/>
      </c>
      <c r="E1867" s="16" t="str">
        <f>_xlfn.XLOOKUP(F1867,dd_item!$B$2:$B$105,dd_item!$C$2:$C$105,"",0)</f>
        <v/>
      </c>
      <c r="F1867" s="16"/>
      <c r="G1867" s="16" cm="1">
        <f t="array" ref="G1867">IFERROR(_xlfn.XLOOKUP(1, (SKUs!$J$2:$J$10001=accsry_unmerged!F1867)*IF(H1867&lt;&gt;"",(SKUs!$L$2:$L$10001=accsry_unmerged!H1867),1)*(SKUs!$K$2:$K$10001=I1867),SKUs!$C$2:$C$10001),"")</f>
        <v>0</v>
      </c>
      <c r="H1867" s="33" cm="1">
        <f t="array" ref="H1867">IFERROR(_xlfn.XLOOKUP(1, (dd_accsryclr!$C$2:$C$1000=accsry_unmerged!F1867)*(dd_accsryclr!$B$2:$B$1000=accsry_unmerged!J1867),dd_accsryclr!$A$2:$A$1000),"")</f>
        <v>0</v>
      </c>
      <c r="I1867" s="16">
        <f>_xlfn.XLOOKUP(C1867,'Project Details'!$C$17:$C$66,'Project Details'!$E$17:$E$66,"",0)</f>
        <v>0</v>
      </c>
      <c r="J1867" s="16">
        <f>_xlfn.XLOOKUP(C1867,'Project Details'!$C$17:$C$66,'Project Details'!$H$17:$H$66,"",0)</f>
        <v>0</v>
      </c>
      <c r="K1867" s="33" t="str">
        <f>IF(AND(_xlfn.XLOOKUP(C1867,'Project Details'!$C$17:$C$66,'Project Details'!$L$17:$L$66,"",0)&gt;550, F1867="Spring-L27cm"),"",SUBSTITUTE(_xlfn.XLOOKUP(G1867,SKUs!$C$2:$C$10001,SKUs!$F$2:$F$10001,"",0), " Accessories",""))</f>
        <v/>
      </c>
      <c r="L1867" s="33">
        <f>_xlfn.XLOOKUP(C1867,'Project Details'!$C$17:$C$66,'Project Details'!$D$17:$D$66,"",0)</f>
        <v>0</v>
      </c>
      <c r="M1867" s="43"/>
    </row>
    <row r="1868" spans="1:13" x14ac:dyDescent="0.25">
      <c r="A1868" s="43"/>
      <c r="B1868" s="43"/>
      <c r="C1868" s="35">
        <f t="shared" si="36"/>
        <v>38</v>
      </c>
      <c r="D1868" s="35" t="str" cm="1">
        <f t="array" ref="D1868">IFERROR(ROUNDUP(_xlfn.IFS(F1868="Aluminum Track", _xlfn.XLOOKUP(C1868, dd_accsrycalc!$A$2:$A$51, dd_accsrycalc!$B$2:$B$51, "",0), F1868="10 x 2 1/2 S (Flat)", _xlfn.XLOOKUP(C1868, dd_accsrycalc!$A$2:$A$51, dd_accsrycalc!$C$2:$C$51, "",0), F1868="Tox6", _xlfn.XLOOKUP(C1868, dd_accsrycalc!$A$2:$A$51, dd_accsrycalc!$D$2:$D$51, "",0), F1868="Cover Cap", _xlfn.XLOOKUP(C1868, dd_accsrycalc!$A$2:$A$51, dd_accsrycalc!$E$2:$E$51, "",0), F1868="Drainage Cover", _xlfn.XLOOKUP(C1868, dd_accsrycalc!$A$2:$A$51, dd_accsrycalc!$F$2:$F$51, "",0),AND( F1868="Double Adhesive Tape", I1868="Roll-up Screen"), _xlfn.XLOOKUP(C1868, calc_rusacc!$C$15:$C$65, calc_rusacc!$AD$15:$AD$65, "",0),AND( F1868="Sealant", I1868="Roll-up Screen"), _xlfn.XLOOKUP(C1868, calc_rusacc!$C$15:$C$65, calc_rusacc!$AF$15:$AF$65, "",0),  AND( F1868="Main Chain", I1868="Accordion Screen"), _xlfn.XLOOKUP(C1868, calc_rusacc!$C$15:$C$65, calc_rusacc!$BF$15:$BF$65, "",0), AND( F1868="Sealant", I1868="Accordion Screen"), _xlfn.XLOOKUP(C1868, calc_rusacc!$C$15:$C$65, calc_rusacc!$BJ$15:$BJ$65, "",0),  F1868="Sealant", _xlfn.XLOOKUP(C1868, dd_accsrycalc!$A$2:$A$51, dd_accsrycalc!$G$2:$G$51, "",0),  F1868&lt;&gt;"",L1868*_xlfn.XLOOKUP(1, (SKUs!$C$2:$C$10001=G1868)*(SKUs!$K$2:$K$10001=I1868),SKUs!$E$2:$E$10001)), 0),"")</f>
        <v/>
      </c>
      <c r="E1868" s="35" t="str">
        <f>_xlfn.XLOOKUP(F1868,dd_item!$B$2:$B$105,dd_item!$C$2:$C$105,"",0)</f>
        <v/>
      </c>
      <c r="F1868" s="35"/>
      <c r="G1868" s="35" cm="1">
        <f t="array" ref="G1868">IFERROR(_xlfn.XLOOKUP(1, (SKUs!$J$2:$J$10001=accsry_unmerged!F1868)*IF(H1868&lt;&gt;"",(SKUs!$L$2:$L$10001=accsry_unmerged!H1868),1)*(SKUs!$K$2:$K$10001=I1868),SKUs!$C$2:$C$10001),"")</f>
        <v>0</v>
      </c>
      <c r="H1868" s="36" cm="1">
        <f t="array" ref="H1868">IFERROR(_xlfn.XLOOKUP(1, (dd_accsryclr!$C$2:$C$1000=accsry_unmerged!F1868)*(dd_accsryclr!$B$2:$B$1000=accsry_unmerged!J1868),dd_accsryclr!$A$2:$A$1000),"")</f>
        <v>0</v>
      </c>
      <c r="I1868" s="35">
        <f>_xlfn.XLOOKUP(C1868,'Project Details'!$C$17:$C$66,'Project Details'!$E$17:$E$66,"",0)</f>
        <v>0</v>
      </c>
      <c r="J1868" s="35">
        <f>_xlfn.XLOOKUP(C1868,'Project Details'!$C$17:$C$66,'Project Details'!$H$17:$H$66,"",0)</f>
        <v>0</v>
      </c>
      <c r="K1868" s="36" t="str">
        <f>IF(AND(_xlfn.XLOOKUP(C1868,'Project Details'!$C$17:$C$66,'Project Details'!$L$17:$L$66,"",0)&gt;550, F1868="Spring-L27cm"),"",SUBSTITUTE(_xlfn.XLOOKUP(G1868,SKUs!$C$2:$C$10001,SKUs!$F$2:$F$10001,"",0), " Accessories",""))</f>
        <v/>
      </c>
      <c r="L1868" s="36">
        <f>_xlfn.XLOOKUP(C1868,'Project Details'!$C$17:$C$66,'Project Details'!$D$17:$D$66,"",0)</f>
        <v>0</v>
      </c>
      <c r="M1868" s="43"/>
    </row>
    <row r="1869" spans="1:13" x14ac:dyDescent="0.25">
      <c r="A1869" s="43"/>
      <c r="B1869" s="43"/>
      <c r="C1869" s="16">
        <f t="shared" si="36"/>
        <v>38</v>
      </c>
      <c r="D1869" s="16" t="str" cm="1">
        <f t="array" ref="D1869">IFERROR(ROUNDUP(_xlfn.IFS(F1869="Aluminum Track", _xlfn.XLOOKUP(C1869, dd_accsrycalc!$A$2:$A$51, dd_accsrycalc!$B$2:$B$51, "",0), F1869="10 x 2 1/2 S (Flat)", _xlfn.XLOOKUP(C1869, dd_accsrycalc!$A$2:$A$51, dd_accsrycalc!$C$2:$C$51, "",0), F1869="Tox6", _xlfn.XLOOKUP(C1869, dd_accsrycalc!$A$2:$A$51, dd_accsrycalc!$D$2:$D$51, "",0), F1869="Cover Cap", _xlfn.XLOOKUP(C1869, dd_accsrycalc!$A$2:$A$51, dd_accsrycalc!$E$2:$E$51, "",0), F1869="Drainage Cover", _xlfn.XLOOKUP(C1869, dd_accsrycalc!$A$2:$A$51, dd_accsrycalc!$F$2:$F$51, "",0),AND( F1869="Double Adhesive Tape", I1869="Roll-up Screen"), _xlfn.XLOOKUP(C1869, calc_rusacc!$C$15:$C$65, calc_rusacc!$AD$15:$AD$65, "",0),AND( F1869="Sealant", I1869="Roll-up Screen"), _xlfn.XLOOKUP(C1869, calc_rusacc!$C$15:$C$65, calc_rusacc!$AF$15:$AF$65, "",0),  AND( F1869="Main Chain", I1869="Accordion Screen"), _xlfn.XLOOKUP(C1869, calc_rusacc!$C$15:$C$65, calc_rusacc!$BF$15:$BF$65, "",0), AND( F1869="Sealant", I1869="Accordion Screen"), _xlfn.XLOOKUP(C1869, calc_rusacc!$C$15:$C$65, calc_rusacc!$BJ$15:$BJ$65, "",0),  F1869="Sealant", _xlfn.XLOOKUP(C1869, dd_accsrycalc!$A$2:$A$51, dd_accsrycalc!$G$2:$G$51, "",0),  F1869&lt;&gt;"",L1869*_xlfn.XLOOKUP(1, (SKUs!$C$2:$C$10001=G1869)*(SKUs!$K$2:$K$10001=I1869),SKUs!$E$2:$E$10001)), 0),"")</f>
        <v/>
      </c>
      <c r="E1869" s="16" t="str">
        <f>_xlfn.XLOOKUP(F1869,dd_item!$B$2:$B$105,dd_item!$C$2:$C$105,"",0)</f>
        <v/>
      </c>
      <c r="F1869" s="16"/>
      <c r="G1869" s="16" cm="1">
        <f t="array" ref="G1869">IFERROR(_xlfn.XLOOKUP(1, (SKUs!$J$2:$J$10001=accsry_unmerged!F1869)*IF(H1869&lt;&gt;"",(SKUs!$L$2:$L$10001=accsry_unmerged!H1869),1)*(SKUs!$K$2:$K$10001=I1869),SKUs!$C$2:$C$10001),"")</f>
        <v>0</v>
      </c>
      <c r="H1869" s="33" cm="1">
        <f t="array" ref="H1869">IFERROR(_xlfn.XLOOKUP(1, (dd_accsryclr!$C$2:$C$1000=accsry_unmerged!F1869)*(dd_accsryclr!$B$2:$B$1000=accsry_unmerged!J1869),dd_accsryclr!$A$2:$A$1000),"")</f>
        <v>0</v>
      </c>
      <c r="I1869" s="16">
        <f>_xlfn.XLOOKUP(C1869,'Project Details'!$C$17:$C$66,'Project Details'!$E$17:$E$66,"",0)</f>
        <v>0</v>
      </c>
      <c r="J1869" s="16">
        <f>_xlfn.XLOOKUP(C1869,'Project Details'!$C$17:$C$66,'Project Details'!$H$17:$H$66,"",0)</f>
        <v>0</v>
      </c>
      <c r="K1869" s="33" t="str">
        <f>IF(AND(_xlfn.XLOOKUP(C1869,'Project Details'!$C$17:$C$66,'Project Details'!$L$17:$L$66,"",0)&gt;550, F1869="Spring-L27cm"),"",SUBSTITUTE(_xlfn.XLOOKUP(G1869,SKUs!$C$2:$C$10001,SKUs!$F$2:$F$10001,"",0), " Accessories",""))</f>
        <v/>
      </c>
      <c r="L1869" s="33">
        <f>_xlfn.XLOOKUP(C1869,'Project Details'!$C$17:$C$66,'Project Details'!$D$17:$D$66,"",0)</f>
        <v>0</v>
      </c>
      <c r="M1869" s="43"/>
    </row>
    <row r="1870" spans="1:13" x14ac:dyDescent="0.25">
      <c r="A1870" s="43"/>
      <c r="B1870" s="43"/>
      <c r="C1870" s="35">
        <f t="shared" si="36"/>
        <v>38</v>
      </c>
      <c r="D1870" s="35" t="str" cm="1">
        <f t="array" ref="D1870">IFERROR(ROUNDUP(_xlfn.IFS(F1870="Aluminum Track", _xlfn.XLOOKUP(C1870, dd_accsrycalc!$A$2:$A$51, dd_accsrycalc!$B$2:$B$51, "",0), F1870="10 x 2 1/2 S (Flat)", _xlfn.XLOOKUP(C1870, dd_accsrycalc!$A$2:$A$51, dd_accsrycalc!$C$2:$C$51, "",0), F1870="Tox6", _xlfn.XLOOKUP(C1870, dd_accsrycalc!$A$2:$A$51, dd_accsrycalc!$D$2:$D$51, "",0), F1870="Cover Cap", _xlfn.XLOOKUP(C1870, dd_accsrycalc!$A$2:$A$51, dd_accsrycalc!$E$2:$E$51, "",0), F1870="Drainage Cover", _xlfn.XLOOKUP(C1870, dd_accsrycalc!$A$2:$A$51, dd_accsrycalc!$F$2:$F$51, "",0),AND( F1870="Double Adhesive Tape", I1870="Roll-up Screen"), _xlfn.XLOOKUP(C1870, calc_rusacc!$C$15:$C$65, calc_rusacc!$AD$15:$AD$65, "",0),AND( F1870="Sealant", I1870="Roll-up Screen"), _xlfn.XLOOKUP(C1870, calc_rusacc!$C$15:$C$65, calc_rusacc!$AF$15:$AF$65, "",0),  AND( F1870="Main Chain", I1870="Accordion Screen"), _xlfn.XLOOKUP(C1870, calc_rusacc!$C$15:$C$65, calc_rusacc!$BF$15:$BF$65, "",0), AND( F1870="Sealant", I1870="Accordion Screen"), _xlfn.XLOOKUP(C1870, calc_rusacc!$C$15:$C$65, calc_rusacc!$BJ$15:$BJ$65, "",0),  F1870="Sealant", _xlfn.XLOOKUP(C1870, dd_accsrycalc!$A$2:$A$51, dd_accsrycalc!$G$2:$G$51, "",0),  F1870&lt;&gt;"",L1870*_xlfn.XLOOKUP(1, (SKUs!$C$2:$C$10001=G1870)*(SKUs!$K$2:$K$10001=I1870),SKUs!$E$2:$E$10001)), 0),"")</f>
        <v/>
      </c>
      <c r="E1870" s="35" t="str">
        <f>_xlfn.XLOOKUP(F1870,dd_item!$B$2:$B$105,dd_item!$C$2:$C$105,"",0)</f>
        <v/>
      </c>
      <c r="F1870" s="35"/>
      <c r="G1870" s="35" cm="1">
        <f t="array" ref="G1870">IFERROR(_xlfn.XLOOKUP(1, (SKUs!$J$2:$J$10001=accsry_unmerged!F1870)*IF(H1870&lt;&gt;"",(SKUs!$L$2:$L$10001=accsry_unmerged!H1870),1)*(SKUs!$K$2:$K$10001=I1870),SKUs!$C$2:$C$10001),"")</f>
        <v>0</v>
      </c>
      <c r="H1870" s="36" cm="1">
        <f t="array" ref="H1870">IFERROR(_xlfn.XLOOKUP(1, (dd_accsryclr!$C$2:$C$1000=accsry_unmerged!F1870)*(dd_accsryclr!$B$2:$B$1000=accsry_unmerged!J1870),dd_accsryclr!$A$2:$A$1000),"")</f>
        <v>0</v>
      </c>
      <c r="I1870" s="35">
        <f>_xlfn.XLOOKUP(C1870,'Project Details'!$C$17:$C$66,'Project Details'!$E$17:$E$66,"",0)</f>
        <v>0</v>
      </c>
      <c r="J1870" s="35">
        <f>_xlfn.XLOOKUP(C1870,'Project Details'!$C$17:$C$66,'Project Details'!$H$17:$H$66,"",0)</f>
        <v>0</v>
      </c>
      <c r="K1870" s="36" t="str">
        <f>IF(AND(_xlfn.XLOOKUP(C1870,'Project Details'!$C$17:$C$66,'Project Details'!$L$17:$L$66,"",0)&gt;550, F1870="Spring-L27cm"),"",SUBSTITUTE(_xlfn.XLOOKUP(G1870,SKUs!$C$2:$C$10001,SKUs!$F$2:$F$10001,"",0), " Accessories",""))</f>
        <v/>
      </c>
      <c r="L1870" s="36">
        <f>_xlfn.XLOOKUP(C1870,'Project Details'!$C$17:$C$66,'Project Details'!$D$17:$D$66,"",0)</f>
        <v>0</v>
      </c>
      <c r="M1870" s="43"/>
    </row>
    <row r="1871" spans="1:13" x14ac:dyDescent="0.25">
      <c r="A1871" s="43"/>
      <c r="B1871" s="43"/>
      <c r="C1871" s="16">
        <f t="shared" si="36"/>
        <v>38</v>
      </c>
      <c r="D1871" s="16" t="str" cm="1">
        <f t="array" ref="D1871">IFERROR(ROUNDUP(_xlfn.IFS(F1871="Aluminum Track", _xlfn.XLOOKUP(C1871, dd_accsrycalc!$A$2:$A$51, dd_accsrycalc!$B$2:$B$51, "",0), F1871="10 x 2 1/2 S (Flat)", _xlfn.XLOOKUP(C1871, dd_accsrycalc!$A$2:$A$51, dd_accsrycalc!$C$2:$C$51, "",0), F1871="Tox6", _xlfn.XLOOKUP(C1871, dd_accsrycalc!$A$2:$A$51, dd_accsrycalc!$D$2:$D$51, "",0), F1871="Cover Cap", _xlfn.XLOOKUP(C1871, dd_accsrycalc!$A$2:$A$51, dd_accsrycalc!$E$2:$E$51, "",0), F1871="Drainage Cover", _xlfn.XLOOKUP(C1871, dd_accsrycalc!$A$2:$A$51, dd_accsrycalc!$F$2:$F$51, "",0),AND( F1871="Double Adhesive Tape", I1871="Roll-up Screen"), _xlfn.XLOOKUP(C1871, calc_rusacc!$C$15:$C$65, calc_rusacc!$AD$15:$AD$65, "",0),AND( F1871="Sealant", I1871="Roll-up Screen"), _xlfn.XLOOKUP(C1871, calc_rusacc!$C$15:$C$65, calc_rusacc!$AF$15:$AF$65, "",0),  AND( F1871="Main Chain", I1871="Accordion Screen"), _xlfn.XLOOKUP(C1871, calc_rusacc!$C$15:$C$65, calc_rusacc!$BF$15:$BF$65, "",0), AND( F1871="Sealant", I1871="Accordion Screen"), _xlfn.XLOOKUP(C1871, calc_rusacc!$C$15:$C$65, calc_rusacc!$BJ$15:$BJ$65, "",0),  F1871="Sealant", _xlfn.XLOOKUP(C1871, dd_accsrycalc!$A$2:$A$51, dd_accsrycalc!$G$2:$G$51, "",0),  F1871&lt;&gt;"",L1871*_xlfn.XLOOKUP(1, (SKUs!$C$2:$C$10001=G1871)*(SKUs!$K$2:$K$10001=I1871),SKUs!$E$2:$E$10001)), 0),"")</f>
        <v/>
      </c>
      <c r="E1871" s="16" t="str">
        <f>_xlfn.XLOOKUP(F1871,dd_item!$B$2:$B$105,dd_item!$C$2:$C$105,"",0)</f>
        <v/>
      </c>
      <c r="F1871" s="16"/>
      <c r="G1871" s="16" cm="1">
        <f t="array" ref="G1871">IFERROR(_xlfn.XLOOKUP(1, (SKUs!$J$2:$J$10001=accsry_unmerged!F1871)*IF(H1871&lt;&gt;"",(SKUs!$L$2:$L$10001=accsry_unmerged!H1871),1)*(SKUs!$K$2:$K$10001=I1871),SKUs!$C$2:$C$10001),"")</f>
        <v>0</v>
      </c>
      <c r="H1871" s="33" cm="1">
        <f t="array" ref="H1871">IFERROR(_xlfn.XLOOKUP(1, (dd_accsryclr!$C$2:$C$1000=accsry_unmerged!F1871)*(dd_accsryclr!$B$2:$B$1000=accsry_unmerged!J1871),dd_accsryclr!$A$2:$A$1000),"")</f>
        <v>0</v>
      </c>
      <c r="I1871" s="16">
        <f>_xlfn.XLOOKUP(C1871,'Project Details'!$C$17:$C$66,'Project Details'!$E$17:$E$66,"",0)</f>
        <v>0</v>
      </c>
      <c r="J1871" s="16">
        <f>_xlfn.XLOOKUP(C1871,'Project Details'!$C$17:$C$66,'Project Details'!$H$17:$H$66,"",0)</f>
        <v>0</v>
      </c>
      <c r="K1871" s="33" t="str">
        <f>IF(AND(_xlfn.XLOOKUP(C1871,'Project Details'!$C$17:$C$66,'Project Details'!$L$17:$L$66,"",0)&gt;550, F1871="Spring-L27cm"),"",SUBSTITUTE(_xlfn.XLOOKUP(G1871,SKUs!$C$2:$C$10001,SKUs!$F$2:$F$10001,"",0), " Accessories",""))</f>
        <v/>
      </c>
      <c r="L1871" s="33">
        <f>_xlfn.XLOOKUP(C1871,'Project Details'!$C$17:$C$66,'Project Details'!$D$17:$D$66,"",0)</f>
        <v>0</v>
      </c>
      <c r="M1871" s="43"/>
    </row>
    <row r="1872" spans="1:13" x14ac:dyDescent="0.25">
      <c r="A1872" s="43"/>
      <c r="B1872" s="43"/>
      <c r="C1872" s="35">
        <f t="shared" si="36"/>
        <v>38</v>
      </c>
      <c r="D1872" s="35" t="str" cm="1">
        <f t="array" ref="D1872">IFERROR(ROUNDUP(_xlfn.IFS(F1872="Aluminum Track", _xlfn.XLOOKUP(C1872, dd_accsrycalc!$A$2:$A$51, dd_accsrycalc!$B$2:$B$51, "",0), F1872="10 x 2 1/2 S (Flat)", _xlfn.XLOOKUP(C1872, dd_accsrycalc!$A$2:$A$51, dd_accsrycalc!$C$2:$C$51, "",0), F1872="Tox6", _xlfn.XLOOKUP(C1872, dd_accsrycalc!$A$2:$A$51, dd_accsrycalc!$D$2:$D$51, "",0), F1872="Cover Cap", _xlfn.XLOOKUP(C1872, dd_accsrycalc!$A$2:$A$51, dd_accsrycalc!$E$2:$E$51, "",0), F1872="Drainage Cover", _xlfn.XLOOKUP(C1872, dd_accsrycalc!$A$2:$A$51, dd_accsrycalc!$F$2:$F$51, "",0),AND( F1872="Double Adhesive Tape", I1872="Roll-up Screen"), _xlfn.XLOOKUP(C1872, calc_rusacc!$C$15:$C$65, calc_rusacc!$AD$15:$AD$65, "",0),AND( F1872="Sealant", I1872="Roll-up Screen"), _xlfn.XLOOKUP(C1872, calc_rusacc!$C$15:$C$65, calc_rusacc!$AF$15:$AF$65, "",0),  AND( F1872="Main Chain", I1872="Accordion Screen"), _xlfn.XLOOKUP(C1872, calc_rusacc!$C$15:$C$65, calc_rusacc!$BF$15:$BF$65, "",0), AND( F1872="Sealant", I1872="Accordion Screen"), _xlfn.XLOOKUP(C1872, calc_rusacc!$C$15:$C$65, calc_rusacc!$BJ$15:$BJ$65, "",0),  F1872="Sealant", _xlfn.XLOOKUP(C1872, dd_accsrycalc!$A$2:$A$51, dd_accsrycalc!$G$2:$G$51, "",0),  F1872&lt;&gt;"",L1872*_xlfn.XLOOKUP(1, (SKUs!$C$2:$C$10001=G1872)*(SKUs!$K$2:$K$10001=I1872),SKUs!$E$2:$E$10001)), 0),"")</f>
        <v/>
      </c>
      <c r="E1872" s="35" t="str">
        <f>_xlfn.XLOOKUP(F1872,dd_item!$B$2:$B$105,dd_item!$C$2:$C$105,"",0)</f>
        <v/>
      </c>
      <c r="F1872" s="35"/>
      <c r="G1872" s="35" cm="1">
        <f t="array" ref="G1872">IFERROR(_xlfn.XLOOKUP(1, (SKUs!$J$2:$J$10001=accsry_unmerged!F1872)*IF(H1872&lt;&gt;"",(SKUs!$L$2:$L$10001=accsry_unmerged!H1872),1)*(SKUs!$K$2:$K$10001=I1872),SKUs!$C$2:$C$10001),"")</f>
        <v>0</v>
      </c>
      <c r="H1872" s="36" cm="1">
        <f t="array" ref="H1872">IFERROR(_xlfn.XLOOKUP(1, (dd_accsryclr!$C$2:$C$1000=accsry_unmerged!F1872)*(dd_accsryclr!$B$2:$B$1000=accsry_unmerged!J1872),dd_accsryclr!$A$2:$A$1000),"")</f>
        <v>0</v>
      </c>
      <c r="I1872" s="35">
        <f>_xlfn.XLOOKUP(C1872,'Project Details'!$C$17:$C$66,'Project Details'!$E$17:$E$66,"",0)</f>
        <v>0</v>
      </c>
      <c r="J1872" s="35">
        <f>_xlfn.XLOOKUP(C1872,'Project Details'!$C$17:$C$66,'Project Details'!$H$17:$H$66,"",0)</f>
        <v>0</v>
      </c>
      <c r="K1872" s="36" t="str">
        <f>IF(AND(_xlfn.XLOOKUP(C1872,'Project Details'!$C$17:$C$66,'Project Details'!$L$17:$L$66,"",0)&gt;550, F1872="Spring-L27cm"),"",SUBSTITUTE(_xlfn.XLOOKUP(G1872,SKUs!$C$2:$C$10001,SKUs!$F$2:$F$10001,"",0), " Accessories",""))</f>
        <v/>
      </c>
      <c r="L1872" s="36">
        <f>_xlfn.XLOOKUP(C1872,'Project Details'!$C$17:$C$66,'Project Details'!$D$17:$D$66,"",0)</f>
        <v>0</v>
      </c>
      <c r="M1872" s="43"/>
    </row>
    <row r="1873" spans="1:13" x14ac:dyDescent="0.25">
      <c r="A1873" s="43"/>
      <c r="B1873" s="43"/>
      <c r="C1873" s="16">
        <f t="shared" si="36"/>
        <v>38</v>
      </c>
      <c r="D1873" s="16" t="str" cm="1">
        <f t="array" ref="D1873">IFERROR(ROUNDUP(_xlfn.IFS(F1873="Aluminum Track", _xlfn.XLOOKUP(C1873, dd_accsrycalc!$A$2:$A$51, dd_accsrycalc!$B$2:$B$51, "",0), F1873="10 x 2 1/2 S (Flat)", _xlfn.XLOOKUP(C1873, dd_accsrycalc!$A$2:$A$51, dd_accsrycalc!$C$2:$C$51, "",0), F1873="Tox6", _xlfn.XLOOKUP(C1873, dd_accsrycalc!$A$2:$A$51, dd_accsrycalc!$D$2:$D$51, "",0), F1873="Cover Cap", _xlfn.XLOOKUP(C1873, dd_accsrycalc!$A$2:$A$51, dd_accsrycalc!$E$2:$E$51, "",0), F1873="Drainage Cover", _xlfn.XLOOKUP(C1873, dd_accsrycalc!$A$2:$A$51, dd_accsrycalc!$F$2:$F$51, "",0),AND( F1873="Double Adhesive Tape", I1873="Roll-up Screen"), _xlfn.XLOOKUP(C1873, calc_rusacc!$C$15:$C$65, calc_rusacc!$AD$15:$AD$65, "",0),AND( F1873="Sealant", I1873="Roll-up Screen"), _xlfn.XLOOKUP(C1873, calc_rusacc!$C$15:$C$65, calc_rusacc!$AF$15:$AF$65, "",0),  AND( F1873="Main Chain", I1873="Accordion Screen"), _xlfn.XLOOKUP(C1873, calc_rusacc!$C$15:$C$65, calc_rusacc!$BF$15:$BF$65, "",0), AND( F1873="Sealant", I1873="Accordion Screen"), _xlfn.XLOOKUP(C1873, calc_rusacc!$C$15:$C$65, calc_rusacc!$BJ$15:$BJ$65, "",0),  F1873="Sealant", _xlfn.XLOOKUP(C1873, dd_accsrycalc!$A$2:$A$51, dd_accsrycalc!$G$2:$G$51, "",0),  F1873&lt;&gt;"",L1873*_xlfn.XLOOKUP(1, (SKUs!$C$2:$C$10001=G1873)*(SKUs!$K$2:$K$10001=I1873),SKUs!$E$2:$E$10001)), 0),"")</f>
        <v/>
      </c>
      <c r="E1873" s="16" t="str">
        <f>_xlfn.XLOOKUP(F1873,dd_item!$B$2:$B$105,dd_item!$C$2:$C$105,"",0)</f>
        <v/>
      </c>
      <c r="F1873" s="16"/>
      <c r="G1873" s="16" cm="1">
        <f t="array" ref="G1873">IFERROR(_xlfn.XLOOKUP(1, (SKUs!$J$2:$J$10001=accsry_unmerged!F1873)*IF(H1873&lt;&gt;"",(SKUs!$L$2:$L$10001=accsry_unmerged!H1873),1)*(SKUs!$K$2:$K$10001=I1873),SKUs!$C$2:$C$10001),"")</f>
        <v>0</v>
      </c>
      <c r="H1873" s="33" cm="1">
        <f t="array" ref="H1873">IFERROR(_xlfn.XLOOKUP(1, (dd_accsryclr!$C$2:$C$1000=accsry_unmerged!F1873)*(dd_accsryclr!$B$2:$B$1000=accsry_unmerged!J1873),dd_accsryclr!$A$2:$A$1000),"")</f>
        <v>0</v>
      </c>
      <c r="I1873" s="16">
        <f>_xlfn.XLOOKUP(C1873,'Project Details'!$C$17:$C$66,'Project Details'!$E$17:$E$66,"",0)</f>
        <v>0</v>
      </c>
      <c r="J1873" s="16">
        <f>_xlfn.XLOOKUP(C1873,'Project Details'!$C$17:$C$66,'Project Details'!$H$17:$H$66,"",0)</f>
        <v>0</v>
      </c>
      <c r="K1873" s="33" t="str">
        <f>IF(AND(_xlfn.XLOOKUP(C1873,'Project Details'!$C$17:$C$66,'Project Details'!$L$17:$L$66,"",0)&gt;550, F1873="Spring-L27cm"),"",SUBSTITUTE(_xlfn.XLOOKUP(G1873,SKUs!$C$2:$C$10001,SKUs!$F$2:$F$10001,"",0), " Accessories",""))</f>
        <v/>
      </c>
      <c r="L1873" s="33">
        <f>_xlfn.XLOOKUP(C1873,'Project Details'!$C$17:$C$66,'Project Details'!$D$17:$D$66,"",0)</f>
        <v>0</v>
      </c>
      <c r="M1873" s="43"/>
    </row>
    <row r="1874" spans="1:13" x14ac:dyDescent="0.25">
      <c r="A1874" s="43"/>
      <c r="B1874" s="43"/>
      <c r="C1874" s="35">
        <f t="shared" si="36"/>
        <v>38</v>
      </c>
      <c r="D1874" s="35" t="str" cm="1">
        <f t="array" ref="D1874">IFERROR(ROUNDUP(_xlfn.IFS(F1874="Aluminum Track", _xlfn.XLOOKUP(C1874, dd_accsrycalc!$A$2:$A$51, dd_accsrycalc!$B$2:$B$51, "",0), F1874="10 x 2 1/2 S (Flat)", _xlfn.XLOOKUP(C1874, dd_accsrycalc!$A$2:$A$51, dd_accsrycalc!$C$2:$C$51, "",0), F1874="Tox6", _xlfn.XLOOKUP(C1874, dd_accsrycalc!$A$2:$A$51, dd_accsrycalc!$D$2:$D$51, "",0), F1874="Cover Cap", _xlfn.XLOOKUP(C1874, dd_accsrycalc!$A$2:$A$51, dd_accsrycalc!$E$2:$E$51, "",0), F1874="Drainage Cover", _xlfn.XLOOKUP(C1874, dd_accsrycalc!$A$2:$A$51, dd_accsrycalc!$F$2:$F$51, "",0),AND( F1874="Double Adhesive Tape", I1874="Roll-up Screen"), _xlfn.XLOOKUP(C1874, calc_rusacc!$C$15:$C$65, calc_rusacc!$AD$15:$AD$65, "",0),AND( F1874="Sealant", I1874="Roll-up Screen"), _xlfn.XLOOKUP(C1874, calc_rusacc!$C$15:$C$65, calc_rusacc!$AF$15:$AF$65, "",0),  AND( F1874="Main Chain", I1874="Accordion Screen"), _xlfn.XLOOKUP(C1874, calc_rusacc!$C$15:$C$65, calc_rusacc!$BF$15:$BF$65, "",0), AND( F1874="Sealant", I1874="Accordion Screen"), _xlfn.XLOOKUP(C1874, calc_rusacc!$C$15:$C$65, calc_rusacc!$BJ$15:$BJ$65, "",0),  F1874="Sealant", _xlfn.XLOOKUP(C1874, dd_accsrycalc!$A$2:$A$51, dd_accsrycalc!$G$2:$G$51, "",0),  F1874&lt;&gt;"",L1874*_xlfn.XLOOKUP(1, (SKUs!$C$2:$C$10001=G1874)*(SKUs!$K$2:$K$10001=I1874),SKUs!$E$2:$E$10001)), 0),"")</f>
        <v/>
      </c>
      <c r="E1874" s="35" t="str">
        <f>_xlfn.XLOOKUP(F1874,dd_item!$B$2:$B$105,dd_item!$C$2:$C$105,"",0)</f>
        <v/>
      </c>
      <c r="F1874" s="35"/>
      <c r="G1874" s="35" cm="1">
        <f t="array" ref="G1874">IFERROR(_xlfn.XLOOKUP(1, (SKUs!$J$2:$J$10001=accsry_unmerged!F1874)*IF(H1874&lt;&gt;"",(SKUs!$L$2:$L$10001=accsry_unmerged!H1874),1)*(SKUs!$K$2:$K$10001=I1874),SKUs!$C$2:$C$10001),"")</f>
        <v>0</v>
      </c>
      <c r="H1874" s="36" cm="1">
        <f t="array" ref="H1874">IFERROR(_xlfn.XLOOKUP(1, (dd_accsryclr!$C$2:$C$1000=accsry_unmerged!F1874)*(dd_accsryclr!$B$2:$B$1000=accsry_unmerged!J1874),dd_accsryclr!$A$2:$A$1000),"")</f>
        <v>0</v>
      </c>
      <c r="I1874" s="35">
        <f>_xlfn.XLOOKUP(C1874,'Project Details'!$C$17:$C$66,'Project Details'!$E$17:$E$66,"",0)</f>
        <v>0</v>
      </c>
      <c r="J1874" s="35">
        <f>_xlfn.XLOOKUP(C1874,'Project Details'!$C$17:$C$66,'Project Details'!$H$17:$H$66,"",0)</f>
        <v>0</v>
      </c>
      <c r="K1874" s="36" t="str">
        <f>IF(AND(_xlfn.XLOOKUP(C1874,'Project Details'!$C$17:$C$66,'Project Details'!$L$17:$L$66,"",0)&gt;550, F1874="Spring-L27cm"),"",SUBSTITUTE(_xlfn.XLOOKUP(G1874,SKUs!$C$2:$C$10001,SKUs!$F$2:$F$10001,"",0), " Accessories",""))</f>
        <v/>
      </c>
      <c r="L1874" s="36">
        <f>_xlfn.XLOOKUP(C1874,'Project Details'!$C$17:$C$66,'Project Details'!$D$17:$D$66,"",0)</f>
        <v>0</v>
      </c>
      <c r="M1874" s="43"/>
    </row>
    <row r="1875" spans="1:13" x14ac:dyDescent="0.25">
      <c r="A1875" s="43"/>
      <c r="B1875" s="43"/>
      <c r="C1875" s="16">
        <f t="shared" si="36"/>
        <v>38</v>
      </c>
      <c r="D1875" s="16" t="str" cm="1">
        <f t="array" ref="D1875">IFERROR(ROUNDUP(_xlfn.IFS(F1875="Aluminum Track", _xlfn.XLOOKUP(C1875, dd_accsrycalc!$A$2:$A$51, dd_accsrycalc!$B$2:$B$51, "",0), F1875="10 x 2 1/2 S (Flat)", _xlfn.XLOOKUP(C1875, dd_accsrycalc!$A$2:$A$51, dd_accsrycalc!$C$2:$C$51, "",0), F1875="Tox6", _xlfn.XLOOKUP(C1875, dd_accsrycalc!$A$2:$A$51, dd_accsrycalc!$D$2:$D$51, "",0), F1875="Cover Cap", _xlfn.XLOOKUP(C1875, dd_accsrycalc!$A$2:$A$51, dd_accsrycalc!$E$2:$E$51, "",0), F1875="Drainage Cover", _xlfn.XLOOKUP(C1875, dd_accsrycalc!$A$2:$A$51, dd_accsrycalc!$F$2:$F$51, "",0),AND( F1875="Double Adhesive Tape", I1875="Roll-up Screen"), _xlfn.XLOOKUP(C1875, calc_rusacc!$C$15:$C$65, calc_rusacc!$AD$15:$AD$65, "",0),AND( F1875="Sealant", I1875="Roll-up Screen"), _xlfn.XLOOKUP(C1875, calc_rusacc!$C$15:$C$65, calc_rusacc!$AF$15:$AF$65, "",0),  AND( F1875="Main Chain", I1875="Accordion Screen"), _xlfn.XLOOKUP(C1875, calc_rusacc!$C$15:$C$65, calc_rusacc!$BF$15:$BF$65, "",0), AND( F1875="Sealant", I1875="Accordion Screen"), _xlfn.XLOOKUP(C1875, calc_rusacc!$C$15:$C$65, calc_rusacc!$BJ$15:$BJ$65, "",0),  F1875="Sealant", _xlfn.XLOOKUP(C1875, dd_accsrycalc!$A$2:$A$51, dd_accsrycalc!$G$2:$G$51, "",0),  F1875&lt;&gt;"",L1875*_xlfn.XLOOKUP(1, (SKUs!$C$2:$C$10001=G1875)*(SKUs!$K$2:$K$10001=I1875),SKUs!$E$2:$E$10001)), 0),"")</f>
        <v/>
      </c>
      <c r="E1875" s="16" t="str">
        <f>_xlfn.XLOOKUP(F1875,dd_item!$B$2:$B$105,dd_item!$C$2:$C$105,"",0)</f>
        <v/>
      </c>
      <c r="F1875" s="16"/>
      <c r="G1875" s="16" cm="1">
        <f t="array" ref="G1875">IFERROR(_xlfn.XLOOKUP(1, (SKUs!$J$2:$J$10001=accsry_unmerged!F1875)*IF(H1875&lt;&gt;"",(SKUs!$L$2:$L$10001=accsry_unmerged!H1875),1)*(SKUs!$K$2:$K$10001=I1875),SKUs!$C$2:$C$10001),"")</f>
        <v>0</v>
      </c>
      <c r="H1875" s="33" cm="1">
        <f t="array" ref="H1875">IFERROR(_xlfn.XLOOKUP(1, (dd_accsryclr!$C$2:$C$1000=accsry_unmerged!F1875)*(dd_accsryclr!$B$2:$B$1000=accsry_unmerged!J1875),dd_accsryclr!$A$2:$A$1000),"")</f>
        <v>0</v>
      </c>
      <c r="I1875" s="16">
        <f>_xlfn.XLOOKUP(C1875,'Project Details'!$C$17:$C$66,'Project Details'!$E$17:$E$66,"",0)</f>
        <v>0</v>
      </c>
      <c r="J1875" s="16">
        <f>_xlfn.XLOOKUP(C1875,'Project Details'!$C$17:$C$66,'Project Details'!$H$17:$H$66,"",0)</f>
        <v>0</v>
      </c>
      <c r="K1875" s="33" t="str">
        <f>IF(AND(_xlfn.XLOOKUP(C1875,'Project Details'!$C$17:$C$66,'Project Details'!$L$17:$L$66,"",0)&gt;550, F1875="Spring-L27cm"),"",SUBSTITUTE(_xlfn.XLOOKUP(G1875,SKUs!$C$2:$C$10001,SKUs!$F$2:$F$10001,"",0), " Accessories",""))</f>
        <v/>
      </c>
      <c r="L1875" s="33">
        <f>_xlfn.XLOOKUP(C1875,'Project Details'!$C$17:$C$66,'Project Details'!$D$17:$D$66,"",0)</f>
        <v>0</v>
      </c>
      <c r="M1875" s="43"/>
    </row>
    <row r="1876" spans="1:13" x14ac:dyDescent="0.25">
      <c r="A1876" s="43"/>
      <c r="B1876" s="43"/>
      <c r="C1876" s="35">
        <f t="shared" si="36"/>
        <v>38</v>
      </c>
      <c r="D1876" s="35" t="str" cm="1">
        <f t="array" ref="D1876">IFERROR(ROUNDUP(_xlfn.IFS(F1876="Aluminum Track", _xlfn.XLOOKUP(C1876, dd_accsrycalc!$A$2:$A$51, dd_accsrycalc!$B$2:$B$51, "",0), F1876="10 x 2 1/2 S (Flat)", _xlfn.XLOOKUP(C1876, dd_accsrycalc!$A$2:$A$51, dd_accsrycalc!$C$2:$C$51, "",0), F1876="Tox6", _xlfn.XLOOKUP(C1876, dd_accsrycalc!$A$2:$A$51, dd_accsrycalc!$D$2:$D$51, "",0), F1876="Cover Cap", _xlfn.XLOOKUP(C1876, dd_accsrycalc!$A$2:$A$51, dd_accsrycalc!$E$2:$E$51, "",0), F1876="Drainage Cover", _xlfn.XLOOKUP(C1876, dd_accsrycalc!$A$2:$A$51, dd_accsrycalc!$F$2:$F$51, "",0),AND( F1876="Double Adhesive Tape", I1876="Roll-up Screen"), _xlfn.XLOOKUP(C1876, calc_rusacc!$C$15:$C$65, calc_rusacc!$AD$15:$AD$65, "",0),AND( F1876="Sealant", I1876="Roll-up Screen"), _xlfn.XLOOKUP(C1876, calc_rusacc!$C$15:$C$65, calc_rusacc!$AF$15:$AF$65, "",0),  AND( F1876="Main Chain", I1876="Accordion Screen"), _xlfn.XLOOKUP(C1876, calc_rusacc!$C$15:$C$65, calc_rusacc!$BF$15:$BF$65, "",0), AND( F1876="Sealant", I1876="Accordion Screen"), _xlfn.XLOOKUP(C1876, calc_rusacc!$C$15:$C$65, calc_rusacc!$BJ$15:$BJ$65, "",0),  F1876="Sealant", _xlfn.XLOOKUP(C1876, dd_accsrycalc!$A$2:$A$51, dd_accsrycalc!$G$2:$G$51, "",0),  F1876&lt;&gt;"",L1876*_xlfn.XLOOKUP(1, (SKUs!$C$2:$C$10001=G1876)*(SKUs!$K$2:$K$10001=I1876),SKUs!$E$2:$E$10001)), 0),"")</f>
        <v/>
      </c>
      <c r="E1876" s="35" t="str">
        <f>_xlfn.XLOOKUP(F1876,dd_item!$B$2:$B$105,dd_item!$C$2:$C$105,"",0)</f>
        <v/>
      </c>
      <c r="F1876" s="35"/>
      <c r="G1876" s="35" cm="1">
        <f t="array" ref="G1876">IFERROR(_xlfn.XLOOKUP(1, (SKUs!$J$2:$J$10001=accsry_unmerged!F1876)*IF(H1876&lt;&gt;"",(SKUs!$L$2:$L$10001=accsry_unmerged!H1876),1)*(SKUs!$K$2:$K$10001=I1876),SKUs!$C$2:$C$10001),"")</f>
        <v>0</v>
      </c>
      <c r="H1876" s="36" cm="1">
        <f t="array" ref="H1876">IFERROR(_xlfn.XLOOKUP(1, (dd_accsryclr!$C$2:$C$1000=accsry_unmerged!F1876)*(dd_accsryclr!$B$2:$B$1000=accsry_unmerged!J1876),dd_accsryclr!$A$2:$A$1000),"")</f>
        <v>0</v>
      </c>
      <c r="I1876" s="35">
        <f>_xlfn.XLOOKUP(C1876,'Project Details'!$C$17:$C$66,'Project Details'!$E$17:$E$66,"",0)</f>
        <v>0</v>
      </c>
      <c r="J1876" s="35">
        <f>_xlfn.XLOOKUP(C1876,'Project Details'!$C$17:$C$66,'Project Details'!$H$17:$H$66,"",0)</f>
        <v>0</v>
      </c>
      <c r="K1876" s="36" t="str">
        <f>IF(AND(_xlfn.XLOOKUP(C1876,'Project Details'!$C$17:$C$66,'Project Details'!$L$17:$L$66,"",0)&gt;550, F1876="Spring-L27cm"),"",SUBSTITUTE(_xlfn.XLOOKUP(G1876,SKUs!$C$2:$C$10001,SKUs!$F$2:$F$10001,"",0), " Accessories",""))</f>
        <v/>
      </c>
      <c r="L1876" s="36">
        <f>_xlfn.XLOOKUP(C1876,'Project Details'!$C$17:$C$66,'Project Details'!$D$17:$D$66,"",0)</f>
        <v>0</v>
      </c>
      <c r="M1876" s="43"/>
    </row>
    <row r="1877" spans="1:13" x14ac:dyDescent="0.25">
      <c r="A1877" s="43"/>
      <c r="B1877" s="43"/>
      <c r="C1877" s="16">
        <f t="shared" si="36"/>
        <v>38</v>
      </c>
      <c r="D1877" s="16" t="str" cm="1">
        <f t="array" ref="D1877">IFERROR(ROUNDUP(_xlfn.IFS(F1877="Aluminum Track", _xlfn.XLOOKUP(C1877, dd_accsrycalc!$A$2:$A$51, dd_accsrycalc!$B$2:$B$51, "",0), F1877="10 x 2 1/2 S (Flat)", _xlfn.XLOOKUP(C1877, dd_accsrycalc!$A$2:$A$51, dd_accsrycalc!$C$2:$C$51, "",0), F1877="Tox6", _xlfn.XLOOKUP(C1877, dd_accsrycalc!$A$2:$A$51, dd_accsrycalc!$D$2:$D$51, "",0), F1877="Cover Cap", _xlfn.XLOOKUP(C1877, dd_accsrycalc!$A$2:$A$51, dd_accsrycalc!$E$2:$E$51, "",0), F1877="Drainage Cover", _xlfn.XLOOKUP(C1877, dd_accsrycalc!$A$2:$A$51, dd_accsrycalc!$F$2:$F$51, "",0),AND( F1877="Double Adhesive Tape", I1877="Roll-up Screen"), _xlfn.XLOOKUP(C1877, calc_rusacc!$C$15:$C$65, calc_rusacc!$AD$15:$AD$65, "",0),AND( F1877="Sealant", I1877="Roll-up Screen"), _xlfn.XLOOKUP(C1877, calc_rusacc!$C$15:$C$65, calc_rusacc!$AF$15:$AF$65, "",0),  AND( F1877="Main Chain", I1877="Accordion Screen"), _xlfn.XLOOKUP(C1877, calc_rusacc!$C$15:$C$65, calc_rusacc!$BF$15:$BF$65, "",0), AND( F1877="Sealant", I1877="Accordion Screen"), _xlfn.XLOOKUP(C1877, calc_rusacc!$C$15:$C$65, calc_rusacc!$BJ$15:$BJ$65, "",0),  F1877="Sealant", _xlfn.XLOOKUP(C1877, dd_accsrycalc!$A$2:$A$51, dd_accsrycalc!$G$2:$G$51, "",0),  F1877&lt;&gt;"",L1877*_xlfn.XLOOKUP(1, (SKUs!$C$2:$C$10001=G1877)*(SKUs!$K$2:$K$10001=I1877),SKUs!$E$2:$E$10001)), 0),"")</f>
        <v/>
      </c>
      <c r="E1877" s="16" t="str">
        <f>_xlfn.XLOOKUP(F1877,dd_item!$B$2:$B$105,dd_item!$C$2:$C$105,"",0)</f>
        <v/>
      </c>
      <c r="F1877" s="16"/>
      <c r="G1877" s="16" cm="1">
        <f t="array" ref="G1877">IFERROR(_xlfn.XLOOKUP(1, (SKUs!$J$2:$J$10001=accsry_unmerged!F1877)*IF(H1877&lt;&gt;"",(SKUs!$L$2:$L$10001=accsry_unmerged!H1877),1)*(SKUs!$K$2:$K$10001=I1877),SKUs!$C$2:$C$10001),"")</f>
        <v>0</v>
      </c>
      <c r="H1877" s="33" cm="1">
        <f t="array" ref="H1877">IFERROR(_xlfn.XLOOKUP(1, (dd_accsryclr!$C$2:$C$1000=accsry_unmerged!F1877)*(dd_accsryclr!$B$2:$B$1000=accsry_unmerged!J1877),dd_accsryclr!$A$2:$A$1000),"")</f>
        <v>0</v>
      </c>
      <c r="I1877" s="16">
        <f>_xlfn.XLOOKUP(C1877,'Project Details'!$C$17:$C$66,'Project Details'!$E$17:$E$66,"",0)</f>
        <v>0</v>
      </c>
      <c r="J1877" s="16">
        <f>_xlfn.XLOOKUP(C1877,'Project Details'!$C$17:$C$66,'Project Details'!$H$17:$H$66,"",0)</f>
        <v>0</v>
      </c>
      <c r="K1877" s="33" t="str">
        <f>IF(AND(_xlfn.XLOOKUP(C1877,'Project Details'!$C$17:$C$66,'Project Details'!$L$17:$L$66,"",0)&gt;550, F1877="Spring-L27cm"),"",SUBSTITUTE(_xlfn.XLOOKUP(G1877,SKUs!$C$2:$C$10001,SKUs!$F$2:$F$10001,"",0), " Accessories",""))</f>
        <v/>
      </c>
      <c r="L1877" s="33">
        <f>_xlfn.XLOOKUP(C1877,'Project Details'!$C$17:$C$66,'Project Details'!$D$17:$D$66,"",0)</f>
        <v>0</v>
      </c>
      <c r="M1877" s="43"/>
    </row>
    <row r="1878" spans="1:13" x14ac:dyDescent="0.25">
      <c r="A1878" s="43"/>
      <c r="B1878" s="43"/>
      <c r="C1878" s="35">
        <f t="shared" si="36"/>
        <v>38</v>
      </c>
      <c r="D1878" s="35" t="str" cm="1">
        <f t="array" ref="D1878">IFERROR(ROUNDUP(_xlfn.IFS(F1878="Aluminum Track", _xlfn.XLOOKUP(C1878, dd_accsrycalc!$A$2:$A$51, dd_accsrycalc!$B$2:$B$51, "",0), F1878="10 x 2 1/2 S (Flat)", _xlfn.XLOOKUP(C1878, dd_accsrycalc!$A$2:$A$51, dd_accsrycalc!$C$2:$C$51, "",0), F1878="Tox6", _xlfn.XLOOKUP(C1878, dd_accsrycalc!$A$2:$A$51, dd_accsrycalc!$D$2:$D$51, "",0), F1878="Cover Cap", _xlfn.XLOOKUP(C1878, dd_accsrycalc!$A$2:$A$51, dd_accsrycalc!$E$2:$E$51, "",0), F1878="Drainage Cover", _xlfn.XLOOKUP(C1878, dd_accsrycalc!$A$2:$A$51, dd_accsrycalc!$F$2:$F$51, "",0),AND( F1878="Double Adhesive Tape", I1878="Roll-up Screen"), _xlfn.XLOOKUP(C1878, calc_rusacc!$C$15:$C$65, calc_rusacc!$AD$15:$AD$65, "",0),AND( F1878="Sealant", I1878="Roll-up Screen"), _xlfn.XLOOKUP(C1878, calc_rusacc!$C$15:$C$65, calc_rusacc!$AF$15:$AF$65, "",0),  AND( F1878="Main Chain", I1878="Accordion Screen"), _xlfn.XLOOKUP(C1878, calc_rusacc!$C$15:$C$65, calc_rusacc!$BF$15:$BF$65, "",0), AND( F1878="Sealant", I1878="Accordion Screen"), _xlfn.XLOOKUP(C1878, calc_rusacc!$C$15:$C$65, calc_rusacc!$BJ$15:$BJ$65, "",0),  F1878="Sealant", _xlfn.XLOOKUP(C1878, dd_accsrycalc!$A$2:$A$51, dd_accsrycalc!$G$2:$G$51, "",0),  F1878&lt;&gt;"",L1878*_xlfn.XLOOKUP(1, (SKUs!$C$2:$C$10001=G1878)*(SKUs!$K$2:$K$10001=I1878),SKUs!$E$2:$E$10001)), 0),"")</f>
        <v/>
      </c>
      <c r="E1878" s="35" t="str">
        <f>_xlfn.XLOOKUP(F1878,dd_item!$B$2:$B$105,dd_item!$C$2:$C$105,"",0)</f>
        <v/>
      </c>
      <c r="F1878" s="35"/>
      <c r="G1878" s="35" cm="1">
        <f t="array" ref="G1878">IFERROR(_xlfn.XLOOKUP(1, (SKUs!$J$2:$J$10001=accsry_unmerged!F1878)*IF(H1878&lt;&gt;"",(SKUs!$L$2:$L$10001=accsry_unmerged!H1878),1)*(SKUs!$K$2:$K$10001=I1878),SKUs!$C$2:$C$10001),"")</f>
        <v>0</v>
      </c>
      <c r="H1878" s="36" cm="1">
        <f t="array" ref="H1878">IFERROR(_xlfn.XLOOKUP(1, (dd_accsryclr!$C$2:$C$1000=accsry_unmerged!F1878)*(dd_accsryclr!$B$2:$B$1000=accsry_unmerged!J1878),dd_accsryclr!$A$2:$A$1000),"")</f>
        <v>0</v>
      </c>
      <c r="I1878" s="35">
        <f>_xlfn.XLOOKUP(C1878,'Project Details'!$C$17:$C$66,'Project Details'!$E$17:$E$66,"",0)</f>
        <v>0</v>
      </c>
      <c r="J1878" s="35">
        <f>_xlfn.XLOOKUP(C1878,'Project Details'!$C$17:$C$66,'Project Details'!$H$17:$H$66,"",0)</f>
        <v>0</v>
      </c>
      <c r="K1878" s="36" t="str">
        <f>IF(AND(_xlfn.XLOOKUP(C1878,'Project Details'!$C$17:$C$66,'Project Details'!$L$17:$L$66,"",0)&gt;550, F1878="Spring-L27cm"),"",SUBSTITUTE(_xlfn.XLOOKUP(G1878,SKUs!$C$2:$C$10001,SKUs!$F$2:$F$10001,"",0), " Accessories",""))</f>
        <v/>
      </c>
      <c r="L1878" s="36">
        <f>_xlfn.XLOOKUP(C1878,'Project Details'!$C$17:$C$66,'Project Details'!$D$17:$D$66,"",0)</f>
        <v>0</v>
      </c>
      <c r="M1878" s="43"/>
    </row>
    <row r="1879" spans="1:13" x14ac:dyDescent="0.25">
      <c r="A1879" s="43"/>
      <c r="B1879" s="43"/>
      <c r="C1879" s="16">
        <f t="shared" si="36"/>
        <v>38</v>
      </c>
      <c r="D1879" s="16" t="str" cm="1">
        <f t="array" ref="D1879">IFERROR(ROUNDUP(_xlfn.IFS(F1879="Aluminum Track", _xlfn.XLOOKUP(C1879, dd_accsrycalc!$A$2:$A$51, dd_accsrycalc!$B$2:$B$51, "",0), F1879="10 x 2 1/2 S (Flat)", _xlfn.XLOOKUP(C1879, dd_accsrycalc!$A$2:$A$51, dd_accsrycalc!$C$2:$C$51, "",0), F1879="Tox6", _xlfn.XLOOKUP(C1879, dd_accsrycalc!$A$2:$A$51, dd_accsrycalc!$D$2:$D$51, "",0), F1879="Cover Cap", _xlfn.XLOOKUP(C1879, dd_accsrycalc!$A$2:$A$51, dd_accsrycalc!$E$2:$E$51, "",0), F1879="Drainage Cover", _xlfn.XLOOKUP(C1879, dd_accsrycalc!$A$2:$A$51, dd_accsrycalc!$F$2:$F$51, "",0),AND( F1879="Double Adhesive Tape", I1879="Roll-up Screen"), _xlfn.XLOOKUP(C1879, calc_rusacc!$C$15:$C$65, calc_rusacc!$AD$15:$AD$65, "",0),AND( F1879="Sealant", I1879="Roll-up Screen"), _xlfn.XLOOKUP(C1879, calc_rusacc!$C$15:$C$65, calc_rusacc!$AF$15:$AF$65, "",0),  AND( F1879="Main Chain", I1879="Accordion Screen"), _xlfn.XLOOKUP(C1879, calc_rusacc!$C$15:$C$65, calc_rusacc!$BF$15:$BF$65, "",0), AND( F1879="Sealant", I1879="Accordion Screen"), _xlfn.XLOOKUP(C1879, calc_rusacc!$C$15:$C$65, calc_rusacc!$BJ$15:$BJ$65, "",0),  F1879="Sealant", _xlfn.XLOOKUP(C1879, dd_accsrycalc!$A$2:$A$51, dd_accsrycalc!$G$2:$G$51, "",0),  F1879&lt;&gt;"",L1879*_xlfn.XLOOKUP(1, (SKUs!$C$2:$C$10001=G1879)*(SKUs!$K$2:$K$10001=I1879),SKUs!$E$2:$E$10001)), 0),"")</f>
        <v/>
      </c>
      <c r="E1879" s="16" t="str">
        <f>_xlfn.XLOOKUP(F1879,dd_item!$B$2:$B$105,dd_item!$C$2:$C$105,"",0)</f>
        <v/>
      </c>
      <c r="F1879" s="16"/>
      <c r="G1879" s="16" cm="1">
        <f t="array" ref="G1879">IFERROR(_xlfn.XLOOKUP(1, (SKUs!$J$2:$J$10001=accsry_unmerged!F1879)*IF(H1879&lt;&gt;"",(SKUs!$L$2:$L$10001=accsry_unmerged!H1879),1)*(SKUs!$K$2:$K$10001=I1879),SKUs!$C$2:$C$10001),"")</f>
        <v>0</v>
      </c>
      <c r="H1879" s="33" cm="1">
        <f t="array" ref="H1879">IFERROR(_xlfn.XLOOKUP(1, (dd_accsryclr!$C$2:$C$1000=accsry_unmerged!F1879)*(dd_accsryclr!$B$2:$B$1000=accsry_unmerged!J1879),dd_accsryclr!$A$2:$A$1000),"")</f>
        <v>0</v>
      </c>
      <c r="I1879" s="16">
        <f>_xlfn.XLOOKUP(C1879,'Project Details'!$C$17:$C$66,'Project Details'!$E$17:$E$66,"",0)</f>
        <v>0</v>
      </c>
      <c r="J1879" s="16">
        <f>_xlfn.XLOOKUP(C1879,'Project Details'!$C$17:$C$66,'Project Details'!$H$17:$H$66,"",0)</f>
        <v>0</v>
      </c>
      <c r="K1879" s="33" t="str">
        <f>IF(AND(_xlfn.XLOOKUP(C1879,'Project Details'!$C$17:$C$66,'Project Details'!$L$17:$L$66,"",0)&gt;550, F1879="Spring-L27cm"),"",SUBSTITUTE(_xlfn.XLOOKUP(G1879,SKUs!$C$2:$C$10001,SKUs!$F$2:$F$10001,"",0), " Accessories",""))</f>
        <v/>
      </c>
      <c r="L1879" s="33">
        <f>_xlfn.XLOOKUP(C1879,'Project Details'!$C$17:$C$66,'Project Details'!$D$17:$D$66,"",0)</f>
        <v>0</v>
      </c>
      <c r="M1879" s="43"/>
    </row>
    <row r="1880" spans="1:13" x14ac:dyDescent="0.25">
      <c r="A1880" s="43"/>
      <c r="B1880" s="43"/>
      <c r="C1880" s="35">
        <f t="shared" si="36"/>
        <v>38</v>
      </c>
      <c r="D1880" s="35" t="str" cm="1">
        <f t="array" ref="D1880">IFERROR(ROUNDUP(_xlfn.IFS(F1880="Aluminum Track", _xlfn.XLOOKUP(C1880, dd_accsrycalc!$A$2:$A$51, dd_accsrycalc!$B$2:$B$51, "",0), F1880="10 x 2 1/2 S (Flat)", _xlfn.XLOOKUP(C1880, dd_accsrycalc!$A$2:$A$51, dd_accsrycalc!$C$2:$C$51, "",0), F1880="Tox6", _xlfn.XLOOKUP(C1880, dd_accsrycalc!$A$2:$A$51, dd_accsrycalc!$D$2:$D$51, "",0), F1880="Cover Cap", _xlfn.XLOOKUP(C1880, dd_accsrycalc!$A$2:$A$51, dd_accsrycalc!$E$2:$E$51, "",0), F1880="Drainage Cover", _xlfn.XLOOKUP(C1880, dd_accsrycalc!$A$2:$A$51, dd_accsrycalc!$F$2:$F$51, "",0),AND( F1880="Double Adhesive Tape", I1880="Roll-up Screen"), _xlfn.XLOOKUP(C1880, calc_rusacc!$C$15:$C$65, calc_rusacc!$AD$15:$AD$65, "",0),AND( F1880="Sealant", I1880="Roll-up Screen"), _xlfn.XLOOKUP(C1880, calc_rusacc!$C$15:$C$65, calc_rusacc!$AF$15:$AF$65, "",0),  AND( F1880="Main Chain", I1880="Accordion Screen"), _xlfn.XLOOKUP(C1880, calc_rusacc!$C$15:$C$65, calc_rusacc!$BF$15:$BF$65, "",0), AND( F1880="Sealant", I1880="Accordion Screen"), _xlfn.XLOOKUP(C1880, calc_rusacc!$C$15:$C$65, calc_rusacc!$BJ$15:$BJ$65, "",0),  F1880="Sealant", _xlfn.XLOOKUP(C1880, dd_accsrycalc!$A$2:$A$51, dd_accsrycalc!$G$2:$G$51, "",0),  F1880&lt;&gt;"",L1880*_xlfn.XLOOKUP(1, (SKUs!$C$2:$C$10001=G1880)*(SKUs!$K$2:$K$10001=I1880),SKUs!$E$2:$E$10001)), 0),"")</f>
        <v/>
      </c>
      <c r="E1880" s="35" t="str">
        <f>_xlfn.XLOOKUP(F1880,dd_item!$B$2:$B$105,dd_item!$C$2:$C$105,"",0)</f>
        <v/>
      </c>
      <c r="F1880" s="35"/>
      <c r="G1880" s="35" cm="1">
        <f t="array" ref="G1880">IFERROR(_xlfn.XLOOKUP(1, (SKUs!$J$2:$J$10001=accsry_unmerged!F1880)*IF(H1880&lt;&gt;"",(SKUs!$L$2:$L$10001=accsry_unmerged!H1880),1)*(SKUs!$K$2:$K$10001=I1880),SKUs!$C$2:$C$10001),"")</f>
        <v>0</v>
      </c>
      <c r="H1880" s="36" cm="1">
        <f t="array" ref="H1880">IFERROR(_xlfn.XLOOKUP(1, (dd_accsryclr!$C$2:$C$1000=accsry_unmerged!F1880)*(dd_accsryclr!$B$2:$B$1000=accsry_unmerged!J1880),dd_accsryclr!$A$2:$A$1000),"")</f>
        <v>0</v>
      </c>
      <c r="I1880" s="35">
        <f>_xlfn.XLOOKUP(C1880,'Project Details'!$C$17:$C$66,'Project Details'!$E$17:$E$66,"",0)</f>
        <v>0</v>
      </c>
      <c r="J1880" s="35">
        <f>_xlfn.XLOOKUP(C1880,'Project Details'!$C$17:$C$66,'Project Details'!$H$17:$H$66,"",0)</f>
        <v>0</v>
      </c>
      <c r="K1880" s="36" t="str">
        <f>IF(AND(_xlfn.XLOOKUP(C1880,'Project Details'!$C$17:$C$66,'Project Details'!$L$17:$L$66,"",0)&gt;550, F1880="Spring-L27cm"),"",SUBSTITUTE(_xlfn.XLOOKUP(G1880,SKUs!$C$2:$C$10001,SKUs!$F$2:$F$10001,"",0), " Accessories",""))</f>
        <v/>
      </c>
      <c r="L1880" s="36">
        <f>_xlfn.XLOOKUP(C1880,'Project Details'!$C$17:$C$66,'Project Details'!$D$17:$D$66,"",0)</f>
        <v>0</v>
      </c>
      <c r="M1880" s="43"/>
    </row>
    <row r="1881" spans="1:13" x14ac:dyDescent="0.25">
      <c r="A1881" s="43"/>
      <c r="B1881" s="43"/>
      <c r="C1881" s="16">
        <f t="shared" si="36"/>
        <v>38</v>
      </c>
      <c r="D1881" s="16" t="str" cm="1">
        <f t="array" ref="D1881">IFERROR(ROUNDUP(_xlfn.IFS(F1881="Aluminum Track", _xlfn.XLOOKUP(C1881, dd_accsrycalc!$A$2:$A$51, dd_accsrycalc!$B$2:$B$51, "",0), F1881="10 x 2 1/2 S (Flat)", _xlfn.XLOOKUP(C1881, dd_accsrycalc!$A$2:$A$51, dd_accsrycalc!$C$2:$C$51, "",0), F1881="Tox6", _xlfn.XLOOKUP(C1881, dd_accsrycalc!$A$2:$A$51, dd_accsrycalc!$D$2:$D$51, "",0), F1881="Cover Cap", _xlfn.XLOOKUP(C1881, dd_accsrycalc!$A$2:$A$51, dd_accsrycalc!$E$2:$E$51, "",0), F1881="Drainage Cover", _xlfn.XLOOKUP(C1881, dd_accsrycalc!$A$2:$A$51, dd_accsrycalc!$F$2:$F$51, "",0),AND( F1881="Double Adhesive Tape", I1881="Roll-up Screen"), _xlfn.XLOOKUP(C1881, calc_rusacc!$C$15:$C$65, calc_rusacc!$AD$15:$AD$65, "",0),AND( F1881="Sealant", I1881="Roll-up Screen"), _xlfn.XLOOKUP(C1881, calc_rusacc!$C$15:$C$65, calc_rusacc!$AF$15:$AF$65, "",0),  AND( F1881="Main Chain", I1881="Accordion Screen"), _xlfn.XLOOKUP(C1881, calc_rusacc!$C$15:$C$65, calc_rusacc!$BF$15:$BF$65, "",0), AND( F1881="Sealant", I1881="Accordion Screen"), _xlfn.XLOOKUP(C1881, calc_rusacc!$C$15:$C$65, calc_rusacc!$BJ$15:$BJ$65, "",0),  F1881="Sealant", _xlfn.XLOOKUP(C1881, dd_accsrycalc!$A$2:$A$51, dd_accsrycalc!$G$2:$G$51, "",0),  F1881&lt;&gt;"",L1881*_xlfn.XLOOKUP(1, (SKUs!$C$2:$C$10001=G1881)*(SKUs!$K$2:$K$10001=I1881),SKUs!$E$2:$E$10001)), 0),"")</f>
        <v/>
      </c>
      <c r="E1881" s="16" t="str">
        <f>_xlfn.XLOOKUP(F1881,dd_item!$B$2:$B$105,dd_item!$C$2:$C$105,"",0)</f>
        <v/>
      </c>
      <c r="F1881" s="16"/>
      <c r="G1881" s="16" cm="1">
        <f t="array" ref="G1881">IFERROR(_xlfn.XLOOKUP(1, (SKUs!$J$2:$J$10001=accsry_unmerged!F1881)*IF(H1881&lt;&gt;"",(SKUs!$L$2:$L$10001=accsry_unmerged!H1881),1)*(SKUs!$K$2:$K$10001=I1881),SKUs!$C$2:$C$10001),"")</f>
        <v>0</v>
      </c>
      <c r="H1881" s="33" cm="1">
        <f t="array" ref="H1881">IFERROR(_xlfn.XLOOKUP(1, (dd_accsryclr!$C$2:$C$1000=accsry_unmerged!F1881)*(dd_accsryclr!$B$2:$B$1000=accsry_unmerged!J1881),dd_accsryclr!$A$2:$A$1000),"")</f>
        <v>0</v>
      </c>
      <c r="I1881" s="16">
        <f>_xlfn.XLOOKUP(C1881,'Project Details'!$C$17:$C$66,'Project Details'!$E$17:$E$66,"",0)</f>
        <v>0</v>
      </c>
      <c r="J1881" s="16">
        <f>_xlfn.XLOOKUP(C1881,'Project Details'!$C$17:$C$66,'Project Details'!$H$17:$H$66,"",0)</f>
        <v>0</v>
      </c>
      <c r="K1881" s="33" t="str">
        <f>IF(AND(_xlfn.XLOOKUP(C1881,'Project Details'!$C$17:$C$66,'Project Details'!$L$17:$L$66,"",0)&gt;550, F1881="Spring-L27cm"),"",SUBSTITUTE(_xlfn.XLOOKUP(G1881,SKUs!$C$2:$C$10001,SKUs!$F$2:$F$10001,"",0), " Accessories",""))</f>
        <v/>
      </c>
      <c r="L1881" s="33">
        <f>_xlfn.XLOOKUP(C1881,'Project Details'!$C$17:$C$66,'Project Details'!$D$17:$D$66,"",0)</f>
        <v>0</v>
      </c>
      <c r="M1881" s="43"/>
    </row>
    <row r="1882" spans="1:13" x14ac:dyDescent="0.25">
      <c r="A1882" s="43"/>
      <c r="B1882" s="43"/>
      <c r="C1882" s="35">
        <f t="shared" si="36"/>
        <v>38</v>
      </c>
      <c r="D1882" s="35" t="str" cm="1">
        <f t="array" ref="D1882">IFERROR(ROUNDUP(_xlfn.IFS(F1882="Aluminum Track", _xlfn.XLOOKUP(C1882, dd_accsrycalc!$A$2:$A$51, dd_accsrycalc!$B$2:$B$51, "",0), F1882="10 x 2 1/2 S (Flat)", _xlfn.XLOOKUP(C1882, dd_accsrycalc!$A$2:$A$51, dd_accsrycalc!$C$2:$C$51, "",0), F1882="Tox6", _xlfn.XLOOKUP(C1882, dd_accsrycalc!$A$2:$A$51, dd_accsrycalc!$D$2:$D$51, "",0), F1882="Cover Cap", _xlfn.XLOOKUP(C1882, dd_accsrycalc!$A$2:$A$51, dd_accsrycalc!$E$2:$E$51, "",0), F1882="Drainage Cover", _xlfn.XLOOKUP(C1882, dd_accsrycalc!$A$2:$A$51, dd_accsrycalc!$F$2:$F$51, "",0),AND( F1882="Double Adhesive Tape", I1882="Roll-up Screen"), _xlfn.XLOOKUP(C1882, calc_rusacc!$C$15:$C$65, calc_rusacc!$AD$15:$AD$65, "",0),AND( F1882="Sealant", I1882="Roll-up Screen"), _xlfn.XLOOKUP(C1882, calc_rusacc!$C$15:$C$65, calc_rusacc!$AF$15:$AF$65, "",0),  AND( F1882="Main Chain", I1882="Accordion Screen"), _xlfn.XLOOKUP(C1882, calc_rusacc!$C$15:$C$65, calc_rusacc!$BF$15:$BF$65, "",0), AND( F1882="Sealant", I1882="Accordion Screen"), _xlfn.XLOOKUP(C1882, calc_rusacc!$C$15:$C$65, calc_rusacc!$BJ$15:$BJ$65, "",0),  F1882="Sealant", _xlfn.XLOOKUP(C1882, dd_accsrycalc!$A$2:$A$51, dd_accsrycalc!$G$2:$G$51, "",0),  F1882&lt;&gt;"",L1882*_xlfn.XLOOKUP(1, (SKUs!$C$2:$C$10001=G1882)*(SKUs!$K$2:$K$10001=I1882),SKUs!$E$2:$E$10001)), 0),"")</f>
        <v/>
      </c>
      <c r="E1882" s="35" t="str">
        <f>_xlfn.XLOOKUP(F1882,dd_item!$B$2:$B$105,dd_item!$C$2:$C$105,"",0)</f>
        <v/>
      </c>
      <c r="F1882" s="35"/>
      <c r="G1882" s="35" cm="1">
        <f t="array" ref="G1882">IFERROR(_xlfn.XLOOKUP(1, (SKUs!$J$2:$J$10001=accsry_unmerged!F1882)*IF(H1882&lt;&gt;"",(SKUs!$L$2:$L$10001=accsry_unmerged!H1882),1)*(SKUs!$K$2:$K$10001=I1882),SKUs!$C$2:$C$10001),"")</f>
        <v>0</v>
      </c>
      <c r="H1882" s="36" cm="1">
        <f t="array" ref="H1882">IFERROR(_xlfn.XLOOKUP(1, (dd_accsryclr!$C$2:$C$1000=accsry_unmerged!F1882)*(dd_accsryclr!$B$2:$B$1000=accsry_unmerged!J1882),dd_accsryclr!$A$2:$A$1000),"")</f>
        <v>0</v>
      </c>
      <c r="I1882" s="35">
        <f>_xlfn.XLOOKUP(C1882,'Project Details'!$C$17:$C$66,'Project Details'!$E$17:$E$66,"",0)</f>
        <v>0</v>
      </c>
      <c r="J1882" s="35">
        <f>_xlfn.XLOOKUP(C1882,'Project Details'!$C$17:$C$66,'Project Details'!$H$17:$H$66,"",0)</f>
        <v>0</v>
      </c>
      <c r="K1882" s="36" t="str">
        <f>IF(AND(_xlfn.XLOOKUP(C1882,'Project Details'!$C$17:$C$66,'Project Details'!$L$17:$L$66,"",0)&gt;550, F1882="Spring-L27cm"),"",SUBSTITUTE(_xlfn.XLOOKUP(G1882,SKUs!$C$2:$C$10001,SKUs!$F$2:$F$10001,"",0), " Accessories",""))</f>
        <v/>
      </c>
      <c r="L1882" s="36">
        <f>_xlfn.XLOOKUP(C1882,'Project Details'!$C$17:$C$66,'Project Details'!$D$17:$D$66,"",0)</f>
        <v>0</v>
      </c>
      <c r="M1882" s="43"/>
    </row>
    <row r="1883" spans="1:13" x14ac:dyDescent="0.25">
      <c r="A1883" s="43"/>
      <c r="B1883" s="43"/>
      <c r="C1883" s="16">
        <f t="shared" si="36"/>
        <v>38</v>
      </c>
      <c r="D1883" s="16" t="str" cm="1">
        <f t="array" ref="D1883">IFERROR(ROUNDUP(_xlfn.IFS(F1883="Aluminum Track", _xlfn.XLOOKUP(C1883, dd_accsrycalc!$A$2:$A$51, dd_accsrycalc!$B$2:$B$51, "",0), F1883="10 x 2 1/2 S (Flat)", _xlfn.XLOOKUP(C1883, dd_accsrycalc!$A$2:$A$51, dd_accsrycalc!$C$2:$C$51, "",0), F1883="Tox6", _xlfn.XLOOKUP(C1883, dd_accsrycalc!$A$2:$A$51, dd_accsrycalc!$D$2:$D$51, "",0), F1883="Cover Cap", _xlfn.XLOOKUP(C1883, dd_accsrycalc!$A$2:$A$51, dd_accsrycalc!$E$2:$E$51, "",0), F1883="Drainage Cover", _xlfn.XLOOKUP(C1883, dd_accsrycalc!$A$2:$A$51, dd_accsrycalc!$F$2:$F$51, "",0),AND( F1883="Double Adhesive Tape", I1883="Roll-up Screen"), _xlfn.XLOOKUP(C1883, calc_rusacc!$C$15:$C$65, calc_rusacc!$AD$15:$AD$65, "",0),AND( F1883="Sealant", I1883="Roll-up Screen"), _xlfn.XLOOKUP(C1883, calc_rusacc!$C$15:$C$65, calc_rusacc!$AF$15:$AF$65, "",0),  AND( F1883="Main Chain", I1883="Accordion Screen"), _xlfn.XLOOKUP(C1883, calc_rusacc!$C$15:$C$65, calc_rusacc!$BF$15:$BF$65, "",0), AND( F1883="Sealant", I1883="Accordion Screen"), _xlfn.XLOOKUP(C1883, calc_rusacc!$C$15:$C$65, calc_rusacc!$BJ$15:$BJ$65, "",0),  F1883="Sealant", _xlfn.XLOOKUP(C1883, dd_accsrycalc!$A$2:$A$51, dd_accsrycalc!$G$2:$G$51, "",0),  F1883&lt;&gt;"",L1883*_xlfn.XLOOKUP(1, (SKUs!$C$2:$C$10001=G1883)*(SKUs!$K$2:$K$10001=I1883),SKUs!$E$2:$E$10001)), 0),"")</f>
        <v/>
      </c>
      <c r="E1883" s="16" t="str">
        <f>_xlfn.XLOOKUP(F1883,dd_item!$B$2:$B$105,dd_item!$C$2:$C$105,"",0)</f>
        <v/>
      </c>
      <c r="F1883" s="16"/>
      <c r="G1883" s="16" cm="1">
        <f t="array" ref="G1883">IFERROR(_xlfn.XLOOKUP(1, (SKUs!$J$2:$J$10001=accsry_unmerged!F1883)*IF(H1883&lt;&gt;"",(SKUs!$L$2:$L$10001=accsry_unmerged!H1883),1)*(SKUs!$K$2:$K$10001=I1883),SKUs!$C$2:$C$10001),"")</f>
        <v>0</v>
      </c>
      <c r="H1883" s="33" cm="1">
        <f t="array" ref="H1883">IFERROR(_xlfn.XLOOKUP(1, (dd_accsryclr!$C$2:$C$1000=accsry_unmerged!F1883)*(dd_accsryclr!$B$2:$B$1000=accsry_unmerged!J1883),dd_accsryclr!$A$2:$A$1000),"")</f>
        <v>0</v>
      </c>
      <c r="I1883" s="16">
        <f>_xlfn.XLOOKUP(C1883,'Project Details'!$C$17:$C$66,'Project Details'!$E$17:$E$66,"",0)</f>
        <v>0</v>
      </c>
      <c r="J1883" s="16">
        <f>_xlfn.XLOOKUP(C1883,'Project Details'!$C$17:$C$66,'Project Details'!$H$17:$H$66,"",0)</f>
        <v>0</v>
      </c>
      <c r="K1883" s="33" t="str">
        <f>IF(AND(_xlfn.XLOOKUP(C1883,'Project Details'!$C$17:$C$66,'Project Details'!$L$17:$L$66,"",0)&gt;550, F1883="Spring-L27cm"),"",SUBSTITUTE(_xlfn.XLOOKUP(G1883,SKUs!$C$2:$C$10001,SKUs!$F$2:$F$10001,"",0), " Accessories",""))</f>
        <v/>
      </c>
      <c r="L1883" s="33">
        <f>_xlfn.XLOOKUP(C1883,'Project Details'!$C$17:$C$66,'Project Details'!$D$17:$D$66,"",0)</f>
        <v>0</v>
      </c>
      <c r="M1883" s="43"/>
    </row>
    <row r="1884" spans="1:13" ht="13.5" customHeight="1" x14ac:dyDescent="0.25">
      <c r="A1884" s="43"/>
      <c r="B1884" s="43"/>
      <c r="C1884" s="35">
        <f t="shared" si="36"/>
        <v>38</v>
      </c>
      <c r="D1884" s="35" t="str" cm="1">
        <f t="array" ref="D1884">IFERROR(ROUNDUP(_xlfn.IFS(F1884="Aluminum Track", _xlfn.XLOOKUP(C1884, dd_accsrycalc!$A$2:$A$51, dd_accsrycalc!$B$2:$B$51, "",0), F1884="10 x 2 1/2 S (Flat)", _xlfn.XLOOKUP(C1884, dd_accsrycalc!$A$2:$A$51, dd_accsrycalc!$C$2:$C$51, "",0), F1884="Tox6", _xlfn.XLOOKUP(C1884, dd_accsrycalc!$A$2:$A$51, dd_accsrycalc!$D$2:$D$51, "",0), F1884="Cover Cap", _xlfn.XLOOKUP(C1884, dd_accsrycalc!$A$2:$A$51, dd_accsrycalc!$E$2:$E$51, "",0), F1884="Drainage Cover", _xlfn.XLOOKUP(C1884, dd_accsrycalc!$A$2:$A$51, dd_accsrycalc!$F$2:$F$51, "",0),AND( F1884="Double Adhesive Tape", I1884="Roll-up Screen"), _xlfn.XLOOKUP(C1884, calc_rusacc!$C$15:$C$65, calc_rusacc!$AD$15:$AD$65, "",0),AND( F1884="Sealant", I1884="Roll-up Screen"), _xlfn.XLOOKUP(C1884, calc_rusacc!$C$15:$C$65, calc_rusacc!$AF$15:$AF$65, "",0),  AND( F1884="Main Chain", I1884="Accordion Screen"), _xlfn.XLOOKUP(C1884, calc_rusacc!$C$15:$C$65, calc_rusacc!$BF$15:$BF$65, "",0), AND( F1884="Sealant", I1884="Accordion Screen"), _xlfn.XLOOKUP(C1884, calc_rusacc!$C$15:$C$65, calc_rusacc!$BJ$15:$BJ$65, "",0),  F1884="Sealant", _xlfn.XLOOKUP(C1884, dd_accsrycalc!$A$2:$A$51, dd_accsrycalc!$G$2:$G$51, "",0),  F1884&lt;&gt;"",L1884*_xlfn.XLOOKUP(1, (SKUs!$C$2:$C$10001=G1884)*(SKUs!$K$2:$K$10001=I1884),SKUs!$E$2:$E$10001)), 0),"")</f>
        <v/>
      </c>
      <c r="E1884" s="35" t="str">
        <f>_xlfn.XLOOKUP(F1884,dd_item!$B$2:$B$105,dd_item!$C$2:$C$105,"",0)</f>
        <v/>
      </c>
      <c r="F1884" s="35"/>
      <c r="G1884" s="35" cm="1">
        <f t="array" ref="G1884">IFERROR(_xlfn.XLOOKUP(1, (SKUs!$J$2:$J$10001=accsry_unmerged!F1884)*IF(H1884&lt;&gt;"",(SKUs!$L$2:$L$10001=accsry_unmerged!H1884),1)*(SKUs!$K$2:$K$10001=I1884),SKUs!$C$2:$C$10001),"")</f>
        <v>0</v>
      </c>
      <c r="H1884" s="36" cm="1">
        <f t="array" ref="H1884">IFERROR(_xlfn.XLOOKUP(1, (dd_accsryclr!$C$2:$C$1000=accsry_unmerged!F1884)*(dd_accsryclr!$B$2:$B$1000=accsry_unmerged!J1884),dd_accsryclr!$A$2:$A$1000),"")</f>
        <v>0</v>
      </c>
      <c r="I1884" s="35">
        <f>_xlfn.XLOOKUP(C1884,'Project Details'!$C$17:$C$66,'Project Details'!$E$17:$E$66,"",0)</f>
        <v>0</v>
      </c>
      <c r="J1884" s="35">
        <f>_xlfn.XLOOKUP(C1884,'Project Details'!$C$17:$C$66,'Project Details'!$H$17:$H$66,"",0)</f>
        <v>0</v>
      </c>
      <c r="K1884" s="36" t="str">
        <f>IF(AND(_xlfn.XLOOKUP(C1884,'Project Details'!$C$17:$C$66,'Project Details'!$L$17:$L$66,"",0)&gt;550, F1884="Spring-L27cm"),"",SUBSTITUTE(_xlfn.XLOOKUP(G1884,SKUs!$C$2:$C$10001,SKUs!$F$2:$F$10001,"",0), " Accessories",""))</f>
        <v/>
      </c>
      <c r="L1884" s="36">
        <f>_xlfn.XLOOKUP(C1884,'Project Details'!$C$17:$C$66,'Project Details'!$D$17:$D$66,"",0)</f>
        <v>0</v>
      </c>
      <c r="M1884" s="43"/>
    </row>
    <row r="1885" spans="1:13" ht="13.5" customHeight="1" x14ac:dyDescent="0.25">
      <c r="A1885" s="43"/>
      <c r="B1885" s="43"/>
      <c r="C1885" s="16">
        <f t="shared" si="36"/>
        <v>38</v>
      </c>
      <c r="D1885" s="16" t="str" cm="1">
        <f t="array" ref="D1885">IFERROR(ROUNDUP(_xlfn.IFS(F1885="Aluminum Track", _xlfn.XLOOKUP(C1885, dd_accsrycalc!$A$2:$A$51, dd_accsrycalc!$B$2:$B$51, "",0), F1885="10 x 2 1/2 S (Flat)", _xlfn.XLOOKUP(C1885, dd_accsrycalc!$A$2:$A$51, dd_accsrycalc!$C$2:$C$51, "",0), F1885="Tox6", _xlfn.XLOOKUP(C1885, dd_accsrycalc!$A$2:$A$51, dd_accsrycalc!$D$2:$D$51, "",0), F1885="Cover Cap", _xlfn.XLOOKUP(C1885, dd_accsrycalc!$A$2:$A$51, dd_accsrycalc!$E$2:$E$51, "",0), F1885="Drainage Cover", _xlfn.XLOOKUP(C1885, dd_accsrycalc!$A$2:$A$51, dd_accsrycalc!$F$2:$F$51, "",0),AND( F1885="Double Adhesive Tape", I1885="Roll-up Screen"), _xlfn.XLOOKUP(C1885, calc_rusacc!$C$15:$C$65, calc_rusacc!$AD$15:$AD$65, "",0),AND( F1885="Sealant", I1885="Roll-up Screen"), _xlfn.XLOOKUP(C1885, calc_rusacc!$C$15:$C$65, calc_rusacc!$AF$15:$AF$65, "",0),  AND( F1885="Main Chain", I1885="Accordion Screen"), _xlfn.XLOOKUP(C1885, calc_rusacc!$C$15:$C$65, calc_rusacc!$BF$15:$BF$65, "",0), AND( F1885="Sealant", I1885="Accordion Screen"), _xlfn.XLOOKUP(C1885, calc_rusacc!$C$15:$C$65, calc_rusacc!$BJ$15:$BJ$65, "",0),  F1885="Sealant", _xlfn.XLOOKUP(C1885, dd_accsrycalc!$A$2:$A$51, dd_accsrycalc!$G$2:$G$51, "",0),  F1885&lt;&gt;"",L1885*_xlfn.XLOOKUP(1, (SKUs!$C$2:$C$10001=G1885)*(SKUs!$K$2:$K$10001=I1885),SKUs!$E$2:$E$10001)), 0),"")</f>
        <v/>
      </c>
      <c r="E1885" s="16" t="str">
        <f>_xlfn.XLOOKUP(F1885,dd_item!$B$2:$B$105,dd_item!$C$2:$C$105,"",0)</f>
        <v/>
      </c>
      <c r="F1885" s="16"/>
      <c r="G1885" s="16" cm="1">
        <f t="array" ref="G1885">IFERROR(_xlfn.XLOOKUP(1, (SKUs!$J$2:$J$10001=accsry_unmerged!F1885)*IF(H1885&lt;&gt;"",(SKUs!$L$2:$L$10001=accsry_unmerged!H1885),1)*(SKUs!$K$2:$K$10001=I1885),SKUs!$C$2:$C$10001),"")</f>
        <v>0</v>
      </c>
      <c r="H1885" s="33" cm="1">
        <f t="array" ref="H1885">IFERROR(_xlfn.XLOOKUP(1, (dd_accsryclr!$C$2:$C$1000=accsry_unmerged!F1885)*(dd_accsryclr!$B$2:$B$1000=accsry_unmerged!J1885),dd_accsryclr!$A$2:$A$1000),"")</f>
        <v>0</v>
      </c>
      <c r="I1885" s="16">
        <f>_xlfn.XLOOKUP(C1885,'Project Details'!$C$17:$C$66,'Project Details'!$E$17:$E$66,"",0)</f>
        <v>0</v>
      </c>
      <c r="J1885" s="16">
        <f>_xlfn.XLOOKUP(C1885,'Project Details'!$C$17:$C$66,'Project Details'!$H$17:$H$66,"",0)</f>
        <v>0</v>
      </c>
      <c r="K1885" s="33" t="str">
        <f>IF(AND(_xlfn.XLOOKUP(C1885,'Project Details'!$C$17:$C$66,'Project Details'!$L$17:$L$66,"",0)&gt;550, F1885="Spring-L27cm"),"",SUBSTITUTE(_xlfn.XLOOKUP(G1885,SKUs!$C$2:$C$10001,SKUs!$F$2:$F$10001,"",0), " Accessories",""))</f>
        <v/>
      </c>
      <c r="L1885" s="33">
        <f>_xlfn.XLOOKUP(C1885,'Project Details'!$C$17:$C$66,'Project Details'!$D$17:$D$66,"",0)</f>
        <v>0</v>
      </c>
      <c r="M1885" s="43"/>
    </row>
    <row r="1886" spans="1:13" ht="13.5" customHeight="1" x14ac:dyDescent="0.25">
      <c r="A1886" s="43"/>
      <c r="B1886" s="43"/>
      <c r="C1886" s="35">
        <f t="shared" si="36"/>
        <v>38</v>
      </c>
      <c r="D1886" s="35" t="str" cm="1">
        <f t="array" ref="D1886">IFERROR(ROUNDUP(_xlfn.IFS(F1886="Aluminum Track", _xlfn.XLOOKUP(C1886, dd_accsrycalc!$A$2:$A$51, dd_accsrycalc!$B$2:$B$51, "",0), F1886="10 x 2 1/2 S (Flat)", _xlfn.XLOOKUP(C1886, dd_accsrycalc!$A$2:$A$51, dd_accsrycalc!$C$2:$C$51, "",0), F1886="Tox6", _xlfn.XLOOKUP(C1886, dd_accsrycalc!$A$2:$A$51, dd_accsrycalc!$D$2:$D$51, "",0), F1886="Cover Cap", _xlfn.XLOOKUP(C1886, dd_accsrycalc!$A$2:$A$51, dd_accsrycalc!$E$2:$E$51, "",0), F1886="Drainage Cover", _xlfn.XLOOKUP(C1886, dd_accsrycalc!$A$2:$A$51, dd_accsrycalc!$F$2:$F$51, "",0),AND( F1886="Double Adhesive Tape", I1886="Roll-up Screen"), _xlfn.XLOOKUP(C1886, calc_rusacc!$C$15:$C$65, calc_rusacc!$AD$15:$AD$65, "",0),AND( F1886="Sealant", I1886="Roll-up Screen"), _xlfn.XLOOKUP(C1886, calc_rusacc!$C$15:$C$65, calc_rusacc!$AF$15:$AF$65, "",0),  AND( F1886="Main Chain", I1886="Accordion Screen"), _xlfn.XLOOKUP(C1886, calc_rusacc!$C$15:$C$65, calc_rusacc!$BF$15:$BF$65, "",0), AND( F1886="Sealant", I1886="Accordion Screen"), _xlfn.XLOOKUP(C1886, calc_rusacc!$C$15:$C$65, calc_rusacc!$BJ$15:$BJ$65, "",0),  F1886="Sealant", _xlfn.XLOOKUP(C1886, dd_accsrycalc!$A$2:$A$51, dd_accsrycalc!$G$2:$G$51, "",0),  F1886&lt;&gt;"",L1886*_xlfn.XLOOKUP(1, (SKUs!$C$2:$C$10001=G1886)*(SKUs!$K$2:$K$10001=I1886),SKUs!$E$2:$E$10001)), 0),"")</f>
        <v/>
      </c>
      <c r="E1886" s="35" t="str">
        <f>_xlfn.XLOOKUP(F1886,dd_item!$B$2:$B$105,dd_item!$C$2:$C$105,"",0)</f>
        <v/>
      </c>
      <c r="F1886" s="35"/>
      <c r="G1886" s="35" cm="1">
        <f t="array" ref="G1886">IFERROR(_xlfn.XLOOKUP(1, (SKUs!$J$2:$J$10001=accsry_unmerged!F1886)*IF(H1886&lt;&gt;"",(SKUs!$L$2:$L$10001=accsry_unmerged!H1886),1)*(SKUs!$K$2:$K$10001=I1886),SKUs!$C$2:$C$10001),"")</f>
        <v>0</v>
      </c>
      <c r="H1886" s="36" cm="1">
        <f t="array" ref="H1886">IFERROR(_xlfn.XLOOKUP(1, (dd_accsryclr!$C$2:$C$1000=accsry_unmerged!F1886)*(dd_accsryclr!$B$2:$B$1000=accsry_unmerged!J1886),dd_accsryclr!$A$2:$A$1000),"")</f>
        <v>0</v>
      </c>
      <c r="I1886" s="35">
        <f>_xlfn.XLOOKUP(C1886,'Project Details'!$C$17:$C$66,'Project Details'!$E$17:$E$66,"",0)</f>
        <v>0</v>
      </c>
      <c r="J1886" s="35">
        <f>_xlfn.XLOOKUP(C1886,'Project Details'!$C$17:$C$66,'Project Details'!$H$17:$H$66,"",0)</f>
        <v>0</v>
      </c>
      <c r="K1886" s="36" t="str">
        <f>IF(AND(_xlfn.XLOOKUP(C1886,'Project Details'!$C$17:$C$66,'Project Details'!$L$17:$L$66,"",0)&gt;550, F1886="Spring-L27cm"),"",SUBSTITUTE(_xlfn.XLOOKUP(G1886,SKUs!$C$2:$C$10001,SKUs!$F$2:$F$10001,"",0), " Accessories",""))</f>
        <v/>
      </c>
      <c r="L1886" s="36">
        <f>_xlfn.XLOOKUP(C1886,'Project Details'!$C$17:$C$66,'Project Details'!$D$17:$D$66,"",0)</f>
        <v>0</v>
      </c>
      <c r="M1886" s="43"/>
    </row>
    <row r="1887" spans="1:13" ht="13.5" customHeight="1" x14ac:dyDescent="0.25">
      <c r="A1887" s="43"/>
      <c r="B1887" s="43"/>
      <c r="C1887" s="16">
        <f t="shared" si="36"/>
        <v>38</v>
      </c>
      <c r="D1887" s="16" t="str" cm="1">
        <f t="array" ref="D1887">IFERROR(ROUNDUP(_xlfn.IFS(F1887="Aluminum Track", _xlfn.XLOOKUP(C1887, dd_accsrycalc!$A$2:$A$51, dd_accsrycalc!$B$2:$B$51, "",0), F1887="10 x 2 1/2 S (Flat)", _xlfn.XLOOKUP(C1887, dd_accsrycalc!$A$2:$A$51, dd_accsrycalc!$C$2:$C$51, "",0), F1887="Tox6", _xlfn.XLOOKUP(C1887, dd_accsrycalc!$A$2:$A$51, dd_accsrycalc!$D$2:$D$51, "",0), F1887="Cover Cap", _xlfn.XLOOKUP(C1887, dd_accsrycalc!$A$2:$A$51, dd_accsrycalc!$E$2:$E$51, "",0), F1887="Drainage Cover", _xlfn.XLOOKUP(C1887, dd_accsrycalc!$A$2:$A$51, dd_accsrycalc!$F$2:$F$51, "",0),AND( F1887="Double Adhesive Tape", I1887="Roll-up Screen"), _xlfn.XLOOKUP(C1887, calc_rusacc!$C$15:$C$65, calc_rusacc!$AD$15:$AD$65, "",0),AND( F1887="Sealant", I1887="Roll-up Screen"), _xlfn.XLOOKUP(C1887, calc_rusacc!$C$15:$C$65, calc_rusacc!$AF$15:$AF$65, "",0),  AND( F1887="Main Chain", I1887="Accordion Screen"), _xlfn.XLOOKUP(C1887, calc_rusacc!$C$15:$C$65, calc_rusacc!$BF$15:$BF$65, "",0), AND( F1887="Sealant", I1887="Accordion Screen"), _xlfn.XLOOKUP(C1887, calc_rusacc!$C$15:$C$65, calc_rusacc!$BJ$15:$BJ$65, "",0),  F1887="Sealant", _xlfn.XLOOKUP(C1887, dd_accsrycalc!$A$2:$A$51, dd_accsrycalc!$G$2:$G$51, "",0),  F1887&lt;&gt;"",L1887*_xlfn.XLOOKUP(1, (SKUs!$C$2:$C$10001=G1887)*(SKUs!$K$2:$K$10001=I1887),SKUs!$E$2:$E$10001)), 0),"")</f>
        <v/>
      </c>
      <c r="E1887" s="16" t="str">
        <f>_xlfn.XLOOKUP(F1887,dd_item!$B$2:$B$105,dd_item!$C$2:$C$105,"",0)</f>
        <v/>
      </c>
      <c r="F1887" s="16"/>
      <c r="G1887" s="16" cm="1">
        <f t="array" ref="G1887">IFERROR(_xlfn.XLOOKUP(1, (SKUs!$J$2:$J$10001=accsry_unmerged!F1887)*IF(H1887&lt;&gt;"",(SKUs!$L$2:$L$10001=accsry_unmerged!H1887),1)*(SKUs!$K$2:$K$10001=I1887),SKUs!$C$2:$C$10001),"")</f>
        <v>0</v>
      </c>
      <c r="H1887" s="33" cm="1">
        <f t="array" ref="H1887">IFERROR(_xlfn.XLOOKUP(1, (dd_accsryclr!$C$2:$C$1000=accsry_unmerged!F1887)*(dd_accsryclr!$B$2:$B$1000=accsry_unmerged!J1887),dd_accsryclr!$A$2:$A$1000),"")</f>
        <v>0</v>
      </c>
      <c r="I1887" s="16">
        <f>_xlfn.XLOOKUP(C1887,'Project Details'!$C$17:$C$66,'Project Details'!$E$17:$E$66,"",0)</f>
        <v>0</v>
      </c>
      <c r="J1887" s="16">
        <f>_xlfn.XLOOKUP(C1887,'Project Details'!$C$17:$C$66,'Project Details'!$H$17:$H$66,"",0)</f>
        <v>0</v>
      </c>
      <c r="K1887" s="33" t="str">
        <f>IF(AND(_xlfn.XLOOKUP(C1887,'Project Details'!$C$17:$C$66,'Project Details'!$L$17:$L$66,"",0)&gt;550, F1887="Spring-L27cm"),"",SUBSTITUTE(_xlfn.XLOOKUP(G1887,SKUs!$C$2:$C$10001,SKUs!$F$2:$F$10001,"",0), " Accessories",""))</f>
        <v/>
      </c>
      <c r="L1887" s="33">
        <f>_xlfn.XLOOKUP(C1887,'Project Details'!$C$17:$C$66,'Project Details'!$D$17:$D$66,"",0)</f>
        <v>0</v>
      </c>
      <c r="M1887" s="43"/>
    </row>
    <row r="1888" spans="1:13" ht="13.5" customHeight="1" x14ac:dyDescent="0.25">
      <c r="A1888" s="43"/>
      <c r="B1888" s="43"/>
      <c r="C1888" s="35">
        <f t="shared" si="36"/>
        <v>38</v>
      </c>
      <c r="D1888" s="35" t="str" cm="1">
        <f t="array" ref="D1888">IFERROR(ROUNDUP(_xlfn.IFS(F1888="Aluminum Track", _xlfn.XLOOKUP(C1888, dd_accsrycalc!$A$2:$A$51, dd_accsrycalc!$B$2:$B$51, "",0), F1888="10 x 2 1/2 S (Flat)", _xlfn.XLOOKUP(C1888, dd_accsrycalc!$A$2:$A$51, dd_accsrycalc!$C$2:$C$51, "",0), F1888="Tox6", _xlfn.XLOOKUP(C1888, dd_accsrycalc!$A$2:$A$51, dd_accsrycalc!$D$2:$D$51, "",0), F1888="Cover Cap", _xlfn.XLOOKUP(C1888, dd_accsrycalc!$A$2:$A$51, dd_accsrycalc!$E$2:$E$51, "",0), F1888="Drainage Cover", _xlfn.XLOOKUP(C1888, dd_accsrycalc!$A$2:$A$51, dd_accsrycalc!$F$2:$F$51, "",0),AND( F1888="Double Adhesive Tape", I1888="Roll-up Screen"), _xlfn.XLOOKUP(C1888, calc_rusacc!$C$15:$C$65, calc_rusacc!$AD$15:$AD$65, "",0),AND( F1888="Sealant", I1888="Roll-up Screen"), _xlfn.XLOOKUP(C1888, calc_rusacc!$C$15:$C$65, calc_rusacc!$AF$15:$AF$65, "",0),  AND( F1888="Main Chain", I1888="Accordion Screen"), _xlfn.XLOOKUP(C1888, calc_rusacc!$C$15:$C$65, calc_rusacc!$BF$15:$BF$65, "",0), AND( F1888="Sealant", I1888="Accordion Screen"), _xlfn.XLOOKUP(C1888, calc_rusacc!$C$15:$C$65, calc_rusacc!$BJ$15:$BJ$65, "",0),  F1888="Sealant", _xlfn.XLOOKUP(C1888, dd_accsrycalc!$A$2:$A$51, dd_accsrycalc!$G$2:$G$51, "",0),  F1888&lt;&gt;"",L1888*_xlfn.XLOOKUP(1, (SKUs!$C$2:$C$10001=G1888)*(SKUs!$K$2:$K$10001=I1888),SKUs!$E$2:$E$10001)), 0),"")</f>
        <v/>
      </c>
      <c r="E1888" s="35" t="str">
        <f>_xlfn.XLOOKUP(F1888,dd_item!$B$2:$B$105,dd_item!$C$2:$C$105,"",0)</f>
        <v/>
      </c>
      <c r="F1888" s="35"/>
      <c r="G1888" s="35" cm="1">
        <f t="array" ref="G1888">IFERROR(_xlfn.XLOOKUP(1, (SKUs!$J$2:$J$10001=accsry_unmerged!F1888)*IF(H1888&lt;&gt;"",(SKUs!$L$2:$L$10001=accsry_unmerged!H1888),1)*(SKUs!$K$2:$K$10001=I1888),SKUs!$C$2:$C$10001),"")</f>
        <v>0</v>
      </c>
      <c r="H1888" s="36" cm="1">
        <f t="array" ref="H1888">IFERROR(_xlfn.XLOOKUP(1, (dd_accsryclr!$C$2:$C$1000=accsry_unmerged!F1888)*(dd_accsryclr!$B$2:$B$1000=accsry_unmerged!J1888),dd_accsryclr!$A$2:$A$1000),"")</f>
        <v>0</v>
      </c>
      <c r="I1888" s="35">
        <f>_xlfn.XLOOKUP(C1888,'Project Details'!$C$17:$C$66,'Project Details'!$E$17:$E$66,"",0)</f>
        <v>0</v>
      </c>
      <c r="J1888" s="35">
        <f>_xlfn.XLOOKUP(C1888,'Project Details'!$C$17:$C$66,'Project Details'!$H$17:$H$66,"",0)</f>
        <v>0</v>
      </c>
      <c r="K1888" s="36" t="str">
        <f>IF(AND(_xlfn.XLOOKUP(C1888,'Project Details'!$C$17:$C$66,'Project Details'!$L$17:$L$66,"",0)&gt;550, F1888="Spring-L27cm"),"",SUBSTITUTE(_xlfn.XLOOKUP(G1888,SKUs!$C$2:$C$10001,SKUs!$F$2:$F$10001,"",0), " Accessories",""))</f>
        <v/>
      </c>
      <c r="L1888" s="36">
        <f>_xlfn.XLOOKUP(C1888,'Project Details'!$C$17:$C$66,'Project Details'!$D$17:$D$66,"",0)</f>
        <v>0</v>
      </c>
      <c r="M1888" s="43"/>
    </row>
    <row r="1889" spans="1:13" ht="13.5" customHeight="1" x14ac:dyDescent="0.25">
      <c r="A1889" s="43"/>
      <c r="B1889" s="43"/>
      <c r="C1889" s="16">
        <f t="shared" si="36"/>
        <v>38</v>
      </c>
      <c r="D1889" s="16" t="str" cm="1">
        <f t="array" ref="D1889">IFERROR(ROUNDUP(_xlfn.IFS(F1889="Aluminum Track", _xlfn.XLOOKUP(C1889, dd_accsrycalc!$A$2:$A$51, dd_accsrycalc!$B$2:$B$51, "",0), F1889="10 x 2 1/2 S (Flat)", _xlfn.XLOOKUP(C1889, dd_accsrycalc!$A$2:$A$51, dd_accsrycalc!$C$2:$C$51, "",0), F1889="Tox6", _xlfn.XLOOKUP(C1889, dd_accsrycalc!$A$2:$A$51, dd_accsrycalc!$D$2:$D$51, "",0), F1889="Cover Cap", _xlfn.XLOOKUP(C1889, dd_accsrycalc!$A$2:$A$51, dd_accsrycalc!$E$2:$E$51, "",0), F1889="Drainage Cover", _xlfn.XLOOKUP(C1889, dd_accsrycalc!$A$2:$A$51, dd_accsrycalc!$F$2:$F$51, "",0),AND( F1889="Double Adhesive Tape", I1889="Roll-up Screen"), _xlfn.XLOOKUP(C1889, calc_rusacc!$C$15:$C$65, calc_rusacc!$AD$15:$AD$65, "",0),AND( F1889="Sealant", I1889="Roll-up Screen"), _xlfn.XLOOKUP(C1889, calc_rusacc!$C$15:$C$65, calc_rusacc!$AF$15:$AF$65, "",0),  AND( F1889="Main Chain", I1889="Accordion Screen"), _xlfn.XLOOKUP(C1889, calc_rusacc!$C$15:$C$65, calc_rusacc!$BF$15:$BF$65, "",0), AND( F1889="Sealant", I1889="Accordion Screen"), _xlfn.XLOOKUP(C1889, calc_rusacc!$C$15:$C$65, calc_rusacc!$BJ$15:$BJ$65, "",0),  F1889="Sealant", _xlfn.XLOOKUP(C1889, dd_accsrycalc!$A$2:$A$51, dd_accsrycalc!$G$2:$G$51, "",0),  F1889&lt;&gt;"",L1889*_xlfn.XLOOKUP(1, (SKUs!$C$2:$C$10001=G1889)*(SKUs!$K$2:$K$10001=I1889),SKUs!$E$2:$E$10001)), 0),"")</f>
        <v/>
      </c>
      <c r="E1889" s="16" t="str">
        <f>_xlfn.XLOOKUP(F1889,dd_item!$B$2:$B$105,dd_item!$C$2:$C$105,"",0)</f>
        <v/>
      </c>
      <c r="F1889" s="16"/>
      <c r="G1889" s="16" cm="1">
        <f t="array" ref="G1889">IFERROR(_xlfn.XLOOKUP(1, (SKUs!$J$2:$J$10001=accsry_unmerged!F1889)*IF(H1889&lt;&gt;"",(SKUs!$L$2:$L$10001=accsry_unmerged!H1889),1)*(SKUs!$K$2:$K$10001=I1889),SKUs!$C$2:$C$10001),"")</f>
        <v>0</v>
      </c>
      <c r="H1889" s="33" cm="1">
        <f t="array" ref="H1889">IFERROR(_xlfn.XLOOKUP(1, (dd_accsryclr!$C$2:$C$1000=accsry_unmerged!F1889)*(dd_accsryclr!$B$2:$B$1000=accsry_unmerged!J1889),dd_accsryclr!$A$2:$A$1000),"")</f>
        <v>0</v>
      </c>
      <c r="I1889" s="16">
        <f>_xlfn.XLOOKUP(C1889,'Project Details'!$C$17:$C$66,'Project Details'!$E$17:$E$66,"",0)</f>
        <v>0</v>
      </c>
      <c r="J1889" s="16">
        <f>_xlfn.XLOOKUP(C1889,'Project Details'!$C$17:$C$66,'Project Details'!$H$17:$H$66,"",0)</f>
        <v>0</v>
      </c>
      <c r="K1889" s="33" t="str">
        <f>IF(AND(_xlfn.XLOOKUP(C1889,'Project Details'!$C$17:$C$66,'Project Details'!$L$17:$L$66,"",0)&gt;550, F1889="Spring-L27cm"),"",SUBSTITUTE(_xlfn.XLOOKUP(G1889,SKUs!$C$2:$C$10001,SKUs!$F$2:$F$10001,"",0), " Accessories",""))</f>
        <v/>
      </c>
      <c r="L1889" s="33">
        <f>_xlfn.XLOOKUP(C1889,'Project Details'!$C$17:$C$66,'Project Details'!$D$17:$D$66,"",0)</f>
        <v>0</v>
      </c>
      <c r="M1889" s="43"/>
    </row>
    <row r="1890" spans="1:13" ht="13.5" customHeight="1" x14ac:dyDescent="0.25">
      <c r="A1890" s="43"/>
      <c r="B1890" s="43"/>
      <c r="C1890" s="35">
        <f t="shared" si="36"/>
        <v>38</v>
      </c>
      <c r="D1890" s="35" t="str" cm="1">
        <f t="array" ref="D1890">IFERROR(ROUNDUP(_xlfn.IFS(F1890="Aluminum Track", _xlfn.XLOOKUP(C1890, dd_accsrycalc!$A$2:$A$51, dd_accsrycalc!$B$2:$B$51, "",0), F1890="10 x 2 1/2 S (Flat)", _xlfn.XLOOKUP(C1890, dd_accsrycalc!$A$2:$A$51, dd_accsrycalc!$C$2:$C$51, "",0), F1890="Tox6", _xlfn.XLOOKUP(C1890, dd_accsrycalc!$A$2:$A$51, dd_accsrycalc!$D$2:$D$51, "",0), F1890="Cover Cap", _xlfn.XLOOKUP(C1890, dd_accsrycalc!$A$2:$A$51, dd_accsrycalc!$E$2:$E$51, "",0), F1890="Drainage Cover", _xlfn.XLOOKUP(C1890, dd_accsrycalc!$A$2:$A$51, dd_accsrycalc!$F$2:$F$51, "",0),AND( F1890="Double Adhesive Tape", I1890="Roll-up Screen"), _xlfn.XLOOKUP(C1890, calc_rusacc!$C$15:$C$65, calc_rusacc!$AD$15:$AD$65, "",0),AND( F1890="Sealant", I1890="Roll-up Screen"), _xlfn.XLOOKUP(C1890, calc_rusacc!$C$15:$C$65, calc_rusacc!$AF$15:$AF$65, "",0),  AND( F1890="Main Chain", I1890="Accordion Screen"), _xlfn.XLOOKUP(C1890, calc_rusacc!$C$15:$C$65, calc_rusacc!$BF$15:$BF$65, "",0), AND( F1890="Sealant", I1890="Accordion Screen"), _xlfn.XLOOKUP(C1890, calc_rusacc!$C$15:$C$65, calc_rusacc!$BJ$15:$BJ$65, "",0),  F1890="Sealant", _xlfn.XLOOKUP(C1890, dd_accsrycalc!$A$2:$A$51, dd_accsrycalc!$G$2:$G$51, "",0),  F1890&lt;&gt;"",L1890*_xlfn.XLOOKUP(1, (SKUs!$C$2:$C$10001=G1890)*(SKUs!$K$2:$K$10001=I1890),SKUs!$E$2:$E$10001)), 0),"")</f>
        <v/>
      </c>
      <c r="E1890" s="35" t="str">
        <f>_xlfn.XLOOKUP(F1890,dd_item!$B$2:$B$105,dd_item!$C$2:$C$105,"",0)</f>
        <v/>
      </c>
      <c r="F1890" s="35"/>
      <c r="G1890" s="35" cm="1">
        <f t="array" ref="G1890">IFERROR(_xlfn.XLOOKUP(1, (SKUs!$J$2:$J$10001=accsry_unmerged!F1890)*IF(H1890&lt;&gt;"",(SKUs!$L$2:$L$10001=accsry_unmerged!H1890),1)*(SKUs!$K$2:$K$10001=I1890),SKUs!$C$2:$C$10001),"")</f>
        <v>0</v>
      </c>
      <c r="H1890" s="36" cm="1">
        <f t="array" ref="H1890">IFERROR(_xlfn.XLOOKUP(1, (dd_accsryclr!$C$2:$C$1000=accsry_unmerged!F1890)*(dd_accsryclr!$B$2:$B$1000=accsry_unmerged!J1890),dd_accsryclr!$A$2:$A$1000),"")</f>
        <v>0</v>
      </c>
      <c r="I1890" s="35">
        <f>_xlfn.XLOOKUP(C1890,'Project Details'!$C$17:$C$66,'Project Details'!$E$17:$E$66,"",0)</f>
        <v>0</v>
      </c>
      <c r="J1890" s="35">
        <f>_xlfn.XLOOKUP(C1890,'Project Details'!$C$17:$C$66,'Project Details'!$H$17:$H$66,"",0)</f>
        <v>0</v>
      </c>
      <c r="K1890" s="36" t="str">
        <f>IF(AND(_xlfn.XLOOKUP(C1890,'Project Details'!$C$17:$C$66,'Project Details'!$L$17:$L$66,"",0)&gt;550, F1890="Spring-L27cm"),"",SUBSTITUTE(_xlfn.XLOOKUP(G1890,SKUs!$C$2:$C$10001,SKUs!$F$2:$F$10001,"",0), " Accessories",""))</f>
        <v/>
      </c>
      <c r="L1890" s="36">
        <f>_xlfn.XLOOKUP(C1890,'Project Details'!$C$17:$C$66,'Project Details'!$D$17:$D$66,"",0)</f>
        <v>0</v>
      </c>
      <c r="M1890" s="43"/>
    </row>
    <row r="1891" spans="1:13" ht="13.5" customHeight="1" x14ac:dyDescent="0.25">
      <c r="A1891" s="43"/>
      <c r="B1891" s="43"/>
      <c r="C1891" s="16">
        <f t="shared" si="36"/>
        <v>38</v>
      </c>
      <c r="D1891" s="16" t="str" cm="1">
        <f t="array" ref="D1891">IFERROR(ROUNDUP(_xlfn.IFS(F1891="Aluminum Track", _xlfn.XLOOKUP(C1891, dd_accsrycalc!$A$2:$A$51, dd_accsrycalc!$B$2:$B$51, "",0), F1891="10 x 2 1/2 S (Flat)", _xlfn.XLOOKUP(C1891, dd_accsrycalc!$A$2:$A$51, dd_accsrycalc!$C$2:$C$51, "",0), F1891="Tox6", _xlfn.XLOOKUP(C1891, dd_accsrycalc!$A$2:$A$51, dd_accsrycalc!$D$2:$D$51, "",0), F1891="Cover Cap", _xlfn.XLOOKUP(C1891, dd_accsrycalc!$A$2:$A$51, dd_accsrycalc!$E$2:$E$51, "",0), F1891="Drainage Cover", _xlfn.XLOOKUP(C1891, dd_accsrycalc!$A$2:$A$51, dd_accsrycalc!$F$2:$F$51, "",0),AND( F1891="Double Adhesive Tape", I1891="Roll-up Screen"), _xlfn.XLOOKUP(C1891, calc_rusacc!$C$15:$C$65, calc_rusacc!$AD$15:$AD$65, "",0),AND( F1891="Sealant", I1891="Roll-up Screen"), _xlfn.XLOOKUP(C1891, calc_rusacc!$C$15:$C$65, calc_rusacc!$AF$15:$AF$65, "",0),  AND( F1891="Main Chain", I1891="Accordion Screen"), _xlfn.XLOOKUP(C1891, calc_rusacc!$C$15:$C$65, calc_rusacc!$BF$15:$BF$65, "",0), AND( F1891="Sealant", I1891="Accordion Screen"), _xlfn.XLOOKUP(C1891, calc_rusacc!$C$15:$C$65, calc_rusacc!$BJ$15:$BJ$65, "",0),  F1891="Sealant", _xlfn.XLOOKUP(C1891, dd_accsrycalc!$A$2:$A$51, dd_accsrycalc!$G$2:$G$51, "",0),  F1891&lt;&gt;"",L1891*_xlfn.XLOOKUP(1, (SKUs!$C$2:$C$10001=G1891)*(SKUs!$K$2:$K$10001=I1891),SKUs!$E$2:$E$10001)), 0),"")</f>
        <v/>
      </c>
      <c r="E1891" s="16" t="str">
        <f>_xlfn.XLOOKUP(F1891,dd_item!$B$2:$B$105,dd_item!$C$2:$C$105,"",0)</f>
        <v/>
      </c>
      <c r="F1891" s="16"/>
      <c r="G1891" s="16" cm="1">
        <f t="array" ref="G1891">IFERROR(_xlfn.XLOOKUP(1, (SKUs!$J$2:$J$10001=accsry_unmerged!F1891)*IF(H1891&lt;&gt;"",(SKUs!$L$2:$L$10001=accsry_unmerged!H1891),1)*(SKUs!$K$2:$K$10001=I1891),SKUs!$C$2:$C$10001),"")</f>
        <v>0</v>
      </c>
      <c r="H1891" s="33" cm="1">
        <f t="array" ref="H1891">IFERROR(_xlfn.XLOOKUP(1, (dd_accsryclr!$C$2:$C$1000=accsry_unmerged!F1891)*(dd_accsryclr!$B$2:$B$1000=accsry_unmerged!J1891),dd_accsryclr!$A$2:$A$1000),"")</f>
        <v>0</v>
      </c>
      <c r="I1891" s="16">
        <f>_xlfn.XLOOKUP(C1891,'Project Details'!$C$17:$C$66,'Project Details'!$E$17:$E$66,"",0)</f>
        <v>0</v>
      </c>
      <c r="J1891" s="16">
        <f>_xlfn.XLOOKUP(C1891,'Project Details'!$C$17:$C$66,'Project Details'!$H$17:$H$66,"",0)</f>
        <v>0</v>
      </c>
      <c r="K1891" s="33" t="str">
        <f>IF(AND(_xlfn.XLOOKUP(C1891,'Project Details'!$C$17:$C$66,'Project Details'!$L$17:$L$66,"",0)&gt;550, F1891="Spring-L27cm"),"",SUBSTITUTE(_xlfn.XLOOKUP(G1891,SKUs!$C$2:$C$10001,SKUs!$F$2:$F$10001,"",0), " Accessories",""))</f>
        <v/>
      </c>
      <c r="L1891" s="33">
        <f>_xlfn.XLOOKUP(C1891,'Project Details'!$C$17:$C$66,'Project Details'!$D$17:$D$66,"",0)</f>
        <v>0</v>
      </c>
      <c r="M1891" s="43"/>
    </row>
    <row r="1892" spans="1:13" ht="13.5" customHeight="1" x14ac:dyDescent="0.25">
      <c r="A1892" s="43"/>
      <c r="B1892" s="43"/>
      <c r="C1892" s="35">
        <f t="shared" si="36"/>
        <v>38</v>
      </c>
      <c r="D1892" s="35" t="str" cm="1">
        <f t="array" ref="D1892">IFERROR(ROUNDUP(_xlfn.IFS(F1892="Aluminum Track", _xlfn.XLOOKUP(C1892, dd_accsrycalc!$A$2:$A$51, dd_accsrycalc!$B$2:$B$51, "",0), F1892="10 x 2 1/2 S (Flat)", _xlfn.XLOOKUP(C1892, dd_accsrycalc!$A$2:$A$51, dd_accsrycalc!$C$2:$C$51, "",0), F1892="Tox6", _xlfn.XLOOKUP(C1892, dd_accsrycalc!$A$2:$A$51, dd_accsrycalc!$D$2:$D$51, "",0), F1892="Cover Cap", _xlfn.XLOOKUP(C1892, dd_accsrycalc!$A$2:$A$51, dd_accsrycalc!$E$2:$E$51, "",0), F1892="Drainage Cover", _xlfn.XLOOKUP(C1892, dd_accsrycalc!$A$2:$A$51, dd_accsrycalc!$F$2:$F$51, "",0),AND( F1892="Double Adhesive Tape", I1892="Roll-up Screen"), _xlfn.XLOOKUP(C1892, calc_rusacc!$C$15:$C$65, calc_rusacc!$AD$15:$AD$65, "",0),AND( F1892="Sealant", I1892="Roll-up Screen"), _xlfn.XLOOKUP(C1892, calc_rusacc!$C$15:$C$65, calc_rusacc!$AF$15:$AF$65, "",0),  AND( F1892="Main Chain", I1892="Accordion Screen"), _xlfn.XLOOKUP(C1892, calc_rusacc!$C$15:$C$65, calc_rusacc!$BF$15:$BF$65, "",0), AND( F1892="Sealant", I1892="Accordion Screen"), _xlfn.XLOOKUP(C1892, calc_rusacc!$C$15:$C$65, calc_rusacc!$BJ$15:$BJ$65, "",0),  F1892="Sealant", _xlfn.XLOOKUP(C1892, dd_accsrycalc!$A$2:$A$51, dd_accsrycalc!$G$2:$G$51, "",0),  F1892&lt;&gt;"",L1892*_xlfn.XLOOKUP(1, (SKUs!$C$2:$C$10001=G1892)*(SKUs!$K$2:$K$10001=I1892),SKUs!$E$2:$E$10001)), 0),"")</f>
        <v/>
      </c>
      <c r="E1892" s="35" t="str">
        <f>_xlfn.XLOOKUP(F1892,dd_item!$B$2:$B$105,dd_item!$C$2:$C$105,"",0)</f>
        <v/>
      </c>
      <c r="F1892" s="35"/>
      <c r="G1892" s="35" cm="1">
        <f t="array" ref="G1892">IFERROR(_xlfn.XLOOKUP(1, (SKUs!$J$2:$J$10001=accsry_unmerged!F1892)*IF(H1892&lt;&gt;"",(SKUs!$L$2:$L$10001=accsry_unmerged!H1892),1)*(SKUs!$K$2:$K$10001=I1892),SKUs!$C$2:$C$10001),"")</f>
        <v>0</v>
      </c>
      <c r="H1892" s="36" cm="1">
        <f t="array" ref="H1892">IFERROR(_xlfn.XLOOKUP(1, (dd_accsryclr!$C$2:$C$1000=accsry_unmerged!F1892)*(dd_accsryclr!$B$2:$B$1000=accsry_unmerged!J1892),dd_accsryclr!$A$2:$A$1000),"")</f>
        <v>0</v>
      </c>
      <c r="I1892" s="35">
        <f>_xlfn.XLOOKUP(C1892,'Project Details'!$C$17:$C$66,'Project Details'!$E$17:$E$66,"",0)</f>
        <v>0</v>
      </c>
      <c r="J1892" s="35">
        <f>_xlfn.XLOOKUP(C1892,'Project Details'!$C$17:$C$66,'Project Details'!$H$17:$H$66,"",0)</f>
        <v>0</v>
      </c>
      <c r="K1892" s="36" t="str">
        <f>IF(AND(_xlfn.XLOOKUP(C1892,'Project Details'!$C$17:$C$66,'Project Details'!$L$17:$L$66,"",0)&gt;550, F1892="Spring-L27cm"),"",SUBSTITUTE(_xlfn.XLOOKUP(G1892,SKUs!$C$2:$C$10001,SKUs!$F$2:$F$10001,"",0), " Accessories",""))</f>
        <v/>
      </c>
      <c r="L1892" s="36">
        <f>_xlfn.XLOOKUP(C1892,'Project Details'!$C$17:$C$66,'Project Details'!$D$17:$D$66,"",0)</f>
        <v>0</v>
      </c>
      <c r="M1892" s="43"/>
    </row>
    <row r="1893" spans="1:13" ht="13.5" customHeight="1" x14ac:dyDescent="0.25">
      <c r="A1893" s="43"/>
      <c r="B1893" s="43"/>
      <c r="C1893" s="16">
        <f t="shared" si="36"/>
        <v>38</v>
      </c>
      <c r="D1893" s="16" t="str" cm="1">
        <f t="array" ref="D1893">IFERROR(ROUNDUP(_xlfn.IFS(F1893="Aluminum Track", _xlfn.XLOOKUP(C1893, dd_accsrycalc!$A$2:$A$51, dd_accsrycalc!$B$2:$B$51, "",0), F1893="10 x 2 1/2 S (Flat)", _xlfn.XLOOKUP(C1893, dd_accsrycalc!$A$2:$A$51, dd_accsrycalc!$C$2:$C$51, "",0), F1893="Tox6", _xlfn.XLOOKUP(C1893, dd_accsrycalc!$A$2:$A$51, dd_accsrycalc!$D$2:$D$51, "",0), F1893="Cover Cap", _xlfn.XLOOKUP(C1893, dd_accsrycalc!$A$2:$A$51, dd_accsrycalc!$E$2:$E$51, "",0), F1893="Drainage Cover", _xlfn.XLOOKUP(C1893, dd_accsrycalc!$A$2:$A$51, dd_accsrycalc!$F$2:$F$51, "",0),AND( F1893="Double Adhesive Tape", I1893="Roll-up Screen"), _xlfn.XLOOKUP(C1893, calc_rusacc!$C$15:$C$65, calc_rusacc!$AD$15:$AD$65, "",0),AND( F1893="Sealant", I1893="Roll-up Screen"), _xlfn.XLOOKUP(C1893, calc_rusacc!$C$15:$C$65, calc_rusacc!$AF$15:$AF$65, "",0),  AND( F1893="Main Chain", I1893="Accordion Screen"), _xlfn.XLOOKUP(C1893, calc_rusacc!$C$15:$C$65, calc_rusacc!$BF$15:$BF$65, "",0), AND( F1893="Sealant", I1893="Accordion Screen"), _xlfn.XLOOKUP(C1893, calc_rusacc!$C$15:$C$65, calc_rusacc!$BJ$15:$BJ$65, "",0),  F1893="Sealant", _xlfn.XLOOKUP(C1893, dd_accsrycalc!$A$2:$A$51, dd_accsrycalc!$G$2:$G$51, "",0),  F1893&lt;&gt;"",L1893*_xlfn.XLOOKUP(1, (SKUs!$C$2:$C$10001=G1893)*(SKUs!$K$2:$K$10001=I1893),SKUs!$E$2:$E$10001)), 0),"")</f>
        <v/>
      </c>
      <c r="E1893" s="16" t="str">
        <f>_xlfn.XLOOKUP(F1893,dd_item!$B$2:$B$105,dd_item!$C$2:$C$105,"",0)</f>
        <v/>
      </c>
      <c r="F1893" s="16"/>
      <c r="G1893" s="16" cm="1">
        <f t="array" ref="G1893">IFERROR(_xlfn.XLOOKUP(1, (SKUs!$J$2:$J$10001=accsry_unmerged!F1893)*IF(H1893&lt;&gt;"",(SKUs!$L$2:$L$10001=accsry_unmerged!H1893),1)*(SKUs!$K$2:$K$10001=I1893),SKUs!$C$2:$C$10001),"")</f>
        <v>0</v>
      </c>
      <c r="H1893" s="33" cm="1">
        <f t="array" ref="H1893">IFERROR(_xlfn.XLOOKUP(1, (dd_accsryclr!$C$2:$C$1000=accsry_unmerged!F1893)*(dd_accsryclr!$B$2:$B$1000=accsry_unmerged!J1893),dd_accsryclr!$A$2:$A$1000),"")</f>
        <v>0</v>
      </c>
      <c r="I1893" s="16">
        <f>_xlfn.XLOOKUP(C1893,'Project Details'!$C$17:$C$66,'Project Details'!$E$17:$E$66,"",0)</f>
        <v>0</v>
      </c>
      <c r="J1893" s="16">
        <f>_xlfn.XLOOKUP(C1893,'Project Details'!$C$17:$C$66,'Project Details'!$H$17:$H$66,"",0)</f>
        <v>0</v>
      </c>
      <c r="K1893" s="33" t="str">
        <f>IF(AND(_xlfn.XLOOKUP(C1893,'Project Details'!$C$17:$C$66,'Project Details'!$L$17:$L$66,"",0)&gt;550, F1893="Spring-L27cm"),"",SUBSTITUTE(_xlfn.XLOOKUP(G1893,SKUs!$C$2:$C$10001,SKUs!$F$2:$F$10001,"",0), " Accessories",""))</f>
        <v/>
      </c>
      <c r="L1893" s="33">
        <f>_xlfn.XLOOKUP(C1893,'Project Details'!$C$17:$C$66,'Project Details'!$D$17:$D$66,"",0)</f>
        <v>0</v>
      </c>
      <c r="M1893" s="43"/>
    </row>
    <row r="1894" spans="1:13" ht="13.5" customHeight="1" x14ac:dyDescent="0.25">
      <c r="A1894" s="43"/>
      <c r="B1894" s="43"/>
      <c r="C1894" s="35">
        <f t="shared" si="36"/>
        <v>38</v>
      </c>
      <c r="D1894" s="35" t="str" cm="1">
        <f t="array" ref="D1894">IFERROR(ROUNDUP(_xlfn.IFS(F1894="Aluminum Track", _xlfn.XLOOKUP(C1894, dd_accsrycalc!$A$2:$A$51, dd_accsrycalc!$B$2:$B$51, "",0), F1894="10 x 2 1/2 S (Flat)", _xlfn.XLOOKUP(C1894, dd_accsrycalc!$A$2:$A$51, dd_accsrycalc!$C$2:$C$51, "",0), F1894="Tox6", _xlfn.XLOOKUP(C1894, dd_accsrycalc!$A$2:$A$51, dd_accsrycalc!$D$2:$D$51, "",0), F1894="Cover Cap", _xlfn.XLOOKUP(C1894, dd_accsrycalc!$A$2:$A$51, dd_accsrycalc!$E$2:$E$51, "",0), F1894="Drainage Cover", _xlfn.XLOOKUP(C1894, dd_accsrycalc!$A$2:$A$51, dd_accsrycalc!$F$2:$F$51, "",0),AND( F1894="Double Adhesive Tape", I1894="Roll-up Screen"), _xlfn.XLOOKUP(C1894, calc_rusacc!$C$15:$C$65, calc_rusacc!$AD$15:$AD$65, "",0),AND( F1894="Sealant", I1894="Roll-up Screen"), _xlfn.XLOOKUP(C1894, calc_rusacc!$C$15:$C$65, calc_rusacc!$AF$15:$AF$65, "",0),  AND( F1894="Main Chain", I1894="Accordion Screen"), _xlfn.XLOOKUP(C1894, calc_rusacc!$C$15:$C$65, calc_rusacc!$BF$15:$BF$65, "",0), AND( F1894="Sealant", I1894="Accordion Screen"), _xlfn.XLOOKUP(C1894, calc_rusacc!$C$15:$C$65, calc_rusacc!$BJ$15:$BJ$65, "",0),  F1894="Sealant", _xlfn.XLOOKUP(C1894, dd_accsrycalc!$A$2:$A$51, dd_accsrycalc!$G$2:$G$51, "",0),  F1894&lt;&gt;"",L1894*_xlfn.XLOOKUP(1, (SKUs!$C$2:$C$10001=G1894)*(SKUs!$K$2:$K$10001=I1894),SKUs!$E$2:$E$10001)), 0),"")</f>
        <v/>
      </c>
      <c r="E1894" s="35" t="str">
        <f>_xlfn.XLOOKUP(F1894,dd_item!$B$2:$B$105,dd_item!$C$2:$C$105,"",0)</f>
        <v/>
      </c>
      <c r="F1894" s="35"/>
      <c r="G1894" s="35" cm="1">
        <f t="array" ref="G1894">IFERROR(_xlfn.XLOOKUP(1, (SKUs!$J$2:$J$10001=accsry_unmerged!F1894)*IF(H1894&lt;&gt;"",(SKUs!$L$2:$L$10001=accsry_unmerged!H1894),1)*(SKUs!$K$2:$K$10001=I1894),SKUs!$C$2:$C$10001),"")</f>
        <v>0</v>
      </c>
      <c r="H1894" s="36" cm="1">
        <f t="array" ref="H1894">IFERROR(_xlfn.XLOOKUP(1, (dd_accsryclr!$C$2:$C$1000=accsry_unmerged!F1894)*(dd_accsryclr!$B$2:$B$1000=accsry_unmerged!J1894),dd_accsryclr!$A$2:$A$1000),"")</f>
        <v>0</v>
      </c>
      <c r="I1894" s="35">
        <f>_xlfn.XLOOKUP(C1894,'Project Details'!$C$17:$C$66,'Project Details'!$E$17:$E$66,"",0)</f>
        <v>0</v>
      </c>
      <c r="J1894" s="35">
        <f>_xlfn.XLOOKUP(C1894,'Project Details'!$C$17:$C$66,'Project Details'!$H$17:$H$66,"",0)</f>
        <v>0</v>
      </c>
      <c r="K1894" s="36" t="str">
        <f>IF(AND(_xlfn.XLOOKUP(C1894,'Project Details'!$C$17:$C$66,'Project Details'!$L$17:$L$66,"",0)&gt;550, F1894="Spring-L27cm"),"",SUBSTITUTE(_xlfn.XLOOKUP(G1894,SKUs!$C$2:$C$10001,SKUs!$F$2:$F$10001,"",0), " Accessories",""))</f>
        <v/>
      </c>
      <c r="L1894" s="36">
        <f>_xlfn.XLOOKUP(C1894,'Project Details'!$C$17:$C$66,'Project Details'!$D$17:$D$66,"",0)</f>
        <v>0</v>
      </c>
      <c r="M1894" s="43"/>
    </row>
    <row r="1895" spans="1:13" ht="13.5" customHeight="1" outlineLevel="1" x14ac:dyDescent="0.25">
      <c r="A1895" s="43"/>
      <c r="B1895" s="43"/>
      <c r="C1895" s="16">
        <f t="shared" si="36"/>
        <v>38</v>
      </c>
      <c r="D1895" s="16" t="str" cm="1">
        <f t="array" ref="D1895">IFERROR(ROUNDUP(_xlfn.IFS(F1895="Aluminum Track", _xlfn.XLOOKUP(C1895, dd_accsrycalc!$A$2:$A$51, dd_accsrycalc!$B$2:$B$51, "",0), F1895="10 x 2 1/2 S (Flat)", _xlfn.XLOOKUP(C1895, dd_accsrycalc!$A$2:$A$51, dd_accsrycalc!$C$2:$C$51, "",0), F1895="Tox6", _xlfn.XLOOKUP(C1895, dd_accsrycalc!$A$2:$A$51, dd_accsrycalc!$D$2:$D$51, "",0), F1895="Cover Cap", _xlfn.XLOOKUP(C1895, dd_accsrycalc!$A$2:$A$51, dd_accsrycalc!$E$2:$E$51, "",0), F1895="Drainage Cover", _xlfn.XLOOKUP(C1895, dd_accsrycalc!$A$2:$A$51, dd_accsrycalc!$F$2:$F$51, "",0),AND( F1895="Double Adhesive Tape", I1895="Roll-up Screen"), _xlfn.XLOOKUP(C1895, calc_rusacc!$C$15:$C$65, calc_rusacc!$AD$15:$AD$65, "",0),AND( F1895="Sealant", I1895="Roll-up Screen"), _xlfn.XLOOKUP(C1895, calc_rusacc!$C$15:$C$65, calc_rusacc!$AF$15:$AF$65, "",0),  AND( F1895="Main Chain", I1895="Accordion Screen"), _xlfn.XLOOKUP(C1895, calc_rusacc!$C$15:$C$65, calc_rusacc!$BF$15:$BF$65, "",0), AND( F1895="Sealant", I1895="Accordion Screen"), _xlfn.XLOOKUP(C1895, calc_rusacc!$C$15:$C$65, calc_rusacc!$BJ$15:$BJ$65, "",0),  F1895="Sealant", _xlfn.XLOOKUP(C1895, dd_accsrycalc!$A$2:$A$51, dd_accsrycalc!$G$2:$G$51, "",0),  F1895&lt;&gt;"",L1895*_xlfn.XLOOKUP(1, (SKUs!$C$2:$C$10001=G1895)*(SKUs!$K$2:$K$10001=I1895),SKUs!$E$2:$E$10001)), 0),"")</f>
        <v/>
      </c>
      <c r="E1895" s="16" t="str">
        <f>_xlfn.XLOOKUP(F1895,dd_item!$B$2:$B$105,dd_item!$C$2:$C$105,"",0)</f>
        <v/>
      </c>
      <c r="F1895" s="16"/>
      <c r="G1895" s="16" cm="1">
        <f t="array" ref="G1895">IFERROR(_xlfn.XLOOKUP(1, (SKUs!$J$2:$J$10001=accsry_unmerged!F1895)*IF(H1895&lt;&gt;"",(SKUs!$L$2:$L$10001=accsry_unmerged!H1895),1)*(SKUs!$K$2:$K$10001=I1895),SKUs!$C$2:$C$10001),"")</f>
        <v>0</v>
      </c>
      <c r="H1895" s="33" cm="1">
        <f t="array" ref="H1895">IFERROR(_xlfn.XLOOKUP(1, (dd_accsryclr!$C$2:$C$1000=accsry_unmerged!F1895)*(dd_accsryclr!$B$2:$B$1000=accsry_unmerged!J1895),dd_accsryclr!$A$2:$A$1000),"")</f>
        <v>0</v>
      </c>
      <c r="I1895" s="16">
        <f>_xlfn.XLOOKUP(C1895,'Project Details'!$C$17:$C$66,'Project Details'!$E$17:$E$66,"",0)</f>
        <v>0</v>
      </c>
      <c r="J1895" s="16">
        <f>_xlfn.XLOOKUP(C1895,'Project Details'!$C$17:$C$66,'Project Details'!$H$17:$H$66,"",0)</f>
        <v>0</v>
      </c>
      <c r="K1895" s="33" t="str">
        <f>IF(AND(_xlfn.XLOOKUP(C1895,'Project Details'!$C$17:$C$66,'Project Details'!$L$17:$L$66,"",0)&gt;550, F1895="Spring-L27cm"),"",SUBSTITUTE(_xlfn.XLOOKUP(G1895,SKUs!$C$2:$C$10001,SKUs!$F$2:$F$10001,"",0), " Accessories",""))</f>
        <v/>
      </c>
      <c r="L1895" s="33">
        <f>_xlfn.XLOOKUP(C1895,'Project Details'!$C$17:$C$66,'Project Details'!$D$17:$D$66,"",0)</f>
        <v>0</v>
      </c>
      <c r="M1895" s="43"/>
    </row>
    <row r="1896" spans="1:13" ht="13.5" customHeight="1" outlineLevel="1" x14ac:dyDescent="0.25">
      <c r="A1896" s="43"/>
      <c r="B1896" s="43"/>
      <c r="C1896" s="35">
        <f t="shared" si="36"/>
        <v>38</v>
      </c>
      <c r="D1896" s="35" t="str" cm="1">
        <f t="array" ref="D1896">IFERROR(ROUNDUP(_xlfn.IFS(F1896="Aluminum Track", _xlfn.XLOOKUP(C1896, dd_accsrycalc!$A$2:$A$51, dd_accsrycalc!$B$2:$B$51, "",0), F1896="10 x 2 1/2 S (Flat)", _xlfn.XLOOKUP(C1896, dd_accsrycalc!$A$2:$A$51, dd_accsrycalc!$C$2:$C$51, "",0), F1896="Tox6", _xlfn.XLOOKUP(C1896, dd_accsrycalc!$A$2:$A$51, dd_accsrycalc!$D$2:$D$51, "",0), F1896="Cover Cap", _xlfn.XLOOKUP(C1896, dd_accsrycalc!$A$2:$A$51, dd_accsrycalc!$E$2:$E$51, "",0), F1896="Drainage Cover", _xlfn.XLOOKUP(C1896, dd_accsrycalc!$A$2:$A$51, dd_accsrycalc!$F$2:$F$51, "",0),AND( F1896="Double Adhesive Tape", I1896="Roll-up Screen"), _xlfn.XLOOKUP(C1896, calc_rusacc!$C$15:$C$65, calc_rusacc!$AD$15:$AD$65, "",0),AND( F1896="Sealant", I1896="Roll-up Screen"), _xlfn.XLOOKUP(C1896, calc_rusacc!$C$15:$C$65, calc_rusacc!$AF$15:$AF$65, "",0),  AND( F1896="Main Chain", I1896="Accordion Screen"), _xlfn.XLOOKUP(C1896, calc_rusacc!$C$15:$C$65, calc_rusacc!$BF$15:$BF$65, "",0), AND( F1896="Sealant", I1896="Accordion Screen"), _xlfn.XLOOKUP(C1896, calc_rusacc!$C$15:$C$65, calc_rusacc!$BJ$15:$BJ$65, "",0),  F1896="Sealant", _xlfn.XLOOKUP(C1896, dd_accsrycalc!$A$2:$A$51, dd_accsrycalc!$G$2:$G$51, "",0),  F1896&lt;&gt;"",L1896*_xlfn.XLOOKUP(1, (SKUs!$C$2:$C$10001=G1896)*(SKUs!$K$2:$K$10001=I1896),SKUs!$E$2:$E$10001)), 0),"")</f>
        <v/>
      </c>
      <c r="E1896" s="35" t="str">
        <f>_xlfn.XLOOKUP(F1896,dd_item!$B$2:$B$105,dd_item!$C$2:$C$105,"",0)</f>
        <v/>
      </c>
      <c r="F1896" s="35"/>
      <c r="G1896" s="35" cm="1">
        <f t="array" ref="G1896">IFERROR(_xlfn.XLOOKUP(1, (SKUs!$J$2:$J$10001=accsry_unmerged!F1896)*IF(H1896&lt;&gt;"",(SKUs!$L$2:$L$10001=accsry_unmerged!H1896),1)*(SKUs!$K$2:$K$10001=I1896),SKUs!$C$2:$C$10001),"")</f>
        <v>0</v>
      </c>
      <c r="H1896" s="36" cm="1">
        <f t="array" ref="H1896">IFERROR(_xlfn.XLOOKUP(1, (dd_accsryclr!$C$2:$C$1000=accsry_unmerged!F1896)*(dd_accsryclr!$B$2:$B$1000=accsry_unmerged!J1896),dd_accsryclr!$A$2:$A$1000),"")</f>
        <v>0</v>
      </c>
      <c r="I1896" s="35">
        <f>_xlfn.XLOOKUP(C1896,'Project Details'!$C$17:$C$66,'Project Details'!$E$17:$E$66,"",0)</f>
        <v>0</v>
      </c>
      <c r="J1896" s="35">
        <f>_xlfn.XLOOKUP(C1896,'Project Details'!$C$17:$C$66,'Project Details'!$H$17:$H$66,"",0)</f>
        <v>0</v>
      </c>
      <c r="K1896" s="36" t="str">
        <f>IF(AND(_xlfn.XLOOKUP(C1896,'Project Details'!$C$17:$C$66,'Project Details'!$L$17:$L$66,"",0)&gt;550, F1896="Spring-L27cm"),"",SUBSTITUTE(_xlfn.XLOOKUP(G1896,SKUs!$C$2:$C$10001,SKUs!$F$2:$F$10001,"",0), " Accessories",""))</f>
        <v/>
      </c>
      <c r="L1896" s="36">
        <f>_xlfn.XLOOKUP(C1896,'Project Details'!$C$17:$C$66,'Project Details'!$D$17:$D$66,"",0)</f>
        <v>0</v>
      </c>
      <c r="M1896" s="43"/>
    </row>
    <row r="1897" spans="1:13" ht="13.5" customHeight="1" outlineLevel="1" x14ac:dyDescent="0.25">
      <c r="A1897" s="43"/>
      <c r="B1897" s="43"/>
      <c r="C1897" s="16">
        <f t="shared" si="36"/>
        <v>38</v>
      </c>
      <c r="D1897" s="16" t="str" cm="1">
        <f t="array" ref="D1897">IFERROR(ROUNDUP(_xlfn.IFS(F1897="Aluminum Track", _xlfn.XLOOKUP(C1897, dd_accsrycalc!$A$2:$A$51, dd_accsrycalc!$B$2:$B$51, "",0), F1897="10 x 2 1/2 S (Flat)", _xlfn.XLOOKUP(C1897, dd_accsrycalc!$A$2:$A$51, dd_accsrycalc!$C$2:$C$51, "",0), F1897="Tox6", _xlfn.XLOOKUP(C1897, dd_accsrycalc!$A$2:$A$51, dd_accsrycalc!$D$2:$D$51, "",0), F1897="Cover Cap", _xlfn.XLOOKUP(C1897, dd_accsrycalc!$A$2:$A$51, dd_accsrycalc!$E$2:$E$51, "",0), F1897="Drainage Cover", _xlfn.XLOOKUP(C1897, dd_accsrycalc!$A$2:$A$51, dd_accsrycalc!$F$2:$F$51, "",0),AND( F1897="Double Adhesive Tape", I1897="Roll-up Screen"), _xlfn.XLOOKUP(C1897, calc_rusacc!$C$15:$C$65, calc_rusacc!$AD$15:$AD$65, "",0),AND( F1897="Sealant", I1897="Roll-up Screen"), _xlfn.XLOOKUP(C1897, calc_rusacc!$C$15:$C$65, calc_rusacc!$AF$15:$AF$65, "",0),  AND( F1897="Main Chain", I1897="Accordion Screen"), _xlfn.XLOOKUP(C1897, calc_rusacc!$C$15:$C$65, calc_rusacc!$BF$15:$BF$65, "",0), AND( F1897="Sealant", I1897="Accordion Screen"), _xlfn.XLOOKUP(C1897, calc_rusacc!$C$15:$C$65, calc_rusacc!$BJ$15:$BJ$65, "",0),  F1897="Sealant", _xlfn.XLOOKUP(C1897, dd_accsrycalc!$A$2:$A$51, dd_accsrycalc!$G$2:$G$51, "",0),  F1897&lt;&gt;"",L1897*_xlfn.XLOOKUP(1, (SKUs!$C$2:$C$10001=G1897)*(SKUs!$K$2:$K$10001=I1897),SKUs!$E$2:$E$10001)), 0),"")</f>
        <v/>
      </c>
      <c r="E1897" s="16" t="str">
        <f>_xlfn.XLOOKUP(F1897,dd_item!$B$2:$B$105,dd_item!$C$2:$C$105,"",0)</f>
        <v/>
      </c>
      <c r="F1897" s="16"/>
      <c r="G1897" s="16" cm="1">
        <f t="array" ref="G1897">IFERROR(_xlfn.XLOOKUP(1, (SKUs!$J$2:$J$10001=accsry_unmerged!F1897)*IF(H1897&lt;&gt;"",(SKUs!$L$2:$L$10001=accsry_unmerged!H1897),1)*(SKUs!$K$2:$K$10001=I1897),SKUs!$C$2:$C$10001),"")</f>
        <v>0</v>
      </c>
      <c r="H1897" s="33" cm="1">
        <f t="array" ref="H1897">IFERROR(_xlfn.XLOOKUP(1, (dd_accsryclr!$C$2:$C$1000=accsry_unmerged!F1897)*(dd_accsryclr!$B$2:$B$1000=accsry_unmerged!J1897),dd_accsryclr!$A$2:$A$1000),"")</f>
        <v>0</v>
      </c>
      <c r="I1897" s="16">
        <f>_xlfn.XLOOKUP(C1897,'Project Details'!$C$17:$C$66,'Project Details'!$E$17:$E$66,"",0)</f>
        <v>0</v>
      </c>
      <c r="J1897" s="16">
        <f>_xlfn.XLOOKUP(C1897,'Project Details'!$C$17:$C$66,'Project Details'!$H$17:$H$66,"",0)</f>
        <v>0</v>
      </c>
      <c r="K1897" s="33" t="str">
        <f>IF(AND(_xlfn.XLOOKUP(C1897,'Project Details'!$C$17:$C$66,'Project Details'!$L$17:$L$66,"",0)&gt;550, F1897="Spring-L27cm"),"",SUBSTITUTE(_xlfn.XLOOKUP(G1897,SKUs!$C$2:$C$10001,SKUs!$F$2:$F$10001,"",0), " Accessories",""))</f>
        <v/>
      </c>
      <c r="L1897" s="33">
        <f>_xlfn.XLOOKUP(C1897,'Project Details'!$C$17:$C$66,'Project Details'!$D$17:$D$66,"",0)</f>
        <v>0</v>
      </c>
      <c r="M1897" s="43"/>
    </row>
    <row r="1898" spans="1:13" ht="13.5" customHeight="1" outlineLevel="1" x14ac:dyDescent="0.25">
      <c r="A1898" s="43"/>
      <c r="B1898" s="43"/>
      <c r="C1898" s="35">
        <f t="shared" si="36"/>
        <v>38</v>
      </c>
      <c r="D1898" s="35" t="str" cm="1">
        <f t="array" ref="D1898">IFERROR(ROUNDUP(_xlfn.IFS(F1898="Aluminum Track", _xlfn.XLOOKUP(C1898, dd_accsrycalc!$A$2:$A$51, dd_accsrycalc!$B$2:$B$51, "",0), F1898="10 x 2 1/2 S (Flat)", _xlfn.XLOOKUP(C1898, dd_accsrycalc!$A$2:$A$51, dd_accsrycalc!$C$2:$C$51, "",0), F1898="Tox6", _xlfn.XLOOKUP(C1898, dd_accsrycalc!$A$2:$A$51, dd_accsrycalc!$D$2:$D$51, "",0), F1898="Cover Cap", _xlfn.XLOOKUP(C1898, dd_accsrycalc!$A$2:$A$51, dd_accsrycalc!$E$2:$E$51, "",0), F1898="Drainage Cover", _xlfn.XLOOKUP(C1898, dd_accsrycalc!$A$2:$A$51, dd_accsrycalc!$F$2:$F$51, "",0),AND( F1898="Double Adhesive Tape", I1898="Roll-up Screen"), _xlfn.XLOOKUP(C1898, calc_rusacc!$C$15:$C$65, calc_rusacc!$AD$15:$AD$65, "",0),AND( F1898="Sealant", I1898="Roll-up Screen"), _xlfn.XLOOKUP(C1898, calc_rusacc!$C$15:$C$65, calc_rusacc!$AF$15:$AF$65, "",0),  AND( F1898="Main Chain", I1898="Accordion Screen"), _xlfn.XLOOKUP(C1898, calc_rusacc!$C$15:$C$65, calc_rusacc!$BF$15:$BF$65, "",0), AND( F1898="Sealant", I1898="Accordion Screen"), _xlfn.XLOOKUP(C1898, calc_rusacc!$C$15:$C$65, calc_rusacc!$BJ$15:$BJ$65, "",0),  F1898="Sealant", _xlfn.XLOOKUP(C1898, dd_accsrycalc!$A$2:$A$51, dd_accsrycalc!$G$2:$G$51, "",0),  F1898&lt;&gt;"",L1898*_xlfn.XLOOKUP(1, (SKUs!$C$2:$C$10001=G1898)*(SKUs!$K$2:$K$10001=I1898),SKUs!$E$2:$E$10001)), 0),"")</f>
        <v/>
      </c>
      <c r="E1898" s="35" t="str">
        <f>_xlfn.XLOOKUP(F1898,dd_item!$B$2:$B$105,dd_item!$C$2:$C$105,"",0)</f>
        <v/>
      </c>
      <c r="F1898" s="35"/>
      <c r="G1898" s="35" cm="1">
        <f t="array" ref="G1898">IFERROR(_xlfn.XLOOKUP(1, (SKUs!$J$2:$J$10001=accsry_unmerged!F1898)*IF(H1898&lt;&gt;"",(SKUs!$L$2:$L$10001=accsry_unmerged!H1898),1)*(SKUs!$K$2:$K$10001=I1898),SKUs!$C$2:$C$10001),"")</f>
        <v>0</v>
      </c>
      <c r="H1898" s="36" cm="1">
        <f t="array" ref="H1898">IFERROR(_xlfn.XLOOKUP(1, (dd_accsryclr!$C$2:$C$1000=accsry_unmerged!F1898)*(dd_accsryclr!$B$2:$B$1000=accsry_unmerged!J1898),dd_accsryclr!$A$2:$A$1000),"")</f>
        <v>0</v>
      </c>
      <c r="I1898" s="35">
        <f>_xlfn.XLOOKUP(C1898,'Project Details'!$C$17:$C$66,'Project Details'!$E$17:$E$66,"",0)</f>
        <v>0</v>
      </c>
      <c r="J1898" s="35">
        <f>_xlfn.XLOOKUP(C1898,'Project Details'!$C$17:$C$66,'Project Details'!$H$17:$H$66,"",0)</f>
        <v>0</v>
      </c>
      <c r="K1898" s="36" t="str">
        <f>IF(AND(_xlfn.XLOOKUP(C1898,'Project Details'!$C$17:$C$66,'Project Details'!$L$17:$L$66,"",0)&gt;550, F1898="Spring-L27cm"),"",SUBSTITUTE(_xlfn.XLOOKUP(G1898,SKUs!$C$2:$C$10001,SKUs!$F$2:$F$10001,"",0), " Accessories",""))</f>
        <v/>
      </c>
      <c r="L1898" s="36">
        <f>_xlfn.XLOOKUP(C1898,'Project Details'!$C$17:$C$66,'Project Details'!$D$17:$D$66,"",0)</f>
        <v>0</v>
      </c>
      <c r="M1898" s="43"/>
    </row>
    <row r="1899" spans="1:13" ht="13.5" customHeight="1" outlineLevel="1" x14ac:dyDescent="0.25">
      <c r="A1899" s="43"/>
      <c r="B1899" s="43"/>
      <c r="C1899" s="16">
        <f t="shared" si="36"/>
        <v>38</v>
      </c>
      <c r="D1899" s="16" t="str" cm="1">
        <f t="array" ref="D1899">IFERROR(ROUNDUP(_xlfn.IFS(F1899="Aluminum Track", _xlfn.XLOOKUP(C1899, dd_accsrycalc!$A$2:$A$51, dd_accsrycalc!$B$2:$B$51, "",0), F1899="10 x 2 1/2 S (Flat)", _xlfn.XLOOKUP(C1899, dd_accsrycalc!$A$2:$A$51, dd_accsrycalc!$C$2:$C$51, "",0), F1899="Tox6", _xlfn.XLOOKUP(C1899, dd_accsrycalc!$A$2:$A$51, dd_accsrycalc!$D$2:$D$51, "",0), F1899="Cover Cap", _xlfn.XLOOKUP(C1899, dd_accsrycalc!$A$2:$A$51, dd_accsrycalc!$E$2:$E$51, "",0), F1899="Drainage Cover", _xlfn.XLOOKUP(C1899, dd_accsrycalc!$A$2:$A$51, dd_accsrycalc!$F$2:$F$51, "",0),AND( F1899="Double Adhesive Tape", I1899="Roll-up Screen"), _xlfn.XLOOKUP(C1899, calc_rusacc!$C$15:$C$65, calc_rusacc!$AD$15:$AD$65, "",0),AND( F1899="Sealant", I1899="Roll-up Screen"), _xlfn.XLOOKUP(C1899, calc_rusacc!$C$15:$C$65, calc_rusacc!$AF$15:$AF$65, "",0),  AND( F1899="Main Chain", I1899="Accordion Screen"), _xlfn.XLOOKUP(C1899, calc_rusacc!$C$15:$C$65, calc_rusacc!$BF$15:$BF$65, "",0), AND( F1899="Sealant", I1899="Accordion Screen"), _xlfn.XLOOKUP(C1899, calc_rusacc!$C$15:$C$65, calc_rusacc!$BJ$15:$BJ$65, "",0),  F1899="Sealant", _xlfn.XLOOKUP(C1899, dd_accsrycalc!$A$2:$A$51, dd_accsrycalc!$G$2:$G$51, "",0),  F1899&lt;&gt;"",L1899*_xlfn.XLOOKUP(1, (SKUs!$C$2:$C$10001=G1899)*(SKUs!$K$2:$K$10001=I1899),SKUs!$E$2:$E$10001)), 0),"")</f>
        <v/>
      </c>
      <c r="E1899" s="16" t="str">
        <f>_xlfn.XLOOKUP(F1899,dd_item!$B$2:$B$105,dd_item!$C$2:$C$105,"",0)</f>
        <v/>
      </c>
      <c r="F1899" s="16"/>
      <c r="G1899" s="16" cm="1">
        <f t="array" ref="G1899">IFERROR(_xlfn.XLOOKUP(1, (SKUs!$J$2:$J$10001=accsry_unmerged!F1899)*IF(H1899&lt;&gt;"",(SKUs!$L$2:$L$10001=accsry_unmerged!H1899),1)*(SKUs!$K$2:$K$10001=I1899),SKUs!$C$2:$C$10001),"")</f>
        <v>0</v>
      </c>
      <c r="H1899" s="33" cm="1">
        <f t="array" ref="H1899">IFERROR(_xlfn.XLOOKUP(1, (dd_accsryclr!$C$2:$C$1000=accsry_unmerged!F1899)*(dd_accsryclr!$B$2:$B$1000=accsry_unmerged!J1899),dd_accsryclr!$A$2:$A$1000),"")</f>
        <v>0</v>
      </c>
      <c r="I1899" s="16">
        <f>_xlfn.XLOOKUP(C1899,'Project Details'!$C$17:$C$66,'Project Details'!$E$17:$E$66,"",0)</f>
        <v>0</v>
      </c>
      <c r="J1899" s="16">
        <f>_xlfn.XLOOKUP(C1899,'Project Details'!$C$17:$C$66,'Project Details'!$H$17:$H$66,"",0)</f>
        <v>0</v>
      </c>
      <c r="K1899" s="33" t="str">
        <f>IF(AND(_xlfn.XLOOKUP(C1899,'Project Details'!$C$17:$C$66,'Project Details'!$L$17:$L$66,"",0)&gt;550, F1899="Spring-L27cm"),"",SUBSTITUTE(_xlfn.XLOOKUP(G1899,SKUs!$C$2:$C$10001,SKUs!$F$2:$F$10001,"",0), " Accessories",""))</f>
        <v/>
      </c>
      <c r="L1899" s="33">
        <f>_xlfn.XLOOKUP(C1899,'Project Details'!$C$17:$C$66,'Project Details'!$D$17:$D$66,"",0)</f>
        <v>0</v>
      </c>
      <c r="M1899" s="43"/>
    </row>
    <row r="1900" spans="1:13" ht="13.5" customHeight="1" outlineLevel="1" x14ac:dyDescent="0.25">
      <c r="A1900" s="43"/>
      <c r="B1900" s="43"/>
      <c r="C1900" s="35">
        <f t="shared" si="36"/>
        <v>38</v>
      </c>
      <c r="D1900" s="35" t="str" cm="1">
        <f t="array" ref="D1900">IFERROR(ROUNDUP(_xlfn.IFS(F1900="Aluminum Track", _xlfn.XLOOKUP(C1900, dd_accsrycalc!$A$2:$A$51, dd_accsrycalc!$B$2:$B$51, "",0), F1900="10 x 2 1/2 S (Flat)", _xlfn.XLOOKUP(C1900, dd_accsrycalc!$A$2:$A$51, dd_accsrycalc!$C$2:$C$51, "",0), F1900="Tox6", _xlfn.XLOOKUP(C1900, dd_accsrycalc!$A$2:$A$51, dd_accsrycalc!$D$2:$D$51, "",0), F1900="Cover Cap", _xlfn.XLOOKUP(C1900, dd_accsrycalc!$A$2:$A$51, dd_accsrycalc!$E$2:$E$51, "",0), F1900="Drainage Cover", _xlfn.XLOOKUP(C1900, dd_accsrycalc!$A$2:$A$51, dd_accsrycalc!$F$2:$F$51, "",0),AND( F1900="Double Adhesive Tape", I1900="Roll-up Screen"), _xlfn.XLOOKUP(C1900, calc_rusacc!$C$15:$C$65, calc_rusacc!$AD$15:$AD$65, "",0),AND( F1900="Sealant", I1900="Roll-up Screen"), _xlfn.XLOOKUP(C1900, calc_rusacc!$C$15:$C$65, calc_rusacc!$AF$15:$AF$65, "",0),  AND( F1900="Main Chain", I1900="Accordion Screen"), _xlfn.XLOOKUP(C1900, calc_rusacc!$C$15:$C$65, calc_rusacc!$BF$15:$BF$65, "",0), AND( F1900="Sealant", I1900="Accordion Screen"), _xlfn.XLOOKUP(C1900, calc_rusacc!$C$15:$C$65, calc_rusacc!$BJ$15:$BJ$65, "",0),  F1900="Sealant", _xlfn.XLOOKUP(C1900, dd_accsrycalc!$A$2:$A$51, dd_accsrycalc!$G$2:$G$51, "",0),  F1900&lt;&gt;"",L1900*_xlfn.XLOOKUP(1, (SKUs!$C$2:$C$10001=G1900)*(SKUs!$K$2:$K$10001=I1900),SKUs!$E$2:$E$10001)), 0),"")</f>
        <v/>
      </c>
      <c r="E1900" s="35" t="str">
        <f>_xlfn.XLOOKUP(F1900,dd_item!$B$2:$B$105,dd_item!$C$2:$C$105,"",0)</f>
        <v/>
      </c>
      <c r="F1900" s="35"/>
      <c r="G1900" s="35" cm="1">
        <f t="array" ref="G1900">IFERROR(_xlfn.XLOOKUP(1, (SKUs!$J$2:$J$10001=accsry_unmerged!F1900)*IF(H1900&lt;&gt;"",(SKUs!$L$2:$L$10001=accsry_unmerged!H1900),1)*(SKUs!$K$2:$K$10001=I1900),SKUs!$C$2:$C$10001),"")</f>
        <v>0</v>
      </c>
      <c r="H1900" s="36" cm="1">
        <f t="array" ref="H1900">IFERROR(_xlfn.XLOOKUP(1, (dd_accsryclr!$C$2:$C$1000=accsry_unmerged!F1900)*(dd_accsryclr!$B$2:$B$1000=accsry_unmerged!J1900),dd_accsryclr!$A$2:$A$1000),"")</f>
        <v>0</v>
      </c>
      <c r="I1900" s="35">
        <f>_xlfn.XLOOKUP(C1900,'Project Details'!$C$17:$C$66,'Project Details'!$E$17:$E$66,"",0)</f>
        <v>0</v>
      </c>
      <c r="J1900" s="35">
        <f>_xlfn.XLOOKUP(C1900,'Project Details'!$C$17:$C$66,'Project Details'!$H$17:$H$66,"",0)</f>
        <v>0</v>
      </c>
      <c r="K1900" s="36" t="str">
        <f>IF(AND(_xlfn.XLOOKUP(C1900,'Project Details'!$C$17:$C$66,'Project Details'!$L$17:$L$66,"",0)&gt;550, F1900="Spring-L27cm"),"",SUBSTITUTE(_xlfn.XLOOKUP(G1900,SKUs!$C$2:$C$10001,SKUs!$F$2:$F$10001,"",0), " Accessories",""))</f>
        <v/>
      </c>
      <c r="L1900" s="36">
        <f>_xlfn.XLOOKUP(C1900,'Project Details'!$C$17:$C$66,'Project Details'!$D$17:$D$66,"",0)</f>
        <v>0</v>
      </c>
      <c r="M1900" s="43"/>
    </row>
    <row r="1901" spans="1:13" ht="13.5" customHeight="1" outlineLevel="1" x14ac:dyDescent="0.25">
      <c r="A1901" s="43"/>
      <c r="B1901" s="43"/>
      <c r="C1901" s="16">
        <f t="shared" si="36"/>
        <v>38</v>
      </c>
      <c r="D1901" s="16" t="str" cm="1">
        <f t="array" ref="D1901">IFERROR(ROUNDUP(_xlfn.IFS(F1901="Aluminum Track", _xlfn.XLOOKUP(C1901, dd_accsrycalc!$A$2:$A$51, dd_accsrycalc!$B$2:$B$51, "",0), F1901="10 x 2 1/2 S (Flat)", _xlfn.XLOOKUP(C1901, dd_accsrycalc!$A$2:$A$51, dd_accsrycalc!$C$2:$C$51, "",0), F1901="Tox6", _xlfn.XLOOKUP(C1901, dd_accsrycalc!$A$2:$A$51, dd_accsrycalc!$D$2:$D$51, "",0), F1901="Cover Cap", _xlfn.XLOOKUP(C1901, dd_accsrycalc!$A$2:$A$51, dd_accsrycalc!$E$2:$E$51, "",0), F1901="Drainage Cover", _xlfn.XLOOKUP(C1901, dd_accsrycalc!$A$2:$A$51, dd_accsrycalc!$F$2:$F$51, "",0),AND( F1901="Double Adhesive Tape", I1901="Roll-up Screen"), _xlfn.XLOOKUP(C1901, calc_rusacc!$C$15:$C$65, calc_rusacc!$AD$15:$AD$65, "",0),AND( F1901="Sealant", I1901="Roll-up Screen"), _xlfn.XLOOKUP(C1901, calc_rusacc!$C$15:$C$65, calc_rusacc!$AF$15:$AF$65, "",0),  AND( F1901="Main Chain", I1901="Accordion Screen"), _xlfn.XLOOKUP(C1901, calc_rusacc!$C$15:$C$65, calc_rusacc!$BF$15:$BF$65, "",0), AND( F1901="Sealant", I1901="Accordion Screen"), _xlfn.XLOOKUP(C1901, calc_rusacc!$C$15:$C$65, calc_rusacc!$BJ$15:$BJ$65, "",0),  F1901="Sealant", _xlfn.XLOOKUP(C1901, dd_accsrycalc!$A$2:$A$51, dd_accsrycalc!$G$2:$G$51, "",0),  F1901&lt;&gt;"",L1901*_xlfn.XLOOKUP(1, (SKUs!$C$2:$C$10001=G1901)*(SKUs!$K$2:$K$10001=I1901),SKUs!$E$2:$E$10001)), 0),"")</f>
        <v/>
      </c>
      <c r="E1901" s="16" t="str">
        <f>_xlfn.XLOOKUP(F1901,dd_item!$B$2:$B$105,dd_item!$C$2:$C$105,"",0)</f>
        <v/>
      </c>
      <c r="F1901" s="16"/>
      <c r="G1901" s="16" cm="1">
        <f t="array" ref="G1901">IFERROR(_xlfn.XLOOKUP(1, (SKUs!$J$2:$J$10001=accsry_unmerged!F1901)*IF(H1901&lt;&gt;"",(SKUs!$L$2:$L$10001=accsry_unmerged!H1901),1)*(SKUs!$K$2:$K$10001=I1901),SKUs!$C$2:$C$10001),"")</f>
        <v>0</v>
      </c>
      <c r="H1901" s="33" cm="1">
        <f t="array" ref="H1901">IFERROR(_xlfn.XLOOKUP(1, (dd_accsryclr!$C$2:$C$1000=accsry_unmerged!F1901)*(dd_accsryclr!$B$2:$B$1000=accsry_unmerged!J1901),dd_accsryclr!$A$2:$A$1000),"")</f>
        <v>0</v>
      </c>
      <c r="I1901" s="16">
        <f>_xlfn.XLOOKUP(C1901,'Project Details'!$C$17:$C$66,'Project Details'!$E$17:$E$66,"",0)</f>
        <v>0</v>
      </c>
      <c r="J1901" s="16">
        <f>_xlfn.XLOOKUP(C1901,'Project Details'!$C$17:$C$66,'Project Details'!$H$17:$H$66,"",0)</f>
        <v>0</v>
      </c>
      <c r="K1901" s="33" t="str">
        <f>IF(AND(_xlfn.XLOOKUP(C1901,'Project Details'!$C$17:$C$66,'Project Details'!$L$17:$L$66,"",0)&gt;550, F1901="Spring-L27cm"),"",SUBSTITUTE(_xlfn.XLOOKUP(G1901,SKUs!$C$2:$C$10001,SKUs!$F$2:$F$10001,"",0), " Accessories",""))</f>
        <v/>
      </c>
      <c r="L1901" s="33">
        <f>_xlfn.XLOOKUP(C1901,'Project Details'!$C$17:$C$66,'Project Details'!$D$17:$D$66,"",0)</f>
        <v>0</v>
      </c>
      <c r="M1901" s="43"/>
    </row>
    <row r="1902" spans="1:13" ht="13.5" customHeight="1" outlineLevel="1" x14ac:dyDescent="0.25">
      <c r="A1902" s="43"/>
      <c r="B1902" s="43"/>
      <c r="C1902" s="35">
        <f t="shared" si="36"/>
        <v>38</v>
      </c>
      <c r="D1902" s="35" t="str" cm="1">
        <f t="array" ref="D1902">IFERROR(ROUNDUP(_xlfn.IFS(F1902="Aluminum Track", _xlfn.XLOOKUP(C1902, dd_accsrycalc!$A$2:$A$51, dd_accsrycalc!$B$2:$B$51, "",0), F1902="10 x 2 1/2 S (Flat)", _xlfn.XLOOKUP(C1902, dd_accsrycalc!$A$2:$A$51, dd_accsrycalc!$C$2:$C$51, "",0), F1902="Tox6", _xlfn.XLOOKUP(C1902, dd_accsrycalc!$A$2:$A$51, dd_accsrycalc!$D$2:$D$51, "",0), F1902="Cover Cap", _xlfn.XLOOKUP(C1902, dd_accsrycalc!$A$2:$A$51, dd_accsrycalc!$E$2:$E$51, "",0), F1902="Drainage Cover", _xlfn.XLOOKUP(C1902, dd_accsrycalc!$A$2:$A$51, dd_accsrycalc!$F$2:$F$51, "",0),AND( F1902="Double Adhesive Tape", I1902="Roll-up Screen"), _xlfn.XLOOKUP(C1902, calc_rusacc!$C$15:$C$65, calc_rusacc!$AD$15:$AD$65, "",0),AND( F1902="Sealant", I1902="Roll-up Screen"), _xlfn.XLOOKUP(C1902, calc_rusacc!$C$15:$C$65, calc_rusacc!$AF$15:$AF$65, "",0),  AND( F1902="Main Chain", I1902="Accordion Screen"), _xlfn.XLOOKUP(C1902, calc_rusacc!$C$15:$C$65, calc_rusacc!$BF$15:$BF$65, "",0), AND( F1902="Sealant", I1902="Accordion Screen"), _xlfn.XLOOKUP(C1902, calc_rusacc!$C$15:$C$65, calc_rusacc!$BJ$15:$BJ$65, "",0),  F1902="Sealant", _xlfn.XLOOKUP(C1902, dd_accsrycalc!$A$2:$A$51, dd_accsrycalc!$G$2:$G$51, "",0),  F1902&lt;&gt;"",L1902*_xlfn.XLOOKUP(1, (SKUs!$C$2:$C$10001=G1902)*(SKUs!$K$2:$K$10001=I1902),SKUs!$E$2:$E$10001)), 0),"")</f>
        <v/>
      </c>
      <c r="E1902" s="35" t="str">
        <f>_xlfn.XLOOKUP(F1902,dd_item!$B$2:$B$105,dd_item!$C$2:$C$105,"",0)</f>
        <v/>
      </c>
      <c r="F1902" s="35"/>
      <c r="G1902" s="35" cm="1">
        <f t="array" ref="G1902">IFERROR(_xlfn.XLOOKUP(1, (SKUs!$J$2:$J$10001=accsry_unmerged!F1902)*IF(H1902&lt;&gt;"",(SKUs!$L$2:$L$10001=accsry_unmerged!H1902),1)*(SKUs!$K$2:$K$10001=I1902),SKUs!$C$2:$C$10001),"")</f>
        <v>0</v>
      </c>
      <c r="H1902" s="36" cm="1">
        <f t="array" ref="H1902">IFERROR(_xlfn.XLOOKUP(1, (dd_accsryclr!$C$2:$C$1000=accsry_unmerged!F1902)*(dd_accsryclr!$B$2:$B$1000=accsry_unmerged!J1902),dd_accsryclr!$A$2:$A$1000),"")</f>
        <v>0</v>
      </c>
      <c r="I1902" s="35">
        <f>_xlfn.XLOOKUP(C1902,'Project Details'!$C$17:$C$66,'Project Details'!$E$17:$E$66,"",0)</f>
        <v>0</v>
      </c>
      <c r="J1902" s="35">
        <f>_xlfn.XLOOKUP(C1902,'Project Details'!$C$17:$C$66,'Project Details'!$H$17:$H$66,"",0)</f>
        <v>0</v>
      </c>
      <c r="K1902" s="36" t="str">
        <f>IF(AND(_xlfn.XLOOKUP(C1902,'Project Details'!$C$17:$C$66,'Project Details'!$L$17:$L$66,"",0)&gt;550, F1902="Spring-L27cm"),"",SUBSTITUTE(_xlfn.XLOOKUP(G1902,SKUs!$C$2:$C$10001,SKUs!$F$2:$F$10001,"",0), " Accessories",""))</f>
        <v/>
      </c>
      <c r="L1902" s="36">
        <f>_xlfn.XLOOKUP(C1902,'Project Details'!$C$17:$C$66,'Project Details'!$D$17:$D$66,"",0)</f>
        <v>0</v>
      </c>
      <c r="M1902" s="43"/>
    </row>
    <row r="1903" spans="1:13" ht="13.5" customHeight="1" outlineLevel="1" x14ac:dyDescent="0.25">
      <c r="A1903" s="43"/>
      <c r="B1903" s="43"/>
      <c r="C1903" s="16">
        <f t="shared" si="36"/>
        <v>38</v>
      </c>
      <c r="D1903" s="16" t="str" cm="1">
        <f t="array" ref="D1903">IFERROR(ROUNDUP(_xlfn.IFS(F1903="Aluminum Track", _xlfn.XLOOKUP(C1903, dd_accsrycalc!$A$2:$A$51, dd_accsrycalc!$B$2:$B$51, "",0), F1903="10 x 2 1/2 S (Flat)", _xlfn.XLOOKUP(C1903, dd_accsrycalc!$A$2:$A$51, dd_accsrycalc!$C$2:$C$51, "",0), F1903="Tox6", _xlfn.XLOOKUP(C1903, dd_accsrycalc!$A$2:$A$51, dd_accsrycalc!$D$2:$D$51, "",0), F1903="Cover Cap", _xlfn.XLOOKUP(C1903, dd_accsrycalc!$A$2:$A$51, dd_accsrycalc!$E$2:$E$51, "",0), F1903="Drainage Cover", _xlfn.XLOOKUP(C1903, dd_accsrycalc!$A$2:$A$51, dd_accsrycalc!$F$2:$F$51, "",0),AND( F1903="Double Adhesive Tape", I1903="Roll-up Screen"), _xlfn.XLOOKUP(C1903, calc_rusacc!$C$15:$C$65, calc_rusacc!$AD$15:$AD$65, "",0),AND( F1903="Sealant", I1903="Roll-up Screen"), _xlfn.XLOOKUP(C1903, calc_rusacc!$C$15:$C$65, calc_rusacc!$AF$15:$AF$65, "",0),  AND( F1903="Main Chain", I1903="Accordion Screen"), _xlfn.XLOOKUP(C1903, calc_rusacc!$C$15:$C$65, calc_rusacc!$BF$15:$BF$65, "",0), AND( F1903="Sealant", I1903="Accordion Screen"), _xlfn.XLOOKUP(C1903, calc_rusacc!$C$15:$C$65, calc_rusacc!$BJ$15:$BJ$65, "",0),  F1903="Sealant", _xlfn.XLOOKUP(C1903, dd_accsrycalc!$A$2:$A$51, dd_accsrycalc!$G$2:$G$51, "",0),  F1903&lt;&gt;"",L1903*_xlfn.XLOOKUP(1, (SKUs!$C$2:$C$10001=G1903)*(SKUs!$K$2:$K$10001=I1903),SKUs!$E$2:$E$10001)), 0),"")</f>
        <v/>
      </c>
      <c r="E1903" s="16" t="str">
        <f>_xlfn.XLOOKUP(F1903,dd_item!$B$2:$B$105,dd_item!$C$2:$C$105,"",0)</f>
        <v/>
      </c>
      <c r="F1903" s="16"/>
      <c r="G1903" s="16" cm="1">
        <f t="array" ref="G1903">IFERROR(_xlfn.XLOOKUP(1, (SKUs!$J$2:$J$10001=accsry_unmerged!F1903)*IF(H1903&lt;&gt;"",(SKUs!$L$2:$L$10001=accsry_unmerged!H1903),1)*(SKUs!$K$2:$K$10001=I1903),SKUs!$C$2:$C$10001),"")</f>
        <v>0</v>
      </c>
      <c r="H1903" s="33" cm="1">
        <f t="array" ref="H1903">IFERROR(_xlfn.XLOOKUP(1, (dd_accsryclr!$C$2:$C$1000=accsry_unmerged!F1903)*(dd_accsryclr!$B$2:$B$1000=accsry_unmerged!J1903),dd_accsryclr!$A$2:$A$1000),"")</f>
        <v>0</v>
      </c>
      <c r="I1903" s="16">
        <f>_xlfn.XLOOKUP(C1903,'Project Details'!$C$17:$C$66,'Project Details'!$E$17:$E$66,"",0)</f>
        <v>0</v>
      </c>
      <c r="J1903" s="16">
        <f>_xlfn.XLOOKUP(C1903,'Project Details'!$C$17:$C$66,'Project Details'!$H$17:$H$66,"",0)</f>
        <v>0</v>
      </c>
      <c r="K1903" s="33" t="str">
        <f>IF(AND(_xlfn.XLOOKUP(C1903,'Project Details'!$C$17:$C$66,'Project Details'!$L$17:$L$66,"",0)&gt;550, F1903="Spring-L27cm"),"",SUBSTITUTE(_xlfn.XLOOKUP(G1903,SKUs!$C$2:$C$10001,SKUs!$F$2:$F$10001,"",0), " Accessories",""))</f>
        <v/>
      </c>
      <c r="L1903" s="33">
        <f>_xlfn.XLOOKUP(C1903,'Project Details'!$C$17:$C$66,'Project Details'!$D$17:$D$66,"",0)</f>
        <v>0</v>
      </c>
      <c r="M1903" s="43"/>
    </row>
    <row r="1904" spans="1:13" ht="13.5" customHeight="1" outlineLevel="1" x14ac:dyDescent="0.25">
      <c r="A1904" s="43"/>
      <c r="B1904" s="43"/>
      <c r="C1904" s="35">
        <f t="shared" si="36"/>
        <v>38</v>
      </c>
      <c r="D1904" s="35" t="str" cm="1">
        <f t="array" ref="D1904">IFERROR(ROUNDUP(_xlfn.IFS(F1904="Aluminum Track", _xlfn.XLOOKUP(C1904, dd_accsrycalc!$A$2:$A$51, dd_accsrycalc!$B$2:$B$51, "",0), F1904="10 x 2 1/2 S (Flat)", _xlfn.XLOOKUP(C1904, dd_accsrycalc!$A$2:$A$51, dd_accsrycalc!$C$2:$C$51, "",0), F1904="Tox6", _xlfn.XLOOKUP(C1904, dd_accsrycalc!$A$2:$A$51, dd_accsrycalc!$D$2:$D$51, "",0), F1904="Cover Cap", _xlfn.XLOOKUP(C1904, dd_accsrycalc!$A$2:$A$51, dd_accsrycalc!$E$2:$E$51, "",0), F1904="Drainage Cover", _xlfn.XLOOKUP(C1904, dd_accsrycalc!$A$2:$A$51, dd_accsrycalc!$F$2:$F$51, "",0),AND( F1904="Double Adhesive Tape", I1904="Roll-up Screen"), _xlfn.XLOOKUP(C1904, calc_rusacc!$C$15:$C$65, calc_rusacc!$AD$15:$AD$65, "",0),AND( F1904="Sealant", I1904="Roll-up Screen"), _xlfn.XLOOKUP(C1904, calc_rusacc!$C$15:$C$65, calc_rusacc!$AF$15:$AF$65, "",0),  AND( F1904="Main Chain", I1904="Accordion Screen"), _xlfn.XLOOKUP(C1904, calc_rusacc!$C$15:$C$65, calc_rusacc!$BF$15:$BF$65, "",0), AND( F1904="Sealant", I1904="Accordion Screen"), _xlfn.XLOOKUP(C1904, calc_rusacc!$C$15:$C$65, calc_rusacc!$BJ$15:$BJ$65, "",0),  F1904="Sealant", _xlfn.XLOOKUP(C1904, dd_accsrycalc!$A$2:$A$51, dd_accsrycalc!$G$2:$G$51, "",0),  F1904&lt;&gt;"",L1904*_xlfn.XLOOKUP(1, (SKUs!$C$2:$C$10001=G1904)*(SKUs!$K$2:$K$10001=I1904),SKUs!$E$2:$E$10001)), 0),"")</f>
        <v/>
      </c>
      <c r="E1904" s="35" t="str">
        <f>_xlfn.XLOOKUP(F1904,dd_item!$B$2:$B$105,dd_item!$C$2:$C$105,"",0)</f>
        <v/>
      </c>
      <c r="F1904" s="35"/>
      <c r="G1904" s="35" cm="1">
        <f t="array" ref="G1904">IFERROR(_xlfn.XLOOKUP(1, (SKUs!$J$2:$J$10001=accsry_unmerged!F1904)*IF(H1904&lt;&gt;"",(SKUs!$L$2:$L$10001=accsry_unmerged!H1904),1)*(SKUs!$K$2:$K$10001=I1904),SKUs!$C$2:$C$10001),"")</f>
        <v>0</v>
      </c>
      <c r="H1904" s="36" cm="1">
        <f t="array" ref="H1904">IFERROR(_xlfn.XLOOKUP(1, (dd_accsryclr!$C$2:$C$1000=accsry_unmerged!F1904)*(dd_accsryclr!$B$2:$B$1000=accsry_unmerged!J1904),dd_accsryclr!$A$2:$A$1000),"")</f>
        <v>0</v>
      </c>
      <c r="I1904" s="35">
        <f>_xlfn.XLOOKUP(C1904,'Project Details'!$C$17:$C$66,'Project Details'!$E$17:$E$66,"",0)</f>
        <v>0</v>
      </c>
      <c r="J1904" s="35">
        <f>_xlfn.XLOOKUP(C1904,'Project Details'!$C$17:$C$66,'Project Details'!$H$17:$H$66,"",0)</f>
        <v>0</v>
      </c>
      <c r="K1904" s="36" t="str">
        <f>IF(AND(_xlfn.XLOOKUP(C1904,'Project Details'!$C$17:$C$66,'Project Details'!$L$17:$L$66,"",0)&gt;550, F1904="Spring-L27cm"),"",SUBSTITUTE(_xlfn.XLOOKUP(G1904,SKUs!$C$2:$C$10001,SKUs!$F$2:$F$10001,"",0), " Accessories",""))</f>
        <v/>
      </c>
      <c r="L1904" s="36">
        <f>_xlfn.XLOOKUP(C1904,'Project Details'!$C$17:$C$66,'Project Details'!$D$17:$D$66,"",0)</f>
        <v>0</v>
      </c>
      <c r="M1904" s="43"/>
    </row>
    <row r="1905" spans="1:13" ht="13.5" customHeight="1" outlineLevel="1" collapsed="1" x14ac:dyDescent="0.25">
      <c r="A1905" s="43"/>
      <c r="B1905" s="43"/>
      <c r="C1905" s="16">
        <f t="shared" si="36"/>
        <v>38</v>
      </c>
      <c r="D1905" s="16" t="str" cm="1">
        <f t="array" ref="D1905">IFERROR(ROUNDUP(_xlfn.IFS(F1905="Aluminum Track", _xlfn.XLOOKUP(C1905, dd_accsrycalc!$A$2:$A$51, dd_accsrycalc!$B$2:$B$51, "",0), F1905="10 x 2 1/2 S (Flat)", _xlfn.XLOOKUP(C1905, dd_accsrycalc!$A$2:$A$51, dd_accsrycalc!$C$2:$C$51, "",0), F1905="Tox6", _xlfn.XLOOKUP(C1905, dd_accsrycalc!$A$2:$A$51, dd_accsrycalc!$D$2:$D$51, "",0), F1905="Cover Cap", _xlfn.XLOOKUP(C1905, dd_accsrycalc!$A$2:$A$51, dd_accsrycalc!$E$2:$E$51, "",0), F1905="Drainage Cover", _xlfn.XLOOKUP(C1905, dd_accsrycalc!$A$2:$A$51, dd_accsrycalc!$F$2:$F$51, "",0),AND( F1905="Double Adhesive Tape", I1905="Roll-up Screen"), _xlfn.XLOOKUP(C1905, calc_rusacc!$C$15:$C$65, calc_rusacc!$AD$15:$AD$65, "",0),AND( F1905="Sealant", I1905="Roll-up Screen"), _xlfn.XLOOKUP(C1905, calc_rusacc!$C$15:$C$65, calc_rusacc!$AF$15:$AF$65, "",0),  AND( F1905="Main Chain", I1905="Accordion Screen"), _xlfn.XLOOKUP(C1905, calc_rusacc!$C$15:$C$65, calc_rusacc!$BF$15:$BF$65, "",0), AND( F1905="Sealant", I1905="Accordion Screen"), _xlfn.XLOOKUP(C1905, calc_rusacc!$C$15:$C$65, calc_rusacc!$BJ$15:$BJ$65, "",0),  F1905="Sealant", _xlfn.XLOOKUP(C1905, dd_accsrycalc!$A$2:$A$51, dd_accsrycalc!$G$2:$G$51, "",0),  F1905&lt;&gt;"",L1905*_xlfn.XLOOKUP(1, (SKUs!$C$2:$C$10001=G1905)*(SKUs!$K$2:$K$10001=I1905),SKUs!$E$2:$E$10001)), 0),"")</f>
        <v/>
      </c>
      <c r="E1905" s="16" t="str">
        <f>_xlfn.XLOOKUP(F1905,dd_item!$B$2:$B$105,dd_item!$C$2:$C$105,"",0)</f>
        <v/>
      </c>
      <c r="F1905" s="16"/>
      <c r="G1905" s="16" cm="1">
        <f t="array" ref="G1905">IFERROR(_xlfn.XLOOKUP(1, (SKUs!$J$2:$J$10001=accsry_unmerged!F1905)*IF(H1905&lt;&gt;"",(SKUs!$L$2:$L$10001=accsry_unmerged!H1905),1)*(SKUs!$K$2:$K$10001=I1905),SKUs!$C$2:$C$10001),"")</f>
        <v>0</v>
      </c>
      <c r="H1905" s="33" cm="1">
        <f t="array" ref="H1905">IFERROR(_xlfn.XLOOKUP(1, (dd_accsryclr!$C$2:$C$1000=accsry_unmerged!F1905)*(dd_accsryclr!$B$2:$B$1000=accsry_unmerged!J1905),dd_accsryclr!$A$2:$A$1000),"")</f>
        <v>0</v>
      </c>
      <c r="I1905" s="16">
        <f>_xlfn.XLOOKUP(C1905,'Project Details'!$C$17:$C$66,'Project Details'!$E$17:$E$66,"",0)</f>
        <v>0</v>
      </c>
      <c r="J1905" s="16">
        <f>_xlfn.XLOOKUP(C1905,'Project Details'!$C$17:$C$66,'Project Details'!$H$17:$H$66,"",0)</f>
        <v>0</v>
      </c>
      <c r="K1905" s="33" t="str">
        <f>IF(AND(_xlfn.XLOOKUP(C1905,'Project Details'!$C$17:$C$66,'Project Details'!$L$17:$L$66,"",0)&gt;550, F1905="Spring-L27cm"),"",SUBSTITUTE(_xlfn.XLOOKUP(G1905,SKUs!$C$2:$C$10001,SKUs!$F$2:$F$10001,"",0), " Accessories",""))</f>
        <v/>
      </c>
      <c r="L1905" s="33">
        <f>_xlfn.XLOOKUP(C1905,'Project Details'!$C$17:$C$66,'Project Details'!$D$17:$D$66,"",0)</f>
        <v>0</v>
      </c>
      <c r="M1905" s="43"/>
    </row>
    <row r="1906" spans="1:13" ht="13.5" customHeight="1" outlineLevel="1" x14ac:dyDescent="0.25">
      <c r="A1906" s="43"/>
      <c r="B1906" s="43"/>
      <c r="C1906" s="35">
        <f t="shared" si="36"/>
        <v>38</v>
      </c>
      <c r="D1906" s="35" t="str" cm="1">
        <f t="array" ref="D1906">IFERROR(ROUNDUP(_xlfn.IFS(F1906="Aluminum Track", _xlfn.XLOOKUP(C1906, dd_accsrycalc!$A$2:$A$51, dd_accsrycalc!$B$2:$B$51, "",0), F1906="10 x 2 1/2 S (Flat)", _xlfn.XLOOKUP(C1906, dd_accsrycalc!$A$2:$A$51, dd_accsrycalc!$C$2:$C$51, "",0), F1906="Tox6", _xlfn.XLOOKUP(C1906, dd_accsrycalc!$A$2:$A$51, dd_accsrycalc!$D$2:$D$51, "",0), F1906="Cover Cap", _xlfn.XLOOKUP(C1906, dd_accsrycalc!$A$2:$A$51, dd_accsrycalc!$E$2:$E$51, "",0), F1906="Drainage Cover", _xlfn.XLOOKUP(C1906, dd_accsrycalc!$A$2:$A$51, dd_accsrycalc!$F$2:$F$51, "",0),AND( F1906="Double Adhesive Tape", I1906="Roll-up Screen"), _xlfn.XLOOKUP(C1906, calc_rusacc!$C$15:$C$65, calc_rusacc!$AD$15:$AD$65, "",0),AND( F1906="Sealant", I1906="Roll-up Screen"), _xlfn.XLOOKUP(C1906, calc_rusacc!$C$15:$C$65, calc_rusacc!$AF$15:$AF$65, "",0),  AND( F1906="Main Chain", I1906="Accordion Screen"), _xlfn.XLOOKUP(C1906, calc_rusacc!$C$15:$C$65, calc_rusacc!$BF$15:$BF$65, "",0), AND( F1906="Sealant", I1906="Accordion Screen"), _xlfn.XLOOKUP(C1906, calc_rusacc!$C$15:$C$65, calc_rusacc!$BJ$15:$BJ$65, "",0),  F1906="Sealant", _xlfn.XLOOKUP(C1906, dd_accsrycalc!$A$2:$A$51, dd_accsrycalc!$G$2:$G$51, "",0),  F1906&lt;&gt;"",L1906*_xlfn.XLOOKUP(1, (SKUs!$C$2:$C$10001=G1906)*(SKUs!$K$2:$K$10001=I1906),SKUs!$E$2:$E$10001)), 0),"")</f>
        <v/>
      </c>
      <c r="E1906" s="35" t="str">
        <f>_xlfn.XLOOKUP(F1906,dd_item!$B$2:$B$105,dd_item!$C$2:$C$105,"",0)</f>
        <v/>
      </c>
      <c r="F1906" s="35"/>
      <c r="G1906" s="35" cm="1">
        <f t="array" ref="G1906">IFERROR(_xlfn.XLOOKUP(1, (SKUs!$J$2:$J$10001=accsry_unmerged!F1906)*IF(H1906&lt;&gt;"",(SKUs!$L$2:$L$10001=accsry_unmerged!H1906),1)*(SKUs!$K$2:$K$10001=I1906),SKUs!$C$2:$C$10001),"")</f>
        <v>0</v>
      </c>
      <c r="H1906" s="36" cm="1">
        <f t="array" ref="H1906">IFERROR(_xlfn.XLOOKUP(1, (dd_accsryclr!$C$2:$C$1000=accsry_unmerged!F1906)*(dd_accsryclr!$B$2:$B$1000=accsry_unmerged!J1906),dd_accsryclr!$A$2:$A$1000),"")</f>
        <v>0</v>
      </c>
      <c r="I1906" s="35">
        <f>_xlfn.XLOOKUP(C1906,'Project Details'!$C$17:$C$66,'Project Details'!$E$17:$E$66,"",0)</f>
        <v>0</v>
      </c>
      <c r="J1906" s="35">
        <f>_xlfn.XLOOKUP(C1906,'Project Details'!$C$17:$C$66,'Project Details'!$H$17:$H$66,"",0)</f>
        <v>0</v>
      </c>
      <c r="K1906" s="36" t="str">
        <f>IF(AND(_xlfn.XLOOKUP(C1906,'Project Details'!$C$17:$C$66,'Project Details'!$L$17:$L$66,"",0)&gt;550, F1906="Spring-L27cm"),"",SUBSTITUTE(_xlfn.XLOOKUP(G1906,SKUs!$C$2:$C$10001,SKUs!$F$2:$F$10001,"",0), " Accessories",""))</f>
        <v/>
      </c>
      <c r="L1906" s="36">
        <f>_xlfn.XLOOKUP(C1906,'Project Details'!$C$17:$C$66,'Project Details'!$D$17:$D$66,"",0)</f>
        <v>0</v>
      </c>
      <c r="M1906" s="43"/>
    </row>
    <row r="1907" spans="1:13" ht="13.5" customHeight="1" outlineLevel="1" x14ac:dyDescent="0.25">
      <c r="A1907" s="43"/>
      <c r="B1907" s="43"/>
      <c r="C1907" s="16">
        <f t="shared" si="36"/>
        <v>38</v>
      </c>
      <c r="D1907" s="16" t="str" cm="1">
        <f t="array" ref="D1907">IFERROR(ROUNDUP(_xlfn.IFS(F1907="Aluminum Track", _xlfn.XLOOKUP(C1907, dd_accsrycalc!$A$2:$A$51, dd_accsrycalc!$B$2:$B$51, "",0), F1907="10 x 2 1/2 S (Flat)", _xlfn.XLOOKUP(C1907, dd_accsrycalc!$A$2:$A$51, dd_accsrycalc!$C$2:$C$51, "",0), F1907="Tox6", _xlfn.XLOOKUP(C1907, dd_accsrycalc!$A$2:$A$51, dd_accsrycalc!$D$2:$D$51, "",0), F1907="Cover Cap", _xlfn.XLOOKUP(C1907, dd_accsrycalc!$A$2:$A$51, dd_accsrycalc!$E$2:$E$51, "",0), F1907="Drainage Cover", _xlfn.XLOOKUP(C1907, dd_accsrycalc!$A$2:$A$51, dd_accsrycalc!$F$2:$F$51, "",0),AND( F1907="Double Adhesive Tape", I1907="Roll-up Screen"), _xlfn.XLOOKUP(C1907, calc_rusacc!$C$15:$C$65, calc_rusacc!$AD$15:$AD$65, "",0),AND( F1907="Sealant", I1907="Roll-up Screen"), _xlfn.XLOOKUP(C1907, calc_rusacc!$C$15:$C$65, calc_rusacc!$AF$15:$AF$65, "",0),  AND( F1907="Main Chain", I1907="Accordion Screen"), _xlfn.XLOOKUP(C1907, calc_rusacc!$C$15:$C$65, calc_rusacc!$BF$15:$BF$65, "",0), AND( F1907="Sealant", I1907="Accordion Screen"), _xlfn.XLOOKUP(C1907, calc_rusacc!$C$15:$C$65, calc_rusacc!$BJ$15:$BJ$65, "",0),  F1907="Sealant", _xlfn.XLOOKUP(C1907, dd_accsrycalc!$A$2:$A$51, dd_accsrycalc!$G$2:$G$51, "",0),  F1907&lt;&gt;"",L1907*_xlfn.XLOOKUP(1, (SKUs!$C$2:$C$10001=G1907)*(SKUs!$K$2:$K$10001=I1907),SKUs!$E$2:$E$10001)), 0),"")</f>
        <v/>
      </c>
      <c r="E1907" s="16" t="str">
        <f>_xlfn.XLOOKUP(F1907,dd_item!$B$2:$B$105,dd_item!$C$2:$C$105,"",0)</f>
        <v/>
      </c>
      <c r="F1907" s="16"/>
      <c r="G1907" s="16" cm="1">
        <f t="array" ref="G1907">IFERROR(_xlfn.XLOOKUP(1, (SKUs!$J$2:$J$10001=accsry_unmerged!F1907)*IF(H1907&lt;&gt;"",(SKUs!$L$2:$L$10001=accsry_unmerged!H1907),1)*(SKUs!$K$2:$K$10001=I1907),SKUs!$C$2:$C$10001),"")</f>
        <v>0</v>
      </c>
      <c r="H1907" s="33" cm="1">
        <f t="array" ref="H1907">IFERROR(_xlfn.XLOOKUP(1, (dd_accsryclr!$C$2:$C$1000=accsry_unmerged!F1907)*(dd_accsryclr!$B$2:$B$1000=accsry_unmerged!J1907),dd_accsryclr!$A$2:$A$1000),"")</f>
        <v>0</v>
      </c>
      <c r="I1907" s="16">
        <f>_xlfn.XLOOKUP(C1907,'Project Details'!$C$17:$C$66,'Project Details'!$E$17:$E$66,"",0)</f>
        <v>0</v>
      </c>
      <c r="J1907" s="16">
        <f>_xlfn.XLOOKUP(C1907,'Project Details'!$C$17:$C$66,'Project Details'!$H$17:$H$66,"",0)</f>
        <v>0</v>
      </c>
      <c r="K1907" s="33" t="str">
        <f>IF(AND(_xlfn.XLOOKUP(C1907,'Project Details'!$C$17:$C$66,'Project Details'!$L$17:$L$66,"",0)&gt;550, F1907="Spring-L27cm"),"",SUBSTITUTE(_xlfn.XLOOKUP(G1907,SKUs!$C$2:$C$10001,SKUs!$F$2:$F$10001,"",0), " Accessories",""))</f>
        <v/>
      </c>
      <c r="L1907" s="33">
        <f>_xlfn.XLOOKUP(C1907,'Project Details'!$C$17:$C$66,'Project Details'!$D$17:$D$66,"",0)</f>
        <v>0</v>
      </c>
      <c r="M1907" s="43"/>
    </row>
    <row r="1908" spans="1:13" ht="13.5" customHeight="1" outlineLevel="1" x14ac:dyDescent="0.25">
      <c r="A1908" s="43"/>
      <c r="B1908" s="43"/>
      <c r="C1908" s="35">
        <f t="shared" si="36"/>
        <v>38</v>
      </c>
      <c r="D1908" s="35" t="str" cm="1">
        <f t="array" ref="D1908">IFERROR(ROUNDUP(_xlfn.IFS(F1908="Aluminum Track", _xlfn.XLOOKUP(C1908, dd_accsrycalc!$A$2:$A$51, dd_accsrycalc!$B$2:$B$51, "",0), F1908="10 x 2 1/2 S (Flat)", _xlfn.XLOOKUP(C1908, dd_accsrycalc!$A$2:$A$51, dd_accsrycalc!$C$2:$C$51, "",0), F1908="Tox6", _xlfn.XLOOKUP(C1908, dd_accsrycalc!$A$2:$A$51, dd_accsrycalc!$D$2:$D$51, "",0), F1908="Cover Cap", _xlfn.XLOOKUP(C1908, dd_accsrycalc!$A$2:$A$51, dd_accsrycalc!$E$2:$E$51, "",0), F1908="Drainage Cover", _xlfn.XLOOKUP(C1908, dd_accsrycalc!$A$2:$A$51, dd_accsrycalc!$F$2:$F$51, "",0),AND( F1908="Double Adhesive Tape", I1908="Roll-up Screen"), _xlfn.XLOOKUP(C1908, calc_rusacc!$C$15:$C$65, calc_rusacc!$AD$15:$AD$65, "",0),AND( F1908="Sealant", I1908="Roll-up Screen"), _xlfn.XLOOKUP(C1908, calc_rusacc!$C$15:$C$65, calc_rusacc!$AF$15:$AF$65, "",0),  AND( F1908="Main Chain", I1908="Accordion Screen"), _xlfn.XLOOKUP(C1908, calc_rusacc!$C$15:$C$65, calc_rusacc!$BF$15:$BF$65, "",0), AND( F1908="Sealant", I1908="Accordion Screen"), _xlfn.XLOOKUP(C1908, calc_rusacc!$C$15:$C$65, calc_rusacc!$BJ$15:$BJ$65, "",0),  F1908="Sealant", _xlfn.XLOOKUP(C1908, dd_accsrycalc!$A$2:$A$51, dd_accsrycalc!$G$2:$G$51, "",0),  F1908&lt;&gt;"",L1908*_xlfn.XLOOKUP(1, (SKUs!$C$2:$C$10001=G1908)*(SKUs!$K$2:$K$10001=I1908),SKUs!$E$2:$E$10001)), 0),"")</f>
        <v/>
      </c>
      <c r="E1908" s="35" t="str">
        <f>_xlfn.XLOOKUP(F1908,dd_item!$B$2:$B$105,dd_item!$C$2:$C$105,"",0)</f>
        <v/>
      </c>
      <c r="F1908" s="35"/>
      <c r="G1908" s="35" cm="1">
        <f t="array" ref="G1908">IFERROR(_xlfn.XLOOKUP(1, (SKUs!$J$2:$J$10001=accsry_unmerged!F1908)*IF(H1908&lt;&gt;"",(SKUs!$L$2:$L$10001=accsry_unmerged!H1908),1)*(SKUs!$K$2:$K$10001=I1908),SKUs!$C$2:$C$10001),"")</f>
        <v>0</v>
      </c>
      <c r="H1908" s="36" cm="1">
        <f t="array" ref="H1908">IFERROR(_xlfn.XLOOKUP(1, (dd_accsryclr!$C$2:$C$1000=accsry_unmerged!F1908)*(dd_accsryclr!$B$2:$B$1000=accsry_unmerged!J1908),dd_accsryclr!$A$2:$A$1000),"")</f>
        <v>0</v>
      </c>
      <c r="I1908" s="35">
        <f>_xlfn.XLOOKUP(C1908,'Project Details'!$C$17:$C$66,'Project Details'!$E$17:$E$66,"",0)</f>
        <v>0</v>
      </c>
      <c r="J1908" s="35">
        <f>_xlfn.XLOOKUP(C1908,'Project Details'!$C$17:$C$66,'Project Details'!$H$17:$H$66,"",0)</f>
        <v>0</v>
      </c>
      <c r="K1908" s="36" t="str">
        <f>IF(AND(_xlfn.XLOOKUP(C1908,'Project Details'!$C$17:$C$66,'Project Details'!$L$17:$L$66,"",0)&gt;550, F1908="Spring-L27cm"),"",SUBSTITUTE(_xlfn.XLOOKUP(G1908,SKUs!$C$2:$C$10001,SKUs!$F$2:$F$10001,"",0), " Accessories",""))</f>
        <v/>
      </c>
      <c r="L1908" s="36">
        <f>_xlfn.XLOOKUP(C1908,'Project Details'!$C$17:$C$66,'Project Details'!$D$17:$D$66,"",0)</f>
        <v>0</v>
      </c>
      <c r="M1908" s="43"/>
    </row>
    <row r="1909" spans="1:13" ht="13.5" customHeight="1" outlineLevel="1" x14ac:dyDescent="0.25">
      <c r="A1909" s="43"/>
      <c r="B1909" s="43"/>
      <c r="C1909" s="16">
        <f t="shared" si="36"/>
        <v>38</v>
      </c>
      <c r="D1909" s="16" t="str" cm="1">
        <f t="array" ref="D1909">IFERROR(ROUNDUP(_xlfn.IFS(F1909="Aluminum Track", _xlfn.XLOOKUP(C1909, dd_accsrycalc!$A$2:$A$51, dd_accsrycalc!$B$2:$B$51, "",0), F1909="10 x 2 1/2 S (Flat)", _xlfn.XLOOKUP(C1909, dd_accsrycalc!$A$2:$A$51, dd_accsrycalc!$C$2:$C$51, "",0), F1909="Tox6", _xlfn.XLOOKUP(C1909, dd_accsrycalc!$A$2:$A$51, dd_accsrycalc!$D$2:$D$51, "",0), F1909="Cover Cap", _xlfn.XLOOKUP(C1909, dd_accsrycalc!$A$2:$A$51, dd_accsrycalc!$E$2:$E$51, "",0), F1909="Drainage Cover", _xlfn.XLOOKUP(C1909, dd_accsrycalc!$A$2:$A$51, dd_accsrycalc!$F$2:$F$51, "",0),AND( F1909="Double Adhesive Tape", I1909="Roll-up Screen"), _xlfn.XLOOKUP(C1909, calc_rusacc!$C$15:$C$65, calc_rusacc!$AD$15:$AD$65, "",0),AND( F1909="Sealant", I1909="Roll-up Screen"), _xlfn.XLOOKUP(C1909, calc_rusacc!$C$15:$C$65, calc_rusacc!$AF$15:$AF$65, "",0),  AND( F1909="Main Chain", I1909="Accordion Screen"), _xlfn.XLOOKUP(C1909, calc_rusacc!$C$15:$C$65, calc_rusacc!$BF$15:$BF$65, "",0), AND( F1909="Sealant", I1909="Accordion Screen"), _xlfn.XLOOKUP(C1909, calc_rusacc!$C$15:$C$65, calc_rusacc!$BJ$15:$BJ$65, "",0),  F1909="Sealant", _xlfn.XLOOKUP(C1909, dd_accsrycalc!$A$2:$A$51, dd_accsrycalc!$G$2:$G$51, "",0),  F1909&lt;&gt;"",L1909*_xlfn.XLOOKUP(1, (SKUs!$C$2:$C$10001=G1909)*(SKUs!$K$2:$K$10001=I1909),SKUs!$E$2:$E$10001)), 0),"")</f>
        <v/>
      </c>
      <c r="E1909" s="16" t="str">
        <f>_xlfn.XLOOKUP(F1909,dd_item!$B$2:$B$105,dd_item!$C$2:$C$105,"",0)</f>
        <v/>
      </c>
      <c r="F1909" s="16"/>
      <c r="G1909" s="16" cm="1">
        <f t="array" ref="G1909">IFERROR(_xlfn.XLOOKUP(1, (SKUs!$J$2:$J$10001=accsry_unmerged!F1909)*IF(H1909&lt;&gt;"",(SKUs!$L$2:$L$10001=accsry_unmerged!H1909),1)*(SKUs!$K$2:$K$10001=I1909),SKUs!$C$2:$C$10001),"")</f>
        <v>0</v>
      </c>
      <c r="H1909" s="33" cm="1">
        <f t="array" ref="H1909">IFERROR(_xlfn.XLOOKUP(1, (dd_accsryclr!$C$2:$C$1000=accsry_unmerged!F1909)*(dd_accsryclr!$B$2:$B$1000=accsry_unmerged!J1909),dd_accsryclr!$A$2:$A$1000),"")</f>
        <v>0</v>
      </c>
      <c r="I1909" s="16">
        <f>_xlfn.XLOOKUP(C1909,'Project Details'!$C$17:$C$66,'Project Details'!$E$17:$E$66,"",0)</f>
        <v>0</v>
      </c>
      <c r="J1909" s="16">
        <f>_xlfn.XLOOKUP(C1909,'Project Details'!$C$17:$C$66,'Project Details'!$H$17:$H$66,"",0)</f>
        <v>0</v>
      </c>
      <c r="K1909" s="33" t="str">
        <f>IF(AND(_xlfn.XLOOKUP(C1909,'Project Details'!$C$17:$C$66,'Project Details'!$L$17:$L$66,"",0)&gt;550, F1909="Spring-L27cm"),"",SUBSTITUTE(_xlfn.XLOOKUP(G1909,SKUs!$C$2:$C$10001,SKUs!$F$2:$F$10001,"",0), " Accessories",""))</f>
        <v/>
      </c>
      <c r="L1909" s="33">
        <f>_xlfn.XLOOKUP(C1909,'Project Details'!$C$17:$C$66,'Project Details'!$D$17:$D$66,"",0)</f>
        <v>0</v>
      </c>
      <c r="M1909" s="43"/>
    </row>
    <row r="1910" spans="1:13" ht="13.5" customHeight="1" outlineLevel="1" x14ac:dyDescent="0.25">
      <c r="A1910" s="43"/>
      <c r="B1910" s="43"/>
      <c r="C1910" s="35">
        <f t="shared" si="36"/>
        <v>38</v>
      </c>
      <c r="D1910" s="35" t="str" cm="1">
        <f t="array" ref="D1910">IFERROR(ROUNDUP(_xlfn.IFS(F1910="Aluminum Track", _xlfn.XLOOKUP(C1910, dd_accsrycalc!$A$2:$A$51, dd_accsrycalc!$B$2:$B$51, "",0), F1910="10 x 2 1/2 S (Flat)", _xlfn.XLOOKUP(C1910, dd_accsrycalc!$A$2:$A$51, dd_accsrycalc!$C$2:$C$51, "",0), F1910="Tox6", _xlfn.XLOOKUP(C1910, dd_accsrycalc!$A$2:$A$51, dd_accsrycalc!$D$2:$D$51, "",0), F1910="Cover Cap", _xlfn.XLOOKUP(C1910, dd_accsrycalc!$A$2:$A$51, dd_accsrycalc!$E$2:$E$51, "",0), F1910="Drainage Cover", _xlfn.XLOOKUP(C1910, dd_accsrycalc!$A$2:$A$51, dd_accsrycalc!$F$2:$F$51, "",0),AND( F1910="Double Adhesive Tape", I1910="Roll-up Screen"), _xlfn.XLOOKUP(C1910, calc_rusacc!$C$15:$C$65, calc_rusacc!$AD$15:$AD$65, "",0),AND( F1910="Sealant", I1910="Roll-up Screen"), _xlfn.XLOOKUP(C1910, calc_rusacc!$C$15:$C$65, calc_rusacc!$AF$15:$AF$65, "",0),  AND( F1910="Main Chain", I1910="Accordion Screen"), _xlfn.XLOOKUP(C1910, calc_rusacc!$C$15:$C$65, calc_rusacc!$BF$15:$BF$65, "",0), AND( F1910="Sealant", I1910="Accordion Screen"), _xlfn.XLOOKUP(C1910, calc_rusacc!$C$15:$C$65, calc_rusacc!$BJ$15:$BJ$65, "",0),  F1910="Sealant", _xlfn.XLOOKUP(C1910, dd_accsrycalc!$A$2:$A$51, dd_accsrycalc!$G$2:$G$51, "",0),  F1910&lt;&gt;"",L1910*_xlfn.XLOOKUP(1, (SKUs!$C$2:$C$10001=G1910)*(SKUs!$K$2:$K$10001=I1910),SKUs!$E$2:$E$10001)), 0),"")</f>
        <v/>
      </c>
      <c r="E1910" s="35" t="str">
        <f>_xlfn.XLOOKUP(F1910,dd_item!$B$2:$B$105,dd_item!$C$2:$C$105,"",0)</f>
        <v/>
      </c>
      <c r="F1910" s="35"/>
      <c r="G1910" s="35" cm="1">
        <f t="array" ref="G1910">IFERROR(_xlfn.XLOOKUP(1, (SKUs!$J$2:$J$10001=accsry_unmerged!F1910)*IF(H1910&lt;&gt;"",(SKUs!$L$2:$L$10001=accsry_unmerged!H1910),1)*(SKUs!$K$2:$K$10001=I1910),SKUs!$C$2:$C$10001),"")</f>
        <v>0</v>
      </c>
      <c r="H1910" s="36" cm="1">
        <f t="array" ref="H1910">IFERROR(_xlfn.XLOOKUP(1, (dd_accsryclr!$C$2:$C$1000=accsry_unmerged!F1910)*(dd_accsryclr!$B$2:$B$1000=accsry_unmerged!J1910),dd_accsryclr!$A$2:$A$1000),"")</f>
        <v>0</v>
      </c>
      <c r="I1910" s="35">
        <f>_xlfn.XLOOKUP(C1910,'Project Details'!$C$17:$C$66,'Project Details'!$E$17:$E$66,"",0)</f>
        <v>0</v>
      </c>
      <c r="J1910" s="35">
        <f>_xlfn.XLOOKUP(C1910,'Project Details'!$C$17:$C$66,'Project Details'!$H$17:$H$66,"",0)</f>
        <v>0</v>
      </c>
      <c r="K1910" s="36" t="str">
        <f>IF(AND(_xlfn.XLOOKUP(C1910,'Project Details'!$C$17:$C$66,'Project Details'!$L$17:$L$66,"",0)&gt;550, F1910="Spring-L27cm"),"",SUBSTITUTE(_xlfn.XLOOKUP(G1910,SKUs!$C$2:$C$10001,SKUs!$F$2:$F$10001,"",0), " Accessories",""))</f>
        <v/>
      </c>
      <c r="L1910" s="36">
        <f>_xlfn.XLOOKUP(C1910,'Project Details'!$C$17:$C$66,'Project Details'!$D$17:$D$66,"",0)</f>
        <v>0</v>
      </c>
      <c r="M1910" s="43"/>
    </row>
    <row r="1911" spans="1:13" ht="13.5" customHeight="1" outlineLevel="1" x14ac:dyDescent="0.25">
      <c r="A1911" s="43"/>
      <c r="B1911" s="43"/>
      <c r="C1911" s="16">
        <f t="shared" si="36"/>
        <v>38</v>
      </c>
      <c r="D1911" s="16" t="str" cm="1">
        <f t="array" ref="D1911">IFERROR(ROUNDUP(_xlfn.IFS(F1911="Aluminum Track", _xlfn.XLOOKUP(C1911, dd_accsrycalc!$A$2:$A$51, dd_accsrycalc!$B$2:$B$51, "",0), F1911="10 x 2 1/2 S (Flat)", _xlfn.XLOOKUP(C1911, dd_accsrycalc!$A$2:$A$51, dd_accsrycalc!$C$2:$C$51, "",0), F1911="Tox6", _xlfn.XLOOKUP(C1911, dd_accsrycalc!$A$2:$A$51, dd_accsrycalc!$D$2:$D$51, "",0), F1911="Cover Cap", _xlfn.XLOOKUP(C1911, dd_accsrycalc!$A$2:$A$51, dd_accsrycalc!$E$2:$E$51, "",0), F1911="Drainage Cover", _xlfn.XLOOKUP(C1911, dd_accsrycalc!$A$2:$A$51, dd_accsrycalc!$F$2:$F$51, "",0),AND( F1911="Double Adhesive Tape", I1911="Roll-up Screen"), _xlfn.XLOOKUP(C1911, calc_rusacc!$C$15:$C$65, calc_rusacc!$AD$15:$AD$65, "",0),AND( F1911="Sealant", I1911="Roll-up Screen"), _xlfn.XLOOKUP(C1911, calc_rusacc!$C$15:$C$65, calc_rusacc!$AF$15:$AF$65, "",0),  AND( F1911="Main Chain", I1911="Accordion Screen"), _xlfn.XLOOKUP(C1911, calc_rusacc!$C$15:$C$65, calc_rusacc!$BF$15:$BF$65, "",0), AND( F1911="Sealant", I1911="Accordion Screen"), _xlfn.XLOOKUP(C1911, calc_rusacc!$C$15:$C$65, calc_rusacc!$BJ$15:$BJ$65, "",0),  F1911="Sealant", _xlfn.XLOOKUP(C1911, dd_accsrycalc!$A$2:$A$51, dd_accsrycalc!$G$2:$G$51, "",0),  F1911&lt;&gt;"",L1911*_xlfn.XLOOKUP(1, (SKUs!$C$2:$C$10001=G1911)*(SKUs!$K$2:$K$10001=I1911),SKUs!$E$2:$E$10001)), 0),"")</f>
        <v/>
      </c>
      <c r="E1911" s="16" t="str">
        <f>_xlfn.XLOOKUP(F1911,dd_item!$B$2:$B$105,dd_item!$C$2:$C$105,"",0)</f>
        <v/>
      </c>
      <c r="F1911" s="16"/>
      <c r="G1911" s="16" cm="1">
        <f t="array" ref="G1911">IFERROR(_xlfn.XLOOKUP(1, (SKUs!$J$2:$J$10001=accsry_unmerged!F1911)*IF(H1911&lt;&gt;"",(SKUs!$L$2:$L$10001=accsry_unmerged!H1911),1)*(SKUs!$K$2:$K$10001=I1911),SKUs!$C$2:$C$10001),"")</f>
        <v>0</v>
      </c>
      <c r="H1911" s="33" cm="1">
        <f t="array" ref="H1911">IFERROR(_xlfn.XLOOKUP(1, (dd_accsryclr!$C$2:$C$1000=accsry_unmerged!F1911)*(dd_accsryclr!$B$2:$B$1000=accsry_unmerged!J1911),dd_accsryclr!$A$2:$A$1000),"")</f>
        <v>0</v>
      </c>
      <c r="I1911" s="16">
        <f>_xlfn.XLOOKUP(C1911,'Project Details'!$C$17:$C$66,'Project Details'!$E$17:$E$66,"",0)</f>
        <v>0</v>
      </c>
      <c r="J1911" s="16">
        <f>_xlfn.XLOOKUP(C1911,'Project Details'!$C$17:$C$66,'Project Details'!$H$17:$H$66,"",0)</f>
        <v>0</v>
      </c>
      <c r="K1911" s="33" t="str">
        <f>IF(AND(_xlfn.XLOOKUP(C1911,'Project Details'!$C$17:$C$66,'Project Details'!$L$17:$L$66,"",0)&gt;550, F1911="Spring-L27cm"),"",SUBSTITUTE(_xlfn.XLOOKUP(G1911,SKUs!$C$2:$C$10001,SKUs!$F$2:$F$10001,"",0), " Accessories",""))</f>
        <v/>
      </c>
      <c r="L1911" s="33">
        <f>_xlfn.XLOOKUP(C1911,'Project Details'!$C$17:$C$66,'Project Details'!$D$17:$D$66,"",0)</f>
        <v>0</v>
      </c>
      <c r="M1911" s="43"/>
    </row>
    <row r="1912" spans="1:13" ht="13.5" customHeight="1" outlineLevel="1" x14ac:dyDescent="0.25">
      <c r="A1912" s="43"/>
      <c r="B1912" s="43"/>
      <c r="C1912" s="35">
        <f t="shared" si="36"/>
        <v>38</v>
      </c>
      <c r="D1912" s="35" t="str" cm="1">
        <f t="array" ref="D1912">IFERROR(ROUNDUP(_xlfn.IFS(F1912="Aluminum Track", _xlfn.XLOOKUP(C1912, dd_accsrycalc!$A$2:$A$51, dd_accsrycalc!$B$2:$B$51, "",0), F1912="10 x 2 1/2 S (Flat)", _xlfn.XLOOKUP(C1912, dd_accsrycalc!$A$2:$A$51, dd_accsrycalc!$C$2:$C$51, "",0), F1912="Tox6", _xlfn.XLOOKUP(C1912, dd_accsrycalc!$A$2:$A$51, dd_accsrycalc!$D$2:$D$51, "",0), F1912="Cover Cap", _xlfn.XLOOKUP(C1912, dd_accsrycalc!$A$2:$A$51, dd_accsrycalc!$E$2:$E$51, "",0), F1912="Drainage Cover", _xlfn.XLOOKUP(C1912, dd_accsrycalc!$A$2:$A$51, dd_accsrycalc!$F$2:$F$51, "",0),AND( F1912="Double Adhesive Tape", I1912="Roll-up Screen"), _xlfn.XLOOKUP(C1912, calc_rusacc!$C$15:$C$65, calc_rusacc!$AD$15:$AD$65, "",0),AND( F1912="Sealant", I1912="Roll-up Screen"), _xlfn.XLOOKUP(C1912, calc_rusacc!$C$15:$C$65, calc_rusacc!$AF$15:$AF$65, "",0),  AND( F1912="Main Chain", I1912="Accordion Screen"), _xlfn.XLOOKUP(C1912, calc_rusacc!$C$15:$C$65, calc_rusacc!$BF$15:$BF$65, "",0), AND( F1912="Sealant", I1912="Accordion Screen"), _xlfn.XLOOKUP(C1912, calc_rusacc!$C$15:$C$65, calc_rusacc!$BJ$15:$BJ$65, "",0),  F1912="Sealant", _xlfn.XLOOKUP(C1912, dd_accsrycalc!$A$2:$A$51, dd_accsrycalc!$G$2:$G$51, "",0),  F1912&lt;&gt;"",L1912*_xlfn.XLOOKUP(1, (SKUs!$C$2:$C$10001=G1912)*(SKUs!$K$2:$K$10001=I1912),SKUs!$E$2:$E$10001)), 0),"")</f>
        <v/>
      </c>
      <c r="E1912" s="35" t="str">
        <f>_xlfn.XLOOKUP(F1912,dd_item!$B$2:$B$105,dd_item!$C$2:$C$105,"",0)</f>
        <v/>
      </c>
      <c r="F1912" s="35"/>
      <c r="G1912" s="35" cm="1">
        <f t="array" ref="G1912">IFERROR(_xlfn.XLOOKUP(1, (SKUs!$J$2:$J$10001=accsry_unmerged!F1912)*IF(H1912&lt;&gt;"",(SKUs!$L$2:$L$10001=accsry_unmerged!H1912),1)*(SKUs!$K$2:$K$10001=I1912),SKUs!$C$2:$C$10001),"")</f>
        <v>0</v>
      </c>
      <c r="H1912" s="36" cm="1">
        <f t="array" ref="H1912">IFERROR(_xlfn.XLOOKUP(1, (dd_accsryclr!$C$2:$C$1000=accsry_unmerged!F1912)*(dd_accsryclr!$B$2:$B$1000=accsry_unmerged!J1912),dd_accsryclr!$A$2:$A$1000),"")</f>
        <v>0</v>
      </c>
      <c r="I1912" s="35">
        <f>_xlfn.XLOOKUP(C1912,'Project Details'!$C$17:$C$66,'Project Details'!$E$17:$E$66,"",0)</f>
        <v>0</v>
      </c>
      <c r="J1912" s="35">
        <f>_xlfn.XLOOKUP(C1912,'Project Details'!$C$17:$C$66,'Project Details'!$H$17:$H$66,"",0)</f>
        <v>0</v>
      </c>
      <c r="K1912" s="36" t="str">
        <f>IF(AND(_xlfn.XLOOKUP(C1912,'Project Details'!$C$17:$C$66,'Project Details'!$L$17:$L$66,"",0)&gt;550, F1912="Spring-L27cm"),"",SUBSTITUTE(_xlfn.XLOOKUP(G1912,SKUs!$C$2:$C$10001,SKUs!$F$2:$F$10001,"",0), " Accessories",""))</f>
        <v/>
      </c>
      <c r="L1912" s="36">
        <f>_xlfn.XLOOKUP(C1912,'Project Details'!$C$17:$C$66,'Project Details'!$D$17:$D$66,"",0)</f>
        <v>0</v>
      </c>
      <c r="M1912" s="43"/>
    </row>
    <row r="1913" spans="1:13" ht="13.5" customHeight="1" outlineLevel="1" x14ac:dyDescent="0.25">
      <c r="A1913" s="43"/>
      <c r="B1913" s="43"/>
      <c r="C1913" s="16">
        <f t="shared" si="36"/>
        <v>38</v>
      </c>
      <c r="D1913" s="16" t="str" cm="1">
        <f t="array" ref="D1913">IFERROR(ROUNDUP(_xlfn.IFS(F1913="Aluminum Track", _xlfn.XLOOKUP(C1913, dd_accsrycalc!$A$2:$A$51, dd_accsrycalc!$B$2:$B$51, "",0), F1913="10 x 2 1/2 S (Flat)", _xlfn.XLOOKUP(C1913, dd_accsrycalc!$A$2:$A$51, dd_accsrycalc!$C$2:$C$51, "",0), F1913="Tox6", _xlfn.XLOOKUP(C1913, dd_accsrycalc!$A$2:$A$51, dd_accsrycalc!$D$2:$D$51, "",0), F1913="Cover Cap", _xlfn.XLOOKUP(C1913, dd_accsrycalc!$A$2:$A$51, dd_accsrycalc!$E$2:$E$51, "",0), F1913="Drainage Cover", _xlfn.XLOOKUP(C1913, dd_accsrycalc!$A$2:$A$51, dd_accsrycalc!$F$2:$F$51, "",0),AND( F1913="Double Adhesive Tape", I1913="Roll-up Screen"), _xlfn.XLOOKUP(C1913, calc_rusacc!$C$15:$C$65, calc_rusacc!$AD$15:$AD$65, "",0),AND( F1913="Sealant", I1913="Roll-up Screen"), _xlfn.XLOOKUP(C1913, calc_rusacc!$C$15:$C$65, calc_rusacc!$AF$15:$AF$65, "",0),  AND( F1913="Main Chain", I1913="Accordion Screen"), _xlfn.XLOOKUP(C1913, calc_rusacc!$C$15:$C$65, calc_rusacc!$BF$15:$BF$65, "",0), AND( F1913="Sealant", I1913="Accordion Screen"), _xlfn.XLOOKUP(C1913, calc_rusacc!$C$15:$C$65, calc_rusacc!$BJ$15:$BJ$65, "",0),  F1913="Sealant", _xlfn.XLOOKUP(C1913, dd_accsrycalc!$A$2:$A$51, dd_accsrycalc!$G$2:$G$51, "",0),  F1913&lt;&gt;"",L1913*_xlfn.XLOOKUP(1, (SKUs!$C$2:$C$10001=G1913)*(SKUs!$K$2:$K$10001=I1913),SKUs!$E$2:$E$10001)), 0),"")</f>
        <v/>
      </c>
      <c r="E1913" s="16" t="str">
        <f>_xlfn.XLOOKUP(F1913,dd_item!$B$2:$B$105,dd_item!$C$2:$C$105,"",0)</f>
        <v/>
      </c>
      <c r="F1913" s="16"/>
      <c r="G1913" s="16" cm="1">
        <f t="array" ref="G1913">IFERROR(_xlfn.XLOOKUP(1, (SKUs!$J$2:$J$10001=accsry_unmerged!F1913)*IF(H1913&lt;&gt;"",(SKUs!$L$2:$L$10001=accsry_unmerged!H1913),1)*(SKUs!$K$2:$K$10001=I1913),SKUs!$C$2:$C$10001),"")</f>
        <v>0</v>
      </c>
      <c r="H1913" s="33" cm="1">
        <f t="array" ref="H1913">IFERROR(_xlfn.XLOOKUP(1, (dd_accsryclr!$C$2:$C$1000=accsry_unmerged!F1913)*(dd_accsryclr!$B$2:$B$1000=accsry_unmerged!J1913),dd_accsryclr!$A$2:$A$1000),"")</f>
        <v>0</v>
      </c>
      <c r="I1913" s="16">
        <f>_xlfn.XLOOKUP(C1913,'Project Details'!$C$17:$C$66,'Project Details'!$E$17:$E$66,"",0)</f>
        <v>0</v>
      </c>
      <c r="J1913" s="16">
        <f>_xlfn.XLOOKUP(C1913,'Project Details'!$C$17:$C$66,'Project Details'!$H$17:$H$66,"",0)</f>
        <v>0</v>
      </c>
      <c r="K1913" s="33" t="str">
        <f>IF(AND(_xlfn.XLOOKUP(C1913,'Project Details'!$C$17:$C$66,'Project Details'!$L$17:$L$66,"",0)&gt;550, F1913="Spring-L27cm"),"",SUBSTITUTE(_xlfn.XLOOKUP(G1913,SKUs!$C$2:$C$10001,SKUs!$F$2:$F$10001,"",0), " Accessories",""))</f>
        <v/>
      </c>
      <c r="L1913" s="33">
        <f>_xlfn.XLOOKUP(C1913,'Project Details'!$C$17:$C$66,'Project Details'!$D$17:$D$66,"",0)</f>
        <v>0</v>
      </c>
      <c r="M1913" s="43"/>
    </row>
    <row r="1914" spans="1:13" x14ac:dyDescent="0.25">
      <c r="A1914" s="43"/>
      <c r="B1914" s="43"/>
      <c r="C1914" s="43"/>
      <c r="D1914" s="43"/>
      <c r="E1914" s="43"/>
      <c r="F1914" s="43"/>
      <c r="G1914" s="43"/>
      <c r="H1914" s="43"/>
      <c r="I1914" s="43"/>
      <c r="J1914" s="43"/>
      <c r="K1914" s="43"/>
      <c r="L1914" s="43"/>
      <c r="M1914" s="43"/>
    </row>
    <row r="1915" spans="1:13" x14ac:dyDescent="0.25">
      <c r="A1915" s="43"/>
      <c r="B1915" s="43"/>
      <c r="C1915" s="16">
        <f>C1913+1</f>
        <v>39</v>
      </c>
      <c r="D1915" s="48" cm="1">
        <f t="array" ref="D1915">IFERROR(ROUNDUP(_xlfn.IFS(F1915="Aluminum Track", _xlfn.XLOOKUP(C1915, dd_accsrycalc!$A$2:$A$51, dd_accsrycalc!$B$2:$B$51, "",0), F1915="10 x 2 1/2 S (Flat)", _xlfn.XLOOKUP(C1915, dd_accsrycalc!$A$2:$A$51, dd_accsrycalc!$C$2:$C$51, "",0), F1915="Tox6", _xlfn.XLOOKUP(C1915, dd_accsrycalc!$A$2:$A$51, dd_accsrycalc!$D$2:$D$51, "",0), F1915="Cover Cap", _xlfn.XLOOKUP(C1915, dd_accsrycalc!$A$2:$A$51, dd_accsrycalc!$E$2:$E$51, "",0), F1915="Drainage Cover", _xlfn.XLOOKUP(C1915, dd_accsrycalc!$A$2:$A$51, dd_accsrycalc!$F$2:$F$51, "",0),AND( F1915="Double Adhesive Tape", I1915="Roll-up Screen"), _xlfn.XLOOKUP(C1915, calc_rusacc!$C$15:$C$65, calc_rusacc!$AD$15:$AD$65, "",0),AND( F1915="Sealant", I1915="Roll-up Screen"), _xlfn.XLOOKUP(C1915, calc_rusacc!$C$15:$C$65, calc_rusacc!$AF$15:$AF$65, "",0),  AND( F1915="Main Chain", I1915="Accordion Screen"), _xlfn.XLOOKUP(C1915, calc_rusacc!$C$15:$C$65, calc_rusacc!$BF$15:$BF$65, "",0), AND( F1915="Sealant", I1915="Accordion Screen"), _xlfn.XLOOKUP(C1915, calc_rusacc!$C$15:$C$65, calc_rusacc!$BJ$15:$BJ$65, "",0),  F1915="Sealant", _xlfn.XLOOKUP(C1915, dd_accsrycalc!$A$2:$A$51, dd_accsrycalc!$G$2:$G$51, "",0),  F1915&lt;&gt;"",L1915*_xlfn.XLOOKUP(1, (SKUs!$C$2:$C$10001=G1915)*(SKUs!$K$2:$K$10001=I1915),SKUs!$E$2:$E$10001)), 0),"")</f>
        <v>0</v>
      </c>
      <c r="E1915" s="48" t="str">
        <f>_xlfn.XLOOKUP(F1915,dd_item!$B$2:$B$105,dd_item!$C$2:$C$105,"",0)</f>
        <v/>
      </c>
      <c r="F1915" s="48" cm="1">
        <f t="array" ref="F1915">IFERROR(_xlfn.UNIQUE(_xlfn._xlws.FILTER(SKUs!$J$2:$J$10001, (SKUs!$F$2:$F$10001&lt;&gt;"Cutting List") * (SKUs!$A$2:$A$10001=_xlfn.XLOOKUP(_xlfn.XLOOKUP(C1915,'Project Details'!$C$17:$C$66,'Project Details'!$E$17:$E$66,"",0), dd_design_raw!$A$2:$A$101,dd_design_raw!$C$2:$C$101,"",0)))), "")</f>
        <v>0</v>
      </c>
      <c r="G1915" s="16" cm="1">
        <f t="array" ref="G1915">IFERROR(_xlfn.XLOOKUP(1, (SKUs!$J$2:$J$10001=accsry_unmerged!F1915)*IF(H1915&lt;&gt;"",(SKUs!$L$2:$L$10001=accsry_unmerged!H1915),1)*(SKUs!$K$2:$K$10001=I1915),SKUs!$C$2:$C$10001),"")</f>
        <v>0</v>
      </c>
      <c r="H1915" s="16" cm="1">
        <f t="array" ref="H1915">IFERROR(_xlfn.XLOOKUP(1, (dd_accsryclr!$C$2:$C$1000=accsry_unmerged!F1915)*(dd_accsryclr!$B$2:$B$1000=accsry_unmerged!J1915),dd_accsryclr!$A$2:$A$1000),"")</f>
        <v>0</v>
      </c>
      <c r="I1915" s="16">
        <f>_xlfn.XLOOKUP(C1915,'Project Details'!$C$17:$C$66,'Project Details'!$E$17:$E$66,"",0)</f>
        <v>0</v>
      </c>
      <c r="J1915" s="16">
        <f>_xlfn.XLOOKUP(C1915,'Project Details'!$C$17:$C$66,'Project Details'!$H$17:$H$66,"",0)</f>
        <v>0</v>
      </c>
      <c r="K1915" s="16" t="str">
        <f>IF(AND(_xlfn.XLOOKUP(C1915,'Project Details'!$C$17:$C$66,'Project Details'!$L$17:$L$66,"",0)&gt;550, F1915="Spring-L27cm"),"",SUBSTITUTE(_xlfn.XLOOKUP(G1915,SKUs!$C$2:$C$10001,SKUs!$F$2:$F$10001,"",0), " Accessories",""))</f>
        <v/>
      </c>
      <c r="L1915" s="16">
        <f>_xlfn.XLOOKUP(C1915,'Project Details'!$C$17:$C$66,'Project Details'!$D$17:$D$66,"",0)</f>
        <v>0</v>
      </c>
      <c r="M1915" s="43"/>
    </row>
    <row r="1916" spans="1:13" x14ac:dyDescent="0.25">
      <c r="A1916" s="43"/>
      <c r="B1916" s="43"/>
      <c r="C1916" s="35">
        <f>C1915</f>
        <v>39</v>
      </c>
      <c r="D1916" s="35" t="str" cm="1">
        <f t="array" ref="D1916">IFERROR(ROUNDUP(_xlfn.IFS(F1916="Aluminum Track", _xlfn.XLOOKUP(C1916, dd_accsrycalc!$A$2:$A$51, dd_accsrycalc!$B$2:$B$51, "",0), F1916="10 x 2 1/2 S (Flat)", _xlfn.XLOOKUP(C1916, dd_accsrycalc!$A$2:$A$51, dd_accsrycalc!$C$2:$C$51, "",0), F1916="Tox6", _xlfn.XLOOKUP(C1916, dd_accsrycalc!$A$2:$A$51, dd_accsrycalc!$D$2:$D$51, "",0), F1916="Cover Cap", _xlfn.XLOOKUP(C1916, dd_accsrycalc!$A$2:$A$51, dd_accsrycalc!$E$2:$E$51, "",0), F1916="Drainage Cover", _xlfn.XLOOKUP(C1916, dd_accsrycalc!$A$2:$A$51, dd_accsrycalc!$F$2:$F$51, "",0),AND( F1916="Double Adhesive Tape", I1916="Roll-up Screen"), _xlfn.XLOOKUP(C1916, calc_rusacc!$C$15:$C$65, calc_rusacc!$AD$15:$AD$65, "",0),AND( F1916="Sealant", I1916="Roll-up Screen"), _xlfn.XLOOKUP(C1916, calc_rusacc!$C$15:$C$65, calc_rusacc!$AF$15:$AF$65, "",0),  AND( F1916="Main Chain", I1916="Accordion Screen"), _xlfn.XLOOKUP(C1916, calc_rusacc!$C$15:$C$65, calc_rusacc!$BF$15:$BF$65, "",0), AND( F1916="Sealant", I1916="Accordion Screen"), _xlfn.XLOOKUP(C1916, calc_rusacc!$C$15:$C$65, calc_rusacc!$BJ$15:$BJ$65, "",0),  F1916="Sealant", _xlfn.XLOOKUP(C1916, dd_accsrycalc!$A$2:$A$51, dd_accsrycalc!$G$2:$G$51, "",0),  F1916&lt;&gt;"",L1916*_xlfn.XLOOKUP(1, (SKUs!$C$2:$C$10001=G1916)*(SKUs!$K$2:$K$10001=I1916),SKUs!$E$2:$E$10001)), 0),"")</f>
        <v/>
      </c>
      <c r="E1916" s="35" t="str">
        <f>_xlfn.XLOOKUP(F1916,dd_item!$B$2:$B$105,dd_item!$C$2:$C$105,"",0)</f>
        <v/>
      </c>
      <c r="F1916" s="35"/>
      <c r="G1916" s="35" cm="1">
        <f t="array" ref="G1916">IFERROR(_xlfn.XLOOKUP(1, (SKUs!$J$2:$J$10001=accsry_unmerged!F1916)*IF(H1916&lt;&gt;"",(SKUs!$L$2:$L$10001=accsry_unmerged!H1916),1)*(SKUs!$K$2:$K$10001=I1916),SKUs!$C$2:$C$10001),"")</f>
        <v>0</v>
      </c>
      <c r="H1916" s="36" cm="1">
        <f t="array" ref="H1916">IFERROR(_xlfn.XLOOKUP(1, (dd_accsryclr!$C$2:$C$1000=accsry_unmerged!F1916)*(dd_accsryclr!$B$2:$B$1000=accsry_unmerged!J1916),dd_accsryclr!$A$2:$A$1000),"")</f>
        <v>0</v>
      </c>
      <c r="I1916" s="35">
        <f>_xlfn.XLOOKUP(C1916,'Project Details'!$C$17:$C$66,'Project Details'!$E$17:$E$66,"",0)</f>
        <v>0</v>
      </c>
      <c r="J1916" s="35">
        <f>_xlfn.XLOOKUP(C1916,'Project Details'!$C$17:$C$66,'Project Details'!$H$17:$H$66,"",0)</f>
        <v>0</v>
      </c>
      <c r="K1916" s="36" t="str">
        <f>IF(AND(_xlfn.XLOOKUP(C1916,'Project Details'!$C$17:$C$66,'Project Details'!$L$17:$L$66,"",0)&gt;550, F1916="Spring-L27cm"),"",SUBSTITUTE(_xlfn.XLOOKUP(G1916,SKUs!$C$2:$C$10001,SKUs!$F$2:$F$10001,"",0), " Accessories",""))</f>
        <v/>
      </c>
      <c r="L1916" s="36">
        <f>_xlfn.XLOOKUP(C1916,'Project Details'!$C$17:$C$66,'Project Details'!$D$17:$D$66,"",0)</f>
        <v>0</v>
      </c>
      <c r="M1916" s="43"/>
    </row>
    <row r="1917" spans="1:13" x14ac:dyDescent="0.25">
      <c r="A1917" s="43"/>
      <c r="B1917" s="43"/>
      <c r="C1917" s="16">
        <f t="shared" ref="C1917:C1963" si="37">C1916</f>
        <v>39</v>
      </c>
      <c r="D1917" s="16" t="str" cm="1">
        <f t="array" ref="D1917">IFERROR(ROUNDUP(_xlfn.IFS(F1917="Aluminum Track", _xlfn.XLOOKUP(C1917, dd_accsrycalc!$A$2:$A$51, dd_accsrycalc!$B$2:$B$51, "",0), F1917="10 x 2 1/2 S (Flat)", _xlfn.XLOOKUP(C1917, dd_accsrycalc!$A$2:$A$51, dd_accsrycalc!$C$2:$C$51, "",0), F1917="Tox6", _xlfn.XLOOKUP(C1917, dd_accsrycalc!$A$2:$A$51, dd_accsrycalc!$D$2:$D$51, "",0), F1917="Cover Cap", _xlfn.XLOOKUP(C1917, dd_accsrycalc!$A$2:$A$51, dd_accsrycalc!$E$2:$E$51, "",0), F1917="Drainage Cover", _xlfn.XLOOKUP(C1917, dd_accsrycalc!$A$2:$A$51, dd_accsrycalc!$F$2:$F$51, "",0),AND( F1917="Double Adhesive Tape", I1917="Roll-up Screen"), _xlfn.XLOOKUP(C1917, calc_rusacc!$C$15:$C$65, calc_rusacc!$AD$15:$AD$65, "",0),AND( F1917="Sealant", I1917="Roll-up Screen"), _xlfn.XLOOKUP(C1917, calc_rusacc!$C$15:$C$65, calc_rusacc!$AF$15:$AF$65, "",0),  AND( F1917="Main Chain", I1917="Accordion Screen"), _xlfn.XLOOKUP(C1917, calc_rusacc!$C$15:$C$65, calc_rusacc!$BF$15:$BF$65, "",0), AND( F1917="Sealant", I1917="Accordion Screen"), _xlfn.XLOOKUP(C1917, calc_rusacc!$C$15:$C$65, calc_rusacc!$BJ$15:$BJ$65, "",0),  F1917="Sealant", _xlfn.XLOOKUP(C1917, dd_accsrycalc!$A$2:$A$51, dd_accsrycalc!$G$2:$G$51, "",0),  F1917&lt;&gt;"",L1917*_xlfn.XLOOKUP(1, (SKUs!$C$2:$C$10001=G1917)*(SKUs!$K$2:$K$10001=I1917),SKUs!$E$2:$E$10001)), 0),"")</f>
        <v/>
      </c>
      <c r="E1917" s="16" t="str">
        <f>_xlfn.XLOOKUP(F1917,dd_item!$B$2:$B$105,dd_item!$C$2:$C$105,"",0)</f>
        <v/>
      </c>
      <c r="F1917" s="16"/>
      <c r="G1917" s="16" cm="1">
        <f t="array" ref="G1917">IFERROR(_xlfn.XLOOKUP(1, (SKUs!$J$2:$J$10001=accsry_unmerged!F1917)*IF(H1917&lt;&gt;"",(SKUs!$L$2:$L$10001=accsry_unmerged!H1917),1)*(SKUs!$K$2:$K$10001=I1917),SKUs!$C$2:$C$10001),"")</f>
        <v>0</v>
      </c>
      <c r="H1917" s="33" cm="1">
        <f t="array" ref="H1917">IFERROR(_xlfn.XLOOKUP(1, (dd_accsryclr!$C$2:$C$1000=accsry_unmerged!F1917)*(dd_accsryclr!$B$2:$B$1000=accsry_unmerged!J1917),dd_accsryclr!$A$2:$A$1000),"")</f>
        <v>0</v>
      </c>
      <c r="I1917" s="16">
        <f>_xlfn.XLOOKUP(C1917,'Project Details'!$C$17:$C$66,'Project Details'!$E$17:$E$66,"",0)</f>
        <v>0</v>
      </c>
      <c r="J1917" s="16">
        <f>_xlfn.XLOOKUP(C1917,'Project Details'!$C$17:$C$66,'Project Details'!$H$17:$H$66,"",0)</f>
        <v>0</v>
      </c>
      <c r="K1917" s="33" t="str">
        <f>IF(AND(_xlfn.XLOOKUP(C1917,'Project Details'!$C$17:$C$66,'Project Details'!$L$17:$L$66,"",0)&gt;550, F1917="Spring-L27cm"),"",SUBSTITUTE(_xlfn.XLOOKUP(G1917,SKUs!$C$2:$C$10001,SKUs!$F$2:$F$10001,"",0), " Accessories",""))</f>
        <v/>
      </c>
      <c r="L1917" s="33">
        <f>_xlfn.XLOOKUP(C1917,'Project Details'!$C$17:$C$66,'Project Details'!$D$17:$D$66,"",0)</f>
        <v>0</v>
      </c>
      <c r="M1917" s="43"/>
    </row>
    <row r="1918" spans="1:13" x14ac:dyDescent="0.25">
      <c r="A1918" s="43"/>
      <c r="B1918" s="43"/>
      <c r="C1918" s="35">
        <f t="shared" si="37"/>
        <v>39</v>
      </c>
      <c r="D1918" s="35" t="str" cm="1">
        <f t="array" ref="D1918">IFERROR(ROUNDUP(_xlfn.IFS(F1918="Aluminum Track", _xlfn.XLOOKUP(C1918, dd_accsrycalc!$A$2:$A$51, dd_accsrycalc!$B$2:$B$51, "",0), F1918="10 x 2 1/2 S (Flat)", _xlfn.XLOOKUP(C1918, dd_accsrycalc!$A$2:$A$51, dd_accsrycalc!$C$2:$C$51, "",0), F1918="Tox6", _xlfn.XLOOKUP(C1918, dd_accsrycalc!$A$2:$A$51, dd_accsrycalc!$D$2:$D$51, "",0), F1918="Cover Cap", _xlfn.XLOOKUP(C1918, dd_accsrycalc!$A$2:$A$51, dd_accsrycalc!$E$2:$E$51, "",0), F1918="Drainage Cover", _xlfn.XLOOKUP(C1918, dd_accsrycalc!$A$2:$A$51, dd_accsrycalc!$F$2:$F$51, "",0),AND( F1918="Double Adhesive Tape", I1918="Roll-up Screen"), _xlfn.XLOOKUP(C1918, calc_rusacc!$C$15:$C$65, calc_rusacc!$AD$15:$AD$65, "",0),AND( F1918="Sealant", I1918="Roll-up Screen"), _xlfn.XLOOKUP(C1918, calc_rusacc!$C$15:$C$65, calc_rusacc!$AF$15:$AF$65, "",0),  AND( F1918="Main Chain", I1918="Accordion Screen"), _xlfn.XLOOKUP(C1918, calc_rusacc!$C$15:$C$65, calc_rusacc!$BF$15:$BF$65, "",0), AND( F1918="Sealant", I1918="Accordion Screen"), _xlfn.XLOOKUP(C1918, calc_rusacc!$C$15:$C$65, calc_rusacc!$BJ$15:$BJ$65, "",0),  F1918="Sealant", _xlfn.XLOOKUP(C1918, dd_accsrycalc!$A$2:$A$51, dd_accsrycalc!$G$2:$G$51, "",0),  F1918&lt;&gt;"",L1918*_xlfn.XLOOKUP(1, (SKUs!$C$2:$C$10001=G1918)*(SKUs!$K$2:$K$10001=I1918),SKUs!$E$2:$E$10001)), 0),"")</f>
        <v/>
      </c>
      <c r="E1918" s="35" t="str">
        <f>_xlfn.XLOOKUP(F1918,dd_item!$B$2:$B$105,dd_item!$C$2:$C$105,"",0)</f>
        <v/>
      </c>
      <c r="F1918" s="35"/>
      <c r="G1918" s="35" cm="1">
        <f t="array" ref="G1918">IFERROR(_xlfn.XLOOKUP(1, (SKUs!$J$2:$J$10001=accsry_unmerged!F1918)*IF(H1918&lt;&gt;"",(SKUs!$L$2:$L$10001=accsry_unmerged!H1918),1)*(SKUs!$K$2:$K$10001=I1918),SKUs!$C$2:$C$10001),"")</f>
        <v>0</v>
      </c>
      <c r="H1918" s="36" cm="1">
        <f t="array" ref="H1918">IFERROR(_xlfn.XLOOKUP(1, (dd_accsryclr!$C$2:$C$1000=accsry_unmerged!F1918)*(dd_accsryclr!$B$2:$B$1000=accsry_unmerged!J1918),dd_accsryclr!$A$2:$A$1000),"")</f>
        <v>0</v>
      </c>
      <c r="I1918" s="35">
        <f>_xlfn.XLOOKUP(C1918,'Project Details'!$C$17:$C$66,'Project Details'!$E$17:$E$66,"",0)</f>
        <v>0</v>
      </c>
      <c r="J1918" s="35">
        <f>_xlfn.XLOOKUP(C1918,'Project Details'!$C$17:$C$66,'Project Details'!$H$17:$H$66,"",0)</f>
        <v>0</v>
      </c>
      <c r="K1918" s="36" t="str">
        <f>IF(AND(_xlfn.XLOOKUP(C1918,'Project Details'!$C$17:$C$66,'Project Details'!$L$17:$L$66,"",0)&gt;550, F1918="Spring-L27cm"),"",SUBSTITUTE(_xlfn.XLOOKUP(G1918,SKUs!$C$2:$C$10001,SKUs!$F$2:$F$10001,"",0), " Accessories",""))</f>
        <v/>
      </c>
      <c r="L1918" s="36">
        <f>_xlfn.XLOOKUP(C1918,'Project Details'!$C$17:$C$66,'Project Details'!$D$17:$D$66,"",0)</f>
        <v>0</v>
      </c>
      <c r="M1918" s="43"/>
    </row>
    <row r="1919" spans="1:13" x14ac:dyDescent="0.25">
      <c r="A1919" s="43"/>
      <c r="B1919" s="43"/>
      <c r="C1919" s="16">
        <f t="shared" si="37"/>
        <v>39</v>
      </c>
      <c r="D1919" s="16" t="str" cm="1">
        <f t="array" ref="D1919">IFERROR(ROUNDUP(_xlfn.IFS(F1919="Aluminum Track", _xlfn.XLOOKUP(C1919, dd_accsrycalc!$A$2:$A$51, dd_accsrycalc!$B$2:$B$51, "",0), F1919="10 x 2 1/2 S (Flat)", _xlfn.XLOOKUP(C1919, dd_accsrycalc!$A$2:$A$51, dd_accsrycalc!$C$2:$C$51, "",0), F1919="Tox6", _xlfn.XLOOKUP(C1919, dd_accsrycalc!$A$2:$A$51, dd_accsrycalc!$D$2:$D$51, "",0), F1919="Cover Cap", _xlfn.XLOOKUP(C1919, dd_accsrycalc!$A$2:$A$51, dd_accsrycalc!$E$2:$E$51, "",0), F1919="Drainage Cover", _xlfn.XLOOKUP(C1919, dd_accsrycalc!$A$2:$A$51, dd_accsrycalc!$F$2:$F$51, "",0),AND( F1919="Double Adhesive Tape", I1919="Roll-up Screen"), _xlfn.XLOOKUP(C1919, calc_rusacc!$C$15:$C$65, calc_rusacc!$AD$15:$AD$65, "",0),AND( F1919="Sealant", I1919="Roll-up Screen"), _xlfn.XLOOKUP(C1919, calc_rusacc!$C$15:$C$65, calc_rusacc!$AF$15:$AF$65, "",0),  AND( F1919="Main Chain", I1919="Accordion Screen"), _xlfn.XLOOKUP(C1919, calc_rusacc!$C$15:$C$65, calc_rusacc!$BF$15:$BF$65, "",0), AND( F1919="Sealant", I1919="Accordion Screen"), _xlfn.XLOOKUP(C1919, calc_rusacc!$C$15:$C$65, calc_rusacc!$BJ$15:$BJ$65, "",0),  F1919="Sealant", _xlfn.XLOOKUP(C1919, dd_accsrycalc!$A$2:$A$51, dd_accsrycalc!$G$2:$G$51, "",0),  F1919&lt;&gt;"",L1919*_xlfn.XLOOKUP(1, (SKUs!$C$2:$C$10001=G1919)*(SKUs!$K$2:$K$10001=I1919),SKUs!$E$2:$E$10001)), 0),"")</f>
        <v/>
      </c>
      <c r="E1919" s="16" t="str">
        <f>_xlfn.XLOOKUP(F1919,dd_item!$B$2:$B$105,dd_item!$C$2:$C$105,"",0)</f>
        <v/>
      </c>
      <c r="F1919" s="16"/>
      <c r="G1919" s="16" cm="1">
        <f t="array" ref="G1919">IFERROR(_xlfn.XLOOKUP(1, (SKUs!$J$2:$J$10001=accsry_unmerged!F1919)*IF(H1919&lt;&gt;"",(SKUs!$L$2:$L$10001=accsry_unmerged!H1919),1)*(SKUs!$K$2:$K$10001=I1919),SKUs!$C$2:$C$10001),"")</f>
        <v>0</v>
      </c>
      <c r="H1919" s="33" cm="1">
        <f t="array" ref="H1919">IFERROR(_xlfn.XLOOKUP(1, (dd_accsryclr!$C$2:$C$1000=accsry_unmerged!F1919)*(dd_accsryclr!$B$2:$B$1000=accsry_unmerged!J1919),dd_accsryclr!$A$2:$A$1000),"")</f>
        <v>0</v>
      </c>
      <c r="I1919" s="16">
        <f>_xlfn.XLOOKUP(C1919,'Project Details'!$C$17:$C$66,'Project Details'!$E$17:$E$66,"",0)</f>
        <v>0</v>
      </c>
      <c r="J1919" s="16">
        <f>_xlfn.XLOOKUP(C1919,'Project Details'!$C$17:$C$66,'Project Details'!$H$17:$H$66,"",0)</f>
        <v>0</v>
      </c>
      <c r="K1919" s="33" t="str">
        <f>IF(AND(_xlfn.XLOOKUP(C1919,'Project Details'!$C$17:$C$66,'Project Details'!$L$17:$L$66,"",0)&gt;550, F1919="Spring-L27cm"),"",SUBSTITUTE(_xlfn.XLOOKUP(G1919,SKUs!$C$2:$C$10001,SKUs!$F$2:$F$10001,"",0), " Accessories",""))</f>
        <v/>
      </c>
      <c r="L1919" s="33">
        <f>_xlfn.XLOOKUP(C1919,'Project Details'!$C$17:$C$66,'Project Details'!$D$17:$D$66,"",0)</f>
        <v>0</v>
      </c>
      <c r="M1919" s="43"/>
    </row>
    <row r="1920" spans="1:13" x14ac:dyDescent="0.25">
      <c r="A1920" s="43"/>
      <c r="B1920" s="43"/>
      <c r="C1920" s="35">
        <f t="shared" si="37"/>
        <v>39</v>
      </c>
      <c r="D1920" s="35" t="str" cm="1">
        <f t="array" ref="D1920">IFERROR(ROUNDUP(_xlfn.IFS(F1920="Aluminum Track", _xlfn.XLOOKUP(C1920, dd_accsrycalc!$A$2:$A$51, dd_accsrycalc!$B$2:$B$51, "",0), F1920="10 x 2 1/2 S (Flat)", _xlfn.XLOOKUP(C1920, dd_accsrycalc!$A$2:$A$51, dd_accsrycalc!$C$2:$C$51, "",0), F1920="Tox6", _xlfn.XLOOKUP(C1920, dd_accsrycalc!$A$2:$A$51, dd_accsrycalc!$D$2:$D$51, "",0), F1920="Cover Cap", _xlfn.XLOOKUP(C1920, dd_accsrycalc!$A$2:$A$51, dd_accsrycalc!$E$2:$E$51, "",0), F1920="Drainage Cover", _xlfn.XLOOKUP(C1920, dd_accsrycalc!$A$2:$A$51, dd_accsrycalc!$F$2:$F$51, "",0),AND( F1920="Double Adhesive Tape", I1920="Roll-up Screen"), _xlfn.XLOOKUP(C1920, calc_rusacc!$C$15:$C$65, calc_rusacc!$AD$15:$AD$65, "",0),AND( F1920="Sealant", I1920="Roll-up Screen"), _xlfn.XLOOKUP(C1920, calc_rusacc!$C$15:$C$65, calc_rusacc!$AF$15:$AF$65, "",0),  AND( F1920="Main Chain", I1920="Accordion Screen"), _xlfn.XLOOKUP(C1920, calc_rusacc!$C$15:$C$65, calc_rusacc!$BF$15:$BF$65, "",0), AND( F1920="Sealant", I1920="Accordion Screen"), _xlfn.XLOOKUP(C1920, calc_rusacc!$C$15:$C$65, calc_rusacc!$BJ$15:$BJ$65, "",0),  F1920="Sealant", _xlfn.XLOOKUP(C1920, dd_accsrycalc!$A$2:$A$51, dd_accsrycalc!$G$2:$G$51, "",0),  F1920&lt;&gt;"",L1920*_xlfn.XLOOKUP(1, (SKUs!$C$2:$C$10001=G1920)*(SKUs!$K$2:$K$10001=I1920),SKUs!$E$2:$E$10001)), 0),"")</f>
        <v/>
      </c>
      <c r="E1920" s="35" t="str">
        <f>_xlfn.XLOOKUP(F1920,dd_item!$B$2:$B$105,dd_item!$C$2:$C$105,"",0)</f>
        <v/>
      </c>
      <c r="F1920" s="35"/>
      <c r="G1920" s="35" cm="1">
        <f t="array" ref="G1920">IFERROR(_xlfn.XLOOKUP(1, (SKUs!$J$2:$J$10001=accsry_unmerged!F1920)*IF(H1920&lt;&gt;"",(SKUs!$L$2:$L$10001=accsry_unmerged!H1920),1)*(SKUs!$K$2:$K$10001=I1920),SKUs!$C$2:$C$10001),"")</f>
        <v>0</v>
      </c>
      <c r="H1920" s="36" cm="1">
        <f t="array" ref="H1920">IFERROR(_xlfn.XLOOKUP(1, (dd_accsryclr!$C$2:$C$1000=accsry_unmerged!F1920)*(dd_accsryclr!$B$2:$B$1000=accsry_unmerged!J1920),dd_accsryclr!$A$2:$A$1000),"")</f>
        <v>0</v>
      </c>
      <c r="I1920" s="35">
        <f>_xlfn.XLOOKUP(C1920,'Project Details'!$C$17:$C$66,'Project Details'!$E$17:$E$66,"",0)</f>
        <v>0</v>
      </c>
      <c r="J1920" s="35">
        <f>_xlfn.XLOOKUP(C1920,'Project Details'!$C$17:$C$66,'Project Details'!$H$17:$H$66,"",0)</f>
        <v>0</v>
      </c>
      <c r="K1920" s="36" t="str">
        <f>IF(AND(_xlfn.XLOOKUP(C1920,'Project Details'!$C$17:$C$66,'Project Details'!$L$17:$L$66,"",0)&gt;550, F1920="Spring-L27cm"),"",SUBSTITUTE(_xlfn.XLOOKUP(G1920,SKUs!$C$2:$C$10001,SKUs!$F$2:$F$10001,"",0), " Accessories",""))</f>
        <v/>
      </c>
      <c r="L1920" s="36">
        <f>_xlfn.XLOOKUP(C1920,'Project Details'!$C$17:$C$66,'Project Details'!$D$17:$D$66,"",0)</f>
        <v>0</v>
      </c>
      <c r="M1920" s="43"/>
    </row>
    <row r="1921" spans="1:13" x14ac:dyDescent="0.25">
      <c r="A1921" s="43"/>
      <c r="B1921" s="43"/>
      <c r="C1921" s="16">
        <f t="shared" si="37"/>
        <v>39</v>
      </c>
      <c r="D1921" s="16" t="str" cm="1">
        <f t="array" ref="D1921">IFERROR(ROUNDUP(_xlfn.IFS(F1921="Aluminum Track", _xlfn.XLOOKUP(C1921, dd_accsrycalc!$A$2:$A$51, dd_accsrycalc!$B$2:$B$51, "",0), F1921="10 x 2 1/2 S (Flat)", _xlfn.XLOOKUP(C1921, dd_accsrycalc!$A$2:$A$51, dd_accsrycalc!$C$2:$C$51, "",0), F1921="Tox6", _xlfn.XLOOKUP(C1921, dd_accsrycalc!$A$2:$A$51, dd_accsrycalc!$D$2:$D$51, "",0), F1921="Cover Cap", _xlfn.XLOOKUP(C1921, dd_accsrycalc!$A$2:$A$51, dd_accsrycalc!$E$2:$E$51, "",0), F1921="Drainage Cover", _xlfn.XLOOKUP(C1921, dd_accsrycalc!$A$2:$A$51, dd_accsrycalc!$F$2:$F$51, "",0),AND( F1921="Double Adhesive Tape", I1921="Roll-up Screen"), _xlfn.XLOOKUP(C1921, calc_rusacc!$C$15:$C$65, calc_rusacc!$AD$15:$AD$65, "",0),AND( F1921="Sealant", I1921="Roll-up Screen"), _xlfn.XLOOKUP(C1921, calc_rusacc!$C$15:$C$65, calc_rusacc!$AF$15:$AF$65, "",0),  AND( F1921="Main Chain", I1921="Accordion Screen"), _xlfn.XLOOKUP(C1921, calc_rusacc!$C$15:$C$65, calc_rusacc!$BF$15:$BF$65, "",0), AND( F1921="Sealant", I1921="Accordion Screen"), _xlfn.XLOOKUP(C1921, calc_rusacc!$C$15:$C$65, calc_rusacc!$BJ$15:$BJ$65, "",0),  F1921="Sealant", _xlfn.XLOOKUP(C1921, dd_accsrycalc!$A$2:$A$51, dd_accsrycalc!$G$2:$G$51, "",0),  F1921&lt;&gt;"",L1921*_xlfn.XLOOKUP(1, (SKUs!$C$2:$C$10001=G1921)*(SKUs!$K$2:$K$10001=I1921),SKUs!$E$2:$E$10001)), 0),"")</f>
        <v/>
      </c>
      <c r="E1921" s="16" t="str">
        <f>_xlfn.XLOOKUP(F1921,dd_item!$B$2:$B$105,dd_item!$C$2:$C$105,"",0)</f>
        <v/>
      </c>
      <c r="F1921" s="16"/>
      <c r="G1921" s="16" cm="1">
        <f t="array" ref="G1921">IFERROR(_xlfn.XLOOKUP(1, (SKUs!$J$2:$J$10001=accsry_unmerged!F1921)*IF(H1921&lt;&gt;"",(SKUs!$L$2:$L$10001=accsry_unmerged!H1921),1)*(SKUs!$K$2:$K$10001=I1921),SKUs!$C$2:$C$10001),"")</f>
        <v>0</v>
      </c>
      <c r="H1921" s="33" cm="1">
        <f t="array" ref="H1921">IFERROR(_xlfn.XLOOKUP(1, (dd_accsryclr!$C$2:$C$1000=accsry_unmerged!F1921)*(dd_accsryclr!$B$2:$B$1000=accsry_unmerged!J1921),dd_accsryclr!$A$2:$A$1000),"")</f>
        <v>0</v>
      </c>
      <c r="I1921" s="16">
        <f>_xlfn.XLOOKUP(C1921,'Project Details'!$C$17:$C$66,'Project Details'!$E$17:$E$66,"",0)</f>
        <v>0</v>
      </c>
      <c r="J1921" s="16">
        <f>_xlfn.XLOOKUP(C1921,'Project Details'!$C$17:$C$66,'Project Details'!$H$17:$H$66,"",0)</f>
        <v>0</v>
      </c>
      <c r="K1921" s="33" t="str">
        <f>IF(AND(_xlfn.XLOOKUP(C1921,'Project Details'!$C$17:$C$66,'Project Details'!$L$17:$L$66,"",0)&gt;550, F1921="Spring-L27cm"),"",SUBSTITUTE(_xlfn.XLOOKUP(G1921,SKUs!$C$2:$C$10001,SKUs!$F$2:$F$10001,"",0), " Accessories",""))</f>
        <v/>
      </c>
      <c r="L1921" s="33">
        <f>_xlfn.XLOOKUP(C1921,'Project Details'!$C$17:$C$66,'Project Details'!$D$17:$D$66,"",0)</f>
        <v>0</v>
      </c>
      <c r="M1921" s="43"/>
    </row>
    <row r="1922" spans="1:13" x14ac:dyDescent="0.25">
      <c r="A1922" s="43"/>
      <c r="B1922" s="43"/>
      <c r="C1922" s="35">
        <f t="shared" si="37"/>
        <v>39</v>
      </c>
      <c r="D1922" s="35" t="str" cm="1">
        <f t="array" ref="D1922">IFERROR(ROUNDUP(_xlfn.IFS(F1922="Aluminum Track", _xlfn.XLOOKUP(C1922, dd_accsrycalc!$A$2:$A$51, dd_accsrycalc!$B$2:$B$51, "",0), F1922="10 x 2 1/2 S (Flat)", _xlfn.XLOOKUP(C1922, dd_accsrycalc!$A$2:$A$51, dd_accsrycalc!$C$2:$C$51, "",0), F1922="Tox6", _xlfn.XLOOKUP(C1922, dd_accsrycalc!$A$2:$A$51, dd_accsrycalc!$D$2:$D$51, "",0), F1922="Cover Cap", _xlfn.XLOOKUP(C1922, dd_accsrycalc!$A$2:$A$51, dd_accsrycalc!$E$2:$E$51, "",0), F1922="Drainage Cover", _xlfn.XLOOKUP(C1922, dd_accsrycalc!$A$2:$A$51, dd_accsrycalc!$F$2:$F$51, "",0),AND( F1922="Double Adhesive Tape", I1922="Roll-up Screen"), _xlfn.XLOOKUP(C1922, calc_rusacc!$C$15:$C$65, calc_rusacc!$AD$15:$AD$65, "",0),AND( F1922="Sealant", I1922="Roll-up Screen"), _xlfn.XLOOKUP(C1922, calc_rusacc!$C$15:$C$65, calc_rusacc!$AF$15:$AF$65, "",0),  AND( F1922="Main Chain", I1922="Accordion Screen"), _xlfn.XLOOKUP(C1922, calc_rusacc!$C$15:$C$65, calc_rusacc!$BF$15:$BF$65, "",0), AND( F1922="Sealant", I1922="Accordion Screen"), _xlfn.XLOOKUP(C1922, calc_rusacc!$C$15:$C$65, calc_rusacc!$BJ$15:$BJ$65, "",0),  F1922="Sealant", _xlfn.XLOOKUP(C1922, dd_accsrycalc!$A$2:$A$51, dd_accsrycalc!$G$2:$G$51, "",0),  F1922&lt;&gt;"",L1922*_xlfn.XLOOKUP(1, (SKUs!$C$2:$C$10001=G1922)*(SKUs!$K$2:$K$10001=I1922),SKUs!$E$2:$E$10001)), 0),"")</f>
        <v/>
      </c>
      <c r="E1922" s="35" t="str">
        <f>_xlfn.XLOOKUP(F1922,dd_item!$B$2:$B$105,dd_item!$C$2:$C$105,"",0)</f>
        <v/>
      </c>
      <c r="F1922" s="35"/>
      <c r="G1922" s="35" cm="1">
        <f t="array" ref="G1922">IFERROR(_xlfn.XLOOKUP(1, (SKUs!$J$2:$J$10001=accsry_unmerged!F1922)*IF(H1922&lt;&gt;"",(SKUs!$L$2:$L$10001=accsry_unmerged!H1922),1)*(SKUs!$K$2:$K$10001=I1922),SKUs!$C$2:$C$10001),"")</f>
        <v>0</v>
      </c>
      <c r="H1922" s="36" cm="1">
        <f t="array" ref="H1922">IFERROR(_xlfn.XLOOKUP(1, (dd_accsryclr!$C$2:$C$1000=accsry_unmerged!F1922)*(dd_accsryclr!$B$2:$B$1000=accsry_unmerged!J1922),dd_accsryclr!$A$2:$A$1000),"")</f>
        <v>0</v>
      </c>
      <c r="I1922" s="35">
        <f>_xlfn.XLOOKUP(C1922,'Project Details'!$C$17:$C$66,'Project Details'!$E$17:$E$66,"",0)</f>
        <v>0</v>
      </c>
      <c r="J1922" s="35">
        <f>_xlfn.XLOOKUP(C1922,'Project Details'!$C$17:$C$66,'Project Details'!$H$17:$H$66,"",0)</f>
        <v>0</v>
      </c>
      <c r="K1922" s="36" t="str">
        <f>IF(AND(_xlfn.XLOOKUP(C1922,'Project Details'!$C$17:$C$66,'Project Details'!$L$17:$L$66,"",0)&gt;550, F1922="Spring-L27cm"),"",SUBSTITUTE(_xlfn.XLOOKUP(G1922,SKUs!$C$2:$C$10001,SKUs!$F$2:$F$10001,"",0), " Accessories",""))</f>
        <v/>
      </c>
      <c r="L1922" s="36">
        <f>_xlfn.XLOOKUP(C1922,'Project Details'!$C$17:$C$66,'Project Details'!$D$17:$D$66,"",0)</f>
        <v>0</v>
      </c>
      <c r="M1922" s="43"/>
    </row>
    <row r="1923" spans="1:13" x14ac:dyDescent="0.25">
      <c r="A1923" s="43"/>
      <c r="B1923" s="43"/>
      <c r="C1923" s="16">
        <f t="shared" si="37"/>
        <v>39</v>
      </c>
      <c r="D1923" s="16" t="str" cm="1">
        <f t="array" ref="D1923">IFERROR(ROUNDUP(_xlfn.IFS(F1923="Aluminum Track", _xlfn.XLOOKUP(C1923, dd_accsrycalc!$A$2:$A$51, dd_accsrycalc!$B$2:$B$51, "",0), F1923="10 x 2 1/2 S (Flat)", _xlfn.XLOOKUP(C1923, dd_accsrycalc!$A$2:$A$51, dd_accsrycalc!$C$2:$C$51, "",0), F1923="Tox6", _xlfn.XLOOKUP(C1923, dd_accsrycalc!$A$2:$A$51, dd_accsrycalc!$D$2:$D$51, "",0), F1923="Cover Cap", _xlfn.XLOOKUP(C1923, dd_accsrycalc!$A$2:$A$51, dd_accsrycalc!$E$2:$E$51, "",0), F1923="Drainage Cover", _xlfn.XLOOKUP(C1923, dd_accsrycalc!$A$2:$A$51, dd_accsrycalc!$F$2:$F$51, "",0),AND( F1923="Double Adhesive Tape", I1923="Roll-up Screen"), _xlfn.XLOOKUP(C1923, calc_rusacc!$C$15:$C$65, calc_rusacc!$AD$15:$AD$65, "",0),AND( F1923="Sealant", I1923="Roll-up Screen"), _xlfn.XLOOKUP(C1923, calc_rusacc!$C$15:$C$65, calc_rusacc!$AF$15:$AF$65, "",0),  AND( F1923="Main Chain", I1923="Accordion Screen"), _xlfn.XLOOKUP(C1923, calc_rusacc!$C$15:$C$65, calc_rusacc!$BF$15:$BF$65, "",0), AND( F1923="Sealant", I1923="Accordion Screen"), _xlfn.XLOOKUP(C1923, calc_rusacc!$C$15:$C$65, calc_rusacc!$BJ$15:$BJ$65, "",0),  F1923="Sealant", _xlfn.XLOOKUP(C1923, dd_accsrycalc!$A$2:$A$51, dd_accsrycalc!$G$2:$G$51, "",0),  F1923&lt;&gt;"",L1923*_xlfn.XLOOKUP(1, (SKUs!$C$2:$C$10001=G1923)*(SKUs!$K$2:$K$10001=I1923),SKUs!$E$2:$E$10001)), 0),"")</f>
        <v/>
      </c>
      <c r="E1923" s="16" t="str">
        <f>_xlfn.XLOOKUP(F1923,dd_item!$B$2:$B$105,dd_item!$C$2:$C$105,"",0)</f>
        <v/>
      </c>
      <c r="F1923" s="16"/>
      <c r="G1923" s="16" cm="1">
        <f t="array" ref="G1923">IFERROR(_xlfn.XLOOKUP(1, (SKUs!$J$2:$J$10001=accsry_unmerged!F1923)*IF(H1923&lt;&gt;"",(SKUs!$L$2:$L$10001=accsry_unmerged!H1923),1)*(SKUs!$K$2:$K$10001=I1923),SKUs!$C$2:$C$10001),"")</f>
        <v>0</v>
      </c>
      <c r="H1923" s="33" cm="1">
        <f t="array" ref="H1923">IFERROR(_xlfn.XLOOKUP(1, (dd_accsryclr!$C$2:$C$1000=accsry_unmerged!F1923)*(dd_accsryclr!$B$2:$B$1000=accsry_unmerged!J1923),dd_accsryclr!$A$2:$A$1000),"")</f>
        <v>0</v>
      </c>
      <c r="I1923" s="16">
        <f>_xlfn.XLOOKUP(C1923,'Project Details'!$C$17:$C$66,'Project Details'!$E$17:$E$66,"",0)</f>
        <v>0</v>
      </c>
      <c r="J1923" s="16">
        <f>_xlfn.XLOOKUP(C1923,'Project Details'!$C$17:$C$66,'Project Details'!$H$17:$H$66,"",0)</f>
        <v>0</v>
      </c>
      <c r="K1923" s="33" t="str">
        <f>IF(AND(_xlfn.XLOOKUP(C1923,'Project Details'!$C$17:$C$66,'Project Details'!$L$17:$L$66,"",0)&gt;550, F1923="Spring-L27cm"),"",SUBSTITUTE(_xlfn.XLOOKUP(G1923,SKUs!$C$2:$C$10001,SKUs!$F$2:$F$10001,"",0), " Accessories",""))</f>
        <v/>
      </c>
      <c r="L1923" s="33">
        <f>_xlfn.XLOOKUP(C1923,'Project Details'!$C$17:$C$66,'Project Details'!$D$17:$D$66,"",0)</f>
        <v>0</v>
      </c>
      <c r="M1923" s="43"/>
    </row>
    <row r="1924" spans="1:13" x14ac:dyDescent="0.25">
      <c r="A1924" s="43"/>
      <c r="B1924" s="43"/>
      <c r="C1924" s="35">
        <f t="shared" si="37"/>
        <v>39</v>
      </c>
      <c r="D1924" s="35" t="str" cm="1">
        <f t="array" ref="D1924">IFERROR(ROUNDUP(_xlfn.IFS(F1924="Aluminum Track", _xlfn.XLOOKUP(C1924, dd_accsrycalc!$A$2:$A$51, dd_accsrycalc!$B$2:$B$51, "",0), F1924="10 x 2 1/2 S (Flat)", _xlfn.XLOOKUP(C1924, dd_accsrycalc!$A$2:$A$51, dd_accsrycalc!$C$2:$C$51, "",0), F1924="Tox6", _xlfn.XLOOKUP(C1924, dd_accsrycalc!$A$2:$A$51, dd_accsrycalc!$D$2:$D$51, "",0), F1924="Cover Cap", _xlfn.XLOOKUP(C1924, dd_accsrycalc!$A$2:$A$51, dd_accsrycalc!$E$2:$E$51, "",0), F1924="Drainage Cover", _xlfn.XLOOKUP(C1924, dd_accsrycalc!$A$2:$A$51, dd_accsrycalc!$F$2:$F$51, "",0),AND( F1924="Double Adhesive Tape", I1924="Roll-up Screen"), _xlfn.XLOOKUP(C1924, calc_rusacc!$C$15:$C$65, calc_rusacc!$AD$15:$AD$65, "",0),AND( F1924="Sealant", I1924="Roll-up Screen"), _xlfn.XLOOKUP(C1924, calc_rusacc!$C$15:$C$65, calc_rusacc!$AF$15:$AF$65, "",0),  AND( F1924="Main Chain", I1924="Accordion Screen"), _xlfn.XLOOKUP(C1924, calc_rusacc!$C$15:$C$65, calc_rusacc!$BF$15:$BF$65, "",0), AND( F1924="Sealant", I1924="Accordion Screen"), _xlfn.XLOOKUP(C1924, calc_rusacc!$C$15:$C$65, calc_rusacc!$BJ$15:$BJ$65, "",0),  F1924="Sealant", _xlfn.XLOOKUP(C1924, dd_accsrycalc!$A$2:$A$51, dd_accsrycalc!$G$2:$G$51, "",0),  F1924&lt;&gt;"",L1924*_xlfn.XLOOKUP(1, (SKUs!$C$2:$C$10001=G1924)*(SKUs!$K$2:$K$10001=I1924),SKUs!$E$2:$E$10001)), 0),"")</f>
        <v/>
      </c>
      <c r="E1924" s="35" t="str">
        <f>_xlfn.XLOOKUP(F1924,dd_item!$B$2:$B$105,dd_item!$C$2:$C$105,"",0)</f>
        <v/>
      </c>
      <c r="F1924" s="35"/>
      <c r="G1924" s="35" cm="1">
        <f t="array" ref="G1924">IFERROR(_xlfn.XLOOKUP(1, (SKUs!$J$2:$J$10001=accsry_unmerged!F1924)*IF(H1924&lt;&gt;"",(SKUs!$L$2:$L$10001=accsry_unmerged!H1924),1)*(SKUs!$K$2:$K$10001=I1924),SKUs!$C$2:$C$10001),"")</f>
        <v>0</v>
      </c>
      <c r="H1924" s="36" cm="1">
        <f t="array" ref="H1924">IFERROR(_xlfn.XLOOKUP(1, (dd_accsryclr!$C$2:$C$1000=accsry_unmerged!F1924)*(dd_accsryclr!$B$2:$B$1000=accsry_unmerged!J1924),dd_accsryclr!$A$2:$A$1000),"")</f>
        <v>0</v>
      </c>
      <c r="I1924" s="35">
        <f>_xlfn.XLOOKUP(C1924,'Project Details'!$C$17:$C$66,'Project Details'!$E$17:$E$66,"",0)</f>
        <v>0</v>
      </c>
      <c r="J1924" s="35">
        <f>_xlfn.XLOOKUP(C1924,'Project Details'!$C$17:$C$66,'Project Details'!$H$17:$H$66,"",0)</f>
        <v>0</v>
      </c>
      <c r="K1924" s="36" t="str">
        <f>IF(AND(_xlfn.XLOOKUP(C1924,'Project Details'!$C$17:$C$66,'Project Details'!$L$17:$L$66,"",0)&gt;550, F1924="Spring-L27cm"),"",SUBSTITUTE(_xlfn.XLOOKUP(G1924,SKUs!$C$2:$C$10001,SKUs!$F$2:$F$10001,"",0), " Accessories",""))</f>
        <v/>
      </c>
      <c r="L1924" s="36">
        <f>_xlfn.XLOOKUP(C1924,'Project Details'!$C$17:$C$66,'Project Details'!$D$17:$D$66,"",0)</f>
        <v>0</v>
      </c>
      <c r="M1924" s="43"/>
    </row>
    <row r="1925" spans="1:13" x14ac:dyDescent="0.25">
      <c r="A1925" s="43"/>
      <c r="B1925" s="43"/>
      <c r="C1925" s="16">
        <f t="shared" si="37"/>
        <v>39</v>
      </c>
      <c r="D1925" s="16" t="str" cm="1">
        <f t="array" ref="D1925">IFERROR(ROUNDUP(_xlfn.IFS(F1925="Aluminum Track", _xlfn.XLOOKUP(C1925, dd_accsrycalc!$A$2:$A$51, dd_accsrycalc!$B$2:$B$51, "",0), F1925="10 x 2 1/2 S (Flat)", _xlfn.XLOOKUP(C1925, dd_accsrycalc!$A$2:$A$51, dd_accsrycalc!$C$2:$C$51, "",0), F1925="Tox6", _xlfn.XLOOKUP(C1925, dd_accsrycalc!$A$2:$A$51, dd_accsrycalc!$D$2:$D$51, "",0), F1925="Cover Cap", _xlfn.XLOOKUP(C1925, dd_accsrycalc!$A$2:$A$51, dd_accsrycalc!$E$2:$E$51, "",0), F1925="Drainage Cover", _xlfn.XLOOKUP(C1925, dd_accsrycalc!$A$2:$A$51, dd_accsrycalc!$F$2:$F$51, "",0),AND( F1925="Double Adhesive Tape", I1925="Roll-up Screen"), _xlfn.XLOOKUP(C1925, calc_rusacc!$C$15:$C$65, calc_rusacc!$AD$15:$AD$65, "",0),AND( F1925="Sealant", I1925="Roll-up Screen"), _xlfn.XLOOKUP(C1925, calc_rusacc!$C$15:$C$65, calc_rusacc!$AF$15:$AF$65, "",0),  AND( F1925="Main Chain", I1925="Accordion Screen"), _xlfn.XLOOKUP(C1925, calc_rusacc!$C$15:$C$65, calc_rusacc!$BF$15:$BF$65, "",0), AND( F1925="Sealant", I1925="Accordion Screen"), _xlfn.XLOOKUP(C1925, calc_rusacc!$C$15:$C$65, calc_rusacc!$BJ$15:$BJ$65, "",0),  F1925="Sealant", _xlfn.XLOOKUP(C1925, dd_accsrycalc!$A$2:$A$51, dd_accsrycalc!$G$2:$G$51, "",0),  F1925&lt;&gt;"",L1925*_xlfn.XLOOKUP(1, (SKUs!$C$2:$C$10001=G1925)*(SKUs!$K$2:$K$10001=I1925),SKUs!$E$2:$E$10001)), 0),"")</f>
        <v/>
      </c>
      <c r="E1925" s="16" t="str">
        <f>_xlfn.XLOOKUP(F1925,dd_item!$B$2:$B$105,dd_item!$C$2:$C$105,"",0)</f>
        <v/>
      </c>
      <c r="F1925" s="16"/>
      <c r="G1925" s="16" cm="1">
        <f t="array" ref="G1925">IFERROR(_xlfn.XLOOKUP(1, (SKUs!$J$2:$J$10001=accsry_unmerged!F1925)*IF(H1925&lt;&gt;"",(SKUs!$L$2:$L$10001=accsry_unmerged!H1925),1)*(SKUs!$K$2:$K$10001=I1925),SKUs!$C$2:$C$10001),"")</f>
        <v>0</v>
      </c>
      <c r="H1925" s="33" cm="1">
        <f t="array" ref="H1925">IFERROR(_xlfn.XLOOKUP(1, (dd_accsryclr!$C$2:$C$1000=accsry_unmerged!F1925)*(dd_accsryclr!$B$2:$B$1000=accsry_unmerged!J1925),dd_accsryclr!$A$2:$A$1000),"")</f>
        <v>0</v>
      </c>
      <c r="I1925" s="16">
        <f>_xlfn.XLOOKUP(C1925,'Project Details'!$C$17:$C$66,'Project Details'!$E$17:$E$66,"",0)</f>
        <v>0</v>
      </c>
      <c r="J1925" s="16">
        <f>_xlfn.XLOOKUP(C1925,'Project Details'!$C$17:$C$66,'Project Details'!$H$17:$H$66,"",0)</f>
        <v>0</v>
      </c>
      <c r="K1925" s="33" t="str">
        <f>IF(AND(_xlfn.XLOOKUP(C1925,'Project Details'!$C$17:$C$66,'Project Details'!$L$17:$L$66,"",0)&gt;550, F1925="Spring-L27cm"),"",SUBSTITUTE(_xlfn.XLOOKUP(G1925,SKUs!$C$2:$C$10001,SKUs!$F$2:$F$10001,"",0), " Accessories",""))</f>
        <v/>
      </c>
      <c r="L1925" s="33">
        <f>_xlfn.XLOOKUP(C1925,'Project Details'!$C$17:$C$66,'Project Details'!$D$17:$D$66,"",0)</f>
        <v>0</v>
      </c>
      <c r="M1925" s="43"/>
    </row>
    <row r="1926" spans="1:13" x14ac:dyDescent="0.25">
      <c r="A1926" s="43"/>
      <c r="B1926" s="43"/>
      <c r="C1926" s="35">
        <f t="shared" si="37"/>
        <v>39</v>
      </c>
      <c r="D1926" s="35" t="str" cm="1">
        <f t="array" ref="D1926">IFERROR(ROUNDUP(_xlfn.IFS(F1926="Aluminum Track", _xlfn.XLOOKUP(C1926, dd_accsrycalc!$A$2:$A$51, dd_accsrycalc!$B$2:$B$51, "",0), F1926="10 x 2 1/2 S (Flat)", _xlfn.XLOOKUP(C1926, dd_accsrycalc!$A$2:$A$51, dd_accsrycalc!$C$2:$C$51, "",0), F1926="Tox6", _xlfn.XLOOKUP(C1926, dd_accsrycalc!$A$2:$A$51, dd_accsrycalc!$D$2:$D$51, "",0), F1926="Cover Cap", _xlfn.XLOOKUP(C1926, dd_accsrycalc!$A$2:$A$51, dd_accsrycalc!$E$2:$E$51, "",0), F1926="Drainage Cover", _xlfn.XLOOKUP(C1926, dd_accsrycalc!$A$2:$A$51, dd_accsrycalc!$F$2:$F$51, "",0),AND( F1926="Double Adhesive Tape", I1926="Roll-up Screen"), _xlfn.XLOOKUP(C1926, calc_rusacc!$C$15:$C$65, calc_rusacc!$AD$15:$AD$65, "",0),AND( F1926="Sealant", I1926="Roll-up Screen"), _xlfn.XLOOKUP(C1926, calc_rusacc!$C$15:$C$65, calc_rusacc!$AF$15:$AF$65, "",0),  AND( F1926="Main Chain", I1926="Accordion Screen"), _xlfn.XLOOKUP(C1926, calc_rusacc!$C$15:$C$65, calc_rusacc!$BF$15:$BF$65, "",0), AND( F1926="Sealant", I1926="Accordion Screen"), _xlfn.XLOOKUP(C1926, calc_rusacc!$C$15:$C$65, calc_rusacc!$BJ$15:$BJ$65, "",0),  F1926="Sealant", _xlfn.XLOOKUP(C1926, dd_accsrycalc!$A$2:$A$51, dd_accsrycalc!$G$2:$G$51, "",0),  F1926&lt;&gt;"",L1926*_xlfn.XLOOKUP(1, (SKUs!$C$2:$C$10001=G1926)*(SKUs!$K$2:$K$10001=I1926),SKUs!$E$2:$E$10001)), 0),"")</f>
        <v/>
      </c>
      <c r="E1926" s="35" t="str">
        <f>_xlfn.XLOOKUP(F1926,dd_item!$B$2:$B$105,dd_item!$C$2:$C$105,"",0)</f>
        <v/>
      </c>
      <c r="F1926" s="35"/>
      <c r="G1926" s="35" cm="1">
        <f t="array" ref="G1926">IFERROR(_xlfn.XLOOKUP(1, (SKUs!$J$2:$J$10001=accsry_unmerged!F1926)*IF(H1926&lt;&gt;"",(SKUs!$L$2:$L$10001=accsry_unmerged!H1926),1)*(SKUs!$K$2:$K$10001=I1926),SKUs!$C$2:$C$10001),"")</f>
        <v>0</v>
      </c>
      <c r="H1926" s="36" cm="1">
        <f t="array" ref="H1926">IFERROR(_xlfn.XLOOKUP(1, (dd_accsryclr!$C$2:$C$1000=accsry_unmerged!F1926)*(dd_accsryclr!$B$2:$B$1000=accsry_unmerged!J1926),dd_accsryclr!$A$2:$A$1000),"")</f>
        <v>0</v>
      </c>
      <c r="I1926" s="35">
        <f>_xlfn.XLOOKUP(C1926,'Project Details'!$C$17:$C$66,'Project Details'!$E$17:$E$66,"",0)</f>
        <v>0</v>
      </c>
      <c r="J1926" s="35">
        <f>_xlfn.XLOOKUP(C1926,'Project Details'!$C$17:$C$66,'Project Details'!$H$17:$H$66,"",0)</f>
        <v>0</v>
      </c>
      <c r="K1926" s="36" t="str">
        <f>IF(AND(_xlfn.XLOOKUP(C1926,'Project Details'!$C$17:$C$66,'Project Details'!$L$17:$L$66,"",0)&gt;550, F1926="Spring-L27cm"),"",SUBSTITUTE(_xlfn.XLOOKUP(G1926,SKUs!$C$2:$C$10001,SKUs!$F$2:$F$10001,"",0), " Accessories",""))</f>
        <v/>
      </c>
      <c r="L1926" s="36">
        <f>_xlfn.XLOOKUP(C1926,'Project Details'!$C$17:$C$66,'Project Details'!$D$17:$D$66,"",0)</f>
        <v>0</v>
      </c>
      <c r="M1926" s="43"/>
    </row>
    <row r="1927" spans="1:13" x14ac:dyDescent="0.25">
      <c r="A1927" s="43"/>
      <c r="B1927" s="43"/>
      <c r="C1927" s="16">
        <f t="shared" si="37"/>
        <v>39</v>
      </c>
      <c r="D1927" s="16" t="str" cm="1">
        <f t="array" ref="D1927">IFERROR(ROUNDUP(_xlfn.IFS(F1927="Aluminum Track", _xlfn.XLOOKUP(C1927, dd_accsrycalc!$A$2:$A$51, dd_accsrycalc!$B$2:$B$51, "",0), F1927="10 x 2 1/2 S (Flat)", _xlfn.XLOOKUP(C1927, dd_accsrycalc!$A$2:$A$51, dd_accsrycalc!$C$2:$C$51, "",0), F1927="Tox6", _xlfn.XLOOKUP(C1927, dd_accsrycalc!$A$2:$A$51, dd_accsrycalc!$D$2:$D$51, "",0), F1927="Cover Cap", _xlfn.XLOOKUP(C1927, dd_accsrycalc!$A$2:$A$51, dd_accsrycalc!$E$2:$E$51, "",0), F1927="Drainage Cover", _xlfn.XLOOKUP(C1927, dd_accsrycalc!$A$2:$A$51, dd_accsrycalc!$F$2:$F$51, "",0),AND( F1927="Double Adhesive Tape", I1927="Roll-up Screen"), _xlfn.XLOOKUP(C1927, calc_rusacc!$C$15:$C$65, calc_rusacc!$AD$15:$AD$65, "",0),AND( F1927="Sealant", I1927="Roll-up Screen"), _xlfn.XLOOKUP(C1927, calc_rusacc!$C$15:$C$65, calc_rusacc!$AF$15:$AF$65, "",0),  AND( F1927="Main Chain", I1927="Accordion Screen"), _xlfn.XLOOKUP(C1927, calc_rusacc!$C$15:$C$65, calc_rusacc!$BF$15:$BF$65, "",0), AND( F1927="Sealant", I1927="Accordion Screen"), _xlfn.XLOOKUP(C1927, calc_rusacc!$C$15:$C$65, calc_rusacc!$BJ$15:$BJ$65, "",0),  F1927="Sealant", _xlfn.XLOOKUP(C1927, dd_accsrycalc!$A$2:$A$51, dd_accsrycalc!$G$2:$G$51, "",0),  F1927&lt;&gt;"",L1927*_xlfn.XLOOKUP(1, (SKUs!$C$2:$C$10001=G1927)*(SKUs!$K$2:$K$10001=I1927),SKUs!$E$2:$E$10001)), 0),"")</f>
        <v/>
      </c>
      <c r="E1927" s="16" t="str">
        <f>_xlfn.XLOOKUP(F1927,dd_item!$B$2:$B$105,dd_item!$C$2:$C$105,"",0)</f>
        <v/>
      </c>
      <c r="F1927" s="16"/>
      <c r="G1927" s="16" cm="1">
        <f t="array" ref="G1927">IFERROR(_xlfn.XLOOKUP(1, (SKUs!$J$2:$J$10001=accsry_unmerged!F1927)*IF(H1927&lt;&gt;"",(SKUs!$L$2:$L$10001=accsry_unmerged!H1927),1)*(SKUs!$K$2:$K$10001=I1927),SKUs!$C$2:$C$10001),"")</f>
        <v>0</v>
      </c>
      <c r="H1927" s="33" cm="1">
        <f t="array" ref="H1927">IFERROR(_xlfn.XLOOKUP(1, (dd_accsryclr!$C$2:$C$1000=accsry_unmerged!F1927)*(dd_accsryclr!$B$2:$B$1000=accsry_unmerged!J1927),dd_accsryclr!$A$2:$A$1000),"")</f>
        <v>0</v>
      </c>
      <c r="I1927" s="16">
        <f>_xlfn.XLOOKUP(C1927,'Project Details'!$C$17:$C$66,'Project Details'!$E$17:$E$66,"",0)</f>
        <v>0</v>
      </c>
      <c r="J1927" s="16">
        <f>_xlfn.XLOOKUP(C1927,'Project Details'!$C$17:$C$66,'Project Details'!$H$17:$H$66,"",0)</f>
        <v>0</v>
      </c>
      <c r="K1927" s="33" t="str">
        <f>IF(AND(_xlfn.XLOOKUP(C1927,'Project Details'!$C$17:$C$66,'Project Details'!$L$17:$L$66,"",0)&gt;550, F1927="Spring-L27cm"),"",SUBSTITUTE(_xlfn.XLOOKUP(G1927,SKUs!$C$2:$C$10001,SKUs!$F$2:$F$10001,"",0), " Accessories",""))</f>
        <v/>
      </c>
      <c r="L1927" s="33">
        <f>_xlfn.XLOOKUP(C1927,'Project Details'!$C$17:$C$66,'Project Details'!$D$17:$D$66,"",0)</f>
        <v>0</v>
      </c>
      <c r="M1927" s="43"/>
    </row>
    <row r="1928" spans="1:13" x14ac:dyDescent="0.25">
      <c r="A1928" s="43"/>
      <c r="B1928" s="43"/>
      <c r="C1928" s="35">
        <f t="shared" si="37"/>
        <v>39</v>
      </c>
      <c r="D1928" s="35" t="str" cm="1">
        <f t="array" ref="D1928">IFERROR(ROUNDUP(_xlfn.IFS(F1928="Aluminum Track", _xlfn.XLOOKUP(C1928, dd_accsrycalc!$A$2:$A$51, dd_accsrycalc!$B$2:$B$51, "",0), F1928="10 x 2 1/2 S (Flat)", _xlfn.XLOOKUP(C1928, dd_accsrycalc!$A$2:$A$51, dd_accsrycalc!$C$2:$C$51, "",0), F1928="Tox6", _xlfn.XLOOKUP(C1928, dd_accsrycalc!$A$2:$A$51, dd_accsrycalc!$D$2:$D$51, "",0), F1928="Cover Cap", _xlfn.XLOOKUP(C1928, dd_accsrycalc!$A$2:$A$51, dd_accsrycalc!$E$2:$E$51, "",0), F1928="Drainage Cover", _xlfn.XLOOKUP(C1928, dd_accsrycalc!$A$2:$A$51, dd_accsrycalc!$F$2:$F$51, "",0),AND( F1928="Double Adhesive Tape", I1928="Roll-up Screen"), _xlfn.XLOOKUP(C1928, calc_rusacc!$C$15:$C$65, calc_rusacc!$AD$15:$AD$65, "",0),AND( F1928="Sealant", I1928="Roll-up Screen"), _xlfn.XLOOKUP(C1928, calc_rusacc!$C$15:$C$65, calc_rusacc!$AF$15:$AF$65, "",0),  AND( F1928="Main Chain", I1928="Accordion Screen"), _xlfn.XLOOKUP(C1928, calc_rusacc!$C$15:$C$65, calc_rusacc!$BF$15:$BF$65, "",0), AND( F1928="Sealant", I1928="Accordion Screen"), _xlfn.XLOOKUP(C1928, calc_rusacc!$C$15:$C$65, calc_rusacc!$BJ$15:$BJ$65, "",0),  F1928="Sealant", _xlfn.XLOOKUP(C1928, dd_accsrycalc!$A$2:$A$51, dd_accsrycalc!$G$2:$G$51, "",0),  F1928&lt;&gt;"",L1928*_xlfn.XLOOKUP(1, (SKUs!$C$2:$C$10001=G1928)*(SKUs!$K$2:$K$10001=I1928),SKUs!$E$2:$E$10001)), 0),"")</f>
        <v/>
      </c>
      <c r="E1928" s="35" t="str">
        <f>_xlfn.XLOOKUP(F1928,dd_item!$B$2:$B$105,dd_item!$C$2:$C$105,"",0)</f>
        <v/>
      </c>
      <c r="F1928" s="35"/>
      <c r="G1928" s="35" cm="1">
        <f t="array" ref="G1928">IFERROR(_xlfn.XLOOKUP(1, (SKUs!$J$2:$J$10001=accsry_unmerged!F1928)*IF(H1928&lt;&gt;"",(SKUs!$L$2:$L$10001=accsry_unmerged!H1928),1)*(SKUs!$K$2:$K$10001=I1928),SKUs!$C$2:$C$10001),"")</f>
        <v>0</v>
      </c>
      <c r="H1928" s="36" cm="1">
        <f t="array" ref="H1928">IFERROR(_xlfn.XLOOKUP(1, (dd_accsryclr!$C$2:$C$1000=accsry_unmerged!F1928)*(dd_accsryclr!$B$2:$B$1000=accsry_unmerged!J1928),dd_accsryclr!$A$2:$A$1000),"")</f>
        <v>0</v>
      </c>
      <c r="I1928" s="35">
        <f>_xlfn.XLOOKUP(C1928,'Project Details'!$C$17:$C$66,'Project Details'!$E$17:$E$66,"",0)</f>
        <v>0</v>
      </c>
      <c r="J1928" s="35">
        <f>_xlfn.XLOOKUP(C1928,'Project Details'!$C$17:$C$66,'Project Details'!$H$17:$H$66,"",0)</f>
        <v>0</v>
      </c>
      <c r="K1928" s="36" t="str">
        <f>IF(AND(_xlfn.XLOOKUP(C1928,'Project Details'!$C$17:$C$66,'Project Details'!$L$17:$L$66,"",0)&gt;550, F1928="Spring-L27cm"),"",SUBSTITUTE(_xlfn.XLOOKUP(G1928,SKUs!$C$2:$C$10001,SKUs!$F$2:$F$10001,"",0), " Accessories",""))</f>
        <v/>
      </c>
      <c r="L1928" s="36">
        <f>_xlfn.XLOOKUP(C1928,'Project Details'!$C$17:$C$66,'Project Details'!$D$17:$D$66,"",0)</f>
        <v>0</v>
      </c>
      <c r="M1928" s="43"/>
    </row>
    <row r="1929" spans="1:13" x14ac:dyDescent="0.25">
      <c r="A1929" s="43"/>
      <c r="B1929" s="43"/>
      <c r="C1929" s="16">
        <f t="shared" si="37"/>
        <v>39</v>
      </c>
      <c r="D1929" s="16" t="str" cm="1">
        <f t="array" ref="D1929">IFERROR(ROUNDUP(_xlfn.IFS(F1929="Aluminum Track", _xlfn.XLOOKUP(C1929, dd_accsrycalc!$A$2:$A$51, dd_accsrycalc!$B$2:$B$51, "",0), F1929="10 x 2 1/2 S (Flat)", _xlfn.XLOOKUP(C1929, dd_accsrycalc!$A$2:$A$51, dd_accsrycalc!$C$2:$C$51, "",0), F1929="Tox6", _xlfn.XLOOKUP(C1929, dd_accsrycalc!$A$2:$A$51, dd_accsrycalc!$D$2:$D$51, "",0), F1929="Cover Cap", _xlfn.XLOOKUP(C1929, dd_accsrycalc!$A$2:$A$51, dd_accsrycalc!$E$2:$E$51, "",0), F1929="Drainage Cover", _xlfn.XLOOKUP(C1929, dd_accsrycalc!$A$2:$A$51, dd_accsrycalc!$F$2:$F$51, "",0),AND( F1929="Double Adhesive Tape", I1929="Roll-up Screen"), _xlfn.XLOOKUP(C1929, calc_rusacc!$C$15:$C$65, calc_rusacc!$AD$15:$AD$65, "",0),AND( F1929="Sealant", I1929="Roll-up Screen"), _xlfn.XLOOKUP(C1929, calc_rusacc!$C$15:$C$65, calc_rusacc!$AF$15:$AF$65, "",0),  AND( F1929="Main Chain", I1929="Accordion Screen"), _xlfn.XLOOKUP(C1929, calc_rusacc!$C$15:$C$65, calc_rusacc!$BF$15:$BF$65, "",0), AND( F1929="Sealant", I1929="Accordion Screen"), _xlfn.XLOOKUP(C1929, calc_rusacc!$C$15:$C$65, calc_rusacc!$BJ$15:$BJ$65, "",0),  F1929="Sealant", _xlfn.XLOOKUP(C1929, dd_accsrycalc!$A$2:$A$51, dd_accsrycalc!$G$2:$G$51, "",0),  F1929&lt;&gt;"",L1929*_xlfn.XLOOKUP(1, (SKUs!$C$2:$C$10001=G1929)*(SKUs!$K$2:$K$10001=I1929),SKUs!$E$2:$E$10001)), 0),"")</f>
        <v/>
      </c>
      <c r="E1929" s="16" t="str">
        <f>_xlfn.XLOOKUP(F1929,dd_item!$B$2:$B$105,dd_item!$C$2:$C$105,"",0)</f>
        <v/>
      </c>
      <c r="F1929" s="16"/>
      <c r="G1929" s="16" cm="1">
        <f t="array" ref="G1929">IFERROR(_xlfn.XLOOKUP(1, (SKUs!$J$2:$J$10001=accsry_unmerged!F1929)*IF(H1929&lt;&gt;"",(SKUs!$L$2:$L$10001=accsry_unmerged!H1929),1)*(SKUs!$K$2:$K$10001=I1929),SKUs!$C$2:$C$10001),"")</f>
        <v>0</v>
      </c>
      <c r="H1929" s="33" cm="1">
        <f t="array" ref="H1929">IFERROR(_xlfn.XLOOKUP(1, (dd_accsryclr!$C$2:$C$1000=accsry_unmerged!F1929)*(dd_accsryclr!$B$2:$B$1000=accsry_unmerged!J1929),dd_accsryclr!$A$2:$A$1000),"")</f>
        <v>0</v>
      </c>
      <c r="I1929" s="16">
        <f>_xlfn.XLOOKUP(C1929,'Project Details'!$C$17:$C$66,'Project Details'!$E$17:$E$66,"",0)</f>
        <v>0</v>
      </c>
      <c r="J1929" s="16">
        <f>_xlfn.XLOOKUP(C1929,'Project Details'!$C$17:$C$66,'Project Details'!$H$17:$H$66,"",0)</f>
        <v>0</v>
      </c>
      <c r="K1929" s="33" t="str">
        <f>IF(AND(_xlfn.XLOOKUP(C1929,'Project Details'!$C$17:$C$66,'Project Details'!$L$17:$L$66,"",0)&gt;550, F1929="Spring-L27cm"),"",SUBSTITUTE(_xlfn.XLOOKUP(G1929,SKUs!$C$2:$C$10001,SKUs!$F$2:$F$10001,"",0), " Accessories",""))</f>
        <v/>
      </c>
      <c r="L1929" s="33">
        <f>_xlfn.XLOOKUP(C1929,'Project Details'!$C$17:$C$66,'Project Details'!$D$17:$D$66,"",0)</f>
        <v>0</v>
      </c>
      <c r="M1929" s="43"/>
    </row>
    <row r="1930" spans="1:13" x14ac:dyDescent="0.25">
      <c r="A1930" s="43"/>
      <c r="B1930" s="43"/>
      <c r="C1930" s="35">
        <f t="shared" si="37"/>
        <v>39</v>
      </c>
      <c r="D1930" s="35" t="str" cm="1">
        <f t="array" ref="D1930">IFERROR(ROUNDUP(_xlfn.IFS(F1930="Aluminum Track", _xlfn.XLOOKUP(C1930, dd_accsrycalc!$A$2:$A$51, dd_accsrycalc!$B$2:$B$51, "",0), F1930="10 x 2 1/2 S (Flat)", _xlfn.XLOOKUP(C1930, dd_accsrycalc!$A$2:$A$51, dd_accsrycalc!$C$2:$C$51, "",0), F1930="Tox6", _xlfn.XLOOKUP(C1930, dd_accsrycalc!$A$2:$A$51, dd_accsrycalc!$D$2:$D$51, "",0), F1930="Cover Cap", _xlfn.XLOOKUP(C1930, dd_accsrycalc!$A$2:$A$51, dd_accsrycalc!$E$2:$E$51, "",0), F1930="Drainage Cover", _xlfn.XLOOKUP(C1930, dd_accsrycalc!$A$2:$A$51, dd_accsrycalc!$F$2:$F$51, "",0),AND( F1930="Double Adhesive Tape", I1930="Roll-up Screen"), _xlfn.XLOOKUP(C1930, calc_rusacc!$C$15:$C$65, calc_rusacc!$AD$15:$AD$65, "",0),AND( F1930="Sealant", I1930="Roll-up Screen"), _xlfn.XLOOKUP(C1930, calc_rusacc!$C$15:$C$65, calc_rusacc!$AF$15:$AF$65, "",0),  AND( F1930="Main Chain", I1930="Accordion Screen"), _xlfn.XLOOKUP(C1930, calc_rusacc!$C$15:$C$65, calc_rusacc!$BF$15:$BF$65, "",0), AND( F1930="Sealant", I1930="Accordion Screen"), _xlfn.XLOOKUP(C1930, calc_rusacc!$C$15:$C$65, calc_rusacc!$BJ$15:$BJ$65, "",0),  F1930="Sealant", _xlfn.XLOOKUP(C1930, dd_accsrycalc!$A$2:$A$51, dd_accsrycalc!$G$2:$G$51, "",0),  F1930&lt;&gt;"",L1930*_xlfn.XLOOKUP(1, (SKUs!$C$2:$C$10001=G1930)*(SKUs!$K$2:$K$10001=I1930),SKUs!$E$2:$E$10001)), 0),"")</f>
        <v/>
      </c>
      <c r="E1930" s="35" t="str">
        <f>_xlfn.XLOOKUP(F1930,dd_item!$B$2:$B$105,dd_item!$C$2:$C$105,"",0)</f>
        <v/>
      </c>
      <c r="F1930" s="35"/>
      <c r="G1930" s="35" cm="1">
        <f t="array" ref="G1930">IFERROR(_xlfn.XLOOKUP(1, (SKUs!$J$2:$J$10001=accsry_unmerged!F1930)*IF(H1930&lt;&gt;"",(SKUs!$L$2:$L$10001=accsry_unmerged!H1930),1)*(SKUs!$K$2:$K$10001=I1930),SKUs!$C$2:$C$10001),"")</f>
        <v>0</v>
      </c>
      <c r="H1930" s="36" cm="1">
        <f t="array" ref="H1930">IFERROR(_xlfn.XLOOKUP(1, (dd_accsryclr!$C$2:$C$1000=accsry_unmerged!F1930)*(dd_accsryclr!$B$2:$B$1000=accsry_unmerged!J1930),dd_accsryclr!$A$2:$A$1000),"")</f>
        <v>0</v>
      </c>
      <c r="I1930" s="35">
        <f>_xlfn.XLOOKUP(C1930,'Project Details'!$C$17:$C$66,'Project Details'!$E$17:$E$66,"",0)</f>
        <v>0</v>
      </c>
      <c r="J1930" s="35">
        <f>_xlfn.XLOOKUP(C1930,'Project Details'!$C$17:$C$66,'Project Details'!$H$17:$H$66,"",0)</f>
        <v>0</v>
      </c>
      <c r="K1930" s="36" t="str">
        <f>IF(AND(_xlfn.XLOOKUP(C1930,'Project Details'!$C$17:$C$66,'Project Details'!$L$17:$L$66,"",0)&gt;550, F1930="Spring-L27cm"),"",SUBSTITUTE(_xlfn.XLOOKUP(G1930,SKUs!$C$2:$C$10001,SKUs!$F$2:$F$10001,"",0), " Accessories",""))</f>
        <v/>
      </c>
      <c r="L1930" s="36">
        <f>_xlfn.XLOOKUP(C1930,'Project Details'!$C$17:$C$66,'Project Details'!$D$17:$D$66,"",0)</f>
        <v>0</v>
      </c>
      <c r="M1930" s="43"/>
    </row>
    <row r="1931" spans="1:13" x14ac:dyDescent="0.25">
      <c r="A1931" s="43"/>
      <c r="B1931" s="43"/>
      <c r="C1931" s="16">
        <f t="shared" si="37"/>
        <v>39</v>
      </c>
      <c r="D1931" s="16" t="str" cm="1">
        <f t="array" ref="D1931">IFERROR(ROUNDUP(_xlfn.IFS(F1931="Aluminum Track", _xlfn.XLOOKUP(C1931, dd_accsrycalc!$A$2:$A$51, dd_accsrycalc!$B$2:$B$51, "",0), F1931="10 x 2 1/2 S (Flat)", _xlfn.XLOOKUP(C1931, dd_accsrycalc!$A$2:$A$51, dd_accsrycalc!$C$2:$C$51, "",0), F1931="Tox6", _xlfn.XLOOKUP(C1931, dd_accsrycalc!$A$2:$A$51, dd_accsrycalc!$D$2:$D$51, "",0), F1931="Cover Cap", _xlfn.XLOOKUP(C1931, dd_accsrycalc!$A$2:$A$51, dd_accsrycalc!$E$2:$E$51, "",0), F1931="Drainage Cover", _xlfn.XLOOKUP(C1931, dd_accsrycalc!$A$2:$A$51, dd_accsrycalc!$F$2:$F$51, "",0),AND( F1931="Double Adhesive Tape", I1931="Roll-up Screen"), _xlfn.XLOOKUP(C1931, calc_rusacc!$C$15:$C$65, calc_rusacc!$AD$15:$AD$65, "",0),AND( F1931="Sealant", I1931="Roll-up Screen"), _xlfn.XLOOKUP(C1931, calc_rusacc!$C$15:$C$65, calc_rusacc!$AF$15:$AF$65, "",0),  AND( F1931="Main Chain", I1931="Accordion Screen"), _xlfn.XLOOKUP(C1931, calc_rusacc!$C$15:$C$65, calc_rusacc!$BF$15:$BF$65, "",0), AND( F1931="Sealant", I1931="Accordion Screen"), _xlfn.XLOOKUP(C1931, calc_rusacc!$C$15:$C$65, calc_rusacc!$BJ$15:$BJ$65, "",0),  F1931="Sealant", _xlfn.XLOOKUP(C1931, dd_accsrycalc!$A$2:$A$51, dd_accsrycalc!$G$2:$G$51, "",0),  F1931&lt;&gt;"",L1931*_xlfn.XLOOKUP(1, (SKUs!$C$2:$C$10001=G1931)*(SKUs!$K$2:$K$10001=I1931),SKUs!$E$2:$E$10001)), 0),"")</f>
        <v/>
      </c>
      <c r="E1931" s="16" t="str">
        <f>_xlfn.XLOOKUP(F1931,dd_item!$B$2:$B$105,dd_item!$C$2:$C$105,"",0)</f>
        <v/>
      </c>
      <c r="F1931" s="16"/>
      <c r="G1931" s="16" cm="1">
        <f t="array" ref="G1931">IFERROR(_xlfn.XLOOKUP(1, (SKUs!$J$2:$J$10001=accsry_unmerged!F1931)*IF(H1931&lt;&gt;"",(SKUs!$L$2:$L$10001=accsry_unmerged!H1931),1)*(SKUs!$K$2:$K$10001=I1931),SKUs!$C$2:$C$10001),"")</f>
        <v>0</v>
      </c>
      <c r="H1931" s="33" cm="1">
        <f t="array" ref="H1931">IFERROR(_xlfn.XLOOKUP(1, (dd_accsryclr!$C$2:$C$1000=accsry_unmerged!F1931)*(dd_accsryclr!$B$2:$B$1000=accsry_unmerged!J1931),dd_accsryclr!$A$2:$A$1000),"")</f>
        <v>0</v>
      </c>
      <c r="I1931" s="16">
        <f>_xlfn.XLOOKUP(C1931,'Project Details'!$C$17:$C$66,'Project Details'!$E$17:$E$66,"",0)</f>
        <v>0</v>
      </c>
      <c r="J1931" s="16">
        <f>_xlfn.XLOOKUP(C1931,'Project Details'!$C$17:$C$66,'Project Details'!$H$17:$H$66,"",0)</f>
        <v>0</v>
      </c>
      <c r="K1931" s="33" t="str">
        <f>IF(AND(_xlfn.XLOOKUP(C1931,'Project Details'!$C$17:$C$66,'Project Details'!$L$17:$L$66,"",0)&gt;550, F1931="Spring-L27cm"),"",SUBSTITUTE(_xlfn.XLOOKUP(G1931,SKUs!$C$2:$C$10001,SKUs!$F$2:$F$10001,"",0), " Accessories",""))</f>
        <v/>
      </c>
      <c r="L1931" s="33">
        <f>_xlfn.XLOOKUP(C1931,'Project Details'!$C$17:$C$66,'Project Details'!$D$17:$D$66,"",0)</f>
        <v>0</v>
      </c>
      <c r="M1931" s="43"/>
    </row>
    <row r="1932" spans="1:13" x14ac:dyDescent="0.25">
      <c r="A1932" s="43"/>
      <c r="B1932" s="43"/>
      <c r="C1932" s="35">
        <f t="shared" si="37"/>
        <v>39</v>
      </c>
      <c r="D1932" s="35" t="str" cm="1">
        <f t="array" ref="D1932">IFERROR(ROUNDUP(_xlfn.IFS(F1932="Aluminum Track", _xlfn.XLOOKUP(C1932, dd_accsrycalc!$A$2:$A$51, dd_accsrycalc!$B$2:$B$51, "",0), F1932="10 x 2 1/2 S (Flat)", _xlfn.XLOOKUP(C1932, dd_accsrycalc!$A$2:$A$51, dd_accsrycalc!$C$2:$C$51, "",0), F1932="Tox6", _xlfn.XLOOKUP(C1932, dd_accsrycalc!$A$2:$A$51, dd_accsrycalc!$D$2:$D$51, "",0), F1932="Cover Cap", _xlfn.XLOOKUP(C1932, dd_accsrycalc!$A$2:$A$51, dd_accsrycalc!$E$2:$E$51, "",0), F1932="Drainage Cover", _xlfn.XLOOKUP(C1932, dd_accsrycalc!$A$2:$A$51, dd_accsrycalc!$F$2:$F$51, "",0),AND( F1932="Double Adhesive Tape", I1932="Roll-up Screen"), _xlfn.XLOOKUP(C1932, calc_rusacc!$C$15:$C$65, calc_rusacc!$AD$15:$AD$65, "",0),AND( F1932="Sealant", I1932="Roll-up Screen"), _xlfn.XLOOKUP(C1932, calc_rusacc!$C$15:$C$65, calc_rusacc!$AF$15:$AF$65, "",0),  AND( F1932="Main Chain", I1932="Accordion Screen"), _xlfn.XLOOKUP(C1932, calc_rusacc!$C$15:$C$65, calc_rusacc!$BF$15:$BF$65, "",0), AND( F1932="Sealant", I1932="Accordion Screen"), _xlfn.XLOOKUP(C1932, calc_rusacc!$C$15:$C$65, calc_rusacc!$BJ$15:$BJ$65, "",0),  F1932="Sealant", _xlfn.XLOOKUP(C1932, dd_accsrycalc!$A$2:$A$51, dd_accsrycalc!$G$2:$G$51, "",0),  F1932&lt;&gt;"",L1932*_xlfn.XLOOKUP(1, (SKUs!$C$2:$C$10001=G1932)*(SKUs!$K$2:$K$10001=I1932),SKUs!$E$2:$E$10001)), 0),"")</f>
        <v/>
      </c>
      <c r="E1932" s="35" t="str">
        <f>_xlfn.XLOOKUP(F1932,dd_item!$B$2:$B$105,dd_item!$C$2:$C$105,"",0)</f>
        <v/>
      </c>
      <c r="F1932" s="35"/>
      <c r="G1932" s="35" cm="1">
        <f t="array" ref="G1932">IFERROR(_xlfn.XLOOKUP(1, (SKUs!$J$2:$J$10001=accsry_unmerged!F1932)*IF(H1932&lt;&gt;"",(SKUs!$L$2:$L$10001=accsry_unmerged!H1932),1)*(SKUs!$K$2:$K$10001=I1932),SKUs!$C$2:$C$10001),"")</f>
        <v>0</v>
      </c>
      <c r="H1932" s="36" cm="1">
        <f t="array" ref="H1932">IFERROR(_xlfn.XLOOKUP(1, (dd_accsryclr!$C$2:$C$1000=accsry_unmerged!F1932)*(dd_accsryclr!$B$2:$B$1000=accsry_unmerged!J1932),dd_accsryclr!$A$2:$A$1000),"")</f>
        <v>0</v>
      </c>
      <c r="I1932" s="35">
        <f>_xlfn.XLOOKUP(C1932,'Project Details'!$C$17:$C$66,'Project Details'!$E$17:$E$66,"",0)</f>
        <v>0</v>
      </c>
      <c r="J1932" s="35">
        <f>_xlfn.XLOOKUP(C1932,'Project Details'!$C$17:$C$66,'Project Details'!$H$17:$H$66,"",0)</f>
        <v>0</v>
      </c>
      <c r="K1932" s="36" t="str">
        <f>IF(AND(_xlfn.XLOOKUP(C1932,'Project Details'!$C$17:$C$66,'Project Details'!$L$17:$L$66,"",0)&gt;550, F1932="Spring-L27cm"),"",SUBSTITUTE(_xlfn.XLOOKUP(G1932,SKUs!$C$2:$C$10001,SKUs!$F$2:$F$10001,"",0), " Accessories",""))</f>
        <v/>
      </c>
      <c r="L1932" s="36">
        <f>_xlfn.XLOOKUP(C1932,'Project Details'!$C$17:$C$66,'Project Details'!$D$17:$D$66,"",0)</f>
        <v>0</v>
      </c>
      <c r="M1932" s="43"/>
    </row>
    <row r="1933" spans="1:13" x14ac:dyDescent="0.25">
      <c r="A1933" s="43"/>
      <c r="B1933" s="43"/>
      <c r="C1933" s="16">
        <f t="shared" si="37"/>
        <v>39</v>
      </c>
      <c r="D1933" s="16" t="str" cm="1">
        <f t="array" ref="D1933">IFERROR(ROUNDUP(_xlfn.IFS(F1933="Aluminum Track", _xlfn.XLOOKUP(C1933, dd_accsrycalc!$A$2:$A$51, dd_accsrycalc!$B$2:$B$51, "",0), F1933="10 x 2 1/2 S (Flat)", _xlfn.XLOOKUP(C1933, dd_accsrycalc!$A$2:$A$51, dd_accsrycalc!$C$2:$C$51, "",0), F1933="Tox6", _xlfn.XLOOKUP(C1933, dd_accsrycalc!$A$2:$A$51, dd_accsrycalc!$D$2:$D$51, "",0), F1933="Cover Cap", _xlfn.XLOOKUP(C1933, dd_accsrycalc!$A$2:$A$51, dd_accsrycalc!$E$2:$E$51, "",0), F1933="Drainage Cover", _xlfn.XLOOKUP(C1933, dd_accsrycalc!$A$2:$A$51, dd_accsrycalc!$F$2:$F$51, "",0),AND( F1933="Double Adhesive Tape", I1933="Roll-up Screen"), _xlfn.XLOOKUP(C1933, calc_rusacc!$C$15:$C$65, calc_rusacc!$AD$15:$AD$65, "",0),AND( F1933="Sealant", I1933="Roll-up Screen"), _xlfn.XLOOKUP(C1933, calc_rusacc!$C$15:$C$65, calc_rusacc!$AF$15:$AF$65, "",0),  AND( F1933="Main Chain", I1933="Accordion Screen"), _xlfn.XLOOKUP(C1933, calc_rusacc!$C$15:$C$65, calc_rusacc!$BF$15:$BF$65, "",0), AND( F1933="Sealant", I1933="Accordion Screen"), _xlfn.XLOOKUP(C1933, calc_rusacc!$C$15:$C$65, calc_rusacc!$BJ$15:$BJ$65, "",0),  F1933="Sealant", _xlfn.XLOOKUP(C1933, dd_accsrycalc!$A$2:$A$51, dd_accsrycalc!$G$2:$G$51, "",0),  F1933&lt;&gt;"",L1933*_xlfn.XLOOKUP(1, (SKUs!$C$2:$C$10001=G1933)*(SKUs!$K$2:$K$10001=I1933),SKUs!$E$2:$E$10001)), 0),"")</f>
        <v/>
      </c>
      <c r="E1933" s="16" t="str">
        <f>_xlfn.XLOOKUP(F1933,dd_item!$B$2:$B$105,dd_item!$C$2:$C$105,"",0)</f>
        <v/>
      </c>
      <c r="F1933" s="16"/>
      <c r="G1933" s="16" cm="1">
        <f t="array" ref="G1933">IFERROR(_xlfn.XLOOKUP(1, (SKUs!$J$2:$J$10001=accsry_unmerged!F1933)*IF(H1933&lt;&gt;"",(SKUs!$L$2:$L$10001=accsry_unmerged!H1933),1)*(SKUs!$K$2:$K$10001=I1933),SKUs!$C$2:$C$10001),"")</f>
        <v>0</v>
      </c>
      <c r="H1933" s="33" cm="1">
        <f t="array" ref="H1933">IFERROR(_xlfn.XLOOKUP(1, (dd_accsryclr!$C$2:$C$1000=accsry_unmerged!F1933)*(dd_accsryclr!$B$2:$B$1000=accsry_unmerged!J1933),dd_accsryclr!$A$2:$A$1000),"")</f>
        <v>0</v>
      </c>
      <c r="I1933" s="16">
        <f>_xlfn.XLOOKUP(C1933,'Project Details'!$C$17:$C$66,'Project Details'!$E$17:$E$66,"",0)</f>
        <v>0</v>
      </c>
      <c r="J1933" s="16">
        <f>_xlfn.XLOOKUP(C1933,'Project Details'!$C$17:$C$66,'Project Details'!$H$17:$H$66,"",0)</f>
        <v>0</v>
      </c>
      <c r="K1933" s="33" t="str">
        <f>IF(AND(_xlfn.XLOOKUP(C1933,'Project Details'!$C$17:$C$66,'Project Details'!$L$17:$L$66,"",0)&gt;550, F1933="Spring-L27cm"),"",SUBSTITUTE(_xlfn.XLOOKUP(G1933,SKUs!$C$2:$C$10001,SKUs!$F$2:$F$10001,"",0), " Accessories",""))</f>
        <v/>
      </c>
      <c r="L1933" s="33">
        <f>_xlfn.XLOOKUP(C1933,'Project Details'!$C$17:$C$66,'Project Details'!$D$17:$D$66,"",0)</f>
        <v>0</v>
      </c>
      <c r="M1933" s="43"/>
    </row>
    <row r="1934" spans="1:13" ht="13.5" customHeight="1" x14ac:dyDescent="0.25">
      <c r="A1934" s="43"/>
      <c r="B1934" s="43"/>
      <c r="C1934" s="35">
        <f t="shared" si="37"/>
        <v>39</v>
      </c>
      <c r="D1934" s="35" t="str" cm="1">
        <f t="array" ref="D1934">IFERROR(ROUNDUP(_xlfn.IFS(F1934="Aluminum Track", _xlfn.XLOOKUP(C1934, dd_accsrycalc!$A$2:$A$51, dd_accsrycalc!$B$2:$B$51, "",0), F1934="10 x 2 1/2 S (Flat)", _xlfn.XLOOKUP(C1934, dd_accsrycalc!$A$2:$A$51, dd_accsrycalc!$C$2:$C$51, "",0), F1934="Tox6", _xlfn.XLOOKUP(C1934, dd_accsrycalc!$A$2:$A$51, dd_accsrycalc!$D$2:$D$51, "",0), F1934="Cover Cap", _xlfn.XLOOKUP(C1934, dd_accsrycalc!$A$2:$A$51, dd_accsrycalc!$E$2:$E$51, "",0), F1934="Drainage Cover", _xlfn.XLOOKUP(C1934, dd_accsrycalc!$A$2:$A$51, dd_accsrycalc!$F$2:$F$51, "",0),AND( F1934="Double Adhesive Tape", I1934="Roll-up Screen"), _xlfn.XLOOKUP(C1934, calc_rusacc!$C$15:$C$65, calc_rusacc!$AD$15:$AD$65, "",0),AND( F1934="Sealant", I1934="Roll-up Screen"), _xlfn.XLOOKUP(C1934, calc_rusacc!$C$15:$C$65, calc_rusacc!$AF$15:$AF$65, "",0),  AND( F1934="Main Chain", I1934="Accordion Screen"), _xlfn.XLOOKUP(C1934, calc_rusacc!$C$15:$C$65, calc_rusacc!$BF$15:$BF$65, "",0), AND( F1934="Sealant", I1934="Accordion Screen"), _xlfn.XLOOKUP(C1934, calc_rusacc!$C$15:$C$65, calc_rusacc!$BJ$15:$BJ$65, "",0),  F1934="Sealant", _xlfn.XLOOKUP(C1934, dd_accsrycalc!$A$2:$A$51, dd_accsrycalc!$G$2:$G$51, "",0),  F1934&lt;&gt;"",L1934*_xlfn.XLOOKUP(1, (SKUs!$C$2:$C$10001=G1934)*(SKUs!$K$2:$K$10001=I1934),SKUs!$E$2:$E$10001)), 0),"")</f>
        <v/>
      </c>
      <c r="E1934" s="35" t="str">
        <f>_xlfn.XLOOKUP(F1934,dd_item!$B$2:$B$105,dd_item!$C$2:$C$105,"",0)</f>
        <v/>
      </c>
      <c r="F1934" s="35"/>
      <c r="G1934" s="35" cm="1">
        <f t="array" ref="G1934">IFERROR(_xlfn.XLOOKUP(1, (SKUs!$J$2:$J$10001=accsry_unmerged!F1934)*IF(H1934&lt;&gt;"",(SKUs!$L$2:$L$10001=accsry_unmerged!H1934),1)*(SKUs!$K$2:$K$10001=I1934),SKUs!$C$2:$C$10001),"")</f>
        <v>0</v>
      </c>
      <c r="H1934" s="36" cm="1">
        <f t="array" ref="H1934">IFERROR(_xlfn.XLOOKUP(1, (dd_accsryclr!$C$2:$C$1000=accsry_unmerged!F1934)*(dd_accsryclr!$B$2:$B$1000=accsry_unmerged!J1934),dd_accsryclr!$A$2:$A$1000),"")</f>
        <v>0</v>
      </c>
      <c r="I1934" s="35">
        <f>_xlfn.XLOOKUP(C1934,'Project Details'!$C$17:$C$66,'Project Details'!$E$17:$E$66,"",0)</f>
        <v>0</v>
      </c>
      <c r="J1934" s="35">
        <f>_xlfn.XLOOKUP(C1934,'Project Details'!$C$17:$C$66,'Project Details'!$H$17:$H$66,"",0)</f>
        <v>0</v>
      </c>
      <c r="K1934" s="36" t="str">
        <f>IF(AND(_xlfn.XLOOKUP(C1934,'Project Details'!$C$17:$C$66,'Project Details'!$L$17:$L$66,"",0)&gt;550, F1934="Spring-L27cm"),"",SUBSTITUTE(_xlfn.XLOOKUP(G1934,SKUs!$C$2:$C$10001,SKUs!$F$2:$F$10001,"",0), " Accessories",""))</f>
        <v/>
      </c>
      <c r="L1934" s="36">
        <f>_xlfn.XLOOKUP(C1934,'Project Details'!$C$17:$C$66,'Project Details'!$D$17:$D$66,"",0)</f>
        <v>0</v>
      </c>
      <c r="M1934" s="43"/>
    </row>
    <row r="1935" spans="1:13" ht="13.5" customHeight="1" x14ac:dyDescent="0.25">
      <c r="A1935" s="43"/>
      <c r="B1935" s="43"/>
      <c r="C1935" s="16">
        <f t="shared" si="37"/>
        <v>39</v>
      </c>
      <c r="D1935" s="16" t="str" cm="1">
        <f t="array" ref="D1935">IFERROR(ROUNDUP(_xlfn.IFS(F1935="Aluminum Track", _xlfn.XLOOKUP(C1935, dd_accsrycalc!$A$2:$A$51, dd_accsrycalc!$B$2:$B$51, "",0), F1935="10 x 2 1/2 S (Flat)", _xlfn.XLOOKUP(C1935, dd_accsrycalc!$A$2:$A$51, dd_accsrycalc!$C$2:$C$51, "",0), F1935="Tox6", _xlfn.XLOOKUP(C1935, dd_accsrycalc!$A$2:$A$51, dd_accsrycalc!$D$2:$D$51, "",0), F1935="Cover Cap", _xlfn.XLOOKUP(C1935, dd_accsrycalc!$A$2:$A$51, dd_accsrycalc!$E$2:$E$51, "",0), F1935="Drainage Cover", _xlfn.XLOOKUP(C1935, dd_accsrycalc!$A$2:$A$51, dd_accsrycalc!$F$2:$F$51, "",0),AND( F1935="Double Adhesive Tape", I1935="Roll-up Screen"), _xlfn.XLOOKUP(C1935, calc_rusacc!$C$15:$C$65, calc_rusacc!$AD$15:$AD$65, "",0),AND( F1935="Sealant", I1935="Roll-up Screen"), _xlfn.XLOOKUP(C1935, calc_rusacc!$C$15:$C$65, calc_rusacc!$AF$15:$AF$65, "",0),  AND( F1935="Main Chain", I1935="Accordion Screen"), _xlfn.XLOOKUP(C1935, calc_rusacc!$C$15:$C$65, calc_rusacc!$BF$15:$BF$65, "",0), AND( F1935="Sealant", I1935="Accordion Screen"), _xlfn.XLOOKUP(C1935, calc_rusacc!$C$15:$C$65, calc_rusacc!$BJ$15:$BJ$65, "",0),  F1935="Sealant", _xlfn.XLOOKUP(C1935, dd_accsrycalc!$A$2:$A$51, dd_accsrycalc!$G$2:$G$51, "",0),  F1935&lt;&gt;"",L1935*_xlfn.XLOOKUP(1, (SKUs!$C$2:$C$10001=G1935)*(SKUs!$K$2:$K$10001=I1935),SKUs!$E$2:$E$10001)), 0),"")</f>
        <v/>
      </c>
      <c r="E1935" s="16" t="str">
        <f>_xlfn.XLOOKUP(F1935,dd_item!$B$2:$B$105,dd_item!$C$2:$C$105,"",0)</f>
        <v/>
      </c>
      <c r="F1935" s="16"/>
      <c r="G1935" s="16" cm="1">
        <f t="array" ref="G1935">IFERROR(_xlfn.XLOOKUP(1, (SKUs!$J$2:$J$10001=accsry_unmerged!F1935)*IF(H1935&lt;&gt;"",(SKUs!$L$2:$L$10001=accsry_unmerged!H1935),1)*(SKUs!$K$2:$K$10001=I1935),SKUs!$C$2:$C$10001),"")</f>
        <v>0</v>
      </c>
      <c r="H1935" s="33" cm="1">
        <f t="array" ref="H1935">IFERROR(_xlfn.XLOOKUP(1, (dd_accsryclr!$C$2:$C$1000=accsry_unmerged!F1935)*(dd_accsryclr!$B$2:$B$1000=accsry_unmerged!J1935),dd_accsryclr!$A$2:$A$1000),"")</f>
        <v>0</v>
      </c>
      <c r="I1935" s="16">
        <f>_xlfn.XLOOKUP(C1935,'Project Details'!$C$17:$C$66,'Project Details'!$E$17:$E$66,"",0)</f>
        <v>0</v>
      </c>
      <c r="J1935" s="16">
        <f>_xlfn.XLOOKUP(C1935,'Project Details'!$C$17:$C$66,'Project Details'!$H$17:$H$66,"",0)</f>
        <v>0</v>
      </c>
      <c r="K1935" s="33" t="str">
        <f>IF(AND(_xlfn.XLOOKUP(C1935,'Project Details'!$C$17:$C$66,'Project Details'!$L$17:$L$66,"",0)&gt;550, F1935="Spring-L27cm"),"",SUBSTITUTE(_xlfn.XLOOKUP(G1935,SKUs!$C$2:$C$10001,SKUs!$F$2:$F$10001,"",0), " Accessories",""))</f>
        <v/>
      </c>
      <c r="L1935" s="33">
        <f>_xlfn.XLOOKUP(C1935,'Project Details'!$C$17:$C$66,'Project Details'!$D$17:$D$66,"",0)</f>
        <v>0</v>
      </c>
      <c r="M1935" s="43"/>
    </row>
    <row r="1936" spans="1:13" ht="13.5" customHeight="1" x14ac:dyDescent="0.25">
      <c r="A1936" s="43"/>
      <c r="B1936" s="43"/>
      <c r="C1936" s="35">
        <f t="shared" si="37"/>
        <v>39</v>
      </c>
      <c r="D1936" s="35" t="str" cm="1">
        <f t="array" ref="D1936">IFERROR(ROUNDUP(_xlfn.IFS(F1936="Aluminum Track", _xlfn.XLOOKUP(C1936, dd_accsrycalc!$A$2:$A$51, dd_accsrycalc!$B$2:$B$51, "",0), F1936="10 x 2 1/2 S (Flat)", _xlfn.XLOOKUP(C1936, dd_accsrycalc!$A$2:$A$51, dd_accsrycalc!$C$2:$C$51, "",0), F1936="Tox6", _xlfn.XLOOKUP(C1936, dd_accsrycalc!$A$2:$A$51, dd_accsrycalc!$D$2:$D$51, "",0), F1936="Cover Cap", _xlfn.XLOOKUP(C1936, dd_accsrycalc!$A$2:$A$51, dd_accsrycalc!$E$2:$E$51, "",0), F1936="Drainage Cover", _xlfn.XLOOKUP(C1936, dd_accsrycalc!$A$2:$A$51, dd_accsrycalc!$F$2:$F$51, "",0),AND( F1936="Double Adhesive Tape", I1936="Roll-up Screen"), _xlfn.XLOOKUP(C1936, calc_rusacc!$C$15:$C$65, calc_rusacc!$AD$15:$AD$65, "",0),AND( F1936="Sealant", I1936="Roll-up Screen"), _xlfn.XLOOKUP(C1936, calc_rusacc!$C$15:$C$65, calc_rusacc!$AF$15:$AF$65, "",0),  AND( F1936="Main Chain", I1936="Accordion Screen"), _xlfn.XLOOKUP(C1936, calc_rusacc!$C$15:$C$65, calc_rusacc!$BF$15:$BF$65, "",0), AND( F1936="Sealant", I1936="Accordion Screen"), _xlfn.XLOOKUP(C1936, calc_rusacc!$C$15:$C$65, calc_rusacc!$BJ$15:$BJ$65, "",0),  F1936="Sealant", _xlfn.XLOOKUP(C1936, dd_accsrycalc!$A$2:$A$51, dd_accsrycalc!$G$2:$G$51, "",0),  F1936&lt;&gt;"",L1936*_xlfn.XLOOKUP(1, (SKUs!$C$2:$C$10001=G1936)*(SKUs!$K$2:$K$10001=I1936),SKUs!$E$2:$E$10001)), 0),"")</f>
        <v/>
      </c>
      <c r="E1936" s="35" t="str">
        <f>_xlfn.XLOOKUP(F1936,dd_item!$B$2:$B$105,dd_item!$C$2:$C$105,"",0)</f>
        <v/>
      </c>
      <c r="F1936" s="35"/>
      <c r="G1936" s="35" cm="1">
        <f t="array" ref="G1936">IFERROR(_xlfn.XLOOKUP(1, (SKUs!$J$2:$J$10001=accsry_unmerged!F1936)*IF(H1936&lt;&gt;"",(SKUs!$L$2:$L$10001=accsry_unmerged!H1936),1)*(SKUs!$K$2:$K$10001=I1936),SKUs!$C$2:$C$10001),"")</f>
        <v>0</v>
      </c>
      <c r="H1936" s="36" cm="1">
        <f t="array" ref="H1936">IFERROR(_xlfn.XLOOKUP(1, (dd_accsryclr!$C$2:$C$1000=accsry_unmerged!F1936)*(dd_accsryclr!$B$2:$B$1000=accsry_unmerged!J1936),dd_accsryclr!$A$2:$A$1000),"")</f>
        <v>0</v>
      </c>
      <c r="I1936" s="35">
        <f>_xlfn.XLOOKUP(C1936,'Project Details'!$C$17:$C$66,'Project Details'!$E$17:$E$66,"",0)</f>
        <v>0</v>
      </c>
      <c r="J1936" s="35">
        <f>_xlfn.XLOOKUP(C1936,'Project Details'!$C$17:$C$66,'Project Details'!$H$17:$H$66,"",0)</f>
        <v>0</v>
      </c>
      <c r="K1936" s="36" t="str">
        <f>IF(AND(_xlfn.XLOOKUP(C1936,'Project Details'!$C$17:$C$66,'Project Details'!$L$17:$L$66,"",0)&gt;550, F1936="Spring-L27cm"),"",SUBSTITUTE(_xlfn.XLOOKUP(G1936,SKUs!$C$2:$C$10001,SKUs!$F$2:$F$10001,"",0), " Accessories",""))</f>
        <v/>
      </c>
      <c r="L1936" s="36">
        <f>_xlfn.XLOOKUP(C1936,'Project Details'!$C$17:$C$66,'Project Details'!$D$17:$D$66,"",0)</f>
        <v>0</v>
      </c>
      <c r="M1936" s="43"/>
    </row>
    <row r="1937" spans="1:13" ht="13.5" customHeight="1" x14ac:dyDescent="0.25">
      <c r="A1937" s="43"/>
      <c r="B1937" s="43"/>
      <c r="C1937" s="16">
        <f t="shared" si="37"/>
        <v>39</v>
      </c>
      <c r="D1937" s="16" t="str" cm="1">
        <f t="array" ref="D1937">IFERROR(ROUNDUP(_xlfn.IFS(F1937="Aluminum Track", _xlfn.XLOOKUP(C1937, dd_accsrycalc!$A$2:$A$51, dd_accsrycalc!$B$2:$B$51, "",0), F1937="10 x 2 1/2 S (Flat)", _xlfn.XLOOKUP(C1937, dd_accsrycalc!$A$2:$A$51, dd_accsrycalc!$C$2:$C$51, "",0), F1937="Tox6", _xlfn.XLOOKUP(C1937, dd_accsrycalc!$A$2:$A$51, dd_accsrycalc!$D$2:$D$51, "",0), F1937="Cover Cap", _xlfn.XLOOKUP(C1937, dd_accsrycalc!$A$2:$A$51, dd_accsrycalc!$E$2:$E$51, "",0), F1937="Drainage Cover", _xlfn.XLOOKUP(C1937, dd_accsrycalc!$A$2:$A$51, dd_accsrycalc!$F$2:$F$51, "",0),AND( F1937="Double Adhesive Tape", I1937="Roll-up Screen"), _xlfn.XLOOKUP(C1937, calc_rusacc!$C$15:$C$65, calc_rusacc!$AD$15:$AD$65, "",0),AND( F1937="Sealant", I1937="Roll-up Screen"), _xlfn.XLOOKUP(C1937, calc_rusacc!$C$15:$C$65, calc_rusacc!$AF$15:$AF$65, "",0),  AND( F1937="Main Chain", I1937="Accordion Screen"), _xlfn.XLOOKUP(C1937, calc_rusacc!$C$15:$C$65, calc_rusacc!$BF$15:$BF$65, "",0), AND( F1937="Sealant", I1937="Accordion Screen"), _xlfn.XLOOKUP(C1937, calc_rusacc!$C$15:$C$65, calc_rusacc!$BJ$15:$BJ$65, "",0),  F1937="Sealant", _xlfn.XLOOKUP(C1937, dd_accsrycalc!$A$2:$A$51, dd_accsrycalc!$G$2:$G$51, "",0),  F1937&lt;&gt;"",L1937*_xlfn.XLOOKUP(1, (SKUs!$C$2:$C$10001=G1937)*(SKUs!$K$2:$K$10001=I1937),SKUs!$E$2:$E$10001)), 0),"")</f>
        <v/>
      </c>
      <c r="E1937" s="16" t="str">
        <f>_xlfn.XLOOKUP(F1937,dd_item!$B$2:$B$105,dd_item!$C$2:$C$105,"",0)</f>
        <v/>
      </c>
      <c r="F1937" s="16"/>
      <c r="G1937" s="16" cm="1">
        <f t="array" ref="G1937">IFERROR(_xlfn.XLOOKUP(1, (SKUs!$J$2:$J$10001=accsry_unmerged!F1937)*IF(H1937&lt;&gt;"",(SKUs!$L$2:$L$10001=accsry_unmerged!H1937),1)*(SKUs!$K$2:$K$10001=I1937),SKUs!$C$2:$C$10001),"")</f>
        <v>0</v>
      </c>
      <c r="H1937" s="33" cm="1">
        <f t="array" ref="H1937">IFERROR(_xlfn.XLOOKUP(1, (dd_accsryclr!$C$2:$C$1000=accsry_unmerged!F1937)*(dd_accsryclr!$B$2:$B$1000=accsry_unmerged!J1937),dd_accsryclr!$A$2:$A$1000),"")</f>
        <v>0</v>
      </c>
      <c r="I1937" s="16">
        <f>_xlfn.XLOOKUP(C1937,'Project Details'!$C$17:$C$66,'Project Details'!$E$17:$E$66,"",0)</f>
        <v>0</v>
      </c>
      <c r="J1937" s="16">
        <f>_xlfn.XLOOKUP(C1937,'Project Details'!$C$17:$C$66,'Project Details'!$H$17:$H$66,"",0)</f>
        <v>0</v>
      </c>
      <c r="K1937" s="33" t="str">
        <f>IF(AND(_xlfn.XLOOKUP(C1937,'Project Details'!$C$17:$C$66,'Project Details'!$L$17:$L$66,"",0)&gt;550, F1937="Spring-L27cm"),"",SUBSTITUTE(_xlfn.XLOOKUP(G1937,SKUs!$C$2:$C$10001,SKUs!$F$2:$F$10001,"",0), " Accessories",""))</f>
        <v/>
      </c>
      <c r="L1937" s="33">
        <f>_xlfn.XLOOKUP(C1937,'Project Details'!$C$17:$C$66,'Project Details'!$D$17:$D$66,"",0)</f>
        <v>0</v>
      </c>
      <c r="M1937" s="43"/>
    </row>
    <row r="1938" spans="1:13" ht="13.5" customHeight="1" x14ac:dyDescent="0.25">
      <c r="A1938" s="43"/>
      <c r="B1938" s="43"/>
      <c r="C1938" s="35">
        <f t="shared" si="37"/>
        <v>39</v>
      </c>
      <c r="D1938" s="35" t="str" cm="1">
        <f t="array" ref="D1938">IFERROR(ROUNDUP(_xlfn.IFS(F1938="Aluminum Track", _xlfn.XLOOKUP(C1938, dd_accsrycalc!$A$2:$A$51, dd_accsrycalc!$B$2:$B$51, "",0), F1938="10 x 2 1/2 S (Flat)", _xlfn.XLOOKUP(C1938, dd_accsrycalc!$A$2:$A$51, dd_accsrycalc!$C$2:$C$51, "",0), F1938="Tox6", _xlfn.XLOOKUP(C1938, dd_accsrycalc!$A$2:$A$51, dd_accsrycalc!$D$2:$D$51, "",0), F1938="Cover Cap", _xlfn.XLOOKUP(C1938, dd_accsrycalc!$A$2:$A$51, dd_accsrycalc!$E$2:$E$51, "",0), F1938="Drainage Cover", _xlfn.XLOOKUP(C1938, dd_accsrycalc!$A$2:$A$51, dd_accsrycalc!$F$2:$F$51, "",0),AND( F1938="Double Adhesive Tape", I1938="Roll-up Screen"), _xlfn.XLOOKUP(C1938, calc_rusacc!$C$15:$C$65, calc_rusacc!$AD$15:$AD$65, "",0),AND( F1938="Sealant", I1938="Roll-up Screen"), _xlfn.XLOOKUP(C1938, calc_rusacc!$C$15:$C$65, calc_rusacc!$AF$15:$AF$65, "",0),  AND( F1938="Main Chain", I1938="Accordion Screen"), _xlfn.XLOOKUP(C1938, calc_rusacc!$C$15:$C$65, calc_rusacc!$BF$15:$BF$65, "",0), AND( F1938="Sealant", I1938="Accordion Screen"), _xlfn.XLOOKUP(C1938, calc_rusacc!$C$15:$C$65, calc_rusacc!$BJ$15:$BJ$65, "",0),  F1938="Sealant", _xlfn.XLOOKUP(C1938, dd_accsrycalc!$A$2:$A$51, dd_accsrycalc!$G$2:$G$51, "",0),  F1938&lt;&gt;"",L1938*_xlfn.XLOOKUP(1, (SKUs!$C$2:$C$10001=G1938)*(SKUs!$K$2:$K$10001=I1938),SKUs!$E$2:$E$10001)), 0),"")</f>
        <v/>
      </c>
      <c r="E1938" s="35" t="str">
        <f>_xlfn.XLOOKUP(F1938,dd_item!$B$2:$B$105,dd_item!$C$2:$C$105,"",0)</f>
        <v/>
      </c>
      <c r="F1938" s="35"/>
      <c r="G1938" s="35" cm="1">
        <f t="array" ref="G1938">IFERROR(_xlfn.XLOOKUP(1, (SKUs!$J$2:$J$10001=accsry_unmerged!F1938)*IF(H1938&lt;&gt;"",(SKUs!$L$2:$L$10001=accsry_unmerged!H1938),1)*(SKUs!$K$2:$K$10001=I1938),SKUs!$C$2:$C$10001),"")</f>
        <v>0</v>
      </c>
      <c r="H1938" s="36" cm="1">
        <f t="array" ref="H1938">IFERROR(_xlfn.XLOOKUP(1, (dd_accsryclr!$C$2:$C$1000=accsry_unmerged!F1938)*(dd_accsryclr!$B$2:$B$1000=accsry_unmerged!J1938),dd_accsryclr!$A$2:$A$1000),"")</f>
        <v>0</v>
      </c>
      <c r="I1938" s="35">
        <f>_xlfn.XLOOKUP(C1938,'Project Details'!$C$17:$C$66,'Project Details'!$E$17:$E$66,"",0)</f>
        <v>0</v>
      </c>
      <c r="J1938" s="35">
        <f>_xlfn.XLOOKUP(C1938,'Project Details'!$C$17:$C$66,'Project Details'!$H$17:$H$66,"",0)</f>
        <v>0</v>
      </c>
      <c r="K1938" s="36" t="str">
        <f>IF(AND(_xlfn.XLOOKUP(C1938,'Project Details'!$C$17:$C$66,'Project Details'!$L$17:$L$66,"",0)&gt;550, F1938="Spring-L27cm"),"",SUBSTITUTE(_xlfn.XLOOKUP(G1938,SKUs!$C$2:$C$10001,SKUs!$F$2:$F$10001,"",0), " Accessories",""))</f>
        <v/>
      </c>
      <c r="L1938" s="36">
        <f>_xlfn.XLOOKUP(C1938,'Project Details'!$C$17:$C$66,'Project Details'!$D$17:$D$66,"",0)</f>
        <v>0</v>
      </c>
      <c r="M1938" s="43"/>
    </row>
    <row r="1939" spans="1:13" ht="13.5" customHeight="1" x14ac:dyDescent="0.25">
      <c r="A1939" s="43"/>
      <c r="B1939" s="43"/>
      <c r="C1939" s="16">
        <f t="shared" si="37"/>
        <v>39</v>
      </c>
      <c r="D1939" s="16" t="str" cm="1">
        <f t="array" ref="D1939">IFERROR(ROUNDUP(_xlfn.IFS(F1939="Aluminum Track", _xlfn.XLOOKUP(C1939, dd_accsrycalc!$A$2:$A$51, dd_accsrycalc!$B$2:$B$51, "",0), F1939="10 x 2 1/2 S (Flat)", _xlfn.XLOOKUP(C1939, dd_accsrycalc!$A$2:$A$51, dd_accsrycalc!$C$2:$C$51, "",0), F1939="Tox6", _xlfn.XLOOKUP(C1939, dd_accsrycalc!$A$2:$A$51, dd_accsrycalc!$D$2:$D$51, "",0), F1939="Cover Cap", _xlfn.XLOOKUP(C1939, dd_accsrycalc!$A$2:$A$51, dd_accsrycalc!$E$2:$E$51, "",0), F1939="Drainage Cover", _xlfn.XLOOKUP(C1939, dd_accsrycalc!$A$2:$A$51, dd_accsrycalc!$F$2:$F$51, "",0),AND( F1939="Double Adhesive Tape", I1939="Roll-up Screen"), _xlfn.XLOOKUP(C1939, calc_rusacc!$C$15:$C$65, calc_rusacc!$AD$15:$AD$65, "",0),AND( F1939="Sealant", I1939="Roll-up Screen"), _xlfn.XLOOKUP(C1939, calc_rusacc!$C$15:$C$65, calc_rusacc!$AF$15:$AF$65, "",0),  AND( F1939="Main Chain", I1939="Accordion Screen"), _xlfn.XLOOKUP(C1939, calc_rusacc!$C$15:$C$65, calc_rusacc!$BF$15:$BF$65, "",0), AND( F1939="Sealant", I1939="Accordion Screen"), _xlfn.XLOOKUP(C1939, calc_rusacc!$C$15:$C$65, calc_rusacc!$BJ$15:$BJ$65, "",0),  F1939="Sealant", _xlfn.XLOOKUP(C1939, dd_accsrycalc!$A$2:$A$51, dd_accsrycalc!$G$2:$G$51, "",0),  F1939&lt;&gt;"",L1939*_xlfn.XLOOKUP(1, (SKUs!$C$2:$C$10001=G1939)*(SKUs!$K$2:$K$10001=I1939),SKUs!$E$2:$E$10001)), 0),"")</f>
        <v/>
      </c>
      <c r="E1939" s="16" t="str">
        <f>_xlfn.XLOOKUP(F1939,dd_item!$B$2:$B$105,dd_item!$C$2:$C$105,"",0)</f>
        <v/>
      </c>
      <c r="F1939" s="16"/>
      <c r="G1939" s="16" cm="1">
        <f t="array" ref="G1939">IFERROR(_xlfn.XLOOKUP(1, (SKUs!$J$2:$J$10001=accsry_unmerged!F1939)*IF(H1939&lt;&gt;"",(SKUs!$L$2:$L$10001=accsry_unmerged!H1939),1)*(SKUs!$K$2:$K$10001=I1939),SKUs!$C$2:$C$10001),"")</f>
        <v>0</v>
      </c>
      <c r="H1939" s="33" cm="1">
        <f t="array" ref="H1939">IFERROR(_xlfn.XLOOKUP(1, (dd_accsryclr!$C$2:$C$1000=accsry_unmerged!F1939)*(dd_accsryclr!$B$2:$B$1000=accsry_unmerged!J1939),dd_accsryclr!$A$2:$A$1000),"")</f>
        <v>0</v>
      </c>
      <c r="I1939" s="16">
        <f>_xlfn.XLOOKUP(C1939,'Project Details'!$C$17:$C$66,'Project Details'!$E$17:$E$66,"",0)</f>
        <v>0</v>
      </c>
      <c r="J1939" s="16">
        <f>_xlfn.XLOOKUP(C1939,'Project Details'!$C$17:$C$66,'Project Details'!$H$17:$H$66,"",0)</f>
        <v>0</v>
      </c>
      <c r="K1939" s="33" t="str">
        <f>IF(AND(_xlfn.XLOOKUP(C1939,'Project Details'!$C$17:$C$66,'Project Details'!$L$17:$L$66,"",0)&gt;550, F1939="Spring-L27cm"),"",SUBSTITUTE(_xlfn.XLOOKUP(G1939,SKUs!$C$2:$C$10001,SKUs!$F$2:$F$10001,"",0), " Accessories",""))</f>
        <v/>
      </c>
      <c r="L1939" s="33">
        <f>_xlfn.XLOOKUP(C1939,'Project Details'!$C$17:$C$66,'Project Details'!$D$17:$D$66,"",0)</f>
        <v>0</v>
      </c>
      <c r="M1939" s="43"/>
    </row>
    <row r="1940" spans="1:13" ht="13.5" customHeight="1" x14ac:dyDescent="0.25">
      <c r="A1940" s="43"/>
      <c r="B1940" s="43"/>
      <c r="C1940" s="35">
        <f t="shared" si="37"/>
        <v>39</v>
      </c>
      <c r="D1940" s="35" t="str" cm="1">
        <f t="array" ref="D1940">IFERROR(ROUNDUP(_xlfn.IFS(F1940="Aluminum Track", _xlfn.XLOOKUP(C1940, dd_accsrycalc!$A$2:$A$51, dd_accsrycalc!$B$2:$B$51, "",0), F1940="10 x 2 1/2 S (Flat)", _xlfn.XLOOKUP(C1940, dd_accsrycalc!$A$2:$A$51, dd_accsrycalc!$C$2:$C$51, "",0), F1940="Tox6", _xlfn.XLOOKUP(C1940, dd_accsrycalc!$A$2:$A$51, dd_accsrycalc!$D$2:$D$51, "",0), F1940="Cover Cap", _xlfn.XLOOKUP(C1940, dd_accsrycalc!$A$2:$A$51, dd_accsrycalc!$E$2:$E$51, "",0), F1940="Drainage Cover", _xlfn.XLOOKUP(C1940, dd_accsrycalc!$A$2:$A$51, dd_accsrycalc!$F$2:$F$51, "",0),AND( F1940="Double Adhesive Tape", I1940="Roll-up Screen"), _xlfn.XLOOKUP(C1940, calc_rusacc!$C$15:$C$65, calc_rusacc!$AD$15:$AD$65, "",0),AND( F1940="Sealant", I1940="Roll-up Screen"), _xlfn.XLOOKUP(C1940, calc_rusacc!$C$15:$C$65, calc_rusacc!$AF$15:$AF$65, "",0),  AND( F1940="Main Chain", I1940="Accordion Screen"), _xlfn.XLOOKUP(C1940, calc_rusacc!$C$15:$C$65, calc_rusacc!$BF$15:$BF$65, "",0), AND( F1940="Sealant", I1940="Accordion Screen"), _xlfn.XLOOKUP(C1940, calc_rusacc!$C$15:$C$65, calc_rusacc!$BJ$15:$BJ$65, "",0),  F1940="Sealant", _xlfn.XLOOKUP(C1940, dd_accsrycalc!$A$2:$A$51, dd_accsrycalc!$G$2:$G$51, "",0),  F1940&lt;&gt;"",L1940*_xlfn.XLOOKUP(1, (SKUs!$C$2:$C$10001=G1940)*(SKUs!$K$2:$K$10001=I1940),SKUs!$E$2:$E$10001)), 0),"")</f>
        <v/>
      </c>
      <c r="E1940" s="35" t="str">
        <f>_xlfn.XLOOKUP(F1940,dd_item!$B$2:$B$105,dd_item!$C$2:$C$105,"",0)</f>
        <v/>
      </c>
      <c r="F1940" s="35"/>
      <c r="G1940" s="35" cm="1">
        <f t="array" ref="G1940">IFERROR(_xlfn.XLOOKUP(1, (SKUs!$J$2:$J$10001=accsry_unmerged!F1940)*IF(H1940&lt;&gt;"",(SKUs!$L$2:$L$10001=accsry_unmerged!H1940),1)*(SKUs!$K$2:$K$10001=I1940),SKUs!$C$2:$C$10001),"")</f>
        <v>0</v>
      </c>
      <c r="H1940" s="36" cm="1">
        <f t="array" ref="H1940">IFERROR(_xlfn.XLOOKUP(1, (dd_accsryclr!$C$2:$C$1000=accsry_unmerged!F1940)*(dd_accsryclr!$B$2:$B$1000=accsry_unmerged!J1940),dd_accsryclr!$A$2:$A$1000),"")</f>
        <v>0</v>
      </c>
      <c r="I1940" s="35">
        <f>_xlfn.XLOOKUP(C1940,'Project Details'!$C$17:$C$66,'Project Details'!$E$17:$E$66,"",0)</f>
        <v>0</v>
      </c>
      <c r="J1940" s="35">
        <f>_xlfn.XLOOKUP(C1940,'Project Details'!$C$17:$C$66,'Project Details'!$H$17:$H$66,"",0)</f>
        <v>0</v>
      </c>
      <c r="K1940" s="36" t="str">
        <f>IF(AND(_xlfn.XLOOKUP(C1940,'Project Details'!$C$17:$C$66,'Project Details'!$L$17:$L$66,"",0)&gt;550, F1940="Spring-L27cm"),"",SUBSTITUTE(_xlfn.XLOOKUP(G1940,SKUs!$C$2:$C$10001,SKUs!$F$2:$F$10001,"",0), " Accessories",""))</f>
        <v/>
      </c>
      <c r="L1940" s="36">
        <f>_xlfn.XLOOKUP(C1940,'Project Details'!$C$17:$C$66,'Project Details'!$D$17:$D$66,"",0)</f>
        <v>0</v>
      </c>
      <c r="M1940" s="43"/>
    </row>
    <row r="1941" spans="1:13" ht="13.5" customHeight="1" x14ac:dyDescent="0.25">
      <c r="A1941" s="43"/>
      <c r="B1941" s="43"/>
      <c r="C1941" s="16">
        <f t="shared" si="37"/>
        <v>39</v>
      </c>
      <c r="D1941" s="16" t="str" cm="1">
        <f t="array" ref="D1941">IFERROR(ROUNDUP(_xlfn.IFS(F1941="Aluminum Track", _xlfn.XLOOKUP(C1941, dd_accsrycalc!$A$2:$A$51, dd_accsrycalc!$B$2:$B$51, "",0), F1941="10 x 2 1/2 S (Flat)", _xlfn.XLOOKUP(C1941, dd_accsrycalc!$A$2:$A$51, dd_accsrycalc!$C$2:$C$51, "",0), F1941="Tox6", _xlfn.XLOOKUP(C1941, dd_accsrycalc!$A$2:$A$51, dd_accsrycalc!$D$2:$D$51, "",0), F1941="Cover Cap", _xlfn.XLOOKUP(C1941, dd_accsrycalc!$A$2:$A$51, dd_accsrycalc!$E$2:$E$51, "",0), F1941="Drainage Cover", _xlfn.XLOOKUP(C1941, dd_accsrycalc!$A$2:$A$51, dd_accsrycalc!$F$2:$F$51, "",0),AND( F1941="Double Adhesive Tape", I1941="Roll-up Screen"), _xlfn.XLOOKUP(C1941, calc_rusacc!$C$15:$C$65, calc_rusacc!$AD$15:$AD$65, "",0),AND( F1941="Sealant", I1941="Roll-up Screen"), _xlfn.XLOOKUP(C1941, calc_rusacc!$C$15:$C$65, calc_rusacc!$AF$15:$AF$65, "",0),  AND( F1941="Main Chain", I1941="Accordion Screen"), _xlfn.XLOOKUP(C1941, calc_rusacc!$C$15:$C$65, calc_rusacc!$BF$15:$BF$65, "",0), AND( F1941="Sealant", I1941="Accordion Screen"), _xlfn.XLOOKUP(C1941, calc_rusacc!$C$15:$C$65, calc_rusacc!$BJ$15:$BJ$65, "",0),  F1941="Sealant", _xlfn.XLOOKUP(C1941, dd_accsrycalc!$A$2:$A$51, dd_accsrycalc!$G$2:$G$51, "",0),  F1941&lt;&gt;"",L1941*_xlfn.XLOOKUP(1, (SKUs!$C$2:$C$10001=G1941)*(SKUs!$K$2:$K$10001=I1941),SKUs!$E$2:$E$10001)), 0),"")</f>
        <v/>
      </c>
      <c r="E1941" s="16" t="str">
        <f>_xlfn.XLOOKUP(F1941,dd_item!$B$2:$B$105,dd_item!$C$2:$C$105,"",0)</f>
        <v/>
      </c>
      <c r="F1941" s="16"/>
      <c r="G1941" s="16" cm="1">
        <f t="array" ref="G1941">IFERROR(_xlfn.XLOOKUP(1, (SKUs!$J$2:$J$10001=accsry_unmerged!F1941)*IF(H1941&lt;&gt;"",(SKUs!$L$2:$L$10001=accsry_unmerged!H1941),1)*(SKUs!$K$2:$K$10001=I1941),SKUs!$C$2:$C$10001),"")</f>
        <v>0</v>
      </c>
      <c r="H1941" s="33" cm="1">
        <f t="array" ref="H1941">IFERROR(_xlfn.XLOOKUP(1, (dd_accsryclr!$C$2:$C$1000=accsry_unmerged!F1941)*(dd_accsryclr!$B$2:$B$1000=accsry_unmerged!J1941),dd_accsryclr!$A$2:$A$1000),"")</f>
        <v>0</v>
      </c>
      <c r="I1941" s="16">
        <f>_xlfn.XLOOKUP(C1941,'Project Details'!$C$17:$C$66,'Project Details'!$E$17:$E$66,"",0)</f>
        <v>0</v>
      </c>
      <c r="J1941" s="16">
        <f>_xlfn.XLOOKUP(C1941,'Project Details'!$C$17:$C$66,'Project Details'!$H$17:$H$66,"",0)</f>
        <v>0</v>
      </c>
      <c r="K1941" s="33" t="str">
        <f>IF(AND(_xlfn.XLOOKUP(C1941,'Project Details'!$C$17:$C$66,'Project Details'!$L$17:$L$66,"",0)&gt;550, F1941="Spring-L27cm"),"",SUBSTITUTE(_xlfn.XLOOKUP(G1941,SKUs!$C$2:$C$10001,SKUs!$F$2:$F$10001,"",0), " Accessories",""))</f>
        <v/>
      </c>
      <c r="L1941" s="33">
        <f>_xlfn.XLOOKUP(C1941,'Project Details'!$C$17:$C$66,'Project Details'!$D$17:$D$66,"",0)</f>
        <v>0</v>
      </c>
      <c r="M1941" s="43"/>
    </row>
    <row r="1942" spans="1:13" ht="13.5" customHeight="1" x14ac:dyDescent="0.25">
      <c r="A1942" s="43"/>
      <c r="B1942" s="43"/>
      <c r="C1942" s="35">
        <f t="shared" si="37"/>
        <v>39</v>
      </c>
      <c r="D1942" s="35" t="str" cm="1">
        <f t="array" ref="D1942">IFERROR(ROUNDUP(_xlfn.IFS(F1942="Aluminum Track", _xlfn.XLOOKUP(C1942, dd_accsrycalc!$A$2:$A$51, dd_accsrycalc!$B$2:$B$51, "",0), F1942="10 x 2 1/2 S (Flat)", _xlfn.XLOOKUP(C1942, dd_accsrycalc!$A$2:$A$51, dd_accsrycalc!$C$2:$C$51, "",0), F1942="Tox6", _xlfn.XLOOKUP(C1942, dd_accsrycalc!$A$2:$A$51, dd_accsrycalc!$D$2:$D$51, "",0), F1942="Cover Cap", _xlfn.XLOOKUP(C1942, dd_accsrycalc!$A$2:$A$51, dd_accsrycalc!$E$2:$E$51, "",0), F1942="Drainage Cover", _xlfn.XLOOKUP(C1942, dd_accsrycalc!$A$2:$A$51, dd_accsrycalc!$F$2:$F$51, "",0),AND( F1942="Double Adhesive Tape", I1942="Roll-up Screen"), _xlfn.XLOOKUP(C1942, calc_rusacc!$C$15:$C$65, calc_rusacc!$AD$15:$AD$65, "",0),AND( F1942="Sealant", I1942="Roll-up Screen"), _xlfn.XLOOKUP(C1942, calc_rusacc!$C$15:$C$65, calc_rusacc!$AF$15:$AF$65, "",0),  AND( F1942="Main Chain", I1942="Accordion Screen"), _xlfn.XLOOKUP(C1942, calc_rusacc!$C$15:$C$65, calc_rusacc!$BF$15:$BF$65, "",0), AND( F1942="Sealant", I1942="Accordion Screen"), _xlfn.XLOOKUP(C1942, calc_rusacc!$C$15:$C$65, calc_rusacc!$BJ$15:$BJ$65, "",0),  F1942="Sealant", _xlfn.XLOOKUP(C1942, dd_accsrycalc!$A$2:$A$51, dd_accsrycalc!$G$2:$G$51, "",0),  F1942&lt;&gt;"",L1942*_xlfn.XLOOKUP(1, (SKUs!$C$2:$C$10001=G1942)*(SKUs!$K$2:$K$10001=I1942),SKUs!$E$2:$E$10001)), 0),"")</f>
        <v/>
      </c>
      <c r="E1942" s="35" t="str">
        <f>_xlfn.XLOOKUP(F1942,dd_item!$B$2:$B$105,dd_item!$C$2:$C$105,"",0)</f>
        <v/>
      </c>
      <c r="F1942" s="35"/>
      <c r="G1942" s="35" cm="1">
        <f t="array" ref="G1942">IFERROR(_xlfn.XLOOKUP(1, (SKUs!$J$2:$J$10001=accsry_unmerged!F1942)*IF(H1942&lt;&gt;"",(SKUs!$L$2:$L$10001=accsry_unmerged!H1942),1)*(SKUs!$K$2:$K$10001=I1942),SKUs!$C$2:$C$10001),"")</f>
        <v>0</v>
      </c>
      <c r="H1942" s="36" cm="1">
        <f t="array" ref="H1942">IFERROR(_xlfn.XLOOKUP(1, (dd_accsryclr!$C$2:$C$1000=accsry_unmerged!F1942)*(dd_accsryclr!$B$2:$B$1000=accsry_unmerged!J1942),dd_accsryclr!$A$2:$A$1000),"")</f>
        <v>0</v>
      </c>
      <c r="I1942" s="35">
        <f>_xlfn.XLOOKUP(C1942,'Project Details'!$C$17:$C$66,'Project Details'!$E$17:$E$66,"",0)</f>
        <v>0</v>
      </c>
      <c r="J1942" s="35">
        <f>_xlfn.XLOOKUP(C1942,'Project Details'!$C$17:$C$66,'Project Details'!$H$17:$H$66,"",0)</f>
        <v>0</v>
      </c>
      <c r="K1942" s="36" t="str">
        <f>IF(AND(_xlfn.XLOOKUP(C1942,'Project Details'!$C$17:$C$66,'Project Details'!$L$17:$L$66,"",0)&gt;550, F1942="Spring-L27cm"),"",SUBSTITUTE(_xlfn.XLOOKUP(G1942,SKUs!$C$2:$C$10001,SKUs!$F$2:$F$10001,"",0), " Accessories",""))</f>
        <v/>
      </c>
      <c r="L1942" s="36">
        <f>_xlfn.XLOOKUP(C1942,'Project Details'!$C$17:$C$66,'Project Details'!$D$17:$D$66,"",0)</f>
        <v>0</v>
      </c>
      <c r="M1942" s="43"/>
    </row>
    <row r="1943" spans="1:13" ht="13.5" customHeight="1" x14ac:dyDescent="0.25">
      <c r="A1943" s="43"/>
      <c r="B1943" s="43"/>
      <c r="C1943" s="16">
        <f t="shared" si="37"/>
        <v>39</v>
      </c>
      <c r="D1943" s="16" t="str" cm="1">
        <f t="array" ref="D1943">IFERROR(ROUNDUP(_xlfn.IFS(F1943="Aluminum Track", _xlfn.XLOOKUP(C1943, dd_accsrycalc!$A$2:$A$51, dd_accsrycalc!$B$2:$B$51, "",0), F1943="10 x 2 1/2 S (Flat)", _xlfn.XLOOKUP(C1943, dd_accsrycalc!$A$2:$A$51, dd_accsrycalc!$C$2:$C$51, "",0), F1943="Tox6", _xlfn.XLOOKUP(C1943, dd_accsrycalc!$A$2:$A$51, dd_accsrycalc!$D$2:$D$51, "",0), F1943="Cover Cap", _xlfn.XLOOKUP(C1943, dd_accsrycalc!$A$2:$A$51, dd_accsrycalc!$E$2:$E$51, "",0), F1943="Drainage Cover", _xlfn.XLOOKUP(C1943, dd_accsrycalc!$A$2:$A$51, dd_accsrycalc!$F$2:$F$51, "",0),AND( F1943="Double Adhesive Tape", I1943="Roll-up Screen"), _xlfn.XLOOKUP(C1943, calc_rusacc!$C$15:$C$65, calc_rusacc!$AD$15:$AD$65, "",0),AND( F1943="Sealant", I1943="Roll-up Screen"), _xlfn.XLOOKUP(C1943, calc_rusacc!$C$15:$C$65, calc_rusacc!$AF$15:$AF$65, "",0),  AND( F1943="Main Chain", I1943="Accordion Screen"), _xlfn.XLOOKUP(C1943, calc_rusacc!$C$15:$C$65, calc_rusacc!$BF$15:$BF$65, "",0), AND( F1943="Sealant", I1943="Accordion Screen"), _xlfn.XLOOKUP(C1943, calc_rusacc!$C$15:$C$65, calc_rusacc!$BJ$15:$BJ$65, "",0),  F1943="Sealant", _xlfn.XLOOKUP(C1943, dd_accsrycalc!$A$2:$A$51, dd_accsrycalc!$G$2:$G$51, "",0),  F1943&lt;&gt;"",L1943*_xlfn.XLOOKUP(1, (SKUs!$C$2:$C$10001=G1943)*(SKUs!$K$2:$K$10001=I1943),SKUs!$E$2:$E$10001)), 0),"")</f>
        <v/>
      </c>
      <c r="E1943" s="16" t="str">
        <f>_xlfn.XLOOKUP(F1943,dd_item!$B$2:$B$105,dd_item!$C$2:$C$105,"",0)</f>
        <v/>
      </c>
      <c r="F1943" s="16"/>
      <c r="G1943" s="16" cm="1">
        <f t="array" ref="G1943">IFERROR(_xlfn.XLOOKUP(1, (SKUs!$J$2:$J$10001=accsry_unmerged!F1943)*IF(H1943&lt;&gt;"",(SKUs!$L$2:$L$10001=accsry_unmerged!H1943),1)*(SKUs!$K$2:$K$10001=I1943),SKUs!$C$2:$C$10001),"")</f>
        <v>0</v>
      </c>
      <c r="H1943" s="33" cm="1">
        <f t="array" ref="H1943">IFERROR(_xlfn.XLOOKUP(1, (dd_accsryclr!$C$2:$C$1000=accsry_unmerged!F1943)*(dd_accsryclr!$B$2:$B$1000=accsry_unmerged!J1943),dd_accsryclr!$A$2:$A$1000),"")</f>
        <v>0</v>
      </c>
      <c r="I1943" s="16">
        <f>_xlfn.XLOOKUP(C1943,'Project Details'!$C$17:$C$66,'Project Details'!$E$17:$E$66,"",0)</f>
        <v>0</v>
      </c>
      <c r="J1943" s="16">
        <f>_xlfn.XLOOKUP(C1943,'Project Details'!$C$17:$C$66,'Project Details'!$H$17:$H$66,"",0)</f>
        <v>0</v>
      </c>
      <c r="K1943" s="33" t="str">
        <f>IF(AND(_xlfn.XLOOKUP(C1943,'Project Details'!$C$17:$C$66,'Project Details'!$L$17:$L$66,"",0)&gt;550, F1943="Spring-L27cm"),"",SUBSTITUTE(_xlfn.XLOOKUP(G1943,SKUs!$C$2:$C$10001,SKUs!$F$2:$F$10001,"",0), " Accessories",""))</f>
        <v/>
      </c>
      <c r="L1943" s="33">
        <f>_xlfn.XLOOKUP(C1943,'Project Details'!$C$17:$C$66,'Project Details'!$D$17:$D$66,"",0)</f>
        <v>0</v>
      </c>
      <c r="M1943" s="43"/>
    </row>
    <row r="1944" spans="1:13" ht="13.5" customHeight="1" x14ac:dyDescent="0.25">
      <c r="A1944" s="43"/>
      <c r="B1944" s="43"/>
      <c r="C1944" s="35">
        <f t="shared" si="37"/>
        <v>39</v>
      </c>
      <c r="D1944" s="35" t="str" cm="1">
        <f t="array" ref="D1944">IFERROR(ROUNDUP(_xlfn.IFS(F1944="Aluminum Track", _xlfn.XLOOKUP(C1944, dd_accsrycalc!$A$2:$A$51, dd_accsrycalc!$B$2:$B$51, "",0), F1944="10 x 2 1/2 S (Flat)", _xlfn.XLOOKUP(C1944, dd_accsrycalc!$A$2:$A$51, dd_accsrycalc!$C$2:$C$51, "",0), F1944="Tox6", _xlfn.XLOOKUP(C1944, dd_accsrycalc!$A$2:$A$51, dd_accsrycalc!$D$2:$D$51, "",0), F1944="Cover Cap", _xlfn.XLOOKUP(C1944, dd_accsrycalc!$A$2:$A$51, dd_accsrycalc!$E$2:$E$51, "",0), F1944="Drainage Cover", _xlfn.XLOOKUP(C1944, dd_accsrycalc!$A$2:$A$51, dd_accsrycalc!$F$2:$F$51, "",0),AND( F1944="Double Adhesive Tape", I1944="Roll-up Screen"), _xlfn.XLOOKUP(C1944, calc_rusacc!$C$15:$C$65, calc_rusacc!$AD$15:$AD$65, "",0),AND( F1944="Sealant", I1944="Roll-up Screen"), _xlfn.XLOOKUP(C1944, calc_rusacc!$C$15:$C$65, calc_rusacc!$AF$15:$AF$65, "",0),  AND( F1944="Main Chain", I1944="Accordion Screen"), _xlfn.XLOOKUP(C1944, calc_rusacc!$C$15:$C$65, calc_rusacc!$BF$15:$BF$65, "",0), AND( F1944="Sealant", I1944="Accordion Screen"), _xlfn.XLOOKUP(C1944, calc_rusacc!$C$15:$C$65, calc_rusacc!$BJ$15:$BJ$65, "",0),  F1944="Sealant", _xlfn.XLOOKUP(C1944, dd_accsrycalc!$A$2:$A$51, dd_accsrycalc!$G$2:$G$51, "",0),  F1944&lt;&gt;"",L1944*_xlfn.XLOOKUP(1, (SKUs!$C$2:$C$10001=G1944)*(SKUs!$K$2:$K$10001=I1944),SKUs!$E$2:$E$10001)), 0),"")</f>
        <v/>
      </c>
      <c r="E1944" s="35" t="str">
        <f>_xlfn.XLOOKUP(F1944,dd_item!$B$2:$B$105,dd_item!$C$2:$C$105,"",0)</f>
        <v/>
      </c>
      <c r="F1944" s="35"/>
      <c r="G1944" s="35" cm="1">
        <f t="array" ref="G1944">IFERROR(_xlfn.XLOOKUP(1, (SKUs!$J$2:$J$10001=accsry_unmerged!F1944)*IF(H1944&lt;&gt;"",(SKUs!$L$2:$L$10001=accsry_unmerged!H1944),1)*(SKUs!$K$2:$K$10001=I1944),SKUs!$C$2:$C$10001),"")</f>
        <v>0</v>
      </c>
      <c r="H1944" s="36" cm="1">
        <f t="array" ref="H1944">IFERROR(_xlfn.XLOOKUP(1, (dd_accsryclr!$C$2:$C$1000=accsry_unmerged!F1944)*(dd_accsryclr!$B$2:$B$1000=accsry_unmerged!J1944),dd_accsryclr!$A$2:$A$1000),"")</f>
        <v>0</v>
      </c>
      <c r="I1944" s="35">
        <f>_xlfn.XLOOKUP(C1944,'Project Details'!$C$17:$C$66,'Project Details'!$E$17:$E$66,"",0)</f>
        <v>0</v>
      </c>
      <c r="J1944" s="35">
        <f>_xlfn.XLOOKUP(C1944,'Project Details'!$C$17:$C$66,'Project Details'!$H$17:$H$66,"",0)</f>
        <v>0</v>
      </c>
      <c r="K1944" s="36" t="str">
        <f>IF(AND(_xlfn.XLOOKUP(C1944,'Project Details'!$C$17:$C$66,'Project Details'!$L$17:$L$66,"",0)&gt;550, F1944="Spring-L27cm"),"",SUBSTITUTE(_xlfn.XLOOKUP(G1944,SKUs!$C$2:$C$10001,SKUs!$F$2:$F$10001,"",0), " Accessories",""))</f>
        <v/>
      </c>
      <c r="L1944" s="36">
        <f>_xlfn.XLOOKUP(C1944,'Project Details'!$C$17:$C$66,'Project Details'!$D$17:$D$66,"",0)</f>
        <v>0</v>
      </c>
      <c r="M1944" s="43"/>
    </row>
    <row r="1945" spans="1:13" ht="13.5" customHeight="1" outlineLevel="1" x14ac:dyDescent="0.25">
      <c r="A1945" s="43"/>
      <c r="B1945" s="43"/>
      <c r="C1945" s="16">
        <f t="shared" si="37"/>
        <v>39</v>
      </c>
      <c r="D1945" s="16" t="str" cm="1">
        <f t="array" ref="D1945">IFERROR(ROUNDUP(_xlfn.IFS(F1945="Aluminum Track", _xlfn.XLOOKUP(C1945, dd_accsrycalc!$A$2:$A$51, dd_accsrycalc!$B$2:$B$51, "",0), F1945="10 x 2 1/2 S (Flat)", _xlfn.XLOOKUP(C1945, dd_accsrycalc!$A$2:$A$51, dd_accsrycalc!$C$2:$C$51, "",0), F1945="Tox6", _xlfn.XLOOKUP(C1945, dd_accsrycalc!$A$2:$A$51, dd_accsrycalc!$D$2:$D$51, "",0), F1945="Cover Cap", _xlfn.XLOOKUP(C1945, dd_accsrycalc!$A$2:$A$51, dd_accsrycalc!$E$2:$E$51, "",0), F1945="Drainage Cover", _xlfn.XLOOKUP(C1945, dd_accsrycalc!$A$2:$A$51, dd_accsrycalc!$F$2:$F$51, "",0),AND( F1945="Double Adhesive Tape", I1945="Roll-up Screen"), _xlfn.XLOOKUP(C1945, calc_rusacc!$C$15:$C$65, calc_rusacc!$AD$15:$AD$65, "",0),AND( F1945="Sealant", I1945="Roll-up Screen"), _xlfn.XLOOKUP(C1945, calc_rusacc!$C$15:$C$65, calc_rusacc!$AF$15:$AF$65, "",0),  AND( F1945="Main Chain", I1945="Accordion Screen"), _xlfn.XLOOKUP(C1945, calc_rusacc!$C$15:$C$65, calc_rusacc!$BF$15:$BF$65, "",0), AND( F1945="Sealant", I1945="Accordion Screen"), _xlfn.XLOOKUP(C1945, calc_rusacc!$C$15:$C$65, calc_rusacc!$BJ$15:$BJ$65, "",0),  F1945="Sealant", _xlfn.XLOOKUP(C1945, dd_accsrycalc!$A$2:$A$51, dd_accsrycalc!$G$2:$G$51, "",0),  F1945&lt;&gt;"",L1945*_xlfn.XLOOKUP(1, (SKUs!$C$2:$C$10001=G1945)*(SKUs!$K$2:$K$10001=I1945),SKUs!$E$2:$E$10001)), 0),"")</f>
        <v/>
      </c>
      <c r="E1945" s="16" t="str">
        <f>_xlfn.XLOOKUP(F1945,dd_item!$B$2:$B$105,dd_item!$C$2:$C$105,"",0)</f>
        <v/>
      </c>
      <c r="F1945" s="16"/>
      <c r="G1945" s="16" cm="1">
        <f t="array" ref="G1945">IFERROR(_xlfn.XLOOKUP(1, (SKUs!$J$2:$J$10001=accsry_unmerged!F1945)*IF(H1945&lt;&gt;"",(SKUs!$L$2:$L$10001=accsry_unmerged!H1945),1)*(SKUs!$K$2:$K$10001=I1945),SKUs!$C$2:$C$10001),"")</f>
        <v>0</v>
      </c>
      <c r="H1945" s="33" cm="1">
        <f t="array" ref="H1945">IFERROR(_xlfn.XLOOKUP(1, (dd_accsryclr!$C$2:$C$1000=accsry_unmerged!F1945)*(dd_accsryclr!$B$2:$B$1000=accsry_unmerged!J1945),dd_accsryclr!$A$2:$A$1000),"")</f>
        <v>0</v>
      </c>
      <c r="I1945" s="16">
        <f>_xlfn.XLOOKUP(C1945,'Project Details'!$C$17:$C$66,'Project Details'!$E$17:$E$66,"",0)</f>
        <v>0</v>
      </c>
      <c r="J1945" s="16">
        <f>_xlfn.XLOOKUP(C1945,'Project Details'!$C$17:$C$66,'Project Details'!$H$17:$H$66,"",0)</f>
        <v>0</v>
      </c>
      <c r="K1945" s="33" t="str">
        <f>IF(AND(_xlfn.XLOOKUP(C1945,'Project Details'!$C$17:$C$66,'Project Details'!$L$17:$L$66,"",0)&gt;550, F1945="Spring-L27cm"),"",SUBSTITUTE(_xlfn.XLOOKUP(G1945,SKUs!$C$2:$C$10001,SKUs!$F$2:$F$10001,"",0), " Accessories",""))</f>
        <v/>
      </c>
      <c r="L1945" s="33">
        <f>_xlfn.XLOOKUP(C1945,'Project Details'!$C$17:$C$66,'Project Details'!$D$17:$D$66,"",0)</f>
        <v>0</v>
      </c>
      <c r="M1945" s="43"/>
    </row>
    <row r="1946" spans="1:13" ht="13.5" customHeight="1" outlineLevel="1" x14ac:dyDescent="0.25">
      <c r="A1946" s="43"/>
      <c r="B1946" s="43"/>
      <c r="C1946" s="35">
        <f t="shared" si="37"/>
        <v>39</v>
      </c>
      <c r="D1946" s="35" t="str" cm="1">
        <f t="array" ref="D1946">IFERROR(ROUNDUP(_xlfn.IFS(F1946="Aluminum Track", _xlfn.XLOOKUP(C1946, dd_accsrycalc!$A$2:$A$51, dd_accsrycalc!$B$2:$B$51, "",0), F1946="10 x 2 1/2 S (Flat)", _xlfn.XLOOKUP(C1946, dd_accsrycalc!$A$2:$A$51, dd_accsrycalc!$C$2:$C$51, "",0), F1946="Tox6", _xlfn.XLOOKUP(C1946, dd_accsrycalc!$A$2:$A$51, dd_accsrycalc!$D$2:$D$51, "",0), F1946="Cover Cap", _xlfn.XLOOKUP(C1946, dd_accsrycalc!$A$2:$A$51, dd_accsrycalc!$E$2:$E$51, "",0), F1946="Drainage Cover", _xlfn.XLOOKUP(C1946, dd_accsrycalc!$A$2:$A$51, dd_accsrycalc!$F$2:$F$51, "",0),AND( F1946="Double Adhesive Tape", I1946="Roll-up Screen"), _xlfn.XLOOKUP(C1946, calc_rusacc!$C$15:$C$65, calc_rusacc!$AD$15:$AD$65, "",0),AND( F1946="Sealant", I1946="Roll-up Screen"), _xlfn.XLOOKUP(C1946, calc_rusacc!$C$15:$C$65, calc_rusacc!$AF$15:$AF$65, "",0),  AND( F1946="Main Chain", I1946="Accordion Screen"), _xlfn.XLOOKUP(C1946, calc_rusacc!$C$15:$C$65, calc_rusacc!$BF$15:$BF$65, "",0), AND( F1946="Sealant", I1946="Accordion Screen"), _xlfn.XLOOKUP(C1946, calc_rusacc!$C$15:$C$65, calc_rusacc!$BJ$15:$BJ$65, "",0),  F1946="Sealant", _xlfn.XLOOKUP(C1946, dd_accsrycalc!$A$2:$A$51, dd_accsrycalc!$G$2:$G$51, "",0),  F1946&lt;&gt;"",L1946*_xlfn.XLOOKUP(1, (SKUs!$C$2:$C$10001=G1946)*(SKUs!$K$2:$K$10001=I1946),SKUs!$E$2:$E$10001)), 0),"")</f>
        <v/>
      </c>
      <c r="E1946" s="35" t="str">
        <f>_xlfn.XLOOKUP(F1946,dd_item!$B$2:$B$105,dd_item!$C$2:$C$105,"",0)</f>
        <v/>
      </c>
      <c r="F1946" s="35"/>
      <c r="G1946" s="35" cm="1">
        <f t="array" ref="G1946">IFERROR(_xlfn.XLOOKUP(1, (SKUs!$J$2:$J$10001=accsry_unmerged!F1946)*IF(H1946&lt;&gt;"",(SKUs!$L$2:$L$10001=accsry_unmerged!H1946),1)*(SKUs!$K$2:$K$10001=I1946),SKUs!$C$2:$C$10001),"")</f>
        <v>0</v>
      </c>
      <c r="H1946" s="36" cm="1">
        <f t="array" ref="H1946">IFERROR(_xlfn.XLOOKUP(1, (dd_accsryclr!$C$2:$C$1000=accsry_unmerged!F1946)*(dd_accsryclr!$B$2:$B$1000=accsry_unmerged!J1946),dd_accsryclr!$A$2:$A$1000),"")</f>
        <v>0</v>
      </c>
      <c r="I1946" s="35">
        <f>_xlfn.XLOOKUP(C1946,'Project Details'!$C$17:$C$66,'Project Details'!$E$17:$E$66,"",0)</f>
        <v>0</v>
      </c>
      <c r="J1946" s="35">
        <f>_xlfn.XLOOKUP(C1946,'Project Details'!$C$17:$C$66,'Project Details'!$H$17:$H$66,"",0)</f>
        <v>0</v>
      </c>
      <c r="K1946" s="36" t="str">
        <f>IF(AND(_xlfn.XLOOKUP(C1946,'Project Details'!$C$17:$C$66,'Project Details'!$L$17:$L$66,"",0)&gt;550, F1946="Spring-L27cm"),"",SUBSTITUTE(_xlfn.XLOOKUP(G1946,SKUs!$C$2:$C$10001,SKUs!$F$2:$F$10001,"",0), " Accessories",""))</f>
        <v/>
      </c>
      <c r="L1946" s="36">
        <f>_xlfn.XLOOKUP(C1946,'Project Details'!$C$17:$C$66,'Project Details'!$D$17:$D$66,"",0)</f>
        <v>0</v>
      </c>
      <c r="M1946" s="43"/>
    </row>
    <row r="1947" spans="1:13" ht="13.5" customHeight="1" outlineLevel="1" x14ac:dyDescent="0.25">
      <c r="A1947" s="43"/>
      <c r="B1947" s="43"/>
      <c r="C1947" s="16">
        <f t="shared" si="37"/>
        <v>39</v>
      </c>
      <c r="D1947" s="16" t="str" cm="1">
        <f t="array" ref="D1947">IFERROR(ROUNDUP(_xlfn.IFS(F1947="Aluminum Track", _xlfn.XLOOKUP(C1947, dd_accsrycalc!$A$2:$A$51, dd_accsrycalc!$B$2:$B$51, "",0), F1947="10 x 2 1/2 S (Flat)", _xlfn.XLOOKUP(C1947, dd_accsrycalc!$A$2:$A$51, dd_accsrycalc!$C$2:$C$51, "",0), F1947="Tox6", _xlfn.XLOOKUP(C1947, dd_accsrycalc!$A$2:$A$51, dd_accsrycalc!$D$2:$D$51, "",0), F1947="Cover Cap", _xlfn.XLOOKUP(C1947, dd_accsrycalc!$A$2:$A$51, dd_accsrycalc!$E$2:$E$51, "",0), F1947="Drainage Cover", _xlfn.XLOOKUP(C1947, dd_accsrycalc!$A$2:$A$51, dd_accsrycalc!$F$2:$F$51, "",0),AND( F1947="Double Adhesive Tape", I1947="Roll-up Screen"), _xlfn.XLOOKUP(C1947, calc_rusacc!$C$15:$C$65, calc_rusacc!$AD$15:$AD$65, "",0),AND( F1947="Sealant", I1947="Roll-up Screen"), _xlfn.XLOOKUP(C1947, calc_rusacc!$C$15:$C$65, calc_rusacc!$AF$15:$AF$65, "",0),  AND( F1947="Main Chain", I1947="Accordion Screen"), _xlfn.XLOOKUP(C1947, calc_rusacc!$C$15:$C$65, calc_rusacc!$BF$15:$BF$65, "",0), AND( F1947="Sealant", I1947="Accordion Screen"), _xlfn.XLOOKUP(C1947, calc_rusacc!$C$15:$C$65, calc_rusacc!$BJ$15:$BJ$65, "",0),  F1947="Sealant", _xlfn.XLOOKUP(C1947, dd_accsrycalc!$A$2:$A$51, dd_accsrycalc!$G$2:$G$51, "",0),  F1947&lt;&gt;"",L1947*_xlfn.XLOOKUP(1, (SKUs!$C$2:$C$10001=G1947)*(SKUs!$K$2:$K$10001=I1947),SKUs!$E$2:$E$10001)), 0),"")</f>
        <v/>
      </c>
      <c r="E1947" s="16" t="str">
        <f>_xlfn.XLOOKUP(F1947,dd_item!$B$2:$B$105,dd_item!$C$2:$C$105,"",0)</f>
        <v/>
      </c>
      <c r="F1947" s="16"/>
      <c r="G1947" s="16" cm="1">
        <f t="array" ref="G1947">IFERROR(_xlfn.XLOOKUP(1, (SKUs!$J$2:$J$10001=accsry_unmerged!F1947)*IF(H1947&lt;&gt;"",(SKUs!$L$2:$L$10001=accsry_unmerged!H1947),1)*(SKUs!$K$2:$K$10001=I1947),SKUs!$C$2:$C$10001),"")</f>
        <v>0</v>
      </c>
      <c r="H1947" s="33" cm="1">
        <f t="array" ref="H1947">IFERROR(_xlfn.XLOOKUP(1, (dd_accsryclr!$C$2:$C$1000=accsry_unmerged!F1947)*(dd_accsryclr!$B$2:$B$1000=accsry_unmerged!J1947),dd_accsryclr!$A$2:$A$1000),"")</f>
        <v>0</v>
      </c>
      <c r="I1947" s="16">
        <f>_xlfn.XLOOKUP(C1947,'Project Details'!$C$17:$C$66,'Project Details'!$E$17:$E$66,"",0)</f>
        <v>0</v>
      </c>
      <c r="J1947" s="16">
        <f>_xlfn.XLOOKUP(C1947,'Project Details'!$C$17:$C$66,'Project Details'!$H$17:$H$66,"",0)</f>
        <v>0</v>
      </c>
      <c r="K1947" s="33" t="str">
        <f>IF(AND(_xlfn.XLOOKUP(C1947,'Project Details'!$C$17:$C$66,'Project Details'!$L$17:$L$66,"",0)&gt;550, F1947="Spring-L27cm"),"",SUBSTITUTE(_xlfn.XLOOKUP(G1947,SKUs!$C$2:$C$10001,SKUs!$F$2:$F$10001,"",0), " Accessories",""))</f>
        <v/>
      </c>
      <c r="L1947" s="33">
        <f>_xlfn.XLOOKUP(C1947,'Project Details'!$C$17:$C$66,'Project Details'!$D$17:$D$66,"",0)</f>
        <v>0</v>
      </c>
      <c r="M1947" s="43"/>
    </row>
    <row r="1948" spans="1:13" ht="13.5" customHeight="1" outlineLevel="1" x14ac:dyDescent="0.25">
      <c r="A1948" s="43"/>
      <c r="B1948" s="43"/>
      <c r="C1948" s="35">
        <f t="shared" si="37"/>
        <v>39</v>
      </c>
      <c r="D1948" s="35" t="str" cm="1">
        <f t="array" ref="D1948">IFERROR(ROUNDUP(_xlfn.IFS(F1948="Aluminum Track", _xlfn.XLOOKUP(C1948, dd_accsrycalc!$A$2:$A$51, dd_accsrycalc!$B$2:$B$51, "",0), F1948="10 x 2 1/2 S (Flat)", _xlfn.XLOOKUP(C1948, dd_accsrycalc!$A$2:$A$51, dd_accsrycalc!$C$2:$C$51, "",0), F1948="Tox6", _xlfn.XLOOKUP(C1948, dd_accsrycalc!$A$2:$A$51, dd_accsrycalc!$D$2:$D$51, "",0), F1948="Cover Cap", _xlfn.XLOOKUP(C1948, dd_accsrycalc!$A$2:$A$51, dd_accsrycalc!$E$2:$E$51, "",0), F1948="Drainage Cover", _xlfn.XLOOKUP(C1948, dd_accsrycalc!$A$2:$A$51, dd_accsrycalc!$F$2:$F$51, "",0),AND( F1948="Double Adhesive Tape", I1948="Roll-up Screen"), _xlfn.XLOOKUP(C1948, calc_rusacc!$C$15:$C$65, calc_rusacc!$AD$15:$AD$65, "",0),AND( F1948="Sealant", I1948="Roll-up Screen"), _xlfn.XLOOKUP(C1948, calc_rusacc!$C$15:$C$65, calc_rusacc!$AF$15:$AF$65, "",0),  AND( F1948="Main Chain", I1948="Accordion Screen"), _xlfn.XLOOKUP(C1948, calc_rusacc!$C$15:$C$65, calc_rusacc!$BF$15:$BF$65, "",0), AND( F1948="Sealant", I1948="Accordion Screen"), _xlfn.XLOOKUP(C1948, calc_rusacc!$C$15:$C$65, calc_rusacc!$BJ$15:$BJ$65, "",0),  F1948="Sealant", _xlfn.XLOOKUP(C1948, dd_accsrycalc!$A$2:$A$51, dd_accsrycalc!$G$2:$G$51, "",0),  F1948&lt;&gt;"",L1948*_xlfn.XLOOKUP(1, (SKUs!$C$2:$C$10001=G1948)*(SKUs!$K$2:$K$10001=I1948),SKUs!$E$2:$E$10001)), 0),"")</f>
        <v/>
      </c>
      <c r="E1948" s="35" t="str">
        <f>_xlfn.XLOOKUP(F1948,dd_item!$B$2:$B$105,dd_item!$C$2:$C$105,"",0)</f>
        <v/>
      </c>
      <c r="F1948" s="35"/>
      <c r="G1948" s="35" cm="1">
        <f t="array" ref="G1948">IFERROR(_xlfn.XLOOKUP(1, (SKUs!$J$2:$J$10001=accsry_unmerged!F1948)*IF(H1948&lt;&gt;"",(SKUs!$L$2:$L$10001=accsry_unmerged!H1948),1)*(SKUs!$K$2:$K$10001=I1948),SKUs!$C$2:$C$10001),"")</f>
        <v>0</v>
      </c>
      <c r="H1948" s="36" cm="1">
        <f t="array" ref="H1948">IFERROR(_xlfn.XLOOKUP(1, (dd_accsryclr!$C$2:$C$1000=accsry_unmerged!F1948)*(dd_accsryclr!$B$2:$B$1000=accsry_unmerged!J1948),dd_accsryclr!$A$2:$A$1000),"")</f>
        <v>0</v>
      </c>
      <c r="I1948" s="35">
        <f>_xlfn.XLOOKUP(C1948,'Project Details'!$C$17:$C$66,'Project Details'!$E$17:$E$66,"",0)</f>
        <v>0</v>
      </c>
      <c r="J1948" s="35">
        <f>_xlfn.XLOOKUP(C1948,'Project Details'!$C$17:$C$66,'Project Details'!$H$17:$H$66,"",0)</f>
        <v>0</v>
      </c>
      <c r="K1948" s="36" t="str">
        <f>IF(AND(_xlfn.XLOOKUP(C1948,'Project Details'!$C$17:$C$66,'Project Details'!$L$17:$L$66,"",0)&gt;550, F1948="Spring-L27cm"),"",SUBSTITUTE(_xlfn.XLOOKUP(G1948,SKUs!$C$2:$C$10001,SKUs!$F$2:$F$10001,"",0), " Accessories",""))</f>
        <v/>
      </c>
      <c r="L1948" s="36">
        <f>_xlfn.XLOOKUP(C1948,'Project Details'!$C$17:$C$66,'Project Details'!$D$17:$D$66,"",0)</f>
        <v>0</v>
      </c>
      <c r="M1948" s="43"/>
    </row>
    <row r="1949" spans="1:13" ht="13.5" customHeight="1" outlineLevel="1" x14ac:dyDescent="0.25">
      <c r="A1949" s="43"/>
      <c r="B1949" s="43"/>
      <c r="C1949" s="16">
        <f t="shared" si="37"/>
        <v>39</v>
      </c>
      <c r="D1949" s="16" t="str" cm="1">
        <f t="array" ref="D1949">IFERROR(ROUNDUP(_xlfn.IFS(F1949="Aluminum Track", _xlfn.XLOOKUP(C1949, dd_accsrycalc!$A$2:$A$51, dd_accsrycalc!$B$2:$B$51, "",0), F1949="10 x 2 1/2 S (Flat)", _xlfn.XLOOKUP(C1949, dd_accsrycalc!$A$2:$A$51, dd_accsrycalc!$C$2:$C$51, "",0), F1949="Tox6", _xlfn.XLOOKUP(C1949, dd_accsrycalc!$A$2:$A$51, dd_accsrycalc!$D$2:$D$51, "",0), F1949="Cover Cap", _xlfn.XLOOKUP(C1949, dd_accsrycalc!$A$2:$A$51, dd_accsrycalc!$E$2:$E$51, "",0), F1949="Drainage Cover", _xlfn.XLOOKUP(C1949, dd_accsrycalc!$A$2:$A$51, dd_accsrycalc!$F$2:$F$51, "",0),AND( F1949="Double Adhesive Tape", I1949="Roll-up Screen"), _xlfn.XLOOKUP(C1949, calc_rusacc!$C$15:$C$65, calc_rusacc!$AD$15:$AD$65, "",0),AND( F1949="Sealant", I1949="Roll-up Screen"), _xlfn.XLOOKUP(C1949, calc_rusacc!$C$15:$C$65, calc_rusacc!$AF$15:$AF$65, "",0),  AND( F1949="Main Chain", I1949="Accordion Screen"), _xlfn.XLOOKUP(C1949, calc_rusacc!$C$15:$C$65, calc_rusacc!$BF$15:$BF$65, "",0), AND( F1949="Sealant", I1949="Accordion Screen"), _xlfn.XLOOKUP(C1949, calc_rusacc!$C$15:$C$65, calc_rusacc!$BJ$15:$BJ$65, "",0),  F1949="Sealant", _xlfn.XLOOKUP(C1949, dd_accsrycalc!$A$2:$A$51, dd_accsrycalc!$G$2:$G$51, "",0),  F1949&lt;&gt;"",L1949*_xlfn.XLOOKUP(1, (SKUs!$C$2:$C$10001=G1949)*(SKUs!$K$2:$K$10001=I1949),SKUs!$E$2:$E$10001)), 0),"")</f>
        <v/>
      </c>
      <c r="E1949" s="16" t="str">
        <f>_xlfn.XLOOKUP(F1949,dd_item!$B$2:$B$105,dd_item!$C$2:$C$105,"",0)</f>
        <v/>
      </c>
      <c r="F1949" s="16"/>
      <c r="G1949" s="16" cm="1">
        <f t="array" ref="G1949">IFERROR(_xlfn.XLOOKUP(1, (SKUs!$J$2:$J$10001=accsry_unmerged!F1949)*IF(H1949&lt;&gt;"",(SKUs!$L$2:$L$10001=accsry_unmerged!H1949),1)*(SKUs!$K$2:$K$10001=I1949),SKUs!$C$2:$C$10001),"")</f>
        <v>0</v>
      </c>
      <c r="H1949" s="33" cm="1">
        <f t="array" ref="H1949">IFERROR(_xlfn.XLOOKUP(1, (dd_accsryclr!$C$2:$C$1000=accsry_unmerged!F1949)*(dd_accsryclr!$B$2:$B$1000=accsry_unmerged!J1949),dd_accsryclr!$A$2:$A$1000),"")</f>
        <v>0</v>
      </c>
      <c r="I1949" s="16">
        <f>_xlfn.XLOOKUP(C1949,'Project Details'!$C$17:$C$66,'Project Details'!$E$17:$E$66,"",0)</f>
        <v>0</v>
      </c>
      <c r="J1949" s="16">
        <f>_xlfn.XLOOKUP(C1949,'Project Details'!$C$17:$C$66,'Project Details'!$H$17:$H$66,"",0)</f>
        <v>0</v>
      </c>
      <c r="K1949" s="33" t="str">
        <f>IF(AND(_xlfn.XLOOKUP(C1949,'Project Details'!$C$17:$C$66,'Project Details'!$L$17:$L$66,"",0)&gt;550, F1949="Spring-L27cm"),"",SUBSTITUTE(_xlfn.XLOOKUP(G1949,SKUs!$C$2:$C$10001,SKUs!$F$2:$F$10001,"",0), " Accessories",""))</f>
        <v/>
      </c>
      <c r="L1949" s="33">
        <f>_xlfn.XLOOKUP(C1949,'Project Details'!$C$17:$C$66,'Project Details'!$D$17:$D$66,"",0)</f>
        <v>0</v>
      </c>
      <c r="M1949" s="43"/>
    </row>
    <row r="1950" spans="1:13" ht="13.5" customHeight="1" outlineLevel="1" x14ac:dyDescent="0.25">
      <c r="A1950" s="43"/>
      <c r="B1950" s="43"/>
      <c r="C1950" s="35">
        <f t="shared" si="37"/>
        <v>39</v>
      </c>
      <c r="D1950" s="35" t="str" cm="1">
        <f t="array" ref="D1950">IFERROR(ROUNDUP(_xlfn.IFS(F1950="Aluminum Track", _xlfn.XLOOKUP(C1950, dd_accsrycalc!$A$2:$A$51, dd_accsrycalc!$B$2:$B$51, "",0), F1950="10 x 2 1/2 S (Flat)", _xlfn.XLOOKUP(C1950, dd_accsrycalc!$A$2:$A$51, dd_accsrycalc!$C$2:$C$51, "",0), F1950="Tox6", _xlfn.XLOOKUP(C1950, dd_accsrycalc!$A$2:$A$51, dd_accsrycalc!$D$2:$D$51, "",0), F1950="Cover Cap", _xlfn.XLOOKUP(C1950, dd_accsrycalc!$A$2:$A$51, dd_accsrycalc!$E$2:$E$51, "",0), F1950="Drainage Cover", _xlfn.XLOOKUP(C1950, dd_accsrycalc!$A$2:$A$51, dd_accsrycalc!$F$2:$F$51, "",0),AND( F1950="Double Adhesive Tape", I1950="Roll-up Screen"), _xlfn.XLOOKUP(C1950, calc_rusacc!$C$15:$C$65, calc_rusacc!$AD$15:$AD$65, "",0),AND( F1950="Sealant", I1950="Roll-up Screen"), _xlfn.XLOOKUP(C1950, calc_rusacc!$C$15:$C$65, calc_rusacc!$AF$15:$AF$65, "",0),  AND( F1950="Main Chain", I1950="Accordion Screen"), _xlfn.XLOOKUP(C1950, calc_rusacc!$C$15:$C$65, calc_rusacc!$BF$15:$BF$65, "",0), AND( F1950="Sealant", I1950="Accordion Screen"), _xlfn.XLOOKUP(C1950, calc_rusacc!$C$15:$C$65, calc_rusacc!$BJ$15:$BJ$65, "",0),  F1950="Sealant", _xlfn.XLOOKUP(C1950, dd_accsrycalc!$A$2:$A$51, dd_accsrycalc!$G$2:$G$51, "",0),  F1950&lt;&gt;"",L1950*_xlfn.XLOOKUP(1, (SKUs!$C$2:$C$10001=G1950)*(SKUs!$K$2:$K$10001=I1950),SKUs!$E$2:$E$10001)), 0),"")</f>
        <v/>
      </c>
      <c r="E1950" s="35" t="str">
        <f>_xlfn.XLOOKUP(F1950,dd_item!$B$2:$B$105,dd_item!$C$2:$C$105,"",0)</f>
        <v/>
      </c>
      <c r="F1950" s="35"/>
      <c r="G1950" s="35" cm="1">
        <f t="array" ref="G1950">IFERROR(_xlfn.XLOOKUP(1, (SKUs!$J$2:$J$10001=accsry_unmerged!F1950)*IF(H1950&lt;&gt;"",(SKUs!$L$2:$L$10001=accsry_unmerged!H1950),1)*(SKUs!$K$2:$K$10001=I1950),SKUs!$C$2:$C$10001),"")</f>
        <v>0</v>
      </c>
      <c r="H1950" s="36" cm="1">
        <f t="array" ref="H1950">IFERROR(_xlfn.XLOOKUP(1, (dd_accsryclr!$C$2:$C$1000=accsry_unmerged!F1950)*(dd_accsryclr!$B$2:$B$1000=accsry_unmerged!J1950),dd_accsryclr!$A$2:$A$1000),"")</f>
        <v>0</v>
      </c>
      <c r="I1950" s="35">
        <f>_xlfn.XLOOKUP(C1950,'Project Details'!$C$17:$C$66,'Project Details'!$E$17:$E$66,"",0)</f>
        <v>0</v>
      </c>
      <c r="J1950" s="35">
        <f>_xlfn.XLOOKUP(C1950,'Project Details'!$C$17:$C$66,'Project Details'!$H$17:$H$66,"",0)</f>
        <v>0</v>
      </c>
      <c r="K1950" s="36" t="str">
        <f>IF(AND(_xlfn.XLOOKUP(C1950,'Project Details'!$C$17:$C$66,'Project Details'!$L$17:$L$66,"",0)&gt;550, F1950="Spring-L27cm"),"",SUBSTITUTE(_xlfn.XLOOKUP(G1950,SKUs!$C$2:$C$10001,SKUs!$F$2:$F$10001,"",0), " Accessories",""))</f>
        <v/>
      </c>
      <c r="L1950" s="36">
        <f>_xlfn.XLOOKUP(C1950,'Project Details'!$C$17:$C$66,'Project Details'!$D$17:$D$66,"",0)</f>
        <v>0</v>
      </c>
      <c r="M1950" s="43"/>
    </row>
    <row r="1951" spans="1:13" ht="13.5" customHeight="1" outlineLevel="1" x14ac:dyDescent="0.25">
      <c r="A1951" s="43"/>
      <c r="B1951" s="43"/>
      <c r="C1951" s="16">
        <f t="shared" si="37"/>
        <v>39</v>
      </c>
      <c r="D1951" s="16" t="str" cm="1">
        <f t="array" ref="D1951">IFERROR(ROUNDUP(_xlfn.IFS(F1951="Aluminum Track", _xlfn.XLOOKUP(C1951, dd_accsrycalc!$A$2:$A$51, dd_accsrycalc!$B$2:$B$51, "",0), F1951="10 x 2 1/2 S (Flat)", _xlfn.XLOOKUP(C1951, dd_accsrycalc!$A$2:$A$51, dd_accsrycalc!$C$2:$C$51, "",0), F1951="Tox6", _xlfn.XLOOKUP(C1951, dd_accsrycalc!$A$2:$A$51, dd_accsrycalc!$D$2:$D$51, "",0), F1951="Cover Cap", _xlfn.XLOOKUP(C1951, dd_accsrycalc!$A$2:$A$51, dd_accsrycalc!$E$2:$E$51, "",0), F1951="Drainage Cover", _xlfn.XLOOKUP(C1951, dd_accsrycalc!$A$2:$A$51, dd_accsrycalc!$F$2:$F$51, "",0),AND( F1951="Double Adhesive Tape", I1951="Roll-up Screen"), _xlfn.XLOOKUP(C1951, calc_rusacc!$C$15:$C$65, calc_rusacc!$AD$15:$AD$65, "",0),AND( F1951="Sealant", I1951="Roll-up Screen"), _xlfn.XLOOKUP(C1951, calc_rusacc!$C$15:$C$65, calc_rusacc!$AF$15:$AF$65, "",0),  AND( F1951="Main Chain", I1951="Accordion Screen"), _xlfn.XLOOKUP(C1951, calc_rusacc!$C$15:$C$65, calc_rusacc!$BF$15:$BF$65, "",0), AND( F1951="Sealant", I1951="Accordion Screen"), _xlfn.XLOOKUP(C1951, calc_rusacc!$C$15:$C$65, calc_rusacc!$BJ$15:$BJ$65, "",0),  F1951="Sealant", _xlfn.XLOOKUP(C1951, dd_accsrycalc!$A$2:$A$51, dd_accsrycalc!$G$2:$G$51, "",0),  F1951&lt;&gt;"",L1951*_xlfn.XLOOKUP(1, (SKUs!$C$2:$C$10001=G1951)*(SKUs!$K$2:$K$10001=I1951),SKUs!$E$2:$E$10001)), 0),"")</f>
        <v/>
      </c>
      <c r="E1951" s="16" t="str">
        <f>_xlfn.XLOOKUP(F1951,dd_item!$B$2:$B$105,dd_item!$C$2:$C$105,"",0)</f>
        <v/>
      </c>
      <c r="F1951" s="16"/>
      <c r="G1951" s="16" cm="1">
        <f t="array" ref="G1951">IFERROR(_xlfn.XLOOKUP(1, (SKUs!$J$2:$J$10001=accsry_unmerged!F1951)*IF(H1951&lt;&gt;"",(SKUs!$L$2:$L$10001=accsry_unmerged!H1951),1)*(SKUs!$K$2:$K$10001=I1951),SKUs!$C$2:$C$10001),"")</f>
        <v>0</v>
      </c>
      <c r="H1951" s="33" cm="1">
        <f t="array" ref="H1951">IFERROR(_xlfn.XLOOKUP(1, (dd_accsryclr!$C$2:$C$1000=accsry_unmerged!F1951)*(dd_accsryclr!$B$2:$B$1000=accsry_unmerged!J1951),dd_accsryclr!$A$2:$A$1000),"")</f>
        <v>0</v>
      </c>
      <c r="I1951" s="16">
        <f>_xlfn.XLOOKUP(C1951,'Project Details'!$C$17:$C$66,'Project Details'!$E$17:$E$66,"",0)</f>
        <v>0</v>
      </c>
      <c r="J1951" s="16">
        <f>_xlfn.XLOOKUP(C1951,'Project Details'!$C$17:$C$66,'Project Details'!$H$17:$H$66,"",0)</f>
        <v>0</v>
      </c>
      <c r="K1951" s="33" t="str">
        <f>IF(AND(_xlfn.XLOOKUP(C1951,'Project Details'!$C$17:$C$66,'Project Details'!$L$17:$L$66,"",0)&gt;550, F1951="Spring-L27cm"),"",SUBSTITUTE(_xlfn.XLOOKUP(G1951,SKUs!$C$2:$C$10001,SKUs!$F$2:$F$10001,"",0), " Accessories",""))</f>
        <v/>
      </c>
      <c r="L1951" s="33">
        <f>_xlfn.XLOOKUP(C1951,'Project Details'!$C$17:$C$66,'Project Details'!$D$17:$D$66,"",0)</f>
        <v>0</v>
      </c>
      <c r="M1951" s="43"/>
    </row>
    <row r="1952" spans="1:13" ht="13.5" customHeight="1" outlineLevel="1" x14ac:dyDescent="0.25">
      <c r="A1952" s="43"/>
      <c r="B1952" s="43"/>
      <c r="C1952" s="35">
        <f t="shared" si="37"/>
        <v>39</v>
      </c>
      <c r="D1952" s="35" t="str" cm="1">
        <f t="array" ref="D1952">IFERROR(ROUNDUP(_xlfn.IFS(F1952="Aluminum Track", _xlfn.XLOOKUP(C1952, dd_accsrycalc!$A$2:$A$51, dd_accsrycalc!$B$2:$B$51, "",0), F1952="10 x 2 1/2 S (Flat)", _xlfn.XLOOKUP(C1952, dd_accsrycalc!$A$2:$A$51, dd_accsrycalc!$C$2:$C$51, "",0), F1952="Tox6", _xlfn.XLOOKUP(C1952, dd_accsrycalc!$A$2:$A$51, dd_accsrycalc!$D$2:$D$51, "",0), F1952="Cover Cap", _xlfn.XLOOKUP(C1952, dd_accsrycalc!$A$2:$A$51, dd_accsrycalc!$E$2:$E$51, "",0), F1952="Drainage Cover", _xlfn.XLOOKUP(C1952, dd_accsrycalc!$A$2:$A$51, dd_accsrycalc!$F$2:$F$51, "",0),AND( F1952="Double Adhesive Tape", I1952="Roll-up Screen"), _xlfn.XLOOKUP(C1952, calc_rusacc!$C$15:$C$65, calc_rusacc!$AD$15:$AD$65, "",0),AND( F1952="Sealant", I1952="Roll-up Screen"), _xlfn.XLOOKUP(C1952, calc_rusacc!$C$15:$C$65, calc_rusacc!$AF$15:$AF$65, "",0),  AND( F1952="Main Chain", I1952="Accordion Screen"), _xlfn.XLOOKUP(C1952, calc_rusacc!$C$15:$C$65, calc_rusacc!$BF$15:$BF$65, "",0), AND( F1952="Sealant", I1952="Accordion Screen"), _xlfn.XLOOKUP(C1952, calc_rusacc!$C$15:$C$65, calc_rusacc!$BJ$15:$BJ$65, "",0),  F1952="Sealant", _xlfn.XLOOKUP(C1952, dd_accsrycalc!$A$2:$A$51, dd_accsrycalc!$G$2:$G$51, "",0),  F1952&lt;&gt;"",L1952*_xlfn.XLOOKUP(1, (SKUs!$C$2:$C$10001=G1952)*(SKUs!$K$2:$K$10001=I1952),SKUs!$E$2:$E$10001)), 0),"")</f>
        <v/>
      </c>
      <c r="E1952" s="35" t="str">
        <f>_xlfn.XLOOKUP(F1952,dd_item!$B$2:$B$105,dd_item!$C$2:$C$105,"",0)</f>
        <v/>
      </c>
      <c r="F1952" s="35"/>
      <c r="G1952" s="35" cm="1">
        <f t="array" ref="G1952">IFERROR(_xlfn.XLOOKUP(1, (SKUs!$J$2:$J$10001=accsry_unmerged!F1952)*IF(H1952&lt;&gt;"",(SKUs!$L$2:$L$10001=accsry_unmerged!H1952),1)*(SKUs!$K$2:$K$10001=I1952),SKUs!$C$2:$C$10001),"")</f>
        <v>0</v>
      </c>
      <c r="H1952" s="36" cm="1">
        <f t="array" ref="H1952">IFERROR(_xlfn.XLOOKUP(1, (dd_accsryclr!$C$2:$C$1000=accsry_unmerged!F1952)*(dd_accsryclr!$B$2:$B$1000=accsry_unmerged!J1952),dd_accsryclr!$A$2:$A$1000),"")</f>
        <v>0</v>
      </c>
      <c r="I1952" s="35">
        <f>_xlfn.XLOOKUP(C1952,'Project Details'!$C$17:$C$66,'Project Details'!$E$17:$E$66,"",0)</f>
        <v>0</v>
      </c>
      <c r="J1952" s="35">
        <f>_xlfn.XLOOKUP(C1952,'Project Details'!$C$17:$C$66,'Project Details'!$H$17:$H$66,"",0)</f>
        <v>0</v>
      </c>
      <c r="K1952" s="36" t="str">
        <f>IF(AND(_xlfn.XLOOKUP(C1952,'Project Details'!$C$17:$C$66,'Project Details'!$L$17:$L$66,"",0)&gt;550, F1952="Spring-L27cm"),"",SUBSTITUTE(_xlfn.XLOOKUP(G1952,SKUs!$C$2:$C$10001,SKUs!$F$2:$F$10001,"",0), " Accessories",""))</f>
        <v/>
      </c>
      <c r="L1952" s="36">
        <f>_xlfn.XLOOKUP(C1952,'Project Details'!$C$17:$C$66,'Project Details'!$D$17:$D$66,"",0)</f>
        <v>0</v>
      </c>
      <c r="M1952" s="43"/>
    </row>
    <row r="1953" spans="1:13" ht="13.5" customHeight="1" outlineLevel="1" x14ac:dyDescent="0.25">
      <c r="A1953" s="43"/>
      <c r="B1953" s="43"/>
      <c r="C1953" s="16">
        <f t="shared" si="37"/>
        <v>39</v>
      </c>
      <c r="D1953" s="16" t="str" cm="1">
        <f t="array" ref="D1953">IFERROR(ROUNDUP(_xlfn.IFS(F1953="Aluminum Track", _xlfn.XLOOKUP(C1953, dd_accsrycalc!$A$2:$A$51, dd_accsrycalc!$B$2:$B$51, "",0), F1953="10 x 2 1/2 S (Flat)", _xlfn.XLOOKUP(C1953, dd_accsrycalc!$A$2:$A$51, dd_accsrycalc!$C$2:$C$51, "",0), F1953="Tox6", _xlfn.XLOOKUP(C1953, dd_accsrycalc!$A$2:$A$51, dd_accsrycalc!$D$2:$D$51, "",0), F1953="Cover Cap", _xlfn.XLOOKUP(C1953, dd_accsrycalc!$A$2:$A$51, dd_accsrycalc!$E$2:$E$51, "",0), F1953="Drainage Cover", _xlfn.XLOOKUP(C1953, dd_accsrycalc!$A$2:$A$51, dd_accsrycalc!$F$2:$F$51, "",0),AND( F1953="Double Adhesive Tape", I1953="Roll-up Screen"), _xlfn.XLOOKUP(C1953, calc_rusacc!$C$15:$C$65, calc_rusacc!$AD$15:$AD$65, "",0),AND( F1953="Sealant", I1953="Roll-up Screen"), _xlfn.XLOOKUP(C1953, calc_rusacc!$C$15:$C$65, calc_rusacc!$AF$15:$AF$65, "",0),  AND( F1953="Main Chain", I1953="Accordion Screen"), _xlfn.XLOOKUP(C1953, calc_rusacc!$C$15:$C$65, calc_rusacc!$BF$15:$BF$65, "",0), AND( F1953="Sealant", I1953="Accordion Screen"), _xlfn.XLOOKUP(C1953, calc_rusacc!$C$15:$C$65, calc_rusacc!$BJ$15:$BJ$65, "",0),  F1953="Sealant", _xlfn.XLOOKUP(C1953, dd_accsrycalc!$A$2:$A$51, dd_accsrycalc!$G$2:$G$51, "",0),  F1953&lt;&gt;"",L1953*_xlfn.XLOOKUP(1, (SKUs!$C$2:$C$10001=G1953)*(SKUs!$K$2:$K$10001=I1953),SKUs!$E$2:$E$10001)), 0),"")</f>
        <v/>
      </c>
      <c r="E1953" s="16" t="str">
        <f>_xlfn.XLOOKUP(F1953,dd_item!$B$2:$B$105,dd_item!$C$2:$C$105,"",0)</f>
        <v/>
      </c>
      <c r="F1953" s="16"/>
      <c r="G1953" s="16" cm="1">
        <f t="array" ref="G1953">IFERROR(_xlfn.XLOOKUP(1, (SKUs!$J$2:$J$10001=accsry_unmerged!F1953)*IF(H1953&lt;&gt;"",(SKUs!$L$2:$L$10001=accsry_unmerged!H1953),1)*(SKUs!$K$2:$K$10001=I1953),SKUs!$C$2:$C$10001),"")</f>
        <v>0</v>
      </c>
      <c r="H1953" s="33" cm="1">
        <f t="array" ref="H1953">IFERROR(_xlfn.XLOOKUP(1, (dd_accsryclr!$C$2:$C$1000=accsry_unmerged!F1953)*(dd_accsryclr!$B$2:$B$1000=accsry_unmerged!J1953),dd_accsryclr!$A$2:$A$1000),"")</f>
        <v>0</v>
      </c>
      <c r="I1953" s="16">
        <f>_xlfn.XLOOKUP(C1953,'Project Details'!$C$17:$C$66,'Project Details'!$E$17:$E$66,"",0)</f>
        <v>0</v>
      </c>
      <c r="J1953" s="16">
        <f>_xlfn.XLOOKUP(C1953,'Project Details'!$C$17:$C$66,'Project Details'!$H$17:$H$66,"",0)</f>
        <v>0</v>
      </c>
      <c r="K1953" s="33" t="str">
        <f>IF(AND(_xlfn.XLOOKUP(C1953,'Project Details'!$C$17:$C$66,'Project Details'!$L$17:$L$66,"",0)&gt;550, F1953="Spring-L27cm"),"",SUBSTITUTE(_xlfn.XLOOKUP(G1953,SKUs!$C$2:$C$10001,SKUs!$F$2:$F$10001,"",0), " Accessories",""))</f>
        <v/>
      </c>
      <c r="L1953" s="33">
        <f>_xlfn.XLOOKUP(C1953,'Project Details'!$C$17:$C$66,'Project Details'!$D$17:$D$66,"",0)</f>
        <v>0</v>
      </c>
      <c r="M1953" s="43"/>
    </row>
    <row r="1954" spans="1:13" ht="13.5" customHeight="1" outlineLevel="1" x14ac:dyDescent="0.25">
      <c r="A1954" s="43"/>
      <c r="B1954" s="43"/>
      <c r="C1954" s="35">
        <f t="shared" si="37"/>
        <v>39</v>
      </c>
      <c r="D1954" s="35" t="str" cm="1">
        <f t="array" ref="D1954">IFERROR(ROUNDUP(_xlfn.IFS(F1954="Aluminum Track", _xlfn.XLOOKUP(C1954, dd_accsrycalc!$A$2:$A$51, dd_accsrycalc!$B$2:$B$51, "",0), F1954="10 x 2 1/2 S (Flat)", _xlfn.XLOOKUP(C1954, dd_accsrycalc!$A$2:$A$51, dd_accsrycalc!$C$2:$C$51, "",0), F1954="Tox6", _xlfn.XLOOKUP(C1954, dd_accsrycalc!$A$2:$A$51, dd_accsrycalc!$D$2:$D$51, "",0), F1954="Cover Cap", _xlfn.XLOOKUP(C1954, dd_accsrycalc!$A$2:$A$51, dd_accsrycalc!$E$2:$E$51, "",0), F1954="Drainage Cover", _xlfn.XLOOKUP(C1954, dd_accsrycalc!$A$2:$A$51, dd_accsrycalc!$F$2:$F$51, "",0),AND( F1954="Double Adhesive Tape", I1954="Roll-up Screen"), _xlfn.XLOOKUP(C1954, calc_rusacc!$C$15:$C$65, calc_rusacc!$AD$15:$AD$65, "",0),AND( F1954="Sealant", I1954="Roll-up Screen"), _xlfn.XLOOKUP(C1954, calc_rusacc!$C$15:$C$65, calc_rusacc!$AF$15:$AF$65, "",0),  AND( F1954="Main Chain", I1954="Accordion Screen"), _xlfn.XLOOKUP(C1954, calc_rusacc!$C$15:$C$65, calc_rusacc!$BF$15:$BF$65, "",0), AND( F1954="Sealant", I1954="Accordion Screen"), _xlfn.XLOOKUP(C1954, calc_rusacc!$C$15:$C$65, calc_rusacc!$BJ$15:$BJ$65, "",0),  F1954="Sealant", _xlfn.XLOOKUP(C1954, dd_accsrycalc!$A$2:$A$51, dd_accsrycalc!$G$2:$G$51, "",0),  F1954&lt;&gt;"",L1954*_xlfn.XLOOKUP(1, (SKUs!$C$2:$C$10001=G1954)*(SKUs!$K$2:$K$10001=I1954),SKUs!$E$2:$E$10001)), 0),"")</f>
        <v/>
      </c>
      <c r="E1954" s="35" t="str">
        <f>_xlfn.XLOOKUP(F1954,dd_item!$B$2:$B$105,dd_item!$C$2:$C$105,"",0)</f>
        <v/>
      </c>
      <c r="F1954" s="35"/>
      <c r="G1954" s="35" cm="1">
        <f t="array" ref="G1954">IFERROR(_xlfn.XLOOKUP(1, (SKUs!$J$2:$J$10001=accsry_unmerged!F1954)*IF(H1954&lt;&gt;"",(SKUs!$L$2:$L$10001=accsry_unmerged!H1954),1)*(SKUs!$K$2:$K$10001=I1954),SKUs!$C$2:$C$10001),"")</f>
        <v>0</v>
      </c>
      <c r="H1954" s="36" cm="1">
        <f t="array" ref="H1954">IFERROR(_xlfn.XLOOKUP(1, (dd_accsryclr!$C$2:$C$1000=accsry_unmerged!F1954)*(dd_accsryclr!$B$2:$B$1000=accsry_unmerged!J1954),dd_accsryclr!$A$2:$A$1000),"")</f>
        <v>0</v>
      </c>
      <c r="I1954" s="35">
        <f>_xlfn.XLOOKUP(C1954,'Project Details'!$C$17:$C$66,'Project Details'!$E$17:$E$66,"",0)</f>
        <v>0</v>
      </c>
      <c r="J1954" s="35">
        <f>_xlfn.XLOOKUP(C1954,'Project Details'!$C$17:$C$66,'Project Details'!$H$17:$H$66,"",0)</f>
        <v>0</v>
      </c>
      <c r="K1954" s="36" t="str">
        <f>IF(AND(_xlfn.XLOOKUP(C1954,'Project Details'!$C$17:$C$66,'Project Details'!$L$17:$L$66,"",0)&gt;550, F1954="Spring-L27cm"),"",SUBSTITUTE(_xlfn.XLOOKUP(G1954,SKUs!$C$2:$C$10001,SKUs!$F$2:$F$10001,"",0), " Accessories",""))</f>
        <v/>
      </c>
      <c r="L1954" s="36">
        <f>_xlfn.XLOOKUP(C1954,'Project Details'!$C$17:$C$66,'Project Details'!$D$17:$D$66,"",0)</f>
        <v>0</v>
      </c>
      <c r="M1954" s="43"/>
    </row>
    <row r="1955" spans="1:13" ht="13.5" customHeight="1" outlineLevel="1" collapsed="1" x14ac:dyDescent="0.25">
      <c r="A1955" s="43"/>
      <c r="B1955" s="43"/>
      <c r="C1955" s="16">
        <f t="shared" si="37"/>
        <v>39</v>
      </c>
      <c r="D1955" s="16" t="str" cm="1">
        <f t="array" ref="D1955">IFERROR(ROUNDUP(_xlfn.IFS(F1955="Aluminum Track", _xlfn.XLOOKUP(C1955, dd_accsrycalc!$A$2:$A$51, dd_accsrycalc!$B$2:$B$51, "",0), F1955="10 x 2 1/2 S (Flat)", _xlfn.XLOOKUP(C1955, dd_accsrycalc!$A$2:$A$51, dd_accsrycalc!$C$2:$C$51, "",0), F1955="Tox6", _xlfn.XLOOKUP(C1955, dd_accsrycalc!$A$2:$A$51, dd_accsrycalc!$D$2:$D$51, "",0), F1955="Cover Cap", _xlfn.XLOOKUP(C1955, dd_accsrycalc!$A$2:$A$51, dd_accsrycalc!$E$2:$E$51, "",0), F1955="Drainage Cover", _xlfn.XLOOKUP(C1955, dd_accsrycalc!$A$2:$A$51, dd_accsrycalc!$F$2:$F$51, "",0),AND( F1955="Double Adhesive Tape", I1955="Roll-up Screen"), _xlfn.XLOOKUP(C1955, calc_rusacc!$C$15:$C$65, calc_rusacc!$AD$15:$AD$65, "",0),AND( F1955="Sealant", I1955="Roll-up Screen"), _xlfn.XLOOKUP(C1955, calc_rusacc!$C$15:$C$65, calc_rusacc!$AF$15:$AF$65, "",0),  AND( F1955="Main Chain", I1955="Accordion Screen"), _xlfn.XLOOKUP(C1955, calc_rusacc!$C$15:$C$65, calc_rusacc!$BF$15:$BF$65, "",0), AND( F1955="Sealant", I1955="Accordion Screen"), _xlfn.XLOOKUP(C1955, calc_rusacc!$C$15:$C$65, calc_rusacc!$BJ$15:$BJ$65, "",0),  F1955="Sealant", _xlfn.XLOOKUP(C1955, dd_accsrycalc!$A$2:$A$51, dd_accsrycalc!$G$2:$G$51, "",0),  F1955&lt;&gt;"",L1955*_xlfn.XLOOKUP(1, (SKUs!$C$2:$C$10001=G1955)*(SKUs!$K$2:$K$10001=I1955),SKUs!$E$2:$E$10001)), 0),"")</f>
        <v/>
      </c>
      <c r="E1955" s="16" t="str">
        <f>_xlfn.XLOOKUP(F1955,dd_item!$B$2:$B$105,dd_item!$C$2:$C$105,"",0)</f>
        <v/>
      </c>
      <c r="F1955" s="16"/>
      <c r="G1955" s="16" cm="1">
        <f t="array" ref="G1955">IFERROR(_xlfn.XLOOKUP(1, (SKUs!$J$2:$J$10001=accsry_unmerged!F1955)*IF(H1955&lt;&gt;"",(SKUs!$L$2:$L$10001=accsry_unmerged!H1955),1)*(SKUs!$K$2:$K$10001=I1955),SKUs!$C$2:$C$10001),"")</f>
        <v>0</v>
      </c>
      <c r="H1955" s="33" cm="1">
        <f t="array" ref="H1955">IFERROR(_xlfn.XLOOKUP(1, (dd_accsryclr!$C$2:$C$1000=accsry_unmerged!F1955)*(dd_accsryclr!$B$2:$B$1000=accsry_unmerged!J1955),dd_accsryclr!$A$2:$A$1000),"")</f>
        <v>0</v>
      </c>
      <c r="I1955" s="16">
        <f>_xlfn.XLOOKUP(C1955,'Project Details'!$C$17:$C$66,'Project Details'!$E$17:$E$66,"",0)</f>
        <v>0</v>
      </c>
      <c r="J1955" s="16">
        <f>_xlfn.XLOOKUP(C1955,'Project Details'!$C$17:$C$66,'Project Details'!$H$17:$H$66,"",0)</f>
        <v>0</v>
      </c>
      <c r="K1955" s="33" t="str">
        <f>IF(AND(_xlfn.XLOOKUP(C1955,'Project Details'!$C$17:$C$66,'Project Details'!$L$17:$L$66,"",0)&gt;550, F1955="Spring-L27cm"),"",SUBSTITUTE(_xlfn.XLOOKUP(G1955,SKUs!$C$2:$C$10001,SKUs!$F$2:$F$10001,"",0), " Accessories",""))</f>
        <v/>
      </c>
      <c r="L1955" s="33">
        <f>_xlfn.XLOOKUP(C1955,'Project Details'!$C$17:$C$66,'Project Details'!$D$17:$D$66,"",0)</f>
        <v>0</v>
      </c>
      <c r="M1955" s="43"/>
    </row>
    <row r="1956" spans="1:13" ht="13.5" customHeight="1" outlineLevel="1" x14ac:dyDescent="0.25">
      <c r="A1956" s="43"/>
      <c r="B1956" s="43"/>
      <c r="C1956" s="35">
        <f t="shared" si="37"/>
        <v>39</v>
      </c>
      <c r="D1956" s="35" t="str" cm="1">
        <f t="array" ref="D1956">IFERROR(ROUNDUP(_xlfn.IFS(F1956="Aluminum Track", _xlfn.XLOOKUP(C1956, dd_accsrycalc!$A$2:$A$51, dd_accsrycalc!$B$2:$B$51, "",0), F1956="10 x 2 1/2 S (Flat)", _xlfn.XLOOKUP(C1956, dd_accsrycalc!$A$2:$A$51, dd_accsrycalc!$C$2:$C$51, "",0), F1956="Tox6", _xlfn.XLOOKUP(C1956, dd_accsrycalc!$A$2:$A$51, dd_accsrycalc!$D$2:$D$51, "",0), F1956="Cover Cap", _xlfn.XLOOKUP(C1956, dd_accsrycalc!$A$2:$A$51, dd_accsrycalc!$E$2:$E$51, "",0), F1956="Drainage Cover", _xlfn.XLOOKUP(C1956, dd_accsrycalc!$A$2:$A$51, dd_accsrycalc!$F$2:$F$51, "",0),AND( F1956="Double Adhesive Tape", I1956="Roll-up Screen"), _xlfn.XLOOKUP(C1956, calc_rusacc!$C$15:$C$65, calc_rusacc!$AD$15:$AD$65, "",0),AND( F1956="Sealant", I1956="Roll-up Screen"), _xlfn.XLOOKUP(C1956, calc_rusacc!$C$15:$C$65, calc_rusacc!$AF$15:$AF$65, "",0),  AND( F1956="Main Chain", I1956="Accordion Screen"), _xlfn.XLOOKUP(C1956, calc_rusacc!$C$15:$C$65, calc_rusacc!$BF$15:$BF$65, "",0), AND( F1956="Sealant", I1956="Accordion Screen"), _xlfn.XLOOKUP(C1956, calc_rusacc!$C$15:$C$65, calc_rusacc!$BJ$15:$BJ$65, "",0),  F1956="Sealant", _xlfn.XLOOKUP(C1956, dd_accsrycalc!$A$2:$A$51, dd_accsrycalc!$G$2:$G$51, "",0),  F1956&lt;&gt;"",L1956*_xlfn.XLOOKUP(1, (SKUs!$C$2:$C$10001=G1956)*(SKUs!$K$2:$K$10001=I1956),SKUs!$E$2:$E$10001)), 0),"")</f>
        <v/>
      </c>
      <c r="E1956" s="35" t="str">
        <f>_xlfn.XLOOKUP(F1956,dd_item!$B$2:$B$105,dd_item!$C$2:$C$105,"",0)</f>
        <v/>
      </c>
      <c r="F1956" s="35"/>
      <c r="G1956" s="35" cm="1">
        <f t="array" ref="G1956">IFERROR(_xlfn.XLOOKUP(1, (SKUs!$J$2:$J$10001=accsry_unmerged!F1956)*IF(H1956&lt;&gt;"",(SKUs!$L$2:$L$10001=accsry_unmerged!H1956),1)*(SKUs!$K$2:$K$10001=I1956),SKUs!$C$2:$C$10001),"")</f>
        <v>0</v>
      </c>
      <c r="H1956" s="36" cm="1">
        <f t="array" ref="H1956">IFERROR(_xlfn.XLOOKUP(1, (dd_accsryclr!$C$2:$C$1000=accsry_unmerged!F1956)*(dd_accsryclr!$B$2:$B$1000=accsry_unmerged!J1956),dd_accsryclr!$A$2:$A$1000),"")</f>
        <v>0</v>
      </c>
      <c r="I1956" s="35">
        <f>_xlfn.XLOOKUP(C1956,'Project Details'!$C$17:$C$66,'Project Details'!$E$17:$E$66,"",0)</f>
        <v>0</v>
      </c>
      <c r="J1956" s="35">
        <f>_xlfn.XLOOKUP(C1956,'Project Details'!$C$17:$C$66,'Project Details'!$H$17:$H$66,"",0)</f>
        <v>0</v>
      </c>
      <c r="K1956" s="36" t="str">
        <f>IF(AND(_xlfn.XLOOKUP(C1956,'Project Details'!$C$17:$C$66,'Project Details'!$L$17:$L$66,"",0)&gt;550, F1956="Spring-L27cm"),"",SUBSTITUTE(_xlfn.XLOOKUP(G1956,SKUs!$C$2:$C$10001,SKUs!$F$2:$F$10001,"",0), " Accessories",""))</f>
        <v/>
      </c>
      <c r="L1956" s="36">
        <f>_xlfn.XLOOKUP(C1956,'Project Details'!$C$17:$C$66,'Project Details'!$D$17:$D$66,"",0)</f>
        <v>0</v>
      </c>
      <c r="M1956" s="43"/>
    </row>
    <row r="1957" spans="1:13" ht="13.5" customHeight="1" outlineLevel="1" x14ac:dyDescent="0.25">
      <c r="A1957" s="43"/>
      <c r="B1957" s="43"/>
      <c r="C1957" s="16">
        <f t="shared" si="37"/>
        <v>39</v>
      </c>
      <c r="D1957" s="16" t="str" cm="1">
        <f t="array" ref="D1957">IFERROR(ROUNDUP(_xlfn.IFS(F1957="Aluminum Track", _xlfn.XLOOKUP(C1957, dd_accsrycalc!$A$2:$A$51, dd_accsrycalc!$B$2:$B$51, "",0), F1957="10 x 2 1/2 S (Flat)", _xlfn.XLOOKUP(C1957, dd_accsrycalc!$A$2:$A$51, dd_accsrycalc!$C$2:$C$51, "",0), F1957="Tox6", _xlfn.XLOOKUP(C1957, dd_accsrycalc!$A$2:$A$51, dd_accsrycalc!$D$2:$D$51, "",0), F1957="Cover Cap", _xlfn.XLOOKUP(C1957, dd_accsrycalc!$A$2:$A$51, dd_accsrycalc!$E$2:$E$51, "",0), F1957="Drainage Cover", _xlfn.XLOOKUP(C1957, dd_accsrycalc!$A$2:$A$51, dd_accsrycalc!$F$2:$F$51, "",0),AND( F1957="Double Adhesive Tape", I1957="Roll-up Screen"), _xlfn.XLOOKUP(C1957, calc_rusacc!$C$15:$C$65, calc_rusacc!$AD$15:$AD$65, "",0),AND( F1957="Sealant", I1957="Roll-up Screen"), _xlfn.XLOOKUP(C1957, calc_rusacc!$C$15:$C$65, calc_rusacc!$AF$15:$AF$65, "",0),  AND( F1957="Main Chain", I1957="Accordion Screen"), _xlfn.XLOOKUP(C1957, calc_rusacc!$C$15:$C$65, calc_rusacc!$BF$15:$BF$65, "",0), AND( F1957="Sealant", I1957="Accordion Screen"), _xlfn.XLOOKUP(C1957, calc_rusacc!$C$15:$C$65, calc_rusacc!$BJ$15:$BJ$65, "",0),  F1957="Sealant", _xlfn.XLOOKUP(C1957, dd_accsrycalc!$A$2:$A$51, dd_accsrycalc!$G$2:$G$51, "",0),  F1957&lt;&gt;"",L1957*_xlfn.XLOOKUP(1, (SKUs!$C$2:$C$10001=G1957)*(SKUs!$K$2:$K$10001=I1957),SKUs!$E$2:$E$10001)), 0),"")</f>
        <v/>
      </c>
      <c r="E1957" s="16" t="str">
        <f>_xlfn.XLOOKUP(F1957,dd_item!$B$2:$B$105,dd_item!$C$2:$C$105,"",0)</f>
        <v/>
      </c>
      <c r="F1957" s="16"/>
      <c r="G1957" s="16" cm="1">
        <f t="array" ref="G1957">IFERROR(_xlfn.XLOOKUP(1, (SKUs!$J$2:$J$10001=accsry_unmerged!F1957)*IF(H1957&lt;&gt;"",(SKUs!$L$2:$L$10001=accsry_unmerged!H1957),1)*(SKUs!$K$2:$K$10001=I1957),SKUs!$C$2:$C$10001),"")</f>
        <v>0</v>
      </c>
      <c r="H1957" s="33" cm="1">
        <f t="array" ref="H1957">IFERROR(_xlfn.XLOOKUP(1, (dd_accsryclr!$C$2:$C$1000=accsry_unmerged!F1957)*(dd_accsryclr!$B$2:$B$1000=accsry_unmerged!J1957),dd_accsryclr!$A$2:$A$1000),"")</f>
        <v>0</v>
      </c>
      <c r="I1957" s="16">
        <f>_xlfn.XLOOKUP(C1957,'Project Details'!$C$17:$C$66,'Project Details'!$E$17:$E$66,"",0)</f>
        <v>0</v>
      </c>
      <c r="J1957" s="16">
        <f>_xlfn.XLOOKUP(C1957,'Project Details'!$C$17:$C$66,'Project Details'!$H$17:$H$66,"",0)</f>
        <v>0</v>
      </c>
      <c r="K1957" s="33" t="str">
        <f>IF(AND(_xlfn.XLOOKUP(C1957,'Project Details'!$C$17:$C$66,'Project Details'!$L$17:$L$66,"",0)&gt;550, F1957="Spring-L27cm"),"",SUBSTITUTE(_xlfn.XLOOKUP(G1957,SKUs!$C$2:$C$10001,SKUs!$F$2:$F$10001,"",0), " Accessories",""))</f>
        <v/>
      </c>
      <c r="L1957" s="33">
        <f>_xlfn.XLOOKUP(C1957,'Project Details'!$C$17:$C$66,'Project Details'!$D$17:$D$66,"",0)</f>
        <v>0</v>
      </c>
      <c r="M1957" s="43"/>
    </row>
    <row r="1958" spans="1:13" ht="13.5" customHeight="1" outlineLevel="1" x14ac:dyDescent="0.25">
      <c r="A1958" s="43"/>
      <c r="B1958" s="43"/>
      <c r="C1958" s="35">
        <f t="shared" si="37"/>
        <v>39</v>
      </c>
      <c r="D1958" s="35" t="str" cm="1">
        <f t="array" ref="D1958">IFERROR(ROUNDUP(_xlfn.IFS(F1958="Aluminum Track", _xlfn.XLOOKUP(C1958, dd_accsrycalc!$A$2:$A$51, dd_accsrycalc!$B$2:$B$51, "",0), F1958="10 x 2 1/2 S (Flat)", _xlfn.XLOOKUP(C1958, dd_accsrycalc!$A$2:$A$51, dd_accsrycalc!$C$2:$C$51, "",0), F1958="Tox6", _xlfn.XLOOKUP(C1958, dd_accsrycalc!$A$2:$A$51, dd_accsrycalc!$D$2:$D$51, "",0), F1958="Cover Cap", _xlfn.XLOOKUP(C1958, dd_accsrycalc!$A$2:$A$51, dd_accsrycalc!$E$2:$E$51, "",0), F1958="Drainage Cover", _xlfn.XLOOKUP(C1958, dd_accsrycalc!$A$2:$A$51, dd_accsrycalc!$F$2:$F$51, "",0),AND( F1958="Double Adhesive Tape", I1958="Roll-up Screen"), _xlfn.XLOOKUP(C1958, calc_rusacc!$C$15:$C$65, calc_rusacc!$AD$15:$AD$65, "",0),AND( F1958="Sealant", I1958="Roll-up Screen"), _xlfn.XLOOKUP(C1958, calc_rusacc!$C$15:$C$65, calc_rusacc!$AF$15:$AF$65, "",0),  AND( F1958="Main Chain", I1958="Accordion Screen"), _xlfn.XLOOKUP(C1958, calc_rusacc!$C$15:$C$65, calc_rusacc!$BF$15:$BF$65, "",0), AND( F1958="Sealant", I1958="Accordion Screen"), _xlfn.XLOOKUP(C1958, calc_rusacc!$C$15:$C$65, calc_rusacc!$BJ$15:$BJ$65, "",0),  F1958="Sealant", _xlfn.XLOOKUP(C1958, dd_accsrycalc!$A$2:$A$51, dd_accsrycalc!$G$2:$G$51, "",0),  F1958&lt;&gt;"",L1958*_xlfn.XLOOKUP(1, (SKUs!$C$2:$C$10001=G1958)*(SKUs!$K$2:$K$10001=I1958),SKUs!$E$2:$E$10001)), 0),"")</f>
        <v/>
      </c>
      <c r="E1958" s="35" t="str">
        <f>_xlfn.XLOOKUP(F1958,dd_item!$B$2:$B$105,dd_item!$C$2:$C$105,"",0)</f>
        <v/>
      </c>
      <c r="F1958" s="35"/>
      <c r="G1958" s="35" cm="1">
        <f t="array" ref="G1958">IFERROR(_xlfn.XLOOKUP(1, (SKUs!$J$2:$J$10001=accsry_unmerged!F1958)*IF(H1958&lt;&gt;"",(SKUs!$L$2:$L$10001=accsry_unmerged!H1958),1)*(SKUs!$K$2:$K$10001=I1958),SKUs!$C$2:$C$10001),"")</f>
        <v>0</v>
      </c>
      <c r="H1958" s="36" cm="1">
        <f t="array" ref="H1958">IFERROR(_xlfn.XLOOKUP(1, (dd_accsryclr!$C$2:$C$1000=accsry_unmerged!F1958)*(dd_accsryclr!$B$2:$B$1000=accsry_unmerged!J1958),dd_accsryclr!$A$2:$A$1000),"")</f>
        <v>0</v>
      </c>
      <c r="I1958" s="35">
        <f>_xlfn.XLOOKUP(C1958,'Project Details'!$C$17:$C$66,'Project Details'!$E$17:$E$66,"",0)</f>
        <v>0</v>
      </c>
      <c r="J1958" s="35">
        <f>_xlfn.XLOOKUP(C1958,'Project Details'!$C$17:$C$66,'Project Details'!$H$17:$H$66,"",0)</f>
        <v>0</v>
      </c>
      <c r="K1958" s="36" t="str">
        <f>IF(AND(_xlfn.XLOOKUP(C1958,'Project Details'!$C$17:$C$66,'Project Details'!$L$17:$L$66,"",0)&gt;550, F1958="Spring-L27cm"),"",SUBSTITUTE(_xlfn.XLOOKUP(G1958,SKUs!$C$2:$C$10001,SKUs!$F$2:$F$10001,"",0), " Accessories",""))</f>
        <v/>
      </c>
      <c r="L1958" s="36">
        <f>_xlfn.XLOOKUP(C1958,'Project Details'!$C$17:$C$66,'Project Details'!$D$17:$D$66,"",0)</f>
        <v>0</v>
      </c>
      <c r="M1958" s="43"/>
    </row>
    <row r="1959" spans="1:13" ht="13.5" customHeight="1" outlineLevel="1" x14ac:dyDescent="0.25">
      <c r="A1959" s="43"/>
      <c r="B1959" s="43"/>
      <c r="C1959" s="16">
        <f t="shared" si="37"/>
        <v>39</v>
      </c>
      <c r="D1959" s="16" t="str" cm="1">
        <f t="array" ref="D1959">IFERROR(ROUNDUP(_xlfn.IFS(F1959="Aluminum Track", _xlfn.XLOOKUP(C1959, dd_accsrycalc!$A$2:$A$51, dd_accsrycalc!$B$2:$B$51, "",0), F1959="10 x 2 1/2 S (Flat)", _xlfn.XLOOKUP(C1959, dd_accsrycalc!$A$2:$A$51, dd_accsrycalc!$C$2:$C$51, "",0), F1959="Tox6", _xlfn.XLOOKUP(C1959, dd_accsrycalc!$A$2:$A$51, dd_accsrycalc!$D$2:$D$51, "",0), F1959="Cover Cap", _xlfn.XLOOKUP(C1959, dd_accsrycalc!$A$2:$A$51, dd_accsrycalc!$E$2:$E$51, "",0), F1959="Drainage Cover", _xlfn.XLOOKUP(C1959, dd_accsrycalc!$A$2:$A$51, dd_accsrycalc!$F$2:$F$51, "",0),AND( F1959="Double Adhesive Tape", I1959="Roll-up Screen"), _xlfn.XLOOKUP(C1959, calc_rusacc!$C$15:$C$65, calc_rusacc!$AD$15:$AD$65, "",0),AND( F1959="Sealant", I1959="Roll-up Screen"), _xlfn.XLOOKUP(C1959, calc_rusacc!$C$15:$C$65, calc_rusacc!$AF$15:$AF$65, "",0),  AND( F1959="Main Chain", I1959="Accordion Screen"), _xlfn.XLOOKUP(C1959, calc_rusacc!$C$15:$C$65, calc_rusacc!$BF$15:$BF$65, "",0), AND( F1959="Sealant", I1959="Accordion Screen"), _xlfn.XLOOKUP(C1959, calc_rusacc!$C$15:$C$65, calc_rusacc!$BJ$15:$BJ$65, "",0),  F1959="Sealant", _xlfn.XLOOKUP(C1959, dd_accsrycalc!$A$2:$A$51, dd_accsrycalc!$G$2:$G$51, "",0),  F1959&lt;&gt;"",L1959*_xlfn.XLOOKUP(1, (SKUs!$C$2:$C$10001=G1959)*(SKUs!$K$2:$K$10001=I1959),SKUs!$E$2:$E$10001)), 0),"")</f>
        <v/>
      </c>
      <c r="E1959" s="16" t="str">
        <f>_xlfn.XLOOKUP(F1959,dd_item!$B$2:$B$105,dd_item!$C$2:$C$105,"",0)</f>
        <v/>
      </c>
      <c r="F1959" s="16"/>
      <c r="G1959" s="16" cm="1">
        <f t="array" ref="G1959">IFERROR(_xlfn.XLOOKUP(1, (SKUs!$J$2:$J$10001=accsry_unmerged!F1959)*IF(H1959&lt;&gt;"",(SKUs!$L$2:$L$10001=accsry_unmerged!H1959),1)*(SKUs!$K$2:$K$10001=I1959),SKUs!$C$2:$C$10001),"")</f>
        <v>0</v>
      </c>
      <c r="H1959" s="33" cm="1">
        <f t="array" ref="H1959">IFERROR(_xlfn.XLOOKUP(1, (dd_accsryclr!$C$2:$C$1000=accsry_unmerged!F1959)*(dd_accsryclr!$B$2:$B$1000=accsry_unmerged!J1959),dd_accsryclr!$A$2:$A$1000),"")</f>
        <v>0</v>
      </c>
      <c r="I1959" s="16">
        <f>_xlfn.XLOOKUP(C1959,'Project Details'!$C$17:$C$66,'Project Details'!$E$17:$E$66,"",0)</f>
        <v>0</v>
      </c>
      <c r="J1959" s="16">
        <f>_xlfn.XLOOKUP(C1959,'Project Details'!$C$17:$C$66,'Project Details'!$H$17:$H$66,"",0)</f>
        <v>0</v>
      </c>
      <c r="K1959" s="33" t="str">
        <f>IF(AND(_xlfn.XLOOKUP(C1959,'Project Details'!$C$17:$C$66,'Project Details'!$L$17:$L$66,"",0)&gt;550, F1959="Spring-L27cm"),"",SUBSTITUTE(_xlfn.XLOOKUP(G1959,SKUs!$C$2:$C$10001,SKUs!$F$2:$F$10001,"",0), " Accessories",""))</f>
        <v/>
      </c>
      <c r="L1959" s="33">
        <f>_xlfn.XLOOKUP(C1959,'Project Details'!$C$17:$C$66,'Project Details'!$D$17:$D$66,"",0)</f>
        <v>0</v>
      </c>
      <c r="M1959" s="43"/>
    </row>
    <row r="1960" spans="1:13" ht="13.5" customHeight="1" outlineLevel="1" x14ac:dyDescent="0.25">
      <c r="A1960" s="43"/>
      <c r="B1960" s="43"/>
      <c r="C1960" s="35">
        <f t="shared" si="37"/>
        <v>39</v>
      </c>
      <c r="D1960" s="35" t="str" cm="1">
        <f t="array" ref="D1960">IFERROR(ROUNDUP(_xlfn.IFS(F1960="Aluminum Track", _xlfn.XLOOKUP(C1960, dd_accsrycalc!$A$2:$A$51, dd_accsrycalc!$B$2:$B$51, "",0), F1960="10 x 2 1/2 S (Flat)", _xlfn.XLOOKUP(C1960, dd_accsrycalc!$A$2:$A$51, dd_accsrycalc!$C$2:$C$51, "",0), F1960="Tox6", _xlfn.XLOOKUP(C1960, dd_accsrycalc!$A$2:$A$51, dd_accsrycalc!$D$2:$D$51, "",0), F1960="Cover Cap", _xlfn.XLOOKUP(C1960, dd_accsrycalc!$A$2:$A$51, dd_accsrycalc!$E$2:$E$51, "",0), F1960="Drainage Cover", _xlfn.XLOOKUP(C1960, dd_accsrycalc!$A$2:$A$51, dd_accsrycalc!$F$2:$F$51, "",0),AND( F1960="Double Adhesive Tape", I1960="Roll-up Screen"), _xlfn.XLOOKUP(C1960, calc_rusacc!$C$15:$C$65, calc_rusacc!$AD$15:$AD$65, "",0),AND( F1960="Sealant", I1960="Roll-up Screen"), _xlfn.XLOOKUP(C1960, calc_rusacc!$C$15:$C$65, calc_rusacc!$AF$15:$AF$65, "",0),  AND( F1960="Main Chain", I1960="Accordion Screen"), _xlfn.XLOOKUP(C1960, calc_rusacc!$C$15:$C$65, calc_rusacc!$BF$15:$BF$65, "",0), AND( F1960="Sealant", I1960="Accordion Screen"), _xlfn.XLOOKUP(C1960, calc_rusacc!$C$15:$C$65, calc_rusacc!$BJ$15:$BJ$65, "",0),  F1960="Sealant", _xlfn.XLOOKUP(C1960, dd_accsrycalc!$A$2:$A$51, dd_accsrycalc!$G$2:$G$51, "",0),  F1960&lt;&gt;"",L1960*_xlfn.XLOOKUP(1, (SKUs!$C$2:$C$10001=G1960)*(SKUs!$K$2:$K$10001=I1960),SKUs!$E$2:$E$10001)), 0),"")</f>
        <v/>
      </c>
      <c r="E1960" s="35" t="str">
        <f>_xlfn.XLOOKUP(F1960,dd_item!$B$2:$B$105,dd_item!$C$2:$C$105,"",0)</f>
        <v/>
      </c>
      <c r="F1960" s="35"/>
      <c r="G1960" s="35" cm="1">
        <f t="array" ref="G1960">IFERROR(_xlfn.XLOOKUP(1, (SKUs!$J$2:$J$10001=accsry_unmerged!F1960)*IF(H1960&lt;&gt;"",(SKUs!$L$2:$L$10001=accsry_unmerged!H1960),1)*(SKUs!$K$2:$K$10001=I1960),SKUs!$C$2:$C$10001),"")</f>
        <v>0</v>
      </c>
      <c r="H1960" s="36" cm="1">
        <f t="array" ref="H1960">IFERROR(_xlfn.XLOOKUP(1, (dd_accsryclr!$C$2:$C$1000=accsry_unmerged!F1960)*(dd_accsryclr!$B$2:$B$1000=accsry_unmerged!J1960),dd_accsryclr!$A$2:$A$1000),"")</f>
        <v>0</v>
      </c>
      <c r="I1960" s="35">
        <f>_xlfn.XLOOKUP(C1960,'Project Details'!$C$17:$C$66,'Project Details'!$E$17:$E$66,"",0)</f>
        <v>0</v>
      </c>
      <c r="J1960" s="35">
        <f>_xlfn.XLOOKUP(C1960,'Project Details'!$C$17:$C$66,'Project Details'!$H$17:$H$66,"",0)</f>
        <v>0</v>
      </c>
      <c r="K1960" s="36" t="str">
        <f>IF(AND(_xlfn.XLOOKUP(C1960,'Project Details'!$C$17:$C$66,'Project Details'!$L$17:$L$66,"",0)&gt;550, F1960="Spring-L27cm"),"",SUBSTITUTE(_xlfn.XLOOKUP(G1960,SKUs!$C$2:$C$10001,SKUs!$F$2:$F$10001,"",0), " Accessories",""))</f>
        <v/>
      </c>
      <c r="L1960" s="36">
        <f>_xlfn.XLOOKUP(C1960,'Project Details'!$C$17:$C$66,'Project Details'!$D$17:$D$66,"",0)</f>
        <v>0</v>
      </c>
      <c r="M1960" s="43"/>
    </row>
    <row r="1961" spans="1:13" ht="13.5" customHeight="1" outlineLevel="1" x14ac:dyDescent="0.25">
      <c r="A1961" s="43"/>
      <c r="B1961" s="43"/>
      <c r="C1961" s="16">
        <f t="shared" si="37"/>
        <v>39</v>
      </c>
      <c r="D1961" s="16" t="str" cm="1">
        <f t="array" ref="D1961">IFERROR(ROUNDUP(_xlfn.IFS(F1961="Aluminum Track", _xlfn.XLOOKUP(C1961, dd_accsrycalc!$A$2:$A$51, dd_accsrycalc!$B$2:$B$51, "",0), F1961="10 x 2 1/2 S (Flat)", _xlfn.XLOOKUP(C1961, dd_accsrycalc!$A$2:$A$51, dd_accsrycalc!$C$2:$C$51, "",0), F1961="Tox6", _xlfn.XLOOKUP(C1961, dd_accsrycalc!$A$2:$A$51, dd_accsrycalc!$D$2:$D$51, "",0), F1961="Cover Cap", _xlfn.XLOOKUP(C1961, dd_accsrycalc!$A$2:$A$51, dd_accsrycalc!$E$2:$E$51, "",0), F1961="Drainage Cover", _xlfn.XLOOKUP(C1961, dd_accsrycalc!$A$2:$A$51, dd_accsrycalc!$F$2:$F$51, "",0),AND( F1961="Double Adhesive Tape", I1961="Roll-up Screen"), _xlfn.XLOOKUP(C1961, calc_rusacc!$C$15:$C$65, calc_rusacc!$AD$15:$AD$65, "",0),AND( F1961="Sealant", I1961="Roll-up Screen"), _xlfn.XLOOKUP(C1961, calc_rusacc!$C$15:$C$65, calc_rusacc!$AF$15:$AF$65, "",0),  AND( F1961="Main Chain", I1961="Accordion Screen"), _xlfn.XLOOKUP(C1961, calc_rusacc!$C$15:$C$65, calc_rusacc!$BF$15:$BF$65, "",0), AND( F1961="Sealant", I1961="Accordion Screen"), _xlfn.XLOOKUP(C1961, calc_rusacc!$C$15:$C$65, calc_rusacc!$BJ$15:$BJ$65, "",0),  F1961="Sealant", _xlfn.XLOOKUP(C1961, dd_accsrycalc!$A$2:$A$51, dd_accsrycalc!$G$2:$G$51, "",0),  F1961&lt;&gt;"",L1961*_xlfn.XLOOKUP(1, (SKUs!$C$2:$C$10001=G1961)*(SKUs!$K$2:$K$10001=I1961),SKUs!$E$2:$E$10001)), 0),"")</f>
        <v/>
      </c>
      <c r="E1961" s="16" t="str">
        <f>_xlfn.XLOOKUP(F1961,dd_item!$B$2:$B$105,dd_item!$C$2:$C$105,"",0)</f>
        <v/>
      </c>
      <c r="F1961" s="16"/>
      <c r="G1961" s="16" cm="1">
        <f t="array" ref="G1961">IFERROR(_xlfn.XLOOKUP(1, (SKUs!$J$2:$J$10001=accsry_unmerged!F1961)*IF(H1961&lt;&gt;"",(SKUs!$L$2:$L$10001=accsry_unmerged!H1961),1)*(SKUs!$K$2:$K$10001=I1961),SKUs!$C$2:$C$10001),"")</f>
        <v>0</v>
      </c>
      <c r="H1961" s="33" cm="1">
        <f t="array" ref="H1961">IFERROR(_xlfn.XLOOKUP(1, (dd_accsryclr!$C$2:$C$1000=accsry_unmerged!F1961)*(dd_accsryclr!$B$2:$B$1000=accsry_unmerged!J1961),dd_accsryclr!$A$2:$A$1000),"")</f>
        <v>0</v>
      </c>
      <c r="I1961" s="16">
        <f>_xlfn.XLOOKUP(C1961,'Project Details'!$C$17:$C$66,'Project Details'!$E$17:$E$66,"",0)</f>
        <v>0</v>
      </c>
      <c r="J1961" s="16">
        <f>_xlfn.XLOOKUP(C1961,'Project Details'!$C$17:$C$66,'Project Details'!$H$17:$H$66,"",0)</f>
        <v>0</v>
      </c>
      <c r="K1961" s="33" t="str">
        <f>IF(AND(_xlfn.XLOOKUP(C1961,'Project Details'!$C$17:$C$66,'Project Details'!$L$17:$L$66,"",0)&gt;550, F1961="Spring-L27cm"),"",SUBSTITUTE(_xlfn.XLOOKUP(G1961,SKUs!$C$2:$C$10001,SKUs!$F$2:$F$10001,"",0), " Accessories",""))</f>
        <v/>
      </c>
      <c r="L1961" s="33">
        <f>_xlfn.XLOOKUP(C1961,'Project Details'!$C$17:$C$66,'Project Details'!$D$17:$D$66,"",0)</f>
        <v>0</v>
      </c>
      <c r="M1961" s="43"/>
    </row>
    <row r="1962" spans="1:13" ht="13.5" customHeight="1" outlineLevel="1" x14ac:dyDescent="0.25">
      <c r="A1962" s="43"/>
      <c r="B1962" s="43"/>
      <c r="C1962" s="35">
        <f t="shared" si="37"/>
        <v>39</v>
      </c>
      <c r="D1962" s="35" t="str" cm="1">
        <f t="array" ref="D1962">IFERROR(ROUNDUP(_xlfn.IFS(F1962="Aluminum Track", _xlfn.XLOOKUP(C1962, dd_accsrycalc!$A$2:$A$51, dd_accsrycalc!$B$2:$B$51, "",0), F1962="10 x 2 1/2 S (Flat)", _xlfn.XLOOKUP(C1962, dd_accsrycalc!$A$2:$A$51, dd_accsrycalc!$C$2:$C$51, "",0), F1962="Tox6", _xlfn.XLOOKUP(C1962, dd_accsrycalc!$A$2:$A$51, dd_accsrycalc!$D$2:$D$51, "",0), F1962="Cover Cap", _xlfn.XLOOKUP(C1962, dd_accsrycalc!$A$2:$A$51, dd_accsrycalc!$E$2:$E$51, "",0), F1962="Drainage Cover", _xlfn.XLOOKUP(C1962, dd_accsrycalc!$A$2:$A$51, dd_accsrycalc!$F$2:$F$51, "",0),AND( F1962="Double Adhesive Tape", I1962="Roll-up Screen"), _xlfn.XLOOKUP(C1962, calc_rusacc!$C$15:$C$65, calc_rusacc!$AD$15:$AD$65, "",0),AND( F1962="Sealant", I1962="Roll-up Screen"), _xlfn.XLOOKUP(C1962, calc_rusacc!$C$15:$C$65, calc_rusacc!$AF$15:$AF$65, "",0),  AND( F1962="Main Chain", I1962="Accordion Screen"), _xlfn.XLOOKUP(C1962, calc_rusacc!$C$15:$C$65, calc_rusacc!$BF$15:$BF$65, "",0), AND( F1962="Sealant", I1962="Accordion Screen"), _xlfn.XLOOKUP(C1962, calc_rusacc!$C$15:$C$65, calc_rusacc!$BJ$15:$BJ$65, "",0),  F1962="Sealant", _xlfn.XLOOKUP(C1962, dd_accsrycalc!$A$2:$A$51, dd_accsrycalc!$G$2:$G$51, "",0),  F1962&lt;&gt;"",L1962*_xlfn.XLOOKUP(1, (SKUs!$C$2:$C$10001=G1962)*(SKUs!$K$2:$K$10001=I1962),SKUs!$E$2:$E$10001)), 0),"")</f>
        <v/>
      </c>
      <c r="E1962" s="35" t="str">
        <f>_xlfn.XLOOKUP(F1962,dd_item!$B$2:$B$105,dd_item!$C$2:$C$105,"",0)</f>
        <v/>
      </c>
      <c r="F1962" s="35"/>
      <c r="G1962" s="35" cm="1">
        <f t="array" ref="G1962">IFERROR(_xlfn.XLOOKUP(1, (SKUs!$J$2:$J$10001=accsry_unmerged!F1962)*IF(H1962&lt;&gt;"",(SKUs!$L$2:$L$10001=accsry_unmerged!H1962),1)*(SKUs!$K$2:$K$10001=I1962),SKUs!$C$2:$C$10001),"")</f>
        <v>0</v>
      </c>
      <c r="H1962" s="36" cm="1">
        <f t="array" ref="H1962">IFERROR(_xlfn.XLOOKUP(1, (dd_accsryclr!$C$2:$C$1000=accsry_unmerged!F1962)*(dd_accsryclr!$B$2:$B$1000=accsry_unmerged!J1962),dd_accsryclr!$A$2:$A$1000),"")</f>
        <v>0</v>
      </c>
      <c r="I1962" s="35">
        <f>_xlfn.XLOOKUP(C1962,'Project Details'!$C$17:$C$66,'Project Details'!$E$17:$E$66,"",0)</f>
        <v>0</v>
      </c>
      <c r="J1962" s="35">
        <f>_xlfn.XLOOKUP(C1962,'Project Details'!$C$17:$C$66,'Project Details'!$H$17:$H$66,"",0)</f>
        <v>0</v>
      </c>
      <c r="K1962" s="36" t="str">
        <f>IF(AND(_xlfn.XLOOKUP(C1962,'Project Details'!$C$17:$C$66,'Project Details'!$L$17:$L$66,"",0)&gt;550, F1962="Spring-L27cm"),"",SUBSTITUTE(_xlfn.XLOOKUP(G1962,SKUs!$C$2:$C$10001,SKUs!$F$2:$F$10001,"",0), " Accessories",""))</f>
        <v/>
      </c>
      <c r="L1962" s="36">
        <f>_xlfn.XLOOKUP(C1962,'Project Details'!$C$17:$C$66,'Project Details'!$D$17:$D$66,"",0)</f>
        <v>0</v>
      </c>
      <c r="M1962" s="43"/>
    </row>
    <row r="1963" spans="1:13" ht="13.5" customHeight="1" outlineLevel="1" x14ac:dyDescent="0.25">
      <c r="A1963" s="43"/>
      <c r="B1963" s="43"/>
      <c r="C1963" s="16">
        <f t="shared" si="37"/>
        <v>39</v>
      </c>
      <c r="D1963" s="16" t="str" cm="1">
        <f t="array" ref="D1963">IFERROR(ROUNDUP(_xlfn.IFS(F1963="Aluminum Track", _xlfn.XLOOKUP(C1963, dd_accsrycalc!$A$2:$A$51, dd_accsrycalc!$B$2:$B$51, "",0), F1963="10 x 2 1/2 S (Flat)", _xlfn.XLOOKUP(C1963, dd_accsrycalc!$A$2:$A$51, dd_accsrycalc!$C$2:$C$51, "",0), F1963="Tox6", _xlfn.XLOOKUP(C1963, dd_accsrycalc!$A$2:$A$51, dd_accsrycalc!$D$2:$D$51, "",0), F1963="Cover Cap", _xlfn.XLOOKUP(C1963, dd_accsrycalc!$A$2:$A$51, dd_accsrycalc!$E$2:$E$51, "",0), F1963="Drainage Cover", _xlfn.XLOOKUP(C1963, dd_accsrycalc!$A$2:$A$51, dd_accsrycalc!$F$2:$F$51, "",0),AND( F1963="Double Adhesive Tape", I1963="Roll-up Screen"), _xlfn.XLOOKUP(C1963, calc_rusacc!$C$15:$C$65, calc_rusacc!$AD$15:$AD$65, "",0),AND( F1963="Sealant", I1963="Roll-up Screen"), _xlfn.XLOOKUP(C1963, calc_rusacc!$C$15:$C$65, calc_rusacc!$AF$15:$AF$65, "",0),  AND( F1963="Main Chain", I1963="Accordion Screen"), _xlfn.XLOOKUP(C1963, calc_rusacc!$C$15:$C$65, calc_rusacc!$BF$15:$BF$65, "",0), AND( F1963="Sealant", I1963="Accordion Screen"), _xlfn.XLOOKUP(C1963, calc_rusacc!$C$15:$C$65, calc_rusacc!$BJ$15:$BJ$65, "",0),  F1963="Sealant", _xlfn.XLOOKUP(C1963, dd_accsrycalc!$A$2:$A$51, dd_accsrycalc!$G$2:$G$51, "",0),  F1963&lt;&gt;"",L1963*_xlfn.XLOOKUP(1, (SKUs!$C$2:$C$10001=G1963)*(SKUs!$K$2:$K$10001=I1963),SKUs!$E$2:$E$10001)), 0),"")</f>
        <v/>
      </c>
      <c r="E1963" s="16" t="str">
        <f>_xlfn.XLOOKUP(F1963,dd_item!$B$2:$B$105,dd_item!$C$2:$C$105,"",0)</f>
        <v/>
      </c>
      <c r="F1963" s="16"/>
      <c r="G1963" s="16" cm="1">
        <f t="array" ref="G1963">IFERROR(_xlfn.XLOOKUP(1, (SKUs!$J$2:$J$10001=accsry_unmerged!F1963)*IF(H1963&lt;&gt;"",(SKUs!$L$2:$L$10001=accsry_unmerged!H1963),1)*(SKUs!$K$2:$K$10001=I1963),SKUs!$C$2:$C$10001),"")</f>
        <v>0</v>
      </c>
      <c r="H1963" s="33" cm="1">
        <f t="array" ref="H1963">IFERROR(_xlfn.XLOOKUP(1, (dd_accsryclr!$C$2:$C$1000=accsry_unmerged!F1963)*(dd_accsryclr!$B$2:$B$1000=accsry_unmerged!J1963),dd_accsryclr!$A$2:$A$1000),"")</f>
        <v>0</v>
      </c>
      <c r="I1963" s="16">
        <f>_xlfn.XLOOKUP(C1963,'Project Details'!$C$17:$C$66,'Project Details'!$E$17:$E$66,"",0)</f>
        <v>0</v>
      </c>
      <c r="J1963" s="16">
        <f>_xlfn.XLOOKUP(C1963,'Project Details'!$C$17:$C$66,'Project Details'!$H$17:$H$66,"",0)</f>
        <v>0</v>
      </c>
      <c r="K1963" s="33" t="str">
        <f>IF(AND(_xlfn.XLOOKUP(C1963,'Project Details'!$C$17:$C$66,'Project Details'!$L$17:$L$66,"",0)&gt;550, F1963="Spring-L27cm"),"",SUBSTITUTE(_xlfn.XLOOKUP(G1963,SKUs!$C$2:$C$10001,SKUs!$F$2:$F$10001,"",0), " Accessories",""))</f>
        <v/>
      </c>
      <c r="L1963" s="33">
        <f>_xlfn.XLOOKUP(C1963,'Project Details'!$C$17:$C$66,'Project Details'!$D$17:$D$66,"",0)</f>
        <v>0</v>
      </c>
      <c r="M1963" s="43"/>
    </row>
    <row r="1964" spans="1:13" x14ac:dyDescent="0.25">
      <c r="A1964" s="43"/>
      <c r="B1964" s="43"/>
      <c r="C1964" s="43"/>
      <c r="D1964" s="43"/>
      <c r="E1964" s="43"/>
      <c r="F1964" s="43"/>
      <c r="G1964" s="43"/>
      <c r="H1964" s="43"/>
      <c r="I1964" s="43"/>
      <c r="J1964" s="43"/>
      <c r="K1964" s="43"/>
      <c r="L1964" s="43"/>
      <c r="M1964" s="43"/>
    </row>
    <row r="1965" spans="1:13" x14ac:dyDescent="0.25">
      <c r="A1965" s="43"/>
      <c r="B1965" s="43"/>
      <c r="C1965" s="16">
        <f>C1963+1</f>
        <v>40</v>
      </c>
      <c r="D1965" s="48" cm="1">
        <f t="array" ref="D1965">IFERROR(ROUNDUP(_xlfn.IFS(F1965="Aluminum Track", _xlfn.XLOOKUP(C1965, dd_accsrycalc!$A$2:$A$51, dd_accsrycalc!$B$2:$B$51, "",0), F1965="10 x 2 1/2 S (Flat)", _xlfn.XLOOKUP(C1965, dd_accsrycalc!$A$2:$A$51, dd_accsrycalc!$C$2:$C$51, "",0), F1965="Tox6", _xlfn.XLOOKUP(C1965, dd_accsrycalc!$A$2:$A$51, dd_accsrycalc!$D$2:$D$51, "",0), F1965="Cover Cap", _xlfn.XLOOKUP(C1965, dd_accsrycalc!$A$2:$A$51, dd_accsrycalc!$E$2:$E$51, "",0), F1965="Drainage Cover", _xlfn.XLOOKUP(C1965, dd_accsrycalc!$A$2:$A$51, dd_accsrycalc!$F$2:$F$51, "",0),AND( F1965="Double Adhesive Tape", I1965="Roll-up Screen"), _xlfn.XLOOKUP(C1965, calc_rusacc!$C$15:$C$65, calc_rusacc!$AD$15:$AD$65, "",0),AND( F1965="Sealant", I1965="Roll-up Screen"), _xlfn.XLOOKUP(C1965, calc_rusacc!$C$15:$C$65, calc_rusacc!$AF$15:$AF$65, "",0),  AND( F1965="Main Chain", I1965="Accordion Screen"), _xlfn.XLOOKUP(C1965, calc_rusacc!$C$15:$C$65, calc_rusacc!$BF$15:$BF$65, "",0), AND( F1965="Sealant", I1965="Accordion Screen"), _xlfn.XLOOKUP(C1965, calc_rusacc!$C$15:$C$65, calc_rusacc!$BJ$15:$BJ$65, "",0),  F1965="Sealant", _xlfn.XLOOKUP(C1965, dd_accsrycalc!$A$2:$A$51, dd_accsrycalc!$G$2:$G$51, "",0),  F1965&lt;&gt;"",L1965*_xlfn.XLOOKUP(1, (SKUs!$C$2:$C$10001=G1965)*(SKUs!$K$2:$K$10001=I1965),SKUs!$E$2:$E$10001)), 0),"")</f>
        <v>0</v>
      </c>
      <c r="E1965" s="48" t="str">
        <f>_xlfn.XLOOKUP(F1965,dd_item!$B$2:$B$105,dd_item!$C$2:$C$105,"",0)</f>
        <v/>
      </c>
      <c r="F1965" s="48" cm="1">
        <f t="array" ref="F1965">IFERROR(_xlfn.UNIQUE(_xlfn._xlws.FILTER(SKUs!$J$2:$J$10001, (SKUs!$F$2:$F$10001&lt;&gt;"Cutting List") * (SKUs!$A$2:$A$10001=_xlfn.XLOOKUP(_xlfn.XLOOKUP(C1965,'Project Details'!$C$17:$C$66,'Project Details'!$E$17:$E$66,"",0), dd_design_raw!$A$2:$A$101,dd_design_raw!$C$2:$C$101,"",0)))), "")</f>
        <v>0</v>
      </c>
      <c r="G1965" s="16" cm="1">
        <f t="array" ref="G1965">IFERROR(_xlfn.XLOOKUP(1, (SKUs!$J$2:$J$10001=accsry_unmerged!F1965)*IF(H1965&lt;&gt;"",(SKUs!$L$2:$L$10001=accsry_unmerged!H1965),1)*(SKUs!$K$2:$K$10001=I1965),SKUs!$C$2:$C$10001),"")</f>
        <v>0</v>
      </c>
      <c r="H1965" s="16" cm="1">
        <f t="array" ref="H1965">IFERROR(_xlfn.XLOOKUP(1, (dd_accsryclr!$C$2:$C$1000=accsry_unmerged!F1965)*(dd_accsryclr!$B$2:$B$1000=accsry_unmerged!J1965),dd_accsryclr!$A$2:$A$1000),"")</f>
        <v>0</v>
      </c>
      <c r="I1965" s="16">
        <f>_xlfn.XLOOKUP(C1965,'Project Details'!$C$17:$C$66,'Project Details'!$E$17:$E$66,"",0)</f>
        <v>0</v>
      </c>
      <c r="J1965" s="16">
        <f>_xlfn.XLOOKUP(C1965,'Project Details'!$C$17:$C$66,'Project Details'!$H$17:$H$66,"",0)</f>
        <v>0</v>
      </c>
      <c r="K1965" s="16" t="str">
        <f>IF(AND(_xlfn.XLOOKUP(C1965,'Project Details'!$C$17:$C$66,'Project Details'!$L$17:$L$66,"",0)&gt;550, F1965="Spring-L27cm"),"",SUBSTITUTE(_xlfn.XLOOKUP(G1965,SKUs!$C$2:$C$10001,SKUs!$F$2:$F$10001,"",0), " Accessories",""))</f>
        <v/>
      </c>
      <c r="L1965" s="16">
        <f>_xlfn.XLOOKUP(C1965,'Project Details'!$C$17:$C$66,'Project Details'!$D$17:$D$66,"",0)</f>
        <v>0</v>
      </c>
      <c r="M1965" s="43"/>
    </row>
    <row r="1966" spans="1:13" x14ac:dyDescent="0.25">
      <c r="A1966" s="43"/>
      <c r="B1966" s="43"/>
      <c r="C1966" s="35">
        <f>C1965</f>
        <v>40</v>
      </c>
      <c r="D1966" s="35" t="str" cm="1">
        <f t="array" ref="D1966">IFERROR(ROUNDUP(_xlfn.IFS(F1966="Aluminum Track", _xlfn.XLOOKUP(C1966, dd_accsrycalc!$A$2:$A$51, dd_accsrycalc!$B$2:$B$51, "",0), F1966="10 x 2 1/2 S (Flat)", _xlfn.XLOOKUP(C1966, dd_accsrycalc!$A$2:$A$51, dd_accsrycalc!$C$2:$C$51, "",0), F1966="Tox6", _xlfn.XLOOKUP(C1966, dd_accsrycalc!$A$2:$A$51, dd_accsrycalc!$D$2:$D$51, "",0), F1966="Cover Cap", _xlfn.XLOOKUP(C1966, dd_accsrycalc!$A$2:$A$51, dd_accsrycalc!$E$2:$E$51, "",0), F1966="Drainage Cover", _xlfn.XLOOKUP(C1966, dd_accsrycalc!$A$2:$A$51, dd_accsrycalc!$F$2:$F$51, "",0),AND( F1966="Double Adhesive Tape", I1966="Roll-up Screen"), _xlfn.XLOOKUP(C1966, calc_rusacc!$C$15:$C$65, calc_rusacc!$AD$15:$AD$65, "",0),AND( F1966="Sealant", I1966="Roll-up Screen"), _xlfn.XLOOKUP(C1966, calc_rusacc!$C$15:$C$65, calc_rusacc!$AF$15:$AF$65, "",0),  AND( F1966="Main Chain", I1966="Accordion Screen"), _xlfn.XLOOKUP(C1966, calc_rusacc!$C$15:$C$65, calc_rusacc!$BF$15:$BF$65, "",0), AND( F1966="Sealant", I1966="Accordion Screen"), _xlfn.XLOOKUP(C1966, calc_rusacc!$C$15:$C$65, calc_rusacc!$BJ$15:$BJ$65, "",0),  F1966="Sealant", _xlfn.XLOOKUP(C1966, dd_accsrycalc!$A$2:$A$51, dd_accsrycalc!$G$2:$G$51, "",0),  F1966&lt;&gt;"",L1966*_xlfn.XLOOKUP(1, (SKUs!$C$2:$C$10001=G1966)*(SKUs!$K$2:$K$10001=I1966),SKUs!$E$2:$E$10001)), 0),"")</f>
        <v/>
      </c>
      <c r="E1966" s="35" t="str">
        <f>_xlfn.XLOOKUP(F1966,dd_item!$B$2:$B$105,dd_item!$C$2:$C$105,"",0)</f>
        <v/>
      </c>
      <c r="F1966" s="35"/>
      <c r="G1966" s="35" cm="1">
        <f t="array" ref="G1966">IFERROR(_xlfn.XLOOKUP(1, (SKUs!$J$2:$J$10001=accsry_unmerged!F1966)*IF(H1966&lt;&gt;"",(SKUs!$L$2:$L$10001=accsry_unmerged!H1966),1)*(SKUs!$K$2:$K$10001=I1966),SKUs!$C$2:$C$10001),"")</f>
        <v>0</v>
      </c>
      <c r="H1966" s="36" cm="1">
        <f t="array" ref="H1966">IFERROR(_xlfn.XLOOKUP(1, (dd_accsryclr!$C$2:$C$1000=accsry_unmerged!F1966)*(dd_accsryclr!$B$2:$B$1000=accsry_unmerged!J1966),dd_accsryclr!$A$2:$A$1000),"")</f>
        <v>0</v>
      </c>
      <c r="I1966" s="35">
        <f>_xlfn.XLOOKUP(C1966,'Project Details'!$C$17:$C$66,'Project Details'!$E$17:$E$66,"",0)</f>
        <v>0</v>
      </c>
      <c r="J1966" s="35">
        <f>_xlfn.XLOOKUP(C1966,'Project Details'!$C$17:$C$66,'Project Details'!$H$17:$H$66,"",0)</f>
        <v>0</v>
      </c>
      <c r="K1966" s="36" t="str">
        <f>IF(AND(_xlfn.XLOOKUP(C1966,'Project Details'!$C$17:$C$66,'Project Details'!$L$17:$L$66,"",0)&gt;550, F1966="Spring-L27cm"),"",SUBSTITUTE(_xlfn.XLOOKUP(G1966,SKUs!$C$2:$C$10001,SKUs!$F$2:$F$10001,"",0), " Accessories",""))</f>
        <v/>
      </c>
      <c r="L1966" s="36">
        <f>_xlfn.XLOOKUP(C1966,'Project Details'!$C$17:$C$66,'Project Details'!$D$17:$D$66,"",0)</f>
        <v>0</v>
      </c>
      <c r="M1966" s="43"/>
    </row>
    <row r="1967" spans="1:13" x14ac:dyDescent="0.25">
      <c r="A1967" s="43"/>
      <c r="B1967" s="43"/>
      <c r="C1967" s="16">
        <f t="shared" ref="C1967:C2013" si="38">C1966</f>
        <v>40</v>
      </c>
      <c r="D1967" s="16" t="str" cm="1">
        <f t="array" ref="D1967">IFERROR(ROUNDUP(_xlfn.IFS(F1967="Aluminum Track", _xlfn.XLOOKUP(C1967, dd_accsrycalc!$A$2:$A$51, dd_accsrycalc!$B$2:$B$51, "",0), F1967="10 x 2 1/2 S (Flat)", _xlfn.XLOOKUP(C1967, dd_accsrycalc!$A$2:$A$51, dd_accsrycalc!$C$2:$C$51, "",0), F1967="Tox6", _xlfn.XLOOKUP(C1967, dd_accsrycalc!$A$2:$A$51, dd_accsrycalc!$D$2:$D$51, "",0), F1967="Cover Cap", _xlfn.XLOOKUP(C1967, dd_accsrycalc!$A$2:$A$51, dd_accsrycalc!$E$2:$E$51, "",0), F1967="Drainage Cover", _xlfn.XLOOKUP(C1967, dd_accsrycalc!$A$2:$A$51, dd_accsrycalc!$F$2:$F$51, "",0),AND( F1967="Double Adhesive Tape", I1967="Roll-up Screen"), _xlfn.XLOOKUP(C1967, calc_rusacc!$C$15:$C$65, calc_rusacc!$AD$15:$AD$65, "",0),AND( F1967="Sealant", I1967="Roll-up Screen"), _xlfn.XLOOKUP(C1967, calc_rusacc!$C$15:$C$65, calc_rusacc!$AF$15:$AF$65, "",0),  AND( F1967="Main Chain", I1967="Accordion Screen"), _xlfn.XLOOKUP(C1967, calc_rusacc!$C$15:$C$65, calc_rusacc!$BF$15:$BF$65, "",0), AND( F1967="Sealant", I1967="Accordion Screen"), _xlfn.XLOOKUP(C1967, calc_rusacc!$C$15:$C$65, calc_rusacc!$BJ$15:$BJ$65, "",0),  F1967="Sealant", _xlfn.XLOOKUP(C1967, dd_accsrycalc!$A$2:$A$51, dd_accsrycalc!$G$2:$G$51, "",0),  F1967&lt;&gt;"",L1967*_xlfn.XLOOKUP(1, (SKUs!$C$2:$C$10001=G1967)*(SKUs!$K$2:$K$10001=I1967),SKUs!$E$2:$E$10001)), 0),"")</f>
        <v/>
      </c>
      <c r="E1967" s="16" t="str">
        <f>_xlfn.XLOOKUP(F1967,dd_item!$B$2:$B$105,dd_item!$C$2:$C$105,"",0)</f>
        <v/>
      </c>
      <c r="F1967" s="16"/>
      <c r="G1967" s="16" cm="1">
        <f t="array" ref="G1967">IFERROR(_xlfn.XLOOKUP(1, (SKUs!$J$2:$J$10001=accsry_unmerged!F1967)*IF(H1967&lt;&gt;"",(SKUs!$L$2:$L$10001=accsry_unmerged!H1967),1)*(SKUs!$K$2:$K$10001=I1967),SKUs!$C$2:$C$10001),"")</f>
        <v>0</v>
      </c>
      <c r="H1967" s="33" cm="1">
        <f t="array" ref="H1967">IFERROR(_xlfn.XLOOKUP(1, (dd_accsryclr!$C$2:$C$1000=accsry_unmerged!F1967)*(dd_accsryclr!$B$2:$B$1000=accsry_unmerged!J1967),dd_accsryclr!$A$2:$A$1000),"")</f>
        <v>0</v>
      </c>
      <c r="I1967" s="16">
        <f>_xlfn.XLOOKUP(C1967,'Project Details'!$C$17:$C$66,'Project Details'!$E$17:$E$66,"",0)</f>
        <v>0</v>
      </c>
      <c r="J1967" s="16">
        <f>_xlfn.XLOOKUP(C1967,'Project Details'!$C$17:$C$66,'Project Details'!$H$17:$H$66,"",0)</f>
        <v>0</v>
      </c>
      <c r="K1967" s="33" t="str">
        <f>IF(AND(_xlfn.XLOOKUP(C1967,'Project Details'!$C$17:$C$66,'Project Details'!$L$17:$L$66,"",0)&gt;550, F1967="Spring-L27cm"),"",SUBSTITUTE(_xlfn.XLOOKUP(G1967,SKUs!$C$2:$C$10001,SKUs!$F$2:$F$10001,"",0), " Accessories",""))</f>
        <v/>
      </c>
      <c r="L1967" s="33">
        <f>_xlfn.XLOOKUP(C1967,'Project Details'!$C$17:$C$66,'Project Details'!$D$17:$D$66,"",0)</f>
        <v>0</v>
      </c>
      <c r="M1967" s="43"/>
    </row>
    <row r="1968" spans="1:13" x14ac:dyDescent="0.25">
      <c r="A1968" s="43"/>
      <c r="B1968" s="43"/>
      <c r="C1968" s="35">
        <f t="shared" si="38"/>
        <v>40</v>
      </c>
      <c r="D1968" s="35" t="str" cm="1">
        <f t="array" ref="D1968">IFERROR(ROUNDUP(_xlfn.IFS(F1968="Aluminum Track", _xlfn.XLOOKUP(C1968, dd_accsrycalc!$A$2:$A$51, dd_accsrycalc!$B$2:$B$51, "",0), F1968="10 x 2 1/2 S (Flat)", _xlfn.XLOOKUP(C1968, dd_accsrycalc!$A$2:$A$51, dd_accsrycalc!$C$2:$C$51, "",0), F1968="Tox6", _xlfn.XLOOKUP(C1968, dd_accsrycalc!$A$2:$A$51, dd_accsrycalc!$D$2:$D$51, "",0), F1968="Cover Cap", _xlfn.XLOOKUP(C1968, dd_accsrycalc!$A$2:$A$51, dd_accsrycalc!$E$2:$E$51, "",0), F1968="Drainage Cover", _xlfn.XLOOKUP(C1968, dd_accsrycalc!$A$2:$A$51, dd_accsrycalc!$F$2:$F$51, "",0),AND( F1968="Double Adhesive Tape", I1968="Roll-up Screen"), _xlfn.XLOOKUP(C1968, calc_rusacc!$C$15:$C$65, calc_rusacc!$AD$15:$AD$65, "",0),AND( F1968="Sealant", I1968="Roll-up Screen"), _xlfn.XLOOKUP(C1968, calc_rusacc!$C$15:$C$65, calc_rusacc!$AF$15:$AF$65, "",0),  AND( F1968="Main Chain", I1968="Accordion Screen"), _xlfn.XLOOKUP(C1968, calc_rusacc!$C$15:$C$65, calc_rusacc!$BF$15:$BF$65, "",0), AND( F1968="Sealant", I1968="Accordion Screen"), _xlfn.XLOOKUP(C1968, calc_rusacc!$C$15:$C$65, calc_rusacc!$BJ$15:$BJ$65, "",0),  F1968="Sealant", _xlfn.XLOOKUP(C1968, dd_accsrycalc!$A$2:$A$51, dd_accsrycalc!$G$2:$G$51, "",0),  F1968&lt;&gt;"",L1968*_xlfn.XLOOKUP(1, (SKUs!$C$2:$C$10001=G1968)*(SKUs!$K$2:$K$10001=I1968),SKUs!$E$2:$E$10001)), 0),"")</f>
        <v/>
      </c>
      <c r="E1968" s="35" t="str">
        <f>_xlfn.XLOOKUP(F1968,dd_item!$B$2:$B$105,dd_item!$C$2:$C$105,"",0)</f>
        <v/>
      </c>
      <c r="F1968" s="35"/>
      <c r="G1968" s="35" cm="1">
        <f t="array" ref="G1968">IFERROR(_xlfn.XLOOKUP(1, (SKUs!$J$2:$J$10001=accsry_unmerged!F1968)*IF(H1968&lt;&gt;"",(SKUs!$L$2:$L$10001=accsry_unmerged!H1968),1)*(SKUs!$K$2:$K$10001=I1968),SKUs!$C$2:$C$10001),"")</f>
        <v>0</v>
      </c>
      <c r="H1968" s="36" cm="1">
        <f t="array" ref="H1968">IFERROR(_xlfn.XLOOKUP(1, (dd_accsryclr!$C$2:$C$1000=accsry_unmerged!F1968)*(dd_accsryclr!$B$2:$B$1000=accsry_unmerged!J1968),dd_accsryclr!$A$2:$A$1000),"")</f>
        <v>0</v>
      </c>
      <c r="I1968" s="35">
        <f>_xlfn.XLOOKUP(C1968,'Project Details'!$C$17:$C$66,'Project Details'!$E$17:$E$66,"",0)</f>
        <v>0</v>
      </c>
      <c r="J1968" s="35">
        <f>_xlfn.XLOOKUP(C1968,'Project Details'!$C$17:$C$66,'Project Details'!$H$17:$H$66,"",0)</f>
        <v>0</v>
      </c>
      <c r="K1968" s="36" t="str">
        <f>IF(AND(_xlfn.XLOOKUP(C1968,'Project Details'!$C$17:$C$66,'Project Details'!$L$17:$L$66,"",0)&gt;550, F1968="Spring-L27cm"),"",SUBSTITUTE(_xlfn.XLOOKUP(G1968,SKUs!$C$2:$C$10001,SKUs!$F$2:$F$10001,"",0), " Accessories",""))</f>
        <v/>
      </c>
      <c r="L1968" s="36">
        <f>_xlfn.XLOOKUP(C1968,'Project Details'!$C$17:$C$66,'Project Details'!$D$17:$D$66,"",0)</f>
        <v>0</v>
      </c>
      <c r="M1968" s="43"/>
    </row>
    <row r="1969" spans="1:13" x14ac:dyDescent="0.25">
      <c r="A1969" s="43"/>
      <c r="B1969" s="43"/>
      <c r="C1969" s="16">
        <f t="shared" si="38"/>
        <v>40</v>
      </c>
      <c r="D1969" s="16" t="str" cm="1">
        <f t="array" ref="D1969">IFERROR(ROUNDUP(_xlfn.IFS(F1969="Aluminum Track", _xlfn.XLOOKUP(C1969, dd_accsrycalc!$A$2:$A$51, dd_accsrycalc!$B$2:$B$51, "",0), F1969="10 x 2 1/2 S (Flat)", _xlfn.XLOOKUP(C1969, dd_accsrycalc!$A$2:$A$51, dd_accsrycalc!$C$2:$C$51, "",0), F1969="Tox6", _xlfn.XLOOKUP(C1969, dd_accsrycalc!$A$2:$A$51, dd_accsrycalc!$D$2:$D$51, "",0), F1969="Cover Cap", _xlfn.XLOOKUP(C1969, dd_accsrycalc!$A$2:$A$51, dd_accsrycalc!$E$2:$E$51, "",0), F1969="Drainage Cover", _xlfn.XLOOKUP(C1969, dd_accsrycalc!$A$2:$A$51, dd_accsrycalc!$F$2:$F$51, "",0),AND( F1969="Double Adhesive Tape", I1969="Roll-up Screen"), _xlfn.XLOOKUP(C1969, calc_rusacc!$C$15:$C$65, calc_rusacc!$AD$15:$AD$65, "",0),AND( F1969="Sealant", I1969="Roll-up Screen"), _xlfn.XLOOKUP(C1969, calc_rusacc!$C$15:$C$65, calc_rusacc!$AF$15:$AF$65, "",0),  AND( F1969="Main Chain", I1969="Accordion Screen"), _xlfn.XLOOKUP(C1969, calc_rusacc!$C$15:$C$65, calc_rusacc!$BF$15:$BF$65, "",0), AND( F1969="Sealant", I1969="Accordion Screen"), _xlfn.XLOOKUP(C1969, calc_rusacc!$C$15:$C$65, calc_rusacc!$BJ$15:$BJ$65, "",0),  F1969="Sealant", _xlfn.XLOOKUP(C1969, dd_accsrycalc!$A$2:$A$51, dd_accsrycalc!$G$2:$G$51, "",0),  F1969&lt;&gt;"",L1969*_xlfn.XLOOKUP(1, (SKUs!$C$2:$C$10001=G1969)*(SKUs!$K$2:$K$10001=I1969),SKUs!$E$2:$E$10001)), 0),"")</f>
        <v/>
      </c>
      <c r="E1969" s="16" t="str">
        <f>_xlfn.XLOOKUP(F1969,dd_item!$B$2:$B$105,dd_item!$C$2:$C$105,"",0)</f>
        <v/>
      </c>
      <c r="F1969" s="16"/>
      <c r="G1969" s="16" cm="1">
        <f t="array" ref="G1969">IFERROR(_xlfn.XLOOKUP(1, (SKUs!$J$2:$J$10001=accsry_unmerged!F1969)*IF(H1969&lt;&gt;"",(SKUs!$L$2:$L$10001=accsry_unmerged!H1969),1)*(SKUs!$K$2:$K$10001=I1969),SKUs!$C$2:$C$10001),"")</f>
        <v>0</v>
      </c>
      <c r="H1969" s="33" cm="1">
        <f t="array" ref="H1969">IFERROR(_xlfn.XLOOKUP(1, (dd_accsryclr!$C$2:$C$1000=accsry_unmerged!F1969)*(dd_accsryclr!$B$2:$B$1000=accsry_unmerged!J1969),dd_accsryclr!$A$2:$A$1000),"")</f>
        <v>0</v>
      </c>
      <c r="I1969" s="16">
        <f>_xlfn.XLOOKUP(C1969,'Project Details'!$C$17:$C$66,'Project Details'!$E$17:$E$66,"",0)</f>
        <v>0</v>
      </c>
      <c r="J1969" s="16">
        <f>_xlfn.XLOOKUP(C1969,'Project Details'!$C$17:$C$66,'Project Details'!$H$17:$H$66,"",0)</f>
        <v>0</v>
      </c>
      <c r="K1969" s="33" t="str">
        <f>IF(AND(_xlfn.XLOOKUP(C1969,'Project Details'!$C$17:$C$66,'Project Details'!$L$17:$L$66,"",0)&gt;550, F1969="Spring-L27cm"),"",SUBSTITUTE(_xlfn.XLOOKUP(G1969,SKUs!$C$2:$C$10001,SKUs!$F$2:$F$10001,"",0), " Accessories",""))</f>
        <v/>
      </c>
      <c r="L1969" s="33">
        <f>_xlfn.XLOOKUP(C1969,'Project Details'!$C$17:$C$66,'Project Details'!$D$17:$D$66,"",0)</f>
        <v>0</v>
      </c>
      <c r="M1969" s="43"/>
    </row>
    <row r="1970" spans="1:13" x14ac:dyDescent="0.25">
      <c r="A1970" s="43"/>
      <c r="B1970" s="43"/>
      <c r="C1970" s="35">
        <f t="shared" si="38"/>
        <v>40</v>
      </c>
      <c r="D1970" s="35" t="str" cm="1">
        <f t="array" ref="D1970">IFERROR(ROUNDUP(_xlfn.IFS(F1970="Aluminum Track", _xlfn.XLOOKUP(C1970, dd_accsrycalc!$A$2:$A$51, dd_accsrycalc!$B$2:$B$51, "",0), F1970="10 x 2 1/2 S (Flat)", _xlfn.XLOOKUP(C1970, dd_accsrycalc!$A$2:$A$51, dd_accsrycalc!$C$2:$C$51, "",0), F1970="Tox6", _xlfn.XLOOKUP(C1970, dd_accsrycalc!$A$2:$A$51, dd_accsrycalc!$D$2:$D$51, "",0), F1970="Cover Cap", _xlfn.XLOOKUP(C1970, dd_accsrycalc!$A$2:$A$51, dd_accsrycalc!$E$2:$E$51, "",0), F1970="Drainage Cover", _xlfn.XLOOKUP(C1970, dd_accsrycalc!$A$2:$A$51, dd_accsrycalc!$F$2:$F$51, "",0),AND( F1970="Double Adhesive Tape", I1970="Roll-up Screen"), _xlfn.XLOOKUP(C1970, calc_rusacc!$C$15:$C$65, calc_rusacc!$AD$15:$AD$65, "",0),AND( F1970="Sealant", I1970="Roll-up Screen"), _xlfn.XLOOKUP(C1970, calc_rusacc!$C$15:$C$65, calc_rusacc!$AF$15:$AF$65, "",0),  AND( F1970="Main Chain", I1970="Accordion Screen"), _xlfn.XLOOKUP(C1970, calc_rusacc!$C$15:$C$65, calc_rusacc!$BF$15:$BF$65, "",0), AND( F1970="Sealant", I1970="Accordion Screen"), _xlfn.XLOOKUP(C1970, calc_rusacc!$C$15:$C$65, calc_rusacc!$BJ$15:$BJ$65, "",0),  F1970="Sealant", _xlfn.XLOOKUP(C1970, dd_accsrycalc!$A$2:$A$51, dd_accsrycalc!$G$2:$G$51, "",0),  F1970&lt;&gt;"",L1970*_xlfn.XLOOKUP(1, (SKUs!$C$2:$C$10001=G1970)*(SKUs!$K$2:$K$10001=I1970),SKUs!$E$2:$E$10001)), 0),"")</f>
        <v/>
      </c>
      <c r="E1970" s="35" t="str">
        <f>_xlfn.XLOOKUP(F1970,dd_item!$B$2:$B$105,dd_item!$C$2:$C$105,"",0)</f>
        <v/>
      </c>
      <c r="F1970" s="35"/>
      <c r="G1970" s="35" cm="1">
        <f t="array" ref="G1970">IFERROR(_xlfn.XLOOKUP(1, (SKUs!$J$2:$J$10001=accsry_unmerged!F1970)*IF(H1970&lt;&gt;"",(SKUs!$L$2:$L$10001=accsry_unmerged!H1970),1)*(SKUs!$K$2:$K$10001=I1970),SKUs!$C$2:$C$10001),"")</f>
        <v>0</v>
      </c>
      <c r="H1970" s="36" cm="1">
        <f t="array" ref="H1970">IFERROR(_xlfn.XLOOKUP(1, (dd_accsryclr!$C$2:$C$1000=accsry_unmerged!F1970)*(dd_accsryclr!$B$2:$B$1000=accsry_unmerged!J1970),dd_accsryclr!$A$2:$A$1000),"")</f>
        <v>0</v>
      </c>
      <c r="I1970" s="35">
        <f>_xlfn.XLOOKUP(C1970,'Project Details'!$C$17:$C$66,'Project Details'!$E$17:$E$66,"",0)</f>
        <v>0</v>
      </c>
      <c r="J1970" s="35">
        <f>_xlfn.XLOOKUP(C1970,'Project Details'!$C$17:$C$66,'Project Details'!$H$17:$H$66,"",0)</f>
        <v>0</v>
      </c>
      <c r="K1970" s="36" t="str">
        <f>IF(AND(_xlfn.XLOOKUP(C1970,'Project Details'!$C$17:$C$66,'Project Details'!$L$17:$L$66,"",0)&gt;550, F1970="Spring-L27cm"),"",SUBSTITUTE(_xlfn.XLOOKUP(G1970,SKUs!$C$2:$C$10001,SKUs!$F$2:$F$10001,"",0), " Accessories",""))</f>
        <v/>
      </c>
      <c r="L1970" s="36">
        <f>_xlfn.XLOOKUP(C1970,'Project Details'!$C$17:$C$66,'Project Details'!$D$17:$D$66,"",0)</f>
        <v>0</v>
      </c>
      <c r="M1970" s="43"/>
    </row>
    <row r="1971" spans="1:13" x14ac:dyDescent="0.25">
      <c r="A1971" s="43"/>
      <c r="B1971" s="43"/>
      <c r="C1971" s="16">
        <f t="shared" si="38"/>
        <v>40</v>
      </c>
      <c r="D1971" s="16" t="str" cm="1">
        <f t="array" ref="D1971">IFERROR(ROUNDUP(_xlfn.IFS(F1971="Aluminum Track", _xlfn.XLOOKUP(C1971, dd_accsrycalc!$A$2:$A$51, dd_accsrycalc!$B$2:$B$51, "",0), F1971="10 x 2 1/2 S (Flat)", _xlfn.XLOOKUP(C1971, dd_accsrycalc!$A$2:$A$51, dd_accsrycalc!$C$2:$C$51, "",0), F1971="Tox6", _xlfn.XLOOKUP(C1971, dd_accsrycalc!$A$2:$A$51, dd_accsrycalc!$D$2:$D$51, "",0), F1971="Cover Cap", _xlfn.XLOOKUP(C1971, dd_accsrycalc!$A$2:$A$51, dd_accsrycalc!$E$2:$E$51, "",0), F1971="Drainage Cover", _xlfn.XLOOKUP(C1971, dd_accsrycalc!$A$2:$A$51, dd_accsrycalc!$F$2:$F$51, "",0),AND( F1971="Double Adhesive Tape", I1971="Roll-up Screen"), _xlfn.XLOOKUP(C1971, calc_rusacc!$C$15:$C$65, calc_rusacc!$AD$15:$AD$65, "",0),AND( F1971="Sealant", I1971="Roll-up Screen"), _xlfn.XLOOKUP(C1971, calc_rusacc!$C$15:$C$65, calc_rusacc!$AF$15:$AF$65, "",0),  AND( F1971="Main Chain", I1971="Accordion Screen"), _xlfn.XLOOKUP(C1971, calc_rusacc!$C$15:$C$65, calc_rusacc!$BF$15:$BF$65, "",0), AND( F1971="Sealant", I1971="Accordion Screen"), _xlfn.XLOOKUP(C1971, calc_rusacc!$C$15:$C$65, calc_rusacc!$BJ$15:$BJ$65, "",0),  F1971="Sealant", _xlfn.XLOOKUP(C1971, dd_accsrycalc!$A$2:$A$51, dd_accsrycalc!$G$2:$G$51, "",0),  F1971&lt;&gt;"",L1971*_xlfn.XLOOKUP(1, (SKUs!$C$2:$C$10001=G1971)*(SKUs!$K$2:$K$10001=I1971),SKUs!$E$2:$E$10001)), 0),"")</f>
        <v/>
      </c>
      <c r="E1971" s="16" t="str">
        <f>_xlfn.XLOOKUP(F1971,dd_item!$B$2:$B$105,dd_item!$C$2:$C$105,"",0)</f>
        <v/>
      </c>
      <c r="F1971" s="16"/>
      <c r="G1971" s="16" cm="1">
        <f t="array" ref="G1971">IFERROR(_xlfn.XLOOKUP(1, (SKUs!$J$2:$J$10001=accsry_unmerged!F1971)*IF(H1971&lt;&gt;"",(SKUs!$L$2:$L$10001=accsry_unmerged!H1971),1)*(SKUs!$K$2:$K$10001=I1971),SKUs!$C$2:$C$10001),"")</f>
        <v>0</v>
      </c>
      <c r="H1971" s="33" cm="1">
        <f t="array" ref="H1971">IFERROR(_xlfn.XLOOKUP(1, (dd_accsryclr!$C$2:$C$1000=accsry_unmerged!F1971)*(dd_accsryclr!$B$2:$B$1000=accsry_unmerged!J1971),dd_accsryclr!$A$2:$A$1000),"")</f>
        <v>0</v>
      </c>
      <c r="I1971" s="16">
        <f>_xlfn.XLOOKUP(C1971,'Project Details'!$C$17:$C$66,'Project Details'!$E$17:$E$66,"",0)</f>
        <v>0</v>
      </c>
      <c r="J1971" s="16">
        <f>_xlfn.XLOOKUP(C1971,'Project Details'!$C$17:$C$66,'Project Details'!$H$17:$H$66,"",0)</f>
        <v>0</v>
      </c>
      <c r="K1971" s="33" t="str">
        <f>IF(AND(_xlfn.XLOOKUP(C1971,'Project Details'!$C$17:$C$66,'Project Details'!$L$17:$L$66,"",0)&gt;550, F1971="Spring-L27cm"),"",SUBSTITUTE(_xlfn.XLOOKUP(G1971,SKUs!$C$2:$C$10001,SKUs!$F$2:$F$10001,"",0), " Accessories",""))</f>
        <v/>
      </c>
      <c r="L1971" s="33">
        <f>_xlfn.XLOOKUP(C1971,'Project Details'!$C$17:$C$66,'Project Details'!$D$17:$D$66,"",0)</f>
        <v>0</v>
      </c>
      <c r="M1971" s="43"/>
    </row>
    <row r="1972" spans="1:13" x14ac:dyDescent="0.25">
      <c r="A1972" s="43"/>
      <c r="B1972" s="43"/>
      <c r="C1972" s="35">
        <f t="shared" si="38"/>
        <v>40</v>
      </c>
      <c r="D1972" s="35" t="str" cm="1">
        <f t="array" ref="D1972">IFERROR(ROUNDUP(_xlfn.IFS(F1972="Aluminum Track", _xlfn.XLOOKUP(C1972, dd_accsrycalc!$A$2:$A$51, dd_accsrycalc!$B$2:$B$51, "",0), F1972="10 x 2 1/2 S (Flat)", _xlfn.XLOOKUP(C1972, dd_accsrycalc!$A$2:$A$51, dd_accsrycalc!$C$2:$C$51, "",0), F1972="Tox6", _xlfn.XLOOKUP(C1972, dd_accsrycalc!$A$2:$A$51, dd_accsrycalc!$D$2:$D$51, "",0), F1972="Cover Cap", _xlfn.XLOOKUP(C1972, dd_accsrycalc!$A$2:$A$51, dd_accsrycalc!$E$2:$E$51, "",0), F1972="Drainage Cover", _xlfn.XLOOKUP(C1972, dd_accsrycalc!$A$2:$A$51, dd_accsrycalc!$F$2:$F$51, "",0),AND( F1972="Double Adhesive Tape", I1972="Roll-up Screen"), _xlfn.XLOOKUP(C1972, calc_rusacc!$C$15:$C$65, calc_rusacc!$AD$15:$AD$65, "",0),AND( F1972="Sealant", I1972="Roll-up Screen"), _xlfn.XLOOKUP(C1972, calc_rusacc!$C$15:$C$65, calc_rusacc!$AF$15:$AF$65, "",0),  AND( F1972="Main Chain", I1972="Accordion Screen"), _xlfn.XLOOKUP(C1972, calc_rusacc!$C$15:$C$65, calc_rusacc!$BF$15:$BF$65, "",0), AND( F1972="Sealant", I1972="Accordion Screen"), _xlfn.XLOOKUP(C1972, calc_rusacc!$C$15:$C$65, calc_rusacc!$BJ$15:$BJ$65, "",0),  F1972="Sealant", _xlfn.XLOOKUP(C1972, dd_accsrycalc!$A$2:$A$51, dd_accsrycalc!$G$2:$G$51, "",0),  F1972&lt;&gt;"",L1972*_xlfn.XLOOKUP(1, (SKUs!$C$2:$C$10001=G1972)*(SKUs!$K$2:$K$10001=I1972),SKUs!$E$2:$E$10001)), 0),"")</f>
        <v/>
      </c>
      <c r="E1972" s="35" t="str">
        <f>_xlfn.XLOOKUP(F1972,dd_item!$B$2:$B$105,dd_item!$C$2:$C$105,"",0)</f>
        <v/>
      </c>
      <c r="F1972" s="35"/>
      <c r="G1972" s="35" cm="1">
        <f t="array" ref="G1972">IFERROR(_xlfn.XLOOKUP(1, (SKUs!$J$2:$J$10001=accsry_unmerged!F1972)*IF(H1972&lt;&gt;"",(SKUs!$L$2:$L$10001=accsry_unmerged!H1972),1)*(SKUs!$K$2:$K$10001=I1972),SKUs!$C$2:$C$10001),"")</f>
        <v>0</v>
      </c>
      <c r="H1972" s="36" cm="1">
        <f t="array" ref="H1972">IFERROR(_xlfn.XLOOKUP(1, (dd_accsryclr!$C$2:$C$1000=accsry_unmerged!F1972)*(dd_accsryclr!$B$2:$B$1000=accsry_unmerged!J1972),dd_accsryclr!$A$2:$A$1000),"")</f>
        <v>0</v>
      </c>
      <c r="I1972" s="35">
        <f>_xlfn.XLOOKUP(C1972,'Project Details'!$C$17:$C$66,'Project Details'!$E$17:$E$66,"",0)</f>
        <v>0</v>
      </c>
      <c r="J1972" s="35">
        <f>_xlfn.XLOOKUP(C1972,'Project Details'!$C$17:$C$66,'Project Details'!$H$17:$H$66,"",0)</f>
        <v>0</v>
      </c>
      <c r="K1972" s="36" t="str">
        <f>IF(AND(_xlfn.XLOOKUP(C1972,'Project Details'!$C$17:$C$66,'Project Details'!$L$17:$L$66,"",0)&gt;550, F1972="Spring-L27cm"),"",SUBSTITUTE(_xlfn.XLOOKUP(G1972,SKUs!$C$2:$C$10001,SKUs!$F$2:$F$10001,"",0), " Accessories",""))</f>
        <v/>
      </c>
      <c r="L1972" s="36">
        <f>_xlfn.XLOOKUP(C1972,'Project Details'!$C$17:$C$66,'Project Details'!$D$17:$D$66,"",0)</f>
        <v>0</v>
      </c>
      <c r="M1972" s="43"/>
    </row>
    <row r="1973" spans="1:13" x14ac:dyDescent="0.25">
      <c r="A1973" s="43"/>
      <c r="B1973" s="43"/>
      <c r="C1973" s="16">
        <f t="shared" si="38"/>
        <v>40</v>
      </c>
      <c r="D1973" s="16" t="str" cm="1">
        <f t="array" ref="D1973">IFERROR(ROUNDUP(_xlfn.IFS(F1973="Aluminum Track", _xlfn.XLOOKUP(C1973, dd_accsrycalc!$A$2:$A$51, dd_accsrycalc!$B$2:$B$51, "",0), F1973="10 x 2 1/2 S (Flat)", _xlfn.XLOOKUP(C1973, dd_accsrycalc!$A$2:$A$51, dd_accsrycalc!$C$2:$C$51, "",0), F1973="Tox6", _xlfn.XLOOKUP(C1973, dd_accsrycalc!$A$2:$A$51, dd_accsrycalc!$D$2:$D$51, "",0), F1973="Cover Cap", _xlfn.XLOOKUP(C1973, dd_accsrycalc!$A$2:$A$51, dd_accsrycalc!$E$2:$E$51, "",0), F1973="Drainage Cover", _xlfn.XLOOKUP(C1973, dd_accsrycalc!$A$2:$A$51, dd_accsrycalc!$F$2:$F$51, "",0),AND( F1973="Double Adhesive Tape", I1973="Roll-up Screen"), _xlfn.XLOOKUP(C1973, calc_rusacc!$C$15:$C$65, calc_rusacc!$AD$15:$AD$65, "",0),AND( F1973="Sealant", I1973="Roll-up Screen"), _xlfn.XLOOKUP(C1973, calc_rusacc!$C$15:$C$65, calc_rusacc!$AF$15:$AF$65, "",0),  AND( F1973="Main Chain", I1973="Accordion Screen"), _xlfn.XLOOKUP(C1973, calc_rusacc!$C$15:$C$65, calc_rusacc!$BF$15:$BF$65, "",0), AND( F1973="Sealant", I1973="Accordion Screen"), _xlfn.XLOOKUP(C1973, calc_rusacc!$C$15:$C$65, calc_rusacc!$BJ$15:$BJ$65, "",0),  F1973="Sealant", _xlfn.XLOOKUP(C1973, dd_accsrycalc!$A$2:$A$51, dd_accsrycalc!$G$2:$G$51, "",0),  F1973&lt;&gt;"",L1973*_xlfn.XLOOKUP(1, (SKUs!$C$2:$C$10001=G1973)*(SKUs!$K$2:$K$10001=I1973),SKUs!$E$2:$E$10001)), 0),"")</f>
        <v/>
      </c>
      <c r="E1973" s="16" t="str">
        <f>_xlfn.XLOOKUP(F1973,dd_item!$B$2:$B$105,dd_item!$C$2:$C$105,"",0)</f>
        <v/>
      </c>
      <c r="F1973" s="16"/>
      <c r="G1973" s="16" cm="1">
        <f t="array" ref="G1973">IFERROR(_xlfn.XLOOKUP(1, (SKUs!$J$2:$J$10001=accsry_unmerged!F1973)*IF(H1973&lt;&gt;"",(SKUs!$L$2:$L$10001=accsry_unmerged!H1973),1)*(SKUs!$K$2:$K$10001=I1973),SKUs!$C$2:$C$10001),"")</f>
        <v>0</v>
      </c>
      <c r="H1973" s="33" cm="1">
        <f t="array" ref="H1973">IFERROR(_xlfn.XLOOKUP(1, (dd_accsryclr!$C$2:$C$1000=accsry_unmerged!F1973)*(dd_accsryclr!$B$2:$B$1000=accsry_unmerged!J1973),dd_accsryclr!$A$2:$A$1000),"")</f>
        <v>0</v>
      </c>
      <c r="I1973" s="16">
        <f>_xlfn.XLOOKUP(C1973,'Project Details'!$C$17:$C$66,'Project Details'!$E$17:$E$66,"",0)</f>
        <v>0</v>
      </c>
      <c r="J1973" s="16">
        <f>_xlfn.XLOOKUP(C1973,'Project Details'!$C$17:$C$66,'Project Details'!$H$17:$H$66,"",0)</f>
        <v>0</v>
      </c>
      <c r="K1973" s="33" t="str">
        <f>IF(AND(_xlfn.XLOOKUP(C1973,'Project Details'!$C$17:$C$66,'Project Details'!$L$17:$L$66,"",0)&gt;550, F1973="Spring-L27cm"),"",SUBSTITUTE(_xlfn.XLOOKUP(G1973,SKUs!$C$2:$C$10001,SKUs!$F$2:$F$10001,"",0), " Accessories",""))</f>
        <v/>
      </c>
      <c r="L1973" s="33">
        <f>_xlfn.XLOOKUP(C1973,'Project Details'!$C$17:$C$66,'Project Details'!$D$17:$D$66,"",0)</f>
        <v>0</v>
      </c>
      <c r="M1973" s="43"/>
    </row>
    <row r="1974" spans="1:13" x14ac:dyDescent="0.25">
      <c r="A1974" s="43"/>
      <c r="B1974" s="43"/>
      <c r="C1974" s="35">
        <f t="shared" si="38"/>
        <v>40</v>
      </c>
      <c r="D1974" s="35" t="str" cm="1">
        <f t="array" ref="D1974">IFERROR(ROUNDUP(_xlfn.IFS(F1974="Aluminum Track", _xlfn.XLOOKUP(C1974, dd_accsrycalc!$A$2:$A$51, dd_accsrycalc!$B$2:$B$51, "",0), F1974="10 x 2 1/2 S (Flat)", _xlfn.XLOOKUP(C1974, dd_accsrycalc!$A$2:$A$51, dd_accsrycalc!$C$2:$C$51, "",0), F1974="Tox6", _xlfn.XLOOKUP(C1974, dd_accsrycalc!$A$2:$A$51, dd_accsrycalc!$D$2:$D$51, "",0), F1974="Cover Cap", _xlfn.XLOOKUP(C1974, dd_accsrycalc!$A$2:$A$51, dd_accsrycalc!$E$2:$E$51, "",0), F1974="Drainage Cover", _xlfn.XLOOKUP(C1974, dd_accsrycalc!$A$2:$A$51, dd_accsrycalc!$F$2:$F$51, "",0),AND( F1974="Double Adhesive Tape", I1974="Roll-up Screen"), _xlfn.XLOOKUP(C1974, calc_rusacc!$C$15:$C$65, calc_rusacc!$AD$15:$AD$65, "",0),AND( F1974="Sealant", I1974="Roll-up Screen"), _xlfn.XLOOKUP(C1974, calc_rusacc!$C$15:$C$65, calc_rusacc!$AF$15:$AF$65, "",0),  AND( F1974="Main Chain", I1974="Accordion Screen"), _xlfn.XLOOKUP(C1974, calc_rusacc!$C$15:$C$65, calc_rusacc!$BF$15:$BF$65, "",0), AND( F1974="Sealant", I1974="Accordion Screen"), _xlfn.XLOOKUP(C1974, calc_rusacc!$C$15:$C$65, calc_rusacc!$BJ$15:$BJ$65, "",0),  F1974="Sealant", _xlfn.XLOOKUP(C1974, dd_accsrycalc!$A$2:$A$51, dd_accsrycalc!$G$2:$G$51, "",0),  F1974&lt;&gt;"",L1974*_xlfn.XLOOKUP(1, (SKUs!$C$2:$C$10001=G1974)*(SKUs!$K$2:$K$10001=I1974),SKUs!$E$2:$E$10001)), 0),"")</f>
        <v/>
      </c>
      <c r="E1974" s="35" t="str">
        <f>_xlfn.XLOOKUP(F1974,dd_item!$B$2:$B$105,dd_item!$C$2:$C$105,"",0)</f>
        <v/>
      </c>
      <c r="F1974" s="35"/>
      <c r="G1974" s="35" cm="1">
        <f t="array" ref="G1974">IFERROR(_xlfn.XLOOKUP(1, (SKUs!$J$2:$J$10001=accsry_unmerged!F1974)*IF(H1974&lt;&gt;"",(SKUs!$L$2:$L$10001=accsry_unmerged!H1974),1)*(SKUs!$K$2:$K$10001=I1974),SKUs!$C$2:$C$10001),"")</f>
        <v>0</v>
      </c>
      <c r="H1974" s="36" cm="1">
        <f t="array" ref="H1974">IFERROR(_xlfn.XLOOKUP(1, (dd_accsryclr!$C$2:$C$1000=accsry_unmerged!F1974)*(dd_accsryclr!$B$2:$B$1000=accsry_unmerged!J1974),dd_accsryclr!$A$2:$A$1000),"")</f>
        <v>0</v>
      </c>
      <c r="I1974" s="35">
        <f>_xlfn.XLOOKUP(C1974,'Project Details'!$C$17:$C$66,'Project Details'!$E$17:$E$66,"",0)</f>
        <v>0</v>
      </c>
      <c r="J1974" s="35">
        <f>_xlfn.XLOOKUP(C1974,'Project Details'!$C$17:$C$66,'Project Details'!$H$17:$H$66,"",0)</f>
        <v>0</v>
      </c>
      <c r="K1974" s="36" t="str">
        <f>IF(AND(_xlfn.XLOOKUP(C1974,'Project Details'!$C$17:$C$66,'Project Details'!$L$17:$L$66,"",0)&gt;550, F1974="Spring-L27cm"),"",SUBSTITUTE(_xlfn.XLOOKUP(G1974,SKUs!$C$2:$C$10001,SKUs!$F$2:$F$10001,"",0), " Accessories",""))</f>
        <v/>
      </c>
      <c r="L1974" s="36">
        <f>_xlfn.XLOOKUP(C1974,'Project Details'!$C$17:$C$66,'Project Details'!$D$17:$D$66,"",0)</f>
        <v>0</v>
      </c>
      <c r="M1974" s="43"/>
    </row>
    <row r="1975" spans="1:13" x14ac:dyDescent="0.25">
      <c r="A1975" s="43"/>
      <c r="B1975" s="43"/>
      <c r="C1975" s="16">
        <f t="shared" si="38"/>
        <v>40</v>
      </c>
      <c r="D1975" s="16" t="str" cm="1">
        <f t="array" ref="D1975">IFERROR(ROUNDUP(_xlfn.IFS(F1975="Aluminum Track", _xlfn.XLOOKUP(C1975, dd_accsrycalc!$A$2:$A$51, dd_accsrycalc!$B$2:$B$51, "",0), F1975="10 x 2 1/2 S (Flat)", _xlfn.XLOOKUP(C1975, dd_accsrycalc!$A$2:$A$51, dd_accsrycalc!$C$2:$C$51, "",0), F1975="Tox6", _xlfn.XLOOKUP(C1975, dd_accsrycalc!$A$2:$A$51, dd_accsrycalc!$D$2:$D$51, "",0), F1975="Cover Cap", _xlfn.XLOOKUP(C1975, dd_accsrycalc!$A$2:$A$51, dd_accsrycalc!$E$2:$E$51, "",0), F1975="Drainage Cover", _xlfn.XLOOKUP(C1975, dd_accsrycalc!$A$2:$A$51, dd_accsrycalc!$F$2:$F$51, "",0),AND( F1975="Double Adhesive Tape", I1975="Roll-up Screen"), _xlfn.XLOOKUP(C1975, calc_rusacc!$C$15:$C$65, calc_rusacc!$AD$15:$AD$65, "",0),AND( F1975="Sealant", I1975="Roll-up Screen"), _xlfn.XLOOKUP(C1975, calc_rusacc!$C$15:$C$65, calc_rusacc!$AF$15:$AF$65, "",0),  AND( F1975="Main Chain", I1975="Accordion Screen"), _xlfn.XLOOKUP(C1975, calc_rusacc!$C$15:$C$65, calc_rusacc!$BF$15:$BF$65, "",0), AND( F1975="Sealant", I1975="Accordion Screen"), _xlfn.XLOOKUP(C1975, calc_rusacc!$C$15:$C$65, calc_rusacc!$BJ$15:$BJ$65, "",0),  F1975="Sealant", _xlfn.XLOOKUP(C1975, dd_accsrycalc!$A$2:$A$51, dd_accsrycalc!$G$2:$G$51, "",0),  F1975&lt;&gt;"",L1975*_xlfn.XLOOKUP(1, (SKUs!$C$2:$C$10001=G1975)*(SKUs!$K$2:$K$10001=I1975),SKUs!$E$2:$E$10001)), 0),"")</f>
        <v/>
      </c>
      <c r="E1975" s="16" t="str">
        <f>_xlfn.XLOOKUP(F1975,dd_item!$B$2:$B$105,dd_item!$C$2:$C$105,"",0)</f>
        <v/>
      </c>
      <c r="F1975" s="16"/>
      <c r="G1975" s="16" cm="1">
        <f t="array" ref="G1975">IFERROR(_xlfn.XLOOKUP(1, (SKUs!$J$2:$J$10001=accsry_unmerged!F1975)*IF(H1975&lt;&gt;"",(SKUs!$L$2:$L$10001=accsry_unmerged!H1975),1)*(SKUs!$K$2:$K$10001=I1975),SKUs!$C$2:$C$10001),"")</f>
        <v>0</v>
      </c>
      <c r="H1975" s="33" cm="1">
        <f t="array" ref="H1975">IFERROR(_xlfn.XLOOKUP(1, (dd_accsryclr!$C$2:$C$1000=accsry_unmerged!F1975)*(dd_accsryclr!$B$2:$B$1000=accsry_unmerged!J1975),dd_accsryclr!$A$2:$A$1000),"")</f>
        <v>0</v>
      </c>
      <c r="I1975" s="16">
        <f>_xlfn.XLOOKUP(C1975,'Project Details'!$C$17:$C$66,'Project Details'!$E$17:$E$66,"",0)</f>
        <v>0</v>
      </c>
      <c r="J1975" s="16">
        <f>_xlfn.XLOOKUP(C1975,'Project Details'!$C$17:$C$66,'Project Details'!$H$17:$H$66,"",0)</f>
        <v>0</v>
      </c>
      <c r="K1975" s="33" t="str">
        <f>IF(AND(_xlfn.XLOOKUP(C1975,'Project Details'!$C$17:$C$66,'Project Details'!$L$17:$L$66,"",0)&gt;550, F1975="Spring-L27cm"),"",SUBSTITUTE(_xlfn.XLOOKUP(G1975,SKUs!$C$2:$C$10001,SKUs!$F$2:$F$10001,"",0), " Accessories",""))</f>
        <v/>
      </c>
      <c r="L1975" s="33">
        <f>_xlfn.XLOOKUP(C1975,'Project Details'!$C$17:$C$66,'Project Details'!$D$17:$D$66,"",0)</f>
        <v>0</v>
      </c>
      <c r="M1975" s="43"/>
    </row>
    <row r="1976" spans="1:13" x14ac:dyDescent="0.25">
      <c r="A1976" s="43"/>
      <c r="B1976" s="43"/>
      <c r="C1976" s="35">
        <f t="shared" si="38"/>
        <v>40</v>
      </c>
      <c r="D1976" s="35" t="str" cm="1">
        <f t="array" ref="D1976">IFERROR(ROUNDUP(_xlfn.IFS(F1976="Aluminum Track", _xlfn.XLOOKUP(C1976, dd_accsrycalc!$A$2:$A$51, dd_accsrycalc!$B$2:$B$51, "",0), F1976="10 x 2 1/2 S (Flat)", _xlfn.XLOOKUP(C1976, dd_accsrycalc!$A$2:$A$51, dd_accsrycalc!$C$2:$C$51, "",0), F1976="Tox6", _xlfn.XLOOKUP(C1976, dd_accsrycalc!$A$2:$A$51, dd_accsrycalc!$D$2:$D$51, "",0), F1976="Cover Cap", _xlfn.XLOOKUP(C1976, dd_accsrycalc!$A$2:$A$51, dd_accsrycalc!$E$2:$E$51, "",0), F1976="Drainage Cover", _xlfn.XLOOKUP(C1976, dd_accsrycalc!$A$2:$A$51, dd_accsrycalc!$F$2:$F$51, "",0),AND( F1976="Double Adhesive Tape", I1976="Roll-up Screen"), _xlfn.XLOOKUP(C1976, calc_rusacc!$C$15:$C$65, calc_rusacc!$AD$15:$AD$65, "",0),AND( F1976="Sealant", I1976="Roll-up Screen"), _xlfn.XLOOKUP(C1976, calc_rusacc!$C$15:$C$65, calc_rusacc!$AF$15:$AF$65, "",0),  AND( F1976="Main Chain", I1976="Accordion Screen"), _xlfn.XLOOKUP(C1976, calc_rusacc!$C$15:$C$65, calc_rusacc!$BF$15:$BF$65, "",0), AND( F1976="Sealant", I1976="Accordion Screen"), _xlfn.XLOOKUP(C1976, calc_rusacc!$C$15:$C$65, calc_rusacc!$BJ$15:$BJ$65, "",0),  F1976="Sealant", _xlfn.XLOOKUP(C1976, dd_accsrycalc!$A$2:$A$51, dd_accsrycalc!$G$2:$G$51, "",0),  F1976&lt;&gt;"",L1976*_xlfn.XLOOKUP(1, (SKUs!$C$2:$C$10001=G1976)*(SKUs!$K$2:$K$10001=I1976),SKUs!$E$2:$E$10001)), 0),"")</f>
        <v/>
      </c>
      <c r="E1976" s="35" t="str">
        <f>_xlfn.XLOOKUP(F1976,dd_item!$B$2:$B$105,dd_item!$C$2:$C$105,"",0)</f>
        <v/>
      </c>
      <c r="F1976" s="35"/>
      <c r="G1976" s="35" cm="1">
        <f t="array" ref="G1976">IFERROR(_xlfn.XLOOKUP(1, (SKUs!$J$2:$J$10001=accsry_unmerged!F1976)*IF(H1976&lt;&gt;"",(SKUs!$L$2:$L$10001=accsry_unmerged!H1976),1)*(SKUs!$K$2:$K$10001=I1976),SKUs!$C$2:$C$10001),"")</f>
        <v>0</v>
      </c>
      <c r="H1976" s="36" cm="1">
        <f t="array" ref="H1976">IFERROR(_xlfn.XLOOKUP(1, (dd_accsryclr!$C$2:$C$1000=accsry_unmerged!F1976)*(dd_accsryclr!$B$2:$B$1000=accsry_unmerged!J1976),dd_accsryclr!$A$2:$A$1000),"")</f>
        <v>0</v>
      </c>
      <c r="I1976" s="35">
        <f>_xlfn.XLOOKUP(C1976,'Project Details'!$C$17:$C$66,'Project Details'!$E$17:$E$66,"",0)</f>
        <v>0</v>
      </c>
      <c r="J1976" s="35">
        <f>_xlfn.XLOOKUP(C1976,'Project Details'!$C$17:$C$66,'Project Details'!$H$17:$H$66,"",0)</f>
        <v>0</v>
      </c>
      <c r="K1976" s="36" t="str">
        <f>IF(AND(_xlfn.XLOOKUP(C1976,'Project Details'!$C$17:$C$66,'Project Details'!$L$17:$L$66,"",0)&gt;550, F1976="Spring-L27cm"),"",SUBSTITUTE(_xlfn.XLOOKUP(G1976,SKUs!$C$2:$C$10001,SKUs!$F$2:$F$10001,"",0), " Accessories",""))</f>
        <v/>
      </c>
      <c r="L1976" s="36">
        <f>_xlfn.XLOOKUP(C1976,'Project Details'!$C$17:$C$66,'Project Details'!$D$17:$D$66,"",0)</f>
        <v>0</v>
      </c>
      <c r="M1976" s="43"/>
    </row>
    <row r="1977" spans="1:13" x14ac:dyDescent="0.25">
      <c r="A1977" s="43"/>
      <c r="B1977" s="43"/>
      <c r="C1977" s="16">
        <f t="shared" si="38"/>
        <v>40</v>
      </c>
      <c r="D1977" s="16" t="str" cm="1">
        <f t="array" ref="D1977">IFERROR(ROUNDUP(_xlfn.IFS(F1977="Aluminum Track", _xlfn.XLOOKUP(C1977, dd_accsrycalc!$A$2:$A$51, dd_accsrycalc!$B$2:$B$51, "",0), F1977="10 x 2 1/2 S (Flat)", _xlfn.XLOOKUP(C1977, dd_accsrycalc!$A$2:$A$51, dd_accsrycalc!$C$2:$C$51, "",0), F1977="Tox6", _xlfn.XLOOKUP(C1977, dd_accsrycalc!$A$2:$A$51, dd_accsrycalc!$D$2:$D$51, "",0), F1977="Cover Cap", _xlfn.XLOOKUP(C1977, dd_accsrycalc!$A$2:$A$51, dd_accsrycalc!$E$2:$E$51, "",0), F1977="Drainage Cover", _xlfn.XLOOKUP(C1977, dd_accsrycalc!$A$2:$A$51, dd_accsrycalc!$F$2:$F$51, "",0),AND( F1977="Double Adhesive Tape", I1977="Roll-up Screen"), _xlfn.XLOOKUP(C1977, calc_rusacc!$C$15:$C$65, calc_rusacc!$AD$15:$AD$65, "",0),AND( F1977="Sealant", I1977="Roll-up Screen"), _xlfn.XLOOKUP(C1977, calc_rusacc!$C$15:$C$65, calc_rusacc!$AF$15:$AF$65, "",0),  AND( F1977="Main Chain", I1977="Accordion Screen"), _xlfn.XLOOKUP(C1977, calc_rusacc!$C$15:$C$65, calc_rusacc!$BF$15:$BF$65, "",0), AND( F1977="Sealant", I1977="Accordion Screen"), _xlfn.XLOOKUP(C1977, calc_rusacc!$C$15:$C$65, calc_rusacc!$BJ$15:$BJ$65, "",0),  F1977="Sealant", _xlfn.XLOOKUP(C1977, dd_accsrycalc!$A$2:$A$51, dd_accsrycalc!$G$2:$G$51, "",0),  F1977&lt;&gt;"",L1977*_xlfn.XLOOKUP(1, (SKUs!$C$2:$C$10001=G1977)*(SKUs!$K$2:$K$10001=I1977),SKUs!$E$2:$E$10001)), 0),"")</f>
        <v/>
      </c>
      <c r="E1977" s="16" t="str">
        <f>_xlfn.XLOOKUP(F1977,dd_item!$B$2:$B$105,dd_item!$C$2:$C$105,"",0)</f>
        <v/>
      </c>
      <c r="F1977" s="16"/>
      <c r="G1977" s="16" cm="1">
        <f t="array" ref="G1977">IFERROR(_xlfn.XLOOKUP(1, (SKUs!$J$2:$J$10001=accsry_unmerged!F1977)*IF(H1977&lt;&gt;"",(SKUs!$L$2:$L$10001=accsry_unmerged!H1977),1)*(SKUs!$K$2:$K$10001=I1977),SKUs!$C$2:$C$10001),"")</f>
        <v>0</v>
      </c>
      <c r="H1977" s="33" cm="1">
        <f t="array" ref="H1977">IFERROR(_xlfn.XLOOKUP(1, (dd_accsryclr!$C$2:$C$1000=accsry_unmerged!F1977)*(dd_accsryclr!$B$2:$B$1000=accsry_unmerged!J1977),dd_accsryclr!$A$2:$A$1000),"")</f>
        <v>0</v>
      </c>
      <c r="I1977" s="16">
        <f>_xlfn.XLOOKUP(C1977,'Project Details'!$C$17:$C$66,'Project Details'!$E$17:$E$66,"",0)</f>
        <v>0</v>
      </c>
      <c r="J1977" s="16">
        <f>_xlfn.XLOOKUP(C1977,'Project Details'!$C$17:$C$66,'Project Details'!$H$17:$H$66,"",0)</f>
        <v>0</v>
      </c>
      <c r="K1977" s="33" t="str">
        <f>IF(AND(_xlfn.XLOOKUP(C1977,'Project Details'!$C$17:$C$66,'Project Details'!$L$17:$L$66,"",0)&gt;550, F1977="Spring-L27cm"),"",SUBSTITUTE(_xlfn.XLOOKUP(G1977,SKUs!$C$2:$C$10001,SKUs!$F$2:$F$10001,"",0), " Accessories",""))</f>
        <v/>
      </c>
      <c r="L1977" s="33">
        <f>_xlfn.XLOOKUP(C1977,'Project Details'!$C$17:$C$66,'Project Details'!$D$17:$D$66,"",0)</f>
        <v>0</v>
      </c>
      <c r="M1977" s="43"/>
    </row>
    <row r="1978" spans="1:13" x14ac:dyDescent="0.25">
      <c r="A1978" s="43"/>
      <c r="B1978" s="43"/>
      <c r="C1978" s="35">
        <f t="shared" si="38"/>
        <v>40</v>
      </c>
      <c r="D1978" s="35" t="str" cm="1">
        <f t="array" ref="D1978">IFERROR(ROUNDUP(_xlfn.IFS(F1978="Aluminum Track", _xlfn.XLOOKUP(C1978, dd_accsrycalc!$A$2:$A$51, dd_accsrycalc!$B$2:$B$51, "",0), F1978="10 x 2 1/2 S (Flat)", _xlfn.XLOOKUP(C1978, dd_accsrycalc!$A$2:$A$51, dd_accsrycalc!$C$2:$C$51, "",0), F1978="Tox6", _xlfn.XLOOKUP(C1978, dd_accsrycalc!$A$2:$A$51, dd_accsrycalc!$D$2:$D$51, "",0), F1978="Cover Cap", _xlfn.XLOOKUP(C1978, dd_accsrycalc!$A$2:$A$51, dd_accsrycalc!$E$2:$E$51, "",0), F1978="Drainage Cover", _xlfn.XLOOKUP(C1978, dd_accsrycalc!$A$2:$A$51, dd_accsrycalc!$F$2:$F$51, "",0),AND( F1978="Double Adhesive Tape", I1978="Roll-up Screen"), _xlfn.XLOOKUP(C1978, calc_rusacc!$C$15:$C$65, calc_rusacc!$AD$15:$AD$65, "",0),AND( F1978="Sealant", I1978="Roll-up Screen"), _xlfn.XLOOKUP(C1978, calc_rusacc!$C$15:$C$65, calc_rusacc!$AF$15:$AF$65, "",0),  AND( F1978="Main Chain", I1978="Accordion Screen"), _xlfn.XLOOKUP(C1978, calc_rusacc!$C$15:$C$65, calc_rusacc!$BF$15:$BF$65, "",0), AND( F1978="Sealant", I1978="Accordion Screen"), _xlfn.XLOOKUP(C1978, calc_rusacc!$C$15:$C$65, calc_rusacc!$BJ$15:$BJ$65, "",0),  F1978="Sealant", _xlfn.XLOOKUP(C1978, dd_accsrycalc!$A$2:$A$51, dd_accsrycalc!$G$2:$G$51, "",0),  F1978&lt;&gt;"",L1978*_xlfn.XLOOKUP(1, (SKUs!$C$2:$C$10001=G1978)*(SKUs!$K$2:$K$10001=I1978),SKUs!$E$2:$E$10001)), 0),"")</f>
        <v/>
      </c>
      <c r="E1978" s="35" t="str">
        <f>_xlfn.XLOOKUP(F1978,dd_item!$B$2:$B$105,dd_item!$C$2:$C$105,"",0)</f>
        <v/>
      </c>
      <c r="F1978" s="35"/>
      <c r="G1978" s="35" cm="1">
        <f t="array" ref="G1978">IFERROR(_xlfn.XLOOKUP(1, (SKUs!$J$2:$J$10001=accsry_unmerged!F1978)*IF(H1978&lt;&gt;"",(SKUs!$L$2:$L$10001=accsry_unmerged!H1978),1)*(SKUs!$K$2:$K$10001=I1978),SKUs!$C$2:$C$10001),"")</f>
        <v>0</v>
      </c>
      <c r="H1978" s="36" cm="1">
        <f t="array" ref="H1978">IFERROR(_xlfn.XLOOKUP(1, (dd_accsryclr!$C$2:$C$1000=accsry_unmerged!F1978)*(dd_accsryclr!$B$2:$B$1000=accsry_unmerged!J1978),dd_accsryclr!$A$2:$A$1000),"")</f>
        <v>0</v>
      </c>
      <c r="I1978" s="35">
        <f>_xlfn.XLOOKUP(C1978,'Project Details'!$C$17:$C$66,'Project Details'!$E$17:$E$66,"",0)</f>
        <v>0</v>
      </c>
      <c r="J1978" s="35">
        <f>_xlfn.XLOOKUP(C1978,'Project Details'!$C$17:$C$66,'Project Details'!$H$17:$H$66,"",0)</f>
        <v>0</v>
      </c>
      <c r="K1978" s="36" t="str">
        <f>IF(AND(_xlfn.XLOOKUP(C1978,'Project Details'!$C$17:$C$66,'Project Details'!$L$17:$L$66,"",0)&gt;550, F1978="Spring-L27cm"),"",SUBSTITUTE(_xlfn.XLOOKUP(G1978,SKUs!$C$2:$C$10001,SKUs!$F$2:$F$10001,"",0), " Accessories",""))</f>
        <v/>
      </c>
      <c r="L1978" s="36">
        <f>_xlfn.XLOOKUP(C1978,'Project Details'!$C$17:$C$66,'Project Details'!$D$17:$D$66,"",0)</f>
        <v>0</v>
      </c>
      <c r="M1978" s="43"/>
    </row>
    <row r="1979" spans="1:13" x14ac:dyDescent="0.25">
      <c r="A1979" s="43"/>
      <c r="B1979" s="43"/>
      <c r="C1979" s="16">
        <f t="shared" si="38"/>
        <v>40</v>
      </c>
      <c r="D1979" s="16" t="str" cm="1">
        <f t="array" ref="D1979">IFERROR(ROUNDUP(_xlfn.IFS(F1979="Aluminum Track", _xlfn.XLOOKUP(C1979, dd_accsrycalc!$A$2:$A$51, dd_accsrycalc!$B$2:$B$51, "",0), F1979="10 x 2 1/2 S (Flat)", _xlfn.XLOOKUP(C1979, dd_accsrycalc!$A$2:$A$51, dd_accsrycalc!$C$2:$C$51, "",0), F1979="Tox6", _xlfn.XLOOKUP(C1979, dd_accsrycalc!$A$2:$A$51, dd_accsrycalc!$D$2:$D$51, "",0), F1979="Cover Cap", _xlfn.XLOOKUP(C1979, dd_accsrycalc!$A$2:$A$51, dd_accsrycalc!$E$2:$E$51, "",0), F1979="Drainage Cover", _xlfn.XLOOKUP(C1979, dd_accsrycalc!$A$2:$A$51, dd_accsrycalc!$F$2:$F$51, "",0),AND( F1979="Double Adhesive Tape", I1979="Roll-up Screen"), _xlfn.XLOOKUP(C1979, calc_rusacc!$C$15:$C$65, calc_rusacc!$AD$15:$AD$65, "",0),AND( F1979="Sealant", I1979="Roll-up Screen"), _xlfn.XLOOKUP(C1979, calc_rusacc!$C$15:$C$65, calc_rusacc!$AF$15:$AF$65, "",0),  AND( F1979="Main Chain", I1979="Accordion Screen"), _xlfn.XLOOKUP(C1979, calc_rusacc!$C$15:$C$65, calc_rusacc!$BF$15:$BF$65, "",0), AND( F1979="Sealant", I1979="Accordion Screen"), _xlfn.XLOOKUP(C1979, calc_rusacc!$C$15:$C$65, calc_rusacc!$BJ$15:$BJ$65, "",0),  F1979="Sealant", _xlfn.XLOOKUP(C1979, dd_accsrycalc!$A$2:$A$51, dd_accsrycalc!$G$2:$G$51, "",0),  F1979&lt;&gt;"",L1979*_xlfn.XLOOKUP(1, (SKUs!$C$2:$C$10001=G1979)*(SKUs!$K$2:$K$10001=I1979),SKUs!$E$2:$E$10001)), 0),"")</f>
        <v/>
      </c>
      <c r="E1979" s="16" t="str">
        <f>_xlfn.XLOOKUP(F1979,dd_item!$B$2:$B$105,dd_item!$C$2:$C$105,"",0)</f>
        <v/>
      </c>
      <c r="F1979" s="16"/>
      <c r="G1979" s="16" cm="1">
        <f t="array" ref="G1979">IFERROR(_xlfn.XLOOKUP(1, (SKUs!$J$2:$J$10001=accsry_unmerged!F1979)*IF(H1979&lt;&gt;"",(SKUs!$L$2:$L$10001=accsry_unmerged!H1979),1)*(SKUs!$K$2:$K$10001=I1979),SKUs!$C$2:$C$10001),"")</f>
        <v>0</v>
      </c>
      <c r="H1979" s="33" cm="1">
        <f t="array" ref="H1979">IFERROR(_xlfn.XLOOKUP(1, (dd_accsryclr!$C$2:$C$1000=accsry_unmerged!F1979)*(dd_accsryclr!$B$2:$B$1000=accsry_unmerged!J1979),dd_accsryclr!$A$2:$A$1000),"")</f>
        <v>0</v>
      </c>
      <c r="I1979" s="16">
        <f>_xlfn.XLOOKUP(C1979,'Project Details'!$C$17:$C$66,'Project Details'!$E$17:$E$66,"",0)</f>
        <v>0</v>
      </c>
      <c r="J1979" s="16">
        <f>_xlfn.XLOOKUP(C1979,'Project Details'!$C$17:$C$66,'Project Details'!$H$17:$H$66,"",0)</f>
        <v>0</v>
      </c>
      <c r="K1979" s="33" t="str">
        <f>IF(AND(_xlfn.XLOOKUP(C1979,'Project Details'!$C$17:$C$66,'Project Details'!$L$17:$L$66,"",0)&gt;550, F1979="Spring-L27cm"),"",SUBSTITUTE(_xlfn.XLOOKUP(G1979,SKUs!$C$2:$C$10001,SKUs!$F$2:$F$10001,"",0), " Accessories",""))</f>
        <v/>
      </c>
      <c r="L1979" s="33">
        <f>_xlfn.XLOOKUP(C1979,'Project Details'!$C$17:$C$66,'Project Details'!$D$17:$D$66,"",0)</f>
        <v>0</v>
      </c>
      <c r="M1979" s="43"/>
    </row>
    <row r="1980" spans="1:13" x14ac:dyDescent="0.25">
      <c r="A1980" s="43"/>
      <c r="B1980" s="43"/>
      <c r="C1980" s="35">
        <f t="shared" si="38"/>
        <v>40</v>
      </c>
      <c r="D1980" s="35" t="str" cm="1">
        <f t="array" ref="D1980">IFERROR(ROUNDUP(_xlfn.IFS(F1980="Aluminum Track", _xlfn.XLOOKUP(C1980, dd_accsrycalc!$A$2:$A$51, dd_accsrycalc!$B$2:$B$51, "",0), F1980="10 x 2 1/2 S (Flat)", _xlfn.XLOOKUP(C1980, dd_accsrycalc!$A$2:$A$51, dd_accsrycalc!$C$2:$C$51, "",0), F1980="Tox6", _xlfn.XLOOKUP(C1980, dd_accsrycalc!$A$2:$A$51, dd_accsrycalc!$D$2:$D$51, "",0), F1980="Cover Cap", _xlfn.XLOOKUP(C1980, dd_accsrycalc!$A$2:$A$51, dd_accsrycalc!$E$2:$E$51, "",0), F1980="Drainage Cover", _xlfn.XLOOKUP(C1980, dd_accsrycalc!$A$2:$A$51, dd_accsrycalc!$F$2:$F$51, "",0),AND( F1980="Double Adhesive Tape", I1980="Roll-up Screen"), _xlfn.XLOOKUP(C1980, calc_rusacc!$C$15:$C$65, calc_rusacc!$AD$15:$AD$65, "",0),AND( F1980="Sealant", I1980="Roll-up Screen"), _xlfn.XLOOKUP(C1980, calc_rusacc!$C$15:$C$65, calc_rusacc!$AF$15:$AF$65, "",0),  AND( F1980="Main Chain", I1980="Accordion Screen"), _xlfn.XLOOKUP(C1980, calc_rusacc!$C$15:$C$65, calc_rusacc!$BF$15:$BF$65, "",0), AND( F1980="Sealant", I1980="Accordion Screen"), _xlfn.XLOOKUP(C1980, calc_rusacc!$C$15:$C$65, calc_rusacc!$BJ$15:$BJ$65, "",0),  F1980="Sealant", _xlfn.XLOOKUP(C1980, dd_accsrycalc!$A$2:$A$51, dd_accsrycalc!$G$2:$G$51, "",0),  F1980&lt;&gt;"",L1980*_xlfn.XLOOKUP(1, (SKUs!$C$2:$C$10001=G1980)*(SKUs!$K$2:$K$10001=I1980),SKUs!$E$2:$E$10001)), 0),"")</f>
        <v/>
      </c>
      <c r="E1980" s="35" t="str">
        <f>_xlfn.XLOOKUP(F1980,dd_item!$B$2:$B$105,dd_item!$C$2:$C$105,"",0)</f>
        <v/>
      </c>
      <c r="F1980" s="35"/>
      <c r="G1980" s="35" cm="1">
        <f t="array" ref="G1980">IFERROR(_xlfn.XLOOKUP(1, (SKUs!$J$2:$J$10001=accsry_unmerged!F1980)*IF(H1980&lt;&gt;"",(SKUs!$L$2:$L$10001=accsry_unmerged!H1980),1)*(SKUs!$K$2:$K$10001=I1980),SKUs!$C$2:$C$10001),"")</f>
        <v>0</v>
      </c>
      <c r="H1980" s="36" cm="1">
        <f t="array" ref="H1980">IFERROR(_xlfn.XLOOKUP(1, (dd_accsryclr!$C$2:$C$1000=accsry_unmerged!F1980)*(dd_accsryclr!$B$2:$B$1000=accsry_unmerged!J1980),dd_accsryclr!$A$2:$A$1000),"")</f>
        <v>0</v>
      </c>
      <c r="I1980" s="35">
        <f>_xlfn.XLOOKUP(C1980,'Project Details'!$C$17:$C$66,'Project Details'!$E$17:$E$66,"",0)</f>
        <v>0</v>
      </c>
      <c r="J1980" s="35">
        <f>_xlfn.XLOOKUP(C1980,'Project Details'!$C$17:$C$66,'Project Details'!$H$17:$H$66,"",0)</f>
        <v>0</v>
      </c>
      <c r="K1980" s="36" t="str">
        <f>IF(AND(_xlfn.XLOOKUP(C1980,'Project Details'!$C$17:$C$66,'Project Details'!$L$17:$L$66,"",0)&gt;550, F1980="Spring-L27cm"),"",SUBSTITUTE(_xlfn.XLOOKUP(G1980,SKUs!$C$2:$C$10001,SKUs!$F$2:$F$10001,"",0), " Accessories",""))</f>
        <v/>
      </c>
      <c r="L1980" s="36">
        <f>_xlfn.XLOOKUP(C1980,'Project Details'!$C$17:$C$66,'Project Details'!$D$17:$D$66,"",0)</f>
        <v>0</v>
      </c>
      <c r="M1980" s="43"/>
    </row>
    <row r="1981" spans="1:13" x14ac:dyDescent="0.25">
      <c r="A1981" s="43"/>
      <c r="B1981" s="43"/>
      <c r="C1981" s="16">
        <f t="shared" si="38"/>
        <v>40</v>
      </c>
      <c r="D1981" s="16" t="str" cm="1">
        <f t="array" ref="D1981">IFERROR(ROUNDUP(_xlfn.IFS(F1981="Aluminum Track", _xlfn.XLOOKUP(C1981, dd_accsrycalc!$A$2:$A$51, dd_accsrycalc!$B$2:$B$51, "",0), F1981="10 x 2 1/2 S (Flat)", _xlfn.XLOOKUP(C1981, dd_accsrycalc!$A$2:$A$51, dd_accsrycalc!$C$2:$C$51, "",0), F1981="Tox6", _xlfn.XLOOKUP(C1981, dd_accsrycalc!$A$2:$A$51, dd_accsrycalc!$D$2:$D$51, "",0), F1981="Cover Cap", _xlfn.XLOOKUP(C1981, dd_accsrycalc!$A$2:$A$51, dd_accsrycalc!$E$2:$E$51, "",0), F1981="Drainage Cover", _xlfn.XLOOKUP(C1981, dd_accsrycalc!$A$2:$A$51, dd_accsrycalc!$F$2:$F$51, "",0),AND( F1981="Double Adhesive Tape", I1981="Roll-up Screen"), _xlfn.XLOOKUP(C1981, calc_rusacc!$C$15:$C$65, calc_rusacc!$AD$15:$AD$65, "",0),AND( F1981="Sealant", I1981="Roll-up Screen"), _xlfn.XLOOKUP(C1981, calc_rusacc!$C$15:$C$65, calc_rusacc!$AF$15:$AF$65, "",0),  AND( F1981="Main Chain", I1981="Accordion Screen"), _xlfn.XLOOKUP(C1981, calc_rusacc!$C$15:$C$65, calc_rusacc!$BF$15:$BF$65, "",0), AND( F1981="Sealant", I1981="Accordion Screen"), _xlfn.XLOOKUP(C1981, calc_rusacc!$C$15:$C$65, calc_rusacc!$BJ$15:$BJ$65, "",0),  F1981="Sealant", _xlfn.XLOOKUP(C1981, dd_accsrycalc!$A$2:$A$51, dd_accsrycalc!$G$2:$G$51, "",0),  F1981&lt;&gt;"",L1981*_xlfn.XLOOKUP(1, (SKUs!$C$2:$C$10001=G1981)*(SKUs!$K$2:$K$10001=I1981),SKUs!$E$2:$E$10001)), 0),"")</f>
        <v/>
      </c>
      <c r="E1981" s="16" t="str">
        <f>_xlfn.XLOOKUP(F1981,dd_item!$B$2:$B$105,dd_item!$C$2:$C$105,"",0)</f>
        <v/>
      </c>
      <c r="F1981" s="16"/>
      <c r="G1981" s="16" cm="1">
        <f t="array" ref="G1981">IFERROR(_xlfn.XLOOKUP(1, (SKUs!$J$2:$J$10001=accsry_unmerged!F1981)*IF(H1981&lt;&gt;"",(SKUs!$L$2:$L$10001=accsry_unmerged!H1981),1)*(SKUs!$K$2:$K$10001=I1981),SKUs!$C$2:$C$10001),"")</f>
        <v>0</v>
      </c>
      <c r="H1981" s="33" cm="1">
        <f t="array" ref="H1981">IFERROR(_xlfn.XLOOKUP(1, (dd_accsryclr!$C$2:$C$1000=accsry_unmerged!F1981)*(dd_accsryclr!$B$2:$B$1000=accsry_unmerged!J1981),dd_accsryclr!$A$2:$A$1000),"")</f>
        <v>0</v>
      </c>
      <c r="I1981" s="16">
        <f>_xlfn.XLOOKUP(C1981,'Project Details'!$C$17:$C$66,'Project Details'!$E$17:$E$66,"",0)</f>
        <v>0</v>
      </c>
      <c r="J1981" s="16">
        <f>_xlfn.XLOOKUP(C1981,'Project Details'!$C$17:$C$66,'Project Details'!$H$17:$H$66,"",0)</f>
        <v>0</v>
      </c>
      <c r="K1981" s="33" t="str">
        <f>IF(AND(_xlfn.XLOOKUP(C1981,'Project Details'!$C$17:$C$66,'Project Details'!$L$17:$L$66,"",0)&gt;550, F1981="Spring-L27cm"),"",SUBSTITUTE(_xlfn.XLOOKUP(G1981,SKUs!$C$2:$C$10001,SKUs!$F$2:$F$10001,"",0), " Accessories",""))</f>
        <v/>
      </c>
      <c r="L1981" s="33">
        <f>_xlfn.XLOOKUP(C1981,'Project Details'!$C$17:$C$66,'Project Details'!$D$17:$D$66,"",0)</f>
        <v>0</v>
      </c>
      <c r="M1981" s="43"/>
    </row>
    <row r="1982" spans="1:13" x14ac:dyDescent="0.25">
      <c r="A1982" s="43"/>
      <c r="B1982" s="43"/>
      <c r="C1982" s="35">
        <f t="shared" si="38"/>
        <v>40</v>
      </c>
      <c r="D1982" s="35" t="str" cm="1">
        <f t="array" ref="D1982">IFERROR(ROUNDUP(_xlfn.IFS(F1982="Aluminum Track", _xlfn.XLOOKUP(C1982, dd_accsrycalc!$A$2:$A$51, dd_accsrycalc!$B$2:$B$51, "",0), F1982="10 x 2 1/2 S (Flat)", _xlfn.XLOOKUP(C1982, dd_accsrycalc!$A$2:$A$51, dd_accsrycalc!$C$2:$C$51, "",0), F1982="Tox6", _xlfn.XLOOKUP(C1982, dd_accsrycalc!$A$2:$A$51, dd_accsrycalc!$D$2:$D$51, "",0), F1982="Cover Cap", _xlfn.XLOOKUP(C1982, dd_accsrycalc!$A$2:$A$51, dd_accsrycalc!$E$2:$E$51, "",0), F1982="Drainage Cover", _xlfn.XLOOKUP(C1982, dd_accsrycalc!$A$2:$A$51, dd_accsrycalc!$F$2:$F$51, "",0),AND( F1982="Double Adhesive Tape", I1982="Roll-up Screen"), _xlfn.XLOOKUP(C1982, calc_rusacc!$C$15:$C$65, calc_rusacc!$AD$15:$AD$65, "",0),AND( F1982="Sealant", I1982="Roll-up Screen"), _xlfn.XLOOKUP(C1982, calc_rusacc!$C$15:$C$65, calc_rusacc!$AF$15:$AF$65, "",0),  AND( F1982="Main Chain", I1982="Accordion Screen"), _xlfn.XLOOKUP(C1982, calc_rusacc!$C$15:$C$65, calc_rusacc!$BF$15:$BF$65, "",0), AND( F1982="Sealant", I1982="Accordion Screen"), _xlfn.XLOOKUP(C1982, calc_rusacc!$C$15:$C$65, calc_rusacc!$BJ$15:$BJ$65, "",0),  F1982="Sealant", _xlfn.XLOOKUP(C1982, dd_accsrycalc!$A$2:$A$51, dd_accsrycalc!$G$2:$G$51, "",0),  F1982&lt;&gt;"",L1982*_xlfn.XLOOKUP(1, (SKUs!$C$2:$C$10001=G1982)*(SKUs!$K$2:$K$10001=I1982),SKUs!$E$2:$E$10001)), 0),"")</f>
        <v/>
      </c>
      <c r="E1982" s="35" t="str">
        <f>_xlfn.XLOOKUP(F1982,dd_item!$B$2:$B$105,dd_item!$C$2:$C$105,"",0)</f>
        <v/>
      </c>
      <c r="F1982" s="35"/>
      <c r="G1982" s="35" cm="1">
        <f t="array" ref="G1982">IFERROR(_xlfn.XLOOKUP(1, (SKUs!$J$2:$J$10001=accsry_unmerged!F1982)*IF(H1982&lt;&gt;"",(SKUs!$L$2:$L$10001=accsry_unmerged!H1982),1)*(SKUs!$K$2:$K$10001=I1982),SKUs!$C$2:$C$10001),"")</f>
        <v>0</v>
      </c>
      <c r="H1982" s="36" cm="1">
        <f t="array" ref="H1982">IFERROR(_xlfn.XLOOKUP(1, (dd_accsryclr!$C$2:$C$1000=accsry_unmerged!F1982)*(dd_accsryclr!$B$2:$B$1000=accsry_unmerged!J1982),dd_accsryclr!$A$2:$A$1000),"")</f>
        <v>0</v>
      </c>
      <c r="I1982" s="35">
        <f>_xlfn.XLOOKUP(C1982,'Project Details'!$C$17:$C$66,'Project Details'!$E$17:$E$66,"",0)</f>
        <v>0</v>
      </c>
      <c r="J1982" s="35">
        <f>_xlfn.XLOOKUP(C1982,'Project Details'!$C$17:$C$66,'Project Details'!$H$17:$H$66,"",0)</f>
        <v>0</v>
      </c>
      <c r="K1982" s="36" t="str">
        <f>IF(AND(_xlfn.XLOOKUP(C1982,'Project Details'!$C$17:$C$66,'Project Details'!$L$17:$L$66,"",0)&gt;550, F1982="Spring-L27cm"),"",SUBSTITUTE(_xlfn.XLOOKUP(G1982,SKUs!$C$2:$C$10001,SKUs!$F$2:$F$10001,"",0), " Accessories",""))</f>
        <v/>
      </c>
      <c r="L1982" s="36">
        <f>_xlfn.XLOOKUP(C1982,'Project Details'!$C$17:$C$66,'Project Details'!$D$17:$D$66,"",0)</f>
        <v>0</v>
      </c>
      <c r="M1982" s="43"/>
    </row>
    <row r="1983" spans="1:13" x14ac:dyDescent="0.25">
      <c r="A1983" s="43"/>
      <c r="B1983" s="43"/>
      <c r="C1983" s="16">
        <f t="shared" si="38"/>
        <v>40</v>
      </c>
      <c r="D1983" s="16" t="str" cm="1">
        <f t="array" ref="D1983">IFERROR(ROUNDUP(_xlfn.IFS(F1983="Aluminum Track", _xlfn.XLOOKUP(C1983, dd_accsrycalc!$A$2:$A$51, dd_accsrycalc!$B$2:$B$51, "",0), F1983="10 x 2 1/2 S (Flat)", _xlfn.XLOOKUP(C1983, dd_accsrycalc!$A$2:$A$51, dd_accsrycalc!$C$2:$C$51, "",0), F1983="Tox6", _xlfn.XLOOKUP(C1983, dd_accsrycalc!$A$2:$A$51, dd_accsrycalc!$D$2:$D$51, "",0), F1983="Cover Cap", _xlfn.XLOOKUP(C1983, dd_accsrycalc!$A$2:$A$51, dd_accsrycalc!$E$2:$E$51, "",0), F1983="Drainage Cover", _xlfn.XLOOKUP(C1983, dd_accsrycalc!$A$2:$A$51, dd_accsrycalc!$F$2:$F$51, "",0),AND( F1983="Double Adhesive Tape", I1983="Roll-up Screen"), _xlfn.XLOOKUP(C1983, calc_rusacc!$C$15:$C$65, calc_rusacc!$AD$15:$AD$65, "",0),AND( F1983="Sealant", I1983="Roll-up Screen"), _xlfn.XLOOKUP(C1983, calc_rusacc!$C$15:$C$65, calc_rusacc!$AF$15:$AF$65, "",0),  AND( F1983="Main Chain", I1983="Accordion Screen"), _xlfn.XLOOKUP(C1983, calc_rusacc!$C$15:$C$65, calc_rusacc!$BF$15:$BF$65, "",0), AND( F1983="Sealant", I1983="Accordion Screen"), _xlfn.XLOOKUP(C1983, calc_rusacc!$C$15:$C$65, calc_rusacc!$BJ$15:$BJ$65, "",0),  F1983="Sealant", _xlfn.XLOOKUP(C1983, dd_accsrycalc!$A$2:$A$51, dd_accsrycalc!$G$2:$G$51, "",0),  F1983&lt;&gt;"",L1983*_xlfn.XLOOKUP(1, (SKUs!$C$2:$C$10001=G1983)*(SKUs!$K$2:$K$10001=I1983),SKUs!$E$2:$E$10001)), 0),"")</f>
        <v/>
      </c>
      <c r="E1983" s="16" t="str">
        <f>_xlfn.XLOOKUP(F1983,dd_item!$B$2:$B$105,dd_item!$C$2:$C$105,"",0)</f>
        <v/>
      </c>
      <c r="F1983" s="16"/>
      <c r="G1983" s="16" cm="1">
        <f t="array" ref="G1983">IFERROR(_xlfn.XLOOKUP(1, (SKUs!$J$2:$J$10001=accsry_unmerged!F1983)*IF(H1983&lt;&gt;"",(SKUs!$L$2:$L$10001=accsry_unmerged!H1983),1)*(SKUs!$K$2:$K$10001=I1983),SKUs!$C$2:$C$10001),"")</f>
        <v>0</v>
      </c>
      <c r="H1983" s="33" cm="1">
        <f t="array" ref="H1983">IFERROR(_xlfn.XLOOKUP(1, (dd_accsryclr!$C$2:$C$1000=accsry_unmerged!F1983)*(dd_accsryclr!$B$2:$B$1000=accsry_unmerged!J1983),dd_accsryclr!$A$2:$A$1000),"")</f>
        <v>0</v>
      </c>
      <c r="I1983" s="16">
        <f>_xlfn.XLOOKUP(C1983,'Project Details'!$C$17:$C$66,'Project Details'!$E$17:$E$66,"",0)</f>
        <v>0</v>
      </c>
      <c r="J1983" s="16">
        <f>_xlfn.XLOOKUP(C1983,'Project Details'!$C$17:$C$66,'Project Details'!$H$17:$H$66,"",0)</f>
        <v>0</v>
      </c>
      <c r="K1983" s="33" t="str">
        <f>IF(AND(_xlfn.XLOOKUP(C1983,'Project Details'!$C$17:$C$66,'Project Details'!$L$17:$L$66,"",0)&gt;550, F1983="Spring-L27cm"),"",SUBSTITUTE(_xlfn.XLOOKUP(G1983,SKUs!$C$2:$C$10001,SKUs!$F$2:$F$10001,"",0), " Accessories",""))</f>
        <v/>
      </c>
      <c r="L1983" s="33">
        <f>_xlfn.XLOOKUP(C1983,'Project Details'!$C$17:$C$66,'Project Details'!$D$17:$D$66,"",0)</f>
        <v>0</v>
      </c>
      <c r="M1983" s="43"/>
    </row>
    <row r="1984" spans="1:13" ht="13.5" customHeight="1" x14ac:dyDescent="0.25">
      <c r="A1984" s="43"/>
      <c r="B1984" s="43"/>
      <c r="C1984" s="35">
        <f t="shared" si="38"/>
        <v>40</v>
      </c>
      <c r="D1984" s="35" t="str" cm="1">
        <f t="array" ref="D1984">IFERROR(ROUNDUP(_xlfn.IFS(F1984="Aluminum Track", _xlfn.XLOOKUP(C1984, dd_accsrycalc!$A$2:$A$51, dd_accsrycalc!$B$2:$B$51, "",0), F1984="10 x 2 1/2 S (Flat)", _xlfn.XLOOKUP(C1984, dd_accsrycalc!$A$2:$A$51, dd_accsrycalc!$C$2:$C$51, "",0), F1984="Tox6", _xlfn.XLOOKUP(C1984, dd_accsrycalc!$A$2:$A$51, dd_accsrycalc!$D$2:$D$51, "",0), F1984="Cover Cap", _xlfn.XLOOKUP(C1984, dd_accsrycalc!$A$2:$A$51, dd_accsrycalc!$E$2:$E$51, "",0), F1984="Drainage Cover", _xlfn.XLOOKUP(C1984, dd_accsrycalc!$A$2:$A$51, dd_accsrycalc!$F$2:$F$51, "",0),AND( F1984="Double Adhesive Tape", I1984="Roll-up Screen"), _xlfn.XLOOKUP(C1984, calc_rusacc!$C$15:$C$65, calc_rusacc!$AD$15:$AD$65, "",0),AND( F1984="Sealant", I1984="Roll-up Screen"), _xlfn.XLOOKUP(C1984, calc_rusacc!$C$15:$C$65, calc_rusacc!$AF$15:$AF$65, "",0),  AND( F1984="Main Chain", I1984="Accordion Screen"), _xlfn.XLOOKUP(C1984, calc_rusacc!$C$15:$C$65, calc_rusacc!$BF$15:$BF$65, "",0), AND( F1984="Sealant", I1984="Accordion Screen"), _xlfn.XLOOKUP(C1984, calc_rusacc!$C$15:$C$65, calc_rusacc!$BJ$15:$BJ$65, "",0),  F1984="Sealant", _xlfn.XLOOKUP(C1984, dd_accsrycalc!$A$2:$A$51, dd_accsrycalc!$G$2:$G$51, "",0),  F1984&lt;&gt;"",L1984*_xlfn.XLOOKUP(1, (SKUs!$C$2:$C$10001=G1984)*(SKUs!$K$2:$K$10001=I1984),SKUs!$E$2:$E$10001)), 0),"")</f>
        <v/>
      </c>
      <c r="E1984" s="35" t="str">
        <f>_xlfn.XLOOKUP(F1984,dd_item!$B$2:$B$105,dd_item!$C$2:$C$105,"",0)</f>
        <v/>
      </c>
      <c r="F1984" s="35"/>
      <c r="G1984" s="35" cm="1">
        <f t="array" ref="G1984">IFERROR(_xlfn.XLOOKUP(1, (SKUs!$J$2:$J$10001=accsry_unmerged!F1984)*IF(H1984&lt;&gt;"",(SKUs!$L$2:$L$10001=accsry_unmerged!H1984),1)*(SKUs!$K$2:$K$10001=I1984),SKUs!$C$2:$C$10001),"")</f>
        <v>0</v>
      </c>
      <c r="H1984" s="36" cm="1">
        <f t="array" ref="H1984">IFERROR(_xlfn.XLOOKUP(1, (dd_accsryclr!$C$2:$C$1000=accsry_unmerged!F1984)*(dd_accsryclr!$B$2:$B$1000=accsry_unmerged!J1984),dd_accsryclr!$A$2:$A$1000),"")</f>
        <v>0</v>
      </c>
      <c r="I1984" s="35">
        <f>_xlfn.XLOOKUP(C1984,'Project Details'!$C$17:$C$66,'Project Details'!$E$17:$E$66,"",0)</f>
        <v>0</v>
      </c>
      <c r="J1984" s="35">
        <f>_xlfn.XLOOKUP(C1984,'Project Details'!$C$17:$C$66,'Project Details'!$H$17:$H$66,"",0)</f>
        <v>0</v>
      </c>
      <c r="K1984" s="36" t="str">
        <f>IF(AND(_xlfn.XLOOKUP(C1984,'Project Details'!$C$17:$C$66,'Project Details'!$L$17:$L$66,"",0)&gt;550, F1984="Spring-L27cm"),"",SUBSTITUTE(_xlfn.XLOOKUP(G1984,SKUs!$C$2:$C$10001,SKUs!$F$2:$F$10001,"",0), " Accessories",""))</f>
        <v/>
      </c>
      <c r="L1984" s="36">
        <f>_xlfn.XLOOKUP(C1984,'Project Details'!$C$17:$C$66,'Project Details'!$D$17:$D$66,"",0)</f>
        <v>0</v>
      </c>
      <c r="M1984" s="43"/>
    </row>
    <row r="1985" spans="1:13" ht="13.5" customHeight="1" x14ac:dyDescent="0.25">
      <c r="A1985" s="43"/>
      <c r="B1985" s="43"/>
      <c r="C1985" s="16">
        <f t="shared" si="38"/>
        <v>40</v>
      </c>
      <c r="D1985" s="16" t="str" cm="1">
        <f t="array" ref="D1985">IFERROR(ROUNDUP(_xlfn.IFS(F1985="Aluminum Track", _xlfn.XLOOKUP(C1985, dd_accsrycalc!$A$2:$A$51, dd_accsrycalc!$B$2:$B$51, "",0), F1985="10 x 2 1/2 S (Flat)", _xlfn.XLOOKUP(C1985, dd_accsrycalc!$A$2:$A$51, dd_accsrycalc!$C$2:$C$51, "",0), F1985="Tox6", _xlfn.XLOOKUP(C1985, dd_accsrycalc!$A$2:$A$51, dd_accsrycalc!$D$2:$D$51, "",0), F1985="Cover Cap", _xlfn.XLOOKUP(C1985, dd_accsrycalc!$A$2:$A$51, dd_accsrycalc!$E$2:$E$51, "",0), F1985="Drainage Cover", _xlfn.XLOOKUP(C1985, dd_accsrycalc!$A$2:$A$51, dd_accsrycalc!$F$2:$F$51, "",0),AND( F1985="Double Adhesive Tape", I1985="Roll-up Screen"), _xlfn.XLOOKUP(C1985, calc_rusacc!$C$15:$C$65, calc_rusacc!$AD$15:$AD$65, "",0),AND( F1985="Sealant", I1985="Roll-up Screen"), _xlfn.XLOOKUP(C1985, calc_rusacc!$C$15:$C$65, calc_rusacc!$AF$15:$AF$65, "",0),  AND( F1985="Main Chain", I1985="Accordion Screen"), _xlfn.XLOOKUP(C1985, calc_rusacc!$C$15:$C$65, calc_rusacc!$BF$15:$BF$65, "",0), AND( F1985="Sealant", I1985="Accordion Screen"), _xlfn.XLOOKUP(C1985, calc_rusacc!$C$15:$C$65, calc_rusacc!$BJ$15:$BJ$65, "",0),  F1985="Sealant", _xlfn.XLOOKUP(C1985, dd_accsrycalc!$A$2:$A$51, dd_accsrycalc!$G$2:$G$51, "",0),  F1985&lt;&gt;"",L1985*_xlfn.XLOOKUP(1, (SKUs!$C$2:$C$10001=G1985)*(SKUs!$K$2:$K$10001=I1985),SKUs!$E$2:$E$10001)), 0),"")</f>
        <v/>
      </c>
      <c r="E1985" s="16" t="str">
        <f>_xlfn.XLOOKUP(F1985,dd_item!$B$2:$B$105,dd_item!$C$2:$C$105,"",0)</f>
        <v/>
      </c>
      <c r="F1985" s="16"/>
      <c r="G1985" s="16" cm="1">
        <f t="array" ref="G1985">IFERROR(_xlfn.XLOOKUP(1, (SKUs!$J$2:$J$10001=accsry_unmerged!F1985)*IF(H1985&lt;&gt;"",(SKUs!$L$2:$L$10001=accsry_unmerged!H1985),1)*(SKUs!$K$2:$K$10001=I1985),SKUs!$C$2:$C$10001),"")</f>
        <v>0</v>
      </c>
      <c r="H1985" s="33" cm="1">
        <f t="array" ref="H1985">IFERROR(_xlfn.XLOOKUP(1, (dd_accsryclr!$C$2:$C$1000=accsry_unmerged!F1985)*(dd_accsryclr!$B$2:$B$1000=accsry_unmerged!J1985),dd_accsryclr!$A$2:$A$1000),"")</f>
        <v>0</v>
      </c>
      <c r="I1985" s="16">
        <f>_xlfn.XLOOKUP(C1985,'Project Details'!$C$17:$C$66,'Project Details'!$E$17:$E$66,"",0)</f>
        <v>0</v>
      </c>
      <c r="J1985" s="16">
        <f>_xlfn.XLOOKUP(C1985,'Project Details'!$C$17:$C$66,'Project Details'!$H$17:$H$66,"",0)</f>
        <v>0</v>
      </c>
      <c r="K1985" s="33" t="str">
        <f>IF(AND(_xlfn.XLOOKUP(C1985,'Project Details'!$C$17:$C$66,'Project Details'!$L$17:$L$66,"",0)&gt;550, F1985="Spring-L27cm"),"",SUBSTITUTE(_xlfn.XLOOKUP(G1985,SKUs!$C$2:$C$10001,SKUs!$F$2:$F$10001,"",0), " Accessories",""))</f>
        <v/>
      </c>
      <c r="L1985" s="33">
        <f>_xlfn.XLOOKUP(C1985,'Project Details'!$C$17:$C$66,'Project Details'!$D$17:$D$66,"",0)</f>
        <v>0</v>
      </c>
      <c r="M1985" s="43"/>
    </row>
    <row r="1986" spans="1:13" ht="13.5" customHeight="1" x14ac:dyDescent="0.25">
      <c r="A1986" s="43"/>
      <c r="B1986" s="43"/>
      <c r="C1986" s="35">
        <f t="shared" si="38"/>
        <v>40</v>
      </c>
      <c r="D1986" s="35" t="str" cm="1">
        <f t="array" ref="D1986">IFERROR(ROUNDUP(_xlfn.IFS(F1986="Aluminum Track", _xlfn.XLOOKUP(C1986, dd_accsrycalc!$A$2:$A$51, dd_accsrycalc!$B$2:$B$51, "",0), F1986="10 x 2 1/2 S (Flat)", _xlfn.XLOOKUP(C1986, dd_accsrycalc!$A$2:$A$51, dd_accsrycalc!$C$2:$C$51, "",0), F1986="Tox6", _xlfn.XLOOKUP(C1986, dd_accsrycalc!$A$2:$A$51, dd_accsrycalc!$D$2:$D$51, "",0), F1986="Cover Cap", _xlfn.XLOOKUP(C1986, dd_accsrycalc!$A$2:$A$51, dd_accsrycalc!$E$2:$E$51, "",0), F1986="Drainage Cover", _xlfn.XLOOKUP(C1986, dd_accsrycalc!$A$2:$A$51, dd_accsrycalc!$F$2:$F$51, "",0),AND( F1986="Double Adhesive Tape", I1986="Roll-up Screen"), _xlfn.XLOOKUP(C1986, calc_rusacc!$C$15:$C$65, calc_rusacc!$AD$15:$AD$65, "",0),AND( F1986="Sealant", I1986="Roll-up Screen"), _xlfn.XLOOKUP(C1986, calc_rusacc!$C$15:$C$65, calc_rusacc!$AF$15:$AF$65, "",0),  AND( F1986="Main Chain", I1986="Accordion Screen"), _xlfn.XLOOKUP(C1986, calc_rusacc!$C$15:$C$65, calc_rusacc!$BF$15:$BF$65, "",0), AND( F1986="Sealant", I1986="Accordion Screen"), _xlfn.XLOOKUP(C1986, calc_rusacc!$C$15:$C$65, calc_rusacc!$BJ$15:$BJ$65, "",0),  F1986="Sealant", _xlfn.XLOOKUP(C1986, dd_accsrycalc!$A$2:$A$51, dd_accsrycalc!$G$2:$G$51, "",0),  F1986&lt;&gt;"",L1986*_xlfn.XLOOKUP(1, (SKUs!$C$2:$C$10001=G1986)*(SKUs!$K$2:$K$10001=I1986),SKUs!$E$2:$E$10001)), 0),"")</f>
        <v/>
      </c>
      <c r="E1986" s="35" t="str">
        <f>_xlfn.XLOOKUP(F1986,dd_item!$B$2:$B$105,dd_item!$C$2:$C$105,"",0)</f>
        <v/>
      </c>
      <c r="F1986" s="35"/>
      <c r="G1986" s="35" cm="1">
        <f t="array" ref="G1986">IFERROR(_xlfn.XLOOKUP(1, (SKUs!$J$2:$J$10001=accsry_unmerged!F1986)*IF(H1986&lt;&gt;"",(SKUs!$L$2:$L$10001=accsry_unmerged!H1986),1)*(SKUs!$K$2:$K$10001=I1986),SKUs!$C$2:$C$10001),"")</f>
        <v>0</v>
      </c>
      <c r="H1986" s="36" cm="1">
        <f t="array" ref="H1986">IFERROR(_xlfn.XLOOKUP(1, (dd_accsryclr!$C$2:$C$1000=accsry_unmerged!F1986)*(dd_accsryclr!$B$2:$B$1000=accsry_unmerged!J1986),dd_accsryclr!$A$2:$A$1000),"")</f>
        <v>0</v>
      </c>
      <c r="I1986" s="35">
        <f>_xlfn.XLOOKUP(C1986,'Project Details'!$C$17:$C$66,'Project Details'!$E$17:$E$66,"",0)</f>
        <v>0</v>
      </c>
      <c r="J1986" s="35">
        <f>_xlfn.XLOOKUP(C1986,'Project Details'!$C$17:$C$66,'Project Details'!$H$17:$H$66,"",0)</f>
        <v>0</v>
      </c>
      <c r="K1986" s="36" t="str">
        <f>IF(AND(_xlfn.XLOOKUP(C1986,'Project Details'!$C$17:$C$66,'Project Details'!$L$17:$L$66,"",0)&gt;550, F1986="Spring-L27cm"),"",SUBSTITUTE(_xlfn.XLOOKUP(G1986,SKUs!$C$2:$C$10001,SKUs!$F$2:$F$10001,"",0), " Accessories",""))</f>
        <v/>
      </c>
      <c r="L1986" s="36">
        <f>_xlfn.XLOOKUP(C1986,'Project Details'!$C$17:$C$66,'Project Details'!$D$17:$D$66,"",0)</f>
        <v>0</v>
      </c>
      <c r="M1986" s="43"/>
    </row>
    <row r="1987" spans="1:13" ht="13.5" customHeight="1" x14ac:dyDescent="0.25">
      <c r="A1987" s="43"/>
      <c r="B1987" s="43"/>
      <c r="C1987" s="16">
        <f t="shared" si="38"/>
        <v>40</v>
      </c>
      <c r="D1987" s="16" t="str" cm="1">
        <f t="array" ref="D1987">IFERROR(ROUNDUP(_xlfn.IFS(F1987="Aluminum Track", _xlfn.XLOOKUP(C1987, dd_accsrycalc!$A$2:$A$51, dd_accsrycalc!$B$2:$B$51, "",0), F1987="10 x 2 1/2 S (Flat)", _xlfn.XLOOKUP(C1987, dd_accsrycalc!$A$2:$A$51, dd_accsrycalc!$C$2:$C$51, "",0), F1987="Tox6", _xlfn.XLOOKUP(C1987, dd_accsrycalc!$A$2:$A$51, dd_accsrycalc!$D$2:$D$51, "",0), F1987="Cover Cap", _xlfn.XLOOKUP(C1987, dd_accsrycalc!$A$2:$A$51, dd_accsrycalc!$E$2:$E$51, "",0), F1987="Drainage Cover", _xlfn.XLOOKUP(C1987, dd_accsrycalc!$A$2:$A$51, dd_accsrycalc!$F$2:$F$51, "",0),AND( F1987="Double Adhesive Tape", I1987="Roll-up Screen"), _xlfn.XLOOKUP(C1987, calc_rusacc!$C$15:$C$65, calc_rusacc!$AD$15:$AD$65, "",0),AND( F1987="Sealant", I1987="Roll-up Screen"), _xlfn.XLOOKUP(C1987, calc_rusacc!$C$15:$C$65, calc_rusacc!$AF$15:$AF$65, "",0),  AND( F1987="Main Chain", I1987="Accordion Screen"), _xlfn.XLOOKUP(C1987, calc_rusacc!$C$15:$C$65, calc_rusacc!$BF$15:$BF$65, "",0), AND( F1987="Sealant", I1987="Accordion Screen"), _xlfn.XLOOKUP(C1987, calc_rusacc!$C$15:$C$65, calc_rusacc!$BJ$15:$BJ$65, "",0),  F1987="Sealant", _xlfn.XLOOKUP(C1987, dd_accsrycalc!$A$2:$A$51, dd_accsrycalc!$G$2:$G$51, "",0),  F1987&lt;&gt;"",L1987*_xlfn.XLOOKUP(1, (SKUs!$C$2:$C$10001=G1987)*(SKUs!$K$2:$K$10001=I1987),SKUs!$E$2:$E$10001)), 0),"")</f>
        <v/>
      </c>
      <c r="E1987" s="16" t="str">
        <f>_xlfn.XLOOKUP(F1987,dd_item!$B$2:$B$105,dd_item!$C$2:$C$105,"",0)</f>
        <v/>
      </c>
      <c r="F1987" s="16"/>
      <c r="G1987" s="16" cm="1">
        <f t="array" ref="G1987">IFERROR(_xlfn.XLOOKUP(1, (SKUs!$J$2:$J$10001=accsry_unmerged!F1987)*IF(H1987&lt;&gt;"",(SKUs!$L$2:$L$10001=accsry_unmerged!H1987),1)*(SKUs!$K$2:$K$10001=I1987),SKUs!$C$2:$C$10001),"")</f>
        <v>0</v>
      </c>
      <c r="H1987" s="33" cm="1">
        <f t="array" ref="H1987">IFERROR(_xlfn.XLOOKUP(1, (dd_accsryclr!$C$2:$C$1000=accsry_unmerged!F1987)*(dd_accsryclr!$B$2:$B$1000=accsry_unmerged!J1987),dd_accsryclr!$A$2:$A$1000),"")</f>
        <v>0</v>
      </c>
      <c r="I1987" s="16">
        <f>_xlfn.XLOOKUP(C1987,'Project Details'!$C$17:$C$66,'Project Details'!$E$17:$E$66,"",0)</f>
        <v>0</v>
      </c>
      <c r="J1987" s="16">
        <f>_xlfn.XLOOKUP(C1987,'Project Details'!$C$17:$C$66,'Project Details'!$H$17:$H$66,"",0)</f>
        <v>0</v>
      </c>
      <c r="K1987" s="33" t="str">
        <f>IF(AND(_xlfn.XLOOKUP(C1987,'Project Details'!$C$17:$C$66,'Project Details'!$L$17:$L$66,"",0)&gt;550, F1987="Spring-L27cm"),"",SUBSTITUTE(_xlfn.XLOOKUP(G1987,SKUs!$C$2:$C$10001,SKUs!$F$2:$F$10001,"",0), " Accessories",""))</f>
        <v/>
      </c>
      <c r="L1987" s="33">
        <f>_xlfn.XLOOKUP(C1987,'Project Details'!$C$17:$C$66,'Project Details'!$D$17:$D$66,"",0)</f>
        <v>0</v>
      </c>
      <c r="M1987" s="43"/>
    </row>
    <row r="1988" spans="1:13" ht="13.5" customHeight="1" x14ac:dyDescent="0.25">
      <c r="A1988" s="43"/>
      <c r="B1988" s="43"/>
      <c r="C1988" s="35">
        <f t="shared" si="38"/>
        <v>40</v>
      </c>
      <c r="D1988" s="35" t="str" cm="1">
        <f t="array" ref="D1988">IFERROR(ROUNDUP(_xlfn.IFS(F1988="Aluminum Track", _xlfn.XLOOKUP(C1988, dd_accsrycalc!$A$2:$A$51, dd_accsrycalc!$B$2:$B$51, "",0), F1988="10 x 2 1/2 S (Flat)", _xlfn.XLOOKUP(C1988, dd_accsrycalc!$A$2:$A$51, dd_accsrycalc!$C$2:$C$51, "",0), F1988="Tox6", _xlfn.XLOOKUP(C1988, dd_accsrycalc!$A$2:$A$51, dd_accsrycalc!$D$2:$D$51, "",0), F1988="Cover Cap", _xlfn.XLOOKUP(C1988, dd_accsrycalc!$A$2:$A$51, dd_accsrycalc!$E$2:$E$51, "",0), F1988="Drainage Cover", _xlfn.XLOOKUP(C1988, dd_accsrycalc!$A$2:$A$51, dd_accsrycalc!$F$2:$F$51, "",0),AND( F1988="Double Adhesive Tape", I1988="Roll-up Screen"), _xlfn.XLOOKUP(C1988, calc_rusacc!$C$15:$C$65, calc_rusacc!$AD$15:$AD$65, "",0),AND( F1988="Sealant", I1988="Roll-up Screen"), _xlfn.XLOOKUP(C1988, calc_rusacc!$C$15:$C$65, calc_rusacc!$AF$15:$AF$65, "",0),  AND( F1988="Main Chain", I1988="Accordion Screen"), _xlfn.XLOOKUP(C1988, calc_rusacc!$C$15:$C$65, calc_rusacc!$BF$15:$BF$65, "",0), AND( F1988="Sealant", I1988="Accordion Screen"), _xlfn.XLOOKUP(C1988, calc_rusacc!$C$15:$C$65, calc_rusacc!$BJ$15:$BJ$65, "",0),  F1988="Sealant", _xlfn.XLOOKUP(C1988, dd_accsrycalc!$A$2:$A$51, dd_accsrycalc!$G$2:$G$51, "",0),  F1988&lt;&gt;"",L1988*_xlfn.XLOOKUP(1, (SKUs!$C$2:$C$10001=G1988)*(SKUs!$K$2:$K$10001=I1988),SKUs!$E$2:$E$10001)), 0),"")</f>
        <v/>
      </c>
      <c r="E1988" s="35" t="str">
        <f>_xlfn.XLOOKUP(F1988,dd_item!$B$2:$B$105,dd_item!$C$2:$C$105,"",0)</f>
        <v/>
      </c>
      <c r="F1988" s="35"/>
      <c r="G1988" s="35" cm="1">
        <f t="array" ref="G1988">IFERROR(_xlfn.XLOOKUP(1, (SKUs!$J$2:$J$10001=accsry_unmerged!F1988)*IF(H1988&lt;&gt;"",(SKUs!$L$2:$L$10001=accsry_unmerged!H1988),1)*(SKUs!$K$2:$K$10001=I1988),SKUs!$C$2:$C$10001),"")</f>
        <v>0</v>
      </c>
      <c r="H1988" s="36" cm="1">
        <f t="array" ref="H1988">IFERROR(_xlfn.XLOOKUP(1, (dd_accsryclr!$C$2:$C$1000=accsry_unmerged!F1988)*(dd_accsryclr!$B$2:$B$1000=accsry_unmerged!J1988),dd_accsryclr!$A$2:$A$1000),"")</f>
        <v>0</v>
      </c>
      <c r="I1988" s="35">
        <f>_xlfn.XLOOKUP(C1988,'Project Details'!$C$17:$C$66,'Project Details'!$E$17:$E$66,"",0)</f>
        <v>0</v>
      </c>
      <c r="J1988" s="35">
        <f>_xlfn.XLOOKUP(C1988,'Project Details'!$C$17:$C$66,'Project Details'!$H$17:$H$66,"",0)</f>
        <v>0</v>
      </c>
      <c r="K1988" s="36" t="str">
        <f>IF(AND(_xlfn.XLOOKUP(C1988,'Project Details'!$C$17:$C$66,'Project Details'!$L$17:$L$66,"",0)&gt;550, F1988="Spring-L27cm"),"",SUBSTITUTE(_xlfn.XLOOKUP(G1988,SKUs!$C$2:$C$10001,SKUs!$F$2:$F$10001,"",0), " Accessories",""))</f>
        <v/>
      </c>
      <c r="L1988" s="36">
        <f>_xlfn.XLOOKUP(C1988,'Project Details'!$C$17:$C$66,'Project Details'!$D$17:$D$66,"",0)</f>
        <v>0</v>
      </c>
      <c r="M1988" s="43"/>
    </row>
    <row r="1989" spans="1:13" ht="13.5" customHeight="1" x14ac:dyDescent="0.25">
      <c r="A1989" s="43"/>
      <c r="B1989" s="43"/>
      <c r="C1989" s="16">
        <f t="shared" si="38"/>
        <v>40</v>
      </c>
      <c r="D1989" s="16" t="str" cm="1">
        <f t="array" ref="D1989">IFERROR(ROUNDUP(_xlfn.IFS(F1989="Aluminum Track", _xlfn.XLOOKUP(C1989, dd_accsrycalc!$A$2:$A$51, dd_accsrycalc!$B$2:$B$51, "",0), F1989="10 x 2 1/2 S (Flat)", _xlfn.XLOOKUP(C1989, dd_accsrycalc!$A$2:$A$51, dd_accsrycalc!$C$2:$C$51, "",0), F1989="Tox6", _xlfn.XLOOKUP(C1989, dd_accsrycalc!$A$2:$A$51, dd_accsrycalc!$D$2:$D$51, "",0), F1989="Cover Cap", _xlfn.XLOOKUP(C1989, dd_accsrycalc!$A$2:$A$51, dd_accsrycalc!$E$2:$E$51, "",0), F1989="Drainage Cover", _xlfn.XLOOKUP(C1989, dd_accsrycalc!$A$2:$A$51, dd_accsrycalc!$F$2:$F$51, "",0),AND( F1989="Double Adhesive Tape", I1989="Roll-up Screen"), _xlfn.XLOOKUP(C1989, calc_rusacc!$C$15:$C$65, calc_rusacc!$AD$15:$AD$65, "",0),AND( F1989="Sealant", I1989="Roll-up Screen"), _xlfn.XLOOKUP(C1989, calc_rusacc!$C$15:$C$65, calc_rusacc!$AF$15:$AF$65, "",0),  AND( F1989="Main Chain", I1989="Accordion Screen"), _xlfn.XLOOKUP(C1989, calc_rusacc!$C$15:$C$65, calc_rusacc!$BF$15:$BF$65, "",0), AND( F1989="Sealant", I1989="Accordion Screen"), _xlfn.XLOOKUP(C1989, calc_rusacc!$C$15:$C$65, calc_rusacc!$BJ$15:$BJ$65, "",0),  F1989="Sealant", _xlfn.XLOOKUP(C1989, dd_accsrycalc!$A$2:$A$51, dd_accsrycalc!$G$2:$G$51, "",0),  F1989&lt;&gt;"",L1989*_xlfn.XLOOKUP(1, (SKUs!$C$2:$C$10001=G1989)*(SKUs!$K$2:$K$10001=I1989),SKUs!$E$2:$E$10001)), 0),"")</f>
        <v/>
      </c>
      <c r="E1989" s="16" t="str">
        <f>_xlfn.XLOOKUP(F1989,dd_item!$B$2:$B$105,dd_item!$C$2:$C$105,"",0)</f>
        <v/>
      </c>
      <c r="F1989" s="16"/>
      <c r="G1989" s="16" cm="1">
        <f t="array" ref="G1989">IFERROR(_xlfn.XLOOKUP(1, (SKUs!$J$2:$J$10001=accsry_unmerged!F1989)*IF(H1989&lt;&gt;"",(SKUs!$L$2:$L$10001=accsry_unmerged!H1989),1)*(SKUs!$K$2:$K$10001=I1989),SKUs!$C$2:$C$10001),"")</f>
        <v>0</v>
      </c>
      <c r="H1989" s="33" cm="1">
        <f t="array" ref="H1989">IFERROR(_xlfn.XLOOKUP(1, (dd_accsryclr!$C$2:$C$1000=accsry_unmerged!F1989)*(dd_accsryclr!$B$2:$B$1000=accsry_unmerged!J1989),dd_accsryclr!$A$2:$A$1000),"")</f>
        <v>0</v>
      </c>
      <c r="I1989" s="16">
        <f>_xlfn.XLOOKUP(C1989,'Project Details'!$C$17:$C$66,'Project Details'!$E$17:$E$66,"",0)</f>
        <v>0</v>
      </c>
      <c r="J1989" s="16">
        <f>_xlfn.XLOOKUP(C1989,'Project Details'!$C$17:$C$66,'Project Details'!$H$17:$H$66,"",0)</f>
        <v>0</v>
      </c>
      <c r="K1989" s="33" t="str">
        <f>IF(AND(_xlfn.XLOOKUP(C1989,'Project Details'!$C$17:$C$66,'Project Details'!$L$17:$L$66,"",0)&gt;550, F1989="Spring-L27cm"),"",SUBSTITUTE(_xlfn.XLOOKUP(G1989,SKUs!$C$2:$C$10001,SKUs!$F$2:$F$10001,"",0), " Accessories",""))</f>
        <v/>
      </c>
      <c r="L1989" s="33">
        <f>_xlfn.XLOOKUP(C1989,'Project Details'!$C$17:$C$66,'Project Details'!$D$17:$D$66,"",0)</f>
        <v>0</v>
      </c>
      <c r="M1989" s="43"/>
    </row>
    <row r="1990" spans="1:13" ht="13.5" customHeight="1" x14ac:dyDescent="0.25">
      <c r="A1990" s="43"/>
      <c r="B1990" s="43"/>
      <c r="C1990" s="35">
        <f t="shared" si="38"/>
        <v>40</v>
      </c>
      <c r="D1990" s="35" t="str" cm="1">
        <f t="array" ref="D1990">IFERROR(ROUNDUP(_xlfn.IFS(F1990="Aluminum Track", _xlfn.XLOOKUP(C1990, dd_accsrycalc!$A$2:$A$51, dd_accsrycalc!$B$2:$B$51, "",0), F1990="10 x 2 1/2 S (Flat)", _xlfn.XLOOKUP(C1990, dd_accsrycalc!$A$2:$A$51, dd_accsrycalc!$C$2:$C$51, "",0), F1990="Tox6", _xlfn.XLOOKUP(C1990, dd_accsrycalc!$A$2:$A$51, dd_accsrycalc!$D$2:$D$51, "",0), F1990="Cover Cap", _xlfn.XLOOKUP(C1990, dd_accsrycalc!$A$2:$A$51, dd_accsrycalc!$E$2:$E$51, "",0), F1990="Drainage Cover", _xlfn.XLOOKUP(C1990, dd_accsrycalc!$A$2:$A$51, dd_accsrycalc!$F$2:$F$51, "",0),AND( F1990="Double Adhesive Tape", I1990="Roll-up Screen"), _xlfn.XLOOKUP(C1990, calc_rusacc!$C$15:$C$65, calc_rusacc!$AD$15:$AD$65, "",0),AND( F1990="Sealant", I1990="Roll-up Screen"), _xlfn.XLOOKUP(C1990, calc_rusacc!$C$15:$C$65, calc_rusacc!$AF$15:$AF$65, "",0),  AND( F1990="Main Chain", I1990="Accordion Screen"), _xlfn.XLOOKUP(C1990, calc_rusacc!$C$15:$C$65, calc_rusacc!$BF$15:$BF$65, "",0), AND( F1990="Sealant", I1990="Accordion Screen"), _xlfn.XLOOKUP(C1990, calc_rusacc!$C$15:$C$65, calc_rusacc!$BJ$15:$BJ$65, "",0),  F1990="Sealant", _xlfn.XLOOKUP(C1990, dd_accsrycalc!$A$2:$A$51, dd_accsrycalc!$G$2:$G$51, "",0),  F1990&lt;&gt;"",L1990*_xlfn.XLOOKUP(1, (SKUs!$C$2:$C$10001=G1990)*(SKUs!$K$2:$K$10001=I1990),SKUs!$E$2:$E$10001)), 0),"")</f>
        <v/>
      </c>
      <c r="E1990" s="35" t="str">
        <f>_xlfn.XLOOKUP(F1990,dd_item!$B$2:$B$105,dd_item!$C$2:$C$105,"",0)</f>
        <v/>
      </c>
      <c r="F1990" s="35"/>
      <c r="G1990" s="35" cm="1">
        <f t="array" ref="G1990">IFERROR(_xlfn.XLOOKUP(1, (SKUs!$J$2:$J$10001=accsry_unmerged!F1990)*IF(H1990&lt;&gt;"",(SKUs!$L$2:$L$10001=accsry_unmerged!H1990),1)*(SKUs!$K$2:$K$10001=I1990),SKUs!$C$2:$C$10001),"")</f>
        <v>0</v>
      </c>
      <c r="H1990" s="36" cm="1">
        <f t="array" ref="H1990">IFERROR(_xlfn.XLOOKUP(1, (dd_accsryclr!$C$2:$C$1000=accsry_unmerged!F1990)*(dd_accsryclr!$B$2:$B$1000=accsry_unmerged!J1990),dd_accsryclr!$A$2:$A$1000),"")</f>
        <v>0</v>
      </c>
      <c r="I1990" s="35">
        <f>_xlfn.XLOOKUP(C1990,'Project Details'!$C$17:$C$66,'Project Details'!$E$17:$E$66,"",0)</f>
        <v>0</v>
      </c>
      <c r="J1990" s="35">
        <f>_xlfn.XLOOKUP(C1990,'Project Details'!$C$17:$C$66,'Project Details'!$H$17:$H$66,"",0)</f>
        <v>0</v>
      </c>
      <c r="K1990" s="36" t="str">
        <f>IF(AND(_xlfn.XLOOKUP(C1990,'Project Details'!$C$17:$C$66,'Project Details'!$L$17:$L$66,"",0)&gt;550, F1990="Spring-L27cm"),"",SUBSTITUTE(_xlfn.XLOOKUP(G1990,SKUs!$C$2:$C$10001,SKUs!$F$2:$F$10001,"",0), " Accessories",""))</f>
        <v/>
      </c>
      <c r="L1990" s="36">
        <f>_xlfn.XLOOKUP(C1990,'Project Details'!$C$17:$C$66,'Project Details'!$D$17:$D$66,"",0)</f>
        <v>0</v>
      </c>
      <c r="M1990" s="43"/>
    </row>
    <row r="1991" spans="1:13" ht="13.5" customHeight="1" x14ac:dyDescent="0.25">
      <c r="A1991" s="43"/>
      <c r="B1991" s="43"/>
      <c r="C1991" s="16">
        <f t="shared" si="38"/>
        <v>40</v>
      </c>
      <c r="D1991" s="16" t="str" cm="1">
        <f t="array" ref="D1991">IFERROR(ROUNDUP(_xlfn.IFS(F1991="Aluminum Track", _xlfn.XLOOKUP(C1991, dd_accsrycalc!$A$2:$A$51, dd_accsrycalc!$B$2:$B$51, "",0), F1991="10 x 2 1/2 S (Flat)", _xlfn.XLOOKUP(C1991, dd_accsrycalc!$A$2:$A$51, dd_accsrycalc!$C$2:$C$51, "",0), F1991="Tox6", _xlfn.XLOOKUP(C1991, dd_accsrycalc!$A$2:$A$51, dd_accsrycalc!$D$2:$D$51, "",0), F1991="Cover Cap", _xlfn.XLOOKUP(C1991, dd_accsrycalc!$A$2:$A$51, dd_accsrycalc!$E$2:$E$51, "",0), F1991="Drainage Cover", _xlfn.XLOOKUP(C1991, dd_accsrycalc!$A$2:$A$51, dd_accsrycalc!$F$2:$F$51, "",0),AND( F1991="Double Adhesive Tape", I1991="Roll-up Screen"), _xlfn.XLOOKUP(C1991, calc_rusacc!$C$15:$C$65, calc_rusacc!$AD$15:$AD$65, "",0),AND( F1991="Sealant", I1991="Roll-up Screen"), _xlfn.XLOOKUP(C1991, calc_rusacc!$C$15:$C$65, calc_rusacc!$AF$15:$AF$65, "",0),  AND( F1991="Main Chain", I1991="Accordion Screen"), _xlfn.XLOOKUP(C1991, calc_rusacc!$C$15:$C$65, calc_rusacc!$BF$15:$BF$65, "",0), AND( F1991="Sealant", I1991="Accordion Screen"), _xlfn.XLOOKUP(C1991, calc_rusacc!$C$15:$C$65, calc_rusacc!$BJ$15:$BJ$65, "",0),  F1991="Sealant", _xlfn.XLOOKUP(C1991, dd_accsrycalc!$A$2:$A$51, dd_accsrycalc!$G$2:$G$51, "",0),  F1991&lt;&gt;"",L1991*_xlfn.XLOOKUP(1, (SKUs!$C$2:$C$10001=G1991)*(SKUs!$K$2:$K$10001=I1991),SKUs!$E$2:$E$10001)), 0),"")</f>
        <v/>
      </c>
      <c r="E1991" s="16" t="str">
        <f>_xlfn.XLOOKUP(F1991,dd_item!$B$2:$B$105,dd_item!$C$2:$C$105,"",0)</f>
        <v/>
      </c>
      <c r="F1991" s="16"/>
      <c r="G1991" s="16" cm="1">
        <f t="array" ref="G1991">IFERROR(_xlfn.XLOOKUP(1, (SKUs!$J$2:$J$10001=accsry_unmerged!F1991)*IF(H1991&lt;&gt;"",(SKUs!$L$2:$L$10001=accsry_unmerged!H1991),1)*(SKUs!$K$2:$K$10001=I1991),SKUs!$C$2:$C$10001),"")</f>
        <v>0</v>
      </c>
      <c r="H1991" s="33" cm="1">
        <f t="array" ref="H1991">IFERROR(_xlfn.XLOOKUP(1, (dd_accsryclr!$C$2:$C$1000=accsry_unmerged!F1991)*(dd_accsryclr!$B$2:$B$1000=accsry_unmerged!J1991),dd_accsryclr!$A$2:$A$1000),"")</f>
        <v>0</v>
      </c>
      <c r="I1991" s="16">
        <f>_xlfn.XLOOKUP(C1991,'Project Details'!$C$17:$C$66,'Project Details'!$E$17:$E$66,"",0)</f>
        <v>0</v>
      </c>
      <c r="J1991" s="16">
        <f>_xlfn.XLOOKUP(C1991,'Project Details'!$C$17:$C$66,'Project Details'!$H$17:$H$66,"",0)</f>
        <v>0</v>
      </c>
      <c r="K1991" s="33" t="str">
        <f>IF(AND(_xlfn.XLOOKUP(C1991,'Project Details'!$C$17:$C$66,'Project Details'!$L$17:$L$66,"",0)&gt;550, F1991="Spring-L27cm"),"",SUBSTITUTE(_xlfn.XLOOKUP(G1991,SKUs!$C$2:$C$10001,SKUs!$F$2:$F$10001,"",0), " Accessories",""))</f>
        <v/>
      </c>
      <c r="L1991" s="33">
        <f>_xlfn.XLOOKUP(C1991,'Project Details'!$C$17:$C$66,'Project Details'!$D$17:$D$66,"",0)</f>
        <v>0</v>
      </c>
      <c r="M1991" s="43"/>
    </row>
    <row r="1992" spans="1:13" ht="13.5" customHeight="1" x14ac:dyDescent="0.25">
      <c r="A1992" s="43"/>
      <c r="B1992" s="43"/>
      <c r="C1992" s="35">
        <f t="shared" si="38"/>
        <v>40</v>
      </c>
      <c r="D1992" s="35" t="str" cm="1">
        <f t="array" ref="D1992">IFERROR(ROUNDUP(_xlfn.IFS(F1992="Aluminum Track", _xlfn.XLOOKUP(C1992, dd_accsrycalc!$A$2:$A$51, dd_accsrycalc!$B$2:$B$51, "",0), F1992="10 x 2 1/2 S (Flat)", _xlfn.XLOOKUP(C1992, dd_accsrycalc!$A$2:$A$51, dd_accsrycalc!$C$2:$C$51, "",0), F1992="Tox6", _xlfn.XLOOKUP(C1992, dd_accsrycalc!$A$2:$A$51, dd_accsrycalc!$D$2:$D$51, "",0), F1992="Cover Cap", _xlfn.XLOOKUP(C1992, dd_accsrycalc!$A$2:$A$51, dd_accsrycalc!$E$2:$E$51, "",0), F1992="Drainage Cover", _xlfn.XLOOKUP(C1992, dd_accsrycalc!$A$2:$A$51, dd_accsrycalc!$F$2:$F$51, "",0),AND( F1992="Double Adhesive Tape", I1992="Roll-up Screen"), _xlfn.XLOOKUP(C1992, calc_rusacc!$C$15:$C$65, calc_rusacc!$AD$15:$AD$65, "",0),AND( F1992="Sealant", I1992="Roll-up Screen"), _xlfn.XLOOKUP(C1992, calc_rusacc!$C$15:$C$65, calc_rusacc!$AF$15:$AF$65, "",0),  AND( F1992="Main Chain", I1992="Accordion Screen"), _xlfn.XLOOKUP(C1992, calc_rusacc!$C$15:$C$65, calc_rusacc!$BF$15:$BF$65, "",0), AND( F1992="Sealant", I1992="Accordion Screen"), _xlfn.XLOOKUP(C1992, calc_rusacc!$C$15:$C$65, calc_rusacc!$BJ$15:$BJ$65, "",0),  F1992="Sealant", _xlfn.XLOOKUP(C1992, dd_accsrycalc!$A$2:$A$51, dd_accsrycalc!$G$2:$G$51, "",0),  F1992&lt;&gt;"",L1992*_xlfn.XLOOKUP(1, (SKUs!$C$2:$C$10001=G1992)*(SKUs!$K$2:$K$10001=I1992),SKUs!$E$2:$E$10001)), 0),"")</f>
        <v/>
      </c>
      <c r="E1992" s="35" t="str">
        <f>_xlfn.XLOOKUP(F1992,dd_item!$B$2:$B$105,dd_item!$C$2:$C$105,"",0)</f>
        <v/>
      </c>
      <c r="F1992" s="35"/>
      <c r="G1992" s="35" cm="1">
        <f t="array" ref="G1992">IFERROR(_xlfn.XLOOKUP(1, (SKUs!$J$2:$J$10001=accsry_unmerged!F1992)*IF(H1992&lt;&gt;"",(SKUs!$L$2:$L$10001=accsry_unmerged!H1992),1)*(SKUs!$K$2:$K$10001=I1992),SKUs!$C$2:$C$10001),"")</f>
        <v>0</v>
      </c>
      <c r="H1992" s="36" cm="1">
        <f t="array" ref="H1992">IFERROR(_xlfn.XLOOKUP(1, (dd_accsryclr!$C$2:$C$1000=accsry_unmerged!F1992)*(dd_accsryclr!$B$2:$B$1000=accsry_unmerged!J1992),dd_accsryclr!$A$2:$A$1000),"")</f>
        <v>0</v>
      </c>
      <c r="I1992" s="35">
        <f>_xlfn.XLOOKUP(C1992,'Project Details'!$C$17:$C$66,'Project Details'!$E$17:$E$66,"",0)</f>
        <v>0</v>
      </c>
      <c r="J1992" s="35">
        <f>_xlfn.XLOOKUP(C1992,'Project Details'!$C$17:$C$66,'Project Details'!$H$17:$H$66,"",0)</f>
        <v>0</v>
      </c>
      <c r="K1992" s="36" t="str">
        <f>IF(AND(_xlfn.XLOOKUP(C1992,'Project Details'!$C$17:$C$66,'Project Details'!$L$17:$L$66,"",0)&gt;550, F1992="Spring-L27cm"),"",SUBSTITUTE(_xlfn.XLOOKUP(G1992,SKUs!$C$2:$C$10001,SKUs!$F$2:$F$10001,"",0), " Accessories",""))</f>
        <v/>
      </c>
      <c r="L1992" s="36">
        <f>_xlfn.XLOOKUP(C1992,'Project Details'!$C$17:$C$66,'Project Details'!$D$17:$D$66,"",0)</f>
        <v>0</v>
      </c>
      <c r="M1992" s="43"/>
    </row>
    <row r="1993" spans="1:13" ht="13.5" customHeight="1" x14ac:dyDescent="0.25">
      <c r="A1993" s="43"/>
      <c r="B1993" s="43"/>
      <c r="C1993" s="16">
        <f t="shared" si="38"/>
        <v>40</v>
      </c>
      <c r="D1993" s="16" t="str" cm="1">
        <f t="array" ref="D1993">IFERROR(ROUNDUP(_xlfn.IFS(F1993="Aluminum Track", _xlfn.XLOOKUP(C1993, dd_accsrycalc!$A$2:$A$51, dd_accsrycalc!$B$2:$B$51, "",0), F1993="10 x 2 1/2 S (Flat)", _xlfn.XLOOKUP(C1993, dd_accsrycalc!$A$2:$A$51, dd_accsrycalc!$C$2:$C$51, "",0), F1993="Tox6", _xlfn.XLOOKUP(C1993, dd_accsrycalc!$A$2:$A$51, dd_accsrycalc!$D$2:$D$51, "",0), F1993="Cover Cap", _xlfn.XLOOKUP(C1993, dd_accsrycalc!$A$2:$A$51, dd_accsrycalc!$E$2:$E$51, "",0), F1993="Drainage Cover", _xlfn.XLOOKUP(C1993, dd_accsrycalc!$A$2:$A$51, dd_accsrycalc!$F$2:$F$51, "",0),AND( F1993="Double Adhesive Tape", I1993="Roll-up Screen"), _xlfn.XLOOKUP(C1993, calc_rusacc!$C$15:$C$65, calc_rusacc!$AD$15:$AD$65, "",0),AND( F1993="Sealant", I1993="Roll-up Screen"), _xlfn.XLOOKUP(C1993, calc_rusacc!$C$15:$C$65, calc_rusacc!$AF$15:$AF$65, "",0),  AND( F1993="Main Chain", I1993="Accordion Screen"), _xlfn.XLOOKUP(C1993, calc_rusacc!$C$15:$C$65, calc_rusacc!$BF$15:$BF$65, "",0), AND( F1993="Sealant", I1993="Accordion Screen"), _xlfn.XLOOKUP(C1993, calc_rusacc!$C$15:$C$65, calc_rusacc!$BJ$15:$BJ$65, "",0),  F1993="Sealant", _xlfn.XLOOKUP(C1993, dd_accsrycalc!$A$2:$A$51, dd_accsrycalc!$G$2:$G$51, "",0),  F1993&lt;&gt;"",L1993*_xlfn.XLOOKUP(1, (SKUs!$C$2:$C$10001=G1993)*(SKUs!$K$2:$K$10001=I1993),SKUs!$E$2:$E$10001)), 0),"")</f>
        <v/>
      </c>
      <c r="E1993" s="16" t="str">
        <f>_xlfn.XLOOKUP(F1993,dd_item!$B$2:$B$105,dd_item!$C$2:$C$105,"",0)</f>
        <v/>
      </c>
      <c r="F1993" s="16"/>
      <c r="G1993" s="16" cm="1">
        <f t="array" ref="G1993">IFERROR(_xlfn.XLOOKUP(1, (SKUs!$J$2:$J$10001=accsry_unmerged!F1993)*IF(H1993&lt;&gt;"",(SKUs!$L$2:$L$10001=accsry_unmerged!H1993),1)*(SKUs!$K$2:$K$10001=I1993),SKUs!$C$2:$C$10001),"")</f>
        <v>0</v>
      </c>
      <c r="H1993" s="33" cm="1">
        <f t="array" ref="H1993">IFERROR(_xlfn.XLOOKUP(1, (dd_accsryclr!$C$2:$C$1000=accsry_unmerged!F1993)*(dd_accsryclr!$B$2:$B$1000=accsry_unmerged!J1993),dd_accsryclr!$A$2:$A$1000),"")</f>
        <v>0</v>
      </c>
      <c r="I1993" s="16">
        <f>_xlfn.XLOOKUP(C1993,'Project Details'!$C$17:$C$66,'Project Details'!$E$17:$E$66,"",0)</f>
        <v>0</v>
      </c>
      <c r="J1993" s="16">
        <f>_xlfn.XLOOKUP(C1993,'Project Details'!$C$17:$C$66,'Project Details'!$H$17:$H$66,"",0)</f>
        <v>0</v>
      </c>
      <c r="K1993" s="33" t="str">
        <f>IF(AND(_xlfn.XLOOKUP(C1993,'Project Details'!$C$17:$C$66,'Project Details'!$L$17:$L$66,"",0)&gt;550, F1993="Spring-L27cm"),"",SUBSTITUTE(_xlfn.XLOOKUP(G1993,SKUs!$C$2:$C$10001,SKUs!$F$2:$F$10001,"",0), " Accessories",""))</f>
        <v/>
      </c>
      <c r="L1993" s="33">
        <f>_xlfn.XLOOKUP(C1993,'Project Details'!$C$17:$C$66,'Project Details'!$D$17:$D$66,"",0)</f>
        <v>0</v>
      </c>
      <c r="M1993" s="43"/>
    </row>
    <row r="1994" spans="1:13" ht="13.5" customHeight="1" x14ac:dyDescent="0.25">
      <c r="A1994" s="43"/>
      <c r="B1994" s="43"/>
      <c r="C1994" s="35">
        <f t="shared" si="38"/>
        <v>40</v>
      </c>
      <c r="D1994" s="35" t="str" cm="1">
        <f t="array" ref="D1994">IFERROR(ROUNDUP(_xlfn.IFS(F1994="Aluminum Track", _xlfn.XLOOKUP(C1994, dd_accsrycalc!$A$2:$A$51, dd_accsrycalc!$B$2:$B$51, "",0), F1994="10 x 2 1/2 S (Flat)", _xlfn.XLOOKUP(C1994, dd_accsrycalc!$A$2:$A$51, dd_accsrycalc!$C$2:$C$51, "",0), F1994="Tox6", _xlfn.XLOOKUP(C1994, dd_accsrycalc!$A$2:$A$51, dd_accsrycalc!$D$2:$D$51, "",0), F1994="Cover Cap", _xlfn.XLOOKUP(C1994, dd_accsrycalc!$A$2:$A$51, dd_accsrycalc!$E$2:$E$51, "",0), F1994="Drainage Cover", _xlfn.XLOOKUP(C1994, dd_accsrycalc!$A$2:$A$51, dd_accsrycalc!$F$2:$F$51, "",0),AND( F1994="Double Adhesive Tape", I1994="Roll-up Screen"), _xlfn.XLOOKUP(C1994, calc_rusacc!$C$15:$C$65, calc_rusacc!$AD$15:$AD$65, "",0),AND( F1994="Sealant", I1994="Roll-up Screen"), _xlfn.XLOOKUP(C1994, calc_rusacc!$C$15:$C$65, calc_rusacc!$AF$15:$AF$65, "",0),  AND( F1994="Main Chain", I1994="Accordion Screen"), _xlfn.XLOOKUP(C1994, calc_rusacc!$C$15:$C$65, calc_rusacc!$BF$15:$BF$65, "",0), AND( F1994="Sealant", I1994="Accordion Screen"), _xlfn.XLOOKUP(C1994, calc_rusacc!$C$15:$C$65, calc_rusacc!$BJ$15:$BJ$65, "",0),  F1994="Sealant", _xlfn.XLOOKUP(C1994, dd_accsrycalc!$A$2:$A$51, dd_accsrycalc!$G$2:$G$51, "",0),  F1994&lt;&gt;"",L1994*_xlfn.XLOOKUP(1, (SKUs!$C$2:$C$10001=G1994)*(SKUs!$K$2:$K$10001=I1994),SKUs!$E$2:$E$10001)), 0),"")</f>
        <v/>
      </c>
      <c r="E1994" s="35" t="str">
        <f>_xlfn.XLOOKUP(F1994,dd_item!$B$2:$B$105,dd_item!$C$2:$C$105,"",0)</f>
        <v/>
      </c>
      <c r="F1994" s="35"/>
      <c r="G1994" s="35" cm="1">
        <f t="array" ref="G1994">IFERROR(_xlfn.XLOOKUP(1, (SKUs!$J$2:$J$10001=accsry_unmerged!F1994)*IF(H1994&lt;&gt;"",(SKUs!$L$2:$L$10001=accsry_unmerged!H1994),1)*(SKUs!$K$2:$K$10001=I1994),SKUs!$C$2:$C$10001),"")</f>
        <v>0</v>
      </c>
      <c r="H1994" s="36" cm="1">
        <f t="array" ref="H1994">IFERROR(_xlfn.XLOOKUP(1, (dd_accsryclr!$C$2:$C$1000=accsry_unmerged!F1994)*(dd_accsryclr!$B$2:$B$1000=accsry_unmerged!J1994),dd_accsryclr!$A$2:$A$1000),"")</f>
        <v>0</v>
      </c>
      <c r="I1994" s="35">
        <f>_xlfn.XLOOKUP(C1994,'Project Details'!$C$17:$C$66,'Project Details'!$E$17:$E$66,"",0)</f>
        <v>0</v>
      </c>
      <c r="J1994" s="35">
        <f>_xlfn.XLOOKUP(C1994,'Project Details'!$C$17:$C$66,'Project Details'!$H$17:$H$66,"",0)</f>
        <v>0</v>
      </c>
      <c r="K1994" s="36" t="str">
        <f>IF(AND(_xlfn.XLOOKUP(C1994,'Project Details'!$C$17:$C$66,'Project Details'!$L$17:$L$66,"",0)&gt;550, F1994="Spring-L27cm"),"",SUBSTITUTE(_xlfn.XLOOKUP(G1994,SKUs!$C$2:$C$10001,SKUs!$F$2:$F$10001,"",0), " Accessories",""))</f>
        <v/>
      </c>
      <c r="L1994" s="36">
        <f>_xlfn.XLOOKUP(C1994,'Project Details'!$C$17:$C$66,'Project Details'!$D$17:$D$66,"",0)</f>
        <v>0</v>
      </c>
      <c r="M1994" s="43"/>
    </row>
    <row r="1995" spans="1:13" ht="13.5" customHeight="1" outlineLevel="1" x14ac:dyDescent="0.25">
      <c r="A1995" s="43"/>
      <c r="B1995" s="43"/>
      <c r="C1995" s="16">
        <f t="shared" si="38"/>
        <v>40</v>
      </c>
      <c r="D1995" s="16" t="str" cm="1">
        <f t="array" ref="D1995">IFERROR(ROUNDUP(_xlfn.IFS(F1995="Aluminum Track", _xlfn.XLOOKUP(C1995, dd_accsrycalc!$A$2:$A$51, dd_accsrycalc!$B$2:$B$51, "",0), F1995="10 x 2 1/2 S (Flat)", _xlfn.XLOOKUP(C1995, dd_accsrycalc!$A$2:$A$51, dd_accsrycalc!$C$2:$C$51, "",0), F1995="Tox6", _xlfn.XLOOKUP(C1995, dd_accsrycalc!$A$2:$A$51, dd_accsrycalc!$D$2:$D$51, "",0), F1995="Cover Cap", _xlfn.XLOOKUP(C1995, dd_accsrycalc!$A$2:$A$51, dd_accsrycalc!$E$2:$E$51, "",0), F1995="Drainage Cover", _xlfn.XLOOKUP(C1995, dd_accsrycalc!$A$2:$A$51, dd_accsrycalc!$F$2:$F$51, "",0),AND( F1995="Double Adhesive Tape", I1995="Roll-up Screen"), _xlfn.XLOOKUP(C1995, calc_rusacc!$C$15:$C$65, calc_rusacc!$AD$15:$AD$65, "",0),AND( F1995="Sealant", I1995="Roll-up Screen"), _xlfn.XLOOKUP(C1995, calc_rusacc!$C$15:$C$65, calc_rusacc!$AF$15:$AF$65, "",0),  AND( F1995="Main Chain", I1995="Accordion Screen"), _xlfn.XLOOKUP(C1995, calc_rusacc!$C$15:$C$65, calc_rusacc!$BF$15:$BF$65, "",0), AND( F1995="Sealant", I1995="Accordion Screen"), _xlfn.XLOOKUP(C1995, calc_rusacc!$C$15:$C$65, calc_rusacc!$BJ$15:$BJ$65, "",0),  F1995="Sealant", _xlfn.XLOOKUP(C1995, dd_accsrycalc!$A$2:$A$51, dd_accsrycalc!$G$2:$G$51, "",0),  F1995&lt;&gt;"",L1995*_xlfn.XLOOKUP(1, (SKUs!$C$2:$C$10001=G1995)*(SKUs!$K$2:$K$10001=I1995),SKUs!$E$2:$E$10001)), 0),"")</f>
        <v/>
      </c>
      <c r="E1995" s="16" t="str">
        <f>_xlfn.XLOOKUP(F1995,dd_item!$B$2:$B$105,dd_item!$C$2:$C$105,"",0)</f>
        <v/>
      </c>
      <c r="F1995" s="16"/>
      <c r="G1995" s="16" cm="1">
        <f t="array" ref="G1995">IFERROR(_xlfn.XLOOKUP(1, (SKUs!$J$2:$J$10001=accsry_unmerged!F1995)*IF(H1995&lt;&gt;"",(SKUs!$L$2:$L$10001=accsry_unmerged!H1995),1)*(SKUs!$K$2:$K$10001=I1995),SKUs!$C$2:$C$10001),"")</f>
        <v>0</v>
      </c>
      <c r="H1995" s="33" cm="1">
        <f t="array" ref="H1995">IFERROR(_xlfn.XLOOKUP(1, (dd_accsryclr!$C$2:$C$1000=accsry_unmerged!F1995)*(dd_accsryclr!$B$2:$B$1000=accsry_unmerged!J1995),dd_accsryclr!$A$2:$A$1000),"")</f>
        <v>0</v>
      </c>
      <c r="I1995" s="16">
        <f>_xlfn.XLOOKUP(C1995,'Project Details'!$C$17:$C$66,'Project Details'!$E$17:$E$66,"",0)</f>
        <v>0</v>
      </c>
      <c r="J1995" s="16">
        <f>_xlfn.XLOOKUP(C1995,'Project Details'!$C$17:$C$66,'Project Details'!$H$17:$H$66,"",0)</f>
        <v>0</v>
      </c>
      <c r="K1995" s="33" t="str">
        <f>IF(AND(_xlfn.XLOOKUP(C1995,'Project Details'!$C$17:$C$66,'Project Details'!$L$17:$L$66,"",0)&gt;550, F1995="Spring-L27cm"),"",SUBSTITUTE(_xlfn.XLOOKUP(G1995,SKUs!$C$2:$C$10001,SKUs!$F$2:$F$10001,"",0), " Accessories",""))</f>
        <v/>
      </c>
      <c r="L1995" s="33">
        <f>_xlfn.XLOOKUP(C1995,'Project Details'!$C$17:$C$66,'Project Details'!$D$17:$D$66,"",0)</f>
        <v>0</v>
      </c>
      <c r="M1995" s="43"/>
    </row>
    <row r="1996" spans="1:13" ht="13.5" customHeight="1" outlineLevel="1" x14ac:dyDescent="0.25">
      <c r="A1996" s="43"/>
      <c r="B1996" s="43"/>
      <c r="C1996" s="35">
        <f t="shared" si="38"/>
        <v>40</v>
      </c>
      <c r="D1996" s="35" t="str" cm="1">
        <f t="array" ref="D1996">IFERROR(ROUNDUP(_xlfn.IFS(F1996="Aluminum Track", _xlfn.XLOOKUP(C1996, dd_accsrycalc!$A$2:$A$51, dd_accsrycalc!$B$2:$B$51, "",0), F1996="10 x 2 1/2 S (Flat)", _xlfn.XLOOKUP(C1996, dd_accsrycalc!$A$2:$A$51, dd_accsrycalc!$C$2:$C$51, "",0), F1996="Tox6", _xlfn.XLOOKUP(C1996, dd_accsrycalc!$A$2:$A$51, dd_accsrycalc!$D$2:$D$51, "",0), F1996="Cover Cap", _xlfn.XLOOKUP(C1996, dd_accsrycalc!$A$2:$A$51, dd_accsrycalc!$E$2:$E$51, "",0), F1996="Drainage Cover", _xlfn.XLOOKUP(C1996, dd_accsrycalc!$A$2:$A$51, dd_accsrycalc!$F$2:$F$51, "",0),AND( F1996="Double Adhesive Tape", I1996="Roll-up Screen"), _xlfn.XLOOKUP(C1996, calc_rusacc!$C$15:$C$65, calc_rusacc!$AD$15:$AD$65, "",0),AND( F1996="Sealant", I1996="Roll-up Screen"), _xlfn.XLOOKUP(C1996, calc_rusacc!$C$15:$C$65, calc_rusacc!$AF$15:$AF$65, "",0),  AND( F1996="Main Chain", I1996="Accordion Screen"), _xlfn.XLOOKUP(C1996, calc_rusacc!$C$15:$C$65, calc_rusacc!$BF$15:$BF$65, "",0), AND( F1996="Sealant", I1996="Accordion Screen"), _xlfn.XLOOKUP(C1996, calc_rusacc!$C$15:$C$65, calc_rusacc!$BJ$15:$BJ$65, "",0),  F1996="Sealant", _xlfn.XLOOKUP(C1996, dd_accsrycalc!$A$2:$A$51, dd_accsrycalc!$G$2:$G$51, "",0),  F1996&lt;&gt;"",L1996*_xlfn.XLOOKUP(1, (SKUs!$C$2:$C$10001=G1996)*(SKUs!$K$2:$K$10001=I1996),SKUs!$E$2:$E$10001)), 0),"")</f>
        <v/>
      </c>
      <c r="E1996" s="35" t="str">
        <f>_xlfn.XLOOKUP(F1996,dd_item!$B$2:$B$105,dd_item!$C$2:$C$105,"",0)</f>
        <v/>
      </c>
      <c r="F1996" s="35"/>
      <c r="G1996" s="35" cm="1">
        <f t="array" ref="G1996">IFERROR(_xlfn.XLOOKUP(1, (SKUs!$J$2:$J$10001=accsry_unmerged!F1996)*IF(H1996&lt;&gt;"",(SKUs!$L$2:$L$10001=accsry_unmerged!H1996),1)*(SKUs!$K$2:$K$10001=I1996),SKUs!$C$2:$C$10001),"")</f>
        <v>0</v>
      </c>
      <c r="H1996" s="36" cm="1">
        <f t="array" ref="H1996">IFERROR(_xlfn.XLOOKUP(1, (dd_accsryclr!$C$2:$C$1000=accsry_unmerged!F1996)*(dd_accsryclr!$B$2:$B$1000=accsry_unmerged!J1996),dd_accsryclr!$A$2:$A$1000),"")</f>
        <v>0</v>
      </c>
      <c r="I1996" s="35">
        <f>_xlfn.XLOOKUP(C1996,'Project Details'!$C$17:$C$66,'Project Details'!$E$17:$E$66,"",0)</f>
        <v>0</v>
      </c>
      <c r="J1996" s="35">
        <f>_xlfn.XLOOKUP(C1996,'Project Details'!$C$17:$C$66,'Project Details'!$H$17:$H$66,"",0)</f>
        <v>0</v>
      </c>
      <c r="K1996" s="36" t="str">
        <f>IF(AND(_xlfn.XLOOKUP(C1996,'Project Details'!$C$17:$C$66,'Project Details'!$L$17:$L$66,"",0)&gt;550, F1996="Spring-L27cm"),"",SUBSTITUTE(_xlfn.XLOOKUP(G1996,SKUs!$C$2:$C$10001,SKUs!$F$2:$F$10001,"",0), " Accessories",""))</f>
        <v/>
      </c>
      <c r="L1996" s="36">
        <f>_xlfn.XLOOKUP(C1996,'Project Details'!$C$17:$C$66,'Project Details'!$D$17:$D$66,"",0)</f>
        <v>0</v>
      </c>
      <c r="M1996" s="43"/>
    </row>
    <row r="1997" spans="1:13" ht="13.5" customHeight="1" outlineLevel="1" x14ac:dyDescent="0.25">
      <c r="A1997" s="43"/>
      <c r="B1997" s="43"/>
      <c r="C1997" s="16">
        <f t="shared" si="38"/>
        <v>40</v>
      </c>
      <c r="D1997" s="16" t="str" cm="1">
        <f t="array" ref="D1997">IFERROR(ROUNDUP(_xlfn.IFS(F1997="Aluminum Track", _xlfn.XLOOKUP(C1997, dd_accsrycalc!$A$2:$A$51, dd_accsrycalc!$B$2:$B$51, "",0), F1997="10 x 2 1/2 S (Flat)", _xlfn.XLOOKUP(C1997, dd_accsrycalc!$A$2:$A$51, dd_accsrycalc!$C$2:$C$51, "",0), F1997="Tox6", _xlfn.XLOOKUP(C1997, dd_accsrycalc!$A$2:$A$51, dd_accsrycalc!$D$2:$D$51, "",0), F1997="Cover Cap", _xlfn.XLOOKUP(C1997, dd_accsrycalc!$A$2:$A$51, dd_accsrycalc!$E$2:$E$51, "",0), F1997="Drainage Cover", _xlfn.XLOOKUP(C1997, dd_accsrycalc!$A$2:$A$51, dd_accsrycalc!$F$2:$F$51, "",0),AND( F1997="Double Adhesive Tape", I1997="Roll-up Screen"), _xlfn.XLOOKUP(C1997, calc_rusacc!$C$15:$C$65, calc_rusacc!$AD$15:$AD$65, "",0),AND( F1997="Sealant", I1997="Roll-up Screen"), _xlfn.XLOOKUP(C1997, calc_rusacc!$C$15:$C$65, calc_rusacc!$AF$15:$AF$65, "",0),  AND( F1997="Main Chain", I1997="Accordion Screen"), _xlfn.XLOOKUP(C1997, calc_rusacc!$C$15:$C$65, calc_rusacc!$BF$15:$BF$65, "",0), AND( F1997="Sealant", I1997="Accordion Screen"), _xlfn.XLOOKUP(C1997, calc_rusacc!$C$15:$C$65, calc_rusacc!$BJ$15:$BJ$65, "",0),  F1997="Sealant", _xlfn.XLOOKUP(C1997, dd_accsrycalc!$A$2:$A$51, dd_accsrycalc!$G$2:$G$51, "",0),  F1997&lt;&gt;"",L1997*_xlfn.XLOOKUP(1, (SKUs!$C$2:$C$10001=G1997)*(SKUs!$K$2:$K$10001=I1997),SKUs!$E$2:$E$10001)), 0),"")</f>
        <v/>
      </c>
      <c r="E1997" s="16" t="str">
        <f>_xlfn.XLOOKUP(F1997,dd_item!$B$2:$B$105,dd_item!$C$2:$C$105,"",0)</f>
        <v/>
      </c>
      <c r="F1997" s="16"/>
      <c r="G1997" s="16" cm="1">
        <f t="array" ref="G1997">IFERROR(_xlfn.XLOOKUP(1, (SKUs!$J$2:$J$10001=accsry_unmerged!F1997)*IF(H1997&lt;&gt;"",(SKUs!$L$2:$L$10001=accsry_unmerged!H1997),1)*(SKUs!$K$2:$K$10001=I1997),SKUs!$C$2:$C$10001),"")</f>
        <v>0</v>
      </c>
      <c r="H1997" s="33" cm="1">
        <f t="array" ref="H1997">IFERROR(_xlfn.XLOOKUP(1, (dd_accsryclr!$C$2:$C$1000=accsry_unmerged!F1997)*(dd_accsryclr!$B$2:$B$1000=accsry_unmerged!J1997),dd_accsryclr!$A$2:$A$1000),"")</f>
        <v>0</v>
      </c>
      <c r="I1997" s="16">
        <f>_xlfn.XLOOKUP(C1997,'Project Details'!$C$17:$C$66,'Project Details'!$E$17:$E$66,"",0)</f>
        <v>0</v>
      </c>
      <c r="J1997" s="16">
        <f>_xlfn.XLOOKUP(C1997,'Project Details'!$C$17:$C$66,'Project Details'!$H$17:$H$66,"",0)</f>
        <v>0</v>
      </c>
      <c r="K1997" s="33" t="str">
        <f>IF(AND(_xlfn.XLOOKUP(C1997,'Project Details'!$C$17:$C$66,'Project Details'!$L$17:$L$66,"",0)&gt;550, F1997="Spring-L27cm"),"",SUBSTITUTE(_xlfn.XLOOKUP(G1997,SKUs!$C$2:$C$10001,SKUs!$F$2:$F$10001,"",0), " Accessories",""))</f>
        <v/>
      </c>
      <c r="L1997" s="33">
        <f>_xlfn.XLOOKUP(C1997,'Project Details'!$C$17:$C$66,'Project Details'!$D$17:$D$66,"",0)</f>
        <v>0</v>
      </c>
      <c r="M1997" s="43"/>
    </row>
    <row r="1998" spans="1:13" ht="13.5" customHeight="1" outlineLevel="1" x14ac:dyDescent="0.25">
      <c r="A1998" s="43"/>
      <c r="B1998" s="43"/>
      <c r="C1998" s="35">
        <f t="shared" si="38"/>
        <v>40</v>
      </c>
      <c r="D1998" s="35" t="str" cm="1">
        <f t="array" ref="D1998">IFERROR(ROUNDUP(_xlfn.IFS(F1998="Aluminum Track", _xlfn.XLOOKUP(C1998, dd_accsrycalc!$A$2:$A$51, dd_accsrycalc!$B$2:$B$51, "",0), F1998="10 x 2 1/2 S (Flat)", _xlfn.XLOOKUP(C1998, dd_accsrycalc!$A$2:$A$51, dd_accsrycalc!$C$2:$C$51, "",0), F1998="Tox6", _xlfn.XLOOKUP(C1998, dd_accsrycalc!$A$2:$A$51, dd_accsrycalc!$D$2:$D$51, "",0), F1998="Cover Cap", _xlfn.XLOOKUP(C1998, dd_accsrycalc!$A$2:$A$51, dd_accsrycalc!$E$2:$E$51, "",0), F1998="Drainage Cover", _xlfn.XLOOKUP(C1998, dd_accsrycalc!$A$2:$A$51, dd_accsrycalc!$F$2:$F$51, "",0),AND( F1998="Double Adhesive Tape", I1998="Roll-up Screen"), _xlfn.XLOOKUP(C1998, calc_rusacc!$C$15:$C$65, calc_rusacc!$AD$15:$AD$65, "",0),AND( F1998="Sealant", I1998="Roll-up Screen"), _xlfn.XLOOKUP(C1998, calc_rusacc!$C$15:$C$65, calc_rusacc!$AF$15:$AF$65, "",0),  AND( F1998="Main Chain", I1998="Accordion Screen"), _xlfn.XLOOKUP(C1998, calc_rusacc!$C$15:$C$65, calc_rusacc!$BF$15:$BF$65, "",0), AND( F1998="Sealant", I1998="Accordion Screen"), _xlfn.XLOOKUP(C1998, calc_rusacc!$C$15:$C$65, calc_rusacc!$BJ$15:$BJ$65, "",0),  F1998="Sealant", _xlfn.XLOOKUP(C1998, dd_accsrycalc!$A$2:$A$51, dd_accsrycalc!$G$2:$G$51, "",0),  F1998&lt;&gt;"",L1998*_xlfn.XLOOKUP(1, (SKUs!$C$2:$C$10001=G1998)*(SKUs!$K$2:$K$10001=I1998),SKUs!$E$2:$E$10001)), 0),"")</f>
        <v/>
      </c>
      <c r="E1998" s="35" t="str">
        <f>_xlfn.XLOOKUP(F1998,dd_item!$B$2:$B$105,dd_item!$C$2:$C$105,"",0)</f>
        <v/>
      </c>
      <c r="F1998" s="35"/>
      <c r="G1998" s="35" cm="1">
        <f t="array" ref="G1998">IFERROR(_xlfn.XLOOKUP(1, (SKUs!$J$2:$J$10001=accsry_unmerged!F1998)*IF(H1998&lt;&gt;"",(SKUs!$L$2:$L$10001=accsry_unmerged!H1998),1)*(SKUs!$K$2:$K$10001=I1998),SKUs!$C$2:$C$10001),"")</f>
        <v>0</v>
      </c>
      <c r="H1998" s="36" cm="1">
        <f t="array" ref="H1998">IFERROR(_xlfn.XLOOKUP(1, (dd_accsryclr!$C$2:$C$1000=accsry_unmerged!F1998)*(dd_accsryclr!$B$2:$B$1000=accsry_unmerged!J1998),dd_accsryclr!$A$2:$A$1000),"")</f>
        <v>0</v>
      </c>
      <c r="I1998" s="35">
        <f>_xlfn.XLOOKUP(C1998,'Project Details'!$C$17:$C$66,'Project Details'!$E$17:$E$66,"",0)</f>
        <v>0</v>
      </c>
      <c r="J1998" s="35">
        <f>_xlfn.XLOOKUP(C1998,'Project Details'!$C$17:$C$66,'Project Details'!$H$17:$H$66,"",0)</f>
        <v>0</v>
      </c>
      <c r="K1998" s="36" t="str">
        <f>IF(AND(_xlfn.XLOOKUP(C1998,'Project Details'!$C$17:$C$66,'Project Details'!$L$17:$L$66,"",0)&gt;550, F1998="Spring-L27cm"),"",SUBSTITUTE(_xlfn.XLOOKUP(G1998,SKUs!$C$2:$C$10001,SKUs!$F$2:$F$10001,"",0), " Accessories",""))</f>
        <v/>
      </c>
      <c r="L1998" s="36">
        <f>_xlfn.XLOOKUP(C1998,'Project Details'!$C$17:$C$66,'Project Details'!$D$17:$D$66,"",0)</f>
        <v>0</v>
      </c>
      <c r="M1998" s="43"/>
    </row>
    <row r="1999" spans="1:13" ht="13.5" customHeight="1" outlineLevel="1" x14ac:dyDescent="0.25">
      <c r="A1999" s="43"/>
      <c r="B1999" s="43"/>
      <c r="C1999" s="16">
        <f t="shared" si="38"/>
        <v>40</v>
      </c>
      <c r="D1999" s="16" t="str" cm="1">
        <f t="array" ref="D1999">IFERROR(ROUNDUP(_xlfn.IFS(F1999="Aluminum Track", _xlfn.XLOOKUP(C1999, dd_accsrycalc!$A$2:$A$51, dd_accsrycalc!$B$2:$B$51, "",0), F1999="10 x 2 1/2 S (Flat)", _xlfn.XLOOKUP(C1999, dd_accsrycalc!$A$2:$A$51, dd_accsrycalc!$C$2:$C$51, "",0), F1999="Tox6", _xlfn.XLOOKUP(C1999, dd_accsrycalc!$A$2:$A$51, dd_accsrycalc!$D$2:$D$51, "",0), F1999="Cover Cap", _xlfn.XLOOKUP(C1999, dd_accsrycalc!$A$2:$A$51, dd_accsrycalc!$E$2:$E$51, "",0), F1999="Drainage Cover", _xlfn.XLOOKUP(C1999, dd_accsrycalc!$A$2:$A$51, dd_accsrycalc!$F$2:$F$51, "",0),AND( F1999="Double Adhesive Tape", I1999="Roll-up Screen"), _xlfn.XLOOKUP(C1999, calc_rusacc!$C$15:$C$65, calc_rusacc!$AD$15:$AD$65, "",0),AND( F1999="Sealant", I1999="Roll-up Screen"), _xlfn.XLOOKUP(C1999, calc_rusacc!$C$15:$C$65, calc_rusacc!$AF$15:$AF$65, "",0),  AND( F1999="Main Chain", I1999="Accordion Screen"), _xlfn.XLOOKUP(C1999, calc_rusacc!$C$15:$C$65, calc_rusacc!$BF$15:$BF$65, "",0), AND( F1999="Sealant", I1999="Accordion Screen"), _xlfn.XLOOKUP(C1999, calc_rusacc!$C$15:$C$65, calc_rusacc!$BJ$15:$BJ$65, "",0),  F1999="Sealant", _xlfn.XLOOKUP(C1999, dd_accsrycalc!$A$2:$A$51, dd_accsrycalc!$G$2:$G$51, "",0),  F1999&lt;&gt;"",L1999*_xlfn.XLOOKUP(1, (SKUs!$C$2:$C$10001=G1999)*(SKUs!$K$2:$K$10001=I1999),SKUs!$E$2:$E$10001)), 0),"")</f>
        <v/>
      </c>
      <c r="E1999" s="16" t="str">
        <f>_xlfn.XLOOKUP(F1999,dd_item!$B$2:$B$105,dd_item!$C$2:$C$105,"",0)</f>
        <v/>
      </c>
      <c r="F1999" s="16"/>
      <c r="G1999" s="16" cm="1">
        <f t="array" ref="G1999">IFERROR(_xlfn.XLOOKUP(1, (SKUs!$J$2:$J$10001=accsry_unmerged!F1999)*IF(H1999&lt;&gt;"",(SKUs!$L$2:$L$10001=accsry_unmerged!H1999),1)*(SKUs!$K$2:$K$10001=I1999),SKUs!$C$2:$C$10001),"")</f>
        <v>0</v>
      </c>
      <c r="H1999" s="33" cm="1">
        <f t="array" ref="H1999">IFERROR(_xlfn.XLOOKUP(1, (dd_accsryclr!$C$2:$C$1000=accsry_unmerged!F1999)*(dd_accsryclr!$B$2:$B$1000=accsry_unmerged!J1999),dd_accsryclr!$A$2:$A$1000),"")</f>
        <v>0</v>
      </c>
      <c r="I1999" s="16">
        <f>_xlfn.XLOOKUP(C1999,'Project Details'!$C$17:$C$66,'Project Details'!$E$17:$E$66,"",0)</f>
        <v>0</v>
      </c>
      <c r="J1999" s="16">
        <f>_xlfn.XLOOKUP(C1999,'Project Details'!$C$17:$C$66,'Project Details'!$H$17:$H$66,"",0)</f>
        <v>0</v>
      </c>
      <c r="K1999" s="33" t="str">
        <f>IF(AND(_xlfn.XLOOKUP(C1999,'Project Details'!$C$17:$C$66,'Project Details'!$L$17:$L$66,"",0)&gt;550, F1999="Spring-L27cm"),"",SUBSTITUTE(_xlfn.XLOOKUP(G1999,SKUs!$C$2:$C$10001,SKUs!$F$2:$F$10001,"",0), " Accessories",""))</f>
        <v/>
      </c>
      <c r="L1999" s="33">
        <f>_xlfn.XLOOKUP(C1999,'Project Details'!$C$17:$C$66,'Project Details'!$D$17:$D$66,"",0)</f>
        <v>0</v>
      </c>
      <c r="M1999" s="43"/>
    </row>
    <row r="2000" spans="1:13" ht="13.5" customHeight="1" outlineLevel="1" x14ac:dyDescent="0.25">
      <c r="A2000" s="43"/>
      <c r="B2000" s="43"/>
      <c r="C2000" s="35">
        <f t="shared" si="38"/>
        <v>40</v>
      </c>
      <c r="D2000" s="35" t="str" cm="1">
        <f t="array" ref="D2000">IFERROR(ROUNDUP(_xlfn.IFS(F2000="Aluminum Track", _xlfn.XLOOKUP(C2000, dd_accsrycalc!$A$2:$A$51, dd_accsrycalc!$B$2:$B$51, "",0), F2000="10 x 2 1/2 S (Flat)", _xlfn.XLOOKUP(C2000, dd_accsrycalc!$A$2:$A$51, dd_accsrycalc!$C$2:$C$51, "",0), F2000="Tox6", _xlfn.XLOOKUP(C2000, dd_accsrycalc!$A$2:$A$51, dd_accsrycalc!$D$2:$D$51, "",0), F2000="Cover Cap", _xlfn.XLOOKUP(C2000, dd_accsrycalc!$A$2:$A$51, dd_accsrycalc!$E$2:$E$51, "",0), F2000="Drainage Cover", _xlfn.XLOOKUP(C2000, dd_accsrycalc!$A$2:$A$51, dd_accsrycalc!$F$2:$F$51, "",0),AND( F2000="Double Adhesive Tape", I2000="Roll-up Screen"), _xlfn.XLOOKUP(C2000, calc_rusacc!$C$15:$C$65, calc_rusacc!$AD$15:$AD$65, "",0),AND( F2000="Sealant", I2000="Roll-up Screen"), _xlfn.XLOOKUP(C2000, calc_rusacc!$C$15:$C$65, calc_rusacc!$AF$15:$AF$65, "",0),  AND( F2000="Main Chain", I2000="Accordion Screen"), _xlfn.XLOOKUP(C2000, calc_rusacc!$C$15:$C$65, calc_rusacc!$BF$15:$BF$65, "",0), AND( F2000="Sealant", I2000="Accordion Screen"), _xlfn.XLOOKUP(C2000, calc_rusacc!$C$15:$C$65, calc_rusacc!$BJ$15:$BJ$65, "",0),  F2000="Sealant", _xlfn.XLOOKUP(C2000, dd_accsrycalc!$A$2:$A$51, dd_accsrycalc!$G$2:$G$51, "",0),  F2000&lt;&gt;"",L2000*_xlfn.XLOOKUP(1, (SKUs!$C$2:$C$10001=G2000)*(SKUs!$K$2:$K$10001=I2000),SKUs!$E$2:$E$10001)), 0),"")</f>
        <v/>
      </c>
      <c r="E2000" s="35" t="str">
        <f>_xlfn.XLOOKUP(F2000,dd_item!$B$2:$B$105,dd_item!$C$2:$C$105,"",0)</f>
        <v/>
      </c>
      <c r="F2000" s="35"/>
      <c r="G2000" s="35" cm="1">
        <f t="array" ref="G2000">IFERROR(_xlfn.XLOOKUP(1, (SKUs!$J$2:$J$10001=accsry_unmerged!F2000)*IF(H2000&lt;&gt;"",(SKUs!$L$2:$L$10001=accsry_unmerged!H2000),1)*(SKUs!$K$2:$K$10001=I2000),SKUs!$C$2:$C$10001),"")</f>
        <v>0</v>
      </c>
      <c r="H2000" s="36" cm="1">
        <f t="array" ref="H2000">IFERROR(_xlfn.XLOOKUP(1, (dd_accsryclr!$C$2:$C$1000=accsry_unmerged!F2000)*(dd_accsryclr!$B$2:$B$1000=accsry_unmerged!J2000),dd_accsryclr!$A$2:$A$1000),"")</f>
        <v>0</v>
      </c>
      <c r="I2000" s="35">
        <f>_xlfn.XLOOKUP(C2000,'Project Details'!$C$17:$C$66,'Project Details'!$E$17:$E$66,"",0)</f>
        <v>0</v>
      </c>
      <c r="J2000" s="35">
        <f>_xlfn.XLOOKUP(C2000,'Project Details'!$C$17:$C$66,'Project Details'!$H$17:$H$66,"",0)</f>
        <v>0</v>
      </c>
      <c r="K2000" s="36" t="str">
        <f>IF(AND(_xlfn.XLOOKUP(C2000,'Project Details'!$C$17:$C$66,'Project Details'!$L$17:$L$66,"",0)&gt;550, F2000="Spring-L27cm"),"",SUBSTITUTE(_xlfn.XLOOKUP(G2000,SKUs!$C$2:$C$10001,SKUs!$F$2:$F$10001,"",0), " Accessories",""))</f>
        <v/>
      </c>
      <c r="L2000" s="36">
        <f>_xlfn.XLOOKUP(C2000,'Project Details'!$C$17:$C$66,'Project Details'!$D$17:$D$66,"",0)</f>
        <v>0</v>
      </c>
      <c r="M2000" s="43"/>
    </row>
    <row r="2001" spans="1:13" ht="13.5" customHeight="1" outlineLevel="1" x14ac:dyDescent="0.25">
      <c r="A2001" s="43"/>
      <c r="B2001" s="43"/>
      <c r="C2001" s="16">
        <f t="shared" si="38"/>
        <v>40</v>
      </c>
      <c r="D2001" s="16" t="str" cm="1">
        <f t="array" ref="D2001">IFERROR(ROUNDUP(_xlfn.IFS(F2001="Aluminum Track", _xlfn.XLOOKUP(C2001, dd_accsrycalc!$A$2:$A$51, dd_accsrycalc!$B$2:$B$51, "",0), F2001="10 x 2 1/2 S (Flat)", _xlfn.XLOOKUP(C2001, dd_accsrycalc!$A$2:$A$51, dd_accsrycalc!$C$2:$C$51, "",0), F2001="Tox6", _xlfn.XLOOKUP(C2001, dd_accsrycalc!$A$2:$A$51, dd_accsrycalc!$D$2:$D$51, "",0), F2001="Cover Cap", _xlfn.XLOOKUP(C2001, dd_accsrycalc!$A$2:$A$51, dd_accsrycalc!$E$2:$E$51, "",0), F2001="Drainage Cover", _xlfn.XLOOKUP(C2001, dd_accsrycalc!$A$2:$A$51, dd_accsrycalc!$F$2:$F$51, "",0),AND( F2001="Double Adhesive Tape", I2001="Roll-up Screen"), _xlfn.XLOOKUP(C2001, calc_rusacc!$C$15:$C$65, calc_rusacc!$AD$15:$AD$65, "",0),AND( F2001="Sealant", I2001="Roll-up Screen"), _xlfn.XLOOKUP(C2001, calc_rusacc!$C$15:$C$65, calc_rusacc!$AF$15:$AF$65, "",0),  AND( F2001="Main Chain", I2001="Accordion Screen"), _xlfn.XLOOKUP(C2001, calc_rusacc!$C$15:$C$65, calc_rusacc!$BF$15:$BF$65, "",0), AND( F2001="Sealant", I2001="Accordion Screen"), _xlfn.XLOOKUP(C2001, calc_rusacc!$C$15:$C$65, calc_rusacc!$BJ$15:$BJ$65, "",0),  F2001="Sealant", _xlfn.XLOOKUP(C2001, dd_accsrycalc!$A$2:$A$51, dd_accsrycalc!$G$2:$G$51, "",0),  F2001&lt;&gt;"",L2001*_xlfn.XLOOKUP(1, (SKUs!$C$2:$C$10001=G2001)*(SKUs!$K$2:$K$10001=I2001),SKUs!$E$2:$E$10001)), 0),"")</f>
        <v/>
      </c>
      <c r="E2001" s="16" t="str">
        <f>_xlfn.XLOOKUP(F2001,dd_item!$B$2:$B$105,dd_item!$C$2:$C$105,"",0)</f>
        <v/>
      </c>
      <c r="F2001" s="16"/>
      <c r="G2001" s="16" cm="1">
        <f t="array" ref="G2001">IFERROR(_xlfn.XLOOKUP(1, (SKUs!$J$2:$J$10001=accsry_unmerged!F2001)*IF(H2001&lt;&gt;"",(SKUs!$L$2:$L$10001=accsry_unmerged!H2001),1)*(SKUs!$K$2:$K$10001=I2001),SKUs!$C$2:$C$10001),"")</f>
        <v>0</v>
      </c>
      <c r="H2001" s="33" cm="1">
        <f t="array" ref="H2001">IFERROR(_xlfn.XLOOKUP(1, (dd_accsryclr!$C$2:$C$1000=accsry_unmerged!F2001)*(dd_accsryclr!$B$2:$B$1000=accsry_unmerged!J2001),dd_accsryclr!$A$2:$A$1000),"")</f>
        <v>0</v>
      </c>
      <c r="I2001" s="16">
        <f>_xlfn.XLOOKUP(C2001,'Project Details'!$C$17:$C$66,'Project Details'!$E$17:$E$66,"",0)</f>
        <v>0</v>
      </c>
      <c r="J2001" s="16">
        <f>_xlfn.XLOOKUP(C2001,'Project Details'!$C$17:$C$66,'Project Details'!$H$17:$H$66,"",0)</f>
        <v>0</v>
      </c>
      <c r="K2001" s="33" t="str">
        <f>IF(AND(_xlfn.XLOOKUP(C2001,'Project Details'!$C$17:$C$66,'Project Details'!$L$17:$L$66,"",0)&gt;550, F2001="Spring-L27cm"),"",SUBSTITUTE(_xlfn.XLOOKUP(G2001,SKUs!$C$2:$C$10001,SKUs!$F$2:$F$10001,"",0), " Accessories",""))</f>
        <v/>
      </c>
      <c r="L2001" s="33">
        <f>_xlfn.XLOOKUP(C2001,'Project Details'!$C$17:$C$66,'Project Details'!$D$17:$D$66,"",0)</f>
        <v>0</v>
      </c>
      <c r="M2001" s="43"/>
    </row>
    <row r="2002" spans="1:13" ht="13.5" customHeight="1" outlineLevel="1" x14ac:dyDescent="0.25">
      <c r="A2002" s="43"/>
      <c r="B2002" s="43"/>
      <c r="C2002" s="35">
        <f t="shared" si="38"/>
        <v>40</v>
      </c>
      <c r="D2002" s="35" t="str" cm="1">
        <f t="array" ref="D2002">IFERROR(ROUNDUP(_xlfn.IFS(F2002="Aluminum Track", _xlfn.XLOOKUP(C2002, dd_accsrycalc!$A$2:$A$51, dd_accsrycalc!$B$2:$B$51, "",0), F2002="10 x 2 1/2 S (Flat)", _xlfn.XLOOKUP(C2002, dd_accsrycalc!$A$2:$A$51, dd_accsrycalc!$C$2:$C$51, "",0), F2002="Tox6", _xlfn.XLOOKUP(C2002, dd_accsrycalc!$A$2:$A$51, dd_accsrycalc!$D$2:$D$51, "",0), F2002="Cover Cap", _xlfn.XLOOKUP(C2002, dd_accsrycalc!$A$2:$A$51, dd_accsrycalc!$E$2:$E$51, "",0), F2002="Drainage Cover", _xlfn.XLOOKUP(C2002, dd_accsrycalc!$A$2:$A$51, dd_accsrycalc!$F$2:$F$51, "",0),AND( F2002="Double Adhesive Tape", I2002="Roll-up Screen"), _xlfn.XLOOKUP(C2002, calc_rusacc!$C$15:$C$65, calc_rusacc!$AD$15:$AD$65, "",0),AND( F2002="Sealant", I2002="Roll-up Screen"), _xlfn.XLOOKUP(C2002, calc_rusacc!$C$15:$C$65, calc_rusacc!$AF$15:$AF$65, "",0),  AND( F2002="Main Chain", I2002="Accordion Screen"), _xlfn.XLOOKUP(C2002, calc_rusacc!$C$15:$C$65, calc_rusacc!$BF$15:$BF$65, "",0), AND( F2002="Sealant", I2002="Accordion Screen"), _xlfn.XLOOKUP(C2002, calc_rusacc!$C$15:$C$65, calc_rusacc!$BJ$15:$BJ$65, "",0),  F2002="Sealant", _xlfn.XLOOKUP(C2002, dd_accsrycalc!$A$2:$A$51, dd_accsrycalc!$G$2:$G$51, "",0),  F2002&lt;&gt;"",L2002*_xlfn.XLOOKUP(1, (SKUs!$C$2:$C$10001=G2002)*(SKUs!$K$2:$K$10001=I2002),SKUs!$E$2:$E$10001)), 0),"")</f>
        <v/>
      </c>
      <c r="E2002" s="35" t="str">
        <f>_xlfn.XLOOKUP(F2002,dd_item!$B$2:$B$105,dd_item!$C$2:$C$105,"",0)</f>
        <v/>
      </c>
      <c r="F2002" s="35"/>
      <c r="G2002" s="35" cm="1">
        <f t="array" ref="G2002">IFERROR(_xlfn.XLOOKUP(1, (SKUs!$J$2:$J$10001=accsry_unmerged!F2002)*IF(H2002&lt;&gt;"",(SKUs!$L$2:$L$10001=accsry_unmerged!H2002),1)*(SKUs!$K$2:$K$10001=I2002),SKUs!$C$2:$C$10001),"")</f>
        <v>0</v>
      </c>
      <c r="H2002" s="36" cm="1">
        <f t="array" ref="H2002">IFERROR(_xlfn.XLOOKUP(1, (dd_accsryclr!$C$2:$C$1000=accsry_unmerged!F2002)*(dd_accsryclr!$B$2:$B$1000=accsry_unmerged!J2002),dd_accsryclr!$A$2:$A$1000),"")</f>
        <v>0</v>
      </c>
      <c r="I2002" s="35">
        <f>_xlfn.XLOOKUP(C2002,'Project Details'!$C$17:$C$66,'Project Details'!$E$17:$E$66,"",0)</f>
        <v>0</v>
      </c>
      <c r="J2002" s="35">
        <f>_xlfn.XLOOKUP(C2002,'Project Details'!$C$17:$C$66,'Project Details'!$H$17:$H$66,"",0)</f>
        <v>0</v>
      </c>
      <c r="K2002" s="36" t="str">
        <f>IF(AND(_xlfn.XLOOKUP(C2002,'Project Details'!$C$17:$C$66,'Project Details'!$L$17:$L$66,"",0)&gt;550, F2002="Spring-L27cm"),"",SUBSTITUTE(_xlfn.XLOOKUP(G2002,SKUs!$C$2:$C$10001,SKUs!$F$2:$F$10001,"",0), " Accessories",""))</f>
        <v/>
      </c>
      <c r="L2002" s="36">
        <f>_xlfn.XLOOKUP(C2002,'Project Details'!$C$17:$C$66,'Project Details'!$D$17:$D$66,"",0)</f>
        <v>0</v>
      </c>
      <c r="M2002" s="43"/>
    </row>
    <row r="2003" spans="1:13" ht="13.5" customHeight="1" outlineLevel="1" x14ac:dyDescent="0.25">
      <c r="A2003" s="43"/>
      <c r="B2003" s="43"/>
      <c r="C2003" s="16">
        <f t="shared" si="38"/>
        <v>40</v>
      </c>
      <c r="D2003" s="16" t="str" cm="1">
        <f t="array" ref="D2003">IFERROR(ROUNDUP(_xlfn.IFS(F2003="Aluminum Track", _xlfn.XLOOKUP(C2003, dd_accsrycalc!$A$2:$A$51, dd_accsrycalc!$B$2:$B$51, "",0), F2003="10 x 2 1/2 S (Flat)", _xlfn.XLOOKUP(C2003, dd_accsrycalc!$A$2:$A$51, dd_accsrycalc!$C$2:$C$51, "",0), F2003="Tox6", _xlfn.XLOOKUP(C2003, dd_accsrycalc!$A$2:$A$51, dd_accsrycalc!$D$2:$D$51, "",0), F2003="Cover Cap", _xlfn.XLOOKUP(C2003, dd_accsrycalc!$A$2:$A$51, dd_accsrycalc!$E$2:$E$51, "",0), F2003="Drainage Cover", _xlfn.XLOOKUP(C2003, dd_accsrycalc!$A$2:$A$51, dd_accsrycalc!$F$2:$F$51, "",0),AND( F2003="Double Adhesive Tape", I2003="Roll-up Screen"), _xlfn.XLOOKUP(C2003, calc_rusacc!$C$15:$C$65, calc_rusacc!$AD$15:$AD$65, "",0),AND( F2003="Sealant", I2003="Roll-up Screen"), _xlfn.XLOOKUP(C2003, calc_rusacc!$C$15:$C$65, calc_rusacc!$AF$15:$AF$65, "",0),  AND( F2003="Main Chain", I2003="Accordion Screen"), _xlfn.XLOOKUP(C2003, calc_rusacc!$C$15:$C$65, calc_rusacc!$BF$15:$BF$65, "",0), AND( F2003="Sealant", I2003="Accordion Screen"), _xlfn.XLOOKUP(C2003, calc_rusacc!$C$15:$C$65, calc_rusacc!$BJ$15:$BJ$65, "",0),  F2003="Sealant", _xlfn.XLOOKUP(C2003, dd_accsrycalc!$A$2:$A$51, dd_accsrycalc!$G$2:$G$51, "",0),  F2003&lt;&gt;"",L2003*_xlfn.XLOOKUP(1, (SKUs!$C$2:$C$10001=G2003)*(SKUs!$K$2:$K$10001=I2003),SKUs!$E$2:$E$10001)), 0),"")</f>
        <v/>
      </c>
      <c r="E2003" s="16" t="str">
        <f>_xlfn.XLOOKUP(F2003,dd_item!$B$2:$B$105,dd_item!$C$2:$C$105,"",0)</f>
        <v/>
      </c>
      <c r="F2003" s="16"/>
      <c r="G2003" s="16" cm="1">
        <f t="array" ref="G2003">IFERROR(_xlfn.XLOOKUP(1, (SKUs!$J$2:$J$10001=accsry_unmerged!F2003)*IF(H2003&lt;&gt;"",(SKUs!$L$2:$L$10001=accsry_unmerged!H2003),1)*(SKUs!$K$2:$K$10001=I2003),SKUs!$C$2:$C$10001),"")</f>
        <v>0</v>
      </c>
      <c r="H2003" s="33" cm="1">
        <f t="array" ref="H2003">IFERROR(_xlfn.XLOOKUP(1, (dd_accsryclr!$C$2:$C$1000=accsry_unmerged!F2003)*(dd_accsryclr!$B$2:$B$1000=accsry_unmerged!J2003),dd_accsryclr!$A$2:$A$1000),"")</f>
        <v>0</v>
      </c>
      <c r="I2003" s="16">
        <f>_xlfn.XLOOKUP(C2003,'Project Details'!$C$17:$C$66,'Project Details'!$E$17:$E$66,"",0)</f>
        <v>0</v>
      </c>
      <c r="J2003" s="16">
        <f>_xlfn.XLOOKUP(C2003,'Project Details'!$C$17:$C$66,'Project Details'!$H$17:$H$66,"",0)</f>
        <v>0</v>
      </c>
      <c r="K2003" s="33" t="str">
        <f>IF(AND(_xlfn.XLOOKUP(C2003,'Project Details'!$C$17:$C$66,'Project Details'!$L$17:$L$66,"",0)&gt;550, F2003="Spring-L27cm"),"",SUBSTITUTE(_xlfn.XLOOKUP(G2003,SKUs!$C$2:$C$10001,SKUs!$F$2:$F$10001,"",0), " Accessories",""))</f>
        <v/>
      </c>
      <c r="L2003" s="33">
        <f>_xlfn.XLOOKUP(C2003,'Project Details'!$C$17:$C$66,'Project Details'!$D$17:$D$66,"",0)</f>
        <v>0</v>
      </c>
      <c r="M2003" s="43"/>
    </row>
    <row r="2004" spans="1:13" ht="13.5" customHeight="1" outlineLevel="1" x14ac:dyDescent="0.25">
      <c r="A2004" s="43"/>
      <c r="B2004" s="43"/>
      <c r="C2004" s="35">
        <f t="shared" si="38"/>
        <v>40</v>
      </c>
      <c r="D2004" s="35" t="str" cm="1">
        <f t="array" ref="D2004">IFERROR(ROUNDUP(_xlfn.IFS(F2004="Aluminum Track", _xlfn.XLOOKUP(C2004, dd_accsrycalc!$A$2:$A$51, dd_accsrycalc!$B$2:$B$51, "",0), F2004="10 x 2 1/2 S (Flat)", _xlfn.XLOOKUP(C2004, dd_accsrycalc!$A$2:$A$51, dd_accsrycalc!$C$2:$C$51, "",0), F2004="Tox6", _xlfn.XLOOKUP(C2004, dd_accsrycalc!$A$2:$A$51, dd_accsrycalc!$D$2:$D$51, "",0), F2004="Cover Cap", _xlfn.XLOOKUP(C2004, dd_accsrycalc!$A$2:$A$51, dd_accsrycalc!$E$2:$E$51, "",0), F2004="Drainage Cover", _xlfn.XLOOKUP(C2004, dd_accsrycalc!$A$2:$A$51, dd_accsrycalc!$F$2:$F$51, "",0),AND( F2004="Double Adhesive Tape", I2004="Roll-up Screen"), _xlfn.XLOOKUP(C2004, calc_rusacc!$C$15:$C$65, calc_rusacc!$AD$15:$AD$65, "",0),AND( F2004="Sealant", I2004="Roll-up Screen"), _xlfn.XLOOKUP(C2004, calc_rusacc!$C$15:$C$65, calc_rusacc!$AF$15:$AF$65, "",0),  AND( F2004="Main Chain", I2004="Accordion Screen"), _xlfn.XLOOKUP(C2004, calc_rusacc!$C$15:$C$65, calc_rusacc!$BF$15:$BF$65, "",0), AND( F2004="Sealant", I2004="Accordion Screen"), _xlfn.XLOOKUP(C2004, calc_rusacc!$C$15:$C$65, calc_rusacc!$BJ$15:$BJ$65, "",0),  F2004="Sealant", _xlfn.XLOOKUP(C2004, dd_accsrycalc!$A$2:$A$51, dd_accsrycalc!$G$2:$G$51, "",0),  F2004&lt;&gt;"",L2004*_xlfn.XLOOKUP(1, (SKUs!$C$2:$C$10001=G2004)*(SKUs!$K$2:$K$10001=I2004),SKUs!$E$2:$E$10001)), 0),"")</f>
        <v/>
      </c>
      <c r="E2004" s="35" t="str">
        <f>_xlfn.XLOOKUP(F2004,dd_item!$B$2:$B$105,dd_item!$C$2:$C$105,"",0)</f>
        <v/>
      </c>
      <c r="F2004" s="35"/>
      <c r="G2004" s="35" cm="1">
        <f t="array" ref="G2004">IFERROR(_xlfn.XLOOKUP(1, (SKUs!$J$2:$J$10001=accsry_unmerged!F2004)*IF(H2004&lt;&gt;"",(SKUs!$L$2:$L$10001=accsry_unmerged!H2004),1)*(SKUs!$K$2:$K$10001=I2004),SKUs!$C$2:$C$10001),"")</f>
        <v>0</v>
      </c>
      <c r="H2004" s="36" cm="1">
        <f t="array" ref="H2004">IFERROR(_xlfn.XLOOKUP(1, (dd_accsryclr!$C$2:$C$1000=accsry_unmerged!F2004)*(dd_accsryclr!$B$2:$B$1000=accsry_unmerged!J2004),dd_accsryclr!$A$2:$A$1000),"")</f>
        <v>0</v>
      </c>
      <c r="I2004" s="35">
        <f>_xlfn.XLOOKUP(C2004,'Project Details'!$C$17:$C$66,'Project Details'!$E$17:$E$66,"",0)</f>
        <v>0</v>
      </c>
      <c r="J2004" s="35">
        <f>_xlfn.XLOOKUP(C2004,'Project Details'!$C$17:$C$66,'Project Details'!$H$17:$H$66,"",0)</f>
        <v>0</v>
      </c>
      <c r="K2004" s="36" t="str">
        <f>IF(AND(_xlfn.XLOOKUP(C2004,'Project Details'!$C$17:$C$66,'Project Details'!$L$17:$L$66,"",0)&gt;550, F2004="Spring-L27cm"),"",SUBSTITUTE(_xlfn.XLOOKUP(G2004,SKUs!$C$2:$C$10001,SKUs!$F$2:$F$10001,"",0), " Accessories",""))</f>
        <v/>
      </c>
      <c r="L2004" s="36">
        <f>_xlfn.XLOOKUP(C2004,'Project Details'!$C$17:$C$66,'Project Details'!$D$17:$D$66,"",0)</f>
        <v>0</v>
      </c>
      <c r="M2004" s="43"/>
    </row>
    <row r="2005" spans="1:13" ht="13.5" customHeight="1" outlineLevel="1" collapsed="1" x14ac:dyDescent="0.25">
      <c r="A2005" s="43"/>
      <c r="B2005" s="43"/>
      <c r="C2005" s="16">
        <f t="shared" si="38"/>
        <v>40</v>
      </c>
      <c r="D2005" s="16" t="str" cm="1">
        <f t="array" ref="D2005">IFERROR(ROUNDUP(_xlfn.IFS(F2005="Aluminum Track", _xlfn.XLOOKUP(C2005, dd_accsrycalc!$A$2:$A$51, dd_accsrycalc!$B$2:$B$51, "",0), F2005="10 x 2 1/2 S (Flat)", _xlfn.XLOOKUP(C2005, dd_accsrycalc!$A$2:$A$51, dd_accsrycalc!$C$2:$C$51, "",0), F2005="Tox6", _xlfn.XLOOKUP(C2005, dd_accsrycalc!$A$2:$A$51, dd_accsrycalc!$D$2:$D$51, "",0), F2005="Cover Cap", _xlfn.XLOOKUP(C2005, dd_accsrycalc!$A$2:$A$51, dd_accsrycalc!$E$2:$E$51, "",0), F2005="Drainage Cover", _xlfn.XLOOKUP(C2005, dd_accsrycalc!$A$2:$A$51, dd_accsrycalc!$F$2:$F$51, "",0),AND( F2005="Double Adhesive Tape", I2005="Roll-up Screen"), _xlfn.XLOOKUP(C2005, calc_rusacc!$C$15:$C$65, calc_rusacc!$AD$15:$AD$65, "",0),AND( F2005="Sealant", I2005="Roll-up Screen"), _xlfn.XLOOKUP(C2005, calc_rusacc!$C$15:$C$65, calc_rusacc!$AF$15:$AF$65, "",0),  AND( F2005="Main Chain", I2005="Accordion Screen"), _xlfn.XLOOKUP(C2005, calc_rusacc!$C$15:$C$65, calc_rusacc!$BF$15:$BF$65, "",0), AND( F2005="Sealant", I2005="Accordion Screen"), _xlfn.XLOOKUP(C2005, calc_rusacc!$C$15:$C$65, calc_rusacc!$BJ$15:$BJ$65, "",0),  F2005="Sealant", _xlfn.XLOOKUP(C2005, dd_accsrycalc!$A$2:$A$51, dd_accsrycalc!$G$2:$G$51, "",0),  F2005&lt;&gt;"",L2005*_xlfn.XLOOKUP(1, (SKUs!$C$2:$C$10001=G2005)*(SKUs!$K$2:$K$10001=I2005),SKUs!$E$2:$E$10001)), 0),"")</f>
        <v/>
      </c>
      <c r="E2005" s="16" t="str">
        <f>_xlfn.XLOOKUP(F2005,dd_item!$B$2:$B$105,dd_item!$C$2:$C$105,"",0)</f>
        <v/>
      </c>
      <c r="F2005" s="16"/>
      <c r="G2005" s="16" cm="1">
        <f t="array" ref="G2005">IFERROR(_xlfn.XLOOKUP(1, (SKUs!$J$2:$J$10001=accsry_unmerged!F2005)*IF(H2005&lt;&gt;"",(SKUs!$L$2:$L$10001=accsry_unmerged!H2005),1)*(SKUs!$K$2:$K$10001=I2005),SKUs!$C$2:$C$10001),"")</f>
        <v>0</v>
      </c>
      <c r="H2005" s="33" cm="1">
        <f t="array" ref="H2005">IFERROR(_xlfn.XLOOKUP(1, (dd_accsryclr!$C$2:$C$1000=accsry_unmerged!F2005)*(dd_accsryclr!$B$2:$B$1000=accsry_unmerged!J2005),dd_accsryclr!$A$2:$A$1000),"")</f>
        <v>0</v>
      </c>
      <c r="I2005" s="16">
        <f>_xlfn.XLOOKUP(C2005,'Project Details'!$C$17:$C$66,'Project Details'!$E$17:$E$66,"",0)</f>
        <v>0</v>
      </c>
      <c r="J2005" s="16">
        <f>_xlfn.XLOOKUP(C2005,'Project Details'!$C$17:$C$66,'Project Details'!$H$17:$H$66,"",0)</f>
        <v>0</v>
      </c>
      <c r="K2005" s="33" t="str">
        <f>IF(AND(_xlfn.XLOOKUP(C2005,'Project Details'!$C$17:$C$66,'Project Details'!$L$17:$L$66,"",0)&gt;550, F2005="Spring-L27cm"),"",SUBSTITUTE(_xlfn.XLOOKUP(G2005,SKUs!$C$2:$C$10001,SKUs!$F$2:$F$10001,"",0), " Accessories",""))</f>
        <v/>
      </c>
      <c r="L2005" s="33">
        <f>_xlfn.XLOOKUP(C2005,'Project Details'!$C$17:$C$66,'Project Details'!$D$17:$D$66,"",0)</f>
        <v>0</v>
      </c>
      <c r="M2005" s="43"/>
    </row>
    <row r="2006" spans="1:13" ht="13.5" customHeight="1" outlineLevel="1" x14ac:dyDescent="0.25">
      <c r="A2006" s="43"/>
      <c r="B2006" s="43"/>
      <c r="C2006" s="35">
        <f t="shared" si="38"/>
        <v>40</v>
      </c>
      <c r="D2006" s="35" t="str" cm="1">
        <f t="array" ref="D2006">IFERROR(ROUNDUP(_xlfn.IFS(F2006="Aluminum Track", _xlfn.XLOOKUP(C2006, dd_accsrycalc!$A$2:$A$51, dd_accsrycalc!$B$2:$B$51, "",0), F2006="10 x 2 1/2 S (Flat)", _xlfn.XLOOKUP(C2006, dd_accsrycalc!$A$2:$A$51, dd_accsrycalc!$C$2:$C$51, "",0), F2006="Tox6", _xlfn.XLOOKUP(C2006, dd_accsrycalc!$A$2:$A$51, dd_accsrycalc!$D$2:$D$51, "",0), F2006="Cover Cap", _xlfn.XLOOKUP(C2006, dd_accsrycalc!$A$2:$A$51, dd_accsrycalc!$E$2:$E$51, "",0), F2006="Drainage Cover", _xlfn.XLOOKUP(C2006, dd_accsrycalc!$A$2:$A$51, dd_accsrycalc!$F$2:$F$51, "",0),AND( F2006="Double Adhesive Tape", I2006="Roll-up Screen"), _xlfn.XLOOKUP(C2006, calc_rusacc!$C$15:$C$65, calc_rusacc!$AD$15:$AD$65, "",0),AND( F2006="Sealant", I2006="Roll-up Screen"), _xlfn.XLOOKUP(C2006, calc_rusacc!$C$15:$C$65, calc_rusacc!$AF$15:$AF$65, "",0),  AND( F2006="Main Chain", I2006="Accordion Screen"), _xlfn.XLOOKUP(C2006, calc_rusacc!$C$15:$C$65, calc_rusacc!$BF$15:$BF$65, "",0), AND( F2006="Sealant", I2006="Accordion Screen"), _xlfn.XLOOKUP(C2006, calc_rusacc!$C$15:$C$65, calc_rusacc!$BJ$15:$BJ$65, "",0),  F2006="Sealant", _xlfn.XLOOKUP(C2006, dd_accsrycalc!$A$2:$A$51, dd_accsrycalc!$G$2:$G$51, "",0),  F2006&lt;&gt;"",L2006*_xlfn.XLOOKUP(1, (SKUs!$C$2:$C$10001=G2006)*(SKUs!$K$2:$K$10001=I2006),SKUs!$E$2:$E$10001)), 0),"")</f>
        <v/>
      </c>
      <c r="E2006" s="35" t="str">
        <f>_xlfn.XLOOKUP(F2006,dd_item!$B$2:$B$105,dd_item!$C$2:$C$105,"",0)</f>
        <v/>
      </c>
      <c r="F2006" s="35"/>
      <c r="G2006" s="35" cm="1">
        <f t="array" ref="G2006">IFERROR(_xlfn.XLOOKUP(1, (SKUs!$J$2:$J$10001=accsry_unmerged!F2006)*IF(H2006&lt;&gt;"",(SKUs!$L$2:$L$10001=accsry_unmerged!H2006),1)*(SKUs!$K$2:$K$10001=I2006),SKUs!$C$2:$C$10001),"")</f>
        <v>0</v>
      </c>
      <c r="H2006" s="36" cm="1">
        <f t="array" ref="H2006">IFERROR(_xlfn.XLOOKUP(1, (dd_accsryclr!$C$2:$C$1000=accsry_unmerged!F2006)*(dd_accsryclr!$B$2:$B$1000=accsry_unmerged!J2006),dd_accsryclr!$A$2:$A$1000),"")</f>
        <v>0</v>
      </c>
      <c r="I2006" s="35">
        <f>_xlfn.XLOOKUP(C2006,'Project Details'!$C$17:$C$66,'Project Details'!$E$17:$E$66,"",0)</f>
        <v>0</v>
      </c>
      <c r="J2006" s="35">
        <f>_xlfn.XLOOKUP(C2006,'Project Details'!$C$17:$C$66,'Project Details'!$H$17:$H$66,"",0)</f>
        <v>0</v>
      </c>
      <c r="K2006" s="36" t="str">
        <f>IF(AND(_xlfn.XLOOKUP(C2006,'Project Details'!$C$17:$C$66,'Project Details'!$L$17:$L$66,"",0)&gt;550, F2006="Spring-L27cm"),"",SUBSTITUTE(_xlfn.XLOOKUP(G2006,SKUs!$C$2:$C$10001,SKUs!$F$2:$F$10001,"",0), " Accessories",""))</f>
        <v/>
      </c>
      <c r="L2006" s="36">
        <f>_xlfn.XLOOKUP(C2006,'Project Details'!$C$17:$C$66,'Project Details'!$D$17:$D$66,"",0)</f>
        <v>0</v>
      </c>
      <c r="M2006" s="43"/>
    </row>
    <row r="2007" spans="1:13" ht="13.5" customHeight="1" outlineLevel="1" x14ac:dyDescent="0.25">
      <c r="A2007" s="43"/>
      <c r="B2007" s="43"/>
      <c r="C2007" s="16">
        <f t="shared" si="38"/>
        <v>40</v>
      </c>
      <c r="D2007" s="16" t="str" cm="1">
        <f t="array" ref="D2007">IFERROR(ROUNDUP(_xlfn.IFS(F2007="Aluminum Track", _xlfn.XLOOKUP(C2007, dd_accsrycalc!$A$2:$A$51, dd_accsrycalc!$B$2:$B$51, "",0), F2007="10 x 2 1/2 S (Flat)", _xlfn.XLOOKUP(C2007, dd_accsrycalc!$A$2:$A$51, dd_accsrycalc!$C$2:$C$51, "",0), F2007="Tox6", _xlfn.XLOOKUP(C2007, dd_accsrycalc!$A$2:$A$51, dd_accsrycalc!$D$2:$D$51, "",0), F2007="Cover Cap", _xlfn.XLOOKUP(C2007, dd_accsrycalc!$A$2:$A$51, dd_accsrycalc!$E$2:$E$51, "",0), F2007="Drainage Cover", _xlfn.XLOOKUP(C2007, dd_accsrycalc!$A$2:$A$51, dd_accsrycalc!$F$2:$F$51, "",0),AND( F2007="Double Adhesive Tape", I2007="Roll-up Screen"), _xlfn.XLOOKUP(C2007, calc_rusacc!$C$15:$C$65, calc_rusacc!$AD$15:$AD$65, "",0),AND( F2007="Sealant", I2007="Roll-up Screen"), _xlfn.XLOOKUP(C2007, calc_rusacc!$C$15:$C$65, calc_rusacc!$AF$15:$AF$65, "",0),  AND( F2007="Main Chain", I2007="Accordion Screen"), _xlfn.XLOOKUP(C2007, calc_rusacc!$C$15:$C$65, calc_rusacc!$BF$15:$BF$65, "",0), AND( F2007="Sealant", I2007="Accordion Screen"), _xlfn.XLOOKUP(C2007, calc_rusacc!$C$15:$C$65, calc_rusacc!$BJ$15:$BJ$65, "",0),  F2007="Sealant", _xlfn.XLOOKUP(C2007, dd_accsrycalc!$A$2:$A$51, dd_accsrycalc!$G$2:$G$51, "",0),  F2007&lt;&gt;"",L2007*_xlfn.XLOOKUP(1, (SKUs!$C$2:$C$10001=G2007)*(SKUs!$K$2:$K$10001=I2007),SKUs!$E$2:$E$10001)), 0),"")</f>
        <v/>
      </c>
      <c r="E2007" s="16" t="str">
        <f>_xlfn.XLOOKUP(F2007,dd_item!$B$2:$B$105,dd_item!$C$2:$C$105,"",0)</f>
        <v/>
      </c>
      <c r="F2007" s="16"/>
      <c r="G2007" s="16" cm="1">
        <f t="array" ref="G2007">IFERROR(_xlfn.XLOOKUP(1, (SKUs!$J$2:$J$10001=accsry_unmerged!F2007)*IF(H2007&lt;&gt;"",(SKUs!$L$2:$L$10001=accsry_unmerged!H2007),1)*(SKUs!$K$2:$K$10001=I2007),SKUs!$C$2:$C$10001),"")</f>
        <v>0</v>
      </c>
      <c r="H2007" s="33" cm="1">
        <f t="array" ref="H2007">IFERROR(_xlfn.XLOOKUP(1, (dd_accsryclr!$C$2:$C$1000=accsry_unmerged!F2007)*(dd_accsryclr!$B$2:$B$1000=accsry_unmerged!J2007),dd_accsryclr!$A$2:$A$1000),"")</f>
        <v>0</v>
      </c>
      <c r="I2007" s="16">
        <f>_xlfn.XLOOKUP(C2007,'Project Details'!$C$17:$C$66,'Project Details'!$E$17:$E$66,"",0)</f>
        <v>0</v>
      </c>
      <c r="J2007" s="16">
        <f>_xlfn.XLOOKUP(C2007,'Project Details'!$C$17:$C$66,'Project Details'!$H$17:$H$66,"",0)</f>
        <v>0</v>
      </c>
      <c r="K2007" s="33" t="str">
        <f>IF(AND(_xlfn.XLOOKUP(C2007,'Project Details'!$C$17:$C$66,'Project Details'!$L$17:$L$66,"",0)&gt;550, F2007="Spring-L27cm"),"",SUBSTITUTE(_xlfn.XLOOKUP(G2007,SKUs!$C$2:$C$10001,SKUs!$F$2:$F$10001,"",0), " Accessories",""))</f>
        <v/>
      </c>
      <c r="L2007" s="33">
        <f>_xlfn.XLOOKUP(C2007,'Project Details'!$C$17:$C$66,'Project Details'!$D$17:$D$66,"",0)</f>
        <v>0</v>
      </c>
      <c r="M2007" s="43"/>
    </row>
    <row r="2008" spans="1:13" ht="13.5" customHeight="1" outlineLevel="1" x14ac:dyDescent="0.25">
      <c r="A2008" s="43"/>
      <c r="B2008" s="43"/>
      <c r="C2008" s="35">
        <f t="shared" si="38"/>
        <v>40</v>
      </c>
      <c r="D2008" s="35" t="str" cm="1">
        <f t="array" ref="D2008">IFERROR(ROUNDUP(_xlfn.IFS(F2008="Aluminum Track", _xlfn.XLOOKUP(C2008, dd_accsrycalc!$A$2:$A$51, dd_accsrycalc!$B$2:$B$51, "",0), F2008="10 x 2 1/2 S (Flat)", _xlfn.XLOOKUP(C2008, dd_accsrycalc!$A$2:$A$51, dd_accsrycalc!$C$2:$C$51, "",0), F2008="Tox6", _xlfn.XLOOKUP(C2008, dd_accsrycalc!$A$2:$A$51, dd_accsrycalc!$D$2:$D$51, "",0), F2008="Cover Cap", _xlfn.XLOOKUP(C2008, dd_accsrycalc!$A$2:$A$51, dd_accsrycalc!$E$2:$E$51, "",0), F2008="Drainage Cover", _xlfn.XLOOKUP(C2008, dd_accsrycalc!$A$2:$A$51, dd_accsrycalc!$F$2:$F$51, "",0),AND( F2008="Double Adhesive Tape", I2008="Roll-up Screen"), _xlfn.XLOOKUP(C2008, calc_rusacc!$C$15:$C$65, calc_rusacc!$AD$15:$AD$65, "",0),AND( F2008="Sealant", I2008="Roll-up Screen"), _xlfn.XLOOKUP(C2008, calc_rusacc!$C$15:$C$65, calc_rusacc!$AF$15:$AF$65, "",0),  AND( F2008="Main Chain", I2008="Accordion Screen"), _xlfn.XLOOKUP(C2008, calc_rusacc!$C$15:$C$65, calc_rusacc!$BF$15:$BF$65, "",0), AND( F2008="Sealant", I2008="Accordion Screen"), _xlfn.XLOOKUP(C2008, calc_rusacc!$C$15:$C$65, calc_rusacc!$BJ$15:$BJ$65, "",0),  F2008="Sealant", _xlfn.XLOOKUP(C2008, dd_accsrycalc!$A$2:$A$51, dd_accsrycalc!$G$2:$G$51, "",0),  F2008&lt;&gt;"",L2008*_xlfn.XLOOKUP(1, (SKUs!$C$2:$C$10001=G2008)*(SKUs!$K$2:$K$10001=I2008),SKUs!$E$2:$E$10001)), 0),"")</f>
        <v/>
      </c>
      <c r="E2008" s="35" t="str">
        <f>_xlfn.XLOOKUP(F2008,dd_item!$B$2:$B$105,dd_item!$C$2:$C$105,"",0)</f>
        <v/>
      </c>
      <c r="F2008" s="35"/>
      <c r="G2008" s="35" cm="1">
        <f t="array" ref="G2008">IFERROR(_xlfn.XLOOKUP(1, (SKUs!$J$2:$J$10001=accsry_unmerged!F2008)*IF(H2008&lt;&gt;"",(SKUs!$L$2:$L$10001=accsry_unmerged!H2008),1)*(SKUs!$K$2:$K$10001=I2008),SKUs!$C$2:$C$10001),"")</f>
        <v>0</v>
      </c>
      <c r="H2008" s="36" cm="1">
        <f t="array" ref="H2008">IFERROR(_xlfn.XLOOKUP(1, (dd_accsryclr!$C$2:$C$1000=accsry_unmerged!F2008)*(dd_accsryclr!$B$2:$B$1000=accsry_unmerged!J2008),dd_accsryclr!$A$2:$A$1000),"")</f>
        <v>0</v>
      </c>
      <c r="I2008" s="35">
        <f>_xlfn.XLOOKUP(C2008,'Project Details'!$C$17:$C$66,'Project Details'!$E$17:$E$66,"",0)</f>
        <v>0</v>
      </c>
      <c r="J2008" s="35">
        <f>_xlfn.XLOOKUP(C2008,'Project Details'!$C$17:$C$66,'Project Details'!$H$17:$H$66,"",0)</f>
        <v>0</v>
      </c>
      <c r="K2008" s="36" t="str">
        <f>IF(AND(_xlfn.XLOOKUP(C2008,'Project Details'!$C$17:$C$66,'Project Details'!$L$17:$L$66,"",0)&gt;550, F2008="Spring-L27cm"),"",SUBSTITUTE(_xlfn.XLOOKUP(G2008,SKUs!$C$2:$C$10001,SKUs!$F$2:$F$10001,"",0), " Accessories",""))</f>
        <v/>
      </c>
      <c r="L2008" s="36">
        <f>_xlfn.XLOOKUP(C2008,'Project Details'!$C$17:$C$66,'Project Details'!$D$17:$D$66,"",0)</f>
        <v>0</v>
      </c>
      <c r="M2008" s="43"/>
    </row>
    <row r="2009" spans="1:13" ht="13.5" customHeight="1" outlineLevel="1" x14ac:dyDescent="0.25">
      <c r="A2009" s="43"/>
      <c r="B2009" s="43"/>
      <c r="C2009" s="16">
        <f t="shared" si="38"/>
        <v>40</v>
      </c>
      <c r="D2009" s="16" t="str" cm="1">
        <f t="array" ref="D2009">IFERROR(ROUNDUP(_xlfn.IFS(F2009="Aluminum Track", _xlfn.XLOOKUP(C2009, dd_accsrycalc!$A$2:$A$51, dd_accsrycalc!$B$2:$B$51, "",0), F2009="10 x 2 1/2 S (Flat)", _xlfn.XLOOKUP(C2009, dd_accsrycalc!$A$2:$A$51, dd_accsrycalc!$C$2:$C$51, "",0), F2009="Tox6", _xlfn.XLOOKUP(C2009, dd_accsrycalc!$A$2:$A$51, dd_accsrycalc!$D$2:$D$51, "",0), F2009="Cover Cap", _xlfn.XLOOKUP(C2009, dd_accsrycalc!$A$2:$A$51, dd_accsrycalc!$E$2:$E$51, "",0), F2009="Drainage Cover", _xlfn.XLOOKUP(C2009, dd_accsrycalc!$A$2:$A$51, dd_accsrycalc!$F$2:$F$51, "",0),AND( F2009="Double Adhesive Tape", I2009="Roll-up Screen"), _xlfn.XLOOKUP(C2009, calc_rusacc!$C$15:$C$65, calc_rusacc!$AD$15:$AD$65, "",0),AND( F2009="Sealant", I2009="Roll-up Screen"), _xlfn.XLOOKUP(C2009, calc_rusacc!$C$15:$C$65, calc_rusacc!$AF$15:$AF$65, "",0),  AND( F2009="Main Chain", I2009="Accordion Screen"), _xlfn.XLOOKUP(C2009, calc_rusacc!$C$15:$C$65, calc_rusacc!$BF$15:$BF$65, "",0), AND( F2009="Sealant", I2009="Accordion Screen"), _xlfn.XLOOKUP(C2009, calc_rusacc!$C$15:$C$65, calc_rusacc!$BJ$15:$BJ$65, "",0),  F2009="Sealant", _xlfn.XLOOKUP(C2009, dd_accsrycalc!$A$2:$A$51, dd_accsrycalc!$G$2:$G$51, "",0),  F2009&lt;&gt;"",L2009*_xlfn.XLOOKUP(1, (SKUs!$C$2:$C$10001=G2009)*(SKUs!$K$2:$K$10001=I2009),SKUs!$E$2:$E$10001)), 0),"")</f>
        <v/>
      </c>
      <c r="E2009" s="16" t="str">
        <f>_xlfn.XLOOKUP(F2009,dd_item!$B$2:$B$105,dd_item!$C$2:$C$105,"",0)</f>
        <v/>
      </c>
      <c r="F2009" s="16"/>
      <c r="G2009" s="16" cm="1">
        <f t="array" ref="G2009">IFERROR(_xlfn.XLOOKUP(1, (SKUs!$J$2:$J$10001=accsry_unmerged!F2009)*IF(H2009&lt;&gt;"",(SKUs!$L$2:$L$10001=accsry_unmerged!H2009),1)*(SKUs!$K$2:$K$10001=I2009),SKUs!$C$2:$C$10001),"")</f>
        <v>0</v>
      </c>
      <c r="H2009" s="33" cm="1">
        <f t="array" ref="H2009">IFERROR(_xlfn.XLOOKUP(1, (dd_accsryclr!$C$2:$C$1000=accsry_unmerged!F2009)*(dd_accsryclr!$B$2:$B$1000=accsry_unmerged!J2009),dd_accsryclr!$A$2:$A$1000),"")</f>
        <v>0</v>
      </c>
      <c r="I2009" s="16">
        <f>_xlfn.XLOOKUP(C2009,'Project Details'!$C$17:$C$66,'Project Details'!$E$17:$E$66,"",0)</f>
        <v>0</v>
      </c>
      <c r="J2009" s="16">
        <f>_xlfn.XLOOKUP(C2009,'Project Details'!$C$17:$C$66,'Project Details'!$H$17:$H$66,"",0)</f>
        <v>0</v>
      </c>
      <c r="K2009" s="33" t="str">
        <f>IF(AND(_xlfn.XLOOKUP(C2009,'Project Details'!$C$17:$C$66,'Project Details'!$L$17:$L$66,"",0)&gt;550, F2009="Spring-L27cm"),"",SUBSTITUTE(_xlfn.XLOOKUP(G2009,SKUs!$C$2:$C$10001,SKUs!$F$2:$F$10001,"",0), " Accessories",""))</f>
        <v/>
      </c>
      <c r="L2009" s="33">
        <f>_xlfn.XLOOKUP(C2009,'Project Details'!$C$17:$C$66,'Project Details'!$D$17:$D$66,"",0)</f>
        <v>0</v>
      </c>
      <c r="M2009" s="43"/>
    </row>
    <row r="2010" spans="1:13" ht="13.5" customHeight="1" outlineLevel="1" x14ac:dyDescent="0.25">
      <c r="A2010" s="43"/>
      <c r="B2010" s="43"/>
      <c r="C2010" s="35">
        <f t="shared" si="38"/>
        <v>40</v>
      </c>
      <c r="D2010" s="35" t="str" cm="1">
        <f t="array" ref="D2010">IFERROR(ROUNDUP(_xlfn.IFS(F2010="Aluminum Track", _xlfn.XLOOKUP(C2010, dd_accsrycalc!$A$2:$A$51, dd_accsrycalc!$B$2:$B$51, "",0), F2010="10 x 2 1/2 S (Flat)", _xlfn.XLOOKUP(C2010, dd_accsrycalc!$A$2:$A$51, dd_accsrycalc!$C$2:$C$51, "",0), F2010="Tox6", _xlfn.XLOOKUP(C2010, dd_accsrycalc!$A$2:$A$51, dd_accsrycalc!$D$2:$D$51, "",0), F2010="Cover Cap", _xlfn.XLOOKUP(C2010, dd_accsrycalc!$A$2:$A$51, dd_accsrycalc!$E$2:$E$51, "",0), F2010="Drainage Cover", _xlfn.XLOOKUP(C2010, dd_accsrycalc!$A$2:$A$51, dd_accsrycalc!$F$2:$F$51, "",0),AND( F2010="Double Adhesive Tape", I2010="Roll-up Screen"), _xlfn.XLOOKUP(C2010, calc_rusacc!$C$15:$C$65, calc_rusacc!$AD$15:$AD$65, "",0),AND( F2010="Sealant", I2010="Roll-up Screen"), _xlfn.XLOOKUP(C2010, calc_rusacc!$C$15:$C$65, calc_rusacc!$AF$15:$AF$65, "",0),  AND( F2010="Main Chain", I2010="Accordion Screen"), _xlfn.XLOOKUP(C2010, calc_rusacc!$C$15:$C$65, calc_rusacc!$BF$15:$BF$65, "",0), AND( F2010="Sealant", I2010="Accordion Screen"), _xlfn.XLOOKUP(C2010, calc_rusacc!$C$15:$C$65, calc_rusacc!$BJ$15:$BJ$65, "",0),  F2010="Sealant", _xlfn.XLOOKUP(C2010, dd_accsrycalc!$A$2:$A$51, dd_accsrycalc!$G$2:$G$51, "",0),  F2010&lt;&gt;"",L2010*_xlfn.XLOOKUP(1, (SKUs!$C$2:$C$10001=G2010)*(SKUs!$K$2:$K$10001=I2010),SKUs!$E$2:$E$10001)), 0),"")</f>
        <v/>
      </c>
      <c r="E2010" s="35" t="str">
        <f>_xlfn.XLOOKUP(F2010,dd_item!$B$2:$B$105,dd_item!$C$2:$C$105,"",0)</f>
        <v/>
      </c>
      <c r="F2010" s="35"/>
      <c r="G2010" s="35" cm="1">
        <f t="array" ref="G2010">IFERROR(_xlfn.XLOOKUP(1, (SKUs!$J$2:$J$10001=accsry_unmerged!F2010)*IF(H2010&lt;&gt;"",(SKUs!$L$2:$L$10001=accsry_unmerged!H2010),1)*(SKUs!$K$2:$K$10001=I2010),SKUs!$C$2:$C$10001),"")</f>
        <v>0</v>
      </c>
      <c r="H2010" s="36" cm="1">
        <f t="array" ref="H2010">IFERROR(_xlfn.XLOOKUP(1, (dd_accsryclr!$C$2:$C$1000=accsry_unmerged!F2010)*(dd_accsryclr!$B$2:$B$1000=accsry_unmerged!J2010),dd_accsryclr!$A$2:$A$1000),"")</f>
        <v>0</v>
      </c>
      <c r="I2010" s="35">
        <f>_xlfn.XLOOKUP(C2010,'Project Details'!$C$17:$C$66,'Project Details'!$E$17:$E$66,"",0)</f>
        <v>0</v>
      </c>
      <c r="J2010" s="35">
        <f>_xlfn.XLOOKUP(C2010,'Project Details'!$C$17:$C$66,'Project Details'!$H$17:$H$66,"",0)</f>
        <v>0</v>
      </c>
      <c r="K2010" s="36" t="str">
        <f>IF(AND(_xlfn.XLOOKUP(C2010,'Project Details'!$C$17:$C$66,'Project Details'!$L$17:$L$66,"",0)&gt;550, F2010="Spring-L27cm"),"",SUBSTITUTE(_xlfn.XLOOKUP(G2010,SKUs!$C$2:$C$10001,SKUs!$F$2:$F$10001,"",0), " Accessories",""))</f>
        <v/>
      </c>
      <c r="L2010" s="36">
        <f>_xlfn.XLOOKUP(C2010,'Project Details'!$C$17:$C$66,'Project Details'!$D$17:$D$66,"",0)</f>
        <v>0</v>
      </c>
      <c r="M2010" s="43"/>
    </row>
    <row r="2011" spans="1:13" ht="13.5" customHeight="1" outlineLevel="1" x14ac:dyDescent="0.25">
      <c r="A2011" s="43"/>
      <c r="B2011" s="43"/>
      <c r="C2011" s="16">
        <f t="shared" si="38"/>
        <v>40</v>
      </c>
      <c r="D2011" s="16" t="str" cm="1">
        <f t="array" ref="D2011">IFERROR(ROUNDUP(_xlfn.IFS(F2011="Aluminum Track", _xlfn.XLOOKUP(C2011, dd_accsrycalc!$A$2:$A$51, dd_accsrycalc!$B$2:$B$51, "",0), F2011="10 x 2 1/2 S (Flat)", _xlfn.XLOOKUP(C2011, dd_accsrycalc!$A$2:$A$51, dd_accsrycalc!$C$2:$C$51, "",0), F2011="Tox6", _xlfn.XLOOKUP(C2011, dd_accsrycalc!$A$2:$A$51, dd_accsrycalc!$D$2:$D$51, "",0), F2011="Cover Cap", _xlfn.XLOOKUP(C2011, dd_accsrycalc!$A$2:$A$51, dd_accsrycalc!$E$2:$E$51, "",0), F2011="Drainage Cover", _xlfn.XLOOKUP(C2011, dd_accsrycalc!$A$2:$A$51, dd_accsrycalc!$F$2:$F$51, "",0),AND( F2011="Double Adhesive Tape", I2011="Roll-up Screen"), _xlfn.XLOOKUP(C2011, calc_rusacc!$C$15:$C$65, calc_rusacc!$AD$15:$AD$65, "",0),AND( F2011="Sealant", I2011="Roll-up Screen"), _xlfn.XLOOKUP(C2011, calc_rusacc!$C$15:$C$65, calc_rusacc!$AF$15:$AF$65, "",0),  AND( F2011="Main Chain", I2011="Accordion Screen"), _xlfn.XLOOKUP(C2011, calc_rusacc!$C$15:$C$65, calc_rusacc!$BF$15:$BF$65, "",0), AND( F2011="Sealant", I2011="Accordion Screen"), _xlfn.XLOOKUP(C2011, calc_rusacc!$C$15:$C$65, calc_rusacc!$BJ$15:$BJ$65, "",0),  F2011="Sealant", _xlfn.XLOOKUP(C2011, dd_accsrycalc!$A$2:$A$51, dd_accsrycalc!$G$2:$G$51, "",0),  F2011&lt;&gt;"",L2011*_xlfn.XLOOKUP(1, (SKUs!$C$2:$C$10001=G2011)*(SKUs!$K$2:$K$10001=I2011),SKUs!$E$2:$E$10001)), 0),"")</f>
        <v/>
      </c>
      <c r="E2011" s="16" t="str">
        <f>_xlfn.XLOOKUP(F2011,dd_item!$B$2:$B$105,dd_item!$C$2:$C$105,"",0)</f>
        <v/>
      </c>
      <c r="F2011" s="16"/>
      <c r="G2011" s="16" cm="1">
        <f t="array" ref="G2011">IFERROR(_xlfn.XLOOKUP(1, (SKUs!$J$2:$J$10001=accsry_unmerged!F2011)*IF(H2011&lt;&gt;"",(SKUs!$L$2:$L$10001=accsry_unmerged!H2011),1)*(SKUs!$K$2:$K$10001=I2011),SKUs!$C$2:$C$10001),"")</f>
        <v>0</v>
      </c>
      <c r="H2011" s="33" cm="1">
        <f t="array" ref="H2011">IFERROR(_xlfn.XLOOKUP(1, (dd_accsryclr!$C$2:$C$1000=accsry_unmerged!F2011)*(dd_accsryclr!$B$2:$B$1000=accsry_unmerged!J2011),dd_accsryclr!$A$2:$A$1000),"")</f>
        <v>0</v>
      </c>
      <c r="I2011" s="16">
        <f>_xlfn.XLOOKUP(C2011,'Project Details'!$C$17:$C$66,'Project Details'!$E$17:$E$66,"",0)</f>
        <v>0</v>
      </c>
      <c r="J2011" s="16">
        <f>_xlfn.XLOOKUP(C2011,'Project Details'!$C$17:$C$66,'Project Details'!$H$17:$H$66,"",0)</f>
        <v>0</v>
      </c>
      <c r="K2011" s="33" t="str">
        <f>IF(AND(_xlfn.XLOOKUP(C2011,'Project Details'!$C$17:$C$66,'Project Details'!$L$17:$L$66,"",0)&gt;550, F2011="Spring-L27cm"),"",SUBSTITUTE(_xlfn.XLOOKUP(G2011,SKUs!$C$2:$C$10001,SKUs!$F$2:$F$10001,"",0), " Accessories",""))</f>
        <v/>
      </c>
      <c r="L2011" s="33">
        <f>_xlfn.XLOOKUP(C2011,'Project Details'!$C$17:$C$66,'Project Details'!$D$17:$D$66,"",0)</f>
        <v>0</v>
      </c>
      <c r="M2011" s="43"/>
    </row>
    <row r="2012" spans="1:13" ht="13.5" customHeight="1" outlineLevel="1" x14ac:dyDescent="0.25">
      <c r="A2012" s="43"/>
      <c r="B2012" s="43"/>
      <c r="C2012" s="35">
        <f t="shared" si="38"/>
        <v>40</v>
      </c>
      <c r="D2012" s="35" t="str" cm="1">
        <f t="array" ref="D2012">IFERROR(ROUNDUP(_xlfn.IFS(F2012="Aluminum Track", _xlfn.XLOOKUP(C2012, dd_accsrycalc!$A$2:$A$51, dd_accsrycalc!$B$2:$B$51, "",0), F2012="10 x 2 1/2 S (Flat)", _xlfn.XLOOKUP(C2012, dd_accsrycalc!$A$2:$A$51, dd_accsrycalc!$C$2:$C$51, "",0), F2012="Tox6", _xlfn.XLOOKUP(C2012, dd_accsrycalc!$A$2:$A$51, dd_accsrycalc!$D$2:$D$51, "",0), F2012="Cover Cap", _xlfn.XLOOKUP(C2012, dd_accsrycalc!$A$2:$A$51, dd_accsrycalc!$E$2:$E$51, "",0), F2012="Drainage Cover", _xlfn.XLOOKUP(C2012, dd_accsrycalc!$A$2:$A$51, dd_accsrycalc!$F$2:$F$51, "",0),AND( F2012="Double Adhesive Tape", I2012="Roll-up Screen"), _xlfn.XLOOKUP(C2012, calc_rusacc!$C$15:$C$65, calc_rusacc!$AD$15:$AD$65, "",0),AND( F2012="Sealant", I2012="Roll-up Screen"), _xlfn.XLOOKUP(C2012, calc_rusacc!$C$15:$C$65, calc_rusacc!$AF$15:$AF$65, "",0),  AND( F2012="Main Chain", I2012="Accordion Screen"), _xlfn.XLOOKUP(C2012, calc_rusacc!$C$15:$C$65, calc_rusacc!$BF$15:$BF$65, "",0), AND( F2012="Sealant", I2012="Accordion Screen"), _xlfn.XLOOKUP(C2012, calc_rusacc!$C$15:$C$65, calc_rusacc!$BJ$15:$BJ$65, "",0),  F2012="Sealant", _xlfn.XLOOKUP(C2012, dd_accsrycalc!$A$2:$A$51, dd_accsrycalc!$G$2:$G$51, "",0),  F2012&lt;&gt;"",L2012*_xlfn.XLOOKUP(1, (SKUs!$C$2:$C$10001=G2012)*(SKUs!$K$2:$K$10001=I2012),SKUs!$E$2:$E$10001)), 0),"")</f>
        <v/>
      </c>
      <c r="E2012" s="35" t="str">
        <f>_xlfn.XLOOKUP(F2012,dd_item!$B$2:$B$105,dd_item!$C$2:$C$105,"",0)</f>
        <v/>
      </c>
      <c r="F2012" s="35"/>
      <c r="G2012" s="35" cm="1">
        <f t="array" ref="G2012">IFERROR(_xlfn.XLOOKUP(1, (SKUs!$J$2:$J$10001=accsry_unmerged!F2012)*IF(H2012&lt;&gt;"",(SKUs!$L$2:$L$10001=accsry_unmerged!H2012),1)*(SKUs!$K$2:$K$10001=I2012),SKUs!$C$2:$C$10001),"")</f>
        <v>0</v>
      </c>
      <c r="H2012" s="36" cm="1">
        <f t="array" ref="H2012">IFERROR(_xlfn.XLOOKUP(1, (dd_accsryclr!$C$2:$C$1000=accsry_unmerged!F2012)*(dd_accsryclr!$B$2:$B$1000=accsry_unmerged!J2012),dd_accsryclr!$A$2:$A$1000),"")</f>
        <v>0</v>
      </c>
      <c r="I2012" s="35">
        <f>_xlfn.XLOOKUP(C2012,'Project Details'!$C$17:$C$66,'Project Details'!$E$17:$E$66,"",0)</f>
        <v>0</v>
      </c>
      <c r="J2012" s="35">
        <f>_xlfn.XLOOKUP(C2012,'Project Details'!$C$17:$C$66,'Project Details'!$H$17:$H$66,"",0)</f>
        <v>0</v>
      </c>
      <c r="K2012" s="36" t="str">
        <f>IF(AND(_xlfn.XLOOKUP(C2012,'Project Details'!$C$17:$C$66,'Project Details'!$L$17:$L$66,"",0)&gt;550, F2012="Spring-L27cm"),"",SUBSTITUTE(_xlfn.XLOOKUP(G2012,SKUs!$C$2:$C$10001,SKUs!$F$2:$F$10001,"",0), " Accessories",""))</f>
        <v/>
      </c>
      <c r="L2012" s="36">
        <f>_xlfn.XLOOKUP(C2012,'Project Details'!$C$17:$C$66,'Project Details'!$D$17:$D$66,"",0)</f>
        <v>0</v>
      </c>
      <c r="M2012" s="43"/>
    </row>
    <row r="2013" spans="1:13" ht="13.5" customHeight="1" outlineLevel="1" x14ac:dyDescent="0.25">
      <c r="A2013" s="43"/>
      <c r="B2013" s="43"/>
      <c r="C2013" s="16">
        <f t="shared" si="38"/>
        <v>40</v>
      </c>
      <c r="D2013" s="16" t="str" cm="1">
        <f t="array" ref="D2013">IFERROR(ROUNDUP(_xlfn.IFS(F2013="Aluminum Track", _xlfn.XLOOKUP(C2013, dd_accsrycalc!$A$2:$A$51, dd_accsrycalc!$B$2:$B$51, "",0), F2013="10 x 2 1/2 S (Flat)", _xlfn.XLOOKUP(C2013, dd_accsrycalc!$A$2:$A$51, dd_accsrycalc!$C$2:$C$51, "",0), F2013="Tox6", _xlfn.XLOOKUP(C2013, dd_accsrycalc!$A$2:$A$51, dd_accsrycalc!$D$2:$D$51, "",0), F2013="Cover Cap", _xlfn.XLOOKUP(C2013, dd_accsrycalc!$A$2:$A$51, dd_accsrycalc!$E$2:$E$51, "",0), F2013="Drainage Cover", _xlfn.XLOOKUP(C2013, dd_accsrycalc!$A$2:$A$51, dd_accsrycalc!$F$2:$F$51, "",0),AND( F2013="Double Adhesive Tape", I2013="Roll-up Screen"), _xlfn.XLOOKUP(C2013, calc_rusacc!$C$15:$C$65, calc_rusacc!$AD$15:$AD$65, "",0),AND( F2013="Sealant", I2013="Roll-up Screen"), _xlfn.XLOOKUP(C2013, calc_rusacc!$C$15:$C$65, calc_rusacc!$AF$15:$AF$65, "",0),  AND( F2013="Main Chain", I2013="Accordion Screen"), _xlfn.XLOOKUP(C2013, calc_rusacc!$C$15:$C$65, calc_rusacc!$BF$15:$BF$65, "",0), AND( F2013="Sealant", I2013="Accordion Screen"), _xlfn.XLOOKUP(C2013, calc_rusacc!$C$15:$C$65, calc_rusacc!$BJ$15:$BJ$65, "",0),  F2013="Sealant", _xlfn.XLOOKUP(C2013, dd_accsrycalc!$A$2:$A$51, dd_accsrycalc!$G$2:$G$51, "",0),  F2013&lt;&gt;"",L2013*_xlfn.XLOOKUP(1, (SKUs!$C$2:$C$10001=G2013)*(SKUs!$K$2:$K$10001=I2013),SKUs!$E$2:$E$10001)), 0),"")</f>
        <v/>
      </c>
      <c r="E2013" s="16" t="str">
        <f>_xlfn.XLOOKUP(F2013,dd_item!$B$2:$B$105,dd_item!$C$2:$C$105,"",0)</f>
        <v/>
      </c>
      <c r="F2013" s="16"/>
      <c r="G2013" s="16" cm="1">
        <f t="array" ref="G2013">IFERROR(_xlfn.XLOOKUP(1, (SKUs!$J$2:$J$10001=accsry_unmerged!F2013)*IF(H2013&lt;&gt;"",(SKUs!$L$2:$L$10001=accsry_unmerged!H2013),1)*(SKUs!$K$2:$K$10001=I2013),SKUs!$C$2:$C$10001),"")</f>
        <v>0</v>
      </c>
      <c r="H2013" s="33" cm="1">
        <f t="array" ref="H2013">IFERROR(_xlfn.XLOOKUP(1, (dd_accsryclr!$C$2:$C$1000=accsry_unmerged!F2013)*(dd_accsryclr!$B$2:$B$1000=accsry_unmerged!J2013),dd_accsryclr!$A$2:$A$1000),"")</f>
        <v>0</v>
      </c>
      <c r="I2013" s="16">
        <f>_xlfn.XLOOKUP(C2013,'Project Details'!$C$17:$C$66,'Project Details'!$E$17:$E$66,"",0)</f>
        <v>0</v>
      </c>
      <c r="J2013" s="16">
        <f>_xlfn.XLOOKUP(C2013,'Project Details'!$C$17:$C$66,'Project Details'!$H$17:$H$66,"",0)</f>
        <v>0</v>
      </c>
      <c r="K2013" s="33" t="str">
        <f>IF(AND(_xlfn.XLOOKUP(C2013,'Project Details'!$C$17:$C$66,'Project Details'!$L$17:$L$66,"",0)&gt;550, F2013="Spring-L27cm"),"",SUBSTITUTE(_xlfn.XLOOKUP(G2013,SKUs!$C$2:$C$10001,SKUs!$F$2:$F$10001,"",0), " Accessories",""))</f>
        <v/>
      </c>
      <c r="L2013" s="33">
        <f>_xlfn.XLOOKUP(C2013,'Project Details'!$C$17:$C$66,'Project Details'!$D$17:$D$66,"",0)</f>
        <v>0</v>
      </c>
      <c r="M2013" s="43"/>
    </row>
    <row r="2014" spans="1:13" x14ac:dyDescent="0.25">
      <c r="A2014" s="43"/>
      <c r="B2014" s="43"/>
      <c r="C2014" s="43"/>
      <c r="D2014" s="43"/>
      <c r="E2014" s="43"/>
      <c r="F2014" s="43"/>
      <c r="G2014" s="43"/>
      <c r="H2014" s="43"/>
      <c r="I2014" s="43"/>
      <c r="J2014" s="43"/>
      <c r="K2014" s="43"/>
      <c r="L2014" s="43"/>
      <c r="M2014" s="43"/>
    </row>
    <row r="2015" spans="1:13" x14ac:dyDescent="0.25">
      <c r="A2015" s="43"/>
      <c r="B2015" s="43"/>
      <c r="C2015" s="16">
        <f>C2013+1</f>
        <v>41</v>
      </c>
      <c r="D2015" s="48" cm="1">
        <f t="array" ref="D2015">IFERROR(ROUNDUP(_xlfn.IFS(F2015="Aluminum Track", _xlfn.XLOOKUP(C2015, dd_accsrycalc!$A$2:$A$51, dd_accsrycalc!$B$2:$B$51, "",0), F2015="10 x 2 1/2 S (Flat)", _xlfn.XLOOKUP(C2015, dd_accsrycalc!$A$2:$A$51, dd_accsrycalc!$C$2:$C$51, "",0), F2015="Tox6", _xlfn.XLOOKUP(C2015, dd_accsrycalc!$A$2:$A$51, dd_accsrycalc!$D$2:$D$51, "",0), F2015="Cover Cap", _xlfn.XLOOKUP(C2015, dd_accsrycalc!$A$2:$A$51, dd_accsrycalc!$E$2:$E$51, "",0), F2015="Drainage Cover", _xlfn.XLOOKUP(C2015, dd_accsrycalc!$A$2:$A$51, dd_accsrycalc!$F$2:$F$51, "",0),AND( F2015="Double Adhesive Tape", I2015="Roll-up Screen"), _xlfn.XLOOKUP(C2015, calc_rusacc!$C$15:$C$65, calc_rusacc!$AD$15:$AD$65, "",0),AND( F2015="Sealant", I2015="Roll-up Screen"), _xlfn.XLOOKUP(C2015, calc_rusacc!$C$15:$C$65, calc_rusacc!$AF$15:$AF$65, "",0),  AND( F2015="Main Chain", I2015="Accordion Screen"), _xlfn.XLOOKUP(C2015, calc_rusacc!$C$15:$C$65, calc_rusacc!$BF$15:$BF$65, "",0), AND( F2015="Sealant", I2015="Accordion Screen"), _xlfn.XLOOKUP(C2015, calc_rusacc!$C$15:$C$65, calc_rusacc!$BJ$15:$BJ$65, "",0),  F2015="Sealant", _xlfn.XLOOKUP(C2015, dd_accsrycalc!$A$2:$A$51, dd_accsrycalc!$G$2:$G$51, "",0),  F2015&lt;&gt;"",L2015*_xlfn.XLOOKUP(1, (SKUs!$C$2:$C$10001=G2015)*(SKUs!$K$2:$K$10001=I2015),SKUs!$E$2:$E$10001)), 0),"")</f>
        <v>0</v>
      </c>
      <c r="E2015" s="48" t="str">
        <f>_xlfn.XLOOKUP(F2015,dd_item!$B$2:$B$105,dd_item!$C$2:$C$105,"",0)</f>
        <v/>
      </c>
      <c r="F2015" s="48" cm="1">
        <f t="array" ref="F2015">IFERROR(_xlfn.UNIQUE(_xlfn._xlws.FILTER(SKUs!$J$2:$J$10001, (SKUs!$F$2:$F$10001&lt;&gt;"Cutting List") * (SKUs!$A$2:$A$10001=_xlfn.XLOOKUP(_xlfn.XLOOKUP(C2015,'Project Details'!$C$17:$C$66,'Project Details'!$E$17:$E$66,"",0), dd_design_raw!$A$2:$A$101,dd_design_raw!$C$2:$C$101,"",0)))), "")</f>
        <v>0</v>
      </c>
      <c r="G2015" s="16" cm="1">
        <f t="array" ref="G2015">IFERROR(_xlfn.XLOOKUP(1, (SKUs!$J$2:$J$10001=accsry_unmerged!F2015)*IF(H2015&lt;&gt;"",(SKUs!$L$2:$L$10001=accsry_unmerged!H2015),1)*(SKUs!$K$2:$K$10001=I2015),SKUs!$C$2:$C$10001),"")</f>
        <v>0</v>
      </c>
      <c r="H2015" s="16" cm="1">
        <f t="array" ref="H2015">IFERROR(_xlfn.XLOOKUP(1, (dd_accsryclr!$C$2:$C$1000=accsry_unmerged!F2015)*(dd_accsryclr!$B$2:$B$1000=accsry_unmerged!J2015),dd_accsryclr!$A$2:$A$1000),"")</f>
        <v>0</v>
      </c>
      <c r="I2015" s="16">
        <f>_xlfn.XLOOKUP(C2015,'Project Details'!$C$17:$C$66,'Project Details'!$E$17:$E$66,"",0)</f>
        <v>0</v>
      </c>
      <c r="J2015" s="16">
        <f>_xlfn.XLOOKUP(C2015,'Project Details'!$C$17:$C$66,'Project Details'!$H$17:$H$66,"",0)</f>
        <v>0</v>
      </c>
      <c r="K2015" s="16" t="str">
        <f>IF(AND(_xlfn.XLOOKUP(C2015,'Project Details'!$C$17:$C$66,'Project Details'!$L$17:$L$66,"",0)&gt;550, F2015="Spring-L27cm"),"",SUBSTITUTE(_xlfn.XLOOKUP(G2015,SKUs!$C$2:$C$10001,SKUs!$F$2:$F$10001,"",0), " Accessories",""))</f>
        <v/>
      </c>
      <c r="L2015" s="16">
        <f>_xlfn.XLOOKUP(C2015,'Project Details'!$C$17:$C$66,'Project Details'!$D$17:$D$66,"",0)</f>
        <v>0</v>
      </c>
      <c r="M2015" s="43"/>
    </row>
    <row r="2016" spans="1:13" x14ac:dyDescent="0.25">
      <c r="A2016" s="43"/>
      <c r="B2016" s="43"/>
      <c r="C2016" s="35">
        <f>C2015</f>
        <v>41</v>
      </c>
      <c r="D2016" s="35" t="str" cm="1">
        <f t="array" ref="D2016">IFERROR(ROUNDUP(_xlfn.IFS(F2016="Aluminum Track", _xlfn.XLOOKUP(C2016, dd_accsrycalc!$A$2:$A$51, dd_accsrycalc!$B$2:$B$51, "",0), F2016="10 x 2 1/2 S (Flat)", _xlfn.XLOOKUP(C2016, dd_accsrycalc!$A$2:$A$51, dd_accsrycalc!$C$2:$C$51, "",0), F2016="Tox6", _xlfn.XLOOKUP(C2016, dd_accsrycalc!$A$2:$A$51, dd_accsrycalc!$D$2:$D$51, "",0), F2016="Cover Cap", _xlfn.XLOOKUP(C2016, dd_accsrycalc!$A$2:$A$51, dd_accsrycalc!$E$2:$E$51, "",0), F2016="Drainage Cover", _xlfn.XLOOKUP(C2016, dd_accsrycalc!$A$2:$A$51, dd_accsrycalc!$F$2:$F$51, "",0),AND( F2016="Double Adhesive Tape", I2016="Roll-up Screen"), _xlfn.XLOOKUP(C2016, calc_rusacc!$C$15:$C$65, calc_rusacc!$AD$15:$AD$65, "",0),AND( F2016="Sealant", I2016="Roll-up Screen"), _xlfn.XLOOKUP(C2016, calc_rusacc!$C$15:$C$65, calc_rusacc!$AF$15:$AF$65, "",0),  AND( F2016="Main Chain", I2016="Accordion Screen"), _xlfn.XLOOKUP(C2016, calc_rusacc!$C$15:$C$65, calc_rusacc!$BF$15:$BF$65, "",0), AND( F2016="Sealant", I2016="Accordion Screen"), _xlfn.XLOOKUP(C2016, calc_rusacc!$C$15:$C$65, calc_rusacc!$BJ$15:$BJ$65, "",0),  F2016="Sealant", _xlfn.XLOOKUP(C2016, dd_accsrycalc!$A$2:$A$51, dd_accsrycalc!$G$2:$G$51, "",0),  F2016&lt;&gt;"",L2016*_xlfn.XLOOKUP(1, (SKUs!$C$2:$C$10001=G2016)*(SKUs!$K$2:$K$10001=I2016),SKUs!$E$2:$E$10001)), 0),"")</f>
        <v/>
      </c>
      <c r="E2016" s="35" t="str">
        <f>_xlfn.XLOOKUP(F2016,dd_item!$B$2:$B$105,dd_item!$C$2:$C$105,"",0)</f>
        <v/>
      </c>
      <c r="F2016" s="35"/>
      <c r="G2016" s="35" cm="1">
        <f t="array" ref="G2016">IFERROR(_xlfn.XLOOKUP(1, (SKUs!$J$2:$J$10001=accsry_unmerged!F2016)*IF(H2016&lt;&gt;"",(SKUs!$L$2:$L$10001=accsry_unmerged!H2016),1)*(SKUs!$K$2:$K$10001=I2016),SKUs!$C$2:$C$10001),"")</f>
        <v>0</v>
      </c>
      <c r="H2016" s="36" cm="1">
        <f t="array" ref="H2016">IFERROR(_xlfn.XLOOKUP(1, (dd_accsryclr!$C$2:$C$1000=accsry_unmerged!F2016)*(dd_accsryclr!$B$2:$B$1000=accsry_unmerged!J2016),dd_accsryclr!$A$2:$A$1000),"")</f>
        <v>0</v>
      </c>
      <c r="I2016" s="35">
        <f>_xlfn.XLOOKUP(C2016,'Project Details'!$C$17:$C$66,'Project Details'!$E$17:$E$66,"",0)</f>
        <v>0</v>
      </c>
      <c r="J2016" s="35">
        <f>_xlfn.XLOOKUP(C2016,'Project Details'!$C$17:$C$66,'Project Details'!$H$17:$H$66,"",0)</f>
        <v>0</v>
      </c>
      <c r="K2016" s="36" t="str">
        <f>IF(AND(_xlfn.XLOOKUP(C2016,'Project Details'!$C$17:$C$66,'Project Details'!$L$17:$L$66,"",0)&gt;550, F2016="Spring-L27cm"),"",SUBSTITUTE(_xlfn.XLOOKUP(G2016,SKUs!$C$2:$C$10001,SKUs!$F$2:$F$10001,"",0), " Accessories",""))</f>
        <v/>
      </c>
      <c r="L2016" s="36">
        <f>_xlfn.XLOOKUP(C2016,'Project Details'!$C$17:$C$66,'Project Details'!$D$17:$D$66,"",0)</f>
        <v>0</v>
      </c>
      <c r="M2016" s="43"/>
    </row>
    <row r="2017" spans="1:13" x14ac:dyDescent="0.25">
      <c r="A2017" s="43"/>
      <c r="B2017" s="43"/>
      <c r="C2017" s="16">
        <f t="shared" ref="C2017:C2063" si="39">C2016</f>
        <v>41</v>
      </c>
      <c r="D2017" s="16" t="str" cm="1">
        <f t="array" ref="D2017">IFERROR(ROUNDUP(_xlfn.IFS(F2017="Aluminum Track", _xlfn.XLOOKUP(C2017, dd_accsrycalc!$A$2:$A$51, dd_accsrycalc!$B$2:$B$51, "",0), F2017="10 x 2 1/2 S (Flat)", _xlfn.XLOOKUP(C2017, dd_accsrycalc!$A$2:$A$51, dd_accsrycalc!$C$2:$C$51, "",0), F2017="Tox6", _xlfn.XLOOKUP(C2017, dd_accsrycalc!$A$2:$A$51, dd_accsrycalc!$D$2:$D$51, "",0), F2017="Cover Cap", _xlfn.XLOOKUP(C2017, dd_accsrycalc!$A$2:$A$51, dd_accsrycalc!$E$2:$E$51, "",0), F2017="Drainage Cover", _xlfn.XLOOKUP(C2017, dd_accsrycalc!$A$2:$A$51, dd_accsrycalc!$F$2:$F$51, "",0),AND( F2017="Double Adhesive Tape", I2017="Roll-up Screen"), _xlfn.XLOOKUP(C2017, calc_rusacc!$C$15:$C$65, calc_rusacc!$AD$15:$AD$65, "",0),AND( F2017="Sealant", I2017="Roll-up Screen"), _xlfn.XLOOKUP(C2017, calc_rusacc!$C$15:$C$65, calc_rusacc!$AF$15:$AF$65, "",0),  AND( F2017="Main Chain", I2017="Accordion Screen"), _xlfn.XLOOKUP(C2017, calc_rusacc!$C$15:$C$65, calc_rusacc!$BF$15:$BF$65, "",0), AND( F2017="Sealant", I2017="Accordion Screen"), _xlfn.XLOOKUP(C2017, calc_rusacc!$C$15:$C$65, calc_rusacc!$BJ$15:$BJ$65, "",0),  F2017="Sealant", _xlfn.XLOOKUP(C2017, dd_accsrycalc!$A$2:$A$51, dd_accsrycalc!$G$2:$G$51, "",0),  F2017&lt;&gt;"",L2017*_xlfn.XLOOKUP(1, (SKUs!$C$2:$C$10001=G2017)*(SKUs!$K$2:$K$10001=I2017),SKUs!$E$2:$E$10001)), 0),"")</f>
        <v/>
      </c>
      <c r="E2017" s="16" t="str">
        <f>_xlfn.XLOOKUP(F2017,dd_item!$B$2:$B$105,dd_item!$C$2:$C$105,"",0)</f>
        <v/>
      </c>
      <c r="F2017" s="16"/>
      <c r="G2017" s="16" cm="1">
        <f t="array" ref="G2017">IFERROR(_xlfn.XLOOKUP(1, (SKUs!$J$2:$J$10001=accsry_unmerged!F2017)*IF(H2017&lt;&gt;"",(SKUs!$L$2:$L$10001=accsry_unmerged!H2017),1)*(SKUs!$K$2:$K$10001=I2017),SKUs!$C$2:$C$10001),"")</f>
        <v>0</v>
      </c>
      <c r="H2017" s="33" cm="1">
        <f t="array" ref="H2017">IFERROR(_xlfn.XLOOKUP(1, (dd_accsryclr!$C$2:$C$1000=accsry_unmerged!F2017)*(dd_accsryclr!$B$2:$B$1000=accsry_unmerged!J2017),dd_accsryclr!$A$2:$A$1000),"")</f>
        <v>0</v>
      </c>
      <c r="I2017" s="16">
        <f>_xlfn.XLOOKUP(C2017,'Project Details'!$C$17:$C$66,'Project Details'!$E$17:$E$66,"",0)</f>
        <v>0</v>
      </c>
      <c r="J2017" s="16">
        <f>_xlfn.XLOOKUP(C2017,'Project Details'!$C$17:$C$66,'Project Details'!$H$17:$H$66,"",0)</f>
        <v>0</v>
      </c>
      <c r="K2017" s="33" t="str">
        <f>IF(AND(_xlfn.XLOOKUP(C2017,'Project Details'!$C$17:$C$66,'Project Details'!$L$17:$L$66,"",0)&gt;550, F2017="Spring-L27cm"),"",SUBSTITUTE(_xlfn.XLOOKUP(G2017,SKUs!$C$2:$C$10001,SKUs!$F$2:$F$10001,"",0), " Accessories",""))</f>
        <v/>
      </c>
      <c r="L2017" s="33">
        <f>_xlfn.XLOOKUP(C2017,'Project Details'!$C$17:$C$66,'Project Details'!$D$17:$D$66,"",0)</f>
        <v>0</v>
      </c>
      <c r="M2017" s="43"/>
    </row>
    <row r="2018" spans="1:13" x14ac:dyDescent="0.25">
      <c r="A2018" s="43"/>
      <c r="B2018" s="43"/>
      <c r="C2018" s="35">
        <f t="shared" si="39"/>
        <v>41</v>
      </c>
      <c r="D2018" s="35" t="str" cm="1">
        <f t="array" ref="D2018">IFERROR(ROUNDUP(_xlfn.IFS(F2018="Aluminum Track", _xlfn.XLOOKUP(C2018, dd_accsrycalc!$A$2:$A$51, dd_accsrycalc!$B$2:$B$51, "",0), F2018="10 x 2 1/2 S (Flat)", _xlfn.XLOOKUP(C2018, dd_accsrycalc!$A$2:$A$51, dd_accsrycalc!$C$2:$C$51, "",0), F2018="Tox6", _xlfn.XLOOKUP(C2018, dd_accsrycalc!$A$2:$A$51, dd_accsrycalc!$D$2:$D$51, "",0), F2018="Cover Cap", _xlfn.XLOOKUP(C2018, dd_accsrycalc!$A$2:$A$51, dd_accsrycalc!$E$2:$E$51, "",0), F2018="Drainage Cover", _xlfn.XLOOKUP(C2018, dd_accsrycalc!$A$2:$A$51, dd_accsrycalc!$F$2:$F$51, "",0),AND( F2018="Double Adhesive Tape", I2018="Roll-up Screen"), _xlfn.XLOOKUP(C2018, calc_rusacc!$C$15:$C$65, calc_rusacc!$AD$15:$AD$65, "",0),AND( F2018="Sealant", I2018="Roll-up Screen"), _xlfn.XLOOKUP(C2018, calc_rusacc!$C$15:$C$65, calc_rusacc!$AF$15:$AF$65, "",0),  AND( F2018="Main Chain", I2018="Accordion Screen"), _xlfn.XLOOKUP(C2018, calc_rusacc!$C$15:$C$65, calc_rusacc!$BF$15:$BF$65, "",0), AND( F2018="Sealant", I2018="Accordion Screen"), _xlfn.XLOOKUP(C2018, calc_rusacc!$C$15:$C$65, calc_rusacc!$BJ$15:$BJ$65, "",0),  F2018="Sealant", _xlfn.XLOOKUP(C2018, dd_accsrycalc!$A$2:$A$51, dd_accsrycalc!$G$2:$G$51, "",0),  F2018&lt;&gt;"",L2018*_xlfn.XLOOKUP(1, (SKUs!$C$2:$C$10001=G2018)*(SKUs!$K$2:$K$10001=I2018),SKUs!$E$2:$E$10001)), 0),"")</f>
        <v/>
      </c>
      <c r="E2018" s="35" t="str">
        <f>_xlfn.XLOOKUP(F2018,dd_item!$B$2:$B$105,dd_item!$C$2:$C$105,"",0)</f>
        <v/>
      </c>
      <c r="F2018" s="35"/>
      <c r="G2018" s="35" cm="1">
        <f t="array" ref="G2018">IFERROR(_xlfn.XLOOKUP(1, (SKUs!$J$2:$J$10001=accsry_unmerged!F2018)*IF(H2018&lt;&gt;"",(SKUs!$L$2:$L$10001=accsry_unmerged!H2018),1)*(SKUs!$K$2:$K$10001=I2018),SKUs!$C$2:$C$10001),"")</f>
        <v>0</v>
      </c>
      <c r="H2018" s="36" cm="1">
        <f t="array" ref="H2018">IFERROR(_xlfn.XLOOKUP(1, (dd_accsryclr!$C$2:$C$1000=accsry_unmerged!F2018)*(dd_accsryclr!$B$2:$B$1000=accsry_unmerged!J2018),dd_accsryclr!$A$2:$A$1000),"")</f>
        <v>0</v>
      </c>
      <c r="I2018" s="35">
        <f>_xlfn.XLOOKUP(C2018,'Project Details'!$C$17:$C$66,'Project Details'!$E$17:$E$66,"",0)</f>
        <v>0</v>
      </c>
      <c r="J2018" s="35">
        <f>_xlfn.XLOOKUP(C2018,'Project Details'!$C$17:$C$66,'Project Details'!$H$17:$H$66,"",0)</f>
        <v>0</v>
      </c>
      <c r="K2018" s="36" t="str">
        <f>IF(AND(_xlfn.XLOOKUP(C2018,'Project Details'!$C$17:$C$66,'Project Details'!$L$17:$L$66,"",0)&gt;550, F2018="Spring-L27cm"),"",SUBSTITUTE(_xlfn.XLOOKUP(G2018,SKUs!$C$2:$C$10001,SKUs!$F$2:$F$10001,"",0), " Accessories",""))</f>
        <v/>
      </c>
      <c r="L2018" s="36">
        <f>_xlfn.XLOOKUP(C2018,'Project Details'!$C$17:$C$66,'Project Details'!$D$17:$D$66,"",0)</f>
        <v>0</v>
      </c>
      <c r="M2018" s="43"/>
    </row>
    <row r="2019" spans="1:13" x14ac:dyDescent="0.25">
      <c r="A2019" s="43"/>
      <c r="B2019" s="43"/>
      <c r="C2019" s="16">
        <f t="shared" si="39"/>
        <v>41</v>
      </c>
      <c r="D2019" s="16" t="str" cm="1">
        <f t="array" ref="D2019">IFERROR(ROUNDUP(_xlfn.IFS(F2019="Aluminum Track", _xlfn.XLOOKUP(C2019, dd_accsrycalc!$A$2:$A$51, dd_accsrycalc!$B$2:$B$51, "",0), F2019="10 x 2 1/2 S (Flat)", _xlfn.XLOOKUP(C2019, dd_accsrycalc!$A$2:$A$51, dd_accsrycalc!$C$2:$C$51, "",0), F2019="Tox6", _xlfn.XLOOKUP(C2019, dd_accsrycalc!$A$2:$A$51, dd_accsrycalc!$D$2:$D$51, "",0), F2019="Cover Cap", _xlfn.XLOOKUP(C2019, dd_accsrycalc!$A$2:$A$51, dd_accsrycalc!$E$2:$E$51, "",0), F2019="Drainage Cover", _xlfn.XLOOKUP(C2019, dd_accsrycalc!$A$2:$A$51, dd_accsrycalc!$F$2:$F$51, "",0),AND( F2019="Double Adhesive Tape", I2019="Roll-up Screen"), _xlfn.XLOOKUP(C2019, calc_rusacc!$C$15:$C$65, calc_rusacc!$AD$15:$AD$65, "",0),AND( F2019="Sealant", I2019="Roll-up Screen"), _xlfn.XLOOKUP(C2019, calc_rusacc!$C$15:$C$65, calc_rusacc!$AF$15:$AF$65, "",0),  AND( F2019="Main Chain", I2019="Accordion Screen"), _xlfn.XLOOKUP(C2019, calc_rusacc!$C$15:$C$65, calc_rusacc!$BF$15:$BF$65, "",0), AND( F2019="Sealant", I2019="Accordion Screen"), _xlfn.XLOOKUP(C2019, calc_rusacc!$C$15:$C$65, calc_rusacc!$BJ$15:$BJ$65, "",0),  F2019="Sealant", _xlfn.XLOOKUP(C2019, dd_accsrycalc!$A$2:$A$51, dd_accsrycalc!$G$2:$G$51, "",0),  F2019&lt;&gt;"",L2019*_xlfn.XLOOKUP(1, (SKUs!$C$2:$C$10001=G2019)*(SKUs!$K$2:$K$10001=I2019),SKUs!$E$2:$E$10001)), 0),"")</f>
        <v/>
      </c>
      <c r="E2019" s="16" t="str">
        <f>_xlfn.XLOOKUP(F2019,dd_item!$B$2:$B$105,dd_item!$C$2:$C$105,"",0)</f>
        <v/>
      </c>
      <c r="F2019" s="16"/>
      <c r="G2019" s="16" cm="1">
        <f t="array" ref="G2019">IFERROR(_xlfn.XLOOKUP(1, (SKUs!$J$2:$J$10001=accsry_unmerged!F2019)*IF(H2019&lt;&gt;"",(SKUs!$L$2:$L$10001=accsry_unmerged!H2019),1)*(SKUs!$K$2:$K$10001=I2019),SKUs!$C$2:$C$10001),"")</f>
        <v>0</v>
      </c>
      <c r="H2019" s="33" cm="1">
        <f t="array" ref="H2019">IFERROR(_xlfn.XLOOKUP(1, (dd_accsryclr!$C$2:$C$1000=accsry_unmerged!F2019)*(dd_accsryclr!$B$2:$B$1000=accsry_unmerged!J2019),dd_accsryclr!$A$2:$A$1000),"")</f>
        <v>0</v>
      </c>
      <c r="I2019" s="16">
        <f>_xlfn.XLOOKUP(C2019,'Project Details'!$C$17:$C$66,'Project Details'!$E$17:$E$66,"",0)</f>
        <v>0</v>
      </c>
      <c r="J2019" s="16">
        <f>_xlfn.XLOOKUP(C2019,'Project Details'!$C$17:$C$66,'Project Details'!$H$17:$H$66,"",0)</f>
        <v>0</v>
      </c>
      <c r="K2019" s="33" t="str">
        <f>IF(AND(_xlfn.XLOOKUP(C2019,'Project Details'!$C$17:$C$66,'Project Details'!$L$17:$L$66,"",0)&gt;550, F2019="Spring-L27cm"),"",SUBSTITUTE(_xlfn.XLOOKUP(G2019,SKUs!$C$2:$C$10001,SKUs!$F$2:$F$10001,"",0), " Accessories",""))</f>
        <v/>
      </c>
      <c r="L2019" s="33">
        <f>_xlfn.XLOOKUP(C2019,'Project Details'!$C$17:$C$66,'Project Details'!$D$17:$D$66,"",0)</f>
        <v>0</v>
      </c>
      <c r="M2019" s="43"/>
    </row>
    <row r="2020" spans="1:13" x14ac:dyDescent="0.25">
      <c r="A2020" s="43"/>
      <c r="B2020" s="43"/>
      <c r="C2020" s="35">
        <f t="shared" si="39"/>
        <v>41</v>
      </c>
      <c r="D2020" s="35" t="str" cm="1">
        <f t="array" ref="D2020">IFERROR(ROUNDUP(_xlfn.IFS(F2020="Aluminum Track", _xlfn.XLOOKUP(C2020, dd_accsrycalc!$A$2:$A$51, dd_accsrycalc!$B$2:$B$51, "",0), F2020="10 x 2 1/2 S (Flat)", _xlfn.XLOOKUP(C2020, dd_accsrycalc!$A$2:$A$51, dd_accsrycalc!$C$2:$C$51, "",0), F2020="Tox6", _xlfn.XLOOKUP(C2020, dd_accsrycalc!$A$2:$A$51, dd_accsrycalc!$D$2:$D$51, "",0), F2020="Cover Cap", _xlfn.XLOOKUP(C2020, dd_accsrycalc!$A$2:$A$51, dd_accsrycalc!$E$2:$E$51, "",0), F2020="Drainage Cover", _xlfn.XLOOKUP(C2020, dd_accsrycalc!$A$2:$A$51, dd_accsrycalc!$F$2:$F$51, "",0),AND( F2020="Double Adhesive Tape", I2020="Roll-up Screen"), _xlfn.XLOOKUP(C2020, calc_rusacc!$C$15:$C$65, calc_rusacc!$AD$15:$AD$65, "",0),AND( F2020="Sealant", I2020="Roll-up Screen"), _xlfn.XLOOKUP(C2020, calc_rusacc!$C$15:$C$65, calc_rusacc!$AF$15:$AF$65, "",0),  AND( F2020="Main Chain", I2020="Accordion Screen"), _xlfn.XLOOKUP(C2020, calc_rusacc!$C$15:$C$65, calc_rusacc!$BF$15:$BF$65, "",0), AND( F2020="Sealant", I2020="Accordion Screen"), _xlfn.XLOOKUP(C2020, calc_rusacc!$C$15:$C$65, calc_rusacc!$BJ$15:$BJ$65, "",0),  F2020="Sealant", _xlfn.XLOOKUP(C2020, dd_accsrycalc!$A$2:$A$51, dd_accsrycalc!$G$2:$G$51, "",0),  F2020&lt;&gt;"",L2020*_xlfn.XLOOKUP(1, (SKUs!$C$2:$C$10001=G2020)*(SKUs!$K$2:$K$10001=I2020),SKUs!$E$2:$E$10001)), 0),"")</f>
        <v/>
      </c>
      <c r="E2020" s="35" t="str">
        <f>_xlfn.XLOOKUP(F2020,dd_item!$B$2:$B$105,dd_item!$C$2:$C$105,"",0)</f>
        <v/>
      </c>
      <c r="F2020" s="35"/>
      <c r="G2020" s="35" cm="1">
        <f t="array" ref="G2020">IFERROR(_xlfn.XLOOKUP(1, (SKUs!$J$2:$J$10001=accsry_unmerged!F2020)*IF(H2020&lt;&gt;"",(SKUs!$L$2:$L$10001=accsry_unmerged!H2020),1)*(SKUs!$K$2:$K$10001=I2020),SKUs!$C$2:$C$10001),"")</f>
        <v>0</v>
      </c>
      <c r="H2020" s="36" cm="1">
        <f t="array" ref="H2020">IFERROR(_xlfn.XLOOKUP(1, (dd_accsryclr!$C$2:$C$1000=accsry_unmerged!F2020)*(dd_accsryclr!$B$2:$B$1000=accsry_unmerged!J2020),dd_accsryclr!$A$2:$A$1000),"")</f>
        <v>0</v>
      </c>
      <c r="I2020" s="35">
        <f>_xlfn.XLOOKUP(C2020,'Project Details'!$C$17:$C$66,'Project Details'!$E$17:$E$66,"",0)</f>
        <v>0</v>
      </c>
      <c r="J2020" s="35">
        <f>_xlfn.XLOOKUP(C2020,'Project Details'!$C$17:$C$66,'Project Details'!$H$17:$H$66,"",0)</f>
        <v>0</v>
      </c>
      <c r="K2020" s="36" t="str">
        <f>IF(AND(_xlfn.XLOOKUP(C2020,'Project Details'!$C$17:$C$66,'Project Details'!$L$17:$L$66,"",0)&gt;550, F2020="Spring-L27cm"),"",SUBSTITUTE(_xlfn.XLOOKUP(G2020,SKUs!$C$2:$C$10001,SKUs!$F$2:$F$10001,"",0), " Accessories",""))</f>
        <v/>
      </c>
      <c r="L2020" s="36">
        <f>_xlfn.XLOOKUP(C2020,'Project Details'!$C$17:$C$66,'Project Details'!$D$17:$D$66,"",0)</f>
        <v>0</v>
      </c>
      <c r="M2020" s="43"/>
    </row>
    <row r="2021" spans="1:13" x14ac:dyDescent="0.25">
      <c r="A2021" s="43"/>
      <c r="B2021" s="43"/>
      <c r="C2021" s="16">
        <f t="shared" si="39"/>
        <v>41</v>
      </c>
      <c r="D2021" s="16" t="str" cm="1">
        <f t="array" ref="D2021">IFERROR(ROUNDUP(_xlfn.IFS(F2021="Aluminum Track", _xlfn.XLOOKUP(C2021, dd_accsrycalc!$A$2:$A$51, dd_accsrycalc!$B$2:$B$51, "",0), F2021="10 x 2 1/2 S (Flat)", _xlfn.XLOOKUP(C2021, dd_accsrycalc!$A$2:$A$51, dd_accsrycalc!$C$2:$C$51, "",0), F2021="Tox6", _xlfn.XLOOKUP(C2021, dd_accsrycalc!$A$2:$A$51, dd_accsrycalc!$D$2:$D$51, "",0), F2021="Cover Cap", _xlfn.XLOOKUP(C2021, dd_accsrycalc!$A$2:$A$51, dd_accsrycalc!$E$2:$E$51, "",0), F2021="Drainage Cover", _xlfn.XLOOKUP(C2021, dd_accsrycalc!$A$2:$A$51, dd_accsrycalc!$F$2:$F$51, "",0),AND( F2021="Double Adhesive Tape", I2021="Roll-up Screen"), _xlfn.XLOOKUP(C2021, calc_rusacc!$C$15:$C$65, calc_rusacc!$AD$15:$AD$65, "",0),AND( F2021="Sealant", I2021="Roll-up Screen"), _xlfn.XLOOKUP(C2021, calc_rusacc!$C$15:$C$65, calc_rusacc!$AF$15:$AF$65, "",0),  AND( F2021="Main Chain", I2021="Accordion Screen"), _xlfn.XLOOKUP(C2021, calc_rusacc!$C$15:$C$65, calc_rusacc!$BF$15:$BF$65, "",0), AND( F2021="Sealant", I2021="Accordion Screen"), _xlfn.XLOOKUP(C2021, calc_rusacc!$C$15:$C$65, calc_rusacc!$BJ$15:$BJ$65, "",0),  F2021="Sealant", _xlfn.XLOOKUP(C2021, dd_accsrycalc!$A$2:$A$51, dd_accsrycalc!$G$2:$G$51, "",0),  F2021&lt;&gt;"",L2021*_xlfn.XLOOKUP(1, (SKUs!$C$2:$C$10001=G2021)*(SKUs!$K$2:$K$10001=I2021),SKUs!$E$2:$E$10001)), 0),"")</f>
        <v/>
      </c>
      <c r="E2021" s="16" t="str">
        <f>_xlfn.XLOOKUP(F2021,dd_item!$B$2:$B$105,dd_item!$C$2:$C$105,"",0)</f>
        <v/>
      </c>
      <c r="F2021" s="16"/>
      <c r="G2021" s="16" cm="1">
        <f t="array" ref="G2021">IFERROR(_xlfn.XLOOKUP(1, (SKUs!$J$2:$J$10001=accsry_unmerged!F2021)*IF(H2021&lt;&gt;"",(SKUs!$L$2:$L$10001=accsry_unmerged!H2021),1)*(SKUs!$K$2:$K$10001=I2021),SKUs!$C$2:$C$10001),"")</f>
        <v>0</v>
      </c>
      <c r="H2021" s="33" cm="1">
        <f t="array" ref="H2021">IFERROR(_xlfn.XLOOKUP(1, (dd_accsryclr!$C$2:$C$1000=accsry_unmerged!F2021)*(dd_accsryclr!$B$2:$B$1000=accsry_unmerged!J2021),dd_accsryclr!$A$2:$A$1000),"")</f>
        <v>0</v>
      </c>
      <c r="I2021" s="16">
        <f>_xlfn.XLOOKUP(C2021,'Project Details'!$C$17:$C$66,'Project Details'!$E$17:$E$66,"",0)</f>
        <v>0</v>
      </c>
      <c r="J2021" s="16">
        <f>_xlfn.XLOOKUP(C2021,'Project Details'!$C$17:$C$66,'Project Details'!$H$17:$H$66,"",0)</f>
        <v>0</v>
      </c>
      <c r="K2021" s="33" t="str">
        <f>IF(AND(_xlfn.XLOOKUP(C2021,'Project Details'!$C$17:$C$66,'Project Details'!$L$17:$L$66,"",0)&gt;550, F2021="Spring-L27cm"),"",SUBSTITUTE(_xlfn.XLOOKUP(G2021,SKUs!$C$2:$C$10001,SKUs!$F$2:$F$10001,"",0), " Accessories",""))</f>
        <v/>
      </c>
      <c r="L2021" s="33">
        <f>_xlfn.XLOOKUP(C2021,'Project Details'!$C$17:$C$66,'Project Details'!$D$17:$D$66,"",0)</f>
        <v>0</v>
      </c>
      <c r="M2021" s="43"/>
    </row>
    <row r="2022" spans="1:13" x14ac:dyDescent="0.25">
      <c r="A2022" s="43"/>
      <c r="B2022" s="43"/>
      <c r="C2022" s="35">
        <f t="shared" si="39"/>
        <v>41</v>
      </c>
      <c r="D2022" s="35" t="str" cm="1">
        <f t="array" ref="D2022">IFERROR(ROUNDUP(_xlfn.IFS(F2022="Aluminum Track", _xlfn.XLOOKUP(C2022, dd_accsrycalc!$A$2:$A$51, dd_accsrycalc!$B$2:$B$51, "",0), F2022="10 x 2 1/2 S (Flat)", _xlfn.XLOOKUP(C2022, dd_accsrycalc!$A$2:$A$51, dd_accsrycalc!$C$2:$C$51, "",0), F2022="Tox6", _xlfn.XLOOKUP(C2022, dd_accsrycalc!$A$2:$A$51, dd_accsrycalc!$D$2:$D$51, "",0), F2022="Cover Cap", _xlfn.XLOOKUP(C2022, dd_accsrycalc!$A$2:$A$51, dd_accsrycalc!$E$2:$E$51, "",0), F2022="Drainage Cover", _xlfn.XLOOKUP(C2022, dd_accsrycalc!$A$2:$A$51, dd_accsrycalc!$F$2:$F$51, "",0),AND( F2022="Double Adhesive Tape", I2022="Roll-up Screen"), _xlfn.XLOOKUP(C2022, calc_rusacc!$C$15:$C$65, calc_rusacc!$AD$15:$AD$65, "",0),AND( F2022="Sealant", I2022="Roll-up Screen"), _xlfn.XLOOKUP(C2022, calc_rusacc!$C$15:$C$65, calc_rusacc!$AF$15:$AF$65, "",0),  AND( F2022="Main Chain", I2022="Accordion Screen"), _xlfn.XLOOKUP(C2022, calc_rusacc!$C$15:$C$65, calc_rusacc!$BF$15:$BF$65, "",0), AND( F2022="Sealant", I2022="Accordion Screen"), _xlfn.XLOOKUP(C2022, calc_rusacc!$C$15:$C$65, calc_rusacc!$BJ$15:$BJ$65, "",0),  F2022="Sealant", _xlfn.XLOOKUP(C2022, dd_accsrycalc!$A$2:$A$51, dd_accsrycalc!$G$2:$G$51, "",0),  F2022&lt;&gt;"",L2022*_xlfn.XLOOKUP(1, (SKUs!$C$2:$C$10001=G2022)*(SKUs!$K$2:$K$10001=I2022),SKUs!$E$2:$E$10001)), 0),"")</f>
        <v/>
      </c>
      <c r="E2022" s="35" t="str">
        <f>_xlfn.XLOOKUP(F2022,dd_item!$B$2:$B$105,dd_item!$C$2:$C$105,"",0)</f>
        <v/>
      </c>
      <c r="F2022" s="35"/>
      <c r="G2022" s="35" cm="1">
        <f t="array" ref="G2022">IFERROR(_xlfn.XLOOKUP(1, (SKUs!$J$2:$J$10001=accsry_unmerged!F2022)*IF(H2022&lt;&gt;"",(SKUs!$L$2:$L$10001=accsry_unmerged!H2022),1)*(SKUs!$K$2:$K$10001=I2022),SKUs!$C$2:$C$10001),"")</f>
        <v>0</v>
      </c>
      <c r="H2022" s="36" cm="1">
        <f t="array" ref="H2022">IFERROR(_xlfn.XLOOKUP(1, (dd_accsryclr!$C$2:$C$1000=accsry_unmerged!F2022)*(dd_accsryclr!$B$2:$B$1000=accsry_unmerged!J2022),dd_accsryclr!$A$2:$A$1000),"")</f>
        <v>0</v>
      </c>
      <c r="I2022" s="35">
        <f>_xlfn.XLOOKUP(C2022,'Project Details'!$C$17:$C$66,'Project Details'!$E$17:$E$66,"",0)</f>
        <v>0</v>
      </c>
      <c r="J2022" s="35">
        <f>_xlfn.XLOOKUP(C2022,'Project Details'!$C$17:$C$66,'Project Details'!$H$17:$H$66,"",0)</f>
        <v>0</v>
      </c>
      <c r="K2022" s="36" t="str">
        <f>IF(AND(_xlfn.XLOOKUP(C2022,'Project Details'!$C$17:$C$66,'Project Details'!$L$17:$L$66,"",0)&gt;550, F2022="Spring-L27cm"),"",SUBSTITUTE(_xlfn.XLOOKUP(G2022,SKUs!$C$2:$C$10001,SKUs!$F$2:$F$10001,"",0), " Accessories",""))</f>
        <v/>
      </c>
      <c r="L2022" s="36">
        <f>_xlfn.XLOOKUP(C2022,'Project Details'!$C$17:$C$66,'Project Details'!$D$17:$D$66,"",0)</f>
        <v>0</v>
      </c>
      <c r="M2022" s="43"/>
    </row>
    <row r="2023" spans="1:13" x14ac:dyDescent="0.25">
      <c r="A2023" s="43"/>
      <c r="B2023" s="43"/>
      <c r="C2023" s="16">
        <f t="shared" si="39"/>
        <v>41</v>
      </c>
      <c r="D2023" s="16" t="str" cm="1">
        <f t="array" ref="D2023">IFERROR(ROUNDUP(_xlfn.IFS(F2023="Aluminum Track", _xlfn.XLOOKUP(C2023, dd_accsrycalc!$A$2:$A$51, dd_accsrycalc!$B$2:$B$51, "",0), F2023="10 x 2 1/2 S (Flat)", _xlfn.XLOOKUP(C2023, dd_accsrycalc!$A$2:$A$51, dd_accsrycalc!$C$2:$C$51, "",0), F2023="Tox6", _xlfn.XLOOKUP(C2023, dd_accsrycalc!$A$2:$A$51, dd_accsrycalc!$D$2:$D$51, "",0), F2023="Cover Cap", _xlfn.XLOOKUP(C2023, dd_accsrycalc!$A$2:$A$51, dd_accsrycalc!$E$2:$E$51, "",0), F2023="Drainage Cover", _xlfn.XLOOKUP(C2023, dd_accsrycalc!$A$2:$A$51, dd_accsrycalc!$F$2:$F$51, "",0),AND( F2023="Double Adhesive Tape", I2023="Roll-up Screen"), _xlfn.XLOOKUP(C2023, calc_rusacc!$C$15:$C$65, calc_rusacc!$AD$15:$AD$65, "",0),AND( F2023="Sealant", I2023="Roll-up Screen"), _xlfn.XLOOKUP(C2023, calc_rusacc!$C$15:$C$65, calc_rusacc!$AF$15:$AF$65, "",0),  AND( F2023="Main Chain", I2023="Accordion Screen"), _xlfn.XLOOKUP(C2023, calc_rusacc!$C$15:$C$65, calc_rusacc!$BF$15:$BF$65, "",0), AND( F2023="Sealant", I2023="Accordion Screen"), _xlfn.XLOOKUP(C2023, calc_rusacc!$C$15:$C$65, calc_rusacc!$BJ$15:$BJ$65, "",0),  F2023="Sealant", _xlfn.XLOOKUP(C2023, dd_accsrycalc!$A$2:$A$51, dd_accsrycalc!$G$2:$G$51, "",0),  F2023&lt;&gt;"",L2023*_xlfn.XLOOKUP(1, (SKUs!$C$2:$C$10001=G2023)*(SKUs!$K$2:$K$10001=I2023),SKUs!$E$2:$E$10001)), 0),"")</f>
        <v/>
      </c>
      <c r="E2023" s="16" t="str">
        <f>_xlfn.XLOOKUP(F2023,dd_item!$B$2:$B$105,dd_item!$C$2:$C$105,"",0)</f>
        <v/>
      </c>
      <c r="F2023" s="16"/>
      <c r="G2023" s="16" cm="1">
        <f t="array" ref="G2023">IFERROR(_xlfn.XLOOKUP(1, (SKUs!$J$2:$J$10001=accsry_unmerged!F2023)*IF(H2023&lt;&gt;"",(SKUs!$L$2:$L$10001=accsry_unmerged!H2023),1)*(SKUs!$K$2:$K$10001=I2023),SKUs!$C$2:$C$10001),"")</f>
        <v>0</v>
      </c>
      <c r="H2023" s="33" cm="1">
        <f t="array" ref="H2023">IFERROR(_xlfn.XLOOKUP(1, (dd_accsryclr!$C$2:$C$1000=accsry_unmerged!F2023)*(dd_accsryclr!$B$2:$B$1000=accsry_unmerged!J2023),dd_accsryclr!$A$2:$A$1000),"")</f>
        <v>0</v>
      </c>
      <c r="I2023" s="16">
        <f>_xlfn.XLOOKUP(C2023,'Project Details'!$C$17:$C$66,'Project Details'!$E$17:$E$66,"",0)</f>
        <v>0</v>
      </c>
      <c r="J2023" s="16">
        <f>_xlfn.XLOOKUP(C2023,'Project Details'!$C$17:$C$66,'Project Details'!$H$17:$H$66,"",0)</f>
        <v>0</v>
      </c>
      <c r="K2023" s="33" t="str">
        <f>IF(AND(_xlfn.XLOOKUP(C2023,'Project Details'!$C$17:$C$66,'Project Details'!$L$17:$L$66,"",0)&gt;550, F2023="Spring-L27cm"),"",SUBSTITUTE(_xlfn.XLOOKUP(G2023,SKUs!$C$2:$C$10001,SKUs!$F$2:$F$10001,"",0), " Accessories",""))</f>
        <v/>
      </c>
      <c r="L2023" s="33">
        <f>_xlfn.XLOOKUP(C2023,'Project Details'!$C$17:$C$66,'Project Details'!$D$17:$D$66,"",0)</f>
        <v>0</v>
      </c>
      <c r="M2023" s="43"/>
    </row>
    <row r="2024" spans="1:13" x14ac:dyDescent="0.25">
      <c r="A2024" s="43"/>
      <c r="B2024" s="43"/>
      <c r="C2024" s="35">
        <f t="shared" si="39"/>
        <v>41</v>
      </c>
      <c r="D2024" s="35" t="str" cm="1">
        <f t="array" ref="D2024">IFERROR(ROUNDUP(_xlfn.IFS(F2024="Aluminum Track", _xlfn.XLOOKUP(C2024, dd_accsrycalc!$A$2:$A$51, dd_accsrycalc!$B$2:$B$51, "",0), F2024="10 x 2 1/2 S (Flat)", _xlfn.XLOOKUP(C2024, dd_accsrycalc!$A$2:$A$51, dd_accsrycalc!$C$2:$C$51, "",0), F2024="Tox6", _xlfn.XLOOKUP(C2024, dd_accsrycalc!$A$2:$A$51, dd_accsrycalc!$D$2:$D$51, "",0), F2024="Cover Cap", _xlfn.XLOOKUP(C2024, dd_accsrycalc!$A$2:$A$51, dd_accsrycalc!$E$2:$E$51, "",0), F2024="Drainage Cover", _xlfn.XLOOKUP(C2024, dd_accsrycalc!$A$2:$A$51, dd_accsrycalc!$F$2:$F$51, "",0),AND( F2024="Double Adhesive Tape", I2024="Roll-up Screen"), _xlfn.XLOOKUP(C2024, calc_rusacc!$C$15:$C$65, calc_rusacc!$AD$15:$AD$65, "",0),AND( F2024="Sealant", I2024="Roll-up Screen"), _xlfn.XLOOKUP(C2024, calc_rusacc!$C$15:$C$65, calc_rusacc!$AF$15:$AF$65, "",0),  AND( F2024="Main Chain", I2024="Accordion Screen"), _xlfn.XLOOKUP(C2024, calc_rusacc!$C$15:$C$65, calc_rusacc!$BF$15:$BF$65, "",0), AND( F2024="Sealant", I2024="Accordion Screen"), _xlfn.XLOOKUP(C2024, calc_rusacc!$C$15:$C$65, calc_rusacc!$BJ$15:$BJ$65, "",0),  F2024="Sealant", _xlfn.XLOOKUP(C2024, dd_accsrycalc!$A$2:$A$51, dd_accsrycalc!$G$2:$G$51, "",0),  F2024&lt;&gt;"",L2024*_xlfn.XLOOKUP(1, (SKUs!$C$2:$C$10001=G2024)*(SKUs!$K$2:$K$10001=I2024),SKUs!$E$2:$E$10001)), 0),"")</f>
        <v/>
      </c>
      <c r="E2024" s="35" t="str">
        <f>_xlfn.XLOOKUP(F2024,dd_item!$B$2:$B$105,dd_item!$C$2:$C$105,"",0)</f>
        <v/>
      </c>
      <c r="F2024" s="35"/>
      <c r="G2024" s="35" cm="1">
        <f t="array" ref="G2024">IFERROR(_xlfn.XLOOKUP(1, (SKUs!$J$2:$J$10001=accsry_unmerged!F2024)*IF(H2024&lt;&gt;"",(SKUs!$L$2:$L$10001=accsry_unmerged!H2024),1)*(SKUs!$K$2:$K$10001=I2024),SKUs!$C$2:$C$10001),"")</f>
        <v>0</v>
      </c>
      <c r="H2024" s="36" cm="1">
        <f t="array" ref="H2024">IFERROR(_xlfn.XLOOKUP(1, (dd_accsryclr!$C$2:$C$1000=accsry_unmerged!F2024)*(dd_accsryclr!$B$2:$B$1000=accsry_unmerged!J2024),dd_accsryclr!$A$2:$A$1000),"")</f>
        <v>0</v>
      </c>
      <c r="I2024" s="35">
        <f>_xlfn.XLOOKUP(C2024,'Project Details'!$C$17:$C$66,'Project Details'!$E$17:$E$66,"",0)</f>
        <v>0</v>
      </c>
      <c r="J2024" s="35">
        <f>_xlfn.XLOOKUP(C2024,'Project Details'!$C$17:$C$66,'Project Details'!$H$17:$H$66,"",0)</f>
        <v>0</v>
      </c>
      <c r="K2024" s="36" t="str">
        <f>IF(AND(_xlfn.XLOOKUP(C2024,'Project Details'!$C$17:$C$66,'Project Details'!$L$17:$L$66,"",0)&gt;550, F2024="Spring-L27cm"),"",SUBSTITUTE(_xlfn.XLOOKUP(G2024,SKUs!$C$2:$C$10001,SKUs!$F$2:$F$10001,"",0), " Accessories",""))</f>
        <v/>
      </c>
      <c r="L2024" s="36">
        <f>_xlfn.XLOOKUP(C2024,'Project Details'!$C$17:$C$66,'Project Details'!$D$17:$D$66,"",0)</f>
        <v>0</v>
      </c>
      <c r="M2024" s="43"/>
    </row>
    <row r="2025" spans="1:13" x14ac:dyDescent="0.25">
      <c r="A2025" s="43"/>
      <c r="B2025" s="43"/>
      <c r="C2025" s="16">
        <f t="shared" si="39"/>
        <v>41</v>
      </c>
      <c r="D2025" s="16" t="str" cm="1">
        <f t="array" ref="D2025">IFERROR(ROUNDUP(_xlfn.IFS(F2025="Aluminum Track", _xlfn.XLOOKUP(C2025, dd_accsrycalc!$A$2:$A$51, dd_accsrycalc!$B$2:$B$51, "",0), F2025="10 x 2 1/2 S (Flat)", _xlfn.XLOOKUP(C2025, dd_accsrycalc!$A$2:$A$51, dd_accsrycalc!$C$2:$C$51, "",0), F2025="Tox6", _xlfn.XLOOKUP(C2025, dd_accsrycalc!$A$2:$A$51, dd_accsrycalc!$D$2:$D$51, "",0), F2025="Cover Cap", _xlfn.XLOOKUP(C2025, dd_accsrycalc!$A$2:$A$51, dd_accsrycalc!$E$2:$E$51, "",0), F2025="Drainage Cover", _xlfn.XLOOKUP(C2025, dd_accsrycalc!$A$2:$A$51, dd_accsrycalc!$F$2:$F$51, "",0),AND( F2025="Double Adhesive Tape", I2025="Roll-up Screen"), _xlfn.XLOOKUP(C2025, calc_rusacc!$C$15:$C$65, calc_rusacc!$AD$15:$AD$65, "",0),AND( F2025="Sealant", I2025="Roll-up Screen"), _xlfn.XLOOKUP(C2025, calc_rusacc!$C$15:$C$65, calc_rusacc!$AF$15:$AF$65, "",0),  AND( F2025="Main Chain", I2025="Accordion Screen"), _xlfn.XLOOKUP(C2025, calc_rusacc!$C$15:$C$65, calc_rusacc!$BF$15:$BF$65, "",0), AND( F2025="Sealant", I2025="Accordion Screen"), _xlfn.XLOOKUP(C2025, calc_rusacc!$C$15:$C$65, calc_rusacc!$BJ$15:$BJ$65, "",0),  F2025="Sealant", _xlfn.XLOOKUP(C2025, dd_accsrycalc!$A$2:$A$51, dd_accsrycalc!$G$2:$G$51, "",0),  F2025&lt;&gt;"",L2025*_xlfn.XLOOKUP(1, (SKUs!$C$2:$C$10001=G2025)*(SKUs!$K$2:$K$10001=I2025),SKUs!$E$2:$E$10001)), 0),"")</f>
        <v/>
      </c>
      <c r="E2025" s="16" t="str">
        <f>_xlfn.XLOOKUP(F2025,dd_item!$B$2:$B$105,dd_item!$C$2:$C$105,"",0)</f>
        <v/>
      </c>
      <c r="F2025" s="16"/>
      <c r="G2025" s="16" cm="1">
        <f t="array" ref="G2025">IFERROR(_xlfn.XLOOKUP(1, (SKUs!$J$2:$J$10001=accsry_unmerged!F2025)*IF(H2025&lt;&gt;"",(SKUs!$L$2:$L$10001=accsry_unmerged!H2025),1)*(SKUs!$K$2:$K$10001=I2025),SKUs!$C$2:$C$10001),"")</f>
        <v>0</v>
      </c>
      <c r="H2025" s="33" cm="1">
        <f t="array" ref="H2025">IFERROR(_xlfn.XLOOKUP(1, (dd_accsryclr!$C$2:$C$1000=accsry_unmerged!F2025)*(dd_accsryclr!$B$2:$B$1000=accsry_unmerged!J2025),dd_accsryclr!$A$2:$A$1000),"")</f>
        <v>0</v>
      </c>
      <c r="I2025" s="16">
        <f>_xlfn.XLOOKUP(C2025,'Project Details'!$C$17:$C$66,'Project Details'!$E$17:$E$66,"",0)</f>
        <v>0</v>
      </c>
      <c r="J2025" s="16">
        <f>_xlfn.XLOOKUP(C2025,'Project Details'!$C$17:$C$66,'Project Details'!$H$17:$H$66,"",0)</f>
        <v>0</v>
      </c>
      <c r="K2025" s="33" t="str">
        <f>IF(AND(_xlfn.XLOOKUP(C2025,'Project Details'!$C$17:$C$66,'Project Details'!$L$17:$L$66,"",0)&gt;550, F2025="Spring-L27cm"),"",SUBSTITUTE(_xlfn.XLOOKUP(G2025,SKUs!$C$2:$C$10001,SKUs!$F$2:$F$10001,"",0), " Accessories",""))</f>
        <v/>
      </c>
      <c r="L2025" s="33">
        <f>_xlfn.XLOOKUP(C2025,'Project Details'!$C$17:$C$66,'Project Details'!$D$17:$D$66,"",0)</f>
        <v>0</v>
      </c>
      <c r="M2025" s="43"/>
    </row>
    <row r="2026" spans="1:13" x14ac:dyDescent="0.25">
      <c r="A2026" s="43"/>
      <c r="B2026" s="43"/>
      <c r="C2026" s="35">
        <f t="shared" si="39"/>
        <v>41</v>
      </c>
      <c r="D2026" s="35" t="str" cm="1">
        <f t="array" ref="D2026">IFERROR(ROUNDUP(_xlfn.IFS(F2026="Aluminum Track", _xlfn.XLOOKUP(C2026, dd_accsrycalc!$A$2:$A$51, dd_accsrycalc!$B$2:$B$51, "",0), F2026="10 x 2 1/2 S (Flat)", _xlfn.XLOOKUP(C2026, dd_accsrycalc!$A$2:$A$51, dd_accsrycalc!$C$2:$C$51, "",0), F2026="Tox6", _xlfn.XLOOKUP(C2026, dd_accsrycalc!$A$2:$A$51, dd_accsrycalc!$D$2:$D$51, "",0), F2026="Cover Cap", _xlfn.XLOOKUP(C2026, dd_accsrycalc!$A$2:$A$51, dd_accsrycalc!$E$2:$E$51, "",0), F2026="Drainage Cover", _xlfn.XLOOKUP(C2026, dd_accsrycalc!$A$2:$A$51, dd_accsrycalc!$F$2:$F$51, "",0),AND( F2026="Double Adhesive Tape", I2026="Roll-up Screen"), _xlfn.XLOOKUP(C2026, calc_rusacc!$C$15:$C$65, calc_rusacc!$AD$15:$AD$65, "",0),AND( F2026="Sealant", I2026="Roll-up Screen"), _xlfn.XLOOKUP(C2026, calc_rusacc!$C$15:$C$65, calc_rusacc!$AF$15:$AF$65, "",0),  AND( F2026="Main Chain", I2026="Accordion Screen"), _xlfn.XLOOKUP(C2026, calc_rusacc!$C$15:$C$65, calc_rusacc!$BF$15:$BF$65, "",0), AND( F2026="Sealant", I2026="Accordion Screen"), _xlfn.XLOOKUP(C2026, calc_rusacc!$C$15:$C$65, calc_rusacc!$BJ$15:$BJ$65, "",0),  F2026="Sealant", _xlfn.XLOOKUP(C2026, dd_accsrycalc!$A$2:$A$51, dd_accsrycalc!$G$2:$G$51, "",0),  F2026&lt;&gt;"",L2026*_xlfn.XLOOKUP(1, (SKUs!$C$2:$C$10001=G2026)*(SKUs!$K$2:$K$10001=I2026),SKUs!$E$2:$E$10001)), 0),"")</f>
        <v/>
      </c>
      <c r="E2026" s="35" t="str">
        <f>_xlfn.XLOOKUP(F2026,dd_item!$B$2:$B$105,dd_item!$C$2:$C$105,"",0)</f>
        <v/>
      </c>
      <c r="F2026" s="35"/>
      <c r="G2026" s="35" cm="1">
        <f t="array" ref="G2026">IFERROR(_xlfn.XLOOKUP(1, (SKUs!$J$2:$J$10001=accsry_unmerged!F2026)*IF(H2026&lt;&gt;"",(SKUs!$L$2:$L$10001=accsry_unmerged!H2026),1)*(SKUs!$K$2:$K$10001=I2026),SKUs!$C$2:$C$10001),"")</f>
        <v>0</v>
      </c>
      <c r="H2026" s="36" cm="1">
        <f t="array" ref="H2026">IFERROR(_xlfn.XLOOKUP(1, (dd_accsryclr!$C$2:$C$1000=accsry_unmerged!F2026)*(dd_accsryclr!$B$2:$B$1000=accsry_unmerged!J2026),dd_accsryclr!$A$2:$A$1000),"")</f>
        <v>0</v>
      </c>
      <c r="I2026" s="35">
        <f>_xlfn.XLOOKUP(C2026,'Project Details'!$C$17:$C$66,'Project Details'!$E$17:$E$66,"",0)</f>
        <v>0</v>
      </c>
      <c r="J2026" s="35">
        <f>_xlfn.XLOOKUP(C2026,'Project Details'!$C$17:$C$66,'Project Details'!$H$17:$H$66,"",0)</f>
        <v>0</v>
      </c>
      <c r="K2026" s="36" t="str">
        <f>IF(AND(_xlfn.XLOOKUP(C2026,'Project Details'!$C$17:$C$66,'Project Details'!$L$17:$L$66,"",0)&gt;550, F2026="Spring-L27cm"),"",SUBSTITUTE(_xlfn.XLOOKUP(G2026,SKUs!$C$2:$C$10001,SKUs!$F$2:$F$10001,"",0), " Accessories",""))</f>
        <v/>
      </c>
      <c r="L2026" s="36">
        <f>_xlfn.XLOOKUP(C2026,'Project Details'!$C$17:$C$66,'Project Details'!$D$17:$D$66,"",0)</f>
        <v>0</v>
      </c>
      <c r="M2026" s="43"/>
    </row>
    <row r="2027" spans="1:13" x14ac:dyDescent="0.25">
      <c r="A2027" s="43"/>
      <c r="B2027" s="43"/>
      <c r="C2027" s="16">
        <f t="shared" si="39"/>
        <v>41</v>
      </c>
      <c r="D2027" s="16" t="str" cm="1">
        <f t="array" ref="D2027">IFERROR(ROUNDUP(_xlfn.IFS(F2027="Aluminum Track", _xlfn.XLOOKUP(C2027, dd_accsrycalc!$A$2:$A$51, dd_accsrycalc!$B$2:$B$51, "",0), F2027="10 x 2 1/2 S (Flat)", _xlfn.XLOOKUP(C2027, dd_accsrycalc!$A$2:$A$51, dd_accsrycalc!$C$2:$C$51, "",0), F2027="Tox6", _xlfn.XLOOKUP(C2027, dd_accsrycalc!$A$2:$A$51, dd_accsrycalc!$D$2:$D$51, "",0), F2027="Cover Cap", _xlfn.XLOOKUP(C2027, dd_accsrycalc!$A$2:$A$51, dd_accsrycalc!$E$2:$E$51, "",0), F2027="Drainage Cover", _xlfn.XLOOKUP(C2027, dd_accsrycalc!$A$2:$A$51, dd_accsrycalc!$F$2:$F$51, "",0),AND( F2027="Double Adhesive Tape", I2027="Roll-up Screen"), _xlfn.XLOOKUP(C2027, calc_rusacc!$C$15:$C$65, calc_rusacc!$AD$15:$AD$65, "",0),AND( F2027="Sealant", I2027="Roll-up Screen"), _xlfn.XLOOKUP(C2027, calc_rusacc!$C$15:$C$65, calc_rusacc!$AF$15:$AF$65, "",0),  AND( F2027="Main Chain", I2027="Accordion Screen"), _xlfn.XLOOKUP(C2027, calc_rusacc!$C$15:$C$65, calc_rusacc!$BF$15:$BF$65, "",0), AND( F2027="Sealant", I2027="Accordion Screen"), _xlfn.XLOOKUP(C2027, calc_rusacc!$C$15:$C$65, calc_rusacc!$BJ$15:$BJ$65, "",0),  F2027="Sealant", _xlfn.XLOOKUP(C2027, dd_accsrycalc!$A$2:$A$51, dd_accsrycalc!$G$2:$G$51, "",0),  F2027&lt;&gt;"",L2027*_xlfn.XLOOKUP(1, (SKUs!$C$2:$C$10001=G2027)*(SKUs!$K$2:$K$10001=I2027),SKUs!$E$2:$E$10001)), 0),"")</f>
        <v/>
      </c>
      <c r="E2027" s="16" t="str">
        <f>_xlfn.XLOOKUP(F2027,dd_item!$B$2:$B$105,dd_item!$C$2:$C$105,"",0)</f>
        <v/>
      </c>
      <c r="F2027" s="16"/>
      <c r="G2027" s="16" cm="1">
        <f t="array" ref="G2027">IFERROR(_xlfn.XLOOKUP(1, (SKUs!$J$2:$J$10001=accsry_unmerged!F2027)*IF(H2027&lt;&gt;"",(SKUs!$L$2:$L$10001=accsry_unmerged!H2027),1)*(SKUs!$K$2:$K$10001=I2027),SKUs!$C$2:$C$10001),"")</f>
        <v>0</v>
      </c>
      <c r="H2027" s="33" cm="1">
        <f t="array" ref="H2027">IFERROR(_xlfn.XLOOKUP(1, (dd_accsryclr!$C$2:$C$1000=accsry_unmerged!F2027)*(dd_accsryclr!$B$2:$B$1000=accsry_unmerged!J2027),dd_accsryclr!$A$2:$A$1000),"")</f>
        <v>0</v>
      </c>
      <c r="I2027" s="16">
        <f>_xlfn.XLOOKUP(C2027,'Project Details'!$C$17:$C$66,'Project Details'!$E$17:$E$66,"",0)</f>
        <v>0</v>
      </c>
      <c r="J2027" s="16">
        <f>_xlfn.XLOOKUP(C2027,'Project Details'!$C$17:$C$66,'Project Details'!$H$17:$H$66,"",0)</f>
        <v>0</v>
      </c>
      <c r="K2027" s="33" t="str">
        <f>IF(AND(_xlfn.XLOOKUP(C2027,'Project Details'!$C$17:$C$66,'Project Details'!$L$17:$L$66,"",0)&gt;550, F2027="Spring-L27cm"),"",SUBSTITUTE(_xlfn.XLOOKUP(G2027,SKUs!$C$2:$C$10001,SKUs!$F$2:$F$10001,"",0), " Accessories",""))</f>
        <v/>
      </c>
      <c r="L2027" s="33">
        <f>_xlfn.XLOOKUP(C2027,'Project Details'!$C$17:$C$66,'Project Details'!$D$17:$D$66,"",0)</f>
        <v>0</v>
      </c>
      <c r="M2027" s="43"/>
    </row>
    <row r="2028" spans="1:13" x14ac:dyDescent="0.25">
      <c r="A2028" s="43"/>
      <c r="B2028" s="43"/>
      <c r="C2028" s="35">
        <f t="shared" si="39"/>
        <v>41</v>
      </c>
      <c r="D2028" s="35" t="str" cm="1">
        <f t="array" ref="D2028">IFERROR(ROUNDUP(_xlfn.IFS(F2028="Aluminum Track", _xlfn.XLOOKUP(C2028, dd_accsrycalc!$A$2:$A$51, dd_accsrycalc!$B$2:$B$51, "",0), F2028="10 x 2 1/2 S (Flat)", _xlfn.XLOOKUP(C2028, dd_accsrycalc!$A$2:$A$51, dd_accsrycalc!$C$2:$C$51, "",0), F2028="Tox6", _xlfn.XLOOKUP(C2028, dd_accsrycalc!$A$2:$A$51, dd_accsrycalc!$D$2:$D$51, "",0), F2028="Cover Cap", _xlfn.XLOOKUP(C2028, dd_accsrycalc!$A$2:$A$51, dd_accsrycalc!$E$2:$E$51, "",0), F2028="Drainage Cover", _xlfn.XLOOKUP(C2028, dd_accsrycalc!$A$2:$A$51, dd_accsrycalc!$F$2:$F$51, "",0),AND( F2028="Double Adhesive Tape", I2028="Roll-up Screen"), _xlfn.XLOOKUP(C2028, calc_rusacc!$C$15:$C$65, calc_rusacc!$AD$15:$AD$65, "",0),AND( F2028="Sealant", I2028="Roll-up Screen"), _xlfn.XLOOKUP(C2028, calc_rusacc!$C$15:$C$65, calc_rusacc!$AF$15:$AF$65, "",0),  AND( F2028="Main Chain", I2028="Accordion Screen"), _xlfn.XLOOKUP(C2028, calc_rusacc!$C$15:$C$65, calc_rusacc!$BF$15:$BF$65, "",0), AND( F2028="Sealant", I2028="Accordion Screen"), _xlfn.XLOOKUP(C2028, calc_rusacc!$C$15:$C$65, calc_rusacc!$BJ$15:$BJ$65, "",0),  F2028="Sealant", _xlfn.XLOOKUP(C2028, dd_accsrycalc!$A$2:$A$51, dd_accsrycalc!$G$2:$G$51, "",0),  F2028&lt;&gt;"",L2028*_xlfn.XLOOKUP(1, (SKUs!$C$2:$C$10001=G2028)*(SKUs!$K$2:$K$10001=I2028),SKUs!$E$2:$E$10001)), 0),"")</f>
        <v/>
      </c>
      <c r="E2028" s="35" t="str">
        <f>_xlfn.XLOOKUP(F2028,dd_item!$B$2:$B$105,dd_item!$C$2:$C$105,"",0)</f>
        <v/>
      </c>
      <c r="F2028" s="35"/>
      <c r="G2028" s="35" cm="1">
        <f t="array" ref="G2028">IFERROR(_xlfn.XLOOKUP(1, (SKUs!$J$2:$J$10001=accsry_unmerged!F2028)*IF(H2028&lt;&gt;"",(SKUs!$L$2:$L$10001=accsry_unmerged!H2028),1)*(SKUs!$K$2:$K$10001=I2028),SKUs!$C$2:$C$10001),"")</f>
        <v>0</v>
      </c>
      <c r="H2028" s="36" cm="1">
        <f t="array" ref="H2028">IFERROR(_xlfn.XLOOKUP(1, (dd_accsryclr!$C$2:$C$1000=accsry_unmerged!F2028)*(dd_accsryclr!$B$2:$B$1000=accsry_unmerged!J2028),dd_accsryclr!$A$2:$A$1000),"")</f>
        <v>0</v>
      </c>
      <c r="I2028" s="35">
        <f>_xlfn.XLOOKUP(C2028,'Project Details'!$C$17:$C$66,'Project Details'!$E$17:$E$66,"",0)</f>
        <v>0</v>
      </c>
      <c r="J2028" s="35">
        <f>_xlfn.XLOOKUP(C2028,'Project Details'!$C$17:$C$66,'Project Details'!$H$17:$H$66,"",0)</f>
        <v>0</v>
      </c>
      <c r="K2028" s="36" t="str">
        <f>IF(AND(_xlfn.XLOOKUP(C2028,'Project Details'!$C$17:$C$66,'Project Details'!$L$17:$L$66,"",0)&gt;550, F2028="Spring-L27cm"),"",SUBSTITUTE(_xlfn.XLOOKUP(G2028,SKUs!$C$2:$C$10001,SKUs!$F$2:$F$10001,"",0), " Accessories",""))</f>
        <v/>
      </c>
      <c r="L2028" s="36">
        <f>_xlfn.XLOOKUP(C2028,'Project Details'!$C$17:$C$66,'Project Details'!$D$17:$D$66,"",0)</f>
        <v>0</v>
      </c>
      <c r="M2028" s="43"/>
    </row>
    <row r="2029" spans="1:13" x14ac:dyDescent="0.25">
      <c r="A2029" s="43"/>
      <c r="B2029" s="43"/>
      <c r="C2029" s="16">
        <f t="shared" si="39"/>
        <v>41</v>
      </c>
      <c r="D2029" s="16" t="str" cm="1">
        <f t="array" ref="D2029">IFERROR(ROUNDUP(_xlfn.IFS(F2029="Aluminum Track", _xlfn.XLOOKUP(C2029, dd_accsrycalc!$A$2:$A$51, dd_accsrycalc!$B$2:$B$51, "",0), F2029="10 x 2 1/2 S (Flat)", _xlfn.XLOOKUP(C2029, dd_accsrycalc!$A$2:$A$51, dd_accsrycalc!$C$2:$C$51, "",0), F2029="Tox6", _xlfn.XLOOKUP(C2029, dd_accsrycalc!$A$2:$A$51, dd_accsrycalc!$D$2:$D$51, "",0), F2029="Cover Cap", _xlfn.XLOOKUP(C2029, dd_accsrycalc!$A$2:$A$51, dd_accsrycalc!$E$2:$E$51, "",0), F2029="Drainage Cover", _xlfn.XLOOKUP(C2029, dd_accsrycalc!$A$2:$A$51, dd_accsrycalc!$F$2:$F$51, "",0),AND( F2029="Double Adhesive Tape", I2029="Roll-up Screen"), _xlfn.XLOOKUP(C2029, calc_rusacc!$C$15:$C$65, calc_rusacc!$AD$15:$AD$65, "",0),AND( F2029="Sealant", I2029="Roll-up Screen"), _xlfn.XLOOKUP(C2029, calc_rusacc!$C$15:$C$65, calc_rusacc!$AF$15:$AF$65, "",0),  AND( F2029="Main Chain", I2029="Accordion Screen"), _xlfn.XLOOKUP(C2029, calc_rusacc!$C$15:$C$65, calc_rusacc!$BF$15:$BF$65, "",0), AND( F2029="Sealant", I2029="Accordion Screen"), _xlfn.XLOOKUP(C2029, calc_rusacc!$C$15:$C$65, calc_rusacc!$BJ$15:$BJ$65, "",0),  F2029="Sealant", _xlfn.XLOOKUP(C2029, dd_accsrycalc!$A$2:$A$51, dd_accsrycalc!$G$2:$G$51, "",0),  F2029&lt;&gt;"",L2029*_xlfn.XLOOKUP(1, (SKUs!$C$2:$C$10001=G2029)*(SKUs!$K$2:$K$10001=I2029),SKUs!$E$2:$E$10001)), 0),"")</f>
        <v/>
      </c>
      <c r="E2029" s="16" t="str">
        <f>_xlfn.XLOOKUP(F2029,dd_item!$B$2:$B$105,dd_item!$C$2:$C$105,"",0)</f>
        <v/>
      </c>
      <c r="F2029" s="16"/>
      <c r="G2029" s="16" cm="1">
        <f t="array" ref="G2029">IFERROR(_xlfn.XLOOKUP(1, (SKUs!$J$2:$J$10001=accsry_unmerged!F2029)*IF(H2029&lt;&gt;"",(SKUs!$L$2:$L$10001=accsry_unmerged!H2029),1)*(SKUs!$K$2:$K$10001=I2029),SKUs!$C$2:$C$10001),"")</f>
        <v>0</v>
      </c>
      <c r="H2029" s="33" cm="1">
        <f t="array" ref="H2029">IFERROR(_xlfn.XLOOKUP(1, (dd_accsryclr!$C$2:$C$1000=accsry_unmerged!F2029)*(dd_accsryclr!$B$2:$B$1000=accsry_unmerged!J2029),dd_accsryclr!$A$2:$A$1000),"")</f>
        <v>0</v>
      </c>
      <c r="I2029" s="16">
        <f>_xlfn.XLOOKUP(C2029,'Project Details'!$C$17:$C$66,'Project Details'!$E$17:$E$66,"",0)</f>
        <v>0</v>
      </c>
      <c r="J2029" s="16">
        <f>_xlfn.XLOOKUP(C2029,'Project Details'!$C$17:$C$66,'Project Details'!$H$17:$H$66,"",0)</f>
        <v>0</v>
      </c>
      <c r="K2029" s="33" t="str">
        <f>IF(AND(_xlfn.XLOOKUP(C2029,'Project Details'!$C$17:$C$66,'Project Details'!$L$17:$L$66,"",0)&gt;550, F2029="Spring-L27cm"),"",SUBSTITUTE(_xlfn.XLOOKUP(G2029,SKUs!$C$2:$C$10001,SKUs!$F$2:$F$10001,"",0), " Accessories",""))</f>
        <v/>
      </c>
      <c r="L2029" s="33">
        <f>_xlfn.XLOOKUP(C2029,'Project Details'!$C$17:$C$66,'Project Details'!$D$17:$D$66,"",0)</f>
        <v>0</v>
      </c>
      <c r="M2029" s="43"/>
    </row>
    <row r="2030" spans="1:13" x14ac:dyDescent="0.25">
      <c r="A2030" s="43"/>
      <c r="B2030" s="43"/>
      <c r="C2030" s="35">
        <f t="shared" si="39"/>
        <v>41</v>
      </c>
      <c r="D2030" s="35" t="str" cm="1">
        <f t="array" ref="D2030">IFERROR(ROUNDUP(_xlfn.IFS(F2030="Aluminum Track", _xlfn.XLOOKUP(C2030, dd_accsrycalc!$A$2:$A$51, dd_accsrycalc!$B$2:$B$51, "",0), F2030="10 x 2 1/2 S (Flat)", _xlfn.XLOOKUP(C2030, dd_accsrycalc!$A$2:$A$51, dd_accsrycalc!$C$2:$C$51, "",0), F2030="Tox6", _xlfn.XLOOKUP(C2030, dd_accsrycalc!$A$2:$A$51, dd_accsrycalc!$D$2:$D$51, "",0), F2030="Cover Cap", _xlfn.XLOOKUP(C2030, dd_accsrycalc!$A$2:$A$51, dd_accsrycalc!$E$2:$E$51, "",0), F2030="Drainage Cover", _xlfn.XLOOKUP(C2030, dd_accsrycalc!$A$2:$A$51, dd_accsrycalc!$F$2:$F$51, "",0),AND( F2030="Double Adhesive Tape", I2030="Roll-up Screen"), _xlfn.XLOOKUP(C2030, calc_rusacc!$C$15:$C$65, calc_rusacc!$AD$15:$AD$65, "",0),AND( F2030="Sealant", I2030="Roll-up Screen"), _xlfn.XLOOKUP(C2030, calc_rusacc!$C$15:$C$65, calc_rusacc!$AF$15:$AF$65, "",0),  AND( F2030="Main Chain", I2030="Accordion Screen"), _xlfn.XLOOKUP(C2030, calc_rusacc!$C$15:$C$65, calc_rusacc!$BF$15:$BF$65, "",0), AND( F2030="Sealant", I2030="Accordion Screen"), _xlfn.XLOOKUP(C2030, calc_rusacc!$C$15:$C$65, calc_rusacc!$BJ$15:$BJ$65, "",0),  F2030="Sealant", _xlfn.XLOOKUP(C2030, dd_accsrycalc!$A$2:$A$51, dd_accsrycalc!$G$2:$G$51, "",0),  F2030&lt;&gt;"",L2030*_xlfn.XLOOKUP(1, (SKUs!$C$2:$C$10001=G2030)*(SKUs!$K$2:$K$10001=I2030),SKUs!$E$2:$E$10001)), 0),"")</f>
        <v/>
      </c>
      <c r="E2030" s="35" t="str">
        <f>_xlfn.XLOOKUP(F2030,dd_item!$B$2:$B$105,dd_item!$C$2:$C$105,"",0)</f>
        <v/>
      </c>
      <c r="F2030" s="35"/>
      <c r="G2030" s="35" cm="1">
        <f t="array" ref="G2030">IFERROR(_xlfn.XLOOKUP(1, (SKUs!$J$2:$J$10001=accsry_unmerged!F2030)*IF(H2030&lt;&gt;"",(SKUs!$L$2:$L$10001=accsry_unmerged!H2030),1)*(SKUs!$K$2:$K$10001=I2030),SKUs!$C$2:$C$10001),"")</f>
        <v>0</v>
      </c>
      <c r="H2030" s="36" cm="1">
        <f t="array" ref="H2030">IFERROR(_xlfn.XLOOKUP(1, (dd_accsryclr!$C$2:$C$1000=accsry_unmerged!F2030)*(dd_accsryclr!$B$2:$B$1000=accsry_unmerged!J2030),dd_accsryclr!$A$2:$A$1000),"")</f>
        <v>0</v>
      </c>
      <c r="I2030" s="35">
        <f>_xlfn.XLOOKUP(C2030,'Project Details'!$C$17:$C$66,'Project Details'!$E$17:$E$66,"",0)</f>
        <v>0</v>
      </c>
      <c r="J2030" s="35">
        <f>_xlfn.XLOOKUP(C2030,'Project Details'!$C$17:$C$66,'Project Details'!$H$17:$H$66,"",0)</f>
        <v>0</v>
      </c>
      <c r="K2030" s="36" t="str">
        <f>IF(AND(_xlfn.XLOOKUP(C2030,'Project Details'!$C$17:$C$66,'Project Details'!$L$17:$L$66,"",0)&gt;550, F2030="Spring-L27cm"),"",SUBSTITUTE(_xlfn.XLOOKUP(G2030,SKUs!$C$2:$C$10001,SKUs!$F$2:$F$10001,"",0), " Accessories",""))</f>
        <v/>
      </c>
      <c r="L2030" s="36">
        <f>_xlfn.XLOOKUP(C2030,'Project Details'!$C$17:$C$66,'Project Details'!$D$17:$D$66,"",0)</f>
        <v>0</v>
      </c>
      <c r="M2030" s="43"/>
    </row>
    <row r="2031" spans="1:13" x14ac:dyDescent="0.25">
      <c r="A2031" s="43"/>
      <c r="B2031" s="43"/>
      <c r="C2031" s="16">
        <f t="shared" si="39"/>
        <v>41</v>
      </c>
      <c r="D2031" s="16" t="str" cm="1">
        <f t="array" ref="D2031">IFERROR(ROUNDUP(_xlfn.IFS(F2031="Aluminum Track", _xlfn.XLOOKUP(C2031, dd_accsrycalc!$A$2:$A$51, dd_accsrycalc!$B$2:$B$51, "",0), F2031="10 x 2 1/2 S (Flat)", _xlfn.XLOOKUP(C2031, dd_accsrycalc!$A$2:$A$51, dd_accsrycalc!$C$2:$C$51, "",0), F2031="Tox6", _xlfn.XLOOKUP(C2031, dd_accsrycalc!$A$2:$A$51, dd_accsrycalc!$D$2:$D$51, "",0), F2031="Cover Cap", _xlfn.XLOOKUP(C2031, dd_accsrycalc!$A$2:$A$51, dd_accsrycalc!$E$2:$E$51, "",0), F2031="Drainage Cover", _xlfn.XLOOKUP(C2031, dd_accsrycalc!$A$2:$A$51, dd_accsrycalc!$F$2:$F$51, "",0),AND( F2031="Double Adhesive Tape", I2031="Roll-up Screen"), _xlfn.XLOOKUP(C2031, calc_rusacc!$C$15:$C$65, calc_rusacc!$AD$15:$AD$65, "",0),AND( F2031="Sealant", I2031="Roll-up Screen"), _xlfn.XLOOKUP(C2031, calc_rusacc!$C$15:$C$65, calc_rusacc!$AF$15:$AF$65, "",0),  AND( F2031="Main Chain", I2031="Accordion Screen"), _xlfn.XLOOKUP(C2031, calc_rusacc!$C$15:$C$65, calc_rusacc!$BF$15:$BF$65, "",0), AND( F2031="Sealant", I2031="Accordion Screen"), _xlfn.XLOOKUP(C2031, calc_rusacc!$C$15:$C$65, calc_rusacc!$BJ$15:$BJ$65, "",0),  F2031="Sealant", _xlfn.XLOOKUP(C2031, dd_accsrycalc!$A$2:$A$51, dd_accsrycalc!$G$2:$G$51, "",0),  F2031&lt;&gt;"",L2031*_xlfn.XLOOKUP(1, (SKUs!$C$2:$C$10001=G2031)*(SKUs!$K$2:$K$10001=I2031),SKUs!$E$2:$E$10001)), 0),"")</f>
        <v/>
      </c>
      <c r="E2031" s="16" t="str">
        <f>_xlfn.XLOOKUP(F2031,dd_item!$B$2:$B$105,dd_item!$C$2:$C$105,"",0)</f>
        <v/>
      </c>
      <c r="F2031" s="16"/>
      <c r="G2031" s="16" cm="1">
        <f t="array" ref="G2031">IFERROR(_xlfn.XLOOKUP(1, (SKUs!$J$2:$J$10001=accsry_unmerged!F2031)*IF(H2031&lt;&gt;"",(SKUs!$L$2:$L$10001=accsry_unmerged!H2031),1)*(SKUs!$K$2:$K$10001=I2031),SKUs!$C$2:$C$10001),"")</f>
        <v>0</v>
      </c>
      <c r="H2031" s="33" cm="1">
        <f t="array" ref="H2031">IFERROR(_xlfn.XLOOKUP(1, (dd_accsryclr!$C$2:$C$1000=accsry_unmerged!F2031)*(dd_accsryclr!$B$2:$B$1000=accsry_unmerged!J2031),dd_accsryclr!$A$2:$A$1000),"")</f>
        <v>0</v>
      </c>
      <c r="I2031" s="16">
        <f>_xlfn.XLOOKUP(C2031,'Project Details'!$C$17:$C$66,'Project Details'!$E$17:$E$66,"",0)</f>
        <v>0</v>
      </c>
      <c r="J2031" s="16">
        <f>_xlfn.XLOOKUP(C2031,'Project Details'!$C$17:$C$66,'Project Details'!$H$17:$H$66,"",0)</f>
        <v>0</v>
      </c>
      <c r="K2031" s="33" t="str">
        <f>IF(AND(_xlfn.XLOOKUP(C2031,'Project Details'!$C$17:$C$66,'Project Details'!$L$17:$L$66,"",0)&gt;550, F2031="Spring-L27cm"),"",SUBSTITUTE(_xlfn.XLOOKUP(G2031,SKUs!$C$2:$C$10001,SKUs!$F$2:$F$10001,"",0), " Accessories",""))</f>
        <v/>
      </c>
      <c r="L2031" s="33">
        <f>_xlfn.XLOOKUP(C2031,'Project Details'!$C$17:$C$66,'Project Details'!$D$17:$D$66,"",0)</f>
        <v>0</v>
      </c>
      <c r="M2031" s="43"/>
    </row>
    <row r="2032" spans="1:13" x14ac:dyDescent="0.25">
      <c r="A2032" s="43"/>
      <c r="B2032" s="43"/>
      <c r="C2032" s="35">
        <f t="shared" si="39"/>
        <v>41</v>
      </c>
      <c r="D2032" s="35" t="str" cm="1">
        <f t="array" ref="D2032">IFERROR(ROUNDUP(_xlfn.IFS(F2032="Aluminum Track", _xlfn.XLOOKUP(C2032, dd_accsrycalc!$A$2:$A$51, dd_accsrycalc!$B$2:$B$51, "",0), F2032="10 x 2 1/2 S (Flat)", _xlfn.XLOOKUP(C2032, dd_accsrycalc!$A$2:$A$51, dd_accsrycalc!$C$2:$C$51, "",0), F2032="Tox6", _xlfn.XLOOKUP(C2032, dd_accsrycalc!$A$2:$A$51, dd_accsrycalc!$D$2:$D$51, "",0), F2032="Cover Cap", _xlfn.XLOOKUP(C2032, dd_accsrycalc!$A$2:$A$51, dd_accsrycalc!$E$2:$E$51, "",0), F2032="Drainage Cover", _xlfn.XLOOKUP(C2032, dd_accsrycalc!$A$2:$A$51, dd_accsrycalc!$F$2:$F$51, "",0),AND( F2032="Double Adhesive Tape", I2032="Roll-up Screen"), _xlfn.XLOOKUP(C2032, calc_rusacc!$C$15:$C$65, calc_rusacc!$AD$15:$AD$65, "",0),AND( F2032="Sealant", I2032="Roll-up Screen"), _xlfn.XLOOKUP(C2032, calc_rusacc!$C$15:$C$65, calc_rusacc!$AF$15:$AF$65, "",0),  AND( F2032="Main Chain", I2032="Accordion Screen"), _xlfn.XLOOKUP(C2032, calc_rusacc!$C$15:$C$65, calc_rusacc!$BF$15:$BF$65, "",0), AND( F2032="Sealant", I2032="Accordion Screen"), _xlfn.XLOOKUP(C2032, calc_rusacc!$C$15:$C$65, calc_rusacc!$BJ$15:$BJ$65, "",0),  F2032="Sealant", _xlfn.XLOOKUP(C2032, dd_accsrycalc!$A$2:$A$51, dd_accsrycalc!$G$2:$G$51, "",0),  F2032&lt;&gt;"",L2032*_xlfn.XLOOKUP(1, (SKUs!$C$2:$C$10001=G2032)*(SKUs!$K$2:$K$10001=I2032),SKUs!$E$2:$E$10001)), 0),"")</f>
        <v/>
      </c>
      <c r="E2032" s="35" t="str">
        <f>_xlfn.XLOOKUP(F2032,dd_item!$B$2:$B$105,dd_item!$C$2:$C$105,"",0)</f>
        <v/>
      </c>
      <c r="F2032" s="35"/>
      <c r="G2032" s="35" cm="1">
        <f t="array" ref="G2032">IFERROR(_xlfn.XLOOKUP(1, (SKUs!$J$2:$J$10001=accsry_unmerged!F2032)*IF(H2032&lt;&gt;"",(SKUs!$L$2:$L$10001=accsry_unmerged!H2032),1)*(SKUs!$K$2:$K$10001=I2032),SKUs!$C$2:$C$10001),"")</f>
        <v>0</v>
      </c>
      <c r="H2032" s="36" cm="1">
        <f t="array" ref="H2032">IFERROR(_xlfn.XLOOKUP(1, (dd_accsryclr!$C$2:$C$1000=accsry_unmerged!F2032)*(dd_accsryclr!$B$2:$B$1000=accsry_unmerged!J2032),dd_accsryclr!$A$2:$A$1000),"")</f>
        <v>0</v>
      </c>
      <c r="I2032" s="35">
        <f>_xlfn.XLOOKUP(C2032,'Project Details'!$C$17:$C$66,'Project Details'!$E$17:$E$66,"",0)</f>
        <v>0</v>
      </c>
      <c r="J2032" s="35">
        <f>_xlfn.XLOOKUP(C2032,'Project Details'!$C$17:$C$66,'Project Details'!$H$17:$H$66,"",0)</f>
        <v>0</v>
      </c>
      <c r="K2032" s="36" t="str">
        <f>IF(AND(_xlfn.XLOOKUP(C2032,'Project Details'!$C$17:$C$66,'Project Details'!$L$17:$L$66,"",0)&gt;550, F2032="Spring-L27cm"),"",SUBSTITUTE(_xlfn.XLOOKUP(G2032,SKUs!$C$2:$C$10001,SKUs!$F$2:$F$10001,"",0), " Accessories",""))</f>
        <v/>
      </c>
      <c r="L2032" s="36">
        <f>_xlfn.XLOOKUP(C2032,'Project Details'!$C$17:$C$66,'Project Details'!$D$17:$D$66,"",0)</f>
        <v>0</v>
      </c>
      <c r="M2032" s="43"/>
    </row>
    <row r="2033" spans="1:13" x14ac:dyDescent="0.25">
      <c r="A2033" s="43"/>
      <c r="B2033" s="43"/>
      <c r="C2033" s="16">
        <f t="shared" si="39"/>
        <v>41</v>
      </c>
      <c r="D2033" s="16" t="str" cm="1">
        <f t="array" ref="D2033">IFERROR(ROUNDUP(_xlfn.IFS(F2033="Aluminum Track", _xlfn.XLOOKUP(C2033, dd_accsrycalc!$A$2:$A$51, dd_accsrycalc!$B$2:$B$51, "",0), F2033="10 x 2 1/2 S (Flat)", _xlfn.XLOOKUP(C2033, dd_accsrycalc!$A$2:$A$51, dd_accsrycalc!$C$2:$C$51, "",0), F2033="Tox6", _xlfn.XLOOKUP(C2033, dd_accsrycalc!$A$2:$A$51, dd_accsrycalc!$D$2:$D$51, "",0), F2033="Cover Cap", _xlfn.XLOOKUP(C2033, dd_accsrycalc!$A$2:$A$51, dd_accsrycalc!$E$2:$E$51, "",0), F2033="Drainage Cover", _xlfn.XLOOKUP(C2033, dd_accsrycalc!$A$2:$A$51, dd_accsrycalc!$F$2:$F$51, "",0),AND( F2033="Double Adhesive Tape", I2033="Roll-up Screen"), _xlfn.XLOOKUP(C2033, calc_rusacc!$C$15:$C$65, calc_rusacc!$AD$15:$AD$65, "",0),AND( F2033="Sealant", I2033="Roll-up Screen"), _xlfn.XLOOKUP(C2033, calc_rusacc!$C$15:$C$65, calc_rusacc!$AF$15:$AF$65, "",0),  AND( F2033="Main Chain", I2033="Accordion Screen"), _xlfn.XLOOKUP(C2033, calc_rusacc!$C$15:$C$65, calc_rusacc!$BF$15:$BF$65, "",0), AND( F2033="Sealant", I2033="Accordion Screen"), _xlfn.XLOOKUP(C2033, calc_rusacc!$C$15:$C$65, calc_rusacc!$BJ$15:$BJ$65, "",0),  F2033="Sealant", _xlfn.XLOOKUP(C2033, dd_accsrycalc!$A$2:$A$51, dd_accsrycalc!$G$2:$G$51, "",0),  F2033&lt;&gt;"",L2033*_xlfn.XLOOKUP(1, (SKUs!$C$2:$C$10001=G2033)*(SKUs!$K$2:$K$10001=I2033),SKUs!$E$2:$E$10001)), 0),"")</f>
        <v/>
      </c>
      <c r="E2033" s="16" t="str">
        <f>_xlfn.XLOOKUP(F2033,dd_item!$B$2:$B$105,dd_item!$C$2:$C$105,"",0)</f>
        <v/>
      </c>
      <c r="F2033" s="16"/>
      <c r="G2033" s="16" cm="1">
        <f t="array" ref="G2033">IFERROR(_xlfn.XLOOKUP(1, (SKUs!$J$2:$J$10001=accsry_unmerged!F2033)*IF(H2033&lt;&gt;"",(SKUs!$L$2:$L$10001=accsry_unmerged!H2033),1)*(SKUs!$K$2:$K$10001=I2033),SKUs!$C$2:$C$10001),"")</f>
        <v>0</v>
      </c>
      <c r="H2033" s="33" cm="1">
        <f t="array" ref="H2033">IFERROR(_xlfn.XLOOKUP(1, (dd_accsryclr!$C$2:$C$1000=accsry_unmerged!F2033)*(dd_accsryclr!$B$2:$B$1000=accsry_unmerged!J2033),dd_accsryclr!$A$2:$A$1000),"")</f>
        <v>0</v>
      </c>
      <c r="I2033" s="16">
        <f>_xlfn.XLOOKUP(C2033,'Project Details'!$C$17:$C$66,'Project Details'!$E$17:$E$66,"",0)</f>
        <v>0</v>
      </c>
      <c r="J2033" s="16">
        <f>_xlfn.XLOOKUP(C2033,'Project Details'!$C$17:$C$66,'Project Details'!$H$17:$H$66,"",0)</f>
        <v>0</v>
      </c>
      <c r="K2033" s="33" t="str">
        <f>IF(AND(_xlfn.XLOOKUP(C2033,'Project Details'!$C$17:$C$66,'Project Details'!$L$17:$L$66,"",0)&gt;550, F2033="Spring-L27cm"),"",SUBSTITUTE(_xlfn.XLOOKUP(G2033,SKUs!$C$2:$C$10001,SKUs!$F$2:$F$10001,"",0), " Accessories",""))</f>
        <v/>
      </c>
      <c r="L2033" s="33">
        <f>_xlfn.XLOOKUP(C2033,'Project Details'!$C$17:$C$66,'Project Details'!$D$17:$D$66,"",0)</f>
        <v>0</v>
      </c>
      <c r="M2033" s="43"/>
    </row>
    <row r="2034" spans="1:13" ht="13.5" customHeight="1" x14ac:dyDescent="0.25">
      <c r="A2034" s="43"/>
      <c r="B2034" s="43"/>
      <c r="C2034" s="35">
        <f t="shared" si="39"/>
        <v>41</v>
      </c>
      <c r="D2034" s="35" t="str" cm="1">
        <f t="array" ref="D2034">IFERROR(ROUNDUP(_xlfn.IFS(F2034="Aluminum Track", _xlfn.XLOOKUP(C2034, dd_accsrycalc!$A$2:$A$51, dd_accsrycalc!$B$2:$B$51, "",0), F2034="10 x 2 1/2 S (Flat)", _xlfn.XLOOKUP(C2034, dd_accsrycalc!$A$2:$A$51, dd_accsrycalc!$C$2:$C$51, "",0), F2034="Tox6", _xlfn.XLOOKUP(C2034, dd_accsrycalc!$A$2:$A$51, dd_accsrycalc!$D$2:$D$51, "",0), F2034="Cover Cap", _xlfn.XLOOKUP(C2034, dd_accsrycalc!$A$2:$A$51, dd_accsrycalc!$E$2:$E$51, "",0), F2034="Drainage Cover", _xlfn.XLOOKUP(C2034, dd_accsrycalc!$A$2:$A$51, dd_accsrycalc!$F$2:$F$51, "",0),AND( F2034="Double Adhesive Tape", I2034="Roll-up Screen"), _xlfn.XLOOKUP(C2034, calc_rusacc!$C$15:$C$65, calc_rusacc!$AD$15:$AD$65, "",0),AND( F2034="Sealant", I2034="Roll-up Screen"), _xlfn.XLOOKUP(C2034, calc_rusacc!$C$15:$C$65, calc_rusacc!$AF$15:$AF$65, "",0),  AND( F2034="Main Chain", I2034="Accordion Screen"), _xlfn.XLOOKUP(C2034, calc_rusacc!$C$15:$C$65, calc_rusacc!$BF$15:$BF$65, "",0), AND( F2034="Sealant", I2034="Accordion Screen"), _xlfn.XLOOKUP(C2034, calc_rusacc!$C$15:$C$65, calc_rusacc!$BJ$15:$BJ$65, "",0),  F2034="Sealant", _xlfn.XLOOKUP(C2034, dd_accsrycalc!$A$2:$A$51, dd_accsrycalc!$G$2:$G$51, "",0),  F2034&lt;&gt;"",L2034*_xlfn.XLOOKUP(1, (SKUs!$C$2:$C$10001=G2034)*(SKUs!$K$2:$K$10001=I2034),SKUs!$E$2:$E$10001)), 0),"")</f>
        <v/>
      </c>
      <c r="E2034" s="35" t="str">
        <f>_xlfn.XLOOKUP(F2034,dd_item!$B$2:$B$105,dd_item!$C$2:$C$105,"",0)</f>
        <v/>
      </c>
      <c r="F2034" s="35"/>
      <c r="G2034" s="35" cm="1">
        <f t="array" ref="G2034">IFERROR(_xlfn.XLOOKUP(1, (SKUs!$J$2:$J$10001=accsry_unmerged!F2034)*IF(H2034&lt;&gt;"",(SKUs!$L$2:$L$10001=accsry_unmerged!H2034),1)*(SKUs!$K$2:$K$10001=I2034),SKUs!$C$2:$C$10001),"")</f>
        <v>0</v>
      </c>
      <c r="H2034" s="36" cm="1">
        <f t="array" ref="H2034">IFERROR(_xlfn.XLOOKUP(1, (dd_accsryclr!$C$2:$C$1000=accsry_unmerged!F2034)*(dd_accsryclr!$B$2:$B$1000=accsry_unmerged!J2034),dd_accsryclr!$A$2:$A$1000),"")</f>
        <v>0</v>
      </c>
      <c r="I2034" s="35">
        <f>_xlfn.XLOOKUP(C2034,'Project Details'!$C$17:$C$66,'Project Details'!$E$17:$E$66,"",0)</f>
        <v>0</v>
      </c>
      <c r="J2034" s="35">
        <f>_xlfn.XLOOKUP(C2034,'Project Details'!$C$17:$C$66,'Project Details'!$H$17:$H$66,"",0)</f>
        <v>0</v>
      </c>
      <c r="K2034" s="36" t="str">
        <f>IF(AND(_xlfn.XLOOKUP(C2034,'Project Details'!$C$17:$C$66,'Project Details'!$L$17:$L$66,"",0)&gt;550, F2034="Spring-L27cm"),"",SUBSTITUTE(_xlfn.XLOOKUP(G2034,SKUs!$C$2:$C$10001,SKUs!$F$2:$F$10001,"",0), " Accessories",""))</f>
        <v/>
      </c>
      <c r="L2034" s="36">
        <f>_xlfn.XLOOKUP(C2034,'Project Details'!$C$17:$C$66,'Project Details'!$D$17:$D$66,"",0)</f>
        <v>0</v>
      </c>
      <c r="M2034" s="43"/>
    </row>
    <row r="2035" spans="1:13" ht="13.5" customHeight="1" x14ac:dyDescent="0.25">
      <c r="A2035" s="43"/>
      <c r="B2035" s="43"/>
      <c r="C2035" s="16">
        <f t="shared" si="39"/>
        <v>41</v>
      </c>
      <c r="D2035" s="16" t="str" cm="1">
        <f t="array" ref="D2035">IFERROR(ROUNDUP(_xlfn.IFS(F2035="Aluminum Track", _xlfn.XLOOKUP(C2035, dd_accsrycalc!$A$2:$A$51, dd_accsrycalc!$B$2:$B$51, "",0), F2035="10 x 2 1/2 S (Flat)", _xlfn.XLOOKUP(C2035, dd_accsrycalc!$A$2:$A$51, dd_accsrycalc!$C$2:$C$51, "",0), F2035="Tox6", _xlfn.XLOOKUP(C2035, dd_accsrycalc!$A$2:$A$51, dd_accsrycalc!$D$2:$D$51, "",0), F2035="Cover Cap", _xlfn.XLOOKUP(C2035, dd_accsrycalc!$A$2:$A$51, dd_accsrycalc!$E$2:$E$51, "",0), F2035="Drainage Cover", _xlfn.XLOOKUP(C2035, dd_accsrycalc!$A$2:$A$51, dd_accsrycalc!$F$2:$F$51, "",0),AND( F2035="Double Adhesive Tape", I2035="Roll-up Screen"), _xlfn.XLOOKUP(C2035, calc_rusacc!$C$15:$C$65, calc_rusacc!$AD$15:$AD$65, "",0),AND( F2035="Sealant", I2035="Roll-up Screen"), _xlfn.XLOOKUP(C2035, calc_rusacc!$C$15:$C$65, calc_rusacc!$AF$15:$AF$65, "",0),  AND( F2035="Main Chain", I2035="Accordion Screen"), _xlfn.XLOOKUP(C2035, calc_rusacc!$C$15:$C$65, calc_rusacc!$BF$15:$BF$65, "",0), AND( F2035="Sealant", I2035="Accordion Screen"), _xlfn.XLOOKUP(C2035, calc_rusacc!$C$15:$C$65, calc_rusacc!$BJ$15:$BJ$65, "",0),  F2035="Sealant", _xlfn.XLOOKUP(C2035, dd_accsrycalc!$A$2:$A$51, dd_accsrycalc!$G$2:$G$51, "",0),  F2035&lt;&gt;"",L2035*_xlfn.XLOOKUP(1, (SKUs!$C$2:$C$10001=G2035)*(SKUs!$K$2:$K$10001=I2035),SKUs!$E$2:$E$10001)), 0),"")</f>
        <v/>
      </c>
      <c r="E2035" s="16" t="str">
        <f>_xlfn.XLOOKUP(F2035,dd_item!$B$2:$B$105,dd_item!$C$2:$C$105,"",0)</f>
        <v/>
      </c>
      <c r="F2035" s="16"/>
      <c r="G2035" s="16" cm="1">
        <f t="array" ref="G2035">IFERROR(_xlfn.XLOOKUP(1, (SKUs!$J$2:$J$10001=accsry_unmerged!F2035)*IF(H2035&lt;&gt;"",(SKUs!$L$2:$L$10001=accsry_unmerged!H2035),1)*(SKUs!$K$2:$K$10001=I2035),SKUs!$C$2:$C$10001),"")</f>
        <v>0</v>
      </c>
      <c r="H2035" s="33" cm="1">
        <f t="array" ref="H2035">IFERROR(_xlfn.XLOOKUP(1, (dd_accsryclr!$C$2:$C$1000=accsry_unmerged!F2035)*(dd_accsryclr!$B$2:$B$1000=accsry_unmerged!J2035),dd_accsryclr!$A$2:$A$1000),"")</f>
        <v>0</v>
      </c>
      <c r="I2035" s="16">
        <f>_xlfn.XLOOKUP(C2035,'Project Details'!$C$17:$C$66,'Project Details'!$E$17:$E$66,"",0)</f>
        <v>0</v>
      </c>
      <c r="J2035" s="16">
        <f>_xlfn.XLOOKUP(C2035,'Project Details'!$C$17:$C$66,'Project Details'!$H$17:$H$66,"",0)</f>
        <v>0</v>
      </c>
      <c r="K2035" s="33" t="str">
        <f>IF(AND(_xlfn.XLOOKUP(C2035,'Project Details'!$C$17:$C$66,'Project Details'!$L$17:$L$66,"",0)&gt;550, F2035="Spring-L27cm"),"",SUBSTITUTE(_xlfn.XLOOKUP(G2035,SKUs!$C$2:$C$10001,SKUs!$F$2:$F$10001,"",0), " Accessories",""))</f>
        <v/>
      </c>
      <c r="L2035" s="33">
        <f>_xlfn.XLOOKUP(C2035,'Project Details'!$C$17:$C$66,'Project Details'!$D$17:$D$66,"",0)</f>
        <v>0</v>
      </c>
      <c r="M2035" s="43"/>
    </row>
    <row r="2036" spans="1:13" ht="13.5" customHeight="1" x14ac:dyDescent="0.25">
      <c r="A2036" s="43"/>
      <c r="B2036" s="43"/>
      <c r="C2036" s="35">
        <f t="shared" si="39"/>
        <v>41</v>
      </c>
      <c r="D2036" s="35" t="str" cm="1">
        <f t="array" ref="D2036">IFERROR(ROUNDUP(_xlfn.IFS(F2036="Aluminum Track", _xlfn.XLOOKUP(C2036, dd_accsrycalc!$A$2:$A$51, dd_accsrycalc!$B$2:$B$51, "",0), F2036="10 x 2 1/2 S (Flat)", _xlfn.XLOOKUP(C2036, dd_accsrycalc!$A$2:$A$51, dd_accsrycalc!$C$2:$C$51, "",0), F2036="Tox6", _xlfn.XLOOKUP(C2036, dd_accsrycalc!$A$2:$A$51, dd_accsrycalc!$D$2:$D$51, "",0), F2036="Cover Cap", _xlfn.XLOOKUP(C2036, dd_accsrycalc!$A$2:$A$51, dd_accsrycalc!$E$2:$E$51, "",0), F2036="Drainage Cover", _xlfn.XLOOKUP(C2036, dd_accsrycalc!$A$2:$A$51, dd_accsrycalc!$F$2:$F$51, "",0),AND( F2036="Double Adhesive Tape", I2036="Roll-up Screen"), _xlfn.XLOOKUP(C2036, calc_rusacc!$C$15:$C$65, calc_rusacc!$AD$15:$AD$65, "",0),AND( F2036="Sealant", I2036="Roll-up Screen"), _xlfn.XLOOKUP(C2036, calc_rusacc!$C$15:$C$65, calc_rusacc!$AF$15:$AF$65, "",0),  AND( F2036="Main Chain", I2036="Accordion Screen"), _xlfn.XLOOKUP(C2036, calc_rusacc!$C$15:$C$65, calc_rusacc!$BF$15:$BF$65, "",0), AND( F2036="Sealant", I2036="Accordion Screen"), _xlfn.XLOOKUP(C2036, calc_rusacc!$C$15:$C$65, calc_rusacc!$BJ$15:$BJ$65, "",0),  F2036="Sealant", _xlfn.XLOOKUP(C2036, dd_accsrycalc!$A$2:$A$51, dd_accsrycalc!$G$2:$G$51, "",0),  F2036&lt;&gt;"",L2036*_xlfn.XLOOKUP(1, (SKUs!$C$2:$C$10001=G2036)*(SKUs!$K$2:$K$10001=I2036),SKUs!$E$2:$E$10001)), 0),"")</f>
        <v/>
      </c>
      <c r="E2036" s="35" t="str">
        <f>_xlfn.XLOOKUP(F2036,dd_item!$B$2:$B$105,dd_item!$C$2:$C$105,"",0)</f>
        <v/>
      </c>
      <c r="F2036" s="35"/>
      <c r="G2036" s="35" cm="1">
        <f t="array" ref="G2036">IFERROR(_xlfn.XLOOKUP(1, (SKUs!$J$2:$J$10001=accsry_unmerged!F2036)*IF(H2036&lt;&gt;"",(SKUs!$L$2:$L$10001=accsry_unmerged!H2036),1)*(SKUs!$K$2:$K$10001=I2036),SKUs!$C$2:$C$10001),"")</f>
        <v>0</v>
      </c>
      <c r="H2036" s="36" cm="1">
        <f t="array" ref="H2036">IFERROR(_xlfn.XLOOKUP(1, (dd_accsryclr!$C$2:$C$1000=accsry_unmerged!F2036)*(dd_accsryclr!$B$2:$B$1000=accsry_unmerged!J2036),dd_accsryclr!$A$2:$A$1000),"")</f>
        <v>0</v>
      </c>
      <c r="I2036" s="35">
        <f>_xlfn.XLOOKUP(C2036,'Project Details'!$C$17:$C$66,'Project Details'!$E$17:$E$66,"",0)</f>
        <v>0</v>
      </c>
      <c r="J2036" s="35">
        <f>_xlfn.XLOOKUP(C2036,'Project Details'!$C$17:$C$66,'Project Details'!$H$17:$H$66,"",0)</f>
        <v>0</v>
      </c>
      <c r="K2036" s="36" t="str">
        <f>IF(AND(_xlfn.XLOOKUP(C2036,'Project Details'!$C$17:$C$66,'Project Details'!$L$17:$L$66,"",0)&gt;550, F2036="Spring-L27cm"),"",SUBSTITUTE(_xlfn.XLOOKUP(G2036,SKUs!$C$2:$C$10001,SKUs!$F$2:$F$10001,"",0), " Accessories",""))</f>
        <v/>
      </c>
      <c r="L2036" s="36">
        <f>_xlfn.XLOOKUP(C2036,'Project Details'!$C$17:$C$66,'Project Details'!$D$17:$D$66,"",0)</f>
        <v>0</v>
      </c>
      <c r="M2036" s="43"/>
    </row>
    <row r="2037" spans="1:13" ht="13.5" customHeight="1" x14ac:dyDescent="0.25">
      <c r="A2037" s="43"/>
      <c r="B2037" s="43"/>
      <c r="C2037" s="16">
        <f t="shared" si="39"/>
        <v>41</v>
      </c>
      <c r="D2037" s="16" t="str" cm="1">
        <f t="array" ref="D2037">IFERROR(ROUNDUP(_xlfn.IFS(F2037="Aluminum Track", _xlfn.XLOOKUP(C2037, dd_accsrycalc!$A$2:$A$51, dd_accsrycalc!$B$2:$B$51, "",0), F2037="10 x 2 1/2 S (Flat)", _xlfn.XLOOKUP(C2037, dd_accsrycalc!$A$2:$A$51, dd_accsrycalc!$C$2:$C$51, "",0), F2037="Tox6", _xlfn.XLOOKUP(C2037, dd_accsrycalc!$A$2:$A$51, dd_accsrycalc!$D$2:$D$51, "",0), F2037="Cover Cap", _xlfn.XLOOKUP(C2037, dd_accsrycalc!$A$2:$A$51, dd_accsrycalc!$E$2:$E$51, "",0), F2037="Drainage Cover", _xlfn.XLOOKUP(C2037, dd_accsrycalc!$A$2:$A$51, dd_accsrycalc!$F$2:$F$51, "",0),AND( F2037="Double Adhesive Tape", I2037="Roll-up Screen"), _xlfn.XLOOKUP(C2037, calc_rusacc!$C$15:$C$65, calc_rusacc!$AD$15:$AD$65, "",0),AND( F2037="Sealant", I2037="Roll-up Screen"), _xlfn.XLOOKUP(C2037, calc_rusacc!$C$15:$C$65, calc_rusacc!$AF$15:$AF$65, "",0),  AND( F2037="Main Chain", I2037="Accordion Screen"), _xlfn.XLOOKUP(C2037, calc_rusacc!$C$15:$C$65, calc_rusacc!$BF$15:$BF$65, "",0), AND( F2037="Sealant", I2037="Accordion Screen"), _xlfn.XLOOKUP(C2037, calc_rusacc!$C$15:$C$65, calc_rusacc!$BJ$15:$BJ$65, "",0),  F2037="Sealant", _xlfn.XLOOKUP(C2037, dd_accsrycalc!$A$2:$A$51, dd_accsrycalc!$G$2:$G$51, "",0),  F2037&lt;&gt;"",L2037*_xlfn.XLOOKUP(1, (SKUs!$C$2:$C$10001=G2037)*(SKUs!$K$2:$K$10001=I2037),SKUs!$E$2:$E$10001)), 0),"")</f>
        <v/>
      </c>
      <c r="E2037" s="16" t="str">
        <f>_xlfn.XLOOKUP(F2037,dd_item!$B$2:$B$105,dd_item!$C$2:$C$105,"",0)</f>
        <v/>
      </c>
      <c r="F2037" s="16"/>
      <c r="G2037" s="16" cm="1">
        <f t="array" ref="G2037">IFERROR(_xlfn.XLOOKUP(1, (SKUs!$J$2:$J$10001=accsry_unmerged!F2037)*IF(H2037&lt;&gt;"",(SKUs!$L$2:$L$10001=accsry_unmerged!H2037),1)*(SKUs!$K$2:$K$10001=I2037),SKUs!$C$2:$C$10001),"")</f>
        <v>0</v>
      </c>
      <c r="H2037" s="33" cm="1">
        <f t="array" ref="H2037">IFERROR(_xlfn.XLOOKUP(1, (dd_accsryclr!$C$2:$C$1000=accsry_unmerged!F2037)*(dd_accsryclr!$B$2:$B$1000=accsry_unmerged!J2037),dd_accsryclr!$A$2:$A$1000),"")</f>
        <v>0</v>
      </c>
      <c r="I2037" s="16">
        <f>_xlfn.XLOOKUP(C2037,'Project Details'!$C$17:$C$66,'Project Details'!$E$17:$E$66,"",0)</f>
        <v>0</v>
      </c>
      <c r="J2037" s="16">
        <f>_xlfn.XLOOKUP(C2037,'Project Details'!$C$17:$C$66,'Project Details'!$H$17:$H$66,"",0)</f>
        <v>0</v>
      </c>
      <c r="K2037" s="33" t="str">
        <f>IF(AND(_xlfn.XLOOKUP(C2037,'Project Details'!$C$17:$C$66,'Project Details'!$L$17:$L$66,"",0)&gt;550, F2037="Spring-L27cm"),"",SUBSTITUTE(_xlfn.XLOOKUP(G2037,SKUs!$C$2:$C$10001,SKUs!$F$2:$F$10001,"",0), " Accessories",""))</f>
        <v/>
      </c>
      <c r="L2037" s="33">
        <f>_xlfn.XLOOKUP(C2037,'Project Details'!$C$17:$C$66,'Project Details'!$D$17:$D$66,"",0)</f>
        <v>0</v>
      </c>
      <c r="M2037" s="43"/>
    </row>
    <row r="2038" spans="1:13" ht="13.5" customHeight="1" x14ac:dyDescent="0.25">
      <c r="A2038" s="43"/>
      <c r="B2038" s="43"/>
      <c r="C2038" s="35">
        <f t="shared" si="39"/>
        <v>41</v>
      </c>
      <c r="D2038" s="35" t="str" cm="1">
        <f t="array" ref="D2038">IFERROR(ROUNDUP(_xlfn.IFS(F2038="Aluminum Track", _xlfn.XLOOKUP(C2038, dd_accsrycalc!$A$2:$A$51, dd_accsrycalc!$B$2:$B$51, "",0), F2038="10 x 2 1/2 S (Flat)", _xlfn.XLOOKUP(C2038, dd_accsrycalc!$A$2:$A$51, dd_accsrycalc!$C$2:$C$51, "",0), F2038="Tox6", _xlfn.XLOOKUP(C2038, dd_accsrycalc!$A$2:$A$51, dd_accsrycalc!$D$2:$D$51, "",0), F2038="Cover Cap", _xlfn.XLOOKUP(C2038, dd_accsrycalc!$A$2:$A$51, dd_accsrycalc!$E$2:$E$51, "",0), F2038="Drainage Cover", _xlfn.XLOOKUP(C2038, dd_accsrycalc!$A$2:$A$51, dd_accsrycalc!$F$2:$F$51, "",0),AND( F2038="Double Adhesive Tape", I2038="Roll-up Screen"), _xlfn.XLOOKUP(C2038, calc_rusacc!$C$15:$C$65, calc_rusacc!$AD$15:$AD$65, "",0),AND( F2038="Sealant", I2038="Roll-up Screen"), _xlfn.XLOOKUP(C2038, calc_rusacc!$C$15:$C$65, calc_rusacc!$AF$15:$AF$65, "",0),  AND( F2038="Main Chain", I2038="Accordion Screen"), _xlfn.XLOOKUP(C2038, calc_rusacc!$C$15:$C$65, calc_rusacc!$BF$15:$BF$65, "",0), AND( F2038="Sealant", I2038="Accordion Screen"), _xlfn.XLOOKUP(C2038, calc_rusacc!$C$15:$C$65, calc_rusacc!$BJ$15:$BJ$65, "",0),  F2038="Sealant", _xlfn.XLOOKUP(C2038, dd_accsrycalc!$A$2:$A$51, dd_accsrycalc!$G$2:$G$51, "",0),  F2038&lt;&gt;"",L2038*_xlfn.XLOOKUP(1, (SKUs!$C$2:$C$10001=G2038)*(SKUs!$K$2:$K$10001=I2038),SKUs!$E$2:$E$10001)), 0),"")</f>
        <v/>
      </c>
      <c r="E2038" s="35" t="str">
        <f>_xlfn.XLOOKUP(F2038,dd_item!$B$2:$B$105,dd_item!$C$2:$C$105,"",0)</f>
        <v/>
      </c>
      <c r="F2038" s="35"/>
      <c r="G2038" s="35" cm="1">
        <f t="array" ref="G2038">IFERROR(_xlfn.XLOOKUP(1, (SKUs!$J$2:$J$10001=accsry_unmerged!F2038)*IF(H2038&lt;&gt;"",(SKUs!$L$2:$L$10001=accsry_unmerged!H2038),1)*(SKUs!$K$2:$K$10001=I2038),SKUs!$C$2:$C$10001),"")</f>
        <v>0</v>
      </c>
      <c r="H2038" s="36" cm="1">
        <f t="array" ref="H2038">IFERROR(_xlfn.XLOOKUP(1, (dd_accsryclr!$C$2:$C$1000=accsry_unmerged!F2038)*(dd_accsryclr!$B$2:$B$1000=accsry_unmerged!J2038),dd_accsryclr!$A$2:$A$1000),"")</f>
        <v>0</v>
      </c>
      <c r="I2038" s="35">
        <f>_xlfn.XLOOKUP(C2038,'Project Details'!$C$17:$C$66,'Project Details'!$E$17:$E$66,"",0)</f>
        <v>0</v>
      </c>
      <c r="J2038" s="35">
        <f>_xlfn.XLOOKUP(C2038,'Project Details'!$C$17:$C$66,'Project Details'!$H$17:$H$66,"",0)</f>
        <v>0</v>
      </c>
      <c r="K2038" s="36" t="str">
        <f>IF(AND(_xlfn.XLOOKUP(C2038,'Project Details'!$C$17:$C$66,'Project Details'!$L$17:$L$66,"",0)&gt;550, F2038="Spring-L27cm"),"",SUBSTITUTE(_xlfn.XLOOKUP(G2038,SKUs!$C$2:$C$10001,SKUs!$F$2:$F$10001,"",0), " Accessories",""))</f>
        <v/>
      </c>
      <c r="L2038" s="36">
        <f>_xlfn.XLOOKUP(C2038,'Project Details'!$C$17:$C$66,'Project Details'!$D$17:$D$66,"",0)</f>
        <v>0</v>
      </c>
      <c r="M2038" s="43"/>
    </row>
    <row r="2039" spans="1:13" ht="13.5" customHeight="1" x14ac:dyDescent="0.25">
      <c r="A2039" s="43"/>
      <c r="B2039" s="43"/>
      <c r="C2039" s="16">
        <f t="shared" si="39"/>
        <v>41</v>
      </c>
      <c r="D2039" s="16" t="str" cm="1">
        <f t="array" ref="D2039">IFERROR(ROUNDUP(_xlfn.IFS(F2039="Aluminum Track", _xlfn.XLOOKUP(C2039, dd_accsrycalc!$A$2:$A$51, dd_accsrycalc!$B$2:$B$51, "",0), F2039="10 x 2 1/2 S (Flat)", _xlfn.XLOOKUP(C2039, dd_accsrycalc!$A$2:$A$51, dd_accsrycalc!$C$2:$C$51, "",0), F2039="Tox6", _xlfn.XLOOKUP(C2039, dd_accsrycalc!$A$2:$A$51, dd_accsrycalc!$D$2:$D$51, "",0), F2039="Cover Cap", _xlfn.XLOOKUP(C2039, dd_accsrycalc!$A$2:$A$51, dd_accsrycalc!$E$2:$E$51, "",0), F2039="Drainage Cover", _xlfn.XLOOKUP(C2039, dd_accsrycalc!$A$2:$A$51, dd_accsrycalc!$F$2:$F$51, "",0),AND( F2039="Double Adhesive Tape", I2039="Roll-up Screen"), _xlfn.XLOOKUP(C2039, calc_rusacc!$C$15:$C$65, calc_rusacc!$AD$15:$AD$65, "",0),AND( F2039="Sealant", I2039="Roll-up Screen"), _xlfn.XLOOKUP(C2039, calc_rusacc!$C$15:$C$65, calc_rusacc!$AF$15:$AF$65, "",0),  AND( F2039="Main Chain", I2039="Accordion Screen"), _xlfn.XLOOKUP(C2039, calc_rusacc!$C$15:$C$65, calc_rusacc!$BF$15:$BF$65, "",0), AND( F2039="Sealant", I2039="Accordion Screen"), _xlfn.XLOOKUP(C2039, calc_rusacc!$C$15:$C$65, calc_rusacc!$BJ$15:$BJ$65, "",0),  F2039="Sealant", _xlfn.XLOOKUP(C2039, dd_accsrycalc!$A$2:$A$51, dd_accsrycalc!$G$2:$G$51, "",0),  F2039&lt;&gt;"",L2039*_xlfn.XLOOKUP(1, (SKUs!$C$2:$C$10001=G2039)*(SKUs!$K$2:$K$10001=I2039),SKUs!$E$2:$E$10001)), 0),"")</f>
        <v/>
      </c>
      <c r="E2039" s="16" t="str">
        <f>_xlfn.XLOOKUP(F2039,dd_item!$B$2:$B$105,dd_item!$C$2:$C$105,"",0)</f>
        <v/>
      </c>
      <c r="F2039" s="16"/>
      <c r="G2039" s="16" cm="1">
        <f t="array" ref="G2039">IFERROR(_xlfn.XLOOKUP(1, (SKUs!$J$2:$J$10001=accsry_unmerged!F2039)*IF(H2039&lt;&gt;"",(SKUs!$L$2:$L$10001=accsry_unmerged!H2039),1)*(SKUs!$K$2:$K$10001=I2039),SKUs!$C$2:$C$10001),"")</f>
        <v>0</v>
      </c>
      <c r="H2039" s="33" cm="1">
        <f t="array" ref="H2039">IFERROR(_xlfn.XLOOKUP(1, (dd_accsryclr!$C$2:$C$1000=accsry_unmerged!F2039)*(dd_accsryclr!$B$2:$B$1000=accsry_unmerged!J2039),dd_accsryclr!$A$2:$A$1000),"")</f>
        <v>0</v>
      </c>
      <c r="I2039" s="16">
        <f>_xlfn.XLOOKUP(C2039,'Project Details'!$C$17:$C$66,'Project Details'!$E$17:$E$66,"",0)</f>
        <v>0</v>
      </c>
      <c r="J2039" s="16">
        <f>_xlfn.XLOOKUP(C2039,'Project Details'!$C$17:$C$66,'Project Details'!$H$17:$H$66,"",0)</f>
        <v>0</v>
      </c>
      <c r="K2039" s="33" t="str">
        <f>IF(AND(_xlfn.XLOOKUP(C2039,'Project Details'!$C$17:$C$66,'Project Details'!$L$17:$L$66,"",0)&gt;550, F2039="Spring-L27cm"),"",SUBSTITUTE(_xlfn.XLOOKUP(G2039,SKUs!$C$2:$C$10001,SKUs!$F$2:$F$10001,"",0), " Accessories",""))</f>
        <v/>
      </c>
      <c r="L2039" s="33">
        <f>_xlfn.XLOOKUP(C2039,'Project Details'!$C$17:$C$66,'Project Details'!$D$17:$D$66,"",0)</f>
        <v>0</v>
      </c>
      <c r="M2039" s="43"/>
    </row>
    <row r="2040" spans="1:13" ht="13.5" customHeight="1" x14ac:dyDescent="0.25">
      <c r="A2040" s="43"/>
      <c r="B2040" s="43"/>
      <c r="C2040" s="35">
        <f t="shared" si="39"/>
        <v>41</v>
      </c>
      <c r="D2040" s="35" t="str" cm="1">
        <f t="array" ref="D2040">IFERROR(ROUNDUP(_xlfn.IFS(F2040="Aluminum Track", _xlfn.XLOOKUP(C2040, dd_accsrycalc!$A$2:$A$51, dd_accsrycalc!$B$2:$B$51, "",0), F2040="10 x 2 1/2 S (Flat)", _xlfn.XLOOKUP(C2040, dd_accsrycalc!$A$2:$A$51, dd_accsrycalc!$C$2:$C$51, "",0), F2040="Tox6", _xlfn.XLOOKUP(C2040, dd_accsrycalc!$A$2:$A$51, dd_accsrycalc!$D$2:$D$51, "",0), F2040="Cover Cap", _xlfn.XLOOKUP(C2040, dd_accsrycalc!$A$2:$A$51, dd_accsrycalc!$E$2:$E$51, "",0), F2040="Drainage Cover", _xlfn.XLOOKUP(C2040, dd_accsrycalc!$A$2:$A$51, dd_accsrycalc!$F$2:$F$51, "",0),AND( F2040="Double Adhesive Tape", I2040="Roll-up Screen"), _xlfn.XLOOKUP(C2040, calc_rusacc!$C$15:$C$65, calc_rusacc!$AD$15:$AD$65, "",0),AND( F2040="Sealant", I2040="Roll-up Screen"), _xlfn.XLOOKUP(C2040, calc_rusacc!$C$15:$C$65, calc_rusacc!$AF$15:$AF$65, "",0),  AND( F2040="Main Chain", I2040="Accordion Screen"), _xlfn.XLOOKUP(C2040, calc_rusacc!$C$15:$C$65, calc_rusacc!$BF$15:$BF$65, "",0), AND( F2040="Sealant", I2040="Accordion Screen"), _xlfn.XLOOKUP(C2040, calc_rusacc!$C$15:$C$65, calc_rusacc!$BJ$15:$BJ$65, "",0),  F2040="Sealant", _xlfn.XLOOKUP(C2040, dd_accsrycalc!$A$2:$A$51, dd_accsrycalc!$G$2:$G$51, "",0),  F2040&lt;&gt;"",L2040*_xlfn.XLOOKUP(1, (SKUs!$C$2:$C$10001=G2040)*(SKUs!$K$2:$K$10001=I2040),SKUs!$E$2:$E$10001)), 0),"")</f>
        <v/>
      </c>
      <c r="E2040" s="35" t="str">
        <f>_xlfn.XLOOKUP(F2040,dd_item!$B$2:$B$105,dd_item!$C$2:$C$105,"",0)</f>
        <v/>
      </c>
      <c r="F2040" s="35"/>
      <c r="G2040" s="35" cm="1">
        <f t="array" ref="G2040">IFERROR(_xlfn.XLOOKUP(1, (SKUs!$J$2:$J$10001=accsry_unmerged!F2040)*IF(H2040&lt;&gt;"",(SKUs!$L$2:$L$10001=accsry_unmerged!H2040),1)*(SKUs!$K$2:$K$10001=I2040),SKUs!$C$2:$C$10001),"")</f>
        <v>0</v>
      </c>
      <c r="H2040" s="36" cm="1">
        <f t="array" ref="H2040">IFERROR(_xlfn.XLOOKUP(1, (dd_accsryclr!$C$2:$C$1000=accsry_unmerged!F2040)*(dd_accsryclr!$B$2:$B$1000=accsry_unmerged!J2040),dd_accsryclr!$A$2:$A$1000),"")</f>
        <v>0</v>
      </c>
      <c r="I2040" s="35">
        <f>_xlfn.XLOOKUP(C2040,'Project Details'!$C$17:$C$66,'Project Details'!$E$17:$E$66,"",0)</f>
        <v>0</v>
      </c>
      <c r="J2040" s="35">
        <f>_xlfn.XLOOKUP(C2040,'Project Details'!$C$17:$C$66,'Project Details'!$H$17:$H$66,"",0)</f>
        <v>0</v>
      </c>
      <c r="K2040" s="36" t="str">
        <f>IF(AND(_xlfn.XLOOKUP(C2040,'Project Details'!$C$17:$C$66,'Project Details'!$L$17:$L$66,"",0)&gt;550, F2040="Spring-L27cm"),"",SUBSTITUTE(_xlfn.XLOOKUP(G2040,SKUs!$C$2:$C$10001,SKUs!$F$2:$F$10001,"",0), " Accessories",""))</f>
        <v/>
      </c>
      <c r="L2040" s="36">
        <f>_xlfn.XLOOKUP(C2040,'Project Details'!$C$17:$C$66,'Project Details'!$D$17:$D$66,"",0)</f>
        <v>0</v>
      </c>
      <c r="M2040" s="43"/>
    </row>
    <row r="2041" spans="1:13" ht="13.5" customHeight="1" x14ac:dyDescent="0.25">
      <c r="A2041" s="43"/>
      <c r="B2041" s="43"/>
      <c r="C2041" s="16">
        <f t="shared" si="39"/>
        <v>41</v>
      </c>
      <c r="D2041" s="16" t="str" cm="1">
        <f t="array" ref="D2041">IFERROR(ROUNDUP(_xlfn.IFS(F2041="Aluminum Track", _xlfn.XLOOKUP(C2041, dd_accsrycalc!$A$2:$A$51, dd_accsrycalc!$B$2:$B$51, "",0), F2041="10 x 2 1/2 S (Flat)", _xlfn.XLOOKUP(C2041, dd_accsrycalc!$A$2:$A$51, dd_accsrycalc!$C$2:$C$51, "",0), F2041="Tox6", _xlfn.XLOOKUP(C2041, dd_accsrycalc!$A$2:$A$51, dd_accsrycalc!$D$2:$D$51, "",0), F2041="Cover Cap", _xlfn.XLOOKUP(C2041, dd_accsrycalc!$A$2:$A$51, dd_accsrycalc!$E$2:$E$51, "",0), F2041="Drainage Cover", _xlfn.XLOOKUP(C2041, dd_accsrycalc!$A$2:$A$51, dd_accsrycalc!$F$2:$F$51, "",0),AND( F2041="Double Adhesive Tape", I2041="Roll-up Screen"), _xlfn.XLOOKUP(C2041, calc_rusacc!$C$15:$C$65, calc_rusacc!$AD$15:$AD$65, "",0),AND( F2041="Sealant", I2041="Roll-up Screen"), _xlfn.XLOOKUP(C2041, calc_rusacc!$C$15:$C$65, calc_rusacc!$AF$15:$AF$65, "",0),  AND( F2041="Main Chain", I2041="Accordion Screen"), _xlfn.XLOOKUP(C2041, calc_rusacc!$C$15:$C$65, calc_rusacc!$BF$15:$BF$65, "",0), AND( F2041="Sealant", I2041="Accordion Screen"), _xlfn.XLOOKUP(C2041, calc_rusacc!$C$15:$C$65, calc_rusacc!$BJ$15:$BJ$65, "",0),  F2041="Sealant", _xlfn.XLOOKUP(C2041, dd_accsrycalc!$A$2:$A$51, dd_accsrycalc!$G$2:$G$51, "",0),  F2041&lt;&gt;"",L2041*_xlfn.XLOOKUP(1, (SKUs!$C$2:$C$10001=G2041)*(SKUs!$K$2:$K$10001=I2041),SKUs!$E$2:$E$10001)), 0),"")</f>
        <v/>
      </c>
      <c r="E2041" s="16" t="str">
        <f>_xlfn.XLOOKUP(F2041,dd_item!$B$2:$B$105,dd_item!$C$2:$C$105,"",0)</f>
        <v/>
      </c>
      <c r="F2041" s="16"/>
      <c r="G2041" s="16" cm="1">
        <f t="array" ref="G2041">IFERROR(_xlfn.XLOOKUP(1, (SKUs!$J$2:$J$10001=accsry_unmerged!F2041)*IF(H2041&lt;&gt;"",(SKUs!$L$2:$L$10001=accsry_unmerged!H2041),1)*(SKUs!$K$2:$K$10001=I2041),SKUs!$C$2:$C$10001),"")</f>
        <v>0</v>
      </c>
      <c r="H2041" s="33" cm="1">
        <f t="array" ref="H2041">IFERROR(_xlfn.XLOOKUP(1, (dd_accsryclr!$C$2:$C$1000=accsry_unmerged!F2041)*(dd_accsryclr!$B$2:$B$1000=accsry_unmerged!J2041),dd_accsryclr!$A$2:$A$1000),"")</f>
        <v>0</v>
      </c>
      <c r="I2041" s="16">
        <f>_xlfn.XLOOKUP(C2041,'Project Details'!$C$17:$C$66,'Project Details'!$E$17:$E$66,"",0)</f>
        <v>0</v>
      </c>
      <c r="J2041" s="16">
        <f>_xlfn.XLOOKUP(C2041,'Project Details'!$C$17:$C$66,'Project Details'!$H$17:$H$66,"",0)</f>
        <v>0</v>
      </c>
      <c r="K2041" s="33" t="str">
        <f>IF(AND(_xlfn.XLOOKUP(C2041,'Project Details'!$C$17:$C$66,'Project Details'!$L$17:$L$66,"",0)&gt;550, F2041="Spring-L27cm"),"",SUBSTITUTE(_xlfn.XLOOKUP(G2041,SKUs!$C$2:$C$10001,SKUs!$F$2:$F$10001,"",0), " Accessories",""))</f>
        <v/>
      </c>
      <c r="L2041" s="33">
        <f>_xlfn.XLOOKUP(C2041,'Project Details'!$C$17:$C$66,'Project Details'!$D$17:$D$66,"",0)</f>
        <v>0</v>
      </c>
      <c r="M2041" s="43"/>
    </row>
    <row r="2042" spans="1:13" ht="13.5" customHeight="1" x14ac:dyDescent="0.25">
      <c r="A2042" s="43"/>
      <c r="B2042" s="43"/>
      <c r="C2042" s="35">
        <f t="shared" si="39"/>
        <v>41</v>
      </c>
      <c r="D2042" s="35" t="str" cm="1">
        <f t="array" ref="D2042">IFERROR(ROUNDUP(_xlfn.IFS(F2042="Aluminum Track", _xlfn.XLOOKUP(C2042, dd_accsrycalc!$A$2:$A$51, dd_accsrycalc!$B$2:$B$51, "",0), F2042="10 x 2 1/2 S (Flat)", _xlfn.XLOOKUP(C2042, dd_accsrycalc!$A$2:$A$51, dd_accsrycalc!$C$2:$C$51, "",0), F2042="Tox6", _xlfn.XLOOKUP(C2042, dd_accsrycalc!$A$2:$A$51, dd_accsrycalc!$D$2:$D$51, "",0), F2042="Cover Cap", _xlfn.XLOOKUP(C2042, dd_accsrycalc!$A$2:$A$51, dd_accsrycalc!$E$2:$E$51, "",0), F2042="Drainage Cover", _xlfn.XLOOKUP(C2042, dd_accsrycalc!$A$2:$A$51, dd_accsrycalc!$F$2:$F$51, "",0),AND( F2042="Double Adhesive Tape", I2042="Roll-up Screen"), _xlfn.XLOOKUP(C2042, calc_rusacc!$C$15:$C$65, calc_rusacc!$AD$15:$AD$65, "",0),AND( F2042="Sealant", I2042="Roll-up Screen"), _xlfn.XLOOKUP(C2042, calc_rusacc!$C$15:$C$65, calc_rusacc!$AF$15:$AF$65, "",0),  AND( F2042="Main Chain", I2042="Accordion Screen"), _xlfn.XLOOKUP(C2042, calc_rusacc!$C$15:$C$65, calc_rusacc!$BF$15:$BF$65, "",0), AND( F2042="Sealant", I2042="Accordion Screen"), _xlfn.XLOOKUP(C2042, calc_rusacc!$C$15:$C$65, calc_rusacc!$BJ$15:$BJ$65, "",0),  F2042="Sealant", _xlfn.XLOOKUP(C2042, dd_accsrycalc!$A$2:$A$51, dd_accsrycalc!$G$2:$G$51, "",0),  F2042&lt;&gt;"",L2042*_xlfn.XLOOKUP(1, (SKUs!$C$2:$C$10001=G2042)*(SKUs!$K$2:$K$10001=I2042),SKUs!$E$2:$E$10001)), 0),"")</f>
        <v/>
      </c>
      <c r="E2042" s="35" t="str">
        <f>_xlfn.XLOOKUP(F2042,dd_item!$B$2:$B$105,dd_item!$C$2:$C$105,"",0)</f>
        <v/>
      </c>
      <c r="F2042" s="35"/>
      <c r="G2042" s="35" cm="1">
        <f t="array" ref="G2042">IFERROR(_xlfn.XLOOKUP(1, (SKUs!$J$2:$J$10001=accsry_unmerged!F2042)*IF(H2042&lt;&gt;"",(SKUs!$L$2:$L$10001=accsry_unmerged!H2042),1)*(SKUs!$K$2:$K$10001=I2042),SKUs!$C$2:$C$10001),"")</f>
        <v>0</v>
      </c>
      <c r="H2042" s="36" cm="1">
        <f t="array" ref="H2042">IFERROR(_xlfn.XLOOKUP(1, (dd_accsryclr!$C$2:$C$1000=accsry_unmerged!F2042)*(dd_accsryclr!$B$2:$B$1000=accsry_unmerged!J2042),dd_accsryclr!$A$2:$A$1000),"")</f>
        <v>0</v>
      </c>
      <c r="I2042" s="35">
        <f>_xlfn.XLOOKUP(C2042,'Project Details'!$C$17:$C$66,'Project Details'!$E$17:$E$66,"",0)</f>
        <v>0</v>
      </c>
      <c r="J2042" s="35">
        <f>_xlfn.XLOOKUP(C2042,'Project Details'!$C$17:$C$66,'Project Details'!$H$17:$H$66,"",0)</f>
        <v>0</v>
      </c>
      <c r="K2042" s="36" t="str">
        <f>IF(AND(_xlfn.XLOOKUP(C2042,'Project Details'!$C$17:$C$66,'Project Details'!$L$17:$L$66,"",0)&gt;550, F2042="Spring-L27cm"),"",SUBSTITUTE(_xlfn.XLOOKUP(G2042,SKUs!$C$2:$C$10001,SKUs!$F$2:$F$10001,"",0), " Accessories",""))</f>
        <v/>
      </c>
      <c r="L2042" s="36">
        <f>_xlfn.XLOOKUP(C2042,'Project Details'!$C$17:$C$66,'Project Details'!$D$17:$D$66,"",0)</f>
        <v>0</v>
      </c>
      <c r="M2042" s="43"/>
    </row>
    <row r="2043" spans="1:13" ht="13.5" customHeight="1" x14ac:dyDescent="0.25">
      <c r="A2043" s="43"/>
      <c r="B2043" s="43"/>
      <c r="C2043" s="16">
        <f t="shared" si="39"/>
        <v>41</v>
      </c>
      <c r="D2043" s="16" t="str" cm="1">
        <f t="array" ref="D2043">IFERROR(ROUNDUP(_xlfn.IFS(F2043="Aluminum Track", _xlfn.XLOOKUP(C2043, dd_accsrycalc!$A$2:$A$51, dd_accsrycalc!$B$2:$B$51, "",0), F2043="10 x 2 1/2 S (Flat)", _xlfn.XLOOKUP(C2043, dd_accsrycalc!$A$2:$A$51, dd_accsrycalc!$C$2:$C$51, "",0), F2043="Tox6", _xlfn.XLOOKUP(C2043, dd_accsrycalc!$A$2:$A$51, dd_accsrycalc!$D$2:$D$51, "",0), F2043="Cover Cap", _xlfn.XLOOKUP(C2043, dd_accsrycalc!$A$2:$A$51, dd_accsrycalc!$E$2:$E$51, "",0), F2043="Drainage Cover", _xlfn.XLOOKUP(C2043, dd_accsrycalc!$A$2:$A$51, dd_accsrycalc!$F$2:$F$51, "",0),AND( F2043="Double Adhesive Tape", I2043="Roll-up Screen"), _xlfn.XLOOKUP(C2043, calc_rusacc!$C$15:$C$65, calc_rusacc!$AD$15:$AD$65, "",0),AND( F2043="Sealant", I2043="Roll-up Screen"), _xlfn.XLOOKUP(C2043, calc_rusacc!$C$15:$C$65, calc_rusacc!$AF$15:$AF$65, "",0),  AND( F2043="Main Chain", I2043="Accordion Screen"), _xlfn.XLOOKUP(C2043, calc_rusacc!$C$15:$C$65, calc_rusacc!$BF$15:$BF$65, "",0), AND( F2043="Sealant", I2043="Accordion Screen"), _xlfn.XLOOKUP(C2043, calc_rusacc!$C$15:$C$65, calc_rusacc!$BJ$15:$BJ$65, "",0),  F2043="Sealant", _xlfn.XLOOKUP(C2043, dd_accsrycalc!$A$2:$A$51, dd_accsrycalc!$G$2:$G$51, "",0),  F2043&lt;&gt;"",L2043*_xlfn.XLOOKUP(1, (SKUs!$C$2:$C$10001=G2043)*(SKUs!$K$2:$K$10001=I2043),SKUs!$E$2:$E$10001)), 0),"")</f>
        <v/>
      </c>
      <c r="E2043" s="16" t="str">
        <f>_xlfn.XLOOKUP(F2043,dd_item!$B$2:$B$105,dd_item!$C$2:$C$105,"",0)</f>
        <v/>
      </c>
      <c r="F2043" s="16"/>
      <c r="G2043" s="16" cm="1">
        <f t="array" ref="G2043">IFERROR(_xlfn.XLOOKUP(1, (SKUs!$J$2:$J$10001=accsry_unmerged!F2043)*IF(H2043&lt;&gt;"",(SKUs!$L$2:$L$10001=accsry_unmerged!H2043),1)*(SKUs!$K$2:$K$10001=I2043),SKUs!$C$2:$C$10001),"")</f>
        <v>0</v>
      </c>
      <c r="H2043" s="33" cm="1">
        <f t="array" ref="H2043">IFERROR(_xlfn.XLOOKUP(1, (dd_accsryclr!$C$2:$C$1000=accsry_unmerged!F2043)*(dd_accsryclr!$B$2:$B$1000=accsry_unmerged!J2043),dd_accsryclr!$A$2:$A$1000),"")</f>
        <v>0</v>
      </c>
      <c r="I2043" s="16">
        <f>_xlfn.XLOOKUP(C2043,'Project Details'!$C$17:$C$66,'Project Details'!$E$17:$E$66,"",0)</f>
        <v>0</v>
      </c>
      <c r="J2043" s="16">
        <f>_xlfn.XLOOKUP(C2043,'Project Details'!$C$17:$C$66,'Project Details'!$H$17:$H$66,"",0)</f>
        <v>0</v>
      </c>
      <c r="K2043" s="33" t="str">
        <f>IF(AND(_xlfn.XLOOKUP(C2043,'Project Details'!$C$17:$C$66,'Project Details'!$L$17:$L$66,"",0)&gt;550, F2043="Spring-L27cm"),"",SUBSTITUTE(_xlfn.XLOOKUP(G2043,SKUs!$C$2:$C$10001,SKUs!$F$2:$F$10001,"",0), " Accessories",""))</f>
        <v/>
      </c>
      <c r="L2043" s="33">
        <f>_xlfn.XLOOKUP(C2043,'Project Details'!$C$17:$C$66,'Project Details'!$D$17:$D$66,"",0)</f>
        <v>0</v>
      </c>
      <c r="M2043" s="43"/>
    </row>
    <row r="2044" spans="1:13" ht="13.5" customHeight="1" x14ac:dyDescent="0.25">
      <c r="A2044" s="43"/>
      <c r="B2044" s="43"/>
      <c r="C2044" s="35">
        <f t="shared" si="39"/>
        <v>41</v>
      </c>
      <c r="D2044" s="35" t="str" cm="1">
        <f t="array" ref="D2044">IFERROR(ROUNDUP(_xlfn.IFS(F2044="Aluminum Track", _xlfn.XLOOKUP(C2044, dd_accsrycalc!$A$2:$A$51, dd_accsrycalc!$B$2:$B$51, "",0), F2044="10 x 2 1/2 S (Flat)", _xlfn.XLOOKUP(C2044, dd_accsrycalc!$A$2:$A$51, dd_accsrycalc!$C$2:$C$51, "",0), F2044="Tox6", _xlfn.XLOOKUP(C2044, dd_accsrycalc!$A$2:$A$51, dd_accsrycalc!$D$2:$D$51, "",0), F2044="Cover Cap", _xlfn.XLOOKUP(C2044, dd_accsrycalc!$A$2:$A$51, dd_accsrycalc!$E$2:$E$51, "",0), F2044="Drainage Cover", _xlfn.XLOOKUP(C2044, dd_accsrycalc!$A$2:$A$51, dd_accsrycalc!$F$2:$F$51, "",0),AND( F2044="Double Adhesive Tape", I2044="Roll-up Screen"), _xlfn.XLOOKUP(C2044, calc_rusacc!$C$15:$C$65, calc_rusacc!$AD$15:$AD$65, "",0),AND( F2044="Sealant", I2044="Roll-up Screen"), _xlfn.XLOOKUP(C2044, calc_rusacc!$C$15:$C$65, calc_rusacc!$AF$15:$AF$65, "",0),  AND( F2044="Main Chain", I2044="Accordion Screen"), _xlfn.XLOOKUP(C2044, calc_rusacc!$C$15:$C$65, calc_rusacc!$BF$15:$BF$65, "",0), AND( F2044="Sealant", I2044="Accordion Screen"), _xlfn.XLOOKUP(C2044, calc_rusacc!$C$15:$C$65, calc_rusacc!$BJ$15:$BJ$65, "",0),  F2044="Sealant", _xlfn.XLOOKUP(C2044, dd_accsrycalc!$A$2:$A$51, dd_accsrycalc!$G$2:$G$51, "",0),  F2044&lt;&gt;"",L2044*_xlfn.XLOOKUP(1, (SKUs!$C$2:$C$10001=G2044)*(SKUs!$K$2:$K$10001=I2044),SKUs!$E$2:$E$10001)), 0),"")</f>
        <v/>
      </c>
      <c r="E2044" s="35" t="str">
        <f>_xlfn.XLOOKUP(F2044,dd_item!$B$2:$B$105,dd_item!$C$2:$C$105,"",0)</f>
        <v/>
      </c>
      <c r="F2044" s="35"/>
      <c r="G2044" s="35" cm="1">
        <f t="array" ref="G2044">IFERROR(_xlfn.XLOOKUP(1, (SKUs!$J$2:$J$10001=accsry_unmerged!F2044)*IF(H2044&lt;&gt;"",(SKUs!$L$2:$L$10001=accsry_unmerged!H2044),1)*(SKUs!$K$2:$K$10001=I2044),SKUs!$C$2:$C$10001),"")</f>
        <v>0</v>
      </c>
      <c r="H2044" s="36" cm="1">
        <f t="array" ref="H2044">IFERROR(_xlfn.XLOOKUP(1, (dd_accsryclr!$C$2:$C$1000=accsry_unmerged!F2044)*(dd_accsryclr!$B$2:$B$1000=accsry_unmerged!J2044),dd_accsryclr!$A$2:$A$1000),"")</f>
        <v>0</v>
      </c>
      <c r="I2044" s="35">
        <f>_xlfn.XLOOKUP(C2044,'Project Details'!$C$17:$C$66,'Project Details'!$E$17:$E$66,"",0)</f>
        <v>0</v>
      </c>
      <c r="J2044" s="35">
        <f>_xlfn.XLOOKUP(C2044,'Project Details'!$C$17:$C$66,'Project Details'!$H$17:$H$66,"",0)</f>
        <v>0</v>
      </c>
      <c r="K2044" s="36" t="str">
        <f>IF(AND(_xlfn.XLOOKUP(C2044,'Project Details'!$C$17:$C$66,'Project Details'!$L$17:$L$66,"",0)&gt;550, F2044="Spring-L27cm"),"",SUBSTITUTE(_xlfn.XLOOKUP(G2044,SKUs!$C$2:$C$10001,SKUs!$F$2:$F$10001,"",0), " Accessories",""))</f>
        <v/>
      </c>
      <c r="L2044" s="36">
        <f>_xlfn.XLOOKUP(C2044,'Project Details'!$C$17:$C$66,'Project Details'!$D$17:$D$66,"",0)</f>
        <v>0</v>
      </c>
      <c r="M2044" s="43"/>
    </row>
    <row r="2045" spans="1:13" ht="13.5" customHeight="1" outlineLevel="1" x14ac:dyDescent="0.25">
      <c r="A2045" s="43"/>
      <c r="B2045" s="43"/>
      <c r="C2045" s="16">
        <f t="shared" si="39"/>
        <v>41</v>
      </c>
      <c r="D2045" s="16" t="str" cm="1">
        <f t="array" ref="D2045">IFERROR(ROUNDUP(_xlfn.IFS(F2045="Aluminum Track", _xlfn.XLOOKUP(C2045, dd_accsrycalc!$A$2:$A$51, dd_accsrycalc!$B$2:$B$51, "",0), F2045="10 x 2 1/2 S (Flat)", _xlfn.XLOOKUP(C2045, dd_accsrycalc!$A$2:$A$51, dd_accsrycalc!$C$2:$C$51, "",0), F2045="Tox6", _xlfn.XLOOKUP(C2045, dd_accsrycalc!$A$2:$A$51, dd_accsrycalc!$D$2:$D$51, "",0), F2045="Cover Cap", _xlfn.XLOOKUP(C2045, dd_accsrycalc!$A$2:$A$51, dd_accsrycalc!$E$2:$E$51, "",0), F2045="Drainage Cover", _xlfn.XLOOKUP(C2045, dd_accsrycalc!$A$2:$A$51, dd_accsrycalc!$F$2:$F$51, "",0),AND( F2045="Double Adhesive Tape", I2045="Roll-up Screen"), _xlfn.XLOOKUP(C2045, calc_rusacc!$C$15:$C$65, calc_rusacc!$AD$15:$AD$65, "",0),AND( F2045="Sealant", I2045="Roll-up Screen"), _xlfn.XLOOKUP(C2045, calc_rusacc!$C$15:$C$65, calc_rusacc!$AF$15:$AF$65, "",0),  AND( F2045="Main Chain", I2045="Accordion Screen"), _xlfn.XLOOKUP(C2045, calc_rusacc!$C$15:$C$65, calc_rusacc!$BF$15:$BF$65, "",0), AND( F2045="Sealant", I2045="Accordion Screen"), _xlfn.XLOOKUP(C2045, calc_rusacc!$C$15:$C$65, calc_rusacc!$BJ$15:$BJ$65, "",0),  F2045="Sealant", _xlfn.XLOOKUP(C2045, dd_accsrycalc!$A$2:$A$51, dd_accsrycalc!$G$2:$G$51, "",0),  F2045&lt;&gt;"",L2045*_xlfn.XLOOKUP(1, (SKUs!$C$2:$C$10001=G2045)*(SKUs!$K$2:$K$10001=I2045),SKUs!$E$2:$E$10001)), 0),"")</f>
        <v/>
      </c>
      <c r="E2045" s="16" t="str">
        <f>_xlfn.XLOOKUP(F2045,dd_item!$B$2:$B$105,dd_item!$C$2:$C$105,"",0)</f>
        <v/>
      </c>
      <c r="F2045" s="16"/>
      <c r="G2045" s="16" cm="1">
        <f t="array" ref="G2045">IFERROR(_xlfn.XLOOKUP(1, (SKUs!$J$2:$J$10001=accsry_unmerged!F2045)*IF(H2045&lt;&gt;"",(SKUs!$L$2:$L$10001=accsry_unmerged!H2045),1)*(SKUs!$K$2:$K$10001=I2045),SKUs!$C$2:$C$10001),"")</f>
        <v>0</v>
      </c>
      <c r="H2045" s="33" cm="1">
        <f t="array" ref="H2045">IFERROR(_xlfn.XLOOKUP(1, (dd_accsryclr!$C$2:$C$1000=accsry_unmerged!F2045)*(dd_accsryclr!$B$2:$B$1000=accsry_unmerged!J2045),dd_accsryclr!$A$2:$A$1000),"")</f>
        <v>0</v>
      </c>
      <c r="I2045" s="16">
        <f>_xlfn.XLOOKUP(C2045,'Project Details'!$C$17:$C$66,'Project Details'!$E$17:$E$66,"",0)</f>
        <v>0</v>
      </c>
      <c r="J2045" s="16">
        <f>_xlfn.XLOOKUP(C2045,'Project Details'!$C$17:$C$66,'Project Details'!$H$17:$H$66,"",0)</f>
        <v>0</v>
      </c>
      <c r="K2045" s="33" t="str">
        <f>IF(AND(_xlfn.XLOOKUP(C2045,'Project Details'!$C$17:$C$66,'Project Details'!$L$17:$L$66,"",0)&gt;550, F2045="Spring-L27cm"),"",SUBSTITUTE(_xlfn.XLOOKUP(G2045,SKUs!$C$2:$C$10001,SKUs!$F$2:$F$10001,"",0), " Accessories",""))</f>
        <v/>
      </c>
      <c r="L2045" s="33">
        <f>_xlfn.XLOOKUP(C2045,'Project Details'!$C$17:$C$66,'Project Details'!$D$17:$D$66,"",0)</f>
        <v>0</v>
      </c>
      <c r="M2045" s="43"/>
    </row>
    <row r="2046" spans="1:13" ht="13.5" customHeight="1" outlineLevel="1" x14ac:dyDescent="0.25">
      <c r="A2046" s="43"/>
      <c r="B2046" s="43"/>
      <c r="C2046" s="35">
        <f t="shared" si="39"/>
        <v>41</v>
      </c>
      <c r="D2046" s="35" t="str" cm="1">
        <f t="array" ref="D2046">IFERROR(ROUNDUP(_xlfn.IFS(F2046="Aluminum Track", _xlfn.XLOOKUP(C2046, dd_accsrycalc!$A$2:$A$51, dd_accsrycalc!$B$2:$B$51, "",0), F2046="10 x 2 1/2 S (Flat)", _xlfn.XLOOKUP(C2046, dd_accsrycalc!$A$2:$A$51, dd_accsrycalc!$C$2:$C$51, "",0), F2046="Tox6", _xlfn.XLOOKUP(C2046, dd_accsrycalc!$A$2:$A$51, dd_accsrycalc!$D$2:$D$51, "",0), F2046="Cover Cap", _xlfn.XLOOKUP(C2046, dd_accsrycalc!$A$2:$A$51, dd_accsrycalc!$E$2:$E$51, "",0), F2046="Drainage Cover", _xlfn.XLOOKUP(C2046, dd_accsrycalc!$A$2:$A$51, dd_accsrycalc!$F$2:$F$51, "",0),AND( F2046="Double Adhesive Tape", I2046="Roll-up Screen"), _xlfn.XLOOKUP(C2046, calc_rusacc!$C$15:$C$65, calc_rusacc!$AD$15:$AD$65, "",0),AND( F2046="Sealant", I2046="Roll-up Screen"), _xlfn.XLOOKUP(C2046, calc_rusacc!$C$15:$C$65, calc_rusacc!$AF$15:$AF$65, "",0),  AND( F2046="Main Chain", I2046="Accordion Screen"), _xlfn.XLOOKUP(C2046, calc_rusacc!$C$15:$C$65, calc_rusacc!$BF$15:$BF$65, "",0), AND( F2046="Sealant", I2046="Accordion Screen"), _xlfn.XLOOKUP(C2046, calc_rusacc!$C$15:$C$65, calc_rusacc!$BJ$15:$BJ$65, "",0),  F2046="Sealant", _xlfn.XLOOKUP(C2046, dd_accsrycalc!$A$2:$A$51, dd_accsrycalc!$G$2:$G$51, "",0),  F2046&lt;&gt;"",L2046*_xlfn.XLOOKUP(1, (SKUs!$C$2:$C$10001=G2046)*(SKUs!$K$2:$K$10001=I2046),SKUs!$E$2:$E$10001)), 0),"")</f>
        <v/>
      </c>
      <c r="E2046" s="35" t="str">
        <f>_xlfn.XLOOKUP(F2046,dd_item!$B$2:$B$105,dd_item!$C$2:$C$105,"",0)</f>
        <v/>
      </c>
      <c r="F2046" s="35"/>
      <c r="G2046" s="35" cm="1">
        <f t="array" ref="G2046">IFERROR(_xlfn.XLOOKUP(1, (SKUs!$J$2:$J$10001=accsry_unmerged!F2046)*IF(H2046&lt;&gt;"",(SKUs!$L$2:$L$10001=accsry_unmerged!H2046),1)*(SKUs!$K$2:$K$10001=I2046),SKUs!$C$2:$C$10001),"")</f>
        <v>0</v>
      </c>
      <c r="H2046" s="36" cm="1">
        <f t="array" ref="H2046">IFERROR(_xlfn.XLOOKUP(1, (dd_accsryclr!$C$2:$C$1000=accsry_unmerged!F2046)*(dd_accsryclr!$B$2:$B$1000=accsry_unmerged!J2046),dd_accsryclr!$A$2:$A$1000),"")</f>
        <v>0</v>
      </c>
      <c r="I2046" s="35">
        <f>_xlfn.XLOOKUP(C2046,'Project Details'!$C$17:$C$66,'Project Details'!$E$17:$E$66,"",0)</f>
        <v>0</v>
      </c>
      <c r="J2046" s="35">
        <f>_xlfn.XLOOKUP(C2046,'Project Details'!$C$17:$C$66,'Project Details'!$H$17:$H$66,"",0)</f>
        <v>0</v>
      </c>
      <c r="K2046" s="36" t="str">
        <f>IF(AND(_xlfn.XLOOKUP(C2046,'Project Details'!$C$17:$C$66,'Project Details'!$L$17:$L$66,"",0)&gt;550, F2046="Spring-L27cm"),"",SUBSTITUTE(_xlfn.XLOOKUP(G2046,SKUs!$C$2:$C$10001,SKUs!$F$2:$F$10001,"",0), " Accessories",""))</f>
        <v/>
      </c>
      <c r="L2046" s="36">
        <f>_xlfn.XLOOKUP(C2046,'Project Details'!$C$17:$C$66,'Project Details'!$D$17:$D$66,"",0)</f>
        <v>0</v>
      </c>
      <c r="M2046" s="43"/>
    </row>
    <row r="2047" spans="1:13" ht="13.5" customHeight="1" outlineLevel="1" x14ac:dyDescent="0.25">
      <c r="A2047" s="43"/>
      <c r="B2047" s="43"/>
      <c r="C2047" s="16">
        <f t="shared" si="39"/>
        <v>41</v>
      </c>
      <c r="D2047" s="16" t="str" cm="1">
        <f t="array" ref="D2047">IFERROR(ROUNDUP(_xlfn.IFS(F2047="Aluminum Track", _xlfn.XLOOKUP(C2047, dd_accsrycalc!$A$2:$A$51, dd_accsrycalc!$B$2:$B$51, "",0), F2047="10 x 2 1/2 S (Flat)", _xlfn.XLOOKUP(C2047, dd_accsrycalc!$A$2:$A$51, dd_accsrycalc!$C$2:$C$51, "",0), F2047="Tox6", _xlfn.XLOOKUP(C2047, dd_accsrycalc!$A$2:$A$51, dd_accsrycalc!$D$2:$D$51, "",0), F2047="Cover Cap", _xlfn.XLOOKUP(C2047, dd_accsrycalc!$A$2:$A$51, dd_accsrycalc!$E$2:$E$51, "",0), F2047="Drainage Cover", _xlfn.XLOOKUP(C2047, dd_accsrycalc!$A$2:$A$51, dd_accsrycalc!$F$2:$F$51, "",0),AND( F2047="Double Adhesive Tape", I2047="Roll-up Screen"), _xlfn.XLOOKUP(C2047, calc_rusacc!$C$15:$C$65, calc_rusacc!$AD$15:$AD$65, "",0),AND( F2047="Sealant", I2047="Roll-up Screen"), _xlfn.XLOOKUP(C2047, calc_rusacc!$C$15:$C$65, calc_rusacc!$AF$15:$AF$65, "",0),  AND( F2047="Main Chain", I2047="Accordion Screen"), _xlfn.XLOOKUP(C2047, calc_rusacc!$C$15:$C$65, calc_rusacc!$BF$15:$BF$65, "",0), AND( F2047="Sealant", I2047="Accordion Screen"), _xlfn.XLOOKUP(C2047, calc_rusacc!$C$15:$C$65, calc_rusacc!$BJ$15:$BJ$65, "",0),  F2047="Sealant", _xlfn.XLOOKUP(C2047, dd_accsrycalc!$A$2:$A$51, dd_accsrycalc!$G$2:$G$51, "",0),  F2047&lt;&gt;"",L2047*_xlfn.XLOOKUP(1, (SKUs!$C$2:$C$10001=G2047)*(SKUs!$K$2:$K$10001=I2047),SKUs!$E$2:$E$10001)), 0),"")</f>
        <v/>
      </c>
      <c r="E2047" s="16" t="str">
        <f>_xlfn.XLOOKUP(F2047,dd_item!$B$2:$B$105,dd_item!$C$2:$C$105,"",0)</f>
        <v/>
      </c>
      <c r="F2047" s="16"/>
      <c r="G2047" s="16" cm="1">
        <f t="array" ref="G2047">IFERROR(_xlfn.XLOOKUP(1, (SKUs!$J$2:$J$10001=accsry_unmerged!F2047)*IF(H2047&lt;&gt;"",(SKUs!$L$2:$L$10001=accsry_unmerged!H2047),1)*(SKUs!$K$2:$K$10001=I2047),SKUs!$C$2:$C$10001),"")</f>
        <v>0</v>
      </c>
      <c r="H2047" s="33" cm="1">
        <f t="array" ref="H2047">IFERROR(_xlfn.XLOOKUP(1, (dd_accsryclr!$C$2:$C$1000=accsry_unmerged!F2047)*(dd_accsryclr!$B$2:$B$1000=accsry_unmerged!J2047),dd_accsryclr!$A$2:$A$1000),"")</f>
        <v>0</v>
      </c>
      <c r="I2047" s="16">
        <f>_xlfn.XLOOKUP(C2047,'Project Details'!$C$17:$C$66,'Project Details'!$E$17:$E$66,"",0)</f>
        <v>0</v>
      </c>
      <c r="J2047" s="16">
        <f>_xlfn.XLOOKUP(C2047,'Project Details'!$C$17:$C$66,'Project Details'!$H$17:$H$66,"",0)</f>
        <v>0</v>
      </c>
      <c r="K2047" s="33" t="str">
        <f>IF(AND(_xlfn.XLOOKUP(C2047,'Project Details'!$C$17:$C$66,'Project Details'!$L$17:$L$66,"",0)&gt;550, F2047="Spring-L27cm"),"",SUBSTITUTE(_xlfn.XLOOKUP(G2047,SKUs!$C$2:$C$10001,SKUs!$F$2:$F$10001,"",0), " Accessories",""))</f>
        <v/>
      </c>
      <c r="L2047" s="33">
        <f>_xlfn.XLOOKUP(C2047,'Project Details'!$C$17:$C$66,'Project Details'!$D$17:$D$66,"",0)</f>
        <v>0</v>
      </c>
      <c r="M2047" s="43"/>
    </row>
    <row r="2048" spans="1:13" ht="13.5" customHeight="1" outlineLevel="1" x14ac:dyDescent="0.25">
      <c r="A2048" s="43"/>
      <c r="B2048" s="43"/>
      <c r="C2048" s="35">
        <f t="shared" si="39"/>
        <v>41</v>
      </c>
      <c r="D2048" s="35" t="str" cm="1">
        <f t="array" ref="D2048">IFERROR(ROUNDUP(_xlfn.IFS(F2048="Aluminum Track", _xlfn.XLOOKUP(C2048, dd_accsrycalc!$A$2:$A$51, dd_accsrycalc!$B$2:$B$51, "",0), F2048="10 x 2 1/2 S (Flat)", _xlfn.XLOOKUP(C2048, dd_accsrycalc!$A$2:$A$51, dd_accsrycalc!$C$2:$C$51, "",0), F2048="Tox6", _xlfn.XLOOKUP(C2048, dd_accsrycalc!$A$2:$A$51, dd_accsrycalc!$D$2:$D$51, "",0), F2048="Cover Cap", _xlfn.XLOOKUP(C2048, dd_accsrycalc!$A$2:$A$51, dd_accsrycalc!$E$2:$E$51, "",0), F2048="Drainage Cover", _xlfn.XLOOKUP(C2048, dd_accsrycalc!$A$2:$A$51, dd_accsrycalc!$F$2:$F$51, "",0),AND( F2048="Double Adhesive Tape", I2048="Roll-up Screen"), _xlfn.XLOOKUP(C2048, calc_rusacc!$C$15:$C$65, calc_rusacc!$AD$15:$AD$65, "",0),AND( F2048="Sealant", I2048="Roll-up Screen"), _xlfn.XLOOKUP(C2048, calc_rusacc!$C$15:$C$65, calc_rusacc!$AF$15:$AF$65, "",0),  AND( F2048="Main Chain", I2048="Accordion Screen"), _xlfn.XLOOKUP(C2048, calc_rusacc!$C$15:$C$65, calc_rusacc!$BF$15:$BF$65, "",0), AND( F2048="Sealant", I2048="Accordion Screen"), _xlfn.XLOOKUP(C2048, calc_rusacc!$C$15:$C$65, calc_rusacc!$BJ$15:$BJ$65, "",0),  F2048="Sealant", _xlfn.XLOOKUP(C2048, dd_accsrycalc!$A$2:$A$51, dd_accsrycalc!$G$2:$G$51, "",0),  F2048&lt;&gt;"",L2048*_xlfn.XLOOKUP(1, (SKUs!$C$2:$C$10001=G2048)*(SKUs!$K$2:$K$10001=I2048),SKUs!$E$2:$E$10001)), 0),"")</f>
        <v/>
      </c>
      <c r="E2048" s="35" t="str">
        <f>_xlfn.XLOOKUP(F2048,dd_item!$B$2:$B$105,dd_item!$C$2:$C$105,"",0)</f>
        <v/>
      </c>
      <c r="F2048" s="35"/>
      <c r="G2048" s="35" cm="1">
        <f t="array" ref="G2048">IFERROR(_xlfn.XLOOKUP(1, (SKUs!$J$2:$J$10001=accsry_unmerged!F2048)*IF(H2048&lt;&gt;"",(SKUs!$L$2:$L$10001=accsry_unmerged!H2048),1)*(SKUs!$K$2:$K$10001=I2048),SKUs!$C$2:$C$10001),"")</f>
        <v>0</v>
      </c>
      <c r="H2048" s="36" cm="1">
        <f t="array" ref="H2048">IFERROR(_xlfn.XLOOKUP(1, (dd_accsryclr!$C$2:$C$1000=accsry_unmerged!F2048)*(dd_accsryclr!$B$2:$B$1000=accsry_unmerged!J2048),dd_accsryclr!$A$2:$A$1000),"")</f>
        <v>0</v>
      </c>
      <c r="I2048" s="35">
        <f>_xlfn.XLOOKUP(C2048,'Project Details'!$C$17:$C$66,'Project Details'!$E$17:$E$66,"",0)</f>
        <v>0</v>
      </c>
      <c r="J2048" s="35">
        <f>_xlfn.XLOOKUP(C2048,'Project Details'!$C$17:$C$66,'Project Details'!$H$17:$H$66,"",0)</f>
        <v>0</v>
      </c>
      <c r="K2048" s="36" t="str">
        <f>IF(AND(_xlfn.XLOOKUP(C2048,'Project Details'!$C$17:$C$66,'Project Details'!$L$17:$L$66,"",0)&gt;550, F2048="Spring-L27cm"),"",SUBSTITUTE(_xlfn.XLOOKUP(G2048,SKUs!$C$2:$C$10001,SKUs!$F$2:$F$10001,"",0), " Accessories",""))</f>
        <v/>
      </c>
      <c r="L2048" s="36">
        <f>_xlfn.XLOOKUP(C2048,'Project Details'!$C$17:$C$66,'Project Details'!$D$17:$D$66,"",0)</f>
        <v>0</v>
      </c>
      <c r="M2048" s="43"/>
    </row>
    <row r="2049" spans="1:13" ht="13.5" customHeight="1" outlineLevel="1" x14ac:dyDescent="0.25">
      <c r="A2049" s="43"/>
      <c r="B2049" s="43"/>
      <c r="C2049" s="16">
        <f t="shared" si="39"/>
        <v>41</v>
      </c>
      <c r="D2049" s="16" t="str" cm="1">
        <f t="array" ref="D2049">IFERROR(ROUNDUP(_xlfn.IFS(F2049="Aluminum Track", _xlfn.XLOOKUP(C2049, dd_accsrycalc!$A$2:$A$51, dd_accsrycalc!$B$2:$B$51, "",0), F2049="10 x 2 1/2 S (Flat)", _xlfn.XLOOKUP(C2049, dd_accsrycalc!$A$2:$A$51, dd_accsrycalc!$C$2:$C$51, "",0), F2049="Tox6", _xlfn.XLOOKUP(C2049, dd_accsrycalc!$A$2:$A$51, dd_accsrycalc!$D$2:$D$51, "",0), F2049="Cover Cap", _xlfn.XLOOKUP(C2049, dd_accsrycalc!$A$2:$A$51, dd_accsrycalc!$E$2:$E$51, "",0), F2049="Drainage Cover", _xlfn.XLOOKUP(C2049, dd_accsrycalc!$A$2:$A$51, dd_accsrycalc!$F$2:$F$51, "",0),AND( F2049="Double Adhesive Tape", I2049="Roll-up Screen"), _xlfn.XLOOKUP(C2049, calc_rusacc!$C$15:$C$65, calc_rusacc!$AD$15:$AD$65, "",0),AND( F2049="Sealant", I2049="Roll-up Screen"), _xlfn.XLOOKUP(C2049, calc_rusacc!$C$15:$C$65, calc_rusacc!$AF$15:$AF$65, "",0),  AND( F2049="Main Chain", I2049="Accordion Screen"), _xlfn.XLOOKUP(C2049, calc_rusacc!$C$15:$C$65, calc_rusacc!$BF$15:$BF$65, "",0), AND( F2049="Sealant", I2049="Accordion Screen"), _xlfn.XLOOKUP(C2049, calc_rusacc!$C$15:$C$65, calc_rusacc!$BJ$15:$BJ$65, "",0),  F2049="Sealant", _xlfn.XLOOKUP(C2049, dd_accsrycalc!$A$2:$A$51, dd_accsrycalc!$G$2:$G$51, "",0),  F2049&lt;&gt;"",L2049*_xlfn.XLOOKUP(1, (SKUs!$C$2:$C$10001=G2049)*(SKUs!$K$2:$K$10001=I2049),SKUs!$E$2:$E$10001)), 0),"")</f>
        <v/>
      </c>
      <c r="E2049" s="16" t="str">
        <f>_xlfn.XLOOKUP(F2049,dd_item!$B$2:$B$105,dd_item!$C$2:$C$105,"",0)</f>
        <v/>
      </c>
      <c r="F2049" s="16"/>
      <c r="G2049" s="16" cm="1">
        <f t="array" ref="G2049">IFERROR(_xlfn.XLOOKUP(1, (SKUs!$J$2:$J$10001=accsry_unmerged!F2049)*IF(H2049&lt;&gt;"",(SKUs!$L$2:$L$10001=accsry_unmerged!H2049),1)*(SKUs!$K$2:$K$10001=I2049),SKUs!$C$2:$C$10001),"")</f>
        <v>0</v>
      </c>
      <c r="H2049" s="33" cm="1">
        <f t="array" ref="H2049">IFERROR(_xlfn.XLOOKUP(1, (dd_accsryclr!$C$2:$C$1000=accsry_unmerged!F2049)*(dd_accsryclr!$B$2:$B$1000=accsry_unmerged!J2049),dd_accsryclr!$A$2:$A$1000),"")</f>
        <v>0</v>
      </c>
      <c r="I2049" s="16">
        <f>_xlfn.XLOOKUP(C2049,'Project Details'!$C$17:$C$66,'Project Details'!$E$17:$E$66,"",0)</f>
        <v>0</v>
      </c>
      <c r="J2049" s="16">
        <f>_xlfn.XLOOKUP(C2049,'Project Details'!$C$17:$C$66,'Project Details'!$H$17:$H$66,"",0)</f>
        <v>0</v>
      </c>
      <c r="K2049" s="33" t="str">
        <f>IF(AND(_xlfn.XLOOKUP(C2049,'Project Details'!$C$17:$C$66,'Project Details'!$L$17:$L$66,"",0)&gt;550, F2049="Spring-L27cm"),"",SUBSTITUTE(_xlfn.XLOOKUP(G2049,SKUs!$C$2:$C$10001,SKUs!$F$2:$F$10001,"",0), " Accessories",""))</f>
        <v/>
      </c>
      <c r="L2049" s="33">
        <f>_xlfn.XLOOKUP(C2049,'Project Details'!$C$17:$C$66,'Project Details'!$D$17:$D$66,"",0)</f>
        <v>0</v>
      </c>
      <c r="M2049" s="43"/>
    </row>
    <row r="2050" spans="1:13" ht="13.5" customHeight="1" outlineLevel="1" x14ac:dyDescent="0.25">
      <c r="A2050" s="43"/>
      <c r="B2050" s="43"/>
      <c r="C2050" s="35">
        <f t="shared" si="39"/>
        <v>41</v>
      </c>
      <c r="D2050" s="35" t="str" cm="1">
        <f t="array" ref="D2050">IFERROR(ROUNDUP(_xlfn.IFS(F2050="Aluminum Track", _xlfn.XLOOKUP(C2050, dd_accsrycalc!$A$2:$A$51, dd_accsrycalc!$B$2:$B$51, "",0), F2050="10 x 2 1/2 S (Flat)", _xlfn.XLOOKUP(C2050, dd_accsrycalc!$A$2:$A$51, dd_accsrycalc!$C$2:$C$51, "",0), F2050="Tox6", _xlfn.XLOOKUP(C2050, dd_accsrycalc!$A$2:$A$51, dd_accsrycalc!$D$2:$D$51, "",0), F2050="Cover Cap", _xlfn.XLOOKUP(C2050, dd_accsrycalc!$A$2:$A$51, dd_accsrycalc!$E$2:$E$51, "",0), F2050="Drainage Cover", _xlfn.XLOOKUP(C2050, dd_accsrycalc!$A$2:$A$51, dd_accsrycalc!$F$2:$F$51, "",0),AND( F2050="Double Adhesive Tape", I2050="Roll-up Screen"), _xlfn.XLOOKUP(C2050, calc_rusacc!$C$15:$C$65, calc_rusacc!$AD$15:$AD$65, "",0),AND( F2050="Sealant", I2050="Roll-up Screen"), _xlfn.XLOOKUP(C2050, calc_rusacc!$C$15:$C$65, calc_rusacc!$AF$15:$AF$65, "",0),  AND( F2050="Main Chain", I2050="Accordion Screen"), _xlfn.XLOOKUP(C2050, calc_rusacc!$C$15:$C$65, calc_rusacc!$BF$15:$BF$65, "",0), AND( F2050="Sealant", I2050="Accordion Screen"), _xlfn.XLOOKUP(C2050, calc_rusacc!$C$15:$C$65, calc_rusacc!$BJ$15:$BJ$65, "",0),  F2050="Sealant", _xlfn.XLOOKUP(C2050, dd_accsrycalc!$A$2:$A$51, dd_accsrycalc!$G$2:$G$51, "",0),  F2050&lt;&gt;"",L2050*_xlfn.XLOOKUP(1, (SKUs!$C$2:$C$10001=G2050)*(SKUs!$K$2:$K$10001=I2050),SKUs!$E$2:$E$10001)), 0),"")</f>
        <v/>
      </c>
      <c r="E2050" s="35" t="str">
        <f>_xlfn.XLOOKUP(F2050,dd_item!$B$2:$B$105,dd_item!$C$2:$C$105,"",0)</f>
        <v/>
      </c>
      <c r="F2050" s="35"/>
      <c r="G2050" s="35" cm="1">
        <f t="array" ref="G2050">IFERROR(_xlfn.XLOOKUP(1, (SKUs!$J$2:$J$10001=accsry_unmerged!F2050)*IF(H2050&lt;&gt;"",(SKUs!$L$2:$L$10001=accsry_unmerged!H2050),1)*(SKUs!$K$2:$K$10001=I2050),SKUs!$C$2:$C$10001),"")</f>
        <v>0</v>
      </c>
      <c r="H2050" s="36" cm="1">
        <f t="array" ref="H2050">IFERROR(_xlfn.XLOOKUP(1, (dd_accsryclr!$C$2:$C$1000=accsry_unmerged!F2050)*(dd_accsryclr!$B$2:$B$1000=accsry_unmerged!J2050),dd_accsryclr!$A$2:$A$1000),"")</f>
        <v>0</v>
      </c>
      <c r="I2050" s="35">
        <f>_xlfn.XLOOKUP(C2050,'Project Details'!$C$17:$C$66,'Project Details'!$E$17:$E$66,"",0)</f>
        <v>0</v>
      </c>
      <c r="J2050" s="35">
        <f>_xlfn.XLOOKUP(C2050,'Project Details'!$C$17:$C$66,'Project Details'!$H$17:$H$66,"",0)</f>
        <v>0</v>
      </c>
      <c r="K2050" s="36" t="str">
        <f>IF(AND(_xlfn.XLOOKUP(C2050,'Project Details'!$C$17:$C$66,'Project Details'!$L$17:$L$66,"",0)&gt;550, F2050="Spring-L27cm"),"",SUBSTITUTE(_xlfn.XLOOKUP(G2050,SKUs!$C$2:$C$10001,SKUs!$F$2:$F$10001,"",0), " Accessories",""))</f>
        <v/>
      </c>
      <c r="L2050" s="36">
        <f>_xlfn.XLOOKUP(C2050,'Project Details'!$C$17:$C$66,'Project Details'!$D$17:$D$66,"",0)</f>
        <v>0</v>
      </c>
      <c r="M2050" s="43"/>
    </row>
    <row r="2051" spans="1:13" ht="13.5" customHeight="1" outlineLevel="1" x14ac:dyDescent="0.25">
      <c r="A2051" s="43"/>
      <c r="B2051" s="43"/>
      <c r="C2051" s="16">
        <f t="shared" si="39"/>
        <v>41</v>
      </c>
      <c r="D2051" s="16" t="str" cm="1">
        <f t="array" ref="D2051">IFERROR(ROUNDUP(_xlfn.IFS(F2051="Aluminum Track", _xlfn.XLOOKUP(C2051, dd_accsrycalc!$A$2:$A$51, dd_accsrycalc!$B$2:$B$51, "",0), F2051="10 x 2 1/2 S (Flat)", _xlfn.XLOOKUP(C2051, dd_accsrycalc!$A$2:$A$51, dd_accsrycalc!$C$2:$C$51, "",0), F2051="Tox6", _xlfn.XLOOKUP(C2051, dd_accsrycalc!$A$2:$A$51, dd_accsrycalc!$D$2:$D$51, "",0), F2051="Cover Cap", _xlfn.XLOOKUP(C2051, dd_accsrycalc!$A$2:$A$51, dd_accsrycalc!$E$2:$E$51, "",0), F2051="Drainage Cover", _xlfn.XLOOKUP(C2051, dd_accsrycalc!$A$2:$A$51, dd_accsrycalc!$F$2:$F$51, "",0),AND( F2051="Double Adhesive Tape", I2051="Roll-up Screen"), _xlfn.XLOOKUP(C2051, calc_rusacc!$C$15:$C$65, calc_rusacc!$AD$15:$AD$65, "",0),AND( F2051="Sealant", I2051="Roll-up Screen"), _xlfn.XLOOKUP(C2051, calc_rusacc!$C$15:$C$65, calc_rusacc!$AF$15:$AF$65, "",0),  AND( F2051="Main Chain", I2051="Accordion Screen"), _xlfn.XLOOKUP(C2051, calc_rusacc!$C$15:$C$65, calc_rusacc!$BF$15:$BF$65, "",0), AND( F2051="Sealant", I2051="Accordion Screen"), _xlfn.XLOOKUP(C2051, calc_rusacc!$C$15:$C$65, calc_rusacc!$BJ$15:$BJ$65, "",0),  F2051="Sealant", _xlfn.XLOOKUP(C2051, dd_accsrycalc!$A$2:$A$51, dd_accsrycalc!$G$2:$G$51, "",0),  F2051&lt;&gt;"",L2051*_xlfn.XLOOKUP(1, (SKUs!$C$2:$C$10001=G2051)*(SKUs!$K$2:$K$10001=I2051),SKUs!$E$2:$E$10001)), 0),"")</f>
        <v/>
      </c>
      <c r="E2051" s="16" t="str">
        <f>_xlfn.XLOOKUP(F2051,dd_item!$B$2:$B$105,dd_item!$C$2:$C$105,"",0)</f>
        <v/>
      </c>
      <c r="F2051" s="16"/>
      <c r="G2051" s="16" cm="1">
        <f t="array" ref="G2051">IFERROR(_xlfn.XLOOKUP(1, (SKUs!$J$2:$J$10001=accsry_unmerged!F2051)*IF(H2051&lt;&gt;"",(SKUs!$L$2:$L$10001=accsry_unmerged!H2051),1)*(SKUs!$K$2:$K$10001=I2051),SKUs!$C$2:$C$10001),"")</f>
        <v>0</v>
      </c>
      <c r="H2051" s="33" cm="1">
        <f t="array" ref="H2051">IFERROR(_xlfn.XLOOKUP(1, (dd_accsryclr!$C$2:$C$1000=accsry_unmerged!F2051)*(dd_accsryclr!$B$2:$B$1000=accsry_unmerged!J2051),dd_accsryclr!$A$2:$A$1000),"")</f>
        <v>0</v>
      </c>
      <c r="I2051" s="16">
        <f>_xlfn.XLOOKUP(C2051,'Project Details'!$C$17:$C$66,'Project Details'!$E$17:$E$66,"",0)</f>
        <v>0</v>
      </c>
      <c r="J2051" s="16">
        <f>_xlfn.XLOOKUP(C2051,'Project Details'!$C$17:$C$66,'Project Details'!$H$17:$H$66,"",0)</f>
        <v>0</v>
      </c>
      <c r="K2051" s="33" t="str">
        <f>IF(AND(_xlfn.XLOOKUP(C2051,'Project Details'!$C$17:$C$66,'Project Details'!$L$17:$L$66,"",0)&gt;550, F2051="Spring-L27cm"),"",SUBSTITUTE(_xlfn.XLOOKUP(G2051,SKUs!$C$2:$C$10001,SKUs!$F$2:$F$10001,"",0), " Accessories",""))</f>
        <v/>
      </c>
      <c r="L2051" s="33">
        <f>_xlfn.XLOOKUP(C2051,'Project Details'!$C$17:$C$66,'Project Details'!$D$17:$D$66,"",0)</f>
        <v>0</v>
      </c>
      <c r="M2051" s="43"/>
    </row>
    <row r="2052" spans="1:13" ht="13.5" customHeight="1" outlineLevel="1" x14ac:dyDescent="0.25">
      <c r="A2052" s="43"/>
      <c r="B2052" s="43"/>
      <c r="C2052" s="35">
        <f t="shared" si="39"/>
        <v>41</v>
      </c>
      <c r="D2052" s="35" t="str" cm="1">
        <f t="array" ref="D2052">IFERROR(ROUNDUP(_xlfn.IFS(F2052="Aluminum Track", _xlfn.XLOOKUP(C2052, dd_accsrycalc!$A$2:$A$51, dd_accsrycalc!$B$2:$B$51, "",0), F2052="10 x 2 1/2 S (Flat)", _xlfn.XLOOKUP(C2052, dd_accsrycalc!$A$2:$A$51, dd_accsrycalc!$C$2:$C$51, "",0), F2052="Tox6", _xlfn.XLOOKUP(C2052, dd_accsrycalc!$A$2:$A$51, dd_accsrycalc!$D$2:$D$51, "",0), F2052="Cover Cap", _xlfn.XLOOKUP(C2052, dd_accsrycalc!$A$2:$A$51, dd_accsrycalc!$E$2:$E$51, "",0), F2052="Drainage Cover", _xlfn.XLOOKUP(C2052, dd_accsrycalc!$A$2:$A$51, dd_accsrycalc!$F$2:$F$51, "",0),AND( F2052="Double Adhesive Tape", I2052="Roll-up Screen"), _xlfn.XLOOKUP(C2052, calc_rusacc!$C$15:$C$65, calc_rusacc!$AD$15:$AD$65, "",0),AND( F2052="Sealant", I2052="Roll-up Screen"), _xlfn.XLOOKUP(C2052, calc_rusacc!$C$15:$C$65, calc_rusacc!$AF$15:$AF$65, "",0),  AND( F2052="Main Chain", I2052="Accordion Screen"), _xlfn.XLOOKUP(C2052, calc_rusacc!$C$15:$C$65, calc_rusacc!$BF$15:$BF$65, "",0), AND( F2052="Sealant", I2052="Accordion Screen"), _xlfn.XLOOKUP(C2052, calc_rusacc!$C$15:$C$65, calc_rusacc!$BJ$15:$BJ$65, "",0),  F2052="Sealant", _xlfn.XLOOKUP(C2052, dd_accsrycalc!$A$2:$A$51, dd_accsrycalc!$G$2:$G$51, "",0),  F2052&lt;&gt;"",L2052*_xlfn.XLOOKUP(1, (SKUs!$C$2:$C$10001=G2052)*(SKUs!$K$2:$K$10001=I2052),SKUs!$E$2:$E$10001)), 0),"")</f>
        <v/>
      </c>
      <c r="E2052" s="35" t="str">
        <f>_xlfn.XLOOKUP(F2052,dd_item!$B$2:$B$105,dd_item!$C$2:$C$105,"",0)</f>
        <v/>
      </c>
      <c r="F2052" s="35"/>
      <c r="G2052" s="35" cm="1">
        <f t="array" ref="G2052">IFERROR(_xlfn.XLOOKUP(1, (SKUs!$J$2:$J$10001=accsry_unmerged!F2052)*IF(H2052&lt;&gt;"",(SKUs!$L$2:$L$10001=accsry_unmerged!H2052),1)*(SKUs!$K$2:$K$10001=I2052),SKUs!$C$2:$C$10001),"")</f>
        <v>0</v>
      </c>
      <c r="H2052" s="36" cm="1">
        <f t="array" ref="H2052">IFERROR(_xlfn.XLOOKUP(1, (dd_accsryclr!$C$2:$C$1000=accsry_unmerged!F2052)*(dd_accsryclr!$B$2:$B$1000=accsry_unmerged!J2052),dd_accsryclr!$A$2:$A$1000),"")</f>
        <v>0</v>
      </c>
      <c r="I2052" s="35">
        <f>_xlfn.XLOOKUP(C2052,'Project Details'!$C$17:$C$66,'Project Details'!$E$17:$E$66,"",0)</f>
        <v>0</v>
      </c>
      <c r="J2052" s="35">
        <f>_xlfn.XLOOKUP(C2052,'Project Details'!$C$17:$C$66,'Project Details'!$H$17:$H$66,"",0)</f>
        <v>0</v>
      </c>
      <c r="K2052" s="36" t="str">
        <f>IF(AND(_xlfn.XLOOKUP(C2052,'Project Details'!$C$17:$C$66,'Project Details'!$L$17:$L$66,"",0)&gt;550, F2052="Spring-L27cm"),"",SUBSTITUTE(_xlfn.XLOOKUP(G2052,SKUs!$C$2:$C$10001,SKUs!$F$2:$F$10001,"",0), " Accessories",""))</f>
        <v/>
      </c>
      <c r="L2052" s="36">
        <f>_xlfn.XLOOKUP(C2052,'Project Details'!$C$17:$C$66,'Project Details'!$D$17:$D$66,"",0)</f>
        <v>0</v>
      </c>
      <c r="M2052" s="43"/>
    </row>
    <row r="2053" spans="1:13" ht="13.5" customHeight="1" outlineLevel="1" x14ac:dyDescent="0.25">
      <c r="A2053" s="43"/>
      <c r="B2053" s="43"/>
      <c r="C2053" s="16">
        <f t="shared" si="39"/>
        <v>41</v>
      </c>
      <c r="D2053" s="16" t="str" cm="1">
        <f t="array" ref="D2053">IFERROR(ROUNDUP(_xlfn.IFS(F2053="Aluminum Track", _xlfn.XLOOKUP(C2053, dd_accsrycalc!$A$2:$A$51, dd_accsrycalc!$B$2:$B$51, "",0), F2053="10 x 2 1/2 S (Flat)", _xlfn.XLOOKUP(C2053, dd_accsrycalc!$A$2:$A$51, dd_accsrycalc!$C$2:$C$51, "",0), F2053="Tox6", _xlfn.XLOOKUP(C2053, dd_accsrycalc!$A$2:$A$51, dd_accsrycalc!$D$2:$D$51, "",0), F2053="Cover Cap", _xlfn.XLOOKUP(C2053, dd_accsrycalc!$A$2:$A$51, dd_accsrycalc!$E$2:$E$51, "",0), F2053="Drainage Cover", _xlfn.XLOOKUP(C2053, dd_accsrycalc!$A$2:$A$51, dd_accsrycalc!$F$2:$F$51, "",0),AND( F2053="Double Adhesive Tape", I2053="Roll-up Screen"), _xlfn.XLOOKUP(C2053, calc_rusacc!$C$15:$C$65, calc_rusacc!$AD$15:$AD$65, "",0),AND( F2053="Sealant", I2053="Roll-up Screen"), _xlfn.XLOOKUP(C2053, calc_rusacc!$C$15:$C$65, calc_rusacc!$AF$15:$AF$65, "",0),  AND( F2053="Main Chain", I2053="Accordion Screen"), _xlfn.XLOOKUP(C2053, calc_rusacc!$C$15:$C$65, calc_rusacc!$BF$15:$BF$65, "",0), AND( F2053="Sealant", I2053="Accordion Screen"), _xlfn.XLOOKUP(C2053, calc_rusacc!$C$15:$C$65, calc_rusacc!$BJ$15:$BJ$65, "",0),  F2053="Sealant", _xlfn.XLOOKUP(C2053, dd_accsrycalc!$A$2:$A$51, dd_accsrycalc!$G$2:$G$51, "",0),  F2053&lt;&gt;"",L2053*_xlfn.XLOOKUP(1, (SKUs!$C$2:$C$10001=G2053)*(SKUs!$K$2:$K$10001=I2053),SKUs!$E$2:$E$10001)), 0),"")</f>
        <v/>
      </c>
      <c r="E2053" s="16" t="str">
        <f>_xlfn.XLOOKUP(F2053,dd_item!$B$2:$B$105,dd_item!$C$2:$C$105,"",0)</f>
        <v/>
      </c>
      <c r="F2053" s="16"/>
      <c r="G2053" s="16" cm="1">
        <f t="array" ref="G2053">IFERROR(_xlfn.XLOOKUP(1, (SKUs!$J$2:$J$10001=accsry_unmerged!F2053)*IF(H2053&lt;&gt;"",(SKUs!$L$2:$L$10001=accsry_unmerged!H2053),1)*(SKUs!$K$2:$K$10001=I2053),SKUs!$C$2:$C$10001),"")</f>
        <v>0</v>
      </c>
      <c r="H2053" s="33" cm="1">
        <f t="array" ref="H2053">IFERROR(_xlfn.XLOOKUP(1, (dd_accsryclr!$C$2:$C$1000=accsry_unmerged!F2053)*(dd_accsryclr!$B$2:$B$1000=accsry_unmerged!J2053),dd_accsryclr!$A$2:$A$1000),"")</f>
        <v>0</v>
      </c>
      <c r="I2053" s="16">
        <f>_xlfn.XLOOKUP(C2053,'Project Details'!$C$17:$C$66,'Project Details'!$E$17:$E$66,"",0)</f>
        <v>0</v>
      </c>
      <c r="J2053" s="16">
        <f>_xlfn.XLOOKUP(C2053,'Project Details'!$C$17:$C$66,'Project Details'!$H$17:$H$66,"",0)</f>
        <v>0</v>
      </c>
      <c r="K2053" s="33" t="str">
        <f>IF(AND(_xlfn.XLOOKUP(C2053,'Project Details'!$C$17:$C$66,'Project Details'!$L$17:$L$66,"",0)&gt;550, F2053="Spring-L27cm"),"",SUBSTITUTE(_xlfn.XLOOKUP(G2053,SKUs!$C$2:$C$10001,SKUs!$F$2:$F$10001,"",0), " Accessories",""))</f>
        <v/>
      </c>
      <c r="L2053" s="33">
        <f>_xlfn.XLOOKUP(C2053,'Project Details'!$C$17:$C$66,'Project Details'!$D$17:$D$66,"",0)</f>
        <v>0</v>
      </c>
      <c r="M2053" s="43"/>
    </row>
    <row r="2054" spans="1:13" ht="13.5" customHeight="1" outlineLevel="1" x14ac:dyDescent="0.25">
      <c r="A2054" s="43"/>
      <c r="B2054" s="43"/>
      <c r="C2054" s="35">
        <f t="shared" si="39"/>
        <v>41</v>
      </c>
      <c r="D2054" s="35" t="str" cm="1">
        <f t="array" ref="D2054">IFERROR(ROUNDUP(_xlfn.IFS(F2054="Aluminum Track", _xlfn.XLOOKUP(C2054, dd_accsrycalc!$A$2:$A$51, dd_accsrycalc!$B$2:$B$51, "",0), F2054="10 x 2 1/2 S (Flat)", _xlfn.XLOOKUP(C2054, dd_accsrycalc!$A$2:$A$51, dd_accsrycalc!$C$2:$C$51, "",0), F2054="Tox6", _xlfn.XLOOKUP(C2054, dd_accsrycalc!$A$2:$A$51, dd_accsrycalc!$D$2:$D$51, "",0), F2054="Cover Cap", _xlfn.XLOOKUP(C2054, dd_accsrycalc!$A$2:$A$51, dd_accsrycalc!$E$2:$E$51, "",0), F2054="Drainage Cover", _xlfn.XLOOKUP(C2054, dd_accsrycalc!$A$2:$A$51, dd_accsrycalc!$F$2:$F$51, "",0),AND( F2054="Double Adhesive Tape", I2054="Roll-up Screen"), _xlfn.XLOOKUP(C2054, calc_rusacc!$C$15:$C$65, calc_rusacc!$AD$15:$AD$65, "",0),AND( F2054="Sealant", I2054="Roll-up Screen"), _xlfn.XLOOKUP(C2054, calc_rusacc!$C$15:$C$65, calc_rusacc!$AF$15:$AF$65, "",0),  AND( F2054="Main Chain", I2054="Accordion Screen"), _xlfn.XLOOKUP(C2054, calc_rusacc!$C$15:$C$65, calc_rusacc!$BF$15:$BF$65, "",0), AND( F2054="Sealant", I2054="Accordion Screen"), _xlfn.XLOOKUP(C2054, calc_rusacc!$C$15:$C$65, calc_rusacc!$BJ$15:$BJ$65, "",0),  F2054="Sealant", _xlfn.XLOOKUP(C2054, dd_accsrycalc!$A$2:$A$51, dd_accsrycalc!$G$2:$G$51, "",0),  F2054&lt;&gt;"",L2054*_xlfn.XLOOKUP(1, (SKUs!$C$2:$C$10001=G2054)*(SKUs!$K$2:$K$10001=I2054),SKUs!$E$2:$E$10001)), 0),"")</f>
        <v/>
      </c>
      <c r="E2054" s="35" t="str">
        <f>_xlfn.XLOOKUP(F2054,dd_item!$B$2:$B$105,dd_item!$C$2:$C$105,"",0)</f>
        <v/>
      </c>
      <c r="F2054" s="35"/>
      <c r="G2054" s="35" cm="1">
        <f t="array" ref="G2054">IFERROR(_xlfn.XLOOKUP(1, (SKUs!$J$2:$J$10001=accsry_unmerged!F2054)*IF(H2054&lt;&gt;"",(SKUs!$L$2:$L$10001=accsry_unmerged!H2054),1)*(SKUs!$K$2:$K$10001=I2054),SKUs!$C$2:$C$10001),"")</f>
        <v>0</v>
      </c>
      <c r="H2054" s="36" cm="1">
        <f t="array" ref="H2054">IFERROR(_xlfn.XLOOKUP(1, (dd_accsryclr!$C$2:$C$1000=accsry_unmerged!F2054)*(dd_accsryclr!$B$2:$B$1000=accsry_unmerged!J2054),dd_accsryclr!$A$2:$A$1000),"")</f>
        <v>0</v>
      </c>
      <c r="I2054" s="35">
        <f>_xlfn.XLOOKUP(C2054,'Project Details'!$C$17:$C$66,'Project Details'!$E$17:$E$66,"",0)</f>
        <v>0</v>
      </c>
      <c r="J2054" s="35">
        <f>_xlfn.XLOOKUP(C2054,'Project Details'!$C$17:$C$66,'Project Details'!$H$17:$H$66,"",0)</f>
        <v>0</v>
      </c>
      <c r="K2054" s="36" t="str">
        <f>IF(AND(_xlfn.XLOOKUP(C2054,'Project Details'!$C$17:$C$66,'Project Details'!$L$17:$L$66,"",0)&gt;550, F2054="Spring-L27cm"),"",SUBSTITUTE(_xlfn.XLOOKUP(G2054,SKUs!$C$2:$C$10001,SKUs!$F$2:$F$10001,"",0), " Accessories",""))</f>
        <v/>
      </c>
      <c r="L2054" s="36">
        <f>_xlfn.XLOOKUP(C2054,'Project Details'!$C$17:$C$66,'Project Details'!$D$17:$D$66,"",0)</f>
        <v>0</v>
      </c>
      <c r="M2054" s="43"/>
    </row>
    <row r="2055" spans="1:13" ht="13.5" customHeight="1" outlineLevel="1" collapsed="1" x14ac:dyDescent="0.25">
      <c r="A2055" s="43"/>
      <c r="B2055" s="43"/>
      <c r="C2055" s="16">
        <f t="shared" si="39"/>
        <v>41</v>
      </c>
      <c r="D2055" s="16" t="str" cm="1">
        <f t="array" ref="D2055">IFERROR(ROUNDUP(_xlfn.IFS(F2055="Aluminum Track", _xlfn.XLOOKUP(C2055, dd_accsrycalc!$A$2:$A$51, dd_accsrycalc!$B$2:$B$51, "",0), F2055="10 x 2 1/2 S (Flat)", _xlfn.XLOOKUP(C2055, dd_accsrycalc!$A$2:$A$51, dd_accsrycalc!$C$2:$C$51, "",0), F2055="Tox6", _xlfn.XLOOKUP(C2055, dd_accsrycalc!$A$2:$A$51, dd_accsrycalc!$D$2:$D$51, "",0), F2055="Cover Cap", _xlfn.XLOOKUP(C2055, dd_accsrycalc!$A$2:$A$51, dd_accsrycalc!$E$2:$E$51, "",0), F2055="Drainage Cover", _xlfn.XLOOKUP(C2055, dd_accsrycalc!$A$2:$A$51, dd_accsrycalc!$F$2:$F$51, "",0),AND( F2055="Double Adhesive Tape", I2055="Roll-up Screen"), _xlfn.XLOOKUP(C2055, calc_rusacc!$C$15:$C$65, calc_rusacc!$AD$15:$AD$65, "",0),AND( F2055="Sealant", I2055="Roll-up Screen"), _xlfn.XLOOKUP(C2055, calc_rusacc!$C$15:$C$65, calc_rusacc!$AF$15:$AF$65, "",0),  AND( F2055="Main Chain", I2055="Accordion Screen"), _xlfn.XLOOKUP(C2055, calc_rusacc!$C$15:$C$65, calc_rusacc!$BF$15:$BF$65, "",0), AND( F2055="Sealant", I2055="Accordion Screen"), _xlfn.XLOOKUP(C2055, calc_rusacc!$C$15:$C$65, calc_rusacc!$BJ$15:$BJ$65, "",0),  F2055="Sealant", _xlfn.XLOOKUP(C2055, dd_accsrycalc!$A$2:$A$51, dd_accsrycalc!$G$2:$G$51, "",0),  F2055&lt;&gt;"",L2055*_xlfn.XLOOKUP(1, (SKUs!$C$2:$C$10001=G2055)*(SKUs!$K$2:$K$10001=I2055),SKUs!$E$2:$E$10001)), 0),"")</f>
        <v/>
      </c>
      <c r="E2055" s="16" t="str">
        <f>_xlfn.XLOOKUP(F2055,dd_item!$B$2:$B$105,dd_item!$C$2:$C$105,"",0)</f>
        <v/>
      </c>
      <c r="F2055" s="16"/>
      <c r="G2055" s="16" cm="1">
        <f t="array" ref="G2055">IFERROR(_xlfn.XLOOKUP(1, (SKUs!$J$2:$J$10001=accsry_unmerged!F2055)*IF(H2055&lt;&gt;"",(SKUs!$L$2:$L$10001=accsry_unmerged!H2055),1)*(SKUs!$K$2:$K$10001=I2055),SKUs!$C$2:$C$10001),"")</f>
        <v>0</v>
      </c>
      <c r="H2055" s="33" cm="1">
        <f t="array" ref="H2055">IFERROR(_xlfn.XLOOKUP(1, (dd_accsryclr!$C$2:$C$1000=accsry_unmerged!F2055)*(dd_accsryclr!$B$2:$B$1000=accsry_unmerged!J2055),dd_accsryclr!$A$2:$A$1000),"")</f>
        <v>0</v>
      </c>
      <c r="I2055" s="16">
        <f>_xlfn.XLOOKUP(C2055,'Project Details'!$C$17:$C$66,'Project Details'!$E$17:$E$66,"",0)</f>
        <v>0</v>
      </c>
      <c r="J2055" s="16">
        <f>_xlfn.XLOOKUP(C2055,'Project Details'!$C$17:$C$66,'Project Details'!$H$17:$H$66,"",0)</f>
        <v>0</v>
      </c>
      <c r="K2055" s="33" t="str">
        <f>IF(AND(_xlfn.XLOOKUP(C2055,'Project Details'!$C$17:$C$66,'Project Details'!$L$17:$L$66,"",0)&gt;550, F2055="Spring-L27cm"),"",SUBSTITUTE(_xlfn.XLOOKUP(G2055,SKUs!$C$2:$C$10001,SKUs!$F$2:$F$10001,"",0), " Accessories",""))</f>
        <v/>
      </c>
      <c r="L2055" s="33">
        <f>_xlfn.XLOOKUP(C2055,'Project Details'!$C$17:$C$66,'Project Details'!$D$17:$D$66,"",0)</f>
        <v>0</v>
      </c>
      <c r="M2055" s="43"/>
    </row>
    <row r="2056" spans="1:13" ht="13.5" customHeight="1" outlineLevel="1" x14ac:dyDescent="0.25">
      <c r="A2056" s="43"/>
      <c r="B2056" s="43"/>
      <c r="C2056" s="35">
        <f t="shared" si="39"/>
        <v>41</v>
      </c>
      <c r="D2056" s="35" t="str" cm="1">
        <f t="array" ref="D2056">IFERROR(ROUNDUP(_xlfn.IFS(F2056="Aluminum Track", _xlfn.XLOOKUP(C2056, dd_accsrycalc!$A$2:$A$51, dd_accsrycalc!$B$2:$B$51, "",0), F2056="10 x 2 1/2 S (Flat)", _xlfn.XLOOKUP(C2056, dd_accsrycalc!$A$2:$A$51, dd_accsrycalc!$C$2:$C$51, "",0), F2056="Tox6", _xlfn.XLOOKUP(C2056, dd_accsrycalc!$A$2:$A$51, dd_accsrycalc!$D$2:$D$51, "",0), F2056="Cover Cap", _xlfn.XLOOKUP(C2056, dd_accsrycalc!$A$2:$A$51, dd_accsrycalc!$E$2:$E$51, "",0), F2056="Drainage Cover", _xlfn.XLOOKUP(C2056, dd_accsrycalc!$A$2:$A$51, dd_accsrycalc!$F$2:$F$51, "",0),AND( F2056="Double Adhesive Tape", I2056="Roll-up Screen"), _xlfn.XLOOKUP(C2056, calc_rusacc!$C$15:$C$65, calc_rusacc!$AD$15:$AD$65, "",0),AND( F2056="Sealant", I2056="Roll-up Screen"), _xlfn.XLOOKUP(C2056, calc_rusacc!$C$15:$C$65, calc_rusacc!$AF$15:$AF$65, "",0),  AND( F2056="Main Chain", I2056="Accordion Screen"), _xlfn.XLOOKUP(C2056, calc_rusacc!$C$15:$C$65, calc_rusacc!$BF$15:$BF$65, "",0), AND( F2056="Sealant", I2056="Accordion Screen"), _xlfn.XLOOKUP(C2056, calc_rusacc!$C$15:$C$65, calc_rusacc!$BJ$15:$BJ$65, "",0),  F2056="Sealant", _xlfn.XLOOKUP(C2056, dd_accsrycalc!$A$2:$A$51, dd_accsrycalc!$G$2:$G$51, "",0),  F2056&lt;&gt;"",L2056*_xlfn.XLOOKUP(1, (SKUs!$C$2:$C$10001=G2056)*(SKUs!$K$2:$K$10001=I2056),SKUs!$E$2:$E$10001)), 0),"")</f>
        <v/>
      </c>
      <c r="E2056" s="35" t="str">
        <f>_xlfn.XLOOKUP(F2056,dd_item!$B$2:$B$105,dd_item!$C$2:$C$105,"",0)</f>
        <v/>
      </c>
      <c r="F2056" s="35"/>
      <c r="G2056" s="35" cm="1">
        <f t="array" ref="G2056">IFERROR(_xlfn.XLOOKUP(1, (SKUs!$J$2:$J$10001=accsry_unmerged!F2056)*IF(H2056&lt;&gt;"",(SKUs!$L$2:$L$10001=accsry_unmerged!H2056),1)*(SKUs!$K$2:$K$10001=I2056),SKUs!$C$2:$C$10001),"")</f>
        <v>0</v>
      </c>
      <c r="H2056" s="36" cm="1">
        <f t="array" ref="H2056">IFERROR(_xlfn.XLOOKUP(1, (dd_accsryclr!$C$2:$C$1000=accsry_unmerged!F2056)*(dd_accsryclr!$B$2:$B$1000=accsry_unmerged!J2056),dd_accsryclr!$A$2:$A$1000),"")</f>
        <v>0</v>
      </c>
      <c r="I2056" s="35">
        <f>_xlfn.XLOOKUP(C2056,'Project Details'!$C$17:$C$66,'Project Details'!$E$17:$E$66,"",0)</f>
        <v>0</v>
      </c>
      <c r="J2056" s="35">
        <f>_xlfn.XLOOKUP(C2056,'Project Details'!$C$17:$C$66,'Project Details'!$H$17:$H$66,"",0)</f>
        <v>0</v>
      </c>
      <c r="K2056" s="36" t="str">
        <f>IF(AND(_xlfn.XLOOKUP(C2056,'Project Details'!$C$17:$C$66,'Project Details'!$L$17:$L$66,"",0)&gt;550, F2056="Spring-L27cm"),"",SUBSTITUTE(_xlfn.XLOOKUP(G2056,SKUs!$C$2:$C$10001,SKUs!$F$2:$F$10001,"",0), " Accessories",""))</f>
        <v/>
      </c>
      <c r="L2056" s="36">
        <f>_xlfn.XLOOKUP(C2056,'Project Details'!$C$17:$C$66,'Project Details'!$D$17:$D$66,"",0)</f>
        <v>0</v>
      </c>
      <c r="M2056" s="43"/>
    </row>
    <row r="2057" spans="1:13" ht="13.5" customHeight="1" outlineLevel="1" x14ac:dyDescent="0.25">
      <c r="A2057" s="43"/>
      <c r="B2057" s="43"/>
      <c r="C2057" s="16">
        <f t="shared" si="39"/>
        <v>41</v>
      </c>
      <c r="D2057" s="16" t="str" cm="1">
        <f t="array" ref="D2057">IFERROR(ROUNDUP(_xlfn.IFS(F2057="Aluminum Track", _xlfn.XLOOKUP(C2057, dd_accsrycalc!$A$2:$A$51, dd_accsrycalc!$B$2:$B$51, "",0), F2057="10 x 2 1/2 S (Flat)", _xlfn.XLOOKUP(C2057, dd_accsrycalc!$A$2:$A$51, dd_accsrycalc!$C$2:$C$51, "",0), F2057="Tox6", _xlfn.XLOOKUP(C2057, dd_accsrycalc!$A$2:$A$51, dd_accsrycalc!$D$2:$D$51, "",0), F2057="Cover Cap", _xlfn.XLOOKUP(C2057, dd_accsrycalc!$A$2:$A$51, dd_accsrycalc!$E$2:$E$51, "",0), F2057="Drainage Cover", _xlfn.XLOOKUP(C2057, dd_accsrycalc!$A$2:$A$51, dd_accsrycalc!$F$2:$F$51, "",0),AND( F2057="Double Adhesive Tape", I2057="Roll-up Screen"), _xlfn.XLOOKUP(C2057, calc_rusacc!$C$15:$C$65, calc_rusacc!$AD$15:$AD$65, "",0),AND( F2057="Sealant", I2057="Roll-up Screen"), _xlfn.XLOOKUP(C2057, calc_rusacc!$C$15:$C$65, calc_rusacc!$AF$15:$AF$65, "",0),  AND( F2057="Main Chain", I2057="Accordion Screen"), _xlfn.XLOOKUP(C2057, calc_rusacc!$C$15:$C$65, calc_rusacc!$BF$15:$BF$65, "",0), AND( F2057="Sealant", I2057="Accordion Screen"), _xlfn.XLOOKUP(C2057, calc_rusacc!$C$15:$C$65, calc_rusacc!$BJ$15:$BJ$65, "",0),  F2057="Sealant", _xlfn.XLOOKUP(C2057, dd_accsrycalc!$A$2:$A$51, dd_accsrycalc!$G$2:$G$51, "",0),  F2057&lt;&gt;"",L2057*_xlfn.XLOOKUP(1, (SKUs!$C$2:$C$10001=G2057)*(SKUs!$K$2:$K$10001=I2057),SKUs!$E$2:$E$10001)), 0),"")</f>
        <v/>
      </c>
      <c r="E2057" s="16" t="str">
        <f>_xlfn.XLOOKUP(F2057,dd_item!$B$2:$B$105,dd_item!$C$2:$C$105,"",0)</f>
        <v/>
      </c>
      <c r="F2057" s="16"/>
      <c r="G2057" s="16" cm="1">
        <f t="array" ref="G2057">IFERROR(_xlfn.XLOOKUP(1, (SKUs!$J$2:$J$10001=accsry_unmerged!F2057)*IF(H2057&lt;&gt;"",(SKUs!$L$2:$L$10001=accsry_unmerged!H2057),1)*(SKUs!$K$2:$K$10001=I2057),SKUs!$C$2:$C$10001),"")</f>
        <v>0</v>
      </c>
      <c r="H2057" s="33" cm="1">
        <f t="array" ref="H2057">IFERROR(_xlfn.XLOOKUP(1, (dd_accsryclr!$C$2:$C$1000=accsry_unmerged!F2057)*(dd_accsryclr!$B$2:$B$1000=accsry_unmerged!J2057),dd_accsryclr!$A$2:$A$1000),"")</f>
        <v>0</v>
      </c>
      <c r="I2057" s="16">
        <f>_xlfn.XLOOKUP(C2057,'Project Details'!$C$17:$C$66,'Project Details'!$E$17:$E$66,"",0)</f>
        <v>0</v>
      </c>
      <c r="J2057" s="16">
        <f>_xlfn.XLOOKUP(C2057,'Project Details'!$C$17:$C$66,'Project Details'!$H$17:$H$66,"",0)</f>
        <v>0</v>
      </c>
      <c r="K2057" s="33" t="str">
        <f>IF(AND(_xlfn.XLOOKUP(C2057,'Project Details'!$C$17:$C$66,'Project Details'!$L$17:$L$66,"",0)&gt;550, F2057="Spring-L27cm"),"",SUBSTITUTE(_xlfn.XLOOKUP(G2057,SKUs!$C$2:$C$10001,SKUs!$F$2:$F$10001,"",0), " Accessories",""))</f>
        <v/>
      </c>
      <c r="L2057" s="33">
        <f>_xlfn.XLOOKUP(C2057,'Project Details'!$C$17:$C$66,'Project Details'!$D$17:$D$66,"",0)</f>
        <v>0</v>
      </c>
      <c r="M2057" s="43"/>
    </row>
    <row r="2058" spans="1:13" ht="13.5" customHeight="1" outlineLevel="1" x14ac:dyDescent="0.25">
      <c r="A2058" s="43"/>
      <c r="B2058" s="43"/>
      <c r="C2058" s="35">
        <f t="shared" si="39"/>
        <v>41</v>
      </c>
      <c r="D2058" s="35" t="str" cm="1">
        <f t="array" ref="D2058">IFERROR(ROUNDUP(_xlfn.IFS(F2058="Aluminum Track", _xlfn.XLOOKUP(C2058, dd_accsrycalc!$A$2:$A$51, dd_accsrycalc!$B$2:$B$51, "",0), F2058="10 x 2 1/2 S (Flat)", _xlfn.XLOOKUP(C2058, dd_accsrycalc!$A$2:$A$51, dd_accsrycalc!$C$2:$C$51, "",0), F2058="Tox6", _xlfn.XLOOKUP(C2058, dd_accsrycalc!$A$2:$A$51, dd_accsrycalc!$D$2:$D$51, "",0), F2058="Cover Cap", _xlfn.XLOOKUP(C2058, dd_accsrycalc!$A$2:$A$51, dd_accsrycalc!$E$2:$E$51, "",0), F2058="Drainage Cover", _xlfn.XLOOKUP(C2058, dd_accsrycalc!$A$2:$A$51, dd_accsrycalc!$F$2:$F$51, "",0),AND( F2058="Double Adhesive Tape", I2058="Roll-up Screen"), _xlfn.XLOOKUP(C2058, calc_rusacc!$C$15:$C$65, calc_rusacc!$AD$15:$AD$65, "",0),AND( F2058="Sealant", I2058="Roll-up Screen"), _xlfn.XLOOKUP(C2058, calc_rusacc!$C$15:$C$65, calc_rusacc!$AF$15:$AF$65, "",0),  AND( F2058="Main Chain", I2058="Accordion Screen"), _xlfn.XLOOKUP(C2058, calc_rusacc!$C$15:$C$65, calc_rusacc!$BF$15:$BF$65, "",0), AND( F2058="Sealant", I2058="Accordion Screen"), _xlfn.XLOOKUP(C2058, calc_rusacc!$C$15:$C$65, calc_rusacc!$BJ$15:$BJ$65, "",0),  F2058="Sealant", _xlfn.XLOOKUP(C2058, dd_accsrycalc!$A$2:$A$51, dd_accsrycalc!$G$2:$G$51, "",0),  F2058&lt;&gt;"",L2058*_xlfn.XLOOKUP(1, (SKUs!$C$2:$C$10001=G2058)*(SKUs!$K$2:$K$10001=I2058),SKUs!$E$2:$E$10001)), 0),"")</f>
        <v/>
      </c>
      <c r="E2058" s="35" t="str">
        <f>_xlfn.XLOOKUP(F2058,dd_item!$B$2:$B$105,dd_item!$C$2:$C$105,"",0)</f>
        <v/>
      </c>
      <c r="F2058" s="35"/>
      <c r="G2058" s="35" cm="1">
        <f t="array" ref="G2058">IFERROR(_xlfn.XLOOKUP(1, (SKUs!$J$2:$J$10001=accsry_unmerged!F2058)*IF(H2058&lt;&gt;"",(SKUs!$L$2:$L$10001=accsry_unmerged!H2058),1)*(SKUs!$K$2:$K$10001=I2058),SKUs!$C$2:$C$10001),"")</f>
        <v>0</v>
      </c>
      <c r="H2058" s="36" cm="1">
        <f t="array" ref="H2058">IFERROR(_xlfn.XLOOKUP(1, (dd_accsryclr!$C$2:$C$1000=accsry_unmerged!F2058)*(dd_accsryclr!$B$2:$B$1000=accsry_unmerged!J2058),dd_accsryclr!$A$2:$A$1000),"")</f>
        <v>0</v>
      </c>
      <c r="I2058" s="35">
        <f>_xlfn.XLOOKUP(C2058,'Project Details'!$C$17:$C$66,'Project Details'!$E$17:$E$66,"",0)</f>
        <v>0</v>
      </c>
      <c r="J2058" s="35">
        <f>_xlfn.XLOOKUP(C2058,'Project Details'!$C$17:$C$66,'Project Details'!$H$17:$H$66,"",0)</f>
        <v>0</v>
      </c>
      <c r="K2058" s="36" t="str">
        <f>IF(AND(_xlfn.XLOOKUP(C2058,'Project Details'!$C$17:$C$66,'Project Details'!$L$17:$L$66,"",0)&gt;550, F2058="Spring-L27cm"),"",SUBSTITUTE(_xlfn.XLOOKUP(G2058,SKUs!$C$2:$C$10001,SKUs!$F$2:$F$10001,"",0), " Accessories",""))</f>
        <v/>
      </c>
      <c r="L2058" s="36">
        <f>_xlfn.XLOOKUP(C2058,'Project Details'!$C$17:$C$66,'Project Details'!$D$17:$D$66,"",0)</f>
        <v>0</v>
      </c>
      <c r="M2058" s="43"/>
    </row>
    <row r="2059" spans="1:13" ht="13.5" customHeight="1" outlineLevel="1" x14ac:dyDescent="0.25">
      <c r="A2059" s="43"/>
      <c r="B2059" s="43"/>
      <c r="C2059" s="16">
        <f t="shared" si="39"/>
        <v>41</v>
      </c>
      <c r="D2059" s="16" t="str" cm="1">
        <f t="array" ref="D2059">IFERROR(ROUNDUP(_xlfn.IFS(F2059="Aluminum Track", _xlfn.XLOOKUP(C2059, dd_accsrycalc!$A$2:$A$51, dd_accsrycalc!$B$2:$B$51, "",0), F2059="10 x 2 1/2 S (Flat)", _xlfn.XLOOKUP(C2059, dd_accsrycalc!$A$2:$A$51, dd_accsrycalc!$C$2:$C$51, "",0), F2059="Tox6", _xlfn.XLOOKUP(C2059, dd_accsrycalc!$A$2:$A$51, dd_accsrycalc!$D$2:$D$51, "",0), F2059="Cover Cap", _xlfn.XLOOKUP(C2059, dd_accsrycalc!$A$2:$A$51, dd_accsrycalc!$E$2:$E$51, "",0), F2059="Drainage Cover", _xlfn.XLOOKUP(C2059, dd_accsrycalc!$A$2:$A$51, dd_accsrycalc!$F$2:$F$51, "",0),AND( F2059="Double Adhesive Tape", I2059="Roll-up Screen"), _xlfn.XLOOKUP(C2059, calc_rusacc!$C$15:$C$65, calc_rusacc!$AD$15:$AD$65, "",0),AND( F2059="Sealant", I2059="Roll-up Screen"), _xlfn.XLOOKUP(C2059, calc_rusacc!$C$15:$C$65, calc_rusacc!$AF$15:$AF$65, "",0),  AND( F2059="Main Chain", I2059="Accordion Screen"), _xlfn.XLOOKUP(C2059, calc_rusacc!$C$15:$C$65, calc_rusacc!$BF$15:$BF$65, "",0), AND( F2059="Sealant", I2059="Accordion Screen"), _xlfn.XLOOKUP(C2059, calc_rusacc!$C$15:$C$65, calc_rusacc!$BJ$15:$BJ$65, "",0),  F2059="Sealant", _xlfn.XLOOKUP(C2059, dd_accsrycalc!$A$2:$A$51, dd_accsrycalc!$G$2:$G$51, "",0),  F2059&lt;&gt;"",L2059*_xlfn.XLOOKUP(1, (SKUs!$C$2:$C$10001=G2059)*(SKUs!$K$2:$K$10001=I2059),SKUs!$E$2:$E$10001)), 0),"")</f>
        <v/>
      </c>
      <c r="E2059" s="16" t="str">
        <f>_xlfn.XLOOKUP(F2059,dd_item!$B$2:$B$105,dd_item!$C$2:$C$105,"",0)</f>
        <v/>
      </c>
      <c r="F2059" s="16"/>
      <c r="G2059" s="16" cm="1">
        <f t="array" ref="G2059">IFERROR(_xlfn.XLOOKUP(1, (SKUs!$J$2:$J$10001=accsry_unmerged!F2059)*IF(H2059&lt;&gt;"",(SKUs!$L$2:$L$10001=accsry_unmerged!H2059),1)*(SKUs!$K$2:$K$10001=I2059),SKUs!$C$2:$C$10001),"")</f>
        <v>0</v>
      </c>
      <c r="H2059" s="33" cm="1">
        <f t="array" ref="H2059">IFERROR(_xlfn.XLOOKUP(1, (dd_accsryclr!$C$2:$C$1000=accsry_unmerged!F2059)*(dd_accsryclr!$B$2:$B$1000=accsry_unmerged!J2059),dd_accsryclr!$A$2:$A$1000),"")</f>
        <v>0</v>
      </c>
      <c r="I2059" s="16">
        <f>_xlfn.XLOOKUP(C2059,'Project Details'!$C$17:$C$66,'Project Details'!$E$17:$E$66,"",0)</f>
        <v>0</v>
      </c>
      <c r="J2059" s="16">
        <f>_xlfn.XLOOKUP(C2059,'Project Details'!$C$17:$C$66,'Project Details'!$H$17:$H$66,"",0)</f>
        <v>0</v>
      </c>
      <c r="K2059" s="33" t="str">
        <f>IF(AND(_xlfn.XLOOKUP(C2059,'Project Details'!$C$17:$C$66,'Project Details'!$L$17:$L$66,"",0)&gt;550, F2059="Spring-L27cm"),"",SUBSTITUTE(_xlfn.XLOOKUP(G2059,SKUs!$C$2:$C$10001,SKUs!$F$2:$F$10001,"",0), " Accessories",""))</f>
        <v/>
      </c>
      <c r="L2059" s="33">
        <f>_xlfn.XLOOKUP(C2059,'Project Details'!$C$17:$C$66,'Project Details'!$D$17:$D$66,"",0)</f>
        <v>0</v>
      </c>
      <c r="M2059" s="43"/>
    </row>
    <row r="2060" spans="1:13" ht="13.5" customHeight="1" outlineLevel="1" x14ac:dyDescent="0.25">
      <c r="A2060" s="43"/>
      <c r="B2060" s="43"/>
      <c r="C2060" s="35">
        <f t="shared" si="39"/>
        <v>41</v>
      </c>
      <c r="D2060" s="35" t="str" cm="1">
        <f t="array" ref="D2060">IFERROR(ROUNDUP(_xlfn.IFS(F2060="Aluminum Track", _xlfn.XLOOKUP(C2060, dd_accsrycalc!$A$2:$A$51, dd_accsrycalc!$B$2:$B$51, "",0), F2060="10 x 2 1/2 S (Flat)", _xlfn.XLOOKUP(C2060, dd_accsrycalc!$A$2:$A$51, dd_accsrycalc!$C$2:$C$51, "",0), F2060="Tox6", _xlfn.XLOOKUP(C2060, dd_accsrycalc!$A$2:$A$51, dd_accsrycalc!$D$2:$D$51, "",0), F2060="Cover Cap", _xlfn.XLOOKUP(C2060, dd_accsrycalc!$A$2:$A$51, dd_accsrycalc!$E$2:$E$51, "",0), F2060="Drainage Cover", _xlfn.XLOOKUP(C2060, dd_accsrycalc!$A$2:$A$51, dd_accsrycalc!$F$2:$F$51, "",0),AND( F2060="Double Adhesive Tape", I2060="Roll-up Screen"), _xlfn.XLOOKUP(C2060, calc_rusacc!$C$15:$C$65, calc_rusacc!$AD$15:$AD$65, "",0),AND( F2060="Sealant", I2060="Roll-up Screen"), _xlfn.XLOOKUP(C2060, calc_rusacc!$C$15:$C$65, calc_rusacc!$AF$15:$AF$65, "",0),  AND( F2060="Main Chain", I2060="Accordion Screen"), _xlfn.XLOOKUP(C2060, calc_rusacc!$C$15:$C$65, calc_rusacc!$BF$15:$BF$65, "",0), AND( F2060="Sealant", I2060="Accordion Screen"), _xlfn.XLOOKUP(C2060, calc_rusacc!$C$15:$C$65, calc_rusacc!$BJ$15:$BJ$65, "",0),  F2060="Sealant", _xlfn.XLOOKUP(C2060, dd_accsrycalc!$A$2:$A$51, dd_accsrycalc!$G$2:$G$51, "",0),  F2060&lt;&gt;"",L2060*_xlfn.XLOOKUP(1, (SKUs!$C$2:$C$10001=G2060)*(SKUs!$K$2:$K$10001=I2060),SKUs!$E$2:$E$10001)), 0),"")</f>
        <v/>
      </c>
      <c r="E2060" s="35" t="str">
        <f>_xlfn.XLOOKUP(F2060,dd_item!$B$2:$B$105,dd_item!$C$2:$C$105,"",0)</f>
        <v/>
      </c>
      <c r="F2060" s="35"/>
      <c r="G2060" s="35" cm="1">
        <f t="array" ref="G2060">IFERROR(_xlfn.XLOOKUP(1, (SKUs!$J$2:$J$10001=accsry_unmerged!F2060)*IF(H2060&lt;&gt;"",(SKUs!$L$2:$L$10001=accsry_unmerged!H2060),1)*(SKUs!$K$2:$K$10001=I2060),SKUs!$C$2:$C$10001),"")</f>
        <v>0</v>
      </c>
      <c r="H2060" s="36" cm="1">
        <f t="array" ref="H2060">IFERROR(_xlfn.XLOOKUP(1, (dd_accsryclr!$C$2:$C$1000=accsry_unmerged!F2060)*(dd_accsryclr!$B$2:$B$1000=accsry_unmerged!J2060),dd_accsryclr!$A$2:$A$1000),"")</f>
        <v>0</v>
      </c>
      <c r="I2060" s="35">
        <f>_xlfn.XLOOKUP(C2060,'Project Details'!$C$17:$C$66,'Project Details'!$E$17:$E$66,"",0)</f>
        <v>0</v>
      </c>
      <c r="J2060" s="35">
        <f>_xlfn.XLOOKUP(C2060,'Project Details'!$C$17:$C$66,'Project Details'!$H$17:$H$66,"",0)</f>
        <v>0</v>
      </c>
      <c r="K2060" s="36" t="str">
        <f>IF(AND(_xlfn.XLOOKUP(C2060,'Project Details'!$C$17:$C$66,'Project Details'!$L$17:$L$66,"",0)&gt;550, F2060="Spring-L27cm"),"",SUBSTITUTE(_xlfn.XLOOKUP(G2060,SKUs!$C$2:$C$10001,SKUs!$F$2:$F$10001,"",0), " Accessories",""))</f>
        <v/>
      </c>
      <c r="L2060" s="36">
        <f>_xlfn.XLOOKUP(C2060,'Project Details'!$C$17:$C$66,'Project Details'!$D$17:$D$66,"",0)</f>
        <v>0</v>
      </c>
      <c r="M2060" s="43"/>
    </row>
    <row r="2061" spans="1:13" ht="13.5" customHeight="1" outlineLevel="1" x14ac:dyDescent="0.25">
      <c r="A2061" s="43"/>
      <c r="B2061" s="43"/>
      <c r="C2061" s="16">
        <f t="shared" si="39"/>
        <v>41</v>
      </c>
      <c r="D2061" s="16" t="str" cm="1">
        <f t="array" ref="D2061">IFERROR(ROUNDUP(_xlfn.IFS(F2061="Aluminum Track", _xlfn.XLOOKUP(C2061, dd_accsrycalc!$A$2:$A$51, dd_accsrycalc!$B$2:$B$51, "",0), F2061="10 x 2 1/2 S (Flat)", _xlfn.XLOOKUP(C2061, dd_accsrycalc!$A$2:$A$51, dd_accsrycalc!$C$2:$C$51, "",0), F2061="Tox6", _xlfn.XLOOKUP(C2061, dd_accsrycalc!$A$2:$A$51, dd_accsrycalc!$D$2:$D$51, "",0), F2061="Cover Cap", _xlfn.XLOOKUP(C2061, dd_accsrycalc!$A$2:$A$51, dd_accsrycalc!$E$2:$E$51, "",0), F2061="Drainage Cover", _xlfn.XLOOKUP(C2061, dd_accsrycalc!$A$2:$A$51, dd_accsrycalc!$F$2:$F$51, "",0),AND( F2061="Double Adhesive Tape", I2061="Roll-up Screen"), _xlfn.XLOOKUP(C2061, calc_rusacc!$C$15:$C$65, calc_rusacc!$AD$15:$AD$65, "",0),AND( F2061="Sealant", I2061="Roll-up Screen"), _xlfn.XLOOKUP(C2061, calc_rusacc!$C$15:$C$65, calc_rusacc!$AF$15:$AF$65, "",0),  AND( F2061="Main Chain", I2061="Accordion Screen"), _xlfn.XLOOKUP(C2061, calc_rusacc!$C$15:$C$65, calc_rusacc!$BF$15:$BF$65, "",0), AND( F2061="Sealant", I2061="Accordion Screen"), _xlfn.XLOOKUP(C2061, calc_rusacc!$C$15:$C$65, calc_rusacc!$BJ$15:$BJ$65, "",0),  F2061="Sealant", _xlfn.XLOOKUP(C2061, dd_accsrycalc!$A$2:$A$51, dd_accsrycalc!$G$2:$G$51, "",0),  F2061&lt;&gt;"",L2061*_xlfn.XLOOKUP(1, (SKUs!$C$2:$C$10001=G2061)*(SKUs!$K$2:$K$10001=I2061),SKUs!$E$2:$E$10001)), 0),"")</f>
        <v/>
      </c>
      <c r="E2061" s="16" t="str">
        <f>_xlfn.XLOOKUP(F2061,dd_item!$B$2:$B$105,dd_item!$C$2:$C$105,"",0)</f>
        <v/>
      </c>
      <c r="F2061" s="16"/>
      <c r="G2061" s="16" cm="1">
        <f t="array" ref="G2061">IFERROR(_xlfn.XLOOKUP(1, (SKUs!$J$2:$J$10001=accsry_unmerged!F2061)*IF(H2061&lt;&gt;"",(SKUs!$L$2:$L$10001=accsry_unmerged!H2061),1)*(SKUs!$K$2:$K$10001=I2061),SKUs!$C$2:$C$10001),"")</f>
        <v>0</v>
      </c>
      <c r="H2061" s="33" cm="1">
        <f t="array" ref="H2061">IFERROR(_xlfn.XLOOKUP(1, (dd_accsryclr!$C$2:$C$1000=accsry_unmerged!F2061)*(dd_accsryclr!$B$2:$B$1000=accsry_unmerged!J2061),dd_accsryclr!$A$2:$A$1000),"")</f>
        <v>0</v>
      </c>
      <c r="I2061" s="16">
        <f>_xlfn.XLOOKUP(C2061,'Project Details'!$C$17:$C$66,'Project Details'!$E$17:$E$66,"",0)</f>
        <v>0</v>
      </c>
      <c r="J2061" s="16">
        <f>_xlfn.XLOOKUP(C2061,'Project Details'!$C$17:$C$66,'Project Details'!$H$17:$H$66,"",0)</f>
        <v>0</v>
      </c>
      <c r="K2061" s="33" t="str">
        <f>IF(AND(_xlfn.XLOOKUP(C2061,'Project Details'!$C$17:$C$66,'Project Details'!$L$17:$L$66,"",0)&gt;550, F2061="Spring-L27cm"),"",SUBSTITUTE(_xlfn.XLOOKUP(G2061,SKUs!$C$2:$C$10001,SKUs!$F$2:$F$10001,"",0), " Accessories",""))</f>
        <v/>
      </c>
      <c r="L2061" s="33">
        <f>_xlfn.XLOOKUP(C2061,'Project Details'!$C$17:$C$66,'Project Details'!$D$17:$D$66,"",0)</f>
        <v>0</v>
      </c>
      <c r="M2061" s="43"/>
    </row>
    <row r="2062" spans="1:13" ht="13.5" customHeight="1" outlineLevel="1" x14ac:dyDescent="0.25">
      <c r="A2062" s="43"/>
      <c r="B2062" s="43"/>
      <c r="C2062" s="35">
        <f t="shared" si="39"/>
        <v>41</v>
      </c>
      <c r="D2062" s="35" t="str" cm="1">
        <f t="array" ref="D2062">IFERROR(ROUNDUP(_xlfn.IFS(F2062="Aluminum Track", _xlfn.XLOOKUP(C2062, dd_accsrycalc!$A$2:$A$51, dd_accsrycalc!$B$2:$B$51, "",0), F2062="10 x 2 1/2 S (Flat)", _xlfn.XLOOKUP(C2062, dd_accsrycalc!$A$2:$A$51, dd_accsrycalc!$C$2:$C$51, "",0), F2062="Tox6", _xlfn.XLOOKUP(C2062, dd_accsrycalc!$A$2:$A$51, dd_accsrycalc!$D$2:$D$51, "",0), F2062="Cover Cap", _xlfn.XLOOKUP(C2062, dd_accsrycalc!$A$2:$A$51, dd_accsrycalc!$E$2:$E$51, "",0), F2062="Drainage Cover", _xlfn.XLOOKUP(C2062, dd_accsrycalc!$A$2:$A$51, dd_accsrycalc!$F$2:$F$51, "",0),AND( F2062="Double Adhesive Tape", I2062="Roll-up Screen"), _xlfn.XLOOKUP(C2062, calc_rusacc!$C$15:$C$65, calc_rusacc!$AD$15:$AD$65, "",0),AND( F2062="Sealant", I2062="Roll-up Screen"), _xlfn.XLOOKUP(C2062, calc_rusacc!$C$15:$C$65, calc_rusacc!$AF$15:$AF$65, "",0),  AND( F2062="Main Chain", I2062="Accordion Screen"), _xlfn.XLOOKUP(C2062, calc_rusacc!$C$15:$C$65, calc_rusacc!$BF$15:$BF$65, "",0), AND( F2062="Sealant", I2062="Accordion Screen"), _xlfn.XLOOKUP(C2062, calc_rusacc!$C$15:$C$65, calc_rusacc!$BJ$15:$BJ$65, "",0),  F2062="Sealant", _xlfn.XLOOKUP(C2062, dd_accsrycalc!$A$2:$A$51, dd_accsrycalc!$G$2:$G$51, "",0),  F2062&lt;&gt;"",L2062*_xlfn.XLOOKUP(1, (SKUs!$C$2:$C$10001=G2062)*(SKUs!$K$2:$K$10001=I2062),SKUs!$E$2:$E$10001)), 0),"")</f>
        <v/>
      </c>
      <c r="E2062" s="35" t="str">
        <f>_xlfn.XLOOKUP(F2062,dd_item!$B$2:$B$105,dd_item!$C$2:$C$105,"",0)</f>
        <v/>
      </c>
      <c r="F2062" s="35"/>
      <c r="G2062" s="35" cm="1">
        <f t="array" ref="G2062">IFERROR(_xlfn.XLOOKUP(1, (SKUs!$J$2:$J$10001=accsry_unmerged!F2062)*IF(H2062&lt;&gt;"",(SKUs!$L$2:$L$10001=accsry_unmerged!H2062),1)*(SKUs!$K$2:$K$10001=I2062),SKUs!$C$2:$C$10001),"")</f>
        <v>0</v>
      </c>
      <c r="H2062" s="36" cm="1">
        <f t="array" ref="H2062">IFERROR(_xlfn.XLOOKUP(1, (dd_accsryclr!$C$2:$C$1000=accsry_unmerged!F2062)*(dd_accsryclr!$B$2:$B$1000=accsry_unmerged!J2062),dd_accsryclr!$A$2:$A$1000),"")</f>
        <v>0</v>
      </c>
      <c r="I2062" s="35">
        <f>_xlfn.XLOOKUP(C2062,'Project Details'!$C$17:$C$66,'Project Details'!$E$17:$E$66,"",0)</f>
        <v>0</v>
      </c>
      <c r="J2062" s="35">
        <f>_xlfn.XLOOKUP(C2062,'Project Details'!$C$17:$C$66,'Project Details'!$H$17:$H$66,"",0)</f>
        <v>0</v>
      </c>
      <c r="K2062" s="36" t="str">
        <f>IF(AND(_xlfn.XLOOKUP(C2062,'Project Details'!$C$17:$C$66,'Project Details'!$L$17:$L$66,"",0)&gt;550, F2062="Spring-L27cm"),"",SUBSTITUTE(_xlfn.XLOOKUP(G2062,SKUs!$C$2:$C$10001,SKUs!$F$2:$F$10001,"",0), " Accessories",""))</f>
        <v/>
      </c>
      <c r="L2062" s="36">
        <f>_xlfn.XLOOKUP(C2062,'Project Details'!$C$17:$C$66,'Project Details'!$D$17:$D$66,"",0)</f>
        <v>0</v>
      </c>
      <c r="M2062" s="43"/>
    </row>
    <row r="2063" spans="1:13" ht="13.5" customHeight="1" outlineLevel="1" x14ac:dyDescent="0.25">
      <c r="A2063" s="43"/>
      <c r="B2063" s="43"/>
      <c r="C2063" s="16">
        <f t="shared" si="39"/>
        <v>41</v>
      </c>
      <c r="D2063" s="16" t="str" cm="1">
        <f t="array" ref="D2063">IFERROR(ROUNDUP(_xlfn.IFS(F2063="Aluminum Track", _xlfn.XLOOKUP(C2063, dd_accsrycalc!$A$2:$A$51, dd_accsrycalc!$B$2:$B$51, "",0), F2063="10 x 2 1/2 S (Flat)", _xlfn.XLOOKUP(C2063, dd_accsrycalc!$A$2:$A$51, dd_accsrycalc!$C$2:$C$51, "",0), F2063="Tox6", _xlfn.XLOOKUP(C2063, dd_accsrycalc!$A$2:$A$51, dd_accsrycalc!$D$2:$D$51, "",0), F2063="Cover Cap", _xlfn.XLOOKUP(C2063, dd_accsrycalc!$A$2:$A$51, dd_accsrycalc!$E$2:$E$51, "",0), F2063="Drainage Cover", _xlfn.XLOOKUP(C2063, dd_accsrycalc!$A$2:$A$51, dd_accsrycalc!$F$2:$F$51, "",0),AND( F2063="Double Adhesive Tape", I2063="Roll-up Screen"), _xlfn.XLOOKUP(C2063, calc_rusacc!$C$15:$C$65, calc_rusacc!$AD$15:$AD$65, "",0),AND( F2063="Sealant", I2063="Roll-up Screen"), _xlfn.XLOOKUP(C2063, calc_rusacc!$C$15:$C$65, calc_rusacc!$AF$15:$AF$65, "",0),  AND( F2063="Main Chain", I2063="Accordion Screen"), _xlfn.XLOOKUP(C2063, calc_rusacc!$C$15:$C$65, calc_rusacc!$BF$15:$BF$65, "",0), AND( F2063="Sealant", I2063="Accordion Screen"), _xlfn.XLOOKUP(C2063, calc_rusacc!$C$15:$C$65, calc_rusacc!$BJ$15:$BJ$65, "",0),  F2063="Sealant", _xlfn.XLOOKUP(C2063, dd_accsrycalc!$A$2:$A$51, dd_accsrycalc!$G$2:$G$51, "",0),  F2063&lt;&gt;"",L2063*_xlfn.XLOOKUP(1, (SKUs!$C$2:$C$10001=G2063)*(SKUs!$K$2:$K$10001=I2063),SKUs!$E$2:$E$10001)), 0),"")</f>
        <v/>
      </c>
      <c r="E2063" s="16" t="str">
        <f>_xlfn.XLOOKUP(F2063,dd_item!$B$2:$B$105,dd_item!$C$2:$C$105,"",0)</f>
        <v/>
      </c>
      <c r="F2063" s="16"/>
      <c r="G2063" s="16" cm="1">
        <f t="array" ref="G2063">IFERROR(_xlfn.XLOOKUP(1, (SKUs!$J$2:$J$10001=accsry_unmerged!F2063)*IF(H2063&lt;&gt;"",(SKUs!$L$2:$L$10001=accsry_unmerged!H2063),1)*(SKUs!$K$2:$K$10001=I2063),SKUs!$C$2:$C$10001),"")</f>
        <v>0</v>
      </c>
      <c r="H2063" s="33" cm="1">
        <f t="array" ref="H2063">IFERROR(_xlfn.XLOOKUP(1, (dd_accsryclr!$C$2:$C$1000=accsry_unmerged!F2063)*(dd_accsryclr!$B$2:$B$1000=accsry_unmerged!J2063),dd_accsryclr!$A$2:$A$1000),"")</f>
        <v>0</v>
      </c>
      <c r="I2063" s="16">
        <f>_xlfn.XLOOKUP(C2063,'Project Details'!$C$17:$C$66,'Project Details'!$E$17:$E$66,"",0)</f>
        <v>0</v>
      </c>
      <c r="J2063" s="16">
        <f>_xlfn.XLOOKUP(C2063,'Project Details'!$C$17:$C$66,'Project Details'!$H$17:$H$66,"",0)</f>
        <v>0</v>
      </c>
      <c r="K2063" s="33" t="str">
        <f>IF(AND(_xlfn.XLOOKUP(C2063,'Project Details'!$C$17:$C$66,'Project Details'!$L$17:$L$66,"",0)&gt;550, F2063="Spring-L27cm"),"",SUBSTITUTE(_xlfn.XLOOKUP(G2063,SKUs!$C$2:$C$10001,SKUs!$F$2:$F$10001,"",0), " Accessories",""))</f>
        <v/>
      </c>
      <c r="L2063" s="33">
        <f>_xlfn.XLOOKUP(C2063,'Project Details'!$C$17:$C$66,'Project Details'!$D$17:$D$66,"",0)</f>
        <v>0</v>
      </c>
      <c r="M2063" s="43"/>
    </row>
    <row r="2064" spans="1:13" x14ac:dyDescent="0.25">
      <c r="A2064" s="43"/>
      <c r="B2064" s="43"/>
      <c r="C2064" s="43"/>
      <c r="D2064" s="43"/>
      <c r="E2064" s="43"/>
      <c r="F2064" s="43"/>
      <c r="G2064" s="43"/>
      <c r="H2064" s="43"/>
      <c r="I2064" s="43"/>
      <c r="J2064" s="43"/>
      <c r="K2064" s="43"/>
      <c r="L2064" s="43"/>
      <c r="M2064" s="43"/>
    </row>
    <row r="2065" spans="1:13" x14ac:dyDescent="0.25">
      <c r="A2065" s="43"/>
      <c r="B2065" s="43"/>
      <c r="C2065" s="16">
        <f>C2063+1</f>
        <v>42</v>
      </c>
      <c r="D2065" s="48" cm="1">
        <f t="array" ref="D2065">IFERROR(ROUNDUP(_xlfn.IFS(F2065="Aluminum Track", _xlfn.XLOOKUP(C2065, dd_accsrycalc!$A$2:$A$51, dd_accsrycalc!$B$2:$B$51, "",0), F2065="10 x 2 1/2 S (Flat)", _xlfn.XLOOKUP(C2065, dd_accsrycalc!$A$2:$A$51, dd_accsrycalc!$C$2:$C$51, "",0), F2065="Tox6", _xlfn.XLOOKUP(C2065, dd_accsrycalc!$A$2:$A$51, dd_accsrycalc!$D$2:$D$51, "",0), F2065="Cover Cap", _xlfn.XLOOKUP(C2065, dd_accsrycalc!$A$2:$A$51, dd_accsrycalc!$E$2:$E$51, "",0), F2065="Drainage Cover", _xlfn.XLOOKUP(C2065, dd_accsrycalc!$A$2:$A$51, dd_accsrycalc!$F$2:$F$51, "",0),AND( F2065="Double Adhesive Tape", I2065="Roll-up Screen"), _xlfn.XLOOKUP(C2065, calc_rusacc!$C$15:$C$65, calc_rusacc!$AD$15:$AD$65, "",0),AND( F2065="Sealant", I2065="Roll-up Screen"), _xlfn.XLOOKUP(C2065, calc_rusacc!$C$15:$C$65, calc_rusacc!$AF$15:$AF$65, "",0),  AND( F2065="Main Chain", I2065="Accordion Screen"), _xlfn.XLOOKUP(C2065, calc_rusacc!$C$15:$C$65, calc_rusacc!$BF$15:$BF$65, "",0), AND( F2065="Sealant", I2065="Accordion Screen"), _xlfn.XLOOKUP(C2065, calc_rusacc!$C$15:$C$65, calc_rusacc!$BJ$15:$BJ$65, "",0),  F2065="Sealant", _xlfn.XLOOKUP(C2065, dd_accsrycalc!$A$2:$A$51, dd_accsrycalc!$G$2:$G$51, "",0),  F2065&lt;&gt;"",L2065*_xlfn.XLOOKUP(1, (SKUs!$C$2:$C$10001=G2065)*(SKUs!$K$2:$K$10001=I2065),SKUs!$E$2:$E$10001)), 0),"")</f>
        <v>0</v>
      </c>
      <c r="E2065" s="48" t="str">
        <f>_xlfn.XLOOKUP(F2065,dd_item!$B$2:$B$105,dd_item!$C$2:$C$105,"",0)</f>
        <v/>
      </c>
      <c r="F2065" s="48" cm="1">
        <f t="array" ref="F2065">IFERROR(_xlfn.UNIQUE(_xlfn._xlws.FILTER(SKUs!$J$2:$J$10001, (SKUs!$F$2:$F$10001&lt;&gt;"Cutting List") * (SKUs!$A$2:$A$10001=_xlfn.XLOOKUP(_xlfn.XLOOKUP(C2065,'Project Details'!$C$17:$C$66,'Project Details'!$E$17:$E$66,"",0), dd_design_raw!$A$2:$A$101,dd_design_raw!$C$2:$C$101,"",0)))), "")</f>
        <v>0</v>
      </c>
      <c r="G2065" s="16" cm="1">
        <f t="array" ref="G2065">IFERROR(_xlfn.XLOOKUP(1, (SKUs!$J$2:$J$10001=accsry_unmerged!F2065)*IF(H2065&lt;&gt;"",(SKUs!$L$2:$L$10001=accsry_unmerged!H2065),1)*(SKUs!$K$2:$K$10001=I2065),SKUs!$C$2:$C$10001),"")</f>
        <v>0</v>
      </c>
      <c r="H2065" s="16" cm="1">
        <f t="array" ref="H2065">IFERROR(_xlfn.XLOOKUP(1, (dd_accsryclr!$C$2:$C$1000=accsry_unmerged!F2065)*(dd_accsryclr!$B$2:$B$1000=accsry_unmerged!J2065),dd_accsryclr!$A$2:$A$1000),"")</f>
        <v>0</v>
      </c>
      <c r="I2065" s="16">
        <f>_xlfn.XLOOKUP(C2065,'Project Details'!$C$17:$C$66,'Project Details'!$E$17:$E$66,"",0)</f>
        <v>0</v>
      </c>
      <c r="J2065" s="16">
        <f>_xlfn.XLOOKUP(C2065,'Project Details'!$C$17:$C$66,'Project Details'!$H$17:$H$66,"",0)</f>
        <v>0</v>
      </c>
      <c r="K2065" s="16" t="str">
        <f>IF(AND(_xlfn.XLOOKUP(C2065,'Project Details'!$C$17:$C$66,'Project Details'!$L$17:$L$66,"",0)&gt;550, F2065="Spring-L27cm"),"",SUBSTITUTE(_xlfn.XLOOKUP(G2065,SKUs!$C$2:$C$10001,SKUs!$F$2:$F$10001,"",0), " Accessories",""))</f>
        <v/>
      </c>
      <c r="L2065" s="16">
        <f>_xlfn.XLOOKUP(C2065,'Project Details'!$C$17:$C$66,'Project Details'!$D$17:$D$66,"",0)</f>
        <v>0</v>
      </c>
      <c r="M2065" s="43"/>
    </row>
    <row r="2066" spans="1:13" x14ac:dyDescent="0.25">
      <c r="A2066" s="43"/>
      <c r="B2066" s="43"/>
      <c r="C2066" s="35">
        <f>C2065</f>
        <v>42</v>
      </c>
      <c r="D2066" s="35" t="str" cm="1">
        <f t="array" ref="D2066">IFERROR(ROUNDUP(_xlfn.IFS(F2066="Aluminum Track", _xlfn.XLOOKUP(C2066, dd_accsrycalc!$A$2:$A$51, dd_accsrycalc!$B$2:$B$51, "",0), F2066="10 x 2 1/2 S (Flat)", _xlfn.XLOOKUP(C2066, dd_accsrycalc!$A$2:$A$51, dd_accsrycalc!$C$2:$C$51, "",0), F2066="Tox6", _xlfn.XLOOKUP(C2066, dd_accsrycalc!$A$2:$A$51, dd_accsrycalc!$D$2:$D$51, "",0), F2066="Cover Cap", _xlfn.XLOOKUP(C2066, dd_accsrycalc!$A$2:$A$51, dd_accsrycalc!$E$2:$E$51, "",0), F2066="Drainage Cover", _xlfn.XLOOKUP(C2066, dd_accsrycalc!$A$2:$A$51, dd_accsrycalc!$F$2:$F$51, "",0),AND( F2066="Double Adhesive Tape", I2066="Roll-up Screen"), _xlfn.XLOOKUP(C2066, calc_rusacc!$C$15:$C$65, calc_rusacc!$AD$15:$AD$65, "",0),AND( F2066="Sealant", I2066="Roll-up Screen"), _xlfn.XLOOKUP(C2066, calc_rusacc!$C$15:$C$65, calc_rusacc!$AF$15:$AF$65, "",0),  AND( F2066="Main Chain", I2066="Accordion Screen"), _xlfn.XLOOKUP(C2066, calc_rusacc!$C$15:$C$65, calc_rusacc!$BF$15:$BF$65, "",0), AND( F2066="Sealant", I2066="Accordion Screen"), _xlfn.XLOOKUP(C2066, calc_rusacc!$C$15:$C$65, calc_rusacc!$BJ$15:$BJ$65, "",0),  F2066="Sealant", _xlfn.XLOOKUP(C2066, dd_accsrycalc!$A$2:$A$51, dd_accsrycalc!$G$2:$G$51, "",0),  F2066&lt;&gt;"",L2066*_xlfn.XLOOKUP(1, (SKUs!$C$2:$C$10001=G2066)*(SKUs!$K$2:$K$10001=I2066),SKUs!$E$2:$E$10001)), 0),"")</f>
        <v/>
      </c>
      <c r="E2066" s="35" t="str">
        <f>_xlfn.XLOOKUP(F2066,dd_item!$B$2:$B$105,dd_item!$C$2:$C$105,"",0)</f>
        <v/>
      </c>
      <c r="F2066" s="35"/>
      <c r="G2066" s="35" cm="1">
        <f t="array" ref="G2066">IFERROR(_xlfn.XLOOKUP(1, (SKUs!$J$2:$J$10001=accsry_unmerged!F2066)*IF(H2066&lt;&gt;"",(SKUs!$L$2:$L$10001=accsry_unmerged!H2066),1)*(SKUs!$K$2:$K$10001=I2066),SKUs!$C$2:$C$10001),"")</f>
        <v>0</v>
      </c>
      <c r="H2066" s="36" cm="1">
        <f t="array" ref="H2066">IFERROR(_xlfn.XLOOKUP(1, (dd_accsryclr!$C$2:$C$1000=accsry_unmerged!F2066)*(dd_accsryclr!$B$2:$B$1000=accsry_unmerged!J2066),dd_accsryclr!$A$2:$A$1000),"")</f>
        <v>0</v>
      </c>
      <c r="I2066" s="35">
        <f>_xlfn.XLOOKUP(C2066,'Project Details'!$C$17:$C$66,'Project Details'!$E$17:$E$66,"",0)</f>
        <v>0</v>
      </c>
      <c r="J2066" s="35">
        <f>_xlfn.XLOOKUP(C2066,'Project Details'!$C$17:$C$66,'Project Details'!$H$17:$H$66,"",0)</f>
        <v>0</v>
      </c>
      <c r="K2066" s="36" t="str">
        <f>IF(AND(_xlfn.XLOOKUP(C2066,'Project Details'!$C$17:$C$66,'Project Details'!$L$17:$L$66,"",0)&gt;550, F2066="Spring-L27cm"),"",SUBSTITUTE(_xlfn.XLOOKUP(G2066,SKUs!$C$2:$C$10001,SKUs!$F$2:$F$10001,"",0), " Accessories",""))</f>
        <v/>
      </c>
      <c r="L2066" s="36">
        <f>_xlfn.XLOOKUP(C2066,'Project Details'!$C$17:$C$66,'Project Details'!$D$17:$D$66,"",0)</f>
        <v>0</v>
      </c>
      <c r="M2066" s="43"/>
    </row>
    <row r="2067" spans="1:13" x14ac:dyDescent="0.25">
      <c r="A2067" s="43"/>
      <c r="B2067" s="43"/>
      <c r="C2067" s="16">
        <f t="shared" ref="C2067:C2113" si="40">C2066</f>
        <v>42</v>
      </c>
      <c r="D2067" s="16" t="str" cm="1">
        <f t="array" ref="D2067">IFERROR(ROUNDUP(_xlfn.IFS(F2067="Aluminum Track", _xlfn.XLOOKUP(C2067, dd_accsrycalc!$A$2:$A$51, dd_accsrycalc!$B$2:$B$51, "",0), F2067="10 x 2 1/2 S (Flat)", _xlfn.XLOOKUP(C2067, dd_accsrycalc!$A$2:$A$51, dd_accsrycalc!$C$2:$C$51, "",0), F2067="Tox6", _xlfn.XLOOKUP(C2067, dd_accsrycalc!$A$2:$A$51, dd_accsrycalc!$D$2:$D$51, "",0), F2067="Cover Cap", _xlfn.XLOOKUP(C2067, dd_accsrycalc!$A$2:$A$51, dd_accsrycalc!$E$2:$E$51, "",0), F2067="Drainage Cover", _xlfn.XLOOKUP(C2067, dd_accsrycalc!$A$2:$A$51, dd_accsrycalc!$F$2:$F$51, "",0),AND( F2067="Double Adhesive Tape", I2067="Roll-up Screen"), _xlfn.XLOOKUP(C2067, calc_rusacc!$C$15:$C$65, calc_rusacc!$AD$15:$AD$65, "",0),AND( F2067="Sealant", I2067="Roll-up Screen"), _xlfn.XLOOKUP(C2067, calc_rusacc!$C$15:$C$65, calc_rusacc!$AF$15:$AF$65, "",0),  AND( F2067="Main Chain", I2067="Accordion Screen"), _xlfn.XLOOKUP(C2067, calc_rusacc!$C$15:$C$65, calc_rusacc!$BF$15:$BF$65, "",0), AND( F2067="Sealant", I2067="Accordion Screen"), _xlfn.XLOOKUP(C2067, calc_rusacc!$C$15:$C$65, calc_rusacc!$BJ$15:$BJ$65, "",0),  F2067="Sealant", _xlfn.XLOOKUP(C2067, dd_accsrycalc!$A$2:$A$51, dd_accsrycalc!$G$2:$G$51, "",0),  F2067&lt;&gt;"",L2067*_xlfn.XLOOKUP(1, (SKUs!$C$2:$C$10001=G2067)*(SKUs!$K$2:$K$10001=I2067),SKUs!$E$2:$E$10001)), 0),"")</f>
        <v/>
      </c>
      <c r="E2067" s="16" t="str">
        <f>_xlfn.XLOOKUP(F2067,dd_item!$B$2:$B$105,dd_item!$C$2:$C$105,"",0)</f>
        <v/>
      </c>
      <c r="F2067" s="16"/>
      <c r="G2067" s="16" cm="1">
        <f t="array" ref="G2067">IFERROR(_xlfn.XLOOKUP(1, (SKUs!$J$2:$J$10001=accsry_unmerged!F2067)*IF(H2067&lt;&gt;"",(SKUs!$L$2:$L$10001=accsry_unmerged!H2067),1)*(SKUs!$K$2:$K$10001=I2067),SKUs!$C$2:$C$10001),"")</f>
        <v>0</v>
      </c>
      <c r="H2067" s="33" cm="1">
        <f t="array" ref="H2067">IFERROR(_xlfn.XLOOKUP(1, (dd_accsryclr!$C$2:$C$1000=accsry_unmerged!F2067)*(dd_accsryclr!$B$2:$B$1000=accsry_unmerged!J2067),dd_accsryclr!$A$2:$A$1000),"")</f>
        <v>0</v>
      </c>
      <c r="I2067" s="16">
        <f>_xlfn.XLOOKUP(C2067,'Project Details'!$C$17:$C$66,'Project Details'!$E$17:$E$66,"",0)</f>
        <v>0</v>
      </c>
      <c r="J2067" s="16">
        <f>_xlfn.XLOOKUP(C2067,'Project Details'!$C$17:$C$66,'Project Details'!$H$17:$H$66,"",0)</f>
        <v>0</v>
      </c>
      <c r="K2067" s="33" t="str">
        <f>IF(AND(_xlfn.XLOOKUP(C2067,'Project Details'!$C$17:$C$66,'Project Details'!$L$17:$L$66,"",0)&gt;550, F2067="Spring-L27cm"),"",SUBSTITUTE(_xlfn.XLOOKUP(G2067,SKUs!$C$2:$C$10001,SKUs!$F$2:$F$10001,"",0), " Accessories",""))</f>
        <v/>
      </c>
      <c r="L2067" s="33">
        <f>_xlfn.XLOOKUP(C2067,'Project Details'!$C$17:$C$66,'Project Details'!$D$17:$D$66,"",0)</f>
        <v>0</v>
      </c>
      <c r="M2067" s="43"/>
    </row>
    <row r="2068" spans="1:13" x14ac:dyDescent="0.25">
      <c r="A2068" s="43"/>
      <c r="B2068" s="43"/>
      <c r="C2068" s="35">
        <f t="shared" si="40"/>
        <v>42</v>
      </c>
      <c r="D2068" s="35" t="str" cm="1">
        <f t="array" ref="D2068">IFERROR(ROUNDUP(_xlfn.IFS(F2068="Aluminum Track", _xlfn.XLOOKUP(C2068, dd_accsrycalc!$A$2:$A$51, dd_accsrycalc!$B$2:$B$51, "",0), F2068="10 x 2 1/2 S (Flat)", _xlfn.XLOOKUP(C2068, dd_accsrycalc!$A$2:$A$51, dd_accsrycalc!$C$2:$C$51, "",0), F2068="Tox6", _xlfn.XLOOKUP(C2068, dd_accsrycalc!$A$2:$A$51, dd_accsrycalc!$D$2:$D$51, "",0), F2068="Cover Cap", _xlfn.XLOOKUP(C2068, dd_accsrycalc!$A$2:$A$51, dd_accsrycalc!$E$2:$E$51, "",0), F2068="Drainage Cover", _xlfn.XLOOKUP(C2068, dd_accsrycalc!$A$2:$A$51, dd_accsrycalc!$F$2:$F$51, "",0),AND( F2068="Double Adhesive Tape", I2068="Roll-up Screen"), _xlfn.XLOOKUP(C2068, calc_rusacc!$C$15:$C$65, calc_rusacc!$AD$15:$AD$65, "",0),AND( F2068="Sealant", I2068="Roll-up Screen"), _xlfn.XLOOKUP(C2068, calc_rusacc!$C$15:$C$65, calc_rusacc!$AF$15:$AF$65, "",0),  AND( F2068="Main Chain", I2068="Accordion Screen"), _xlfn.XLOOKUP(C2068, calc_rusacc!$C$15:$C$65, calc_rusacc!$BF$15:$BF$65, "",0), AND( F2068="Sealant", I2068="Accordion Screen"), _xlfn.XLOOKUP(C2068, calc_rusacc!$C$15:$C$65, calc_rusacc!$BJ$15:$BJ$65, "",0),  F2068="Sealant", _xlfn.XLOOKUP(C2068, dd_accsrycalc!$A$2:$A$51, dd_accsrycalc!$G$2:$G$51, "",0),  F2068&lt;&gt;"",L2068*_xlfn.XLOOKUP(1, (SKUs!$C$2:$C$10001=G2068)*(SKUs!$K$2:$K$10001=I2068),SKUs!$E$2:$E$10001)), 0),"")</f>
        <v/>
      </c>
      <c r="E2068" s="35" t="str">
        <f>_xlfn.XLOOKUP(F2068,dd_item!$B$2:$B$105,dd_item!$C$2:$C$105,"",0)</f>
        <v/>
      </c>
      <c r="F2068" s="35"/>
      <c r="G2068" s="35" cm="1">
        <f t="array" ref="G2068">IFERROR(_xlfn.XLOOKUP(1, (SKUs!$J$2:$J$10001=accsry_unmerged!F2068)*IF(H2068&lt;&gt;"",(SKUs!$L$2:$L$10001=accsry_unmerged!H2068),1)*(SKUs!$K$2:$K$10001=I2068),SKUs!$C$2:$C$10001),"")</f>
        <v>0</v>
      </c>
      <c r="H2068" s="36" cm="1">
        <f t="array" ref="H2068">IFERROR(_xlfn.XLOOKUP(1, (dd_accsryclr!$C$2:$C$1000=accsry_unmerged!F2068)*(dd_accsryclr!$B$2:$B$1000=accsry_unmerged!J2068),dd_accsryclr!$A$2:$A$1000),"")</f>
        <v>0</v>
      </c>
      <c r="I2068" s="35">
        <f>_xlfn.XLOOKUP(C2068,'Project Details'!$C$17:$C$66,'Project Details'!$E$17:$E$66,"",0)</f>
        <v>0</v>
      </c>
      <c r="J2068" s="35">
        <f>_xlfn.XLOOKUP(C2068,'Project Details'!$C$17:$C$66,'Project Details'!$H$17:$H$66,"",0)</f>
        <v>0</v>
      </c>
      <c r="K2068" s="36" t="str">
        <f>IF(AND(_xlfn.XLOOKUP(C2068,'Project Details'!$C$17:$C$66,'Project Details'!$L$17:$L$66,"",0)&gt;550, F2068="Spring-L27cm"),"",SUBSTITUTE(_xlfn.XLOOKUP(G2068,SKUs!$C$2:$C$10001,SKUs!$F$2:$F$10001,"",0), " Accessories",""))</f>
        <v/>
      </c>
      <c r="L2068" s="36">
        <f>_xlfn.XLOOKUP(C2068,'Project Details'!$C$17:$C$66,'Project Details'!$D$17:$D$66,"",0)</f>
        <v>0</v>
      </c>
      <c r="M2068" s="43"/>
    </row>
    <row r="2069" spans="1:13" x14ac:dyDescent="0.25">
      <c r="A2069" s="43"/>
      <c r="B2069" s="43"/>
      <c r="C2069" s="16">
        <f t="shared" si="40"/>
        <v>42</v>
      </c>
      <c r="D2069" s="16" t="str" cm="1">
        <f t="array" ref="D2069">IFERROR(ROUNDUP(_xlfn.IFS(F2069="Aluminum Track", _xlfn.XLOOKUP(C2069, dd_accsrycalc!$A$2:$A$51, dd_accsrycalc!$B$2:$B$51, "",0), F2069="10 x 2 1/2 S (Flat)", _xlfn.XLOOKUP(C2069, dd_accsrycalc!$A$2:$A$51, dd_accsrycalc!$C$2:$C$51, "",0), F2069="Tox6", _xlfn.XLOOKUP(C2069, dd_accsrycalc!$A$2:$A$51, dd_accsrycalc!$D$2:$D$51, "",0), F2069="Cover Cap", _xlfn.XLOOKUP(C2069, dd_accsrycalc!$A$2:$A$51, dd_accsrycalc!$E$2:$E$51, "",0), F2069="Drainage Cover", _xlfn.XLOOKUP(C2069, dd_accsrycalc!$A$2:$A$51, dd_accsrycalc!$F$2:$F$51, "",0),AND( F2069="Double Adhesive Tape", I2069="Roll-up Screen"), _xlfn.XLOOKUP(C2069, calc_rusacc!$C$15:$C$65, calc_rusacc!$AD$15:$AD$65, "",0),AND( F2069="Sealant", I2069="Roll-up Screen"), _xlfn.XLOOKUP(C2069, calc_rusacc!$C$15:$C$65, calc_rusacc!$AF$15:$AF$65, "",0),  AND( F2069="Main Chain", I2069="Accordion Screen"), _xlfn.XLOOKUP(C2069, calc_rusacc!$C$15:$C$65, calc_rusacc!$BF$15:$BF$65, "",0), AND( F2069="Sealant", I2069="Accordion Screen"), _xlfn.XLOOKUP(C2069, calc_rusacc!$C$15:$C$65, calc_rusacc!$BJ$15:$BJ$65, "",0),  F2069="Sealant", _xlfn.XLOOKUP(C2069, dd_accsrycalc!$A$2:$A$51, dd_accsrycalc!$G$2:$G$51, "",0),  F2069&lt;&gt;"",L2069*_xlfn.XLOOKUP(1, (SKUs!$C$2:$C$10001=G2069)*(SKUs!$K$2:$K$10001=I2069),SKUs!$E$2:$E$10001)), 0),"")</f>
        <v/>
      </c>
      <c r="E2069" s="16" t="str">
        <f>_xlfn.XLOOKUP(F2069,dd_item!$B$2:$B$105,dd_item!$C$2:$C$105,"",0)</f>
        <v/>
      </c>
      <c r="F2069" s="16"/>
      <c r="G2069" s="16" cm="1">
        <f t="array" ref="G2069">IFERROR(_xlfn.XLOOKUP(1, (SKUs!$J$2:$J$10001=accsry_unmerged!F2069)*IF(H2069&lt;&gt;"",(SKUs!$L$2:$L$10001=accsry_unmerged!H2069),1)*(SKUs!$K$2:$K$10001=I2069),SKUs!$C$2:$C$10001),"")</f>
        <v>0</v>
      </c>
      <c r="H2069" s="33" cm="1">
        <f t="array" ref="H2069">IFERROR(_xlfn.XLOOKUP(1, (dd_accsryclr!$C$2:$C$1000=accsry_unmerged!F2069)*(dd_accsryclr!$B$2:$B$1000=accsry_unmerged!J2069),dd_accsryclr!$A$2:$A$1000),"")</f>
        <v>0</v>
      </c>
      <c r="I2069" s="16">
        <f>_xlfn.XLOOKUP(C2069,'Project Details'!$C$17:$C$66,'Project Details'!$E$17:$E$66,"",0)</f>
        <v>0</v>
      </c>
      <c r="J2069" s="16">
        <f>_xlfn.XLOOKUP(C2069,'Project Details'!$C$17:$C$66,'Project Details'!$H$17:$H$66,"",0)</f>
        <v>0</v>
      </c>
      <c r="K2069" s="33" t="str">
        <f>IF(AND(_xlfn.XLOOKUP(C2069,'Project Details'!$C$17:$C$66,'Project Details'!$L$17:$L$66,"",0)&gt;550, F2069="Spring-L27cm"),"",SUBSTITUTE(_xlfn.XLOOKUP(G2069,SKUs!$C$2:$C$10001,SKUs!$F$2:$F$10001,"",0), " Accessories",""))</f>
        <v/>
      </c>
      <c r="L2069" s="33">
        <f>_xlfn.XLOOKUP(C2069,'Project Details'!$C$17:$C$66,'Project Details'!$D$17:$D$66,"",0)</f>
        <v>0</v>
      </c>
      <c r="M2069" s="43"/>
    </row>
    <row r="2070" spans="1:13" x14ac:dyDescent="0.25">
      <c r="A2070" s="43"/>
      <c r="B2070" s="43"/>
      <c r="C2070" s="35">
        <f t="shared" si="40"/>
        <v>42</v>
      </c>
      <c r="D2070" s="35" t="str" cm="1">
        <f t="array" ref="D2070">IFERROR(ROUNDUP(_xlfn.IFS(F2070="Aluminum Track", _xlfn.XLOOKUP(C2070, dd_accsrycalc!$A$2:$A$51, dd_accsrycalc!$B$2:$B$51, "",0), F2070="10 x 2 1/2 S (Flat)", _xlfn.XLOOKUP(C2070, dd_accsrycalc!$A$2:$A$51, dd_accsrycalc!$C$2:$C$51, "",0), F2070="Tox6", _xlfn.XLOOKUP(C2070, dd_accsrycalc!$A$2:$A$51, dd_accsrycalc!$D$2:$D$51, "",0), F2070="Cover Cap", _xlfn.XLOOKUP(C2070, dd_accsrycalc!$A$2:$A$51, dd_accsrycalc!$E$2:$E$51, "",0), F2070="Drainage Cover", _xlfn.XLOOKUP(C2070, dd_accsrycalc!$A$2:$A$51, dd_accsrycalc!$F$2:$F$51, "",0),AND( F2070="Double Adhesive Tape", I2070="Roll-up Screen"), _xlfn.XLOOKUP(C2070, calc_rusacc!$C$15:$C$65, calc_rusacc!$AD$15:$AD$65, "",0),AND( F2070="Sealant", I2070="Roll-up Screen"), _xlfn.XLOOKUP(C2070, calc_rusacc!$C$15:$C$65, calc_rusacc!$AF$15:$AF$65, "",0),  AND( F2070="Main Chain", I2070="Accordion Screen"), _xlfn.XLOOKUP(C2070, calc_rusacc!$C$15:$C$65, calc_rusacc!$BF$15:$BF$65, "",0), AND( F2070="Sealant", I2070="Accordion Screen"), _xlfn.XLOOKUP(C2070, calc_rusacc!$C$15:$C$65, calc_rusacc!$BJ$15:$BJ$65, "",0),  F2070="Sealant", _xlfn.XLOOKUP(C2070, dd_accsrycalc!$A$2:$A$51, dd_accsrycalc!$G$2:$G$51, "",0),  F2070&lt;&gt;"",L2070*_xlfn.XLOOKUP(1, (SKUs!$C$2:$C$10001=G2070)*(SKUs!$K$2:$K$10001=I2070),SKUs!$E$2:$E$10001)), 0),"")</f>
        <v/>
      </c>
      <c r="E2070" s="35" t="str">
        <f>_xlfn.XLOOKUP(F2070,dd_item!$B$2:$B$105,dd_item!$C$2:$C$105,"",0)</f>
        <v/>
      </c>
      <c r="F2070" s="35"/>
      <c r="G2070" s="35" cm="1">
        <f t="array" ref="G2070">IFERROR(_xlfn.XLOOKUP(1, (SKUs!$J$2:$J$10001=accsry_unmerged!F2070)*IF(H2070&lt;&gt;"",(SKUs!$L$2:$L$10001=accsry_unmerged!H2070),1)*(SKUs!$K$2:$K$10001=I2070),SKUs!$C$2:$C$10001),"")</f>
        <v>0</v>
      </c>
      <c r="H2070" s="36" cm="1">
        <f t="array" ref="H2070">IFERROR(_xlfn.XLOOKUP(1, (dd_accsryclr!$C$2:$C$1000=accsry_unmerged!F2070)*(dd_accsryclr!$B$2:$B$1000=accsry_unmerged!J2070),dd_accsryclr!$A$2:$A$1000),"")</f>
        <v>0</v>
      </c>
      <c r="I2070" s="35">
        <f>_xlfn.XLOOKUP(C2070,'Project Details'!$C$17:$C$66,'Project Details'!$E$17:$E$66,"",0)</f>
        <v>0</v>
      </c>
      <c r="J2070" s="35">
        <f>_xlfn.XLOOKUP(C2070,'Project Details'!$C$17:$C$66,'Project Details'!$H$17:$H$66,"",0)</f>
        <v>0</v>
      </c>
      <c r="K2070" s="36" t="str">
        <f>IF(AND(_xlfn.XLOOKUP(C2070,'Project Details'!$C$17:$C$66,'Project Details'!$L$17:$L$66,"",0)&gt;550, F2070="Spring-L27cm"),"",SUBSTITUTE(_xlfn.XLOOKUP(G2070,SKUs!$C$2:$C$10001,SKUs!$F$2:$F$10001,"",0), " Accessories",""))</f>
        <v/>
      </c>
      <c r="L2070" s="36">
        <f>_xlfn.XLOOKUP(C2070,'Project Details'!$C$17:$C$66,'Project Details'!$D$17:$D$66,"",0)</f>
        <v>0</v>
      </c>
      <c r="M2070" s="43"/>
    </row>
    <row r="2071" spans="1:13" x14ac:dyDescent="0.25">
      <c r="A2071" s="43"/>
      <c r="B2071" s="43"/>
      <c r="C2071" s="16">
        <f t="shared" si="40"/>
        <v>42</v>
      </c>
      <c r="D2071" s="16" t="str" cm="1">
        <f t="array" ref="D2071">IFERROR(ROUNDUP(_xlfn.IFS(F2071="Aluminum Track", _xlfn.XLOOKUP(C2071, dd_accsrycalc!$A$2:$A$51, dd_accsrycalc!$B$2:$B$51, "",0), F2071="10 x 2 1/2 S (Flat)", _xlfn.XLOOKUP(C2071, dd_accsrycalc!$A$2:$A$51, dd_accsrycalc!$C$2:$C$51, "",0), F2071="Tox6", _xlfn.XLOOKUP(C2071, dd_accsrycalc!$A$2:$A$51, dd_accsrycalc!$D$2:$D$51, "",0), F2071="Cover Cap", _xlfn.XLOOKUP(C2071, dd_accsrycalc!$A$2:$A$51, dd_accsrycalc!$E$2:$E$51, "",0), F2071="Drainage Cover", _xlfn.XLOOKUP(C2071, dd_accsrycalc!$A$2:$A$51, dd_accsrycalc!$F$2:$F$51, "",0),AND( F2071="Double Adhesive Tape", I2071="Roll-up Screen"), _xlfn.XLOOKUP(C2071, calc_rusacc!$C$15:$C$65, calc_rusacc!$AD$15:$AD$65, "",0),AND( F2071="Sealant", I2071="Roll-up Screen"), _xlfn.XLOOKUP(C2071, calc_rusacc!$C$15:$C$65, calc_rusacc!$AF$15:$AF$65, "",0),  AND( F2071="Main Chain", I2071="Accordion Screen"), _xlfn.XLOOKUP(C2071, calc_rusacc!$C$15:$C$65, calc_rusacc!$BF$15:$BF$65, "",0), AND( F2071="Sealant", I2071="Accordion Screen"), _xlfn.XLOOKUP(C2071, calc_rusacc!$C$15:$C$65, calc_rusacc!$BJ$15:$BJ$65, "",0),  F2071="Sealant", _xlfn.XLOOKUP(C2071, dd_accsrycalc!$A$2:$A$51, dd_accsrycalc!$G$2:$G$51, "",0),  F2071&lt;&gt;"",L2071*_xlfn.XLOOKUP(1, (SKUs!$C$2:$C$10001=G2071)*(SKUs!$K$2:$K$10001=I2071),SKUs!$E$2:$E$10001)), 0),"")</f>
        <v/>
      </c>
      <c r="E2071" s="16" t="str">
        <f>_xlfn.XLOOKUP(F2071,dd_item!$B$2:$B$105,dd_item!$C$2:$C$105,"",0)</f>
        <v/>
      </c>
      <c r="F2071" s="16"/>
      <c r="G2071" s="16" cm="1">
        <f t="array" ref="G2071">IFERROR(_xlfn.XLOOKUP(1, (SKUs!$J$2:$J$10001=accsry_unmerged!F2071)*IF(H2071&lt;&gt;"",(SKUs!$L$2:$L$10001=accsry_unmerged!H2071),1)*(SKUs!$K$2:$K$10001=I2071),SKUs!$C$2:$C$10001),"")</f>
        <v>0</v>
      </c>
      <c r="H2071" s="33" cm="1">
        <f t="array" ref="H2071">IFERROR(_xlfn.XLOOKUP(1, (dd_accsryclr!$C$2:$C$1000=accsry_unmerged!F2071)*(dd_accsryclr!$B$2:$B$1000=accsry_unmerged!J2071),dd_accsryclr!$A$2:$A$1000),"")</f>
        <v>0</v>
      </c>
      <c r="I2071" s="16">
        <f>_xlfn.XLOOKUP(C2071,'Project Details'!$C$17:$C$66,'Project Details'!$E$17:$E$66,"",0)</f>
        <v>0</v>
      </c>
      <c r="J2071" s="16">
        <f>_xlfn.XLOOKUP(C2071,'Project Details'!$C$17:$C$66,'Project Details'!$H$17:$H$66,"",0)</f>
        <v>0</v>
      </c>
      <c r="K2071" s="33" t="str">
        <f>IF(AND(_xlfn.XLOOKUP(C2071,'Project Details'!$C$17:$C$66,'Project Details'!$L$17:$L$66,"",0)&gt;550, F2071="Spring-L27cm"),"",SUBSTITUTE(_xlfn.XLOOKUP(G2071,SKUs!$C$2:$C$10001,SKUs!$F$2:$F$10001,"",0), " Accessories",""))</f>
        <v/>
      </c>
      <c r="L2071" s="33">
        <f>_xlfn.XLOOKUP(C2071,'Project Details'!$C$17:$C$66,'Project Details'!$D$17:$D$66,"",0)</f>
        <v>0</v>
      </c>
      <c r="M2071" s="43"/>
    </row>
    <row r="2072" spans="1:13" x14ac:dyDescent="0.25">
      <c r="A2072" s="43"/>
      <c r="B2072" s="43"/>
      <c r="C2072" s="35">
        <f t="shared" si="40"/>
        <v>42</v>
      </c>
      <c r="D2072" s="35" t="str" cm="1">
        <f t="array" ref="D2072">IFERROR(ROUNDUP(_xlfn.IFS(F2072="Aluminum Track", _xlfn.XLOOKUP(C2072, dd_accsrycalc!$A$2:$A$51, dd_accsrycalc!$B$2:$B$51, "",0), F2072="10 x 2 1/2 S (Flat)", _xlfn.XLOOKUP(C2072, dd_accsrycalc!$A$2:$A$51, dd_accsrycalc!$C$2:$C$51, "",0), F2072="Tox6", _xlfn.XLOOKUP(C2072, dd_accsrycalc!$A$2:$A$51, dd_accsrycalc!$D$2:$D$51, "",0), F2072="Cover Cap", _xlfn.XLOOKUP(C2072, dd_accsrycalc!$A$2:$A$51, dd_accsrycalc!$E$2:$E$51, "",0), F2072="Drainage Cover", _xlfn.XLOOKUP(C2072, dd_accsrycalc!$A$2:$A$51, dd_accsrycalc!$F$2:$F$51, "",0),AND( F2072="Double Adhesive Tape", I2072="Roll-up Screen"), _xlfn.XLOOKUP(C2072, calc_rusacc!$C$15:$C$65, calc_rusacc!$AD$15:$AD$65, "",0),AND( F2072="Sealant", I2072="Roll-up Screen"), _xlfn.XLOOKUP(C2072, calc_rusacc!$C$15:$C$65, calc_rusacc!$AF$15:$AF$65, "",0),  AND( F2072="Main Chain", I2072="Accordion Screen"), _xlfn.XLOOKUP(C2072, calc_rusacc!$C$15:$C$65, calc_rusacc!$BF$15:$BF$65, "",0), AND( F2072="Sealant", I2072="Accordion Screen"), _xlfn.XLOOKUP(C2072, calc_rusacc!$C$15:$C$65, calc_rusacc!$BJ$15:$BJ$65, "",0),  F2072="Sealant", _xlfn.XLOOKUP(C2072, dd_accsrycalc!$A$2:$A$51, dd_accsrycalc!$G$2:$G$51, "",0),  F2072&lt;&gt;"",L2072*_xlfn.XLOOKUP(1, (SKUs!$C$2:$C$10001=G2072)*(SKUs!$K$2:$K$10001=I2072),SKUs!$E$2:$E$10001)), 0),"")</f>
        <v/>
      </c>
      <c r="E2072" s="35" t="str">
        <f>_xlfn.XLOOKUP(F2072,dd_item!$B$2:$B$105,dd_item!$C$2:$C$105,"",0)</f>
        <v/>
      </c>
      <c r="F2072" s="35"/>
      <c r="G2072" s="35" cm="1">
        <f t="array" ref="G2072">IFERROR(_xlfn.XLOOKUP(1, (SKUs!$J$2:$J$10001=accsry_unmerged!F2072)*IF(H2072&lt;&gt;"",(SKUs!$L$2:$L$10001=accsry_unmerged!H2072),1)*(SKUs!$K$2:$K$10001=I2072),SKUs!$C$2:$C$10001),"")</f>
        <v>0</v>
      </c>
      <c r="H2072" s="36" cm="1">
        <f t="array" ref="H2072">IFERROR(_xlfn.XLOOKUP(1, (dd_accsryclr!$C$2:$C$1000=accsry_unmerged!F2072)*(dd_accsryclr!$B$2:$B$1000=accsry_unmerged!J2072),dd_accsryclr!$A$2:$A$1000),"")</f>
        <v>0</v>
      </c>
      <c r="I2072" s="35">
        <f>_xlfn.XLOOKUP(C2072,'Project Details'!$C$17:$C$66,'Project Details'!$E$17:$E$66,"",0)</f>
        <v>0</v>
      </c>
      <c r="J2072" s="35">
        <f>_xlfn.XLOOKUP(C2072,'Project Details'!$C$17:$C$66,'Project Details'!$H$17:$H$66,"",0)</f>
        <v>0</v>
      </c>
      <c r="K2072" s="36" t="str">
        <f>IF(AND(_xlfn.XLOOKUP(C2072,'Project Details'!$C$17:$C$66,'Project Details'!$L$17:$L$66,"",0)&gt;550, F2072="Spring-L27cm"),"",SUBSTITUTE(_xlfn.XLOOKUP(G2072,SKUs!$C$2:$C$10001,SKUs!$F$2:$F$10001,"",0), " Accessories",""))</f>
        <v/>
      </c>
      <c r="L2072" s="36">
        <f>_xlfn.XLOOKUP(C2072,'Project Details'!$C$17:$C$66,'Project Details'!$D$17:$D$66,"",0)</f>
        <v>0</v>
      </c>
      <c r="M2072" s="43"/>
    </row>
    <row r="2073" spans="1:13" x14ac:dyDescent="0.25">
      <c r="A2073" s="43"/>
      <c r="B2073" s="43"/>
      <c r="C2073" s="16">
        <f t="shared" si="40"/>
        <v>42</v>
      </c>
      <c r="D2073" s="16" t="str" cm="1">
        <f t="array" ref="D2073">IFERROR(ROUNDUP(_xlfn.IFS(F2073="Aluminum Track", _xlfn.XLOOKUP(C2073, dd_accsrycalc!$A$2:$A$51, dd_accsrycalc!$B$2:$B$51, "",0), F2073="10 x 2 1/2 S (Flat)", _xlfn.XLOOKUP(C2073, dd_accsrycalc!$A$2:$A$51, dd_accsrycalc!$C$2:$C$51, "",0), F2073="Tox6", _xlfn.XLOOKUP(C2073, dd_accsrycalc!$A$2:$A$51, dd_accsrycalc!$D$2:$D$51, "",0), F2073="Cover Cap", _xlfn.XLOOKUP(C2073, dd_accsrycalc!$A$2:$A$51, dd_accsrycalc!$E$2:$E$51, "",0), F2073="Drainage Cover", _xlfn.XLOOKUP(C2073, dd_accsrycalc!$A$2:$A$51, dd_accsrycalc!$F$2:$F$51, "",0),AND( F2073="Double Adhesive Tape", I2073="Roll-up Screen"), _xlfn.XLOOKUP(C2073, calc_rusacc!$C$15:$C$65, calc_rusacc!$AD$15:$AD$65, "",0),AND( F2073="Sealant", I2073="Roll-up Screen"), _xlfn.XLOOKUP(C2073, calc_rusacc!$C$15:$C$65, calc_rusacc!$AF$15:$AF$65, "",0),  AND( F2073="Main Chain", I2073="Accordion Screen"), _xlfn.XLOOKUP(C2073, calc_rusacc!$C$15:$C$65, calc_rusacc!$BF$15:$BF$65, "",0), AND( F2073="Sealant", I2073="Accordion Screen"), _xlfn.XLOOKUP(C2073, calc_rusacc!$C$15:$C$65, calc_rusacc!$BJ$15:$BJ$65, "",0),  F2073="Sealant", _xlfn.XLOOKUP(C2073, dd_accsrycalc!$A$2:$A$51, dd_accsrycalc!$G$2:$G$51, "",0),  F2073&lt;&gt;"",L2073*_xlfn.XLOOKUP(1, (SKUs!$C$2:$C$10001=G2073)*(SKUs!$K$2:$K$10001=I2073),SKUs!$E$2:$E$10001)), 0),"")</f>
        <v/>
      </c>
      <c r="E2073" s="16" t="str">
        <f>_xlfn.XLOOKUP(F2073,dd_item!$B$2:$B$105,dd_item!$C$2:$C$105,"",0)</f>
        <v/>
      </c>
      <c r="F2073" s="16"/>
      <c r="G2073" s="16" cm="1">
        <f t="array" ref="G2073">IFERROR(_xlfn.XLOOKUP(1, (SKUs!$J$2:$J$10001=accsry_unmerged!F2073)*IF(H2073&lt;&gt;"",(SKUs!$L$2:$L$10001=accsry_unmerged!H2073),1)*(SKUs!$K$2:$K$10001=I2073),SKUs!$C$2:$C$10001),"")</f>
        <v>0</v>
      </c>
      <c r="H2073" s="33" cm="1">
        <f t="array" ref="H2073">IFERROR(_xlfn.XLOOKUP(1, (dd_accsryclr!$C$2:$C$1000=accsry_unmerged!F2073)*(dd_accsryclr!$B$2:$B$1000=accsry_unmerged!J2073),dd_accsryclr!$A$2:$A$1000),"")</f>
        <v>0</v>
      </c>
      <c r="I2073" s="16">
        <f>_xlfn.XLOOKUP(C2073,'Project Details'!$C$17:$C$66,'Project Details'!$E$17:$E$66,"",0)</f>
        <v>0</v>
      </c>
      <c r="J2073" s="16">
        <f>_xlfn.XLOOKUP(C2073,'Project Details'!$C$17:$C$66,'Project Details'!$H$17:$H$66,"",0)</f>
        <v>0</v>
      </c>
      <c r="K2073" s="33" t="str">
        <f>IF(AND(_xlfn.XLOOKUP(C2073,'Project Details'!$C$17:$C$66,'Project Details'!$L$17:$L$66,"",0)&gt;550, F2073="Spring-L27cm"),"",SUBSTITUTE(_xlfn.XLOOKUP(G2073,SKUs!$C$2:$C$10001,SKUs!$F$2:$F$10001,"",0), " Accessories",""))</f>
        <v/>
      </c>
      <c r="L2073" s="33">
        <f>_xlfn.XLOOKUP(C2073,'Project Details'!$C$17:$C$66,'Project Details'!$D$17:$D$66,"",0)</f>
        <v>0</v>
      </c>
      <c r="M2073" s="43"/>
    </row>
    <row r="2074" spans="1:13" x14ac:dyDescent="0.25">
      <c r="A2074" s="43"/>
      <c r="B2074" s="43"/>
      <c r="C2074" s="35">
        <f t="shared" si="40"/>
        <v>42</v>
      </c>
      <c r="D2074" s="35" t="str" cm="1">
        <f t="array" ref="D2074">IFERROR(ROUNDUP(_xlfn.IFS(F2074="Aluminum Track", _xlfn.XLOOKUP(C2074, dd_accsrycalc!$A$2:$A$51, dd_accsrycalc!$B$2:$B$51, "",0), F2074="10 x 2 1/2 S (Flat)", _xlfn.XLOOKUP(C2074, dd_accsrycalc!$A$2:$A$51, dd_accsrycalc!$C$2:$C$51, "",0), F2074="Tox6", _xlfn.XLOOKUP(C2074, dd_accsrycalc!$A$2:$A$51, dd_accsrycalc!$D$2:$D$51, "",0), F2074="Cover Cap", _xlfn.XLOOKUP(C2074, dd_accsrycalc!$A$2:$A$51, dd_accsrycalc!$E$2:$E$51, "",0), F2074="Drainage Cover", _xlfn.XLOOKUP(C2074, dd_accsrycalc!$A$2:$A$51, dd_accsrycalc!$F$2:$F$51, "",0),AND( F2074="Double Adhesive Tape", I2074="Roll-up Screen"), _xlfn.XLOOKUP(C2074, calc_rusacc!$C$15:$C$65, calc_rusacc!$AD$15:$AD$65, "",0),AND( F2074="Sealant", I2074="Roll-up Screen"), _xlfn.XLOOKUP(C2074, calc_rusacc!$C$15:$C$65, calc_rusacc!$AF$15:$AF$65, "",0),  AND( F2074="Main Chain", I2074="Accordion Screen"), _xlfn.XLOOKUP(C2074, calc_rusacc!$C$15:$C$65, calc_rusacc!$BF$15:$BF$65, "",0), AND( F2074="Sealant", I2074="Accordion Screen"), _xlfn.XLOOKUP(C2074, calc_rusacc!$C$15:$C$65, calc_rusacc!$BJ$15:$BJ$65, "",0),  F2074="Sealant", _xlfn.XLOOKUP(C2074, dd_accsrycalc!$A$2:$A$51, dd_accsrycalc!$G$2:$G$51, "",0),  F2074&lt;&gt;"",L2074*_xlfn.XLOOKUP(1, (SKUs!$C$2:$C$10001=G2074)*(SKUs!$K$2:$K$10001=I2074),SKUs!$E$2:$E$10001)), 0),"")</f>
        <v/>
      </c>
      <c r="E2074" s="35" t="str">
        <f>_xlfn.XLOOKUP(F2074,dd_item!$B$2:$B$105,dd_item!$C$2:$C$105,"",0)</f>
        <v/>
      </c>
      <c r="F2074" s="35"/>
      <c r="G2074" s="35" cm="1">
        <f t="array" ref="G2074">IFERROR(_xlfn.XLOOKUP(1, (SKUs!$J$2:$J$10001=accsry_unmerged!F2074)*IF(H2074&lt;&gt;"",(SKUs!$L$2:$L$10001=accsry_unmerged!H2074),1)*(SKUs!$K$2:$K$10001=I2074),SKUs!$C$2:$C$10001),"")</f>
        <v>0</v>
      </c>
      <c r="H2074" s="36" cm="1">
        <f t="array" ref="H2074">IFERROR(_xlfn.XLOOKUP(1, (dd_accsryclr!$C$2:$C$1000=accsry_unmerged!F2074)*(dd_accsryclr!$B$2:$B$1000=accsry_unmerged!J2074),dd_accsryclr!$A$2:$A$1000),"")</f>
        <v>0</v>
      </c>
      <c r="I2074" s="35">
        <f>_xlfn.XLOOKUP(C2074,'Project Details'!$C$17:$C$66,'Project Details'!$E$17:$E$66,"",0)</f>
        <v>0</v>
      </c>
      <c r="J2074" s="35">
        <f>_xlfn.XLOOKUP(C2074,'Project Details'!$C$17:$C$66,'Project Details'!$H$17:$H$66,"",0)</f>
        <v>0</v>
      </c>
      <c r="K2074" s="36" t="str">
        <f>IF(AND(_xlfn.XLOOKUP(C2074,'Project Details'!$C$17:$C$66,'Project Details'!$L$17:$L$66,"",0)&gt;550, F2074="Spring-L27cm"),"",SUBSTITUTE(_xlfn.XLOOKUP(G2074,SKUs!$C$2:$C$10001,SKUs!$F$2:$F$10001,"",0), " Accessories",""))</f>
        <v/>
      </c>
      <c r="L2074" s="36">
        <f>_xlfn.XLOOKUP(C2074,'Project Details'!$C$17:$C$66,'Project Details'!$D$17:$D$66,"",0)</f>
        <v>0</v>
      </c>
      <c r="M2074" s="43"/>
    </row>
    <row r="2075" spans="1:13" x14ac:dyDescent="0.25">
      <c r="A2075" s="43"/>
      <c r="B2075" s="43"/>
      <c r="C2075" s="16">
        <f t="shared" si="40"/>
        <v>42</v>
      </c>
      <c r="D2075" s="16" t="str" cm="1">
        <f t="array" ref="D2075">IFERROR(ROUNDUP(_xlfn.IFS(F2075="Aluminum Track", _xlfn.XLOOKUP(C2075, dd_accsrycalc!$A$2:$A$51, dd_accsrycalc!$B$2:$B$51, "",0), F2075="10 x 2 1/2 S (Flat)", _xlfn.XLOOKUP(C2075, dd_accsrycalc!$A$2:$A$51, dd_accsrycalc!$C$2:$C$51, "",0), F2075="Tox6", _xlfn.XLOOKUP(C2075, dd_accsrycalc!$A$2:$A$51, dd_accsrycalc!$D$2:$D$51, "",0), F2075="Cover Cap", _xlfn.XLOOKUP(C2075, dd_accsrycalc!$A$2:$A$51, dd_accsrycalc!$E$2:$E$51, "",0), F2075="Drainage Cover", _xlfn.XLOOKUP(C2075, dd_accsrycalc!$A$2:$A$51, dd_accsrycalc!$F$2:$F$51, "",0),AND( F2075="Double Adhesive Tape", I2075="Roll-up Screen"), _xlfn.XLOOKUP(C2075, calc_rusacc!$C$15:$C$65, calc_rusacc!$AD$15:$AD$65, "",0),AND( F2075="Sealant", I2075="Roll-up Screen"), _xlfn.XLOOKUP(C2075, calc_rusacc!$C$15:$C$65, calc_rusacc!$AF$15:$AF$65, "",0),  AND( F2075="Main Chain", I2075="Accordion Screen"), _xlfn.XLOOKUP(C2075, calc_rusacc!$C$15:$C$65, calc_rusacc!$BF$15:$BF$65, "",0), AND( F2075="Sealant", I2075="Accordion Screen"), _xlfn.XLOOKUP(C2075, calc_rusacc!$C$15:$C$65, calc_rusacc!$BJ$15:$BJ$65, "",0),  F2075="Sealant", _xlfn.XLOOKUP(C2075, dd_accsrycalc!$A$2:$A$51, dd_accsrycalc!$G$2:$G$51, "",0),  F2075&lt;&gt;"",L2075*_xlfn.XLOOKUP(1, (SKUs!$C$2:$C$10001=G2075)*(SKUs!$K$2:$K$10001=I2075),SKUs!$E$2:$E$10001)), 0),"")</f>
        <v/>
      </c>
      <c r="E2075" s="16" t="str">
        <f>_xlfn.XLOOKUP(F2075,dd_item!$B$2:$B$105,dd_item!$C$2:$C$105,"",0)</f>
        <v/>
      </c>
      <c r="F2075" s="16"/>
      <c r="G2075" s="16" cm="1">
        <f t="array" ref="G2075">IFERROR(_xlfn.XLOOKUP(1, (SKUs!$J$2:$J$10001=accsry_unmerged!F2075)*IF(H2075&lt;&gt;"",(SKUs!$L$2:$L$10001=accsry_unmerged!H2075),1)*(SKUs!$K$2:$K$10001=I2075),SKUs!$C$2:$C$10001),"")</f>
        <v>0</v>
      </c>
      <c r="H2075" s="33" cm="1">
        <f t="array" ref="H2075">IFERROR(_xlfn.XLOOKUP(1, (dd_accsryclr!$C$2:$C$1000=accsry_unmerged!F2075)*(dd_accsryclr!$B$2:$B$1000=accsry_unmerged!J2075),dd_accsryclr!$A$2:$A$1000),"")</f>
        <v>0</v>
      </c>
      <c r="I2075" s="16">
        <f>_xlfn.XLOOKUP(C2075,'Project Details'!$C$17:$C$66,'Project Details'!$E$17:$E$66,"",0)</f>
        <v>0</v>
      </c>
      <c r="J2075" s="16">
        <f>_xlfn.XLOOKUP(C2075,'Project Details'!$C$17:$C$66,'Project Details'!$H$17:$H$66,"",0)</f>
        <v>0</v>
      </c>
      <c r="K2075" s="33" t="str">
        <f>IF(AND(_xlfn.XLOOKUP(C2075,'Project Details'!$C$17:$C$66,'Project Details'!$L$17:$L$66,"",0)&gt;550, F2075="Spring-L27cm"),"",SUBSTITUTE(_xlfn.XLOOKUP(G2075,SKUs!$C$2:$C$10001,SKUs!$F$2:$F$10001,"",0), " Accessories",""))</f>
        <v/>
      </c>
      <c r="L2075" s="33">
        <f>_xlfn.XLOOKUP(C2075,'Project Details'!$C$17:$C$66,'Project Details'!$D$17:$D$66,"",0)</f>
        <v>0</v>
      </c>
      <c r="M2075" s="43"/>
    </row>
    <row r="2076" spans="1:13" x14ac:dyDescent="0.25">
      <c r="A2076" s="43"/>
      <c r="B2076" s="43"/>
      <c r="C2076" s="35">
        <f t="shared" si="40"/>
        <v>42</v>
      </c>
      <c r="D2076" s="35" t="str" cm="1">
        <f t="array" ref="D2076">IFERROR(ROUNDUP(_xlfn.IFS(F2076="Aluminum Track", _xlfn.XLOOKUP(C2076, dd_accsrycalc!$A$2:$A$51, dd_accsrycalc!$B$2:$B$51, "",0), F2076="10 x 2 1/2 S (Flat)", _xlfn.XLOOKUP(C2076, dd_accsrycalc!$A$2:$A$51, dd_accsrycalc!$C$2:$C$51, "",0), F2076="Tox6", _xlfn.XLOOKUP(C2076, dd_accsrycalc!$A$2:$A$51, dd_accsrycalc!$D$2:$D$51, "",0), F2076="Cover Cap", _xlfn.XLOOKUP(C2076, dd_accsrycalc!$A$2:$A$51, dd_accsrycalc!$E$2:$E$51, "",0), F2076="Drainage Cover", _xlfn.XLOOKUP(C2076, dd_accsrycalc!$A$2:$A$51, dd_accsrycalc!$F$2:$F$51, "",0),AND( F2076="Double Adhesive Tape", I2076="Roll-up Screen"), _xlfn.XLOOKUP(C2076, calc_rusacc!$C$15:$C$65, calc_rusacc!$AD$15:$AD$65, "",0),AND( F2076="Sealant", I2076="Roll-up Screen"), _xlfn.XLOOKUP(C2076, calc_rusacc!$C$15:$C$65, calc_rusacc!$AF$15:$AF$65, "",0),  AND( F2076="Main Chain", I2076="Accordion Screen"), _xlfn.XLOOKUP(C2076, calc_rusacc!$C$15:$C$65, calc_rusacc!$BF$15:$BF$65, "",0), AND( F2076="Sealant", I2076="Accordion Screen"), _xlfn.XLOOKUP(C2076, calc_rusacc!$C$15:$C$65, calc_rusacc!$BJ$15:$BJ$65, "",0),  F2076="Sealant", _xlfn.XLOOKUP(C2076, dd_accsrycalc!$A$2:$A$51, dd_accsrycalc!$G$2:$G$51, "",0),  F2076&lt;&gt;"",L2076*_xlfn.XLOOKUP(1, (SKUs!$C$2:$C$10001=G2076)*(SKUs!$K$2:$K$10001=I2076),SKUs!$E$2:$E$10001)), 0),"")</f>
        <v/>
      </c>
      <c r="E2076" s="35" t="str">
        <f>_xlfn.XLOOKUP(F2076,dd_item!$B$2:$B$105,dd_item!$C$2:$C$105,"",0)</f>
        <v/>
      </c>
      <c r="F2076" s="35"/>
      <c r="G2076" s="35" cm="1">
        <f t="array" ref="G2076">IFERROR(_xlfn.XLOOKUP(1, (SKUs!$J$2:$J$10001=accsry_unmerged!F2076)*IF(H2076&lt;&gt;"",(SKUs!$L$2:$L$10001=accsry_unmerged!H2076),1)*(SKUs!$K$2:$K$10001=I2076),SKUs!$C$2:$C$10001),"")</f>
        <v>0</v>
      </c>
      <c r="H2076" s="36" cm="1">
        <f t="array" ref="H2076">IFERROR(_xlfn.XLOOKUP(1, (dd_accsryclr!$C$2:$C$1000=accsry_unmerged!F2076)*(dd_accsryclr!$B$2:$B$1000=accsry_unmerged!J2076),dd_accsryclr!$A$2:$A$1000),"")</f>
        <v>0</v>
      </c>
      <c r="I2076" s="35">
        <f>_xlfn.XLOOKUP(C2076,'Project Details'!$C$17:$C$66,'Project Details'!$E$17:$E$66,"",0)</f>
        <v>0</v>
      </c>
      <c r="J2076" s="35">
        <f>_xlfn.XLOOKUP(C2076,'Project Details'!$C$17:$C$66,'Project Details'!$H$17:$H$66,"",0)</f>
        <v>0</v>
      </c>
      <c r="K2076" s="36" t="str">
        <f>IF(AND(_xlfn.XLOOKUP(C2076,'Project Details'!$C$17:$C$66,'Project Details'!$L$17:$L$66,"",0)&gt;550, F2076="Spring-L27cm"),"",SUBSTITUTE(_xlfn.XLOOKUP(G2076,SKUs!$C$2:$C$10001,SKUs!$F$2:$F$10001,"",0), " Accessories",""))</f>
        <v/>
      </c>
      <c r="L2076" s="36">
        <f>_xlfn.XLOOKUP(C2076,'Project Details'!$C$17:$C$66,'Project Details'!$D$17:$D$66,"",0)</f>
        <v>0</v>
      </c>
      <c r="M2076" s="43"/>
    </row>
    <row r="2077" spans="1:13" x14ac:dyDescent="0.25">
      <c r="A2077" s="43"/>
      <c r="B2077" s="43"/>
      <c r="C2077" s="16">
        <f t="shared" si="40"/>
        <v>42</v>
      </c>
      <c r="D2077" s="16" t="str" cm="1">
        <f t="array" ref="D2077">IFERROR(ROUNDUP(_xlfn.IFS(F2077="Aluminum Track", _xlfn.XLOOKUP(C2077, dd_accsrycalc!$A$2:$A$51, dd_accsrycalc!$B$2:$B$51, "",0), F2077="10 x 2 1/2 S (Flat)", _xlfn.XLOOKUP(C2077, dd_accsrycalc!$A$2:$A$51, dd_accsrycalc!$C$2:$C$51, "",0), F2077="Tox6", _xlfn.XLOOKUP(C2077, dd_accsrycalc!$A$2:$A$51, dd_accsrycalc!$D$2:$D$51, "",0), F2077="Cover Cap", _xlfn.XLOOKUP(C2077, dd_accsrycalc!$A$2:$A$51, dd_accsrycalc!$E$2:$E$51, "",0), F2077="Drainage Cover", _xlfn.XLOOKUP(C2077, dd_accsrycalc!$A$2:$A$51, dd_accsrycalc!$F$2:$F$51, "",0),AND( F2077="Double Adhesive Tape", I2077="Roll-up Screen"), _xlfn.XLOOKUP(C2077, calc_rusacc!$C$15:$C$65, calc_rusacc!$AD$15:$AD$65, "",0),AND( F2077="Sealant", I2077="Roll-up Screen"), _xlfn.XLOOKUP(C2077, calc_rusacc!$C$15:$C$65, calc_rusacc!$AF$15:$AF$65, "",0),  AND( F2077="Main Chain", I2077="Accordion Screen"), _xlfn.XLOOKUP(C2077, calc_rusacc!$C$15:$C$65, calc_rusacc!$BF$15:$BF$65, "",0), AND( F2077="Sealant", I2077="Accordion Screen"), _xlfn.XLOOKUP(C2077, calc_rusacc!$C$15:$C$65, calc_rusacc!$BJ$15:$BJ$65, "",0),  F2077="Sealant", _xlfn.XLOOKUP(C2077, dd_accsrycalc!$A$2:$A$51, dd_accsrycalc!$G$2:$G$51, "",0),  F2077&lt;&gt;"",L2077*_xlfn.XLOOKUP(1, (SKUs!$C$2:$C$10001=G2077)*(SKUs!$K$2:$K$10001=I2077),SKUs!$E$2:$E$10001)), 0),"")</f>
        <v/>
      </c>
      <c r="E2077" s="16" t="str">
        <f>_xlfn.XLOOKUP(F2077,dd_item!$B$2:$B$105,dd_item!$C$2:$C$105,"",0)</f>
        <v/>
      </c>
      <c r="F2077" s="16"/>
      <c r="G2077" s="16" cm="1">
        <f t="array" ref="G2077">IFERROR(_xlfn.XLOOKUP(1, (SKUs!$J$2:$J$10001=accsry_unmerged!F2077)*IF(H2077&lt;&gt;"",(SKUs!$L$2:$L$10001=accsry_unmerged!H2077),1)*(SKUs!$K$2:$K$10001=I2077),SKUs!$C$2:$C$10001),"")</f>
        <v>0</v>
      </c>
      <c r="H2077" s="33" cm="1">
        <f t="array" ref="H2077">IFERROR(_xlfn.XLOOKUP(1, (dd_accsryclr!$C$2:$C$1000=accsry_unmerged!F2077)*(dd_accsryclr!$B$2:$B$1000=accsry_unmerged!J2077),dd_accsryclr!$A$2:$A$1000),"")</f>
        <v>0</v>
      </c>
      <c r="I2077" s="16">
        <f>_xlfn.XLOOKUP(C2077,'Project Details'!$C$17:$C$66,'Project Details'!$E$17:$E$66,"",0)</f>
        <v>0</v>
      </c>
      <c r="J2077" s="16">
        <f>_xlfn.XLOOKUP(C2077,'Project Details'!$C$17:$C$66,'Project Details'!$H$17:$H$66,"",0)</f>
        <v>0</v>
      </c>
      <c r="K2077" s="33" t="str">
        <f>IF(AND(_xlfn.XLOOKUP(C2077,'Project Details'!$C$17:$C$66,'Project Details'!$L$17:$L$66,"",0)&gt;550, F2077="Spring-L27cm"),"",SUBSTITUTE(_xlfn.XLOOKUP(G2077,SKUs!$C$2:$C$10001,SKUs!$F$2:$F$10001,"",0), " Accessories",""))</f>
        <v/>
      </c>
      <c r="L2077" s="33">
        <f>_xlfn.XLOOKUP(C2077,'Project Details'!$C$17:$C$66,'Project Details'!$D$17:$D$66,"",0)</f>
        <v>0</v>
      </c>
      <c r="M2077" s="43"/>
    </row>
    <row r="2078" spans="1:13" x14ac:dyDescent="0.25">
      <c r="A2078" s="43"/>
      <c r="B2078" s="43"/>
      <c r="C2078" s="35">
        <f t="shared" si="40"/>
        <v>42</v>
      </c>
      <c r="D2078" s="35" t="str" cm="1">
        <f t="array" ref="D2078">IFERROR(ROUNDUP(_xlfn.IFS(F2078="Aluminum Track", _xlfn.XLOOKUP(C2078, dd_accsrycalc!$A$2:$A$51, dd_accsrycalc!$B$2:$B$51, "",0), F2078="10 x 2 1/2 S (Flat)", _xlfn.XLOOKUP(C2078, dd_accsrycalc!$A$2:$A$51, dd_accsrycalc!$C$2:$C$51, "",0), F2078="Tox6", _xlfn.XLOOKUP(C2078, dd_accsrycalc!$A$2:$A$51, dd_accsrycalc!$D$2:$D$51, "",0), F2078="Cover Cap", _xlfn.XLOOKUP(C2078, dd_accsrycalc!$A$2:$A$51, dd_accsrycalc!$E$2:$E$51, "",0), F2078="Drainage Cover", _xlfn.XLOOKUP(C2078, dd_accsrycalc!$A$2:$A$51, dd_accsrycalc!$F$2:$F$51, "",0),AND( F2078="Double Adhesive Tape", I2078="Roll-up Screen"), _xlfn.XLOOKUP(C2078, calc_rusacc!$C$15:$C$65, calc_rusacc!$AD$15:$AD$65, "",0),AND( F2078="Sealant", I2078="Roll-up Screen"), _xlfn.XLOOKUP(C2078, calc_rusacc!$C$15:$C$65, calc_rusacc!$AF$15:$AF$65, "",0),  AND( F2078="Main Chain", I2078="Accordion Screen"), _xlfn.XLOOKUP(C2078, calc_rusacc!$C$15:$C$65, calc_rusacc!$BF$15:$BF$65, "",0), AND( F2078="Sealant", I2078="Accordion Screen"), _xlfn.XLOOKUP(C2078, calc_rusacc!$C$15:$C$65, calc_rusacc!$BJ$15:$BJ$65, "",0),  F2078="Sealant", _xlfn.XLOOKUP(C2078, dd_accsrycalc!$A$2:$A$51, dd_accsrycalc!$G$2:$G$51, "",0),  F2078&lt;&gt;"",L2078*_xlfn.XLOOKUP(1, (SKUs!$C$2:$C$10001=G2078)*(SKUs!$K$2:$K$10001=I2078),SKUs!$E$2:$E$10001)), 0),"")</f>
        <v/>
      </c>
      <c r="E2078" s="35" t="str">
        <f>_xlfn.XLOOKUP(F2078,dd_item!$B$2:$B$105,dd_item!$C$2:$C$105,"",0)</f>
        <v/>
      </c>
      <c r="F2078" s="35"/>
      <c r="G2078" s="35" cm="1">
        <f t="array" ref="G2078">IFERROR(_xlfn.XLOOKUP(1, (SKUs!$J$2:$J$10001=accsry_unmerged!F2078)*IF(H2078&lt;&gt;"",(SKUs!$L$2:$L$10001=accsry_unmerged!H2078),1)*(SKUs!$K$2:$K$10001=I2078),SKUs!$C$2:$C$10001),"")</f>
        <v>0</v>
      </c>
      <c r="H2078" s="36" cm="1">
        <f t="array" ref="H2078">IFERROR(_xlfn.XLOOKUP(1, (dd_accsryclr!$C$2:$C$1000=accsry_unmerged!F2078)*(dd_accsryclr!$B$2:$B$1000=accsry_unmerged!J2078),dd_accsryclr!$A$2:$A$1000),"")</f>
        <v>0</v>
      </c>
      <c r="I2078" s="35">
        <f>_xlfn.XLOOKUP(C2078,'Project Details'!$C$17:$C$66,'Project Details'!$E$17:$E$66,"",0)</f>
        <v>0</v>
      </c>
      <c r="J2078" s="35">
        <f>_xlfn.XLOOKUP(C2078,'Project Details'!$C$17:$C$66,'Project Details'!$H$17:$H$66,"",0)</f>
        <v>0</v>
      </c>
      <c r="K2078" s="36" t="str">
        <f>IF(AND(_xlfn.XLOOKUP(C2078,'Project Details'!$C$17:$C$66,'Project Details'!$L$17:$L$66,"",0)&gt;550, F2078="Spring-L27cm"),"",SUBSTITUTE(_xlfn.XLOOKUP(G2078,SKUs!$C$2:$C$10001,SKUs!$F$2:$F$10001,"",0), " Accessories",""))</f>
        <v/>
      </c>
      <c r="L2078" s="36">
        <f>_xlfn.XLOOKUP(C2078,'Project Details'!$C$17:$C$66,'Project Details'!$D$17:$D$66,"",0)</f>
        <v>0</v>
      </c>
      <c r="M2078" s="43"/>
    </row>
    <row r="2079" spans="1:13" x14ac:dyDescent="0.25">
      <c r="A2079" s="43"/>
      <c r="B2079" s="43"/>
      <c r="C2079" s="16">
        <f t="shared" si="40"/>
        <v>42</v>
      </c>
      <c r="D2079" s="16" t="str" cm="1">
        <f t="array" ref="D2079">IFERROR(ROUNDUP(_xlfn.IFS(F2079="Aluminum Track", _xlfn.XLOOKUP(C2079, dd_accsrycalc!$A$2:$A$51, dd_accsrycalc!$B$2:$B$51, "",0), F2079="10 x 2 1/2 S (Flat)", _xlfn.XLOOKUP(C2079, dd_accsrycalc!$A$2:$A$51, dd_accsrycalc!$C$2:$C$51, "",0), F2079="Tox6", _xlfn.XLOOKUP(C2079, dd_accsrycalc!$A$2:$A$51, dd_accsrycalc!$D$2:$D$51, "",0), F2079="Cover Cap", _xlfn.XLOOKUP(C2079, dd_accsrycalc!$A$2:$A$51, dd_accsrycalc!$E$2:$E$51, "",0), F2079="Drainage Cover", _xlfn.XLOOKUP(C2079, dd_accsrycalc!$A$2:$A$51, dd_accsrycalc!$F$2:$F$51, "",0),AND( F2079="Double Adhesive Tape", I2079="Roll-up Screen"), _xlfn.XLOOKUP(C2079, calc_rusacc!$C$15:$C$65, calc_rusacc!$AD$15:$AD$65, "",0),AND( F2079="Sealant", I2079="Roll-up Screen"), _xlfn.XLOOKUP(C2079, calc_rusacc!$C$15:$C$65, calc_rusacc!$AF$15:$AF$65, "",0),  AND( F2079="Main Chain", I2079="Accordion Screen"), _xlfn.XLOOKUP(C2079, calc_rusacc!$C$15:$C$65, calc_rusacc!$BF$15:$BF$65, "",0), AND( F2079="Sealant", I2079="Accordion Screen"), _xlfn.XLOOKUP(C2079, calc_rusacc!$C$15:$C$65, calc_rusacc!$BJ$15:$BJ$65, "",0),  F2079="Sealant", _xlfn.XLOOKUP(C2079, dd_accsrycalc!$A$2:$A$51, dd_accsrycalc!$G$2:$G$51, "",0),  F2079&lt;&gt;"",L2079*_xlfn.XLOOKUP(1, (SKUs!$C$2:$C$10001=G2079)*(SKUs!$K$2:$K$10001=I2079),SKUs!$E$2:$E$10001)), 0),"")</f>
        <v/>
      </c>
      <c r="E2079" s="16" t="str">
        <f>_xlfn.XLOOKUP(F2079,dd_item!$B$2:$B$105,dd_item!$C$2:$C$105,"",0)</f>
        <v/>
      </c>
      <c r="F2079" s="16"/>
      <c r="G2079" s="16" cm="1">
        <f t="array" ref="G2079">IFERROR(_xlfn.XLOOKUP(1, (SKUs!$J$2:$J$10001=accsry_unmerged!F2079)*IF(H2079&lt;&gt;"",(SKUs!$L$2:$L$10001=accsry_unmerged!H2079),1)*(SKUs!$K$2:$K$10001=I2079),SKUs!$C$2:$C$10001),"")</f>
        <v>0</v>
      </c>
      <c r="H2079" s="33" cm="1">
        <f t="array" ref="H2079">IFERROR(_xlfn.XLOOKUP(1, (dd_accsryclr!$C$2:$C$1000=accsry_unmerged!F2079)*(dd_accsryclr!$B$2:$B$1000=accsry_unmerged!J2079),dd_accsryclr!$A$2:$A$1000),"")</f>
        <v>0</v>
      </c>
      <c r="I2079" s="16">
        <f>_xlfn.XLOOKUP(C2079,'Project Details'!$C$17:$C$66,'Project Details'!$E$17:$E$66,"",0)</f>
        <v>0</v>
      </c>
      <c r="J2079" s="16">
        <f>_xlfn.XLOOKUP(C2079,'Project Details'!$C$17:$C$66,'Project Details'!$H$17:$H$66,"",0)</f>
        <v>0</v>
      </c>
      <c r="K2079" s="33" t="str">
        <f>IF(AND(_xlfn.XLOOKUP(C2079,'Project Details'!$C$17:$C$66,'Project Details'!$L$17:$L$66,"",0)&gt;550, F2079="Spring-L27cm"),"",SUBSTITUTE(_xlfn.XLOOKUP(G2079,SKUs!$C$2:$C$10001,SKUs!$F$2:$F$10001,"",0), " Accessories",""))</f>
        <v/>
      </c>
      <c r="L2079" s="33">
        <f>_xlfn.XLOOKUP(C2079,'Project Details'!$C$17:$C$66,'Project Details'!$D$17:$D$66,"",0)</f>
        <v>0</v>
      </c>
      <c r="M2079" s="43"/>
    </row>
    <row r="2080" spans="1:13" x14ac:dyDescent="0.25">
      <c r="A2080" s="43"/>
      <c r="B2080" s="43"/>
      <c r="C2080" s="35">
        <f t="shared" si="40"/>
        <v>42</v>
      </c>
      <c r="D2080" s="35" t="str" cm="1">
        <f t="array" ref="D2080">IFERROR(ROUNDUP(_xlfn.IFS(F2080="Aluminum Track", _xlfn.XLOOKUP(C2080, dd_accsrycalc!$A$2:$A$51, dd_accsrycalc!$B$2:$B$51, "",0), F2080="10 x 2 1/2 S (Flat)", _xlfn.XLOOKUP(C2080, dd_accsrycalc!$A$2:$A$51, dd_accsrycalc!$C$2:$C$51, "",0), F2080="Tox6", _xlfn.XLOOKUP(C2080, dd_accsrycalc!$A$2:$A$51, dd_accsrycalc!$D$2:$D$51, "",0), F2080="Cover Cap", _xlfn.XLOOKUP(C2080, dd_accsrycalc!$A$2:$A$51, dd_accsrycalc!$E$2:$E$51, "",0), F2080="Drainage Cover", _xlfn.XLOOKUP(C2080, dd_accsrycalc!$A$2:$A$51, dd_accsrycalc!$F$2:$F$51, "",0),AND( F2080="Double Adhesive Tape", I2080="Roll-up Screen"), _xlfn.XLOOKUP(C2080, calc_rusacc!$C$15:$C$65, calc_rusacc!$AD$15:$AD$65, "",0),AND( F2080="Sealant", I2080="Roll-up Screen"), _xlfn.XLOOKUP(C2080, calc_rusacc!$C$15:$C$65, calc_rusacc!$AF$15:$AF$65, "",0),  AND( F2080="Main Chain", I2080="Accordion Screen"), _xlfn.XLOOKUP(C2080, calc_rusacc!$C$15:$C$65, calc_rusacc!$BF$15:$BF$65, "",0), AND( F2080="Sealant", I2080="Accordion Screen"), _xlfn.XLOOKUP(C2080, calc_rusacc!$C$15:$C$65, calc_rusacc!$BJ$15:$BJ$65, "",0),  F2080="Sealant", _xlfn.XLOOKUP(C2080, dd_accsrycalc!$A$2:$A$51, dd_accsrycalc!$G$2:$G$51, "",0),  F2080&lt;&gt;"",L2080*_xlfn.XLOOKUP(1, (SKUs!$C$2:$C$10001=G2080)*(SKUs!$K$2:$K$10001=I2080),SKUs!$E$2:$E$10001)), 0),"")</f>
        <v/>
      </c>
      <c r="E2080" s="35" t="str">
        <f>_xlfn.XLOOKUP(F2080,dd_item!$B$2:$B$105,dd_item!$C$2:$C$105,"",0)</f>
        <v/>
      </c>
      <c r="F2080" s="35"/>
      <c r="G2080" s="35" cm="1">
        <f t="array" ref="G2080">IFERROR(_xlfn.XLOOKUP(1, (SKUs!$J$2:$J$10001=accsry_unmerged!F2080)*IF(H2080&lt;&gt;"",(SKUs!$L$2:$L$10001=accsry_unmerged!H2080),1)*(SKUs!$K$2:$K$10001=I2080),SKUs!$C$2:$C$10001),"")</f>
        <v>0</v>
      </c>
      <c r="H2080" s="36" cm="1">
        <f t="array" ref="H2080">IFERROR(_xlfn.XLOOKUP(1, (dd_accsryclr!$C$2:$C$1000=accsry_unmerged!F2080)*(dd_accsryclr!$B$2:$B$1000=accsry_unmerged!J2080),dd_accsryclr!$A$2:$A$1000),"")</f>
        <v>0</v>
      </c>
      <c r="I2080" s="35">
        <f>_xlfn.XLOOKUP(C2080,'Project Details'!$C$17:$C$66,'Project Details'!$E$17:$E$66,"",0)</f>
        <v>0</v>
      </c>
      <c r="J2080" s="35">
        <f>_xlfn.XLOOKUP(C2080,'Project Details'!$C$17:$C$66,'Project Details'!$H$17:$H$66,"",0)</f>
        <v>0</v>
      </c>
      <c r="K2080" s="36" t="str">
        <f>IF(AND(_xlfn.XLOOKUP(C2080,'Project Details'!$C$17:$C$66,'Project Details'!$L$17:$L$66,"",0)&gt;550, F2080="Spring-L27cm"),"",SUBSTITUTE(_xlfn.XLOOKUP(G2080,SKUs!$C$2:$C$10001,SKUs!$F$2:$F$10001,"",0), " Accessories",""))</f>
        <v/>
      </c>
      <c r="L2080" s="36">
        <f>_xlfn.XLOOKUP(C2080,'Project Details'!$C$17:$C$66,'Project Details'!$D$17:$D$66,"",0)</f>
        <v>0</v>
      </c>
      <c r="M2080" s="43"/>
    </row>
    <row r="2081" spans="1:13" x14ac:dyDescent="0.25">
      <c r="A2081" s="43"/>
      <c r="B2081" s="43"/>
      <c r="C2081" s="16">
        <f t="shared" si="40"/>
        <v>42</v>
      </c>
      <c r="D2081" s="16" t="str" cm="1">
        <f t="array" ref="D2081">IFERROR(ROUNDUP(_xlfn.IFS(F2081="Aluminum Track", _xlfn.XLOOKUP(C2081, dd_accsrycalc!$A$2:$A$51, dd_accsrycalc!$B$2:$B$51, "",0), F2081="10 x 2 1/2 S (Flat)", _xlfn.XLOOKUP(C2081, dd_accsrycalc!$A$2:$A$51, dd_accsrycalc!$C$2:$C$51, "",0), F2081="Tox6", _xlfn.XLOOKUP(C2081, dd_accsrycalc!$A$2:$A$51, dd_accsrycalc!$D$2:$D$51, "",0), F2081="Cover Cap", _xlfn.XLOOKUP(C2081, dd_accsrycalc!$A$2:$A$51, dd_accsrycalc!$E$2:$E$51, "",0), F2081="Drainage Cover", _xlfn.XLOOKUP(C2081, dd_accsrycalc!$A$2:$A$51, dd_accsrycalc!$F$2:$F$51, "",0),AND( F2081="Double Adhesive Tape", I2081="Roll-up Screen"), _xlfn.XLOOKUP(C2081, calc_rusacc!$C$15:$C$65, calc_rusacc!$AD$15:$AD$65, "",0),AND( F2081="Sealant", I2081="Roll-up Screen"), _xlfn.XLOOKUP(C2081, calc_rusacc!$C$15:$C$65, calc_rusacc!$AF$15:$AF$65, "",0),  AND( F2081="Main Chain", I2081="Accordion Screen"), _xlfn.XLOOKUP(C2081, calc_rusacc!$C$15:$C$65, calc_rusacc!$BF$15:$BF$65, "",0), AND( F2081="Sealant", I2081="Accordion Screen"), _xlfn.XLOOKUP(C2081, calc_rusacc!$C$15:$C$65, calc_rusacc!$BJ$15:$BJ$65, "",0),  F2081="Sealant", _xlfn.XLOOKUP(C2081, dd_accsrycalc!$A$2:$A$51, dd_accsrycalc!$G$2:$G$51, "",0),  F2081&lt;&gt;"",L2081*_xlfn.XLOOKUP(1, (SKUs!$C$2:$C$10001=G2081)*(SKUs!$K$2:$K$10001=I2081),SKUs!$E$2:$E$10001)), 0),"")</f>
        <v/>
      </c>
      <c r="E2081" s="16" t="str">
        <f>_xlfn.XLOOKUP(F2081,dd_item!$B$2:$B$105,dd_item!$C$2:$C$105,"",0)</f>
        <v/>
      </c>
      <c r="F2081" s="16"/>
      <c r="G2081" s="16" cm="1">
        <f t="array" ref="G2081">IFERROR(_xlfn.XLOOKUP(1, (SKUs!$J$2:$J$10001=accsry_unmerged!F2081)*IF(H2081&lt;&gt;"",(SKUs!$L$2:$L$10001=accsry_unmerged!H2081),1)*(SKUs!$K$2:$K$10001=I2081),SKUs!$C$2:$C$10001),"")</f>
        <v>0</v>
      </c>
      <c r="H2081" s="33" cm="1">
        <f t="array" ref="H2081">IFERROR(_xlfn.XLOOKUP(1, (dd_accsryclr!$C$2:$C$1000=accsry_unmerged!F2081)*(dd_accsryclr!$B$2:$B$1000=accsry_unmerged!J2081),dd_accsryclr!$A$2:$A$1000),"")</f>
        <v>0</v>
      </c>
      <c r="I2081" s="16">
        <f>_xlfn.XLOOKUP(C2081,'Project Details'!$C$17:$C$66,'Project Details'!$E$17:$E$66,"",0)</f>
        <v>0</v>
      </c>
      <c r="J2081" s="16">
        <f>_xlfn.XLOOKUP(C2081,'Project Details'!$C$17:$C$66,'Project Details'!$H$17:$H$66,"",0)</f>
        <v>0</v>
      </c>
      <c r="K2081" s="33" t="str">
        <f>IF(AND(_xlfn.XLOOKUP(C2081,'Project Details'!$C$17:$C$66,'Project Details'!$L$17:$L$66,"",0)&gt;550, F2081="Spring-L27cm"),"",SUBSTITUTE(_xlfn.XLOOKUP(G2081,SKUs!$C$2:$C$10001,SKUs!$F$2:$F$10001,"",0), " Accessories",""))</f>
        <v/>
      </c>
      <c r="L2081" s="33">
        <f>_xlfn.XLOOKUP(C2081,'Project Details'!$C$17:$C$66,'Project Details'!$D$17:$D$66,"",0)</f>
        <v>0</v>
      </c>
      <c r="M2081" s="43"/>
    </row>
    <row r="2082" spans="1:13" x14ac:dyDescent="0.25">
      <c r="A2082" s="43"/>
      <c r="B2082" s="43"/>
      <c r="C2082" s="35">
        <f t="shared" si="40"/>
        <v>42</v>
      </c>
      <c r="D2082" s="35" t="str" cm="1">
        <f t="array" ref="D2082">IFERROR(ROUNDUP(_xlfn.IFS(F2082="Aluminum Track", _xlfn.XLOOKUP(C2082, dd_accsrycalc!$A$2:$A$51, dd_accsrycalc!$B$2:$B$51, "",0), F2082="10 x 2 1/2 S (Flat)", _xlfn.XLOOKUP(C2082, dd_accsrycalc!$A$2:$A$51, dd_accsrycalc!$C$2:$C$51, "",0), F2082="Tox6", _xlfn.XLOOKUP(C2082, dd_accsrycalc!$A$2:$A$51, dd_accsrycalc!$D$2:$D$51, "",0), F2082="Cover Cap", _xlfn.XLOOKUP(C2082, dd_accsrycalc!$A$2:$A$51, dd_accsrycalc!$E$2:$E$51, "",0), F2082="Drainage Cover", _xlfn.XLOOKUP(C2082, dd_accsrycalc!$A$2:$A$51, dd_accsrycalc!$F$2:$F$51, "",0),AND( F2082="Double Adhesive Tape", I2082="Roll-up Screen"), _xlfn.XLOOKUP(C2082, calc_rusacc!$C$15:$C$65, calc_rusacc!$AD$15:$AD$65, "",0),AND( F2082="Sealant", I2082="Roll-up Screen"), _xlfn.XLOOKUP(C2082, calc_rusacc!$C$15:$C$65, calc_rusacc!$AF$15:$AF$65, "",0),  AND( F2082="Main Chain", I2082="Accordion Screen"), _xlfn.XLOOKUP(C2082, calc_rusacc!$C$15:$C$65, calc_rusacc!$BF$15:$BF$65, "",0), AND( F2082="Sealant", I2082="Accordion Screen"), _xlfn.XLOOKUP(C2082, calc_rusacc!$C$15:$C$65, calc_rusacc!$BJ$15:$BJ$65, "",0),  F2082="Sealant", _xlfn.XLOOKUP(C2082, dd_accsrycalc!$A$2:$A$51, dd_accsrycalc!$G$2:$G$51, "",0),  F2082&lt;&gt;"",L2082*_xlfn.XLOOKUP(1, (SKUs!$C$2:$C$10001=G2082)*(SKUs!$K$2:$K$10001=I2082),SKUs!$E$2:$E$10001)), 0),"")</f>
        <v/>
      </c>
      <c r="E2082" s="35" t="str">
        <f>_xlfn.XLOOKUP(F2082,dd_item!$B$2:$B$105,dd_item!$C$2:$C$105,"",0)</f>
        <v/>
      </c>
      <c r="F2082" s="35"/>
      <c r="G2082" s="35" cm="1">
        <f t="array" ref="G2082">IFERROR(_xlfn.XLOOKUP(1, (SKUs!$J$2:$J$10001=accsry_unmerged!F2082)*IF(H2082&lt;&gt;"",(SKUs!$L$2:$L$10001=accsry_unmerged!H2082),1)*(SKUs!$K$2:$K$10001=I2082),SKUs!$C$2:$C$10001),"")</f>
        <v>0</v>
      </c>
      <c r="H2082" s="36" cm="1">
        <f t="array" ref="H2082">IFERROR(_xlfn.XLOOKUP(1, (dd_accsryclr!$C$2:$C$1000=accsry_unmerged!F2082)*(dd_accsryclr!$B$2:$B$1000=accsry_unmerged!J2082),dd_accsryclr!$A$2:$A$1000),"")</f>
        <v>0</v>
      </c>
      <c r="I2082" s="35">
        <f>_xlfn.XLOOKUP(C2082,'Project Details'!$C$17:$C$66,'Project Details'!$E$17:$E$66,"",0)</f>
        <v>0</v>
      </c>
      <c r="J2082" s="35">
        <f>_xlfn.XLOOKUP(C2082,'Project Details'!$C$17:$C$66,'Project Details'!$H$17:$H$66,"",0)</f>
        <v>0</v>
      </c>
      <c r="K2082" s="36" t="str">
        <f>IF(AND(_xlfn.XLOOKUP(C2082,'Project Details'!$C$17:$C$66,'Project Details'!$L$17:$L$66,"",0)&gt;550, F2082="Spring-L27cm"),"",SUBSTITUTE(_xlfn.XLOOKUP(G2082,SKUs!$C$2:$C$10001,SKUs!$F$2:$F$10001,"",0), " Accessories",""))</f>
        <v/>
      </c>
      <c r="L2082" s="36">
        <f>_xlfn.XLOOKUP(C2082,'Project Details'!$C$17:$C$66,'Project Details'!$D$17:$D$66,"",0)</f>
        <v>0</v>
      </c>
      <c r="M2082" s="43"/>
    </row>
    <row r="2083" spans="1:13" x14ac:dyDescent="0.25">
      <c r="A2083" s="43"/>
      <c r="B2083" s="43"/>
      <c r="C2083" s="16">
        <f t="shared" si="40"/>
        <v>42</v>
      </c>
      <c r="D2083" s="16" t="str" cm="1">
        <f t="array" ref="D2083">IFERROR(ROUNDUP(_xlfn.IFS(F2083="Aluminum Track", _xlfn.XLOOKUP(C2083, dd_accsrycalc!$A$2:$A$51, dd_accsrycalc!$B$2:$B$51, "",0), F2083="10 x 2 1/2 S (Flat)", _xlfn.XLOOKUP(C2083, dd_accsrycalc!$A$2:$A$51, dd_accsrycalc!$C$2:$C$51, "",0), F2083="Tox6", _xlfn.XLOOKUP(C2083, dd_accsrycalc!$A$2:$A$51, dd_accsrycalc!$D$2:$D$51, "",0), F2083="Cover Cap", _xlfn.XLOOKUP(C2083, dd_accsrycalc!$A$2:$A$51, dd_accsrycalc!$E$2:$E$51, "",0), F2083="Drainage Cover", _xlfn.XLOOKUP(C2083, dd_accsrycalc!$A$2:$A$51, dd_accsrycalc!$F$2:$F$51, "",0),AND( F2083="Double Adhesive Tape", I2083="Roll-up Screen"), _xlfn.XLOOKUP(C2083, calc_rusacc!$C$15:$C$65, calc_rusacc!$AD$15:$AD$65, "",0),AND( F2083="Sealant", I2083="Roll-up Screen"), _xlfn.XLOOKUP(C2083, calc_rusacc!$C$15:$C$65, calc_rusacc!$AF$15:$AF$65, "",0),  AND( F2083="Main Chain", I2083="Accordion Screen"), _xlfn.XLOOKUP(C2083, calc_rusacc!$C$15:$C$65, calc_rusacc!$BF$15:$BF$65, "",0), AND( F2083="Sealant", I2083="Accordion Screen"), _xlfn.XLOOKUP(C2083, calc_rusacc!$C$15:$C$65, calc_rusacc!$BJ$15:$BJ$65, "",0),  F2083="Sealant", _xlfn.XLOOKUP(C2083, dd_accsrycalc!$A$2:$A$51, dd_accsrycalc!$G$2:$G$51, "",0),  F2083&lt;&gt;"",L2083*_xlfn.XLOOKUP(1, (SKUs!$C$2:$C$10001=G2083)*(SKUs!$K$2:$K$10001=I2083),SKUs!$E$2:$E$10001)), 0),"")</f>
        <v/>
      </c>
      <c r="E2083" s="16" t="str">
        <f>_xlfn.XLOOKUP(F2083,dd_item!$B$2:$B$105,dd_item!$C$2:$C$105,"",0)</f>
        <v/>
      </c>
      <c r="F2083" s="16"/>
      <c r="G2083" s="16" cm="1">
        <f t="array" ref="G2083">IFERROR(_xlfn.XLOOKUP(1, (SKUs!$J$2:$J$10001=accsry_unmerged!F2083)*IF(H2083&lt;&gt;"",(SKUs!$L$2:$L$10001=accsry_unmerged!H2083),1)*(SKUs!$K$2:$K$10001=I2083),SKUs!$C$2:$C$10001),"")</f>
        <v>0</v>
      </c>
      <c r="H2083" s="33" cm="1">
        <f t="array" ref="H2083">IFERROR(_xlfn.XLOOKUP(1, (dd_accsryclr!$C$2:$C$1000=accsry_unmerged!F2083)*(dd_accsryclr!$B$2:$B$1000=accsry_unmerged!J2083),dd_accsryclr!$A$2:$A$1000),"")</f>
        <v>0</v>
      </c>
      <c r="I2083" s="16">
        <f>_xlfn.XLOOKUP(C2083,'Project Details'!$C$17:$C$66,'Project Details'!$E$17:$E$66,"",0)</f>
        <v>0</v>
      </c>
      <c r="J2083" s="16">
        <f>_xlfn.XLOOKUP(C2083,'Project Details'!$C$17:$C$66,'Project Details'!$H$17:$H$66,"",0)</f>
        <v>0</v>
      </c>
      <c r="K2083" s="33" t="str">
        <f>IF(AND(_xlfn.XLOOKUP(C2083,'Project Details'!$C$17:$C$66,'Project Details'!$L$17:$L$66,"",0)&gt;550, F2083="Spring-L27cm"),"",SUBSTITUTE(_xlfn.XLOOKUP(G2083,SKUs!$C$2:$C$10001,SKUs!$F$2:$F$10001,"",0), " Accessories",""))</f>
        <v/>
      </c>
      <c r="L2083" s="33">
        <f>_xlfn.XLOOKUP(C2083,'Project Details'!$C$17:$C$66,'Project Details'!$D$17:$D$66,"",0)</f>
        <v>0</v>
      </c>
      <c r="M2083" s="43"/>
    </row>
    <row r="2084" spans="1:13" ht="13.5" customHeight="1" x14ac:dyDescent="0.25">
      <c r="A2084" s="43"/>
      <c r="B2084" s="43"/>
      <c r="C2084" s="35">
        <f t="shared" si="40"/>
        <v>42</v>
      </c>
      <c r="D2084" s="35" t="str" cm="1">
        <f t="array" ref="D2084">IFERROR(ROUNDUP(_xlfn.IFS(F2084="Aluminum Track", _xlfn.XLOOKUP(C2084, dd_accsrycalc!$A$2:$A$51, dd_accsrycalc!$B$2:$B$51, "",0), F2084="10 x 2 1/2 S (Flat)", _xlfn.XLOOKUP(C2084, dd_accsrycalc!$A$2:$A$51, dd_accsrycalc!$C$2:$C$51, "",0), F2084="Tox6", _xlfn.XLOOKUP(C2084, dd_accsrycalc!$A$2:$A$51, dd_accsrycalc!$D$2:$D$51, "",0), F2084="Cover Cap", _xlfn.XLOOKUP(C2084, dd_accsrycalc!$A$2:$A$51, dd_accsrycalc!$E$2:$E$51, "",0), F2084="Drainage Cover", _xlfn.XLOOKUP(C2084, dd_accsrycalc!$A$2:$A$51, dd_accsrycalc!$F$2:$F$51, "",0),AND( F2084="Double Adhesive Tape", I2084="Roll-up Screen"), _xlfn.XLOOKUP(C2084, calc_rusacc!$C$15:$C$65, calc_rusacc!$AD$15:$AD$65, "",0),AND( F2084="Sealant", I2084="Roll-up Screen"), _xlfn.XLOOKUP(C2084, calc_rusacc!$C$15:$C$65, calc_rusacc!$AF$15:$AF$65, "",0),  AND( F2084="Main Chain", I2084="Accordion Screen"), _xlfn.XLOOKUP(C2084, calc_rusacc!$C$15:$C$65, calc_rusacc!$BF$15:$BF$65, "",0), AND( F2084="Sealant", I2084="Accordion Screen"), _xlfn.XLOOKUP(C2084, calc_rusacc!$C$15:$C$65, calc_rusacc!$BJ$15:$BJ$65, "",0),  F2084="Sealant", _xlfn.XLOOKUP(C2084, dd_accsrycalc!$A$2:$A$51, dd_accsrycalc!$G$2:$G$51, "",0),  F2084&lt;&gt;"",L2084*_xlfn.XLOOKUP(1, (SKUs!$C$2:$C$10001=G2084)*(SKUs!$K$2:$K$10001=I2084),SKUs!$E$2:$E$10001)), 0),"")</f>
        <v/>
      </c>
      <c r="E2084" s="35" t="str">
        <f>_xlfn.XLOOKUP(F2084,dd_item!$B$2:$B$105,dd_item!$C$2:$C$105,"",0)</f>
        <v/>
      </c>
      <c r="F2084" s="35"/>
      <c r="G2084" s="35" cm="1">
        <f t="array" ref="G2084">IFERROR(_xlfn.XLOOKUP(1, (SKUs!$J$2:$J$10001=accsry_unmerged!F2084)*IF(H2084&lt;&gt;"",(SKUs!$L$2:$L$10001=accsry_unmerged!H2084),1)*(SKUs!$K$2:$K$10001=I2084),SKUs!$C$2:$C$10001),"")</f>
        <v>0</v>
      </c>
      <c r="H2084" s="36" cm="1">
        <f t="array" ref="H2084">IFERROR(_xlfn.XLOOKUP(1, (dd_accsryclr!$C$2:$C$1000=accsry_unmerged!F2084)*(dd_accsryclr!$B$2:$B$1000=accsry_unmerged!J2084),dd_accsryclr!$A$2:$A$1000),"")</f>
        <v>0</v>
      </c>
      <c r="I2084" s="35">
        <f>_xlfn.XLOOKUP(C2084,'Project Details'!$C$17:$C$66,'Project Details'!$E$17:$E$66,"",0)</f>
        <v>0</v>
      </c>
      <c r="J2084" s="35">
        <f>_xlfn.XLOOKUP(C2084,'Project Details'!$C$17:$C$66,'Project Details'!$H$17:$H$66,"",0)</f>
        <v>0</v>
      </c>
      <c r="K2084" s="36" t="str">
        <f>IF(AND(_xlfn.XLOOKUP(C2084,'Project Details'!$C$17:$C$66,'Project Details'!$L$17:$L$66,"",0)&gt;550, F2084="Spring-L27cm"),"",SUBSTITUTE(_xlfn.XLOOKUP(G2084,SKUs!$C$2:$C$10001,SKUs!$F$2:$F$10001,"",0), " Accessories",""))</f>
        <v/>
      </c>
      <c r="L2084" s="36">
        <f>_xlfn.XLOOKUP(C2084,'Project Details'!$C$17:$C$66,'Project Details'!$D$17:$D$66,"",0)</f>
        <v>0</v>
      </c>
      <c r="M2084" s="43"/>
    </row>
    <row r="2085" spans="1:13" ht="13.5" customHeight="1" x14ac:dyDescent="0.25">
      <c r="A2085" s="43"/>
      <c r="B2085" s="43"/>
      <c r="C2085" s="16">
        <f t="shared" si="40"/>
        <v>42</v>
      </c>
      <c r="D2085" s="16" t="str" cm="1">
        <f t="array" ref="D2085">IFERROR(ROUNDUP(_xlfn.IFS(F2085="Aluminum Track", _xlfn.XLOOKUP(C2085, dd_accsrycalc!$A$2:$A$51, dd_accsrycalc!$B$2:$B$51, "",0), F2085="10 x 2 1/2 S (Flat)", _xlfn.XLOOKUP(C2085, dd_accsrycalc!$A$2:$A$51, dd_accsrycalc!$C$2:$C$51, "",0), F2085="Tox6", _xlfn.XLOOKUP(C2085, dd_accsrycalc!$A$2:$A$51, dd_accsrycalc!$D$2:$D$51, "",0), F2085="Cover Cap", _xlfn.XLOOKUP(C2085, dd_accsrycalc!$A$2:$A$51, dd_accsrycalc!$E$2:$E$51, "",0), F2085="Drainage Cover", _xlfn.XLOOKUP(C2085, dd_accsrycalc!$A$2:$A$51, dd_accsrycalc!$F$2:$F$51, "",0),AND( F2085="Double Adhesive Tape", I2085="Roll-up Screen"), _xlfn.XLOOKUP(C2085, calc_rusacc!$C$15:$C$65, calc_rusacc!$AD$15:$AD$65, "",0),AND( F2085="Sealant", I2085="Roll-up Screen"), _xlfn.XLOOKUP(C2085, calc_rusacc!$C$15:$C$65, calc_rusacc!$AF$15:$AF$65, "",0),  AND( F2085="Main Chain", I2085="Accordion Screen"), _xlfn.XLOOKUP(C2085, calc_rusacc!$C$15:$C$65, calc_rusacc!$BF$15:$BF$65, "",0), AND( F2085="Sealant", I2085="Accordion Screen"), _xlfn.XLOOKUP(C2085, calc_rusacc!$C$15:$C$65, calc_rusacc!$BJ$15:$BJ$65, "",0),  F2085="Sealant", _xlfn.XLOOKUP(C2085, dd_accsrycalc!$A$2:$A$51, dd_accsrycalc!$G$2:$G$51, "",0),  F2085&lt;&gt;"",L2085*_xlfn.XLOOKUP(1, (SKUs!$C$2:$C$10001=G2085)*(SKUs!$K$2:$K$10001=I2085),SKUs!$E$2:$E$10001)), 0),"")</f>
        <v/>
      </c>
      <c r="E2085" s="16" t="str">
        <f>_xlfn.XLOOKUP(F2085,dd_item!$B$2:$B$105,dd_item!$C$2:$C$105,"",0)</f>
        <v/>
      </c>
      <c r="F2085" s="16"/>
      <c r="G2085" s="16" cm="1">
        <f t="array" ref="G2085">IFERROR(_xlfn.XLOOKUP(1, (SKUs!$J$2:$J$10001=accsry_unmerged!F2085)*IF(H2085&lt;&gt;"",(SKUs!$L$2:$L$10001=accsry_unmerged!H2085),1)*(SKUs!$K$2:$K$10001=I2085),SKUs!$C$2:$C$10001),"")</f>
        <v>0</v>
      </c>
      <c r="H2085" s="33" cm="1">
        <f t="array" ref="H2085">IFERROR(_xlfn.XLOOKUP(1, (dd_accsryclr!$C$2:$C$1000=accsry_unmerged!F2085)*(dd_accsryclr!$B$2:$B$1000=accsry_unmerged!J2085),dd_accsryclr!$A$2:$A$1000),"")</f>
        <v>0</v>
      </c>
      <c r="I2085" s="16">
        <f>_xlfn.XLOOKUP(C2085,'Project Details'!$C$17:$C$66,'Project Details'!$E$17:$E$66,"",0)</f>
        <v>0</v>
      </c>
      <c r="J2085" s="16">
        <f>_xlfn.XLOOKUP(C2085,'Project Details'!$C$17:$C$66,'Project Details'!$H$17:$H$66,"",0)</f>
        <v>0</v>
      </c>
      <c r="K2085" s="33" t="str">
        <f>IF(AND(_xlfn.XLOOKUP(C2085,'Project Details'!$C$17:$C$66,'Project Details'!$L$17:$L$66,"",0)&gt;550, F2085="Spring-L27cm"),"",SUBSTITUTE(_xlfn.XLOOKUP(G2085,SKUs!$C$2:$C$10001,SKUs!$F$2:$F$10001,"",0), " Accessories",""))</f>
        <v/>
      </c>
      <c r="L2085" s="33">
        <f>_xlfn.XLOOKUP(C2085,'Project Details'!$C$17:$C$66,'Project Details'!$D$17:$D$66,"",0)</f>
        <v>0</v>
      </c>
      <c r="M2085" s="43"/>
    </row>
    <row r="2086" spans="1:13" ht="13.5" customHeight="1" x14ac:dyDescent="0.25">
      <c r="A2086" s="43"/>
      <c r="B2086" s="43"/>
      <c r="C2086" s="35">
        <f t="shared" si="40"/>
        <v>42</v>
      </c>
      <c r="D2086" s="35" t="str" cm="1">
        <f t="array" ref="D2086">IFERROR(ROUNDUP(_xlfn.IFS(F2086="Aluminum Track", _xlfn.XLOOKUP(C2086, dd_accsrycalc!$A$2:$A$51, dd_accsrycalc!$B$2:$B$51, "",0), F2086="10 x 2 1/2 S (Flat)", _xlfn.XLOOKUP(C2086, dd_accsrycalc!$A$2:$A$51, dd_accsrycalc!$C$2:$C$51, "",0), F2086="Tox6", _xlfn.XLOOKUP(C2086, dd_accsrycalc!$A$2:$A$51, dd_accsrycalc!$D$2:$D$51, "",0), F2086="Cover Cap", _xlfn.XLOOKUP(C2086, dd_accsrycalc!$A$2:$A$51, dd_accsrycalc!$E$2:$E$51, "",0), F2086="Drainage Cover", _xlfn.XLOOKUP(C2086, dd_accsrycalc!$A$2:$A$51, dd_accsrycalc!$F$2:$F$51, "",0),AND( F2086="Double Adhesive Tape", I2086="Roll-up Screen"), _xlfn.XLOOKUP(C2086, calc_rusacc!$C$15:$C$65, calc_rusacc!$AD$15:$AD$65, "",0),AND( F2086="Sealant", I2086="Roll-up Screen"), _xlfn.XLOOKUP(C2086, calc_rusacc!$C$15:$C$65, calc_rusacc!$AF$15:$AF$65, "",0),  AND( F2086="Main Chain", I2086="Accordion Screen"), _xlfn.XLOOKUP(C2086, calc_rusacc!$C$15:$C$65, calc_rusacc!$BF$15:$BF$65, "",0), AND( F2086="Sealant", I2086="Accordion Screen"), _xlfn.XLOOKUP(C2086, calc_rusacc!$C$15:$C$65, calc_rusacc!$BJ$15:$BJ$65, "",0),  F2086="Sealant", _xlfn.XLOOKUP(C2086, dd_accsrycalc!$A$2:$A$51, dd_accsrycalc!$G$2:$G$51, "",0),  F2086&lt;&gt;"",L2086*_xlfn.XLOOKUP(1, (SKUs!$C$2:$C$10001=G2086)*(SKUs!$K$2:$K$10001=I2086),SKUs!$E$2:$E$10001)), 0),"")</f>
        <v/>
      </c>
      <c r="E2086" s="35" t="str">
        <f>_xlfn.XLOOKUP(F2086,dd_item!$B$2:$B$105,dd_item!$C$2:$C$105,"",0)</f>
        <v/>
      </c>
      <c r="F2086" s="35"/>
      <c r="G2086" s="35" cm="1">
        <f t="array" ref="G2086">IFERROR(_xlfn.XLOOKUP(1, (SKUs!$J$2:$J$10001=accsry_unmerged!F2086)*IF(H2086&lt;&gt;"",(SKUs!$L$2:$L$10001=accsry_unmerged!H2086),1)*(SKUs!$K$2:$K$10001=I2086),SKUs!$C$2:$C$10001),"")</f>
        <v>0</v>
      </c>
      <c r="H2086" s="36" cm="1">
        <f t="array" ref="H2086">IFERROR(_xlfn.XLOOKUP(1, (dd_accsryclr!$C$2:$C$1000=accsry_unmerged!F2086)*(dd_accsryclr!$B$2:$B$1000=accsry_unmerged!J2086),dd_accsryclr!$A$2:$A$1000),"")</f>
        <v>0</v>
      </c>
      <c r="I2086" s="35">
        <f>_xlfn.XLOOKUP(C2086,'Project Details'!$C$17:$C$66,'Project Details'!$E$17:$E$66,"",0)</f>
        <v>0</v>
      </c>
      <c r="J2086" s="35">
        <f>_xlfn.XLOOKUP(C2086,'Project Details'!$C$17:$C$66,'Project Details'!$H$17:$H$66,"",0)</f>
        <v>0</v>
      </c>
      <c r="K2086" s="36" t="str">
        <f>IF(AND(_xlfn.XLOOKUP(C2086,'Project Details'!$C$17:$C$66,'Project Details'!$L$17:$L$66,"",0)&gt;550, F2086="Spring-L27cm"),"",SUBSTITUTE(_xlfn.XLOOKUP(G2086,SKUs!$C$2:$C$10001,SKUs!$F$2:$F$10001,"",0), " Accessories",""))</f>
        <v/>
      </c>
      <c r="L2086" s="36">
        <f>_xlfn.XLOOKUP(C2086,'Project Details'!$C$17:$C$66,'Project Details'!$D$17:$D$66,"",0)</f>
        <v>0</v>
      </c>
      <c r="M2086" s="43"/>
    </row>
    <row r="2087" spans="1:13" ht="13.5" customHeight="1" x14ac:dyDescent="0.25">
      <c r="A2087" s="43"/>
      <c r="B2087" s="43"/>
      <c r="C2087" s="16">
        <f t="shared" si="40"/>
        <v>42</v>
      </c>
      <c r="D2087" s="16" t="str" cm="1">
        <f t="array" ref="D2087">IFERROR(ROUNDUP(_xlfn.IFS(F2087="Aluminum Track", _xlfn.XLOOKUP(C2087, dd_accsrycalc!$A$2:$A$51, dd_accsrycalc!$B$2:$B$51, "",0), F2087="10 x 2 1/2 S (Flat)", _xlfn.XLOOKUP(C2087, dd_accsrycalc!$A$2:$A$51, dd_accsrycalc!$C$2:$C$51, "",0), F2087="Tox6", _xlfn.XLOOKUP(C2087, dd_accsrycalc!$A$2:$A$51, dd_accsrycalc!$D$2:$D$51, "",0), F2087="Cover Cap", _xlfn.XLOOKUP(C2087, dd_accsrycalc!$A$2:$A$51, dd_accsrycalc!$E$2:$E$51, "",0), F2087="Drainage Cover", _xlfn.XLOOKUP(C2087, dd_accsrycalc!$A$2:$A$51, dd_accsrycalc!$F$2:$F$51, "",0),AND( F2087="Double Adhesive Tape", I2087="Roll-up Screen"), _xlfn.XLOOKUP(C2087, calc_rusacc!$C$15:$C$65, calc_rusacc!$AD$15:$AD$65, "",0),AND( F2087="Sealant", I2087="Roll-up Screen"), _xlfn.XLOOKUP(C2087, calc_rusacc!$C$15:$C$65, calc_rusacc!$AF$15:$AF$65, "",0),  AND( F2087="Main Chain", I2087="Accordion Screen"), _xlfn.XLOOKUP(C2087, calc_rusacc!$C$15:$C$65, calc_rusacc!$BF$15:$BF$65, "",0), AND( F2087="Sealant", I2087="Accordion Screen"), _xlfn.XLOOKUP(C2087, calc_rusacc!$C$15:$C$65, calc_rusacc!$BJ$15:$BJ$65, "",0),  F2087="Sealant", _xlfn.XLOOKUP(C2087, dd_accsrycalc!$A$2:$A$51, dd_accsrycalc!$G$2:$G$51, "",0),  F2087&lt;&gt;"",L2087*_xlfn.XLOOKUP(1, (SKUs!$C$2:$C$10001=G2087)*(SKUs!$K$2:$K$10001=I2087),SKUs!$E$2:$E$10001)), 0),"")</f>
        <v/>
      </c>
      <c r="E2087" s="16" t="str">
        <f>_xlfn.XLOOKUP(F2087,dd_item!$B$2:$B$105,dd_item!$C$2:$C$105,"",0)</f>
        <v/>
      </c>
      <c r="F2087" s="16"/>
      <c r="G2087" s="16" cm="1">
        <f t="array" ref="G2087">IFERROR(_xlfn.XLOOKUP(1, (SKUs!$J$2:$J$10001=accsry_unmerged!F2087)*IF(H2087&lt;&gt;"",(SKUs!$L$2:$L$10001=accsry_unmerged!H2087),1)*(SKUs!$K$2:$K$10001=I2087),SKUs!$C$2:$C$10001),"")</f>
        <v>0</v>
      </c>
      <c r="H2087" s="33" cm="1">
        <f t="array" ref="H2087">IFERROR(_xlfn.XLOOKUP(1, (dd_accsryclr!$C$2:$C$1000=accsry_unmerged!F2087)*(dd_accsryclr!$B$2:$B$1000=accsry_unmerged!J2087),dd_accsryclr!$A$2:$A$1000),"")</f>
        <v>0</v>
      </c>
      <c r="I2087" s="16">
        <f>_xlfn.XLOOKUP(C2087,'Project Details'!$C$17:$C$66,'Project Details'!$E$17:$E$66,"",0)</f>
        <v>0</v>
      </c>
      <c r="J2087" s="16">
        <f>_xlfn.XLOOKUP(C2087,'Project Details'!$C$17:$C$66,'Project Details'!$H$17:$H$66,"",0)</f>
        <v>0</v>
      </c>
      <c r="K2087" s="33" t="str">
        <f>IF(AND(_xlfn.XLOOKUP(C2087,'Project Details'!$C$17:$C$66,'Project Details'!$L$17:$L$66,"",0)&gt;550, F2087="Spring-L27cm"),"",SUBSTITUTE(_xlfn.XLOOKUP(G2087,SKUs!$C$2:$C$10001,SKUs!$F$2:$F$10001,"",0), " Accessories",""))</f>
        <v/>
      </c>
      <c r="L2087" s="33">
        <f>_xlfn.XLOOKUP(C2087,'Project Details'!$C$17:$C$66,'Project Details'!$D$17:$D$66,"",0)</f>
        <v>0</v>
      </c>
      <c r="M2087" s="43"/>
    </row>
    <row r="2088" spans="1:13" ht="13.5" customHeight="1" x14ac:dyDescent="0.25">
      <c r="A2088" s="43"/>
      <c r="B2088" s="43"/>
      <c r="C2088" s="35">
        <f t="shared" si="40"/>
        <v>42</v>
      </c>
      <c r="D2088" s="35" t="str" cm="1">
        <f t="array" ref="D2088">IFERROR(ROUNDUP(_xlfn.IFS(F2088="Aluminum Track", _xlfn.XLOOKUP(C2088, dd_accsrycalc!$A$2:$A$51, dd_accsrycalc!$B$2:$B$51, "",0), F2088="10 x 2 1/2 S (Flat)", _xlfn.XLOOKUP(C2088, dd_accsrycalc!$A$2:$A$51, dd_accsrycalc!$C$2:$C$51, "",0), F2088="Tox6", _xlfn.XLOOKUP(C2088, dd_accsrycalc!$A$2:$A$51, dd_accsrycalc!$D$2:$D$51, "",0), F2088="Cover Cap", _xlfn.XLOOKUP(C2088, dd_accsrycalc!$A$2:$A$51, dd_accsrycalc!$E$2:$E$51, "",0), F2088="Drainage Cover", _xlfn.XLOOKUP(C2088, dd_accsrycalc!$A$2:$A$51, dd_accsrycalc!$F$2:$F$51, "",0),AND( F2088="Double Adhesive Tape", I2088="Roll-up Screen"), _xlfn.XLOOKUP(C2088, calc_rusacc!$C$15:$C$65, calc_rusacc!$AD$15:$AD$65, "",0),AND( F2088="Sealant", I2088="Roll-up Screen"), _xlfn.XLOOKUP(C2088, calc_rusacc!$C$15:$C$65, calc_rusacc!$AF$15:$AF$65, "",0),  AND( F2088="Main Chain", I2088="Accordion Screen"), _xlfn.XLOOKUP(C2088, calc_rusacc!$C$15:$C$65, calc_rusacc!$BF$15:$BF$65, "",0), AND( F2088="Sealant", I2088="Accordion Screen"), _xlfn.XLOOKUP(C2088, calc_rusacc!$C$15:$C$65, calc_rusacc!$BJ$15:$BJ$65, "",0),  F2088="Sealant", _xlfn.XLOOKUP(C2088, dd_accsrycalc!$A$2:$A$51, dd_accsrycalc!$G$2:$G$51, "",0),  F2088&lt;&gt;"",L2088*_xlfn.XLOOKUP(1, (SKUs!$C$2:$C$10001=G2088)*(SKUs!$K$2:$K$10001=I2088),SKUs!$E$2:$E$10001)), 0),"")</f>
        <v/>
      </c>
      <c r="E2088" s="35" t="str">
        <f>_xlfn.XLOOKUP(F2088,dd_item!$B$2:$B$105,dd_item!$C$2:$C$105,"",0)</f>
        <v/>
      </c>
      <c r="F2088" s="35"/>
      <c r="G2088" s="35" cm="1">
        <f t="array" ref="G2088">IFERROR(_xlfn.XLOOKUP(1, (SKUs!$J$2:$J$10001=accsry_unmerged!F2088)*IF(H2088&lt;&gt;"",(SKUs!$L$2:$L$10001=accsry_unmerged!H2088),1)*(SKUs!$K$2:$K$10001=I2088),SKUs!$C$2:$C$10001),"")</f>
        <v>0</v>
      </c>
      <c r="H2088" s="36" cm="1">
        <f t="array" ref="H2088">IFERROR(_xlfn.XLOOKUP(1, (dd_accsryclr!$C$2:$C$1000=accsry_unmerged!F2088)*(dd_accsryclr!$B$2:$B$1000=accsry_unmerged!J2088),dd_accsryclr!$A$2:$A$1000),"")</f>
        <v>0</v>
      </c>
      <c r="I2088" s="35">
        <f>_xlfn.XLOOKUP(C2088,'Project Details'!$C$17:$C$66,'Project Details'!$E$17:$E$66,"",0)</f>
        <v>0</v>
      </c>
      <c r="J2088" s="35">
        <f>_xlfn.XLOOKUP(C2088,'Project Details'!$C$17:$C$66,'Project Details'!$H$17:$H$66,"",0)</f>
        <v>0</v>
      </c>
      <c r="K2088" s="36" t="str">
        <f>IF(AND(_xlfn.XLOOKUP(C2088,'Project Details'!$C$17:$C$66,'Project Details'!$L$17:$L$66,"",0)&gt;550, F2088="Spring-L27cm"),"",SUBSTITUTE(_xlfn.XLOOKUP(G2088,SKUs!$C$2:$C$10001,SKUs!$F$2:$F$10001,"",0), " Accessories",""))</f>
        <v/>
      </c>
      <c r="L2088" s="36">
        <f>_xlfn.XLOOKUP(C2088,'Project Details'!$C$17:$C$66,'Project Details'!$D$17:$D$66,"",0)</f>
        <v>0</v>
      </c>
      <c r="M2088" s="43"/>
    </row>
    <row r="2089" spans="1:13" ht="13.5" customHeight="1" x14ac:dyDescent="0.25">
      <c r="A2089" s="43"/>
      <c r="B2089" s="43"/>
      <c r="C2089" s="16">
        <f t="shared" si="40"/>
        <v>42</v>
      </c>
      <c r="D2089" s="16" t="str" cm="1">
        <f t="array" ref="D2089">IFERROR(ROUNDUP(_xlfn.IFS(F2089="Aluminum Track", _xlfn.XLOOKUP(C2089, dd_accsrycalc!$A$2:$A$51, dd_accsrycalc!$B$2:$B$51, "",0), F2089="10 x 2 1/2 S (Flat)", _xlfn.XLOOKUP(C2089, dd_accsrycalc!$A$2:$A$51, dd_accsrycalc!$C$2:$C$51, "",0), F2089="Tox6", _xlfn.XLOOKUP(C2089, dd_accsrycalc!$A$2:$A$51, dd_accsrycalc!$D$2:$D$51, "",0), F2089="Cover Cap", _xlfn.XLOOKUP(C2089, dd_accsrycalc!$A$2:$A$51, dd_accsrycalc!$E$2:$E$51, "",0), F2089="Drainage Cover", _xlfn.XLOOKUP(C2089, dd_accsrycalc!$A$2:$A$51, dd_accsrycalc!$F$2:$F$51, "",0),AND( F2089="Double Adhesive Tape", I2089="Roll-up Screen"), _xlfn.XLOOKUP(C2089, calc_rusacc!$C$15:$C$65, calc_rusacc!$AD$15:$AD$65, "",0),AND( F2089="Sealant", I2089="Roll-up Screen"), _xlfn.XLOOKUP(C2089, calc_rusacc!$C$15:$C$65, calc_rusacc!$AF$15:$AF$65, "",0),  AND( F2089="Main Chain", I2089="Accordion Screen"), _xlfn.XLOOKUP(C2089, calc_rusacc!$C$15:$C$65, calc_rusacc!$BF$15:$BF$65, "",0), AND( F2089="Sealant", I2089="Accordion Screen"), _xlfn.XLOOKUP(C2089, calc_rusacc!$C$15:$C$65, calc_rusacc!$BJ$15:$BJ$65, "",0),  F2089="Sealant", _xlfn.XLOOKUP(C2089, dd_accsrycalc!$A$2:$A$51, dd_accsrycalc!$G$2:$G$51, "",0),  F2089&lt;&gt;"",L2089*_xlfn.XLOOKUP(1, (SKUs!$C$2:$C$10001=G2089)*(SKUs!$K$2:$K$10001=I2089),SKUs!$E$2:$E$10001)), 0),"")</f>
        <v/>
      </c>
      <c r="E2089" s="16" t="str">
        <f>_xlfn.XLOOKUP(F2089,dd_item!$B$2:$B$105,dd_item!$C$2:$C$105,"",0)</f>
        <v/>
      </c>
      <c r="F2089" s="16"/>
      <c r="G2089" s="16" cm="1">
        <f t="array" ref="G2089">IFERROR(_xlfn.XLOOKUP(1, (SKUs!$J$2:$J$10001=accsry_unmerged!F2089)*IF(H2089&lt;&gt;"",(SKUs!$L$2:$L$10001=accsry_unmerged!H2089),1)*(SKUs!$K$2:$K$10001=I2089),SKUs!$C$2:$C$10001),"")</f>
        <v>0</v>
      </c>
      <c r="H2089" s="33" cm="1">
        <f t="array" ref="H2089">IFERROR(_xlfn.XLOOKUP(1, (dd_accsryclr!$C$2:$C$1000=accsry_unmerged!F2089)*(dd_accsryclr!$B$2:$B$1000=accsry_unmerged!J2089),dd_accsryclr!$A$2:$A$1000),"")</f>
        <v>0</v>
      </c>
      <c r="I2089" s="16">
        <f>_xlfn.XLOOKUP(C2089,'Project Details'!$C$17:$C$66,'Project Details'!$E$17:$E$66,"",0)</f>
        <v>0</v>
      </c>
      <c r="J2089" s="16">
        <f>_xlfn.XLOOKUP(C2089,'Project Details'!$C$17:$C$66,'Project Details'!$H$17:$H$66,"",0)</f>
        <v>0</v>
      </c>
      <c r="K2089" s="33" t="str">
        <f>IF(AND(_xlfn.XLOOKUP(C2089,'Project Details'!$C$17:$C$66,'Project Details'!$L$17:$L$66,"",0)&gt;550, F2089="Spring-L27cm"),"",SUBSTITUTE(_xlfn.XLOOKUP(G2089,SKUs!$C$2:$C$10001,SKUs!$F$2:$F$10001,"",0), " Accessories",""))</f>
        <v/>
      </c>
      <c r="L2089" s="33">
        <f>_xlfn.XLOOKUP(C2089,'Project Details'!$C$17:$C$66,'Project Details'!$D$17:$D$66,"",0)</f>
        <v>0</v>
      </c>
      <c r="M2089" s="43"/>
    </row>
    <row r="2090" spans="1:13" ht="13.5" customHeight="1" x14ac:dyDescent="0.25">
      <c r="A2090" s="43"/>
      <c r="B2090" s="43"/>
      <c r="C2090" s="35">
        <f t="shared" si="40"/>
        <v>42</v>
      </c>
      <c r="D2090" s="35" t="str" cm="1">
        <f t="array" ref="D2090">IFERROR(ROUNDUP(_xlfn.IFS(F2090="Aluminum Track", _xlfn.XLOOKUP(C2090, dd_accsrycalc!$A$2:$A$51, dd_accsrycalc!$B$2:$B$51, "",0), F2090="10 x 2 1/2 S (Flat)", _xlfn.XLOOKUP(C2090, dd_accsrycalc!$A$2:$A$51, dd_accsrycalc!$C$2:$C$51, "",0), F2090="Tox6", _xlfn.XLOOKUP(C2090, dd_accsrycalc!$A$2:$A$51, dd_accsrycalc!$D$2:$D$51, "",0), F2090="Cover Cap", _xlfn.XLOOKUP(C2090, dd_accsrycalc!$A$2:$A$51, dd_accsrycalc!$E$2:$E$51, "",0), F2090="Drainage Cover", _xlfn.XLOOKUP(C2090, dd_accsrycalc!$A$2:$A$51, dd_accsrycalc!$F$2:$F$51, "",0),AND( F2090="Double Adhesive Tape", I2090="Roll-up Screen"), _xlfn.XLOOKUP(C2090, calc_rusacc!$C$15:$C$65, calc_rusacc!$AD$15:$AD$65, "",0),AND( F2090="Sealant", I2090="Roll-up Screen"), _xlfn.XLOOKUP(C2090, calc_rusacc!$C$15:$C$65, calc_rusacc!$AF$15:$AF$65, "",0),  AND( F2090="Main Chain", I2090="Accordion Screen"), _xlfn.XLOOKUP(C2090, calc_rusacc!$C$15:$C$65, calc_rusacc!$BF$15:$BF$65, "",0), AND( F2090="Sealant", I2090="Accordion Screen"), _xlfn.XLOOKUP(C2090, calc_rusacc!$C$15:$C$65, calc_rusacc!$BJ$15:$BJ$65, "",0),  F2090="Sealant", _xlfn.XLOOKUP(C2090, dd_accsrycalc!$A$2:$A$51, dd_accsrycalc!$G$2:$G$51, "",0),  F2090&lt;&gt;"",L2090*_xlfn.XLOOKUP(1, (SKUs!$C$2:$C$10001=G2090)*(SKUs!$K$2:$K$10001=I2090),SKUs!$E$2:$E$10001)), 0),"")</f>
        <v/>
      </c>
      <c r="E2090" s="35" t="str">
        <f>_xlfn.XLOOKUP(F2090,dd_item!$B$2:$B$105,dd_item!$C$2:$C$105,"",0)</f>
        <v/>
      </c>
      <c r="F2090" s="35"/>
      <c r="G2090" s="35" cm="1">
        <f t="array" ref="G2090">IFERROR(_xlfn.XLOOKUP(1, (SKUs!$J$2:$J$10001=accsry_unmerged!F2090)*IF(H2090&lt;&gt;"",(SKUs!$L$2:$L$10001=accsry_unmerged!H2090),1)*(SKUs!$K$2:$K$10001=I2090),SKUs!$C$2:$C$10001),"")</f>
        <v>0</v>
      </c>
      <c r="H2090" s="36" cm="1">
        <f t="array" ref="H2090">IFERROR(_xlfn.XLOOKUP(1, (dd_accsryclr!$C$2:$C$1000=accsry_unmerged!F2090)*(dd_accsryclr!$B$2:$B$1000=accsry_unmerged!J2090),dd_accsryclr!$A$2:$A$1000),"")</f>
        <v>0</v>
      </c>
      <c r="I2090" s="35">
        <f>_xlfn.XLOOKUP(C2090,'Project Details'!$C$17:$C$66,'Project Details'!$E$17:$E$66,"",0)</f>
        <v>0</v>
      </c>
      <c r="J2090" s="35">
        <f>_xlfn.XLOOKUP(C2090,'Project Details'!$C$17:$C$66,'Project Details'!$H$17:$H$66,"",0)</f>
        <v>0</v>
      </c>
      <c r="K2090" s="36" t="str">
        <f>IF(AND(_xlfn.XLOOKUP(C2090,'Project Details'!$C$17:$C$66,'Project Details'!$L$17:$L$66,"",0)&gt;550, F2090="Spring-L27cm"),"",SUBSTITUTE(_xlfn.XLOOKUP(G2090,SKUs!$C$2:$C$10001,SKUs!$F$2:$F$10001,"",0), " Accessories",""))</f>
        <v/>
      </c>
      <c r="L2090" s="36">
        <f>_xlfn.XLOOKUP(C2090,'Project Details'!$C$17:$C$66,'Project Details'!$D$17:$D$66,"",0)</f>
        <v>0</v>
      </c>
      <c r="M2090" s="43"/>
    </row>
    <row r="2091" spans="1:13" ht="13.5" customHeight="1" x14ac:dyDescent="0.25">
      <c r="A2091" s="43"/>
      <c r="B2091" s="43"/>
      <c r="C2091" s="16">
        <f t="shared" si="40"/>
        <v>42</v>
      </c>
      <c r="D2091" s="16" t="str" cm="1">
        <f t="array" ref="D2091">IFERROR(ROUNDUP(_xlfn.IFS(F2091="Aluminum Track", _xlfn.XLOOKUP(C2091, dd_accsrycalc!$A$2:$A$51, dd_accsrycalc!$B$2:$B$51, "",0), F2091="10 x 2 1/2 S (Flat)", _xlfn.XLOOKUP(C2091, dd_accsrycalc!$A$2:$A$51, dd_accsrycalc!$C$2:$C$51, "",0), F2091="Tox6", _xlfn.XLOOKUP(C2091, dd_accsrycalc!$A$2:$A$51, dd_accsrycalc!$D$2:$D$51, "",0), F2091="Cover Cap", _xlfn.XLOOKUP(C2091, dd_accsrycalc!$A$2:$A$51, dd_accsrycalc!$E$2:$E$51, "",0), F2091="Drainage Cover", _xlfn.XLOOKUP(C2091, dd_accsrycalc!$A$2:$A$51, dd_accsrycalc!$F$2:$F$51, "",0),AND( F2091="Double Adhesive Tape", I2091="Roll-up Screen"), _xlfn.XLOOKUP(C2091, calc_rusacc!$C$15:$C$65, calc_rusacc!$AD$15:$AD$65, "",0),AND( F2091="Sealant", I2091="Roll-up Screen"), _xlfn.XLOOKUP(C2091, calc_rusacc!$C$15:$C$65, calc_rusacc!$AF$15:$AF$65, "",0),  AND( F2091="Main Chain", I2091="Accordion Screen"), _xlfn.XLOOKUP(C2091, calc_rusacc!$C$15:$C$65, calc_rusacc!$BF$15:$BF$65, "",0), AND( F2091="Sealant", I2091="Accordion Screen"), _xlfn.XLOOKUP(C2091, calc_rusacc!$C$15:$C$65, calc_rusacc!$BJ$15:$BJ$65, "",0),  F2091="Sealant", _xlfn.XLOOKUP(C2091, dd_accsrycalc!$A$2:$A$51, dd_accsrycalc!$G$2:$G$51, "",0),  F2091&lt;&gt;"",L2091*_xlfn.XLOOKUP(1, (SKUs!$C$2:$C$10001=G2091)*(SKUs!$K$2:$K$10001=I2091),SKUs!$E$2:$E$10001)), 0),"")</f>
        <v/>
      </c>
      <c r="E2091" s="16" t="str">
        <f>_xlfn.XLOOKUP(F2091,dd_item!$B$2:$B$105,dd_item!$C$2:$C$105,"",0)</f>
        <v/>
      </c>
      <c r="F2091" s="16"/>
      <c r="G2091" s="16" cm="1">
        <f t="array" ref="G2091">IFERROR(_xlfn.XLOOKUP(1, (SKUs!$J$2:$J$10001=accsry_unmerged!F2091)*IF(H2091&lt;&gt;"",(SKUs!$L$2:$L$10001=accsry_unmerged!H2091),1)*(SKUs!$K$2:$K$10001=I2091),SKUs!$C$2:$C$10001),"")</f>
        <v>0</v>
      </c>
      <c r="H2091" s="33" cm="1">
        <f t="array" ref="H2091">IFERROR(_xlfn.XLOOKUP(1, (dd_accsryclr!$C$2:$C$1000=accsry_unmerged!F2091)*(dd_accsryclr!$B$2:$B$1000=accsry_unmerged!J2091),dd_accsryclr!$A$2:$A$1000),"")</f>
        <v>0</v>
      </c>
      <c r="I2091" s="16">
        <f>_xlfn.XLOOKUP(C2091,'Project Details'!$C$17:$C$66,'Project Details'!$E$17:$E$66,"",0)</f>
        <v>0</v>
      </c>
      <c r="J2091" s="16">
        <f>_xlfn.XLOOKUP(C2091,'Project Details'!$C$17:$C$66,'Project Details'!$H$17:$H$66,"",0)</f>
        <v>0</v>
      </c>
      <c r="K2091" s="33" t="str">
        <f>IF(AND(_xlfn.XLOOKUP(C2091,'Project Details'!$C$17:$C$66,'Project Details'!$L$17:$L$66,"",0)&gt;550, F2091="Spring-L27cm"),"",SUBSTITUTE(_xlfn.XLOOKUP(G2091,SKUs!$C$2:$C$10001,SKUs!$F$2:$F$10001,"",0), " Accessories",""))</f>
        <v/>
      </c>
      <c r="L2091" s="33">
        <f>_xlfn.XLOOKUP(C2091,'Project Details'!$C$17:$C$66,'Project Details'!$D$17:$D$66,"",0)</f>
        <v>0</v>
      </c>
      <c r="M2091" s="43"/>
    </row>
    <row r="2092" spans="1:13" ht="13.5" customHeight="1" x14ac:dyDescent="0.25">
      <c r="A2092" s="43"/>
      <c r="B2092" s="43"/>
      <c r="C2092" s="35">
        <f t="shared" si="40"/>
        <v>42</v>
      </c>
      <c r="D2092" s="35" t="str" cm="1">
        <f t="array" ref="D2092">IFERROR(ROUNDUP(_xlfn.IFS(F2092="Aluminum Track", _xlfn.XLOOKUP(C2092, dd_accsrycalc!$A$2:$A$51, dd_accsrycalc!$B$2:$B$51, "",0), F2092="10 x 2 1/2 S (Flat)", _xlfn.XLOOKUP(C2092, dd_accsrycalc!$A$2:$A$51, dd_accsrycalc!$C$2:$C$51, "",0), F2092="Tox6", _xlfn.XLOOKUP(C2092, dd_accsrycalc!$A$2:$A$51, dd_accsrycalc!$D$2:$D$51, "",0), F2092="Cover Cap", _xlfn.XLOOKUP(C2092, dd_accsrycalc!$A$2:$A$51, dd_accsrycalc!$E$2:$E$51, "",0), F2092="Drainage Cover", _xlfn.XLOOKUP(C2092, dd_accsrycalc!$A$2:$A$51, dd_accsrycalc!$F$2:$F$51, "",0),AND( F2092="Double Adhesive Tape", I2092="Roll-up Screen"), _xlfn.XLOOKUP(C2092, calc_rusacc!$C$15:$C$65, calc_rusacc!$AD$15:$AD$65, "",0),AND( F2092="Sealant", I2092="Roll-up Screen"), _xlfn.XLOOKUP(C2092, calc_rusacc!$C$15:$C$65, calc_rusacc!$AF$15:$AF$65, "",0),  AND( F2092="Main Chain", I2092="Accordion Screen"), _xlfn.XLOOKUP(C2092, calc_rusacc!$C$15:$C$65, calc_rusacc!$BF$15:$BF$65, "",0), AND( F2092="Sealant", I2092="Accordion Screen"), _xlfn.XLOOKUP(C2092, calc_rusacc!$C$15:$C$65, calc_rusacc!$BJ$15:$BJ$65, "",0),  F2092="Sealant", _xlfn.XLOOKUP(C2092, dd_accsrycalc!$A$2:$A$51, dd_accsrycalc!$G$2:$G$51, "",0),  F2092&lt;&gt;"",L2092*_xlfn.XLOOKUP(1, (SKUs!$C$2:$C$10001=G2092)*(SKUs!$K$2:$K$10001=I2092),SKUs!$E$2:$E$10001)), 0),"")</f>
        <v/>
      </c>
      <c r="E2092" s="35" t="str">
        <f>_xlfn.XLOOKUP(F2092,dd_item!$B$2:$B$105,dd_item!$C$2:$C$105,"",0)</f>
        <v/>
      </c>
      <c r="F2092" s="35"/>
      <c r="G2092" s="35" cm="1">
        <f t="array" ref="G2092">IFERROR(_xlfn.XLOOKUP(1, (SKUs!$J$2:$J$10001=accsry_unmerged!F2092)*IF(H2092&lt;&gt;"",(SKUs!$L$2:$L$10001=accsry_unmerged!H2092),1)*(SKUs!$K$2:$K$10001=I2092),SKUs!$C$2:$C$10001),"")</f>
        <v>0</v>
      </c>
      <c r="H2092" s="36" cm="1">
        <f t="array" ref="H2092">IFERROR(_xlfn.XLOOKUP(1, (dd_accsryclr!$C$2:$C$1000=accsry_unmerged!F2092)*(dd_accsryclr!$B$2:$B$1000=accsry_unmerged!J2092),dd_accsryclr!$A$2:$A$1000),"")</f>
        <v>0</v>
      </c>
      <c r="I2092" s="35">
        <f>_xlfn.XLOOKUP(C2092,'Project Details'!$C$17:$C$66,'Project Details'!$E$17:$E$66,"",0)</f>
        <v>0</v>
      </c>
      <c r="J2092" s="35">
        <f>_xlfn.XLOOKUP(C2092,'Project Details'!$C$17:$C$66,'Project Details'!$H$17:$H$66,"",0)</f>
        <v>0</v>
      </c>
      <c r="K2092" s="36" t="str">
        <f>IF(AND(_xlfn.XLOOKUP(C2092,'Project Details'!$C$17:$C$66,'Project Details'!$L$17:$L$66,"",0)&gt;550, F2092="Spring-L27cm"),"",SUBSTITUTE(_xlfn.XLOOKUP(G2092,SKUs!$C$2:$C$10001,SKUs!$F$2:$F$10001,"",0), " Accessories",""))</f>
        <v/>
      </c>
      <c r="L2092" s="36">
        <f>_xlfn.XLOOKUP(C2092,'Project Details'!$C$17:$C$66,'Project Details'!$D$17:$D$66,"",0)</f>
        <v>0</v>
      </c>
      <c r="M2092" s="43"/>
    </row>
    <row r="2093" spans="1:13" ht="13.5" customHeight="1" x14ac:dyDescent="0.25">
      <c r="A2093" s="43"/>
      <c r="B2093" s="43"/>
      <c r="C2093" s="16">
        <f t="shared" si="40"/>
        <v>42</v>
      </c>
      <c r="D2093" s="16" t="str" cm="1">
        <f t="array" ref="D2093">IFERROR(ROUNDUP(_xlfn.IFS(F2093="Aluminum Track", _xlfn.XLOOKUP(C2093, dd_accsrycalc!$A$2:$A$51, dd_accsrycalc!$B$2:$B$51, "",0), F2093="10 x 2 1/2 S (Flat)", _xlfn.XLOOKUP(C2093, dd_accsrycalc!$A$2:$A$51, dd_accsrycalc!$C$2:$C$51, "",0), F2093="Tox6", _xlfn.XLOOKUP(C2093, dd_accsrycalc!$A$2:$A$51, dd_accsrycalc!$D$2:$D$51, "",0), F2093="Cover Cap", _xlfn.XLOOKUP(C2093, dd_accsrycalc!$A$2:$A$51, dd_accsrycalc!$E$2:$E$51, "",0), F2093="Drainage Cover", _xlfn.XLOOKUP(C2093, dd_accsrycalc!$A$2:$A$51, dd_accsrycalc!$F$2:$F$51, "",0),AND( F2093="Double Adhesive Tape", I2093="Roll-up Screen"), _xlfn.XLOOKUP(C2093, calc_rusacc!$C$15:$C$65, calc_rusacc!$AD$15:$AD$65, "",0),AND( F2093="Sealant", I2093="Roll-up Screen"), _xlfn.XLOOKUP(C2093, calc_rusacc!$C$15:$C$65, calc_rusacc!$AF$15:$AF$65, "",0),  AND( F2093="Main Chain", I2093="Accordion Screen"), _xlfn.XLOOKUP(C2093, calc_rusacc!$C$15:$C$65, calc_rusacc!$BF$15:$BF$65, "",0), AND( F2093="Sealant", I2093="Accordion Screen"), _xlfn.XLOOKUP(C2093, calc_rusacc!$C$15:$C$65, calc_rusacc!$BJ$15:$BJ$65, "",0),  F2093="Sealant", _xlfn.XLOOKUP(C2093, dd_accsrycalc!$A$2:$A$51, dd_accsrycalc!$G$2:$G$51, "",0),  F2093&lt;&gt;"",L2093*_xlfn.XLOOKUP(1, (SKUs!$C$2:$C$10001=G2093)*(SKUs!$K$2:$K$10001=I2093),SKUs!$E$2:$E$10001)), 0),"")</f>
        <v/>
      </c>
      <c r="E2093" s="16" t="str">
        <f>_xlfn.XLOOKUP(F2093,dd_item!$B$2:$B$105,dd_item!$C$2:$C$105,"",0)</f>
        <v/>
      </c>
      <c r="F2093" s="16"/>
      <c r="G2093" s="16" cm="1">
        <f t="array" ref="G2093">IFERROR(_xlfn.XLOOKUP(1, (SKUs!$J$2:$J$10001=accsry_unmerged!F2093)*IF(H2093&lt;&gt;"",(SKUs!$L$2:$L$10001=accsry_unmerged!H2093),1)*(SKUs!$K$2:$K$10001=I2093),SKUs!$C$2:$C$10001),"")</f>
        <v>0</v>
      </c>
      <c r="H2093" s="33" cm="1">
        <f t="array" ref="H2093">IFERROR(_xlfn.XLOOKUP(1, (dd_accsryclr!$C$2:$C$1000=accsry_unmerged!F2093)*(dd_accsryclr!$B$2:$B$1000=accsry_unmerged!J2093),dd_accsryclr!$A$2:$A$1000),"")</f>
        <v>0</v>
      </c>
      <c r="I2093" s="16">
        <f>_xlfn.XLOOKUP(C2093,'Project Details'!$C$17:$C$66,'Project Details'!$E$17:$E$66,"",0)</f>
        <v>0</v>
      </c>
      <c r="J2093" s="16">
        <f>_xlfn.XLOOKUP(C2093,'Project Details'!$C$17:$C$66,'Project Details'!$H$17:$H$66,"",0)</f>
        <v>0</v>
      </c>
      <c r="K2093" s="33" t="str">
        <f>IF(AND(_xlfn.XLOOKUP(C2093,'Project Details'!$C$17:$C$66,'Project Details'!$L$17:$L$66,"",0)&gt;550, F2093="Spring-L27cm"),"",SUBSTITUTE(_xlfn.XLOOKUP(G2093,SKUs!$C$2:$C$10001,SKUs!$F$2:$F$10001,"",0), " Accessories",""))</f>
        <v/>
      </c>
      <c r="L2093" s="33">
        <f>_xlfn.XLOOKUP(C2093,'Project Details'!$C$17:$C$66,'Project Details'!$D$17:$D$66,"",0)</f>
        <v>0</v>
      </c>
      <c r="M2093" s="43"/>
    </row>
    <row r="2094" spans="1:13" ht="13.5" customHeight="1" x14ac:dyDescent="0.25">
      <c r="A2094" s="43"/>
      <c r="B2094" s="43"/>
      <c r="C2094" s="35">
        <f t="shared" si="40"/>
        <v>42</v>
      </c>
      <c r="D2094" s="35" t="str" cm="1">
        <f t="array" ref="D2094">IFERROR(ROUNDUP(_xlfn.IFS(F2094="Aluminum Track", _xlfn.XLOOKUP(C2094, dd_accsrycalc!$A$2:$A$51, dd_accsrycalc!$B$2:$B$51, "",0), F2094="10 x 2 1/2 S (Flat)", _xlfn.XLOOKUP(C2094, dd_accsrycalc!$A$2:$A$51, dd_accsrycalc!$C$2:$C$51, "",0), F2094="Tox6", _xlfn.XLOOKUP(C2094, dd_accsrycalc!$A$2:$A$51, dd_accsrycalc!$D$2:$D$51, "",0), F2094="Cover Cap", _xlfn.XLOOKUP(C2094, dd_accsrycalc!$A$2:$A$51, dd_accsrycalc!$E$2:$E$51, "",0), F2094="Drainage Cover", _xlfn.XLOOKUP(C2094, dd_accsrycalc!$A$2:$A$51, dd_accsrycalc!$F$2:$F$51, "",0),AND( F2094="Double Adhesive Tape", I2094="Roll-up Screen"), _xlfn.XLOOKUP(C2094, calc_rusacc!$C$15:$C$65, calc_rusacc!$AD$15:$AD$65, "",0),AND( F2094="Sealant", I2094="Roll-up Screen"), _xlfn.XLOOKUP(C2094, calc_rusacc!$C$15:$C$65, calc_rusacc!$AF$15:$AF$65, "",0),  AND( F2094="Main Chain", I2094="Accordion Screen"), _xlfn.XLOOKUP(C2094, calc_rusacc!$C$15:$C$65, calc_rusacc!$BF$15:$BF$65, "",0), AND( F2094="Sealant", I2094="Accordion Screen"), _xlfn.XLOOKUP(C2094, calc_rusacc!$C$15:$C$65, calc_rusacc!$BJ$15:$BJ$65, "",0),  F2094="Sealant", _xlfn.XLOOKUP(C2094, dd_accsrycalc!$A$2:$A$51, dd_accsrycalc!$G$2:$G$51, "",0),  F2094&lt;&gt;"",L2094*_xlfn.XLOOKUP(1, (SKUs!$C$2:$C$10001=G2094)*(SKUs!$K$2:$K$10001=I2094),SKUs!$E$2:$E$10001)), 0),"")</f>
        <v/>
      </c>
      <c r="E2094" s="35" t="str">
        <f>_xlfn.XLOOKUP(F2094,dd_item!$B$2:$B$105,dd_item!$C$2:$C$105,"",0)</f>
        <v/>
      </c>
      <c r="F2094" s="35"/>
      <c r="G2094" s="35" cm="1">
        <f t="array" ref="G2094">IFERROR(_xlfn.XLOOKUP(1, (SKUs!$J$2:$J$10001=accsry_unmerged!F2094)*IF(H2094&lt;&gt;"",(SKUs!$L$2:$L$10001=accsry_unmerged!H2094),1)*(SKUs!$K$2:$K$10001=I2094),SKUs!$C$2:$C$10001),"")</f>
        <v>0</v>
      </c>
      <c r="H2094" s="36" cm="1">
        <f t="array" ref="H2094">IFERROR(_xlfn.XLOOKUP(1, (dd_accsryclr!$C$2:$C$1000=accsry_unmerged!F2094)*(dd_accsryclr!$B$2:$B$1000=accsry_unmerged!J2094),dd_accsryclr!$A$2:$A$1000),"")</f>
        <v>0</v>
      </c>
      <c r="I2094" s="35">
        <f>_xlfn.XLOOKUP(C2094,'Project Details'!$C$17:$C$66,'Project Details'!$E$17:$E$66,"",0)</f>
        <v>0</v>
      </c>
      <c r="J2094" s="35">
        <f>_xlfn.XLOOKUP(C2094,'Project Details'!$C$17:$C$66,'Project Details'!$H$17:$H$66,"",0)</f>
        <v>0</v>
      </c>
      <c r="K2094" s="36" t="str">
        <f>IF(AND(_xlfn.XLOOKUP(C2094,'Project Details'!$C$17:$C$66,'Project Details'!$L$17:$L$66,"",0)&gt;550, F2094="Spring-L27cm"),"",SUBSTITUTE(_xlfn.XLOOKUP(G2094,SKUs!$C$2:$C$10001,SKUs!$F$2:$F$10001,"",0), " Accessories",""))</f>
        <v/>
      </c>
      <c r="L2094" s="36">
        <f>_xlfn.XLOOKUP(C2094,'Project Details'!$C$17:$C$66,'Project Details'!$D$17:$D$66,"",0)</f>
        <v>0</v>
      </c>
      <c r="M2094" s="43"/>
    </row>
    <row r="2095" spans="1:13" ht="13.5" customHeight="1" outlineLevel="1" x14ac:dyDescent="0.25">
      <c r="A2095" s="43"/>
      <c r="B2095" s="43"/>
      <c r="C2095" s="16">
        <f t="shared" si="40"/>
        <v>42</v>
      </c>
      <c r="D2095" s="16" t="str" cm="1">
        <f t="array" ref="D2095">IFERROR(ROUNDUP(_xlfn.IFS(F2095="Aluminum Track", _xlfn.XLOOKUP(C2095, dd_accsrycalc!$A$2:$A$51, dd_accsrycalc!$B$2:$B$51, "",0), F2095="10 x 2 1/2 S (Flat)", _xlfn.XLOOKUP(C2095, dd_accsrycalc!$A$2:$A$51, dd_accsrycalc!$C$2:$C$51, "",0), F2095="Tox6", _xlfn.XLOOKUP(C2095, dd_accsrycalc!$A$2:$A$51, dd_accsrycalc!$D$2:$D$51, "",0), F2095="Cover Cap", _xlfn.XLOOKUP(C2095, dd_accsrycalc!$A$2:$A$51, dd_accsrycalc!$E$2:$E$51, "",0), F2095="Drainage Cover", _xlfn.XLOOKUP(C2095, dd_accsrycalc!$A$2:$A$51, dd_accsrycalc!$F$2:$F$51, "",0),AND( F2095="Double Adhesive Tape", I2095="Roll-up Screen"), _xlfn.XLOOKUP(C2095, calc_rusacc!$C$15:$C$65, calc_rusacc!$AD$15:$AD$65, "",0),AND( F2095="Sealant", I2095="Roll-up Screen"), _xlfn.XLOOKUP(C2095, calc_rusacc!$C$15:$C$65, calc_rusacc!$AF$15:$AF$65, "",0),  AND( F2095="Main Chain", I2095="Accordion Screen"), _xlfn.XLOOKUP(C2095, calc_rusacc!$C$15:$C$65, calc_rusacc!$BF$15:$BF$65, "",0), AND( F2095="Sealant", I2095="Accordion Screen"), _xlfn.XLOOKUP(C2095, calc_rusacc!$C$15:$C$65, calc_rusacc!$BJ$15:$BJ$65, "",0),  F2095="Sealant", _xlfn.XLOOKUP(C2095, dd_accsrycalc!$A$2:$A$51, dd_accsrycalc!$G$2:$G$51, "",0),  F2095&lt;&gt;"",L2095*_xlfn.XLOOKUP(1, (SKUs!$C$2:$C$10001=G2095)*(SKUs!$K$2:$K$10001=I2095),SKUs!$E$2:$E$10001)), 0),"")</f>
        <v/>
      </c>
      <c r="E2095" s="16" t="str">
        <f>_xlfn.XLOOKUP(F2095,dd_item!$B$2:$B$105,dd_item!$C$2:$C$105,"",0)</f>
        <v/>
      </c>
      <c r="F2095" s="16"/>
      <c r="G2095" s="16" cm="1">
        <f t="array" ref="G2095">IFERROR(_xlfn.XLOOKUP(1, (SKUs!$J$2:$J$10001=accsry_unmerged!F2095)*IF(H2095&lt;&gt;"",(SKUs!$L$2:$L$10001=accsry_unmerged!H2095),1)*(SKUs!$K$2:$K$10001=I2095),SKUs!$C$2:$C$10001),"")</f>
        <v>0</v>
      </c>
      <c r="H2095" s="33" cm="1">
        <f t="array" ref="H2095">IFERROR(_xlfn.XLOOKUP(1, (dd_accsryclr!$C$2:$C$1000=accsry_unmerged!F2095)*(dd_accsryclr!$B$2:$B$1000=accsry_unmerged!J2095),dd_accsryclr!$A$2:$A$1000),"")</f>
        <v>0</v>
      </c>
      <c r="I2095" s="16">
        <f>_xlfn.XLOOKUP(C2095,'Project Details'!$C$17:$C$66,'Project Details'!$E$17:$E$66,"",0)</f>
        <v>0</v>
      </c>
      <c r="J2095" s="16">
        <f>_xlfn.XLOOKUP(C2095,'Project Details'!$C$17:$C$66,'Project Details'!$H$17:$H$66,"",0)</f>
        <v>0</v>
      </c>
      <c r="K2095" s="33" t="str">
        <f>IF(AND(_xlfn.XLOOKUP(C2095,'Project Details'!$C$17:$C$66,'Project Details'!$L$17:$L$66,"",0)&gt;550, F2095="Spring-L27cm"),"",SUBSTITUTE(_xlfn.XLOOKUP(G2095,SKUs!$C$2:$C$10001,SKUs!$F$2:$F$10001,"",0), " Accessories",""))</f>
        <v/>
      </c>
      <c r="L2095" s="33">
        <f>_xlfn.XLOOKUP(C2095,'Project Details'!$C$17:$C$66,'Project Details'!$D$17:$D$66,"",0)</f>
        <v>0</v>
      </c>
      <c r="M2095" s="43"/>
    </row>
    <row r="2096" spans="1:13" ht="13.5" customHeight="1" outlineLevel="1" x14ac:dyDescent="0.25">
      <c r="A2096" s="43"/>
      <c r="B2096" s="43"/>
      <c r="C2096" s="35">
        <f t="shared" si="40"/>
        <v>42</v>
      </c>
      <c r="D2096" s="35" t="str" cm="1">
        <f t="array" ref="D2096">IFERROR(ROUNDUP(_xlfn.IFS(F2096="Aluminum Track", _xlfn.XLOOKUP(C2096, dd_accsrycalc!$A$2:$A$51, dd_accsrycalc!$B$2:$B$51, "",0), F2096="10 x 2 1/2 S (Flat)", _xlfn.XLOOKUP(C2096, dd_accsrycalc!$A$2:$A$51, dd_accsrycalc!$C$2:$C$51, "",0), F2096="Tox6", _xlfn.XLOOKUP(C2096, dd_accsrycalc!$A$2:$A$51, dd_accsrycalc!$D$2:$D$51, "",0), F2096="Cover Cap", _xlfn.XLOOKUP(C2096, dd_accsrycalc!$A$2:$A$51, dd_accsrycalc!$E$2:$E$51, "",0), F2096="Drainage Cover", _xlfn.XLOOKUP(C2096, dd_accsrycalc!$A$2:$A$51, dd_accsrycalc!$F$2:$F$51, "",0),AND( F2096="Double Adhesive Tape", I2096="Roll-up Screen"), _xlfn.XLOOKUP(C2096, calc_rusacc!$C$15:$C$65, calc_rusacc!$AD$15:$AD$65, "",0),AND( F2096="Sealant", I2096="Roll-up Screen"), _xlfn.XLOOKUP(C2096, calc_rusacc!$C$15:$C$65, calc_rusacc!$AF$15:$AF$65, "",0),  AND( F2096="Main Chain", I2096="Accordion Screen"), _xlfn.XLOOKUP(C2096, calc_rusacc!$C$15:$C$65, calc_rusacc!$BF$15:$BF$65, "",0), AND( F2096="Sealant", I2096="Accordion Screen"), _xlfn.XLOOKUP(C2096, calc_rusacc!$C$15:$C$65, calc_rusacc!$BJ$15:$BJ$65, "",0),  F2096="Sealant", _xlfn.XLOOKUP(C2096, dd_accsrycalc!$A$2:$A$51, dd_accsrycalc!$G$2:$G$51, "",0),  F2096&lt;&gt;"",L2096*_xlfn.XLOOKUP(1, (SKUs!$C$2:$C$10001=G2096)*(SKUs!$K$2:$K$10001=I2096),SKUs!$E$2:$E$10001)), 0),"")</f>
        <v/>
      </c>
      <c r="E2096" s="35" t="str">
        <f>_xlfn.XLOOKUP(F2096,dd_item!$B$2:$B$105,dd_item!$C$2:$C$105,"",0)</f>
        <v/>
      </c>
      <c r="F2096" s="35"/>
      <c r="G2096" s="35" cm="1">
        <f t="array" ref="G2096">IFERROR(_xlfn.XLOOKUP(1, (SKUs!$J$2:$J$10001=accsry_unmerged!F2096)*IF(H2096&lt;&gt;"",(SKUs!$L$2:$L$10001=accsry_unmerged!H2096),1)*(SKUs!$K$2:$K$10001=I2096),SKUs!$C$2:$C$10001),"")</f>
        <v>0</v>
      </c>
      <c r="H2096" s="36" cm="1">
        <f t="array" ref="H2096">IFERROR(_xlfn.XLOOKUP(1, (dd_accsryclr!$C$2:$C$1000=accsry_unmerged!F2096)*(dd_accsryclr!$B$2:$B$1000=accsry_unmerged!J2096),dd_accsryclr!$A$2:$A$1000),"")</f>
        <v>0</v>
      </c>
      <c r="I2096" s="35">
        <f>_xlfn.XLOOKUP(C2096,'Project Details'!$C$17:$C$66,'Project Details'!$E$17:$E$66,"",0)</f>
        <v>0</v>
      </c>
      <c r="J2096" s="35">
        <f>_xlfn.XLOOKUP(C2096,'Project Details'!$C$17:$C$66,'Project Details'!$H$17:$H$66,"",0)</f>
        <v>0</v>
      </c>
      <c r="K2096" s="36" t="str">
        <f>IF(AND(_xlfn.XLOOKUP(C2096,'Project Details'!$C$17:$C$66,'Project Details'!$L$17:$L$66,"",0)&gt;550, F2096="Spring-L27cm"),"",SUBSTITUTE(_xlfn.XLOOKUP(G2096,SKUs!$C$2:$C$10001,SKUs!$F$2:$F$10001,"",0), " Accessories",""))</f>
        <v/>
      </c>
      <c r="L2096" s="36">
        <f>_xlfn.XLOOKUP(C2096,'Project Details'!$C$17:$C$66,'Project Details'!$D$17:$D$66,"",0)</f>
        <v>0</v>
      </c>
      <c r="M2096" s="43"/>
    </row>
    <row r="2097" spans="1:13" ht="13.5" customHeight="1" outlineLevel="1" x14ac:dyDescent="0.25">
      <c r="A2097" s="43"/>
      <c r="B2097" s="43"/>
      <c r="C2097" s="16">
        <f t="shared" si="40"/>
        <v>42</v>
      </c>
      <c r="D2097" s="16" t="str" cm="1">
        <f t="array" ref="D2097">IFERROR(ROUNDUP(_xlfn.IFS(F2097="Aluminum Track", _xlfn.XLOOKUP(C2097, dd_accsrycalc!$A$2:$A$51, dd_accsrycalc!$B$2:$B$51, "",0), F2097="10 x 2 1/2 S (Flat)", _xlfn.XLOOKUP(C2097, dd_accsrycalc!$A$2:$A$51, dd_accsrycalc!$C$2:$C$51, "",0), F2097="Tox6", _xlfn.XLOOKUP(C2097, dd_accsrycalc!$A$2:$A$51, dd_accsrycalc!$D$2:$D$51, "",0), F2097="Cover Cap", _xlfn.XLOOKUP(C2097, dd_accsrycalc!$A$2:$A$51, dd_accsrycalc!$E$2:$E$51, "",0), F2097="Drainage Cover", _xlfn.XLOOKUP(C2097, dd_accsrycalc!$A$2:$A$51, dd_accsrycalc!$F$2:$F$51, "",0),AND( F2097="Double Adhesive Tape", I2097="Roll-up Screen"), _xlfn.XLOOKUP(C2097, calc_rusacc!$C$15:$C$65, calc_rusacc!$AD$15:$AD$65, "",0),AND( F2097="Sealant", I2097="Roll-up Screen"), _xlfn.XLOOKUP(C2097, calc_rusacc!$C$15:$C$65, calc_rusacc!$AF$15:$AF$65, "",0),  AND( F2097="Main Chain", I2097="Accordion Screen"), _xlfn.XLOOKUP(C2097, calc_rusacc!$C$15:$C$65, calc_rusacc!$BF$15:$BF$65, "",0), AND( F2097="Sealant", I2097="Accordion Screen"), _xlfn.XLOOKUP(C2097, calc_rusacc!$C$15:$C$65, calc_rusacc!$BJ$15:$BJ$65, "",0),  F2097="Sealant", _xlfn.XLOOKUP(C2097, dd_accsrycalc!$A$2:$A$51, dd_accsrycalc!$G$2:$G$51, "",0),  F2097&lt;&gt;"",L2097*_xlfn.XLOOKUP(1, (SKUs!$C$2:$C$10001=G2097)*(SKUs!$K$2:$K$10001=I2097),SKUs!$E$2:$E$10001)), 0),"")</f>
        <v/>
      </c>
      <c r="E2097" s="16" t="str">
        <f>_xlfn.XLOOKUP(F2097,dd_item!$B$2:$B$105,dd_item!$C$2:$C$105,"",0)</f>
        <v/>
      </c>
      <c r="F2097" s="16"/>
      <c r="G2097" s="16" cm="1">
        <f t="array" ref="G2097">IFERROR(_xlfn.XLOOKUP(1, (SKUs!$J$2:$J$10001=accsry_unmerged!F2097)*IF(H2097&lt;&gt;"",(SKUs!$L$2:$L$10001=accsry_unmerged!H2097),1)*(SKUs!$K$2:$K$10001=I2097),SKUs!$C$2:$C$10001),"")</f>
        <v>0</v>
      </c>
      <c r="H2097" s="33" cm="1">
        <f t="array" ref="H2097">IFERROR(_xlfn.XLOOKUP(1, (dd_accsryclr!$C$2:$C$1000=accsry_unmerged!F2097)*(dd_accsryclr!$B$2:$B$1000=accsry_unmerged!J2097),dd_accsryclr!$A$2:$A$1000),"")</f>
        <v>0</v>
      </c>
      <c r="I2097" s="16">
        <f>_xlfn.XLOOKUP(C2097,'Project Details'!$C$17:$C$66,'Project Details'!$E$17:$E$66,"",0)</f>
        <v>0</v>
      </c>
      <c r="J2097" s="16">
        <f>_xlfn.XLOOKUP(C2097,'Project Details'!$C$17:$C$66,'Project Details'!$H$17:$H$66,"",0)</f>
        <v>0</v>
      </c>
      <c r="K2097" s="33" t="str">
        <f>IF(AND(_xlfn.XLOOKUP(C2097,'Project Details'!$C$17:$C$66,'Project Details'!$L$17:$L$66,"",0)&gt;550, F2097="Spring-L27cm"),"",SUBSTITUTE(_xlfn.XLOOKUP(G2097,SKUs!$C$2:$C$10001,SKUs!$F$2:$F$10001,"",0), " Accessories",""))</f>
        <v/>
      </c>
      <c r="L2097" s="33">
        <f>_xlfn.XLOOKUP(C2097,'Project Details'!$C$17:$C$66,'Project Details'!$D$17:$D$66,"",0)</f>
        <v>0</v>
      </c>
      <c r="M2097" s="43"/>
    </row>
    <row r="2098" spans="1:13" ht="13.5" customHeight="1" outlineLevel="1" x14ac:dyDescent="0.25">
      <c r="A2098" s="43"/>
      <c r="B2098" s="43"/>
      <c r="C2098" s="35">
        <f t="shared" si="40"/>
        <v>42</v>
      </c>
      <c r="D2098" s="35" t="str" cm="1">
        <f t="array" ref="D2098">IFERROR(ROUNDUP(_xlfn.IFS(F2098="Aluminum Track", _xlfn.XLOOKUP(C2098, dd_accsrycalc!$A$2:$A$51, dd_accsrycalc!$B$2:$B$51, "",0), F2098="10 x 2 1/2 S (Flat)", _xlfn.XLOOKUP(C2098, dd_accsrycalc!$A$2:$A$51, dd_accsrycalc!$C$2:$C$51, "",0), F2098="Tox6", _xlfn.XLOOKUP(C2098, dd_accsrycalc!$A$2:$A$51, dd_accsrycalc!$D$2:$D$51, "",0), F2098="Cover Cap", _xlfn.XLOOKUP(C2098, dd_accsrycalc!$A$2:$A$51, dd_accsrycalc!$E$2:$E$51, "",0), F2098="Drainage Cover", _xlfn.XLOOKUP(C2098, dd_accsrycalc!$A$2:$A$51, dd_accsrycalc!$F$2:$F$51, "",0),AND( F2098="Double Adhesive Tape", I2098="Roll-up Screen"), _xlfn.XLOOKUP(C2098, calc_rusacc!$C$15:$C$65, calc_rusacc!$AD$15:$AD$65, "",0),AND( F2098="Sealant", I2098="Roll-up Screen"), _xlfn.XLOOKUP(C2098, calc_rusacc!$C$15:$C$65, calc_rusacc!$AF$15:$AF$65, "",0),  AND( F2098="Main Chain", I2098="Accordion Screen"), _xlfn.XLOOKUP(C2098, calc_rusacc!$C$15:$C$65, calc_rusacc!$BF$15:$BF$65, "",0), AND( F2098="Sealant", I2098="Accordion Screen"), _xlfn.XLOOKUP(C2098, calc_rusacc!$C$15:$C$65, calc_rusacc!$BJ$15:$BJ$65, "",0),  F2098="Sealant", _xlfn.XLOOKUP(C2098, dd_accsrycalc!$A$2:$A$51, dd_accsrycalc!$G$2:$G$51, "",0),  F2098&lt;&gt;"",L2098*_xlfn.XLOOKUP(1, (SKUs!$C$2:$C$10001=G2098)*(SKUs!$K$2:$K$10001=I2098),SKUs!$E$2:$E$10001)), 0),"")</f>
        <v/>
      </c>
      <c r="E2098" s="35" t="str">
        <f>_xlfn.XLOOKUP(F2098,dd_item!$B$2:$B$105,dd_item!$C$2:$C$105,"",0)</f>
        <v/>
      </c>
      <c r="F2098" s="35"/>
      <c r="G2098" s="35" cm="1">
        <f t="array" ref="G2098">IFERROR(_xlfn.XLOOKUP(1, (SKUs!$J$2:$J$10001=accsry_unmerged!F2098)*IF(H2098&lt;&gt;"",(SKUs!$L$2:$L$10001=accsry_unmerged!H2098),1)*(SKUs!$K$2:$K$10001=I2098),SKUs!$C$2:$C$10001),"")</f>
        <v>0</v>
      </c>
      <c r="H2098" s="36" cm="1">
        <f t="array" ref="H2098">IFERROR(_xlfn.XLOOKUP(1, (dd_accsryclr!$C$2:$C$1000=accsry_unmerged!F2098)*(dd_accsryclr!$B$2:$B$1000=accsry_unmerged!J2098),dd_accsryclr!$A$2:$A$1000),"")</f>
        <v>0</v>
      </c>
      <c r="I2098" s="35">
        <f>_xlfn.XLOOKUP(C2098,'Project Details'!$C$17:$C$66,'Project Details'!$E$17:$E$66,"",0)</f>
        <v>0</v>
      </c>
      <c r="J2098" s="35">
        <f>_xlfn.XLOOKUP(C2098,'Project Details'!$C$17:$C$66,'Project Details'!$H$17:$H$66,"",0)</f>
        <v>0</v>
      </c>
      <c r="K2098" s="36" t="str">
        <f>IF(AND(_xlfn.XLOOKUP(C2098,'Project Details'!$C$17:$C$66,'Project Details'!$L$17:$L$66,"",0)&gt;550, F2098="Spring-L27cm"),"",SUBSTITUTE(_xlfn.XLOOKUP(G2098,SKUs!$C$2:$C$10001,SKUs!$F$2:$F$10001,"",0), " Accessories",""))</f>
        <v/>
      </c>
      <c r="L2098" s="36">
        <f>_xlfn.XLOOKUP(C2098,'Project Details'!$C$17:$C$66,'Project Details'!$D$17:$D$66,"",0)</f>
        <v>0</v>
      </c>
      <c r="M2098" s="43"/>
    </row>
    <row r="2099" spans="1:13" ht="13.5" customHeight="1" outlineLevel="1" x14ac:dyDescent="0.25">
      <c r="A2099" s="43"/>
      <c r="B2099" s="43"/>
      <c r="C2099" s="16">
        <f t="shared" si="40"/>
        <v>42</v>
      </c>
      <c r="D2099" s="16" t="str" cm="1">
        <f t="array" ref="D2099">IFERROR(ROUNDUP(_xlfn.IFS(F2099="Aluminum Track", _xlfn.XLOOKUP(C2099, dd_accsrycalc!$A$2:$A$51, dd_accsrycalc!$B$2:$B$51, "",0), F2099="10 x 2 1/2 S (Flat)", _xlfn.XLOOKUP(C2099, dd_accsrycalc!$A$2:$A$51, dd_accsrycalc!$C$2:$C$51, "",0), F2099="Tox6", _xlfn.XLOOKUP(C2099, dd_accsrycalc!$A$2:$A$51, dd_accsrycalc!$D$2:$D$51, "",0), F2099="Cover Cap", _xlfn.XLOOKUP(C2099, dd_accsrycalc!$A$2:$A$51, dd_accsrycalc!$E$2:$E$51, "",0), F2099="Drainage Cover", _xlfn.XLOOKUP(C2099, dd_accsrycalc!$A$2:$A$51, dd_accsrycalc!$F$2:$F$51, "",0),AND( F2099="Double Adhesive Tape", I2099="Roll-up Screen"), _xlfn.XLOOKUP(C2099, calc_rusacc!$C$15:$C$65, calc_rusacc!$AD$15:$AD$65, "",0),AND( F2099="Sealant", I2099="Roll-up Screen"), _xlfn.XLOOKUP(C2099, calc_rusacc!$C$15:$C$65, calc_rusacc!$AF$15:$AF$65, "",0),  AND( F2099="Main Chain", I2099="Accordion Screen"), _xlfn.XLOOKUP(C2099, calc_rusacc!$C$15:$C$65, calc_rusacc!$BF$15:$BF$65, "",0), AND( F2099="Sealant", I2099="Accordion Screen"), _xlfn.XLOOKUP(C2099, calc_rusacc!$C$15:$C$65, calc_rusacc!$BJ$15:$BJ$65, "",0),  F2099="Sealant", _xlfn.XLOOKUP(C2099, dd_accsrycalc!$A$2:$A$51, dd_accsrycalc!$G$2:$G$51, "",0),  F2099&lt;&gt;"",L2099*_xlfn.XLOOKUP(1, (SKUs!$C$2:$C$10001=G2099)*(SKUs!$K$2:$K$10001=I2099),SKUs!$E$2:$E$10001)), 0),"")</f>
        <v/>
      </c>
      <c r="E2099" s="16" t="str">
        <f>_xlfn.XLOOKUP(F2099,dd_item!$B$2:$B$105,dd_item!$C$2:$C$105,"",0)</f>
        <v/>
      </c>
      <c r="F2099" s="16"/>
      <c r="G2099" s="16" cm="1">
        <f t="array" ref="G2099">IFERROR(_xlfn.XLOOKUP(1, (SKUs!$J$2:$J$10001=accsry_unmerged!F2099)*IF(H2099&lt;&gt;"",(SKUs!$L$2:$L$10001=accsry_unmerged!H2099),1)*(SKUs!$K$2:$K$10001=I2099),SKUs!$C$2:$C$10001),"")</f>
        <v>0</v>
      </c>
      <c r="H2099" s="33" cm="1">
        <f t="array" ref="H2099">IFERROR(_xlfn.XLOOKUP(1, (dd_accsryclr!$C$2:$C$1000=accsry_unmerged!F2099)*(dd_accsryclr!$B$2:$B$1000=accsry_unmerged!J2099),dd_accsryclr!$A$2:$A$1000),"")</f>
        <v>0</v>
      </c>
      <c r="I2099" s="16">
        <f>_xlfn.XLOOKUP(C2099,'Project Details'!$C$17:$C$66,'Project Details'!$E$17:$E$66,"",0)</f>
        <v>0</v>
      </c>
      <c r="J2099" s="16">
        <f>_xlfn.XLOOKUP(C2099,'Project Details'!$C$17:$C$66,'Project Details'!$H$17:$H$66,"",0)</f>
        <v>0</v>
      </c>
      <c r="K2099" s="33" t="str">
        <f>IF(AND(_xlfn.XLOOKUP(C2099,'Project Details'!$C$17:$C$66,'Project Details'!$L$17:$L$66,"",0)&gt;550, F2099="Spring-L27cm"),"",SUBSTITUTE(_xlfn.XLOOKUP(G2099,SKUs!$C$2:$C$10001,SKUs!$F$2:$F$10001,"",0), " Accessories",""))</f>
        <v/>
      </c>
      <c r="L2099" s="33">
        <f>_xlfn.XLOOKUP(C2099,'Project Details'!$C$17:$C$66,'Project Details'!$D$17:$D$66,"",0)</f>
        <v>0</v>
      </c>
      <c r="M2099" s="43"/>
    </row>
    <row r="2100" spans="1:13" ht="13.5" customHeight="1" outlineLevel="1" x14ac:dyDescent="0.25">
      <c r="A2100" s="43"/>
      <c r="B2100" s="43"/>
      <c r="C2100" s="35">
        <f t="shared" si="40"/>
        <v>42</v>
      </c>
      <c r="D2100" s="35" t="str" cm="1">
        <f t="array" ref="D2100">IFERROR(ROUNDUP(_xlfn.IFS(F2100="Aluminum Track", _xlfn.XLOOKUP(C2100, dd_accsrycalc!$A$2:$A$51, dd_accsrycalc!$B$2:$B$51, "",0), F2100="10 x 2 1/2 S (Flat)", _xlfn.XLOOKUP(C2100, dd_accsrycalc!$A$2:$A$51, dd_accsrycalc!$C$2:$C$51, "",0), F2100="Tox6", _xlfn.XLOOKUP(C2100, dd_accsrycalc!$A$2:$A$51, dd_accsrycalc!$D$2:$D$51, "",0), F2100="Cover Cap", _xlfn.XLOOKUP(C2100, dd_accsrycalc!$A$2:$A$51, dd_accsrycalc!$E$2:$E$51, "",0), F2100="Drainage Cover", _xlfn.XLOOKUP(C2100, dd_accsrycalc!$A$2:$A$51, dd_accsrycalc!$F$2:$F$51, "",0),AND( F2100="Double Adhesive Tape", I2100="Roll-up Screen"), _xlfn.XLOOKUP(C2100, calc_rusacc!$C$15:$C$65, calc_rusacc!$AD$15:$AD$65, "",0),AND( F2100="Sealant", I2100="Roll-up Screen"), _xlfn.XLOOKUP(C2100, calc_rusacc!$C$15:$C$65, calc_rusacc!$AF$15:$AF$65, "",0),  AND( F2100="Main Chain", I2100="Accordion Screen"), _xlfn.XLOOKUP(C2100, calc_rusacc!$C$15:$C$65, calc_rusacc!$BF$15:$BF$65, "",0), AND( F2100="Sealant", I2100="Accordion Screen"), _xlfn.XLOOKUP(C2100, calc_rusacc!$C$15:$C$65, calc_rusacc!$BJ$15:$BJ$65, "",0),  F2100="Sealant", _xlfn.XLOOKUP(C2100, dd_accsrycalc!$A$2:$A$51, dd_accsrycalc!$G$2:$G$51, "",0),  F2100&lt;&gt;"",L2100*_xlfn.XLOOKUP(1, (SKUs!$C$2:$C$10001=G2100)*(SKUs!$K$2:$K$10001=I2100),SKUs!$E$2:$E$10001)), 0),"")</f>
        <v/>
      </c>
      <c r="E2100" s="35" t="str">
        <f>_xlfn.XLOOKUP(F2100,dd_item!$B$2:$B$105,dd_item!$C$2:$C$105,"",0)</f>
        <v/>
      </c>
      <c r="F2100" s="35"/>
      <c r="G2100" s="35" cm="1">
        <f t="array" ref="G2100">IFERROR(_xlfn.XLOOKUP(1, (SKUs!$J$2:$J$10001=accsry_unmerged!F2100)*IF(H2100&lt;&gt;"",(SKUs!$L$2:$L$10001=accsry_unmerged!H2100),1)*(SKUs!$K$2:$K$10001=I2100),SKUs!$C$2:$C$10001),"")</f>
        <v>0</v>
      </c>
      <c r="H2100" s="36" cm="1">
        <f t="array" ref="H2100">IFERROR(_xlfn.XLOOKUP(1, (dd_accsryclr!$C$2:$C$1000=accsry_unmerged!F2100)*(dd_accsryclr!$B$2:$B$1000=accsry_unmerged!J2100),dd_accsryclr!$A$2:$A$1000),"")</f>
        <v>0</v>
      </c>
      <c r="I2100" s="35">
        <f>_xlfn.XLOOKUP(C2100,'Project Details'!$C$17:$C$66,'Project Details'!$E$17:$E$66,"",0)</f>
        <v>0</v>
      </c>
      <c r="J2100" s="35">
        <f>_xlfn.XLOOKUP(C2100,'Project Details'!$C$17:$C$66,'Project Details'!$H$17:$H$66,"",0)</f>
        <v>0</v>
      </c>
      <c r="K2100" s="36" t="str">
        <f>IF(AND(_xlfn.XLOOKUP(C2100,'Project Details'!$C$17:$C$66,'Project Details'!$L$17:$L$66,"",0)&gt;550, F2100="Spring-L27cm"),"",SUBSTITUTE(_xlfn.XLOOKUP(G2100,SKUs!$C$2:$C$10001,SKUs!$F$2:$F$10001,"",0), " Accessories",""))</f>
        <v/>
      </c>
      <c r="L2100" s="36">
        <f>_xlfn.XLOOKUP(C2100,'Project Details'!$C$17:$C$66,'Project Details'!$D$17:$D$66,"",0)</f>
        <v>0</v>
      </c>
      <c r="M2100" s="43"/>
    </row>
    <row r="2101" spans="1:13" ht="13.5" customHeight="1" outlineLevel="1" x14ac:dyDescent="0.25">
      <c r="A2101" s="43"/>
      <c r="B2101" s="43"/>
      <c r="C2101" s="16">
        <f t="shared" si="40"/>
        <v>42</v>
      </c>
      <c r="D2101" s="16" t="str" cm="1">
        <f t="array" ref="D2101">IFERROR(ROUNDUP(_xlfn.IFS(F2101="Aluminum Track", _xlfn.XLOOKUP(C2101, dd_accsrycalc!$A$2:$A$51, dd_accsrycalc!$B$2:$B$51, "",0), F2101="10 x 2 1/2 S (Flat)", _xlfn.XLOOKUP(C2101, dd_accsrycalc!$A$2:$A$51, dd_accsrycalc!$C$2:$C$51, "",0), F2101="Tox6", _xlfn.XLOOKUP(C2101, dd_accsrycalc!$A$2:$A$51, dd_accsrycalc!$D$2:$D$51, "",0), F2101="Cover Cap", _xlfn.XLOOKUP(C2101, dd_accsrycalc!$A$2:$A$51, dd_accsrycalc!$E$2:$E$51, "",0), F2101="Drainage Cover", _xlfn.XLOOKUP(C2101, dd_accsrycalc!$A$2:$A$51, dd_accsrycalc!$F$2:$F$51, "",0),AND( F2101="Double Adhesive Tape", I2101="Roll-up Screen"), _xlfn.XLOOKUP(C2101, calc_rusacc!$C$15:$C$65, calc_rusacc!$AD$15:$AD$65, "",0),AND( F2101="Sealant", I2101="Roll-up Screen"), _xlfn.XLOOKUP(C2101, calc_rusacc!$C$15:$C$65, calc_rusacc!$AF$15:$AF$65, "",0),  AND( F2101="Main Chain", I2101="Accordion Screen"), _xlfn.XLOOKUP(C2101, calc_rusacc!$C$15:$C$65, calc_rusacc!$BF$15:$BF$65, "",0), AND( F2101="Sealant", I2101="Accordion Screen"), _xlfn.XLOOKUP(C2101, calc_rusacc!$C$15:$C$65, calc_rusacc!$BJ$15:$BJ$65, "",0),  F2101="Sealant", _xlfn.XLOOKUP(C2101, dd_accsrycalc!$A$2:$A$51, dd_accsrycalc!$G$2:$G$51, "",0),  F2101&lt;&gt;"",L2101*_xlfn.XLOOKUP(1, (SKUs!$C$2:$C$10001=G2101)*(SKUs!$K$2:$K$10001=I2101),SKUs!$E$2:$E$10001)), 0),"")</f>
        <v/>
      </c>
      <c r="E2101" s="16" t="str">
        <f>_xlfn.XLOOKUP(F2101,dd_item!$B$2:$B$105,dd_item!$C$2:$C$105,"",0)</f>
        <v/>
      </c>
      <c r="F2101" s="16"/>
      <c r="G2101" s="16" cm="1">
        <f t="array" ref="G2101">IFERROR(_xlfn.XLOOKUP(1, (SKUs!$J$2:$J$10001=accsry_unmerged!F2101)*IF(H2101&lt;&gt;"",(SKUs!$L$2:$L$10001=accsry_unmerged!H2101),1)*(SKUs!$K$2:$K$10001=I2101),SKUs!$C$2:$C$10001),"")</f>
        <v>0</v>
      </c>
      <c r="H2101" s="33" cm="1">
        <f t="array" ref="H2101">IFERROR(_xlfn.XLOOKUP(1, (dd_accsryclr!$C$2:$C$1000=accsry_unmerged!F2101)*(dd_accsryclr!$B$2:$B$1000=accsry_unmerged!J2101),dd_accsryclr!$A$2:$A$1000),"")</f>
        <v>0</v>
      </c>
      <c r="I2101" s="16">
        <f>_xlfn.XLOOKUP(C2101,'Project Details'!$C$17:$C$66,'Project Details'!$E$17:$E$66,"",0)</f>
        <v>0</v>
      </c>
      <c r="J2101" s="16">
        <f>_xlfn.XLOOKUP(C2101,'Project Details'!$C$17:$C$66,'Project Details'!$H$17:$H$66,"",0)</f>
        <v>0</v>
      </c>
      <c r="K2101" s="33" t="str">
        <f>IF(AND(_xlfn.XLOOKUP(C2101,'Project Details'!$C$17:$C$66,'Project Details'!$L$17:$L$66,"",0)&gt;550, F2101="Spring-L27cm"),"",SUBSTITUTE(_xlfn.XLOOKUP(G2101,SKUs!$C$2:$C$10001,SKUs!$F$2:$F$10001,"",0), " Accessories",""))</f>
        <v/>
      </c>
      <c r="L2101" s="33">
        <f>_xlfn.XLOOKUP(C2101,'Project Details'!$C$17:$C$66,'Project Details'!$D$17:$D$66,"",0)</f>
        <v>0</v>
      </c>
      <c r="M2101" s="43"/>
    </row>
    <row r="2102" spans="1:13" ht="13.5" customHeight="1" outlineLevel="1" x14ac:dyDescent="0.25">
      <c r="A2102" s="43"/>
      <c r="B2102" s="43"/>
      <c r="C2102" s="35">
        <f t="shared" si="40"/>
        <v>42</v>
      </c>
      <c r="D2102" s="35" t="str" cm="1">
        <f t="array" ref="D2102">IFERROR(ROUNDUP(_xlfn.IFS(F2102="Aluminum Track", _xlfn.XLOOKUP(C2102, dd_accsrycalc!$A$2:$A$51, dd_accsrycalc!$B$2:$B$51, "",0), F2102="10 x 2 1/2 S (Flat)", _xlfn.XLOOKUP(C2102, dd_accsrycalc!$A$2:$A$51, dd_accsrycalc!$C$2:$C$51, "",0), F2102="Tox6", _xlfn.XLOOKUP(C2102, dd_accsrycalc!$A$2:$A$51, dd_accsrycalc!$D$2:$D$51, "",0), F2102="Cover Cap", _xlfn.XLOOKUP(C2102, dd_accsrycalc!$A$2:$A$51, dd_accsrycalc!$E$2:$E$51, "",0), F2102="Drainage Cover", _xlfn.XLOOKUP(C2102, dd_accsrycalc!$A$2:$A$51, dd_accsrycalc!$F$2:$F$51, "",0),AND( F2102="Double Adhesive Tape", I2102="Roll-up Screen"), _xlfn.XLOOKUP(C2102, calc_rusacc!$C$15:$C$65, calc_rusacc!$AD$15:$AD$65, "",0),AND( F2102="Sealant", I2102="Roll-up Screen"), _xlfn.XLOOKUP(C2102, calc_rusacc!$C$15:$C$65, calc_rusacc!$AF$15:$AF$65, "",0),  AND( F2102="Main Chain", I2102="Accordion Screen"), _xlfn.XLOOKUP(C2102, calc_rusacc!$C$15:$C$65, calc_rusacc!$BF$15:$BF$65, "",0), AND( F2102="Sealant", I2102="Accordion Screen"), _xlfn.XLOOKUP(C2102, calc_rusacc!$C$15:$C$65, calc_rusacc!$BJ$15:$BJ$65, "",0),  F2102="Sealant", _xlfn.XLOOKUP(C2102, dd_accsrycalc!$A$2:$A$51, dd_accsrycalc!$G$2:$G$51, "",0),  F2102&lt;&gt;"",L2102*_xlfn.XLOOKUP(1, (SKUs!$C$2:$C$10001=G2102)*(SKUs!$K$2:$K$10001=I2102),SKUs!$E$2:$E$10001)), 0),"")</f>
        <v/>
      </c>
      <c r="E2102" s="35" t="str">
        <f>_xlfn.XLOOKUP(F2102,dd_item!$B$2:$B$105,dd_item!$C$2:$C$105,"",0)</f>
        <v/>
      </c>
      <c r="F2102" s="35"/>
      <c r="G2102" s="35" cm="1">
        <f t="array" ref="G2102">IFERROR(_xlfn.XLOOKUP(1, (SKUs!$J$2:$J$10001=accsry_unmerged!F2102)*IF(H2102&lt;&gt;"",(SKUs!$L$2:$L$10001=accsry_unmerged!H2102),1)*(SKUs!$K$2:$K$10001=I2102),SKUs!$C$2:$C$10001),"")</f>
        <v>0</v>
      </c>
      <c r="H2102" s="36" cm="1">
        <f t="array" ref="H2102">IFERROR(_xlfn.XLOOKUP(1, (dd_accsryclr!$C$2:$C$1000=accsry_unmerged!F2102)*(dd_accsryclr!$B$2:$B$1000=accsry_unmerged!J2102),dd_accsryclr!$A$2:$A$1000),"")</f>
        <v>0</v>
      </c>
      <c r="I2102" s="35">
        <f>_xlfn.XLOOKUP(C2102,'Project Details'!$C$17:$C$66,'Project Details'!$E$17:$E$66,"",0)</f>
        <v>0</v>
      </c>
      <c r="J2102" s="35">
        <f>_xlfn.XLOOKUP(C2102,'Project Details'!$C$17:$C$66,'Project Details'!$H$17:$H$66,"",0)</f>
        <v>0</v>
      </c>
      <c r="K2102" s="36" t="str">
        <f>IF(AND(_xlfn.XLOOKUP(C2102,'Project Details'!$C$17:$C$66,'Project Details'!$L$17:$L$66,"",0)&gt;550, F2102="Spring-L27cm"),"",SUBSTITUTE(_xlfn.XLOOKUP(G2102,SKUs!$C$2:$C$10001,SKUs!$F$2:$F$10001,"",0), " Accessories",""))</f>
        <v/>
      </c>
      <c r="L2102" s="36">
        <f>_xlfn.XLOOKUP(C2102,'Project Details'!$C$17:$C$66,'Project Details'!$D$17:$D$66,"",0)</f>
        <v>0</v>
      </c>
      <c r="M2102" s="43"/>
    </row>
    <row r="2103" spans="1:13" ht="13.5" customHeight="1" outlineLevel="1" x14ac:dyDescent="0.25">
      <c r="A2103" s="43"/>
      <c r="B2103" s="43"/>
      <c r="C2103" s="16">
        <f t="shared" si="40"/>
        <v>42</v>
      </c>
      <c r="D2103" s="16" t="str" cm="1">
        <f t="array" ref="D2103">IFERROR(ROUNDUP(_xlfn.IFS(F2103="Aluminum Track", _xlfn.XLOOKUP(C2103, dd_accsrycalc!$A$2:$A$51, dd_accsrycalc!$B$2:$B$51, "",0), F2103="10 x 2 1/2 S (Flat)", _xlfn.XLOOKUP(C2103, dd_accsrycalc!$A$2:$A$51, dd_accsrycalc!$C$2:$C$51, "",0), F2103="Tox6", _xlfn.XLOOKUP(C2103, dd_accsrycalc!$A$2:$A$51, dd_accsrycalc!$D$2:$D$51, "",0), F2103="Cover Cap", _xlfn.XLOOKUP(C2103, dd_accsrycalc!$A$2:$A$51, dd_accsrycalc!$E$2:$E$51, "",0), F2103="Drainage Cover", _xlfn.XLOOKUP(C2103, dd_accsrycalc!$A$2:$A$51, dd_accsrycalc!$F$2:$F$51, "",0),AND( F2103="Double Adhesive Tape", I2103="Roll-up Screen"), _xlfn.XLOOKUP(C2103, calc_rusacc!$C$15:$C$65, calc_rusacc!$AD$15:$AD$65, "",0),AND( F2103="Sealant", I2103="Roll-up Screen"), _xlfn.XLOOKUP(C2103, calc_rusacc!$C$15:$C$65, calc_rusacc!$AF$15:$AF$65, "",0),  AND( F2103="Main Chain", I2103="Accordion Screen"), _xlfn.XLOOKUP(C2103, calc_rusacc!$C$15:$C$65, calc_rusacc!$BF$15:$BF$65, "",0), AND( F2103="Sealant", I2103="Accordion Screen"), _xlfn.XLOOKUP(C2103, calc_rusacc!$C$15:$C$65, calc_rusacc!$BJ$15:$BJ$65, "",0),  F2103="Sealant", _xlfn.XLOOKUP(C2103, dd_accsrycalc!$A$2:$A$51, dd_accsrycalc!$G$2:$G$51, "",0),  F2103&lt;&gt;"",L2103*_xlfn.XLOOKUP(1, (SKUs!$C$2:$C$10001=G2103)*(SKUs!$K$2:$K$10001=I2103),SKUs!$E$2:$E$10001)), 0),"")</f>
        <v/>
      </c>
      <c r="E2103" s="16" t="str">
        <f>_xlfn.XLOOKUP(F2103,dd_item!$B$2:$B$105,dd_item!$C$2:$C$105,"",0)</f>
        <v/>
      </c>
      <c r="F2103" s="16"/>
      <c r="G2103" s="16" cm="1">
        <f t="array" ref="G2103">IFERROR(_xlfn.XLOOKUP(1, (SKUs!$J$2:$J$10001=accsry_unmerged!F2103)*IF(H2103&lt;&gt;"",(SKUs!$L$2:$L$10001=accsry_unmerged!H2103),1)*(SKUs!$K$2:$K$10001=I2103),SKUs!$C$2:$C$10001),"")</f>
        <v>0</v>
      </c>
      <c r="H2103" s="33" cm="1">
        <f t="array" ref="H2103">IFERROR(_xlfn.XLOOKUP(1, (dd_accsryclr!$C$2:$C$1000=accsry_unmerged!F2103)*(dd_accsryclr!$B$2:$B$1000=accsry_unmerged!J2103),dd_accsryclr!$A$2:$A$1000),"")</f>
        <v>0</v>
      </c>
      <c r="I2103" s="16">
        <f>_xlfn.XLOOKUP(C2103,'Project Details'!$C$17:$C$66,'Project Details'!$E$17:$E$66,"",0)</f>
        <v>0</v>
      </c>
      <c r="J2103" s="16">
        <f>_xlfn.XLOOKUP(C2103,'Project Details'!$C$17:$C$66,'Project Details'!$H$17:$H$66,"",0)</f>
        <v>0</v>
      </c>
      <c r="K2103" s="33" t="str">
        <f>IF(AND(_xlfn.XLOOKUP(C2103,'Project Details'!$C$17:$C$66,'Project Details'!$L$17:$L$66,"",0)&gt;550, F2103="Spring-L27cm"),"",SUBSTITUTE(_xlfn.XLOOKUP(G2103,SKUs!$C$2:$C$10001,SKUs!$F$2:$F$10001,"",0), " Accessories",""))</f>
        <v/>
      </c>
      <c r="L2103" s="33">
        <f>_xlfn.XLOOKUP(C2103,'Project Details'!$C$17:$C$66,'Project Details'!$D$17:$D$66,"",0)</f>
        <v>0</v>
      </c>
      <c r="M2103" s="43"/>
    </row>
    <row r="2104" spans="1:13" ht="13.5" customHeight="1" outlineLevel="1" x14ac:dyDescent="0.25">
      <c r="A2104" s="43"/>
      <c r="B2104" s="43"/>
      <c r="C2104" s="35">
        <f t="shared" si="40"/>
        <v>42</v>
      </c>
      <c r="D2104" s="35" t="str" cm="1">
        <f t="array" ref="D2104">IFERROR(ROUNDUP(_xlfn.IFS(F2104="Aluminum Track", _xlfn.XLOOKUP(C2104, dd_accsrycalc!$A$2:$A$51, dd_accsrycalc!$B$2:$B$51, "",0), F2104="10 x 2 1/2 S (Flat)", _xlfn.XLOOKUP(C2104, dd_accsrycalc!$A$2:$A$51, dd_accsrycalc!$C$2:$C$51, "",0), F2104="Tox6", _xlfn.XLOOKUP(C2104, dd_accsrycalc!$A$2:$A$51, dd_accsrycalc!$D$2:$D$51, "",0), F2104="Cover Cap", _xlfn.XLOOKUP(C2104, dd_accsrycalc!$A$2:$A$51, dd_accsrycalc!$E$2:$E$51, "",0), F2104="Drainage Cover", _xlfn.XLOOKUP(C2104, dd_accsrycalc!$A$2:$A$51, dd_accsrycalc!$F$2:$F$51, "",0),AND( F2104="Double Adhesive Tape", I2104="Roll-up Screen"), _xlfn.XLOOKUP(C2104, calc_rusacc!$C$15:$C$65, calc_rusacc!$AD$15:$AD$65, "",0),AND( F2104="Sealant", I2104="Roll-up Screen"), _xlfn.XLOOKUP(C2104, calc_rusacc!$C$15:$C$65, calc_rusacc!$AF$15:$AF$65, "",0),  AND( F2104="Main Chain", I2104="Accordion Screen"), _xlfn.XLOOKUP(C2104, calc_rusacc!$C$15:$C$65, calc_rusacc!$BF$15:$BF$65, "",0), AND( F2104="Sealant", I2104="Accordion Screen"), _xlfn.XLOOKUP(C2104, calc_rusacc!$C$15:$C$65, calc_rusacc!$BJ$15:$BJ$65, "",0),  F2104="Sealant", _xlfn.XLOOKUP(C2104, dd_accsrycalc!$A$2:$A$51, dd_accsrycalc!$G$2:$G$51, "",0),  F2104&lt;&gt;"",L2104*_xlfn.XLOOKUP(1, (SKUs!$C$2:$C$10001=G2104)*(SKUs!$K$2:$K$10001=I2104),SKUs!$E$2:$E$10001)), 0),"")</f>
        <v/>
      </c>
      <c r="E2104" s="35" t="str">
        <f>_xlfn.XLOOKUP(F2104,dd_item!$B$2:$B$105,dd_item!$C$2:$C$105,"",0)</f>
        <v/>
      </c>
      <c r="F2104" s="35"/>
      <c r="G2104" s="35" cm="1">
        <f t="array" ref="G2104">IFERROR(_xlfn.XLOOKUP(1, (SKUs!$J$2:$J$10001=accsry_unmerged!F2104)*IF(H2104&lt;&gt;"",(SKUs!$L$2:$L$10001=accsry_unmerged!H2104),1)*(SKUs!$K$2:$K$10001=I2104),SKUs!$C$2:$C$10001),"")</f>
        <v>0</v>
      </c>
      <c r="H2104" s="36" cm="1">
        <f t="array" ref="H2104">IFERROR(_xlfn.XLOOKUP(1, (dd_accsryclr!$C$2:$C$1000=accsry_unmerged!F2104)*(dd_accsryclr!$B$2:$B$1000=accsry_unmerged!J2104),dd_accsryclr!$A$2:$A$1000),"")</f>
        <v>0</v>
      </c>
      <c r="I2104" s="35">
        <f>_xlfn.XLOOKUP(C2104,'Project Details'!$C$17:$C$66,'Project Details'!$E$17:$E$66,"",0)</f>
        <v>0</v>
      </c>
      <c r="J2104" s="35">
        <f>_xlfn.XLOOKUP(C2104,'Project Details'!$C$17:$C$66,'Project Details'!$H$17:$H$66,"",0)</f>
        <v>0</v>
      </c>
      <c r="K2104" s="36" t="str">
        <f>IF(AND(_xlfn.XLOOKUP(C2104,'Project Details'!$C$17:$C$66,'Project Details'!$L$17:$L$66,"",0)&gt;550, F2104="Spring-L27cm"),"",SUBSTITUTE(_xlfn.XLOOKUP(G2104,SKUs!$C$2:$C$10001,SKUs!$F$2:$F$10001,"",0), " Accessories",""))</f>
        <v/>
      </c>
      <c r="L2104" s="36">
        <f>_xlfn.XLOOKUP(C2104,'Project Details'!$C$17:$C$66,'Project Details'!$D$17:$D$66,"",0)</f>
        <v>0</v>
      </c>
      <c r="M2104" s="43"/>
    </row>
    <row r="2105" spans="1:13" ht="13.5" customHeight="1" outlineLevel="1" collapsed="1" x14ac:dyDescent="0.25">
      <c r="A2105" s="43"/>
      <c r="B2105" s="43"/>
      <c r="C2105" s="16">
        <f t="shared" si="40"/>
        <v>42</v>
      </c>
      <c r="D2105" s="16" t="str" cm="1">
        <f t="array" ref="D2105">IFERROR(ROUNDUP(_xlfn.IFS(F2105="Aluminum Track", _xlfn.XLOOKUP(C2105, dd_accsrycalc!$A$2:$A$51, dd_accsrycalc!$B$2:$B$51, "",0), F2105="10 x 2 1/2 S (Flat)", _xlfn.XLOOKUP(C2105, dd_accsrycalc!$A$2:$A$51, dd_accsrycalc!$C$2:$C$51, "",0), F2105="Tox6", _xlfn.XLOOKUP(C2105, dd_accsrycalc!$A$2:$A$51, dd_accsrycalc!$D$2:$D$51, "",0), F2105="Cover Cap", _xlfn.XLOOKUP(C2105, dd_accsrycalc!$A$2:$A$51, dd_accsrycalc!$E$2:$E$51, "",0), F2105="Drainage Cover", _xlfn.XLOOKUP(C2105, dd_accsrycalc!$A$2:$A$51, dd_accsrycalc!$F$2:$F$51, "",0),AND( F2105="Double Adhesive Tape", I2105="Roll-up Screen"), _xlfn.XLOOKUP(C2105, calc_rusacc!$C$15:$C$65, calc_rusacc!$AD$15:$AD$65, "",0),AND( F2105="Sealant", I2105="Roll-up Screen"), _xlfn.XLOOKUP(C2105, calc_rusacc!$C$15:$C$65, calc_rusacc!$AF$15:$AF$65, "",0),  AND( F2105="Main Chain", I2105="Accordion Screen"), _xlfn.XLOOKUP(C2105, calc_rusacc!$C$15:$C$65, calc_rusacc!$BF$15:$BF$65, "",0), AND( F2105="Sealant", I2105="Accordion Screen"), _xlfn.XLOOKUP(C2105, calc_rusacc!$C$15:$C$65, calc_rusacc!$BJ$15:$BJ$65, "",0),  F2105="Sealant", _xlfn.XLOOKUP(C2105, dd_accsrycalc!$A$2:$A$51, dd_accsrycalc!$G$2:$G$51, "",0),  F2105&lt;&gt;"",L2105*_xlfn.XLOOKUP(1, (SKUs!$C$2:$C$10001=G2105)*(SKUs!$K$2:$K$10001=I2105),SKUs!$E$2:$E$10001)), 0),"")</f>
        <v/>
      </c>
      <c r="E2105" s="16" t="str">
        <f>_xlfn.XLOOKUP(F2105,dd_item!$B$2:$B$105,dd_item!$C$2:$C$105,"",0)</f>
        <v/>
      </c>
      <c r="F2105" s="16"/>
      <c r="G2105" s="16" cm="1">
        <f t="array" ref="G2105">IFERROR(_xlfn.XLOOKUP(1, (SKUs!$J$2:$J$10001=accsry_unmerged!F2105)*IF(H2105&lt;&gt;"",(SKUs!$L$2:$L$10001=accsry_unmerged!H2105),1)*(SKUs!$K$2:$K$10001=I2105),SKUs!$C$2:$C$10001),"")</f>
        <v>0</v>
      </c>
      <c r="H2105" s="33" cm="1">
        <f t="array" ref="H2105">IFERROR(_xlfn.XLOOKUP(1, (dd_accsryclr!$C$2:$C$1000=accsry_unmerged!F2105)*(dd_accsryclr!$B$2:$B$1000=accsry_unmerged!J2105),dd_accsryclr!$A$2:$A$1000),"")</f>
        <v>0</v>
      </c>
      <c r="I2105" s="16">
        <f>_xlfn.XLOOKUP(C2105,'Project Details'!$C$17:$C$66,'Project Details'!$E$17:$E$66,"",0)</f>
        <v>0</v>
      </c>
      <c r="J2105" s="16">
        <f>_xlfn.XLOOKUP(C2105,'Project Details'!$C$17:$C$66,'Project Details'!$H$17:$H$66,"",0)</f>
        <v>0</v>
      </c>
      <c r="K2105" s="33" t="str">
        <f>IF(AND(_xlfn.XLOOKUP(C2105,'Project Details'!$C$17:$C$66,'Project Details'!$L$17:$L$66,"",0)&gt;550, F2105="Spring-L27cm"),"",SUBSTITUTE(_xlfn.XLOOKUP(G2105,SKUs!$C$2:$C$10001,SKUs!$F$2:$F$10001,"",0), " Accessories",""))</f>
        <v/>
      </c>
      <c r="L2105" s="33">
        <f>_xlfn.XLOOKUP(C2105,'Project Details'!$C$17:$C$66,'Project Details'!$D$17:$D$66,"",0)</f>
        <v>0</v>
      </c>
      <c r="M2105" s="43"/>
    </row>
    <row r="2106" spans="1:13" ht="13.5" customHeight="1" outlineLevel="1" x14ac:dyDescent="0.25">
      <c r="A2106" s="43"/>
      <c r="B2106" s="43"/>
      <c r="C2106" s="35">
        <f t="shared" si="40"/>
        <v>42</v>
      </c>
      <c r="D2106" s="35" t="str" cm="1">
        <f t="array" ref="D2106">IFERROR(ROUNDUP(_xlfn.IFS(F2106="Aluminum Track", _xlfn.XLOOKUP(C2106, dd_accsrycalc!$A$2:$A$51, dd_accsrycalc!$B$2:$B$51, "",0), F2106="10 x 2 1/2 S (Flat)", _xlfn.XLOOKUP(C2106, dd_accsrycalc!$A$2:$A$51, dd_accsrycalc!$C$2:$C$51, "",0), F2106="Tox6", _xlfn.XLOOKUP(C2106, dd_accsrycalc!$A$2:$A$51, dd_accsrycalc!$D$2:$D$51, "",0), F2106="Cover Cap", _xlfn.XLOOKUP(C2106, dd_accsrycalc!$A$2:$A$51, dd_accsrycalc!$E$2:$E$51, "",0), F2106="Drainage Cover", _xlfn.XLOOKUP(C2106, dd_accsrycalc!$A$2:$A$51, dd_accsrycalc!$F$2:$F$51, "",0),AND( F2106="Double Adhesive Tape", I2106="Roll-up Screen"), _xlfn.XLOOKUP(C2106, calc_rusacc!$C$15:$C$65, calc_rusacc!$AD$15:$AD$65, "",0),AND( F2106="Sealant", I2106="Roll-up Screen"), _xlfn.XLOOKUP(C2106, calc_rusacc!$C$15:$C$65, calc_rusacc!$AF$15:$AF$65, "",0),  AND( F2106="Main Chain", I2106="Accordion Screen"), _xlfn.XLOOKUP(C2106, calc_rusacc!$C$15:$C$65, calc_rusacc!$BF$15:$BF$65, "",0), AND( F2106="Sealant", I2106="Accordion Screen"), _xlfn.XLOOKUP(C2106, calc_rusacc!$C$15:$C$65, calc_rusacc!$BJ$15:$BJ$65, "",0),  F2106="Sealant", _xlfn.XLOOKUP(C2106, dd_accsrycalc!$A$2:$A$51, dd_accsrycalc!$G$2:$G$51, "",0),  F2106&lt;&gt;"",L2106*_xlfn.XLOOKUP(1, (SKUs!$C$2:$C$10001=G2106)*(SKUs!$K$2:$K$10001=I2106),SKUs!$E$2:$E$10001)), 0),"")</f>
        <v/>
      </c>
      <c r="E2106" s="35" t="str">
        <f>_xlfn.XLOOKUP(F2106,dd_item!$B$2:$B$105,dd_item!$C$2:$C$105,"",0)</f>
        <v/>
      </c>
      <c r="F2106" s="35"/>
      <c r="G2106" s="35" cm="1">
        <f t="array" ref="G2106">IFERROR(_xlfn.XLOOKUP(1, (SKUs!$J$2:$J$10001=accsry_unmerged!F2106)*IF(H2106&lt;&gt;"",(SKUs!$L$2:$L$10001=accsry_unmerged!H2106),1)*(SKUs!$K$2:$K$10001=I2106),SKUs!$C$2:$C$10001),"")</f>
        <v>0</v>
      </c>
      <c r="H2106" s="36" cm="1">
        <f t="array" ref="H2106">IFERROR(_xlfn.XLOOKUP(1, (dd_accsryclr!$C$2:$C$1000=accsry_unmerged!F2106)*(dd_accsryclr!$B$2:$B$1000=accsry_unmerged!J2106),dd_accsryclr!$A$2:$A$1000),"")</f>
        <v>0</v>
      </c>
      <c r="I2106" s="35">
        <f>_xlfn.XLOOKUP(C2106,'Project Details'!$C$17:$C$66,'Project Details'!$E$17:$E$66,"",0)</f>
        <v>0</v>
      </c>
      <c r="J2106" s="35">
        <f>_xlfn.XLOOKUP(C2106,'Project Details'!$C$17:$C$66,'Project Details'!$H$17:$H$66,"",0)</f>
        <v>0</v>
      </c>
      <c r="K2106" s="36" t="str">
        <f>IF(AND(_xlfn.XLOOKUP(C2106,'Project Details'!$C$17:$C$66,'Project Details'!$L$17:$L$66,"",0)&gt;550, F2106="Spring-L27cm"),"",SUBSTITUTE(_xlfn.XLOOKUP(G2106,SKUs!$C$2:$C$10001,SKUs!$F$2:$F$10001,"",0), " Accessories",""))</f>
        <v/>
      </c>
      <c r="L2106" s="36">
        <f>_xlfn.XLOOKUP(C2106,'Project Details'!$C$17:$C$66,'Project Details'!$D$17:$D$66,"",0)</f>
        <v>0</v>
      </c>
      <c r="M2106" s="43"/>
    </row>
    <row r="2107" spans="1:13" ht="13.5" customHeight="1" outlineLevel="1" x14ac:dyDescent="0.25">
      <c r="A2107" s="43"/>
      <c r="B2107" s="43"/>
      <c r="C2107" s="16">
        <f t="shared" si="40"/>
        <v>42</v>
      </c>
      <c r="D2107" s="16" t="str" cm="1">
        <f t="array" ref="D2107">IFERROR(ROUNDUP(_xlfn.IFS(F2107="Aluminum Track", _xlfn.XLOOKUP(C2107, dd_accsrycalc!$A$2:$A$51, dd_accsrycalc!$B$2:$B$51, "",0), F2107="10 x 2 1/2 S (Flat)", _xlfn.XLOOKUP(C2107, dd_accsrycalc!$A$2:$A$51, dd_accsrycalc!$C$2:$C$51, "",0), F2107="Tox6", _xlfn.XLOOKUP(C2107, dd_accsrycalc!$A$2:$A$51, dd_accsrycalc!$D$2:$D$51, "",0), F2107="Cover Cap", _xlfn.XLOOKUP(C2107, dd_accsrycalc!$A$2:$A$51, dd_accsrycalc!$E$2:$E$51, "",0), F2107="Drainage Cover", _xlfn.XLOOKUP(C2107, dd_accsrycalc!$A$2:$A$51, dd_accsrycalc!$F$2:$F$51, "",0),AND( F2107="Double Adhesive Tape", I2107="Roll-up Screen"), _xlfn.XLOOKUP(C2107, calc_rusacc!$C$15:$C$65, calc_rusacc!$AD$15:$AD$65, "",0),AND( F2107="Sealant", I2107="Roll-up Screen"), _xlfn.XLOOKUP(C2107, calc_rusacc!$C$15:$C$65, calc_rusacc!$AF$15:$AF$65, "",0),  AND( F2107="Main Chain", I2107="Accordion Screen"), _xlfn.XLOOKUP(C2107, calc_rusacc!$C$15:$C$65, calc_rusacc!$BF$15:$BF$65, "",0), AND( F2107="Sealant", I2107="Accordion Screen"), _xlfn.XLOOKUP(C2107, calc_rusacc!$C$15:$C$65, calc_rusacc!$BJ$15:$BJ$65, "",0),  F2107="Sealant", _xlfn.XLOOKUP(C2107, dd_accsrycalc!$A$2:$A$51, dd_accsrycalc!$G$2:$G$51, "",0),  F2107&lt;&gt;"",L2107*_xlfn.XLOOKUP(1, (SKUs!$C$2:$C$10001=G2107)*(SKUs!$K$2:$K$10001=I2107),SKUs!$E$2:$E$10001)), 0),"")</f>
        <v/>
      </c>
      <c r="E2107" s="16" t="str">
        <f>_xlfn.XLOOKUP(F2107,dd_item!$B$2:$B$105,dd_item!$C$2:$C$105,"",0)</f>
        <v/>
      </c>
      <c r="F2107" s="16"/>
      <c r="G2107" s="16" cm="1">
        <f t="array" ref="G2107">IFERROR(_xlfn.XLOOKUP(1, (SKUs!$J$2:$J$10001=accsry_unmerged!F2107)*IF(H2107&lt;&gt;"",(SKUs!$L$2:$L$10001=accsry_unmerged!H2107),1)*(SKUs!$K$2:$K$10001=I2107),SKUs!$C$2:$C$10001),"")</f>
        <v>0</v>
      </c>
      <c r="H2107" s="33" cm="1">
        <f t="array" ref="H2107">IFERROR(_xlfn.XLOOKUP(1, (dd_accsryclr!$C$2:$C$1000=accsry_unmerged!F2107)*(dd_accsryclr!$B$2:$B$1000=accsry_unmerged!J2107),dd_accsryclr!$A$2:$A$1000),"")</f>
        <v>0</v>
      </c>
      <c r="I2107" s="16">
        <f>_xlfn.XLOOKUP(C2107,'Project Details'!$C$17:$C$66,'Project Details'!$E$17:$E$66,"",0)</f>
        <v>0</v>
      </c>
      <c r="J2107" s="16">
        <f>_xlfn.XLOOKUP(C2107,'Project Details'!$C$17:$C$66,'Project Details'!$H$17:$H$66,"",0)</f>
        <v>0</v>
      </c>
      <c r="K2107" s="33" t="str">
        <f>IF(AND(_xlfn.XLOOKUP(C2107,'Project Details'!$C$17:$C$66,'Project Details'!$L$17:$L$66,"",0)&gt;550, F2107="Spring-L27cm"),"",SUBSTITUTE(_xlfn.XLOOKUP(G2107,SKUs!$C$2:$C$10001,SKUs!$F$2:$F$10001,"",0), " Accessories",""))</f>
        <v/>
      </c>
      <c r="L2107" s="33">
        <f>_xlfn.XLOOKUP(C2107,'Project Details'!$C$17:$C$66,'Project Details'!$D$17:$D$66,"",0)</f>
        <v>0</v>
      </c>
      <c r="M2107" s="43"/>
    </row>
    <row r="2108" spans="1:13" ht="13.5" customHeight="1" outlineLevel="1" x14ac:dyDescent="0.25">
      <c r="A2108" s="43"/>
      <c r="B2108" s="43"/>
      <c r="C2108" s="35">
        <f t="shared" si="40"/>
        <v>42</v>
      </c>
      <c r="D2108" s="35" t="str" cm="1">
        <f t="array" ref="D2108">IFERROR(ROUNDUP(_xlfn.IFS(F2108="Aluminum Track", _xlfn.XLOOKUP(C2108, dd_accsrycalc!$A$2:$A$51, dd_accsrycalc!$B$2:$B$51, "",0), F2108="10 x 2 1/2 S (Flat)", _xlfn.XLOOKUP(C2108, dd_accsrycalc!$A$2:$A$51, dd_accsrycalc!$C$2:$C$51, "",0), F2108="Tox6", _xlfn.XLOOKUP(C2108, dd_accsrycalc!$A$2:$A$51, dd_accsrycalc!$D$2:$D$51, "",0), F2108="Cover Cap", _xlfn.XLOOKUP(C2108, dd_accsrycalc!$A$2:$A$51, dd_accsrycalc!$E$2:$E$51, "",0), F2108="Drainage Cover", _xlfn.XLOOKUP(C2108, dd_accsrycalc!$A$2:$A$51, dd_accsrycalc!$F$2:$F$51, "",0),AND( F2108="Double Adhesive Tape", I2108="Roll-up Screen"), _xlfn.XLOOKUP(C2108, calc_rusacc!$C$15:$C$65, calc_rusacc!$AD$15:$AD$65, "",0),AND( F2108="Sealant", I2108="Roll-up Screen"), _xlfn.XLOOKUP(C2108, calc_rusacc!$C$15:$C$65, calc_rusacc!$AF$15:$AF$65, "",0),  AND( F2108="Main Chain", I2108="Accordion Screen"), _xlfn.XLOOKUP(C2108, calc_rusacc!$C$15:$C$65, calc_rusacc!$BF$15:$BF$65, "",0), AND( F2108="Sealant", I2108="Accordion Screen"), _xlfn.XLOOKUP(C2108, calc_rusacc!$C$15:$C$65, calc_rusacc!$BJ$15:$BJ$65, "",0),  F2108="Sealant", _xlfn.XLOOKUP(C2108, dd_accsrycalc!$A$2:$A$51, dd_accsrycalc!$G$2:$G$51, "",0),  F2108&lt;&gt;"",L2108*_xlfn.XLOOKUP(1, (SKUs!$C$2:$C$10001=G2108)*(SKUs!$K$2:$K$10001=I2108),SKUs!$E$2:$E$10001)), 0),"")</f>
        <v/>
      </c>
      <c r="E2108" s="35" t="str">
        <f>_xlfn.XLOOKUP(F2108,dd_item!$B$2:$B$105,dd_item!$C$2:$C$105,"",0)</f>
        <v/>
      </c>
      <c r="F2108" s="35"/>
      <c r="G2108" s="35" cm="1">
        <f t="array" ref="G2108">IFERROR(_xlfn.XLOOKUP(1, (SKUs!$J$2:$J$10001=accsry_unmerged!F2108)*IF(H2108&lt;&gt;"",(SKUs!$L$2:$L$10001=accsry_unmerged!H2108),1)*(SKUs!$K$2:$K$10001=I2108),SKUs!$C$2:$C$10001),"")</f>
        <v>0</v>
      </c>
      <c r="H2108" s="36" cm="1">
        <f t="array" ref="H2108">IFERROR(_xlfn.XLOOKUP(1, (dd_accsryclr!$C$2:$C$1000=accsry_unmerged!F2108)*(dd_accsryclr!$B$2:$B$1000=accsry_unmerged!J2108),dd_accsryclr!$A$2:$A$1000),"")</f>
        <v>0</v>
      </c>
      <c r="I2108" s="35">
        <f>_xlfn.XLOOKUP(C2108,'Project Details'!$C$17:$C$66,'Project Details'!$E$17:$E$66,"",0)</f>
        <v>0</v>
      </c>
      <c r="J2108" s="35">
        <f>_xlfn.XLOOKUP(C2108,'Project Details'!$C$17:$C$66,'Project Details'!$H$17:$H$66,"",0)</f>
        <v>0</v>
      </c>
      <c r="K2108" s="36" t="str">
        <f>IF(AND(_xlfn.XLOOKUP(C2108,'Project Details'!$C$17:$C$66,'Project Details'!$L$17:$L$66,"",0)&gt;550, F2108="Spring-L27cm"),"",SUBSTITUTE(_xlfn.XLOOKUP(G2108,SKUs!$C$2:$C$10001,SKUs!$F$2:$F$10001,"",0), " Accessories",""))</f>
        <v/>
      </c>
      <c r="L2108" s="36">
        <f>_xlfn.XLOOKUP(C2108,'Project Details'!$C$17:$C$66,'Project Details'!$D$17:$D$66,"",0)</f>
        <v>0</v>
      </c>
      <c r="M2108" s="43"/>
    </row>
    <row r="2109" spans="1:13" ht="13.5" customHeight="1" outlineLevel="1" x14ac:dyDescent="0.25">
      <c r="A2109" s="43"/>
      <c r="B2109" s="43"/>
      <c r="C2109" s="16">
        <f t="shared" si="40"/>
        <v>42</v>
      </c>
      <c r="D2109" s="16" t="str" cm="1">
        <f t="array" ref="D2109">IFERROR(ROUNDUP(_xlfn.IFS(F2109="Aluminum Track", _xlfn.XLOOKUP(C2109, dd_accsrycalc!$A$2:$A$51, dd_accsrycalc!$B$2:$B$51, "",0), F2109="10 x 2 1/2 S (Flat)", _xlfn.XLOOKUP(C2109, dd_accsrycalc!$A$2:$A$51, dd_accsrycalc!$C$2:$C$51, "",0), F2109="Tox6", _xlfn.XLOOKUP(C2109, dd_accsrycalc!$A$2:$A$51, dd_accsrycalc!$D$2:$D$51, "",0), F2109="Cover Cap", _xlfn.XLOOKUP(C2109, dd_accsrycalc!$A$2:$A$51, dd_accsrycalc!$E$2:$E$51, "",0), F2109="Drainage Cover", _xlfn.XLOOKUP(C2109, dd_accsrycalc!$A$2:$A$51, dd_accsrycalc!$F$2:$F$51, "",0),AND( F2109="Double Adhesive Tape", I2109="Roll-up Screen"), _xlfn.XLOOKUP(C2109, calc_rusacc!$C$15:$C$65, calc_rusacc!$AD$15:$AD$65, "",0),AND( F2109="Sealant", I2109="Roll-up Screen"), _xlfn.XLOOKUP(C2109, calc_rusacc!$C$15:$C$65, calc_rusacc!$AF$15:$AF$65, "",0),  AND( F2109="Main Chain", I2109="Accordion Screen"), _xlfn.XLOOKUP(C2109, calc_rusacc!$C$15:$C$65, calc_rusacc!$BF$15:$BF$65, "",0), AND( F2109="Sealant", I2109="Accordion Screen"), _xlfn.XLOOKUP(C2109, calc_rusacc!$C$15:$C$65, calc_rusacc!$BJ$15:$BJ$65, "",0),  F2109="Sealant", _xlfn.XLOOKUP(C2109, dd_accsrycalc!$A$2:$A$51, dd_accsrycalc!$G$2:$G$51, "",0),  F2109&lt;&gt;"",L2109*_xlfn.XLOOKUP(1, (SKUs!$C$2:$C$10001=G2109)*(SKUs!$K$2:$K$10001=I2109),SKUs!$E$2:$E$10001)), 0),"")</f>
        <v/>
      </c>
      <c r="E2109" s="16" t="str">
        <f>_xlfn.XLOOKUP(F2109,dd_item!$B$2:$B$105,dd_item!$C$2:$C$105,"",0)</f>
        <v/>
      </c>
      <c r="F2109" s="16"/>
      <c r="G2109" s="16" cm="1">
        <f t="array" ref="G2109">IFERROR(_xlfn.XLOOKUP(1, (SKUs!$J$2:$J$10001=accsry_unmerged!F2109)*IF(H2109&lt;&gt;"",(SKUs!$L$2:$L$10001=accsry_unmerged!H2109),1)*(SKUs!$K$2:$K$10001=I2109),SKUs!$C$2:$C$10001),"")</f>
        <v>0</v>
      </c>
      <c r="H2109" s="33" cm="1">
        <f t="array" ref="H2109">IFERROR(_xlfn.XLOOKUP(1, (dd_accsryclr!$C$2:$C$1000=accsry_unmerged!F2109)*(dd_accsryclr!$B$2:$B$1000=accsry_unmerged!J2109),dd_accsryclr!$A$2:$A$1000),"")</f>
        <v>0</v>
      </c>
      <c r="I2109" s="16">
        <f>_xlfn.XLOOKUP(C2109,'Project Details'!$C$17:$C$66,'Project Details'!$E$17:$E$66,"",0)</f>
        <v>0</v>
      </c>
      <c r="J2109" s="16">
        <f>_xlfn.XLOOKUP(C2109,'Project Details'!$C$17:$C$66,'Project Details'!$H$17:$H$66,"",0)</f>
        <v>0</v>
      </c>
      <c r="K2109" s="33" t="str">
        <f>IF(AND(_xlfn.XLOOKUP(C2109,'Project Details'!$C$17:$C$66,'Project Details'!$L$17:$L$66,"",0)&gt;550, F2109="Spring-L27cm"),"",SUBSTITUTE(_xlfn.XLOOKUP(G2109,SKUs!$C$2:$C$10001,SKUs!$F$2:$F$10001,"",0), " Accessories",""))</f>
        <v/>
      </c>
      <c r="L2109" s="33">
        <f>_xlfn.XLOOKUP(C2109,'Project Details'!$C$17:$C$66,'Project Details'!$D$17:$D$66,"",0)</f>
        <v>0</v>
      </c>
      <c r="M2109" s="43"/>
    </row>
    <row r="2110" spans="1:13" ht="13.5" customHeight="1" outlineLevel="1" x14ac:dyDescent="0.25">
      <c r="A2110" s="43"/>
      <c r="B2110" s="43"/>
      <c r="C2110" s="35">
        <f t="shared" si="40"/>
        <v>42</v>
      </c>
      <c r="D2110" s="35" t="str" cm="1">
        <f t="array" ref="D2110">IFERROR(ROUNDUP(_xlfn.IFS(F2110="Aluminum Track", _xlfn.XLOOKUP(C2110, dd_accsrycalc!$A$2:$A$51, dd_accsrycalc!$B$2:$B$51, "",0), F2110="10 x 2 1/2 S (Flat)", _xlfn.XLOOKUP(C2110, dd_accsrycalc!$A$2:$A$51, dd_accsrycalc!$C$2:$C$51, "",0), F2110="Tox6", _xlfn.XLOOKUP(C2110, dd_accsrycalc!$A$2:$A$51, dd_accsrycalc!$D$2:$D$51, "",0), F2110="Cover Cap", _xlfn.XLOOKUP(C2110, dd_accsrycalc!$A$2:$A$51, dd_accsrycalc!$E$2:$E$51, "",0), F2110="Drainage Cover", _xlfn.XLOOKUP(C2110, dd_accsrycalc!$A$2:$A$51, dd_accsrycalc!$F$2:$F$51, "",0),AND( F2110="Double Adhesive Tape", I2110="Roll-up Screen"), _xlfn.XLOOKUP(C2110, calc_rusacc!$C$15:$C$65, calc_rusacc!$AD$15:$AD$65, "",0),AND( F2110="Sealant", I2110="Roll-up Screen"), _xlfn.XLOOKUP(C2110, calc_rusacc!$C$15:$C$65, calc_rusacc!$AF$15:$AF$65, "",0),  AND( F2110="Main Chain", I2110="Accordion Screen"), _xlfn.XLOOKUP(C2110, calc_rusacc!$C$15:$C$65, calc_rusacc!$BF$15:$BF$65, "",0), AND( F2110="Sealant", I2110="Accordion Screen"), _xlfn.XLOOKUP(C2110, calc_rusacc!$C$15:$C$65, calc_rusacc!$BJ$15:$BJ$65, "",0),  F2110="Sealant", _xlfn.XLOOKUP(C2110, dd_accsrycalc!$A$2:$A$51, dd_accsrycalc!$G$2:$G$51, "",0),  F2110&lt;&gt;"",L2110*_xlfn.XLOOKUP(1, (SKUs!$C$2:$C$10001=G2110)*(SKUs!$K$2:$K$10001=I2110),SKUs!$E$2:$E$10001)), 0),"")</f>
        <v/>
      </c>
      <c r="E2110" s="35" t="str">
        <f>_xlfn.XLOOKUP(F2110,dd_item!$B$2:$B$105,dd_item!$C$2:$C$105,"",0)</f>
        <v/>
      </c>
      <c r="F2110" s="35"/>
      <c r="G2110" s="35" cm="1">
        <f t="array" ref="G2110">IFERROR(_xlfn.XLOOKUP(1, (SKUs!$J$2:$J$10001=accsry_unmerged!F2110)*IF(H2110&lt;&gt;"",(SKUs!$L$2:$L$10001=accsry_unmerged!H2110),1)*(SKUs!$K$2:$K$10001=I2110),SKUs!$C$2:$C$10001),"")</f>
        <v>0</v>
      </c>
      <c r="H2110" s="36" cm="1">
        <f t="array" ref="H2110">IFERROR(_xlfn.XLOOKUP(1, (dd_accsryclr!$C$2:$C$1000=accsry_unmerged!F2110)*(dd_accsryclr!$B$2:$B$1000=accsry_unmerged!J2110),dd_accsryclr!$A$2:$A$1000),"")</f>
        <v>0</v>
      </c>
      <c r="I2110" s="35">
        <f>_xlfn.XLOOKUP(C2110,'Project Details'!$C$17:$C$66,'Project Details'!$E$17:$E$66,"",0)</f>
        <v>0</v>
      </c>
      <c r="J2110" s="35">
        <f>_xlfn.XLOOKUP(C2110,'Project Details'!$C$17:$C$66,'Project Details'!$H$17:$H$66,"",0)</f>
        <v>0</v>
      </c>
      <c r="K2110" s="36" t="str">
        <f>IF(AND(_xlfn.XLOOKUP(C2110,'Project Details'!$C$17:$C$66,'Project Details'!$L$17:$L$66,"",0)&gt;550, F2110="Spring-L27cm"),"",SUBSTITUTE(_xlfn.XLOOKUP(G2110,SKUs!$C$2:$C$10001,SKUs!$F$2:$F$10001,"",0), " Accessories",""))</f>
        <v/>
      </c>
      <c r="L2110" s="36">
        <f>_xlfn.XLOOKUP(C2110,'Project Details'!$C$17:$C$66,'Project Details'!$D$17:$D$66,"",0)</f>
        <v>0</v>
      </c>
      <c r="M2110" s="43"/>
    </row>
    <row r="2111" spans="1:13" ht="13.5" customHeight="1" outlineLevel="1" x14ac:dyDescent="0.25">
      <c r="A2111" s="43"/>
      <c r="B2111" s="43"/>
      <c r="C2111" s="16">
        <f t="shared" si="40"/>
        <v>42</v>
      </c>
      <c r="D2111" s="16" t="str" cm="1">
        <f t="array" ref="D2111">IFERROR(ROUNDUP(_xlfn.IFS(F2111="Aluminum Track", _xlfn.XLOOKUP(C2111, dd_accsrycalc!$A$2:$A$51, dd_accsrycalc!$B$2:$B$51, "",0), F2111="10 x 2 1/2 S (Flat)", _xlfn.XLOOKUP(C2111, dd_accsrycalc!$A$2:$A$51, dd_accsrycalc!$C$2:$C$51, "",0), F2111="Tox6", _xlfn.XLOOKUP(C2111, dd_accsrycalc!$A$2:$A$51, dd_accsrycalc!$D$2:$D$51, "",0), F2111="Cover Cap", _xlfn.XLOOKUP(C2111, dd_accsrycalc!$A$2:$A$51, dd_accsrycalc!$E$2:$E$51, "",0), F2111="Drainage Cover", _xlfn.XLOOKUP(C2111, dd_accsrycalc!$A$2:$A$51, dd_accsrycalc!$F$2:$F$51, "",0),AND( F2111="Double Adhesive Tape", I2111="Roll-up Screen"), _xlfn.XLOOKUP(C2111, calc_rusacc!$C$15:$C$65, calc_rusacc!$AD$15:$AD$65, "",0),AND( F2111="Sealant", I2111="Roll-up Screen"), _xlfn.XLOOKUP(C2111, calc_rusacc!$C$15:$C$65, calc_rusacc!$AF$15:$AF$65, "",0),  AND( F2111="Main Chain", I2111="Accordion Screen"), _xlfn.XLOOKUP(C2111, calc_rusacc!$C$15:$C$65, calc_rusacc!$BF$15:$BF$65, "",0), AND( F2111="Sealant", I2111="Accordion Screen"), _xlfn.XLOOKUP(C2111, calc_rusacc!$C$15:$C$65, calc_rusacc!$BJ$15:$BJ$65, "",0),  F2111="Sealant", _xlfn.XLOOKUP(C2111, dd_accsrycalc!$A$2:$A$51, dd_accsrycalc!$G$2:$G$51, "",0),  F2111&lt;&gt;"",L2111*_xlfn.XLOOKUP(1, (SKUs!$C$2:$C$10001=G2111)*(SKUs!$K$2:$K$10001=I2111),SKUs!$E$2:$E$10001)), 0),"")</f>
        <v/>
      </c>
      <c r="E2111" s="16" t="str">
        <f>_xlfn.XLOOKUP(F2111,dd_item!$B$2:$B$105,dd_item!$C$2:$C$105,"",0)</f>
        <v/>
      </c>
      <c r="F2111" s="16"/>
      <c r="G2111" s="16" cm="1">
        <f t="array" ref="G2111">IFERROR(_xlfn.XLOOKUP(1, (SKUs!$J$2:$J$10001=accsry_unmerged!F2111)*IF(H2111&lt;&gt;"",(SKUs!$L$2:$L$10001=accsry_unmerged!H2111),1)*(SKUs!$K$2:$K$10001=I2111),SKUs!$C$2:$C$10001),"")</f>
        <v>0</v>
      </c>
      <c r="H2111" s="33" cm="1">
        <f t="array" ref="H2111">IFERROR(_xlfn.XLOOKUP(1, (dd_accsryclr!$C$2:$C$1000=accsry_unmerged!F2111)*(dd_accsryclr!$B$2:$B$1000=accsry_unmerged!J2111),dd_accsryclr!$A$2:$A$1000),"")</f>
        <v>0</v>
      </c>
      <c r="I2111" s="16">
        <f>_xlfn.XLOOKUP(C2111,'Project Details'!$C$17:$C$66,'Project Details'!$E$17:$E$66,"",0)</f>
        <v>0</v>
      </c>
      <c r="J2111" s="16">
        <f>_xlfn.XLOOKUP(C2111,'Project Details'!$C$17:$C$66,'Project Details'!$H$17:$H$66,"",0)</f>
        <v>0</v>
      </c>
      <c r="K2111" s="33" t="str">
        <f>IF(AND(_xlfn.XLOOKUP(C2111,'Project Details'!$C$17:$C$66,'Project Details'!$L$17:$L$66,"",0)&gt;550, F2111="Spring-L27cm"),"",SUBSTITUTE(_xlfn.XLOOKUP(G2111,SKUs!$C$2:$C$10001,SKUs!$F$2:$F$10001,"",0), " Accessories",""))</f>
        <v/>
      </c>
      <c r="L2111" s="33">
        <f>_xlfn.XLOOKUP(C2111,'Project Details'!$C$17:$C$66,'Project Details'!$D$17:$D$66,"",0)</f>
        <v>0</v>
      </c>
      <c r="M2111" s="43"/>
    </row>
    <row r="2112" spans="1:13" ht="13.5" customHeight="1" outlineLevel="1" x14ac:dyDescent="0.25">
      <c r="A2112" s="43"/>
      <c r="B2112" s="43"/>
      <c r="C2112" s="35">
        <f t="shared" si="40"/>
        <v>42</v>
      </c>
      <c r="D2112" s="35" t="str" cm="1">
        <f t="array" ref="D2112">IFERROR(ROUNDUP(_xlfn.IFS(F2112="Aluminum Track", _xlfn.XLOOKUP(C2112, dd_accsrycalc!$A$2:$A$51, dd_accsrycalc!$B$2:$B$51, "",0), F2112="10 x 2 1/2 S (Flat)", _xlfn.XLOOKUP(C2112, dd_accsrycalc!$A$2:$A$51, dd_accsrycalc!$C$2:$C$51, "",0), F2112="Tox6", _xlfn.XLOOKUP(C2112, dd_accsrycalc!$A$2:$A$51, dd_accsrycalc!$D$2:$D$51, "",0), F2112="Cover Cap", _xlfn.XLOOKUP(C2112, dd_accsrycalc!$A$2:$A$51, dd_accsrycalc!$E$2:$E$51, "",0), F2112="Drainage Cover", _xlfn.XLOOKUP(C2112, dd_accsrycalc!$A$2:$A$51, dd_accsrycalc!$F$2:$F$51, "",0),AND( F2112="Double Adhesive Tape", I2112="Roll-up Screen"), _xlfn.XLOOKUP(C2112, calc_rusacc!$C$15:$C$65, calc_rusacc!$AD$15:$AD$65, "",0),AND( F2112="Sealant", I2112="Roll-up Screen"), _xlfn.XLOOKUP(C2112, calc_rusacc!$C$15:$C$65, calc_rusacc!$AF$15:$AF$65, "",0),  AND( F2112="Main Chain", I2112="Accordion Screen"), _xlfn.XLOOKUP(C2112, calc_rusacc!$C$15:$C$65, calc_rusacc!$BF$15:$BF$65, "",0), AND( F2112="Sealant", I2112="Accordion Screen"), _xlfn.XLOOKUP(C2112, calc_rusacc!$C$15:$C$65, calc_rusacc!$BJ$15:$BJ$65, "",0),  F2112="Sealant", _xlfn.XLOOKUP(C2112, dd_accsrycalc!$A$2:$A$51, dd_accsrycalc!$G$2:$G$51, "",0),  F2112&lt;&gt;"",L2112*_xlfn.XLOOKUP(1, (SKUs!$C$2:$C$10001=G2112)*(SKUs!$K$2:$K$10001=I2112),SKUs!$E$2:$E$10001)), 0),"")</f>
        <v/>
      </c>
      <c r="E2112" s="35" t="str">
        <f>_xlfn.XLOOKUP(F2112,dd_item!$B$2:$B$105,dd_item!$C$2:$C$105,"",0)</f>
        <v/>
      </c>
      <c r="F2112" s="35"/>
      <c r="G2112" s="35" cm="1">
        <f t="array" ref="G2112">IFERROR(_xlfn.XLOOKUP(1, (SKUs!$J$2:$J$10001=accsry_unmerged!F2112)*IF(H2112&lt;&gt;"",(SKUs!$L$2:$L$10001=accsry_unmerged!H2112),1)*(SKUs!$K$2:$K$10001=I2112),SKUs!$C$2:$C$10001),"")</f>
        <v>0</v>
      </c>
      <c r="H2112" s="36" cm="1">
        <f t="array" ref="H2112">IFERROR(_xlfn.XLOOKUP(1, (dd_accsryclr!$C$2:$C$1000=accsry_unmerged!F2112)*(dd_accsryclr!$B$2:$B$1000=accsry_unmerged!J2112),dd_accsryclr!$A$2:$A$1000),"")</f>
        <v>0</v>
      </c>
      <c r="I2112" s="35">
        <f>_xlfn.XLOOKUP(C2112,'Project Details'!$C$17:$C$66,'Project Details'!$E$17:$E$66,"",0)</f>
        <v>0</v>
      </c>
      <c r="J2112" s="35">
        <f>_xlfn.XLOOKUP(C2112,'Project Details'!$C$17:$C$66,'Project Details'!$H$17:$H$66,"",0)</f>
        <v>0</v>
      </c>
      <c r="K2112" s="36" t="str">
        <f>IF(AND(_xlfn.XLOOKUP(C2112,'Project Details'!$C$17:$C$66,'Project Details'!$L$17:$L$66,"",0)&gt;550, F2112="Spring-L27cm"),"",SUBSTITUTE(_xlfn.XLOOKUP(G2112,SKUs!$C$2:$C$10001,SKUs!$F$2:$F$10001,"",0), " Accessories",""))</f>
        <v/>
      </c>
      <c r="L2112" s="36">
        <f>_xlfn.XLOOKUP(C2112,'Project Details'!$C$17:$C$66,'Project Details'!$D$17:$D$66,"",0)</f>
        <v>0</v>
      </c>
      <c r="M2112" s="43"/>
    </row>
    <row r="2113" spans="1:13" ht="13.5" customHeight="1" outlineLevel="1" x14ac:dyDescent="0.25">
      <c r="A2113" s="43"/>
      <c r="B2113" s="43"/>
      <c r="C2113" s="16">
        <f t="shared" si="40"/>
        <v>42</v>
      </c>
      <c r="D2113" s="16" t="str" cm="1">
        <f t="array" ref="D2113">IFERROR(ROUNDUP(_xlfn.IFS(F2113="Aluminum Track", _xlfn.XLOOKUP(C2113, dd_accsrycalc!$A$2:$A$51, dd_accsrycalc!$B$2:$B$51, "",0), F2113="10 x 2 1/2 S (Flat)", _xlfn.XLOOKUP(C2113, dd_accsrycalc!$A$2:$A$51, dd_accsrycalc!$C$2:$C$51, "",0), F2113="Tox6", _xlfn.XLOOKUP(C2113, dd_accsrycalc!$A$2:$A$51, dd_accsrycalc!$D$2:$D$51, "",0), F2113="Cover Cap", _xlfn.XLOOKUP(C2113, dd_accsrycalc!$A$2:$A$51, dd_accsrycalc!$E$2:$E$51, "",0), F2113="Drainage Cover", _xlfn.XLOOKUP(C2113, dd_accsrycalc!$A$2:$A$51, dd_accsrycalc!$F$2:$F$51, "",0),AND( F2113="Double Adhesive Tape", I2113="Roll-up Screen"), _xlfn.XLOOKUP(C2113, calc_rusacc!$C$15:$C$65, calc_rusacc!$AD$15:$AD$65, "",0),AND( F2113="Sealant", I2113="Roll-up Screen"), _xlfn.XLOOKUP(C2113, calc_rusacc!$C$15:$C$65, calc_rusacc!$AF$15:$AF$65, "",0),  AND( F2113="Main Chain", I2113="Accordion Screen"), _xlfn.XLOOKUP(C2113, calc_rusacc!$C$15:$C$65, calc_rusacc!$BF$15:$BF$65, "",0), AND( F2113="Sealant", I2113="Accordion Screen"), _xlfn.XLOOKUP(C2113, calc_rusacc!$C$15:$C$65, calc_rusacc!$BJ$15:$BJ$65, "",0),  F2113="Sealant", _xlfn.XLOOKUP(C2113, dd_accsrycalc!$A$2:$A$51, dd_accsrycalc!$G$2:$G$51, "",0),  F2113&lt;&gt;"",L2113*_xlfn.XLOOKUP(1, (SKUs!$C$2:$C$10001=G2113)*(SKUs!$K$2:$K$10001=I2113),SKUs!$E$2:$E$10001)), 0),"")</f>
        <v/>
      </c>
      <c r="E2113" s="16" t="str">
        <f>_xlfn.XLOOKUP(F2113,dd_item!$B$2:$B$105,dd_item!$C$2:$C$105,"",0)</f>
        <v/>
      </c>
      <c r="F2113" s="16"/>
      <c r="G2113" s="16" cm="1">
        <f t="array" ref="G2113">IFERROR(_xlfn.XLOOKUP(1, (SKUs!$J$2:$J$10001=accsry_unmerged!F2113)*IF(H2113&lt;&gt;"",(SKUs!$L$2:$L$10001=accsry_unmerged!H2113),1)*(SKUs!$K$2:$K$10001=I2113),SKUs!$C$2:$C$10001),"")</f>
        <v>0</v>
      </c>
      <c r="H2113" s="33" cm="1">
        <f t="array" ref="H2113">IFERROR(_xlfn.XLOOKUP(1, (dd_accsryclr!$C$2:$C$1000=accsry_unmerged!F2113)*(dd_accsryclr!$B$2:$B$1000=accsry_unmerged!J2113),dd_accsryclr!$A$2:$A$1000),"")</f>
        <v>0</v>
      </c>
      <c r="I2113" s="16">
        <f>_xlfn.XLOOKUP(C2113,'Project Details'!$C$17:$C$66,'Project Details'!$E$17:$E$66,"",0)</f>
        <v>0</v>
      </c>
      <c r="J2113" s="16">
        <f>_xlfn.XLOOKUP(C2113,'Project Details'!$C$17:$C$66,'Project Details'!$H$17:$H$66,"",0)</f>
        <v>0</v>
      </c>
      <c r="K2113" s="33" t="str">
        <f>IF(AND(_xlfn.XLOOKUP(C2113,'Project Details'!$C$17:$C$66,'Project Details'!$L$17:$L$66,"",0)&gt;550, F2113="Spring-L27cm"),"",SUBSTITUTE(_xlfn.XLOOKUP(G2113,SKUs!$C$2:$C$10001,SKUs!$F$2:$F$10001,"",0), " Accessories",""))</f>
        <v/>
      </c>
      <c r="L2113" s="33">
        <f>_xlfn.XLOOKUP(C2113,'Project Details'!$C$17:$C$66,'Project Details'!$D$17:$D$66,"",0)</f>
        <v>0</v>
      </c>
      <c r="M2113" s="43"/>
    </row>
    <row r="2114" spans="1:13" x14ac:dyDescent="0.25">
      <c r="A2114" s="43"/>
      <c r="B2114" s="43"/>
      <c r="C2114" s="43"/>
      <c r="D2114" s="43"/>
      <c r="E2114" s="43"/>
      <c r="F2114" s="43"/>
      <c r="G2114" s="43"/>
      <c r="H2114" s="43"/>
      <c r="I2114" s="43"/>
      <c r="J2114" s="43"/>
      <c r="K2114" s="43"/>
      <c r="L2114" s="43"/>
      <c r="M2114" s="43"/>
    </row>
    <row r="2115" spans="1:13" x14ac:dyDescent="0.25">
      <c r="A2115" s="43"/>
      <c r="B2115" s="43"/>
      <c r="C2115" s="16">
        <f>C2113+1</f>
        <v>43</v>
      </c>
      <c r="D2115" s="48" cm="1">
        <f t="array" ref="D2115">IFERROR(ROUNDUP(_xlfn.IFS(F2115="Aluminum Track", _xlfn.XLOOKUP(C2115, dd_accsrycalc!$A$2:$A$51, dd_accsrycalc!$B$2:$B$51, "",0), F2115="10 x 2 1/2 S (Flat)", _xlfn.XLOOKUP(C2115, dd_accsrycalc!$A$2:$A$51, dd_accsrycalc!$C$2:$C$51, "",0), F2115="Tox6", _xlfn.XLOOKUP(C2115, dd_accsrycalc!$A$2:$A$51, dd_accsrycalc!$D$2:$D$51, "",0), F2115="Cover Cap", _xlfn.XLOOKUP(C2115, dd_accsrycalc!$A$2:$A$51, dd_accsrycalc!$E$2:$E$51, "",0), F2115="Drainage Cover", _xlfn.XLOOKUP(C2115, dd_accsrycalc!$A$2:$A$51, dd_accsrycalc!$F$2:$F$51, "",0),AND( F2115="Double Adhesive Tape", I2115="Roll-up Screen"), _xlfn.XLOOKUP(C2115, calc_rusacc!$C$15:$C$65, calc_rusacc!$AD$15:$AD$65, "",0),AND( F2115="Sealant", I2115="Roll-up Screen"), _xlfn.XLOOKUP(C2115, calc_rusacc!$C$15:$C$65, calc_rusacc!$AF$15:$AF$65, "",0),  AND( F2115="Main Chain", I2115="Accordion Screen"), _xlfn.XLOOKUP(C2115, calc_rusacc!$C$15:$C$65, calc_rusacc!$BF$15:$BF$65, "",0), AND( F2115="Sealant", I2115="Accordion Screen"), _xlfn.XLOOKUP(C2115, calc_rusacc!$C$15:$C$65, calc_rusacc!$BJ$15:$BJ$65, "",0),  F2115="Sealant", _xlfn.XLOOKUP(C2115, dd_accsrycalc!$A$2:$A$51, dd_accsrycalc!$G$2:$G$51, "",0),  F2115&lt;&gt;"",L2115*_xlfn.XLOOKUP(1, (SKUs!$C$2:$C$10001=G2115)*(SKUs!$K$2:$K$10001=I2115),SKUs!$E$2:$E$10001)), 0),"")</f>
        <v>0</v>
      </c>
      <c r="E2115" s="48" t="str">
        <f>_xlfn.XLOOKUP(F2115,dd_item!$B$2:$B$105,dd_item!$C$2:$C$105,"",0)</f>
        <v/>
      </c>
      <c r="F2115" s="48" cm="1">
        <f t="array" ref="F2115">IFERROR(_xlfn.UNIQUE(_xlfn._xlws.FILTER(SKUs!$J$2:$J$10001, (SKUs!$F$2:$F$10001&lt;&gt;"Cutting List") * (SKUs!$A$2:$A$10001=_xlfn.XLOOKUP(_xlfn.XLOOKUP(C2115,'Project Details'!$C$17:$C$66,'Project Details'!$E$17:$E$66,"",0), dd_design_raw!$A$2:$A$101,dd_design_raw!$C$2:$C$101,"",0)))), "")</f>
        <v>0</v>
      </c>
      <c r="G2115" s="16" cm="1">
        <f t="array" ref="G2115">IFERROR(_xlfn.XLOOKUP(1, (SKUs!$J$2:$J$10001=accsry_unmerged!F2115)*IF(H2115&lt;&gt;"",(SKUs!$L$2:$L$10001=accsry_unmerged!H2115),1)*(SKUs!$K$2:$K$10001=I2115),SKUs!$C$2:$C$10001),"")</f>
        <v>0</v>
      </c>
      <c r="H2115" s="16" cm="1">
        <f t="array" ref="H2115">IFERROR(_xlfn.XLOOKUP(1, (dd_accsryclr!$C$2:$C$1000=accsry_unmerged!F2115)*(dd_accsryclr!$B$2:$B$1000=accsry_unmerged!J2115),dd_accsryclr!$A$2:$A$1000),"")</f>
        <v>0</v>
      </c>
      <c r="I2115" s="16">
        <f>_xlfn.XLOOKUP(C2115,'Project Details'!$C$17:$C$66,'Project Details'!$E$17:$E$66,"",0)</f>
        <v>0</v>
      </c>
      <c r="J2115" s="16">
        <f>_xlfn.XLOOKUP(C2115,'Project Details'!$C$17:$C$66,'Project Details'!$H$17:$H$66,"",0)</f>
        <v>0</v>
      </c>
      <c r="K2115" s="16" t="str">
        <f>IF(AND(_xlfn.XLOOKUP(C2115,'Project Details'!$C$17:$C$66,'Project Details'!$L$17:$L$66,"",0)&gt;550, F2115="Spring-L27cm"),"",SUBSTITUTE(_xlfn.XLOOKUP(G2115,SKUs!$C$2:$C$10001,SKUs!$F$2:$F$10001,"",0), " Accessories",""))</f>
        <v/>
      </c>
      <c r="L2115" s="16">
        <f>_xlfn.XLOOKUP(C2115,'Project Details'!$C$17:$C$66,'Project Details'!$D$17:$D$66,"",0)</f>
        <v>0</v>
      </c>
      <c r="M2115" s="43"/>
    </row>
    <row r="2116" spans="1:13" x14ac:dyDescent="0.25">
      <c r="A2116" s="43"/>
      <c r="B2116" s="43"/>
      <c r="C2116" s="35">
        <f>C2115</f>
        <v>43</v>
      </c>
      <c r="D2116" s="35" t="str" cm="1">
        <f t="array" ref="D2116">IFERROR(ROUNDUP(_xlfn.IFS(F2116="Aluminum Track", _xlfn.XLOOKUP(C2116, dd_accsrycalc!$A$2:$A$51, dd_accsrycalc!$B$2:$B$51, "",0), F2116="10 x 2 1/2 S (Flat)", _xlfn.XLOOKUP(C2116, dd_accsrycalc!$A$2:$A$51, dd_accsrycalc!$C$2:$C$51, "",0), F2116="Tox6", _xlfn.XLOOKUP(C2116, dd_accsrycalc!$A$2:$A$51, dd_accsrycalc!$D$2:$D$51, "",0), F2116="Cover Cap", _xlfn.XLOOKUP(C2116, dd_accsrycalc!$A$2:$A$51, dd_accsrycalc!$E$2:$E$51, "",0), F2116="Drainage Cover", _xlfn.XLOOKUP(C2116, dd_accsrycalc!$A$2:$A$51, dd_accsrycalc!$F$2:$F$51, "",0),AND( F2116="Double Adhesive Tape", I2116="Roll-up Screen"), _xlfn.XLOOKUP(C2116, calc_rusacc!$C$15:$C$65, calc_rusacc!$AD$15:$AD$65, "",0),AND( F2116="Sealant", I2116="Roll-up Screen"), _xlfn.XLOOKUP(C2116, calc_rusacc!$C$15:$C$65, calc_rusacc!$AF$15:$AF$65, "",0),  AND( F2116="Main Chain", I2116="Accordion Screen"), _xlfn.XLOOKUP(C2116, calc_rusacc!$C$15:$C$65, calc_rusacc!$BF$15:$BF$65, "",0), AND( F2116="Sealant", I2116="Accordion Screen"), _xlfn.XLOOKUP(C2116, calc_rusacc!$C$15:$C$65, calc_rusacc!$BJ$15:$BJ$65, "",0),  F2116="Sealant", _xlfn.XLOOKUP(C2116, dd_accsrycalc!$A$2:$A$51, dd_accsrycalc!$G$2:$G$51, "",0),  F2116&lt;&gt;"",L2116*_xlfn.XLOOKUP(1, (SKUs!$C$2:$C$10001=G2116)*(SKUs!$K$2:$K$10001=I2116),SKUs!$E$2:$E$10001)), 0),"")</f>
        <v/>
      </c>
      <c r="E2116" s="35" t="str">
        <f>_xlfn.XLOOKUP(F2116,dd_item!$B$2:$B$105,dd_item!$C$2:$C$105,"",0)</f>
        <v/>
      </c>
      <c r="F2116" s="35"/>
      <c r="G2116" s="35" cm="1">
        <f t="array" ref="G2116">IFERROR(_xlfn.XLOOKUP(1, (SKUs!$J$2:$J$10001=accsry_unmerged!F2116)*IF(H2116&lt;&gt;"",(SKUs!$L$2:$L$10001=accsry_unmerged!H2116),1)*(SKUs!$K$2:$K$10001=I2116),SKUs!$C$2:$C$10001),"")</f>
        <v>0</v>
      </c>
      <c r="H2116" s="36" cm="1">
        <f t="array" ref="H2116">IFERROR(_xlfn.XLOOKUP(1, (dd_accsryclr!$C$2:$C$1000=accsry_unmerged!F2116)*(dd_accsryclr!$B$2:$B$1000=accsry_unmerged!J2116),dd_accsryclr!$A$2:$A$1000),"")</f>
        <v>0</v>
      </c>
      <c r="I2116" s="35">
        <f>_xlfn.XLOOKUP(C2116,'Project Details'!$C$17:$C$66,'Project Details'!$E$17:$E$66,"",0)</f>
        <v>0</v>
      </c>
      <c r="J2116" s="35">
        <f>_xlfn.XLOOKUP(C2116,'Project Details'!$C$17:$C$66,'Project Details'!$H$17:$H$66,"",0)</f>
        <v>0</v>
      </c>
      <c r="K2116" s="36" t="str">
        <f>IF(AND(_xlfn.XLOOKUP(C2116,'Project Details'!$C$17:$C$66,'Project Details'!$L$17:$L$66,"",0)&gt;550, F2116="Spring-L27cm"),"",SUBSTITUTE(_xlfn.XLOOKUP(G2116,SKUs!$C$2:$C$10001,SKUs!$F$2:$F$10001,"",0), " Accessories",""))</f>
        <v/>
      </c>
      <c r="L2116" s="36">
        <f>_xlfn.XLOOKUP(C2116,'Project Details'!$C$17:$C$66,'Project Details'!$D$17:$D$66,"",0)</f>
        <v>0</v>
      </c>
      <c r="M2116" s="43"/>
    </row>
    <row r="2117" spans="1:13" x14ac:dyDescent="0.25">
      <c r="A2117" s="43"/>
      <c r="B2117" s="43"/>
      <c r="C2117" s="16">
        <f t="shared" ref="C2117:C2163" si="41">C2116</f>
        <v>43</v>
      </c>
      <c r="D2117" s="16" t="str" cm="1">
        <f t="array" ref="D2117">IFERROR(ROUNDUP(_xlfn.IFS(F2117="Aluminum Track", _xlfn.XLOOKUP(C2117, dd_accsrycalc!$A$2:$A$51, dd_accsrycalc!$B$2:$B$51, "",0), F2117="10 x 2 1/2 S (Flat)", _xlfn.XLOOKUP(C2117, dd_accsrycalc!$A$2:$A$51, dd_accsrycalc!$C$2:$C$51, "",0), F2117="Tox6", _xlfn.XLOOKUP(C2117, dd_accsrycalc!$A$2:$A$51, dd_accsrycalc!$D$2:$D$51, "",0), F2117="Cover Cap", _xlfn.XLOOKUP(C2117, dd_accsrycalc!$A$2:$A$51, dd_accsrycalc!$E$2:$E$51, "",0), F2117="Drainage Cover", _xlfn.XLOOKUP(C2117, dd_accsrycalc!$A$2:$A$51, dd_accsrycalc!$F$2:$F$51, "",0),AND( F2117="Double Adhesive Tape", I2117="Roll-up Screen"), _xlfn.XLOOKUP(C2117, calc_rusacc!$C$15:$C$65, calc_rusacc!$AD$15:$AD$65, "",0),AND( F2117="Sealant", I2117="Roll-up Screen"), _xlfn.XLOOKUP(C2117, calc_rusacc!$C$15:$C$65, calc_rusacc!$AF$15:$AF$65, "",0),  AND( F2117="Main Chain", I2117="Accordion Screen"), _xlfn.XLOOKUP(C2117, calc_rusacc!$C$15:$C$65, calc_rusacc!$BF$15:$BF$65, "",0), AND( F2117="Sealant", I2117="Accordion Screen"), _xlfn.XLOOKUP(C2117, calc_rusacc!$C$15:$C$65, calc_rusacc!$BJ$15:$BJ$65, "",0),  F2117="Sealant", _xlfn.XLOOKUP(C2117, dd_accsrycalc!$A$2:$A$51, dd_accsrycalc!$G$2:$G$51, "",0),  F2117&lt;&gt;"",L2117*_xlfn.XLOOKUP(1, (SKUs!$C$2:$C$10001=G2117)*(SKUs!$K$2:$K$10001=I2117),SKUs!$E$2:$E$10001)), 0),"")</f>
        <v/>
      </c>
      <c r="E2117" s="16" t="str">
        <f>_xlfn.XLOOKUP(F2117,dd_item!$B$2:$B$105,dd_item!$C$2:$C$105,"",0)</f>
        <v/>
      </c>
      <c r="F2117" s="16"/>
      <c r="G2117" s="16" cm="1">
        <f t="array" ref="G2117">IFERROR(_xlfn.XLOOKUP(1, (SKUs!$J$2:$J$10001=accsry_unmerged!F2117)*IF(H2117&lt;&gt;"",(SKUs!$L$2:$L$10001=accsry_unmerged!H2117),1)*(SKUs!$K$2:$K$10001=I2117),SKUs!$C$2:$C$10001),"")</f>
        <v>0</v>
      </c>
      <c r="H2117" s="33" cm="1">
        <f t="array" ref="H2117">IFERROR(_xlfn.XLOOKUP(1, (dd_accsryclr!$C$2:$C$1000=accsry_unmerged!F2117)*(dd_accsryclr!$B$2:$B$1000=accsry_unmerged!J2117),dd_accsryclr!$A$2:$A$1000),"")</f>
        <v>0</v>
      </c>
      <c r="I2117" s="16">
        <f>_xlfn.XLOOKUP(C2117,'Project Details'!$C$17:$C$66,'Project Details'!$E$17:$E$66,"",0)</f>
        <v>0</v>
      </c>
      <c r="J2117" s="16">
        <f>_xlfn.XLOOKUP(C2117,'Project Details'!$C$17:$C$66,'Project Details'!$H$17:$H$66,"",0)</f>
        <v>0</v>
      </c>
      <c r="K2117" s="33" t="str">
        <f>IF(AND(_xlfn.XLOOKUP(C2117,'Project Details'!$C$17:$C$66,'Project Details'!$L$17:$L$66,"",0)&gt;550, F2117="Spring-L27cm"),"",SUBSTITUTE(_xlfn.XLOOKUP(G2117,SKUs!$C$2:$C$10001,SKUs!$F$2:$F$10001,"",0), " Accessories",""))</f>
        <v/>
      </c>
      <c r="L2117" s="33">
        <f>_xlfn.XLOOKUP(C2117,'Project Details'!$C$17:$C$66,'Project Details'!$D$17:$D$66,"",0)</f>
        <v>0</v>
      </c>
      <c r="M2117" s="43"/>
    </row>
    <row r="2118" spans="1:13" x14ac:dyDescent="0.25">
      <c r="A2118" s="43"/>
      <c r="B2118" s="43"/>
      <c r="C2118" s="35">
        <f t="shared" si="41"/>
        <v>43</v>
      </c>
      <c r="D2118" s="35" t="str" cm="1">
        <f t="array" ref="D2118">IFERROR(ROUNDUP(_xlfn.IFS(F2118="Aluminum Track", _xlfn.XLOOKUP(C2118, dd_accsrycalc!$A$2:$A$51, dd_accsrycalc!$B$2:$B$51, "",0), F2118="10 x 2 1/2 S (Flat)", _xlfn.XLOOKUP(C2118, dd_accsrycalc!$A$2:$A$51, dd_accsrycalc!$C$2:$C$51, "",0), F2118="Tox6", _xlfn.XLOOKUP(C2118, dd_accsrycalc!$A$2:$A$51, dd_accsrycalc!$D$2:$D$51, "",0), F2118="Cover Cap", _xlfn.XLOOKUP(C2118, dd_accsrycalc!$A$2:$A$51, dd_accsrycalc!$E$2:$E$51, "",0), F2118="Drainage Cover", _xlfn.XLOOKUP(C2118, dd_accsrycalc!$A$2:$A$51, dd_accsrycalc!$F$2:$F$51, "",0),AND( F2118="Double Adhesive Tape", I2118="Roll-up Screen"), _xlfn.XLOOKUP(C2118, calc_rusacc!$C$15:$C$65, calc_rusacc!$AD$15:$AD$65, "",0),AND( F2118="Sealant", I2118="Roll-up Screen"), _xlfn.XLOOKUP(C2118, calc_rusacc!$C$15:$C$65, calc_rusacc!$AF$15:$AF$65, "",0),  AND( F2118="Main Chain", I2118="Accordion Screen"), _xlfn.XLOOKUP(C2118, calc_rusacc!$C$15:$C$65, calc_rusacc!$BF$15:$BF$65, "",0), AND( F2118="Sealant", I2118="Accordion Screen"), _xlfn.XLOOKUP(C2118, calc_rusacc!$C$15:$C$65, calc_rusacc!$BJ$15:$BJ$65, "",0),  F2118="Sealant", _xlfn.XLOOKUP(C2118, dd_accsrycalc!$A$2:$A$51, dd_accsrycalc!$G$2:$G$51, "",0),  F2118&lt;&gt;"",L2118*_xlfn.XLOOKUP(1, (SKUs!$C$2:$C$10001=G2118)*(SKUs!$K$2:$K$10001=I2118),SKUs!$E$2:$E$10001)), 0),"")</f>
        <v/>
      </c>
      <c r="E2118" s="35" t="str">
        <f>_xlfn.XLOOKUP(F2118,dd_item!$B$2:$B$105,dd_item!$C$2:$C$105,"",0)</f>
        <v/>
      </c>
      <c r="F2118" s="35"/>
      <c r="G2118" s="35" cm="1">
        <f t="array" ref="G2118">IFERROR(_xlfn.XLOOKUP(1, (SKUs!$J$2:$J$10001=accsry_unmerged!F2118)*IF(H2118&lt;&gt;"",(SKUs!$L$2:$L$10001=accsry_unmerged!H2118),1)*(SKUs!$K$2:$K$10001=I2118),SKUs!$C$2:$C$10001),"")</f>
        <v>0</v>
      </c>
      <c r="H2118" s="36" cm="1">
        <f t="array" ref="H2118">IFERROR(_xlfn.XLOOKUP(1, (dd_accsryclr!$C$2:$C$1000=accsry_unmerged!F2118)*(dd_accsryclr!$B$2:$B$1000=accsry_unmerged!J2118),dd_accsryclr!$A$2:$A$1000),"")</f>
        <v>0</v>
      </c>
      <c r="I2118" s="35">
        <f>_xlfn.XLOOKUP(C2118,'Project Details'!$C$17:$C$66,'Project Details'!$E$17:$E$66,"",0)</f>
        <v>0</v>
      </c>
      <c r="J2118" s="35">
        <f>_xlfn.XLOOKUP(C2118,'Project Details'!$C$17:$C$66,'Project Details'!$H$17:$H$66,"",0)</f>
        <v>0</v>
      </c>
      <c r="K2118" s="36" t="str">
        <f>IF(AND(_xlfn.XLOOKUP(C2118,'Project Details'!$C$17:$C$66,'Project Details'!$L$17:$L$66,"",0)&gt;550, F2118="Spring-L27cm"),"",SUBSTITUTE(_xlfn.XLOOKUP(G2118,SKUs!$C$2:$C$10001,SKUs!$F$2:$F$10001,"",0), " Accessories",""))</f>
        <v/>
      </c>
      <c r="L2118" s="36">
        <f>_xlfn.XLOOKUP(C2118,'Project Details'!$C$17:$C$66,'Project Details'!$D$17:$D$66,"",0)</f>
        <v>0</v>
      </c>
      <c r="M2118" s="43"/>
    </row>
    <row r="2119" spans="1:13" x14ac:dyDescent="0.25">
      <c r="A2119" s="43"/>
      <c r="B2119" s="43"/>
      <c r="C2119" s="16">
        <f t="shared" si="41"/>
        <v>43</v>
      </c>
      <c r="D2119" s="16" t="str" cm="1">
        <f t="array" ref="D2119">IFERROR(ROUNDUP(_xlfn.IFS(F2119="Aluminum Track", _xlfn.XLOOKUP(C2119, dd_accsrycalc!$A$2:$A$51, dd_accsrycalc!$B$2:$B$51, "",0), F2119="10 x 2 1/2 S (Flat)", _xlfn.XLOOKUP(C2119, dd_accsrycalc!$A$2:$A$51, dd_accsrycalc!$C$2:$C$51, "",0), F2119="Tox6", _xlfn.XLOOKUP(C2119, dd_accsrycalc!$A$2:$A$51, dd_accsrycalc!$D$2:$D$51, "",0), F2119="Cover Cap", _xlfn.XLOOKUP(C2119, dd_accsrycalc!$A$2:$A$51, dd_accsrycalc!$E$2:$E$51, "",0), F2119="Drainage Cover", _xlfn.XLOOKUP(C2119, dd_accsrycalc!$A$2:$A$51, dd_accsrycalc!$F$2:$F$51, "",0),AND( F2119="Double Adhesive Tape", I2119="Roll-up Screen"), _xlfn.XLOOKUP(C2119, calc_rusacc!$C$15:$C$65, calc_rusacc!$AD$15:$AD$65, "",0),AND( F2119="Sealant", I2119="Roll-up Screen"), _xlfn.XLOOKUP(C2119, calc_rusacc!$C$15:$C$65, calc_rusacc!$AF$15:$AF$65, "",0),  AND( F2119="Main Chain", I2119="Accordion Screen"), _xlfn.XLOOKUP(C2119, calc_rusacc!$C$15:$C$65, calc_rusacc!$BF$15:$BF$65, "",0), AND( F2119="Sealant", I2119="Accordion Screen"), _xlfn.XLOOKUP(C2119, calc_rusacc!$C$15:$C$65, calc_rusacc!$BJ$15:$BJ$65, "",0),  F2119="Sealant", _xlfn.XLOOKUP(C2119, dd_accsrycalc!$A$2:$A$51, dd_accsrycalc!$G$2:$G$51, "",0),  F2119&lt;&gt;"",L2119*_xlfn.XLOOKUP(1, (SKUs!$C$2:$C$10001=G2119)*(SKUs!$K$2:$K$10001=I2119),SKUs!$E$2:$E$10001)), 0),"")</f>
        <v/>
      </c>
      <c r="E2119" s="16" t="str">
        <f>_xlfn.XLOOKUP(F2119,dd_item!$B$2:$B$105,dd_item!$C$2:$C$105,"",0)</f>
        <v/>
      </c>
      <c r="F2119" s="16"/>
      <c r="G2119" s="16" cm="1">
        <f t="array" ref="G2119">IFERROR(_xlfn.XLOOKUP(1, (SKUs!$J$2:$J$10001=accsry_unmerged!F2119)*IF(H2119&lt;&gt;"",(SKUs!$L$2:$L$10001=accsry_unmerged!H2119),1)*(SKUs!$K$2:$K$10001=I2119),SKUs!$C$2:$C$10001),"")</f>
        <v>0</v>
      </c>
      <c r="H2119" s="33" cm="1">
        <f t="array" ref="H2119">IFERROR(_xlfn.XLOOKUP(1, (dd_accsryclr!$C$2:$C$1000=accsry_unmerged!F2119)*(dd_accsryclr!$B$2:$B$1000=accsry_unmerged!J2119),dd_accsryclr!$A$2:$A$1000),"")</f>
        <v>0</v>
      </c>
      <c r="I2119" s="16">
        <f>_xlfn.XLOOKUP(C2119,'Project Details'!$C$17:$C$66,'Project Details'!$E$17:$E$66,"",0)</f>
        <v>0</v>
      </c>
      <c r="J2119" s="16">
        <f>_xlfn.XLOOKUP(C2119,'Project Details'!$C$17:$C$66,'Project Details'!$H$17:$H$66,"",0)</f>
        <v>0</v>
      </c>
      <c r="K2119" s="33" t="str">
        <f>IF(AND(_xlfn.XLOOKUP(C2119,'Project Details'!$C$17:$C$66,'Project Details'!$L$17:$L$66,"",0)&gt;550, F2119="Spring-L27cm"),"",SUBSTITUTE(_xlfn.XLOOKUP(G2119,SKUs!$C$2:$C$10001,SKUs!$F$2:$F$10001,"",0), " Accessories",""))</f>
        <v/>
      </c>
      <c r="L2119" s="33">
        <f>_xlfn.XLOOKUP(C2119,'Project Details'!$C$17:$C$66,'Project Details'!$D$17:$D$66,"",0)</f>
        <v>0</v>
      </c>
      <c r="M2119" s="43"/>
    </row>
    <row r="2120" spans="1:13" x14ac:dyDescent="0.25">
      <c r="A2120" s="43"/>
      <c r="B2120" s="43"/>
      <c r="C2120" s="35">
        <f t="shared" si="41"/>
        <v>43</v>
      </c>
      <c r="D2120" s="35" t="str" cm="1">
        <f t="array" ref="D2120">IFERROR(ROUNDUP(_xlfn.IFS(F2120="Aluminum Track", _xlfn.XLOOKUP(C2120, dd_accsrycalc!$A$2:$A$51, dd_accsrycalc!$B$2:$B$51, "",0), F2120="10 x 2 1/2 S (Flat)", _xlfn.XLOOKUP(C2120, dd_accsrycalc!$A$2:$A$51, dd_accsrycalc!$C$2:$C$51, "",0), F2120="Tox6", _xlfn.XLOOKUP(C2120, dd_accsrycalc!$A$2:$A$51, dd_accsrycalc!$D$2:$D$51, "",0), F2120="Cover Cap", _xlfn.XLOOKUP(C2120, dd_accsrycalc!$A$2:$A$51, dd_accsrycalc!$E$2:$E$51, "",0), F2120="Drainage Cover", _xlfn.XLOOKUP(C2120, dd_accsrycalc!$A$2:$A$51, dd_accsrycalc!$F$2:$F$51, "",0),AND( F2120="Double Adhesive Tape", I2120="Roll-up Screen"), _xlfn.XLOOKUP(C2120, calc_rusacc!$C$15:$C$65, calc_rusacc!$AD$15:$AD$65, "",0),AND( F2120="Sealant", I2120="Roll-up Screen"), _xlfn.XLOOKUP(C2120, calc_rusacc!$C$15:$C$65, calc_rusacc!$AF$15:$AF$65, "",0),  AND( F2120="Main Chain", I2120="Accordion Screen"), _xlfn.XLOOKUP(C2120, calc_rusacc!$C$15:$C$65, calc_rusacc!$BF$15:$BF$65, "",0), AND( F2120="Sealant", I2120="Accordion Screen"), _xlfn.XLOOKUP(C2120, calc_rusacc!$C$15:$C$65, calc_rusacc!$BJ$15:$BJ$65, "",0),  F2120="Sealant", _xlfn.XLOOKUP(C2120, dd_accsrycalc!$A$2:$A$51, dd_accsrycalc!$G$2:$G$51, "",0),  F2120&lt;&gt;"",L2120*_xlfn.XLOOKUP(1, (SKUs!$C$2:$C$10001=G2120)*(SKUs!$K$2:$K$10001=I2120),SKUs!$E$2:$E$10001)), 0),"")</f>
        <v/>
      </c>
      <c r="E2120" s="35" t="str">
        <f>_xlfn.XLOOKUP(F2120,dd_item!$B$2:$B$105,dd_item!$C$2:$C$105,"",0)</f>
        <v/>
      </c>
      <c r="F2120" s="35"/>
      <c r="G2120" s="35" cm="1">
        <f t="array" ref="G2120">IFERROR(_xlfn.XLOOKUP(1, (SKUs!$J$2:$J$10001=accsry_unmerged!F2120)*IF(H2120&lt;&gt;"",(SKUs!$L$2:$L$10001=accsry_unmerged!H2120),1)*(SKUs!$K$2:$K$10001=I2120),SKUs!$C$2:$C$10001),"")</f>
        <v>0</v>
      </c>
      <c r="H2120" s="36" cm="1">
        <f t="array" ref="H2120">IFERROR(_xlfn.XLOOKUP(1, (dd_accsryclr!$C$2:$C$1000=accsry_unmerged!F2120)*(dd_accsryclr!$B$2:$B$1000=accsry_unmerged!J2120),dd_accsryclr!$A$2:$A$1000),"")</f>
        <v>0</v>
      </c>
      <c r="I2120" s="35">
        <f>_xlfn.XLOOKUP(C2120,'Project Details'!$C$17:$C$66,'Project Details'!$E$17:$E$66,"",0)</f>
        <v>0</v>
      </c>
      <c r="J2120" s="35">
        <f>_xlfn.XLOOKUP(C2120,'Project Details'!$C$17:$C$66,'Project Details'!$H$17:$H$66,"",0)</f>
        <v>0</v>
      </c>
      <c r="K2120" s="36" t="str">
        <f>IF(AND(_xlfn.XLOOKUP(C2120,'Project Details'!$C$17:$C$66,'Project Details'!$L$17:$L$66,"",0)&gt;550, F2120="Spring-L27cm"),"",SUBSTITUTE(_xlfn.XLOOKUP(G2120,SKUs!$C$2:$C$10001,SKUs!$F$2:$F$10001,"",0), " Accessories",""))</f>
        <v/>
      </c>
      <c r="L2120" s="36">
        <f>_xlfn.XLOOKUP(C2120,'Project Details'!$C$17:$C$66,'Project Details'!$D$17:$D$66,"",0)</f>
        <v>0</v>
      </c>
      <c r="M2120" s="43"/>
    </row>
    <row r="2121" spans="1:13" x14ac:dyDescent="0.25">
      <c r="A2121" s="43"/>
      <c r="B2121" s="43"/>
      <c r="C2121" s="16">
        <f t="shared" si="41"/>
        <v>43</v>
      </c>
      <c r="D2121" s="16" t="str" cm="1">
        <f t="array" ref="D2121">IFERROR(ROUNDUP(_xlfn.IFS(F2121="Aluminum Track", _xlfn.XLOOKUP(C2121, dd_accsrycalc!$A$2:$A$51, dd_accsrycalc!$B$2:$B$51, "",0), F2121="10 x 2 1/2 S (Flat)", _xlfn.XLOOKUP(C2121, dd_accsrycalc!$A$2:$A$51, dd_accsrycalc!$C$2:$C$51, "",0), F2121="Tox6", _xlfn.XLOOKUP(C2121, dd_accsrycalc!$A$2:$A$51, dd_accsrycalc!$D$2:$D$51, "",0), F2121="Cover Cap", _xlfn.XLOOKUP(C2121, dd_accsrycalc!$A$2:$A$51, dd_accsrycalc!$E$2:$E$51, "",0), F2121="Drainage Cover", _xlfn.XLOOKUP(C2121, dd_accsrycalc!$A$2:$A$51, dd_accsrycalc!$F$2:$F$51, "",0),AND( F2121="Double Adhesive Tape", I2121="Roll-up Screen"), _xlfn.XLOOKUP(C2121, calc_rusacc!$C$15:$C$65, calc_rusacc!$AD$15:$AD$65, "",0),AND( F2121="Sealant", I2121="Roll-up Screen"), _xlfn.XLOOKUP(C2121, calc_rusacc!$C$15:$C$65, calc_rusacc!$AF$15:$AF$65, "",0),  AND( F2121="Main Chain", I2121="Accordion Screen"), _xlfn.XLOOKUP(C2121, calc_rusacc!$C$15:$C$65, calc_rusacc!$BF$15:$BF$65, "",0), AND( F2121="Sealant", I2121="Accordion Screen"), _xlfn.XLOOKUP(C2121, calc_rusacc!$C$15:$C$65, calc_rusacc!$BJ$15:$BJ$65, "",0),  F2121="Sealant", _xlfn.XLOOKUP(C2121, dd_accsrycalc!$A$2:$A$51, dd_accsrycalc!$G$2:$G$51, "",0),  F2121&lt;&gt;"",L2121*_xlfn.XLOOKUP(1, (SKUs!$C$2:$C$10001=G2121)*(SKUs!$K$2:$K$10001=I2121),SKUs!$E$2:$E$10001)), 0),"")</f>
        <v/>
      </c>
      <c r="E2121" s="16" t="str">
        <f>_xlfn.XLOOKUP(F2121,dd_item!$B$2:$B$105,dd_item!$C$2:$C$105,"",0)</f>
        <v/>
      </c>
      <c r="F2121" s="16"/>
      <c r="G2121" s="16" cm="1">
        <f t="array" ref="G2121">IFERROR(_xlfn.XLOOKUP(1, (SKUs!$J$2:$J$10001=accsry_unmerged!F2121)*IF(H2121&lt;&gt;"",(SKUs!$L$2:$L$10001=accsry_unmerged!H2121),1)*(SKUs!$K$2:$K$10001=I2121),SKUs!$C$2:$C$10001),"")</f>
        <v>0</v>
      </c>
      <c r="H2121" s="33" cm="1">
        <f t="array" ref="H2121">IFERROR(_xlfn.XLOOKUP(1, (dd_accsryclr!$C$2:$C$1000=accsry_unmerged!F2121)*(dd_accsryclr!$B$2:$B$1000=accsry_unmerged!J2121),dd_accsryclr!$A$2:$A$1000),"")</f>
        <v>0</v>
      </c>
      <c r="I2121" s="16">
        <f>_xlfn.XLOOKUP(C2121,'Project Details'!$C$17:$C$66,'Project Details'!$E$17:$E$66,"",0)</f>
        <v>0</v>
      </c>
      <c r="J2121" s="16">
        <f>_xlfn.XLOOKUP(C2121,'Project Details'!$C$17:$C$66,'Project Details'!$H$17:$H$66,"",0)</f>
        <v>0</v>
      </c>
      <c r="K2121" s="33" t="str">
        <f>IF(AND(_xlfn.XLOOKUP(C2121,'Project Details'!$C$17:$C$66,'Project Details'!$L$17:$L$66,"",0)&gt;550, F2121="Spring-L27cm"),"",SUBSTITUTE(_xlfn.XLOOKUP(G2121,SKUs!$C$2:$C$10001,SKUs!$F$2:$F$10001,"",0), " Accessories",""))</f>
        <v/>
      </c>
      <c r="L2121" s="33">
        <f>_xlfn.XLOOKUP(C2121,'Project Details'!$C$17:$C$66,'Project Details'!$D$17:$D$66,"",0)</f>
        <v>0</v>
      </c>
      <c r="M2121" s="43"/>
    </row>
    <row r="2122" spans="1:13" x14ac:dyDescent="0.25">
      <c r="A2122" s="43"/>
      <c r="B2122" s="43"/>
      <c r="C2122" s="35">
        <f t="shared" si="41"/>
        <v>43</v>
      </c>
      <c r="D2122" s="35" t="str" cm="1">
        <f t="array" ref="D2122">IFERROR(ROUNDUP(_xlfn.IFS(F2122="Aluminum Track", _xlfn.XLOOKUP(C2122, dd_accsrycalc!$A$2:$A$51, dd_accsrycalc!$B$2:$B$51, "",0), F2122="10 x 2 1/2 S (Flat)", _xlfn.XLOOKUP(C2122, dd_accsrycalc!$A$2:$A$51, dd_accsrycalc!$C$2:$C$51, "",0), F2122="Tox6", _xlfn.XLOOKUP(C2122, dd_accsrycalc!$A$2:$A$51, dd_accsrycalc!$D$2:$D$51, "",0), F2122="Cover Cap", _xlfn.XLOOKUP(C2122, dd_accsrycalc!$A$2:$A$51, dd_accsrycalc!$E$2:$E$51, "",0), F2122="Drainage Cover", _xlfn.XLOOKUP(C2122, dd_accsrycalc!$A$2:$A$51, dd_accsrycalc!$F$2:$F$51, "",0),AND( F2122="Double Adhesive Tape", I2122="Roll-up Screen"), _xlfn.XLOOKUP(C2122, calc_rusacc!$C$15:$C$65, calc_rusacc!$AD$15:$AD$65, "",0),AND( F2122="Sealant", I2122="Roll-up Screen"), _xlfn.XLOOKUP(C2122, calc_rusacc!$C$15:$C$65, calc_rusacc!$AF$15:$AF$65, "",0),  AND( F2122="Main Chain", I2122="Accordion Screen"), _xlfn.XLOOKUP(C2122, calc_rusacc!$C$15:$C$65, calc_rusacc!$BF$15:$BF$65, "",0), AND( F2122="Sealant", I2122="Accordion Screen"), _xlfn.XLOOKUP(C2122, calc_rusacc!$C$15:$C$65, calc_rusacc!$BJ$15:$BJ$65, "",0),  F2122="Sealant", _xlfn.XLOOKUP(C2122, dd_accsrycalc!$A$2:$A$51, dd_accsrycalc!$G$2:$G$51, "",0),  F2122&lt;&gt;"",L2122*_xlfn.XLOOKUP(1, (SKUs!$C$2:$C$10001=G2122)*(SKUs!$K$2:$K$10001=I2122),SKUs!$E$2:$E$10001)), 0),"")</f>
        <v/>
      </c>
      <c r="E2122" s="35" t="str">
        <f>_xlfn.XLOOKUP(F2122,dd_item!$B$2:$B$105,dd_item!$C$2:$C$105,"",0)</f>
        <v/>
      </c>
      <c r="F2122" s="35"/>
      <c r="G2122" s="35" cm="1">
        <f t="array" ref="G2122">IFERROR(_xlfn.XLOOKUP(1, (SKUs!$J$2:$J$10001=accsry_unmerged!F2122)*IF(H2122&lt;&gt;"",(SKUs!$L$2:$L$10001=accsry_unmerged!H2122),1)*(SKUs!$K$2:$K$10001=I2122),SKUs!$C$2:$C$10001),"")</f>
        <v>0</v>
      </c>
      <c r="H2122" s="36" cm="1">
        <f t="array" ref="H2122">IFERROR(_xlfn.XLOOKUP(1, (dd_accsryclr!$C$2:$C$1000=accsry_unmerged!F2122)*(dd_accsryclr!$B$2:$B$1000=accsry_unmerged!J2122),dd_accsryclr!$A$2:$A$1000),"")</f>
        <v>0</v>
      </c>
      <c r="I2122" s="35">
        <f>_xlfn.XLOOKUP(C2122,'Project Details'!$C$17:$C$66,'Project Details'!$E$17:$E$66,"",0)</f>
        <v>0</v>
      </c>
      <c r="J2122" s="35">
        <f>_xlfn.XLOOKUP(C2122,'Project Details'!$C$17:$C$66,'Project Details'!$H$17:$H$66,"",0)</f>
        <v>0</v>
      </c>
      <c r="K2122" s="36" t="str">
        <f>IF(AND(_xlfn.XLOOKUP(C2122,'Project Details'!$C$17:$C$66,'Project Details'!$L$17:$L$66,"",0)&gt;550, F2122="Spring-L27cm"),"",SUBSTITUTE(_xlfn.XLOOKUP(G2122,SKUs!$C$2:$C$10001,SKUs!$F$2:$F$10001,"",0), " Accessories",""))</f>
        <v/>
      </c>
      <c r="L2122" s="36">
        <f>_xlfn.XLOOKUP(C2122,'Project Details'!$C$17:$C$66,'Project Details'!$D$17:$D$66,"",0)</f>
        <v>0</v>
      </c>
      <c r="M2122" s="43"/>
    </row>
    <row r="2123" spans="1:13" x14ac:dyDescent="0.25">
      <c r="A2123" s="43"/>
      <c r="B2123" s="43"/>
      <c r="C2123" s="16">
        <f t="shared" si="41"/>
        <v>43</v>
      </c>
      <c r="D2123" s="16" t="str" cm="1">
        <f t="array" ref="D2123">IFERROR(ROUNDUP(_xlfn.IFS(F2123="Aluminum Track", _xlfn.XLOOKUP(C2123, dd_accsrycalc!$A$2:$A$51, dd_accsrycalc!$B$2:$B$51, "",0), F2123="10 x 2 1/2 S (Flat)", _xlfn.XLOOKUP(C2123, dd_accsrycalc!$A$2:$A$51, dd_accsrycalc!$C$2:$C$51, "",0), F2123="Tox6", _xlfn.XLOOKUP(C2123, dd_accsrycalc!$A$2:$A$51, dd_accsrycalc!$D$2:$D$51, "",0), F2123="Cover Cap", _xlfn.XLOOKUP(C2123, dd_accsrycalc!$A$2:$A$51, dd_accsrycalc!$E$2:$E$51, "",0), F2123="Drainage Cover", _xlfn.XLOOKUP(C2123, dd_accsrycalc!$A$2:$A$51, dd_accsrycalc!$F$2:$F$51, "",0),AND( F2123="Double Adhesive Tape", I2123="Roll-up Screen"), _xlfn.XLOOKUP(C2123, calc_rusacc!$C$15:$C$65, calc_rusacc!$AD$15:$AD$65, "",0),AND( F2123="Sealant", I2123="Roll-up Screen"), _xlfn.XLOOKUP(C2123, calc_rusacc!$C$15:$C$65, calc_rusacc!$AF$15:$AF$65, "",0),  AND( F2123="Main Chain", I2123="Accordion Screen"), _xlfn.XLOOKUP(C2123, calc_rusacc!$C$15:$C$65, calc_rusacc!$BF$15:$BF$65, "",0), AND( F2123="Sealant", I2123="Accordion Screen"), _xlfn.XLOOKUP(C2123, calc_rusacc!$C$15:$C$65, calc_rusacc!$BJ$15:$BJ$65, "",0),  F2123="Sealant", _xlfn.XLOOKUP(C2123, dd_accsrycalc!$A$2:$A$51, dd_accsrycalc!$G$2:$G$51, "",0),  F2123&lt;&gt;"",L2123*_xlfn.XLOOKUP(1, (SKUs!$C$2:$C$10001=G2123)*(SKUs!$K$2:$K$10001=I2123),SKUs!$E$2:$E$10001)), 0),"")</f>
        <v/>
      </c>
      <c r="E2123" s="16" t="str">
        <f>_xlfn.XLOOKUP(F2123,dd_item!$B$2:$B$105,dd_item!$C$2:$C$105,"",0)</f>
        <v/>
      </c>
      <c r="F2123" s="16"/>
      <c r="G2123" s="16" cm="1">
        <f t="array" ref="G2123">IFERROR(_xlfn.XLOOKUP(1, (SKUs!$J$2:$J$10001=accsry_unmerged!F2123)*IF(H2123&lt;&gt;"",(SKUs!$L$2:$L$10001=accsry_unmerged!H2123),1)*(SKUs!$K$2:$K$10001=I2123),SKUs!$C$2:$C$10001),"")</f>
        <v>0</v>
      </c>
      <c r="H2123" s="33" cm="1">
        <f t="array" ref="H2123">IFERROR(_xlfn.XLOOKUP(1, (dd_accsryclr!$C$2:$C$1000=accsry_unmerged!F2123)*(dd_accsryclr!$B$2:$B$1000=accsry_unmerged!J2123),dd_accsryclr!$A$2:$A$1000),"")</f>
        <v>0</v>
      </c>
      <c r="I2123" s="16">
        <f>_xlfn.XLOOKUP(C2123,'Project Details'!$C$17:$C$66,'Project Details'!$E$17:$E$66,"",0)</f>
        <v>0</v>
      </c>
      <c r="J2123" s="16">
        <f>_xlfn.XLOOKUP(C2123,'Project Details'!$C$17:$C$66,'Project Details'!$H$17:$H$66,"",0)</f>
        <v>0</v>
      </c>
      <c r="K2123" s="33" t="str">
        <f>IF(AND(_xlfn.XLOOKUP(C2123,'Project Details'!$C$17:$C$66,'Project Details'!$L$17:$L$66,"",0)&gt;550, F2123="Spring-L27cm"),"",SUBSTITUTE(_xlfn.XLOOKUP(G2123,SKUs!$C$2:$C$10001,SKUs!$F$2:$F$10001,"",0), " Accessories",""))</f>
        <v/>
      </c>
      <c r="L2123" s="33">
        <f>_xlfn.XLOOKUP(C2123,'Project Details'!$C$17:$C$66,'Project Details'!$D$17:$D$66,"",0)</f>
        <v>0</v>
      </c>
      <c r="M2123" s="43"/>
    </row>
    <row r="2124" spans="1:13" x14ac:dyDescent="0.25">
      <c r="A2124" s="43"/>
      <c r="B2124" s="43"/>
      <c r="C2124" s="35">
        <f t="shared" si="41"/>
        <v>43</v>
      </c>
      <c r="D2124" s="35" t="str" cm="1">
        <f t="array" ref="D2124">IFERROR(ROUNDUP(_xlfn.IFS(F2124="Aluminum Track", _xlfn.XLOOKUP(C2124, dd_accsrycalc!$A$2:$A$51, dd_accsrycalc!$B$2:$B$51, "",0), F2124="10 x 2 1/2 S (Flat)", _xlfn.XLOOKUP(C2124, dd_accsrycalc!$A$2:$A$51, dd_accsrycalc!$C$2:$C$51, "",0), F2124="Tox6", _xlfn.XLOOKUP(C2124, dd_accsrycalc!$A$2:$A$51, dd_accsrycalc!$D$2:$D$51, "",0), F2124="Cover Cap", _xlfn.XLOOKUP(C2124, dd_accsrycalc!$A$2:$A$51, dd_accsrycalc!$E$2:$E$51, "",0), F2124="Drainage Cover", _xlfn.XLOOKUP(C2124, dd_accsrycalc!$A$2:$A$51, dd_accsrycalc!$F$2:$F$51, "",0),AND( F2124="Double Adhesive Tape", I2124="Roll-up Screen"), _xlfn.XLOOKUP(C2124, calc_rusacc!$C$15:$C$65, calc_rusacc!$AD$15:$AD$65, "",0),AND( F2124="Sealant", I2124="Roll-up Screen"), _xlfn.XLOOKUP(C2124, calc_rusacc!$C$15:$C$65, calc_rusacc!$AF$15:$AF$65, "",0),  AND( F2124="Main Chain", I2124="Accordion Screen"), _xlfn.XLOOKUP(C2124, calc_rusacc!$C$15:$C$65, calc_rusacc!$BF$15:$BF$65, "",0), AND( F2124="Sealant", I2124="Accordion Screen"), _xlfn.XLOOKUP(C2124, calc_rusacc!$C$15:$C$65, calc_rusacc!$BJ$15:$BJ$65, "",0),  F2124="Sealant", _xlfn.XLOOKUP(C2124, dd_accsrycalc!$A$2:$A$51, dd_accsrycalc!$G$2:$G$51, "",0),  F2124&lt;&gt;"",L2124*_xlfn.XLOOKUP(1, (SKUs!$C$2:$C$10001=G2124)*(SKUs!$K$2:$K$10001=I2124),SKUs!$E$2:$E$10001)), 0),"")</f>
        <v/>
      </c>
      <c r="E2124" s="35" t="str">
        <f>_xlfn.XLOOKUP(F2124,dd_item!$B$2:$B$105,dd_item!$C$2:$C$105,"",0)</f>
        <v/>
      </c>
      <c r="F2124" s="35"/>
      <c r="G2124" s="35" cm="1">
        <f t="array" ref="G2124">IFERROR(_xlfn.XLOOKUP(1, (SKUs!$J$2:$J$10001=accsry_unmerged!F2124)*IF(H2124&lt;&gt;"",(SKUs!$L$2:$L$10001=accsry_unmerged!H2124),1)*(SKUs!$K$2:$K$10001=I2124),SKUs!$C$2:$C$10001),"")</f>
        <v>0</v>
      </c>
      <c r="H2124" s="36" cm="1">
        <f t="array" ref="H2124">IFERROR(_xlfn.XLOOKUP(1, (dd_accsryclr!$C$2:$C$1000=accsry_unmerged!F2124)*(dd_accsryclr!$B$2:$B$1000=accsry_unmerged!J2124),dd_accsryclr!$A$2:$A$1000),"")</f>
        <v>0</v>
      </c>
      <c r="I2124" s="35">
        <f>_xlfn.XLOOKUP(C2124,'Project Details'!$C$17:$C$66,'Project Details'!$E$17:$E$66,"",0)</f>
        <v>0</v>
      </c>
      <c r="J2124" s="35">
        <f>_xlfn.XLOOKUP(C2124,'Project Details'!$C$17:$C$66,'Project Details'!$H$17:$H$66,"",0)</f>
        <v>0</v>
      </c>
      <c r="K2124" s="36" t="str">
        <f>IF(AND(_xlfn.XLOOKUP(C2124,'Project Details'!$C$17:$C$66,'Project Details'!$L$17:$L$66,"",0)&gt;550, F2124="Spring-L27cm"),"",SUBSTITUTE(_xlfn.XLOOKUP(G2124,SKUs!$C$2:$C$10001,SKUs!$F$2:$F$10001,"",0), " Accessories",""))</f>
        <v/>
      </c>
      <c r="L2124" s="36">
        <f>_xlfn.XLOOKUP(C2124,'Project Details'!$C$17:$C$66,'Project Details'!$D$17:$D$66,"",0)</f>
        <v>0</v>
      </c>
      <c r="M2124" s="43"/>
    </row>
    <row r="2125" spans="1:13" x14ac:dyDescent="0.25">
      <c r="A2125" s="43"/>
      <c r="B2125" s="43"/>
      <c r="C2125" s="16">
        <f t="shared" si="41"/>
        <v>43</v>
      </c>
      <c r="D2125" s="16" t="str" cm="1">
        <f t="array" ref="D2125">IFERROR(ROUNDUP(_xlfn.IFS(F2125="Aluminum Track", _xlfn.XLOOKUP(C2125, dd_accsrycalc!$A$2:$A$51, dd_accsrycalc!$B$2:$B$51, "",0), F2125="10 x 2 1/2 S (Flat)", _xlfn.XLOOKUP(C2125, dd_accsrycalc!$A$2:$A$51, dd_accsrycalc!$C$2:$C$51, "",0), F2125="Tox6", _xlfn.XLOOKUP(C2125, dd_accsrycalc!$A$2:$A$51, dd_accsrycalc!$D$2:$D$51, "",0), F2125="Cover Cap", _xlfn.XLOOKUP(C2125, dd_accsrycalc!$A$2:$A$51, dd_accsrycalc!$E$2:$E$51, "",0), F2125="Drainage Cover", _xlfn.XLOOKUP(C2125, dd_accsrycalc!$A$2:$A$51, dd_accsrycalc!$F$2:$F$51, "",0),AND( F2125="Double Adhesive Tape", I2125="Roll-up Screen"), _xlfn.XLOOKUP(C2125, calc_rusacc!$C$15:$C$65, calc_rusacc!$AD$15:$AD$65, "",0),AND( F2125="Sealant", I2125="Roll-up Screen"), _xlfn.XLOOKUP(C2125, calc_rusacc!$C$15:$C$65, calc_rusacc!$AF$15:$AF$65, "",0),  AND( F2125="Main Chain", I2125="Accordion Screen"), _xlfn.XLOOKUP(C2125, calc_rusacc!$C$15:$C$65, calc_rusacc!$BF$15:$BF$65, "",0), AND( F2125="Sealant", I2125="Accordion Screen"), _xlfn.XLOOKUP(C2125, calc_rusacc!$C$15:$C$65, calc_rusacc!$BJ$15:$BJ$65, "",0),  F2125="Sealant", _xlfn.XLOOKUP(C2125, dd_accsrycalc!$A$2:$A$51, dd_accsrycalc!$G$2:$G$51, "",0),  F2125&lt;&gt;"",L2125*_xlfn.XLOOKUP(1, (SKUs!$C$2:$C$10001=G2125)*(SKUs!$K$2:$K$10001=I2125),SKUs!$E$2:$E$10001)), 0),"")</f>
        <v/>
      </c>
      <c r="E2125" s="16" t="str">
        <f>_xlfn.XLOOKUP(F2125,dd_item!$B$2:$B$105,dd_item!$C$2:$C$105,"",0)</f>
        <v/>
      </c>
      <c r="F2125" s="16"/>
      <c r="G2125" s="16" cm="1">
        <f t="array" ref="G2125">IFERROR(_xlfn.XLOOKUP(1, (SKUs!$J$2:$J$10001=accsry_unmerged!F2125)*IF(H2125&lt;&gt;"",(SKUs!$L$2:$L$10001=accsry_unmerged!H2125),1)*(SKUs!$K$2:$K$10001=I2125),SKUs!$C$2:$C$10001),"")</f>
        <v>0</v>
      </c>
      <c r="H2125" s="33" cm="1">
        <f t="array" ref="H2125">IFERROR(_xlfn.XLOOKUP(1, (dd_accsryclr!$C$2:$C$1000=accsry_unmerged!F2125)*(dd_accsryclr!$B$2:$B$1000=accsry_unmerged!J2125),dd_accsryclr!$A$2:$A$1000),"")</f>
        <v>0</v>
      </c>
      <c r="I2125" s="16">
        <f>_xlfn.XLOOKUP(C2125,'Project Details'!$C$17:$C$66,'Project Details'!$E$17:$E$66,"",0)</f>
        <v>0</v>
      </c>
      <c r="J2125" s="16">
        <f>_xlfn.XLOOKUP(C2125,'Project Details'!$C$17:$C$66,'Project Details'!$H$17:$H$66,"",0)</f>
        <v>0</v>
      </c>
      <c r="K2125" s="33" t="str">
        <f>IF(AND(_xlfn.XLOOKUP(C2125,'Project Details'!$C$17:$C$66,'Project Details'!$L$17:$L$66,"",0)&gt;550, F2125="Spring-L27cm"),"",SUBSTITUTE(_xlfn.XLOOKUP(G2125,SKUs!$C$2:$C$10001,SKUs!$F$2:$F$10001,"",0), " Accessories",""))</f>
        <v/>
      </c>
      <c r="L2125" s="33">
        <f>_xlfn.XLOOKUP(C2125,'Project Details'!$C$17:$C$66,'Project Details'!$D$17:$D$66,"",0)</f>
        <v>0</v>
      </c>
      <c r="M2125" s="43"/>
    </row>
    <row r="2126" spans="1:13" x14ac:dyDescent="0.25">
      <c r="A2126" s="43"/>
      <c r="B2126" s="43"/>
      <c r="C2126" s="35">
        <f t="shared" si="41"/>
        <v>43</v>
      </c>
      <c r="D2126" s="35" t="str" cm="1">
        <f t="array" ref="D2126">IFERROR(ROUNDUP(_xlfn.IFS(F2126="Aluminum Track", _xlfn.XLOOKUP(C2126, dd_accsrycalc!$A$2:$A$51, dd_accsrycalc!$B$2:$B$51, "",0), F2126="10 x 2 1/2 S (Flat)", _xlfn.XLOOKUP(C2126, dd_accsrycalc!$A$2:$A$51, dd_accsrycalc!$C$2:$C$51, "",0), F2126="Tox6", _xlfn.XLOOKUP(C2126, dd_accsrycalc!$A$2:$A$51, dd_accsrycalc!$D$2:$D$51, "",0), F2126="Cover Cap", _xlfn.XLOOKUP(C2126, dd_accsrycalc!$A$2:$A$51, dd_accsrycalc!$E$2:$E$51, "",0), F2126="Drainage Cover", _xlfn.XLOOKUP(C2126, dd_accsrycalc!$A$2:$A$51, dd_accsrycalc!$F$2:$F$51, "",0),AND( F2126="Double Adhesive Tape", I2126="Roll-up Screen"), _xlfn.XLOOKUP(C2126, calc_rusacc!$C$15:$C$65, calc_rusacc!$AD$15:$AD$65, "",0),AND( F2126="Sealant", I2126="Roll-up Screen"), _xlfn.XLOOKUP(C2126, calc_rusacc!$C$15:$C$65, calc_rusacc!$AF$15:$AF$65, "",0),  AND( F2126="Main Chain", I2126="Accordion Screen"), _xlfn.XLOOKUP(C2126, calc_rusacc!$C$15:$C$65, calc_rusacc!$BF$15:$BF$65, "",0), AND( F2126="Sealant", I2126="Accordion Screen"), _xlfn.XLOOKUP(C2126, calc_rusacc!$C$15:$C$65, calc_rusacc!$BJ$15:$BJ$65, "",0),  F2126="Sealant", _xlfn.XLOOKUP(C2126, dd_accsrycalc!$A$2:$A$51, dd_accsrycalc!$G$2:$G$51, "",0),  F2126&lt;&gt;"",L2126*_xlfn.XLOOKUP(1, (SKUs!$C$2:$C$10001=G2126)*(SKUs!$K$2:$K$10001=I2126),SKUs!$E$2:$E$10001)), 0),"")</f>
        <v/>
      </c>
      <c r="E2126" s="35" t="str">
        <f>_xlfn.XLOOKUP(F2126,dd_item!$B$2:$B$105,dd_item!$C$2:$C$105,"",0)</f>
        <v/>
      </c>
      <c r="F2126" s="35"/>
      <c r="G2126" s="35" cm="1">
        <f t="array" ref="G2126">IFERROR(_xlfn.XLOOKUP(1, (SKUs!$J$2:$J$10001=accsry_unmerged!F2126)*IF(H2126&lt;&gt;"",(SKUs!$L$2:$L$10001=accsry_unmerged!H2126),1)*(SKUs!$K$2:$K$10001=I2126),SKUs!$C$2:$C$10001),"")</f>
        <v>0</v>
      </c>
      <c r="H2126" s="36" cm="1">
        <f t="array" ref="H2126">IFERROR(_xlfn.XLOOKUP(1, (dd_accsryclr!$C$2:$C$1000=accsry_unmerged!F2126)*(dd_accsryclr!$B$2:$B$1000=accsry_unmerged!J2126),dd_accsryclr!$A$2:$A$1000),"")</f>
        <v>0</v>
      </c>
      <c r="I2126" s="35">
        <f>_xlfn.XLOOKUP(C2126,'Project Details'!$C$17:$C$66,'Project Details'!$E$17:$E$66,"",0)</f>
        <v>0</v>
      </c>
      <c r="J2126" s="35">
        <f>_xlfn.XLOOKUP(C2126,'Project Details'!$C$17:$C$66,'Project Details'!$H$17:$H$66,"",0)</f>
        <v>0</v>
      </c>
      <c r="K2126" s="36" t="str">
        <f>IF(AND(_xlfn.XLOOKUP(C2126,'Project Details'!$C$17:$C$66,'Project Details'!$L$17:$L$66,"",0)&gt;550, F2126="Spring-L27cm"),"",SUBSTITUTE(_xlfn.XLOOKUP(G2126,SKUs!$C$2:$C$10001,SKUs!$F$2:$F$10001,"",0), " Accessories",""))</f>
        <v/>
      </c>
      <c r="L2126" s="36">
        <f>_xlfn.XLOOKUP(C2126,'Project Details'!$C$17:$C$66,'Project Details'!$D$17:$D$66,"",0)</f>
        <v>0</v>
      </c>
      <c r="M2126" s="43"/>
    </row>
    <row r="2127" spans="1:13" x14ac:dyDescent="0.25">
      <c r="A2127" s="43"/>
      <c r="B2127" s="43"/>
      <c r="C2127" s="16">
        <f t="shared" si="41"/>
        <v>43</v>
      </c>
      <c r="D2127" s="16" t="str" cm="1">
        <f t="array" ref="D2127">IFERROR(ROUNDUP(_xlfn.IFS(F2127="Aluminum Track", _xlfn.XLOOKUP(C2127, dd_accsrycalc!$A$2:$A$51, dd_accsrycalc!$B$2:$B$51, "",0), F2127="10 x 2 1/2 S (Flat)", _xlfn.XLOOKUP(C2127, dd_accsrycalc!$A$2:$A$51, dd_accsrycalc!$C$2:$C$51, "",0), F2127="Tox6", _xlfn.XLOOKUP(C2127, dd_accsrycalc!$A$2:$A$51, dd_accsrycalc!$D$2:$D$51, "",0), F2127="Cover Cap", _xlfn.XLOOKUP(C2127, dd_accsrycalc!$A$2:$A$51, dd_accsrycalc!$E$2:$E$51, "",0), F2127="Drainage Cover", _xlfn.XLOOKUP(C2127, dd_accsrycalc!$A$2:$A$51, dd_accsrycalc!$F$2:$F$51, "",0),AND( F2127="Double Adhesive Tape", I2127="Roll-up Screen"), _xlfn.XLOOKUP(C2127, calc_rusacc!$C$15:$C$65, calc_rusacc!$AD$15:$AD$65, "",0),AND( F2127="Sealant", I2127="Roll-up Screen"), _xlfn.XLOOKUP(C2127, calc_rusacc!$C$15:$C$65, calc_rusacc!$AF$15:$AF$65, "",0),  AND( F2127="Main Chain", I2127="Accordion Screen"), _xlfn.XLOOKUP(C2127, calc_rusacc!$C$15:$C$65, calc_rusacc!$BF$15:$BF$65, "",0), AND( F2127="Sealant", I2127="Accordion Screen"), _xlfn.XLOOKUP(C2127, calc_rusacc!$C$15:$C$65, calc_rusacc!$BJ$15:$BJ$65, "",0),  F2127="Sealant", _xlfn.XLOOKUP(C2127, dd_accsrycalc!$A$2:$A$51, dd_accsrycalc!$G$2:$G$51, "",0),  F2127&lt;&gt;"",L2127*_xlfn.XLOOKUP(1, (SKUs!$C$2:$C$10001=G2127)*(SKUs!$K$2:$K$10001=I2127),SKUs!$E$2:$E$10001)), 0),"")</f>
        <v/>
      </c>
      <c r="E2127" s="16" t="str">
        <f>_xlfn.XLOOKUP(F2127,dd_item!$B$2:$B$105,dd_item!$C$2:$C$105,"",0)</f>
        <v/>
      </c>
      <c r="F2127" s="16"/>
      <c r="G2127" s="16" cm="1">
        <f t="array" ref="G2127">IFERROR(_xlfn.XLOOKUP(1, (SKUs!$J$2:$J$10001=accsry_unmerged!F2127)*IF(H2127&lt;&gt;"",(SKUs!$L$2:$L$10001=accsry_unmerged!H2127),1)*(SKUs!$K$2:$K$10001=I2127),SKUs!$C$2:$C$10001),"")</f>
        <v>0</v>
      </c>
      <c r="H2127" s="33" cm="1">
        <f t="array" ref="H2127">IFERROR(_xlfn.XLOOKUP(1, (dd_accsryclr!$C$2:$C$1000=accsry_unmerged!F2127)*(dd_accsryclr!$B$2:$B$1000=accsry_unmerged!J2127),dd_accsryclr!$A$2:$A$1000),"")</f>
        <v>0</v>
      </c>
      <c r="I2127" s="16">
        <f>_xlfn.XLOOKUP(C2127,'Project Details'!$C$17:$C$66,'Project Details'!$E$17:$E$66,"",0)</f>
        <v>0</v>
      </c>
      <c r="J2127" s="16">
        <f>_xlfn.XLOOKUP(C2127,'Project Details'!$C$17:$C$66,'Project Details'!$H$17:$H$66,"",0)</f>
        <v>0</v>
      </c>
      <c r="K2127" s="33" t="str">
        <f>IF(AND(_xlfn.XLOOKUP(C2127,'Project Details'!$C$17:$C$66,'Project Details'!$L$17:$L$66,"",0)&gt;550, F2127="Spring-L27cm"),"",SUBSTITUTE(_xlfn.XLOOKUP(G2127,SKUs!$C$2:$C$10001,SKUs!$F$2:$F$10001,"",0), " Accessories",""))</f>
        <v/>
      </c>
      <c r="L2127" s="33">
        <f>_xlfn.XLOOKUP(C2127,'Project Details'!$C$17:$C$66,'Project Details'!$D$17:$D$66,"",0)</f>
        <v>0</v>
      </c>
      <c r="M2127" s="43"/>
    </row>
    <row r="2128" spans="1:13" x14ac:dyDescent="0.25">
      <c r="A2128" s="43"/>
      <c r="B2128" s="43"/>
      <c r="C2128" s="35">
        <f t="shared" si="41"/>
        <v>43</v>
      </c>
      <c r="D2128" s="35" t="str" cm="1">
        <f t="array" ref="D2128">IFERROR(ROUNDUP(_xlfn.IFS(F2128="Aluminum Track", _xlfn.XLOOKUP(C2128, dd_accsrycalc!$A$2:$A$51, dd_accsrycalc!$B$2:$B$51, "",0), F2128="10 x 2 1/2 S (Flat)", _xlfn.XLOOKUP(C2128, dd_accsrycalc!$A$2:$A$51, dd_accsrycalc!$C$2:$C$51, "",0), F2128="Tox6", _xlfn.XLOOKUP(C2128, dd_accsrycalc!$A$2:$A$51, dd_accsrycalc!$D$2:$D$51, "",0), F2128="Cover Cap", _xlfn.XLOOKUP(C2128, dd_accsrycalc!$A$2:$A$51, dd_accsrycalc!$E$2:$E$51, "",0), F2128="Drainage Cover", _xlfn.XLOOKUP(C2128, dd_accsrycalc!$A$2:$A$51, dd_accsrycalc!$F$2:$F$51, "",0),AND( F2128="Double Adhesive Tape", I2128="Roll-up Screen"), _xlfn.XLOOKUP(C2128, calc_rusacc!$C$15:$C$65, calc_rusacc!$AD$15:$AD$65, "",0),AND( F2128="Sealant", I2128="Roll-up Screen"), _xlfn.XLOOKUP(C2128, calc_rusacc!$C$15:$C$65, calc_rusacc!$AF$15:$AF$65, "",0),  AND( F2128="Main Chain", I2128="Accordion Screen"), _xlfn.XLOOKUP(C2128, calc_rusacc!$C$15:$C$65, calc_rusacc!$BF$15:$BF$65, "",0), AND( F2128="Sealant", I2128="Accordion Screen"), _xlfn.XLOOKUP(C2128, calc_rusacc!$C$15:$C$65, calc_rusacc!$BJ$15:$BJ$65, "",0),  F2128="Sealant", _xlfn.XLOOKUP(C2128, dd_accsrycalc!$A$2:$A$51, dd_accsrycalc!$G$2:$G$51, "",0),  F2128&lt;&gt;"",L2128*_xlfn.XLOOKUP(1, (SKUs!$C$2:$C$10001=G2128)*(SKUs!$K$2:$K$10001=I2128),SKUs!$E$2:$E$10001)), 0),"")</f>
        <v/>
      </c>
      <c r="E2128" s="35" t="str">
        <f>_xlfn.XLOOKUP(F2128,dd_item!$B$2:$B$105,dd_item!$C$2:$C$105,"",0)</f>
        <v/>
      </c>
      <c r="F2128" s="35"/>
      <c r="G2128" s="35" cm="1">
        <f t="array" ref="G2128">IFERROR(_xlfn.XLOOKUP(1, (SKUs!$J$2:$J$10001=accsry_unmerged!F2128)*IF(H2128&lt;&gt;"",(SKUs!$L$2:$L$10001=accsry_unmerged!H2128),1)*(SKUs!$K$2:$K$10001=I2128),SKUs!$C$2:$C$10001),"")</f>
        <v>0</v>
      </c>
      <c r="H2128" s="36" cm="1">
        <f t="array" ref="H2128">IFERROR(_xlfn.XLOOKUP(1, (dd_accsryclr!$C$2:$C$1000=accsry_unmerged!F2128)*(dd_accsryclr!$B$2:$B$1000=accsry_unmerged!J2128),dd_accsryclr!$A$2:$A$1000),"")</f>
        <v>0</v>
      </c>
      <c r="I2128" s="35">
        <f>_xlfn.XLOOKUP(C2128,'Project Details'!$C$17:$C$66,'Project Details'!$E$17:$E$66,"",0)</f>
        <v>0</v>
      </c>
      <c r="J2128" s="35">
        <f>_xlfn.XLOOKUP(C2128,'Project Details'!$C$17:$C$66,'Project Details'!$H$17:$H$66,"",0)</f>
        <v>0</v>
      </c>
      <c r="K2128" s="36" t="str">
        <f>IF(AND(_xlfn.XLOOKUP(C2128,'Project Details'!$C$17:$C$66,'Project Details'!$L$17:$L$66,"",0)&gt;550, F2128="Spring-L27cm"),"",SUBSTITUTE(_xlfn.XLOOKUP(G2128,SKUs!$C$2:$C$10001,SKUs!$F$2:$F$10001,"",0), " Accessories",""))</f>
        <v/>
      </c>
      <c r="L2128" s="36">
        <f>_xlfn.XLOOKUP(C2128,'Project Details'!$C$17:$C$66,'Project Details'!$D$17:$D$66,"",0)</f>
        <v>0</v>
      </c>
      <c r="M2128" s="43"/>
    </row>
    <row r="2129" spans="1:13" x14ac:dyDescent="0.25">
      <c r="A2129" s="43"/>
      <c r="B2129" s="43"/>
      <c r="C2129" s="16">
        <f t="shared" si="41"/>
        <v>43</v>
      </c>
      <c r="D2129" s="16" t="str" cm="1">
        <f t="array" ref="D2129">IFERROR(ROUNDUP(_xlfn.IFS(F2129="Aluminum Track", _xlfn.XLOOKUP(C2129, dd_accsrycalc!$A$2:$A$51, dd_accsrycalc!$B$2:$B$51, "",0), F2129="10 x 2 1/2 S (Flat)", _xlfn.XLOOKUP(C2129, dd_accsrycalc!$A$2:$A$51, dd_accsrycalc!$C$2:$C$51, "",0), F2129="Tox6", _xlfn.XLOOKUP(C2129, dd_accsrycalc!$A$2:$A$51, dd_accsrycalc!$D$2:$D$51, "",0), F2129="Cover Cap", _xlfn.XLOOKUP(C2129, dd_accsrycalc!$A$2:$A$51, dd_accsrycalc!$E$2:$E$51, "",0), F2129="Drainage Cover", _xlfn.XLOOKUP(C2129, dd_accsrycalc!$A$2:$A$51, dd_accsrycalc!$F$2:$F$51, "",0),AND( F2129="Double Adhesive Tape", I2129="Roll-up Screen"), _xlfn.XLOOKUP(C2129, calc_rusacc!$C$15:$C$65, calc_rusacc!$AD$15:$AD$65, "",0),AND( F2129="Sealant", I2129="Roll-up Screen"), _xlfn.XLOOKUP(C2129, calc_rusacc!$C$15:$C$65, calc_rusacc!$AF$15:$AF$65, "",0),  AND( F2129="Main Chain", I2129="Accordion Screen"), _xlfn.XLOOKUP(C2129, calc_rusacc!$C$15:$C$65, calc_rusacc!$BF$15:$BF$65, "",0), AND( F2129="Sealant", I2129="Accordion Screen"), _xlfn.XLOOKUP(C2129, calc_rusacc!$C$15:$C$65, calc_rusacc!$BJ$15:$BJ$65, "",0),  F2129="Sealant", _xlfn.XLOOKUP(C2129, dd_accsrycalc!$A$2:$A$51, dd_accsrycalc!$G$2:$G$51, "",0),  F2129&lt;&gt;"",L2129*_xlfn.XLOOKUP(1, (SKUs!$C$2:$C$10001=G2129)*(SKUs!$K$2:$K$10001=I2129),SKUs!$E$2:$E$10001)), 0),"")</f>
        <v/>
      </c>
      <c r="E2129" s="16" t="str">
        <f>_xlfn.XLOOKUP(F2129,dd_item!$B$2:$B$105,dd_item!$C$2:$C$105,"",0)</f>
        <v/>
      </c>
      <c r="F2129" s="16"/>
      <c r="G2129" s="16" cm="1">
        <f t="array" ref="G2129">IFERROR(_xlfn.XLOOKUP(1, (SKUs!$J$2:$J$10001=accsry_unmerged!F2129)*IF(H2129&lt;&gt;"",(SKUs!$L$2:$L$10001=accsry_unmerged!H2129),1)*(SKUs!$K$2:$K$10001=I2129),SKUs!$C$2:$C$10001),"")</f>
        <v>0</v>
      </c>
      <c r="H2129" s="33" cm="1">
        <f t="array" ref="H2129">IFERROR(_xlfn.XLOOKUP(1, (dd_accsryclr!$C$2:$C$1000=accsry_unmerged!F2129)*(dd_accsryclr!$B$2:$B$1000=accsry_unmerged!J2129),dd_accsryclr!$A$2:$A$1000),"")</f>
        <v>0</v>
      </c>
      <c r="I2129" s="16">
        <f>_xlfn.XLOOKUP(C2129,'Project Details'!$C$17:$C$66,'Project Details'!$E$17:$E$66,"",0)</f>
        <v>0</v>
      </c>
      <c r="J2129" s="16">
        <f>_xlfn.XLOOKUP(C2129,'Project Details'!$C$17:$C$66,'Project Details'!$H$17:$H$66,"",0)</f>
        <v>0</v>
      </c>
      <c r="K2129" s="33" t="str">
        <f>IF(AND(_xlfn.XLOOKUP(C2129,'Project Details'!$C$17:$C$66,'Project Details'!$L$17:$L$66,"",0)&gt;550, F2129="Spring-L27cm"),"",SUBSTITUTE(_xlfn.XLOOKUP(G2129,SKUs!$C$2:$C$10001,SKUs!$F$2:$F$10001,"",0), " Accessories",""))</f>
        <v/>
      </c>
      <c r="L2129" s="33">
        <f>_xlfn.XLOOKUP(C2129,'Project Details'!$C$17:$C$66,'Project Details'!$D$17:$D$66,"",0)</f>
        <v>0</v>
      </c>
      <c r="M2129" s="43"/>
    </row>
    <row r="2130" spans="1:13" x14ac:dyDescent="0.25">
      <c r="A2130" s="43"/>
      <c r="B2130" s="43"/>
      <c r="C2130" s="35">
        <f t="shared" si="41"/>
        <v>43</v>
      </c>
      <c r="D2130" s="35" t="str" cm="1">
        <f t="array" ref="D2130">IFERROR(ROUNDUP(_xlfn.IFS(F2130="Aluminum Track", _xlfn.XLOOKUP(C2130, dd_accsrycalc!$A$2:$A$51, dd_accsrycalc!$B$2:$B$51, "",0), F2130="10 x 2 1/2 S (Flat)", _xlfn.XLOOKUP(C2130, dd_accsrycalc!$A$2:$A$51, dd_accsrycalc!$C$2:$C$51, "",0), F2130="Tox6", _xlfn.XLOOKUP(C2130, dd_accsrycalc!$A$2:$A$51, dd_accsrycalc!$D$2:$D$51, "",0), F2130="Cover Cap", _xlfn.XLOOKUP(C2130, dd_accsrycalc!$A$2:$A$51, dd_accsrycalc!$E$2:$E$51, "",0), F2130="Drainage Cover", _xlfn.XLOOKUP(C2130, dd_accsrycalc!$A$2:$A$51, dd_accsrycalc!$F$2:$F$51, "",0),AND( F2130="Double Adhesive Tape", I2130="Roll-up Screen"), _xlfn.XLOOKUP(C2130, calc_rusacc!$C$15:$C$65, calc_rusacc!$AD$15:$AD$65, "",0),AND( F2130="Sealant", I2130="Roll-up Screen"), _xlfn.XLOOKUP(C2130, calc_rusacc!$C$15:$C$65, calc_rusacc!$AF$15:$AF$65, "",0),  AND( F2130="Main Chain", I2130="Accordion Screen"), _xlfn.XLOOKUP(C2130, calc_rusacc!$C$15:$C$65, calc_rusacc!$BF$15:$BF$65, "",0), AND( F2130="Sealant", I2130="Accordion Screen"), _xlfn.XLOOKUP(C2130, calc_rusacc!$C$15:$C$65, calc_rusacc!$BJ$15:$BJ$65, "",0),  F2130="Sealant", _xlfn.XLOOKUP(C2130, dd_accsrycalc!$A$2:$A$51, dd_accsrycalc!$G$2:$G$51, "",0),  F2130&lt;&gt;"",L2130*_xlfn.XLOOKUP(1, (SKUs!$C$2:$C$10001=G2130)*(SKUs!$K$2:$K$10001=I2130),SKUs!$E$2:$E$10001)), 0),"")</f>
        <v/>
      </c>
      <c r="E2130" s="35" t="str">
        <f>_xlfn.XLOOKUP(F2130,dd_item!$B$2:$B$105,dd_item!$C$2:$C$105,"",0)</f>
        <v/>
      </c>
      <c r="F2130" s="35"/>
      <c r="G2130" s="35" cm="1">
        <f t="array" ref="G2130">IFERROR(_xlfn.XLOOKUP(1, (SKUs!$J$2:$J$10001=accsry_unmerged!F2130)*IF(H2130&lt;&gt;"",(SKUs!$L$2:$L$10001=accsry_unmerged!H2130),1)*(SKUs!$K$2:$K$10001=I2130),SKUs!$C$2:$C$10001),"")</f>
        <v>0</v>
      </c>
      <c r="H2130" s="36" cm="1">
        <f t="array" ref="H2130">IFERROR(_xlfn.XLOOKUP(1, (dd_accsryclr!$C$2:$C$1000=accsry_unmerged!F2130)*(dd_accsryclr!$B$2:$B$1000=accsry_unmerged!J2130),dd_accsryclr!$A$2:$A$1000),"")</f>
        <v>0</v>
      </c>
      <c r="I2130" s="35">
        <f>_xlfn.XLOOKUP(C2130,'Project Details'!$C$17:$C$66,'Project Details'!$E$17:$E$66,"",0)</f>
        <v>0</v>
      </c>
      <c r="J2130" s="35">
        <f>_xlfn.XLOOKUP(C2130,'Project Details'!$C$17:$C$66,'Project Details'!$H$17:$H$66,"",0)</f>
        <v>0</v>
      </c>
      <c r="K2130" s="36" t="str">
        <f>IF(AND(_xlfn.XLOOKUP(C2130,'Project Details'!$C$17:$C$66,'Project Details'!$L$17:$L$66,"",0)&gt;550, F2130="Spring-L27cm"),"",SUBSTITUTE(_xlfn.XLOOKUP(G2130,SKUs!$C$2:$C$10001,SKUs!$F$2:$F$10001,"",0), " Accessories",""))</f>
        <v/>
      </c>
      <c r="L2130" s="36">
        <f>_xlfn.XLOOKUP(C2130,'Project Details'!$C$17:$C$66,'Project Details'!$D$17:$D$66,"",0)</f>
        <v>0</v>
      </c>
      <c r="M2130" s="43"/>
    </row>
    <row r="2131" spans="1:13" x14ac:dyDescent="0.25">
      <c r="A2131" s="43"/>
      <c r="B2131" s="43"/>
      <c r="C2131" s="16">
        <f t="shared" si="41"/>
        <v>43</v>
      </c>
      <c r="D2131" s="16" t="str" cm="1">
        <f t="array" ref="D2131">IFERROR(ROUNDUP(_xlfn.IFS(F2131="Aluminum Track", _xlfn.XLOOKUP(C2131, dd_accsrycalc!$A$2:$A$51, dd_accsrycalc!$B$2:$B$51, "",0), F2131="10 x 2 1/2 S (Flat)", _xlfn.XLOOKUP(C2131, dd_accsrycalc!$A$2:$A$51, dd_accsrycalc!$C$2:$C$51, "",0), F2131="Tox6", _xlfn.XLOOKUP(C2131, dd_accsrycalc!$A$2:$A$51, dd_accsrycalc!$D$2:$D$51, "",0), F2131="Cover Cap", _xlfn.XLOOKUP(C2131, dd_accsrycalc!$A$2:$A$51, dd_accsrycalc!$E$2:$E$51, "",0), F2131="Drainage Cover", _xlfn.XLOOKUP(C2131, dd_accsrycalc!$A$2:$A$51, dd_accsrycalc!$F$2:$F$51, "",0),AND( F2131="Double Adhesive Tape", I2131="Roll-up Screen"), _xlfn.XLOOKUP(C2131, calc_rusacc!$C$15:$C$65, calc_rusacc!$AD$15:$AD$65, "",0),AND( F2131="Sealant", I2131="Roll-up Screen"), _xlfn.XLOOKUP(C2131, calc_rusacc!$C$15:$C$65, calc_rusacc!$AF$15:$AF$65, "",0),  AND( F2131="Main Chain", I2131="Accordion Screen"), _xlfn.XLOOKUP(C2131, calc_rusacc!$C$15:$C$65, calc_rusacc!$BF$15:$BF$65, "",0), AND( F2131="Sealant", I2131="Accordion Screen"), _xlfn.XLOOKUP(C2131, calc_rusacc!$C$15:$C$65, calc_rusacc!$BJ$15:$BJ$65, "",0),  F2131="Sealant", _xlfn.XLOOKUP(C2131, dd_accsrycalc!$A$2:$A$51, dd_accsrycalc!$G$2:$G$51, "",0),  F2131&lt;&gt;"",L2131*_xlfn.XLOOKUP(1, (SKUs!$C$2:$C$10001=G2131)*(SKUs!$K$2:$K$10001=I2131),SKUs!$E$2:$E$10001)), 0),"")</f>
        <v/>
      </c>
      <c r="E2131" s="16" t="str">
        <f>_xlfn.XLOOKUP(F2131,dd_item!$B$2:$B$105,dd_item!$C$2:$C$105,"",0)</f>
        <v/>
      </c>
      <c r="F2131" s="16"/>
      <c r="G2131" s="16" cm="1">
        <f t="array" ref="G2131">IFERROR(_xlfn.XLOOKUP(1, (SKUs!$J$2:$J$10001=accsry_unmerged!F2131)*IF(H2131&lt;&gt;"",(SKUs!$L$2:$L$10001=accsry_unmerged!H2131),1)*(SKUs!$K$2:$K$10001=I2131),SKUs!$C$2:$C$10001),"")</f>
        <v>0</v>
      </c>
      <c r="H2131" s="33" cm="1">
        <f t="array" ref="H2131">IFERROR(_xlfn.XLOOKUP(1, (dd_accsryclr!$C$2:$C$1000=accsry_unmerged!F2131)*(dd_accsryclr!$B$2:$B$1000=accsry_unmerged!J2131),dd_accsryclr!$A$2:$A$1000),"")</f>
        <v>0</v>
      </c>
      <c r="I2131" s="16">
        <f>_xlfn.XLOOKUP(C2131,'Project Details'!$C$17:$C$66,'Project Details'!$E$17:$E$66,"",0)</f>
        <v>0</v>
      </c>
      <c r="J2131" s="16">
        <f>_xlfn.XLOOKUP(C2131,'Project Details'!$C$17:$C$66,'Project Details'!$H$17:$H$66,"",0)</f>
        <v>0</v>
      </c>
      <c r="K2131" s="33" t="str">
        <f>IF(AND(_xlfn.XLOOKUP(C2131,'Project Details'!$C$17:$C$66,'Project Details'!$L$17:$L$66,"",0)&gt;550, F2131="Spring-L27cm"),"",SUBSTITUTE(_xlfn.XLOOKUP(G2131,SKUs!$C$2:$C$10001,SKUs!$F$2:$F$10001,"",0), " Accessories",""))</f>
        <v/>
      </c>
      <c r="L2131" s="33">
        <f>_xlfn.XLOOKUP(C2131,'Project Details'!$C$17:$C$66,'Project Details'!$D$17:$D$66,"",0)</f>
        <v>0</v>
      </c>
      <c r="M2131" s="43"/>
    </row>
    <row r="2132" spans="1:13" x14ac:dyDescent="0.25">
      <c r="A2132" s="43"/>
      <c r="B2132" s="43"/>
      <c r="C2132" s="35">
        <f t="shared" si="41"/>
        <v>43</v>
      </c>
      <c r="D2132" s="35" t="str" cm="1">
        <f t="array" ref="D2132">IFERROR(ROUNDUP(_xlfn.IFS(F2132="Aluminum Track", _xlfn.XLOOKUP(C2132, dd_accsrycalc!$A$2:$A$51, dd_accsrycalc!$B$2:$B$51, "",0), F2132="10 x 2 1/2 S (Flat)", _xlfn.XLOOKUP(C2132, dd_accsrycalc!$A$2:$A$51, dd_accsrycalc!$C$2:$C$51, "",0), F2132="Tox6", _xlfn.XLOOKUP(C2132, dd_accsrycalc!$A$2:$A$51, dd_accsrycalc!$D$2:$D$51, "",0), F2132="Cover Cap", _xlfn.XLOOKUP(C2132, dd_accsrycalc!$A$2:$A$51, dd_accsrycalc!$E$2:$E$51, "",0), F2132="Drainage Cover", _xlfn.XLOOKUP(C2132, dd_accsrycalc!$A$2:$A$51, dd_accsrycalc!$F$2:$F$51, "",0),AND( F2132="Double Adhesive Tape", I2132="Roll-up Screen"), _xlfn.XLOOKUP(C2132, calc_rusacc!$C$15:$C$65, calc_rusacc!$AD$15:$AD$65, "",0),AND( F2132="Sealant", I2132="Roll-up Screen"), _xlfn.XLOOKUP(C2132, calc_rusacc!$C$15:$C$65, calc_rusacc!$AF$15:$AF$65, "",0),  AND( F2132="Main Chain", I2132="Accordion Screen"), _xlfn.XLOOKUP(C2132, calc_rusacc!$C$15:$C$65, calc_rusacc!$BF$15:$BF$65, "",0), AND( F2132="Sealant", I2132="Accordion Screen"), _xlfn.XLOOKUP(C2132, calc_rusacc!$C$15:$C$65, calc_rusacc!$BJ$15:$BJ$65, "",0),  F2132="Sealant", _xlfn.XLOOKUP(C2132, dd_accsrycalc!$A$2:$A$51, dd_accsrycalc!$G$2:$G$51, "",0),  F2132&lt;&gt;"",L2132*_xlfn.XLOOKUP(1, (SKUs!$C$2:$C$10001=G2132)*(SKUs!$K$2:$K$10001=I2132),SKUs!$E$2:$E$10001)), 0),"")</f>
        <v/>
      </c>
      <c r="E2132" s="35" t="str">
        <f>_xlfn.XLOOKUP(F2132,dd_item!$B$2:$B$105,dd_item!$C$2:$C$105,"",0)</f>
        <v/>
      </c>
      <c r="F2132" s="35"/>
      <c r="G2132" s="35" cm="1">
        <f t="array" ref="G2132">IFERROR(_xlfn.XLOOKUP(1, (SKUs!$J$2:$J$10001=accsry_unmerged!F2132)*IF(H2132&lt;&gt;"",(SKUs!$L$2:$L$10001=accsry_unmerged!H2132),1)*(SKUs!$K$2:$K$10001=I2132),SKUs!$C$2:$C$10001),"")</f>
        <v>0</v>
      </c>
      <c r="H2132" s="36" cm="1">
        <f t="array" ref="H2132">IFERROR(_xlfn.XLOOKUP(1, (dd_accsryclr!$C$2:$C$1000=accsry_unmerged!F2132)*(dd_accsryclr!$B$2:$B$1000=accsry_unmerged!J2132),dd_accsryclr!$A$2:$A$1000),"")</f>
        <v>0</v>
      </c>
      <c r="I2132" s="35">
        <f>_xlfn.XLOOKUP(C2132,'Project Details'!$C$17:$C$66,'Project Details'!$E$17:$E$66,"",0)</f>
        <v>0</v>
      </c>
      <c r="J2132" s="35">
        <f>_xlfn.XLOOKUP(C2132,'Project Details'!$C$17:$C$66,'Project Details'!$H$17:$H$66,"",0)</f>
        <v>0</v>
      </c>
      <c r="K2132" s="36" t="str">
        <f>IF(AND(_xlfn.XLOOKUP(C2132,'Project Details'!$C$17:$C$66,'Project Details'!$L$17:$L$66,"",0)&gt;550, F2132="Spring-L27cm"),"",SUBSTITUTE(_xlfn.XLOOKUP(G2132,SKUs!$C$2:$C$10001,SKUs!$F$2:$F$10001,"",0), " Accessories",""))</f>
        <v/>
      </c>
      <c r="L2132" s="36">
        <f>_xlfn.XLOOKUP(C2132,'Project Details'!$C$17:$C$66,'Project Details'!$D$17:$D$66,"",0)</f>
        <v>0</v>
      </c>
      <c r="M2132" s="43"/>
    </row>
    <row r="2133" spans="1:13" x14ac:dyDescent="0.25">
      <c r="A2133" s="43"/>
      <c r="B2133" s="43"/>
      <c r="C2133" s="16">
        <f t="shared" si="41"/>
        <v>43</v>
      </c>
      <c r="D2133" s="16" t="str" cm="1">
        <f t="array" ref="D2133">IFERROR(ROUNDUP(_xlfn.IFS(F2133="Aluminum Track", _xlfn.XLOOKUP(C2133, dd_accsrycalc!$A$2:$A$51, dd_accsrycalc!$B$2:$B$51, "",0), F2133="10 x 2 1/2 S (Flat)", _xlfn.XLOOKUP(C2133, dd_accsrycalc!$A$2:$A$51, dd_accsrycalc!$C$2:$C$51, "",0), F2133="Tox6", _xlfn.XLOOKUP(C2133, dd_accsrycalc!$A$2:$A$51, dd_accsrycalc!$D$2:$D$51, "",0), F2133="Cover Cap", _xlfn.XLOOKUP(C2133, dd_accsrycalc!$A$2:$A$51, dd_accsrycalc!$E$2:$E$51, "",0), F2133="Drainage Cover", _xlfn.XLOOKUP(C2133, dd_accsrycalc!$A$2:$A$51, dd_accsrycalc!$F$2:$F$51, "",0),AND( F2133="Double Adhesive Tape", I2133="Roll-up Screen"), _xlfn.XLOOKUP(C2133, calc_rusacc!$C$15:$C$65, calc_rusacc!$AD$15:$AD$65, "",0),AND( F2133="Sealant", I2133="Roll-up Screen"), _xlfn.XLOOKUP(C2133, calc_rusacc!$C$15:$C$65, calc_rusacc!$AF$15:$AF$65, "",0),  AND( F2133="Main Chain", I2133="Accordion Screen"), _xlfn.XLOOKUP(C2133, calc_rusacc!$C$15:$C$65, calc_rusacc!$BF$15:$BF$65, "",0), AND( F2133="Sealant", I2133="Accordion Screen"), _xlfn.XLOOKUP(C2133, calc_rusacc!$C$15:$C$65, calc_rusacc!$BJ$15:$BJ$65, "",0),  F2133="Sealant", _xlfn.XLOOKUP(C2133, dd_accsrycalc!$A$2:$A$51, dd_accsrycalc!$G$2:$G$51, "",0),  F2133&lt;&gt;"",L2133*_xlfn.XLOOKUP(1, (SKUs!$C$2:$C$10001=G2133)*(SKUs!$K$2:$K$10001=I2133),SKUs!$E$2:$E$10001)), 0),"")</f>
        <v/>
      </c>
      <c r="E2133" s="16" t="str">
        <f>_xlfn.XLOOKUP(F2133,dd_item!$B$2:$B$105,dd_item!$C$2:$C$105,"",0)</f>
        <v/>
      </c>
      <c r="F2133" s="16"/>
      <c r="G2133" s="16" cm="1">
        <f t="array" ref="G2133">IFERROR(_xlfn.XLOOKUP(1, (SKUs!$J$2:$J$10001=accsry_unmerged!F2133)*IF(H2133&lt;&gt;"",(SKUs!$L$2:$L$10001=accsry_unmerged!H2133),1)*(SKUs!$K$2:$K$10001=I2133),SKUs!$C$2:$C$10001),"")</f>
        <v>0</v>
      </c>
      <c r="H2133" s="33" cm="1">
        <f t="array" ref="H2133">IFERROR(_xlfn.XLOOKUP(1, (dd_accsryclr!$C$2:$C$1000=accsry_unmerged!F2133)*(dd_accsryclr!$B$2:$B$1000=accsry_unmerged!J2133),dd_accsryclr!$A$2:$A$1000),"")</f>
        <v>0</v>
      </c>
      <c r="I2133" s="16">
        <f>_xlfn.XLOOKUP(C2133,'Project Details'!$C$17:$C$66,'Project Details'!$E$17:$E$66,"",0)</f>
        <v>0</v>
      </c>
      <c r="J2133" s="16">
        <f>_xlfn.XLOOKUP(C2133,'Project Details'!$C$17:$C$66,'Project Details'!$H$17:$H$66,"",0)</f>
        <v>0</v>
      </c>
      <c r="K2133" s="33" t="str">
        <f>IF(AND(_xlfn.XLOOKUP(C2133,'Project Details'!$C$17:$C$66,'Project Details'!$L$17:$L$66,"",0)&gt;550, F2133="Spring-L27cm"),"",SUBSTITUTE(_xlfn.XLOOKUP(G2133,SKUs!$C$2:$C$10001,SKUs!$F$2:$F$10001,"",0), " Accessories",""))</f>
        <v/>
      </c>
      <c r="L2133" s="33">
        <f>_xlfn.XLOOKUP(C2133,'Project Details'!$C$17:$C$66,'Project Details'!$D$17:$D$66,"",0)</f>
        <v>0</v>
      </c>
      <c r="M2133" s="43"/>
    </row>
    <row r="2134" spans="1:13" ht="13.5" customHeight="1" x14ac:dyDescent="0.25">
      <c r="A2134" s="43"/>
      <c r="B2134" s="43"/>
      <c r="C2134" s="35">
        <f t="shared" si="41"/>
        <v>43</v>
      </c>
      <c r="D2134" s="35" t="str" cm="1">
        <f t="array" ref="D2134">IFERROR(ROUNDUP(_xlfn.IFS(F2134="Aluminum Track", _xlfn.XLOOKUP(C2134, dd_accsrycalc!$A$2:$A$51, dd_accsrycalc!$B$2:$B$51, "",0), F2134="10 x 2 1/2 S (Flat)", _xlfn.XLOOKUP(C2134, dd_accsrycalc!$A$2:$A$51, dd_accsrycalc!$C$2:$C$51, "",0), F2134="Tox6", _xlfn.XLOOKUP(C2134, dd_accsrycalc!$A$2:$A$51, dd_accsrycalc!$D$2:$D$51, "",0), F2134="Cover Cap", _xlfn.XLOOKUP(C2134, dd_accsrycalc!$A$2:$A$51, dd_accsrycalc!$E$2:$E$51, "",0), F2134="Drainage Cover", _xlfn.XLOOKUP(C2134, dd_accsrycalc!$A$2:$A$51, dd_accsrycalc!$F$2:$F$51, "",0),AND( F2134="Double Adhesive Tape", I2134="Roll-up Screen"), _xlfn.XLOOKUP(C2134, calc_rusacc!$C$15:$C$65, calc_rusacc!$AD$15:$AD$65, "",0),AND( F2134="Sealant", I2134="Roll-up Screen"), _xlfn.XLOOKUP(C2134, calc_rusacc!$C$15:$C$65, calc_rusacc!$AF$15:$AF$65, "",0),  AND( F2134="Main Chain", I2134="Accordion Screen"), _xlfn.XLOOKUP(C2134, calc_rusacc!$C$15:$C$65, calc_rusacc!$BF$15:$BF$65, "",0), AND( F2134="Sealant", I2134="Accordion Screen"), _xlfn.XLOOKUP(C2134, calc_rusacc!$C$15:$C$65, calc_rusacc!$BJ$15:$BJ$65, "",0),  F2134="Sealant", _xlfn.XLOOKUP(C2134, dd_accsrycalc!$A$2:$A$51, dd_accsrycalc!$G$2:$G$51, "",0),  F2134&lt;&gt;"",L2134*_xlfn.XLOOKUP(1, (SKUs!$C$2:$C$10001=G2134)*(SKUs!$K$2:$K$10001=I2134),SKUs!$E$2:$E$10001)), 0),"")</f>
        <v/>
      </c>
      <c r="E2134" s="35" t="str">
        <f>_xlfn.XLOOKUP(F2134,dd_item!$B$2:$B$105,dd_item!$C$2:$C$105,"",0)</f>
        <v/>
      </c>
      <c r="F2134" s="35"/>
      <c r="G2134" s="35" cm="1">
        <f t="array" ref="G2134">IFERROR(_xlfn.XLOOKUP(1, (SKUs!$J$2:$J$10001=accsry_unmerged!F2134)*IF(H2134&lt;&gt;"",(SKUs!$L$2:$L$10001=accsry_unmerged!H2134),1)*(SKUs!$K$2:$K$10001=I2134),SKUs!$C$2:$C$10001),"")</f>
        <v>0</v>
      </c>
      <c r="H2134" s="36" cm="1">
        <f t="array" ref="H2134">IFERROR(_xlfn.XLOOKUP(1, (dd_accsryclr!$C$2:$C$1000=accsry_unmerged!F2134)*(dd_accsryclr!$B$2:$B$1000=accsry_unmerged!J2134),dd_accsryclr!$A$2:$A$1000),"")</f>
        <v>0</v>
      </c>
      <c r="I2134" s="35">
        <f>_xlfn.XLOOKUP(C2134,'Project Details'!$C$17:$C$66,'Project Details'!$E$17:$E$66,"",0)</f>
        <v>0</v>
      </c>
      <c r="J2134" s="35">
        <f>_xlfn.XLOOKUP(C2134,'Project Details'!$C$17:$C$66,'Project Details'!$H$17:$H$66,"",0)</f>
        <v>0</v>
      </c>
      <c r="K2134" s="36" t="str">
        <f>IF(AND(_xlfn.XLOOKUP(C2134,'Project Details'!$C$17:$C$66,'Project Details'!$L$17:$L$66,"",0)&gt;550, F2134="Spring-L27cm"),"",SUBSTITUTE(_xlfn.XLOOKUP(G2134,SKUs!$C$2:$C$10001,SKUs!$F$2:$F$10001,"",0), " Accessories",""))</f>
        <v/>
      </c>
      <c r="L2134" s="36">
        <f>_xlfn.XLOOKUP(C2134,'Project Details'!$C$17:$C$66,'Project Details'!$D$17:$D$66,"",0)</f>
        <v>0</v>
      </c>
      <c r="M2134" s="43"/>
    </row>
    <row r="2135" spans="1:13" ht="13.5" customHeight="1" x14ac:dyDescent="0.25">
      <c r="A2135" s="43"/>
      <c r="B2135" s="43"/>
      <c r="C2135" s="16">
        <f t="shared" si="41"/>
        <v>43</v>
      </c>
      <c r="D2135" s="16" t="str" cm="1">
        <f t="array" ref="D2135">IFERROR(ROUNDUP(_xlfn.IFS(F2135="Aluminum Track", _xlfn.XLOOKUP(C2135, dd_accsrycalc!$A$2:$A$51, dd_accsrycalc!$B$2:$B$51, "",0), F2135="10 x 2 1/2 S (Flat)", _xlfn.XLOOKUP(C2135, dd_accsrycalc!$A$2:$A$51, dd_accsrycalc!$C$2:$C$51, "",0), F2135="Tox6", _xlfn.XLOOKUP(C2135, dd_accsrycalc!$A$2:$A$51, dd_accsrycalc!$D$2:$D$51, "",0), F2135="Cover Cap", _xlfn.XLOOKUP(C2135, dd_accsrycalc!$A$2:$A$51, dd_accsrycalc!$E$2:$E$51, "",0), F2135="Drainage Cover", _xlfn.XLOOKUP(C2135, dd_accsrycalc!$A$2:$A$51, dd_accsrycalc!$F$2:$F$51, "",0),AND( F2135="Double Adhesive Tape", I2135="Roll-up Screen"), _xlfn.XLOOKUP(C2135, calc_rusacc!$C$15:$C$65, calc_rusacc!$AD$15:$AD$65, "",0),AND( F2135="Sealant", I2135="Roll-up Screen"), _xlfn.XLOOKUP(C2135, calc_rusacc!$C$15:$C$65, calc_rusacc!$AF$15:$AF$65, "",0),  AND( F2135="Main Chain", I2135="Accordion Screen"), _xlfn.XLOOKUP(C2135, calc_rusacc!$C$15:$C$65, calc_rusacc!$BF$15:$BF$65, "",0), AND( F2135="Sealant", I2135="Accordion Screen"), _xlfn.XLOOKUP(C2135, calc_rusacc!$C$15:$C$65, calc_rusacc!$BJ$15:$BJ$65, "",0),  F2135="Sealant", _xlfn.XLOOKUP(C2135, dd_accsrycalc!$A$2:$A$51, dd_accsrycalc!$G$2:$G$51, "",0),  F2135&lt;&gt;"",L2135*_xlfn.XLOOKUP(1, (SKUs!$C$2:$C$10001=G2135)*(SKUs!$K$2:$K$10001=I2135),SKUs!$E$2:$E$10001)), 0),"")</f>
        <v/>
      </c>
      <c r="E2135" s="16" t="str">
        <f>_xlfn.XLOOKUP(F2135,dd_item!$B$2:$B$105,dd_item!$C$2:$C$105,"",0)</f>
        <v/>
      </c>
      <c r="F2135" s="16"/>
      <c r="G2135" s="16" cm="1">
        <f t="array" ref="G2135">IFERROR(_xlfn.XLOOKUP(1, (SKUs!$J$2:$J$10001=accsry_unmerged!F2135)*IF(H2135&lt;&gt;"",(SKUs!$L$2:$L$10001=accsry_unmerged!H2135),1)*(SKUs!$K$2:$K$10001=I2135),SKUs!$C$2:$C$10001),"")</f>
        <v>0</v>
      </c>
      <c r="H2135" s="33" cm="1">
        <f t="array" ref="H2135">IFERROR(_xlfn.XLOOKUP(1, (dd_accsryclr!$C$2:$C$1000=accsry_unmerged!F2135)*(dd_accsryclr!$B$2:$B$1000=accsry_unmerged!J2135),dd_accsryclr!$A$2:$A$1000),"")</f>
        <v>0</v>
      </c>
      <c r="I2135" s="16">
        <f>_xlfn.XLOOKUP(C2135,'Project Details'!$C$17:$C$66,'Project Details'!$E$17:$E$66,"",0)</f>
        <v>0</v>
      </c>
      <c r="J2135" s="16">
        <f>_xlfn.XLOOKUP(C2135,'Project Details'!$C$17:$C$66,'Project Details'!$H$17:$H$66,"",0)</f>
        <v>0</v>
      </c>
      <c r="K2135" s="33" t="str">
        <f>IF(AND(_xlfn.XLOOKUP(C2135,'Project Details'!$C$17:$C$66,'Project Details'!$L$17:$L$66,"",0)&gt;550, F2135="Spring-L27cm"),"",SUBSTITUTE(_xlfn.XLOOKUP(G2135,SKUs!$C$2:$C$10001,SKUs!$F$2:$F$10001,"",0), " Accessories",""))</f>
        <v/>
      </c>
      <c r="L2135" s="33">
        <f>_xlfn.XLOOKUP(C2135,'Project Details'!$C$17:$C$66,'Project Details'!$D$17:$D$66,"",0)</f>
        <v>0</v>
      </c>
      <c r="M2135" s="43"/>
    </row>
    <row r="2136" spans="1:13" ht="13.5" customHeight="1" x14ac:dyDescent="0.25">
      <c r="A2136" s="43"/>
      <c r="B2136" s="43"/>
      <c r="C2136" s="35">
        <f t="shared" si="41"/>
        <v>43</v>
      </c>
      <c r="D2136" s="35" t="str" cm="1">
        <f t="array" ref="D2136">IFERROR(ROUNDUP(_xlfn.IFS(F2136="Aluminum Track", _xlfn.XLOOKUP(C2136, dd_accsrycalc!$A$2:$A$51, dd_accsrycalc!$B$2:$B$51, "",0), F2136="10 x 2 1/2 S (Flat)", _xlfn.XLOOKUP(C2136, dd_accsrycalc!$A$2:$A$51, dd_accsrycalc!$C$2:$C$51, "",0), F2136="Tox6", _xlfn.XLOOKUP(C2136, dd_accsrycalc!$A$2:$A$51, dd_accsrycalc!$D$2:$D$51, "",0), F2136="Cover Cap", _xlfn.XLOOKUP(C2136, dd_accsrycalc!$A$2:$A$51, dd_accsrycalc!$E$2:$E$51, "",0), F2136="Drainage Cover", _xlfn.XLOOKUP(C2136, dd_accsrycalc!$A$2:$A$51, dd_accsrycalc!$F$2:$F$51, "",0),AND( F2136="Double Adhesive Tape", I2136="Roll-up Screen"), _xlfn.XLOOKUP(C2136, calc_rusacc!$C$15:$C$65, calc_rusacc!$AD$15:$AD$65, "",0),AND( F2136="Sealant", I2136="Roll-up Screen"), _xlfn.XLOOKUP(C2136, calc_rusacc!$C$15:$C$65, calc_rusacc!$AF$15:$AF$65, "",0),  AND( F2136="Main Chain", I2136="Accordion Screen"), _xlfn.XLOOKUP(C2136, calc_rusacc!$C$15:$C$65, calc_rusacc!$BF$15:$BF$65, "",0), AND( F2136="Sealant", I2136="Accordion Screen"), _xlfn.XLOOKUP(C2136, calc_rusacc!$C$15:$C$65, calc_rusacc!$BJ$15:$BJ$65, "",0),  F2136="Sealant", _xlfn.XLOOKUP(C2136, dd_accsrycalc!$A$2:$A$51, dd_accsrycalc!$G$2:$G$51, "",0),  F2136&lt;&gt;"",L2136*_xlfn.XLOOKUP(1, (SKUs!$C$2:$C$10001=G2136)*(SKUs!$K$2:$K$10001=I2136),SKUs!$E$2:$E$10001)), 0),"")</f>
        <v/>
      </c>
      <c r="E2136" s="35" t="str">
        <f>_xlfn.XLOOKUP(F2136,dd_item!$B$2:$B$105,dd_item!$C$2:$C$105,"",0)</f>
        <v/>
      </c>
      <c r="F2136" s="35"/>
      <c r="G2136" s="35" cm="1">
        <f t="array" ref="G2136">IFERROR(_xlfn.XLOOKUP(1, (SKUs!$J$2:$J$10001=accsry_unmerged!F2136)*IF(H2136&lt;&gt;"",(SKUs!$L$2:$L$10001=accsry_unmerged!H2136),1)*(SKUs!$K$2:$K$10001=I2136),SKUs!$C$2:$C$10001),"")</f>
        <v>0</v>
      </c>
      <c r="H2136" s="36" cm="1">
        <f t="array" ref="H2136">IFERROR(_xlfn.XLOOKUP(1, (dd_accsryclr!$C$2:$C$1000=accsry_unmerged!F2136)*(dd_accsryclr!$B$2:$B$1000=accsry_unmerged!J2136),dd_accsryclr!$A$2:$A$1000),"")</f>
        <v>0</v>
      </c>
      <c r="I2136" s="35">
        <f>_xlfn.XLOOKUP(C2136,'Project Details'!$C$17:$C$66,'Project Details'!$E$17:$E$66,"",0)</f>
        <v>0</v>
      </c>
      <c r="J2136" s="35">
        <f>_xlfn.XLOOKUP(C2136,'Project Details'!$C$17:$C$66,'Project Details'!$H$17:$H$66,"",0)</f>
        <v>0</v>
      </c>
      <c r="K2136" s="36" t="str">
        <f>IF(AND(_xlfn.XLOOKUP(C2136,'Project Details'!$C$17:$C$66,'Project Details'!$L$17:$L$66,"",0)&gt;550, F2136="Spring-L27cm"),"",SUBSTITUTE(_xlfn.XLOOKUP(G2136,SKUs!$C$2:$C$10001,SKUs!$F$2:$F$10001,"",0), " Accessories",""))</f>
        <v/>
      </c>
      <c r="L2136" s="36">
        <f>_xlfn.XLOOKUP(C2136,'Project Details'!$C$17:$C$66,'Project Details'!$D$17:$D$66,"",0)</f>
        <v>0</v>
      </c>
      <c r="M2136" s="43"/>
    </row>
    <row r="2137" spans="1:13" ht="13.5" customHeight="1" x14ac:dyDescent="0.25">
      <c r="A2137" s="43"/>
      <c r="B2137" s="43"/>
      <c r="C2137" s="16">
        <f t="shared" si="41"/>
        <v>43</v>
      </c>
      <c r="D2137" s="16" t="str" cm="1">
        <f t="array" ref="D2137">IFERROR(ROUNDUP(_xlfn.IFS(F2137="Aluminum Track", _xlfn.XLOOKUP(C2137, dd_accsrycalc!$A$2:$A$51, dd_accsrycalc!$B$2:$B$51, "",0), F2137="10 x 2 1/2 S (Flat)", _xlfn.XLOOKUP(C2137, dd_accsrycalc!$A$2:$A$51, dd_accsrycalc!$C$2:$C$51, "",0), F2137="Tox6", _xlfn.XLOOKUP(C2137, dd_accsrycalc!$A$2:$A$51, dd_accsrycalc!$D$2:$D$51, "",0), F2137="Cover Cap", _xlfn.XLOOKUP(C2137, dd_accsrycalc!$A$2:$A$51, dd_accsrycalc!$E$2:$E$51, "",0), F2137="Drainage Cover", _xlfn.XLOOKUP(C2137, dd_accsrycalc!$A$2:$A$51, dd_accsrycalc!$F$2:$F$51, "",0),AND( F2137="Double Adhesive Tape", I2137="Roll-up Screen"), _xlfn.XLOOKUP(C2137, calc_rusacc!$C$15:$C$65, calc_rusacc!$AD$15:$AD$65, "",0),AND( F2137="Sealant", I2137="Roll-up Screen"), _xlfn.XLOOKUP(C2137, calc_rusacc!$C$15:$C$65, calc_rusacc!$AF$15:$AF$65, "",0),  AND( F2137="Main Chain", I2137="Accordion Screen"), _xlfn.XLOOKUP(C2137, calc_rusacc!$C$15:$C$65, calc_rusacc!$BF$15:$BF$65, "",0), AND( F2137="Sealant", I2137="Accordion Screen"), _xlfn.XLOOKUP(C2137, calc_rusacc!$C$15:$C$65, calc_rusacc!$BJ$15:$BJ$65, "",0),  F2137="Sealant", _xlfn.XLOOKUP(C2137, dd_accsrycalc!$A$2:$A$51, dd_accsrycalc!$G$2:$G$51, "",0),  F2137&lt;&gt;"",L2137*_xlfn.XLOOKUP(1, (SKUs!$C$2:$C$10001=G2137)*(SKUs!$K$2:$K$10001=I2137),SKUs!$E$2:$E$10001)), 0),"")</f>
        <v/>
      </c>
      <c r="E2137" s="16" t="str">
        <f>_xlfn.XLOOKUP(F2137,dd_item!$B$2:$B$105,dd_item!$C$2:$C$105,"",0)</f>
        <v/>
      </c>
      <c r="F2137" s="16"/>
      <c r="G2137" s="16" cm="1">
        <f t="array" ref="G2137">IFERROR(_xlfn.XLOOKUP(1, (SKUs!$J$2:$J$10001=accsry_unmerged!F2137)*IF(H2137&lt;&gt;"",(SKUs!$L$2:$L$10001=accsry_unmerged!H2137),1)*(SKUs!$K$2:$K$10001=I2137),SKUs!$C$2:$C$10001),"")</f>
        <v>0</v>
      </c>
      <c r="H2137" s="33" cm="1">
        <f t="array" ref="H2137">IFERROR(_xlfn.XLOOKUP(1, (dd_accsryclr!$C$2:$C$1000=accsry_unmerged!F2137)*(dd_accsryclr!$B$2:$B$1000=accsry_unmerged!J2137),dd_accsryclr!$A$2:$A$1000),"")</f>
        <v>0</v>
      </c>
      <c r="I2137" s="16">
        <f>_xlfn.XLOOKUP(C2137,'Project Details'!$C$17:$C$66,'Project Details'!$E$17:$E$66,"",0)</f>
        <v>0</v>
      </c>
      <c r="J2137" s="16">
        <f>_xlfn.XLOOKUP(C2137,'Project Details'!$C$17:$C$66,'Project Details'!$H$17:$H$66,"",0)</f>
        <v>0</v>
      </c>
      <c r="K2137" s="33" t="str">
        <f>IF(AND(_xlfn.XLOOKUP(C2137,'Project Details'!$C$17:$C$66,'Project Details'!$L$17:$L$66,"",0)&gt;550, F2137="Spring-L27cm"),"",SUBSTITUTE(_xlfn.XLOOKUP(G2137,SKUs!$C$2:$C$10001,SKUs!$F$2:$F$10001,"",0), " Accessories",""))</f>
        <v/>
      </c>
      <c r="L2137" s="33">
        <f>_xlfn.XLOOKUP(C2137,'Project Details'!$C$17:$C$66,'Project Details'!$D$17:$D$66,"",0)</f>
        <v>0</v>
      </c>
      <c r="M2137" s="43"/>
    </row>
    <row r="2138" spans="1:13" ht="13.5" customHeight="1" x14ac:dyDescent="0.25">
      <c r="A2138" s="43"/>
      <c r="B2138" s="43"/>
      <c r="C2138" s="35">
        <f t="shared" si="41"/>
        <v>43</v>
      </c>
      <c r="D2138" s="35" t="str" cm="1">
        <f t="array" ref="D2138">IFERROR(ROUNDUP(_xlfn.IFS(F2138="Aluminum Track", _xlfn.XLOOKUP(C2138, dd_accsrycalc!$A$2:$A$51, dd_accsrycalc!$B$2:$B$51, "",0), F2138="10 x 2 1/2 S (Flat)", _xlfn.XLOOKUP(C2138, dd_accsrycalc!$A$2:$A$51, dd_accsrycalc!$C$2:$C$51, "",0), F2138="Tox6", _xlfn.XLOOKUP(C2138, dd_accsrycalc!$A$2:$A$51, dd_accsrycalc!$D$2:$D$51, "",0), F2138="Cover Cap", _xlfn.XLOOKUP(C2138, dd_accsrycalc!$A$2:$A$51, dd_accsrycalc!$E$2:$E$51, "",0), F2138="Drainage Cover", _xlfn.XLOOKUP(C2138, dd_accsrycalc!$A$2:$A$51, dd_accsrycalc!$F$2:$F$51, "",0),AND( F2138="Double Adhesive Tape", I2138="Roll-up Screen"), _xlfn.XLOOKUP(C2138, calc_rusacc!$C$15:$C$65, calc_rusacc!$AD$15:$AD$65, "",0),AND( F2138="Sealant", I2138="Roll-up Screen"), _xlfn.XLOOKUP(C2138, calc_rusacc!$C$15:$C$65, calc_rusacc!$AF$15:$AF$65, "",0),  AND( F2138="Main Chain", I2138="Accordion Screen"), _xlfn.XLOOKUP(C2138, calc_rusacc!$C$15:$C$65, calc_rusacc!$BF$15:$BF$65, "",0), AND( F2138="Sealant", I2138="Accordion Screen"), _xlfn.XLOOKUP(C2138, calc_rusacc!$C$15:$C$65, calc_rusacc!$BJ$15:$BJ$65, "",0),  F2138="Sealant", _xlfn.XLOOKUP(C2138, dd_accsrycalc!$A$2:$A$51, dd_accsrycalc!$G$2:$G$51, "",0),  F2138&lt;&gt;"",L2138*_xlfn.XLOOKUP(1, (SKUs!$C$2:$C$10001=G2138)*(SKUs!$K$2:$K$10001=I2138),SKUs!$E$2:$E$10001)), 0),"")</f>
        <v/>
      </c>
      <c r="E2138" s="35" t="str">
        <f>_xlfn.XLOOKUP(F2138,dd_item!$B$2:$B$105,dd_item!$C$2:$C$105,"",0)</f>
        <v/>
      </c>
      <c r="F2138" s="35"/>
      <c r="G2138" s="35" cm="1">
        <f t="array" ref="G2138">IFERROR(_xlfn.XLOOKUP(1, (SKUs!$J$2:$J$10001=accsry_unmerged!F2138)*IF(H2138&lt;&gt;"",(SKUs!$L$2:$L$10001=accsry_unmerged!H2138),1)*(SKUs!$K$2:$K$10001=I2138),SKUs!$C$2:$C$10001),"")</f>
        <v>0</v>
      </c>
      <c r="H2138" s="36" cm="1">
        <f t="array" ref="H2138">IFERROR(_xlfn.XLOOKUP(1, (dd_accsryclr!$C$2:$C$1000=accsry_unmerged!F2138)*(dd_accsryclr!$B$2:$B$1000=accsry_unmerged!J2138),dd_accsryclr!$A$2:$A$1000),"")</f>
        <v>0</v>
      </c>
      <c r="I2138" s="35">
        <f>_xlfn.XLOOKUP(C2138,'Project Details'!$C$17:$C$66,'Project Details'!$E$17:$E$66,"",0)</f>
        <v>0</v>
      </c>
      <c r="J2138" s="35">
        <f>_xlfn.XLOOKUP(C2138,'Project Details'!$C$17:$C$66,'Project Details'!$H$17:$H$66,"",0)</f>
        <v>0</v>
      </c>
      <c r="K2138" s="36" t="str">
        <f>IF(AND(_xlfn.XLOOKUP(C2138,'Project Details'!$C$17:$C$66,'Project Details'!$L$17:$L$66,"",0)&gt;550, F2138="Spring-L27cm"),"",SUBSTITUTE(_xlfn.XLOOKUP(G2138,SKUs!$C$2:$C$10001,SKUs!$F$2:$F$10001,"",0), " Accessories",""))</f>
        <v/>
      </c>
      <c r="L2138" s="36">
        <f>_xlfn.XLOOKUP(C2138,'Project Details'!$C$17:$C$66,'Project Details'!$D$17:$D$66,"",0)</f>
        <v>0</v>
      </c>
      <c r="M2138" s="43"/>
    </row>
    <row r="2139" spans="1:13" ht="13.5" customHeight="1" x14ac:dyDescent="0.25">
      <c r="A2139" s="43"/>
      <c r="B2139" s="43"/>
      <c r="C2139" s="16">
        <f t="shared" si="41"/>
        <v>43</v>
      </c>
      <c r="D2139" s="16" t="str" cm="1">
        <f t="array" ref="D2139">IFERROR(ROUNDUP(_xlfn.IFS(F2139="Aluminum Track", _xlfn.XLOOKUP(C2139, dd_accsrycalc!$A$2:$A$51, dd_accsrycalc!$B$2:$B$51, "",0), F2139="10 x 2 1/2 S (Flat)", _xlfn.XLOOKUP(C2139, dd_accsrycalc!$A$2:$A$51, dd_accsrycalc!$C$2:$C$51, "",0), F2139="Tox6", _xlfn.XLOOKUP(C2139, dd_accsrycalc!$A$2:$A$51, dd_accsrycalc!$D$2:$D$51, "",0), F2139="Cover Cap", _xlfn.XLOOKUP(C2139, dd_accsrycalc!$A$2:$A$51, dd_accsrycalc!$E$2:$E$51, "",0), F2139="Drainage Cover", _xlfn.XLOOKUP(C2139, dd_accsrycalc!$A$2:$A$51, dd_accsrycalc!$F$2:$F$51, "",0),AND( F2139="Double Adhesive Tape", I2139="Roll-up Screen"), _xlfn.XLOOKUP(C2139, calc_rusacc!$C$15:$C$65, calc_rusacc!$AD$15:$AD$65, "",0),AND( F2139="Sealant", I2139="Roll-up Screen"), _xlfn.XLOOKUP(C2139, calc_rusacc!$C$15:$C$65, calc_rusacc!$AF$15:$AF$65, "",0),  AND( F2139="Main Chain", I2139="Accordion Screen"), _xlfn.XLOOKUP(C2139, calc_rusacc!$C$15:$C$65, calc_rusacc!$BF$15:$BF$65, "",0), AND( F2139="Sealant", I2139="Accordion Screen"), _xlfn.XLOOKUP(C2139, calc_rusacc!$C$15:$C$65, calc_rusacc!$BJ$15:$BJ$65, "",0),  F2139="Sealant", _xlfn.XLOOKUP(C2139, dd_accsrycalc!$A$2:$A$51, dd_accsrycalc!$G$2:$G$51, "",0),  F2139&lt;&gt;"",L2139*_xlfn.XLOOKUP(1, (SKUs!$C$2:$C$10001=G2139)*(SKUs!$K$2:$K$10001=I2139),SKUs!$E$2:$E$10001)), 0),"")</f>
        <v/>
      </c>
      <c r="E2139" s="16" t="str">
        <f>_xlfn.XLOOKUP(F2139,dd_item!$B$2:$B$105,dd_item!$C$2:$C$105,"",0)</f>
        <v/>
      </c>
      <c r="F2139" s="16"/>
      <c r="G2139" s="16" cm="1">
        <f t="array" ref="G2139">IFERROR(_xlfn.XLOOKUP(1, (SKUs!$J$2:$J$10001=accsry_unmerged!F2139)*IF(H2139&lt;&gt;"",(SKUs!$L$2:$L$10001=accsry_unmerged!H2139),1)*(SKUs!$K$2:$K$10001=I2139),SKUs!$C$2:$C$10001),"")</f>
        <v>0</v>
      </c>
      <c r="H2139" s="33" cm="1">
        <f t="array" ref="H2139">IFERROR(_xlfn.XLOOKUP(1, (dd_accsryclr!$C$2:$C$1000=accsry_unmerged!F2139)*(dd_accsryclr!$B$2:$B$1000=accsry_unmerged!J2139),dd_accsryclr!$A$2:$A$1000),"")</f>
        <v>0</v>
      </c>
      <c r="I2139" s="16">
        <f>_xlfn.XLOOKUP(C2139,'Project Details'!$C$17:$C$66,'Project Details'!$E$17:$E$66,"",0)</f>
        <v>0</v>
      </c>
      <c r="J2139" s="16">
        <f>_xlfn.XLOOKUP(C2139,'Project Details'!$C$17:$C$66,'Project Details'!$H$17:$H$66,"",0)</f>
        <v>0</v>
      </c>
      <c r="K2139" s="33" t="str">
        <f>IF(AND(_xlfn.XLOOKUP(C2139,'Project Details'!$C$17:$C$66,'Project Details'!$L$17:$L$66,"",0)&gt;550, F2139="Spring-L27cm"),"",SUBSTITUTE(_xlfn.XLOOKUP(G2139,SKUs!$C$2:$C$10001,SKUs!$F$2:$F$10001,"",0), " Accessories",""))</f>
        <v/>
      </c>
      <c r="L2139" s="33">
        <f>_xlfn.XLOOKUP(C2139,'Project Details'!$C$17:$C$66,'Project Details'!$D$17:$D$66,"",0)</f>
        <v>0</v>
      </c>
      <c r="M2139" s="43"/>
    </row>
    <row r="2140" spans="1:13" ht="13.5" customHeight="1" x14ac:dyDescent="0.25">
      <c r="A2140" s="43"/>
      <c r="B2140" s="43"/>
      <c r="C2140" s="35">
        <f t="shared" si="41"/>
        <v>43</v>
      </c>
      <c r="D2140" s="35" t="str" cm="1">
        <f t="array" ref="D2140">IFERROR(ROUNDUP(_xlfn.IFS(F2140="Aluminum Track", _xlfn.XLOOKUP(C2140, dd_accsrycalc!$A$2:$A$51, dd_accsrycalc!$B$2:$B$51, "",0), F2140="10 x 2 1/2 S (Flat)", _xlfn.XLOOKUP(C2140, dd_accsrycalc!$A$2:$A$51, dd_accsrycalc!$C$2:$C$51, "",0), F2140="Tox6", _xlfn.XLOOKUP(C2140, dd_accsrycalc!$A$2:$A$51, dd_accsrycalc!$D$2:$D$51, "",0), F2140="Cover Cap", _xlfn.XLOOKUP(C2140, dd_accsrycalc!$A$2:$A$51, dd_accsrycalc!$E$2:$E$51, "",0), F2140="Drainage Cover", _xlfn.XLOOKUP(C2140, dd_accsrycalc!$A$2:$A$51, dd_accsrycalc!$F$2:$F$51, "",0),AND( F2140="Double Adhesive Tape", I2140="Roll-up Screen"), _xlfn.XLOOKUP(C2140, calc_rusacc!$C$15:$C$65, calc_rusacc!$AD$15:$AD$65, "",0),AND( F2140="Sealant", I2140="Roll-up Screen"), _xlfn.XLOOKUP(C2140, calc_rusacc!$C$15:$C$65, calc_rusacc!$AF$15:$AF$65, "",0),  AND( F2140="Main Chain", I2140="Accordion Screen"), _xlfn.XLOOKUP(C2140, calc_rusacc!$C$15:$C$65, calc_rusacc!$BF$15:$BF$65, "",0), AND( F2140="Sealant", I2140="Accordion Screen"), _xlfn.XLOOKUP(C2140, calc_rusacc!$C$15:$C$65, calc_rusacc!$BJ$15:$BJ$65, "",0),  F2140="Sealant", _xlfn.XLOOKUP(C2140, dd_accsrycalc!$A$2:$A$51, dd_accsrycalc!$G$2:$G$51, "",0),  F2140&lt;&gt;"",L2140*_xlfn.XLOOKUP(1, (SKUs!$C$2:$C$10001=G2140)*(SKUs!$K$2:$K$10001=I2140),SKUs!$E$2:$E$10001)), 0),"")</f>
        <v/>
      </c>
      <c r="E2140" s="35" t="str">
        <f>_xlfn.XLOOKUP(F2140,dd_item!$B$2:$B$105,dd_item!$C$2:$C$105,"",0)</f>
        <v/>
      </c>
      <c r="F2140" s="35"/>
      <c r="G2140" s="35" cm="1">
        <f t="array" ref="G2140">IFERROR(_xlfn.XLOOKUP(1, (SKUs!$J$2:$J$10001=accsry_unmerged!F2140)*IF(H2140&lt;&gt;"",(SKUs!$L$2:$L$10001=accsry_unmerged!H2140),1)*(SKUs!$K$2:$K$10001=I2140),SKUs!$C$2:$C$10001),"")</f>
        <v>0</v>
      </c>
      <c r="H2140" s="36" cm="1">
        <f t="array" ref="H2140">IFERROR(_xlfn.XLOOKUP(1, (dd_accsryclr!$C$2:$C$1000=accsry_unmerged!F2140)*(dd_accsryclr!$B$2:$B$1000=accsry_unmerged!J2140),dd_accsryclr!$A$2:$A$1000),"")</f>
        <v>0</v>
      </c>
      <c r="I2140" s="35">
        <f>_xlfn.XLOOKUP(C2140,'Project Details'!$C$17:$C$66,'Project Details'!$E$17:$E$66,"",0)</f>
        <v>0</v>
      </c>
      <c r="J2140" s="35">
        <f>_xlfn.XLOOKUP(C2140,'Project Details'!$C$17:$C$66,'Project Details'!$H$17:$H$66,"",0)</f>
        <v>0</v>
      </c>
      <c r="K2140" s="36" t="str">
        <f>IF(AND(_xlfn.XLOOKUP(C2140,'Project Details'!$C$17:$C$66,'Project Details'!$L$17:$L$66,"",0)&gt;550, F2140="Spring-L27cm"),"",SUBSTITUTE(_xlfn.XLOOKUP(G2140,SKUs!$C$2:$C$10001,SKUs!$F$2:$F$10001,"",0), " Accessories",""))</f>
        <v/>
      </c>
      <c r="L2140" s="36">
        <f>_xlfn.XLOOKUP(C2140,'Project Details'!$C$17:$C$66,'Project Details'!$D$17:$D$66,"",0)</f>
        <v>0</v>
      </c>
      <c r="M2140" s="43"/>
    </row>
    <row r="2141" spans="1:13" ht="13.5" customHeight="1" x14ac:dyDescent="0.25">
      <c r="A2141" s="43"/>
      <c r="B2141" s="43"/>
      <c r="C2141" s="16">
        <f t="shared" si="41"/>
        <v>43</v>
      </c>
      <c r="D2141" s="16" t="str" cm="1">
        <f t="array" ref="D2141">IFERROR(ROUNDUP(_xlfn.IFS(F2141="Aluminum Track", _xlfn.XLOOKUP(C2141, dd_accsrycalc!$A$2:$A$51, dd_accsrycalc!$B$2:$B$51, "",0), F2141="10 x 2 1/2 S (Flat)", _xlfn.XLOOKUP(C2141, dd_accsrycalc!$A$2:$A$51, dd_accsrycalc!$C$2:$C$51, "",0), F2141="Tox6", _xlfn.XLOOKUP(C2141, dd_accsrycalc!$A$2:$A$51, dd_accsrycalc!$D$2:$D$51, "",0), F2141="Cover Cap", _xlfn.XLOOKUP(C2141, dd_accsrycalc!$A$2:$A$51, dd_accsrycalc!$E$2:$E$51, "",0), F2141="Drainage Cover", _xlfn.XLOOKUP(C2141, dd_accsrycalc!$A$2:$A$51, dd_accsrycalc!$F$2:$F$51, "",0),AND( F2141="Double Adhesive Tape", I2141="Roll-up Screen"), _xlfn.XLOOKUP(C2141, calc_rusacc!$C$15:$C$65, calc_rusacc!$AD$15:$AD$65, "",0),AND( F2141="Sealant", I2141="Roll-up Screen"), _xlfn.XLOOKUP(C2141, calc_rusacc!$C$15:$C$65, calc_rusacc!$AF$15:$AF$65, "",0),  AND( F2141="Main Chain", I2141="Accordion Screen"), _xlfn.XLOOKUP(C2141, calc_rusacc!$C$15:$C$65, calc_rusacc!$BF$15:$BF$65, "",0), AND( F2141="Sealant", I2141="Accordion Screen"), _xlfn.XLOOKUP(C2141, calc_rusacc!$C$15:$C$65, calc_rusacc!$BJ$15:$BJ$65, "",0),  F2141="Sealant", _xlfn.XLOOKUP(C2141, dd_accsrycalc!$A$2:$A$51, dd_accsrycalc!$G$2:$G$51, "",0),  F2141&lt;&gt;"",L2141*_xlfn.XLOOKUP(1, (SKUs!$C$2:$C$10001=G2141)*(SKUs!$K$2:$K$10001=I2141),SKUs!$E$2:$E$10001)), 0),"")</f>
        <v/>
      </c>
      <c r="E2141" s="16" t="str">
        <f>_xlfn.XLOOKUP(F2141,dd_item!$B$2:$B$105,dd_item!$C$2:$C$105,"",0)</f>
        <v/>
      </c>
      <c r="F2141" s="16"/>
      <c r="G2141" s="16" cm="1">
        <f t="array" ref="G2141">IFERROR(_xlfn.XLOOKUP(1, (SKUs!$J$2:$J$10001=accsry_unmerged!F2141)*IF(H2141&lt;&gt;"",(SKUs!$L$2:$L$10001=accsry_unmerged!H2141),1)*(SKUs!$K$2:$K$10001=I2141),SKUs!$C$2:$C$10001),"")</f>
        <v>0</v>
      </c>
      <c r="H2141" s="33" cm="1">
        <f t="array" ref="H2141">IFERROR(_xlfn.XLOOKUP(1, (dd_accsryclr!$C$2:$C$1000=accsry_unmerged!F2141)*(dd_accsryclr!$B$2:$B$1000=accsry_unmerged!J2141),dd_accsryclr!$A$2:$A$1000),"")</f>
        <v>0</v>
      </c>
      <c r="I2141" s="16">
        <f>_xlfn.XLOOKUP(C2141,'Project Details'!$C$17:$C$66,'Project Details'!$E$17:$E$66,"",0)</f>
        <v>0</v>
      </c>
      <c r="J2141" s="16">
        <f>_xlfn.XLOOKUP(C2141,'Project Details'!$C$17:$C$66,'Project Details'!$H$17:$H$66,"",0)</f>
        <v>0</v>
      </c>
      <c r="K2141" s="33" t="str">
        <f>IF(AND(_xlfn.XLOOKUP(C2141,'Project Details'!$C$17:$C$66,'Project Details'!$L$17:$L$66,"",0)&gt;550, F2141="Spring-L27cm"),"",SUBSTITUTE(_xlfn.XLOOKUP(G2141,SKUs!$C$2:$C$10001,SKUs!$F$2:$F$10001,"",0), " Accessories",""))</f>
        <v/>
      </c>
      <c r="L2141" s="33">
        <f>_xlfn.XLOOKUP(C2141,'Project Details'!$C$17:$C$66,'Project Details'!$D$17:$D$66,"",0)</f>
        <v>0</v>
      </c>
      <c r="M2141" s="43"/>
    </row>
    <row r="2142" spans="1:13" ht="13.5" customHeight="1" x14ac:dyDescent="0.25">
      <c r="A2142" s="43"/>
      <c r="B2142" s="43"/>
      <c r="C2142" s="35">
        <f t="shared" si="41"/>
        <v>43</v>
      </c>
      <c r="D2142" s="35" t="str" cm="1">
        <f t="array" ref="D2142">IFERROR(ROUNDUP(_xlfn.IFS(F2142="Aluminum Track", _xlfn.XLOOKUP(C2142, dd_accsrycalc!$A$2:$A$51, dd_accsrycalc!$B$2:$B$51, "",0), F2142="10 x 2 1/2 S (Flat)", _xlfn.XLOOKUP(C2142, dd_accsrycalc!$A$2:$A$51, dd_accsrycalc!$C$2:$C$51, "",0), F2142="Tox6", _xlfn.XLOOKUP(C2142, dd_accsrycalc!$A$2:$A$51, dd_accsrycalc!$D$2:$D$51, "",0), F2142="Cover Cap", _xlfn.XLOOKUP(C2142, dd_accsrycalc!$A$2:$A$51, dd_accsrycalc!$E$2:$E$51, "",0), F2142="Drainage Cover", _xlfn.XLOOKUP(C2142, dd_accsrycalc!$A$2:$A$51, dd_accsrycalc!$F$2:$F$51, "",0),AND( F2142="Double Adhesive Tape", I2142="Roll-up Screen"), _xlfn.XLOOKUP(C2142, calc_rusacc!$C$15:$C$65, calc_rusacc!$AD$15:$AD$65, "",0),AND( F2142="Sealant", I2142="Roll-up Screen"), _xlfn.XLOOKUP(C2142, calc_rusacc!$C$15:$C$65, calc_rusacc!$AF$15:$AF$65, "",0),  AND( F2142="Main Chain", I2142="Accordion Screen"), _xlfn.XLOOKUP(C2142, calc_rusacc!$C$15:$C$65, calc_rusacc!$BF$15:$BF$65, "",0), AND( F2142="Sealant", I2142="Accordion Screen"), _xlfn.XLOOKUP(C2142, calc_rusacc!$C$15:$C$65, calc_rusacc!$BJ$15:$BJ$65, "",0),  F2142="Sealant", _xlfn.XLOOKUP(C2142, dd_accsrycalc!$A$2:$A$51, dd_accsrycalc!$G$2:$G$51, "",0),  F2142&lt;&gt;"",L2142*_xlfn.XLOOKUP(1, (SKUs!$C$2:$C$10001=G2142)*(SKUs!$K$2:$K$10001=I2142),SKUs!$E$2:$E$10001)), 0),"")</f>
        <v/>
      </c>
      <c r="E2142" s="35" t="str">
        <f>_xlfn.XLOOKUP(F2142,dd_item!$B$2:$B$105,dd_item!$C$2:$C$105,"",0)</f>
        <v/>
      </c>
      <c r="F2142" s="35"/>
      <c r="G2142" s="35" cm="1">
        <f t="array" ref="G2142">IFERROR(_xlfn.XLOOKUP(1, (SKUs!$J$2:$J$10001=accsry_unmerged!F2142)*IF(H2142&lt;&gt;"",(SKUs!$L$2:$L$10001=accsry_unmerged!H2142),1)*(SKUs!$K$2:$K$10001=I2142),SKUs!$C$2:$C$10001),"")</f>
        <v>0</v>
      </c>
      <c r="H2142" s="36" cm="1">
        <f t="array" ref="H2142">IFERROR(_xlfn.XLOOKUP(1, (dd_accsryclr!$C$2:$C$1000=accsry_unmerged!F2142)*(dd_accsryclr!$B$2:$B$1000=accsry_unmerged!J2142),dd_accsryclr!$A$2:$A$1000),"")</f>
        <v>0</v>
      </c>
      <c r="I2142" s="35">
        <f>_xlfn.XLOOKUP(C2142,'Project Details'!$C$17:$C$66,'Project Details'!$E$17:$E$66,"",0)</f>
        <v>0</v>
      </c>
      <c r="J2142" s="35">
        <f>_xlfn.XLOOKUP(C2142,'Project Details'!$C$17:$C$66,'Project Details'!$H$17:$H$66,"",0)</f>
        <v>0</v>
      </c>
      <c r="K2142" s="36" t="str">
        <f>IF(AND(_xlfn.XLOOKUP(C2142,'Project Details'!$C$17:$C$66,'Project Details'!$L$17:$L$66,"",0)&gt;550, F2142="Spring-L27cm"),"",SUBSTITUTE(_xlfn.XLOOKUP(G2142,SKUs!$C$2:$C$10001,SKUs!$F$2:$F$10001,"",0), " Accessories",""))</f>
        <v/>
      </c>
      <c r="L2142" s="36">
        <f>_xlfn.XLOOKUP(C2142,'Project Details'!$C$17:$C$66,'Project Details'!$D$17:$D$66,"",0)</f>
        <v>0</v>
      </c>
      <c r="M2142" s="43"/>
    </row>
    <row r="2143" spans="1:13" ht="13.5" customHeight="1" x14ac:dyDescent="0.25">
      <c r="A2143" s="43"/>
      <c r="B2143" s="43"/>
      <c r="C2143" s="16">
        <f t="shared" si="41"/>
        <v>43</v>
      </c>
      <c r="D2143" s="16" t="str" cm="1">
        <f t="array" ref="D2143">IFERROR(ROUNDUP(_xlfn.IFS(F2143="Aluminum Track", _xlfn.XLOOKUP(C2143, dd_accsrycalc!$A$2:$A$51, dd_accsrycalc!$B$2:$B$51, "",0), F2143="10 x 2 1/2 S (Flat)", _xlfn.XLOOKUP(C2143, dd_accsrycalc!$A$2:$A$51, dd_accsrycalc!$C$2:$C$51, "",0), F2143="Tox6", _xlfn.XLOOKUP(C2143, dd_accsrycalc!$A$2:$A$51, dd_accsrycalc!$D$2:$D$51, "",0), F2143="Cover Cap", _xlfn.XLOOKUP(C2143, dd_accsrycalc!$A$2:$A$51, dd_accsrycalc!$E$2:$E$51, "",0), F2143="Drainage Cover", _xlfn.XLOOKUP(C2143, dd_accsrycalc!$A$2:$A$51, dd_accsrycalc!$F$2:$F$51, "",0),AND( F2143="Double Adhesive Tape", I2143="Roll-up Screen"), _xlfn.XLOOKUP(C2143, calc_rusacc!$C$15:$C$65, calc_rusacc!$AD$15:$AD$65, "",0),AND( F2143="Sealant", I2143="Roll-up Screen"), _xlfn.XLOOKUP(C2143, calc_rusacc!$C$15:$C$65, calc_rusacc!$AF$15:$AF$65, "",0),  AND( F2143="Main Chain", I2143="Accordion Screen"), _xlfn.XLOOKUP(C2143, calc_rusacc!$C$15:$C$65, calc_rusacc!$BF$15:$BF$65, "",0), AND( F2143="Sealant", I2143="Accordion Screen"), _xlfn.XLOOKUP(C2143, calc_rusacc!$C$15:$C$65, calc_rusacc!$BJ$15:$BJ$65, "",0),  F2143="Sealant", _xlfn.XLOOKUP(C2143, dd_accsrycalc!$A$2:$A$51, dd_accsrycalc!$G$2:$G$51, "",0),  F2143&lt;&gt;"",L2143*_xlfn.XLOOKUP(1, (SKUs!$C$2:$C$10001=G2143)*(SKUs!$K$2:$K$10001=I2143),SKUs!$E$2:$E$10001)), 0),"")</f>
        <v/>
      </c>
      <c r="E2143" s="16" t="str">
        <f>_xlfn.XLOOKUP(F2143,dd_item!$B$2:$B$105,dd_item!$C$2:$C$105,"",0)</f>
        <v/>
      </c>
      <c r="F2143" s="16"/>
      <c r="G2143" s="16" cm="1">
        <f t="array" ref="G2143">IFERROR(_xlfn.XLOOKUP(1, (SKUs!$J$2:$J$10001=accsry_unmerged!F2143)*IF(H2143&lt;&gt;"",(SKUs!$L$2:$L$10001=accsry_unmerged!H2143),1)*(SKUs!$K$2:$K$10001=I2143),SKUs!$C$2:$C$10001),"")</f>
        <v>0</v>
      </c>
      <c r="H2143" s="33" cm="1">
        <f t="array" ref="H2143">IFERROR(_xlfn.XLOOKUP(1, (dd_accsryclr!$C$2:$C$1000=accsry_unmerged!F2143)*(dd_accsryclr!$B$2:$B$1000=accsry_unmerged!J2143),dd_accsryclr!$A$2:$A$1000),"")</f>
        <v>0</v>
      </c>
      <c r="I2143" s="16">
        <f>_xlfn.XLOOKUP(C2143,'Project Details'!$C$17:$C$66,'Project Details'!$E$17:$E$66,"",0)</f>
        <v>0</v>
      </c>
      <c r="J2143" s="16">
        <f>_xlfn.XLOOKUP(C2143,'Project Details'!$C$17:$C$66,'Project Details'!$H$17:$H$66,"",0)</f>
        <v>0</v>
      </c>
      <c r="K2143" s="33" t="str">
        <f>IF(AND(_xlfn.XLOOKUP(C2143,'Project Details'!$C$17:$C$66,'Project Details'!$L$17:$L$66,"",0)&gt;550, F2143="Spring-L27cm"),"",SUBSTITUTE(_xlfn.XLOOKUP(G2143,SKUs!$C$2:$C$10001,SKUs!$F$2:$F$10001,"",0), " Accessories",""))</f>
        <v/>
      </c>
      <c r="L2143" s="33">
        <f>_xlfn.XLOOKUP(C2143,'Project Details'!$C$17:$C$66,'Project Details'!$D$17:$D$66,"",0)</f>
        <v>0</v>
      </c>
      <c r="M2143" s="43"/>
    </row>
    <row r="2144" spans="1:13" ht="13.5" customHeight="1" x14ac:dyDescent="0.25">
      <c r="A2144" s="43"/>
      <c r="B2144" s="43"/>
      <c r="C2144" s="35">
        <f t="shared" si="41"/>
        <v>43</v>
      </c>
      <c r="D2144" s="35" t="str" cm="1">
        <f t="array" ref="D2144">IFERROR(ROUNDUP(_xlfn.IFS(F2144="Aluminum Track", _xlfn.XLOOKUP(C2144, dd_accsrycalc!$A$2:$A$51, dd_accsrycalc!$B$2:$B$51, "",0), F2144="10 x 2 1/2 S (Flat)", _xlfn.XLOOKUP(C2144, dd_accsrycalc!$A$2:$A$51, dd_accsrycalc!$C$2:$C$51, "",0), F2144="Tox6", _xlfn.XLOOKUP(C2144, dd_accsrycalc!$A$2:$A$51, dd_accsrycalc!$D$2:$D$51, "",0), F2144="Cover Cap", _xlfn.XLOOKUP(C2144, dd_accsrycalc!$A$2:$A$51, dd_accsrycalc!$E$2:$E$51, "",0), F2144="Drainage Cover", _xlfn.XLOOKUP(C2144, dd_accsrycalc!$A$2:$A$51, dd_accsrycalc!$F$2:$F$51, "",0),AND( F2144="Double Adhesive Tape", I2144="Roll-up Screen"), _xlfn.XLOOKUP(C2144, calc_rusacc!$C$15:$C$65, calc_rusacc!$AD$15:$AD$65, "",0),AND( F2144="Sealant", I2144="Roll-up Screen"), _xlfn.XLOOKUP(C2144, calc_rusacc!$C$15:$C$65, calc_rusacc!$AF$15:$AF$65, "",0),  AND( F2144="Main Chain", I2144="Accordion Screen"), _xlfn.XLOOKUP(C2144, calc_rusacc!$C$15:$C$65, calc_rusacc!$BF$15:$BF$65, "",0), AND( F2144="Sealant", I2144="Accordion Screen"), _xlfn.XLOOKUP(C2144, calc_rusacc!$C$15:$C$65, calc_rusacc!$BJ$15:$BJ$65, "",0),  F2144="Sealant", _xlfn.XLOOKUP(C2144, dd_accsrycalc!$A$2:$A$51, dd_accsrycalc!$G$2:$G$51, "",0),  F2144&lt;&gt;"",L2144*_xlfn.XLOOKUP(1, (SKUs!$C$2:$C$10001=G2144)*(SKUs!$K$2:$K$10001=I2144),SKUs!$E$2:$E$10001)), 0),"")</f>
        <v/>
      </c>
      <c r="E2144" s="35" t="str">
        <f>_xlfn.XLOOKUP(F2144,dd_item!$B$2:$B$105,dd_item!$C$2:$C$105,"",0)</f>
        <v/>
      </c>
      <c r="F2144" s="35"/>
      <c r="G2144" s="35" cm="1">
        <f t="array" ref="G2144">IFERROR(_xlfn.XLOOKUP(1, (SKUs!$J$2:$J$10001=accsry_unmerged!F2144)*IF(H2144&lt;&gt;"",(SKUs!$L$2:$L$10001=accsry_unmerged!H2144),1)*(SKUs!$K$2:$K$10001=I2144),SKUs!$C$2:$C$10001),"")</f>
        <v>0</v>
      </c>
      <c r="H2144" s="36" cm="1">
        <f t="array" ref="H2144">IFERROR(_xlfn.XLOOKUP(1, (dd_accsryclr!$C$2:$C$1000=accsry_unmerged!F2144)*(dd_accsryclr!$B$2:$B$1000=accsry_unmerged!J2144),dd_accsryclr!$A$2:$A$1000),"")</f>
        <v>0</v>
      </c>
      <c r="I2144" s="35">
        <f>_xlfn.XLOOKUP(C2144,'Project Details'!$C$17:$C$66,'Project Details'!$E$17:$E$66,"",0)</f>
        <v>0</v>
      </c>
      <c r="J2144" s="35">
        <f>_xlfn.XLOOKUP(C2144,'Project Details'!$C$17:$C$66,'Project Details'!$H$17:$H$66,"",0)</f>
        <v>0</v>
      </c>
      <c r="K2144" s="36" t="str">
        <f>IF(AND(_xlfn.XLOOKUP(C2144,'Project Details'!$C$17:$C$66,'Project Details'!$L$17:$L$66,"",0)&gt;550, F2144="Spring-L27cm"),"",SUBSTITUTE(_xlfn.XLOOKUP(G2144,SKUs!$C$2:$C$10001,SKUs!$F$2:$F$10001,"",0), " Accessories",""))</f>
        <v/>
      </c>
      <c r="L2144" s="36">
        <f>_xlfn.XLOOKUP(C2144,'Project Details'!$C$17:$C$66,'Project Details'!$D$17:$D$66,"",0)</f>
        <v>0</v>
      </c>
      <c r="M2144" s="43"/>
    </row>
    <row r="2145" spans="1:13" ht="13.5" customHeight="1" outlineLevel="1" x14ac:dyDescent="0.25">
      <c r="A2145" s="43"/>
      <c r="B2145" s="43"/>
      <c r="C2145" s="16">
        <f t="shared" si="41"/>
        <v>43</v>
      </c>
      <c r="D2145" s="16" t="str" cm="1">
        <f t="array" ref="D2145">IFERROR(ROUNDUP(_xlfn.IFS(F2145="Aluminum Track", _xlfn.XLOOKUP(C2145, dd_accsrycalc!$A$2:$A$51, dd_accsrycalc!$B$2:$B$51, "",0), F2145="10 x 2 1/2 S (Flat)", _xlfn.XLOOKUP(C2145, dd_accsrycalc!$A$2:$A$51, dd_accsrycalc!$C$2:$C$51, "",0), F2145="Tox6", _xlfn.XLOOKUP(C2145, dd_accsrycalc!$A$2:$A$51, dd_accsrycalc!$D$2:$D$51, "",0), F2145="Cover Cap", _xlfn.XLOOKUP(C2145, dd_accsrycalc!$A$2:$A$51, dd_accsrycalc!$E$2:$E$51, "",0), F2145="Drainage Cover", _xlfn.XLOOKUP(C2145, dd_accsrycalc!$A$2:$A$51, dd_accsrycalc!$F$2:$F$51, "",0),AND( F2145="Double Adhesive Tape", I2145="Roll-up Screen"), _xlfn.XLOOKUP(C2145, calc_rusacc!$C$15:$C$65, calc_rusacc!$AD$15:$AD$65, "",0),AND( F2145="Sealant", I2145="Roll-up Screen"), _xlfn.XLOOKUP(C2145, calc_rusacc!$C$15:$C$65, calc_rusacc!$AF$15:$AF$65, "",0),  AND( F2145="Main Chain", I2145="Accordion Screen"), _xlfn.XLOOKUP(C2145, calc_rusacc!$C$15:$C$65, calc_rusacc!$BF$15:$BF$65, "",0), AND( F2145="Sealant", I2145="Accordion Screen"), _xlfn.XLOOKUP(C2145, calc_rusacc!$C$15:$C$65, calc_rusacc!$BJ$15:$BJ$65, "",0),  F2145="Sealant", _xlfn.XLOOKUP(C2145, dd_accsrycalc!$A$2:$A$51, dd_accsrycalc!$G$2:$G$51, "",0),  F2145&lt;&gt;"",L2145*_xlfn.XLOOKUP(1, (SKUs!$C$2:$C$10001=G2145)*(SKUs!$K$2:$K$10001=I2145),SKUs!$E$2:$E$10001)), 0),"")</f>
        <v/>
      </c>
      <c r="E2145" s="16" t="str">
        <f>_xlfn.XLOOKUP(F2145,dd_item!$B$2:$B$105,dd_item!$C$2:$C$105,"",0)</f>
        <v/>
      </c>
      <c r="F2145" s="16"/>
      <c r="G2145" s="16" cm="1">
        <f t="array" ref="G2145">IFERROR(_xlfn.XLOOKUP(1, (SKUs!$J$2:$J$10001=accsry_unmerged!F2145)*IF(H2145&lt;&gt;"",(SKUs!$L$2:$L$10001=accsry_unmerged!H2145),1)*(SKUs!$K$2:$K$10001=I2145),SKUs!$C$2:$C$10001),"")</f>
        <v>0</v>
      </c>
      <c r="H2145" s="33" cm="1">
        <f t="array" ref="H2145">IFERROR(_xlfn.XLOOKUP(1, (dd_accsryclr!$C$2:$C$1000=accsry_unmerged!F2145)*(dd_accsryclr!$B$2:$B$1000=accsry_unmerged!J2145),dd_accsryclr!$A$2:$A$1000),"")</f>
        <v>0</v>
      </c>
      <c r="I2145" s="16">
        <f>_xlfn.XLOOKUP(C2145,'Project Details'!$C$17:$C$66,'Project Details'!$E$17:$E$66,"",0)</f>
        <v>0</v>
      </c>
      <c r="J2145" s="16">
        <f>_xlfn.XLOOKUP(C2145,'Project Details'!$C$17:$C$66,'Project Details'!$H$17:$H$66,"",0)</f>
        <v>0</v>
      </c>
      <c r="K2145" s="33" t="str">
        <f>IF(AND(_xlfn.XLOOKUP(C2145,'Project Details'!$C$17:$C$66,'Project Details'!$L$17:$L$66,"",0)&gt;550, F2145="Spring-L27cm"),"",SUBSTITUTE(_xlfn.XLOOKUP(G2145,SKUs!$C$2:$C$10001,SKUs!$F$2:$F$10001,"",0), " Accessories",""))</f>
        <v/>
      </c>
      <c r="L2145" s="33">
        <f>_xlfn.XLOOKUP(C2145,'Project Details'!$C$17:$C$66,'Project Details'!$D$17:$D$66,"",0)</f>
        <v>0</v>
      </c>
      <c r="M2145" s="43"/>
    </row>
    <row r="2146" spans="1:13" ht="13.5" customHeight="1" outlineLevel="1" x14ac:dyDescent="0.25">
      <c r="A2146" s="43"/>
      <c r="B2146" s="43"/>
      <c r="C2146" s="35">
        <f t="shared" si="41"/>
        <v>43</v>
      </c>
      <c r="D2146" s="35" t="str" cm="1">
        <f t="array" ref="D2146">IFERROR(ROUNDUP(_xlfn.IFS(F2146="Aluminum Track", _xlfn.XLOOKUP(C2146, dd_accsrycalc!$A$2:$A$51, dd_accsrycalc!$B$2:$B$51, "",0), F2146="10 x 2 1/2 S (Flat)", _xlfn.XLOOKUP(C2146, dd_accsrycalc!$A$2:$A$51, dd_accsrycalc!$C$2:$C$51, "",0), F2146="Tox6", _xlfn.XLOOKUP(C2146, dd_accsrycalc!$A$2:$A$51, dd_accsrycalc!$D$2:$D$51, "",0), F2146="Cover Cap", _xlfn.XLOOKUP(C2146, dd_accsrycalc!$A$2:$A$51, dd_accsrycalc!$E$2:$E$51, "",0), F2146="Drainage Cover", _xlfn.XLOOKUP(C2146, dd_accsrycalc!$A$2:$A$51, dd_accsrycalc!$F$2:$F$51, "",0),AND( F2146="Double Adhesive Tape", I2146="Roll-up Screen"), _xlfn.XLOOKUP(C2146, calc_rusacc!$C$15:$C$65, calc_rusacc!$AD$15:$AD$65, "",0),AND( F2146="Sealant", I2146="Roll-up Screen"), _xlfn.XLOOKUP(C2146, calc_rusacc!$C$15:$C$65, calc_rusacc!$AF$15:$AF$65, "",0),  AND( F2146="Main Chain", I2146="Accordion Screen"), _xlfn.XLOOKUP(C2146, calc_rusacc!$C$15:$C$65, calc_rusacc!$BF$15:$BF$65, "",0), AND( F2146="Sealant", I2146="Accordion Screen"), _xlfn.XLOOKUP(C2146, calc_rusacc!$C$15:$C$65, calc_rusacc!$BJ$15:$BJ$65, "",0),  F2146="Sealant", _xlfn.XLOOKUP(C2146, dd_accsrycalc!$A$2:$A$51, dd_accsrycalc!$G$2:$G$51, "",0),  F2146&lt;&gt;"",L2146*_xlfn.XLOOKUP(1, (SKUs!$C$2:$C$10001=G2146)*(SKUs!$K$2:$K$10001=I2146),SKUs!$E$2:$E$10001)), 0),"")</f>
        <v/>
      </c>
      <c r="E2146" s="35" t="str">
        <f>_xlfn.XLOOKUP(F2146,dd_item!$B$2:$B$105,dd_item!$C$2:$C$105,"",0)</f>
        <v/>
      </c>
      <c r="F2146" s="35"/>
      <c r="G2146" s="35" cm="1">
        <f t="array" ref="G2146">IFERROR(_xlfn.XLOOKUP(1, (SKUs!$J$2:$J$10001=accsry_unmerged!F2146)*IF(H2146&lt;&gt;"",(SKUs!$L$2:$L$10001=accsry_unmerged!H2146),1)*(SKUs!$K$2:$K$10001=I2146),SKUs!$C$2:$C$10001),"")</f>
        <v>0</v>
      </c>
      <c r="H2146" s="36" cm="1">
        <f t="array" ref="H2146">IFERROR(_xlfn.XLOOKUP(1, (dd_accsryclr!$C$2:$C$1000=accsry_unmerged!F2146)*(dd_accsryclr!$B$2:$B$1000=accsry_unmerged!J2146),dd_accsryclr!$A$2:$A$1000),"")</f>
        <v>0</v>
      </c>
      <c r="I2146" s="35">
        <f>_xlfn.XLOOKUP(C2146,'Project Details'!$C$17:$C$66,'Project Details'!$E$17:$E$66,"",0)</f>
        <v>0</v>
      </c>
      <c r="J2146" s="35">
        <f>_xlfn.XLOOKUP(C2146,'Project Details'!$C$17:$C$66,'Project Details'!$H$17:$H$66,"",0)</f>
        <v>0</v>
      </c>
      <c r="K2146" s="36" t="str">
        <f>IF(AND(_xlfn.XLOOKUP(C2146,'Project Details'!$C$17:$C$66,'Project Details'!$L$17:$L$66,"",0)&gt;550, F2146="Spring-L27cm"),"",SUBSTITUTE(_xlfn.XLOOKUP(G2146,SKUs!$C$2:$C$10001,SKUs!$F$2:$F$10001,"",0), " Accessories",""))</f>
        <v/>
      </c>
      <c r="L2146" s="36">
        <f>_xlfn.XLOOKUP(C2146,'Project Details'!$C$17:$C$66,'Project Details'!$D$17:$D$66,"",0)</f>
        <v>0</v>
      </c>
      <c r="M2146" s="43"/>
    </row>
    <row r="2147" spans="1:13" ht="13.5" customHeight="1" outlineLevel="1" x14ac:dyDescent="0.25">
      <c r="A2147" s="43"/>
      <c r="B2147" s="43"/>
      <c r="C2147" s="16">
        <f t="shared" si="41"/>
        <v>43</v>
      </c>
      <c r="D2147" s="16" t="str" cm="1">
        <f t="array" ref="D2147">IFERROR(ROUNDUP(_xlfn.IFS(F2147="Aluminum Track", _xlfn.XLOOKUP(C2147, dd_accsrycalc!$A$2:$A$51, dd_accsrycalc!$B$2:$B$51, "",0), F2147="10 x 2 1/2 S (Flat)", _xlfn.XLOOKUP(C2147, dd_accsrycalc!$A$2:$A$51, dd_accsrycalc!$C$2:$C$51, "",0), F2147="Tox6", _xlfn.XLOOKUP(C2147, dd_accsrycalc!$A$2:$A$51, dd_accsrycalc!$D$2:$D$51, "",0), F2147="Cover Cap", _xlfn.XLOOKUP(C2147, dd_accsrycalc!$A$2:$A$51, dd_accsrycalc!$E$2:$E$51, "",0), F2147="Drainage Cover", _xlfn.XLOOKUP(C2147, dd_accsrycalc!$A$2:$A$51, dd_accsrycalc!$F$2:$F$51, "",0),AND( F2147="Double Adhesive Tape", I2147="Roll-up Screen"), _xlfn.XLOOKUP(C2147, calc_rusacc!$C$15:$C$65, calc_rusacc!$AD$15:$AD$65, "",0),AND( F2147="Sealant", I2147="Roll-up Screen"), _xlfn.XLOOKUP(C2147, calc_rusacc!$C$15:$C$65, calc_rusacc!$AF$15:$AF$65, "",0),  AND( F2147="Main Chain", I2147="Accordion Screen"), _xlfn.XLOOKUP(C2147, calc_rusacc!$C$15:$C$65, calc_rusacc!$BF$15:$BF$65, "",0), AND( F2147="Sealant", I2147="Accordion Screen"), _xlfn.XLOOKUP(C2147, calc_rusacc!$C$15:$C$65, calc_rusacc!$BJ$15:$BJ$65, "",0),  F2147="Sealant", _xlfn.XLOOKUP(C2147, dd_accsrycalc!$A$2:$A$51, dd_accsrycalc!$G$2:$G$51, "",0),  F2147&lt;&gt;"",L2147*_xlfn.XLOOKUP(1, (SKUs!$C$2:$C$10001=G2147)*(SKUs!$K$2:$K$10001=I2147),SKUs!$E$2:$E$10001)), 0),"")</f>
        <v/>
      </c>
      <c r="E2147" s="16" t="str">
        <f>_xlfn.XLOOKUP(F2147,dd_item!$B$2:$B$105,dd_item!$C$2:$C$105,"",0)</f>
        <v/>
      </c>
      <c r="F2147" s="16"/>
      <c r="G2147" s="16" cm="1">
        <f t="array" ref="G2147">IFERROR(_xlfn.XLOOKUP(1, (SKUs!$J$2:$J$10001=accsry_unmerged!F2147)*IF(H2147&lt;&gt;"",(SKUs!$L$2:$L$10001=accsry_unmerged!H2147),1)*(SKUs!$K$2:$K$10001=I2147),SKUs!$C$2:$C$10001),"")</f>
        <v>0</v>
      </c>
      <c r="H2147" s="33" cm="1">
        <f t="array" ref="H2147">IFERROR(_xlfn.XLOOKUP(1, (dd_accsryclr!$C$2:$C$1000=accsry_unmerged!F2147)*(dd_accsryclr!$B$2:$B$1000=accsry_unmerged!J2147),dd_accsryclr!$A$2:$A$1000),"")</f>
        <v>0</v>
      </c>
      <c r="I2147" s="16">
        <f>_xlfn.XLOOKUP(C2147,'Project Details'!$C$17:$C$66,'Project Details'!$E$17:$E$66,"",0)</f>
        <v>0</v>
      </c>
      <c r="J2147" s="16">
        <f>_xlfn.XLOOKUP(C2147,'Project Details'!$C$17:$C$66,'Project Details'!$H$17:$H$66,"",0)</f>
        <v>0</v>
      </c>
      <c r="K2147" s="33" t="str">
        <f>IF(AND(_xlfn.XLOOKUP(C2147,'Project Details'!$C$17:$C$66,'Project Details'!$L$17:$L$66,"",0)&gt;550, F2147="Spring-L27cm"),"",SUBSTITUTE(_xlfn.XLOOKUP(G2147,SKUs!$C$2:$C$10001,SKUs!$F$2:$F$10001,"",0), " Accessories",""))</f>
        <v/>
      </c>
      <c r="L2147" s="33">
        <f>_xlfn.XLOOKUP(C2147,'Project Details'!$C$17:$C$66,'Project Details'!$D$17:$D$66,"",0)</f>
        <v>0</v>
      </c>
      <c r="M2147" s="43"/>
    </row>
    <row r="2148" spans="1:13" ht="13.5" customHeight="1" outlineLevel="1" x14ac:dyDescent="0.25">
      <c r="A2148" s="43"/>
      <c r="B2148" s="43"/>
      <c r="C2148" s="35">
        <f t="shared" si="41"/>
        <v>43</v>
      </c>
      <c r="D2148" s="35" t="str" cm="1">
        <f t="array" ref="D2148">IFERROR(ROUNDUP(_xlfn.IFS(F2148="Aluminum Track", _xlfn.XLOOKUP(C2148, dd_accsrycalc!$A$2:$A$51, dd_accsrycalc!$B$2:$B$51, "",0), F2148="10 x 2 1/2 S (Flat)", _xlfn.XLOOKUP(C2148, dd_accsrycalc!$A$2:$A$51, dd_accsrycalc!$C$2:$C$51, "",0), F2148="Tox6", _xlfn.XLOOKUP(C2148, dd_accsrycalc!$A$2:$A$51, dd_accsrycalc!$D$2:$D$51, "",0), F2148="Cover Cap", _xlfn.XLOOKUP(C2148, dd_accsrycalc!$A$2:$A$51, dd_accsrycalc!$E$2:$E$51, "",0), F2148="Drainage Cover", _xlfn.XLOOKUP(C2148, dd_accsrycalc!$A$2:$A$51, dd_accsrycalc!$F$2:$F$51, "",0),AND( F2148="Double Adhesive Tape", I2148="Roll-up Screen"), _xlfn.XLOOKUP(C2148, calc_rusacc!$C$15:$C$65, calc_rusacc!$AD$15:$AD$65, "",0),AND( F2148="Sealant", I2148="Roll-up Screen"), _xlfn.XLOOKUP(C2148, calc_rusacc!$C$15:$C$65, calc_rusacc!$AF$15:$AF$65, "",0),  AND( F2148="Main Chain", I2148="Accordion Screen"), _xlfn.XLOOKUP(C2148, calc_rusacc!$C$15:$C$65, calc_rusacc!$BF$15:$BF$65, "",0), AND( F2148="Sealant", I2148="Accordion Screen"), _xlfn.XLOOKUP(C2148, calc_rusacc!$C$15:$C$65, calc_rusacc!$BJ$15:$BJ$65, "",0),  F2148="Sealant", _xlfn.XLOOKUP(C2148, dd_accsrycalc!$A$2:$A$51, dd_accsrycalc!$G$2:$G$51, "",0),  F2148&lt;&gt;"",L2148*_xlfn.XLOOKUP(1, (SKUs!$C$2:$C$10001=G2148)*(SKUs!$K$2:$K$10001=I2148),SKUs!$E$2:$E$10001)), 0),"")</f>
        <v/>
      </c>
      <c r="E2148" s="35" t="str">
        <f>_xlfn.XLOOKUP(F2148,dd_item!$B$2:$B$105,dd_item!$C$2:$C$105,"",0)</f>
        <v/>
      </c>
      <c r="F2148" s="35"/>
      <c r="G2148" s="35" cm="1">
        <f t="array" ref="G2148">IFERROR(_xlfn.XLOOKUP(1, (SKUs!$J$2:$J$10001=accsry_unmerged!F2148)*IF(H2148&lt;&gt;"",(SKUs!$L$2:$L$10001=accsry_unmerged!H2148),1)*(SKUs!$K$2:$K$10001=I2148),SKUs!$C$2:$C$10001),"")</f>
        <v>0</v>
      </c>
      <c r="H2148" s="36" cm="1">
        <f t="array" ref="H2148">IFERROR(_xlfn.XLOOKUP(1, (dd_accsryclr!$C$2:$C$1000=accsry_unmerged!F2148)*(dd_accsryclr!$B$2:$B$1000=accsry_unmerged!J2148),dd_accsryclr!$A$2:$A$1000),"")</f>
        <v>0</v>
      </c>
      <c r="I2148" s="35">
        <f>_xlfn.XLOOKUP(C2148,'Project Details'!$C$17:$C$66,'Project Details'!$E$17:$E$66,"",0)</f>
        <v>0</v>
      </c>
      <c r="J2148" s="35">
        <f>_xlfn.XLOOKUP(C2148,'Project Details'!$C$17:$C$66,'Project Details'!$H$17:$H$66,"",0)</f>
        <v>0</v>
      </c>
      <c r="K2148" s="36" t="str">
        <f>IF(AND(_xlfn.XLOOKUP(C2148,'Project Details'!$C$17:$C$66,'Project Details'!$L$17:$L$66,"",0)&gt;550, F2148="Spring-L27cm"),"",SUBSTITUTE(_xlfn.XLOOKUP(G2148,SKUs!$C$2:$C$10001,SKUs!$F$2:$F$10001,"",0), " Accessories",""))</f>
        <v/>
      </c>
      <c r="L2148" s="36">
        <f>_xlfn.XLOOKUP(C2148,'Project Details'!$C$17:$C$66,'Project Details'!$D$17:$D$66,"",0)</f>
        <v>0</v>
      </c>
      <c r="M2148" s="43"/>
    </row>
    <row r="2149" spans="1:13" ht="13.5" customHeight="1" outlineLevel="1" x14ac:dyDescent="0.25">
      <c r="A2149" s="43"/>
      <c r="B2149" s="43"/>
      <c r="C2149" s="16">
        <f t="shared" si="41"/>
        <v>43</v>
      </c>
      <c r="D2149" s="16" t="str" cm="1">
        <f t="array" ref="D2149">IFERROR(ROUNDUP(_xlfn.IFS(F2149="Aluminum Track", _xlfn.XLOOKUP(C2149, dd_accsrycalc!$A$2:$A$51, dd_accsrycalc!$B$2:$B$51, "",0), F2149="10 x 2 1/2 S (Flat)", _xlfn.XLOOKUP(C2149, dd_accsrycalc!$A$2:$A$51, dd_accsrycalc!$C$2:$C$51, "",0), F2149="Tox6", _xlfn.XLOOKUP(C2149, dd_accsrycalc!$A$2:$A$51, dd_accsrycalc!$D$2:$D$51, "",0), F2149="Cover Cap", _xlfn.XLOOKUP(C2149, dd_accsrycalc!$A$2:$A$51, dd_accsrycalc!$E$2:$E$51, "",0), F2149="Drainage Cover", _xlfn.XLOOKUP(C2149, dd_accsrycalc!$A$2:$A$51, dd_accsrycalc!$F$2:$F$51, "",0),AND( F2149="Double Adhesive Tape", I2149="Roll-up Screen"), _xlfn.XLOOKUP(C2149, calc_rusacc!$C$15:$C$65, calc_rusacc!$AD$15:$AD$65, "",0),AND( F2149="Sealant", I2149="Roll-up Screen"), _xlfn.XLOOKUP(C2149, calc_rusacc!$C$15:$C$65, calc_rusacc!$AF$15:$AF$65, "",0),  AND( F2149="Main Chain", I2149="Accordion Screen"), _xlfn.XLOOKUP(C2149, calc_rusacc!$C$15:$C$65, calc_rusacc!$BF$15:$BF$65, "",0), AND( F2149="Sealant", I2149="Accordion Screen"), _xlfn.XLOOKUP(C2149, calc_rusacc!$C$15:$C$65, calc_rusacc!$BJ$15:$BJ$65, "",0),  F2149="Sealant", _xlfn.XLOOKUP(C2149, dd_accsrycalc!$A$2:$A$51, dd_accsrycalc!$G$2:$G$51, "",0),  F2149&lt;&gt;"",L2149*_xlfn.XLOOKUP(1, (SKUs!$C$2:$C$10001=G2149)*(SKUs!$K$2:$K$10001=I2149),SKUs!$E$2:$E$10001)), 0),"")</f>
        <v/>
      </c>
      <c r="E2149" s="16" t="str">
        <f>_xlfn.XLOOKUP(F2149,dd_item!$B$2:$B$105,dd_item!$C$2:$C$105,"",0)</f>
        <v/>
      </c>
      <c r="F2149" s="16"/>
      <c r="G2149" s="16" cm="1">
        <f t="array" ref="G2149">IFERROR(_xlfn.XLOOKUP(1, (SKUs!$J$2:$J$10001=accsry_unmerged!F2149)*IF(H2149&lt;&gt;"",(SKUs!$L$2:$L$10001=accsry_unmerged!H2149),1)*(SKUs!$K$2:$K$10001=I2149),SKUs!$C$2:$C$10001),"")</f>
        <v>0</v>
      </c>
      <c r="H2149" s="33" cm="1">
        <f t="array" ref="H2149">IFERROR(_xlfn.XLOOKUP(1, (dd_accsryclr!$C$2:$C$1000=accsry_unmerged!F2149)*(dd_accsryclr!$B$2:$B$1000=accsry_unmerged!J2149),dd_accsryclr!$A$2:$A$1000),"")</f>
        <v>0</v>
      </c>
      <c r="I2149" s="16">
        <f>_xlfn.XLOOKUP(C2149,'Project Details'!$C$17:$C$66,'Project Details'!$E$17:$E$66,"",0)</f>
        <v>0</v>
      </c>
      <c r="J2149" s="16">
        <f>_xlfn.XLOOKUP(C2149,'Project Details'!$C$17:$C$66,'Project Details'!$H$17:$H$66,"",0)</f>
        <v>0</v>
      </c>
      <c r="K2149" s="33" t="str">
        <f>IF(AND(_xlfn.XLOOKUP(C2149,'Project Details'!$C$17:$C$66,'Project Details'!$L$17:$L$66,"",0)&gt;550, F2149="Spring-L27cm"),"",SUBSTITUTE(_xlfn.XLOOKUP(G2149,SKUs!$C$2:$C$10001,SKUs!$F$2:$F$10001,"",0), " Accessories",""))</f>
        <v/>
      </c>
      <c r="L2149" s="33">
        <f>_xlfn.XLOOKUP(C2149,'Project Details'!$C$17:$C$66,'Project Details'!$D$17:$D$66,"",0)</f>
        <v>0</v>
      </c>
      <c r="M2149" s="43"/>
    </row>
    <row r="2150" spans="1:13" ht="13.5" customHeight="1" outlineLevel="1" x14ac:dyDescent="0.25">
      <c r="A2150" s="43"/>
      <c r="B2150" s="43"/>
      <c r="C2150" s="35">
        <f t="shared" si="41"/>
        <v>43</v>
      </c>
      <c r="D2150" s="35" t="str" cm="1">
        <f t="array" ref="D2150">IFERROR(ROUNDUP(_xlfn.IFS(F2150="Aluminum Track", _xlfn.XLOOKUP(C2150, dd_accsrycalc!$A$2:$A$51, dd_accsrycalc!$B$2:$B$51, "",0), F2150="10 x 2 1/2 S (Flat)", _xlfn.XLOOKUP(C2150, dd_accsrycalc!$A$2:$A$51, dd_accsrycalc!$C$2:$C$51, "",0), F2150="Tox6", _xlfn.XLOOKUP(C2150, dd_accsrycalc!$A$2:$A$51, dd_accsrycalc!$D$2:$D$51, "",0), F2150="Cover Cap", _xlfn.XLOOKUP(C2150, dd_accsrycalc!$A$2:$A$51, dd_accsrycalc!$E$2:$E$51, "",0), F2150="Drainage Cover", _xlfn.XLOOKUP(C2150, dd_accsrycalc!$A$2:$A$51, dd_accsrycalc!$F$2:$F$51, "",0),AND( F2150="Double Adhesive Tape", I2150="Roll-up Screen"), _xlfn.XLOOKUP(C2150, calc_rusacc!$C$15:$C$65, calc_rusacc!$AD$15:$AD$65, "",0),AND( F2150="Sealant", I2150="Roll-up Screen"), _xlfn.XLOOKUP(C2150, calc_rusacc!$C$15:$C$65, calc_rusacc!$AF$15:$AF$65, "",0),  AND( F2150="Main Chain", I2150="Accordion Screen"), _xlfn.XLOOKUP(C2150, calc_rusacc!$C$15:$C$65, calc_rusacc!$BF$15:$BF$65, "",0), AND( F2150="Sealant", I2150="Accordion Screen"), _xlfn.XLOOKUP(C2150, calc_rusacc!$C$15:$C$65, calc_rusacc!$BJ$15:$BJ$65, "",0),  F2150="Sealant", _xlfn.XLOOKUP(C2150, dd_accsrycalc!$A$2:$A$51, dd_accsrycalc!$G$2:$G$51, "",0),  F2150&lt;&gt;"",L2150*_xlfn.XLOOKUP(1, (SKUs!$C$2:$C$10001=G2150)*(SKUs!$K$2:$K$10001=I2150),SKUs!$E$2:$E$10001)), 0),"")</f>
        <v/>
      </c>
      <c r="E2150" s="35" t="str">
        <f>_xlfn.XLOOKUP(F2150,dd_item!$B$2:$B$105,dd_item!$C$2:$C$105,"",0)</f>
        <v/>
      </c>
      <c r="F2150" s="35"/>
      <c r="G2150" s="35" cm="1">
        <f t="array" ref="G2150">IFERROR(_xlfn.XLOOKUP(1, (SKUs!$J$2:$J$10001=accsry_unmerged!F2150)*IF(H2150&lt;&gt;"",(SKUs!$L$2:$L$10001=accsry_unmerged!H2150),1)*(SKUs!$K$2:$K$10001=I2150),SKUs!$C$2:$C$10001),"")</f>
        <v>0</v>
      </c>
      <c r="H2150" s="36" cm="1">
        <f t="array" ref="H2150">IFERROR(_xlfn.XLOOKUP(1, (dd_accsryclr!$C$2:$C$1000=accsry_unmerged!F2150)*(dd_accsryclr!$B$2:$B$1000=accsry_unmerged!J2150),dd_accsryclr!$A$2:$A$1000),"")</f>
        <v>0</v>
      </c>
      <c r="I2150" s="35">
        <f>_xlfn.XLOOKUP(C2150,'Project Details'!$C$17:$C$66,'Project Details'!$E$17:$E$66,"",0)</f>
        <v>0</v>
      </c>
      <c r="J2150" s="35">
        <f>_xlfn.XLOOKUP(C2150,'Project Details'!$C$17:$C$66,'Project Details'!$H$17:$H$66,"",0)</f>
        <v>0</v>
      </c>
      <c r="K2150" s="36" t="str">
        <f>IF(AND(_xlfn.XLOOKUP(C2150,'Project Details'!$C$17:$C$66,'Project Details'!$L$17:$L$66,"",0)&gt;550, F2150="Spring-L27cm"),"",SUBSTITUTE(_xlfn.XLOOKUP(G2150,SKUs!$C$2:$C$10001,SKUs!$F$2:$F$10001,"",0), " Accessories",""))</f>
        <v/>
      </c>
      <c r="L2150" s="36">
        <f>_xlfn.XLOOKUP(C2150,'Project Details'!$C$17:$C$66,'Project Details'!$D$17:$D$66,"",0)</f>
        <v>0</v>
      </c>
      <c r="M2150" s="43"/>
    </row>
    <row r="2151" spans="1:13" ht="13.5" customHeight="1" outlineLevel="1" x14ac:dyDescent="0.25">
      <c r="A2151" s="43"/>
      <c r="B2151" s="43"/>
      <c r="C2151" s="16">
        <f t="shared" si="41"/>
        <v>43</v>
      </c>
      <c r="D2151" s="16" t="str" cm="1">
        <f t="array" ref="D2151">IFERROR(ROUNDUP(_xlfn.IFS(F2151="Aluminum Track", _xlfn.XLOOKUP(C2151, dd_accsrycalc!$A$2:$A$51, dd_accsrycalc!$B$2:$B$51, "",0), F2151="10 x 2 1/2 S (Flat)", _xlfn.XLOOKUP(C2151, dd_accsrycalc!$A$2:$A$51, dd_accsrycalc!$C$2:$C$51, "",0), F2151="Tox6", _xlfn.XLOOKUP(C2151, dd_accsrycalc!$A$2:$A$51, dd_accsrycalc!$D$2:$D$51, "",0), F2151="Cover Cap", _xlfn.XLOOKUP(C2151, dd_accsrycalc!$A$2:$A$51, dd_accsrycalc!$E$2:$E$51, "",0), F2151="Drainage Cover", _xlfn.XLOOKUP(C2151, dd_accsrycalc!$A$2:$A$51, dd_accsrycalc!$F$2:$F$51, "",0),AND( F2151="Double Adhesive Tape", I2151="Roll-up Screen"), _xlfn.XLOOKUP(C2151, calc_rusacc!$C$15:$C$65, calc_rusacc!$AD$15:$AD$65, "",0),AND( F2151="Sealant", I2151="Roll-up Screen"), _xlfn.XLOOKUP(C2151, calc_rusacc!$C$15:$C$65, calc_rusacc!$AF$15:$AF$65, "",0),  AND( F2151="Main Chain", I2151="Accordion Screen"), _xlfn.XLOOKUP(C2151, calc_rusacc!$C$15:$C$65, calc_rusacc!$BF$15:$BF$65, "",0), AND( F2151="Sealant", I2151="Accordion Screen"), _xlfn.XLOOKUP(C2151, calc_rusacc!$C$15:$C$65, calc_rusacc!$BJ$15:$BJ$65, "",0),  F2151="Sealant", _xlfn.XLOOKUP(C2151, dd_accsrycalc!$A$2:$A$51, dd_accsrycalc!$G$2:$G$51, "",0),  F2151&lt;&gt;"",L2151*_xlfn.XLOOKUP(1, (SKUs!$C$2:$C$10001=G2151)*(SKUs!$K$2:$K$10001=I2151),SKUs!$E$2:$E$10001)), 0),"")</f>
        <v/>
      </c>
      <c r="E2151" s="16" t="str">
        <f>_xlfn.XLOOKUP(F2151,dd_item!$B$2:$B$105,dd_item!$C$2:$C$105,"",0)</f>
        <v/>
      </c>
      <c r="F2151" s="16"/>
      <c r="G2151" s="16" cm="1">
        <f t="array" ref="G2151">IFERROR(_xlfn.XLOOKUP(1, (SKUs!$J$2:$J$10001=accsry_unmerged!F2151)*IF(H2151&lt;&gt;"",(SKUs!$L$2:$L$10001=accsry_unmerged!H2151),1)*(SKUs!$K$2:$K$10001=I2151),SKUs!$C$2:$C$10001),"")</f>
        <v>0</v>
      </c>
      <c r="H2151" s="33" cm="1">
        <f t="array" ref="H2151">IFERROR(_xlfn.XLOOKUP(1, (dd_accsryclr!$C$2:$C$1000=accsry_unmerged!F2151)*(dd_accsryclr!$B$2:$B$1000=accsry_unmerged!J2151),dd_accsryclr!$A$2:$A$1000),"")</f>
        <v>0</v>
      </c>
      <c r="I2151" s="16">
        <f>_xlfn.XLOOKUP(C2151,'Project Details'!$C$17:$C$66,'Project Details'!$E$17:$E$66,"",0)</f>
        <v>0</v>
      </c>
      <c r="J2151" s="16">
        <f>_xlfn.XLOOKUP(C2151,'Project Details'!$C$17:$C$66,'Project Details'!$H$17:$H$66,"",0)</f>
        <v>0</v>
      </c>
      <c r="K2151" s="33" t="str">
        <f>IF(AND(_xlfn.XLOOKUP(C2151,'Project Details'!$C$17:$C$66,'Project Details'!$L$17:$L$66,"",0)&gt;550, F2151="Spring-L27cm"),"",SUBSTITUTE(_xlfn.XLOOKUP(G2151,SKUs!$C$2:$C$10001,SKUs!$F$2:$F$10001,"",0), " Accessories",""))</f>
        <v/>
      </c>
      <c r="L2151" s="33">
        <f>_xlfn.XLOOKUP(C2151,'Project Details'!$C$17:$C$66,'Project Details'!$D$17:$D$66,"",0)</f>
        <v>0</v>
      </c>
      <c r="M2151" s="43"/>
    </row>
    <row r="2152" spans="1:13" ht="13.5" customHeight="1" outlineLevel="1" x14ac:dyDescent="0.25">
      <c r="A2152" s="43"/>
      <c r="B2152" s="43"/>
      <c r="C2152" s="35">
        <f t="shared" si="41"/>
        <v>43</v>
      </c>
      <c r="D2152" s="35" t="str" cm="1">
        <f t="array" ref="D2152">IFERROR(ROUNDUP(_xlfn.IFS(F2152="Aluminum Track", _xlfn.XLOOKUP(C2152, dd_accsrycalc!$A$2:$A$51, dd_accsrycalc!$B$2:$B$51, "",0), F2152="10 x 2 1/2 S (Flat)", _xlfn.XLOOKUP(C2152, dd_accsrycalc!$A$2:$A$51, dd_accsrycalc!$C$2:$C$51, "",0), F2152="Tox6", _xlfn.XLOOKUP(C2152, dd_accsrycalc!$A$2:$A$51, dd_accsrycalc!$D$2:$D$51, "",0), F2152="Cover Cap", _xlfn.XLOOKUP(C2152, dd_accsrycalc!$A$2:$A$51, dd_accsrycalc!$E$2:$E$51, "",0), F2152="Drainage Cover", _xlfn.XLOOKUP(C2152, dd_accsrycalc!$A$2:$A$51, dd_accsrycalc!$F$2:$F$51, "",0),AND( F2152="Double Adhesive Tape", I2152="Roll-up Screen"), _xlfn.XLOOKUP(C2152, calc_rusacc!$C$15:$C$65, calc_rusacc!$AD$15:$AD$65, "",0),AND( F2152="Sealant", I2152="Roll-up Screen"), _xlfn.XLOOKUP(C2152, calc_rusacc!$C$15:$C$65, calc_rusacc!$AF$15:$AF$65, "",0),  AND( F2152="Main Chain", I2152="Accordion Screen"), _xlfn.XLOOKUP(C2152, calc_rusacc!$C$15:$C$65, calc_rusacc!$BF$15:$BF$65, "",0), AND( F2152="Sealant", I2152="Accordion Screen"), _xlfn.XLOOKUP(C2152, calc_rusacc!$C$15:$C$65, calc_rusacc!$BJ$15:$BJ$65, "",0),  F2152="Sealant", _xlfn.XLOOKUP(C2152, dd_accsrycalc!$A$2:$A$51, dd_accsrycalc!$G$2:$G$51, "",0),  F2152&lt;&gt;"",L2152*_xlfn.XLOOKUP(1, (SKUs!$C$2:$C$10001=G2152)*(SKUs!$K$2:$K$10001=I2152),SKUs!$E$2:$E$10001)), 0),"")</f>
        <v/>
      </c>
      <c r="E2152" s="35" t="str">
        <f>_xlfn.XLOOKUP(F2152,dd_item!$B$2:$B$105,dd_item!$C$2:$C$105,"",0)</f>
        <v/>
      </c>
      <c r="F2152" s="35"/>
      <c r="G2152" s="35" cm="1">
        <f t="array" ref="G2152">IFERROR(_xlfn.XLOOKUP(1, (SKUs!$J$2:$J$10001=accsry_unmerged!F2152)*IF(H2152&lt;&gt;"",(SKUs!$L$2:$L$10001=accsry_unmerged!H2152),1)*(SKUs!$K$2:$K$10001=I2152),SKUs!$C$2:$C$10001),"")</f>
        <v>0</v>
      </c>
      <c r="H2152" s="36" cm="1">
        <f t="array" ref="H2152">IFERROR(_xlfn.XLOOKUP(1, (dd_accsryclr!$C$2:$C$1000=accsry_unmerged!F2152)*(dd_accsryclr!$B$2:$B$1000=accsry_unmerged!J2152),dd_accsryclr!$A$2:$A$1000),"")</f>
        <v>0</v>
      </c>
      <c r="I2152" s="35">
        <f>_xlfn.XLOOKUP(C2152,'Project Details'!$C$17:$C$66,'Project Details'!$E$17:$E$66,"",0)</f>
        <v>0</v>
      </c>
      <c r="J2152" s="35">
        <f>_xlfn.XLOOKUP(C2152,'Project Details'!$C$17:$C$66,'Project Details'!$H$17:$H$66,"",0)</f>
        <v>0</v>
      </c>
      <c r="K2152" s="36" t="str">
        <f>IF(AND(_xlfn.XLOOKUP(C2152,'Project Details'!$C$17:$C$66,'Project Details'!$L$17:$L$66,"",0)&gt;550, F2152="Spring-L27cm"),"",SUBSTITUTE(_xlfn.XLOOKUP(G2152,SKUs!$C$2:$C$10001,SKUs!$F$2:$F$10001,"",0), " Accessories",""))</f>
        <v/>
      </c>
      <c r="L2152" s="36">
        <f>_xlfn.XLOOKUP(C2152,'Project Details'!$C$17:$C$66,'Project Details'!$D$17:$D$66,"",0)</f>
        <v>0</v>
      </c>
      <c r="M2152" s="43"/>
    </row>
    <row r="2153" spans="1:13" ht="13.5" customHeight="1" outlineLevel="1" x14ac:dyDescent="0.25">
      <c r="A2153" s="43"/>
      <c r="B2153" s="43"/>
      <c r="C2153" s="16">
        <f t="shared" si="41"/>
        <v>43</v>
      </c>
      <c r="D2153" s="16" t="str" cm="1">
        <f t="array" ref="D2153">IFERROR(ROUNDUP(_xlfn.IFS(F2153="Aluminum Track", _xlfn.XLOOKUP(C2153, dd_accsrycalc!$A$2:$A$51, dd_accsrycalc!$B$2:$B$51, "",0), F2153="10 x 2 1/2 S (Flat)", _xlfn.XLOOKUP(C2153, dd_accsrycalc!$A$2:$A$51, dd_accsrycalc!$C$2:$C$51, "",0), F2153="Tox6", _xlfn.XLOOKUP(C2153, dd_accsrycalc!$A$2:$A$51, dd_accsrycalc!$D$2:$D$51, "",0), F2153="Cover Cap", _xlfn.XLOOKUP(C2153, dd_accsrycalc!$A$2:$A$51, dd_accsrycalc!$E$2:$E$51, "",0), F2153="Drainage Cover", _xlfn.XLOOKUP(C2153, dd_accsrycalc!$A$2:$A$51, dd_accsrycalc!$F$2:$F$51, "",0),AND( F2153="Double Adhesive Tape", I2153="Roll-up Screen"), _xlfn.XLOOKUP(C2153, calc_rusacc!$C$15:$C$65, calc_rusacc!$AD$15:$AD$65, "",0),AND( F2153="Sealant", I2153="Roll-up Screen"), _xlfn.XLOOKUP(C2153, calc_rusacc!$C$15:$C$65, calc_rusacc!$AF$15:$AF$65, "",0),  AND( F2153="Main Chain", I2153="Accordion Screen"), _xlfn.XLOOKUP(C2153, calc_rusacc!$C$15:$C$65, calc_rusacc!$BF$15:$BF$65, "",0), AND( F2153="Sealant", I2153="Accordion Screen"), _xlfn.XLOOKUP(C2153, calc_rusacc!$C$15:$C$65, calc_rusacc!$BJ$15:$BJ$65, "",0),  F2153="Sealant", _xlfn.XLOOKUP(C2153, dd_accsrycalc!$A$2:$A$51, dd_accsrycalc!$G$2:$G$51, "",0),  F2153&lt;&gt;"",L2153*_xlfn.XLOOKUP(1, (SKUs!$C$2:$C$10001=G2153)*(SKUs!$K$2:$K$10001=I2153),SKUs!$E$2:$E$10001)), 0),"")</f>
        <v/>
      </c>
      <c r="E2153" s="16" t="str">
        <f>_xlfn.XLOOKUP(F2153,dd_item!$B$2:$B$105,dd_item!$C$2:$C$105,"",0)</f>
        <v/>
      </c>
      <c r="F2153" s="16"/>
      <c r="G2153" s="16" cm="1">
        <f t="array" ref="G2153">IFERROR(_xlfn.XLOOKUP(1, (SKUs!$J$2:$J$10001=accsry_unmerged!F2153)*IF(H2153&lt;&gt;"",(SKUs!$L$2:$L$10001=accsry_unmerged!H2153),1)*(SKUs!$K$2:$K$10001=I2153),SKUs!$C$2:$C$10001),"")</f>
        <v>0</v>
      </c>
      <c r="H2153" s="33" cm="1">
        <f t="array" ref="H2153">IFERROR(_xlfn.XLOOKUP(1, (dd_accsryclr!$C$2:$C$1000=accsry_unmerged!F2153)*(dd_accsryclr!$B$2:$B$1000=accsry_unmerged!J2153),dd_accsryclr!$A$2:$A$1000),"")</f>
        <v>0</v>
      </c>
      <c r="I2153" s="16">
        <f>_xlfn.XLOOKUP(C2153,'Project Details'!$C$17:$C$66,'Project Details'!$E$17:$E$66,"",0)</f>
        <v>0</v>
      </c>
      <c r="J2153" s="16">
        <f>_xlfn.XLOOKUP(C2153,'Project Details'!$C$17:$C$66,'Project Details'!$H$17:$H$66,"",0)</f>
        <v>0</v>
      </c>
      <c r="K2153" s="33" t="str">
        <f>IF(AND(_xlfn.XLOOKUP(C2153,'Project Details'!$C$17:$C$66,'Project Details'!$L$17:$L$66,"",0)&gt;550, F2153="Spring-L27cm"),"",SUBSTITUTE(_xlfn.XLOOKUP(G2153,SKUs!$C$2:$C$10001,SKUs!$F$2:$F$10001,"",0), " Accessories",""))</f>
        <v/>
      </c>
      <c r="L2153" s="33">
        <f>_xlfn.XLOOKUP(C2153,'Project Details'!$C$17:$C$66,'Project Details'!$D$17:$D$66,"",0)</f>
        <v>0</v>
      </c>
      <c r="M2153" s="43"/>
    </row>
    <row r="2154" spans="1:13" ht="13.5" customHeight="1" outlineLevel="1" x14ac:dyDescent="0.25">
      <c r="A2154" s="43"/>
      <c r="B2154" s="43"/>
      <c r="C2154" s="35">
        <f t="shared" si="41"/>
        <v>43</v>
      </c>
      <c r="D2154" s="35" t="str" cm="1">
        <f t="array" ref="D2154">IFERROR(ROUNDUP(_xlfn.IFS(F2154="Aluminum Track", _xlfn.XLOOKUP(C2154, dd_accsrycalc!$A$2:$A$51, dd_accsrycalc!$B$2:$B$51, "",0), F2154="10 x 2 1/2 S (Flat)", _xlfn.XLOOKUP(C2154, dd_accsrycalc!$A$2:$A$51, dd_accsrycalc!$C$2:$C$51, "",0), F2154="Tox6", _xlfn.XLOOKUP(C2154, dd_accsrycalc!$A$2:$A$51, dd_accsrycalc!$D$2:$D$51, "",0), F2154="Cover Cap", _xlfn.XLOOKUP(C2154, dd_accsrycalc!$A$2:$A$51, dd_accsrycalc!$E$2:$E$51, "",0), F2154="Drainage Cover", _xlfn.XLOOKUP(C2154, dd_accsrycalc!$A$2:$A$51, dd_accsrycalc!$F$2:$F$51, "",0),AND( F2154="Double Adhesive Tape", I2154="Roll-up Screen"), _xlfn.XLOOKUP(C2154, calc_rusacc!$C$15:$C$65, calc_rusacc!$AD$15:$AD$65, "",0),AND( F2154="Sealant", I2154="Roll-up Screen"), _xlfn.XLOOKUP(C2154, calc_rusacc!$C$15:$C$65, calc_rusacc!$AF$15:$AF$65, "",0),  AND( F2154="Main Chain", I2154="Accordion Screen"), _xlfn.XLOOKUP(C2154, calc_rusacc!$C$15:$C$65, calc_rusacc!$BF$15:$BF$65, "",0), AND( F2154="Sealant", I2154="Accordion Screen"), _xlfn.XLOOKUP(C2154, calc_rusacc!$C$15:$C$65, calc_rusacc!$BJ$15:$BJ$65, "",0),  F2154="Sealant", _xlfn.XLOOKUP(C2154, dd_accsrycalc!$A$2:$A$51, dd_accsrycalc!$G$2:$G$51, "",0),  F2154&lt;&gt;"",L2154*_xlfn.XLOOKUP(1, (SKUs!$C$2:$C$10001=G2154)*(SKUs!$K$2:$K$10001=I2154),SKUs!$E$2:$E$10001)), 0),"")</f>
        <v/>
      </c>
      <c r="E2154" s="35" t="str">
        <f>_xlfn.XLOOKUP(F2154,dd_item!$B$2:$B$105,dd_item!$C$2:$C$105,"",0)</f>
        <v/>
      </c>
      <c r="F2154" s="35"/>
      <c r="G2154" s="35" cm="1">
        <f t="array" ref="G2154">IFERROR(_xlfn.XLOOKUP(1, (SKUs!$J$2:$J$10001=accsry_unmerged!F2154)*IF(H2154&lt;&gt;"",(SKUs!$L$2:$L$10001=accsry_unmerged!H2154),1)*(SKUs!$K$2:$K$10001=I2154),SKUs!$C$2:$C$10001),"")</f>
        <v>0</v>
      </c>
      <c r="H2154" s="36" cm="1">
        <f t="array" ref="H2154">IFERROR(_xlfn.XLOOKUP(1, (dd_accsryclr!$C$2:$C$1000=accsry_unmerged!F2154)*(dd_accsryclr!$B$2:$B$1000=accsry_unmerged!J2154),dd_accsryclr!$A$2:$A$1000),"")</f>
        <v>0</v>
      </c>
      <c r="I2154" s="35">
        <f>_xlfn.XLOOKUP(C2154,'Project Details'!$C$17:$C$66,'Project Details'!$E$17:$E$66,"",0)</f>
        <v>0</v>
      </c>
      <c r="J2154" s="35">
        <f>_xlfn.XLOOKUP(C2154,'Project Details'!$C$17:$C$66,'Project Details'!$H$17:$H$66,"",0)</f>
        <v>0</v>
      </c>
      <c r="K2154" s="36" t="str">
        <f>IF(AND(_xlfn.XLOOKUP(C2154,'Project Details'!$C$17:$C$66,'Project Details'!$L$17:$L$66,"",0)&gt;550, F2154="Spring-L27cm"),"",SUBSTITUTE(_xlfn.XLOOKUP(G2154,SKUs!$C$2:$C$10001,SKUs!$F$2:$F$10001,"",0), " Accessories",""))</f>
        <v/>
      </c>
      <c r="L2154" s="36">
        <f>_xlfn.XLOOKUP(C2154,'Project Details'!$C$17:$C$66,'Project Details'!$D$17:$D$66,"",0)</f>
        <v>0</v>
      </c>
      <c r="M2154" s="43"/>
    </row>
    <row r="2155" spans="1:13" ht="13.5" customHeight="1" outlineLevel="1" collapsed="1" x14ac:dyDescent="0.25">
      <c r="A2155" s="43"/>
      <c r="B2155" s="43"/>
      <c r="C2155" s="16">
        <f t="shared" si="41"/>
        <v>43</v>
      </c>
      <c r="D2155" s="16" t="str" cm="1">
        <f t="array" ref="D2155">IFERROR(ROUNDUP(_xlfn.IFS(F2155="Aluminum Track", _xlfn.XLOOKUP(C2155, dd_accsrycalc!$A$2:$A$51, dd_accsrycalc!$B$2:$B$51, "",0), F2155="10 x 2 1/2 S (Flat)", _xlfn.XLOOKUP(C2155, dd_accsrycalc!$A$2:$A$51, dd_accsrycalc!$C$2:$C$51, "",0), F2155="Tox6", _xlfn.XLOOKUP(C2155, dd_accsrycalc!$A$2:$A$51, dd_accsrycalc!$D$2:$D$51, "",0), F2155="Cover Cap", _xlfn.XLOOKUP(C2155, dd_accsrycalc!$A$2:$A$51, dd_accsrycalc!$E$2:$E$51, "",0), F2155="Drainage Cover", _xlfn.XLOOKUP(C2155, dd_accsrycalc!$A$2:$A$51, dd_accsrycalc!$F$2:$F$51, "",0),AND( F2155="Double Adhesive Tape", I2155="Roll-up Screen"), _xlfn.XLOOKUP(C2155, calc_rusacc!$C$15:$C$65, calc_rusacc!$AD$15:$AD$65, "",0),AND( F2155="Sealant", I2155="Roll-up Screen"), _xlfn.XLOOKUP(C2155, calc_rusacc!$C$15:$C$65, calc_rusacc!$AF$15:$AF$65, "",0),  AND( F2155="Main Chain", I2155="Accordion Screen"), _xlfn.XLOOKUP(C2155, calc_rusacc!$C$15:$C$65, calc_rusacc!$BF$15:$BF$65, "",0), AND( F2155="Sealant", I2155="Accordion Screen"), _xlfn.XLOOKUP(C2155, calc_rusacc!$C$15:$C$65, calc_rusacc!$BJ$15:$BJ$65, "",0),  F2155="Sealant", _xlfn.XLOOKUP(C2155, dd_accsrycalc!$A$2:$A$51, dd_accsrycalc!$G$2:$G$51, "",0),  F2155&lt;&gt;"",L2155*_xlfn.XLOOKUP(1, (SKUs!$C$2:$C$10001=G2155)*(SKUs!$K$2:$K$10001=I2155),SKUs!$E$2:$E$10001)), 0),"")</f>
        <v/>
      </c>
      <c r="E2155" s="16" t="str">
        <f>_xlfn.XLOOKUP(F2155,dd_item!$B$2:$B$105,dd_item!$C$2:$C$105,"",0)</f>
        <v/>
      </c>
      <c r="F2155" s="16"/>
      <c r="G2155" s="16" cm="1">
        <f t="array" ref="G2155">IFERROR(_xlfn.XLOOKUP(1, (SKUs!$J$2:$J$10001=accsry_unmerged!F2155)*IF(H2155&lt;&gt;"",(SKUs!$L$2:$L$10001=accsry_unmerged!H2155),1)*(SKUs!$K$2:$K$10001=I2155),SKUs!$C$2:$C$10001),"")</f>
        <v>0</v>
      </c>
      <c r="H2155" s="33" cm="1">
        <f t="array" ref="H2155">IFERROR(_xlfn.XLOOKUP(1, (dd_accsryclr!$C$2:$C$1000=accsry_unmerged!F2155)*(dd_accsryclr!$B$2:$B$1000=accsry_unmerged!J2155),dd_accsryclr!$A$2:$A$1000),"")</f>
        <v>0</v>
      </c>
      <c r="I2155" s="16">
        <f>_xlfn.XLOOKUP(C2155,'Project Details'!$C$17:$C$66,'Project Details'!$E$17:$E$66,"",0)</f>
        <v>0</v>
      </c>
      <c r="J2155" s="16">
        <f>_xlfn.XLOOKUP(C2155,'Project Details'!$C$17:$C$66,'Project Details'!$H$17:$H$66,"",0)</f>
        <v>0</v>
      </c>
      <c r="K2155" s="33" t="str">
        <f>IF(AND(_xlfn.XLOOKUP(C2155,'Project Details'!$C$17:$C$66,'Project Details'!$L$17:$L$66,"",0)&gt;550, F2155="Spring-L27cm"),"",SUBSTITUTE(_xlfn.XLOOKUP(G2155,SKUs!$C$2:$C$10001,SKUs!$F$2:$F$10001,"",0), " Accessories",""))</f>
        <v/>
      </c>
      <c r="L2155" s="33">
        <f>_xlfn.XLOOKUP(C2155,'Project Details'!$C$17:$C$66,'Project Details'!$D$17:$D$66,"",0)</f>
        <v>0</v>
      </c>
      <c r="M2155" s="43"/>
    </row>
    <row r="2156" spans="1:13" ht="13.5" customHeight="1" outlineLevel="1" x14ac:dyDescent="0.25">
      <c r="A2156" s="43"/>
      <c r="B2156" s="43"/>
      <c r="C2156" s="35">
        <f t="shared" si="41"/>
        <v>43</v>
      </c>
      <c r="D2156" s="35" t="str" cm="1">
        <f t="array" ref="D2156">IFERROR(ROUNDUP(_xlfn.IFS(F2156="Aluminum Track", _xlfn.XLOOKUP(C2156, dd_accsrycalc!$A$2:$A$51, dd_accsrycalc!$B$2:$B$51, "",0), F2156="10 x 2 1/2 S (Flat)", _xlfn.XLOOKUP(C2156, dd_accsrycalc!$A$2:$A$51, dd_accsrycalc!$C$2:$C$51, "",0), F2156="Tox6", _xlfn.XLOOKUP(C2156, dd_accsrycalc!$A$2:$A$51, dd_accsrycalc!$D$2:$D$51, "",0), F2156="Cover Cap", _xlfn.XLOOKUP(C2156, dd_accsrycalc!$A$2:$A$51, dd_accsrycalc!$E$2:$E$51, "",0), F2156="Drainage Cover", _xlfn.XLOOKUP(C2156, dd_accsrycalc!$A$2:$A$51, dd_accsrycalc!$F$2:$F$51, "",0),AND( F2156="Double Adhesive Tape", I2156="Roll-up Screen"), _xlfn.XLOOKUP(C2156, calc_rusacc!$C$15:$C$65, calc_rusacc!$AD$15:$AD$65, "",0),AND( F2156="Sealant", I2156="Roll-up Screen"), _xlfn.XLOOKUP(C2156, calc_rusacc!$C$15:$C$65, calc_rusacc!$AF$15:$AF$65, "",0),  AND( F2156="Main Chain", I2156="Accordion Screen"), _xlfn.XLOOKUP(C2156, calc_rusacc!$C$15:$C$65, calc_rusacc!$BF$15:$BF$65, "",0), AND( F2156="Sealant", I2156="Accordion Screen"), _xlfn.XLOOKUP(C2156, calc_rusacc!$C$15:$C$65, calc_rusacc!$BJ$15:$BJ$65, "",0),  F2156="Sealant", _xlfn.XLOOKUP(C2156, dd_accsrycalc!$A$2:$A$51, dd_accsrycalc!$G$2:$G$51, "",0),  F2156&lt;&gt;"",L2156*_xlfn.XLOOKUP(1, (SKUs!$C$2:$C$10001=G2156)*(SKUs!$K$2:$K$10001=I2156),SKUs!$E$2:$E$10001)), 0),"")</f>
        <v/>
      </c>
      <c r="E2156" s="35" t="str">
        <f>_xlfn.XLOOKUP(F2156,dd_item!$B$2:$B$105,dd_item!$C$2:$C$105,"",0)</f>
        <v/>
      </c>
      <c r="F2156" s="35"/>
      <c r="G2156" s="35" cm="1">
        <f t="array" ref="G2156">IFERROR(_xlfn.XLOOKUP(1, (SKUs!$J$2:$J$10001=accsry_unmerged!F2156)*IF(H2156&lt;&gt;"",(SKUs!$L$2:$L$10001=accsry_unmerged!H2156),1)*(SKUs!$K$2:$K$10001=I2156),SKUs!$C$2:$C$10001),"")</f>
        <v>0</v>
      </c>
      <c r="H2156" s="36" cm="1">
        <f t="array" ref="H2156">IFERROR(_xlfn.XLOOKUP(1, (dd_accsryclr!$C$2:$C$1000=accsry_unmerged!F2156)*(dd_accsryclr!$B$2:$B$1000=accsry_unmerged!J2156),dd_accsryclr!$A$2:$A$1000),"")</f>
        <v>0</v>
      </c>
      <c r="I2156" s="35">
        <f>_xlfn.XLOOKUP(C2156,'Project Details'!$C$17:$C$66,'Project Details'!$E$17:$E$66,"",0)</f>
        <v>0</v>
      </c>
      <c r="J2156" s="35">
        <f>_xlfn.XLOOKUP(C2156,'Project Details'!$C$17:$C$66,'Project Details'!$H$17:$H$66,"",0)</f>
        <v>0</v>
      </c>
      <c r="K2156" s="36" t="str">
        <f>IF(AND(_xlfn.XLOOKUP(C2156,'Project Details'!$C$17:$C$66,'Project Details'!$L$17:$L$66,"",0)&gt;550, F2156="Spring-L27cm"),"",SUBSTITUTE(_xlfn.XLOOKUP(G2156,SKUs!$C$2:$C$10001,SKUs!$F$2:$F$10001,"",0), " Accessories",""))</f>
        <v/>
      </c>
      <c r="L2156" s="36">
        <f>_xlfn.XLOOKUP(C2156,'Project Details'!$C$17:$C$66,'Project Details'!$D$17:$D$66,"",0)</f>
        <v>0</v>
      </c>
      <c r="M2156" s="43"/>
    </row>
    <row r="2157" spans="1:13" ht="13.5" customHeight="1" outlineLevel="1" x14ac:dyDescent="0.25">
      <c r="A2157" s="43"/>
      <c r="B2157" s="43"/>
      <c r="C2157" s="16">
        <f t="shared" si="41"/>
        <v>43</v>
      </c>
      <c r="D2157" s="16" t="str" cm="1">
        <f t="array" ref="D2157">IFERROR(ROUNDUP(_xlfn.IFS(F2157="Aluminum Track", _xlfn.XLOOKUP(C2157, dd_accsrycalc!$A$2:$A$51, dd_accsrycalc!$B$2:$B$51, "",0), F2157="10 x 2 1/2 S (Flat)", _xlfn.XLOOKUP(C2157, dd_accsrycalc!$A$2:$A$51, dd_accsrycalc!$C$2:$C$51, "",0), F2157="Tox6", _xlfn.XLOOKUP(C2157, dd_accsrycalc!$A$2:$A$51, dd_accsrycalc!$D$2:$D$51, "",0), F2157="Cover Cap", _xlfn.XLOOKUP(C2157, dd_accsrycalc!$A$2:$A$51, dd_accsrycalc!$E$2:$E$51, "",0), F2157="Drainage Cover", _xlfn.XLOOKUP(C2157, dd_accsrycalc!$A$2:$A$51, dd_accsrycalc!$F$2:$F$51, "",0),AND( F2157="Double Adhesive Tape", I2157="Roll-up Screen"), _xlfn.XLOOKUP(C2157, calc_rusacc!$C$15:$C$65, calc_rusacc!$AD$15:$AD$65, "",0),AND( F2157="Sealant", I2157="Roll-up Screen"), _xlfn.XLOOKUP(C2157, calc_rusacc!$C$15:$C$65, calc_rusacc!$AF$15:$AF$65, "",0),  AND( F2157="Main Chain", I2157="Accordion Screen"), _xlfn.XLOOKUP(C2157, calc_rusacc!$C$15:$C$65, calc_rusacc!$BF$15:$BF$65, "",0), AND( F2157="Sealant", I2157="Accordion Screen"), _xlfn.XLOOKUP(C2157, calc_rusacc!$C$15:$C$65, calc_rusacc!$BJ$15:$BJ$65, "",0),  F2157="Sealant", _xlfn.XLOOKUP(C2157, dd_accsrycalc!$A$2:$A$51, dd_accsrycalc!$G$2:$G$51, "",0),  F2157&lt;&gt;"",L2157*_xlfn.XLOOKUP(1, (SKUs!$C$2:$C$10001=G2157)*(SKUs!$K$2:$K$10001=I2157),SKUs!$E$2:$E$10001)), 0),"")</f>
        <v/>
      </c>
      <c r="E2157" s="16" t="str">
        <f>_xlfn.XLOOKUP(F2157,dd_item!$B$2:$B$105,dd_item!$C$2:$C$105,"",0)</f>
        <v/>
      </c>
      <c r="F2157" s="16"/>
      <c r="G2157" s="16" cm="1">
        <f t="array" ref="G2157">IFERROR(_xlfn.XLOOKUP(1, (SKUs!$J$2:$J$10001=accsry_unmerged!F2157)*IF(H2157&lt;&gt;"",(SKUs!$L$2:$L$10001=accsry_unmerged!H2157),1)*(SKUs!$K$2:$K$10001=I2157),SKUs!$C$2:$C$10001),"")</f>
        <v>0</v>
      </c>
      <c r="H2157" s="33" cm="1">
        <f t="array" ref="H2157">IFERROR(_xlfn.XLOOKUP(1, (dd_accsryclr!$C$2:$C$1000=accsry_unmerged!F2157)*(dd_accsryclr!$B$2:$B$1000=accsry_unmerged!J2157),dd_accsryclr!$A$2:$A$1000),"")</f>
        <v>0</v>
      </c>
      <c r="I2157" s="16">
        <f>_xlfn.XLOOKUP(C2157,'Project Details'!$C$17:$C$66,'Project Details'!$E$17:$E$66,"",0)</f>
        <v>0</v>
      </c>
      <c r="J2157" s="16">
        <f>_xlfn.XLOOKUP(C2157,'Project Details'!$C$17:$C$66,'Project Details'!$H$17:$H$66,"",0)</f>
        <v>0</v>
      </c>
      <c r="K2157" s="33" t="str">
        <f>IF(AND(_xlfn.XLOOKUP(C2157,'Project Details'!$C$17:$C$66,'Project Details'!$L$17:$L$66,"",0)&gt;550, F2157="Spring-L27cm"),"",SUBSTITUTE(_xlfn.XLOOKUP(G2157,SKUs!$C$2:$C$10001,SKUs!$F$2:$F$10001,"",0), " Accessories",""))</f>
        <v/>
      </c>
      <c r="L2157" s="33">
        <f>_xlfn.XLOOKUP(C2157,'Project Details'!$C$17:$C$66,'Project Details'!$D$17:$D$66,"",0)</f>
        <v>0</v>
      </c>
      <c r="M2157" s="43"/>
    </row>
    <row r="2158" spans="1:13" ht="13.5" customHeight="1" outlineLevel="1" x14ac:dyDescent="0.25">
      <c r="A2158" s="43"/>
      <c r="B2158" s="43"/>
      <c r="C2158" s="35">
        <f t="shared" si="41"/>
        <v>43</v>
      </c>
      <c r="D2158" s="35" t="str" cm="1">
        <f t="array" ref="D2158">IFERROR(ROUNDUP(_xlfn.IFS(F2158="Aluminum Track", _xlfn.XLOOKUP(C2158, dd_accsrycalc!$A$2:$A$51, dd_accsrycalc!$B$2:$B$51, "",0), F2158="10 x 2 1/2 S (Flat)", _xlfn.XLOOKUP(C2158, dd_accsrycalc!$A$2:$A$51, dd_accsrycalc!$C$2:$C$51, "",0), F2158="Tox6", _xlfn.XLOOKUP(C2158, dd_accsrycalc!$A$2:$A$51, dd_accsrycalc!$D$2:$D$51, "",0), F2158="Cover Cap", _xlfn.XLOOKUP(C2158, dd_accsrycalc!$A$2:$A$51, dd_accsrycalc!$E$2:$E$51, "",0), F2158="Drainage Cover", _xlfn.XLOOKUP(C2158, dd_accsrycalc!$A$2:$A$51, dd_accsrycalc!$F$2:$F$51, "",0),AND( F2158="Double Adhesive Tape", I2158="Roll-up Screen"), _xlfn.XLOOKUP(C2158, calc_rusacc!$C$15:$C$65, calc_rusacc!$AD$15:$AD$65, "",0),AND( F2158="Sealant", I2158="Roll-up Screen"), _xlfn.XLOOKUP(C2158, calc_rusacc!$C$15:$C$65, calc_rusacc!$AF$15:$AF$65, "",0),  AND( F2158="Main Chain", I2158="Accordion Screen"), _xlfn.XLOOKUP(C2158, calc_rusacc!$C$15:$C$65, calc_rusacc!$BF$15:$BF$65, "",0), AND( F2158="Sealant", I2158="Accordion Screen"), _xlfn.XLOOKUP(C2158, calc_rusacc!$C$15:$C$65, calc_rusacc!$BJ$15:$BJ$65, "",0),  F2158="Sealant", _xlfn.XLOOKUP(C2158, dd_accsrycalc!$A$2:$A$51, dd_accsrycalc!$G$2:$G$51, "",0),  F2158&lt;&gt;"",L2158*_xlfn.XLOOKUP(1, (SKUs!$C$2:$C$10001=G2158)*(SKUs!$K$2:$K$10001=I2158),SKUs!$E$2:$E$10001)), 0),"")</f>
        <v/>
      </c>
      <c r="E2158" s="35" t="str">
        <f>_xlfn.XLOOKUP(F2158,dd_item!$B$2:$B$105,dd_item!$C$2:$C$105,"",0)</f>
        <v/>
      </c>
      <c r="F2158" s="35"/>
      <c r="G2158" s="35" cm="1">
        <f t="array" ref="G2158">IFERROR(_xlfn.XLOOKUP(1, (SKUs!$J$2:$J$10001=accsry_unmerged!F2158)*IF(H2158&lt;&gt;"",(SKUs!$L$2:$L$10001=accsry_unmerged!H2158),1)*(SKUs!$K$2:$K$10001=I2158),SKUs!$C$2:$C$10001),"")</f>
        <v>0</v>
      </c>
      <c r="H2158" s="36" cm="1">
        <f t="array" ref="H2158">IFERROR(_xlfn.XLOOKUP(1, (dd_accsryclr!$C$2:$C$1000=accsry_unmerged!F2158)*(dd_accsryclr!$B$2:$B$1000=accsry_unmerged!J2158),dd_accsryclr!$A$2:$A$1000),"")</f>
        <v>0</v>
      </c>
      <c r="I2158" s="35">
        <f>_xlfn.XLOOKUP(C2158,'Project Details'!$C$17:$C$66,'Project Details'!$E$17:$E$66,"",0)</f>
        <v>0</v>
      </c>
      <c r="J2158" s="35">
        <f>_xlfn.XLOOKUP(C2158,'Project Details'!$C$17:$C$66,'Project Details'!$H$17:$H$66,"",0)</f>
        <v>0</v>
      </c>
      <c r="K2158" s="36" t="str">
        <f>IF(AND(_xlfn.XLOOKUP(C2158,'Project Details'!$C$17:$C$66,'Project Details'!$L$17:$L$66,"",0)&gt;550, F2158="Spring-L27cm"),"",SUBSTITUTE(_xlfn.XLOOKUP(G2158,SKUs!$C$2:$C$10001,SKUs!$F$2:$F$10001,"",0), " Accessories",""))</f>
        <v/>
      </c>
      <c r="L2158" s="36">
        <f>_xlfn.XLOOKUP(C2158,'Project Details'!$C$17:$C$66,'Project Details'!$D$17:$D$66,"",0)</f>
        <v>0</v>
      </c>
      <c r="M2158" s="43"/>
    </row>
    <row r="2159" spans="1:13" ht="13.5" customHeight="1" outlineLevel="1" x14ac:dyDescent="0.25">
      <c r="A2159" s="43"/>
      <c r="B2159" s="43"/>
      <c r="C2159" s="16">
        <f t="shared" si="41"/>
        <v>43</v>
      </c>
      <c r="D2159" s="16" t="str" cm="1">
        <f t="array" ref="D2159">IFERROR(ROUNDUP(_xlfn.IFS(F2159="Aluminum Track", _xlfn.XLOOKUP(C2159, dd_accsrycalc!$A$2:$A$51, dd_accsrycalc!$B$2:$B$51, "",0), F2159="10 x 2 1/2 S (Flat)", _xlfn.XLOOKUP(C2159, dd_accsrycalc!$A$2:$A$51, dd_accsrycalc!$C$2:$C$51, "",0), F2159="Tox6", _xlfn.XLOOKUP(C2159, dd_accsrycalc!$A$2:$A$51, dd_accsrycalc!$D$2:$D$51, "",0), F2159="Cover Cap", _xlfn.XLOOKUP(C2159, dd_accsrycalc!$A$2:$A$51, dd_accsrycalc!$E$2:$E$51, "",0), F2159="Drainage Cover", _xlfn.XLOOKUP(C2159, dd_accsrycalc!$A$2:$A$51, dd_accsrycalc!$F$2:$F$51, "",0),AND( F2159="Double Adhesive Tape", I2159="Roll-up Screen"), _xlfn.XLOOKUP(C2159, calc_rusacc!$C$15:$C$65, calc_rusacc!$AD$15:$AD$65, "",0),AND( F2159="Sealant", I2159="Roll-up Screen"), _xlfn.XLOOKUP(C2159, calc_rusacc!$C$15:$C$65, calc_rusacc!$AF$15:$AF$65, "",0),  AND( F2159="Main Chain", I2159="Accordion Screen"), _xlfn.XLOOKUP(C2159, calc_rusacc!$C$15:$C$65, calc_rusacc!$BF$15:$BF$65, "",0), AND( F2159="Sealant", I2159="Accordion Screen"), _xlfn.XLOOKUP(C2159, calc_rusacc!$C$15:$C$65, calc_rusacc!$BJ$15:$BJ$65, "",0),  F2159="Sealant", _xlfn.XLOOKUP(C2159, dd_accsrycalc!$A$2:$A$51, dd_accsrycalc!$G$2:$G$51, "",0),  F2159&lt;&gt;"",L2159*_xlfn.XLOOKUP(1, (SKUs!$C$2:$C$10001=G2159)*(SKUs!$K$2:$K$10001=I2159),SKUs!$E$2:$E$10001)), 0),"")</f>
        <v/>
      </c>
      <c r="E2159" s="16" t="str">
        <f>_xlfn.XLOOKUP(F2159,dd_item!$B$2:$B$105,dd_item!$C$2:$C$105,"",0)</f>
        <v/>
      </c>
      <c r="F2159" s="16"/>
      <c r="G2159" s="16" cm="1">
        <f t="array" ref="G2159">IFERROR(_xlfn.XLOOKUP(1, (SKUs!$J$2:$J$10001=accsry_unmerged!F2159)*IF(H2159&lt;&gt;"",(SKUs!$L$2:$L$10001=accsry_unmerged!H2159),1)*(SKUs!$K$2:$K$10001=I2159),SKUs!$C$2:$C$10001),"")</f>
        <v>0</v>
      </c>
      <c r="H2159" s="33" cm="1">
        <f t="array" ref="H2159">IFERROR(_xlfn.XLOOKUP(1, (dd_accsryclr!$C$2:$C$1000=accsry_unmerged!F2159)*(dd_accsryclr!$B$2:$B$1000=accsry_unmerged!J2159),dd_accsryclr!$A$2:$A$1000),"")</f>
        <v>0</v>
      </c>
      <c r="I2159" s="16">
        <f>_xlfn.XLOOKUP(C2159,'Project Details'!$C$17:$C$66,'Project Details'!$E$17:$E$66,"",0)</f>
        <v>0</v>
      </c>
      <c r="J2159" s="16">
        <f>_xlfn.XLOOKUP(C2159,'Project Details'!$C$17:$C$66,'Project Details'!$H$17:$H$66,"",0)</f>
        <v>0</v>
      </c>
      <c r="K2159" s="33" t="str">
        <f>IF(AND(_xlfn.XLOOKUP(C2159,'Project Details'!$C$17:$C$66,'Project Details'!$L$17:$L$66,"",0)&gt;550, F2159="Spring-L27cm"),"",SUBSTITUTE(_xlfn.XLOOKUP(G2159,SKUs!$C$2:$C$10001,SKUs!$F$2:$F$10001,"",0), " Accessories",""))</f>
        <v/>
      </c>
      <c r="L2159" s="33">
        <f>_xlfn.XLOOKUP(C2159,'Project Details'!$C$17:$C$66,'Project Details'!$D$17:$D$66,"",0)</f>
        <v>0</v>
      </c>
      <c r="M2159" s="43"/>
    </row>
    <row r="2160" spans="1:13" ht="13.5" customHeight="1" outlineLevel="1" x14ac:dyDescent="0.25">
      <c r="A2160" s="43"/>
      <c r="B2160" s="43"/>
      <c r="C2160" s="35">
        <f t="shared" si="41"/>
        <v>43</v>
      </c>
      <c r="D2160" s="35" t="str" cm="1">
        <f t="array" ref="D2160">IFERROR(ROUNDUP(_xlfn.IFS(F2160="Aluminum Track", _xlfn.XLOOKUP(C2160, dd_accsrycalc!$A$2:$A$51, dd_accsrycalc!$B$2:$B$51, "",0), F2160="10 x 2 1/2 S (Flat)", _xlfn.XLOOKUP(C2160, dd_accsrycalc!$A$2:$A$51, dd_accsrycalc!$C$2:$C$51, "",0), F2160="Tox6", _xlfn.XLOOKUP(C2160, dd_accsrycalc!$A$2:$A$51, dd_accsrycalc!$D$2:$D$51, "",0), F2160="Cover Cap", _xlfn.XLOOKUP(C2160, dd_accsrycalc!$A$2:$A$51, dd_accsrycalc!$E$2:$E$51, "",0), F2160="Drainage Cover", _xlfn.XLOOKUP(C2160, dd_accsrycalc!$A$2:$A$51, dd_accsrycalc!$F$2:$F$51, "",0),AND( F2160="Double Adhesive Tape", I2160="Roll-up Screen"), _xlfn.XLOOKUP(C2160, calc_rusacc!$C$15:$C$65, calc_rusacc!$AD$15:$AD$65, "",0),AND( F2160="Sealant", I2160="Roll-up Screen"), _xlfn.XLOOKUP(C2160, calc_rusacc!$C$15:$C$65, calc_rusacc!$AF$15:$AF$65, "",0),  AND( F2160="Main Chain", I2160="Accordion Screen"), _xlfn.XLOOKUP(C2160, calc_rusacc!$C$15:$C$65, calc_rusacc!$BF$15:$BF$65, "",0), AND( F2160="Sealant", I2160="Accordion Screen"), _xlfn.XLOOKUP(C2160, calc_rusacc!$C$15:$C$65, calc_rusacc!$BJ$15:$BJ$65, "",0),  F2160="Sealant", _xlfn.XLOOKUP(C2160, dd_accsrycalc!$A$2:$A$51, dd_accsrycalc!$G$2:$G$51, "",0),  F2160&lt;&gt;"",L2160*_xlfn.XLOOKUP(1, (SKUs!$C$2:$C$10001=G2160)*(SKUs!$K$2:$K$10001=I2160),SKUs!$E$2:$E$10001)), 0),"")</f>
        <v/>
      </c>
      <c r="E2160" s="35" t="str">
        <f>_xlfn.XLOOKUP(F2160,dd_item!$B$2:$B$105,dd_item!$C$2:$C$105,"",0)</f>
        <v/>
      </c>
      <c r="F2160" s="35"/>
      <c r="G2160" s="35" cm="1">
        <f t="array" ref="G2160">IFERROR(_xlfn.XLOOKUP(1, (SKUs!$J$2:$J$10001=accsry_unmerged!F2160)*IF(H2160&lt;&gt;"",(SKUs!$L$2:$L$10001=accsry_unmerged!H2160),1)*(SKUs!$K$2:$K$10001=I2160),SKUs!$C$2:$C$10001),"")</f>
        <v>0</v>
      </c>
      <c r="H2160" s="36" cm="1">
        <f t="array" ref="H2160">IFERROR(_xlfn.XLOOKUP(1, (dd_accsryclr!$C$2:$C$1000=accsry_unmerged!F2160)*(dd_accsryclr!$B$2:$B$1000=accsry_unmerged!J2160),dd_accsryclr!$A$2:$A$1000),"")</f>
        <v>0</v>
      </c>
      <c r="I2160" s="35">
        <f>_xlfn.XLOOKUP(C2160,'Project Details'!$C$17:$C$66,'Project Details'!$E$17:$E$66,"",0)</f>
        <v>0</v>
      </c>
      <c r="J2160" s="35">
        <f>_xlfn.XLOOKUP(C2160,'Project Details'!$C$17:$C$66,'Project Details'!$H$17:$H$66,"",0)</f>
        <v>0</v>
      </c>
      <c r="K2160" s="36" t="str">
        <f>IF(AND(_xlfn.XLOOKUP(C2160,'Project Details'!$C$17:$C$66,'Project Details'!$L$17:$L$66,"",0)&gt;550, F2160="Spring-L27cm"),"",SUBSTITUTE(_xlfn.XLOOKUP(G2160,SKUs!$C$2:$C$10001,SKUs!$F$2:$F$10001,"",0), " Accessories",""))</f>
        <v/>
      </c>
      <c r="L2160" s="36">
        <f>_xlfn.XLOOKUP(C2160,'Project Details'!$C$17:$C$66,'Project Details'!$D$17:$D$66,"",0)</f>
        <v>0</v>
      </c>
      <c r="M2160" s="43"/>
    </row>
    <row r="2161" spans="1:13" ht="13.5" customHeight="1" outlineLevel="1" x14ac:dyDescent="0.25">
      <c r="A2161" s="43"/>
      <c r="B2161" s="43"/>
      <c r="C2161" s="16">
        <f t="shared" si="41"/>
        <v>43</v>
      </c>
      <c r="D2161" s="16" t="str" cm="1">
        <f t="array" ref="D2161">IFERROR(ROUNDUP(_xlfn.IFS(F2161="Aluminum Track", _xlfn.XLOOKUP(C2161, dd_accsrycalc!$A$2:$A$51, dd_accsrycalc!$B$2:$B$51, "",0), F2161="10 x 2 1/2 S (Flat)", _xlfn.XLOOKUP(C2161, dd_accsrycalc!$A$2:$A$51, dd_accsrycalc!$C$2:$C$51, "",0), F2161="Tox6", _xlfn.XLOOKUP(C2161, dd_accsrycalc!$A$2:$A$51, dd_accsrycalc!$D$2:$D$51, "",0), F2161="Cover Cap", _xlfn.XLOOKUP(C2161, dd_accsrycalc!$A$2:$A$51, dd_accsrycalc!$E$2:$E$51, "",0), F2161="Drainage Cover", _xlfn.XLOOKUP(C2161, dd_accsrycalc!$A$2:$A$51, dd_accsrycalc!$F$2:$F$51, "",0),AND( F2161="Double Adhesive Tape", I2161="Roll-up Screen"), _xlfn.XLOOKUP(C2161, calc_rusacc!$C$15:$C$65, calc_rusacc!$AD$15:$AD$65, "",0),AND( F2161="Sealant", I2161="Roll-up Screen"), _xlfn.XLOOKUP(C2161, calc_rusacc!$C$15:$C$65, calc_rusacc!$AF$15:$AF$65, "",0),  AND( F2161="Main Chain", I2161="Accordion Screen"), _xlfn.XLOOKUP(C2161, calc_rusacc!$C$15:$C$65, calc_rusacc!$BF$15:$BF$65, "",0), AND( F2161="Sealant", I2161="Accordion Screen"), _xlfn.XLOOKUP(C2161, calc_rusacc!$C$15:$C$65, calc_rusacc!$BJ$15:$BJ$65, "",0),  F2161="Sealant", _xlfn.XLOOKUP(C2161, dd_accsrycalc!$A$2:$A$51, dd_accsrycalc!$G$2:$G$51, "",0),  F2161&lt;&gt;"",L2161*_xlfn.XLOOKUP(1, (SKUs!$C$2:$C$10001=G2161)*(SKUs!$K$2:$K$10001=I2161),SKUs!$E$2:$E$10001)), 0),"")</f>
        <v/>
      </c>
      <c r="E2161" s="16" t="str">
        <f>_xlfn.XLOOKUP(F2161,dd_item!$B$2:$B$105,dd_item!$C$2:$C$105,"",0)</f>
        <v/>
      </c>
      <c r="F2161" s="16"/>
      <c r="G2161" s="16" cm="1">
        <f t="array" ref="G2161">IFERROR(_xlfn.XLOOKUP(1, (SKUs!$J$2:$J$10001=accsry_unmerged!F2161)*IF(H2161&lt;&gt;"",(SKUs!$L$2:$L$10001=accsry_unmerged!H2161),1)*(SKUs!$K$2:$K$10001=I2161),SKUs!$C$2:$C$10001),"")</f>
        <v>0</v>
      </c>
      <c r="H2161" s="33" cm="1">
        <f t="array" ref="H2161">IFERROR(_xlfn.XLOOKUP(1, (dd_accsryclr!$C$2:$C$1000=accsry_unmerged!F2161)*(dd_accsryclr!$B$2:$B$1000=accsry_unmerged!J2161),dd_accsryclr!$A$2:$A$1000),"")</f>
        <v>0</v>
      </c>
      <c r="I2161" s="16">
        <f>_xlfn.XLOOKUP(C2161,'Project Details'!$C$17:$C$66,'Project Details'!$E$17:$E$66,"",0)</f>
        <v>0</v>
      </c>
      <c r="J2161" s="16">
        <f>_xlfn.XLOOKUP(C2161,'Project Details'!$C$17:$C$66,'Project Details'!$H$17:$H$66,"",0)</f>
        <v>0</v>
      </c>
      <c r="K2161" s="33" t="str">
        <f>IF(AND(_xlfn.XLOOKUP(C2161,'Project Details'!$C$17:$C$66,'Project Details'!$L$17:$L$66,"",0)&gt;550, F2161="Spring-L27cm"),"",SUBSTITUTE(_xlfn.XLOOKUP(G2161,SKUs!$C$2:$C$10001,SKUs!$F$2:$F$10001,"",0), " Accessories",""))</f>
        <v/>
      </c>
      <c r="L2161" s="33">
        <f>_xlfn.XLOOKUP(C2161,'Project Details'!$C$17:$C$66,'Project Details'!$D$17:$D$66,"",0)</f>
        <v>0</v>
      </c>
      <c r="M2161" s="43"/>
    </row>
    <row r="2162" spans="1:13" ht="13.5" customHeight="1" outlineLevel="1" x14ac:dyDescent="0.25">
      <c r="A2162" s="43"/>
      <c r="B2162" s="43"/>
      <c r="C2162" s="35">
        <f t="shared" si="41"/>
        <v>43</v>
      </c>
      <c r="D2162" s="35" t="str" cm="1">
        <f t="array" ref="D2162">IFERROR(ROUNDUP(_xlfn.IFS(F2162="Aluminum Track", _xlfn.XLOOKUP(C2162, dd_accsrycalc!$A$2:$A$51, dd_accsrycalc!$B$2:$B$51, "",0), F2162="10 x 2 1/2 S (Flat)", _xlfn.XLOOKUP(C2162, dd_accsrycalc!$A$2:$A$51, dd_accsrycalc!$C$2:$C$51, "",0), F2162="Tox6", _xlfn.XLOOKUP(C2162, dd_accsrycalc!$A$2:$A$51, dd_accsrycalc!$D$2:$D$51, "",0), F2162="Cover Cap", _xlfn.XLOOKUP(C2162, dd_accsrycalc!$A$2:$A$51, dd_accsrycalc!$E$2:$E$51, "",0), F2162="Drainage Cover", _xlfn.XLOOKUP(C2162, dd_accsrycalc!$A$2:$A$51, dd_accsrycalc!$F$2:$F$51, "",0),AND( F2162="Double Adhesive Tape", I2162="Roll-up Screen"), _xlfn.XLOOKUP(C2162, calc_rusacc!$C$15:$C$65, calc_rusacc!$AD$15:$AD$65, "",0),AND( F2162="Sealant", I2162="Roll-up Screen"), _xlfn.XLOOKUP(C2162, calc_rusacc!$C$15:$C$65, calc_rusacc!$AF$15:$AF$65, "",0),  AND( F2162="Main Chain", I2162="Accordion Screen"), _xlfn.XLOOKUP(C2162, calc_rusacc!$C$15:$C$65, calc_rusacc!$BF$15:$BF$65, "",0), AND( F2162="Sealant", I2162="Accordion Screen"), _xlfn.XLOOKUP(C2162, calc_rusacc!$C$15:$C$65, calc_rusacc!$BJ$15:$BJ$65, "",0),  F2162="Sealant", _xlfn.XLOOKUP(C2162, dd_accsrycalc!$A$2:$A$51, dd_accsrycalc!$G$2:$G$51, "",0),  F2162&lt;&gt;"",L2162*_xlfn.XLOOKUP(1, (SKUs!$C$2:$C$10001=G2162)*(SKUs!$K$2:$K$10001=I2162),SKUs!$E$2:$E$10001)), 0),"")</f>
        <v/>
      </c>
      <c r="E2162" s="35" t="str">
        <f>_xlfn.XLOOKUP(F2162,dd_item!$B$2:$B$105,dd_item!$C$2:$C$105,"",0)</f>
        <v/>
      </c>
      <c r="F2162" s="35"/>
      <c r="G2162" s="35" cm="1">
        <f t="array" ref="G2162">IFERROR(_xlfn.XLOOKUP(1, (SKUs!$J$2:$J$10001=accsry_unmerged!F2162)*IF(H2162&lt;&gt;"",(SKUs!$L$2:$L$10001=accsry_unmerged!H2162),1)*(SKUs!$K$2:$K$10001=I2162),SKUs!$C$2:$C$10001),"")</f>
        <v>0</v>
      </c>
      <c r="H2162" s="36" cm="1">
        <f t="array" ref="H2162">IFERROR(_xlfn.XLOOKUP(1, (dd_accsryclr!$C$2:$C$1000=accsry_unmerged!F2162)*(dd_accsryclr!$B$2:$B$1000=accsry_unmerged!J2162),dd_accsryclr!$A$2:$A$1000),"")</f>
        <v>0</v>
      </c>
      <c r="I2162" s="35">
        <f>_xlfn.XLOOKUP(C2162,'Project Details'!$C$17:$C$66,'Project Details'!$E$17:$E$66,"",0)</f>
        <v>0</v>
      </c>
      <c r="J2162" s="35">
        <f>_xlfn.XLOOKUP(C2162,'Project Details'!$C$17:$C$66,'Project Details'!$H$17:$H$66,"",0)</f>
        <v>0</v>
      </c>
      <c r="K2162" s="36" t="str">
        <f>IF(AND(_xlfn.XLOOKUP(C2162,'Project Details'!$C$17:$C$66,'Project Details'!$L$17:$L$66,"",0)&gt;550, F2162="Spring-L27cm"),"",SUBSTITUTE(_xlfn.XLOOKUP(G2162,SKUs!$C$2:$C$10001,SKUs!$F$2:$F$10001,"",0), " Accessories",""))</f>
        <v/>
      </c>
      <c r="L2162" s="36">
        <f>_xlfn.XLOOKUP(C2162,'Project Details'!$C$17:$C$66,'Project Details'!$D$17:$D$66,"",0)</f>
        <v>0</v>
      </c>
      <c r="M2162" s="43"/>
    </row>
    <row r="2163" spans="1:13" ht="13.5" customHeight="1" outlineLevel="1" x14ac:dyDescent="0.25">
      <c r="A2163" s="43"/>
      <c r="B2163" s="43"/>
      <c r="C2163" s="16">
        <f t="shared" si="41"/>
        <v>43</v>
      </c>
      <c r="D2163" s="16" t="str" cm="1">
        <f t="array" ref="D2163">IFERROR(ROUNDUP(_xlfn.IFS(F2163="Aluminum Track", _xlfn.XLOOKUP(C2163, dd_accsrycalc!$A$2:$A$51, dd_accsrycalc!$B$2:$B$51, "",0), F2163="10 x 2 1/2 S (Flat)", _xlfn.XLOOKUP(C2163, dd_accsrycalc!$A$2:$A$51, dd_accsrycalc!$C$2:$C$51, "",0), F2163="Tox6", _xlfn.XLOOKUP(C2163, dd_accsrycalc!$A$2:$A$51, dd_accsrycalc!$D$2:$D$51, "",0), F2163="Cover Cap", _xlfn.XLOOKUP(C2163, dd_accsrycalc!$A$2:$A$51, dd_accsrycalc!$E$2:$E$51, "",0), F2163="Drainage Cover", _xlfn.XLOOKUP(C2163, dd_accsrycalc!$A$2:$A$51, dd_accsrycalc!$F$2:$F$51, "",0),AND( F2163="Double Adhesive Tape", I2163="Roll-up Screen"), _xlfn.XLOOKUP(C2163, calc_rusacc!$C$15:$C$65, calc_rusacc!$AD$15:$AD$65, "",0),AND( F2163="Sealant", I2163="Roll-up Screen"), _xlfn.XLOOKUP(C2163, calc_rusacc!$C$15:$C$65, calc_rusacc!$AF$15:$AF$65, "",0),  AND( F2163="Main Chain", I2163="Accordion Screen"), _xlfn.XLOOKUP(C2163, calc_rusacc!$C$15:$C$65, calc_rusacc!$BF$15:$BF$65, "",0), AND( F2163="Sealant", I2163="Accordion Screen"), _xlfn.XLOOKUP(C2163, calc_rusacc!$C$15:$C$65, calc_rusacc!$BJ$15:$BJ$65, "",0),  F2163="Sealant", _xlfn.XLOOKUP(C2163, dd_accsrycalc!$A$2:$A$51, dd_accsrycalc!$G$2:$G$51, "",0),  F2163&lt;&gt;"",L2163*_xlfn.XLOOKUP(1, (SKUs!$C$2:$C$10001=G2163)*(SKUs!$K$2:$K$10001=I2163),SKUs!$E$2:$E$10001)), 0),"")</f>
        <v/>
      </c>
      <c r="E2163" s="16" t="str">
        <f>_xlfn.XLOOKUP(F2163,dd_item!$B$2:$B$105,dd_item!$C$2:$C$105,"",0)</f>
        <v/>
      </c>
      <c r="F2163" s="16"/>
      <c r="G2163" s="16" cm="1">
        <f t="array" ref="G2163">IFERROR(_xlfn.XLOOKUP(1, (SKUs!$J$2:$J$10001=accsry_unmerged!F2163)*IF(H2163&lt;&gt;"",(SKUs!$L$2:$L$10001=accsry_unmerged!H2163),1)*(SKUs!$K$2:$K$10001=I2163),SKUs!$C$2:$C$10001),"")</f>
        <v>0</v>
      </c>
      <c r="H2163" s="33" cm="1">
        <f t="array" ref="H2163">IFERROR(_xlfn.XLOOKUP(1, (dd_accsryclr!$C$2:$C$1000=accsry_unmerged!F2163)*(dd_accsryclr!$B$2:$B$1000=accsry_unmerged!J2163),dd_accsryclr!$A$2:$A$1000),"")</f>
        <v>0</v>
      </c>
      <c r="I2163" s="16">
        <f>_xlfn.XLOOKUP(C2163,'Project Details'!$C$17:$C$66,'Project Details'!$E$17:$E$66,"",0)</f>
        <v>0</v>
      </c>
      <c r="J2163" s="16">
        <f>_xlfn.XLOOKUP(C2163,'Project Details'!$C$17:$C$66,'Project Details'!$H$17:$H$66,"",0)</f>
        <v>0</v>
      </c>
      <c r="K2163" s="33" t="str">
        <f>IF(AND(_xlfn.XLOOKUP(C2163,'Project Details'!$C$17:$C$66,'Project Details'!$L$17:$L$66,"",0)&gt;550, F2163="Spring-L27cm"),"",SUBSTITUTE(_xlfn.XLOOKUP(G2163,SKUs!$C$2:$C$10001,SKUs!$F$2:$F$10001,"",0), " Accessories",""))</f>
        <v/>
      </c>
      <c r="L2163" s="33">
        <f>_xlfn.XLOOKUP(C2163,'Project Details'!$C$17:$C$66,'Project Details'!$D$17:$D$66,"",0)</f>
        <v>0</v>
      </c>
      <c r="M2163" s="43"/>
    </row>
    <row r="2164" spans="1:13" x14ac:dyDescent="0.25">
      <c r="A2164" s="43"/>
      <c r="B2164" s="43"/>
      <c r="C2164" s="43"/>
      <c r="D2164" s="43"/>
      <c r="E2164" s="43"/>
      <c r="F2164" s="43"/>
      <c r="G2164" s="43"/>
      <c r="H2164" s="43"/>
      <c r="I2164" s="43"/>
      <c r="J2164" s="43"/>
      <c r="K2164" s="43"/>
      <c r="L2164" s="43"/>
      <c r="M2164" s="43"/>
    </row>
    <row r="2165" spans="1:13" x14ac:dyDescent="0.25">
      <c r="A2165" s="43"/>
      <c r="B2165" s="43"/>
      <c r="C2165" s="16">
        <f>C2163+1</f>
        <v>44</v>
      </c>
      <c r="D2165" s="48" cm="1">
        <f t="array" ref="D2165">IFERROR(ROUNDUP(_xlfn.IFS(F2165="Aluminum Track", _xlfn.XLOOKUP(C2165, dd_accsrycalc!$A$2:$A$51, dd_accsrycalc!$B$2:$B$51, "",0), F2165="10 x 2 1/2 S (Flat)", _xlfn.XLOOKUP(C2165, dd_accsrycalc!$A$2:$A$51, dd_accsrycalc!$C$2:$C$51, "",0), F2165="Tox6", _xlfn.XLOOKUP(C2165, dd_accsrycalc!$A$2:$A$51, dd_accsrycalc!$D$2:$D$51, "",0), F2165="Cover Cap", _xlfn.XLOOKUP(C2165, dd_accsrycalc!$A$2:$A$51, dd_accsrycalc!$E$2:$E$51, "",0), F2165="Drainage Cover", _xlfn.XLOOKUP(C2165, dd_accsrycalc!$A$2:$A$51, dd_accsrycalc!$F$2:$F$51, "",0),AND( F2165="Double Adhesive Tape", I2165="Roll-up Screen"), _xlfn.XLOOKUP(C2165, calc_rusacc!$C$15:$C$65, calc_rusacc!$AD$15:$AD$65, "",0),AND( F2165="Sealant", I2165="Roll-up Screen"), _xlfn.XLOOKUP(C2165, calc_rusacc!$C$15:$C$65, calc_rusacc!$AF$15:$AF$65, "",0),  AND( F2165="Main Chain", I2165="Accordion Screen"), _xlfn.XLOOKUP(C2165, calc_rusacc!$C$15:$C$65, calc_rusacc!$BF$15:$BF$65, "",0), AND( F2165="Sealant", I2165="Accordion Screen"), _xlfn.XLOOKUP(C2165, calc_rusacc!$C$15:$C$65, calc_rusacc!$BJ$15:$BJ$65, "",0),  F2165="Sealant", _xlfn.XLOOKUP(C2165, dd_accsrycalc!$A$2:$A$51, dd_accsrycalc!$G$2:$G$51, "",0),  F2165&lt;&gt;"",L2165*_xlfn.XLOOKUP(1, (SKUs!$C$2:$C$10001=G2165)*(SKUs!$K$2:$K$10001=I2165),SKUs!$E$2:$E$10001)), 0),"")</f>
        <v>0</v>
      </c>
      <c r="E2165" s="48" t="str">
        <f>_xlfn.XLOOKUP(F2165,dd_item!$B$2:$B$105,dd_item!$C$2:$C$105,"",0)</f>
        <v/>
      </c>
      <c r="F2165" s="48" cm="1">
        <f t="array" ref="F2165">IFERROR(_xlfn.UNIQUE(_xlfn._xlws.FILTER(SKUs!$J$2:$J$10001, (SKUs!$F$2:$F$10001&lt;&gt;"Cutting List") * (SKUs!$A$2:$A$10001=_xlfn.XLOOKUP(_xlfn.XLOOKUP(C2165,'Project Details'!$C$17:$C$66,'Project Details'!$E$17:$E$66,"",0), dd_design_raw!$A$2:$A$101,dd_design_raw!$C$2:$C$101,"",0)))), "")</f>
        <v>0</v>
      </c>
      <c r="G2165" s="16" cm="1">
        <f t="array" ref="G2165">IFERROR(_xlfn.XLOOKUP(1, (SKUs!$J$2:$J$10001=accsry_unmerged!F2165)*IF(H2165&lt;&gt;"",(SKUs!$L$2:$L$10001=accsry_unmerged!H2165),1)*(SKUs!$K$2:$K$10001=I2165),SKUs!$C$2:$C$10001),"")</f>
        <v>0</v>
      </c>
      <c r="H2165" s="16" cm="1">
        <f t="array" ref="H2165">IFERROR(_xlfn.XLOOKUP(1, (dd_accsryclr!$C$2:$C$1000=accsry_unmerged!F2165)*(dd_accsryclr!$B$2:$B$1000=accsry_unmerged!J2165),dd_accsryclr!$A$2:$A$1000),"")</f>
        <v>0</v>
      </c>
      <c r="I2165" s="16">
        <f>_xlfn.XLOOKUP(C2165,'Project Details'!$C$17:$C$66,'Project Details'!$E$17:$E$66,"",0)</f>
        <v>0</v>
      </c>
      <c r="J2165" s="16">
        <f>_xlfn.XLOOKUP(C2165,'Project Details'!$C$17:$C$66,'Project Details'!$H$17:$H$66,"",0)</f>
        <v>0</v>
      </c>
      <c r="K2165" s="16" t="str">
        <f>IF(AND(_xlfn.XLOOKUP(C2165,'Project Details'!$C$17:$C$66,'Project Details'!$L$17:$L$66,"",0)&gt;550, F2165="Spring-L27cm"),"",SUBSTITUTE(_xlfn.XLOOKUP(G2165,SKUs!$C$2:$C$10001,SKUs!$F$2:$F$10001,"",0), " Accessories",""))</f>
        <v/>
      </c>
      <c r="L2165" s="16">
        <f>_xlfn.XLOOKUP(C2165,'Project Details'!$C$17:$C$66,'Project Details'!$D$17:$D$66,"",0)</f>
        <v>0</v>
      </c>
      <c r="M2165" s="43"/>
    </row>
    <row r="2166" spans="1:13" x14ac:dyDescent="0.25">
      <c r="A2166" s="43"/>
      <c r="B2166" s="43"/>
      <c r="C2166" s="35">
        <f>C2165</f>
        <v>44</v>
      </c>
      <c r="D2166" s="35" t="str" cm="1">
        <f t="array" ref="D2166">IFERROR(ROUNDUP(_xlfn.IFS(F2166="Aluminum Track", _xlfn.XLOOKUP(C2166, dd_accsrycalc!$A$2:$A$51, dd_accsrycalc!$B$2:$B$51, "",0), F2166="10 x 2 1/2 S (Flat)", _xlfn.XLOOKUP(C2166, dd_accsrycalc!$A$2:$A$51, dd_accsrycalc!$C$2:$C$51, "",0), F2166="Tox6", _xlfn.XLOOKUP(C2166, dd_accsrycalc!$A$2:$A$51, dd_accsrycalc!$D$2:$D$51, "",0), F2166="Cover Cap", _xlfn.XLOOKUP(C2166, dd_accsrycalc!$A$2:$A$51, dd_accsrycalc!$E$2:$E$51, "",0), F2166="Drainage Cover", _xlfn.XLOOKUP(C2166, dd_accsrycalc!$A$2:$A$51, dd_accsrycalc!$F$2:$F$51, "",0),AND( F2166="Double Adhesive Tape", I2166="Roll-up Screen"), _xlfn.XLOOKUP(C2166, calc_rusacc!$C$15:$C$65, calc_rusacc!$AD$15:$AD$65, "",0),AND( F2166="Sealant", I2166="Roll-up Screen"), _xlfn.XLOOKUP(C2166, calc_rusacc!$C$15:$C$65, calc_rusacc!$AF$15:$AF$65, "",0),  AND( F2166="Main Chain", I2166="Accordion Screen"), _xlfn.XLOOKUP(C2166, calc_rusacc!$C$15:$C$65, calc_rusacc!$BF$15:$BF$65, "",0), AND( F2166="Sealant", I2166="Accordion Screen"), _xlfn.XLOOKUP(C2166, calc_rusacc!$C$15:$C$65, calc_rusacc!$BJ$15:$BJ$65, "",0),  F2166="Sealant", _xlfn.XLOOKUP(C2166, dd_accsrycalc!$A$2:$A$51, dd_accsrycalc!$G$2:$G$51, "",0),  F2166&lt;&gt;"",L2166*_xlfn.XLOOKUP(1, (SKUs!$C$2:$C$10001=G2166)*(SKUs!$K$2:$K$10001=I2166),SKUs!$E$2:$E$10001)), 0),"")</f>
        <v/>
      </c>
      <c r="E2166" s="35" t="str">
        <f>_xlfn.XLOOKUP(F2166,dd_item!$B$2:$B$105,dd_item!$C$2:$C$105,"",0)</f>
        <v/>
      </c>
      <c r="F2166" s="35"/>
      <c r="G2166" s="35" cm="1">
        <f t="array" ref="G2166">IFERROR(_xlfn.XLOOKUP(1, (SKUs!$J$2:$J$10001=accsry_unmerged!F2166)*IF(H2166&lt;&gt;"",(SKUs!$L$2:$L$10001=accsry_unmerged!H2166),1)*(SKUs!$K$2:$K$10001=I2166),SKUs!$C$2:$C$10001),"")</f>
        <v>0</v>
      </c>
      <c r="H2166" s="36" cm="1">
        <f t="array" ref="H2166">IFERROR(_xlfn.XLOOKUP(1, (dd_accsryclr!$C$2:$C$1000=accsry_unmerged!F2166)*(dd_accsryclr!$B$2:$B$1000=accsry_unmerged!J2166),dd_accsryclr!$A$2:$A$1000),"")</f>
        <v>0</v>
      </c>
      <c r="I2166" s="35">
        <f>_xlfn.XLOOKUP(C2166,'Project Details'!$C$17:$C$66,'Project Details'!$E$17:$E$66,"",0)</f>
        <v>0</v>
      </c>
      <c r="J2166" s="35">
        <f>_xlfn.XLOOKUP(C2166,'Project Details'!$C$17:$C$66,'Project Details'!$H$17:$H$66,"",0)</f>
        <v>0</v>
      </c>
      <c r="K2166" s="36" t="str">
        <f>IF(AND(_xlfn.XLOOKUP(C2166,'Project Details'!$C$17:$C$66,'Project Details'!$L$17:$L$66,"",0)&gt;550, F2166="Spring-L27cm"),"",SUBSTITUTE(_xlfn.XLOOKUP(G2166,SKUs!$C$2:$C$10001,SKUs!$F$2:$F$10001,"",0), " Accessories",""))</f>
        <v/>
      </c>
      <c r="L2166" s="36">
        <f>_xlfn.XLOOKUP(C2166,'Project Details'!$C$17:$C$66,'Project Details'!$D$17:$D$66,"",0)</f>
        <v>0</v>
      </c>
      <c r="M2166" s="43"/>
    </row>
    <row r="2167" spans="1:13" x14ac:dyDescent="0.25">
      <c r="A2167" s="43"/>
      <c r="B2167" s="43"/>
      <c r="C2167" s="16">
        <f t="shared" ref="C2167:C2213" si="42">C2166</f>
        <v>44</v>
      </c>
      <c r="D2167" s="16" t="str" cm="1">
        <f t="array" ref="D2167">IFERROR(ROUNDUP(_xlfn.IFS(F2167="Aluminum Track", _xlfn.XLOOKUP(C2167, dd_accsrycalc!$A$2:$A$51, dd_accsrycalc!$B$2:$B$51, "",0), F2167="10 x 2 1/2 S (Flat)", _xlfn.XLOOKUP(C2167, dd_accsrycalc!$A$2:$A$51, dd_accsrycalc!$C$2:$C$51, "",0), F2167="Tox6", _xlfn.XLOOKUP(C2167, dd_accsrycalc!$A$2:$A$51, dd_accsrycalc!$D$2:$D$51, "",0), F2167="Cover Cap", _xlfn.XLOOKUP(C2167, dd_accsrycalc!$A$2:$A$51, dd_accsrycalc!$E$2:$E$51, "",0), F2167="Drainage Cover", _xlfn.XLOOKUP(C2167, dd_accsrycalc!$A$2:$A$51, dd_accsrycalc!$F$2:$F$51, "",0),AND( F2167="Double Adhesive Tape", I2167="Roll-up Screen"), _xlfn.XLOOKUP(C2167, calc_rusacc!$C$15:$C$65, calc_rusacc!$AD$15:$AD$65, "",0),AND( F2167="Sealant", I2167="Roll-up Screen"), _xlfn.XLOOKUP(C2167, calc_rusacc!$C$15:$C$65, calc_rusacc!$AF$15:$AF$65, "",0),  AND( F2167="Main Chain", I2167="Accordion Screen"), _xlfn.XLOOKUP(C2167, calc_rusacc!$C$15:$C$65, calc_rusacc!$BF$15:$BF$65, "",0), AND( F2167="Sealant", I2167="Accordion Screen"), _xlfn.XLOOKUP(C2167, calc_rusacc!$C$15:$C$65, calc_rusacc!$BJ$15:$BJ$65, "",0),  F2167="Sealant", _xlfn.XLOOKUP(C2167, dd_accsrycalc!$A$2:$A$51, dd_accsrycalc!$G$2:$G$51, "",0),  F2167&lt;&gt;"",L2167*_xlfn.XLOOKUP(1, (SKUs!$C$2:$C$10001=G2167)*(SKUs!$K$2:$K$10001=I2167),SKUs!$E$2:$E$10001)), 0),"")</f>
        <v/>
      </c>
      <c r="E2167" s="16" t="str">
        <f>_xlfn.XLOOKUP(F2167,dd_item!$B$2:$B$105,dd_item!$C$2:$C$105,"",0)</f>
        <v/>
      </c>
      <c r="F2167" s="16"/>
      <c r="G2167" s="16" cm="1">
        <f t="array" ref="G2167">IFERROR(_xlfn.XLOOKUP(1, (SKUs!$J$2:$J$10001=accsry_unmerged!F2167)*IF(H2167&lt;&gt;"",(SKUs!$L$2:$L$10001=accsry_unmerged!H2167),1)*(SKUs!$K$2:$K$10001=I2167),SKUs!$C$2:$C$10001),"")</f>
        <v>0</v>
      </c>
      <c r="H2167" s="33" cm="1">
        <f t="array" ref="H2167">IFERROR(_xlfn.XLOOKUP(1, (dd_accsryclr!$C$2:$C$1000=accsry_unmerged!F2167)*(dd_accsryclr!$B$2:$B$1000=accsry_unmerged!J2167),dd_accsryclr!$A$2:$A$1000),"")</f>
        <v>0</v>
      </c>
      <c r="I2167" s="16">
        <f>_xlfn.XLOOKUP(C2167,'Project Details'!$C$17:$C$66,'Project Details'!$E$17:$E$66,"",0)</f>
        <v>0</v>
      </c>
      <c r="J2167" s="16">
        <f>_xlfn.XLOOKUP(C2167,'Project Details'!$C$17:$C$66,'Project Details'!$H$17:$H$66,"",0)</f>
        <v>0</v>
      </c>
      <c r="K2167" s="33" t="str">
        <f>IF(AND(_xlfn.XLOOKUP(C2167,'Project Details'!$C$17:$C$66,'Project Details'!$L$17:$L$66,"",0)&gt;550, F2167="Spring-L27cm"),"",SUBSTITUTE(_xlfn.XLOOKUP(G2167,SKUs!$C$2:$C$10001,SKUs!$F$2:$F$10001,"",0), " Accessories",""))</f>
        <v/>
      </c>
      <c r="L2167" s="33">
        <f>_xlfn.XLOOKUP(C2167,'Project Details'!$C$17:$C$66,'Project Details'!$D$17:$D$66,"",0)</f>
        <v>0</v>
      </c>
      <c r="M2167" s="43"/>
    </row>
    <row r="2168" spans="1:13" x14ac:dyDescent="0.25">
      <c r="A2168" s="43"/>
      <c r="B2168" s="43"/>
      <c r="C2168" s="35">
        <f t="shared" si="42"/>
        <v>44</v>
      </c>
      <c r="D2168" s="35" t="str" cm="1">
        <f t="array" ref="D2168">IFERROR(ROUNDUP(_xlfn.IFS(F2168="Aluminum Track", _xlfn.XLOOKUP(C2168, dd_accsrycalc!$A$2:$A$51, dd_accsrycalc!$B$2:$B$51, "",0), F2168="10 x 2 1/2 S (Flat)", _xlfn.XLOOKUP(C2168, dd_accsrycalc!$A$2:$A$51, dd_accsrycalc!$C$2:$C$51, "",0), F2168="Tox6", _xlfn.XLOOKUP(C2168, dd_accsrycalc!$A$2:$A$51, dd_accsrycalc!$D$2:$D$51, "",0), F2168="Cover Cap", _xlfn.XLOOKUP(C2168, dd_accsrycalc!$A$2:$A$51, dd_accsrycalc!$E$2:$E$51, "",0), F2168="Drainage Cover", _xlfn.XLOOKUP(C2168, dd_accsrycalc!$A$2:$A$51, dd_accsrycalc!$F$2:$F$51, "",0),AND( F2168="Double Adhesive Tape", I2168="Roll-up Screen"), _xlfn.XLOOKUP(C2168, calc_rusacc!$C$15:$C$65, calc_rusacc!$AD$15:$AD$65, "",0),AND( F2168="Sealant", I2168="Roll-up Screen"), _xlfn.XLOOKUP(C2168, calc_rusacc!$C$15:$C$65, calc_rusacc!$AF$15:$AF$65, "",0),  AND( F2168="Main Chain", I2168="Accordion Screen"), _xlfn.XLOOKUP(C2168, calc_rusacc!$C$15:$C$65, calc_rusacc!$BF$15:$BF$65, "",0), AND( F2168="Sealant", I2168="Accordion Screen"), _xlfn.XLOOKUP(C2168, calc_rusacc!$C$15:$C$65, calc_rusacc!$BJ$15:$BJ$65, "",0),  F2168="Sealant", _xlfn.XLOOKUP(C2168, dd_accsrycalc!$A$2:$A$51, dd_accsrycalc!$G$2:$G$51, "",0),  F2168&lt;&gt;"",L2168*_xlfn.XLOOKUP(1, (SKUs!$C$2:$C$10001=G2168)*(SKUs!$K$2:$K$10001=I2168),SKUs!$E$2:$E$10001)), 0),"")</f>
        <v/>
      </c>
      <c r="E2168" s="35" t="str">
        <f>_xlfn.XLOOKUP(F2168,dd_item!$B$2:$B$105,dd_item!$C$2:$C$105,"",0)</f>
        <v/>
      </c>
      <c r="F2168" s="35"/>
      <c r="G2168" s="35" cm="1">
        <f t="array" ref="G2168">IFERROR(_xlfn.XLOOKUP(1, (SKUs!$J$2:$J$10001=accsry_unmerged!F2168)*IF(H2168&lt;&gt;"",(SKUs!$L$2:$L$10001=accsry_unmerged!H2168),1)*(SKUs!$K$2:$K$10001=I2168),SKUs!$C$2:$C$10001),"")</f>
        <v>0</v>
      </c>
      <c r="H2168" s="36" cm="1">
        <f t="array" ref="H2168">IFERROR(_xlfn.XLOOKUP(1, (dd_accsryclr!$C$2:$C$1000=accsry_unmerged!F2168)*(dd_accsryclr!$B$2:$B$1000=accsry_unmerged!J2168),dd_accsryclr!$A$2:$A$1000),"")</f>
        <v>0</v>
      </c>
      <c r="I2168" s="35">
        <f>_xlfn.XLOOKUP(C2168,'Project Details'!$C$17:$C$66,'Project Details'!$E$17:$E$66,"",0)</f>
        <v>0</v>
      </c>
      <c r="J2168" s="35">
        <f>_xlfn.XLOOKUP(C2168,'Project Details'!$C$17:$C$66,'Project Details'!$H$17:$H$66,"",0)</f>
        <v>0</v>
      </c>
      <c r="K2168" s="36" t="str">
        <f>IF(AND(_xlfn.XLOOKUP(C2168,'Project Details'!$C$17:$C$66,'Project Details'!$L$17:$L$66,"",0)&gt;550, F2168="Spring-L27cm"),"",SUBSTITUTE(_xlfn.XLOOKUP(G2168,SKUs!$C$2:$C$10001,SKUs!$F$2:$F$10001,"",0), " Accessories",""))</f>
        <v/>
      </c>
      <c r="L2168" s="36">
        <f>_xlfn.XLOOKUP(C2168,'Project Details'!$C$17:$C$66,'Project Details'!$D$17:$D$66,"",0)</f>
        <v>0</v>
      </c>
      <c r="M2168" s="43"/>
    </row>
    <row r="2169" spans="1:13" x14ac:dyDescent="0.25">
      <c r="A2169" s="43"/>
      <c r="B2169" s="43"/>
      <c r="C2169" s="16">
        <f t="shared" si="42"/>
        <v>44</v>
      </c>
      <c r="D2169" s="16" t="str" cm="1">
        <f t="array" ref="D2169">IFERROR(ROUNDUP(_xlfn.IFS(F2169="Aluminum Track", _xlfn.XLOOKUP(C2169, dd_accsrycalc!$A$2:$A$51, dd_accsrycalc!$B$2:$B$51, "",0), F2169="10 x 2 1/2 S (Flat)", _xlfn.XLOOKUP(C2169, dd_accsrycalc!$A$2:$A$51, dd_accsrycalc!$C$2:$C$51, "",0), F2169="Tox6", _xlfn.XLOOKUP(C2169, dd_accsrycalc!$A$2:$A$51, dd_accsrycalc!$D$2:$D$51, "",0), F2169="Cover Cap", _xlfn.XLOOKUP(C2169, dd_accsrycalc!$A$2:$A$51, dd_accsrycalc!$E$2:$E$51, "",0), F2169="Drainage Cover", _xlfn.XLOOKUP(C2169, dd_accsrycalc!$A$2:$A$51, dd_accsrycalc!$F$2:$F$51, "",0),AND( F2169="Double Adhesive Tape", I2169="Roll-up Screen"), _xlfn.XLOOKUP(C2169, calc_rusacc!$C$15:$C$65, calc_rusacc!$AD$15:$AD$65, "",0),AND( F2169="Sealant", I2169="Roll-up Screen"), _xlfn.XLOOKUP(C2169, calc_rusacc!$C$15:$C$65, calc_rusacc!$AF$15:$AF$65, "",0),  AND( F2169="Main Chain", I2169="Accordion Screen"), _xlfn.XLOOKUP(C2169, calc_rusacc!$C$15:$C$65, calc_rusacc!$BF$15:$BF$65, "",0), AND( F2169="Sealant", I2169="Accordion Screen"), _xlfn.XLOOKUP(C2169, calc_rusacc!$C$15:$C$65, calc_rusacc!$BJ$15:$BJ$65, "",0),  F2169="Sealant", _xlfn.XLOOKUP(C2169, dd_accsrycalc!$A$2:$A$51, dd_accsrycalc!$G$2:$G$51, "",0),  F2169&lt;&gt;"",L2169*_xlfn.XLOOKUP(1, (SKUs!$C$2:$C$10001=G2169)*(SKUs!$K$2:$K$10001=I2169),SKUs!$E$2:$E$10001)), 0),"")</f>
        <v/>
      </c>
      <c r="E2169" s="16" t="str">
        <f>_xlfn.XLOOKUP(F2169,dd_item!$B$2:$B$105,dd_item!$C$2:$C$105,"",0)</f>
        <v/>
      </c>
      <c r="F2169" s="16"/>
      <c r="G2169" s="16" cm="1">
        <f t="array" ref="G2169">IFERROR(_xlfn.XLOOKUP(1, (SKUs!$J$2:$J$10001=accsry_unmerged!F2169)*IF(H2169&lt;&gt;"",(SKUs!$L$2:$L$10001=accsry_unmerged!H2169),1)*(SKUs!$K$2:$K$10001=I2169),SKUs!$C$2:$C$10001),"")</f>
        <v>0</v>
      </c>
      <c r="H2169" s="33" cm="1">
        <f t="array" ref="H2169">IFERROR(_xlfn.XLOOKUP(1, (dd_accsryclr!$C$2:$C$1000=accsry_unmerged!F2169)*(dd_accsryclr!$B$2:$B$1000=accsry_unmerged!J2169),dd_accsryclr!$A$2:$A$1000),"")</f>
        <v>0</v>
      </c>
      <c r="I2169" s="16">
        <f>_xlfn.XLOOKUP(C2169,'Project Details'!$C$17:$C$66,'Project Details'!$E$17:$E$66,"",0)</f>
        <v>0</v>
      </c>
      <c r="J2169" s="16">
        <f>_xlfn.XLOOKUP(C2169,'Project Details'!$C$17:$C$66,'Project Details'!$H$17:$H$66,"",0)</f>
        <v>0</v>
      </c>
      <c r="K2169" s="33" t="str">
        <f>IF(AND(_xlfn.XLOOKUP(C2169,'Project Details'!$C$17:$C$66,'Project Details'!$L$17:$L$66,"",0)&gt;550, F2169="Spring-L27cm"),"",SUBSTITUTE(_xlfn.XLOOKUP(G2169,SKUs!$C$2:$C$10001,SKUs!$F$2:$F$10001,"",0), " Accessories",""))</f>
        <v/>
      </c>
      <c r="L2169" s="33">
        <f>_xlfn.XLOOKUP(C2169,'Project Details'!$C$17:$C$66,'Project Details'!$D$17:$D$66,"",0)</f>
        <v>0</v>
      </c>
      <c r="M2169" s="43"/>
    </row>
    <row r="2170" spans="1:13" x14ac:dyDescent="0.25">
      <c r="A2170" s="43"/>
      <c r="B2170" s="43"/>
      <c r="C2170" s="35">
        <f t="shared" si="42"/>
        <v>44</v>
      </c>
      <c r="D2170" s="35" t="str" cm="1">
        <f t="array" ref="D2170">IFERROR(ROUNDUP(_xlfn.IFS(F2170="Aluminum Track", _xlfn.XLOOKUP(C2170, dd_accsrycalc!$A$2:$A$51, dd_accsrycalc!$B$2:$B$51, "",0), F2170="10 x 2 1/2 S (Flat)", _xlfn.XLOOKUP(C2170, dd_accsrycalc!$A$2:$A$51, dd_accsrycalc!$C$2:$C$51, "",0), F2170="Tox6", _xlfn.XLOOKUP(C2170, dd_accsrycalc!$A$2:$A$51, dd_accsrycalc!$D$2:$D$51, "",0), F2170="Cover Cap", _xlfn.XLOOKUP(C2170, dd_accsrycalc!$A$2:$A$51, dd_accsrycalc!$E$2:$E$51, "",0), F2170="Drainage Cover", _xlfn.XLOOKUP(C2170, dd_accsrycalc!$A$2:$A$51, dd_accsrycalc!$F$2:$F$51, "",0),AND( F2170="Double Adhesive Tape", I2170="Roll-up Screen"), _xlfn.XLOOKUP(C2170, calc_rusacc!$C$15:$C$65, calc_rusacc!$AD$15:$AD$65, "",0),AND( F2170="Sealant", I2170="Roll-up Screen"), _xlfn.XLOOKUP(C2170, calc_rusacc!$C$15:$C$65, calc_rusacc!$AF$15:$AF$65, "",0),  AND( F2170="Main Chain", I2170="Accordion Screen"), _xlfn.XLOOKUP(C2170, calc_rusacc!$C$15:$C$65, calc_rusacc!$BF$15:$BF$65, "",0), AND( F2170="Sealant", I2170="Accordion Screen"), _xlfn.XLOOKUP(C2170, calc_rusacc!$C$15:$C$65, calc_rusacc!$BJ$15:$BJ$65, "",0),  F2170="Sealant", _xlfn.XLOOKUP(C2170, dd_accsrycalc!$A$2:$A$51, dd_accsrycalc!$G$2:$G$51, "",0),  F2170&lt;&gt;"",L2170*_xlfn.XLOOKUP(1, (SKUs!$C$2:$C$10001=G2170)*(SKUs!$K$2:$K$10001=I2170),SKUs!$E$2:$E$10001)), 0),"")</f>
        <v/>
      </c>
      <c r="E2170" s="35" t="str">
        <f>_xlfn.XLOOKUP(F2170,dd_item!$B$2:$B$105,dd_item!$C$2:$C$105,"",0)</f>
        <v/>
      </c>
      <c r="F2170" s="35"/>
      <c r="G2170" s="35" cm="1">
        <f t="array" ref="G2170">IFERROR(_xlfn.XLOOKUP(1, (SKUs!$J$2:$J$10001=accsry_unmerged!F2170)*IF(H2170&lt;&gt;"",(SKUs!$L$2:$L$10001=accsry_unmerged!H2170),1)*(SKUs!$K$2:$K$10001=I2170),SKUs!$C$2:$C$10001),"")</f>
        <v>0</v>
      </c>
      <c r="H2170" s="36" cm="1">
        <f t="array" ref="H2170">IFERROR(_xlfn.XLOOKUP(1, (dd_accsryclr!$C$2:$C$1000=accsry_unmerged!F2170)*(dd_accsryclr!$B$2:$B$1000=accsry_unmerged!J2170),dd_accsryclr!$A$2:$A$1000),"")</f>
        <v>0</v>
      </c>
      <c r="I2170" s="35">
        <f>_xlfn.XLOOKUP(C2170,'Project Details'!$C$17:$C$66,'Project Details'!$E$17:$E$66,"",0)</f>
        <v>0</v>
      </c>
      <c r="J2170" s="35">
        <f>_xlfn.XLOOKUP(C2170,'Project Details'!$C$17:$C$66,'Project Details'!$H$17:$H$66,"",0)</f>
        <v>0</v>
      </c>
      <c r="K2170" s="36" t="str">
        <f>IF(AND(_xlfn.XLOOKUP(C2170,'Project Details'!$C$17:$C$66,'Project Details'!$L$17:$L$66,"",0)&gt;550, F2170="Spring-L27cm"),"",SUBSTITUTE(_xlfn.XLOOKUP(G2170,SKUs!$C$2:$C$10001,SKUs!$F$2:$F$10001,"",0), " Accessories",""))</f>
        <v/>
      </c>
      <c r="L2170" s="36">
        <f>_xlfn.XLOOKUP(C2170,'Project Details'!$C$17:$C$66,'Project Details'!$D$17:$D$66,"",0)</f>
        <v>0</v>
      </c>
      <c r="M2170" s="43"/>
    </row>
    <row r="2171" spans="1:13" x14ac:dyDescent="0.25">
      <c r="A2171" s="43"/>
      <c r="B2171" s="43"/>
      <c r="C2171" s="16">
        <f t="shared" si="42"/>
        <v>44</v>
      </c>
      <c r="D2171" s="16" t="str" cm="1">
        <f t="array" ref="D2171">IFERROR(ROUNDUP(_xlfn.IFS(F2171="Aluminum Track", _xlfn.XLOOKUP(C2171, dd_accsrycalc!$A$2:$A$51, dd_accsrycalc!$B$2:$B$51, "",0), F2171="10 x 2 1/2 S (Flat)", _xlfn.XLOOKUP(C2171, dd_accsrycalc!$A$2:$A$51, dd_accsrycalc!$C$2:$C$51, "",0), F2171="Tox6", _xlfn.XLOOKUP(C2171, dd_accsrycalc!$A$2:$A$51, dd_accsrycalc!$D$2:$D$51, "",0), F2171="Cover Cap", _xlfn.XLOOKUP(C2171, dd_accsrycalc!$A$2:$A$51, dd_accsrycalc!$E$2:$E$51, "",0), F2171="Drainage Cover", _xlfn.XLOOKUP(C2171, dd_accsrycalc!$A$2:$A$51, dd_accsrycalc!$F$2:$F$51, "",0),AND( F2171="Double Adhesive Tape", I2171="Roll-up Screen"), _xlfn.XLOOKUP(C2171, calc_rusacc!$C$15:$C$65, calc_rusacc!$AD$15:$AD$65, "",0),AND( F2171="Sealant", I2171="Roll-up Screen"), _xlfn.XLOOKUP(C2171, calc_rusacc!$C$15:$C$65, calc_rusacc!$AF$15:$AF$65, "",0),  AND( F2171="Main Chain", I2171="Accordion Screen"), _xlfn.XLOOKUP(C2171, calc_rusacc!$C$15:$C$65, calc_rusacc!$BF$15:$BF$65, "",0), AND( F2171="Sealant", I2171="Accordion Screen"), _xlfn.XLOOKUP(C2171, calc_rusacc!$C$15:$C$65, calc_rusacc!$BJ$15:$BJ$65, "",0),  F2171="Sealant", _xlfn.XLOOKUP(C2171, dd_accsrycalc!$A$2:$A$51, dd_accsrycalc!$G$2:$G$51, "",0),  F2171&lt;&gt;"",L2171*_xlfn.XLOOKUP(1, (SKUs!$C$2:$C$10001=G2171)*(SKUs!$K$2:$K$10001=I2171),SKUs!$E$2:$E$10001)), 0),"")</f>
        <v/>
      </c>
      <c r="E2171" s="16" t="str">
        <f>_xlfn.XLOOKUP(F2171,dd_item!$B$2:$B$105,dd_item!$C$2:$C$105,"",0)</f>
        <v/>
      </c>
      <c r="F2171" s="16"/>
      <c r="G2171" s="16" cm="1">
        <f t="array" ref="G2171">IFERROR(_xlfn.XLOOKUP(1, (SKUs!$J$2:$J$10001=accsry_unmerged!F2171)*IF(H2171&lt;&gt;"",(SKUs!$L$2:$L$10001=accsry_unmerged!H2171),1)*(SKUs!$K$2:$K$10001=I2171),SKUs!$C$2:$C$10001),"")</f>
        <v>0</v>
      </c>
      <c r="H2171" s="33" cm="1">
        <f t="array" ref="H2171">IFERROR(_xlfn.XLOOKUP(1, (dd_accsryclr!$C$2:$C$1000=accsry_unmerged!F2171)*(dd_accsryclr!$B$2:$B$1000=accsry_unmerged!J2171),dd_accsryclr!$A$2:$A$1000),"")</f>
        <v>0</v>
      </c>
      <c r="I2171" s="16">
        <f>_xlfn.XLOOKUP(C2171,'Project Details'!$C$17:$C$66,'Project Details'!$E$17:$E$66,"",0)</f>
        <v>0</v>
      </c>
      <c r="J2171" s="16">
        <f>_xlfn.XLOOKUP(C2171,'Project Details'!$C$17:$C$66,'Project Details'!$H$17:$H$66,"",0)</f>
        <v>0</v>
      </c>
      <c r="K2171" s="33" t="str">
        <f>IF(AND(_xlfn.XLOOKUP(C2171,'Project Details'!$C$17:$C$66,'Project Details'!$L$17:$L$66,"",0)&gt;550, F2171="Spring-L27cm"),"",SUBSTITUTE(_xlfn.XLOOKUP(G2171,SKUs!$C$2:$C$10001,SKUs!$F$2:$F$10001,"",0), " Accessories",""))</f>
        <v/>
      </c>
      <c r="L2171" s="33">
        <f>_xlfn.XLOOKUP(C2171,'Project Details'!$C$17:$C$66,'Project Details'!$D$17:$D$66,"",0)</f>
        <v>0</v>
      </c>
      <c r="M2171" s="43"/>
    </row>
    <row r="2172" spans="1:13" x14ac:dyDescent="0.25">
      <c r="A2172" s="43"/>
      <c r="B2172" s="43"/>
      <c r="C2172" s="35">
        <f t="shared" si="42"/>
        <v>44</v>
      </c>
      <c r="D2172" s="35" t="str" cm="1">
        <f t="array" ref="D2172">IFERROR(ROUNDUP(_xlfn.IFS(F2172="Aluminum Track", _xlfn.XLOOKUP(C2172, dd_accsrycalc!$A$2:$A$51, dd_accsrycalc!$B$2:$B$51, "",0), F2172="10 x 2 1/2 S (Flat)", _xlfn.XLOOKUP(C2172, dd_accsrycalc!$A$2:$A$51, dd_accsrycalc!$C$2:$C$51, "",0), F2172="Tox6", _xlfn.XLOOKUP(C2172, dd_accsrycalc!$A$2:$A$51, dd_accsrycalc!$D$2:$D$51, "",0), F2172="Cover Cap", _xlfn.XLOOKUP(C2172, dd_accsrycalc!$A$2:$A$51, dd_accsrycalc!$E$2:$E$51, "",0), F2172="Drainage Cover", _xlfn.XLOOKUP(C2172, dd_accsrycalc!$A$2:$A$51, dd_accsrycalc!$F$2:$F$51, "",0),AND( F2172="Double Adhesive Tape", I2172="Roll-up Screen"), _xlfn.XLOOKUP(C2172, calc_rusacc!$C$15:$C$65, calc_rusacc!$AD$15:$AD$65, "",0),AND( F2172="Sealant", I2172="Roll-up Screen"), _xlfn.XLOOKUP(C2172, calc_rusacc!$C$15:$C$65, calc_rusacc!$AF$15:$AF$65, "",0),  AND( F2172="Main Chain", I2172="Accordion Screen"), _xlfn.XLOOKUP(C2172, calc_rusacc!$C$15:$C$65, calc_rusacc!$BF$15:$BF$65, "",0), AND( F2172="Sealant", I2172="Accordion Screen"), _xlfn.XLOOKUP(C2172, calc_rusacc!$C$15:$C$65, calc_rusacc!$BJ$15:$BJ$65, "",0),  F2172="Sealant", _xlfn.XLOOKUP(C2172, dd_accsrycalc!$A$2:$A$51, dd_accsrycalc!$G$2:$G$51, "",0),  F2172&lt;&gt;"",L2172*_xlfn.XLOOKUP(1, (SKUs!$C$2:$C$10001=G2172)*(SKUs!$K$2:$K$10001=I2172),SKUs!$E$2:$E$10001)), 0),"")</f>
        <v/>
      </c>
      <c r="E2172" s="35" t="str">
        <f>_xlfn.XLOOKUP(F2172,dd_item!$B$2:$B$105,dd_item!$C$2:$C$105,"",0)</f>
        <v/>
      </c>
      <c r="F2172" s="35"/>
      <c r="G2172" s="35" cm="1">
        <f t="array" ref="G2172">IFERROR(_xlfn.XLOOKUP(1, (SKUs!$J$2:$J$10001=accsry_unmerged!F2172)*IF(H2172&lt;&gt;"",(SKUs!$L$2:$L$10001=accsry_unmerged!H2172),1)*(SKUs!$K$2:$K$10001=I2172),SKUs!$C$2:$C$10001),"")</f>
        <v>0</v>
      </c>
      <c r="H2172" s="36" cm="1">
        <f t="array" ref="H2172">IFERROR(_xlfn.XLOOKUP(1, (dd_accsryclr!$C$2:$C$1000=accsry_unmerged!F2172)*(dd_accsryclr!$B$2:$B$1000=accsry_unmerged!J2172),dd_accsryclr!$A$2:$A$1000),"")</f>
        <v>0</v>
      </c>
      <c r="I2172" s="35">
        <f>_xlfn.XLOOKUP(C2172,'Project Details'!$C$17:$C$66,'Project Details'!$E$17:$E$66,"",0)</f>
        <v>0</v>
      </c>
      <c r="J2172" s="35">
        <f>_xlfn.XLOOKUP(C2172,'Project Details'!$C$17:$C$66,'Project Details'!$H$17:$H$66,"",0)</f>
        <v>0</v>
      </c>
      <c r="K2172" s="36" t="str">
        <f>IF(AND(_xlfn.XLOOKUP(C2172,'Project Details'!$C$17:$C$66,'Project Details'!$L$17:$L$66,"",0)&gt;550, F2172="Spring-L27cm"),"",SUBSTITUTE(_xlfn.XLOOKUP(G2172,SKUs!$C$2:$C$10001,SKUs!$F$2:$F$10001,"",0), " Accessories",""))</f>
        <v/>
      </c>
      <c r="L2172" s="36">
        <f>_xlfn.XLOOKUP(C2172,'Project Details'!$C$17:$C$66,'Project Details'!$D$17:$D$66,"",0)</f>
        <v>0</v>
      </c>
      <c r="M2172" s="43"/>
    </row>
    <row r="2173" spans="1:13" x14ac:dyDescent="0.25">
      <c r="A2173" s="43"/>
      <c r="B2173" s="43"/>
      <c r="C2173" s="16">
        <f t="shared" si="42"/>
        <v>44</v>
      </c>
      <c r="D2173" s="16" t="str" cm="1">
        <f t="array" ref="D2173">IFERROR(ROUNDUP(_xlfn.IFS(F2173="Aluminum Track", _xlfn.XLOOKUP(C2173, dd_accsrycalc!$A$2:$A$51, dd_accsrycalc!$B$2:$B$51, "",0), F2173="10 x 2 1/2 S (Flat)", _xlfn.XLOOKUP(C2173, dd_accsrycalc!$A$2:$A$51, dd_accsrycalc!$C$2:$C$51, "",0), F2173="Tox6", _xlfn.XLOOKUP(C2173, dd_accsrycalc!$A$2:$A$51, dd_accsrycalc!$D$2:$D$51, "",0), F2173="Cover Cap", _xlfn.XLOOKUP(C2173, dd_accsrycalc!$A$2:$A$51, dd_accsrycalc!$E$2:$E$51, "",0), F2173="Drainage Cover", _xlfn.XLOOKUP(C2173, dd_accsrycalc!$A$2:$A$51, dd_accsrycalc!$F$2:$F$51, "",0),AND( F2173="Double Adhesive Tape", I2173="Roll-up Screen"), _xlfn.XLOOKUP(C2173, calc_rusacc!$C$15:$C$65, calc_rusacc!$AD$15:$AD$65, "",0),AND( F2173="Sealant", I2173="Roll-up Screen"), _xlfn.XLOOKUP(C2173, calc_rusacc!$C$15:$C$65, calc_rusacc!$AF$15:$AF$65, "",0),  AND( F2173="Main Chain", I2173="Accordion Screen"), _xlfn.XLOOKUP(C2173, calc_rusacc!$C$15:$C$65, calc_rusacc!$BF$15:$BF$65, "",0), AND( F2173="Sealant", I2173="Accordion Screen"), _xlfn.XLOOKUP(C2173, calc_rusacc!$C$15:$C$65, calc_rusacc!$BJ$15:$BJ$65, "",0),  F2173="Sealant", _xlfn.XLOOKUP(C2173, dd_accsrycalc!$A$2:$A$51, dd_accsrycalc!$G$2:$G$51, "",0),  F2173&lt;&gt;"",L2173*_xlfn.XLOOKUP(1, (SKUs!$C$2:$C$10001=G2173)*(SKUs!$K$2:$K$10001=I2173),SKUs!$E$2:$E$10001)), 0),"")</f>
        <v/>
      </c>
      <c r="E2173" s="16" t="str">
        <f>_xlfn.XLOOKUP(F2173,dd_item!$B$2:$B$105,dd_item!$C$2:$C$105,"",0)</f>
        <v/>
      </c>
      <c r="F2173" s="16"/>
      <c r="G2173" s="16" cm="1">
        <f t="array" ref="G2173">IFERROR(_xlfn.XLOOKUP(1, (SKUs!$J$2:$J$10001=accsry_unmerged!F2173)*IF(H2173&lt;&gt;"",(SKUs!$L$2:$L$10001=accsry_unmerged!H2173),1)*(SKUs!$K$2:$K$10001=I2173),SKUs!$C$2:$C$10001),"")</f>
        <v>0</v>
      </c>
      <c r="H2173" s="33" cm="1">
        <f t="array" ref="H2173">IFERROR(_xlfn.XLOOKUP(1, (dd_accsryclr!$C$2:$C$1000=accsry_unmerged!F2173)*(dd_accsryclr!$B$2:$B$1000=accsry_unmerged!J2173),dd_accsryclr!$A$2:$A$1000),"")</f>
        <v>0</v>
      </c>
      <c r="I2173" s="16">
        <f>_xlfn.XLOOKUP(C2173,'Project Details'!$C$17:$C$66,'Project Details'!$E$17:$E$66,"",0)</f>
        <v>0</v>
      </c>
      <c r="J2173" s="16">
        <f>_xlfn.XLOOKUP(C2173,'Project Details'!$C$17:$C$66,'Project Details'!$H$17:$H$66,"",0)</f>
        <v>0</v>
      </c>
      <c r="K2173" s="33" t="str">
        <f>IF(AND(_xlfn.XLOOKUP(C2173,'Project Details'!$C$17:$C$66,'Project Details'!$L$17:$L$66,"",0)&gt;550, F2173="Spring-L27cm"),"",SUBSTITUTE(_xlfn.XLOOKUP(G2173,SKUs!$C$2:$C$10001,SKUs!$F$2:$F$10001,"",0), " Accessories",""))</f>
        <v/>
      </c>
      <c r="L2173" s="33">
        <f>_xlfn.XLOOKUP(C2173,'Project Details'!$C$17:$C$66,'Project Details'!$D$17:$D$66,"",0)</f>
        <v>0</v>
      </c>
      <c r="M2173" s="43"/>
    </row>
    <row r="2174" spans="1:13" x14ac:dyDescent="0.25">
      <c r="A2174" s="43"/>
      <c r="B2174" s="43"/>
      <c r="C2174" s="35">
        <f t="shared" si="42"/>
        <v>44</v>
      </c>
      <c r="D2174" s="35" t="str" cm="1">
        <f t="array" ref="D2174">IFERROR(ROUNDUP(_xlfn.IFS(F2174="Aluminum Track", _xlfn.XLOOKUP(C2174, dd_accsrycalc!$A$2:$A$51, dd_accsrycalc!$B$2:$B$51, "",0), F2174="10 x 2 1/2 S (Flat)", _xlfn.XLOOKUP(C2174, dd_accsrycalc!$A$2:$A$51, dd_accsrycalc!$C$2:$C$51, "",0), F2174="Tox6", _xlfn.XLOOKUP(C2174, dd_accsrycalc!$A$2:$A$51, dd_accsrycalc!$D$2:$D$51, "",0), F2174="Cover Cap", _xlfn.XLOOKUP(C2174, dd_accsrycalc!$A$2:$A$51, dd_accsrycalc!$E$2:$E$51, "",0), F2174="Drainage Cover", _xlfn.XLOOKUP(C2174, dd_accsrycalc!$A$2:$A$51, dd_accsrycalc!$F$2:$F$51, "",0),AND( F2174="Double Adhesive Tape", I2174="Roll-up Screen"), _xlfn.XLOOKUP(C2174, calc_rusacc!$C$15:$C$65, calc_rusacc!$AD$15:$AD$65, "",0),AND( F2174="Sealant", I2174="Roll-up Screen"), _xlfn.XLOOKUP(C2174, calc_rusacc!$C$15:$C$65, calc_rusacc!$AF$15:$AF$65, "",0),  AND( F2174="Main Chain", I2174="Accordion Screen"), _xlfn.XLOOKUP(C2174, calc_rusacc!$C$15:$C$65, calc_rusacc!$BF$15:$BF$65, "",0), AND( F2174="Sealant", I2174="Accordion Screen"), _xlfn.XLOOKUP(C2174, calc_rusacc!$C$15:$C$65, calc_rusacc!$BJ$15:$BJ$65, "",0),  F2174="Sealant", _xlfn.XLOOKUP(C2174, dd_accsrycalc!$A$2:$A$51, dd_accsrycalc!$G$2:$G$51, "",0),  F2174&lt;&gt;"",L2174*_xlfn.XLOOKUP(1, (SKUs!$C$2:$C$10001=G2174)*(SKUs!$K$2:$K$10001=I2174),SKUs!$E$2:$E$10001)), 0),"")</f>
        <v/>
      </c>
      <c r="E2174" s="35" t="str">
        <f>_xlfn.XLOOKUP(F2174,dd_item!$B$2:$B$105,dd_item!$C$2:$C$105,"",0)</f>
        <v/>
      </c>
      <c r="F2174" s="35"/>
      <c r="G2174" s="35" cm="1">
        <f t="array" ref="G2174">IFERROR(_xlfn.XLOOKUP(1, (SKUs!$J$2:$J$10001=accsry_unmerged!F2174)*IF(H2174&lt;&gt;"",(SKUs!$L$2:$L$10001=accsry_unmerged!H2174),1)*(SKUs!$K$2:$K$10001=I2174),SKUs!$C$2:$C$10001),"")</f>
        <v>0</v>
      </c>
      <c r="H2174" s="36" cm="1">
        <f t="array" ref="H2174">IFERROR(_xlfn.XLOOKUP(1, (dd_accsryclr!$C$2:$C$1000=accsry_unmerged!F2174)*(dd_accsryclr!$B$2:$B$1000=accsry_unmerged!J2174),dd_accsryclr!$A$2:$A$1000),"")</f>
        <v>0</v>
      </c>
      <c r="I2174" s="35">
        <f>_xlfn.XLOOKUP(C2174,'Project Details'!$C$17:$C$66,'Project Details'!$E$17:$E$66,"",0)</f>
        <v>0</v>
      </c>
      <c r="J2174" s="35">
        <f>_xlfn.XLOOKUP(C2174,'Project Details'!$C$17:$C$66,'Project Details'!$H$17:$H$66,"",0)</f>
        <v>0</v>
      </c>
      <c r="K2174" s="36" t="str">
        <f>IF(AND(_xlfn.XLOOKUP(C2174,'Project Details'!$C$17:$C$66,'Project Details'!$L$17:$L$66,"",0)&gt;550, F2174="Spring-L27cm"),"",SUBSTITUTE(_xlfn.XLOOKUP(G2174,SKUs!$C$2:$C$10001,SKUs!$F$2:$F$10001,"",0), " Accessories",""))</f>
        <v/>
      </c>
      <c r="L2174" s="36">
        <f>_xlfn.XLOOKUP(C2174,'Project Details'!$C$17:$C$66,'Project Details'!$D$17:$D$66,"",0)</f>
        <v>0</v>
      </c>
      <c r="M2174" s="43"/>
    </row>
    <row r="2175" spans="1:13" x14ac:dyDescent="0.25">
      <c r="A2175" s="43"/>
      <c r="B2175" s="43"/>
      <c r="C2175" s="16">
        <f t="shared" si="42"/>
        <v>44</v>
      </c>
      <c r="D2175" s="16" t="str" cm="1">
        <f t="array" ref="D2175">IFERROR(ROUNDUP(_xlfn.IFS(F2175="Aluminum Track", _xlfn.XLOOKUP(C2175, dd_accsrycalc!$A$2:$A$51, dd_accsrycalc!$B$2:$B$51, "",0), F2175="10 x 2 1/2 S (Flat)", _xlfn.XLOOKUP(C2175, dd_accsrycalc!$A$2:$A$51, dd_accsrycalc!$C$2:$C$51, "",0), F2175="Tox6", _xlfn.XLOOKUP(C2175, dd_accsrycalc!$A$2:$A$51, dd_accsrycalc!$D$2:$D$51, "",0), F2175="Cover Cap", _xlfn.XLOOKUP(C2175, dd_accsrycalc!$A$2:$A$51, dd_accsrycalc!$E$2:$E$51, "",0), F2175="Drainage Cover", _xlfn.XLOOKUP(C2175, dd_accsrycalc!$A$2:$A$51, dd_accsrycalc!$F$2:$F$51, "",0),AND( F2175="Double Adhesive Tape", I2175="Roll-up Screen"), _xlfn.XLOOKUP(C2175, calc_rusacc!$C$15:$C$65, calc_rusacc!$AD$15:$AD$65, "",0),AND( F2175="Sealant", I2175="Roll-up Screen"), _xlfn.XLOOKUP(C2175, calc_rusacc!$C$15:$C$65, calc_rusacc!$AF$15:$AF$65, "",0),  AND( F2175="Main Chain", I2175="Accordion Screen"), _xlfn.XLOOKUP(C2175, calc_rusacc!$C$15:$C$65, calc_rusacc!$BF$15:$BF$65, "",0), AND( F2175="Sealant", I2175="Accordion Screen"), _xlfn.XLOOKUP(C2175, calc_rusacc!$C$15:$C$65, calc_rusacc!$BJ$15:$BJ$65, "",0),  F2175="Sealant", _xlfn.XLOOKUP(C2175, dd_accsrycalc!$A$2:$A$51, dd_accsrycalc!$G$2:$G$51, "",0),  F2175&lt;&gt;"",L2175*_xlfn.XLOOKUP(1, (SKUs!$C$2:$C$10001=G2175)*(SKUs!$K$2:$K$10001=I2175),SKUs!$E$2:$E$10001)), 0),"")</f>
        <v/>
      </c>
      <c r="E2175" s="16" t="str">
        <f>_xlfn.XLOOKUP(F2175,dd_item!$B$2:$B$105,dd_item!$C$2:$C$105,"",0)</f>
        <v/>
      </c>
      <c r="F2175" s="16"/>
      <c r="G2175" s="16" cm="1">
        <f t="array" ref="G2175">IFERROR(_xlfn.XLOOKUP(1, (SKUs!$J$2:$J$10001=accsry_unmerged!F2175)*IF(H2175&lt;&gt;"",(SKUs!$L$2:$L$10001=accsry_unmerged!H2175),1)*(SKUs!$K$2:$K$10001=I2175),SKUs!$C$2:$C$10001),"")</f>
        <v>0</v>
      </c>
      <c r="H2175" s="33" cm="1">
        <f t="array" ref="H2175">IFERROR(_xlfn.XLOOKUP(1, (dd_accsryclr!$C$2:$C$1000=accsry_unmerged!F2175)*(dd_accsryclr!$B$2:$B$1000=accsry_unmerged!J2175),dd_accsryclr!$A$2:$A$1000),"")</f>
        <v>0</v>
      </c>
      <c r="I2175" s="16">
        <f>_xlfn.XLOOKUP(C2175,'Project Details'!$C$17:$C$66,'Project Details'!$E$17:$E$66,"",0)</f>
        <v>0</v>
      </c>
      <c r="J2175" s="16">
        <f>_xlfn.XLOOKUP(C2175,'Project Details'!$C$17:$C$66,'Project Details'!$H$17:$H$66,"",0)</f>
        <v>0</v>
      </c>
      <c r="K2175" s="33" t="str">
        <f>IF(AND(_xlfn.XLOOKUP(C2175,'Project Details'!$C$17:$C$66,'Project Details'!$L$17:$L$66,"",0)&gt;550, F2175="Spring-L27cm"),"",SUBSTITUTE(_xlfn.XLOOKUP(G2175,SKUs!$C$2:$C$10001,SKUs!$F$2:$F$10001,"",0), " Accessories",""))</f>
        <v/>
      </c>
      <c r="L2175" s="33">
        <f>_xlfn.XLOOKUP(C2175,'Project Details'!$C$17:$C$66,'Project Details'!$D$17:$D$66,"",0)</f>
        <v>0</v>
      </c>
      <c r="M2175" s="43"/>
    </row>
    <row r="2176" spans="1:13" x14ac:dyDescent="0.25">
      <c r="A2176" s="43"/>
      <c r="B2176" s="43"/>
      <c r="C2176" s="35">
        <f t="shared" si="42"/>
        <v>44</v>
      </c>
      <c r="D2176" s="35" t="str" cm="1">
        <f t="array" ref="D2176">IFERROR(ROUNDUP(_xlfn.IFS(F2176="Aluminum Track", _xlfn.XLOOKUP(C2176, dd_accsrycalc!$A$2:$A$51, dd_accsrycalc!$B$2:$B$51, "",0), F2176="10 x 2 1/2 S (Flat)", _xlfn.XLOOKUP(C2176, dd_accsrycalc!$A$2:$A$51, dd_accsrycalc!$C$2:$C$51, "",0), F2176="Tox6", _xlfn.XLOOKUP(C2176, dd_accsrycalc!$A$2:$A$51, dd_accsrycalc!$D$2:$D$51, "",0), F2176="Cover Cap", _xlfn.XLOOKUP(C2176, dd_accsrycalc!$A$2:$A$51, dd_accsrycalc!$E$2:$E$51, "",0), F2176="Drainage Cover", _xlfn.XLOOKUP(C2176, dd_accsrycalc!$A$2:$A$51, dd_accsrycalc!$F$2:$F$51, "",0),AND( F2176="Double Adhesive Tape", I2176="Roll-up Screen"), _xlfn.XLOOKUP(C2176, calc_rusacc!$C$15:$C$65, calc_rusacc!$AD$15:$AD$65, "",0),AND( F2176="Sealant", I2176="Roll-up Screen"), _xlfn.XLOOKUP(C2176, calc_rusacc!$C$15:$C$65, calc_rusacc!$AF$15:$AF$65, "",0),  AND( F2176="Main Chain", I2176="Accordion Screen"), _xlfn.XLOOKUP(C2176, calc_rusacc!$C$15:$C$65, calc_rusacc!$BF$15:$BF$65, "",0), AND( F2176="Sealant", I2176="Accordion Screen"), _xlfn.XLOOKUP(C2176, calc_rusacc!$C$15:$C$65, calc_rusacc!$BJ$15:$BJ$65, "",0),  F2176="Sealant", _xlfn.XLOOKUP(C2176, dd_accsrycalc!$A$2:$A$51, dd_accsrycalc!$G$2:$G$51, "",0),  F2176&lt;&gt;"",L2176*_xlfn.XLOOKUP(1, (SKUs!$C$2:$C$10001=G2176)*(SKUs!$K$2:$K$10001=I2176),SKUs!$E$2:$E$10001)), 0),"")</f>
        <v/>
      </c>
      <c r="E2176" s="35" t="str">
        <f>_xlfn.XLOOKUP(F2176,dd_item!$B$2:$B$105,dd_item!$C$2:$C$105,"",0)</f>
        <v/>
      </c>
      <c r="F2176" s="35"/>
      <c r="G2176" s="35" cm="1">
        <f t="array" ref="G2176">IFERROR(_xlfn.XLOOKUP(1, (SKUs!$J$2:$J$10001=accsry_unmerged!F2176)*IF(H2176&lt;&gt;"",(SKUs!$L$2:$L$10001=accsry_unmerged!H2176),1)*(SKUs!$K$2:$K$10001=I2176),SKUs!$C$2:$C$10001),"")</f>
        <v>0</v>
      </c>
      <c r="H2176" s="36" cm="1">
        <f t="array" ref="H2176">IFERROR(_xlfn.XLOOKUP(1, (dd_accsryclr!$C$2:$C$1000=accsry_unmerged!F2176)*(dd_accsryclr!$B$2:$B$1000=accsry_unmerged!J2176),dd_accsryclr!$A$2:$A$1000),"")</f>
        <v>0</v>
      </c>
      <c r="I2176" s="35">
        <f>_xlfn.XLOOKUP(C2176,'Project Details'!$C$17:$C$66,'Project Details'!$E$17:$E$66,"",0)</f>
        <v>0</v>
      </c>
      <c r="J2176" s="35">
        <f>_xlfn.XLOOKUP(C2176,'Project Details'!$C$17:$C$66,'Project Details'!$H$17:$H$66,"",0)</f>
        <v>0</v>
      </c>
      <c r="K2176" s="36" t="str">
        <f>IF(AND(_xlfn.XLOOKUP(C2176,'Project Details'!$C$17:$C$66,'Project Details'!$L$17:$L$66,"",0)&gt;550, F2176="Spring-L27cm"),"",SUBSTITUTE(_xlfn.XLOOKUP(G2176,SKUs!$C$2:$C$10001,SKUs!$F$2:$F$10001,"",0), " Accessories",""))</f>
        <v/>
      </c>
      <c r="L2176" s="36">
        <f>_xlfn.XLOOKUP(C2176,'Project Details'!$C$17:$C$66,'Project Details'!$D$17:$D$66,"",0)</f>
        <v>0</v>
      </c>
      <c r="M2176" s="43"/>
    </row>
    <row r="2177" spans="1:13" x14ac:dyDescent="0.25">
      <c r="A2177" s="43"/>
      <c r="B2177" s="43"/>
      <c r="C2177" s="16">
        <f t="shared" si="42"/>
        <v>44</v>
      </c>
      <c r="D2177" s="16" t="str" cm="1">
        <f t="array" ref="D2177">IFERROR(ROUNDUP(_xlfn.IFS(F2177="Aluminum Track", _xlfn.XLOOKUP(C2177, dd_accsrycalc!$A$2:$A$51, dd_accsrycalc!$B$2:$B$51, "",0), F2177="10 x 2 1/2 S (Flat)", _xlfn.XLOOKUP(C2177, dd_accsrycalc!$A$2:$A$51, dd_accsrycalc!$C$2:$C$51, "",0), F2177="Tox6", _xlfn.XLOOKUP(C2177, dd_accsrycalc!$A$2:$A$51, dd_accsrycalc!$D$2:$D$51, "",0), F2177="Cover Cap", _xlfn.XLOOKUP(C2177, dd_accsrycalc!$A$2:$A$51, dd_accsrycalc!$E$2:$E$51, "",0), F2177="Drainage Cover", _xlfn.XLOOKUP(C2177, dd_accsrycalc!$A$2:$A$51, dd_accsrycalc!$F$2:$F$51, "",0),AND( F2177="Double Adhesive Tape", I2177="Roll-up Screen"), _xlfn.XLOOKUP(C2177, calc_rusacc!$C$15:$C$65, calc_rusacc!$AD$15:$AD$65, "",0),AND( F2177="Sealant", I2177="Roll-up Screen"), _xlfn.XLOOKUP(C2177, calc_rusacc!$C$15:$C$65, calc_rusacc!$AF$15:$AF$65, "",0),  AND( F2177="Main Chain", I2177="Accordion Screen"), _xlfn.XLOOKUP(C2177, calc_rusacc!$C$15:$C$65, calc_rusacc!$BF$15:$BF$65, "",0), AND( F2177="Sealant", I2177="Accordion Screen"), _xlfn.XLOOKUP(C2177, calc_rusacc!$C$15:$C$65, calc_rusacc!$BJ$15:$BJ$65, "",0),  F2177="Sealant", _xlfn.XLOOKUP(C2177, dd_accsrycalc!$A$2:$A$51, dd_accsrycalc!$G$2:$G$51, "",0),  F2177&lt;&gt;"",L2177*_xlfn.XLOOKUP(1, (SKUs!$C$2:$C$10001=G2177)*(SKUs!$K$2:$K$10001=I2177),SKUs!$E$2:$E$10001)), 0),"")</f>
        <v/>
      </c>
      <c r="E2177" s="16" t="str">
        <f>_xlfn.XLOOKUP(F2177,dd_item!$B$2:$B$105,dd_item!$C$2:$C$105,"",0)</f>
        <v/>
      </c>
      <c r="F2177" s="16"/>
      <c r="G2177" s="16" cm="1">
        <f t="array" ref="G2177">IFERROR(_xlfn.XLOOKUP(1, (SKUs!$J$2:$J$10001=accsry_unmerged!F2177)*IF(H2177&lt;&gt;"",(SKUs!$L$2:$L$10001=accsry_unmerged!H2177),1)*(SKUs!$K$2:$K$10001=I2177),SKUs!$C$2:$C$10001),"")</f>
        <v>0</v>
      </c>
      <c r="H2177" s="33" cm="1">
        <f t="array" ref="H2177">IFERROR(_xlfn.XLOOKUP(1, (dd_accsryclr!$C$2:$C$1000=accsry_unmerged!F2177)*(dd_accsryclr!$B$2:$B$1000=accsry_unmerged!J2177),dd_accsryclr!$A$2:$A$1000),"")</f>
        <v>0</v>
      </c>
      <c r="I2177" s="16">
        <f>_xlfn.XLOOKUP(C2177,'Project Details'!$C$17:$C$66,'Project Details'!$E$17:$E$66,"",0)</f>
        <v>0</v>
      </c>
      <c r="J2177" s="16">
        <f>_xlfn.XLOOKUP(C2177,'Project Details'!$C$17:$C$66,'Project Details'!$H$17:$H$66,"",0)</f>
        <v>0</v>
      </c>
      <c r="K2177" s="33" t="str">
        <f>IF(AND(_xlfn.XLOOKUP(C2177,'Project Details'!$C$17:$C$66,'Project Details'!$L$17:$L$66,"",0)&gt;550, F2177="Spring-L27cm"),"",SUBSTITUTE(_xlfn.XLOOKUP(G2177,SKUs!$C$2:$C$10001,SKUs!$F$2:$F$10001,"",0), " Accessories",""))</f>
        <v/>
      </c>
      <c r="L2177" s="33">
        <f>_xlfn.XLOOKUP(C2177,'Project Details'!$C$17:$C$66,'Project Details'!$D$17:$D$66,"",0)</f>
        <v>0</v>
      </c>
      <c r="M2177" s="43"/>
    </row>
    <row r="2178" spans="1:13" x14ac:dyDescent="0.25">
      <c r="A2178" s="43"/>
      <c r="B2178" s="43"/>
      <c r="C2178" s="35">
        <f t="shared" si="42"/>
        <v>44</v>
      </c>
      <c r="D2178" s="35" t="str" cm="1">
        <f t="array" ref="D2178">IFERROR(ROUNDUP(_xlfn.IFS(F2178="Aluminum Track", _xlfn.XLOOKUP(C2178, dd_accsrycalc!$A$2:$A$51, dd_accsrycalc!$B$2:$B$51, "",0), F2178="10 x 2 1/2 S (Flat)", _xlfn.XLOOKUP(C2178, dd_accsrycalc!$A$2:$A$51, dd_accsrycalc!$C$2:$C$51, "",0), F2178="Tox6", _xlfn.XLOOKUP(C2178, dd_accsrycalc!$A$2:$A$51, dd_accsrycalc!$D$2:$D$51, "",0), F2178="Cover Cap", _xlfn.XLOOKUP(C2178, dd_accsrycalc!$A$2:$A$51, dd_accsrycalc!$E$2:$E$51, "",0), F2178="Drainage Cover", _xlfn.XLOOKUP(C2178, dd_accsrycalc!$A$2:$A$51, dd_accsrycalc!$F$2:$F$51, "",0),AND( F2178="Double Adhesive Tape", I2178="Roll-up Screen"), _xlfn.XLOOKUP(C2178, calc_rusacc!$C$15:$C$65, calc_rusacc!$AD$15:$AD$65, "",0),AND( F2178="Sealant", I2178="Roll-up Screen"), _xlfn.XLOOKUP(C2178, calc_rusacc!$C$15:$C$65, calc_rusacc!$AF$15:$AF$65, "",0),  AND( F2178="Main Chain", I2178="Accordion Screen"), _xlfn.XLOOKUP(C2178, calc_rusacc!$C$15:$C$65, calc_rusacc!$BF$15:$BF$65, "",0), AND( F2178="Sealant", I2178="Accordion Screen"), _xlfn.XLOOKUP(C2178, calc_rusacc!$C$15:$C$65, calc_rusacc!$BJ$15:$BJ$65, "",0),  F2178="Sealant", _xlfn.XLOOKUP(C2178, dd_accsrycalc!$A$2:$A$51, dd_accsrycalc!$G$2:$G$51, "",0),  F2178&lt;&gt;"",L2178*_xlfn.XLOOKUP(1, (SKUs!$C$2:$C$10001=G2178)*(SKUs!$K$2:$K$10001=I2178),SKUs!$E$2:$E$10001)), 0),"")</f>
        <v/>
      </c>
      <c r="E2178" s="35" t="str">
        <f>_xlfn.XLOOKUP(F2178,dd_item!$B$2:$B$105,dd_item!$C$2:$C$105,"",0)</f>
        <v/>
      </c>
      <c r="F2178" s="35"/>
      <c r="G2178" s="35" cm="1">
        <f t="array" ref="G2178">IFERROR(_xlfn.XLOOKUP(1, (SKUs!$J$2:$J$10001=accsry_unmerged!F2178)*IF(H2178&lt;&gt;"",(SKUs!$L$2:$L$10001=accsry_unmerged!H2178),1)*(SKUs!$K$2:$K$10001=I2178),SKUs!$C$2:$C$10001),"")</f>
        <v>0</v>
      </c>
      <c r="H2178" s="36" cm="1">
        <f t="array" ref="H2178">IFERROR(_xlfn.XLOOKUP(1, (dd_accsryclr!$C$2:$C$1000=accsry_unmerged!F2178)*(dd_accsryclr!$B$2:$B$1000=accsry_unmerged!J2178),dd_accsryclr!$A$2:$A$1000),"")</f>
        <v>0</v>
      </c>
      <c r="I2178" s="35">
        <f>_xlfn.XLOOKUP(C2178,'Project Details'!$C$17:$C$66,'Project Details'!$E$17:$E$66,"",0)</f>
        <v>0</v>
      </c>
      <c r="J2178" s="35">
        <f>_xlfn.XLOOKUP(C2178,'Project Details'!$C$17:$C$66,'Project Details'!$H$17:$H$66,"",0)</f>
        <v>0</v>
      </c>
      <c r="K2178" s="36" t="str">
        <f>IF(AND(_xlfn.XLOOKUP(C2178,'Project Details'!$C$17:$C$66,'Project Details'!$L$17:$L$66,"",0)&gt;550, F2178="Spring-L27cm"),"",SUBSTITUTE(_xlfn.XLOOKUP(G2178,SKUs!$C$2:$C$10001,SKUs!$F$2:$F$10001,"",0), " Accessories",""))</f>
        <v/>
      </c>
      <c r="L2178" s="36">
        <f>_xlfn.XLOOKUP(C2178,'Project Details'!$C$17:$C$66,'Project Details'!$D$17:$D$66,"",0)</f>
        <v>0</v>
      </c>
      <c r="M2178" s="43"/>
    </row>
    <row r="2179" spans="1:13" x14ac:dyDescent="0.25">
      <c r="A2179" s="43"/>
      <c r="B2179" s="43"/>
      <c r="C2179" s="16">
        <f t="shared" si="42"/>
        <v>44</v>
      </c>
      <c r="D2179" s="16" t="str" cm="1">
        <f t="array" ref="D2179">IFERROR(ROUNDUP(_xlfn.IFS(F2179="Aluminum Track", _xlfn.XLOOKUP(C2179, dd_accsrycalc!$A$2:$A$51, dd_accsrycalc!$B$2:$B$51, "",0), F2179="10 x 2 1/2 S (Flat)", _xlfn.XLOOKUP(C2179, dd_accsrycalc!$A$2:$A$51, dd_accsrycalc!$C$2:$C$51, "",0), F2179="Tox6", _xlfn.XLOOKUP(C2179, dd_accsrycalc!$A$2:$A$51, dd_accsrycalc!$D$2:$D$51, "",0), F2179="Cover Cap", _xlfn.XLOOKUP(C2179, dd_accsrycalc!$A$2:$A$51, dd_accsrycalc!$E$2:$E$51, "",0), F2179="Drainage Cover", _xlfn.XLOOKUP(C2179, dd_accsrycalc!$A$2:$A$51, dd_accsrycalc!$F$2:$F$51, "",0),AND( F2179="Double Adhesive Tape", I2179="Roll-up Screen"), _xlfn.XLOOKUP(C2179, calc_rusacc!$C$15:$C$65, calc_rusacc!$AD$15:$AD$65, "",0),AND( F2179="Sealant", I2179="Roll-up Screen"), _xlfn.XLOOKUP(C2179, calc_rusacc!$C$15:$C$65, calc_rusacc!$AF$15:$AF$65, "",0),  AND( F2179="Main Chain", I2179="Accordion Screen"), _xlfn.XLOOKUP(C2179, calc_rusacc!$C$15:$C$65, calc_rusacc!$BF$15:$BF$65, "",0), AND( F2179="Sealant", I2179="Accordion Screen"), _xlfn.XLOOKUP(C2179, calc_rusacc!$C$15:$C$65, calc_rusacc!$BJ$15:$BJ$65, "",0),  F2179="Sealant", _xlfn.XLOOKUP(C2179, dd_accsrycalc!$A$2:$A$51, dd_accsrycalc!$G$2:$G$51, "",0),  F2179&lt;&gt;"",L2179*_xlfn.XLOOKUP(1, (SKUs!$C$2:$C$10001=G2179)*(SKUs!$K$2:$K$10001=I2179),SKUs!$E$2:$E$10001)), 0),"")</f>
        <v/>
      </c>
      <c r="E2179" s="16" t="str">
        <f>_xlfn.XLOOKUP(F2179,dd_item!$B$2:$B$105,dd_item!$C$2:$C$105,"",0)</f>
        <v/>
      </c>
      <c r="F2179" s="16"/>
      <c r="G2179" s="16" cm="1">
        <f t="array" ref="G2179">IFERROR(_xlfn.XLOOKUP(1, (SKUs!$J$2:$J$10001=accsry_unmerged!F2179)*IF(H2179&lt;&gt;"",(SKUs!$L$2:$L$10001=accsry_unmerged!H2179),1)*(SKUs!$K$2:$K$10001=I2179),SKUs!$C$2:$C$10001),"")</f>
        <v>0</v>
      </c>
      <c r="H2179" s="33" cm="1">
        <f t="array" ref="H2179">IFERROR(_xlfn.XLOOKUP(1, (dd_accsryclr!$C$2:$C$1000=accsry_unmerged!F2179)*(dd_accsryclr!$B$2:$B$1000=accsry_unmerged!J2179),dd_accsryclr!$A$2:$A$1000),"")</f>
        <v>0</v>
      </c>
      <c r="I2179" s="16">
        <f>_xlfn.XLOOKUP(C2179,'Project Details'!$C$17:$C$66,'Project Details'!$E$17:$E$66,"",0)</f>
        <v>0</v>
      </c>
      <c r="J2179" s="16">
        <f>_xlfn.XLOOKUP(C2179,'Project Details'!$C$17:$C$66,'Project Details'!$H$17:$H$66,"",0)</f>
        <v>0</v>
      </c>
      <c r="K2179" s="33" t="str">
        <f>IF(AND(_xlfn.XLOOKUP(C2179,'Project Details'!$C$17:$C$66,'Project Details'!$L$17:$L$66,"",0)&gt;550, F2179="Spring-L27cm"),"",SUBSTITUTE(_xlfn.XLOOKUP(G2179,SKUs!$C$2:$C$10001,SKUs!$F$2:$F$10001,"",0), " Accessories",""))</f>
        <v/>
      </c>
      <c r="L2179" s="33">
        <f>_xlfn.XLOOKUP(C2179,'Project Details'!$C$17:$C$66,'Project Details'!$D$17:$D$66,"",0)</f>
        <v>0</v>
      </c>
      <c r="M2179" s="43"/>
    </row>
    <row r="2180" spans="1:13" x14ac:dyDescent="0.25">
      <c r="A2180" s="43"/>
      <c r="B2180" s="43"/>
      <c r="C2180" s="35">
        <f t="shared" si="42"/>
        <v>44</v>
      </c>
      <c r="D2180" s="35" t="str" cm="1">
        <f t="array" ref="D2180">IFERROR(ROUNDUP(_xlfn.IFS(F2180="Aluminum Track", _xlfn.XLOOKUP(C2180, dd_accsrycalc!$A$2:$A$51, dd_accsrycalc!$B$2:$B$51, "",0), F2180="10 x 2 1/2 S (Flat)", _xlfn.XLOOKUP(C2180, dd_accsrycalc!$A$2:$A$51, dd_accsrycalc!$C$2:$C$51, "",0), F2180="Tox6", _xlfn.XLOOKUP(C2180, dd_accsrycalc!$A$2:$A$51, dd_accsrycalc!$D$2:$D$51, "",0), F2180="Cover Cap", _xlfn.XLOOKUP(C2180, dd_accsrycalc!$A$2:$A$51, dd_accsrycalc!$E$2:$E$51, "",0), F2180="Drainage Cover", _xlfn.XLOOKUP(C2180, dd_accsrycalc!$A$2:$A$51, dd_accsrycalc!$F$2:$F$51, "",0),AND( F2180="Double Adhesive Tape", I2180="Roll-up Screen"), _xlfn.XLOOKUP(C2180, calc_rusacc!$C$15:$C$65, calc_rusacc!$AD$15:$AD$65, "",0),AND( F2180="Sealant", I2180="Roll-up Screen"), _xlfn.XLOOKUP(C2180, calc_rusacc!$C$15:$C$65, calc_rusacc!$AF$15:$AF$65, "",0),  AND( F2180="Main Chain", I2180="Accordion Screen"), _xlfn.XLOOKUP(C2180, calc_rusacc!$C$15:$C$65, calc_rusacc!$BF$15:$BF$65, "",0), AND( F2180="Sealant", I2180="Accordion Screen"), _xlfn.XLOOKUP(C2180, calc_rusacc!$C$15:$C$65, calc_rusacc!$BJ$15:$BJ$65, "",0),  F2180="Sealant", _xlfn.XLOOKUP(C2180, dd_accsrycalc!$A$2:$A$51, dd_accsrycalc!$G$2:$G$51, "",0),  F2180&lt;&gt;"",L2180*_xlfn.XLOOKUP(1, (SKUs!$C$2:$C$10001=G2180)*(SKUs!$K$2:$K$10001=I2180),SKUs!$E$2:$E$10001)), 0),"")</f>
        <v/>
      </c>
      <c r="E2180" s="35" t="str">
        <f>_xlfn.XLOOKUP(F2180,dd_item!$B$2:$B$105,dd_item!$C$2:$C$105,"",0)</f>
        <v/>
      </c>
      <c r="F2180" s="35"/>
      <c r="G2180" s="35" cm="1">
        <f t="array" ref="G2180">IFERROR(_xlfn.XLOOKUP(1, (SKUs!$J$2:$J$10001=accsry_unmerged!F2180)*IF(H2180&lt;&gt;"",(SKUs!$L$2:$L$10001=accsry_unmerged!H2180),1)*(SKUs!$K$2:$K$10001=I2180),SKUs!$C$2:$C$10001),"")</f>
        <v>0</v>
      </c>
      <c r="H2180" s="36" cm="1">
        <f t="array" ref="H2180">IFERROR(_xlfn.XLOOKUP(1, (dd_accsryclr!$C$2:$C$1000=accsry_unmerged!F2180)*(dd_accsryclr!$B$2:$B$1000=accsry_unmerged!J2180),dd_accsryclr!$A$2:$A$1000),"")</f>
        <v>0</v>
      </c>
      <c r="I2180" s="35">
        <f>_xlfn.XLOOKUP(C2180,'Project Details'!$C$17:$C$66,'Project Details'!$E$17:$E$66,"",0)</f>
        <v>0</v>
      </c>
      <c r="J2180" s="35">
        <f>_xlfn.XLOOKUP(C2180,'Project Details'!$C$17:$C$66,'Project Details'!$H$17:$H$66,"",0)</f>
        <v>0</v>
      </c>
      <c r="K2180" s="36" t="str">
        <f>IF(AND(_xlfn.XLOOKUP(C2180,'Project Details'!$C$17:$C$66,'Project Details'!$L$17:$L$66,"",0)&gt;550, F2180="Spring-L27cm"),"",SUBSTITUTE(_xlfn.XLOOKUP(G2180,SKUs!$C$2:$C$10001,SKUs!$F$2:$F$10001,"",0), " Accessories",""))</f>
        <v/>
      </c>
      <c r="L2180" s="36">
        <f>_xlfn.XLOOKUP(C2180,'Project Details'!$C$17:$C$66,'Project Details'!$D$17:$D$66,"",0)</f>
        <v>0</v>
      </c>
      <c r="M2180" s="43"/>
    </row>
    <row r="2181" spans="1:13" x14ac:dyDescent="0.25">
      <c r="A2181" s="43"/>
      <c r="B2181" s="43"/>
      <c r="C2181" s="16">
        <f t="shared" si="42"/>
        <v>44</v>
      </c>
      <c r="D2181" s="16" t="str" cm="1">
        <f t="array" ref="D2181">IFERROR(ROUNDUP(_xlfn.IFS(F2181="Aluminum Track", _xlfn.XLOOKUP(C2181, dd_accsrycalc!$A$2:$A$51, dd_accsrycalc!$B$2:$B$51, "",0), F2181="10 x 2 1/2 S (Flat)", _xlfn.XLOOKUP(C2181, dd_accsrycalc!$A$2:$A$51, dd_accsrycalc!$C$2:$C$51, "",0), F2181="Tox6", _xlfn.XLOOKUP(C2181, dd_accsrycalc!$A$2:$A$51, dd_accsrycalc!$D$2:$D$51, "",0), F2181="Cover Cap", _xlfn.XLOOKUP(C2181, dd_accsrycalc!$A$2:$A$51, dd_accsrycalc!$E$2:$E$51, "",0), F2181="Drainage Cover", _xlfn.XLOOKUP(C2181, dd_accsrycalc!$A$2:$A$51, dd_accsrycalc!$F$2:$F$51, "",0),AND( F2181="Double Adhesive Tape", I2181="Roll-up Screen"), _xlfn.XLOOKUP(C2181, calc_rusacc!$C$15:$C$65, calc_rusacc!$AD$15:$AD$65, "",0),AND( F2181="Sealant", I2181="Roll-up Screen"), _xlfn.XLOOKUP(C2181, calc_rusacc!$C$15:$C$65, calc_rusacc!$AF$15:$AF$65, "",0),  AND( F2181="Main Chain", I2181="Accordion Screen"), _xlfn.XLOOKUP(C2181, calc_rusacc!$C$15:$C$65, calc_rusacc!$BF$15:$BF$65, "",0), AND( F2181="Sealant", I2181="Accordion Screen"), _xlfn.XLOOKUP(C2181, calc_rusacc!$C$15:$C$65, calc_rusacc!$BJ$15:$BJ$65, "",0),  F2181="Sealant", _xlfn.XLOOKUP(C2181, dd_accsrycalc!$A$2:$A$51, dd_accsrycalc!$G$2:$G$51, "",0),  F2181&lt;&gt;"",L2181*_xlfn.XLOOKUP(1, (SKUs!$C$2:$C$10001=G2181)*(SKUs!$K$2:$K$10001=I2181),SKUs!$E$2:$E$10001)), 0),"")</f>
        <v/>
      </c>
      <c r="E2181" s="16" t="str">
        <f>_xlfn.XLOOKUP(F2181,dd_item!$B$2:$B$105,dd_item!$C$2:$C$105,"",0)</f>
        <v/>
      </c>
      <c r="F2181" s="16"/>
      <c r="G2181" s="16" cm="1">
        <f t="array" ref="G2181">IFERROR(_xlfn.XLOOKUP(1, (SKUs!$J$2:$J$10001=accsry_unmerged!F2181)*IF(H2181&lt;&gt;"",(SKUs!$L$2:$L$10001=accsry_unmerged!H2181),1)*(SKUs!$K$2:$K$10001=I2181),SKUs!$C$2:$C$10001),"")</f>
        <v>0</v>
      </c>
      <c r="H2181" s="33" cm="1">
        <f t="array" ref="H2181">IFERROR(_xlfn.XLOOKUP(1, (dd_accsryclr!$C$2:$C$1000=accsry_unmerged!F2181)*(dd_accsryclr!$B$2:$B$1000=accsry_unmerged!J2181),dd_accsryclr!$A$2:$A$1000),"")</f>
        <v>0</v>
      </c>
      <c r="I2181" s="16">
        <f>_xlfn.XLOOKUP(C2181,'Project Details'!$C$17:$C$66,'Project Details'!$E$17:$E$66,"",0)</f>
        <v>0</v>
      </c>
      <c r="J2181" s="16">
        <f>_xlfn.XLOOKUP(C2181,'Project Details'!$C$17:$C$66,'Project Details'!$H$17:$H$66,"",0)</f>
        <v>0</v>
      </c>
      <c r="K2181" s="33" t="str">
        <f>IF(AND(_xlfn.XLOOKUP(C2181,'Project Details'!$C$17:$C$66,'Project Details'!$L$17:$L$66,"",0)&gt;550, F2181="Spring-L27cm"),"",SUBSTITUTE(_xlfn.XLOOKUP(G2181,SKUs!$C$2:$C$10001,SKUs!$F$2:$F$10001,"",0), " Accessories",""))</f>
        <v/>
      </c>
      <c r="L2181" s="33">
        <f>_xlfn.XLOOKUP(C2181,'Project Details'!$C$17:$C$66,'Project Details'!$D$17:$D$66,"",0)</f>
        <v>0</v>
      </c>
      <c r="M2181" s="43"/>
    </row>
    <row r="2182" spans="1:13" x14ac:dyDescent="0.25">
      <c r="A2182" s="43"/>
      <c r="B2182" s="43"/>
      <c r="C2182" s="35">
        <f t="shared" si="42"/>
        <v>44</v>
      </c>
      <c r="D2182" s="35" t="str" cm="1">
        <f t="array" ref="D2182">IFERROR(ROUNDUP(_xlfn.IFS(F2182="Aluminum Track", _xlfn.XLOOKUP(C2182, dd_accsrycalc!$A$2:$A$51, dd_accsrycalc!$B$2:$B$51, "",0), F2182="10 x 2 1/2 S (Flat)", _xlfn.XLOOKUP(C2182, dd_accsrycalc!$A$2:$A$51, dd_accsrycalc!$C$2:$C$51, "",0), F2182="Tox6", _xlfn.XLOOKUP(C2182, dd_accsrycalc!$A$2:$A$51, dd_accsrycalc!$D$2:$D$51, "",0), F2182="Cover Cap", _xlfn.XLOOKUP(C2182, dd_accsrycalc!$A$2:$A$51, dd_accsrycalc!$E$2:$E$51, "",0), F2182="Drainage Cover", _xlfn.XLOOKUP(C2182, dd_accsrycalc!$A$2:$A$51, dd_accsrycalc!$F$2:$F$51, "",0),AND( F2182="Double Adhesive Tape", I2182="Roll-up Screen"), _xlfn.XLOOKUP(C2182, calc_rusacc!$C$15:$C$65, calc_rusacc!$AD$15:$AD$65, "",0),AND( F2182="Sealant", I2182="Roll-up Screen"), _xlfn.XLOOKUP(C2182, calc_rusacc!$C$15:$C$65, calc_rusacc!$AF$15:$AF$65, "",0),  AND( F2182="Main Chain", I2182="Accordion Screen"), _xlfn.XLOOKUP(C2182, calc_rusacc!$C$15:$C$65, calc_rusacc!$BF$15:$BF$65, "",0), AND( F2182="Sealant", I2182="Accordion Screen"), _xlfn.XLOOKUP(C2182, calc_rusacc!$C$15:$C$65, calc_rusacc!$BJ$15:$BJ$65, "",0),  F2182="Sealant", _xlfn.XLOOKUP(C2182, dd_accsrycalc!$A$2:$A$51, dd_accsrycalc!$G$2:$G$51, "",0),  F2182&lt;&gt;"",L2182*_xlfn.XLOOKUP(1, (SKUs!$C$2:$C$10001=G2182)*(SKUs!$K$2:$K$10001=I2182),SKUs!$E$2:$E$10001)), 0),"")</f>
        <v/>
      </c>
      <c r="E2182" s="35" t="str">
        <f>_xlfn.XLOOKUP(F2182,dd_item!$B$2:$B$105,dd_item!$C$2:$C$105,"",0)</f>
        <v/>
      </c>
      <c r="F2182" s="35"/>
      <c r="G2182" s="35" cm="1">
        <f t="array" ref="G2182">IFERROR(_xlfn.XLOOKUP(1, (SKUs!$J$2:$J$10001=accsry_unmerged!F2182)*IF(H2182&lt;&gt;"",(SKUs!$L$2:$L$10001=accsry_unmerged!H2182),1)*(SKUs!$K$2:$K$10001=I2182),SKUs!$C$2:$C$10001),"")</f>
        <v>0</v>
      </c>
      <c r="H2182" s="36" cm="1">
        <f t="array" ref="H2182">IFERROR(_xlfn.XLOOKUP(1, (dd_accsryclr!$C$2:$C$1000=accsry_unmerged!F2182)*(dd_accsryclr!$B$2:$B$1000=accsry_unmerged!J2182),dd_accsryclr!$A$2:$A$1000),"")</f>
        <v>0</v>
      </c>
      <c r="I2182" s="35">
        <f>_xlfn.XLOOKUP(C2182,'Project Details'!$C$17:$C$66,'Project Details'!$E$17:$E$66,"",0)</f>
        <v>0</v>
      </c>
      <c r="J2182" s="35">
        <f>_xlfn.XLOOKUP(C2182,'Project Details'!$C$17:$C$66,'Project Details'!$H$17:$H$66,"",0)</f>
        <v>0</v>
      </c>
      <c r="K2182" s="36" t="str">
        <f>IF(AND(_xlfn.XLOOKUP(C2182,'Project Details'!$C$17:$C$66,'Project Details'!$L$17:$L$66,"",0)&gt;550, F2182="Spring-L27cm"),"",SUBSTITUTE(_xlfn.XLOOKUP(G2182,SKUs!$C$2:$C$10001,SKUs!$F$2:$F$10001,"",0), " Accessories",""))</f>
        <v/>
      </c>
      <c r="L2182" s="36">
        <f>_xlfn.XLOOKUP(C2182,'Project Details'!$C$17:$C$66,'Project Details'!$D$17:$D$66,"",0)</f>
        <v>0</v>
      </c>
      <c r="M2182" s="43"/>
    </row>
    <row r="2183" spans="1:13" x14ac:dyDescent="0.25">
      <c r="A2183" s="43"/>
      <c r="B2183" s="43"/>
      <c r="C2183" s="16">
        <f t="shared" si="42"/>
        <v>44</v>
      </c>
      <c r="D2183" s="16" t="str" cm="1">
        <f t="array" ref="D2183">IFERROR(ROUNDUP(_xlfn.IFS(F2183="Aluminum Track", _xlfn.XLOOKUP(C2183, dd_accsrycalc!$A$2:$A$51, dd_accsrycalc!$B$2:$B$51, "",0), F2183="10 x 2 1/2 S (Flat)", _xlfn.XLOOKUP(C2183, dd_accsrycalc!$A$2:$A$51, dd_accsrycalc!$C$2:$C$51, "",0), F2183="Tox6", _xlfn.XLOOKUP(C2183, dd_accsrycalc!$A$2:$A$51, dd_accsrycalc!$D$2:$D$51, "",0), F2183="Cover Cap", _xlfn.XLOOKUP(C2183, dd_accsrycalc!$A$2:$A$51, dd_accsrycalc!$E$2:$E$51, "",0), F2183="Drainage Cover", _xlfn.XLOOKUP(C2183, dd_accsrycalc!$A$2:$A$51, dd_accsrycalc!$F$2:$F$51, "",0),AND( F2183="Double Adhesive Tape", I2183="Roll-up Screen"), _xlfn.XLOOKUP(C2183, calc_rusacc!$C$15:$C$65, calc_rusacc!$AD$15:$AD$65, "",0),AND( F2183="Sealant", I2183="Roll-up Screen"), _xlfn.XLOOKUP(C2183, calc_rusacc!$C$15:$C$65, calc_rusacc!$AF$15:$AF$65, "",0),  AND( F2183="Main Chain", I2183="Accordion Screen"), _xlfn.XLOOKUP(C2183, calc_rusacc!$C$15:$C$65, calc_rusacc!$BF$15:$BF$65, "",0), AND( F2183="Sealant", I2183="Accordion Screen"), _xlfn.XLOOKUP(C2183, calc_rusacc!$C$15:$C$65, calc_rusacc!$BJ$15:$BJ$65, "",0),  F2183="Sealant", _xlfn.XLOOKUP(C2183, dd_accsrycalc!$A$2:$A$51, dd_accsrycalc!$G$2:$G$51, "",0),  F2183&lt;&gt;"",L2183*_xlfn.XLOOKUP(1, (SKUs!$C$2:$C$10001=G2183)*(SKUs!$K$2:$K$10001=I2183),SKUs!$E$2:$E$10001)), 0),"")</f>
        <v/>
      </c>
      <c r="E2183" s="16" t="str">
        <f>_xlfn.XLOOKUP(F2183,dd_item!$B$2:$B$105,dd_item!$C$2:$C$105,"",0)</f>
        <v/>
      </c>
      <c r="F2183" s="16"/>
      <c r="G2183" s="16" cm="1">
        <f t="array" ref="G2183">IFERROR(_xlfn.XLOOKUP(1, (SKUs!$J$2:$J$10001=accsry_unmerged!F2183)*IF(H2183&lt;&gt;"",(SKUs!$L$2:$L$10001=accsry_unmerged!H2183),1)*(SKUs!$K$2:$K$10001=I2183),SKUs!$C$2:$C$10001),"")</f>
        <v>0</v>
      </c>
      <c r="H2183" s="33" cm="1">
        <f t="array" ref="H2183">IFERROR(_xlfn.XLOOKUP(1, (dd_accsryclr!$C$2:$C$1000=accsry_unmerged!F2183)*(dd_accsryclr!$B$2:$B$1000=accsry_unmerged!J2183),dd_accsryclr!$A$2:$A$1000),"")</f>
        <v>0</v>
      </c>
      <c r="I2183" s="16">
        <f>_xlfn.XLOOKUP(C2183,'Project Details'!$C$17:$C$66,'Project Details'!$E$17:$E$66,"",0)</f>
        <v>0</v>
      </c>
      <c r="J2183" s="16">
        <f>_xlfn.XLOOKUP(C2183,'Project Details'!$C$17:$C$66,'Project Details'!$H$17:$H$66,"",0)</f>
        <v>0</v>
      </c>
      <c r="K2183" s="33" t="str">
        <f>IF(AND(_xlfn.XLOOKUP(C2183,'Project Details'!$C$17:$C$66,'Project Details'!$L$17:$L$66,"",0)&gt;550, F2183="Spring-L27cm"),"",SUBSTITUTE(_xlfn.XLOOKUP(G2183,SKUs!$C$2:$C$10001,SKUs!$F$2:$F$10001,"",0), " Accessories",""))</f>
        <v/>
      </c>
      <c r="L2183" s="33">
        <f>_xlfn.XLOOKUP(C2183,'Project Details'!$C$17:$C$66,'Project Details'!$D$17:$D$66,"",0)</f>
        <v>0</v>
      </c>
      <c r="M2183" s="43"/>
    </row>
    <row r="2184" spans="1:13" ht="13.5" customHeight="1" x14ac:dyDescent="0.25">
      <c r="A2184" s="43"/>
      <c r="B2184" s="43"/>
      <c r="C2184" s="35">
        <f t="shared" si="42"/>
        <v>44</v>
      </c>
      <c r="D2184" s="35" t="str" cm="1">
        <f t="array" ref="D2184">IFERROR(ROUNDUP(_xlfn.IFS(F2184="Aluminum Track", _xlfn.XLOOKUP(C2184, dd_accsrycalc!$A$2:$A$51, dd_accsrycalc!$B$2:$B$51, "",0), F2184="10 x 2 1/2 S (Flat)", _xlfn.XLOOKUP(C2184, dd_accsrycalc!$A$2:$A$51, dd_accsrycalc!$C$2:$C$51, "",0), F2184="Tox6", _xlfn.XLOOKUP(C2184, dd_accsrycalc!$A$2:$A$51, dd_accsrycalc!$D$2:$D$51, "",0), F2184="Cover Cap", _xlfn.XLOOKUP(C2184, dd_accsrycalc!$A$2:$A$51, dd_accsrycalc!$E$2:$E$51, "",0), F2184="Drainage Cover", _xlfn.XLOOKUP(C2184, dd_accsrycalc!$A$2:$A$51, dd_accsrycalc!$F$2:$F$51, "",0),AND( F2184="Double Adhesive Tape", I2184="Roll-up Screen"), _xlfn.XLOOKUP(C2184, calc_rusacc!$C$15:$C$65, calc_rusacc!$AD$15:$AD$65, "",0),AND( F2184="Sealant", I2184="Roll-up Screen"), _xlfn.XLOOKUP(C2184, calc_rusacc!$C$15:$C$65, calc_rusacc!$AF$15:$AF$65, "",0),  AND( F2184="Main Chain", I2184="Accordion Screen"), _xlfn.XLOOKUP(C2184, calc_rusacc!$C$15:$C$65, calc_rusacc!$BF$15:$BF$65, "",0), AND( F2184="Sealant", I2184="Accordion Screen"), _xlfn.XLOOKUP(C2184, calc_rusacc!$C$15:$C$65, calc_rusacc!$BJ$15:$BJ$65, "",0),  F2184="Sealant", _xlfn.XLOOKUP(C2184, dd_accsrycalc!$A$2:$A$51, dd_accsrycalc!$G$2:$G$51, "",0),  F2184&lt;&gt;"",L2184*_xlfn.XLOOKUP(1, (SKUs!$C$2:$C$10001=G2184)*(SKUs!$K$2:$K$10001=I2184),SKUs!$E$2:$E$10001)), 0),"")</f>
        <v/>
      </c>
      <c r="E2184" s="35" t="str">
        <f>_xlfn.XLOOKUP(F2184,dd_item!$B$2:$B$105,dd_item!$C$2:$C$105,"",0)</f>
        <v/>
      </c>
      <c r="F2184" s="35"/>
      <c r="G2184" s="35" cm="1">
        <f t="array" ref="G2184">IFERROR(_xlfn.XLOOKUP(1, (SKUs!$J$2:$J$10001=accsry_unmerged!F2184)*IF(H2184&lt;&gt;"",(SKUs!$L$2:$L$10001=accsry_unmerged!H2184),1)*(SKUs!$K$2:$K$10001=I2184),SKUs!$C$2:$C$10001),"")</f>
        <v>0</v>
      </c>
      <c r="H2184" s="36" cm="1">
        <f t="array" ref="H2184">IFERROR(_xlfn.XLOOKUP(1, (dd_accsryclr!$C$2:$C$1000=accsry_unmerged!F2184)*(dd_accsryclr!$B$2:$B$1000=accsry_unmerged!J2184),dd_accsryclr!$A$2:$A$1000),"")</f>
        <v>0</v>
      </c>
      <c r="I2184" s="35">
        <f>_xlfn.XLOOKUP(C2184,'Project Details'!$C$17:$C$66,'Project Details'!$E$17:$E$66,"",0)</f>
        <v>0</v>
      </c>
      <c r="J2184" s="35">
        <f>_xlfn.XLOOKUP(C2184,'Project Details'!$C$17:$C$66,'Project Details'!$H$17:$H$66,"",0)</f>
        <v>0</v>
      </c>
      <c r="K2184" s="36" t="str">
        <f>IF(AND(_xlfn.XLOOKUP(C2184,'Project Details'!$C$17:$C$66,'Project Details'!$L$17:$L$66,"",0)&gt;550, F2184="Spring-L27cm"),"",SUBSTITUTE(_xlfn.XLOOKUP(G2184,SKUs!$C$2:$C$10001,SKUs!$F$2:$F$10001,"",0), " Accessories",""))</f>
        <v/>
      </c>
      <c r="L2184" s="36">
        <f>_xlfn.XLOOKUP(C2184,'Project Details'!$C$17:$C$66,'Project Details'!$D$17:$D$66,"",0)</f>
        <v>0</v>
      </c>
      <c r="M2184" s="43"/>
    </row>
    <row r="2185" spans="1:13" ht="13.5" customHeight="1" x14ac:dyDescent="0.25">
      <c r="A2185" s="43"/>
      <c r="B2185" s="43"/>
      <c r="C2185" s="16">
        <f t="shared" si="42"/>
        <v>44</v>
      </c>
      <c r="D2185" s="16" t="str" cm="1">
        <f t="array" ref="D2185">IFERROR(ROUNDUP(_xlfn.IFS(F2185="Aluminum Track", _xlfn.XLOOKUP(C2185, dd_accsrycalc!$A$2:$A$51, dd_accsrycalc!$B$2:$B$51, "",0), F2185="10 x 2 1/2 S (Flat)", _xlfn.XLOOKUP(C2185, dd_accsrycalc!$A$2:$A$51, dd_accsrycalc!$C$2:$C$51, "",0), F2185="Tox6", _xlfn.XLOOKUP(C2185, dd_accsrycalc!$A$2:$A$51, dd_accsrycalc!$D$2:$D$51, "",0), F2185="Cover Cap", _xlfn.XLOOKUP(C2185, dd_accsrycalc!$A$2:$A$51, dd_accsrycalc!$E$2:$E$51, "",0), F2185="Drainage Cover", _xlfn.XLOOKUP(C2185, dd_accsrycalc!$A$2:$A$51, dd_accsrycalc!$F$2:$F$51, "",0),AND( F2185="Double Adhesive Tape", I2185="Roll-up Screen"), _xlfn.XLOOKUP(C2185, calc_rusacc!$C$15:$C$65, calc_rusacc!$AD$15:$AD$65, "",0),AND( F2185="Sealant", I2185="Roll-up Screen"), _xlfn.XLOOKUP(C2185, calc_rusacc!$C$15:$C$65, calc_rusacc!$AF$15:$AF$65, "",0),  AND( F2185="Main Chain", I2185="Accordion Screen"), _xlfn.XLOOKUP(C2185, calc_rusacc!$C$15:$C$65, calc_rusacc!$BF$15:$BF$65, "",0), AND( F2185="Sealant", I2185="Accordion Screen"), _xlfn.XLOOKUP(C2185, calc_rusacc!$C$15:$C$65, calc_rusacc!$BJ$15:$BJ$65, "",0),  F2185="Sealant", _xlfn.XLOOKUP(C2185, dd_accsrycalc!$A$2:$A$51, dd_accsrycalc!$G$2:$G$51, "",0),  F2185&lt;&gt;"",L2185*_xlfn.XLOOKUP(1, (SKUs!$C$2:$C$10001=G2185)*(SKUs!$K$2:$K$10001=I2185),SKUs!$E$2:$E$10001)), 0),"")</f>
        <v/>
      </c>
      <c r="E2185" s="16" t="str">
        <f>_xlfn.XLOOKUP(F2185,dd_item!$B$2:$B$105,dd_item!$C$2:$C$105,"",0)</f>
        <v/>
      </c>
      <c r="F2185" s="16"/>
      <c r="G2185" s="16" cm="1">
        <f t="array" ref="G2185">IFERROR(_xlfn.XLOOKUP(1, (SKUs!$J$2:$J$10001=accsry_unmerged!F2185)*IF(H2185&lt;&gt;"",(SKUs!$L$2:$L$10001=accsry_unmerged!H2185),1)*(SKUs!$K$2:$K$10001=I2185),SKUs!$C$2:$C$10001),"")</f>
        <v>0</v>
      </c>
      <c r="H2185" s="33" cm="1">
        <f t="array" ref="H2185">IFERROR(_xlfn.XLOOKUP(1, (dd_accsryclr!$C$2:$C$1000=accsry_unmerged!F2185)*(dd_accsryclr!$B$2:$B$1000=accsry_unmerged!J2185),dd_accsryclr!$A$2:$A$1000),"")</f>
        <v>0</v>
      </c>
      <c r="I2185" s="16">
        <f>_xlfn.XLOOKUP(C2185,'Project Details'!$C$17:$C$66,'Project Details'!$E$17:$E$66,"",0)</f>
        <v>0</v>
      </c>
      <c r="J2185" s="16">
        <f>_xlfn.XLOOKUP(C2185,'Project Details'!$C$17:$C$66,'Project Details'!$H$17:$H$66,"",0)</f>
        <v>0</v>
      </c>
      <c r="K2185" s="33" t="str">
        <f>IF(AND(_xlfn.XLOOKUP(C2185,'Project Details'!$C$17:$C$66,'Project Details'!$L$17:$L$66,"",0)&gt;550, F2185="Spring-L27cm"),"",SUBSTITUTE(_xlfn.XLOOKUP(G2185,SKUs!$C$2:$C$10001,SKUs!$F$2:$F$10001,"",0), " Accessories",""))</f>
        <v/>
      </c>
      <c r="L2185" s="33">
        <f>_xlfn.XLOOKUP(C2185,'Project Details'!$C$17:$C$66,'Project Details'!$D$17:$D$66,"",0)</f>
        <v>0</v>
      </c>
      <c r="M2185" s="43"/>
    </row>
    <row r="2186" spans="1:13" ht="13.5" customHeight="1" x14ac:dyDescent="0.25">
      <c r="A2186" s="43"/>
      <c r="B2186" s="43"/>
      <c r="C2186" s="35">
        <f t="shared" si="42"/>
        <v>44</v>
      </c>
      <c r="D2186" s="35" t="str" cm="1">
        <f t="array" ref="D2186">IFERROR(ROUNDUP(_xlfn.IFS(F2186="Aluminum Track", _xlfn.XLOOKUP(C2186, dd_accsrycalc!$A$2:$A$51, dd_accsrycalc!$B$2:$B$51, "",0), F2186="10 x 2 1/2 S (Flat)", _xlfn.XLOOKUP(C2186, dd_accsrycalc!$A$2:$A$51, dd_accsrycalc!$C$2:$C$51, "",0), F2186="Tox6", _xlfn.XLOOKUP(C2186, dd_accsrycalc!$A$2:$A$51, dd_accsrycalc!$D$2:$D$51, "",0), F2186="Cover Cap", _xlfn.XLOOKUP(C2186, dd_accsrycalc!$A$2:$A$51, dd_accsrycalc!$E$2:$E$51, "",0), F2186="Drainage Cover", _xlfn.XLOOKUP(C2186, dd_accsrycalc!$A$2:$A$51, dd_accsrycalc!$F$2:$F$51, "",0),AND( F2186="Double Adhesive Tape", I2186="Roll-up Screen"), _xlfn.XLOOKUP(C2186, calc_rusacc!$C$15:$C$65, calc_rusacc!$AD$15:$AD$65, "",0),AND( F2186="Sealant", I2186="Roll-up Screen"), _xlfn.XLOOKUP(C2186, calc_rusacc!$C$15:$C$65, calc_rusacc!$AF$15:$AF$65, "",0),  AND( F2186="Main Chain", I2186="Accordion Screen"), _xlfn.XLOOKUP(C2186, calc_rusacc!$C$15:$C$65, calc_rusacc!$BF$15:$BF$65, "",0), AND( F2186="Sealant", I2186="Accordion Screen"), _xlfn.XLOOKUP(C2186, calc_rusacc!$C$15:$C$65, calc_rusacc!$BJ$15:$BJ$65, "",0),  F2186="Sealant", _xlfn.XLOOKUP(C2186, dd_accsrycalc!$A$2:$A$51, dd_accsrycalc!$G$2:$G$51, "",0),  F2186&lt;&gt;"",L2186*_xlfn.XLOOKUP(1, (SKUs!$C$2:$C$10001=G2186)*(SKUs!$K$2:$K$10001=I2186),SKUs!$E$2:$E$10001)), 0),"")</f>
        <v/>
      </c>
      <c r="E2186" s="35" t="str">
        <f>_xlfn.XLOOKUP(F2186,dd_item!$B$2:$B$105,dd_item!$C$2:$C$105,"",0)</f>
        <v/>
      </c>
      <c r="F2186" s="35"/>
      <c r="G2186" s="35" cm="1">
        <f t="array" ref="G2186">IFERROR(_xlfn.XLOOKUP(1, (SKUs!$J$2:$J$10001=accsry_unmerged!F2186)*IF(H2186&lt;&gt;"",(SKUs!$L$2:$L$10001=accsry_unmerged!H2186),1)*(SKUs!$K$2:$K$10001=I2186),SKUs!$C$2:$C$10001),"")</f>
        <v>0</v>
      </c>
      <c r="H2186" s="36" cm="1">
        <f t="array" ref="H2186">IFERROR(_xlfn.XLOOKUP(1, (dd_accsryclr!$C$2:$C$1000=accsry_unmerged!F2186)*(dd_accsryclr!$B$2:$B$1000=accsry_unmerged!J2186),dd_accsryclr!$A$2:$A$1000),"")</f>
        <v>0</v>
      </c>
      <c r="I2186" s="35">
        <f>_xlfn.XLOOKUP(C2186,'Project Details'!$C$17:$C$66,'Project Details'!$E$17:$E$66,"",0)</f>
        <v>0</v>
      </c>
      <c r="J2186" s="35">
        <f>_xlfn.XLOOKUP(C2186,'Project Details'!$C$17:$C$66,'Project Details'!$H$17:$H$66,"",0)</f>
        <v>0</v>
      </c>
      <c r="K2186" s="36" t="str">
        <f>IF(AND(_xlfn.XLOOKUP(C2186,'Project Details'!$C$17:$C$66,'Project Details'!$L$17:$L$66,"",0)&gt;550, F2186="Spring-L27cm"),"",SUBSTITUTE(_xlfn.XLOOKUP(G2186,SKUs!$C$2:$C$10001,SKUs!$F$2:$F$10001,"",0), " Accessories",""))</f>
        <v/>
      </c>
      <c r="L2186" s="36">
        <f>_xlfn.XLOOKUP(C2186,'Project Details'!$C$17:$C$66,'Project Details'!$D$17:$D$66,"",0)</f>
        <v>0</v>
      </c>
      <c r="M2186" s="43"/>
    </row>
    <row r="2187" spans="1:13" ht="13.5" customHeight="1" x14ac:dyDescent="0.25">
      <c r="A2187" s="43"/>
      <c r="B2187" s="43"/>
      <c r="C2187" s="16">
        <f t="shared" si="42"/>
        <v>44</v>
      </c>
      <c r="D2187" s="16" t="str" cm="1">
        <f t="array" ref="D2187">IFERROR(ROUNDUP(_xlfn.IFS(F2187="Aluminum Track", _xlfn.XLOOKUP(C2187, dd_accsrycalc!$A$2:$A$51, dd_accsrycalc!$B$2:$B$51, "",0), F2187="10 x 2 1/2 S (Flat)", _xlfn.XLOOKUP(C2187, dd_accsrycalc!$A$2:$A$51, dd_accsrycalc!$C$2:$C$51, "",0), F2187="Tox6", _xlfn.XLOOKUP(C2187, dd_accsrycalc!$A$2:$A$51, dd_accsrycalc!$D$2:$D$51, "",0), F2187="Cover Cap", _xlfn.XLOOKUP(C2187, dd_accsrycalc!$A$2:$A$51, dd_accsrycalc!$E$2:$E$51, "",0), F2187="Drainage Cover", _xlfn.XLOOKUP(C2187, dd_accsrycalc!$A$2:$A$51, dd_accsrycalc!$F$2:$F$51, "",0),AND( F2187="Double Adhesive Tape", I2187="Roll-up Screen"), _xlfn.XLOOKUP(C2187, calc_rusacc!$C$15:$C$65, calc_rusacc!$AD$15:$AD$65, "",0),AND( F2187="Sealant", I2187="Roll-up Screen"), _xlfn.XLOOKUP(C2187, calc_rusacc!$C$15:$C$65, calc_rusacc!$AF$15:$AF$65, "",0),  AND( F2187="Main Chain", I2187="Accordion Screen"), _xlfn.XLOOKUP(C2187, calc_rusacc!$C$15:$C$65, calc_rusacc!$BF$15:$BF$65, "",0), AND( F2187="Sealant", I2187="Accordion Screen"), _xlfn.XLOOKUP(C2187, calc_rusacc!$C$15:$C$65, calc_rusacc!$BJ$15:$BJ$65, "",0),  F2187="Sealant", _xlfn.XLOOKUP(C2187, dd_accsrycalc!$A$2:$A$51, dd_accsrycalc!$G$2:$G$51, "",0),  F2187&lt;&gt;"",L2187*_xlfn.XLOOKUP(1, (SKUs!$C$2:$C$10001=G2187)*(SKUs!$K$2:$K$10001=I2187),SKUs!$E$2:$E$10001)), 0),"")</f>
        <v/>
      </c>
      <c r="E2187" s="16" t="str">
        <f>_xlfn.XLOOKUP(F2187,dd_item!$B$2:$B$105,dd_item!$C$2:$C$105,"",0)</f>
        <v/>
      </c>
      <c r="F2187" s="16"/>
      <c r="G2187" s="16" cm="1">
        <f t="array" ref="G2187">IFERROR(_xlfn.XLOOKUP(1, (SKUs!$J$2:$J$10001=accsry_unmerged!F2187)*IF(H2187&lt;&gt;"",(SKUs!$L$2:$L$10001=accsry_unmerged!H2187),1)*(SKUs!$K$2:$K$10001=I2187),SKUs!$C$2:$C$10001),"")</f>
        <v>0</v>
      </c>
      <c r="H2187" s="33" cm="1">
        <f t="array" ref="H2187">IFERROR(_xlfn.XLOOKUP(1, (dd_accsryclr!$C$2:$C$1000=accsry_unmerged!F2187)*(dd_accsryclr!$B$2:$B$1000=accsry_unmerged!J2187),dd_accsryclr!$A$2:$A$1000),"")</f>
        <v>0</v>
      </c>
      <c r="I2187" s="16">
        <f>_xlfn.XLOOKUP(C2187,'Project Details'!$C$17:$C$66,'Project Details'!$E$17:$E$66,"",0)</f>
        <v>0</v>
      </c>
      <c r="J2187" s="16">
        <f>_xlfn.XLOOKUP(C2187,'Project Details'!$C$17:$C$66,'Project Details'!$H$17:$H$66,"",0)</f>
        <v>0</v>
      </c>
      <c r="K2187" s="33" t="str">
        <f>IF(AND(_xlfn.XLOOKUP(C2187,'Project Details'!$C$17:$C$66,'Project Details'!$L$17:$L$66,"",0)&gt;550, F2187="Spring-L27cm"),"",SUBSTITUTE(_xlfn.XLOOKUP(G2187,SKUs!$C$2:$C$10001,SKUs!$F$2:$F$10001,"",0), " Accessories",""))</f>
        <v/>
      </c>
      <c r="L2187" s="33">
        <f>_xlfn.XLOOKUP(C2187,'Project Details'!$C$17:$C$66,'Project Details'!$D$17:$D$66,"",0)</f>
        <v>0</v>
      </c>
      <c r="M2187" s="43"/>
    </row>
    <row r="2188" spans="1:13" ht="13.5" customHeight="1" x14ac:dyDescent="0.25">
      <c r="A2188" s="43"/>
      <c r="B2188" s="43"/>
      <c r="C2188" s="35">
        <f t="shared" si="42"/>
        <v>44</v>
      </c>
      <c r="D2188" s="35" t="str" cm="1">
        <f t="array" ref="D2188">IFERROR(ROUNDUP(_xlfn.IFS(F2188="Aluminum Track", _xlfn.XLOOKUP(C2188, dd_accsrycalc!$A$2:$A$51, dd_accsrycalc!$B$2:$B$51, "",0), F2188="10 x 2 1/2 S (Flat)", _xlfn.XLOOKUP(C2188, dd_accsrycalc!$A$2:$A$51, dd_accsrycalc!$C$2:$C$51, "",0), F2188="Tox6", _xlfn.XLOOKUP(C2188, dd_accsrycalc!$A$2:$A$51, dd_accsrycalc!$D$2:$D$51, "",0), F2188="Cover Cap", _xlfn.XLOOKUP(C2188, dd_accsrycalc!$A$2:$A$51, dd_accsrycalc!$E$2:$E$51, "",0), F2188="Drainage Cover", _xlfn.XLOOKUP(C2188, dd_accsrycalc!$A$2:$A$51, dd_accsrycalc!$F$2:$F$51, "",0),AND( F2188="Double Adhesive Tape", I2188="Roll-up Screen"), _xlfn.XLOOKUP(C2188, calc_rusacc!$C$15:$C$65, calc_rusacc!$AD$15:$AD$65, "",0),AND( F2188="Sealant", I2188="Roll-up Screen"), _xlfn.XLOOKUP(C2188, calc_rusacc!$C$15:$C$65, calc_rusacc!$AF$15:$AF$65, "",0),  AND( F2188="Main Chain", I2188="Accordion Screen"), _xlfn.XLOOKUP(C2188, calc_rusacc!$C$15:$C$65, calc_rusacc!$BF$15:$BF$65, "",0), AND( F2188="Sealant", I2188="Accordion Screen"), _xlfn.XLOOKUP(C2188, calc_rusacc!$C$15:$C$65, calc_rusacc!$BJ$15:$BJ$65, "",0),  F2188="Sealant", _xlfn.XLOOKUP(C2188, dd_accsrycalc!$A$2:$A$51, dd_accsrycalc!$G$2:$G$51, "",0),  F2188&lt;&gt;"",L2188*_xlfn.XLOOKUP(1, (SKUs!$C$2:$C$10001=G2188)*(SKUs!$K$2:$K$10001=I2188),SKUs!$E$2:$E$10001)), 0),"")</f>
        <v/>
      </c>
      <c r="E2188" s="35" t="str">
        <f>_xlfn.XLOOKUP(F2188,dd_item!$B$2:$B$105,dd_item!$C$2:$C$105,"",0)</f>
        <v/>
      </c>
      <c r="F2188" s="35"/>
      <c r="G2188" s="35" cm="1">
        <f t="array" ref="G2188">IFERROR(_xlfn.XLOOKUP(1, (SKUs!$J$2:$J$10001=accsry_unmerged!F2188)*IF(H2188&lt;&gt;"",(SKUs!$L$2:$L$10001=accsry_unmerged!H2188),1)*(SKUs!$K$2:$K$10001=I2188),SKUs!$C$2:$C$10001),"")</f>
        <v>0</v>
      </c>
      <c r="H2188" s="36" cm="1">
        <f t="array" ref="H2188">IFERROR(_xlfn.XLOOKUP(1, (dd_accsryclr!$C$2:$C$1000=accsry_unmerged!F2188)*(dd_accsryclr!$B$2:$B$1000=accsry_unmerged!J2188),dd_accsryclr!$A$2:$A$1000),"")</f>
        <v>0</v>
      </c>
      <c r="I2188" s="35">
        <f>_xlfn.XLOOKUP(C2188,'Project Details'!$C$17:$C$66,'Project Details'!$E$17:$E$66,"",0)</f>
        <v>0</v>
      </c>
      <c r="J2188" s="35">
        <f>_xlfn.XLOOKUP(C2188,'Project Details'!$C$17:$C$66,'Project Details'!$H$17:$H$66,"",0)</f>
        <v>0</v>
      </c>
      <c r="K2188" s="36" t="str">
        <f>IF(AND(_xlfn.XLOOKUP(C2188,'Project Details'!$C$17:$C$66,'Project Details'!$L$17:$L$66,"",0)&gt;550, F2188="Spring-L27cm"),"",SUBSTITUTE(_xlfn.XLOOKUP(G2188,SKUs!$C$2:$C$10001,SKUs!$F$2:$F$10001,"",0), " Accessories",""))</f>
        <v/>
      </c>
      <c r="L2188" s="36">
        <f>_xlfn.XLOOKUP(C2188,'Project Details'!$C$17:$C$66,'Project Details'!$D$17:$D$66,"",0)</f>
        <v>0</v>
      </c>
      <c r="M2188" s="43"/>
    </row>
    <row r="2189" spans="1:13" ht="13.5" customHeight="1" x14ac:dyDescent="0.25">
      <c r="A2189" s="43"/>
      <c r="B2189" s="43"/>
      <c r="C2189" s="16">
        <f t="shared" si="42"/>
        <v>44</v>
      </c>
      <c r="D2189" s="16" t="str" cm="1">
        <f t="array" ref="D2189">IFERROR(ROUNDUP(_xlfn.IFS(F2189="Aluminum Track", _xlfn.XLOOKUP(C2189, dd_accsrycalc!$A$2:$A$51, dd_accsrycalc!$B$2:$B$51, "",0), F2189="10 x 2 1/2 S (Flat)", _xlfn.XLOOKUP(C2189, dd_accsrycalc!$A$2:$A$51, dd_accsrycalc!$C$2:$C$51, "",0), F2189="Tox6", _xlfn.XLOOKUP(C2189, dd_accsrycalc!$A$2:$A$51, dd_accsrycalc!$D$2:$D$51, "",0), F2189="Cover Cap", _xlfn.XLOOKUP(C2189, dd_accsrycalc!$A$2:$A$51, dd_accsrycalc!$E$2:$E$51, "",0), F2189="Drainage Cover", _xlfn.XLOOKUP(C2189, dd_accsrycalc!$A$2:$A$51, dd_accsrycalc!$F$2:$F$51, "",0),AND( F2189="Double Adhesive Tape", I2189="Roll-up Screen"), _xlfn.XLOOKUP(C2189, calc_rusacc!$C$15:$C$65, calc_rusacc!$AD$15:$AD$65, "",0),AND( F2189="Sealant", I2189="Roll-up Screen"), _xlfn.XLOOKUP(C2189, calc_rusacc!$C$15:$C$65, calc_rusacc!$AF$15:$AF$65, "",0),  AND( F2189="Main Chain", I2189="Accordion Screen"), _xlfn.XLOOKUP(C2189, calc_rusacc!$C$15:$C$65, calc_rusacc!$BF$15:$BF$65, "",0), AND( F2189="Sealant", I2189="Accordion Screen"), _xlfn.XLOOKUP(C2189, calc_rusacc!$C$15:$C$65, calc_rusacc!$BJ$15:$BJ$65, "",0),  F2189="Sealant", _xlfn.XLOOKUP(C2189, dd_accsrycalc!$A$2:$A$51, dd_accsrycalc!$G$2:$G$51, "",0),  F2189&lt;&gt;"",L2189*_xlfn.XLOOKUP(1, (SKUs!$C$2:$C$10001=G2189)*(SKUs!$K$2:$K$10001=I2189),SKUs!$E$2:$E$10001)), 0),"")</f>
        <v/>
      </c>
      <c r="E2189" s="16" t="str">
        <f>_xlfn.XLOOKUP(F2189,dd_item!$B$2:$B$105,dd_item!$C$2:$C$105,"",0)</f>
        <v/>
      </c>
      <c r="F2189" s="16"/>
      <c r="G2189" s="16" cm="1">
        <f t="array" ref="G2189">IFERROR(_xlfn.XLOOKUP(1, (SKUs!$J$2:$J$10001=accsry_unmerged!F2189)*IF(H2189&lt;&gt;"",(SKUs!$L$2:$L$10001=accsry_unmerged!H2189),1)*(SKUs!$K$2:$K$10001=I2189),SKUs!$C$2:$C$10001),"")</f>
        <v>0</v>
      </c>
      <c r="H2189" s="33" cm="1">
        <f t="array" ref="H2189">IFERROR(_xlfn.XLOOKUP(1, (dd_accsryclr!$C$2:$C$1000=accsry_unmerged!F2189)*(dd_accsryclr!$B$2:$B$1000=accsry_unmerged!J2189),dd_accsryclr!$A$2:$A$1000),"")</f>
        <v>0</v>
      </c>
      <c r="I2189" s="16">
        <f>_xlfn.XLOOKUP(C2189,'Project Details'!$C$17:$C$66,'Project Details'!$E$17:$E$66,"",0)</f>
        <v>0</v>
      </c>
      <c r="J2189" s="16">
        <f>_xlfn.XLOOKUP(C2189,'Project Details'!$C$17:$C$66,'Project Details'!$H$17:$H$66,"",0)</f>
        <v>0</v>
      </c>
      <c r="K2189" s="33" t="str">
        <f>IF(AND(_xlfn.XLOOKUP(C2189,'Project Details'!$C$17:$C$66,'Project Details'!$L$17:$L$66,"",0)&gt;550, F2189="Spring-L27cm"),"",SUBSTITUTE(_xlfn.XLOOKUP(G2189,SKUs!$C$2:$C$10001,SKUs!$F$2:$F$10001,"",0), " Accessories",""))</f>
        <v/>
      </c>
      <c r="L2189" s="33">
        <f>_xlfn.XLOOKUP(C2189,'Project Details'!$C$17:$C$66,'Project Details'!$D$17:$D$66,"",0)</f>
        <v>0</v>
      </c>
      <c r="M2189" s="43"/>
    </row>
    <row r="2190" spans="1:13" ht="13.5" customHeight="1" x14ac:dyDescent="0.25">
      <c r="A2190" s="43"/>
      <c r="B2190" s="43"/>
      <c r="C2190" s="35">
        <f t="shared" si="42"/>
        <v>44</v>
      </c>
      <c r="D2190" s="35" t="str" cm="1">
        <f t="array" ref="D2190">IFERROR(ROUNDUP(_xlfn.IFS(F2190="Aluminum Track", _xlfn.XLOOKUP(C2190, dd_accsrycalc!$A$2:$A$51, dd_accsrycalc!$B$2:$B$51, "",0), F2190="10 x 2 1/2 S (Flat)", _xlfn.XLOOKUP(C2190, dd_accsrycalc!$A$2:$A$51, dd_accsrycalc!$C$2:$C$51, "",0), F2190="Tox6", _xlfn.XLOOKUP(C2190, dd_accsrycalc!$A$2:$A$51, dd_accsrycalc!$D$2:$D$51, "",0), F2190="Cover Cap", _xlfn.XLOOKUP(C2190, dd_accsrycalc!$A$2:$A$51, dd_accsrycalc!$E$2:$E$51, "",0), F2190="Drainage Cover", _xlfn.XLOOKUP(C2190, dd_accsrycalc!$A$2:$A$51, dd_accsrycalc!$F$2:$F$51, "",0),AND( F2190="Double Adhesive Tape", I2190="Roll-up Screen"), _xlfn.XLOOKUP(C2190, calc_rusacc!$C$15:$C$65, calc_rusacc!$AD$15:$AD$65, "",0),AND( F2190="Sealant", I2190="Roll-up Screen"), _xlfn.XLOOKUP(C2190, calc_rusacc!$C$15:$C$65, calc_rusacc!$AF$15:$AF$65, "",0),  AND( F2190="Main Chain", I2190="Accordion Screen"), _xlfn.XLOOKUP(C2190, calc_rusacc!$C$15:$C$65, calc_rusacc!$BF$15:$BF$65, "",0), AND( F2190="Sealant", I2190="Accordion Screen"), _xlfn.XLOOKUP(C2190, calc_rusacc!$C$15:$C$65, calc_rusacc!$BJ$15:$BJ$65, "",0),  F2190="Sealant", _xlfn.XLOOKUP(C2190, dd_accsrycalc!$A$2:$A$51, dd_accsrycalc!$G$2:$G$51, "",0),  F2190&lt;&gt;"",L2190*_xlfn.XLOOKUP(1, (SKUs!$C$2:$C$10001=G2190)*(SKUs!$K$2:$K$10001=I2190),SKUs!$E$2:$E$10001)), 0),"")</f>
        <v/>
      </c>
      <c r="E2190" s="35" t="str">
        <f>_xlfn.XLOOKUP(F2190,dd_item!$B$2:$B$105,dd_item!$C$2:$C$105,"",0)</f>
        <v/>
      </c>
      <c r="F2190" s="35"/>
      <c r="G2190" s="35" cm="1">
        <f t="array" ref="G2190">IFERROR(_xlfn.XLOOKUP(1, (SKUs!$J$2:$J$10001=accsry_unmerged!F2190)*IF(H2190&lt;&gt;"",(SKUs!$L$2:$L$10001=accsry_unmerged!H2190),1)*(SKUs!$K$2:$K$10001=I2190),SKUs!$C$2:$C$10001),"")</f>
        <v>0</v>
      </c>
      <c r="H2190" s="36" cm="1">
        <f t="array" ref="H2190">IFERROR(_xlfn.XLOOKUP(1, (dd_accsryclr!$C$2:$C$1000=accsry_unmerged!F2190)*(dd_accsryclr!$B$2:$B$1000=accsry_unmerged!J2190),dd_accsryclr!$A$2:$A$1000),"")</f>
        <v>0</v>
      </c>
      <c r="I2190" s="35">
        <f>_xlfn.XLOOKUP(C2190,'Project Details'!$C$17:$C$66,'Project Details'!$E$17:$E$66,"",0)</f>
        <v>0</v>
      </c>
      <c r="J2190" s="35">
        <f>_xlfn.XLOOKUP(C2190,'Project Details'!$C$17:$C$66,'Project Details'!$H$17:$H$66,"",0)</f>
        <v>0</v>
      </c>
      <c r="K2190" s="36" t="str">
        <f>IF(AND(_xlfn.XLOOKUP(C2190,'Project Details'!$C$17:$C$66,'Project Details'!$L$17:$L$66,"",0)&gt;550, F2190="Spring-L27cm"),"",SUBSTITUTE(_xlfn.XLOOKUP(G2190,SKUs!$C$2:$C$10001,SKUs!$F$2:$F$10001,"",0), " Accessories",""))</f>
        <v/>
      </c>
      <c r="L2190" s="36">
        <f>_xlfn.XLOOKUP(C2190,'Project Details'!$C$17:$C$66,'Project Details'!$D$17:$D$66,"",0)</f>
        <v>0</v>
      </c>
      <c r="M2190" s="43"/>
    </row>
    <row r="2191" spans="1:13" ht="13.5" customHeight="1" x14ac:dyDescent="0.25">
      <c r="A2191" s="43"/>
      <c r="B2191" s="43"/>
      <c r="C2191" s="16">
        <f t="shared" si="42"/>
        <v>44</v>
      </c>
      <c r="D2191" s="16" t="str" cm="1">
        <f t="array" ref="D2191">IFERROR(ROUNDUP(_xlfn.IFS(F2191="Aluminum Track", _xlfn.XLOOKUP(C2191, dd_accsrycalc!$A$2:$A$51, dd_accsrycalc!$B$2:$B$51, "",0), F2191="10 x 2 1/2 S (Flat)", _xlfn.XLOOKUP(C2191, dd_accsrycalc!$A$2:$A$51, dd_accsrycalc!$C$2:$C$51, "",0), F2191="Tox6", _xlfn.XLOOKUP(C2191, dd_accsrycalc!$A$2:$A$51, dd_accsrycalc!$D$2:$D$51, "",0), F2191="Cover Cap", _xlfn.XLOOKUP(C2191, dd_accsrycalc!$A$2:$A$51, dd_accsrycalc!$E$2:$E$51, "",0), F2191="Drainage Cover", _xlfn.XLOOKUP(C2191, dd_accsrycalc!$A$2:$A$51, dd_accsrycalc!$F$2:$F$51, "",0),AND( F2191="Double Adhesive Tape", I2191="Roll-up Screen"), _xlfn.XLOOKUP(C2191, calc_rusacc!$C$15:$C$65, calc_rusacc!$AD$15:$AD$65, "",0),AND( F2191="Sealant", I2191="Roll-up Screen"), _xlfn.XLOOKUP(C2191, calc_rusacc!$C$15:$C$65, calc_rusacc!$AF$15:$AF$65, "",0),  AND( F2191="Main Chain", I2191="Accordion Screen"), _xlfn.XLOOKUP(C2191, calc_rusacc!$C$15:$C$65, calc_rusacc!$BF$15:$BF$65, "",0), AND( F2191="Sealant", I2191="Accordion Screen"), _xlfn.XLOOKUP(C2191, calc_rusacc!$C$15:$C$65, calc_rusacc!$BJ$15:$BJ$65, "",0),  F2191="Sealant", _xlfn.XLOOKUP(C2191, dd_accsrycalc!$A$2:$A$51, dd_accsrycalc!$G$2:$G$51, "",0),  F2191&lt;&gt;"",L2191*_xlfn.XLOOKUP(1, (SKUs!$C$2:$C$10001=G2191)*(SKUs!$K$2:$K$10001=I2191),SKUs!$E$2:$E$10001)), 0),"")</f>
        <v/>
      </c>
      <c r="E2191" s="16" t="str">
        <f>_xlfn.XLOOKUP(F2191,dd_item!$B$2:$B$105,dd_item!$C$2:$C$105,"",0)</f>
        <v/>
      </c>
      <c r="F2191" s="16"/>
      <c r="G2191" s="16" cm="1">
        <f t="array" ref="G2191">IFERROR(_xlfn.XLOOKUP(1, (SKUs!$J$2:$J$10001=accsry_unmerged!F2191)*IF(H2191&lt;&gt;"",(SKUs!$L$2:$L$10001=accsry_unmerged!H2191),1)*(SKUs!$K$2:$K$10001=I2191),SKUs!$C$2:$C$10001),"")</f>
        <v>0</v>
      </c>
      <c r="H2191" s="33" cm="1">
        <f t="array" ref="H2191">IFERROR(_xlfn.XLOOKUP(1, (dd_accsryclr!$C$2:$C$1000=accsry_unmerged!F2191)*(dd_accsryclr!$B$2:$B$1000=accsry_unmerged!J2191),dd_accsryclr!$A$2:$A$1000),"")</f>
        <v>0</v>
      </c>
      <c r="I2191" s="16">
        <f>_xlfn.XLOOKUP(C2191,'Project Details'!$C$17:$C$66,'Project Details'!$E$17:$E$66,"",0)</f>
        <v>0</v>
      </c>
      <c r="J2191" s="16">
        <f>_xlfn.XLOOKUP(C2191,'Project Details'!$C$17:$C$66,'Project Details'!$H$17:$H$66,"",0)</f>
        <v>0</v>
      </c>
      <c r="K2191" s="33" t="str">
        <f>IF(AND(_xlfn.XLOOKUP(C2191,'Project Details'!$C$17:$C$66,'Project Details'!$L$17:$L$66,"",0)&gt;550, F2191="Spring-L27cm"),"",SUBSTITUTE(_xlfn.XLOOKUP(G2191,SKUs!$C$2:$C$10001,SKUs!$F$2:$F$10001,"",0), " Accessories",""))</f>
        <v/>
      </c>
      <c r="L2191" s="33">
        <f>_xlfn.XLOOKUP(C2191,'Project Details'!$C$17:$C$66,'Project Details'!$D$17:$D$66,"",0)</f>
        <v>0</v>
      </c>
      <c r="M2191" s="43"/>
    </row>
    <row r="2192" spans="1:13" ht="13.5" customHeight="1" x14ac:dyDescent="0.25">
      <c r="A2192" s="43"/>
      <c r="B2192" s="43"/>
      <c r="C2192" s="35">
        <f t="shared" si="42"/>
        <v>44</v>
      </c>
      <c r="D2192" s="35" t="str" cm="1">
        <f t="array" ref="D2192">IFERROR(ROUNDUP(_xlfn.IFS(F2192="Aluminum Track", _xlfn.XLOOKUP(C2192, dd_accsrycalc!$A$2:$A$51, dd_accsrycalc!$B$2:$B$51, "",0), F2192="10 x 2 1/2 S (Flat)", _xlfn.XLOOKUP(C2192, dd_accsrycalc!$A$2:$A$51, dd_accsrycalc!$C$2:$C$51, "",0), F2192="Tox6", _xlfn.XLOOKUP(C2192, dd_accsrycalc!$A$2:$A$51, dd_accsrycalc!$D$2:$D$51, "",0), F2192="Cover Cap", _xlfn.XLOOKUP(C2192, dd_accsrycalc!$A$2:$A$51, dd_accsrycalc!$E$2:$E$51, "",0), F2192="Drainage Cover", _xlfn.XLOOKUP(C2192, dd_accsrycalc!$A$2:$A$51, dd_accsrycalc!$F$2:$F$51, "",0),AND( F2192="Double Adhesive Tape", I2192="Roll-up Screen"), _xlfn.XLOOKUP(C2192, calc_rusacc!$C$15:$C$65, calc_rusacc!$AD$15:$AD$65, "",0),AND( F2192="Sealant", I2192="Roll-up Screen"), _xlfn.XLOOKUP(C2192, calc_rusacc!$C$15:$C$65, calc_rusacc!$AF$15:$AF$65, "",0),  AND( F2192="Main Chain", I2192="Accordion Screen"), _xlfn.XLOOKUP(C2192, calc_rusacc!$C$15:$C$65, calc_rusacc!$BF$15:$BF$65, "",0), AND( F2192="Sealant", I2192="Accordion Screen"), _xlfn.XLOOKUP(C2192, calc_rusacc!$C$15:$C$65, calc_rusacc!$BJ$15:$BJ$65, "",0),  F2192="Sealant", _xlfn.XLOOKUP(C2192, dd_accsrycalc!$A$2:$A$51, dd_accsrycalc!$G$2:$G$51, "",0),  F2192&lt;&gt;"",L2192*_xlfn.XLOOKUP(1, (SKUs!$C$2:$C$10001=G2192)*(SKUs!$K$2:$K$10001=I2192),SKUs!$E$2:$E$10001)), 0),"")</f>
        <v/>
      </c>
      <c r="E2192" s="35" t="str">
        <f>_xlfn.XLOOKUP(F2192,dd_item!$B$2:$B$105,dd_item!$C$2:$C$105,"",0)</f>
        <v/>
      </c>
      <c r="F2192" s="35"/>
      <c r="G2192" s="35" cm="1">
        <f t="array" ref="G2192">IFERROR(_xlfn.XLOOKUP(1, (SKUs!$J$2:$J$10001=accsry_unmerged!F2192)*IF(H2192&lt;&gt;"",(SKUs!$L$2:$L$10001=accsry_unmerged!H2192),1)*(SKUs!$K$2:$K$10001=I2192),SKUs!$C$2:$C$10001),"")</f>
        <v>0</v>
      </c>
      <c r="H2192" s="36" cm="1">
        <f t="array" ref="H2192">IFERROR(_xlfn.XLOOKUP(1, (dd_accsryclr!$C$2:$C$1000=accsry_unmerged!F2192)*(dd_accsryclr!$B$2:$B$1000=accsry_unmerged!J2192),dd_accsryclr!$A$2:$A$1000),"")</f>
        <v>0</v>
      </c>
      <c r="I2192" s="35">
        <f>_xlfn.XLOOKUP(C2192,'Project Details'!$C$17:$C$66,'Project Details'!$E$17:$E$66,"",0)</f>
        <v>0</v>
      </c>
      <c r="J2192" s="35">
        <f>_xlfn.XLOOKUP(C2192,'Project Details'!$C$17:$C$66,'Project Details'!$H$17:$H$66,"",0)</f>
        <v>0</v>
      </c>
      <c r="K2192" s="36" t="str">
        <f>IF(AND(_xlfn.XLOOKUP(C2192,'Project Details'!$C$17:$C$66,'Project Details'!$L$17:$L$66,"",0)&gt;550, F2192="Spring-L27cm"),"",SUBSTITUTE(_xlfn.XLOOKUP(G2192,SKUs!$C$2:$C$10001,SKUs!$F$2:$F$10001,"",0), " Accessories",""))</f>
        <v/>
      </c>
      <c r="L2192" s="36">
        <f>_xlfn.XLOOKUP(C2192,'Project Details'!$C$17:$C$66,'Project Details'!$D$17:$D$66,"",0)</f>
        <v>0</v>
      </c>
      <c r="M2192" s="43"/>
    </row>
    <row r="2193" spans="1:13" ht="13.5" customHeight="1" x14ac:dyDescent="0.25">
      <c r="A2193" s="43"/>
      <c r="B2193" s="43"/>
      <c r="C2193" s="16">
        <f t="shared" si="42"/>
        <v>44</v>
      </c>
      <c r="D2193" s="16" t="str" cm="1">
        <f t="array" ref="D2193">IFERROR(ROUNDUP(_xlfn.IFS(F2193="Aluminum Track", _xlfn.XLOOKUP(C2193, dd_accsrycalc!$A$2:$A$51, dd_accsrycalc!$B$2:$B$51, "",0), F2193="10 x 2 1/2 S (Flat)", _xlfn.XLOOKUP(C2193, dd_accsrycalc!$A$2:$A$51, dd_accsrycalc!$C$2:$C$51, "",0), F2193="Tox6", _xlfn.XLOOKUP(C2193, dd_accsrycalc!$A$2:$A$51, dd_accsrycalc!$D$2:$D$51, "",0), F2193="Cover Cap", _xlfn.XLOOKUP(C2193, dd_accsrycalc!$A$2:$A$51, dd_accsrycalc!$E$2:$E$51, "",0), F2193="Drainage Cover", _xlfn.XLOOKUP(C2193, dd_accsrycalc!$A$2:$A$51, dd_accsrycalc!$F$2:$F$51, "",0),AND( F2193="Double Adhesive Tape", I2193="Roll-up Screen"), _xlfn.XLOOKUP(C2193, calc_rusacc!$C$15:$C$65, calc_rusacc!$AD$15:$AD$65, "",0),AND( F2193="Sealant", I2193="Roll-up Screen"), _xlfn.XLOOKUP(C2193, calc_rusacc!$C$15:$C$65, calc_rusacc!$AF$15:$AF$65, "",0),  AND( F2193="Main Chain", I2193="Accordion Screen"), _xlfn.XLOOKUP(C2193, calc_rusacc!$C$15:$C$65, calc_rusacc!$BF$15:$BF$65, "",0), AND( F2193="Sealant", I2193="Accordion Screen"), _xlfn.XLOOKUP(C2193, calc_rusacc!$C$15:$C$65, calc_rusacc!$BJ$15:$BJ$65, "",0),  F2193="Sealant", _xlfn.XLOOKUP(C2193, dd_accsrycalc!$A$2:$A$51, dd_accsrycalc!$G$2:$G$51, "",0),  F2193&lt;&gt;"",L2193*_xlfn.XLOOKUP(1, (SKUs!$C$2:$C$10001=G2193)*(SKUs!$K$2:$K$10001=I2193),SKUs!$E$2:$E$10001)), 0),"")</f>
        <v/>
      </c>
      <c r="E2193" s="16" t="str">
        <f>_xlfn.XLOOKUP(F2193,dd_item!$B$2:$B$105,dd_item!$C$2:$C$105,"",0)</f>
        <v/>
      </c>
      <c r="F2193" s="16"/>
      <c r="G2193" s="16" cm="1">
        <f t="array" ref="G2193">IFERROR(_xlfn.XLOOKUP(1, (SKUs!$J$2:$J$10001=accsry_unmerged!F2193)*IF(H2193&lt;&gt;"",(SKUs!$L$2:$L$10001=accsry_unmerged!H2193),1)*(SKUs!$K$2:$K$10001=I2193),SKUs!$C$2:$C$10001),"")</f>
        <v>0</v>
      </c>
      <c r="H2193" s="33" cm="1">
        <f t="array" ref="H2193">IFERROR(_xlfn.XLOOKUP(1, (dd_accsryclr!$C$2:$C$1000=accsry_unmerged!F2193)*(dd_accsryclr!$B$2:$B$1000=accsry_unmerged!J2193),dd_accsryclr!$A$2:$A$1000),"")</f>
        <v>0</v>
      </c>
      <c r="I2193" s="16">
        <f>_xlfn.XLOOKUP(C2193,'Project Details'!$C$17:$C$66,'Project Details'!$E$17:$E$66,"",0)</f>
        <v>0</v>
      </c>
      <c r="J2193" s="16">
        <f>_xlfn.XLOOKUP(C2193,'Project Details'!$C$17:$C$66,'Project Details'!$H$17:$H$66,"",0)</f>
        <v>0</v>
      </c>
      <c r="K2193" s="33" t="str">
        <f>IF(AND(_xlfn.XLOOKUP(C2193,'Project Details'!$C$17:$C$66,'Project Details'!$L$17:$L$66,"",0)&gt;550, F2193="Spring-L27cm"),"",SUBSTITUTE(_xlfn.XLOOKUP(G2193,SKUs!$C$2:$C$10001,SKUs!$F$2:$F$10001,"",0), " Accessories",""))</f>
        <v/>
      </c>
      <c r="L2193" s="33">
        <f>_xlfn.XLOOKUP(C2193,'Project Details'!$C$17:$C$66,'Project Details'!$D$17:$D$66,"",0)</f>
        <v>0</v>
      </c>
      <c r="M2193" s="43"/>
    </row>
    <row r="2194" spans="1:13" ht="13.5" customHeight="1" x14ac:dyDescent="0.25">
      <c r="A2194" s="43"/>
      <c r="B2194" s="43"/>
      <c r="C2194" s="35">
        <f t="shared" si="42"/>
        <v>44</v>
      </c>
      <c r="D2194" s="35" t="str" cm="1">
        <f t="array" ref="D2194">IFERROR(ROUNDUP(_xlfn.IFS(F2194="Aluminum Track", _xlfn.XLOOKUP(C2194, dd_accsrycalc!$A$2:$A$51, dd_accsrycalc!$B$2:$B$51, "",0), F2194="10 x 2 1/2 S (Flat)", _xlfn.XLOOKUP(C2194, dd_accsrycalc!$A$2:$A$51, dd_accsrycalc!$C$2:$C$51, "",0), F2194="Tox6", _xlfn.XLOOKUP(C2194, dd_accsrycalc!$A$2:$A$51, dd_accsrycalc!$D$2:$D$51, "",0), F2194="Cover Cap", _xlfn.XLOOKUP(C2194, dd_accsrycalc!$A$2:$A$51, dd_accsrycalc!$E$2:$E$51, "",0), F2194="Drainage Cover", _xlfn.XLOOKUP(C2194, dd_accsrycalc!$A$2:$A$51, dd_accsrycalc!$F$2:$F$51, "",0),AND( F2194="Double Adhesive Tape", I2194="Roll-up Screen"), _xlfn.XLOOKUP(C2194, calc_rusacc!$C$15:$C$65, calc_rusacc!$AD$15:$AD$65, "",0),AND( F2194="Sealant", I2194="Roll-up Screen"), _xlfn.XLOOKUP(C2194, calc_rusacc!$C$15:$C$65, calc_rusacc!$AF$15:$AF$65, "",0),  AND( F2194="Main Chain", I2194="Accordion Screen"), _xlfn.XLOOKUP(C2194, calc_rusacc!$C$15:$C$65, calc_rusacc!$BF$15:$BF$65, "",0), AND( F2194="Sealant", I2194="Accordion Screen"), _xlfn.XLOOKUP(C2194, calc_rusacc!$C$15:$C$65, calc_rusacc!$BJ$15:$BJ$65, "",0),  F2194="Sealant", _xlfn.XLOOKUP(C2194, dd_accsrycalc!$A$2:$A$51, dd_accsrycalc!$G$2:$G$51, "",0),  F2194&lt;&gt;"",L2194*_xlfn.XLOOKUP(1, (SKUs!$C$2:$C$10001=G2194)*(SKUs!$K$2:$K$10001=I2194),SKUs!$E$2:$E$10001)), 0),"")</f>
        <v/>
      </c>
      <c r="E2194" s="35" t="str">
        <f>_xlfn.XLOOKUP(F2194,dd_item!$B$2:$B$105,dd_item!$C$2:$C$105,"",0)</f>
        <v/>
      </c>
      <c r="F2194" s="35"/>
      <c r="G2194" s="35" cm="1">
        <f t="array" ref="G2194">IFERROR(_xlfn.XLOOKUP(1, (SKUs!$J$2:$J$10001=accsry_unmerged!F2194)*IF(H2194&lt;&gt;"",(SKUs!$L$2:$L$10001=accsry_unmerged!H2194),1)*(SKUs!$K$2:$K$10001=I2194),SKUs!$C$2:$C$10001),"")</f>
        <v>0</v>
      </c>
      <c r="H2194" s="36" cm="1">
        <f t="array" ref="H2194">IFERROR(_xlfn.XLOOKUP(1, (dd_accsryclr!$C$2:$C$1000=accsry_unmerged!F2194)*(dd_accsryclr!$B$2:$B$1000=accsry_unmerged!J2194),dd_accsryclr!$A$2:$A$1000),"")</f>
        <v>0</v>
      </c>
      <c r="I2194" s="35">
        <f>_xlfn.XLOOKUP(C2194,'Project Details'!$C$17:$C$66,'Project Details'!$E$17:$E$66,"",0)</f>
        <v>0</v>
      </c>
      <c r="J2194" s="35">
        <f>_xlfn.XLOOKUP(C2194,'Project Details'!$C$17:$C$66,'Project Details'!$H$17:$H$66,"",0)</f>
        <v>0</v>
      </c>
      <c r="K2194" s="36" t="str">
        <f>IF(AND(_xlfn.XLOOKUP(C2194,'Project Details'!$C$17:$C$66,'Project Details'!$L$17:$L$66,"",0)&gt;550, F2194="Spring-L27cm"),"",SUBSTITUTE(_xlfn.XLOOKUP(G2194,SKUs!$C$2:$C$10001,SKUs!$F$2:$F$10001,"",0), " Accessories",""))</f>
        <v/>
      </c>
      <c r="L2194" s="36">
        <f>_xlfn.XLOOKUP(C2194,'Project Details'!$C$17:$C$66,'Project Details'!$D$17:$D$66,"",0)</f>
        <v>0</v>
      </c>
      <c r="M2194" s="43"/>
    </row>
    <row r="2195" spans="1:13" ht="13.5" customHeight="1" outlineLevel="1" x14ac:dyDescent="0.25">
      <c r="A2195" s="43"/>
      <c r="B2195" s="43"/>
      <c r="C2195" s="16">
        <f t="shared" si="42"/>
        <v>44</v>
      </c>
      <c r="D2195" s="16" t="str" cm="1">
        <f t="array" ref="D2195">IFERROR(ROUNDUP(_xlfn.IFS(F2195="Aluminum Track", _xlfn.XLOOKUP(C2195, dd_accsrycalc!$A$2:$A$51, dd_accsrycalc!$B$2:$B$51, "",0), F2195="10 x 2 1/2 S (Flat)", _xlfn.XLOOKUP(C2195, dd_accsrycalc!$A$2:$A$51, dd_accsrycalc!$C$2:$C$51, "",0), F2195="Tox6", _xlfn.XLOOKUP(C2195, dd_accsrycalc!$A$2:$A$51, dd_accsrycalc!$D$2:$D$51, "",0), F2195="Cover Cap", _xlfn.XLOOKUP(C2195, dd_accsrycalc!$A$2:$A$51, dd_accsrycalc!$E$2:$E$51, "",0), F2195="Drainage Cover", _xlfn.XLOOKUP(C2195, dd_accsrycalc!$A$2:$A$51, dd_accsrycalc!$F$2:$F$51, "",0),AND( F2195="Double Adhesive Tape", I2195="Roll-up Screen"), _xlfn.XLOOKUP(C2195, calc_rusacc!$C$15:$C$65, calc_rusacc!$AD$15:$AD$65, "",0),AND( F2195="Sealant", I2195="Roll-up Screen"), _xlfn.XLOOKUP(C2195, calc_rusacc!$C$15:$C$65, calc_rusacc!$AF$15:$AF$65, "",0),  AND( F2195="Main Chain", I2195="Accordion Screen"), _xlfn.XLOOKUP(C2195, calc_rusacc!$C$15:$C$65, calc_rusacc!$BF$15:$BF$65, "",0), AND( F2195="Sealant", I2195="Accordion Screen"), _xlfn.XLOOKUP(C2195, calc_rusacc!$C$15:$C$65, calc_rusacc!$BJ$15:$BJ$65, "",0),  F2195="Sealant", _xlfn.XLOOKUP(C2195, dd_accsrycalc!$A$2:$A$51, dd_accsrycalc!$G$2:$G$51, "",0),  F2195&lt;&gt;"",L2195*_xlfn.XLOOKUP(1, (SKUs!$C$2:$C$10001=G2195)*(SKUs!$K$2:$K$10001=I2195),SKUs!$E$2:$E$10001)), 0),"")</f>
        <v/>
      </c>
      <c r="E2195" s="16" t="str">
        <f>_xlfn.XLOOKUP(F2195,dd_item!$B$2:$B$105,dd_item!$C$2:$C$105,"",0)</f>
        <v/>
      </c>
      <c r="F2195" s="16"/>
      <c r="G2195" s="16" cm="1">
        <f t="array" ref="G2195">IFERROR(_xlfn.XLOOKUP(1, (SKUs!$J$2:$J$10001=accsry_unmerged!F2195)*IF(H2195&lt;&gt;"",(SKUs!$L$2:$L$10001=accsry_unmerged!H2195),1)*(SKUs!$K$2:$K$10001=I2195),SKUs!$C$2:$C$10001),"")</f>
        <v>0</v>
      </c>
      <c r="H2195" s="33" cm="1">
        <f t="array" ref="H2195">IFERROR(_xlfn.XLOOKUP(1, (dd_accsryclr!$C$2:$C$1000=accsry_unmerged!F2195)*(dd_accsryclr!$B$2:$B$1000=accsry_unmerged!J2195),dd_accsryclr!$A$2:$A$1000),"")</f>
        <v>0</v>
      </c>
      <c r="I2195" s="16">
        <f>_xlfn.XLOOKUP(C2195,'Project Details'!$C$17:$C$66,'Project Details'!$E$17:$E$66,"",0)</f>
        <v>0</v>
      </c>
      <c r="J2195" s="16">
        <f>_xlfn.XLOOKUP(C2195,'Project Details'!$C$17:$C$66,'Project Details'!$H$17:$H$66,"",0)</f>
        <v>0</v>
      </c>
      <c r="K2195" s="33" t="str">
        <f>IF(AND(_xlfn.XLOOKUP(C2195,'Project Details'!$C$17:$C$66,'Project Details'!$L$17:$L$66,"",0)&gt;550, F2195="Spring-L27cm"),"",SUBSTITUTE(_xlfn.XLOOKUP(G2195,SKUs!$C$2:$C$10001,SKUs!$F$2:$F$10001,"",0), " Accessories",""))</f>
        <v/>
      </c>
      <c r="L2195" s="33">
        <f>_xlfn.XLOOKUP(C2195,'Project Details'!$C$17:$C$66,'Project Details'!$D$17:$D$66,"",0)</f>
        <v>0</v>
      </c>
      <c r="M2195" s="43"/>
    </row>
    <row r="2196" spans="1:13" ht="13.5" customHeight="1" outlineLevel="1" x14ac:dyDescent="0.25">
      <c r="A2196" s="43"/>
      <c r="B2196" s="43"/>
      <c r="C2196" s="35">
        <f t="shared" si="42"/>
        <v>44</v>
      </c>
      <c r="D2196" s="35" t="str" cm="1">
        <f t="array" ref="D2196">IFERROR(ROUNDUP(_xlfn.IFS(F2196="Aluminum Track", _xlfn.XLOOKUP(C2196, dd_accsrycalc!$A$2:$A$51, dd_accsrycalc!$B$2:$B$51, "",0), F2196="10 x 2 1/2 S (Flat)", _xlfn.XLOOKUP(C2196, dd_accsrycalc!$A$2:$A$51, dd_accsrycalc!$C$2:$C$51, "",0), F2196="Tox6", _xlfn.XLOOKUP(C2196, dd_accsrycalc!$A$2:$A$51, dd_accsrycalc!$D$2:$D$51, "",0), F2196="Cover Cap", _xlfn.XLOOKUP(C2196, dd_accsrycalc!$A$2:$A$51, dd_accsrycalc!$E$2:$E$51, "",0), F2196="Drainage Cover", _xlfn.XLOOKUP(C2196, dd_accsrycalc!$A$2:$A$51, dd_accsrycalc!$F$2:$F$51, "",0),AND( F2196="Double Adhesive Tape", I2196="Roll-up Screen"), _xlfn.XLOOKUP(C2196, calc_rusacc!$C$15:$C$65, calc_rusacc!$AD$15:$AD$65, "",0),AND( F2196="Sealant", I2196="Roll-up Screen"), _xlfn.XLOOKUP(C2196, calc_rusacc!$C$15:$C$65, calc_rusacc!$AF$15:$AF$65, "",0),  AND( F2196="Main Chain", I2196="Accordion Screen"), _xlfn.XLOOKUP(C2196, calc_rusacc!$C$15:$C$65, calc_rusacc!$BF$15:$BF$65, "",0), AND( F2196="Sealant", I2196="Accordion Screen"), _xlfn.XLOOKUP(C2196, calc_rusacc!$C$15:$C$65, calc_rusacc!$BJ$15:$BJ$65, "",0),  F2196="Sealant", _xlfn.XLOOKUP(C2196, dd_accsrycalc!$A$2:$A$51, dd_accsrycalc!$G$2:$G$51, "",0),  F2196&lt;&gt;"",L2196*_xlfn.XLOOKUP(1, (SKUs!$C$2:$C$10001=G2196)*(SKUs!$K$2:$K$10001=I2196),SKUs!$E$2:$E$10001)), 0),"")</f>
        <v/>
      </c>
      <c r="E2196" s="35" t="str">
        <f>_xlfn.XLOOKUP(F2196,dd_item!$B$2:$B$105,dd_item!$C$2:$C$105,"",0)</f>
        <v/>
      </c>
      <c r="F2196" s="35"/>
      <c r="G2196" s="35" cm="1">
        <f t="array" ref="G2196">IFERROR(_xlfn.XLOOKUP(1, (SKUs!$J$2:$J$10001=accsry_unmerged!F2196)*IF(H2196&lt;&gt;"",(SKUs!$L$2:$L$10001=accsry_unmerged!H2196),1)*(SKUs!$K$2:$K$10001=I2196),SKUs!$C$2:$C$10001),"")</f>
        <v>0</v>
      </c>
      <c r="H2196" s="36" cm="1">
        <f t="array" ref="H2196">IFERROR(_xlfn.XLOOKUP(1, (dd_accsryclr!$C$2:$C$1000=accsry_unmerged!F2196)*(dd_accsryclr!$B$2:$B$1000=accsry_unmerged!J2196),dd_accsryclr!$A$2:$A$1000),"")</f>
        <v>0</v>
      </c>
      <c r="I2196" s="35">
        <f>_xlfn.XLOOKUP(C2196,'Project Details'!$C$17:$C$66,'Project Details'!$E$17:$E$66,"",0)</f>
        <v>0</v>
      </c>
      <c r="J2196" s="35">
        <f>_xlfn.XLOOKUP(C2196,'Project Details'!$C$17:$C$66,'Project Details'!$H$17:$H$66,"",0)</f>
        <v>0</v>
      </c>
      <c r="K2196" s="36" t="str">
        <f>IF(AND(_xlfn.XLOOKUP(C2196,'Project Details'!$C$17:$C$66,'Project Details'!$L$17:$L$66,"",0)&gt;550, F2196="Spring-L27cm"),"",SUBSTITUTE(_xlfn.XLOOKUP(G2196,SKUs!$C$2:$C$10001,SKUs!$F$2:$F$10001,"",0), " Accessories",""))</f>
        <v/>
      </c>
      <c r="L2196" s="36">
        <f>_xlfn.XLOOKUP(C2196,'Project Details'!$C$17:$C$66,'Project Details'!$D$17:$D$66,"",0)</f>
        <v>0</v>
      </c>
      <c r="M2196" s="43"/>
    </row>
    <row r="2197" spans="1:13" ht="13.5" customHeight="1" outlineLevel="1" x14ac:dyDescent="0.25">
      <c r="A2197" s="43"/>
      <c r="B2197" s="43"/>
      <c r="C2197" s="16">
        <f t="shared" si="42"/>
        <v>44</v>
      </c>
      <c r="D2197" s="16" t="str" cm="1">
        <f t="array" ref="D2197">IFERROR(ROUNDUP(_xlfn.IFS(F2197="Aluminum Track", _xlfn.XLOOKUP(C2197, dd_accsrycalc!$A$2:$A$51, dd_accsrycalc!$B$2:$B$51, "",0), F2197="10 x 2 1/2 S (Flat)", _xlfn.XLOOKUP(C2197, dd_accsrycalc!$A$2:$A$51, dd_accsrycalc!$C$2:$C$51, "",0), F2197="Tox6", _xlfn.XLOOKUP(C2197, dd_accsrycalc!$A$2:$A$51, dd_accsrycalc!$D$2:$D$51, "",0), F2197="Cover Cap", _xlfn.XLOOKUP(C2197, dd_accsrycalc!$A$2:$A$51, dd_accsrycalc!$E$2:$E$51, "",0), F2197="Drainage Cover", _xlfn.XLOOKUP(C2197, dd_accsrycalc!$A$2:$A$51, dd_accsrycalc!$F$2:$F$51, "",0),AND( F2197="Double Adhesive Tape", I2197="Roll-up Screen"), _xlfn.XLOOKUP(C2197, calc_rusacc!$C$15:$C$65, calc_rusacc!$AD$15:$AD$65, "",0),AND( F2197="Sealant", I2197="Roll-up Screen"), _xlfn.XLOOKUP(C2197, calc_rusacc!$C$15:$C$65, calc_rusacc!$AF$15:$AF$65, "",0),  AND( F2197="Main Chain", I2197="Accordion Screen"), _xlfn.XLOOKUP(C2197, calc_rusacc!$C$15:$C$65, calc_rusacc!$BF$15:$BF$65, "",0), AND( F2197="Sealant", I2197="Accordion Screen"), _xlfn.XLOOKUP(C2197, calc_rusacc!$C$15:$C$65, calc_rusacc!$BJ$15:$BJ$65, "",0),  F2197="Sealant", _xlfn.XLOOKUP(C2197, dd_accsrycalc!$A$2:$A$51, dd_accsrycalc!$G$2:$G$51, "",0),  F2197&lt;&gt;"",L2197*_xlfn.XLOOKUP(1, (SKUs!$C$2:$C$10001=G2197)*(SKUs!$K$2:$K$10001=I2197),SKUs!$E$2:$E$10001)), 0),"")</f>
        <v/>
      </c>
      <c r="E2197" s="16" t="str">
        <f>_xlfn.XLOOKUP(F2197,dd_item!$B$2:$B$105,dd_item!$C$2:$C$105,"",0)</f>
        <v/>
      </c>
      <c r="F2197" s="16"/>
      <c r="G2197" s="16" cm="1">
        <f t="array" ref="G2197">IFERROR(_xlfn.XLOOKUP(1, (SKUs!$J$2:$J$10001=accsry_unmerged!F2197)*IF(H2197&lt;&gt;"",(SKUs!$L$2:$L$10001=accsry_unmerged!H2197),1)*(SKUs!$K$2:$K$10001=I2197),SKUs!$C$2:$C$10001),"")</f>
        <v>0</v>
      </c>
      <c r="H2197" s="33" cm="1">
        <f t="array" ref="H2197">IFERROR(_xlfn.XLOOKUP(1, (dd_accsryclr!$C$2:$C$1000=accsry_unmerged!F2197)*(dd_accsryclr!$B$2:$B$1000=accsry_unmerged!J2197),dd_accsryclr!$A$2:$A$1000),"")</f>
        <v>0</v>
      </c>
      <c r="I2197" s="16">
        <f>_xlfn.XLOOKUP(C2197,'Project Details'!$C$17:$C$66,'Project Details'!$E$17:$E$66,"",0)</f>
        <v>0</v>
      </c>
      <c r="J2197" s="16">
        <f>_xlfn.XLOOKUP(C2197,'Project Details'!$C$17:$C$66,'Project Details'!$H$17:$H$66,"",0)</f>
        <v>0</v>
      </c>
      <c r="K2197" s="33" t="str">
        <f>IF(AND(_xlfn.XLOOKUP(C2197,'Project Details'!$C$17:$C$66,'Project Details'!$L$17:$L$66,"",0)&gt;550, F2197="Spring-L27cm"),"",SUBSTITUTE(_xlfn.XLOOKUP(G2197,SKUs!$C$2:$C$10001,SKUs!$F$2:$F$10001,"",0), " Accessories",""))</f>
        <v/>
      </c>
      <c r="L2197" s="33">
        <f>_xlfn.XLOOKUP(C2197,'Project Details'!$C$17:$C$66,'Project Details'!$D$17:$D$66,"",0)</f>
        <v>0</v>
      </c>
      <c r="M2197" s="43"/>
    </row>
    <row r="2198" spans="1:13" ht="13.5" customHeight="1" outlineLevel="1" x14ac:dyDescent="0.25">
      <c r="A2198" s="43"/>
      <c r="B2198" s="43"/>
      <c r="C2198" s="35">
        <f t="shared" si="42"/>
        <v>44</v>
      </c>
      <c r="D2198" s="35" t="str" cm="1">
        <f t="array" ref="D2198">IFERROR(ROUNDUP(_xlfn.IFS(F2198="Aluminum Track", _xlfn.XLOOKUP(C2198, dd_accsrycalc!$A$2:$A$51, dd_accsrycalc!$B$2:$B$51, "",0), F2198="10 x 2 1/2 S (Flat)", _xlfn.XLOOKUP(C2198, dd_accsrycalc!$A$2:$A$51, dd_accsrycalc!$C$2:$C$51, "",0), F2198="Tox6", _xlfn.XLOOKUP(C2198, dd_accsrycalc!$A$2:$A$51, dd_accsrycalc!$D$2:$D$51, "",0), F2198="Cover Cap", _xlfn.XLOOKUP(C2198, dd_accsrycalc!$A$2:$A$51, dd_accsrycalc!$E$2:$E$51, "",0), F2198="Drainage Cover", _xlfn.XLOOKUP(C2198, dd_accsrycalc!$A$2:$A$51, dd_accsrycalc!$F$2:$F$51, "",0),AND( F2198="Double Adhesive Tape", I2198="Roll-up Screen"), _xlfn.XLOOKUP(C2198, calc_rusacc!$C$15:$C$65, calc_rusacc!$AD$15:$AD$65, "",0),AND( F2198="Sealant", I2198="Roll-up Screen"), _xlfn.XLOOKUP(C2198, calc_rusacc!$C$15:$C$65, calc_rusacc!$AF$15:$AF$65, "",0),  AND( F2198="Main Chain", I2198="Accordion Screen"), _xlfn.XLOOKUP(C2198, calc_rusacc!$C$15:$C$65, calc_rusacc!$BF$15:$BF$65, "",0), AND( F2198="Sealant", I2198="Accordion Screen"), _xlfn.XLOOKUP(C2198, calc_rusacc!$C$15:$C$65, calc_rusacc!$BJ$15:$BJ$65, "",0),  F2198="Sealant", _xlfn.XLOOKUP(C2198, dd_accsrycalc!$A$2:$A$51, dd_accsrycalc!$G$2:$G$51, "",0),  F2198&lt;&gt;"",L2198*_xlfn.XLOOKUP(1, (SKUs!$C$2:$C$10001=G2198)*(SKUs!$K$2:$K$10001=I2198),SKUs!$E$2:$E$10001)), 0),"")</f>
        <v/>
      </c>
      <c r="E2198" s="35" t="str">
        <f>_xlfn.XLOOKUP(F2198,dd_item!$B$2:$B$105,dd_item!$C$2:$C$105,"",0)</f>
        <v/>
      </c>
      <c r="F2198" s="35"/>
      <c r="G2198" s="35" cm="1">
        <f t="array" ref="G2198">IFERROR(_xlfn.XLOOKUP(1, (SKUs!$J$2:$J$10001=accsry_unmerged!F2198)*IF(H2198&lt;&gt;"",(SKUs!$L$2:$L$10001=accsry_unmerged!H2198),1)*(SKUs!$K$2:$K$10001=I2198),SKUs!$C$2:$C$10001),"")</f>
        <v>0</v>
      </c>
      <c r="H2198" s="36" cm="1">
        <f t="array" ref="H2198">IFERROR(_xlfn.XLOOKUP(1, (dd_accsryclr!$C$2:$C$1000=accsry_unmerged!F2198)*(dd_accsryclr!$B$2:$B$1000=accsry_unmerged!J2198),dd_accsryclr!$A$2:$A$1000),"")</f>
        <v>0</v>
      </c>
      <c r="I2198" s="35">
        <f>_xlfn.XLOOKUP(C2198,'Project Details'!$C$17:$C$66,'Project Details'!$E$17:$E$66,"",0)</f>
        <v>0</v>
      </c>
      <c r="J2198" s="35">
        <f>_xlfn.XLOOKUP(C2198,'Project Details'!$C$17:$C$66,'Project Details'!$H$17:$H$66,"",0)</f>
        <v>0</v>
      </c>
      <c r="K2198" s="36" t="str">
        <f>IF(AND(_xlfn.XLOOKUP(C2198,'Project Details'!$C$17:$C$66,'Project Details'!$L$17:$L$66,"",0)&gt;550, F2198="Spring-L27cm"),"",SUBSTITUTE(_xlfn.XLOOKUP(G2198,SKUs!$C$2:$C$10001,SKUs!$F$2:$F$10001,"",0), " Accessories",""))</f>
        <v/>
      </c>
      <c r="L2198" s="36">
        <f>_xlfn.XLOOKUP(C2198,'Project Details'!$C$17:$C$66,'Project Details'!$D$17:$D$66,"",0)</f>
        <v>0</v>
      </c>
      <c r="M2198" s="43"/>
    </row>
    <row r="2199" spans="1:13" ht="13.5" customHeight="1" outlineLevel="1" x14ac:dyDescent="0.25">
      <c r="A2199" s="43"/>
      <c r="B2199" s="43"/>
      <c r="C2199" s="16">
        <f t="shared" si="42"/>
        <v>44</v>
      </c>
      <c r="D2199" s="16" t="str" cm="1">
        <f t="array" ref="D2199">IFERROR(ROUNDUP(_xlfn.IFS(F2199="Aluminum Track", _xlfn.XLOOKUP(C2199, dd_accsrycalc!$A$2:$A$51, dd_accsrycalc!$B$2:$B$51, "",0), F2199="10 x 2 1/2 S (Flat)", _xlfn.XLOOKUP(C2199, dd_accsrycalc!$A$2:$A$51, dd_accsrycalc!$C$2:$C$51, "",0), F2199="Tox6", _xlfn.XLOOKUP(C2199, dd_accsrycalc!$A$2:$A$51, dd_accsrycalc!$D$2:$D$51, "",0), F2199="Cover Cap", _xlfn.XLOOKUP(C2199, dd_accsrycalc!$A$2:$A$51, dd_accsrycalc!$E$2:$E$51, "",0), F2199="Drainage Cover", _xlfn.XLOOKUP(C2199, dd_accsrycalc!$A$2:$A$51, dd_accsrycalc!$F$2:$F$51, "",0),AND( F2199="Double Adhesive Tape", I2199="Roll-up Screen"), _xlfn.XLOOKUP(C2199, calc_rusacc!$C$15:$C$65, calc_rusacc!$AD$15:$AD$65, "",0),AND( F2199="Sealant", I2199="Roll-up Screen"), _xlfn.XLOOKUP(C2199, calc_rusacc!$C$15:$C$65, calc_rusacc!$AF$15:$AF$65, "",0),  AND( F2199="Main Chain", I2199="Accordion Screen"), _xlfn.XLOOKUP(C2199, calc_rusacc!$C$15:$C$65, calc_rusacc!$BF$15:$BF$65, "",0), AND( F2199="Sealant", I2199="Accordion Screen"), _xlfn.XLOOKUP(C2199, calc_rusacc!$C$15:$C$65, calc_rusacc!$BJ$15:$BJ$65, "",0),  F2199="Sealant", _xlfn.XLOOKUP(C2199, dd_accsrycalc!$A$2:$A$51, dd_accsrycalc!$G$2:$G$51, "",0),  F2199&lt;&gt;"",L2199*_xlfn.XLOOKUP(1, (SKUs!$C$2:$C$10001=G2199)*(SKUs!$K$2:$K$10001=I2199),SKUs!$E$2:$E$10001)), 0),"")</f>
        <v/>
      </c>
      <c r="E2199" s="16" t="str">
        <f>_xlfn.XLOOKUP(F2199,dd_item!$B$2:$B$105,dd_item!$C$2:$C$105,"",0)</f>
        <v/>
      </c>
      <c r="F2199" s="16"/>
      <c r="G2199" s="16" cm="1">
        <f t="array" ref="G2199">IFERROR(_xlfn.XLOOKUP(1, (SKUs!$J$2:$J$10001=accsry_unmerged!F2199)*IF(H2199&lt;&gt;"",(SKUs!$L$2:$L$10001=accsry_unmerged!H2199),1)*(SKUs!$K$2:$K$10001=I2199),SKUs!$C$2:$C$10001),"")</f>
        <v>0</v>
      </c>
      <c r="H2199" s="33" cm="1">
        <f t="array" ref="H2199">IFERROR(_xlfn.XLOOKUP(1, (dd_accsryclr!$C$2:$C$1000=accsry_unmerged!F2199)*(dd_accsryclr!$B$2:$B$1000=accsry_unmerged!J2199),dd_accsryclr!$A$2:$A$1000),"")</f>
        <v>0</v>
      </c>
      <c r="I2199" s="16">
        <f>_xlfn.XLOOKUP(C2199,'Project Details'!$C$17:$C$66,'Project Details'!$E$17:$E$66,"",0)</f>
        <v>0</v>
      </c>
      <c r="J2199" s="16">
        <f>_xlfn.XLOOKUP(C2199,'Project Details'!$C$17:$C$66,'Project Details'!$H$17:$H$66,"",0)</f>
        <v>0</v>
      </c>
      <c r="K2199" s="33" t="str">
        <f>IF(AND(_xlfn.XLOOKUP(C2199,'Project Details'!$C$17:$C$66,'Project Details'!$L$17:$L$66,"",0)&gt;550, F2199="Spring-L27cm"),"",SUBSTITUTE(_xlfn.XLOOKUP(G2199,SKUs!$C$2:$C$10001,SKUs!$F$2:$F$10001,"",0), " Accessories",""))</f>
        <v/>
      </c>
      <c r="L2199" s="33">
        <f>_xlfn.XLOOKUP(C2199,'Project Details'!$C$17:$C$66,'Project Details'!$D$17:$D$66,"",0)</f>
        <v>0</v>
      </c>
      <c r="M2199" s="43"/>
    </row>
    <row r="2200" spans="1:13" ht="13.5" customHeight="1" outlineLevel="1" x14ac:dyDescent="0.25">
      <c r="A2200" s="43"/>
      <c r="B2200" s="43"/>
      <c r="C2200" s="35">
        <f t="shared" si="42"/>
        <v>44</v>
      </c>
      <c r="D2200" s="35" t="str" cm="1">
        <f t="array" ref="D2200">IFERROR(ROUNDUP(_xlfn.IFS(F2200="Aluminum Track", _xlfn.XLOOKUP(C2200, dd_accsrycalc!$A$2:$A$51, dd_accsrycalc!$B$2:$B$51, "",0), F2200="10 x 2 1/2 S (Flat)", _xlfn.XLOOKUP(C2200, dd_accsrycalc!$A$2:$A$51, dd_accsrycalc!$C$2:$C$51, "",0), F2200="Tox6", _xlfn.XLOOKUP(C2200, dd_accsrycalc!$A$2:$A$51, dd_accsrycalc!$D$2:$D$51, "",0), F2200="Cover Cap", _xlfn.XLOOKUP(C2200, dd_accsrycalc!$A$2:$A$51, dd_accsrycalc!$E$2:$E$51, "",0), F2200="Drainage Cover", _xlfn.XLOOKUP(C2200, dd_accsrycalc!$A$2:$A$51, dd_accsrycalc!$F$2:$F$51, "",0),AND( F2200="Double Adhesive Tape", I2200="Roll-up Screen"), _xlfn.XLOOKUP(C2200, calc_rusacc!$C$15:$C$65, calc_rusacc!$AD$15:$AD$65, "",0),AND( F2200="Sealant", I2200="Roll-up Screen"), _xlfn.XLOOKUP(C2200, calc_rusacc!$C$15:$C$65, calc_rusacc!$AF$15:$AF$65, "",0),  AND( F2200="Main Chain", I2200="Accordion Screen"), _xlfn.XLOOKUP(C2200, calc_rusacc!$C$15:$C$65, calc_rusacc!$BF$15:$BF$65, "",0), AND( F2200="Sealant", I2200="Accordion Screen"), _xlfn.XLOOKUP(C2200, calc_rusacc!$C$15:$C$65, calc_rusacc!$BJ$15:$BJ$65, "",0),  F2200="Sealant", _xlfn.XLOOKUP(C2200, dd_accsrycalc!$A$2:$A$51, dd_accsrycalc!$G$2:$G$51, "",0),  F2200&lt;&gt;"",L2200*_xlfn.XLOOKUP(1, (SKUs!$C$2:$C$10001=G2200)*(SKUs!$K$2:$K$10001=I2200),SKUs!$E$2:$E$10001)), 0),"")</f>
        <v/>
      </c>
      <c r="E2200" s="35" t="str">
        <f>_xlfn.XLOOKUP(F2200,dd_item!$B$2:$B$105,dd_item!$C$2:$C$105,"",0)</f>
        <v/>
      </c>
      <c r="F2200" s="35"/>
      <c r="G2200" s="35" cm="1">
        <f t="array" ref="G2200">IFERROR(_xlfn.XLOOKUP(1, (SKUs!$J$2:$J$10001=accsry_unmerged!F2200)*IF(H2200&lt;&gt;"",(SKUs!$L$2:$L$10001=accsry_unmerged!H2200),1)*(SKUs!$K$2:$K$10001=I2200),SKUs!$C$2:$C$10001),"")</f>
        <v>0</v>
      </c>
      <c r="H2200" s="36" cm="1">
        <f t="array" ref="H2200">IFERROR(_xlfn.XLOOKUP(1, (dd_accsryclr!$C$2:$C$1000=accsry_unmerged!F2200)*(dd_accsryclr!$B$2:$B$1000=accsry_unmerged!J2200),dd_accsryclr!$A$2:$A$1000),"")</f>
        <v>0</v>
      </c>
      <c r="I2200" s="35">
        <f>_xlfn.XLOOKUP(C2200,'Project Details'!$C$17:$C$66,'Project Details'!$E$17:$E$66,"",0)</f>
        <v>0</v>
      </c>
      <c r="J2200" s="35">
        <f>_xlfn.XLOOKUP(C2200,'Project Details'!$C$17:$C$66,'Project Details'!$H$17:$H$66,"",0)</f>
        <v>0</v>
      </c>
      <c r="K2200" s="36" t="str">
        <f>IF(AND(_xlfn.XLOOKUP(C2200,'Project Details'!$C$17:$C$66,'Project Details'!$L$17:$L$66,"",0)&gt;550, F2200="Spring-L27cm"),"",SUBSTITUTE(_xlfn.XLOOKUP(G2200,SKUs!$C$2:$C$10001,SKUs!$F$2:$F$10001,"",0), " Accessories",""))</f>
        <v/>
      </c>
      <c r="L2200" s="36">
        <f>_xlfn.XLOOKUP(C2200,'Project Details'!$C$17:$C$66,'Project Details'!$D$17:$D$66,"",0)</f>
        <v>0</v>
      </c>
      <c r="M2200" s="43"/>
    </row>
    <row r="2201" spans="1:13" ht="13.5" customHeight="1" outlineLevel="1" x14ac:dyDescent="0.25">
      <c r="A2201" s="43"/>
      <c r="B2201" s="43"/>
      <c r="C2201" s="16">
        <f t="shared" si="42"/>
        <v>44</v>
      </c>
      <c r="D2201" s="16" t="str" cm="1">
        <f t="array" ref="D2201">IFERROR(ROUNDUP(_xlfn.IFS(F2201="Aluminum Track", _xlfn.XLOOKUP(C2201, dd_accsrycalc!$A$2:$A$51, dd_accsrycalc!$B$2:$B$51, "",0), F2201="10 x 2 1/2 S (Flat)", _xlfn.XLOOKUP(C2201, dd_accsrycalc!$A$2:$A$51, dd_accsrycalc!$C$2:$C$51, "",0), F2201="Tox6", _xlfn.XLOOKUP(C2201, dd_accsrycalc!$A$2:$A$51, dd_accsrycalc!$D$2:$D$51, "",0), F2201="Cover Cap", _xlfn.XLOOKUP(C2201, dd_accsrycalc!$A$2:$A$51, dd_accsrycalc!$E$2:$E$51, "",0), F2201="Drainage Cover", _xlfn.XLOOKUP(C2201, dd_accsrycalc!$A$2:$A$51, dd_accsrycalc!$F$2:$F$51, "",0),AND( F2201="Double Adhesive Tape", I2201="Roll-up Screen"), _xlfn.XLOOKUP(C2201, calc_rusacc!$C$15:$C$65, calc_rusacc!$AD$15:$AD$65, "",0),AND( F2201="Sealant", I2201="Roll-up Screen"), _xlfn.XLOOKUP(C2201, calc_rusacc!$C$15:$C$65, calc_rusacc!$AF$15:$AF$65, "",0),  AND( F2201="Main Chain", I2201="Accordion Screen"), _xlfn.XLOOKUP(C2201, calc_rusacc!$C$15:$C$65, calc_rusacc!$BF$15:$BF$65, "",0), AND( F2201="Sealant", I2201="Accordion Screen"), _xlfn.XLOOKUP(C2201, calc_rusacc!$C$15:$C$65, calc_rusacc!$BJ$15:$BJ$65, "",0),  F2201="Sealant", _xlfn.XLOOKUP(C2201, dd_accsrycalc!$A$2:$A$51, dd_accsrycalc!$G$2:$G$51, "",0),  F2201&lt;&gt;"",L2201*_xlfn.XLOOKUP(1, (SKUs!$C$2:$C$10001=G2201)*(SKUs!$K$2:$K$10001=I2201),SKUs!$E$2:$E$10001)), 0),"")</f>
        <v/>
      </c>
      <c r="E2201" s="16" t="str">
        <f>_xlfn.XLOOKUP(F2201,dd_item!$B$2:$B$105,dd_item!$C$2:$C$105,"",0)</f>
        <v/>
      </c>
      <c r="F2201" s="16"/>
      <c r="G2201" s="16" cm="1">
        <f t="array" ref="G2201">IFERROR(_xlfn.XLOOKUP(1, (SKUs!$J$2:$J$10001=accsry_unmerged!F2201)*IF(H2201&lt;&gt;"",(SKUs!$L$2:$L$10001=accsry_unmerged!H2201),1)*(SKUs!$K$2:$K$10001=I2201),SKUs!$C$2:$C$10001),"")</f>
        <v>0</v>
      </c>
      <c r="H2201" s="33" cm="1">
        <f t="array" ref="H2201">IFERROR(_xlfn.XLOOKUP(1, (dd_accsryclr!$C$2:$C$1000=accsry_unmerged!F2201)*(dd_accsryclr!$B$2:$B$1000=accsry_unmerged!J2201),dd_accsryclr!$A$2:$A$1000),"")</f>
        <v>0</v>
      </c>
      <c r="I2201" s="16">
        <f>_xlfn.XLOOKUP(C2201,'Project Details'!$C$17:$C$66,'Project Details'!$E$17:$E$66,"",0)</f>
        <v>0</v>
      </c>
      <c r="J2201" s="16">
        <f>_xlfn.XLOOKUP(C2201,'Project Details'!$C$17:$C$66,'Project Details'!$H$17:$H$66,"",0)</f>
        <v>0</v>
      </c>
      <c r="K2201" s="33" t="str">
        <f>IF(AND(_xlfn.XLOOKUP(C2201,'Project Details'!$C$17:$C$66,'Project Details'!$L$17:$L$66,"",0)&gt;550, F2201="Spring-L27cm"),"",SUBSTITUTE(_xlfn.XLOOKUP(G2201,SKUs!$C$2:$C$10001,SKUs!$F$2:$F$10001,"",0), " Accessories",""))</f>
        <v/>
      </c>
      <c r="L2201" s="33">
        <f>_xlfn.XLOOKUP(C2201,'Project Details'!$C$17:$C$66,'Project Details'!$D$17:$D$66,"",0)</f>
        <v>0</v>
      </c>
      <c r="M2201" s="43"/>
    </row>
    <row r="2202" spans="1:13" ht="13.5" customHeight="1" outlineLevel="1" x14ac:dyDescent="0.25">
      <c r="A2202" s="43"/>
      <c r="B2202" s="43"/>
      <c r="C2202" s="35">
        <f t="shared" si="42"/>
        <v>44</v>
      </c>
      <c r="D2202" s="35" t="str" cm="1">
        <f t="array" ref="D2202">IFERROR(ROUNDUP(_xlfn.IFS(F2202="Aluminum Track", _xlfn.XLOOKUP(C2202, dd_accsrycalc!$A$2:$A$51, dd_accsrycalc!$B$2:$B$51, "",0), F2202="10 x 2 1/2 S (Flat)", _xlfn.XLOOKUP(C2202, dd_accsrycalc!$A$2:$A$51, dd_accsrycalc!$C$2:$C$51, "",0), F2202="Tox6", _xlfn.XLOOKUP(C2202, dd_accsrycalc!$A$2:$A$51, dd_accsrycalc!$D$2:$D$51, "",0), F2202="Cover Cap", _xlfn.XLOOKUP(C2202, dd_accsrycalc!$A$2:$A$51, dd_accsrycalc!$E$2:$E$51, "",0), F2202="Drainage Cover", _xlfn.XLOOKUP(C2202, dd_accsrycalc!$A$2:$A$51, dd_accsrycalc!$F$2:$F$51, "",0),AND( F2202="Double Adhesive Tape", I2202="Roll-up Screen"), _xlfn.XLOOKUP(C2202, calc_rusacc!$C$15:$C$65, calc_rusacc!$AD$15:$AD$65, "",0),AND( F2202="Sealant", I2202="Roll-up Screen"), _xlfn.XLOOKUP(C2202, calc_rusacc!$C$15:$C$65, calc_rusacc!$AF$15:$AF$65, "",0),  AND( F2202="Main Chain", I2202="Accordion Screen"), _xlfn.XLOOKUP(C2202, calc_rusacc!$C$15:$C$65, calc_rusacc!$BF$15:$BF$65, "",0), AND( F2202="Sealant", I2202="Accordion Screen"), _xlfn.XLOOKUP(C2202, calc_rusacc!$C$15:$C$65, calc_rusacc!$BJ$15:$BJ$65, "",0),  F2202="Sealant", _xlfn.XLOOKUP(C2202, dd_accsrycalc!$A$2:$A$51, dd_accsrycalc!$G$2:$G$51, "",0),  F2202&lt;&gt;"",L2202*_xlfn.XLOOKUP(1, (SKUs!$C$2:$C$10001=G2202)*(SKUs!$K$2:$K$10001=I2202),SKUs!$E$2:$E$10001)), 0),"")</f>
        <v/>
      </c>
      <c r="E2202" s="35" t="str">
        <f>_xlfn.XLOOKUP(F2202,dd_item!$B$2:$B$105,dd_item!$C$2:$C$105,"",0)</f>
        <v/>
      </c>
      <c r="F2202" s="35"/>
      <c r="G2202" s="35" cm="1">
        <f t="array" ref="G2202">IFERROR(_xlfn.XLOOKUP(1, (SKUs!$J$2:$J$10001=accsry_unmerged!F2202)*IF(H2202&lt;&gt;"",(SKUs!$L$2:$L$10001=accsry_unmerged!H2202),1)*(SKUs!$K$2:$K$10001=I2202),SKUs!$C$2:$C$10001),"")</f>
        <v>0</v>
      </c>
      <c r="H2202" s="36" cm="1">
        <f t="array" ref="H2202">IFERROR(_xlfn.XLOOKUP(1, (dd_accsryclr!$C$2:$C$1000=accsry_unmerged!F2202)*(dd_accsryclr!$B$2:$B$1000=accsry_unmerged!J2202),dd_accsryclr!$A$2:$A$1000),"")</f>
        <v>0</v>
      </c>
      <c r="I2202" s="35">
        <f>_xlfn.XLOOKUP(C2202,'Project Details'!$C$17:$C$66,'Project Details'!$E$17:$E$66,"",0)</f>
        <v>0</v>
      </c>
      <c r="J2202" s="35">
        <f>_xlfn.XLOOKUP(C2202,'Project Details'!$C$17:$C$66,'Project Details'!$H$17:$H$66,"",0)</f>
        <v>0</v>
      </c>
      <c r="K2202" s="36" t="str">
        <f>IF(AND(_xlfn.XLOOKUP(C2202,'Project Details'!$C$17:$C$66,'Project Details'!$L$17:$L$66,"",0)&gt;550, F2202="Spring-L27cm"),"",SUBSTITUTE(_xlfn.XLOOKUP(G2202,SKUs!$C$2:$C$10001,SKUs!$F$2:$F$10001,"",0), " Accessories",""))</f>
        <v/>
      </c>
      <c r="L2202" s="36">
        <f>_xlfn.XLOOKUP(C2202,'Project Details'!$C$17:$C$66,'Project Details'!$D$17:$D$66,"",0)</f>
        <v>0</v>
      </c>
      <c r="M2202" s="43"/>
    </row>
    <row r="2203" spans="1:13" ht="13.5" customHeight="1" outlineLevel="1" x14ac:dyDescent="0.25">
      <c r="A2203" s="43"/>
      <c r="B2203" s="43"/>
      <c r="C2203" s="16">
        <f t="shared" si="42"/>
        <v>44</v>
      </c>
      <c r="D2203" s="16" t="str" cm="1">
        <f t="array" ref="D2203">IFERROR(ROUNDUP(_xlfn.IFS(F2203="Aluminum Track", _xlfn.XLOOKUP(C2203, dd_accsrycalc!$A$2:$A$51, dd_accsrycalc!$B$2:$B$51, "",0), F2203="10 x 2 1/2 S (Flat)", _xlfn.XLOOKUP(C2203, dd_accsrycalc!$A$2:$A$51, dd_accsrycalc!$C$2:$C$51, "",0), F2203="Tox6", _xlfn.XLOOKUP(C2203, dd_accsrycalc!$A$2:$A$51, dd_accsrycalc!$D$2:$D$51, "",0), F2203="Cover Cap", _xlfn.XLOOKUP(C2203, dd_accsrycalc!$A$2:$A$51, dd_accsrycalc!$E$2:$E$51, "",0), F2203="Drainage Cover", _xlfn.XLOOKUP(C2203, dd_accsrycalc!$A$2:$A$51, dd_accsrycalc!$F$2:$F$51, "",0),AND( F2203="Double Adhesive Tape", I2203="Roll-up Screen"), _xlfn.XLOOKUP(C2203, calc_rusacc!$C$15:$C$65, calc_rusacc!$AD$15:$AD$65, "",0),AND( F2203="Sealant", I2203="Roll-up Screen"), _xlfn.XLOOKUP(C2203, calc_rusacc!$C$15:$C$65, calc_rusacc!$AF$15:$AF$65, "",0),  AND( F2203="Main Chain", I2203="Accordion Screen"), _xlfn.XLOOKUP(C2203, calc_rusacc!$C$15:$C$65, calc_rusacc!$BF$15:$BF$65, "",0), AND( F2203="Sealant", I2203="Accordion Screen"), _xlfn.XLOOKUP(C2203, calc_rusacc!$C$15:$C$65, calc_rusacc!$BJ$15:$BJ$65, "",0),  F2203="Sealant", _xlfn.XLOOKUP(C2203, dd_accsrycalc!$A$2:$A$51, dd_accsrycalc!$G$2:$G$51, "",0),  F2203&lt;&gt;"",L2203*_xlfn.XLOOKUP(1, (SKUs!$C$2:$C$10001=G2203)*(SKUs!$K$2:$K$10001=I2203),SKUs!$E$2:$E$10001)), 0),"")</f>
        <v/>
      </c>
      <c r="E2203" s="16" t="str">
        <f>_xlfn.XLOOKUP(F2203,dd_item!$B$2:$B$105,dd_item!$C$2:$C$105,"",0)</f>
        <v/>
      </c>
      <c r="F2203" s="16"/>
      <c r="G2203" s="16" cm="1">
        <f t="array" ref="G2203">IFERROR(_xlfn.XLOOKUP(1, (SKUs!$J$2:$J$10001=accsry_unmerged!F2203)*IF(H2203&lt;&gt;"",(SKUs!$L$2:$L$10001=accsry_unmerged!H2203),1)*(SKUs!$K$2:$K$10001=I2203),SKUs!$C$2:$C$10001),"")</f>
        <v>0</v>
      </c>
      <c r="H2203" s="33" cm="1">
        <f t="array" ref="H2203">IFERROR(_xlfn.XLOOKUP(1, (dd_accsryclr!$C$2:$C$1000=accsry_unmerged!F2203)*(dd_accsryclr!$B$2:$B$1000=accsry_unmerged!J2203),dd_accsryclr!$A$2:$A$1000),"")</f>
        <v>0</v>
      </c>
      <c r="I2203" s="16">
        <f>_xlfn.XLOOKUP(C2203,'Project Details'!$C$17:$C$66,'Project Details'!$E$17:$E$66,"",0)</f>
        <v>0</v>
      </c>
      <c r="J2203" s="16">
        <f>_xlfn.XLOOKUP(C2203,'Project Details'!$C$17:$C$66,'Project Details'!$H$17:$H$66,"",0)</f>
        <v>0</v>
      </c>
      <c r="K2203" s="33" t="str">
        <f>IF(AND(_xlfn.XLOOKUP(C2203,'Project Details'!$C$17:$C$66,'Project Details'!$L$17:$L$66,"",0)&gt;550, F2203="Spring-L27cm"),"",SUBSTITUTE(_xlfn.XLOOKUP(G2203,SKUs!$C$2:$C$10001,SKUs!$F$2:$F$10001,"",0), " Accessories",""))</f>
        <v/>
      </c>
      <c r="L2203" s="33">
        <f>_xlfn.XLOOKUP(C2203,'Project Details'!$C$17:$C$66,'Project Details'!$D$17:$D$66,"",0)</f>
        <v>0</v>
      </c>
      <c r="M2203" s="43"/>
    </row>
    <row r="2204" spans="1:13" ht="13.5" customHeight="1" outlineLevel="1" x14ac:dyDescent="0.25">
      <c r="A2204" s="43"/>
      <c r="B2204" s="43"/>
      <c r="C2204" s="35">
        <f t="shared" si="42"/>
        <v>44</v>
      </c>
      <c r="D2204" s="35" t="str" cm="1">
        <f t="array" ref="D2204">IFERROR(ROUNDUP(_xlfn.IFS(F2204="Aluminum Track", _xlfn.XLOOKUP(C2204, dd_accsrycalc!$A$2:$A$51, dd_accsrycalc!$B$2:$B$51, "",0), F2204="10 x 2 1/2 S (Flat)", _xlfn.XLOOKUP(C2204, dd_accsrycalc!$A$2:$A$51, dd_accsrycalc!$C$2:$C$51, "",0), F2204="Tox6", _xlfn.XLOOKUP(C2204, dd_accsrycalc!$A$2:$A$51, dd_accsrycalc!$D$2:$D$51, "",0), F2204="Cover Cap", _xlfn.XLOOKUP(C2204, dd_accsrycalc!$A$2:$A$51, dd_accsrycalc!$E$2:$E$51, "",0), F2204="Drainage Cover", _xlfn.XLOOKUP(C2204, dd_accsrycalc!$A$2:$A$51, dd_accsrycalc!$F$2:$F$51, "",0),AND( F2204="Double Adhesive Tape", I2204="Roll-up Screen"), _xlfn.XLOOKUP(C2204, calc_rusacc!$C$15:$C$65, calc_rusacc!$AD$15:$AD$65, "",0),AND( F2204="Sealant", I2204="Roll-up Screen"), _xlfn.XLOOKUP(C2204, calc_rusacc!$C$15:$C$65, calc_rusacc!$AF$15:$AF$65, "",0),  AND( F2204="Main Chain", I2204="Accordion Screen"), _xlfn.XLOOKUP(C2204, calc_rusacc!$C$15:$C$65, calc_rusacc!$BF$15:$BF$65, "",0), AND( F2204="Sealant", I2204="Accordion Screen"), _xlfn.XLOOKUP(C2204, calc_rusacc!$C$15:$C$65, calc_rusacc!$BJ$15:$BJ$65, "",0),  F2204="Sealant", _xlfn.XLOOKUP(C2204, dd_accsrycalc!$A$2:$A$51, dd_accsrycalc!$G$2:$G$51, "",0),  F2204&lt;&gt;"",L2204*_xlfn.XLOOKUP(1, (SKUs!$C$2:$C$10001=G2204)*(SKUs!$K$2:$K$10001=I2204),SKUs!$E$2:$E$10001)), 0),"")</f>
        <v/>
      </c>
      <c r="E2204" s="35" t="str">
        <f>_xlfn.XLOOKUP(F2204,dd_item!$B$2:$B$105,dd_item!$C$2:$C$105,"",0)</f>
        <v/>
      </c>
      <c r="F2204" s="35"/>
      <c r="G2204" s="35" cm="1">
        <f t="array" ref="G2204">IFERROR(_xlfn.XLOOKUP(1, (SKUs!$J$2:$J$10001=accsry_unmerged!F2204)*IF(H2204&lt;&gt;"",(SKUs!$L$2:$L$10001=accsry_unmerged!H2204),1)*(SKUs!$K$2:$K$10001=I2204),SKUs!$C$2:$C$10001),"")</f>
        <v>0</v>
      </c>
      <c r="H2204" s="36" cm="1">
        <f t="array" ref="H2204">IFERROR(_xlfn.XLOOKUP(1, (dd_accsryclr!$C$2:$C$1000=accsry_unmerged!F2204)*(dd_accsryclr!$B$2:$B$1000=accsry_unmerged!J2204),dd_accsryclr!$A$2:$A$1000),"")</f>
        <v>0</v>
      </c>
      <c r="I2204" s="35">
        <f>_xlfn.XLOOKUP(C2204,'Project Details'!$C$17:$C$66,'Project Details'!$E$17:$E$66,"",0)</f>
        <v>0</v>
      </c>
      <c r="J2204" s="35">
        <f>_xlfn.XLOOKUP(C2204,'Project Details'!$C$17:$C$66,'Project Details'!$H$17:$H$66,"",0)</f>
        <v>0</v>
      </c>
      <c r="K2204" s="36" t="str">
        <f>IF(AND(_xlfn.XLOOKUP(C2204,'Project Details'!$C$17:$C$66,'Project Details'!$L$17:$L$66,"",0)&gt;550, F2204="Spring-L27cm"),"",SUBSTITUTE(_xlfn.XLOOKUP(G2204,SKUs!$C$2:$C$10001,SKUs!$F$2:$F$10001,"",0), " Accessories",""))</f>
        <v/>
      </c>
      <c r="L2204" s="36">
        <f>_xlfn.XLOOKUP(C2204,'Project Details'!$C$17:$C$66,'Project Details'!$D$17:$D$66,"",0)</f>
        <v>0</v>
      </c>
      <c r="M2204" s="43"/>
    </row>
    <row r="2205" spans="1:13" ht="13.5" customHeight="1" outlineLevel="1" collapsed="1" x14ac:dyDescent="0.25">
      <c r="A2205" s="43"/>
      <c r="B2205" s="43"/>
      <c r="C2205" s="16">
        <f t="shared" si="42"/>
        <v>44</v>
      </c>
      <c r="D2205" s="16" t="str" cm="1">
        <f t="array" ref="D2205">IFERROR(ROUNDUP(_xlfn.IFS(F2205="Aluminum Track", _xlfn.XLOOKUP(C2205, dd_accsrycalc!$A$2:$A$51, dd_accsrycalc!$B$2:$B$51, "",0), F2205="10 x 2 1/2 S (Flat)", _xlfn.XLOOKUP(C2205, dd_accsrycalc!$A$2:$A$51, dd_accsrycalc!$C$2:$C$51, "",0), F2205="Tox6", _xlfn.XLOOKUP(C2205, dd_accsrycalc!$A$2:$A$51, dd_accsrycalc!$D$2:$D$51, "",0), F2205="Cover Cap", _xlfn.XLOOKUP(C2205, dd_accsrycalc!$A$2:$A$51, dd_accsrycalc!$E$2:$E$51, "",0), F2205="Drainage Cover", _xlfn.XLOOKUP(C2205, dd_accsrycalc!$A$2:$A$51, dd_accsrycalc!$F$2:$F$51, "",0),AND( F2205="Double Adhesive Tape", I2205="Roll-up Screen"), _xlfn.XLOOKUP(C2205, calc_rusacc!$C$15:$C$65, calc_rusacc!$AD$15:$AD$65, "",0),AND( F2205="Sealant", I2205="Roll-up Screen"), _xlfn.XLOOKUP(C2205, calc_rusacc!$C$15:$C$65, calc_rusacc!$AF$15:$AF$65, "",0),  AND( F2205="Main Chain", I2205="Accordion Screen"), _xlfn.XLOOKUP(C2205, calc_rusacc!$C$15:$C$65, calc_rusacc!$BF$15:$BF$65, "",0), AND( F2205="Sealant", I2205="Accordion Screen"), _xlfn.XLOOKUP(C2205, calc_rusacc!$C$15:$C$65, calc_rusacc!$BJ$15:$BJ$65, "",0),  F2205="Sealant", _xlfn.XLOOKUP(C2205, dd_accsrycalc!$A$2:$A$51, dd_accsrycalc!$G$2:$G$51, "",0),  F2205&lt;&gt;"",L2205*_xlfn.XLOOKUP(1, (SKUs!$C$2:$C$10001=G2205)*(SKUs!$K$2:$K$10001=I2205),SKUs!$E$2:$E$10001)), 0),"")</f>
        <v/>
      </c>
      <c r="E2205" s="16" t="str">
        <f>_xlfn.XLOOKUP(F2205,dd_item!$B$2:$B$105,dd_item!$C$2:$C$105,"",0)</f>
        <v/>
      </c>
      <c r="F2205" s="16"/>
      <c r="G2205" s="16" cm="1">
        <f t="array" ref="G2205">IFERROR(_xlfn.XLOOKUP(1, (SKUs!$J$2:$J$10001=accsry_unmerged!F2205)*IF(H2205&lt;&gt;"",(SKUs!$L$2:$L$10001=accsry_unmerged!H2205),1)*(SKUs!$K$2:$K$10001=I2205),SKUs!$C$2:$C$10001),"")</f>
        <v>0</v>
      </c>
      <c r="H2205" s="33" cm="1">
        <f t="array" ref="H2205">IFERROR(_xlfn.XLOOKUP(1, (dd_accsryclr!$C$2:$C$1000=accsry_unmerged!F2205)*(dd_accsryclr!$B$2:$B$1000=accsry_unmerged!J2205),dd_accsryclr!$A$2:$A$1000),"")</f>
        <v>0</v>
      </c>
      <c r="I2205" s="16">
        <f>_xlfn.XLOOKUP(C2205,'Project Details'!$C$17:$C$66,'Project Details'!$E$17:$E$66,"",0)</f>
        <v>0</v>
      </c>
      <c r="J2205" s="16">
        <f>_xlfn.XLOOKUP(C2205,'Project Details'!$C$17:$C$66,'Project Details'!$H$17:$H$66,"",0)</f>
        <v>0</v>
      </c>
      <c r="K2205" s="33" t="str">
        <f>IF(AND(_xlfn.XLOOKUP(C2205,'Project Details'!$C$17:$C$66,'Project Details'!$L$17:$L$66,"",0)&gt;550, F2205="Spring-L27cm"),"",SUBSTITUTE(_xlfn.XLOOKUP(G2205,SKUs!$C$2:$C$10001,SKUs!$F$2:$F$10001,"",0), " Accessories",""))</f>
        <v/>
      </c>
      <c r="L2205" s="33">
        <f>_xlfn.XLOOKUP(C2205,'Project Details'!$C$17:$C$66,'Project Details'!$D$17:$D$66,"",0)</f>
        <v>0</v>
      </c>
      <c r="M2205" s="43"/>
    </row>
    <row r="2206" spans="1:13" ht="13.5" customHeight="1" outlineLevel="1" x14ac:dyDescent="0.25">
      <c r="A2206" s="43"/>
      <c r="B2206" s="43"/>
      <c r="C2206" s="35">
        <f t="shared" si="42"/>
        <v>44</v>
      </c>
      <c r="D2206" s="35" t="str" cm="1">
        <f t="array" ref="D2206">IFERROR(ROUNDUP(_xlfn.IFS(F2206="Aluminum Track", _xlfn.XLOOKUP(C2206, dd_accsrycalc!$A$2:$A$51, dd_accsrycalc!$B$2:$B$51, "",0), F2206="10 x 2 1/2 S (Flat)", _xlfn.XLOOKUP(C2206, dd_accsrycalc!$A$2:$A$51, dd_accsrycalc!$C$2:$C$51, "",0), F2206="Tox6", _xlfn.XLOOKUP(C2206, dd_accsrycalc!$A$2:$A$51, dd_accsrycalc!$D$2:$D$51, "",0), F2206="Cover Cap", _xlfn.XLOOKUP(C2206, dd_accsrycalc!$A$2:$A$51, dd_accsrycalc!$E$2:$E$51, "",0), F2206="Drainage Cover", _xlfn.XLOOKUP(C2206, dd_accsrycalc!$A$2:$A$51, dd_accsrycalc!$F$2:$F$51, "",0),AND( F2206="Double Adhesive Tape", I2206="Roll-up Screen"), _xlfn.XLOOKUP(C2206, calc_rusacc!$C$15:$C$65, calc_rusacc!$AD$15:$AD$65, "",0),AND( F2206="Sealant", I2206="Roll-up Screen"), _xlfn.XLOOKUP(C2206, calc_rusacc!$C$15:$C$65, calc_rusacc!$AF$15:$AF$65, "",0),  AND( F2206="Main Chain", I2206="Accordion Screen"), _xlfn.XLOOKUP(C2206, calc_rusacc!$C$15:$C$65, calc_rusacc!$BF$15:$BF$65, "",0), AND( F2206="Sealant", I2206="Accordion Screen"), _xlfn.XLOOKUP(C2206, calc_rusacc!$C$15:$C$65, calc_rusacc!$BJ$15:$BJ$65, "",0),  F2206="Sealant", _xlfn.XLOOKUP(C2206, dd_accsrycalc!$A$2:$A$51, dd_accsrycalc!$G$2:$G$51, "",0),  F2206&lt;&gt;"",L2206*_xlfn.XLOOKUP(1, (SKUs!$C$2:$C$10001=G2206)*(SKUs!$K$2:$K$10001=I2206),SKUs!$E$2:$E$10001)), 0),"")</f>
        <v/>
      </c>
      <c r="E2206" s="35" t="str">
        <f>_xlfn.XLOOKUP(F2206,dd_item!$B$2:$B$105,dd_item!$C$2:$C$105,"",0)</f>
        <v/>
      </c>
      <c r="F2206" s="35"/>
      <c r="G2206" s="35" cm="1">
        <f t="array" ref="G2206">IFERROR(_xlfn.XLOOKUP(1, (SKUs!$J$2:$J$10001=accsry_unmerged!F2206)*IF(H2206&lt;&gt;"",(SKUs!$L$2:$L$10001=accsry_unmerged!H2206),1)*(SKUs!$K$2:$K$10001=I2206),SKUs!$C$2:$C$10001),"")</f>
        <v>0</v>
      </c>
      <c r="H2206" s="36" cm="1">
        <f t="array" ref="H2206">IFERROR(_xlfn.XLOOKUP(1, (dd_accsryclr!$C$2:$C$1000=accsry_unmerged!F2206)*(dd_accsryclr!$B$2:$B$1000=accsry_unmerged!J2206),dd_accsryclr!$A$2:$A$1000),"")</f>
        <v>0</v>
      </c>
      <c r="I2206" s="35">
        <f>_xlfn.XLOOKUP(C2206,'Project Details'!$C$17:$C$66,'Project Details'!$E$17:$E$66,"",0)</f>
        <v>0</v>
      </c>
      <c r="J2206" s="35">
        <f>_xlfn.XLOOKUP(C2206,'Project Details'!$C$17:$C$66,'Project Details'!$H$17:$H$66,"",0)</f>
        <v>0</v>
      </c>
      <c r="K2206" s="36" t="str">
        <f>IF(AND(_xlfn.XLOOKUP(C2206,'Project Details'!$C$17:$C$66,'Project Details'!$L$17:$L$66,"",0)&gt;550, F2206="Spring-L27cm"),"",SUBSTITUTE(_xlfn.XLOOKUP(G2206,SKUs!$C$2:$C$10001,SKUs!$F$2:$F$10001,"",0), " Accessories",""))</f>
        <v/>
      </c>
      <c r="L2206" s="36">
        <f>_xlfn.XLOOKUP(C2206,'Project Details'!$C$17:$C$66,'Project Details'!$D$17:$D$66,"",0)</f>
        <v>0</v>
      </c>
      <c r="M2206" s="43"/>
    </row>
    <row r="2207" spans="1:13" ht="13.5" customHeight="1" outlineLevel="1" x14ac:dyDescent="0.25">
      <c r="A2207" s="43"/>
      <c r="B2207" s="43"/>
      <c r="C2207" s="16">
        <f t="shared" si="42"/>
        <v>44</v>
      </c>
      <c r="D2207" s="16" t="str" cm="1">
        <f t="array" ref="D2207">IFERROR(ROUNDUP(_xlfn.IFS(F2207="Aluminum Track", _xlfn.XLOOKUP(C2207, dd_accsrycalc!$A$2:$A$51, dd_accsrycalc!$B$2:$B$51, "",0), F2207="10 x 2 1/2 S (Flat)", _xlfn.XLOOKUP(C2207, dd_accsrycalc!$A$2:$A$51, dd_accsrycalc!$C$2:$C$51, "",0), F2207="Tox6", _xlfn.XLOOKUP(C2207, dd_accsrycalc!$A$2:$A$51, dd_accsrycalc!$D$2:$D$51, "",0), F2207="Cover Cap", _xlfn.XLOOKUP(C2207, dd_accsrycalc!$A$2:$A$51, dd_accsrycalc!$E$2:$E$51, "",0), F2207="Drainage Cover", _xlfn.XLOOKUP(C2207, dd_accsrycalc!$A$2:$A$51, dd_accsrycalc!$F$2:$F$51, "",0),AND( F2207="Double Adhesive Tape", I2207="Roll-up Screen"), _xlfn.XLOOKUP(C2207, calc_rusacc!$C$15:$C$65, calc_rusacc!$AD$15:$AD$65, "",0),AND( F2207="Sealant", I2207="Roll-up Screen"), _xlfn.XLOOKUP(C2207, calc_rusacc!$C$15:$C$65, calc_rusacc!$AF$15:$AF$65, "",0),  AND( F2207="Main Chain", I2207="Accordion Screen"), _xlfn.XLOOKUP(C2207, calc_rusacc!$C$15:$C$65, calc_rusacc!$BF$15:$BF$65, "",0), AND( F2207="Sealant", I2207="Accordion Screen"), _xlfn.XLOOKUP(C2207, calc_rusacc!$C$15:$C$65, calc_rusacc!$BJ$15:$BJ$65, "",0),  F2207="Sealant", _xlfn.XLOOKUP(C2207, dd_accsrycalc!$A$2:$A$51, dd_accsrycalc!$G$2:$G$51, "",0),  F2207&lt;&gt;"",L2207*_xlfn.XLOOKUP(1, (SKUs!$C$2:$C$10001=G2207)*(SKUs!$K$2:$K$10001=I2207),SKUs!$E$2:$E$10001)), 0),"")</f>
        <v/>
      </c>
      <c r="E2207" s="16" t="str">
        <f>_xlfn.XLOOKUP(F2207,dd_item!$B$2:$B$105,dd_item!$C$2:$C$105,"",0)</f>
        <v/>
      </c>
      <c r="F2207" s="16"/>
      <c r="G2207" s="16" cm="1">
        <f t="array" ref="G2207">IFERROR(_xlfn.XLOOKUP(1, (SKUs!$J$2:$J$10001=accsry_unmerged!F2207)*IF(H2207&lt;&gt;"",(SKUs!$L$2:$L$10001=accsry_unmerged!H2207),1)*(SKUs!$K$2:$K$10001=I2207),SKUs!$C$2:$C$10001),"")</f>
        <v>0</v>
      </c>
      <c r="H2207" s="33" cm="1">
        <f t="array" ref="H2207">IFERROR(_xlfn.XLOOKUP(1, (dd_accsryclr!$C$2:$C$1000=accsry_unmerged!F2207)*(dd_accsryclr!$B$2:$B$1000=accsry_unmerged!J2207),dd_accsryclr!$A$2:$A$1000),"")</f>
        <v>0</v>
      </c>
      <c r="I2207" s="16">
        <f>_xlfn.XLOOKUP(C2207,'Project Details'!$C$17:$C$66,'Project Details'!$E$17:$E$66,"",0)</f>
        <v>0</v>
      </c>
      <c r="J2207" s="16">
        <f>_xlfn.XLOOKUP(C2207,'Project Details'!$C$17:$C$66,'Project Details'!$H$17:$H$66,"",0)</f>
        <v>0</v>
      </c>
      <c r="K2207" s="33" t="str">
        <f>IF(AND(_xlfn.XLOOKUP(C2207,'Project Details'!$C$17:$C$66,'Project Details'!$L$17:$L$66,"",0)&gt;550, F2207="Spring-L27cm"),"",SUBSTITUTE(_xlfn.XLOOKUP(G2207,SKUs!$C$2:$C$10001,SKUs!$F$2:$F$10001,"",0), " Accessories",""))</f>
        <v/>
      </c>
      <c r="L2207" s="33">
        <f>_xlfn.XLOOKUP(C2207,'Project Details'!$C$17:$C$66,'Project Details'!$D$17:$D$66,"",0)</f>
        <v>0</v>
      </c>
      <c r="M2207" s="43"/>
    </row>
    <row r="2208" spans="1:13" ht="13.5" customHeight="1" outlineLevel="1" x14ac:dyDescent="0.25">
      <c r="A2208" s="43"/>
      <c r="B2208" s="43"/>
      <c r="C2208" s="35">
        <f t="shared" si="42"/>
        <v>44</v>
      </c>
      <c r="D2208" s="35" t="str" cm="1">
        <f t="array" ref="D2208">IFERROR(ROUNDUP(_xlfn.IFS(F2208="Aluminum Track", _xlfn.XLOOKUP(C2208, dd_accsrycalc!$A$2:$A$51, dd_accsrycalc!$B$2:$B$51, "",0), F2208="10 x 2 1/2 S (Flat)", _xlfn.XLOOKUP(C2208, dd_accsrycalc!$A$2:$A$51, dd_accsrycalc!$C$2:$C$51, "",0), F2208="Tox6", _xlfn.XLOOKUP(C2208, dd_accsrycalc!$A$2:$A$51, dd_accsrycalc!$D$2:$D$51, "",0), F2208="Cover Cap", _xlfn.XLOOKUP(C2208, dd_accsrycalc!$A$2:$A$51, dd_accsrycalc!$E$2:$E$51, "",0), F2208="Drainage Cover", _xlfn.XLOOKUP(C2208, dd_accsrycalc!$A$2:$A$51, dd_accsrycalc!$F$2:$F$51, "",0),AND( F2208="Double Adhesive Tape", I2208="Roll-up Screen"), _xlfn.XLOOKUP(C2208, calc_rusacc!$C$15:$C$65, calc_rusacc!$AD$15:$AD$65, "",0),AND( F2208="Sealant", I2208="Roll-up Screen"), _xlfn.XLOOKUP(C2208, calc_rusacc!$C$15:$C$65, calc_rusacc!$AF$15:$AF$65, "",0),  AND( F2208="Main Chain", I2208="Accordion Screen"), _xlfn.XLOOKUP(C2208, calc_rusacc!$C$15:$C$65, calc_rusacc!$BF$15:$BF$65, "",0), AND( F2208="Sealant", I2208="Accordion Screen"), _xlfn.XLOOKUP(C2208, calc_rusacc!$C$15:$C$65, calc_rusacc!$BJ$15:$BJ$65, "",0),  F2208="Sealant", _xlfn.XLOOKUP(C2208, dd_accsrycalc!$A$2:$A$51, dd_accsrycalc!$G$2:$G$51, "",0),  F2208&lt;&gt;"",L2208*_xlfn.XLOOKUP(1, (SKUs!$C$2:$C$10001=G2208)*(SKUs!$K$2:$K$10001=I2208),SKUs!$E$2:$E$10001)), 0),"")</f>
        <v/>
      </c>
      <c r="E2208" s="35" t="str">
        <f>_xlfn.XLOOKUP(F2208,dd_item!$B$2:$B$105,dd_item!$C$2:$C$105,"",0)</f>
        <v/>
      </c>
      <c r="F2208" s="35"/>
      <c r="G2208" s="35" cm="1">
        <f t="array" ref="G2208">IFERROR(_xlfn.XLOOKUP(1, (SKUs!$J$2:$J$10001=accsry_unmerged!F2208)*IF(H2208&lt;&gt;"",(SKUs!$L$2:$L$10001=accsry_unmerged!H2208),1)*(SKUs!$K$2:$K$10001=I2208),SKUs!$C$2:$C$10001),"")</f>
        <v>0</v>
      </c>
      <c r="H2208" s="36" cm="1">
        <f t="array" ref="H2208">IFERROR(_xlfn.XLOOKUP(1, (dd_accsryclr!$C$2:$C$1000=accsry_unmerged!F2208)*(dd_accsryclr!$B$2:$B$1000=accsry_unmerged!J2208),dd_accsryclr!$A$2:$A$1000),"")</f>
        <v>0</v>
      </c>
      <c r="I2208" s="35">
        <f>_xlfn.XLOOKUP(C2208,'Project Details'!$C$17:$C$66,'Project Details'!$E$17:$E$66,"",0)</f>
        <v>0</v>
      </c>
      <c r="J2208" s="35">
        <f>_xlfn.XLOOKUP(C2208,'Project Details'!$C$17:$C$66,'Project Details'!$H$17:$H$66,"",0)</f>
        <v>0</v>
      </c>
      <c r="K2208" s="36" t="str">
        <f>IF(AND(_xlfn.XLOOKUP(C2208,'Project Details'!$C$17:$C$66,'Project Details'!$L$17:$L$66,"",0)&gt;550, F2208="Spring-L27cm"),"",SUBSTITUTE(_xlfn.XLOOKUP(G2208,SKUs!$C$2:$C$10001,SKUs!$F$2:$F$10001,"",0), " Accessories",""))</f>
        <v/>
      </c>
      <c r="L2208" s="36">
        <f>_xlfn.XLOOKUP(C2208,'Project Details'!$C$17:$C$66,'Project Details'!$D$17:$D$66,"",0)</f>
        <v>0</v>
      </c>
      <c r="M2208" s="43"/>
    </row>
    <row r="2209" spans="1:13" ht="13.5" customHeight="1" outlineLevel="1" x14ac:dyDescent="0.25">
      <c r="A2209" s="43"/>
      <c r="B2209" s="43"/>
      <c r="C2209" s="16">
        <f t="shared" si="42"/>
        <v>44</v>
      </c>
      <c r="D2209" s="16" t="str" cm="1">
        <f t="array" ref="D2209">IFERROR(ROUNDUP(_xlfn.IFS(F2209="Aluminum Track", _xlfn.XLOOKUP(C2209, dd_accsrycalc!$A$2:$A$51, dd_accsrycalc!$B$2:$B$51, "",0), F2209="10 x 2 1/2 S (Flat)", _xlfn.XLOOKUP(C2209, dd_accsrycalc!$A$2:$A$51, dd_accsrycalc!$C$2:$C$51, "",0), F2209="Tox6", _xlfn.XLOOKUP(C2209, dd_accsrycalc!$A$2:$A$51, dd_accsrycalc!$D$2:$D$51, "",0), F2209="Cover Cap", _xlfn.XLOOKUP(C2209, dd_accsrycalc!$A$2:$A$51, dd_accsrycalc!$E$2:$E$51, "",0), F2209="Drainage Cover", _xlfn.XLOOKUP(C2209, dd_accsrycalc!$A$2:$A$51, dd_accsrycalc!$F$2:$F$51, "",0),AND( F2209="Double Adhesive Tape", I2209="Roll-up Screen"), _xlfn.XLOOKUP(C2209, calc_rusacc!$C$15:$C$65, calc_rusacc!$AD$15:$AD$65, "",0),AND( F2209="Sealant", I2209="Roll-up Screen"), _xlfn.XLOOKUP(C2209, calc_rusacc!$C$15:$C$65, calc_rusacc!$AF$15:$AF$65, "",0),  AND( F2209="Main Chain", I2209="Accordion Screen"), _xlfn.XLOOKUP(C2209, calc_rusacc!$C$15:$C$65, calc_rusacc!$BF$15:$BF$65, "",0), AND( F2209="Sealant", I2209="Accordion Screen"), _xlfn.XLOOKUP(C2209, calc_rusacc!$C$15:$C$65, calc_rusacc!$BJ$15:$BJ$65, "",0),  F2209="Sealant", _xlfn.XLOOKUP(C2209, dd_accsrycalc!$A$2:$A$51, dd_accsrycalc!$G$2:$G$51, "",0),  F2209&lt;&gt;"",L2209*_xlfn.XLOOKUP(1, (SKUs!$C$2:$C$10001=G2209)*(SKUs!$K$2:$K$10001=I2209),SKUs!$E$2:$E$10001)), 0),"")</f>
        <v/>
      </c>
      <c r="E2209" s="16" t="str">
        <f>_xlfn.XLOOKUP(F2209,dd_item!$B$2:$B$105,dd_item!$C$2:$C$105,"",0)</f>
        <v/>
      </c>
      <c r="F2209" s="16"/>
      <c r="G2209" s="16" cm="1">
        <f t="array" ref="G2209">IFERROR(_xlfn.XLOOKUP(1, (SKUs!$J$2:$J$10001=accsry_unmerged!F2209)*IF(H2209&lt;&gt;"",(SKUs!$L$2:$L$10001=accsry_unmerged!H2209),1)*(SKUs!$K$2:$K$10001=I2209),SKUs!$C$2:$C$10001),"")</f>
        <v>0</v>
      </c>
      <c r="H2209" s="33" cm="1">
        <f t="array" ref="H2209">IFERROR(_xlfn.XLOOKUP(1, (dd_accsryclr!$C$2:$C$1000=accsry_unmerged!F2209)*(dd_accsryclr!$B$2:$B$1000=accsry_unmerged!J2209),dd_accsryclr!$A$2:$A$1000),"")</f>
        <v>0</v>
      </c>
      <c r="I2209" s="16">
        <f>_xlfn.XLOOKUP(C2209,'Project Details'!$C$17:$C$66,'Project Details'!$E$17:$E$66,"",0)</f>
        <v>0</v>
      </c>
      <c r="J2209" s="16">
        <f>_xlfn.XLOOKUP(C2209,'Project Details'!$C$17:$C$66,'Project Details'!$H$17:$H$66,"",0)</f>
        <v>0</v>
      </c>
      <c r="K2209" s="33" t="str">
        <f>IF(AND(_xlfn.XLOOKUP(C2209,'Project Details'!$C$17:$C$66,'Project Details'!$L$17:$L$66,"",0)&gt;550, F2209="Spring-L27cm"),"",SUBSTITUTE(_xlfn.XLOOKUP(G2209,SKUs!$C$2:$C$10001,SKUs!$F$2:$F$10001,"",0), " Accessories",""))</f>
        <v/>
      </c>
      <c r="L2209" s="33">
        <f>_xlfn.XLOOKUP(C2209,'Project Details'!$C$17:$C$66,'Project Details'!$D$17:$D$66,"",0)</f>
        <v>0</v>
      </c>
      <c r="M2209" s="43"/>
    </row>
    <row r="2210" spans="1:13" ht="13.5" customHeight="1" outlineLevel="1" x14ac:dyDescent="0.25">
      <c r="A2210" s="43"/>
      <c r="B2210" s="43"/>
      <c r="C2210" s="35">
        <f t="shared" si="42"/>
        <v>44</v>
      </c>
      <c r="D2210" s="35" t="str" cm="1">
        <f t="array" ref="D2210">IFERROR(ROUNDUP(_xlfn.IFS(F2210="Aluminum Track", _xlfn.XLOOKUP(C2210, dd_accsrycalc!$A$2:$A$51, dd_accsrycalc!$B$2:$B$51, "",0), F2210="10 x 2 1/2 S (Flat)", _xlfn.XLOOKUP(C2210, dd_accsrycalc!$A$2:$A$51, dd_accsrycalc!$C$2:$C$51, "",0), F2210="Tox6", _xlfn.XLOOKUP(C2210, dd_accsrycalc!$A$2:$A$51, dd_accsrycalc!$D$2:$D$51, "",0), F2210="Cover Cap", _xlfn.XLOOKUP(C2210, dd_accsrycalc!$A$2:$A$51, dd_accsrycalc!$E$2:$E$51, "",0), F2210="Drainage Cover", _xlfn.XLOOKUP(C2210, dd_accsrycalc!$A$2:$A$51, dd_accsrycalc!$F$2:$F$51, "",0),AND( F2210="Double Adhesive Tape", I2210="Roll-up Screen"), _xlfn.XLOOKUP(C2210, calc_rusacc!$C$15:$C$65, calc_rusacc!$AD$15:$AD$65, "",0),AND( F2210="Sealant", I2210="Roll-up Screen"), _xlfn.XLOOKUP(C2210, calc_rusacc!$C$15:$C$65, calc_rusacc!$AF$15:$AF$65, "",0),  AND( F2210="Main Chain", I2210="Accordion Screen"), _xlfn.XLOOKUP(C2210, calc_rusacc!$C$15:$C$65, calc_rusacc!$BF$15:$BF$65, "",0), AND( F2210="Sealant", I2210="Accordion Screen"), _xlfn.XLOOKUP(C2210, calc_rusacc!$C$15:$C$65, calc_rusacc!$BJ$15:$BJ$65, "",0),  F2210="Sealant", _xlfn.XLOOKUP(C2210, dd_accsrycalc!$A$2:$A$51, dd_accsrycalc!$G$2:$G$51, "",0),  F2210&lt;&gt;"",L2210*_xlfn.XLOOKUP(1, (SKUs!$C$2:$C$10001=G2210)*(SKUs!$K$2:$K$10001=I2210),SKUs!$E$2:$E$10001)), 0),"")</f>
        <v/>
      </c>
      <c r="E2210" s="35" t="str">
        <f>_xlfn.XLOOKUP(F2210,dd_item!$B$2:$B$105,dd_item!$C$2:$C$105,"",0)</f>
        <v/>
      </c>
      <c r="F2210" s="35"/>
      <c r="G2210" s="35" cm="1">
        <f t="array" ref="G2210">IFERROR(_xlfn.XLOOKUP(1, (SKUs!$J$2:$J$10001=accsry_unmerged!F2210)*IF(H2210&lt;&gt;"",(SKUs!$L$2:$L$10001=accsry_unmerged!H2210),1)*(SKUs!$K$2:$K$10001=I2210),SKUs!$C$2:$C$10001),"")</f>
        <v>0</v>
      </c>
      <c r="H2210" s="36" cm="1">
        <f t="array" ref="H2210">IFERROR(_xlfn.XLOOKUP(1, (dd_accsryclr!$C$2:$C$1000=accsry_unmerged!F2210)*(dd_accsryclr!$B$2:$B$1000=accsry_unmerged!J2210),dd_accsryclr!$A$2:$A$1000),"")</f>
        <v>0</v>
      </c>
      <c r="I2210" s="35">
        <f>_xlfn.XLOOKUP(C2210,'Project Details'!$C$17:$C$66,'Project Details'!$E$17:$E$66,"",0)</f>
        <v>0</v>
      </c>
      <c r="J2210" s="35">
        <f>_xlfn.XLOOKUP(C2210,'Project Details'!$C$17:$C$66,'Project Details'!$H$17:$H$66,"",0)</f>
        <v>0</v>
      </c>
      <c r="K2210" s="36" t="str">
        <f>IF(AND(_xlfn.XLOOKUP(C2210,'Project Details'!$C$17:$C$66,'Project Details'!$L$17:$L$66,"",0)&gt;550, F2210="Spring-L27cm"),"",SUBSTITUTE(_xlfn.XLOOKUP(G2210,SKUs!$C$2:$C$10001,SKUs!$F$2:$F$10001,"",0), " Accessories",""))</f>
        <v/>
      </c>
      <c r="L2210" s="36">
        <f>_xlfn.XLOOKUP(C2210,'Project Details'!$C$17:$C$66,'Project Details'!$D$17:$D$66,"",0)</f>
        <v>0</v>
      </c>
      <c r="M2210" s="43"/>
    </row>
    <row r="2211" spans="1:13" ht="13.5" customHeight="1" outlineLevel="1" x14ac:dyDescent="0.25">
      <c r="A2211" s="43"/>
      <c r="B2211" s="43"/>
      <c r="C2211" s="16">
        <f t="shared" si="42"/>
        <v>44</v>
      </c>
      <c r="D2211" s="16" t="str" cm="1">
        <f t="array" ref="D2211">IFERROR(ROUNDUP(_xlfn.IFS(F2211="Aluminum Track", _xlfn.XLOOKUP(C2211, dd_accsrycalc!$A$2:$A$51, dd_accsrycalc!$B$2:$B$51, "",0), F2211="10 x 2 1/2 S (Flat)", _xlfn.XLOOKUP(C2211, dd_accsrycalc!$A$2:$A$51, dd_accsrycalc!$C$2:$C$51, "",0), F2211="Tox6", _xlfn.XLOOKUP(C2211, dd_accsrycalc!$A$2:$A$51, dd_accsrycalc!$D$2:$D$51, "",0), F2211="Cover Cap", _xlfn.XLOOKUP(C2211, dd_accsrycalc!$A$2:$A$51, dd_accsrycalc!$E$2:$E$51, "",0), F2211="Drainage Cover", _xlfn.XLOOKUP(C2211, dd_accsrycalc!$A$2:$A$51, dd_accsrycalc!$F$2:$F$51, "",0),AND( F2211="Double Adhesive Tape", I2211="Roll-up Screen"), _xlfn.XLOOKUP(C2211, calc_rusacc!$C$15:$C$65, calc_rusacc!$AD$15:$AD$65, "",0),AND( F2211="Sealant", I2211="Roll-up Screen"), _xlfn.XLOOKUP(C2211, calc_rusacc!$C$15:$C$65, calc_rusacc!$AF$15:$AF$65, "",0),  AND( F2211="Main Chain", I2211="Accordion Screen"), _xlfn.XLOOKUP(C2211, calc_rusacc!$C$15:$C$65, calc_rusacc!$BF$15:$BF$65, "",0), AND( F2211="Sealant", I2211="Accordion Screen"), _xlfn.XLOOKUP(C2211, calc_rusacc!$C$15:$C$65, calc_rusacc!$BJ$15:$BJ$65, "",0),  F2211="Sealant", _xlfn.XLOOKUP(C2211, dd_accsrycalc!$A$2:$A$51, dd_accsrycalc!$G$2:$G$51, "",0),  F2211&lt;&gt;"",L2211*_xlfn.XLOOKUP(1, (SKUs!$C$2:$C$10001=G2211)*(SKUs!$K$2:$K$10001=I2211),SKUs!$E$2:$E$10001)), 0),"")</f>
        <v/>
      </c>
      <c r="E2211" s="16" t="str">
        <f>_xlfn.XLOOKUP(F2211,dd_item!$B$2:$B$105,dd_item!$C$2:$C$105,"",0)</f>
        <v/>
      </c>
      <c r="F2211" s="16"/>
      <c r="G2211" s="16" cm="1">
        <f t="array" ref="G2211">IFERROR(_xlfn.XLOOKUP(1, (SKUs!$J$2:$J$10001=accsry_unmerged!F2211)*IF(H2211&lt;&gt;"",(SKUs!$L$2:$L$10001=accsry_unmerged!H2211),1)*(SKUs!$K$2:$K$10001=I2211),SKUs!$C$2:$C$10001),"")</f>
        <v>0</v>
      </c>
      <c r="H2211" s="33" cm="1">
        <f t="array" ref="H2211">IFERROR(_xlfn.XLOOKUP(1, (dd_accsryclr!$C$2:$C$1000=accsry_unmerged!F2211)*(dd_accsryclr!$B$2:$B$1000=accsry_unmerged!J2211),dd_accsryclr!$A$2:$A$1000),"")</f>
        <v>0</v>
      </c>
      <c r="I2211" s="16">
        <f>_xlfn.XLOOKUP(C2211,'Project Details'!$C$17:$C$66,'Project Details'!$E$17:$E$66,"",0)</f>
        <v>0</v>
      </c>
      <c r="J2211" s="16">
        <f>_xlfn.XLOOKUP(C2211,'Project Details'!$C$17:$C$66,'Project Details'!$H$17:$H$66,"",0)</f>
        <v>0</v>
      </c>
      <c r="K2211" s="33" t="str">
        <f>IF(AND(_xlfn.XLOOKUP(C2211,'Project Details'!$C$17:$C$66,'Project Details'!$L$17:$L$66,"",0)&gt;550, F2211="Spring-L27cm"),"",SUBSTITUTE(_xlfn.XLOOKUP(G2211,SKUs!$C$2:$C$10001,SKUs!$F$2:$F$10001,"",0), " Accessories",""))</f>
        <v/>
      </c>
      <c r="L2211" s="33">
        <f>_xlfn.XLOOKUP(C2211,'Project Details'!$C$17:$C$66,'Project Details'!$D$17:$D$66,"",0)</f>
        <v>0</v>
      </c>
      <c r="M2211" s="43"/>
    </row>
    <row r="2212" spans="1:13" ht="13.5" customHeight="1" outlineLevel="1" x14ac:dyDescent="0.25">
      <c r="A2212" s="43"/>
      <c r="B2212" s="43"/>
      <c r="C2212" s="35">
        <f t="shared" si="42"/>
        <v>44</v>
      </c>
      <c r="D2212" s="35" t="str" cm="1">
        <f t="array" ref="D2212">IFERROR(ROUNDUP(_xlfn.IFS(F2212="Aluminum Track", _xlfn.XLOOKUP(C2212, dd_accsrycalc!$A$2:$A$51, dd_accsrycalc!$B$2:$B$51, "",0), F2212="10 x 2 1/2 S (Flat)", _xlfn.XLOOKUP(C2212, dd_accsrycalc!$A$2:$A$51, dd_accsrycalc!$C$2:$C$51, "",0), F2212="Tox6", _xlfn.XLOOKUP(C2212, dd_accsrycalc!$A$2:$A$51, dd_accsrycalc!$D$2:$D$51, "",0), F2212="Cover Cap", _xlfn.XLOOKUP(C2212, dd_accsrycalc!$A$2:$A$51, dd_accsrycalc!$E$2:$E$51, "",0), F2212="Drainage Cover", _xlfn.XLOOKUP(C2212, dd_accsrycalc!$A$2:$A$51, dd_accsrycalc!$F$2:$F$51, "",0),AND( F2212="Double Adhesive Tape", I2212="Roll-up Screen"), _xlfn.XLOOKUP(C2212, calc_rusacc!$C$15:$C$65, calc_rusacc!$AD$15:$AD$65, "",0),AND( F2212="Sealant", I2212="Roll-up Screen"), _xlfn.XLOOKUP(C2212, calc_rusacc!$C$15:$C$65, calc_rusacc!$AF$15:$AF$65, "",0),  AND( F2212="Main Chain", I2212="Accordion Screen"), _xlfn.XLOOKUP(C2212, calc_rusacc!$C$15:$C$65, calc_rusacc!$BF$15:$BF$65, "",0), AND( F2212="Sealant", I2212="Accordion Screen"), _xlfn.XLOOKUP(C2212, calc_rusacc!$C$15:$C$65, calc_rusacc!$BJ$15:$BJ$65, "",0),  F2212="Sealant", _xlfn.XLOOKUP(C2212, dd_accsrycalc!$A$2:$A$51, dd_accsrycalc!$G$2:$G$51, "",0),  F2212&lt;&gt;"",L2212*_xlfn.XLOOKUP(1, (SKUs!$C$2:$C$10001=G2212)*(SKUs!$K$2:$K$10001=I2212),SKUs!$E$2:$E$10001)), 0),"")</f>
        <v/>
      </c>
      <c r="E2212" s="35" t="str">
        <f>_xlfn.XLOOKUP(F2212,dd_item!$B$2:$B$105,dd_item!$C$2:$C$105,"",0)</f>
        <v/>
      </c>
      <c r="F2212" s="35"/>
      <c r="G2212" s="35" cm="1">
        <f t="array" ref="G2212">IFERROR(_xlfn.XLOOKUP(1, (SKUs!$J$2:$J$10001=accsry_unmerged!F2212)*IF(H2212&lt;&gt;"",(SKUs!$L$2:$L$10001=accsry_unmerged!H2212),1)*(SKUs!$K$2:$K$10001=I2212),SKUs!$C$2:$C$10001),"")</f>
        <v>0</v>
      </c>
      <c r="H2212" s="36" cm="1">
        <f t="array" ref="H2212">IFERROR(_xlfn.XLOOKUP(1, (dd_accsryclr!$C$2:$C$1000=accsry_unmerged!F2212)*(dd_accsryclr!$B$2:$B$1000=accsry_unmerged!J2212),dd_accsryclr!$A$2:$A$1000),"")</f>
        <v>0</v>
      </c>
      <c r="I2212" s="35">
        <f>_xlfn.XLOOKUP(C2212,'Project Details'!$C$17:$C$66,'Project Details'!$E$17:$E$66,"",0)</f>
        <v>0</v>
      </c>
      <c r="J2212" s="35">
        <f>_xlfn.XLOOKUP(C2212,'Project Details'!$C$17:$C$66,'Project Details'!$H$17:$H$66,"",0)</f>
        <v>0</v>
      </c>
      <c r="K2212" s="36" t="str">
        <f>IF(AND(_xlfn.XLOOKUP(C2212,'Project Details'!$C$17:$C$66,'Project Details'!$L$17:$L$66,"",0)&gt;550, F2212="Spring-L27cm"),"",SUBSTITUTE(_xlfn.XLOOKUP(G2212,SKUs!$C$2:$C$10001,SKUs!$F$2:$F$10001,"",0), " Accessories",""))</f>
        <v/>
      </c>
      <c r="L2212" s="36">
        <f>_xlfn.XLOOKUP(C2212,'Project Details'!$C$17:$C$66,'Project Details'!$D$17:$D$66,"",0)</f>
        <v>0</v>
      </c>
      <c r="M2212" s="43"/>
    </row>
    <row r="2213" spans="1:13" ht="13.5" customHeight="1" outlineLevel="1" x14ac:dyDescent="0.25">
      <c r="A2213" s="43"/>
      <c r="B2213" s="43"/>
      <c r="C2213" s="16">
        <f t="shared" si="42"/>
        <v>44</v>
      </c>
      <c r="D2213" s="16" t="str" cm="1">
        <f t="array" ref="D2213">IFERROR(ROUNDUP(_xlfn.IFS(F2213="Aluminum Track", _xlfn.XLOOKUP(C2213, dd_accsrycalc!$A$2:$A$51, dd_accsrycalc!$B$2:$B$51, "",0), F2213="10 x 2 1/2 S (Flat)", _xlfn.XLOOKUP(C2213, dd_accsrycalc!$A$2:$A$51, dd_accsrycalc!$C$2:$C$51, "",0), F2213="Tox6", _xlfn.XLOOKUP(C2213, dd_accsrycalc!$A$2:$A$51, dd_accsrycalc!$D$2:$D$51, "",0), F2213="Cover Cap", _xlfn.XLOOKUP(C2213, dd_accsrycalc!$A$2:$A$51, dd_accsrycalc!$E$2:$E$51, "",0), F2213="Drainage Cover", _xlfn.XLOOKUP(C2213, dd_accsrycalc!$A$2:$A$51, dd_accsrycalc!$F$2:$F$51, "",0),AND( F2213="Double Adhesive Tape", I2213="Roll-up Screen"), _xlfn.XLOOKUP(C2213, calc_rusacc!$C$15:$C$65, calc_rusacc!$AD$15:$AD$65, "",0),AND( F2213="Sealant", I2213="Roll-up Screen"), _xlfn.XLOOKUP(C2213, calc_rusacc!$C$15:$C$65, calc_rusacc!$AF$15:$AF$65, "",0),  AND( F2213="Main Chain", I2213="Accordion Screen"), _xlfn.XLOOKUP(C2213, calc_rusacc!$C$15:$C$65, calc_rusacc!$BF$15:$BF$65, "",0), AND( F2213="Sealant", I2213="Accordion Screen"), _xlfn.XLOOKUP(C2213, calc_rusacc!$C$15:$C$65, calc_rusacc!$BJ$15:$BJ$65, "",0),  F2213="Sealant", _xlfn.XLOOKUP(C2213, dd_accsrycalc!$A$2:$A$51, dd_accsrycalc!$G$2:$G$51, "",0),  F2213&lt;&gt;"",L2213*_xlfn.XLOOKUP(1, (SKUs!$C$2:$C$10001=G2213)*(SKUs!$K$2:$K$10001=I2213),SKUs!$E$2:$E$10001)), 0),"")</f>
        <v/>
      </c>
      <c r="E2213" s="16" t="str">
        <f>_xlfn.XLOOKUP(F2213,dd_item!$B$2:$B$105,dd_item!$C$2:$C$105,"",0)</f>
        <v/>
      </c>
      <c r="F2213" s="16"/>
      <c r="G2213" s="16" cm="1">
        <f t="array" ref="G2213">IFERROR(_xlfn.XLOOKUP(1, (SKUs!$J$2:$J$10001=accsry_unmerged!F2213)*IF(H2213&lt;&gt;"",(SKUs!$L$2:$L$10001=accsry_unmerged!H2213),1)*(SKUs!$K$2:$K$10001=I2213),SKUs!$C$2:$C$10001),"")</f>
        <v>0</v>
      </c>
      <c r="H2213" s="33" cm="1">
        <f t="array" ref="H2213">IFERROR(_xlfn.XLOOKUP(1, (dd_accsryclr!$C$2:$C$1000=accsry_unmerged!F2213)*(dd_accsryclr!$B$2:$B$1000=accsry_unmerged!J2213),dd_accsryclr!$A$2:$A$1000),"")</f>
        <v>0</v>
      </c>
      <c r="I2213" s="16">
        <f>_xlfn.XLOOKUP(C2213,'Project Details'!$C$17:$C$66,'Project Details'!$E$17:$E$66,"",0)</f>
        <v>0</v>
      </c>
      <c r="J2213" s="16">
        <f>_xlfn.XLOOKUP(C2213,'Project Details'!$C$17:$C$66,'Project Details'!$H$17:$H$66,"",0)</f>
        <v>0</v>
      </c>
      <c r="K2213" s="33" t="str">
        <f>IF(AND(_xlfn.XLOOKUP(C2213,'Project Details'!$C$17:$C$66,'Project Details'!$L$17:$L$66,"",0)&gt;550, F2213="Spring-L27cm"),"",SUBSTITUTE(_xlfn.XLOOKUP(G2213,SKUs!$C$2:$C$10001,SKUs!$F$2:$F$10001,"",0), " Accessories",""))</f>
        <v/>
      </c>
      <c r="L2213" s="33">
        <f>_xlfn.XLOOKUP(C2213,'Project Details'!$C$17:$C$66,'Project Details'!$D$17:$D$66,"",0)</f>
        <v>0</v>
      </c>
      <c r="M2213" s="43"/>
    </row>
    <row r="2214" spans="1:13" x14ac:dyDescent="0.25">
      <c r="A2214" s="43"/>
      <c r="B2214" s="43"/>
      <c r="C2214" s="43"/>
      <c r="D2214" s="43"/>
      <c r="E2214" s="43"/>
      <c r="F2214" s="43"/>
      <c r="G2214" s="43"/>
      <c r="H2214" s="43"/>
      <c r="I2214" s="43"/>
      <c r="J2214" s="43"/>
      <c r="K2214" s="43"/>
      <c r="L2214" s="43"/>
      <c r="M2214" s="43"/>
    </row>
    <row r="2215" spans="1:13" x14ac:dyDescent="0.25">
      <c r="A2215" s="43"/>
      <c r="B2215" s="43"/>
      <c r="C2215" s="16">
        <f>C2213+1</f>
        <v>45</v>
      </c>
      <c r="D2215" s="48" cm="1">
        <f t="array" ref="D2215">IFERROR(ROUNDUP(_xlfn.IFS(F2215="Aluminum Track", _xlfn.XLOOKUP(C2215, dd_accsrycalc!$A$2:$A$51, dd_accsrycalc!$B$2:$B$51, "",0), F2215="10 x 2 1/2 S (Flat)", _xlfn.XLOOKUP(C2215, dd_accsrycalc!$A$2:$A$51, dd_accsrycalc!$C$2:$C$51, "",0), F2215="Tox6", _xlfn.XLOOKUP(C2215, dd_accsrycalc!$A$2:$A$51, dd_accsrycalc!$D$2:$D$51, "",0), F2215="Cover Cap", _xlfn.XLOOKUP(C2215, dd_accsrycalc!$A$2:$A$51, dd_accsrycalc!$E$2:$E$51, "",0), F2215="Drainage Cover", _xlfn.XLOOKUP(C2215, dd_accsrycalc!$A$2:$A$51, dd_accsrycalc!$F$2:$F$51, "",0),AND( F2215="Double Adhesive Tape", I2215="Roll-up Screen"), _xlfn.XLOOKUP(C2215, calc_rusacc!$C$15:$C$65, calc_rusacc!$AD$15:$AD$65, "",0),AND( F2215="Sealant", I2215="Roll-up Screen"), _xlfn.XLOOKUP(C2215, calc_rusacc!$C$15:$C$65, calc_rusacc!$AF$15:$AF$65, "",0),  AND( F2215="Main Chain", I2215="Accordion Screen"), _xlfn.XLOOKUP(C2215, calc_rusacc!$C$15:$C$65, calc_rusacc!$BF$15:$BF$65, "",0), AND( F2215="Sealant", I2215="Accordion Screen"), _xlfn.XLOOKUP(C2215, calc_rusacc!$C$15:$C$65, calc_rusacc!$BJ$15:$BJ$65, "",0),  F2215="Sealant", _xlfn.XLOOKUP(C2215, dd_accsrycalc!$A$2:$A$51, dd_accsrycalc!$G$2:$G$51, "",0),  F2215&lt;&gt;"",L2215*_xlfn.XLOOKUP(1, (SKUs!$C$2:$C$10001=G2215)*(SKUs!$K$2:$K$10001=I2215),SKUs!$E$2:$E$10001)), 0),"")</f>
        <v>0</v>
      </c>
      <c r="E2215" s="48" t="str">
        <f>_xlfn.XLOOKUP(F2215,dd_item!$B$2:$B$105,dd_item!$C$2:$C$105,"",0)</f>
        <v/>
      </c>
      <c r="F2215" s="48" cm="1">
        <f t="array" ref="F2215">IFERROR(_xlfn.UNIQUE(_xlfn._xlws.FILTER(SKUs!$J$2:$J$10001, (SKUs!$F$2:$F$10001&lt;&gt;"Cutting List") * (SKUs!$A$2:$A$10001=_xlfn.XLOOKUP(_xlfn.XLOOKUP(C2215,'Project Details'!$C$17:$C$66,'Project Details'!$E$17:$E$66,"",0), dd_design_raw!$A$2:$A$101,dd_design_raw!$C$2:$C$101,"",0)))), "")</f>
        <v>0</v>
      </c>
      <c r="G2215" s="16" cm="1">
        <f t="array" ref="G2215">IFERROR(_xlfn.XLOOKUP(1, (SKUs!$J$2:$J$10001=accsry_unmerged!F2215)*IF(H2215&lt;&gt;"",(SKUs!$L$2:$L$10001=accsry_unmerged!H2215),1)*(SKUs!$K$2:$K$10001=I2215),SKUs!$C$2:$C$10001),"")</f>
        <v>0</v>
      </c>
      <c r="H2215" s="16" cm="1">
        <f t="array" ref="H2215">IFERROR(_xlfn.XLOOKUP(1, (dd_accsryclr!$C$2:$C$1000=accsry_unmerged!F2215)*(dd_accsryclr!$B$2:$B$1000=accsry_unmerged!J2215),dd_accsryclr!$A$2:$A$1000),"")</f>
        <v>0</v>
      </c>
      <c r="I2215" s="16">
        <f>_xlfn.XLOOKUP(C2215,'Project Details'!$C$17:$C$66,'Project Details'!$E$17:$E$66,"",0)</f>
        <v>0</v>
      </c>
      <c r="J2215" s="16">
        <f>_xlfn.XLOOKUP(C2215,'Project Details'!$C$17:$C$66,'Project Details'!$H$17:$H$66,"",0)</f>
        <v>0</v>
      </c>
      <c r="K2215" s="16" t="str">
        <f>IF(AND(_xlfn.XLOOKUP(C2215,'Project Details'!$C$17:$C$66,'Project Details'!$L$17:$L$66,"",0)&gt;550, F2215="Spring-L27cm"),"",SUBSTITUTE(_xlfn.XLOOKUP(G2215,SKUs!$C$2:$C$10001,SKUs!$F$2:$F$10001,"",0), " Accessories",""))</f>
        <v/>
      </c>
      <c r="L2215" s="16">
        <f>_xlfn.XLOOKUP(C2215,'Project Details'!$C$17:$C$66,'Project Details'!$D$17:$D$66,"",0)</f>
        <v>0</v>
      </c>
      <c r="M2215" s="43"/>
    </row>
    <row r="2216" spans="1:13" x14ac:dyDescent="0.25">
      <c r="A2216" s="43"/>
      <c r="B2216" s="43"/>
      <c r="C2216" s="35">
        <f>C2215</f>
        <v>45</v>
      </c>
      <c r="D2216" s="35" t="str" cm="1">
        <f t="array" ref="D2216">IFERROR(ROUNDUP(_xlfn.IFS(F2216="Aluminum Track", _xlfn.XLOOKUP(C2216, dd_accsrycalc!$A$2:$A$51, dd_accsrycalc!$B$2:$B$51, "",0), F2216="10 x 2 1/2 S (Flat)", _xlfn.XLOOKUP(C2216, dd_accsrycalc!$A$2:$A$51, dd_accsrycalc!$C$2:$C$51, "",0), F2216="Tox6", _xlfn.XLOOKUP(C2216, dd_accsrycalc!$A$2:$A$51, dd_accsrycalc!$D$2:$D$51, "",0), F2216="Cover Cap", _xlfn.XLOOKUP(C2216, dd_accsrycalc!$A$2:$A$51, dd_accsrycalc!$E$2:$E$51, "",0), F2216="Drainage Cover", _xlfn.XLOOKUP(C2216, dd_accsrycalc!$A$2:$A$51, dd_accsrycalc!$F$2:$F$51, "",0),AND( F2216="Double Adhesive Tape", I2216="Roll-up Screen"), _xlfn.XLOOKUP(C2216, calc_rusacc!$C$15:$C$65, calc_rusacc!$AD$15:$AD$65, "",0),AND( F2216="Sealant", I2216="Roll-up Screen"), _xlfn.XLOOKUP(C2216, calc_rusacc!$C$15:$C$65, calc_rusacc!$AF$15:$AF$65, "",0),  AND( F2216="Main Chain", I2216="Accordion Screen"), _xlfn.XLOOKUP(C2216, calc_rusacc!$C$15:$C$65, calc_rusacc!$BF$15:$BF$65, "",0), AND( F2216="Sealant", I2216="Accordion Screen"), _xlfn.XLOOKUP(C2216, calc_rusacc!$C$15:$C$65, calc_rusacc!$BJ$15:$BJ$65, "",0),  F2216="Sealant", _xlfn.XLOOKUP(C2216, dd_accsrycalc!$A$2:$A$51, dd_accsrycalc!$G$2:$G$51, "",0),  F2216&lt;&gt;"",L2216*_xlfn.XLOOKUP(1, (SKUs!$C$2:$C$10001=G2216)*(SKUs!$K$2:$K$10001=I2216),SKUs!$E$2:$E$10001)), 0),"")</f>
        <v/>
      </c>
      <c r="E2216" s="35" t="str">
        <f>_xlfn.XLOOKUP(F2216,dd_item!$B$2:$B$105,dd_item!$C$2:$C$105,"",0)</f>
        <v/>
      </c>
      <c r="F2216" s="35"/>
      <c r="G2216" s="35" cm="1">
        <f t="array" ref="G2216">IFERROR(_xlfn.XLOOKUP(1, (SKUs!$J$2:$J$10001=accsry_unmerged!F2216)*IF(H2216&lt;&gt;"",(SKUs!$L$2:$L$10001=accsry_unmerged!H2216),1)*(SKUs!$K$2:$K$10001=I2216),SKUs!$C$2:$C$10001),"")</f>
        <v>0</v>
      </c>
      <c r="H2216" s="36" cm="1">
        <f t="array" ref="H2216">IFERROR(_xlfn.XLOOKUP(1, (dd_accsryclr!$C$2:$C$1000=accsry_unmerged!F2216)*(dd_accsryclr!$B$2:$B$1000=accsry_unmerged!J2216),dd_accsryclr!$A$2:$A$1000),"")</f>
        <v>0</v>
      </c>
      <c r="I2216" s="35">
        <f>_xlfn.XLOOKUP(C2216,'Project Details'!$C$17:$C$66,'Project Details'!$E$17:$E$66,"",0)</f>
        <v>0</v>
      </c>
      <c r="J2216" s="35">
        <f>_xlfn.XLOOKUP(C2216,'Project Details'!$C$17:$C$66,'Project Details'!$H$17:$H$66,"",0)</f>
        <v>0</v>
      </c>
      <c r="K2216" s="36" t="str">
        <f>IF(AND(_xlfn.XLOOKUP(C2216,'Project Details'!$C$17:$C$66,'Project Details'!$L$17:$L$66,"",0)&gt;550, F2216="Spring-L27cm"),"",SUBSTITUTE(_xlfn.XLOOKUP(G2216,SKUs!$C$2:$C$10001,SKUs!$F$2:$F$10001,"",0), " Accessories",""))</f>
        <v/>
      </c>
      <c r="L2216" s="36">
        <f>_xlfn.XLOOKUP(C2216,'Project Details'!$C$17:$C$66,'Project Details'!$D$17:$D$66,"",0)</f>
        <v>0</v>
      </c>
      <c r="M2216" s="43"/>
    </row>
    <row r="2217" spans="1:13" x14ac:dyDescent="0.25">
      <c r="A2217" s="43"/>
      <c r="B2217" s="43"/>
      <c r="C2217" s="16">
        <f t="shared" ref="C2217:C2263" si="43">C2216</f>
        <v>45</v>
      </c>
      <c r="D2217" s="16" t="str" cm="1">
        <f t="array" ref="D2217">IFERROR(ROUNDUP(_xlfn.IFS(F2217="Aluminum Track", _xlfn.XLOOKUP(C2217, dd_accsrycalc!$A$2:$A$51, dd_accsrycalc!$B$2:$B$51, "",0), F2217="10 x 2 1/2 S (Flat)", _xlfn.XLOOKUP(C2217, dd_accsrycalc!$A$2:$A$51, dd_accsrycalc!$C$2:$C$51, "",0), F2217="Tox6", _xlfn.XLOOKUP(C2217, dd_accsrycalc!$A$2:$A$51, dd_accsrycalc!$D$2:$D$51, "",0), F2217="Cover Cap", _xlfn.XLOOKUP(C2217, dd_accsrycalc!$A$2:$A$51, dd_accsrycalc!$E$2:$E$51, "",0), F2217="Drainage Cover", _xlfn.XLOOKUP(C2217, dd_accsrycalc!$A$2:$A$51, dd_accsrycalc!$F$2:$F$51, "",0),AND( F2217="Double Adhesive Tape", I2217="Roll-up Screen"), _xlfn.XLOOKUP(C2217, calc_rusacc!$C$15:$C$65, calc_rusacc!$AD$15:$AD$65, "",0),AND( F2217="Sealant", I2217="Roll-up Screen"), _xlfn.XLOOKUP(C2217, calc_rusacc!$C$15:$C$65, calc_rusacc!$AF$15:$AF$65, "",0),  AND( F2217="Main Chain", I2217="Accordion Screen"), _xlfn.XLOOKUP(C2217, calc_rusacc!$C$15:$C$65, calc_rusacc!$BF$15:$BF$65, "",0), AND( F2217="Sealant", I2217="Accordion Screen"), _xlfn.XLOOKUP(C2217, calc_rusacc!$C$15:$C$65, calc_rusacc!$BJ$15:$BJ$65, "",0),  F2217="Sealant", _xlfn.XLOOKUP(C2217, dd_accsrycalc!$A$2:$A$51, dd_accsrycalc!$G$2:$G$51, "",0),  F2217&lt;&gt;"",L2217*_xlfn.XLOOKUP(1, (SKUs!$C$2:$C$10001=G2217)*(SKUs!$K$2:$K$10001=I2217),SKUs!$E$2:$E$10001)), 0),"")</f>
        <v/>
      </c>
      <c r="E2217" s="16" t="str">
        <f>_xlfn.XLOOKUP(F2217,dd_item!$B$2:$B$105,dd_item!$C$2:$C$105,"",0)</f>
        <v/>
      </c>
      <c r="F2217" s="16"/>
      <c r="G2217" s="16" cm="1">
        <f t="array" ref="G2217">IFERROR(_xlfn.XLOOKUP(1, (SKUs!$J$2:$J$10001=accsry_unmerged!F2217)*IF(H2217&lt;&gt;"",(SKUs!$L$2:$L$10001=accsry_unmerged!H2217),1)*(SKUs!$K$2:$K$10001=I2217),SKUs!$C$2:$C$10001),"")</f>
        <v>0</v>
      </c>
      <c r="H2217" s="33" cm="1">
        <f t="array" ref="H2217">IFERROR(_xlfn.XLOOKUP(1, (dd_accsryclr!$C$2:$C$1000=accsry_unmerged!F2217)*(dd_accsryclr!$B$2:$B$1000=accsry_unmerged!J2217),dd_accsryclr!$A$2:$A$1000),"")</f>
        <v>0</v>
      </c>
      <c r="I2217" s="16">
        <f>_xlfn.XLOOKUP(C2217,'Project Details'!$C$17:$C$66,'Project Details'!$E$17:$E$66,"",0)</f>
        <v>0</v>
      </c>
      <c r="J2217" s="16">
        <f>_xlfn.XLOOKUP(C2217,'Project Details'!$C$17:$C$66,'Project Details'!$H$17:$H$66,"",0)</f>
        <v>0</v>
      </c>
      <c r="K2217" s="33" t="str">
        <f>IF(AND(_xlfn.XLOOKUP(C2217,'Project Details'!$C$17:$C$66,'Project Details'!$L$17:$L$66,"",0)&gt;550, F2217="Spring-L27cm"),"",SUBSTITUTE(_xlfn.XLOOKUP(G2217,SKUs!$C$2:$C$10001,SKUs!$F$2:$F$10001,"",0), " Accessories",""))</f>
        <v/>
      </c>
      <c r="L2217" s="33">
        <f>_xlfn.XLOOKUP(C2217,'Project Details'!$C$17:$C$66,'Project Details'!$D$17:$D$66,"",0)</f>
        <v>0</v>
      </c>
      <c r="M2217" s="43"/>
    </row>
    <row r="2218" spans="1:13" x14ac:dyDescent="0.25">
      <c r="A2218" s="43"/>
      <c r="B2218" s="43"/>
      <c r="C2218" s="35">
        <f t="shared" si="43"/>
        <v>45</v>
      </c>
      <c r="D2218" s="35" t="str" cm="1">
        <f t="array" ref="D2218">IFERROR(ROUNDUP(_xlfn.IFS(F2218="Aluminum Track", _xlfn.XLOOKUP(C2218, dd_accsrycalc!$A$2:$A$51, dd_accsrycalc!$B$2:$B$51, "",0), F2218="10 x 2 1/2 S (Flat)", _xlfn.XLOOKUP(C2218, dd_accsrycalc!$A$2:$A$51, dd_accsrycalc!$C$2:$C$51, "",0), F2218="Tox6", _xlfn.XLOOKUP(C2218, dd_accsrycalc!$A$2:$A$51, dd_accsrycalc!$D$2:$D$51, "",0), F2218="Cover Cap", _xlfn.XLOOKUP(C2218, dd_accsrycalc!$A$2:$A$51, dd_accsrycalc!$E$2:$E$51, "",0), F2218="Drainage Cover", _xlfn.XLOOKUP(C2218, dd_accsrycalc!$A$2:$A$51, dd_accsrycalc!$F$2:$F$51, "",0),AND( F2218="Double Adhesive Tape", I2218="Roll-up Screen"), _xlfn.XLOOKUP(C2218, calc_rusacc!$C$15:$C$65, calc_rusacc!$AD$15:$AD$65, "",0),AND( F2218="Sealant", I2218="Roll-up Screen"), _xlfn.XLOOKUP(C2218, calc_rusacc!$C$15:$C$65, calc_rusacc!$AF$15:$AF$65, "",0),  AND( F2218="Main Chain", I2218="Accordion Screen"), _xlfn.XLOOKUP(C2218, calc_rusacc!$C$15:$C$65, calc_rusacc!$BF$15:$BF$65, "",0), AND( F2218="Sealant", I2218="Accordion Screen"), _xlfn.XLOOKUP(C2218, calc_rusacc!$C$15:$C$65, calc_rusacc!$BJ$15:$BJ$65, "",0),  F2218="Sealant", _xlfn.XLOOKUP(C2218, dd_accsrycalc!$A$2:$A$51, dd_accsrycalc!$G$2:$G$51, "",0),  F2218&lt;&gt;"",L2218*_xlfn.XLOOKUP(1, (SKUs!$C$2:$C$10001=G2218)*(SKUs!$K$2:$K$10001=I2218),SKUs!$E$2:$E$10001)), 0),"")</f>
        <v/>
      </c>
      <c r="E2218" s="35" t="str">
        <f>_xlfn.XLOOKUP(F2218,dd_item!$B$2:$B$105,dd_item!$C$2:$C$105,"",0)</f>
        <v/>
      </c>
      <c r="F2218" s="35"/>
      <c r="G2218" s="35" cm="1">
        <f t="array" ref="G2218">IFERROR(_xlfn.XLOOKUP(1, (SKUs!$J$2:$J$10001=accsry_unmerged!F2218)*IF(H2218&lt;&gt;"",(SKUs!$L$2:$L$10001=accsry_unmerged!H2218),1)*(SKUs!$K$2:$K$10001=I2218),SKUs!$C$2:$C$10001),"")</f>
        <v>0</v>
      </c>
      <c r="H2218" s="36" cm="1">
        <f t="array" ref="H2218">IFERROR(_xlfn.XLOOKUP(1, (dd_accsryclr!$C$2:$C$1000=accsry_unmerged!F2218)*(dd_accsryclr!$B$2:$B$1000=accsry_unmerged!J2218),dd_accsryclr!$A$2:$A$1000),"")</f>
        <v>0</v>
      </c>
      <c r="I2218" s="35">
        <f>_xlfn.XLOOKUP(C2218,'Project Details'!$C$17:$C$66,'Project Details'!$E$17:$E$66,"",0)</f>
        <v>0</v>
      </c>
      <c r="J2218" s="35">
        <f>_xlfn.XLOOKUP(C2218,'Project Details'!$C$17:$C$66,'Project Details'!$H$17:$H$66,"",0)</f>
        <v>0</v>
      </c>
      <c r="K2218" s="36" t="str">
        <f>IF(AND(_xlfn.XLOOKUP(C2218,'Project Details'!$C$17:$C$66,'Project Details'!$L$17:$L$66,"",0)&gt;550, F2218="Spring-L27cm"),"",SUBSTITUTE(_xlfn.XLOOKUP(G2218,SKUs!$C$2:$C$10001,SKUs!$F$2:$F$10001,"",0), " Accessories",""))</f>
        <v/>
      </c>
      <c r="L2218" s="36">
        <f>_xlfn.XLOOKUP(C2218,'Project Details'!$C$17:$C$66,'Project Details'!$D$17:$D$66,"",0)</f>
        <v>0</v>
      </c>
      <c r="M2218" s="43"/>
    </row>
    <row r="2219" spans="1:13" x14ac:dyDescent="0.25">
      <c r="A2219" s="43"/>
      <c r="B2219" s="43"/>
      <c r="C2219" s="16">
        <f t="shared" si="43"/>
        <v>45</v>
      </c>
      <c r="D2219" s="16" t="str" cm="1">
        <f t="array" ref="D2219">IFERROR(ROUNDUP(_xlfn.IFS(F2219="Aluminum Track", _xlfn.XLOOKUP(C2219, dd_accsrycalc!$A$2:$A$51, dd_accsrycalc!$B$2:$B$51, "",0), F2219="10 x 2 1/2 S (Flat)", _xlfn.XLOOKUP(C2219, dd_accsrycalc!$A$2:$A$51, dd_accsrycalc!$C$2:$C$51, "",0), F2219="Tox6", _xlfn.XLOOKUP(C2219, dd_accsrycalc!$A$2:$A$51, dd_accsrycalc!$D$2:$D$51, "",0), F2219="Cover Cap", _xlfn.XLOOKUP(C2219, dd_accsrycalc!$A$2:$A$51, dd_accsrycalc!$E$2:$E$51, "",0), F2219="Drainage Cover", _xlfn.XLOOKUP(C2219, dd_accsrycalc!$A$2:$A$51, dd_accsrycalc!$F$2:$F$51, "",0),AND( F2219="Double Adhesive Tape", I2219="Roll-up Screen"), _xlfn.XLOOKUP(C2219, calc_rusacc!$C$15:$C$65, calc_rusacc!$AD$15:$AD$65, "",0),AND( F2219="Sealant", I2219="Roll-up Screen"), _xlfn.XLOOKUP(C2219, calc_rusacc!$C$15:$C$65, calc_rusacc!$AF$15:$AF$65, "",0),  AND( F2219="Main Chain", I2219="Accordion Screen"), _xlfn.XLOOKUP(C2219, calc_rusacc!$C$15:$C$65, calc_rusacc!$BF$15:$BF$65, "",0), AND( F2219="Sealant", I2219="Accordion Screen"), _xlfn.XLOOKUP(C2219, calc_rusacc!$C$15:$C$65, calc_rusacc!$BJ$15:$BJ$65, "",0),  F2219="Sealant", _xlfn.XLOOKUP(C2219, dd_accsrycalc!$A$2:$A$51, dd_accsrycalc!$G$2:$G$51, "",0),  F2219&lt;&gt;"",L2219*_xlfn.XLOOKUP(1, (SKUs!$C$2:$C$10001=G2219)*(SKUs!$K$2:$K$10001=I2219),SKUs!$E$2:$E$10001)), 0),"")</f>
        <v/>
      </c>
      <c r="E2219" s="16" t="str">
        <f>_xlfn.XLOOKUP(F2219,dd_item!$B$2:$B$105,dd_item!$C$2:$C$105,"",0)</f>
        <v/>
      </c>
      <c r="F2219" s="16"/>
      <c r="G2219" s="16" cm="1">
        <f t="array" ref="G2219">IFERROR(_xlfn.XLOOKUP(1, (SKUs!$J$2:$J$10001=accsry_unmerged!F2219)*IF(H2219&lt;&gt;"",(SKUs!$L$2:$L$10001=accsry_unmerged!H2219),1)*(SKUs!$K$2:$K$10001=I2219),SKUs!$C$2:$C$10001),"")</f>
        <v>0</v>
      </c>
      <c r="H2219" s="33" cm="1">
        <f t="array" ref="H2219">IFERROR(_xlfn.XLOOKUP(1, (dd_accsryclr!$C$2:$C$1000=accsry_unmerged!F2219)*(dd_accsryclr!$B$2:$B$1000=accsry_unmerged!J2219),dd_accsryclr!$A$2:$A$1000),"")</f>
        <v>0</v>
      </c>
      <c r="I2219" s="16">
        <f>_xlfn.XLOOKUP(C2219,'Project Details'!$C$17:$C$66,'Project Details'!$E$17:$E$66,"",0)</f>
        <v>0</v>
      </c>
      <c r="J2219" s="16">
        <f>_xlfn.XLOOKUP(C2219,'Project Details'!$C$17:$C$66,'Project Details'!$H$17:$H$66,"",0)</f>
        <v>0</v>
      </c>
      <c r="K2219" s="33" t="str">
        <f>IF(AND(_xlfn.XLOOKUP(C2219,'Project Details'!$C$17:$C$66,'Project Details'!$L$17:$L$66,"",0)&gt;550, F2219="Spring-L27cm"),"",SUBSTITUTE(_xlfn.XLOOKUP(G2219,SKUs!$C$2:$C$10001,SKUs!$F$2:$F$10001,"",0), " Accessories",""))</f>
        <v/>
      </c>
      <c r="L2219" s="33">
        <f>_xlfn.XLOOKUP(C2219,'Project Details'!$C$17:$C$66,'Project Details'!$D$17:$D$66,"",0)</f>
        <v>0</v>
      </c>
      <c r="M2219" s="43"/>
    </row>
    <row r="2220" spans="1:13" x14ac:dyDescent="0.25">
      <c r="A2220" s="43"/>
      <c r="B2220" s="43"/>
      <c r="C2220" s="35">
        <f t="shared" si="43"/>
        <v>45</v>
      </c>
      <c r="D2220" s="35" t="str" cm="1">
        <f t="array" ref="D2220">IFERROR(ROUNDUP(_xlfn.IFS(F2220="Aluminum Track", _xlfn.XLOOKUP(C2220, dd_accsrycalc!$A$2:$A$51, dd_accsrycalc!$B$2:$B$51, "",0), F2220="10 x 2 1/2 S (Flat)", _xlfn.XLOOKUP(C2220, dd_accsrycalc!$A$2:$A$51, dd_accsrycalc!$C$2:$C$51, "",0), F2220="Tox6", _xlfn.XLOOKUP(C2220, dd_accsrycalc!$A$2:$A$51, dd_accsrycalc!$D$2:$D$51, "",0), F2220="Cover Cap", _xlfn.XLOOKUP(C2220, dd_accsrycalc!$A$2:$A$51, dd_accsrycalc!$E$2:$E$51, "",0), F2220="Drainage Cover", _xlfn.XLOOKUP(C2220, dd_accsrycalc!$A$2:$A$51, dd_accsrycalc!$F$2:$F$51, "",0),AND( F2220="Double Adhesive Tape", I2220="Roll-up Screen"), _xlfn.XLOOKUP(C2220, calc_rusacc!$C$15:$C$65, calc_rusacc!$AD$15:$AD$65, "",0),AND( F2220="Sealant", I2220="Roll-up Screen"), _xlfn.XLOOKUP(C2220, calc_rusacc!$C$15:$C$65, calc_rusacc!$AF$15:$AF$65, "",0),  AND( F2220="Main Chain", I2220="Accordion Screen"), _xlfn.XLOOKUP(C2220, calc_rusacc!$C$15:$C$65, calc_rusacc!$BF$15:$BF$65, "",0), AND( F2220="Sealant", I2220="Accordion Screen"), _xlfn.XLOOKUP(C2220, calc_rusacc!$C$15:$C$65, calc_rusacc!$BJ$15:$BJ$65, "",0),  F2220="Sealant", _xlfn.XLOOKUP(C2220, dd_accsrycalc!$A$2:$A$51, dd_accsrycalc!$G$2:$G$51, "",0),  F2220&lt;&gt;"",L2220*_xlfn.XLOOKUP(1, (SKUs!$C$2:$C$10001=G2220)*(SKUs!$K$2:$K$10001=I2220),SKUs!$E$2:$E$10001)), 0),"")</f>
        <v/>
      </c>
      <c r="E2220" s="35" t="str">
        <f>_xlfn.XLOOKUP(F2220,dd_item!$B$2:$B$105,dd_item!$C$2:$C$105,"",0)</f>
        <v/>
      </c>
      <c r="F2220" s="35"/>
      <c r="G2220" s="35" cm="1">
        <f t="array" ref="G2220">IFERROR(_xlfn.XLOOKUP(1, (SKUs!$J$2:$J$10001=accsry_unmerged!F2220)*IF(H2220&lt;&gt;"",(SKUs!$L$2:$L$10001=accsry_unmerged!H2220),1)*(SKUs!$K$2:$K$10001=I2220),SKUs!$C$2:$C$10001),"")</f>
        <v>0</v>
      </c>
      <c r="H2220" s="36" cm="1">
        <f t="array" ref="H2220">IFERROR(_xlfn.XLOOKUP(1, (dd_accsryclr!$C$2:$C$1000=accsry_unmerged!F2220)*(dd_accsryclr!$B$2:$B$1000=accsry_unmerged!J2220),dd_accsryclr!$A$2:$A$1000),"")</f>
        <v>0</v>
      </c>
      <c r="I2220" s="35">
        <f>_xlfn.XLOOKUP(C2220,'Project Details'!$C$17:$C$66,'Project Details'!$E$17:$E$66,"",0)</f>
        <v>0</v>
      </c>
      <c r="J2220" s="35">
        <f>_xlfn.XLOOKUP(C2220,'Project Details'!$C$17:$C$66,'Project Details'!$H$17:$H$66,"",0)</f>
        <v>0</v>
      </c>
      <c r="K2220" s="36" t="str">
        <f>IF(AND(_xlfn.XLOOKUP(C2220,'Project Details'!$C$17:$C$66,'Project Details'!$L$17:$L$66,"",0)&gt;550, F2220="Spring-L27cm"),"",SUBSTITUTE(_xlfn.XLOOKUP(G2220,SKUs!$C$2:$C$10001,SKUs!$F$2:$F$10001,"",0), " Accessories",""))</f>
        <v/>
      </c>
      <c r="L2220" s="36">
        <f>_xlfn.XLOOKUP(C2220,'Project Details'!$C$17:$C$66,'Project Details'!$D$17:$D$66,"",0)</f>
        <v>0</v>
      </c>
      <c r="M2220" s="43"/>
    </row>
    <row r="2221" spans="1:13" x14ac:dyDescent="0.25">
      <c r="A2221" s="43"/>
      <c r="B2221" s="43"/>
      <c r="C2221" s="16">
        <f t="shared" si="43"/>
        <v>45</v>
      </c>
      <c r="D2221" s="16" t="str" cm="1">
        <f t="array" ref="D2221">IFERROR(ROUNDUP(_xlfn.IFS(F2221="Aluminum Track", _xlfn.XLOOKUP(C2221, dd_accsrycalc!$A$2:$A$51, dd_accsrycalc!$B$2:$B$51, "",0), F2221="10 x 2 1/2 S (Flat)", _xlfn.XLOOKUP(C2221, dd_accsrycalc!$A$2:$A$51, dd_accsrycalc!$C$2:$C$51, "",0), F2221="Tox6", _xlfn.XLOOKUP(C2221, dd_accsrycalc!$A$2:$A$51, dd_accsrycalc!$D$2:$D$51, "",0), F2221="Cover Cap", _xlfn.XLOOKUP(C2221, dd_accsrycalc!$A$2:$A$51, dd_accsrycalc!$E$2:$E$51, "",0), F2221="Drainage Cover", _xlfn.XLOOKUP(C2221, dd_accsrycalc!$A$2:$A$51, dd_accsrycalc!$F$2:$F$51, "",0),AND( F2221="Double Adhesive Tape", I2221="Roll-up Screen"), _xlfn.XLOOKUP(C2221, calc_rusacc!$C$15:$C$65, calc_rusacc!$AD$15:$AD$65, "",0),AND( F2221="Sealant", I2221="Roll-up Screen"), _xlfn.XLOOKUP(C2221, calc_rusacc!$C$15:$C$65, calc_rusacc!$AF$15:$AF$65, "",0),  AND( F2221="Main Chain", I2221="Accordion Screen"), _xlfn.XLOOKUP(C2221, calc_rusacc!$C$15:$C$65, calc_rusacc!$BF$15:$BF$65, "",0), AND( F2221="Sealant", I2221="Accordion Screen"), _xlfn.XLOOKUP(C2221, calc_rusacc!$C$15:$C$65, calc_rusacc!$BJ$15:$BJ$65, "",0),  F2221="Sealant", _xlfn.XLOOKUP(C2221, dd_accsrycalc!$A$2:$A$51, dd_accsrycalc!$G$2:$G$51, "",0),  F2221&lt;&gt;"",L2221*_xlfn.XLOOKUP(1, (SKUs!$C$2:$C$10001=G2221)*(SKUs!$K$2:$K$10001=I2221),SKUs!$E$2:$E$10001)), 0),"")</f>
        <v/>
      </c>
      <c r="E2221" s="16" t="str">
        <f>_xlfn.XLOOKUP(F2221,dd_item!$B$2:$B$105,dd_item!$C$2:$C$105,"",0)</f>
        <v/>
      </c>
      <c r="F2221" s="16"/>
      <c r="G2221" s="16" cm="1">
        <f t="array" ref="G2221">IFERROR(_xlfn.XLOOKUP(1, (SKUs!$J$2:$J$10001=accsry_unmerged!F2221)*IF(H2221&lt;&gt;"",(SKUs!$L$2:$L$10001=accsry_unmerged!H2221),1)*(SKUs!$K$2:$K$10001=I2221),SKUs!$C$2:$C$10001),"")</f>
        <v>0</v>
      </c>
      <c r="H2221" s="33" cm="1">
        <f t="array" ref="H2221">IFERROR(_xlfn.XLOOKUP(1, (dd_accsryclr!$C$2:$C$1000=accsry_unmerged!F2221)*(dd_accsryclr!$B$2:$B$1000=accsry_unmerged!J2221),dd_accsryclr!$A$2:$A$1000),"")</f>
        <v>0</v>
      </c>
      <c r="I2221" s="16">
        <f>_xlfn.XLOOKUP(C2221,'Project Details'!$C$17:$C$66,'Project Details'!$E$17:$E$66,"",0)</f>
        <v>0</v>
      </c>
      <c r="J2221" s="16">
        <f>_xlfn.XLOOKUP(C2221,'Project Details'!$C$17:$C$66,'Project Details'!$H$17:$H$66,"",0)</f>
        <v>0</v>
      </c>
      <c r="K2221" s="33" t="str">
        <f>IF(AND(_xlfn.XLOOKUP(C2221,'Project Details'!$C$17:$C$66,'Project Details'!$L$17:$L$66,"",0)&gt;550, F2221="Spring-L27cm"),"",SUBSTITUTE(_xlfn.XLOOKUP(G2221,SKUs!$C$2:$C$10001,SKUs!$F$2:$F$10001,"",0), " Accessories",""))</f>
        <v/>
      </c>
      <c r="L2221" s="33">
        <f>_xlfn.XLOOKUP(C2221,'Project Details'!$C$17:$C$66,'Project Details'!$D$17:$D$66,"",0)</f>
        <v>0</v>
      </c>
      <c r="M2221" s="43"/>
    </row>
    <row r="2222" spans="1:13" x14ac:dyDescent="0.25">
      <c r="A2222" s="43"/>
      <c r="B2222" s="43"/>
      <c r="C2222" s="35">
        <f t="shared" si="43"/>
        <v>45</v>
      </c>
      <c r="D2222" s="35" t="str" cm="1">
        <f t="array" ref="D2222">IFERROR(ROUNDUP(_xlfn.IFS(F2222="Aluminum Track", _xlfn.XLOOKUP(C2222, dd_accsrycalc!$A$2:$A$51, dd_accsrycalc!$B$2:$B$51, "",0), F2222="10 x 2 1/2 S (Flat)", _xlfn.XLOOKUP(C2222, dd_accsrycalc!$A$2:$A$51, dd_accsrycalc!$C$2:$C$51, "",0), F2222="Tox6", _xlfn.XLOOKUP(C2222, dd_accsrycalc!$A$2:$A$51, dd_accsrycalc!$D$2:$D$51, "",0), F2222="Cover Cap", _xlfn.XLOOKUP(C2222, dd_accsrycalc!$A$2:$A$51, dd_accsrycalc!$E$2:$E$51, "",0), F2222="Drainage Cover", _xlfn.XLOOKUP(C2222, dd_accsrycalc!$A$2:$A$51, dd_accsrycalc!$F$2:$F$51, "",0),AND( F2222="Double Adhesive Tape", I2222="Roll-up Screen"), _xlfn.XLOOKUP(C2222, calc_rusacc!$C$15:$C$65, calc_rusacc!$AD$15:$AD$65, "",0),AND( F2222="Sealant", I2222="Roll-up Screen"), _xlfn.XLOOKUP(C2222, calc_rusacc!$C$15:$C$65, calc_rusacc!$AF$15:$AF$65, "",0),  AND( F2222="Main Chain", I2222="Accordion Screen"), _xlfn.XLOOKUP(C2222, calc_rusacc!$C$15:$C$65, calc_rusacc!$BF$15:$BF$65, "",0), AND( F2222="Sealant", I2222="Accordion Screen"), _xlfn.XLOOKUP(C2222, calc_rusacc!$C$15:$C$65, calc_rusacc!$BJ$15:$BJ$65, "",0),  F2222="Sealant", _xlfn.XLOOKUP(C2222, dd_accsrycalc!$A$2:$A$51, dd_accsrycalc!$G$2:$G$51, "",0),  F2222&lt;&gt;"",L2222*_xlfn.XLOOKUP(1, (SKUs!$C$2:$C$10001=G2222)*(SKUs!$K$2:$K$10001=I2222),SKUs!$E$2:$E$10001)), 0),"")</f>
        <v/>
      </c>
      <c r="E2222" s="35" t="str">
        <f>_xlfn.XLOOKUP(F2222,dd_item!$B$2:$B$105,dd_item!$C$2:$C$105,"",0)</f>
        <v/>
      </c>
      <c r="F2222" s="35"/>
      <c r="G2222" s="35" cm="1">
        <f t="array" ref="G2222">IFERROR(_xlfn.XLOOKUP(1, (SKUs!$J$2:$J$10001=accsry_unmerged!F2222)*IF(H2222&lt;&gt;"",(SKUs!$L$2:$L$10001=accsry_unmerged!H2222),1)*(SKUs!$K$2:$K$10001=I2222),SKUs!$C$2:$C$10001),"")</f>
        <v>0</v>
      </c>
      <c r="H2222" s="36" cm="1">
        <f t="array" ref="H2222">IFERROR(_xlfn.XLOOKUP(1, (dd_accsryclr!$C$2:$C$1000=accsry_unmerged!F2222)*(dd_accsryclr!$B$2:$B$1000=accsry_unmerged!J2222),dd_accsryclr!$A$2:$A$1000),"")</f>
        <v>0</v>
      </c>
      <c r="I2222" s="35">
        <f>_xlfn.XLOOKUP(C2222,'Project Details'!$C$17:$C$66,'Project Details'!$E$17:$E$66,"",0)</f>
        <v>0</v>
      </c>
      <c r="J2222" s="35">
        <f>_xlfn.XLOOKUP(C2222,'Project Details'!$C$17:$C$66,'Project Details'!$H$17:$H$66,"",0)</f>
        <v>0</v>
      </c>
      <c r="K2222" s="36" t="str">
        <f>IF(AND(_xlfn.XLOOKUP(C2222,'Project Details'!$C$17:$C$66,'Project Details'!$L$17:$L$66,"",0)&gt;550, F2222="Spring-L27cm"),"",SUBSTITUTE(_xlfn.XLOOKUP(G2222,SKUs!$C$2:$C$10001,SKUs!$F$2:$F$10001,"",0), " Accessories",""))</f>
        <v/>
      </c>
      <c r="L2222" s="36">
        <f>_xlfn.XLOOKUP(C2222,'Project Details'!$C$17:$C$66,'Project Details'!$D$17:$D$66,"",0)</f>
        <v>0</v>
      </c>
      <c r="M2222" s="43"/>
    </row>
    <row r="2223" spans="1:13" x14ac:dyDescent="0.25">
      <c r="A2223" s="43"/>
      <c r="B2223" s="43"/>
      <c r="C2223" s="16">
        <f t="shared" si="43"/>
        <v>45</v>
      </c>
      <c r="D2223" s="16" t="str" cm="1">
        <f t="array" ref="D2223">IFERROR(ROUNDUP(_xlfn.IFS(F2223="Aluminum Track", _xlfn.XLOOKUP(C2223, dd_accsrycalc!$A$2:$A$51, dd_accsrycalc!$B$2:$B$51, "",0), F2223="10 x 2 1/2 S (Flat)", _xlfn.XLOOKUP(C2223, dd_accsrycalc!$A$2:$A$51, dd_accsrycalc!$C$2:$C$51, "",0), F2223="Tox6", _xlfn.XLOOKUP(C2223, dd_accsrycalc!$A$2:$A$51, dd_accsrycalc!$D$2:$D$51, "",0), F2223="Cover Cap", _xlfn.XLOOKUP(C2223, dd_accsrycalc!$A$2:$A$51, dd_accsrycalc!$E$2:$E$51, "",0), F2223="Drainage Cover", _xlfn.XLOOKUP(C2223, dd_accsrycalc!$A$2:$A$51, dd_accsrycalc!$F$2:$F$51, "",0),AND( F2223="Double Adhesive Tape", I2223="Roll-up Screen"), _xlfn.XLOOKUP(C2223, calc_rusacc!$C$15:$C$65, calc_rusacc!$AD$15:$AD$65, "",0),AND( F2223="Sealant", I2223="Roll-up Screen"), _xlfn.XLOOKUP(C2223, calc_rusacc!$C$15:$C$65, calc_rusacc!$AF$15:$AF$65, "",0),  AND( F2223="Main Chain", I2223="Accordion Screen"), _xlfn.XLOOKUP(C2223, calc_rusacc!$C$15:$C$65, calc_rusacc!$BF$15:$BF$65, "",0), AND( F2223="Sealant", I2223="Accordion Screen"), _xlfn.XLOOKUP(C2223, calc_rusacc!$C$15:$C$65, calc_rusacc!$BJ$15:$BJ$65, "",0),  F2223="Sealant", _xlfn.XLOOKUP(C2223, dd_accsrycalc!$A$2:$A$51, dd_accsrycalc!$G$2:$G$51, "",0),  F2223&lt;&gt;"",L2223*_xlfn.XLOOKUP(1, (SKUs!$C$2:$C$10001=G2223)*(SKUs!$K$2:$K$10001=I2223),SKUs!$E$2:$E$10001)), 0),"")</f>
        <v/>
      </c>
      <c r="E2223" s="16" t="str">
        <f>_xlfn.XLOOKUP(F2223,dd_item!$B$2:$B$105,dd_item!$C$2:$C$105,"",0)</f>
        <v/>
      </c>
      <c r="F2223" s="16"/>
      <c r="G2223" s="16" cm="1">
        <f t="array" ref="G2223">IFERROR(_xlfn.XLOOKUP(1, (SKUs!$J$2:$J$10001=accsry_unmerged!F2223)*IF(H2223&lt;&gt;"",(SKUs!$L$2:$L$10001=accsry_unmerged!H2223),1)*(SKUs!$K$2:$K$10001=I2223),SKUs!$C$2:$C$10001),"")</f>
        <v>0</v>
      </c>
      <c r="H2223" s="33" cm="1">
        <f t="array" ref="H2223">IFERROR(_xlfn.XLOOKUP(1, (dd_accsryclr!$C$2:$C$1000=accsry_unmerged!F2223)*(dd_accsryclr!$B$2:$B$1000=accsry_unmerged!J2223),dd_accsryclr!$A$2:$A$1000),"")</f>
        <v>0</v>
      </c>
      <c r="I2223" s="16">
        <f>_xlfn.XLOOKUP(C2223,'Project Details'!$C$17:$C$66,'Project Details'!$E$17:$E$66,"",0)</f>
        <v>0</v>
      </c>
      <c r="J2223" s="16">
        <f>_xlfn.XLOOKUP(C2223,'Project Details'!$C$17:$C$66,'Project Details'!$H$17:$H$66,"",0)</f>
        <v>0</v>
      </c>
      <c r="K2223" s="33" t="str">
        <f>IF(AND(_xlfn.XLOOKUP(C2223,'Project Details'!$C$17:$C$66,'Project Details'!$L$17:$L$66,"",0)&gt;550, F2223="Spring-L27cm"),"",SUBSTITUTE(_xlfn.XLOOKUP(G2223,SKUs!$C$2:$C$10001,SKUs!$F$2:$F$10001,"",0), " Accessories",""))</f>
        <v/>
      </c>
      <c r="L2223" s="33">
        <f>_xlfn.XLOOKUP(C2223,'Project Details'!$C$17:$C$66,'Project Details'!$D$17:$D$66,"",0)</f>
        <v>0</v>
      </c>
      <c r="M2223" s="43"/>
    </row>
    <row r="2224" spans="1:13" x14ac:dyDescent="0.25">
      <c r="A2224" s="43"/>
      <c r="B2224" s="43"/>
      <c r="C2224" s="35">
        <f t="shared" si="43"/>
        <v>45</v>
      </c>
      <c r="D2224" s="35" t="str" cm="1">
        <f t="array" ref="D2224">IFERROR(ROUNDUP(_xlfn.IFS(F2224="Aluminum Track", _xlfn.XLOOKUP(C2224, dd_accsrycalc!$A$2:$A$51, dd_accsrycalc!$B$2:$B$51, "",0), F2224="10 x 2 1/2 S (Flat)", _xlfn.XLOOKUP(C2224, dd_accsrycalc!$A$2:$A$51, dd_accsrycalc!$C$2:$C$51, "",0), F2224="Tox6", _xlfn.XLOOKUP(C2224, dd_accsrycalc!$A$2:$A$51, dd_accsrycalc!$D$2:$D$51, "",0), F2224="Cover Cap", _xlfn.XLOOKUP(C2224, dd_accsrycalc!$A$2:$A$51, dd_accsrycalc!$E$2:$E$51, "",0), F2224="Drainage Cover", _xlfn.XLOOKUP(C2224, dd_accsrycalc!$A$2:$A$51, dd_accsrycalc!$F$2:$F$51, "",0),AND( F2224="Double Adhesive Tape", I2224="Roll-up Screen"), _xlfn.XLOOKUP(C2224, calc_rusacc!$C$15:$C$65, calc_rusacc!$AD$15:$AD$65, "",0),AND( F2224="Sealant", I2224="Roll-up Screen"), _xlfn.XLOOKUP(C2224, calc_rusacc!$C$15:$C$65, calc_rusacc!$AF$15:$AF$65, "",0),  AND( F2224="Main Chain", I2224="Accordion Screen"), _xlfn.XLOOKUP(C2224, calc_rusacc!$C$15:$C$65, calc_rusacc!$BF$15:$BF$65, "",0), AND( F2224="Sealant", I2224="Accordion Screen"), _xlfn.XLOOKUP(C2224, calc_rusacc!$C$15:$C$65, calc_rusacc!$BJ$15:$BJ$65, "",0),  F2224="Sealant", _xlfn.XLOOKUP(C2224, dd_accsrycalc!$A$2:$A$51, dd_accsrycalc!$G$2:$G$51, "",0),  F2224&lt;&gt;"",L2224*_xlfn.XLOOKUP(1, (SKUs!$C$2:$C$10001=G2224)*(SKUs!$K$2:$K$10001=I2224),SKUs!$E$2:$E$10001)), 0),"")</f>
        <v/>
      </c>
      <c r="E2224" s="35" t="str">
        <f>_xlfn.XLOOKUP(F2224,dd_item!$B$2:$B$105,dd_item!$C$2:$C$105,"",0)</f>
        <v/>
      </c>
      <c r="F2224" s="35"/>
      <c r="G2224" s="35" cm="1">
        <f t="array" ref="G2224">IFERROR(_xlfn.XLOOKUP(1, (SKUs!$J$2:$J$10001=accsry_unmerged!F2224)*IF(H2224&lt;&gt;"",(SKUs!$L$2:$L$10001=accsry_unmerged!H2224),1)*(SKUs!$K$2:$K$10001=I2224),SKUs!$C$2:$C$10001),"")</f>
        <v>0</v>
      </c>
      <c r="H2224" s="36" cm="1">
        <f t="array" ref="H2224">IFERROR(_xlfn.XLOOKUP(1, (dd_accsryclr!$C$2:$C$1000=accsry_unmerged!F2224)*(dd_accsryclr!$B$2:$B$1000=accsry_unmerged!J2224),dd_accsryclr!$A$2:$A$1000),"")</f>
        <v>0</v>
      </c>
      <c r="I2224" s="35">
        <f>_xlfn.XLOOKUP(C2224,'Project Details'!$C$17:$C$66,'Project Details'!$E$17:$E$66,"",0)</f>
        <v>0</v>
      </c>
      <c r="J2224" s="35">
        <f>_xlfn.XLOOKUP(C2224,'Project Details'!$C$17:$C$66,'Project Details'!$H$17:$H$66,"",0)</f>
        <v>0</v>
      </c>
      <c r="K2224" s="36" t="str">
        <f>IF(AND(_xlfn.XLOOKUP(C2224,'Project Details'!$C$17:$C$66,'Project Details'!$L$17:$L$66,"",0)&gt;550, F2224="Spring-L27cm"),"",SUBSTITUTE(_xlfn.XLOOKUP(G2224,SKUs!$C$2:$C$10001,SKUs!$F$2:$F$10001,"",0), " Accessories",""))</f>
        <v/>
      </c>
      <c r="L2224" s="36">
        <f>_xlfn.XLOOKUP(C2224,'Project Details'!$C$17:$C$66,'Project Details'!$D$17:$D$66,"",0)</f>
        <v>0</v>
      </c>
      <c r="M2224" s="43"/>
    </row>
    <row r="2225" spans="1:13" x14ac:dyDescent="0.25">
      <c r="A2225" s="43"/>
      <c r="B2225" s="43"/>
      <c r="C2225" s="16">
        <f t="shared" si="43"/>
        <v>45</v>
      </c>
      <c r="D2225" s="16" t="str" cm="1">
        <f t="array" ref="D2225">IFERROR(ROUNDUP(_xlfn.IFS(F2225="Aluminum Track", _xlfn.XLOOKUP(C2225, dd_accsrycalc!$A$2:$A$51, dd_accsrycalc!$B$2:$B$51, "",0), F2225="10 x 2 1/2 S (Flat)", _xlfn.XLOOKUP(C2225, dd_accsrycalc!$A$2:$A$51, dd_accsrycalc!$C$2:$C$51, "",0), F2225="Tox6", _xlfn.XLOOKUP(C2225, dd_accsrycalc!$A$2:$A$51, dd_accsrycalc!$D$2:$D$51, "",0), F2225="Cover Cap", _xlfn.XLOOKUP(C2225, dd_accsrycalc!$A$2:$A$51, dd_accsrycalc!$E$2:$E$51, "",0), F2225="Drainage Cover", _xlfn.XLOOKUP(C2225, dd_accsrycalc!$A$2:$A$51, dd_accsrycalc!$F$2:$F$51, "",0),AND( F2225="Double Adhesive Tape", I2225="Roll-up Screen"), _xlfn.XLOOKUP(C2225, calc_rusacc!$C$15:$C$65, calc_rusacc!$AD$15:$AD$65, "",0),AND( F2225="Sealant", I2225="Roll-up Screen"), _xlfn.XLOOKUP(C2225, calc_rusacc!$C$15:$C$65, calc_rusacc!$AF$15:$AF$65, "",0),  AND( F2225="Main Chain", I2225="Accordion Screen"), _xlfn.XLOOKUP(C2225, calc_rusacc!$C$15:$C$65, calc_rusacc!$BF$15:$BF$65, "",0), AND( F2225="Sealant", I2225="Accordion Screen"), _xlfn.XLOOKUP(C2225, calc_rusacc!$C$15:$C$65, calc_rusacc!$BJ$15:$BJ$65, "",0),  F2225="Sealant", _xlfn.XLOOKUP(C2225, dd_accsrycalc!$A$2:$A$51, dd_accsrycalc!$G$2:$G$51, "",0),  F2225&lt;&gt;"",L2225*_xlfn.XLOOKUP(1, (SKUs!$C$2:$C$10001=G2225)*(SKUs!$K$2:$K$10001=I2225),SKUs!$E$2:$E$10001)), 0),"")</f>
        <v/>
      </c>
      <c r="E2225" s="16" t="str">
        <f>_xlfn.XLOOKUP(F2225,dd_item!$B$2:$B$105,dd_item!$C$2:$C$105,"",0)</f>
        <v/>
      </c>
      <c r="F2225" s="16"/>
      <c r="G2225" s="16" cm="1">
        <f t="array" ref="G2225">IFERROR(_xlfn.XLOOKUP(1, (SKUs!$J$2:$J$10001=accsry_unmerged!F2225)*IF(H2225&lt;&gt;"",(SKUs!$L$2:$L$10001=accsry_unmerged!H2225),1)*(SKUs!$K$2:$K$10001=I2225),SKUs!$C$2:$C$10001),"")</f>
        <v>0</v>
      </c>
      <c r="H2225" s="33" cm="1">
        <f t="array" ref="H2225">IFERROR(_xlfn.XLOOKUP(1, (dd_accsryclr!$C$2:$C$1000=accsry_unmerged!F2225)*(dd_accsryclr!$B$2:$B$1000=accsry_unmerged!J2225),dd_accsryclr!$A$2:$A$1000),"")</f>
        <v>0</v>
      </c>
      <c r="I2225" s="16">
        <f>_xlfn.XLOOKUP(C2225,'Project Details'!$C$17:$C$66,'Project Details'!$E$17:$E$66,"",0)</f>
        <v>0</v>
      </c>
      <c r="J2225" s="16">
        <f>_xlfn.XLOOKUP(C2225,'Project Details'!$C$17:$C$66,'Project Details'!$H$17:$H$66,"",0)</f>
        <v>0</v>
      </c>
      <c r="K2225" s="33" t="str">
        <f>IF(AND(_xlfn.XLOOKUP(C2225,'Project Details'!$C$17:$C$66,'Project Details'!$L$17:$L$66,"",0)&gt;550, F2225="Spring-L27cm"),"",SUBSTITUTE(_xlfn.XLOOKUP(G2225,SKUs!$C$2:$C$10001,SKUs!$F$2:$F$10001,"",0), " Accessories",""))</f>
        <v/>
      </c>
      <c r="L2225" s="33">
        <f>_xlfn.XLOOKUP(C2225,'Project Details'!$C$17:$C$66,'Project Details'!$D$17:$D$66,"",0)</f>
        <v>0</v>
      </c>
      <c r="M2225" s="43"/>
    </row>
    <row r="2226" spans="1:13" x14ac:dyDescent="0.25">
      <c r="A2226" s="43"/>
      <c r="B2226" s="43"/>
      <c r="C2226" s="35">
        <f t="shared" si="43"/>
        <v>45</v>
      </c>
      <c r="D2226" s="35" t="str" cm="1">
        <f t="array" ref="D2226">IFERROR(ROUNDUP(_xlfn.IFS(F2226="Aluminum Track", _xlfn.XLOOKUP(C2226, dd_accsrycalc!$A$2:$A$51, dd_accsrycalc!$B$2:$B$51, "",0), F2226="10 x 2 1/2 S (Flat)", _xlfn.XLOOKUP(C2226, dd_accsrycalc!$A$2:$A$51, dd_accsrycalc!$C$2:$C$51, "",0), F2226="Tox6", _xlfn.XLOOKUP(C2226, dd_accsrycalc!$A$2:$A$51, dd_accsrycalc!$D$2:$D$51, "",0), F2226="Cover Cap", _xlfn.XLOOKUP(C2226, dd_accsrycalc!$A$2:$A$51, dd_accsrycalc!$E$2:$E$51, "",0), F2226="Drainage Cover", _xlfn.XLOOKUP(C2226, dd_accsrycalc!$A$2:$A$51, dd_accsrycalc!$F$2:$F$51, "",0),AND( F2226="Double Adhesive Tape", I2226="Roll-up Screen"), _xlfn.XLOOKUP(C2226, calc_rusacc!$C$15:$C$65, calc_rusacc!$AD$15:$AD$65, "",0),AND( F2226="Sealant", I2226="Roll-up Screen"), _xlfn.XLOOKUP(C2226, calc_rusacc!$C$15:$C$65, calc_rusacc!$AF$15:$AF$65, "",0),  AND( F2226="Main Chain", I2226="Accordion Screen"), _xlfn.XLOOKUP(C2226, calc_rusacc!$C$15:$C$65, calc_rusacc!$BF$15:$BF$65, "",0), AND( F2226="Sealant", I2226="Accordion Screen"), _xlfn.XLOOKUP(C2226, calc_rusacc!$C$15:$C$65, calc_rusacc!$BJ$15:$BJ$65, "",0),  F2226="Sealant", _xlfn.XLOOKUP(C2226, dd_accsrycalc!$A$2:$A$51, dd_accsrycalc!$G$2:$G$51, "",0),  F2226&lt;&gt;"",L2226*_xlfn.XLOOKUP(1, (SKUs!$C$2:$C$10001=G2226)*(SKUs!$K$2:$K$10001=I2226),SKUs!$E$2:$E$10001)), 0),"")</f>
        <v/>
      </c>
      <c r="E2226" s="35" t="str">
        <f>_xlfn.XLOOKUP(F2226,dd_item!$B$2:$B$105,dd_item!$C$2:$C$105,"",0)</f>
        <v/>
      </c>
      <c r="F2226" s="35"/>
      <c r="G2226" s="35" cm="1">
        <f t="array" ref="G2226">IFERROR(_xlfn.XLOOKUP(1, (SKUs!$J$2:$J$10001=accsry_unmerged!F2226)*IF(H2226&lt;&gt;"",(SKUs!$L$2:$L$10001=accsry_unmerged!H2226),1)*(SKUs!$K$2:$K$10001=I2226),SKUs!$C$2:$C$10001),"")</f>
        <v>0</v>
      </c>
      <c r="H2226" s="36" cm="1">
        <f t="array" ref="H2226">IFERROR(_xlfn.XLOOKUP(1, (dd_accsryclr!$C$2:$C$1000=accsry_unmerged!F2226)*(dd_accsryclr!$B$2:$B$1000=accsry_unmerged!J2226),dd_accsryclr!$A$2:$A$1000),"")</f>
        <v>0</v>
      </c>
      <c r="I2226" s="35">
        <f>_xlfn.XLOOKUP(C2226,'Project Details'!$C$17:$C$66,'Project Details'!$E$17:$E$66,"",0)</f>
        <v>0</v>
      </c>
      <c r="J2226" s="35">
        <f>_xlfn.XLOOKUP(C2226,'Project Details'!$C$17:$C$66,'Project Details'!$H$17:$H$66,"",0)</f>
        <v>0</v>
      </c>
      <c r="K2226" s="36" t="str">
        <f>IF(AND(_xlfn.XLOOKUP(C2226,'Project Details'!$C$17:$C$66,'Project Details'!$L$17:$L$66,"",0)&gt;550, F2226="Spring-L27cm"),"",SUBSTITUTE(_xlfn.XLOOKUP(G2226,SKUs!$C$2:$C$10001,SKUs!$F$2:$F$10001,"",0), " Accessories",""))</f>
        <v/>
      </c>
      <c r="L2226" s="36">
        <f>_xlfn.XLOOKUP(C2226,'Project Details'!$C$17:$C$66,'Project Details'!$D$17:$D$66,"",0)</f>
        <v>0</v>
      </c>
      <c r="M2226" s="43"/>
    </row>
    <row r="2227" spans="1:13" x14ac:dyDescent="0.25">
      <c r="A2227" s="43"/>
      <c r="B2227" s="43"/>
      <c r="C2227" s="16">
        <f t="shared" si="43"/>
        <v>45</v>
      </c>
      <c r="D2227" s="16" t="str" cm="1">
        <f t="array" ref="D2227">IFERROR(ROUNDUP(_xlfn.IFS(F2227="Aluminum Track", _xlfn.XLOOKUP(C2227, dd_accsrycalc!$A$2:$A$51, dd_accsrycalc!$B$2:$B$51, "",0), F2227="10 x 2 1/2 S (Flat)", _xlfn.XLOOKUP(C2227, dd_accsrycalc!$A$2:$A$51, dd_accsrycalc!$C$2:$C$51, "",0), F2227="Tox6", _xlfn.XLOOKUP(C2227, dd_accsrycalc!$A$2:$A$51, dd_accsrycalc!$D$2:$D$51, "",0), F2227="Cover Cap", _xlfn.XLOOKUP(C2227, dd_accsrycalc!$A$2:$A$51, dd_accsrycalc!$E$2:$E$51, "",0), F2227="Drainage Cover", _xlfn.XLOOKUP(C2227, dd_accsrycalc!$A$2:$A$51, dd_accsrycalc!$F$2:$F$51, "",0),AND( F2227="Double Adhesive Tape", I2227="Roll-up Screen"), _xlfn.XLOOKUP(C2227, calc_rusacc!$C$15:$C$65, calc_rusacc!$AD$15:$AD$65, "",0),AND( F2227="Sealant", I2227="Roll-up Screen"), _xlfn.XLOOKUP(C2227, calc_rusacc!$C$15:$C$65, calc_rusacc!$AF$15:$AF$65, "",0),  AND( F2227="Main Chain", I2227="Accordion Screen"), _xlfn.XLOOKUP(C2227, calc_rusacc!$C$15:$C$65, calc_rusacc!$BF$15:$BF$65, "",0), AND( F2227="Sealant", I2227="Accordion Screen"), _xlfn.XLOOKUP(C2227, calc_rusacc!$C$15:$C$65, calc_rusacc!$BJ$15:$BJ$65, "",0),  F2227="Sealant", _xlfn.XLOOKUP(C2227, dd_accsrycalc!$A$2:$A$51, dd_accsrycalc!$G$2:$G$51, "",0),  F2227&lt;&gt;"",L2227*_xlfn.XLOOKUP(1, (SKUs!$C$2:$C$10001=G2227)*(SKUs!$K$2:$K$10001=I2227),SKUs!$E$2:$E$10001)), 0),"")</f>
        <v/>
      </c>
      <c r="E2227" s="16" t="str">
        <f>_xlfn.XLOOKUP(F2227,dd_item!$B$2:$B$105,dd_item!$C$2:$C$105,"",0)</f>
        <v/>
      </c>
      <c r="F2227" s="16"/>
      <c r="G2227" s="16" cm="1">
        <f t="array" ref="G2227">IFERROR(_xlfn.XLOOKUP(1, (SKUs!$J$2:$J$10001=accsry_unmerged!F2227)*IF(H2227&lt;&gt;"",(SKUs!$L$2:$L$10001=accsry_unmerged!H2227),1)*(SKUs!$K$2:$K$10001=I2227),SKUs!$C$2:$C$10001),"")</f>
        <v>0</v>
      </c>
      <c r="H2227" s="33" cm="1">
        <f t="array" ref="H2227">IFERROR(_xlfn.XLOOKUP(1, (dd_accsryclr!$C$2:$C$1000=accsry_unmerged!F2227)*(dd_accsryclr!$B$2:$B$1000=accsry_unmerged!J2227),dd_accsryclr!$A$2:$A$1000),"")</f>
        <v>0</v>
      </c>
      <c r="I2227" s="16">
        <f>_xlfn.XLOOKUP(C2227,'Project Details'!$C$17:$C$66,'Project Details'!$E$17:$E$66,"",0)</f>
        <v>0</v>
      </c>
      <c r="J2227" s="16">
        <f>_xlfn.XLOOKUP(C2227,'Project Details'!$C$17:$C$66,'Project Details'!$H$17:$H$66,"",0)</f>
        <v>0</v>
      </c>
      <c r="K2227" s="33" t="str">
        <f>IF(AND(_xlfn.XLOOKUP(C2227,'Project Details'!$C$17:$C$66,'Project Details'!$L$17:$L$66,"",0)&gt;550, F2227="Spring-L27cm"),"",SUBSTITUTE(_xlfn.XLOOKUP(G2227,SKUs!$C$2:$C$10001,SKUs!$F$2:$F$10001,"",0), " Accessories",""))</f>
        <v/>
      </c>
      <c r="L2227" s="33">
        <f>_xlfn.XLOOKUP(C2227,'Project Details'!$C$17:$C$66,'Project Details'!$D$17:$D$66,"",0)</f>
        <v>0</v>
      </c>
      <c r="M2227" s="43"/>
    </row>
    <row r="2228" spans="1:13" x14ac:dyDescent="0.25">
      <c r="A2228" s="43"/>
      <c r="B2228" s="43"/>
      <c r="C2228" s="35">
        <f t="shared" si="43"/>
        <v>45</v>
      </c>
      <c r="D2228" s="35" t="str" cm="1">
        <f t="array" ref="D2228">IFERROR(ROUNDUP(_xlfn.IFS(F2228="Aluminum Track", _xlfn.XLOOKUP(C2228, dd_accsrycalc!$A$2:$A$51, dd_accsrycalc!$B$2:$B$51, "",0), F2228="10 x 2 1/2 S (Flat)", _xlfn.XLOOKUP(C2228, dd_accsrycalc!$A$2:$A$51, dd_accsrycalc!$C$2:$C$51, "",0), F2228="Tox6", _xlfn.XLOOKUP(C2228, dd_accsrycalc!$A$2:$A$51, dd_accsrycalc!$D$2:$D$51, "",0), F2228="Cover Cap", _xlfn.XLOOKUP(C2228, dd_accsrycalc!$A$2:$A$51, dd_accsrycalc!$E$2:$E$51, "",0), F2228="Drainage Cover", _xlfn.XLOOKUP(C2228, dd_accsrycalc!$A$2:$A$51, dd_accsrycalc!$F$2:$F$51, "",0),AND( F2228="Double Adhesive Tape", I2228="Roll-up Screen"), _xlfn.XLOOKUP(C2228, calc_rusacc!$C$15:$C$65, calc_rusacc!$AD$15:$AD$65, "",0),AND( F2228="Sealant", I2228="Roll-up Screen"), _xlfn.XLOOKUP(C2228, calc_rusacc!$C$15:$C$65, calc_rusacc!$AF$15:$AF$65, "",0),  AND( F2228="Main Chain", I2228="Accordion Screen"), _xlfn.XLOOKUP(C2228, calc_rusacc!$C$15:$C$65, calc_rusacc!$BF$15:$BF$65, "",0), AND( F2228="Sealant", I2228="Accordion Screen"), _xlfn.XLOOKUP(C2228, calc_rusacc!$C$15:$C$65, calc_rusacc!$BJ$15:$BJ$65, "",0),  F2228="Sealant", _xlfn.XLOOKUP(C2228, dd_accsrycalc!$A$2:$A$51, dd_accsrycalc!$G$2:$G$51, "",0),  F2228&lt;&gt;"",L2228*_xlfn.XLOOKUP(1, (SKUs!$C$2:$C$10001=G2228)*(SKUs!$K$2:$K$10001=I2228),SKUs!$E$2:$E$10001)), 0),"")</f>
        <v/>
      </c>
      <c r="E2228" s="35" t="str">
        <f>_xlfn.XLOOKUP(F2228,dd_item!$B$2:$B$105,dd_item!$C$2:$C$105,"",0)</f>
        <v/>
      </c>
      <c r="F2228" s="35"/>
      <c r="G2228" s="35" cm="1">
        <f t="array" ref="G2228">IFERROR(_xlfn.XLOOKUP(1, (SKUs!$J$2:$J$10001=accsry_unmerged!F2228)*IF(H2228&lt;&gt;"",(SKUs!$L$2:$L$10001=accsry_unmerged!H2228),1)*(SKUs!$K$2:$K$10001=I2228),SKUs!$C$2:$C$10001),"")</f>
        <v>0</v>
      </c>
      <c r="H2228" s="36" cm="1">
        <f t="array" ref="H2228">IFERROR(_xlfn.XLOOKUP(1, (dd_accsryclr!$C$2:$C$1000=accsry_unmerged!F2228)*(dd_accsryclr!$B$2:$B$1000=accsry_unmerged!J2228),dd_accsryclr!$A$2:$A$1000),"")</f>
        <v>0</v>
      </c>
      <c r="I2228" s="35">
        <f>_xlfn.XLOOKUP(C2228,'Project Details'!$C$17:$C$66,'Project Details'!$E$17:$E$66,"",0)</f>
        <v>0</v>
      </c>
      <c r="J2228" s="35">
        <f>_xlfn.XLOOKUP(C2228,'Project Details'!$C$17:$C$66,'Project Details'!$H$17:$H$66,"",0)</f>
        <v>0</v>
      </c>
      <c r="K2228" s="36" t="str">
        <f>IF(AND(_xlfn.XLOOKUP(C2228,'Project Details'!$C$17:$C$66,'Project Details'!$L$17:$L$66,"",0)&gt;550, F2228="Spring-L27cm"),"",SUBSTITUTE(_xlfn.XLOOKUP(G2228,SKUs!$C$2:$C$10001,SKUs!$F$2:$F$10001,"",0), " Accessories",""))</f>
        <v/>
      </c>
      <c r="L2228" s="36">
        <f>_xlfn.XLOOKUP(C2228,'Project Details'!$C$17:$C$66,'Project Details'!$D$17:$D$66,"",0)</f>
        <v>0</v>
      </c>
      <c r="M2228" s="43"/>
    </row>
    <row r="2229" spans="1:13" x14ac:dyDescent="0.25">
      <c r="A2229" s="43"/>
      <c r="B2229" s="43"/>
      <c r="C2229" s="16">
        <f t="shared" si="43"/>
        <v>45</v>
      </c>
      <c r="D2229" s="16" t="str" cm="1">
        <f t="array" ref="D2229">IFERROR(ROUNDUP(_xlfn.IFS(F2229="Aluminum Track", _xlfn.XLOOKUP(C2229, dd_accsrycalc!$A$2:$A$51, dd_accsrycalc!$B$2:$B$51, "",0), F2229="10 x 2 1/2 S (Flat)", _xlfn.XLOOKUP(C2229, dd_accsrycalc!$A$2:$A$51, dd_accsrycalc!$C$2:$C$51, "",0), F2229="Tox6", _xlfn.XLOOKUP(C2229, dd_accsrycalc!$A$2:$A$51, dd_accsrycalc!$D$2:$D$51, "",0), F2229="Cover Cap", _xlfn.XLOOKUP(C2229, dd_accsrycalc!$A$2:$A$51, dd_accsrycalc!$E$2:$E$51, "",0), F2229="Drainage Cover", _xlfn.XLOOKUP(C2229, dd_accsrycalc!$A$2:$A$51, dd_accsrycalc!$F$2:$F$51, "",0),AND( F2229="Double Adhesive Tape", I2229="Roll-up Screen"), _xlfn.XLOOKUP(C2229, calc_rusacc!$C$15:$C$65, calc_rusacc!$AD$15:$AD$65, "",0),AND( F2229="Sealant", I2229="Roll-up Screen"), _xlfn.XLOOKUP(C2229, calc_rusacc!$C$15:$C$65, calc_rusacc!$AF$15:$AF$65, "",0),  AND( F2229="Main Chain", I2229="Accordion Screen"), _xlfn.XLOOKUP(C2229, calc_rusacc!$C$15:$C$65, calc_rusacc!$BF$15:$BF$65, "",0), AND( F2229="Sealant", I2229="Accordion Screen"), _xlfn.XLOOKUP(C2229, calc_rusacc!$C$15:$C$65, calc_rusacc!$BJ$15:$BJ$65, "",0),  F2229="Sealant", _xlfn.XLOOKUP(C2229, dd_accsrycalc!$A$2:$A$51, dd_accsrycalc!$G$2:$G$51, "",0),  F2229&lt;&gt;"",L2229*_xlfn.XLOOKUP(1, (SKUs!$C$2:$C$10001=G2229)*(SKUs!$K$2:$K$10001=I2229),SKUs!$E$2:$E$10001)), 0),"")</f>
        <v/>
      </c>
      <c r="E2229" s="16" t="str">
        <f>_xlfn.XLOOKUP(F2229,dd_item!$B$2:$B$105,dd_item!$C$2:$C$105,"",0)</f>
        <v/>
      </c>
      <c r="F2229" s="16"/>
      <c r="G2229" s="16" cm="1">
        <f t="array" ref="G2229">IFERROR(_xlfn.XLOOKUP(1, (SKUs!$J$2:$J$10001=accsry_unmerged!F2229)*IF(H2229&lt;&gt;"",(SKUs!$L$2:$L$10001=accsry_unmerged!H2229),1)*(SKUs!$K$2:$K$10001=I2229),SKUs!$C$2:$C$10001),"")</f>
        <v>0</v>
      </c>
      <c r="H2229" s="33" cm="1">
        <f t="array" ref="H2229">IFERROR(_xlfn.XLOOKUP(1, (dd_accsryclr!$C$2:$C$1000=accsry_unmerged!F2229)*(dd_accsryclr!$B$2:$B$1000=accsry_unmerged!J2229),dd_accsryclr!$A$2:$A$1000),"")</f>
        <v>0</v>
      </c>
      <c r="I2229" s="16">
        <f>_xlfn.XLOOKUP(C2229,'Project Details'!$C$17:$C$66,'Project Details'!$E$17:$E$66,"",0)</f>
        <v>0</v>
      </c>
      <c r="J2229" s="16">
        <f>_xlfn.XLOOKUP(C2229,'Project Details'!$C$17:$C$66,'Project Details'!$H$17:$H$66,"",0)</f>
        <v>0</v>
      </c>
      <c r="K2229" s="33" t="str">
        <f>IF(AND(_xlfn.XLOOKUP(C2229,'Project Details'!$C$17:$C$66,'Project Details'!$L$17:$L$66,"",0)&gt;550, F2229="Spring-L27cm"),"",SUBSTITUTE(_xlfn.XLOOKUP(G2229,SKUs!$C$2:$C$10001,SKUs!$F$2:$F$10001,"",0), " Accessories",""))</f>
        <v/>
      </c>
      <c r="L2229" s="33">
        <f>_xlfn.XLOOKUP(C2229,'Project Details'!$C$17:$C$66,'Project Details'!$D$17:$D$66,"",0)</f>
        <v>0</v>
      </c>
      <c r="M2229" s="43"/>
    </row>
    <row r="2230" spans="1:13" x14ac:dyDescent="0.25">
      <c r="A2230" s="43"/>
      <c r="B2230" s="43"/>
      <c r="C2230" s="35">
        <f t="shared" si="43"/>
        <v>45</v>
      </c>
      <c r="D2230" s="35" t="str" cm="1">
        <f t="array" ref="D2230">IFERROR(ROUNDUP(_xlfn.IFS(F2230="Aluminum Track", _xlfn.XLOOKUP(C2230, dd_accsrycalc!$A$2:$A$51, dd_accsrycalc!$B$2:$B$51, "",0), F2230="10 x 2 1/2 S (Flat)", _xlfn.XLOOKUP(C2230, dd_accsrycalc!$A$2:$A$51, dd_accsrycalc!$C$2:$C$51, "",0), F2230="Tox6", _xlfn.XLOOKUP(C2230, dd_accsrycalc!$A$2:$A$51, dd_accsrycalc!$D$2:$D$51, "",0), F2230="Cover Cap", _xlfn.XLOOKUP(C2230, dd_accsrycalc!$A$2:$A$51, dd_accsrycalc!$E$2:$E$51, "",0), F2230="Drainage Cover", _xlfn.XLOOKUP(C2230, dd_accsrycalc!$A$2:$A$51, dd_accsrycalc!$F$2:$F$51, "",0),AND( F2230="Double Adhesive Tape", I2230="Roll-up Screen"), _xlfn.XLOOKUP(C2230, calc_rusacc!$C$15:$C$65, calc_rusacc!$AD$15:$AD$65, "",0),AND( F2230="Sealant", I2230="Roll-up Screen"), _xlfn.XLOOKUP(C2230, calc_rusacc!$C$15:$C$65, calc_rusacc!$AF$15:$AF$65, "",0),  AND( F2230="Main Chain", I2230="Accordion Screen"), _xlfn.XLOOKUP(C2230, calc_rusacc!$C$15:$C$65, calc_rusacc!$BF$15:$BF$65, "",0), AND( F2230="Sealant", I2230="Accordion Screen"), _xlfn.XLOOKUP(C2230, calc_rusacc!$C$15:$C$65, calc_rusacc!$BJ$15:$BJ$65, "",0),  F2230="Sealant", _xlfn.XLOOKUP(C2230, dd_accsrycalc!$A$2:$A$51, dd_accsrycalc!$G$2:$G$51, "",0),  F2230&lt;&gt;"",L2230*_xlfn.XLOOKUP(1, (SKUs!$C$2:$C$10001=G2230)*(SKUs!$K$2:$K$10001=I2230),SKUs!$E$2:$E$10001)), 0),"")</f>
        <v/>
      </c>
      <c r="E2230" s="35" t="str">
        <f>_xlfn.XLOOKUP(F2230,dd_item!$B$2:$B$105,dd_item!$C$2:$C$105,"",0)</f>
        <v/>
      </c>
      <c r="F2230" s="35"/>
      <c r="G2230" s="35" cm="1">
        <f t="array" ref="G2230">IFERROR(_xlfn.XLOOKUP(1, (SKUs!$J$2:$J$10001=accsry_unmerged!F2230)*IF(H2230&lt;&gt;"",(SKUs!$L$2:$L$10001=accsry_unmerged!H2230),1)*(SKUs!$K$2:$K$10001=I2230),SKUs!$C$2:$C$10001),"")</f>
        <v>0</v>
      </c>
      <c r="H2230" s="36" cm="1">
        <f t="array" ref="H2230">IFERROR(_xlfn.XLOOKUP(1, (dd_accsryclr!$C$2:$C$1000=accsry_unmerged!F2230)*(dd_accsryclr!$B$2:$B$1000=accsry_unmerged!J2230),dd_accsryclr!$A$2:$A$1000),"")</f>
        <v>0</v>
      </c>
      <c r="I2230" s="35">
        <f>_xlfn.XLOOKUP(C2230,'Project Details'!$C$17:$C$66,'Project Details'!$E$17:$E$66,"",0)</f>
        <v>0</v>
      </c>
      <c r="J2230" s="35">
        <f>_xlfn.XLOOKUP(C2230,'Project Details'!$C$17:$C$66,'Project Details'!$H$17:$H$66,"",0)</f>
        <v>0</v>
      </c>
      <c r="K2230" s="36" t="str">
        <f>IF(AND(_xlfn.XLOOKUP(C2230,'Project Details'!$C$17:$C$66,'Project Details'!$L$17:$L$66,"",0)&gt;550, F2230="Spring-L27cm"),"",SUBSTITUTE(_xlfn.XLOOKUP(G2230,SKUs!$C$2:$C$10001,SKUs!$F$2:$F$10001,"",0), " Accessories",""))</f>
        <v/>
      </c>
      <c r="L2230" s="36">
        <f>_xlfn.XLOOKUP(C2230,'Project Details'!$C$17:$C$66,'Project Details'!$D$17:$D$66,"",0)</f>
        <v>0</v>
      </c>
      <c r="M2230" s="43"/>
    </row>
    <row r="2231" spans="1:13" x14ac:dyDescent="0.25">
      <c r="A2231" s="43"/>
      <c r="B2231" s="43"/>
      <c r="C2231" s="16">
        <f t="shared" si="43"/>
        <v>45</v>
      </c>
      <c r="D2231" s="16" t="str" cm="1">
        <f t="array" ref="D2231">IFERROR(ROUNDUP(_xlfn.IFS(F2231="Aluminum Track", _xlfn.XLOOKUP(C2231, dd_accsrycalc!$A$2:$A$51, dd_accsrycalc!$B$2:$B$51, "",0), F2231="10 x 2 1/2 S (Flat)", _xlfn.XLOOKUP(C2231, dd_accsrycalc!$A$2:$A$51, dd_accsrycalc!$C$2:$C$51, "",0), F2231="Tox6", _xlfn.XLOOKUP(C2231, dd_accsrycalc!$A$2:$A$51, dd_accsrycalc!$D$2:$D$51, "",0), F2231="Cover Cap", _xlfn.XLOOKUP(C2231, dd_accsrycalc!$A$2:$A$51, dd_accsrycalc!$E$2:$E$51, "",0), F2231="Drainage Cover", _xlfn.XLOOKUP(C2231, dd_accsrycalc!$A$2:$A$51, dd_accsrycalc!$F$2:$F$51, "",0),AND( F2231="Double Adhesive Tape", I2231="Roll-up Screen"), _xlfn.XLOOKUP(C2231, calc_rusacc!$C$15:$C$65, calc_rusacc!$AD$15:$AD$65, "",0),AND( F2231="Sealant", I2231="Roll-up Screen"), _xlfn.XLOOKUP(C2231, calc_rusacc!$C$15:$C$65, calc_rusacc!$AF$15:$AF$65, "",0),  AND( F2231="Main Chain", I2231="Accordion Screen"), _xlfn.XLOOKUP(C2231, calc_rusacc!$C$15:$C$65, calc_rusacc!$BF$15:$BF$65, "",0), AND( F2231="Sealant", I2231="Accordion Screen"), _xlfn.XLOOKUP(C2231, calc_rusacc!$C$15:$C$65, calc_rusacc!$BJ$15:$BJ$65, "",0),  F2231="Sealant", _xlfn.XLOOKUP(C2231, dd_accsrycalc!$A$2:$A$51, dd_accsrycalc!$G$2:$G$51, "",0),  F2231&lt;&gt;"",L2231*_xlfn.XLOOKUP(1, (SKUs!$C$2:$C$10001=G2231)*(SKUs!$K$2:$K$10001=I2231),SKUs!$E$2:$E$10001)), 0),"")</f>
        <v/>
      </c>
      <c r="E2231" s="16" t="str">
        <f>_xlfn.XLOOKUP(F2231,dd_item!$B$2:$B$105,dd_item!$C$2:$C$105,"",0)</f>
        <v/>
      </c>
      <c r="F2231" s="16"/>
      <c r="G2231" s="16" cm="1">
        <f t="array" ref="G2231">IFERROR(_xlfn.XLOOKUP(1, (SKUs!$J$2:$J$10001=accsry_unmerged!F2231)*IF(H2231&lt;&gt;"",(SKUs!$L$2:$L$10001=accsry_unmerged!H2231),1)*(SKUs!$K$2:$K$10001=I2231),SKUs!$C$2:$C$10001),"")</f>
        <v>0</v>
      </c>
      <c r="H2231" s="33" cm="1">
        <f t="array" ref="H2231">IFERROR(_xlfn.XLOOKUP(1, (dd_accsryclr!$C$2:$C$1000=accsry_unmerged!F2231)*(dd_accsryclr!$B$2:$B$1000=accsry_unmerged!J2231),dd_accsryclr!$A$2:$A$1000),"")</f>
        <v>0</v>
      </c>
      <c r="I2231" s="16">
        <f>_xlfn.XLOOKUP(C2231,'Project Details'!$C$17:$C$66,'Project Details'!$E$17:$E$66,"",0)</f>
        <v>0</v>
      </c>
      <c r="J2231" s="16">
        <f>_xlfn.XLOOKUP(C2231,'Project Details'!$C$17:$C$66,'Project Details'!$H$17:$H$66,"",0)</f>
        <v>0</v>
      </c>
      <c r="K2231" s="33" t="str">
        <f>IF(AND(_xlfn.XLOOKUP(C2231,'Project Details'!$C$17:$C$66,'Project Details'!$L$17:$L$66,"",0)&gt;550, F2231="Spring-L27cm"),"",SUBSTITUTE(_xlfn.XLOOKUP(G2231,SKUs!$C$2:$C$10001,SKUs!$F$2:$F$10001,"",0), " Accessories",""))</f>
        <v/>
      </c>
      <c r="L2231" s="33">
        <f>_xlfn.XLOOKUP(C2231,'Project Details'!$C$17:$C$66,'Project Details'!$D$17:$D$66,"",0)</f>
        <v>0</v>
      </c>
      <c r="M2231" s="43"/>
    </row>
    <row r="2232" spans="1:13" x14ac:dyDescent="0.25">
      <c r="A2232" s="43"/>
      <c r="B2232" s="43"/>
      <c r="C2232" s="35">
        <f t="shared" si="43"/>
        <v>45</v>
      </c>
      <c r="D2232" s="35" t="str" cm="1">
        <f t="array" ref="D2232">IFERROR(ROUNDUP(_xlfn.IFS(F2232="Aluminum Track", _xlfn.XLOOKUP(C2232, dd_accsrycalc!$A$2:$A$51, dd_accsrycalc!$B$2:$B$51, "",0), F2232="10 x 2 1/2 S (Flat)", _xlfn.XLOOKUP(C2232, dd_accsrycalc!$A$2:$A$51, dd_accsrycalc!$C$2:$C$51, "",0), F2232="Tox6", _xlfn.XLOOKUP(C2232, dd_accsrycalc!$A$2:$A$51, dd_accsrycalc!$D$2:$D$51, "",0), F2232="Cover Cap", _xlfn.XLOOKUP(C2232, dd_accsrycalc!$A$2:$A$51, dd_accsrycalc!$E$2:$E$51, "",0), F2232="Drainage Cover", _xlfn.XLOOKUP(C2232, dd_accsrycalc!$A$2:$A$51, dd_accsrycalc!$F$2:$F$51, "",0),AND( F2232="Double Adhesive Tape", I2232="Roll-up Screen"), _xlfn.XLOOKUP(C2232, calc_rusacc!$C$15:$C$65, calc_rusacc!$AD$15:$AD$65, "",0),AND( F2232="Sealant", I2232="Roll-up Screen"), _xlfn.XLOOKUP(C2232, calc_rusacc!$C$15:$C$65, calc_rusacc!$AF$15:$AF$65, "",0),  AND( F2232="Main Chain", I2232="Accordion Screen"), _xlfn.XLOOKUP(C2232, calc_rusacc!$C$15:$C$65, calc_rusacc!$BF$15:$BF$65, "",0), AND( F2232="Sealant", I2232="Accordion Screen"), _xlfn.XLOOKUP(C2232, calc_rusacc!$C$15:$C$65, calc_rusacc!$BJ$15:$BJ$65, "",0),  F2232="Sealant", _xlfn.XLOOKUP(C2232, dd_accsrycalc!$A$2:$A$51, dd_accsrycalc!$G$2:$G$51, "",0),  F2232&lt;&gt;"",L2232*_xlfn.XLOOKUP(1, (SKUs!$C$2:$C$10001=G2232)*(SKUs!$K$2:$K$10001=I2232),SKUs!$E$2:$E$10001)), 0),"")</f>
        <v/>
      </c>
      <c r="E2232" s="35" t="str">
        <f>_xlfn.XLOOKUP(F2232,dd_item!$B$2:$B$105,dd_item!$C$2:$C$105,"",0)</f>
        <v/>
      </c>
      <c r="F2232" s="35"/>
      <c r="G2232" s="35" cm="1">
        <f t="array" ref="G2232">IFERROR(_xlfn.XLOOKUP(1, (SKUs!$J$2:$J$10001=accsry_unmerged!F2232)*IF(H2232&lt;&gt;"",(SKUs!$L$2:$L$10001=accsry_unmerged!H2232),1)*(SKUs!$K$2:$K$10001=I2232),SKUs!$C$2:$C$10001),"")</f>
        <v>0</v>
      </c>
      <c r="H2232" s="36" cm="1">
        <f t="array" ref="H2232">IFERROR(_xlfn.XLOOKUP(1, (dd_accsryclr!$C$2:$C$1000=accsry_unmerged!F2232)*(dd_accsryclr!$B$2:$B$1000=accsry_unmerged!J2232),dd_accsryclr!$A$2:$A$1000),"")</f>
        <v>0</v>
      </c>
      <c r="I2232" s="35">
        <f>_xlfn.XLOOKUP(C2232,'Project Details'!$C$17:$C$66,'Project Details'!$E$17:$E$66,"",0)</f>
        <v>0</v>
      </c>
      <c r="J2232" s="35">
        <f>_xlfn.XLOOKUP(C2232,'Project Details'!$C$17:$C$66,'Project Details'!$H$17:$H$66,"",0)</f>
        <v>0</v>
      </c>
      <c r="K2232" s="36" t="str">
        <f>IF(AND(_xlfn.XLOOKUP(C2232,'Project Details'!$C$17:$C$66,'Project Details'!$L$17:$L$66,"",0)&gt;550, F2232="Spring-L27cm"),"",SUBSTITUTE(_xlfn.XLOOKUP(G2232,SKUs!$C$2:$C$10001,SKUs!$F$2:$F$10001,"",0), " Accessories",""))</f>
        <v/>
      </c>
      <c r="L2232" s="36">
        <f>_xlfn.XLOOKUP(C2232,'Project Details'!$C$17:$C$66,'Project Details'!$D$17:$D$66,"",0)</f>
        <v>0</v>
      </c>
      <c r="M2232" s="43"/>
    </row>
    <row r="2233" spans="1:13" x14ac:dyDescent="0.25">
      <c r="A2233" s="43"/>
      <c r="B2233" s="43"/>
      <c r="C2233" s="16">
        <f t="shared" si="43"/>
        <v>45</v>
      </c>
      <c r="D2233" s="16" t="str" cm="1">
        <f t="array" ref="D2233">IFERROR(ROUNDUP(_xlfn.IFS(F2233="Aluminum Track", _xlfn.XLOOKUP(C2233, dd_accsrycalc!$A$2:$A$51, dd_accsrycalc!$B$2:$B$51, "",0), F2233="10 x 2 1/2 S (Flat)", _xlfn.XLOOKUP(C2233, dd_accsrycalc!$A$2:$A$51, dd_accsrycalc!$C$2:$C$51, "",0), F2233="Tox6", _xlfn.XLOOKUP(C2233, dd_accsrycalc!$A$2:$A$51, dd_accsrycalc!$D$2:$D$51, "",0), F2233="Cover Cap", _xlfn.XLOOKUP(C2233, dd_accsrycalc!$A$2:$A$51, dd_accsrycalc!$E$2:$E$51, "",0), F2233="Drainage Cover", _xlfn.XLOOKUP(C2233, dd_accsrycalc!$A$2:$A$51, dd_accsrycalc!$F$2:$F$51, "",0),AND( F2233="Double Adhesive Tape", I2233="Roll-up Screen"), _xlfn.XLOOKUP(C2233, calc_rusacc!$C$15:$C$65, calc_rusacc!$AD$15:$AD$65, "",0),AND( F2233="Sealant", I2233="Roll-up Screen"), _xlfn.XLOOKUP(C2233, calc_rusacc!$C$15:$C$65, calc_rusacc!$AF$15:$AF$65, "",0),  AND( F2233="Main Chain", I2233="Accordion Screen"), _xlfn.XLOOKUP(C2233, calc_rusacc!$C$15:$C$65, calc_rusacc!$BF$15:$BF$65, "",0), AND( F2233="Sealant", I2233="Accordion Screen"), _xlfn.XLOOKUP(C2233, calc_rusacc!$C$15:$C$65, calc_rusacc!$BJ$15:$BJ$65, "",0),  F2233="Sealant", _xlfn.XLOOKUP(C2233, dd_accsrycalc!$A$2:$A$51, dd_accsrycalc!$G$2:$G$51, "",0),  F2233&lt;&gt;"",L2233*_xlfn.XLOOKUP(1, (SKUs!$C$2:$C$10001=G2233)*(SKUs!$K$2:$K$10001=I2233),SKUs!$E$2:$E$10001)), 0),"")</f>
        <v/>
      </c>
      <c r="E2233" s="16" t="str">
        <f>_xlfn.XLOOKUP(F2233,dd_item!$B$2:$B$105,dd_item!$C$2:$C$105,"",0)</f>
        <v/>
      </c>
      <c r="F2233" s="16"/>
      <c r="G2233" s="16" cm="1">
        <f t="array" ref="G2233">IFERROR(_xlfn.XLOOKUP(1, (SKUs!$J$2:$J$10001=accsry_unmerged!F2233)*IF(H2233&lt;&gt;"",(SKUs!$L$2:$L$10001=accsry_unmerged!H2233),1)*(SKUs!$K$2:$K$10001=I2233),SKUs!$C$2:$C$10001),"")</f>
        <v>0</v>
      </c>
      <c r="H2233" s="33" cm="1">
        <f t="array" ref="H2233">IFERROR(_xlfn.XLOOKUP(1, (dd_accsryclr!$C$2:$C$1000=accsry_unmerged!F2233)*(dd_accsryclr!$B$2:$B$1000=accsry_unmerged!J2233),dd_accsryclr!$A$2:$A$1000),"")</f>
        <v>0</v>
      </c>
      <c r="I2233" s="16">
        <f>_xlfn.XLOOKUP(C2233,'Project Details'!$C$17:$C$66,'Project Details'!$E$17:$E$66,"",0)</f>
        <v>0</v>
      </c>
      <c r="J2233" s="16">
        <f>_xlfn.XLOOKUP(C2233,'Project Details'!$C$17:$C$66,'Project Details'!$H$17:$H$66,"",0)</f>
        <v>0</v>
      </c>
      <c r="K2233" s="33" t="str">
        <f>IF(AND(_xlfn.XLOOKUP(C2233,'Project Details'!$C$17:$C$66,'Project Details'!$L$17:$L$66,"",0)&gt;550, F2233="Spring-L27cm"),"",SUBSTITUTE(_xlfn.XLOOKUP(G2233,SKUs!$C$2:$C$10001,SKUs!$F$2:$F$10001,"",0), " Accessories",""))</f>
        <v/>
      </c>
      <c r="L2233" s="33">
        <f>_xlfn.XLOOKUP(C2233,'Project Details'!$C$17:$C$66,'Project Details'!$D$17:$D$66,"",0)</f>
        <v>0</v>
      </c>
      <c r="M2233" s="43"/>
    </row>
    <row r="2234" spans="1:13" ht="13.5" customHeight="1" x14ac:dyDescent="0.25">
      <c r="A2234" s="43"/>
      <c r="B2234" s="43"/>
      <c r="C2234" s="35">
        <f t="shared" si="43"/>
        <v>45</v>
      </c>
      <c r="D2234" s="35" t="str" cm="1">
        <f t="array" ref="D2234">IFERROR(ROUNDUP(_xlfn.IFS(F2234="Aluminum Track", _xlfn.XLOOKUP(C2234, dd_accsrycalc!$A$2:$A$51, dd_accsrycalc!$B$2:$B$51, "",0), F2234="10 x 2 1/2 S (Flat)", _xlfn.XLOOKUP(C2234, dd_accsrycalc!$A$2:$A$51, dd_accsrycalc!$C$2:$C$51, "",0), F2234="Tox6", _xlfn.XLOOKUP(C2234, dd_accsrycalc!$A$2:$A$51, dd_accsrycalc!$D$2:$D$51, "",0), F2234="Cover Cap", _xlfn.XLOOKUP(C2234, dd_accsrycalc!$A$2:$A$51, dd_accsrycalc!$E$2:$E$51, "",0), F2234="Drainage Cover", _xlfn.XLOOKUP(C2234, dd_accsrycalc!$A$2:$A$51, dd_accsrycalc!$F$2:$F$51, "",0),AND( F2234="Double Adhesive Tape", I2234="Roll-up Screen"), _xlfn.XLOOKUP(C2234, calc_rusacc!$C$15:$C$65, calc_rusacc!$AD$15:$AD$65, "",0),AND( F2234="Sealant", I2234="Roll-up Screen"), _xlfn.XLOOKUP(C2234, calc_rusacc!$C$15:$C$65, calc_rusacc!$AF$15:$AF$65, "",0),  AND( F2234="Main Chain", I2234="Accordion Screen"), _xlfn.XLOOKUP(C2234, calc_rusacc!$C$15:$C$65, calc_rusacc!$BF$15:$BF$65, "",0), AND( F2234="Sealant", I2234="Accordion Screen"), _xlfn.XLOOKUP(C2234, calc_rusacc!$C$15:$C$65, calc_rusacc!$BJ$15:$BJ$65, "",0),  F2234="Sealant", _xlfn.XLOOKUP(C2234, dd_accsrycalc!$A$2:$A$51, dd_accsrycalc!$G$2:$G$51, "",0),  F2234&lt;&gt;"",L2234*_xlfn.XLOOKUP(1, (SKUs!$C$2:$C$10001=G2234)*(SKUs!$K$2:$K$10001=I2234),SKUs!$E$2:$E$10001)), 0),"")</f>
        <v/>
      </c>
      <c r="E2234" s="35" t="str">
        <f>_xlfn.XLOOKUP(F2234,dd_item!$B$2:$B$105,dd_item!$C$2:$C$105,"",0)</f>
        <v/>
      </c>
      <c r="F2234" s="35"/>
      <c r="G2234" s="35" cm="1">
        <f t="array" ref="G2234">IFERROR(_xlfn.XLOOKUP(1, (SKUs!$J$2:$J$10001=accsry_unmerged!F2234)*IF(H2234&lt;&gt;"",(SKUs!$L$2:$L$10001=accsry_unmerged!H2234),1)*(SKUs!$K$2:$K$10001=I2234),SKUs!$C$2:$C$10001),"")</f>
        <v>0</v>
      </c>
      <c r="H2234" s="36" cm="1">
        <f t="array" ref="H2234">IFERROR(_xlfn.XLOOKUP(1, (dd_accsryclr!$C$2:$C$1000=accsry_unmerged!F2234)*(dd_accsryclr!$B$2:$B$1000=accsry_unmerged!J2234),dd_accsryclr!$A$2:$A$1000),"")</f>
        <v>0</v>
      </c>
      <c r="I2234" s="35">
        <f>_xlfn.XLOOKUP(C2234,'Project Details'!$C$17:$C$66,'Project Details'!$E$17:$E$66,"",0)</f>
        <v>0</v>
      </c>
      <c r="J2234" s="35">
        <f>_xlfn.XLOOKUP(C2234,'Project Details'!$C$17:$C$66,'Project Details'!$H$17:$H$66,"",0)</f>
        <v>0</v>
      </c>
      <c r="K2234" s="36" t="str">
        <f>IF(AND(_xlfn.XLOOKUP(C2234,'Project Details'!$C$17:$C$66,'Project Details'!$L$17:$L$66,"",0)&gt;550, F2234="Spring-L27cm"),"",SUBSTITUTE(_xlfn.XLOOKUP(G2234,SKUs!$C$2:$C$10001,SKUs!$F$2:$F$10001,"",0), " Accessories",""))</f>
        <v/>
      </c>
      <c r="L2234" s="36">
        <f>_xlfn.XLOOKUP(C2234,'Project Details'!$C$17:$C$66,'Project Details'!$D$17:$D$66,"",0)</f>
        <v>0</v>
      </c>
      <c r="M2234" s="43"/>
    </row>
    <row r="2235" spans="1:13" ht="13.5" customHeight="1" x14ac:dyDescent="0.25">
      <c r="A2235" s="43"/>
      <c r="B2235" s="43"/>
      <c r="C2235" s="16">
        <f t="shared" si="43"/>
        <v>45</v>
      </c>
      <c r="D2235" s="16" t="str" cm="1">
        <f t="array" ref="D2235">IFERROR(ROUNDUP(_xlfn.IFS(F2235="Aluminum Track", _xlfn.XLOOKUP(C2235, dd_accsrycalc!$A$2:$A$51, dd_accsrycalc!$B$2:$B$51, "",0), F2235="10 x 2 1/2 S (Flat)", _xlfn.XLOOKUP(C2235, dd_accsrycalc!$A$2:$A$51, dd_accsrycalc!$C$2:$C$51, "",0), F2235="Tox6", _xlfn.XLOOKUP(C2235, dd_accsrycalc!$A$2:$A$51, dd_accsrycalc!$D$2:$D$51, "",0), F2235="Cover Cap", _xlfn.XLOOKUP(C2235, dd_accsrycalc!$A$2:$A$51, dd_accsrycalc!$E$2:$E$51, "",0), F2235="Drainage Cover", _xlfn.XLOOKUP(C2235, dd_accsrycalc!$A$2:$A$51, dd_accsrycalc!$F$2:$F$51, "",0),AND( F2235="Double Adhesive Tape", I2235="Roll-up Screen"), _xlfn.XLOOKUP(C2235, calc_rusacc!$C$15:$C$65, calc_rusacc!$AD$15:$AD$65, "",0),AND( F2235="Sealant", I2235="Roll-up Screen"), _xlfn.XLOOKUP(C2235, calc_rusacc!$C$15:$C$65, calc_rusacc!$AF$15:$AF$65, "",0),  AND( F2235="Main Chain", I2235="Accordion Screen"), _xlfn.XLOOKUP(C2235, calc_rusacc!$C$15:$C$65, calc_rusacc!$BF$15:$BF$65, "",0), AND( F2235="Sealant", I2235="Accordion Screen"), _xlfn.XLOOKUP(C2235, calc_rusacc!$C$15:$C$65, calc_rusacc!$BJ$15:$BJ$65, "",0),  F2235="Sealant", _xlfn.XLOOKUP(C2235, dd_accsrycalc!$A$2:$A$51, dd_accsrycalc!$G$2:$G$51, "",0),  F2235&lt;&gt;"",L2235*_xlfn.XLOOKUP(1, (SKUs!$C$2:$C$10001=G2235)*(SKUs!$K$2:$K$10001=I2235),SKUs!$E$2:$E$10001)), 0),"")</f>
        <v/>
      </c>
      <c r="E2235" s="16" t="str">
        <f>_xlfn.XLOOKUP(F2235,dd_item!$B$2:$B$105,dd_item!$C$2:$C$105,"",0)</f>
        <v/>
      </c>
      <c r="F2235" s="16"/>
      <c r="G2235" s="16" cm="1">
        <f t="array" ref="G2235">IFERROR(_xlfn.XLOOKUP(1, (SKUs!$J$2:$J$10001=accsry_unmerged!F2235)*IF(H2235&lt;&gt;"",(SKUs!$L$2:$L$10001=accsry_unmerged!H2235),1)*(SKUs!$K$2:$K$10001=I2235),SKUs!$C$2:$C$10001),"")</f>
        <v>0</v>
      </c>
      <c r="H2235" s="33" cm="1">
        <f t="array" ref="H2235">IFERROR(_xlfn.XLOOKUP(1, (dd_accsryclr!$C$2:$C$1000=accsry_unmerged!F2235)*(dd_accsryclr!$B$2:$B$1000=accsry_unmerged!J2235),dd_accsryclr!$A$2:$A$1000),"")</f>
        <v>0</v>
      </c>
      <c r="I2235" s="16">
        <f>_xlfn.XLOOKUP(C2235,'Project Details'!$C$17:$C$66,'Project Details'!$E$17:$E$66,"",0)</f>
        <v>0</v>
      </c>
      <c r="J2235" s="16">
        <f>_xlfn.XLOOKUP(C2235,'Project Details'!$C$17:$C$66,'Project Details'!$H$17:$H$66,"",0)</f>
        <v>0</v>
      </c>
      <c r="K2235" s="33" t="str">
        <f>IF(AND(_xlfn.XLOOKUP(C2235,'Project Details'!$C$17:$C$66,'Project Details'!$L$17:$L$66,"",0)&gt;550, F2235="Spring-L27cm"),"",SUBSTITUTE(_xlfn.XLOOKUP(G2235,SKUs!$C$2:$C$10001,SKUs!$F$2:$F$10001,"",0), " Accessories",""))</f>
        <v/>
      </c>
      <c r="L2235" s="33">
        <f>_xlfn.XLOOKUP(C2235,'Project Details'!$C$17:$C$66,'Project Details'!$D$17:$D$66,"",0)</f>
        <v>0</v>
      </c>
      <c r="M2235" s="43"/>
    </row>
    <row r="2236" spans="1:13" ht="13.5" customHeight="1" x14ac:dyDescent="0.25">
      <c r="A2236" s="43"/>
      <c r="B2236" s="43"/>
      <c r="C2236" s="35">
        <f t="shared" si="43"/>
        <v>45</v>
      </c>
      <c r="D2236" s="35" t="str" cm="1">
        <f t="array" ref="D2236">IFERROR(ROUNDUP(_xlfn.IFS(F2236="Aluminum Track", _xlfn.XLOOKUP(C2236, dd_accsrycalc!$A$2:$A$51, dd_accsrycalc!$B$2:$B$51, "",0), F2236="10 x 2 1/2 S (Flat)", _xlfn.XLOOKUP(C2236, dd_accsrycalc!$A$2:$A$51, dd_accsrycalc!$C$2:$C$51, "",0), F2236="Tox6", _xlfn.XLOOKUP(C2236, dd_accsrycalc!$A$2:$A$51, dd_accsrycalc!$D$2:$D$51, "",0), F2236="Cover Cap", _xlfn.XLOOKUP(C2236, dd_accsrycalc!$A$2:$A$51, dd_accsrycalc!$E$2:$E$51, "",0), F2236="Drainage Cover", _xlfn.XLOOKUP(C2236, dd_accsrycalc!$A$2:$A$51, dd_accsrycalc!$F$2:$F$51, "",0),AND( F2236="Double Adhesive Tape", I2236="Roll-up Screen"), _xlfn.XLOOKUP(C2236, calc_rusacc!$C$15:$C$65, calc_rusacc!$AD$15:$AD$65, "",0),AND( F2236="Sealant", I2236="Roll-up Screen"), _xlfn.XLOOKUP(C2236, calc_rusacc!$C$15:$C$65, calc_rusacc!$AF$15:$AF$65, "",0),  AND( F2236="Main Chain", I2236="Accordion Screen"), _xlfn.XLOOKUP(C2236, calc_rusacc!$C$15:$C$65, calc_rusacc!$BF$15:$BF$65, "",0), AND( F2236="Sealant", I2236="Accordion Screen"), _xlfn.XLOOKUP(C2236, calc_rusacc!$C$15:$C$65, calc_rusacc!$BJ$15:$BJ$65, "",0),  F2236="Sealant", _xlfn.XLOOKUP(C2236, dd_accsrycalc!$A$2:$A$51, dd_accsrycalc!$G$2:$G$51, "",0),  F2236&lt;&gt;"",L2236*_xlfn.XLOOKUP(1, (SKUs!$C$2:$C$10001=G2236)*(SKUs!$K$2:$K$10001=I2236),SKUs!$E$2:$E$10001)), 0),"")</f>
        <v/>
      </c>
      <c r="E2236" s="35" t="str">
        <f>_xlfn.XLOOKUP(F2236,dd_item!$B$2:$B$105,dd_item!$C$2:$C$105,"",0)</f>
        <v/>
      </c>
      <c r="F2236" s="35"/>
      <c r="G2236" s="35" cm="1">
        <f t="array" ref="G2236">IFERROR(_xlfn.XLOOKUP(1, (SKUs!$J$2:$J$10001=accsry_unmerged!F2236)*IF(H2236&lt;&gt;"",(SKUs!$L$2:$L$10001=accsry_unmerged!H2236),1)*(SKUs!$K$2:$K$10001=I2236),SKUs!$C$2:$C$10001),"")</f>
        <v>0</v>
      </c>
      <c r="H2236" s="36" cm="1">
        <f t="array" ref="H2236">IFERROR(_xlfn.XLOOKUP(1, (dd_accsryclr!$C$2:$C$1000=accsry_unmerged!F2236)*(dd_accsryclr!$B$2:$B$1000=accsry_unmerged!J2236),dd_accsryclr!$A$2:$A$1000),"")</f>
        <v>0</v>
      </c>
      <c r="I2236" s="35">
        <f>_xlfn.XLOOKUP(C2236,'Project Details'!$C$17:$C$66,'Project Details'!$E$17:$E$66,"",0)</f>
        <v>0</v>
      </c>
      <c r="J2236" s="35">
        <f>_xlfn.XLOOKUP(C2236,'Project Details'!$C$17:$C$66,'Project Details'!$H$17:$H$66,"",0)</f>
        <v>0</v>
      </c>
      <c r="K2236" s="36" t="str">
        <f>IF(AND(_xlfn.XLOOKUP(C2236,'Project Details'!$C$17:$C$66,'Project Details'!$L$17:$L$66,"",0)&gt;550, F2236="Spring-L27cm"),"",SUBSTITUTE(_xlfn.XLOOKUP(G2236,SKUs!$C$2:$C$10001,SKUs!$F$2:$F$10001,"",0), " Accessories",""))</f>
        <v/>
      </c>
      <c r="L2236" s="36">
        <f>_xlfn.XLOOKUP(C2236,'Project Details'!$C$17:$C$66,'Project Details'!$D$17:$D$66,"",0)</f>
        <v>0</v>
      </c>
      <c r="M2236" s="43"/>
    </row>
    <row r="2237" spans="1:13" ht="13.5" customHeight="1" x14ac:dyDescent="0.25">
      <c r="A2237" s="43"/>
      <c r="B2237" s="43"/>
      <c r="C2237" s="16">
        <f t="shared" si="43"/>
        <v>45</v>
      </c>
      <c r="D2237" s="16" t="str" cm="1">
        <f t="array" ref="D2237">IFERROR(ROUNDUP(_xlfn.IFS(F2237="Aluminum Track", _xlfn.XLOOKUP(C2237, dd_accsrycalc!$A$2:$A$51, dd_accsrycalc!$B$2:$B$51, "",0), F2237="10 x 2 1/2 S (Flat)", _xlfn.XLOOKUP(C2237, dd_accsrycalc!$A$2:$A$51, dd_accsrycalc!$C$2:$C$51, "",0), F2237="Tox6", _xlfn.XLOOKUP(C2237, dd_accsrycalc!$A$2:$A$51, dd_accsrycalc!$D$2:$D$51, "",0), F2237="Cover Cap", _xlfn.XLOOKUP(C2237, dd_accsrycalc!$A$2:$A$51, dd_accsrycalc!$E$2:$E$51, "",0), F2237="Drainage Cover", _xlfn.XLOOKUP(C2237, dd_accsrycalc!$A$2:$A$51, dd_accsrycalc!$F$2:$F$51, "",0),AND( F2237="Double Adhesive Tape", I2237="Roll-up Screen"), _xlfn.XLOOKUP(C2237, calc_rusacc!$C$15:$C$65, calc_rusacc!$AD$15:$AD$65, "",0),AND( F2237="Sealant", I2237="Roll-up Screen"), _xlfn.XLOOKUP(C2237, calc_rusacc!$C$15:$C$65, calc_rusacc!$AF$15:$AF$65, "",0),  AND( F2237="Main Chain", I2237="Accordion Screen"), _xlfn.XLOOKUP(C2237, calc_rusacc!$C$15:$C$65, calc_rusacc!$BF$15:$BF$65, "",0), AND( F2237="Sealant", I2237="Accordion Screen"), _xlfn.XLOOKUP(C2237, calc_rusacc!$C$15:$C$65, calc_rusacc!$BJ$15:$BJ$65, "",0),  F2237="Sealant", _xlfn.XLOOKUP(C2237, dd_accsrycalc!$A$2:$A$51, dd_accsrycalc!$G$2:$G$51, "",0),  F2237&lt;&gt;"",L2237*_xlfn.XLOOKUP(1, (SKUs!$C$2:$C$10001=G2237)*(SKUs!$K$2:$K$10001=I2237),SKUs!$E$2:$E$10001)), 0),"")</f>
        <v/>
      </c>
      <c r="E2237" s="16" t="str">
        <f>_xlfn.XLOOKUP(F2237,dd_item!$B$2:$B$105,dd_item!$C$2:$C$105,"",0)</f>
        <v/>
      </c>
      <c r="F2237" s="16"/>
      <c r="G2237" s="16" cm="1">
        <f t="array" ref="G2237">IFERROR(_xlfn.XLOOKUP(1, (SKUs!$J$2:$J$10001=accsry_unmerged!F2237)*IF(H2237&lt;&gt;"",(SKUs!$L$2:$L$10001=accsry_unmerged!H2237),1)*(SKUs!$K$2:$K$10001=I2237),SKUs!$C$2:$C$10001),"")</f>
        <v>0</v>
      </c>
      <c r="H2237" s="33" cm="1">
        <f t="array" ref="H2237">IFERROR(_xlfn.XLOOKUP(1, (dd_accsryclr!$C$2:$C$1000=accsry_unmerged!F2237)*(dd_accsryclr!$B$2:$B$1000=accsry_unmerged!J2237),dd_accsryclr!$A$2:$A$1000),"")</f>
        <v>0</v>
      </c>
      <c r="I2237" s="16">
        <f>_xlfn.XLOOKUP(C2237,'Project Details'!$C$17:$C$66,'Project Details'!$E$17:$E$66,"",0)</f>
        <v>0</v>
      </c>
      <c r="J2237" s="16">
        <f>_xlfn.XLOOKUP(C2237,'Project Details'!$C$17:$C$66,'Project Details'!$H$17:$H$66,"",0)</f>
        <v>0</v>
      </c>
      <c r="K2237" s="33" t="str">
        <f>IF(AND(_xlfn.XLOOKUP(C2237,'Project Details'!$C$17:$C$66,'Project Details'!$L$17:$L$66,"",0)&gt;550, F2237="Spring-L27cm"),"",SUBSTITUTE(_xlfn.XLOOKUP(G2237,SKUs!$C$2:$C$10001,SKUs!$F$2:$F$10001,"",0), " Accessories",""))</f>
        <v/>
      </c>
      <c r="L2237" s="33">
        <f>_xlfn.XLOOKUP(C2237,'Project Details'!$C$17:$C$66,'Project Details'!$D$17:$D$66,"",0)</f>
        <v>0</v>
      </c>
      <c r="M2237" s="43"/>
    </row>
    <row r="2238" spans="1:13" ht="13.5" customHeight="1" x14ac:dyDescent="0.25">
      <c r="A2238" s="43"/>
      <c r="B2238" s="43"/>
      <c r="C2238" s="35">
        <f t="shared" si="43"/>
        <v>45</v>
      </c>
      <c r="D2238" s="35" t="str" cm="1">
        <f t="array" ref="D2238">IFERROR(ROUNDUP(_xlfn.IFS(F2238="Aluminum Track", _xlfn.XLOOKUP(C2238, dd_accsrycalc!$A$2:$A$51, dd_accsrycalc!$B$2:$B$51, "",0), F2238="10 x 2 1/2 S (Flat)", _xlfn.XLOOKUP(C2238, dd_accsrycalc!$A$2:$A$51, dd_accsrycalc!$C$2:$C$51, "",0), F2238="Tox6", _xlfn.XLOOKUP(C2238, dd_accsrycalc!$A$2:$A$51, dd_accsrycalc!$D$2:$D$51, "",0), F2238="Cover Cap", _xlfn.XLOOKUP(C2238, dd_accsrycalc!$A$2:$A$51, dd_accsrycalc!$E$2:$E$51, "",0), F2238="Drainage Cover", _xlfn.XLOOKUP(C2238, dd_accsrycalc!$A$2:$A$51, dd_accsrycalc!$F$2:$F$51, "",0),AND( F2238="Double Adhesive Tape", I2238="Roll-up Screen"), _xlfn.XLOOKUP(C2238, calc_rusacc!$C$15:$C$65, calc_rusacc!$AD$15:$AD$65, "",0),AND( F2238="Sealant", I2238="Roll-up Screen"), _xlfn.XLOOKUP(C2238, calc_rusacc!$C$15:$C$65, calc_rusacc!$AF$15:$AF$65, "",0),  AND( F2238="Main Chain", I2238="Accordion Screen"), _xlfn.XLOOKUP(C2238, calc_rusacc!$C$15:$C$65, calc_rusacc!$BF$15:$BF$65, "",0), AND( F2238="Sealant", I2238="Accordion Screen"), _xlfn.XLOOKUP(C2238, calc_rusacc!$C$15:$C$65, calc_rusacc!$BJ$15:$BJ$65, "",0),  F2238="Sealant", _xlfn.XLOOKUP(C2238, dd_accsrycalc!$A$2:$A$51, dd_accsrycalc!$G$2:$G$51, "",0),  F2238&lt;&gt;"",L2238*_xlfn.XLOOKUP(1, (SKUs!$C$2:$C$10001=G2238)*(SKUs!$K$2:$K$10001=I2238),SKUs!$E$2:$E$10001)), 0),"")</f>
        <v/>
      </c>
      <c r="E2238" s="35" t="str">
        <f>_xlfn.XLOOKUP(F2238,dd_item!$B$2:$B$105,dd_item!$C$2:$C$105,"",0)</f>
        <v/>
      </c>
      <c r="F2238" s="35"/>
      <c r="G2238" s="35" cm="1">
        <f t="array" ref="G2238">IFERROR(_xlfn.XLOOKUP(1, (SKUs!$J$2:$J$10001=accsry_unmerged!F2238)*IF(H2238&lt;&gt;"",(SKUs!$L$2:$L$10001=accsry_unmerged!H2238),1)*(SKUs!$K$2:$K$10001=I2238),SKUs!$C$2:$C$10001),"")</f>
        <v>0</v>
      </c>
      <c r="H2238" s="36" cm="1">
        <f t="array" ref="H2238">IFERROR(_xlfn.XLOOKUP(1, (dd_accsryclr!$C$2:$C$1000=accsry_unmerged!F2238)*(dd_accsryclr!$B$2:$B$1000=accsry_unmerged!J2238),dd_accsryclr!$A$2:$A$1000),"")</f>
        <v>0</v>
      </c>
      <c r="I2238" s="35">
        <f>_xlfn.XLOOKUP(C2238,'Project Details'!$C$17:$C$66,'Project Details'!$E$17:$E$66,"",0)</f>
        <v>0</v>
      </c>
      <c r="J2238" s="35">
        <f>_xlfn.XLOOKUP(C2238,'Project Details'!$C$17:$C$66,'Project Details'!$H$17:$H$66,"",0)</f>
        <v>0</v>
      </c>
      <c r="K2238" s="36" t="str">
        <f>IF(AND(_xlfn.XLOOKUP(C2238,'Project Details'!$C$17:$C$66,'Project Details'!$L$17:$L$66,"",0)&gt;550, F2238="Spring-L27cm"),"",SUBSTITUTE(_xlfn.XLOOKUP(G2238,SKUs!$C$2:$C$10001,SKUs!$F$2:$F$10001,"",0), " Accessories",""))</f>
        <v/>
      </c>
      <c r="L2238" s="36">
        <f>_xlfn.XLOOKUP(C2238,'Project Details'!$C$17:$C$66,'Project Details'!$D$17:$D$66,"",0)</f>
        <v>0</v>
      </c>
      <c r="M2238" s="43"/>
    </row>
    <row r="2239" spans="1:13" ht="13.5" customHeight="1" x14ac:dyDescent="0.25">
      <c r="A2239" s="43"/>
      <c r="B2239" s="43"/>
      <c r="C2239" s="16">
        <f t="shared" si="43"/>
        <v>45</v>
      </c>
      <c r="D2239" s="16" t="str" cm="1">
        <f t="array" ref="D2239">IFERROR(ROUNDUP(_xlfn.IFS(F2239="Aluminum Track", _xlfn.XLOOKUP(C2239, dd_accsrycalc!$A$2:$A$51, dd_accsrycalc!$B$2:$B$51, "",0), F2239="10 x 2 1/2 S (Flat)", _xlfn.XLOOKUP(C2239, dd_accsrycalc!$A$2:$A$51, dd_accsrycalc!$C$2:$C$51, "",0), F2239="Tox6", _xlfn.XLOOKUP(C2239, dd_accsrycalc!$A$2:$A$51, dd_accsrycalc!$D$2:$D$51, "",0), F2239="Cover Cap", _xlfn.XLOOKUP(C2239, dd_accsrycalc!$A$2:$A$51, dd_accsrycalc!$E$2:$E$51, "",0), F2239="Drainage Cover", _xlfn.XLOOKUP(C2239, dd_accsrycalc!$A$2:$A$51, dd_accsrycalc!$F$2:$F$51, "",0),AND( F2239="Double Adhesive Tape", I2239="Roll-up Screen"), _xlfn.XLOOKUP(C2239, calc_rusacc!$C$15:$C$65, calc_rusacc!$AD$15:$AD$65, "",0),AND( F2239="Sealant", I2239="Roll-up Screen"), _xlfn.XLOOKUP(C2239, calc_rusacc!$C$15:$C$65, calc_rusacc!$AF$15:$AF$65, "",0),  AND( F2239="Main Chain", I2239="Accordion Screen"), _xlfn.XLOOKUP(C2239, calc_rusacc!$C$15:$C$65, calc_rusacc!$BF$15:$BF$65, "",0), AND( F2239="Sealant", I2239="Accordion Screen"), _xlfn.XLOOKUP(C2239, calc_rusacc!$C$15:$C$65, calc_rusacc!$BJ$15:$BJ$65, "",0),  F2239="Sealant", _xlfn.XLOOKUP(C2239, dd_accsrycalc!$A$2:$A$51, dd_accsrycalc!$G$2:$G$51, "",0),  F2239&lt;&gt;"",L2239*_xlfn.XLOOKUP(1, (SKUs!$C$2:$C$10001=G2239)*(SKUs!$K$2:$K$10001=I2239),SKUs!$E$2:$E$10001)), 0),"")</f>
        <v/>
      </c>
      <c r="E2239" s="16" t="str">
        <f>_xlfn.XLOOKUP(F2239,dd_item!$B$2:$B$105,dd_item!$C$2:$C$105,"",0)</f>
        <v/>
      </c>
      <c r="F2239" s="16"/>
      <c r="G2239" s="16" cm="1">
        <f t="array" ref="G2239">IFERROR(_xlfn.XLOOKUP(1, (SKUs!$J$2:$J$10001=accsry_unmerged!F2239)*IF(H2239&lt;&gt;"",(SKUs!$L$2:$L$10001=accsry_unmerged!H2239),1)*(SKUs!$K$2:$K$10001=I2239),SKUs!$C$2:$C$10001),"")</f>
        <v>0</v>
      </c>
      <c r="H2239" s="33" cm="1">
        <f t="array" ref="H2239">IFERROR(_xlfn.XLOOKUP(1, (dd_accsryclr!$C$2:$C$1000=accsry_unmerged!F2239)*(dd_accsryclr!$B$2:$B$1000=accsry_unmerged!J2239),dd_accsryclr!$A$2:$A$1000),"")</f>
        <v>0</v>
      </c>
      <c r="I2239" s="16">
        <f>_xlfn.XLOOKUP(C2239,'Project Details'!$C$17:$C$66,'Project Details'!$E$17:$E$66,"",0)</f>
        <v>0</v>
      </c>
      <c r="J2239" s="16">
        <f>_xlfn.XLOOKUP(C2239,'Project Details'!$C$17:$C$66,'Project Details'!$H$17:$H$66,"",0)</f>
        <v>0</v>
      </c>
      <c r="K2239" s="33" t="str">
        <f>IF(AND(_xlfn.XLOOKUP(C2239,'Project Details'!$C$17:$C$66,'Project Details'!$L$17:$L$66,"",0)&gt;550, F2239="Spring-L27cm"),"",SUBSTITUTE(_xlfn.XLOOKUP(G2239,SKUs!$C$2:$C$10001,SKUs!$F$2:$F$10001,"",0), " Accessories",""))</f>
        <v/>
      </c>
      <c r="L2239" s="33">
        <f>_xlfn.XLOOKUP(C2239,'Project Details'!$C$17:$C$66,'Project Details'!$D$17:$D$66,"",0)</f>
        <v>0</v>
      </c>
      <c r="M2239" s="43"/>
    </row>
    <row r="2240" spans="1:13" ht="13.5" customHeight="1" x14ac:dyDescent="0.25">
      <c r="A2240" s="43"/>
      <c r="B2240" s="43"/>
      <c r="C2240" s="35">
        <f t="shared" si="43"/>
        <v>45</v>
      </c>
      <c r="D2240" s="35" t="str" cm="1">
        <f t="array" ref="D2240">IFERROR(ROUNDUP(_xlfn.IFS(F2240="Aluminum Track", _xlfn.XLOOKUP(C2240, dd_accsrycalc!$A$2:$A$51, dd_accsrycalc!$B$2:$B$51, "",0), F2240="10 x 2 1/2 S (Flat)", _xlfn.XLOOKUP(C2240, dd_accsrycalc!$A$2:$A$51, dd_accsrycalc!$C$2:$C$51, "",0), F2240="Tox6", _xlfn.XLOOKUP(C2240, dd_accsrycalc!$A$2:$A$51, dd_accsrycalc!$D$2:$D$51, "",0), F2240="Cover Cap", _xlfn.XLOOKUP(C2240, dd_accsrycalc!$A$2:$A$51, dd_accsrycalc!$E$2:$E$51, "",0), F2240="Drainage Cover", _xlfn.XLOOKUP(C2240, dd_accsrycalc!$A$2:$A$51, dd_accsrycalc!$F$2:$F$51, "",0),AND( F2240="Double Adhesive Tape", I2240="Roll-up Screen"), _xlfn.XLOOKUP(C2240, calc_rusacc!$C$15:$C$65, calc_rusacc!$AD$15:$AD$65, "",0),AND( F2240="Sealant", I2240="Roll-up Screen"), _xlfn.XLOOKUP(C2240, calc_rusacc!$C$15:$C$65, calc_rusacc!$AF$15:$AF$65, "",0),  AND( F2240="Main Chain", I2240="Accordion Screen"), _xlfn.XLOOKUP(C2240, calc_rusacc!$C$15:$C$65, calc_rusacc!$BF$15:$BF$65, "",0), AND( F2240="Sealant", I2240="Accordion Screen"), _xlfn.XLOOKUP(C2240, calc_rusacc!$C$15:$C$65, calc_rusacc!$BJ$15:$BJ$65, "",0),  F2240="Sealant", _xlfn.XLOOKUP(C2240, dd_accsrycalc!$A$2:$A$51, dd_accsrycalc!$G$2:$G$51, "",0),  F2240&lt;&gt;"",L2240*_xlfn.XLOOKUP(1, (SKUs!$C$2:$C$10001=G2240)*(SKUs!$K$2:$K$10001=I2240),SKUs!$E$2:$E$10001)), 0),"")</f>
        <v/>
      </c>
      <c r="E2240" s="35" t="str">
        <f>_xlfn.XLOOKUP(F2240,dd_item!$B$2:$B$105,dd_item!$C$2:$C$105,"",0)</f>
        <v/>
      </c>
      <c r="F2240" s="35"/>
      <c r="G2240" s="35" cm="1">
        <f t="array" ref="G2240">IFERROR(_xlfn.XLOOKUP(1, (SKUs!$J$2:$J$10001=accsry_unmerged!F2240)*IF(H2240&lt;&gt;"",(SKUs!$L$2:$L$10001=accsry_unmerged!H2240),1)*(SKUs!$K$2:$K$10001=I2240),SKUs!$C$2:$C$10001),"")</f>
        <v>0</v>
      </c>
      <c r="H2240" s="36" cm="1">
        <f t="array" ref="H2240">IFERROR(_xlfn.XLOOKUP(1, (dd_accsryclr!$C$2:$C$1000=accsry_unmerged!F2240)*(dd_accsryclr!$B$2:$B$1000=accsry_unmerged!J2240),dd_accsryclr!$A$2:$A$1000),"")</f>
        <v>0</v>
      </c>
      <c r="I2240" s="35">
        <f>_xlfn.XLOOKUP(C2240,'Project Details'!$C$17:$C$66,'Project Details'!$E$17:$E$66,"",0)</f>
        <v>0</v>
      </c>
      <c r="J2240" s="35">
        <f>_xlfn.XLOOKUP(C2240,'Project Details'!$C$17:$C$66,'Project Details'!$H$17:$H$66,"",0)</f>
        <v>0</v>
      </c>
      <c r="K2240" s="36" t="str">
        <f>IF(AND(_xlfn.XLOOKUP(C2240,'Project Details'!$C$17:$C$66,'Project Details'!$L$17:$L$66,"",0)&gt;550, F2240="Spring-L27cm"),"",SUBSTITUTE(_xlfn.XLOOKUP(G2240,SKUs!$C$2:$C$10001,SKUs!$F$2:$F$10001,"",0), " Accessories",""))</f>
        <v/>
      </c>
      <c r="L2240" s="36">
        <f>_xlfn.XLOOKUP(C2240,'Project Details'!$C$17:$C$66,'Project Details'!$D$17:$D$66,"",0)</f>
        <v>0</v>
      </c>
      <c r="M2240" s="43"/>
    </row>
    <row r="2241" spans="1:13" ht="13.5" customHeight="1" x14ac:dyDescent="0.25">
      <c r="A2241" s="43"/>
      <c r="B2241" s="43"/>
      <c r="C2241" s="16">
        <f t="shared" si="43"/>
        <v>45</v>
      </c>
      <c r="D2241" s="16" t="str" cm="1">
        <f t="array" ref="D2241">IFERROR(ROUNDUP(_xlfn.IFS(F2241="Aluminum Track", _xlfn.XLOOKUP(C2241, dd_accsrycalc!$A$2:$A$51, dd_accsrycalc!$B$2:$B$51, "",0), F2241="10 x 2 1/2 S (Flat)", _xlfn.XLOOKUP(C2241, dd_accsrycalc!$A$2:$A$51, dd_accsrycalc!$C$2:$C$51, "",0), F2241="Tox6", _xlfn.XLOOKUP(C2241, dd_accsrycalc!$A$2:$A$51, dd_accsrycalc!$D$2:$D$51, "",0), F2241="Cover Cap", _xlfn.XLOOKUP(C2241, dd_accsrycalc!$A$2:$A$51, dd_accsrycalc!$E$2:$E$51, "",0), F2241="Drainage Cover", _xlfn.XLOOKUP(C2241, dd_accsrycalc!$A$2:$A$51, dd_accsrycalc!$F$2:$F$51, "",0),AND( F2241="Double Adhesive Tape", I2241="Roll-up Screen"), _xlfn.XLOOKUP(C2241, calc_rusacc!$C$15:$C$65, calc_rusacc!$AD$15:$AD$65, "",0),AND( F2241="Sealant", I2241="Roll-up Screen"), _xlfn.XLOOKUP(C2241, calc_rusacc!$C$15:$C$65, calc_rusacc!$AF$15:$AF$65, "",0),  AND( F2241="Main Chain", I2241="Accordion Screen"), _xlfn.XLOOKUP(C2241, calc_rusacc!$C$15:$C$65, calc_rusacc!$BF$15:$BF$65, "",0), AND( F2241="Sealant", I2241="Accordion Screen"), _xlfn.XLOOKUP(C2241, calc_rusacc!$C$15:$C$65, calc_rusacc!$BJ$15:$BJ$65, "",0),  F2241="Sealant", _xlfn.XLOOKUP(C2241, dd_accsrycalc!$A$2:$A$51, dd_accsrycalc!$G$2:$G$51, "",0),  F2241&lt;&gt;"",L2241*_xlfn.XLOOKUP(1, (SKUs!$C$2:$C$10001=G2241)*(SKUs!$K$2:$K$10001=I2241),SKUs!$E$2:$E$10001)), 0),"")</f>
        <v/>
      </c>
      <c r="E2241" s="16" t="str">
        <f>_xlfn.XLOOKUP(F2241,dd_item!$B$2:$B$105,dd_item!$C$2:$C$105,"",0)</f>
        <v/>
      </c>
      <c r="F2241" s="16"/>
      <c r="G2241" s="16" cm="1">
        <f t="array" ref="G2241">IFERROR(_xlfn.XLOOKUP(1, (SKUs!$J$2:$J$10001=accsry_unmerged!F2241)*IF(H2241&lt;&gt;"",(SKUs!$L$2:$L$10001=accsry_unmerged!H2241),1)*(SKUs!$K$2:$K$10001=I2241),SKUs!$C$2:$C$10001),"")</f>
        <v>0</v>
      </c>
      <c r="H2241" s="33" cm="1">
        <f t="array" ref="H2241">IFERROR(_xlfn.XLOOKUP(1, (dd_accsryclr!$C$2:$C$1000=accsry_unmerged!F2241)*(dd_accsryclr!$B$2:$B$1000=accsry_unmerged!J2241),dd_accsryclr!$A$2:$A$1000),"")</f>
        <v>0</v>
      </c>
      <c r="I2241" s="16">
        <f>_xlfn.XLOOKUP(C2241,'Project Details'!$C$17:$C$66,'Project Details'!$E$17:$E$66,"",0)</f>
        <v>0</v>
      </c>
      <c r="J2241" s="16">
        <f>_xlfn.XLOOKUP(C2241,'Project Details'!$C$17:$C$66,'Project Details'!$H$17:$H$66,"",0)</f>
        <v>0</v>
      </c>
      <c r="K2241" s="33" t="str">
        <f>IF(AND(_xlfn.XLOOKUP(C2241,'Project Details'!$C$17:$C$66,'Project Details'!$L$17:$L$66,"",0)&gt;550, F2241="Spring-L27cm"),"",SUBSTITUTE(_xlfn.XLOOKUP(G2241,SKUs!$C$2:$C$10001,SKUs!$F$2:$F$10001,"",0), " Accessories",""))</f>
        <v/>
      </c>
      <c r="L2241" s="33">
        <f>_xlfn.XLOOKUP(C2241,'Project Details'!$C$17:$C$66,'Project Details'!$D$17:$D$66,"",0)</f>
        <v>0</v>
      </c>
      <c r="M2241" s="43"/>
    </row>
    <row r="2242" spans="1:13" ht="13.5" customHeight="1" x14ac:dyDescent="0.25">
      <c r="A2242" s="43"/>
      <c r="B2242" s="43"/>
      <c r="C2242" s="35">
        <f t="shared" si="43"/>
        <v>45</v>
      </c>
      <c r="D2242" s="35" t="str" cm="1">
        <f t="array" ref="D2242">IFERROR(ROUNDUP(_xlfn.IFS(F2242="Aluminum Track", _xlfn.XLOOKUP(C2242, dd_accsrycalc!$A$2:$A$51, dd_accsrycalc!$B$2:$B$51, "",0), F2242="10 x 2 1/2 S (Flat)", _xlfn.XLOOKUP(C2242, dd_accsrycalc!$A$2:$A$51, dd_accsrycalc!$C$2:$C$51, "",0), F2242="Tox6", _xlfn.XLOOKUP(C2242, dd_accsrycalc!$A$2:$A$51, dd_accsrycalc!$D$2:$D$51, "",0), F2242="Cover Cap", _xlfn.XLOOKUP(C2242, dd_accsrycalc!$A$2:$A$51, dd_accsrycalc!$E$2:$E$51, "",0), F2242="Drainage Cover", _xlfn.XLOOKUP(C2242, dd_accsrycalc!$A$2:$A$51, dd_accsrycalc!$F$2:$F$51, "",0),AND( F2242="Double Adhesive Tape", I2242="Roll-up Screen"), _xlfn.XLOOKUP(C2242, calc_rusacc!$C$15:$C$65, calc_rusacc!$AD$15:$AD$65, "",0),AND( F2242="Sealant", I2242="Roll-up Screen"), _xlfn.XLOOKUP(C2242, calc_rusacc!$C$15:$C$65, calc_rusacc!$AF$15:$AF$65, "",0),  AND( F2242="Main Chain", I2242="Accordion Screen"), _xlfn.XLOOKUP(C2242, calc_rusacc!$C$15:$C$65, calc_rusacc!$BF$15:$BF$65, "",0), AND( F2242="Sealant", I2242="Accordion Screen"), _xlfn.XLOOKUP(C2242, calc_rusacc!$C$15:$C$65, calc_rusacc!$BJ$15:$BJ$65, "",0),  F2242="Sealant", _xlfn.XLOOKUP(C2242, dd_accsrycalc!$A$2:$A$51, dd_accsrycalc!$G$2:$G$51, "",0),  F2242&lt;&gt;"",L2242*_xlfn.XLOOKUP(1, (SKUs!$C$2:$C$10001=G2242)*(SKUs!$K$2:$K$10001=I2242),SKUs!$E$2:$E$10001)), 0),"")</f>
        <v/>
      </c>
      <c r="E2242" s="35" t="str">
        <f>_xlfn.XLOOKUP(F2242,dd_item!$B$2:$B$105,dd_item!$C$2:$C$105,"",0)</f>
        <v/>
      </c>
      <c r="F2242" s="35"/>
      <c r="G2242" s="35" cm="1">
        <f t="array" ref="G2242">IFERROR(_xlfn.XLOOKUP(1, (SKUs!$J$2:$J$10001=accsry_unmerged!F2242)*IF(H2242&lt;&gt;"",(SKUs!$L$2:$L$10001=accsry_unmerged!H2242),1)*(SKUs!$K$2:$K$10001=I2242),SKUs!$C$2:$C$10001),"")</f>
        <v>0</v>
      </c>
      <c r="H2242" s="36" cm="1">
        <f t="array" ref="H2242">IFERROR(_xlfn.XLOOKUP(1, (dd_accsryclr!$C$2:$C$1000=accsry_unmerged!F2242)*(dd_accsryclr!$B$2:$B$1000=accsry_unmerged!J2242),dd_accsryclr!$A$2:$A$1000),"")</f>
        <v>0</v>
      </c>
      <c r="I2242" s="35">
        <f>_xlfn.XLOOKUP(C2242,'Project Details'!$C$17:$C$66,'Project Details'!$E$17:$E$66,"",0)</f>
        <v>0</v>
      </c>
      <c r="J2242" s="35">
        <f>_xlfn.XLOOKUP(C2242,'Project Details'!$C$17:$C$66,'Project Details'!$H$17:$H$66,"",0)</f>
        <v>0</v>
      </c>
      <c r="K2242" s="36" t="str">
        <f>IF(AND(_xlfn.XLOOKUP(C2242,'Project Details'!$C$17:$C$66,'Project Details'!$L$17:$L$66,"",0)&gt;550, F2242="Spring-L27cm"),"",SUBSTITUTE(_xlfn.XLOOKUP(G2242,SKUs!$C$2:$C$10001,SKUs!$F$2:$F$10001,"",0), " Accessories",""))</f>
        <v/>
      </c>
      <c r="L2242" s="36">
        <f>_xlfn.XLOOKUP(C2242,'Project Details'!$C$17:$C$66,'Project Details'!$D$17:$D$66,"",0)</f>
        <v>0</v>
      </c>
      <c r="M2242" s="43"/>
    </row>
    <row r="2243" spans="1:13" ht="13.5" customHeight="1" x14ac:dyDescent="0.25">
      <c r="A2243" s="43"/>
      <c r="B2243" s="43"/>
      <c r="C2243" s="16">
        <f t="shared" si="43"/>
        <v>45</v>
      </c>
      <c r="D2243" s="16" t="str" cm="1">
        <f t="array" ref="D2243">IFERROR(ROUNDUP(_xlfn.IFS(F2243="Aluminum Track", _xlfn.XLOOKUP(C2243, dd_accsrycalc!$A$2:$A$51, dd_accsrycalc!$B$2:$B$51, "",0), F2243="10 x 2 1/2 S (Flat)", _xlfn.XLOOKUP(C2243, dd_accsrycalc!$A$2:$A$51, dd_accsrycalc!$C$2:$C$51, "",0), F2243="Tox6", _xlfn.XLOOKUP(C2243, dd_accsrycalc!$A$2:$A$51, dd_accsrycalc!$D$2:$D$51, "",0), F2243="Cover Cap", _xlfn.XLOOKUP(C2243, dd_accsrycalc!$A$2:$A$51, dd_accsrycalc!$E$2:$E$51, "",0), F2243="Drainage Cover", _xlfn.XLOOKUP(C2243, dd_accsrycalc!$A$2:$A$51, dd_accsrycalc!$F$2:$F$51, "",0),AND( F2243="Double Adhesive Tape", I2243="Roll-up Screen"), _xlfn.XLOOKUP(C2243, calc_rusacc!$C$15:$C$65, calc_rusacc!$AD$15:$AD$65, "",0),AND( F2243="Sealant", I2243="Roll-up Screen"), _xlfn.XLOOKUP(C2243, calc_rusacc!$C$15:$C$65, calc_rusacc!$AF$15:$AF$65, "",0),  AND( F2243="Main Chain", I2243="Accordion Screen"), _xlfn.XLOOKUP(C2243, calc_rusacc!$C$15:$C$65, calc_rusacc!$BF$15:$BF$65, "",0), AND( F2243="Sealant", I2243="Accordion Screen"), _xlfn.XLOOKUP(C2243, calc_rusacc!$C$15:$C$65, calc_rusacc!$BJ$15:$BJ$65, "",0),  F2243="Sealant", _xlfn.XLOOKUP(C2243, dd_accsrycalc!$A$2:$A$51, dd_accsrycalc!$G$2:$G$51, "",0),  F2243&lt;&gt;"",L2243*_xlfn.XLOOKUP(1, (SKUs!$C$2:$C$10001=G2243)*(SKUs!$K$2:$K$10001=I2243),SKUs!$E$2:$E$10001)), 0),"")</f>
        <v/>
      </c>
      <c r="E2243" s="16" t="str">
        <f>_xlfn.XLOOKUP(F2243,dd_item!$B$2:$B$105,dd_item!$C$2:$C$105,"",0)</f>
        <v/>
      </c>
      <c r="F2243" s="16"/>
      <c r="G2243" s="16" cm="1">
        <f t="array" ref="G2243">IFERROR(_xlfn.XLOOKUP(1, (SKUs!$J$2:$J$10001=accsry_unmerged!F2243)*IF(H2243&lt;&gt;"",(SKUs!$L$2:$L$10001=accsry_unmerged!H2243),1)*(SKUs!$K$2:$K$10001=I2243),SKUs!$C$2:$C$10001),"")</f>
        <v>0</v>
      </c>
      <c r="H2243" s="33" cm="1">
        <f t="array" ref="H2243">IFERROR(_xlfn.XLOOKUP(1, (dd_accsryclr!$C$2:$C$1000=accsry_unmerged!F2243)*(dd_accsryclr!$B$2:$B$1000=accsry_unmerged!J2243),dd_accsryclr!$A$2:$A$1000),"")</f>
        <v>0</v>
      </c>
      <c r="I2243" s="16">
        <f>_xlfn.XLOOKUP(C2243,'Project Details'!$C$17:$C$66,'Project Details'!$E$17:$E$66,"",0)</f>
        <v>0</v>
      </c>
      <c r="J2243" s="16">
        <f>_xlfn.XLOOKUP(C2243,'Project Details'!$C$17:$C$66,'Project Details'!$H$17:$H$66,"",0)</f>
        <v>0</v>
      </c>
      <c r="K2243" s="33" t="str">
        <f>IF(AND(_xlfn.XLOOKUP(C2243,'Project Details'!$C$17:$C$66,'Project Details'!$L$17:$L$66,"",0)&gt;550, F2243="Spring-L27cm"),"",SUBSTITUTE(_xlfn.XLOOKUP(G2243,SKUs!$C$2:$C$10001,SKUs!$F$2:$F$10001,"",0), " Accessories",""))</f>
        <v/>
      </c>
      <c r="L2243" s="33">
        <f>_xlfn.XLOOKUP(C2243,'Project Details'!$C$17:$C$66,'Project Details'!$D$17:$D$66,"",0)</f>
        <v>0</v>
      </c>
      <c r="M2243" s="43"/>
    </row>
    <row r="2244" spans="1:13" ht="13.5" customHeight="1" x14ac:dyDescent="0.25">
      <c r="A2244" s="43"/>
      <c r="B2244" s="43"/>
      <c r="C2244" s="35">
        <f t="shared" si="43"/>
        <v>45</v>
      </c>
      <c r="D2244" s="35" t="str" cm="1">
        <f t="array" ref="D2244">IFERROR(ROUNDUP(_xlfn.IFS(F2244="Aluminum Track", _xlfn.XLOOKUP(C2244, dd_accsrycalc!$A$2:$A$51, dd_accsrycalc!$B$2:$B$51, "",0), F2244="10 x 2 1/2 S (Flat)", _xlfn.XLOOKUP(C2244, dd_accsrycalc!$A$2:$A$51, dd_accsrycalc!$C$2:$C$51, "",0), F2244="Tox6", _xlfn.XLOOKUP(C2244, dd_accsrycalc!$A$2:$A$51, dd_accsrycalc!$D$2:$D$51, "",0), F2244="Cover Cap", _xlfn.XLOOKUP(C2244, dd_accsrycalc!$A$2:$A$51, dd_accsrycalc!$E$2:$E$51, "",0), F2244="Drainage Cover", _xlfn.XLOOKUP(C2244, dd_accsrycalc!$A$2:$A$51, dd_accsrycalc!$F$2:$F$51, "",0),AND( F2244="Double Adhesive Tape", I2244="Roll-up Screen"), _xlfn.XLOOKUP(C2244, calc_rusacc!$C$15:$C$65, calc_rusacc!$AD$15:$AD$65, "",0),AND( F2244="Sealant", I2244="Roll-up Screen"), _xlfn.XLOOKUP(C2244, calc_rusacc!$C$15:$C$65, calc_rusacc!$AF$15:$AF$65, "",0),  AND( F2244="Main Chain", I2244="Accordion Screen"), _xlfn.XLOOKUP(C2244, calc_rusacc!$C$15:$C$65, calc_rusacc!$BF$15:$BF$65, "",0), AND( F2244="Sealant", I2244="Accordion Screen"), _xlfn.XLOOKUP(C2244, calc_rusacc!$C$15:$C$65, calc_rusacc!$BJ$15:$BJ$65, "",0),  F2244="Sealant", _xlfn.XLOOKUP(C2244, dd_accsrycalc!$A$2:$A$51, dd_accsrycalc!$G$2:$G$51, "",0),  F2244&lt;&gt;"",L2244*_xlfn.XLOOKUP(1, (SKUs!$C$2:$C$10001=G2244)*(SKUs!$K$2:$K$10001=I2244),SKUs!$E$2:$E$10001)), 0),"")</f>
        <v/>
      </c>
      <c r="E2244" s="35" t="str">
        <f>_xlfn.XLOOKUP(F2244,dd_item!$B$2:$B$105,dd_item!$C$2:$C$105,"",0)</f>
        <v/>
      </c>
      <c r="F2244" s="35"/>
      <c r="G2244" s="35" cm="1">
        <f t="array" ref="G2244">IFERROR(_xlfn.XLOOKUP(1, (SKUs!$J$2:$J$10001=accsry_unmerged!F2244)*IF(H2244&lt;&gt;"",(SKUs!$L$2:$L$10001=accsry_unmerged!H2244),1)*(SKUs!$K$2:$K$10001=I2244),SKUs!$C$2:$C$10001),"")</f>
        <v>0</v>
      </c>
      <c r="H2244" s="36" cm="1">
        <f t="array" ref="H2244">IFERROR(_xlfn.XLOOKUP(1, (dd_accsryclr!$C$2:$C$1000=accsry_unmerged!F2244)*(dd_accsryclr!$B$2:$B$1000=accsry_unmerged!J2244),dd_accsryclr!$A$2:$A$1000),"")</f>
        <v>0</v>
      </c>
      <c r="I2244" s="35">
        <f>_xlfn.XLOOKUP(C2244,'Project Details'!$C$17:$C$66,'Project Details'!$E$17:$E$66,"",0)</f>
        <v>0</v>
      </c>
      <c r="J2244" s="35">
        <f>_xlfn.XLOOKUP(C2244,'Project Details'!$C$17:$C$66,'Project Details'!$H$17:$H$66,"",0)</f>
        <v>0</v>
      </c>
      <c r="K2244" s="36" t="str">
        <f>IF(AND(_xlfn.XLOOKUP(C2244,'Project Details'!$C$17:$C$66,'Project Details'!$L$17:$L$66,"",0)&gt;550, F2244="Spring-L27cm"),"",SUBSTITUTE(_xlfn.XLOOKUP(G2244,SKUs!$C$2:$C$10001,SKUs!$F$2:$F$10001,"",0), " Accessories",""))</f>
        <v/>
      </c>
      <c r="L2244" s="36">
        <f>_xlfn.XLOOKUP(C2244,'Project Details'!$C$17:$C$66,'Project Details'!$D$17:$D$66,"",0)</f>
        <v>0</v>
      </c>
      <c r="M2244" s="43"/>
    </row>
    <row r="2245" spans="1:13" ht="13.5" customHeight="1" outlineLevel="1" x14ac:dyDescent="0.25">
      <c r="A2245" s="43"/>
      <c r="B2245" s="43"/>
      <c r="C2245" s="16">
        <f t="shared" si="43"/>
        <v>45</v>
      </c>
      <c r="D2245" s="16" t="str" cm="1">
        <f t="array" ref="D2245">IFERROR(ROUNDUP(_xlfn.IFS(F2245="Aluminum Track", _xlfn.XLOOKUP(C2245, dd_accsrycalc!$A$2:$A$51, dd_accsrycalc!$B$2:$B$51, "",0), F2245="10 x 2 1/2 S (Flat)", _xlfn.XLOOKUP(C2245, dd_accsrycalc!$A$2:$A$51, dd_accsrycalc!$C$2:$C$51, "",0), F2245="Tox6", _xlfn.XLOOKUP(C2245, dd_accsrycalc!$A$2:$A$51, dd_accsrycalc!$D$2:$D$51, "",0), F2245="Cover Cap", _xlfn.XLOOKUP(C2245, dd_accsrycalc!$A$2:$A$51, dd_accsrycalc!$E$2:$E$51, "",0), F2245="Drainage Cover", _xlfn.XLOOKUP(C2245, dd_accsrycalc!$A$2:$A$51, dd_accsrycalc!$F$2:$F$51, "",0),AND( F2245="Double Adhesive Tape", I2245="Roll-up Screen"), _xlfn.XLOOKUP(C2245, calc_rusacc!$C$15:$C$65, calc_rusacc!$AD$15:$AD$65, "",0),AND( F2245="Sealant", I2245="Roll-up Screen"), _xlfn.XLOOKUP(C2245, calc_rusacc!$C$15:$C$65, calc_rusacc!$AF$15:$AF$65, "",0),  AND( F2245="Main Chain", I2245="Accordion Screen"), _xlfn.XLOOKUP(C2245, calc_rusacc!$C$15:$C$65, calc_rusacc!$BF$15:$BF$65, "",0), AND( F2245="Sealant", I2245="Accordion Screen"), _xlfn.XLOOKUP(C2245, calc_rusacc!$C$15:$C$65, calc_rusacc!$BJ$15:$BJ$65, "",0),  F2245="Sealant", _xlfn.XLOOKUP(C2245, dd_accsrycalc!$A$2:$A$51, dd_accsrycalc!$G$2:$G$51, "",0),  F2245&lt;&gt;"",L2245*_xlfn.XLOOKUP(1, (SKUs!$C$2:$C$10001=G2245)*(SKUs!$K$2:$K$10001=I2245),SKUs!$E$2:$E$10001)), 0),"")</f>
        <v/>
      </c>
      <c r="E2245" s="16" t="str">
        <f>_xlfn.XLOOKUP(F2245,dd_item!$B$2:$B$105,dd_item!$C$2:$C$105,"",0)</f>
        <v/>
      </c>
      <c r="F2245" s="16"/>
      <c r="G2245" s="16" cm="1">
        <f t="array" ref="G2245">IFERROR(_xlfn.XLOOKUP(1, (SKUs!$J$2:$J$10001=accsry_unmerged!F2245)*IF(H2245&lt;&gt;"",(SKUs!$L$2:$L$10001=accsry_unmerged!H2245),1)*(SKUs!$K$2:$K$10001=I2245),SKUs!$C$2:$C$10001),"")</f>
        <v>0</v>
      </c>
      <c r="H2245" s="33" cm="1">
        <f t="array" ref="H2245">IFERROR(_xlfn.XLOOKUP(1, (dd_accsryclr!$C$2:$C$1000=accsry_unmerged!F2245)*(dd_accsryclr!$B$2:$B$1000=accsry_unmerged!J2245),dd_accsryclr!$A$2:$A$1000),"")</f>
        <v>0</v>
      </c>
      <c r="I2245" s="16">
        <f>_xlfn.XLOOKUP(C2245,'Project Details'!$C$17:$C$66,'Project Details'!$E$17:$E$66,"",0)</f>
        <v>0</v>
      </c>
      <c r="J2245" s="16">
        <f>_xlfn.XLOOKUP(C2245,'Project Details'!$C$17:$C$66,'Project Details'!$H$17:$H$66,"",0)</f>
        <v>0</v>
      </c>
      <c r="K2245" s="33" t="str">
        <f>IF(AND(_xlfn.XLOOKUP(C2245,'Project Details'!$C$17:$C$66,'Project Details'!$L$17:$L$66,"",0)&gt;550, F2245="Spring-L27cm"),"",SUBSTITUTE(_xlfn.XLOOKUP(G2245,SKUs!$C$2:$C$10001,SKUs!$F$2:$F$10001,"",0), " Accessories",""))</f>
        <v/>
      </c>
      <c r="L2245" s="33">
        <f>_xlfn.XLOOKUP(C2245,'Project Details'!$C$17:$C$66,'Project Details'!$D$17:$D$66,"",0)</f>
        <v>0</v>
      </c>
      <c r="M2245" s="43"/>
    </row>
    <row r="2246" spans="1:13" ht="13.5" customHeight="1" outlineLevel="1" x14ac:dyDescent="0.25">
      <c r="A2246" s="43"/>
      <c r="B2246" s="43"/>
      <c r="C2246" s="35">
        <f t="shared" si="43"/>
        <v>45</v>
      </c>
      <c r="D2246" s="35" t="str" cm="1">
        <f t="array" ref="D2246">IFERROR(ROUNDUP(_xlfn.IFS(F2246="Aluminum Track", _xlfn.XLOOKUP(C2246, dd_accsrycalc!$A$2:$A$51, dd_accsrycalc!$B$2:$B$51, "",0), F2246="10 x 2 1/2 S (Flat)", _xlfn.XLOOKUP(C2246, dd_accsrycalc!$A$2:$A$51, dd_accsrycalc!$C$2:$C$51, "",0), F2246="Tox6", _xlfn.XLOOKUP(C2246, dd_accsrycalc!$A$2:$A$51, dd_accsrycalc!$D$2:$D$51, "",0), F2246="Cover Cap", _xlfn.XLOOKUP(C2246, dd_accsrycalc!$A$2:$A$51, dd_accsrycalc!$E$2:$E$51, "",0), F2246="Drainage Cover", _xlfn.XLOOKUP(C2246, dd_accsrycalc!$A$2:$A$51, dd_accsrycalc!$F$2:$F$51, "",0),AND( F2246="Double Adhesive Tape", I2246="Roll-up Screen"), _xlfn.XLOOKUP(C2246, calc_rusacc!$C$15:$C$65, calc_rusacc!$AD$15:$AD$65, "",0),AND( F2246="Sealant", I2246="Roll-up Screen"), _xlfn.XLOOKUP(C2246, calc_rusacc!$C$15:$C$65, calc_rusacc!$AF$15:$AF$65, "",0),  AND( F2246="Main Chain", I2246="Accordion Screen"), _xlfn.XLOOKUP(C2246, calc_rusacc!$C$15:$C$65, calc_rusacc!$BF$15:$BF$65, "",0), AND( F2246="Sealant", I2246="Accordion Screen"), _xlfn.XLOOKUP(C2246, calc_rusacc!$C$15:$C$65, calc_rusacc!$BJ$15:$BJ$65, "",0),  F2246="Sealant", _xlfn.XLOOKUP(C2246, dd_accsrycalc!$A$2:$A$51, dd_accsrycalc!$G$2:$G$51, "",0),  F2246&lt;&gt;"",L2246*_xlfn.XLOOKUP(1, (SKUs!$C$2:$C$10001=G2246)*(SKUs!$K$2:$K$10001=I2246),SKUs!$E$2:$E$10001)), 0),"")</f>
        <v/>
      </c>
      <c r="E2246" s="35" t="str">
        <f>_xlfn.XLOOKUP(F2246,dd_item!$B$2:$B$105,dd_item!$C$2:$C$105,"",0)</f>
        <v/>
      </c>
      <c r="F2246" s="35"/>
      <c r="G2246" s="35" cm="1">
        <f t="array" ref="G2246">IFERROR(_xlfn.XLOOKUP(1, (SKUs!$J$2:$J$10001=accsry_unmerged!F2246)*IF(H2246&lt;&gt;"",(SKUs!$L$2:$L$10001=accsry_unmerged!H2246),1)*(SKUs!$K$2:$K$10001=I2246),SKUs!$C$2:$C$10001),"")</f>
        <v>0</v>
      </c>
      <c r="H2246" s="36" cm="1">
        <f t="array" ref="H2246">IFERROR(_xlfn.XLOOKUP(1, (dd_accsryclr!$C$2:$C$1000=accsry_unmerged!F2246)*(dd_accsryclr!$B$2:$B$1000=accsry_unmerged!J2246),dd_accsryclr!$A$2:$A$1000),"")</f>
        <v>0</v>
      </c>
      <c r="I2246" s="35">
        <f>_xlfn.XLOOKUP(C2246,'Project Details'!$C$17:$C$66,'Project Details'!$E$17:$E$66,"",0)</f>
        <v>0</v>
      </c>
      <c r="J2246" s="35">
        <f>_xlfn.XLOOKUP(C2246,'Project Details'!$C$17:$C$66,'Project Details'!$H$17:$H$66,"",0)</f>
        <v>0</v>
      </c>
      <c r="K2246" s="36" t="str">
        <f>IF(AND(_xlfn.XLOOKUP(C2246,'Project Details'!$C$17:$C$66,'Project Details'!$L$17:$L$66,"",0)&gt;550, F2246="Spring-L27cm"),"",SUBSTITUTE(_xlfn.XLOOKUP(G2246,SKUs!$C$2:$C$10001,SKUs!$F$2:$F$10001,"",0), " Accessories",""))</f>
        <v/>
      </c>
      <c r="L2246" s="36">
        <f>_xlfn.XLOOKUP(C2246,'Project Details'!$C$17:$C$66,'Project Details'!$D$17:$D$66,"",0)</f>
        <v>0</v>
      </c>
      <c r="M2246" s="43"/>
    </row>
    <row r="2247" spans="1:13" ht="13.5" customHeight="1" outlineLevel="1" x14ac:dyDescent="0.25">
      <c r="A2247" s="43"/>
      <c r="B2247" s="43"/>
      <c r="C2247" s="16">
        <f t="shared" si="43"/>
        <v>45</v>
      </c>
      <c r="D2247" s="16" t="str" cm="1">
        <f t="array" ref="D2247">IFERROR(ROUNDUP(_xlfn.IFS(F2247="Aluminum Track", _xlfn.XLOOKUP(C2247, dd_accsrycalc!$A$2:$A$51, dd_accsrycalc!$B$2:$B$51, "",0), F2247="10 x 2 1/2 S (Flat)", _xlfn.XLOOKUP(C2247, dd_accsrycalc!$A$2:$A$51, dd_accsrycalc!$C$2:$C$51, "",0), F2247="Tox6", _xlfn.XLOOKUP(C2247, dd_accsrycalc!$A$2:$A$51, dd_accsrycalc!$D$2:$D$51, "",0), F2247="Cover Cap", _xlfn.XLOOKUP(C2247, dd_accsrycalc!$A$2:$A$51, dd_accsrycalc!$E$2:$E$51, "",0), F2247="Drainage Cover", _xlfn.XLOOKUP(C2247, dd_accsrycalc!$A$2:$A$51, dd_accsrycalc!$F$2:$F$51, "",0),AND( F2247="Double Adhesive Tape", I2247="Roll-up Screen"), _xlfn.XLOOKUP(C2247, calc_rusacc!$C$15:$C$65, calc_rusacc!$AD$15:$AD$65, "",0),AND( F2247="Sealant", I2247="Roll-up Screen"), _xlfn.XLOOKUP(C2247, calc_rusacc!$C$15:$C$65, calc_rusacc!$AF$15:$AF$65, "",0),  AND( F2247="Main Chain", I2247="Accordion Screen"), _xlfn.XLOOKUP(C2247, calc_rusacc!$C$15:$C$65, calc_rusacc!$BF$15:$BF$65, "",0), AND( F2247="Sealant", I2247="Accordion Screen"), _xlfn.XLOOKUP(C2247, calc_rusacc!$C$15:$C$65, calc_rusacc!$BJ$15:$BJ$65, "",0),  F2247="Sealant", _xlfn.XLOOKUP(C2247, dd_accsrycalc!$A$2:$A$51, dd_accsrycalc!$G$2:$G$51, "",0),  F2247&lt;&gt;"",L2247*_xlfn.XLOOKUP(1, (SKUs!$C$2:$C$10001=G2247)*(SKUs!$K$2:$K$10001=I2247),SKUs!$E$2:$E$10001)), 0),"")</f>
        <v/>
      </c>
      <c r="E2247" s="16" t="str">
        <f>_xlfn.XLOOKUP(F2247,dd_item!$B$2:$B$105,dd_item!$C$2:$C$105,"",0)</f>
        <v/>
      </c>
      <c r="F2247" s="16"/>
      <c r="G2247" s="16" cm="1">
        <f t="array" ref="G2247">IFERROR(_xlfn.XLOOKUP(1, (SKUs!$J$2:$J$10001=accsry_unmerged!F2247)*IF(H2247&lt;&gt;"",(SKUs!$L$2:$L$10001=accsry_unmerged!H2247),1)*(SKUs!$K$2:$K$10001=I2247),SKUs!$C$2:$C$10001),"")</f>
        <v>0</v>
      </c>
      <c r="H2247" s="33" cm="1">
        <f t="array" ref="H2247">IFERROR(_xlfn.XLOOKUP(1, (dd_accsryclr!$C$2:$C$1000=accsry_unmerged!F2247)*(dd_accsryclr!$B$2:$B$1000=accsry_unmerged!J2247),dd_accsryclr!$A$2:$A$1000),"")</f>
        <v>0</v>
      </c>
      <c r="I2247" s="16">
        <f>_xlfn.XLOOKUP(C2247,'Project Details'!$C$17:$C$66,'Project Details'!$E$17:$E$66,"",0)</f>
        <v>0</v>
      </c>
      <c r="J2247" s="16">
        <f>_xlfn.XLOOKUP(C2247,'Project Details'!$C$17:$C$66,'Project Details'!$H$17:$H$66,"",0)</f>
        <v>0</v>
      </c>
      <c r="K2247" s="33" t="str">
        <f>IF(AND(_xlfn.XLOOKUP(C2247,'Project Details'!$C$17:$C$66,'Project Details'!$L$17:$L$66,"",0)&gt;550, F2247="Spring-L27cm"),"",SUBSTITUTE(_xlfn.XLOOKUP(G2247,SKUs!$C$2:$C$10001,SKUs!$F$2:$F$10001,"",0), " Accessories",""))</f>
        <v/>
      </c>
      <c r="L2247" s="33">
        <f>_xlfn.XLOOKUP(C2247,'Project Details'!$C$17:$C$66,'Project Details'!$D$17:$D$66,"",0)</f>
        <v>0</v>
      </c>
      <c r="M2247" s="43"/>
    </row>
    <row r="2248" spans="1:13" ht="13.5" customHeight="1" outlineLevel="1" x14ac:dyDescent="0.25">
      <c r="A2248" s="43"/>
      <c r="B2248" s="43"/>
      <c r="C2248" s="35">
        <f t="shared" si="43"/>
        <v>45</v>
      </c>
      <c r="D2248" s="35" t="str" cm="1">
        <f t="array" ref="D2248">IFERROR(ROUNDUP(_xlfn.IFS(F2248="Aluminum Track", _xlfn.XLOOKUP(C2248, dd_accsrycalc!$A$2:$A$51, dd_accsrycalc!$B$2:$B$51, "",0), F2248="10 x 2 1/2 S (Flat)", _xlfn.XLOOKUP(C2248, dd_accsrycalc!$A$2:$A$51, dd_accsrycalc!$C$2:$C$51, "",0), F2248="Tox6", _xlfn.XLOOKUP(C2248, dd_accsrycalc!$A$2:$A$51, dd_accsrycalc!$D$2:$D$51, "",0), F2248="Cover Cap", _xlfn.XLOOKUP(C2248, dd_accsrycalc!$A$2:$A$51, dd_accsrycalc!$E$2:$E$51, "",0), F2248="Drainage Cover", _xlfn.XLOOKUP(C2248, dd_accsrycalc!$A$2:$A$51, dd_accsrycalc!$F$2:$F$51, "",0),AND( F2248="Double Adhesive Tape", I2248="Roll-up Screen"), _xlfn.XLOOKUP(C2248, calc_rusacc!$C$15:$C$65, calc_rusacc!$AD$15:$AD$65, "",0),AND( F2248="Sealant", I2248="Roll-up Screen"), _xlfn.XLOOKUP(C2248, calc_rusacc!$C$15:$C$65, calc_rusacc!$AF$15:$AF$65, "",0),  AND( F2248="Main Chain", I2248="Accordion Screen"), _xlfn.XLOOKUP(C2248, calc_rusacc!$C$15:$C$65, calc_rusacc!$BF$15:$BF$65, "",0), AND( F2248="Sealant", I2248="Accordion Screen"), _xlfn.XLOOKUP(C2248, calc_rusacc!$C$15:$C$65, calc_rusacc!$BJ$15:$BJ$65, "",0),  F2248="Sealant", _xlfn.XLOOKUP(C2248, dd_accsrycalc!$A$2:$A$51, dd_accsrycalc!$G$2:$G$51, "",0),  F2248&lt;&gt;"",L2248*_xlfn.XLOOKUP(1, (SKUs!$C$2:$C$10001=G2248)*(SKUs!$K$2:$K$10001=I2248),SKUs!$E$2:$E$10001)), 0),"")</f>
        <v/>
      </c>
      <c r="E2248" s="35" t="str">
        <f>_xlfn.XLOOKUP(F2248,dd_item!$B$2:$B$105,dd_item!$C$2:$C$105,"",0)</f>
        <v/>
      </c>
      <c r="F2248" s="35"/>
      <c r="G2248" s="35" cm="1">
        <f t="array" ref="G2248">IFERROR(_xlfn.XLOOKUP(1, (SKUs!$J$2:$J$10001=accsry_unmerged!F2248)*IF(H2248&lt;&gt;"",(SKUs!$L$2:$L$10001=accsry_unmerged!H2248),1)*(SKUs!$K$2:$K$10001=I2248),SKUs!$C$2:$C$10001),"")</f>
        <v>0</v>
      </c>
      <c r="H2248" s="36" cm="1">
        <f t="array" ref="H2248">IFERROR(_xlfn.XLOOKUP(1, (dd_accsryclr!$C$2:$C$1000=accsry_unmerged!F2248)*(dd_accsryclr!$B$2:$B$1000=accsry_unmerged!J2248),dd_accsryclr!$A$2:$A$1000),"")</f>
        <v>0</v>
      </c>
      <c r="I2248" s="35">
        <f>_xlfn.XLOOKUP(C2248,'Project Details'!$C$17:$C$66,'Project Details'!$E$17:$E$66,"",0)</f>
        <v>0</v>
      </c>
      <c r="J2248" s="35">
        <f>_xlfn.XLOOKUP(C2248,'Project Details'!$C$17:$C$66,'Project Details'!$H$17:$H$66,"",0)</f>
        <v>0</v>
      </c>
      <c r="K2248" s="36" t="str">
        <f>IF(AND(_xlfn.XLOOKUP(C2248,'Project Details'!$C$17:$C$66,'Project Details'!$L$17:$L$66,"",0)&gt;550, F2248="Spring-L27cm"),"",SUBSTITUTE(_xlfn.XLOOKUP(G2248,SKUs!$C$2:$C$10001,SKUs!$F$2:$F$10001,"",0), " Accessories",""))</f>
        <v/>
      </c>
      <c r="L2248" s="36">
        <f>_xlfn.XLOOKUP(C2248,'Project Details'!$C$17:$C$66,'Project Details'!$D$17:$D$66,"",0)</f>
        <v>0</v>
      </c>
      <c r="M2248" s="43"/>
    </row>
    <row r="2249" spans="1:13" ht="13.5" customHeight="1" outlineLevel="1" x14ac:dyDescent="0.25">
      <c r="A2249" s="43"/>
      <c r="B2249" s="43"/>
      <c r="C2249" s="16">
        <f t="shared" si="43"/>
        <v>45</v>
      </c>
      <c r="D2249" s="16" t="str" cm="1">
        <f t="array" ref="D2249">IFERROR(ROUNDUP(_xlfn.IFS(F2249="Aluminum Track", _xlfn.XLOOKUP(C2249, dd_accsrycalc!$A$2:$A$51, dd_accsrycalc!$B$2:$B$51, "",0), F2249="10 x 2 1/2 S (Flat)", _xlfn.XLOOKUP(C2249, dd_accsrycalc!$A$2:$A$51, dd_accsrycalc!$C$2:$C$51, "",0), F2249="Tox6", _xlfn.XLOOKUP(C2249, dd_accsrycalc!$A$2:$A$51, dd_accsrycalc!$D$2:$D$51, "",0), F2249="Cover Cap", _xlfn.XLOOKUP(C2249, dd_accsrycalc!$A$2:$A$51, dd_accsrycalc!$E$2:$E$51, "",0), F2249="Drainage Cover", _xlfn.XLOOKUP(C2249, dd_accsrycalc!$A$2:$A$51, dd_accsrycalc!$F$2:$F$51, "",0),AND( F2249="Double Adhesive Tape", I2249="Roll-up Screen"), _xlfn.XLOOKUP(C2249, calc_rusacc!$C$15:$C$65, calc_rusacc!$AD$15:$AD$65, "",0),AND( F2249="Sealant", I2249="Roll-up Screen"), _xlfn.XLOOKUP(C2249, calc_rusacc!$C$15:$C$65, calc_rusacc!$AF$15:$AF$65, "",0),  AND( F2249="Main Chain", I2249="Accordion Screen"), _xlfn.XLOOKUP(C2249, calc_rusacc!$C$15:$C$65, calc_rusacc!$BF$15:$BF$65, "",0), AND( F2249="Sealant", I2249="Accordion Screen"), _xlfn.XLOOKUP(C2249, calc_rusacc!$C$15:$C$65, calc_rusacc!$BJ$15:$BJ$65, "",0),  F2249="Sealant", _xlfn.XLOOKUP(C2249, dd_accsrycalc!$A$2:$A$51, dd_accsrycalc!$G$2:$G$51, "",0),  F2249&lt;&gt;"",L2249*_xlfn.XLOOKUP(1, (SKUs!$C$2:$C$10001=G2249)*(SKUs!$K$2:$K$10001=I2249),SKUs!$E$2:$E$10001)), 0),"")</f>
        <v/>
      </c>
      <c r="E2249" s="16" t="str">
        <f>_xlfn.XLOOKUP(F2249,dd_item!$B$2:$B$105,dd_item!$C$2:$C$105,"",0)</f>
        <v/>
      </c>
      <c r="F2249" s="16"/>
      <c r="G2249" s="16" cm="1">
        <f t="array" ref="G2249">IFERROR(_xlfn.XLOOKUP(1, (SKUs!$J$2:$J$10001=accsry_unmerged!F2249)*IF(H2249&lt;&gt;"",(SKUs!$L$2:$L$10001=accsry_unmerged!H2249),1)*(SKUs!$K$2:$K$10001=I2249),SKUs!$C$2:$C$10001),"")</f>
        <v>0</v>
      </c>
      <c r="H2249" s="33" cm="1">
        <f t="array" ref="H2249">IFERROR(_xlfn.XLOOKUP(1, (dd_accsryclr!$C$2:$C$1000=accsry_unmerged!F2249)*(dd_accsryclr!$B$2:$B$1000=accsry_unmerged!J2249),dd_accsryclr!$A$2:$A$1000),"")</f>
        <v>0</v>
      </c>
      <c r="I2249" s="16">
        <f>_xlfn.XLOOKUP(C2249,'Project Details'!$C$17:$C$66,'Project Details'!$E$17:$E$66,"",0)</f>
        <v>0</v>
      </c>
      <c r="J2249" s="16">
        <f>_xlfn.XLOOKUP(C2249,'Project Details'!$C$17:$C$66,'Project Details'!$H$17:$H$66,"",0)</f>
        <v>0</v>
      </c>
      <c r="K2249" s="33" t="str">
        <f>IF(AND(_xlfn.XLOOKUP(C2249,'Project Details'!$C$17:$C$66,'Project Details'!$L$17:$L$66,"",0)&gt;550, F2249="Spring-L27cm"),"",SUBSTITUTE(_xlfn.XLOOKUP(G2249,SKUs!$C$2:$C$10001,SKUs!$F$2:$F$10001,"",0), " Accessories",""))</f>
        <v/>
      </c>
      <c r="L2249" s="33">
        <f>_xlfn.XLOOKUP(C2249,'Project Details'!$C$17:$C$66,'Project Details'!$D$17:$D$66,"",0)</f>
        <v>0</v>
      </c>
      <c r="M2249" s="43"/>
    </row>
    <row r="2250" spans="1:13" ht="13.5" customHeight="1" outlineLevel="1" x14ac:dyDescent="0.25">
      <c r="A2250" s="43"/>
      <c r="B2250" s="43"/>
      <c r="C2250" s="35">
        <f t="shared" si="43"/>
        <v>45</v>
      </c>
      <c r="D2250" s="35" t="str" cm="1">
        <f t="array" ref="D2250">IFERROR(ROUNDUP(_xlfn.IFS(F2250="Aluminum Track", _xlfn.XLOOKUP(C2250, dd_accsrycalc!$A$2:$A$51, dd_accsrycalc!$B$2:$B$51, "",0), F2250="10 x 2 1/2 S (Flat)", _xlfn.XLOOKUP(C2250, dd_accsrycalc!$A$2:$A$51, dd_accsrycalc!$C$2:$C$51, "",0), F2250="Tox6", _xlfn.XLOOKUP(C2250, dd_accsrycalc!$A$2:$A$51, dd_accsrycalc!$D$2:$D$51, "",0), F2250="Cover Cap", _xlfn.XLOOKUP(C2250, dd_accsrycalc!$A$2:$A$51, dd_accsrycalc!$E$2:$E$51, "",0), F2250="Drainage Cover", _xlfn.XLOOKUP(C2250, dd_accsrycalc!$A$2:$A$51, dd_accsrycalc!$F$2:$F$51, "",0),AND( F2250="Double Adhesive Tape", I2250="Roll-up Screen"), _xlfn.XLOOKUP(C2250, calc_rusacc!$C$15:$C$65, calc_rusacc!$AD$15:$AD$65, "",0),AND( F2250="Sealant", I2250="Roll-up Screen"), _xlfn.XLOOKUP(C2250, calc_rusacc!$C$15:$C$65, calc_rusacc!$AF$15:$AF$65, "",0),  AND( F2250="Main Chain", I2250="Accordion Screen"), _xlfn.XLOOKUP(C2250, calc_rusacc!$C$15:$C$65, calc_rusacc!$BF$15:$BF$65, "",0), AND( F2250="Sealant", I2250="Accordion Screen"), _xlfn.XLOOKUP(C2250, calc_rusacc!$C$15:$C$65, calc_rusacc!$BJ$15:$BJ$65, "",0),  F2250="Sealant", _xlfn.XLOOKUP(C2250, dd_accsrycalc!$A$2:$A$51, dd_accsrycalc!$G$2:$G$51, "",0),  F2250&lt;&gt;"",L2250*_xlfn.XLOOKUP(1, (SKUs!$C$2:$C$10001=G2250)*(SKUs!$K$2:$K$10001=I2250),SKUs!$E$2:$E$10001)), 0),"")</f>
        <v/>
      </c>
      <c r="E2250" s="35" t="str">
        <f>_xlfn.XLOOKUP(F2250,dd_item!$B$2:$B$105,dd_item!$C$2:$C$105,"",0)</f>
        <v/>
      </c>
      <c r="F2250" s="35"/>
      <c r="G2250" s="35" cm="1">
        <f t="array" ref="G2250">IFERROR(_xlfn.XLOOKUP(1, (SKUs!$J$2:$J$10001=accsry_unmerged!F2250)*IF(H2250&lt;&gt;"",(SKUs!$L$2:$L$10001=accsry_unmerged!H2250),1)*(SKUs!$K$2:$K$10001=I2250),SKUs!$C$2:$C$10001),"")</f>
        <v>0</v>
      </c>
      <c r="H2250" s="36" cm="1">
        <f t="array" ref="H2250">IFERROR(_xlfn.XLOOKUP(1, (dd_accsryclr!$C$2:$C$1000=accsry_unmerged!F2250)*(dd_accsryclr!$B$2:$B$1000=accsry_unmerged!J2250),dd_accsryclr!$A$2:$A$1000),"")</f>
        <v>0</v>
      </c>
      <c r="I2250" s="35">
        <f>_xlfn.XLOOKUP(C2250,'Project Details'!$C$17:$C$66,'Project Details'!$E$17:$E$66,"",0)</f>
        <v>0</v>
      </c>
      <c r="J2250" s="35">
        <f>_xlfn.XLOOKUP(C2250,'Project Details'!$C$17:$C$66,'Project Details'!$H$17:$H$66,"",0)</f>
        <v>0</v>
      </c>
      <c r="K2250" s="36" t="str">
        <f>IF(AND(_xlfn.XLOOKUP(C2250,'Project Details'!$C$17:$C$66,'Project Details'!$L$17:$L$66,"",0)&gt;550, F2250="Spring-L27cm"),"",SUBSTITUTE(_xlfn.XLOOKUP(G2250,SKUs!$C$2:$C$10001,SKUs!$F$2:$F$10001,"",0), " Accessories",""))</f>
        <v/>
      </c>
      <c r="L2250" s="36">
        <f>_xlfn.XLOOKUP(C2250,'Project Details'!$C$17:$C$66,'Project Details'!$D$17:$D$66,"",0)</f>
        <v>0</v>
      </c>
      <c r="M2250" s="43"/>
    </row>
    <row r="2251" spans="1:13" ht="13.5" customHeight="1" outlineLevel="1" x14ac:dyDescent="0.25">
      <c r="A2251" s="43"/>
      <c r="B2251" s="43"/>
      <c r="C2251" s="16">
        <f t="shared" si="43"/>
        <v>45</v>
      </c>
      <c r="D2251" s="16" t="str" cm="1">
        <f t="array" ref="D2251">IFERROR(ROUNDUP(_xlfn.IFS(F2251="Aluminum Track", _xlfn.XLOOKUP(C2251, dd_accsrycalc!$A$2:$A$51, dd_accsrycalc!$B$2:$B$51, "",0), F2251="10 x 2 1/2 S (Flat)", _xlfn.XLOOKUP(C2251, dd_accsrycalc!$A$2:$A$51, dd_accsrycalc!$C$2:$C$51, "",0), F2251="Tox6", _xlfn.XLOOKUP(C2251, dd_accsrycalc!$A$2:$A$51, dd_accsrycalc!$D$2:$D$51, "",0), F2251="Cover Cap", _xlfn.XLOOKUP(C2251, dd_accsrycalc!$A$2:$A$51, dd_accsrycalc!$E$2:$E$51, "",0), F2251="Drainage Cover", _xlfn.XLOOKUP(C2251, dd_accsrycalc!$A$2:$A$51, dd_accsrycalc!$F$2:$F$51, "",0),AND( F2251="Double Adhesive Tape", I2251="Roll-up Screen"), _xlfn.XLOOKUP(C2251, calc_rusacc!$C$15:$C$65, calc_rusacc!$AD$15:$AD$65, "",0),AND( F2251="Sealant", I2251="Roll-up Screen"), _xlfn.XLOOKUP(C2251, calc_rusacc!$C$15:$C$65, calc_rusacc!$AF$15:$AF$65, "",0),  AND( F2251="Main Chain", I2251="Accordion Screen"), _xlfn.XLOOKUP(C2251, calc_rusacc!$C$15:$C$65, calc_rusacc!$BF$15:$BF$65, "",0), AND( F2251="Sealant", I2251="Accordion Screen"), _xlfn.XLOOKUP(C2251, calc_rusacc!$C$15:$C$65, calc_rusacc!$BJ$15:$BJ$65, "",0),  F2251="Sealant", _xlfn.XLOOKUP(C2251, dd_accsrycalc!$A$2:$A$51, dd_accsrycalc!$G$2:$G$51, "",0),  F2251&lt;&gt;"",L2251*_xlfn.XLOOKUP(1, (SKUs!$C$2:$C$10001=G2251)*(SKUs!$K$2:$K$10001=I2251),SKUs!$E$2:$E$10001)), 0),"")</f>
        <v/>
      </c>
      <c r="E2251" s="16" t="str">
        <f>_xlfn.XLOOKUP(F2251,dd_item!$B$2:$B$105,dd_item!$C$2:$C$105,"",0)</f>
        <v/>
      </c>
      <c r="F2251" s="16"/>
      <c r="G2251" s="16" cm="1">
        <f t="array" ref="G2251">IFERROR(_xlfn.XLOOKUP(1, (SKUs!$J$2:$J$10001=accsry_unmerged!F2251)*IF(H2251&lt;&gt;"",(SKUs!$L$2:$L$10001=accsry_unmerged!H2251),1)*(SKUs!$K$2:$K$10001=I2251),SKUs!$C$2:$C$10001),"")</f>
        <v>0</v>
      </c>
      <c r="H2251" s="33" cm="1">
        <f t="array" ref="H2251">IFERROR(_xlfn.XLOOKUP(1, (dd_accsryclr!$C$2:$C$1000=accsry_unmerged!F2251)*(dd_accsryclr!$B$2:$B$1000=accsry_unmerged!J2251),dd_accsryclr!$A$2:$A$1000),"")</f>
        <v>0</v>
      </c>
      <c r="I2251" s="16">
        <f>_xlfn.XLOOKUP(C2251,'Project Details'!$C$17:$C$66,'Project Details'!$E$17:$E$66,"",0)</f>
        <v>0</v>
      </c>
      <c r="J2251" s="16">
        <f>_xlfn.XLOOKUP(C2251,'Project Details'!$C$17:$C$66,'Project Details'!$H$17:$H$66,"",0)</f>
        <v>0</v>
      </c>
      <c r="K2251" s="33" t="str">
        <f>IF(AND(_xlfn.XLOOKUP(C2251,'Project Details'!$C$17:$C$66,'Project Details'!$L$17:$L$66,"",0)&gt;550, F2251="Spring-L27cm"),"",SUBSTITUTE(_xlfn.XLOOKUP(G2251,SKUs!$C$2:$C$10001,SKUs!$F$2:$F$10001,"",0), " Accessories",""))</f>
        <v/>
      </c>
      <c r="L2251" s="33">
        <f>_xlfn.XLOOKUP(C2251,'Project Details'!$C$17:$C$66,'Project Details'!$D$17:$D$66,"",0)</f>
        <v>0</v>
      </c>
      <c r="M2251" s="43"/>
    </row>
    <row r="2252" spans="1:13" ht="13.5" customHeight="1" outlineLevel="1" x14ac:dyDescent="0.25">
      <c r="A2252" s="43"/>
      <c r="B2252" s="43"/>
      <c r="C2252" s="35">
        <f t="shared" si="43"/>
        <v>45</v>
      </c>
      <c r="D2252" s="35" t="str" cm="1">
        <f t="array" ref="D2252">IFERROR(ROUNDUP(_xlfn.IFS(F2252="Aluminum Track", _xlfn.XLOOKUP(C2252, dd_accsrycalc!$A$2:$A$51, dd_accsrycalc!$B$2:$B$51, "",0), F2252="10 x 2 1/2 S (Flat)", _xlfn.XLOOKUP(C2252, dd_accsrycalc!$A$2:$A$51, dd_accsrycalc!$C$2:$C$51, "",0), F2252="Tox6", _xlfn.XLOOKUP(C2252, dd_accsrycalc!$A$2:$A$51, dd_accsrycalc!$D$2:$D$51, "",0), F2252="Cover Cap", _xlfn.XLOOKUP(C2252, dd_accsrycalc!$A$2:$A$51, dd_accsrycalc!$E$2:$E$51, "",0), F2252="Drainage Cover", _xlfn.XLOOKUP(C2252, dd_accsrycalc!$A$2:$A$51, dd_accsrycalc!$F$2:$F$51, "",0),AND( F2252="Double Adhesive Tape", I2252="Roll-up Screen"), _xlfn.XLOOKUP(C2252, calc_rusacc!$C$15:$C$65, calc_rusacc!$AD$15:$AD$65, "",0),AND( F2252="Sealant", I2252="Roll-up Screen"), _xlfn.XLOOKUP(C2252, calc_rusacc!$C$15:$C$65, calc_rusacc!$AF$15:$AF$65, "",0),  AND( F2252="Main Chain", I2252="Accordion Screen"), _xlfn.XLOOKUP(C2252, calc_rusacc!$C$15:$C$65, calc_rusacc!$BF$15:$BF$65, "",0), AND( F2252="Sealant", I2252="Accordion Screen"), _xlfn.XLOOKUP(C2252, calc_rusacc!$C$15:$C$65, calc_rusacc!$BJ$15:$BJ$65, "",0),  F2252="Sealant", _xlfn.XLOOKUP(C2252, dd_accsrycalc!$A$2:$A$51, dd_accsrycalc!$G$2:$G$51, "",0),  F2252&lt;&gt;"",L2252*_xlfn.XLOOKUP(1, (SKUs!$C$2:$C$10001=G2252)*(SKUs!$K$2:$K$10001=I2252),SKUs!$E$2:$E$10001)), 0),"")</f>
        <v/>
      </c>
      <c r="E2252" s="35" t="str">
        <f>_xlfn.XLOOKUP(F2252,dd_item!$B$2:$B$105,dd_item!$C$2:$C$105,"",0)</f>
        <v/>
      </c>
      <c r="F2252" s="35"/>
      <c r="G2252" s="35" cm="1">
        <f t="array" ref="G2252">IFERROR(_xlfn.XLOOKUP(1, (SKUs!$J$2:$J$10001=accsry_unmerged!F2252)*IF(H2252&lt;&gt;"",(SKUs!$L$2:$L$10001=accsry_unmerged!H2252),1)*(SKUs!$K$2:$K$10001=I2252),SKUs!$C$2:$C$10001),"")</f>
        <v>0</v>
      </c>
      <c r="H2252" s="36" cm="1">
        <f t="array" ref="H2252">IFERROR(_xlfn.XLOOKUP(1, (dd_accsryclr!$C$2:$C$1000=accsry_unmerged!F2252)*(dd_accsryclr!$B$2:$B$1000=accsry_unmerged!J2252),dd_accsryclr!$A$2:$A$1000),"")</f>
        <v>0</v>
      </c>
      <c r="I2252" s="35">
        <f>_xlfn.XLOOKUP(C2252,'Project Details'!$C$17:$C$66,'Project Details'!$E$17:$E$66,"",0)</f>
        <v>0</v>
      </c>
      <c r="J2252" s="35">
        <f>_xlfn.XLOOKUP(C2252,'Project Details'!$C$17:$C$66,'Project Details'!$H$17:$H$66,"",0)</f>
        <v>0</v>
      </c>
      <c r="K2252" s="36" t="str">
        <f>IF(AND(_xlfn.XLOOKUP(C2252,'Project Details'!$C$17:$C$66,'Project Details'!$L$17:$L$66,"",0)&gt;550, F2252="Spring-L27cm"),"",SUBSTITUTE(_xlfn.XLOOKUP(G2252,SKUs!$C$2:$C$10001,SKUs!$F$2:$F$10001,"",0), " Accessories",""))</f>
        <v/>
      </c>
      <c r="L2252" s="36">
        <f>_xlfn.XLOOKUP(C2252,'Project Details'!$C$17:$C$66,'Project Details'!$D$17:$D$66,"",0)</f>
        <v>0</v>
      </c>
      <c r="M2252" s="43"/>
    </row>
    <row r="2253" spans="1:13" ht="13.5" customHeight="1" outlineLevel="1" x14ac:dyDescent="0.25">
      <c r="A2253" s="43"/>
      <c r="B2253" s="43"/>
      <c r="C2253" s="16">
        <f t="shared" si="43"/>
        <v>45</v>
      </c>
      <c r="D2253" s="16" t="str" cm="1">
        <f t="array" ref="D2253">IFERROR(ROUNDUP(_xlfn.IFS(F2253="Aluminum Track", _xlfn.XLOOKUP(C2253, dd_accsrycalc!$A$2:$A$51, dd_accsrycalc!$B$2:$B$51, "",0), F2253="10 x 2 1/2 S (Flat)", _xlfn.XLOOKUP(C2253, dd_accsrycalc!$A$2:$A$51, dd_accsrycalc!$C$2:$C$51, "",0), F2253="Tox6", _xlfn.XLOOKUP(C2253, dd_accsrycalc!$A$2:$A$51, dd_accsrycalc!$D$2:$D$51, "",0), F2253="Cover Cap", _xlfn.XLOOKUP(C2253, dd_accsrycalc!$A$2:$A$51, dd_accsrycalc!$E$2:$E$51, "",0), F2253="Drainage Cover", _xlfn.XLOOKUP(C2253, dd_accsrycalc!$A$2:$A$51, dd_accsrycalc!$F$2:$F$51, "",0),AND( F2253="Double Adhesive Tape", I2253="Roll-up Screen"), _xlfn.XLOOKUP(C2253, calc_rusacc!$C$15:$C$65, calc_rusacc!$AD$15:$AD$65, "",0),AND( F2253="Sealant", I2253="Roll-up Screen"), _xlfn.XLOOKUP(C2253, calc_rusacc!$C$15:$C$65, calc_rusacc!$AF$15:$AF$65, "",0),  AND( F2253="Main Chain", I2253="Accordion Screen"), _xlfn.XLOOKUP(C2253, calc_rusacc!$C$15:$C$65, calc_rusacc!$BF$15:$BF$65, "",0), AND( F2253="Sealant", I2253="Accordion Screen"), _xlfn.XLOOKUP(C2253, calc_rusacc!$C$15:$C$65, calc_rusacc!$BJ$15:$BJ$65, "",0),  F2253="Sealant", _xlfn.XLOOKUP(C2253, dd_accsrycalc!$A$2:$A$51, dd_accsrycalc!$G$2:$G$51, "",0),  F2253&lt;&gt;"",L2253*_xlfn.XLOOKUP(1, (SKUs!$C$2:$C$10001=G2253)*(SKUs!$K$2:$K$10001=I2253),SKUs!$E$2:$E$10001)), 0),"")</f>
        <v/>
      </c>
      <c r="E2253" s="16" t="str">
        <f>_xlfn.XLOOKUP(F2253,dd_item!$B$2:$B$105,dd_item!$C$2:$C$105,"",0)</f>
        <v/>
      </c>
      <c r="F2253" s="16"/>
      <c r="G2253" s="16" cm="1">
        <f t="array" ref="G2253">IFERROR(_xlfn.XLOOKUP(1, (SKUs!$J$2:$J$10001=accsry_unmerged!F2253)*IF(H2253&lt;&gt;"",(SKUs!$L$2:$L$10001=accsry_unmerged!H2253),1)*(SKUs!$K$2:$K$10001=I2253),SKUs!$C$2:$C$10001),"")</f>
        <v>0</v>
      </c>
      <c r="H2253" s="33" cm="1">
        <f t="array" ref="H2253">IFERROR(_xlfn.XLOOKUP(1, (dd_accsryclr!$C$2:$C$1000=accsry_unmerged!F2253)*(dd_accsryclr!$B$2:$B$1000=accsry_unmerged!J2253),dd_accsryclr!$A$2:$A$1000),"")</f>
        <v>0</v>
      </c>
      <c r="I2253" s="16">
        <f>_xlfn.XLOOKUP(C2253,'Project Details'!$C$17:$C$66,'Project Details'!$E$17:$E$66,"",0)</f>
        <v>0</v>
      </c>
      <c r="J2253" s="16">
        <f>_xlfn.XLOOKUP(C2253,'Project Details'!$C$17:$C$66,'Project Details'!$H$17:$H$66,"",0)</f>
        <v>0</v>
      </c>
      <c r="K2253" s="33" t="str">
        <f>IF(AND(_xlfn.XLOOKUP(C2253,'Project Details'!$C$17:$C$66,'Project Details'!$L$17:$L$66,"",0)&gt;550, F2253="Spring-L27cm"),"",SUBSTITUTE(_xlfn.XLOOKUP(G2253,SKUs!$C$2:$C$10001,SKUs!$F$2:$F$10001,"",0), " Accessories",""))</f>
        <v/>
      </c>
      <c r="L2253" s="33">
        <f>_xlfn.XLOOKUP(C2253,'Project Details'!$C$17:$C$66,'Project Details'!$D$17:$D$66,"",0)</f>
        <v>0</v>
      </c>
      <c r="M2253" s="43"/>
    </row>
    <row r="2254" spans="1:13" ht="13.5" customHeight="1" outlineLevel="1" x14ac:dyDescent="0.25">
      <c r="A2254" s="43"/>
      <c r="B2254" s="43"/>
      <c r="C2254" s="35">
        <f t="shared" si="43"/>
        <v>45</v>
      </c>
      <c r="D2254" s="35" t="str" cm="1">
        <f t="array" ref="D2254">IFERROR(ROUNDUP(_xlfn.IFS(F2254="Aluminum Track", _xlfn.XLOOKUP(C2254, dd_accsrycalc!$A$2:$A$51, dd_accsrycalc!$B$2:$B$51, "",0), F2254="10 x 2 1/2 S (Flat)", _xlfn.XLOOKUP(C2254, dd_accsrycalc!$A$2:$A$51, dd_accsrycalc!$C$2:$C$51, "",0), F2254="Tox6", _xlfn.XLOOKUP(C2254, dd_accsrycalc!$A$2:$A$51, dd_accsrycalc!$D$2:$D$51, "",0), F2254="Cover Cap", _xlfn.XLOOKUP(C2254, dd_accsrycalc!$A$2:$A$51, dd_accsrycalc!$E$2:$E$51, "",0), F2254="Drainage Cover", _xlfn.XLOOKUP(C2254, dd_accsrycalc!$A$2:$A$51, dd_accsrycalc!$F$2:$F$51, "",0),AND( F2254="Double Adhesive Tape", I2254="Roll-up Screen"), _xlfn.XLOOKUP(C2254, calc_rusacc!$C$15:$C$65, calc_rusacc!$AD$15:$AD$65, "",0),AND( F2254="Sealant", I2254="Roll-up Screen"), _xlfn.XLOOKUP(C2254, calc_rusacc!$C$15:$C$65, calc_rusacc!$AF$15:$AF$65, "",0),  AND( F2254="Main Chain", I2254="Accordion Screen"), _xlfn.XLOOKUP(C2254, calc_rusacc!$C$15:$C$65, calc_rusacc!$BF$15:$BF$65, "",0), AND( F2254="Sealant", I2254="Accordion Screen"), _xlfn.XLOOKUP(C2254, calc_rusacc!$C$15:$C$65, calc_rusacc!$BJ$15:$BJ$65, "",0),  F2254="Sealant", _xlfn.XLOOKUP(C2254, dd_accsrycalc!$A$2:$A$51, dd_accsrycalc!$G$2:$G$51, "",0),  F2254&lt;&gt;"",L2254*_xlfn.XLOOKUP(1, (SKUs!$C$2:$C$10001=G2254)*(SKUs!$K$2:$K$10001=I2254),SKUs!$E$2:$E$10001)), 0),"")</f>
        <v/>
      </c>
      <c r="E2254" s="35" t="str">
        <f>_xlfn.XLOOKUP(F2254,dd_item!$B$2:$B$105,dd_item!$C$2:$C$105,"",0)</f>
        <v/>
      </c>
      <c r="F2254" s="35"/>
      <c r="G2254" s="35" cm="1">
        <f t="array" ref="G2254">IFERROR(_xlfn.XLOOKUP(1, (SKUs!$J$2:$J$10001=accsry_unmerged!F2254)*IF(H2254&lt;&gt;"",(SKUs!$L$2:$L$10001=accsry_unmerged!H2254),1)*(SKUs!$K$2:$K$10001=I2254),SKUs!$C$2:$C$10001),"")</f>
        <v>0</v>
      </c>
      <c r="H2254" s="36" cm="1">
        <f t="array" ref="H2254">IFERROR(_xlfn.XLOOKUP(1, (dd_accsryclr!$C$2:$C$1000=accsry_unmerged!F2254)*(dd_accsryclr!$B$2:$B$1000=accsry_unmerged!J2254),dd_accsryclr!$A$2:$A$1000),"")</f>
        <v>0</v>
      </c>
      <c r="I2254" s="35">
        <f>_xlfn.XLOOKUP(C2254,'Project Details'!$C$17:$C$66,'Project Details'!$E$17:$E$66,"",0)</f>
        <v>0</v>
      </c>
      <c r="J2254" s="35">
        <f>_xlfn.XLOOKUP(C2254,'Project Details'!$C$17:$C$66,'Project Details'!$H$17:$H$66,"",0)</f>
        <v>0</v>
      </c>
      <c r="K2254" s="36" t="str">
        <f>IF(AND(_xlfn.XLOOKUP(C2254,'Project Details'!$C$17:$C$66,'Project Details'!$L$17:$L$66,"",0)&gt;550, F2254="Spring-L27cm"),"",SUBSTITUTE(_xlfn.XLOOKUP(G2254,SKUs!$C$2:$C$10001,SKUs!$F$2:$F$10001,"",0), " Accessories",""))</f>
        <v/>
      </c>
      <c r="L2254" s="36">
        <f>_xlfn.XLOOKUP(C2254,'Project Details'!$C$17:$C$66,'Project Details'!$D$17:$D$66,"",0)</f>
        <v>0</v>
      </c>
      <c r="M2254" s="43"/>
    </row>
    <row r="2255" spans="1:13" ht="13.5" customHeight="1" outlineLevel="1" collapsed="1" x14ac:dyDescent="0.25">
      <c r="A2255" s="43"/>
      <c r="B2255" s="43"/>
      <c r="C2255" s="16">
        <f t="shared" si="43"/>
        <v>45</v>
      </c>
      <c r="D2255" s="16" t="str" cm="1">
        <f t="array" ref="D2255">IFERROR(ROUNDUP(_xlfn.IFS(F2255="Aluminum Track", _xlfn.XLOOKUP(C2255, dd_accsrycalc!$A$2:$A$51, dd_accsrycalc!$B$2:$B$51, "",0), F2255="10 x 2 1/2 S (Flat)", _xlfn.XLOOKUP(C2255, dd_accsrycalc!$A$2:$A$51, dd_accsrycalc!$C$2:$C$51, "",0), F2255="Tox6", _xlfn.XLOOKUP(C2255, dd_accsrycalc!$A$2:$A$51, dd_accsrycalc!$D$2:$D$51, "",0), F2255="Cover Cap", _xlfn.XLOOKUP(C2255, dd_accsrycalc!$A$2:$A$51, dd_accsrycalc!$E$2:$E$51, "",0), F2255="Drainage Cover", _xlfn.XLOOKUP(C2255, dd_accsrycalc!$A$2:$A$51, dd_accsrycalc!$F$2:$F$51, "",0),AND( F2255="Double Adhesive Tape", I2255="Roll-up Screen"), _xlfn.XLOOKUP(C2255, calc_rusacc!$C$15:$C$65, calc_rusacc!$AD$15:$AD$65, "",0),AND( F2255="Sealant", I2255="Roll-up Screen"), _xlfn.XLOOKUP(C2255, calc_rusacc!$C$15:$C$65, calc_rusacc!$AF$15:$AF$65, "",0),  AND( F2255="Main Chain", I2255="Accordion Screen"), _xlfn.XLOOKUP(C2255, calc_rusacc!$C$15:$C$65, calc_rusacc!$BF$15:$BF$65, "",0), AND( F2255="Sealant", I2255="Accordion Screen"), _xlfn.XLOOKUP(C2255, calc_rusacc!$C$15:$C$65, calc_rusacc!$BJ$15:$BJ$65, "",0),  F2255="Sealant", _xlfn.XLOOKUP(C2255, dd_accsrycalc!$A$2:$A$51, dd_accsrycalc!$G$2:$G$51, "",0),  F2255&lt;&gt;"",L2255*_xlfn.XLOOKUP(1, (SKUs!$C$2:$C$10001=G2255)*(SKUs!$K$2:$K$10001=I2255),SKUs!$E$2:$E$10001)), 0),"")</f>
        <v/>
      </c>
      <c r="E2255" s="16" t="str">
        <f>_xlfn.XLOOKUP(F2255,dd_item!$B$2:$B$105,dd_item!$C$2:$C$105,"",0)</f>
        <v/>
      </c>
      <c r="F2255" s="16"/>
      <c r="G2255" s="16" cm="1">
        <f t="array" ref="G2255">IFERROR(_xlfn.XLOOKUP(1, (SKUs!$J$2:$J$10001=accsry_unmerged!F2255)*IF(H2255&lt;&gt;"",(SKUs!$L$2:$L$10001=accsry_unmerged!H2255),1)*(SKUs!$K$2:$K$10001=I2255),SKUs!$C$2:$C$10001),"")</f>
        <v>0</v>
      </c>
      <c r="H2255" s="33" cm="1">
        <f t="array" ref="H2255">IFERROR(_xlfn.XLOOKUP(1, (dd_accsryclr!$C$2:$C$1000=accsry_unmerged!F2255)*(dd_accsryclr!$B$2:$B$1000=accsry_unmerged!J2255),dd_accsryclr!$A$2:$A$1000),"")</f>
        <v>0</v>
      </c>
      <c r="I2255" s="16">
        <f>_xlfn.XLOOKUP(C2255,'Project Details'!$C$17:$C$66,'Project Details'!$E$17:$E$66,"",0)</f>
        <v>0</v>
      </c>
      <c r="J2255" s="16">
        <f>_xlfn.XLOOKUP(C2255,'Project Details'!$C$17:$C$66,'Project Details'!$H$17:$H$66,"",0)</f>
        <v>0</v>
      </c>
      <c r="K2255" s="33" t="str">
        <f>IF(AND(_xlfn.XLOOKUP(C2255,'Project Details'!$C$17:$C$66,'Project Details'!$L$17:$L$66,"",0)&gt;550, F2255="Spring-L27cm"),"",SUBSTITUTE(_xlfn.XLOOKUP(G2255,SKUs!$C$2:$C$10001,SKUs!$F$2:$F$10001,"",0), " Accessories",""))</f>
        <v/>
      </c>
      <c r="L2255" s="33">
        <f>_xlfn.XLOOKUP(C2255,'Project Details'!$C$17:$C$66,'Project Details'!$D$17:$D$66,"",0)</f>
        <v>0</v>
      </c>
      <c r="M2255" s="43"/>
    </row>
    <row r="2256" spans="1:13" ht="13.5" customHeight="1" outlineLevel="1" x14ac:dyDescent="0.25">
      <c r="A2256" s="43"/>
      <c r="B2256" s="43"/>
      <c r="C2256" s="35">
        <f t="shared" si="43"/>
        <v>45</v>
      </c>
      <c r="D2256" s="35" t="str" cm="1">
        <f t="array" ref="D2256">IFERROR(ROUNDUP(_xlfn.IFS(F2256="Aluminum Track", _xlfn.XLOOKUP(C2256, dd_accsrycalc!$A$2:$A$51, dd_accsrycalc!$B$2:$B$51, "",0), F2256="10 x 2 1/2 S (Flat)", _xlfn.XLOOKUP(C2256, dd_accsrycalc!$A$2:$A$51, dd_accsrycalc!$C$2:$C$51, "",0), F2256="Tox6", _xlfn.XLOOKUP(C2256, dd_accsrycalc!$A$2:$A$51, dd_accsrycalc!$D$2:$D$51, "",0), F2256="Cover Cap", _xlfn.XLOOKUP(C2256, dd_accsrycalc!$A$2:$A$51, dd_accsrycalc!$E$2:$E$51, "",0), F2256="Drainage Cover", _xlfn.XLOOKUP(C2256, dd_accsrycalc!$A$2:$A$51, dd_accsrycalc!$F$2:$F$51, "",0),AND( F2256="Double Adhesive Tape", I2256="Roll-up Screen"), _xlfn.XLOOKUP(C2256, calc_rusacc!$C$15:$C$65, calc_rusacc!$AD$15:$AD$65, "",0),AND( F2256="Sealant", I2256="Roll-up Screen"), _xlfn.XLOOKUP(C2256, calc_rusacc!$C$15:$C$65, calc_rusacc!$AF$15:$AF$65, "",0),  AND( F2256="Main Chain", I2256="Accordion Screen"), _xlfn.XLOOKUP(C2256, calc_rusacc!$C$15:$C$65, calc_rusacc!$BF$15:$BF$65, "",0), AND( F2256="Sealant", I2256="Accordion Screen"), _xlfn.XLOOKUP(C2256, calc_rusacc!$C$15:$C$65, calc_rusacc!$BJ$15:$BJ$65, "",0),  F2256="Sealant", _xlfn.XLOOKUP(C2256, dd_accsrycalc!$A$2:$A$51, dd_accsrycalc!$G$2:$G$51, "",0),  F2256&lt;&gt;"",L2256*_xlfn.XLOOKUP(1, (SKUs!$C$2:$C$10001=G2256)*(SKUs!$K$2:$K$10001=I2256),SKUs!$E$2:$E$10001)), 0),"")</f>
        <v/>
      </c>
      <c r="E2256" s="35" t="str">
        <f>_xlfn.XLOOKUP(F2256,dd_item!$B$2:$B$105,dd_item!$C$2:$C$105,"",0)</f>
        <v/>
      </c>
      <c r="F2256" s="35"/>
      <c r="G2256" s="35" cm="1">
        <f t="array" ref="G2256">IFERROR(_xlfn.XLOOKUP(1, (SKUs!$J$2:$J$10001=accsry_unmerged!F2256)*IF(H2256&lt;&gt;"",(SKUs!$L$2:$L$10001=accsry_unmerged!H2256),1)*(SKUs!$K$2:$K$10001=I2256),SKUs!$C$2:$C$10001),"")</f>
        <v>0</v>
      </c>
      <c r="H2256" s="36" cm="1">
        <f t="array" ref="H2256">IFERROR(_xlfn.XLOOKUP(1, (dd_accsryclr!$C$2:$C$1000=accsry_unmerged!F2256)*(dd_accsryclr!$B$2:$B$1000=accsry_unmerged!J2256),dd_accsryclr!$A$2:$A$1000),"")</f>
        <v>0</v>
      </c>
      <c r="I2256" s="35">
        <f>_xlfn.XLOOKUP(C2256,'Project Details'!$C$17:$C$66,'Project Details'!$E$17:$E$66,"",0)</f>
        <v>0</v>
      </c>
      <c r="J2256" s="35">
        <f>_xlfn.XLOOKUP(C2256,'Project Details'!$C$17:$C$66,'Project Details'!$H$17:$H$66,"",0)</f>
        <v>0</v>
      </c>
      <c r="K2256" s="36" t="str">
        <f>IF(AND(_xlfn.XLOOKUP(C2256,'Project Details'!$C$17:$C$66,'Project Details'!$L$17:$L$66,"",0)&gt;550, F2256="Spring-L27cm"),"",SUBSTITUTE(_xlfn.XLOOKUP(G2256,SKUs!$C$2:$C$10001,SKUs!$F$2:$F$10001,"",0), " Accessories",""))</f>
        <v/>
      </c>
      <c r="L2256" s="36">
        <f>_xlfn.XLOOKUP(C2256,'Project Details'!$C$17:$C$66,'Project Details'!$D$17:$D$66,"",0)</f>
        <v>0</v>
      </c>
      <c r="M2256" s="43"/>
    </row>
    <row r="2257" spans="1:13" ht="13.5" customHeight="1" outlineLevel="1" x14ac:dyDescent="0.25">
      <c r="A2257" s="43"/>
      <c r="B2257" s="43"/>
      <c r="C2257" s="16">
        <f t="shared" si="43"/>
        <v>45</v>
      </c>
      <c r="D2257" s="16" t="str" cm="1">
        <f t="array" ref="D2257">IFERROR(ROUNDUP(_xlfn.IFS(F2257="Aluminum Track", _xlfn.XLOOKUP(C2257, dd_accsrycalc!$A$2:$A$51, dd_accsrycalc!$B$2:$B$51, "",0), F2257="10 x 2 1/2 S (Flat)", _xlfn.XLOOKUP(C2257, dd_accsrycalc!$A$2:$A$51, dd_accsrycalc!$C$2:$C$51, "",0), F2257="Tox6", _xlfn.XLOOKUP(C2257, dd_accsrycalc!$A$2:$A$51, dd_accsrycalc!$D$2:$D$51, "",0), F2257="Cover Cap", _xlfn.XLOOKUP(C2257, dd_accsrycalc!$A$2:$A$51, dd_accsrycalc!$E$2:$E$51, "",0), F2257="Drainage Cover", _xlfn.XLOOKUP(C2257, dd_accsrycalc!$A$2:$A$51, dd_accsrycalc!$F$2:$F$51, "",0),AND( F2257="Double Adhesive Tape", I2257="Roll-up Screen"), _xlfn.XLOOKUP(C2257, calc_rusacc!$C$15:$C$65, calc_rusacc!$AD$15:$AD$65, "",0),AND( F2257="Sealant", I2257="Roll-up Screen"), _xlfn.XLOOKUP(C2257, calc_rusacc!$C$15:$C$65, calc_rusacc!$AF$15:$AF$65, "",0),  AND( F2257="Main Chain", I2257="Accordion Screen"), _xlfn.XLOOKUP(C2257, calc_rusacc!$C$15:$C$65, calc_rusacc!$BF$15:$BF$65, "",0), AND( F2257="Sealant", I2257="Accordion Screen"), _xlfn.XLOOKUP(C2257, calc_rusacc!$C$15:$C$65, calc_rusacc!$BJ$15:$BJ$65, "",0),  F2257="Sealant", _xlfn.XLOOKUP(C2257, dd_accsrycalc!$A$2:$A$51, dd_accsrycalc!$G$2:$G$51, "",0),  F2257&lt;&gt;"",L2257*_xlfn.XLOOKUP(1, (SKUs!$C$2:$C$10001=G2257)*(SKUs!$K$2:$K$10001=I2257),SKUs!$E$2:$E$10001)), 0),"")</f>
        <v/>
      </c>
      <c r="E2257" s="16" t="str">
        <f>_xlfn.XLOOKUP(F2257,dd_item!$B$2:$B$105,dd_item!$C$2:$C$105,"",0)</f>
        <v/>
      </c>
      <c r="F2257" s="16"/>
      <c r="G2257" s="16" cm="1">
        <f t="array" ref="G2257">IFERROR(_xlfn.XLOOKUP(1, (SKUs!$J$2:$J$10001=accsry_unmerged!F2257)*IF(H2257&lt;&gt;"",(SKUs!$L$2:$L$10001=accsry_unmerged!H2257),1)*(SKUs!$K$2:$K$10001=I2257),SKUs!$C$2:$C$10001),"")</f>
        <v>0</v>
      </c>
      <c r="H2257" s="33" cm="1">
        <f t="array" ref="H2257">IFERROR(_xlfn.XLOOKUP(1, (dd_accsryclr!$C$2:$C$1000=accsry_unmerged!F2257)*(dd_accsryclr!$B$2:$B$1000=accsry_unmerged!J2257),dd_accsryclr!$A$2:$A$1000),"")</f>
        <v>0</v>
      </c>
      <c r="I2257" s="16">
        <f>_xlfn.XLOOKUP(C2257,'Project Details'!$C$17:$C$66,'Project Details'!$E$17:$E$66,"",0)</f>
        <v>0</v>
      </c>
      <c r="J2257" s="16">
        <f>_xlfn.XLOOKUP(C2257,'Project Details'!$C$17:$C$66,'Project Details'!$H$17:$H$66,"",0)</f>
        <v>0</v>
      </c>
      <c r="K2257" s="33" t="str">
        <f>IF(AND(_xlfn.XLOOKUP(C2257,'Project Details'!$C$17:$C$66,'Project Details'!$L$17:$L$66,"",0)&gt;550, F2257="Spring-L27cm"),"",SUBSTITUTE(_xlfn.XLOOKUP(G2257,SKUs!$C$2:$C$10001,SKUs!$F$2:$F$10001,"",0), " Accessories",""))</f>
        <v/>
      </c>
      <c r="L2257" s="33">
        <f>_xlfn.XLOOKUP(C2257,'Project Details'!$C$17:$C$66,'Project Details'!$D$17:$D$66,"",0)</f>
        <v>0</v>
      </c>
      <c r="M2257" s="43"/>
    </row>
    <row r="2258" spans="1:13" ht="13.5" customHeight="1" outlineLevel="1" x14ac:dyDescent="0.25">
      <c r="A2258" s="43"/>
      <c r="B2258" s="43"/>
      <c r="C2258" s="35">
        <f t="shared" si="43"/>
        <v>45</v>
      </c>
      <c r="D2258" s="35" t="str" cm="1">
        <f t="array" ref="D2258">IFERROR(ROUNDUP(_xlfn.IFS(F2258="Aluminum Track", _xlfn.XLOOKUP(C2258, dd_accsrycalc!$A$2:$A$51, dd_accsrycalc!$B$2:$B$51, "",0), F2258="10 x 2 1/2 S (Flat)", _xlfn.XLOOKUP(C2258, dd_accsrycalc!$A$2:$A$51, dd_accsrycalc!$C$2:$C$51, "",0), F2258="Tox6", _xlfn.XLOOKUP(C2258, dd_accsrycalc!$A$2:$A$51, dd_accsrycalc!$D$2:$D$51, "",0), F2258="Cover Cap", _xlfn.XLOOKUP(C2258, dd_accsrycalc!$A$2:$A$51, dd_accsrycalc!$E$2:$E$51, "",0), F2258="Drainage Cover", _xlfn.XLOOKUP(C2258, dd_accsrycalc!$A$2:$A$51, dd_accsrycalc!$F$2:$F$51, "",0),AND( F2258="Double Adhesive Tape", I2258="Roll-up Screen"), _xlfn.XLOOKUP(C2258, calc_rusacc!$C$15:$C$65, calc_rusacc!$AD$15:$AD$65, "",0),AND( F2258="Sealant", I2258="Roll-up Screen"), _xlfn.XLOOKUP(C2258, calc_rusacc!$C$15:$C$65, calc_rusacc!$AF$15:$AF$65, "",0),  AND( F2258="Main Chain", I2258="Accordion Screen"), _xlfn.XLOOKUP(C2258, calc_rusacc!$C$15:$C$65, calc_rusacc!$BF$15:$BF$65, "",0), AND( F2258="Sealant", I2258="Accordion Screen"), _xlfn.XLOOKUP(C2258, calc_rusacc!$C$15:$C$65, calc_rusacc!$BJ$15:$BJ$65, "",0),  F2258="Sealant", _xlfn.XLOOKUP(C2258, dd_accsrycalc!$A$2:$A$51, dd_accsrycalc!$G$2:$G$51, "",0),  F2258&lt;&gt;"",L2258*_xlfn.XLOOKUP(1, (SKUs!$C$2:$C$10001=G2258)*(SKUs!$K$2:$K$10001=I2258),SKUs!$E$2:$E$10001)), 0),"")</f>
        <v/>
      </c>
      <c r="E2258" s="35" t="str">
        <f>_xlfn.XLOOKUP(F2258,dd_item!$B$2:$B$105,dd_item!$C$2:$C$105,"",0)</f>
        <v/>
      </c>
      <c r="F2258" s="35"/>
      <c r="G2258" s="35" cm="1">
        <f t="array" ref="G2258">IFERROR(_xlfn.XLOOKUP(1, (SKUs!$J$2:$J$10001=accsry_unmerged!F2258)*IF(H2258&lt;&gt;"",(SKUs!$L$2:$L$10001=accsry_unmerged!H2258),1)*(SKUs!$K$2:$K$10001=I2258),SKUs!$C$2:$C$10001),"")</f>
        <v>0</v>
      </c>
      <c r="H2258" s="36" cm="1">
        <f t="array" ref="H2258">IFERROR(_xlfn.XLOOKUP(1, (dd_accsryclr!$C$2:$C$1000=accsry_unmerged!F2258)*(dd_accsryclr!$B$2:$B$1000=accsry_unmerged!J2258),dd_accsryclr!$A$2:$A$1000),"")</f>
        <v>0</v>
      </c>
      <c r="I2258" s="35">
        <f>_xlfn.XLOOKUP(C2258,'Project Details'!$C$17:$C$66,'Project Details'!$E$17:$E$66,"",0)</f>
        <v>0</v>
      </c>
      <c r="J2258" s="35">
        <f>_xlfn.XLOOKUP(C2258,'Project Details'!$C$17:$C$66,'Project Details'!$H$17:$H$66,"",0)</f>
        <v>0</v>
      </c>
      <c r="K2258" s="36" t="str">
        <f>IF(AND(_xlfn.XLOOKUP(C2258,'Project Details'!$C$17:$C$66,'Project Details'!$L$17:$L$66,"",0)&gt;550, F2258="Spring-L27cm"),"",SUBSTITUTE(_xlfn.XLOOKUP(G2258,SKUs!$C$2:$C$10001,SKUs!$F$2:$F$10001,"",0), " Accessories",""))</f>
        <v/>
      </c>
      <c r="L2258" s="36">
        <f>_xlfn.XLOOKUP(C2258,'Project Details'!$C$17:$C$66,'Project Details'!$D$17:$D$66,"",0)</f>
        <v>0</v>
      </c>
      <c r="M2258" s="43"/>
    </row>
    <row r="2259" spans="1:13" ht="13.5" customHeight="1" outlineLevel="1" x14ac:dyDescent="0.25">
      <c r="A2259" s="43"/>
      <c r="B2259" s="43"/>
      <c r="C2259" s="16">
        <f t="shared" si="43"/>
        <v>45</v>
      </c>
      <c r="D2259" s="16" t="str" cm="1">
        <f t="array" ref="D2259">IFERROR(ROUNDUP(_xlfn.IFS(F2259="Aluminum Track", _xlfn.XLOOKUP(C2259, dd_accsrycalc!$A$2:$A$51, dd_accsrycalc!$B$2:$B$51, "",0), F2259="10 x 2 1/2 S (Flat)", _xlfn.XLOOKUP(C2259, dd_accsrycalc!$A$2:$A$51, dd_accsrycalc!$C$2:$C$51, "",0), F2259="Tox6", _xlfn.XLOOKUP(C2259, dd_accsrycalc!$A$2:$A$51, dd_accsrycalc!$D$2:$D$51, "",0), F2259="Cover Cap", _xlfn.XLOOKUP(C2259, dd_accsrycalc!$A$2:$A$51, dd_accsrycalc!$E$2:$E$51, "",0), F2259="Drainage Cover", _xlfn.XLOOKUP(C2259, dd_accsrycalc!$A$2:$A$51, dd_accsrycalc!$F$2:$F$51, "",0),AND( F2259="Double Adhesive Tape", I2259="Roll-up Screen"), _xlfn.XLOOKUP(C2259, calc_rusacc!$C$15:$C$65, calc_rusacc!$AD$15:$AD$65, "",0),AND( F2259="Sealant", I2259="Roll-up Screen"), _xlfn.XLOOKUP(C2259, calc_rusacc!$C$15:$C$65, calc_rusacc!$AF$15:$AF$65, "",0),  AND( F2259="Main Chain", I2259="Accordion Screen"), _xlfn.XLOOKUP(C2259, calc_rusacc!$C$15:$C$65, calc_rusacc!$BF$15:$BF$65, "",0), AND( F2259="Sealant", I2259="Accordion Screen"), _xlfn.XLOOKUP(C2259, calc_rusacc!$C$15:$C$65, calc_rusacc!$BJ$15:$BJ$65, "",0),  F2259="Sealant", _xlfn.XLOOKUP(C2259, dd_accsrycalc!$A$2:$A$51, dd_accsrycalc!$G$2:$G$51, "",0),  F2259&lt;&gt;"",L2259*_xlfn.XLOOKUP(1, (SKUs!$C$2:$C$10001=G2259)*(SKUs!$K$2:$K$10001=I2259),SKUs!$E$2:$E$10001)), 0),"")</f>
        <v/>
      </c>
      <c r="E2259" s="16" t="str">
        <f>_xlfn.XLOOKUP(F2259,dd_item!$B$2:$B$105,dd_item!$C$2:$C$105,"",0)</f>
        <v/>
      </c>
      <c r="F2259" s="16"/>
      <c r="G2259" s="16" cm="1">
        <f t="array" ref="G2259">IFERROR(_xlfn.XLOOKUP(1, (SKUs!$J$2:$J$10001=accsry_unmerged!F2259)*IF(H2259&lt;&gt;"",(SKUs!$L$2:$L$10001=accsry_unmerged!H2259),1)*(SKUs!$K$2:$K$10001=I2259),SKUs!$C$2:$C$10001),"")</f>
        <v>0</v>
      </c>
      <c r="H2259" s="33" cm="1">
        <f t="array" ref="H2259">IFERROR(_xlfn.XLOOKUP(1, (dd_accsryclr!$C$2:$C$1000=accsry_unmerged!F2259)*(dd_accsryclr!$B$2:$B$1000=accsry_unmerged!J2259),dd_accsryclr!$A$2:$A$1000),"")</f>
        <v>0</v>
      </c>
      <c r="I2259" s="16">
        <f>_xlfn.XLOOKUP(C2259,'Project Details'!$C$17:$C$66,'Project Details'!$E$17:$E$66,"",0)</f>
        <v>0</v>
      </c>
      <c r="J2259" s="16">
        <f>_xlfn.XLOOKUP(C2259,'Project Details'!$C$17:$C$66,'Project Details'!$H$17:$H$66,"",0)</f>
        <v>0</v>
      </c>
      <c r="K2259" s="33" t="str">
        <f>IF(AND(_xlfn.XLOOKUP(C2259,'Project Details'!$C$17:$C$66,'Project Details'!$L$17:$L$66,"",0)&gt;550, F2259="Spring-L27cm"),"",SUBSTITUTE(_xlfn.XLOOKUP(G2259,SKUs!$C$2:$C$10001,SKUs!$F$2:$F$10001,"",0), " Accessories",""))</f>
        <v/>
      </c>
      <c r="L2259" s="33">
        <f>_xlfn.XLOOKUP(C2259,'Project Details'!$C$17:$C$66,'Project Details'!$D$17:$D$66,"",0)</f>
        <v>0</v>
      </c>
      <c r="M2259" s="43"/>
    </row>
    <row r="2260" spans="1:13" ht="13.5" customHeight="1" outlineLevel="1" x14ac:dyDescent="0.25">
      <c r="A2260" s="43"/>
      <c r="B2260" s="43"/>
      <c r="C2260" s="35">
        <f t="shared" si="43"/>
        <v>45</v>
      </c>
      <c r="D2260" s="35" t="str" cm="1">
        <f t="array" ref="D2260">IFERROR(ROUNDUP(_xlfn.IFS(F2260="Aluminum Track", _xlfn.XLOOKUP(C2260, dd_accsrycalc!$A$2:$A$51, dd_accsrycalc!$B$2:$B$51, "",0), F2260="10 x 2 1/2 S (Flat)", _xlfn.XLOOKUP(C2260, dd_accsrycalc!$A$2:$A$51, dd_accsrycalc!$C$2:$C$51, "",0), F2260="Tox6", _xlfn.XLOOKUP(C2260, dd_accsrycalc!$A$2:$A$51, dd_accsrycalc!$D$2:$D$51, "",0), F2260="Cover Cap", _xlfn.XLOOKUP(C2260, dd_accsrycalc!$A$2:$A$51, dd_accsrycalc!$E$2:$E$51, "",0), F2260="Drainage Cover", _xlfn.XLOOKUP(C2260, dd_accsrycalc!$A$2:$A$51, dd_accsrycalc!$F$2:$F$51, "",0),AND( F2260="Double Adhesive Tape", I2260="Roll-up Screen"), _xlfn.XLOOKUP(C2260, calc_rusacc!$C$15:$C$65, calc_rusacc!$AD$15:$AD$65, "",0),AND( F2260="Sealant", I2260="Roll-up Screen"), _xlfn.XLOOKUP(C2260, calc_rusacc!$C$15:$C$65, calc_rusacc!$AF$15:$AF$65, "",0),  AND( F2260="Main Chain", I2260="Accordion Screen"), _xlfn.XLOOKUP(C2260, calc_rusacc!$C$15:$C$65, calc_rusacc!$BF$15:$BF$65, "",0), AND( F2260="Sealant", I2260="Accordion Screen"), _xlfn.XLOOKUP(C2260, calc_rusacc!$C$15:$C$65, calc_rusacc!$BJ$15:$BJ$65, "",0),  F2260="Sealant", _xlfn.XLOOKUP(C2260, dd_accsrycalc!$A$2:$A$51, dd_accsrycalc!$G$2:$G$51, "",0),  F2260&lt;&gt;"",L2260*_xlfn.XLOOKUP(1, (SKUs!$C$2:$C$10001=G2260)*(SKUs!$K$2:$K$10001=I2260),SKUs!$E$2:$E$10001)), 0),"")</f>
        <v/>
      </c>
      <c r="E2260" s="35" t="str">
        <f>_xlfn.XLOOKUP(F2260,dd_item!$B$2:$B$105,dd_item!$C$2:$C$105,"",0)</f>
        <v/>
      </c>
      <c r="F2260" s="35"/>
      <c r="G2260" s="35" cm="1">
        <f t="array" ref="G2260">IFERROR(_xlfn.XLOOKUP(1, (SKUs!$J$2:$J$10001=accsry_unmerged!F2260)*IF(H2260&lt;&gt;"",(SKUs!$L$2:$L$10001=accsry_unmerged!H2260),1)*(SKUs!$K$2:$K$10001=I2260),SKUs!$C$2:$C$10001),"")</f>
        <v>0</v>
      </c>
      <c r="H2260" s="36" cm="1">
        <f t="array" ref="H2260">IFERROR(_xlfn.XLOOKUP(1, (dd_accsryclr!$C$2:$C$1000=accsry_unmerged!F2260)*(dd_accsryclr!$B$2:$B$1000=accsry_unmerged!J2260),dd_accsryclr!$A$2:$A$1000),"")</f>
        <v>0</v>
      </c>
      <c r="I2260" s="35">
        <f>_xlfn.XLOOKUP(C2260,'Project Details'!$C$17:$C$66,'Project Details'!$E$17:$E$66,"",0)</f>
        <v>0</v>
      </c>
      <c r="J2260" s="35">
        <f>_xlfn.XLOOKUP(C2260,'Project Details'!$C$17:$C$66,'Project Details'!$H$17:$H$66,"",0)</f>
        <v>0</v>
      </c>
      <c r="K2260" s="36" t="str">
        <f>IF(AND(_xlfn.XLOOKUP(C2260,'Project Details'!$C$17:$C$66,'Project Details'!$L$17:$L$66,"",0)&gt;550, F2260="Spring-L27cm"),"",SUBSTITUTE(_xlfn.XLOOKUP(G2260,SKUs!$C$2:$C$10001,SKUs!$F$2:$F$10001,"",0), " Accessories",""))</f>
        <v/>
      </c>
      <c r="L2260" s="36">
        <f>_xlfn.XLOOKUP(C2260,'Project Details'!$C$17:$C$66,'Project Details'!$D$17:$D$66,"",0)</f>
        <v>0</v>
      </c>
      <c r="M2260" s="43"/>
    </row>
    <row r="2261" spans="1:13" ht="13.5" customHeight="1" outlineLevel="1" x14ac:dyDescent="0.25">
      <c r="A2261" s="43"/>
      <c r="B2261" s="43"/>
      <c r="C2261" s="16">
        <f t="shared" si="43"/>
        <v>45</v>
      </c>
      <c r="D2261" s="16" t="str" cm="1">
        <f t="array" ref="D2261">IFERROR(ROUNDUP(_xlfn.IFS(F2261="Aluminum Track", _xlfn.XLOOKUP(C2261, dd_accsrycalc!$A$2:$A$51, dd_accsrycalc!$B$2:$B$51, "",0), F2261="10 x 2 1/2 S (Flat)", _xlfn.XLOOKUP(C2261, dd_accsrycalc!$A$2:$A$51, dd_accsrycalc!$C$2:$C$51, "",0), F2261="Tox6", _xlfn.XLOOKUP(C2261, dd_accsrycalc!$A$2:$A$51, dd_accsrycalc!$D$2:$D$51, "",0), F2261="Cover Cap", _xlfn.XLOOKUP(C2261, dd_accsrycalc!$A$2:$A$51, dd_accsrycalc!$E$2:$E$51, "",0), F2261="Drainage Cover", _xlfn.XLOOKUP(C2261, dd_accsrycalc!$A$2:$A$51, dd_accsrycalc!$F$2:$F$51, "",0),AND( F2261="Double Adhesive Tape", I2261="Roll-up Screen"), _xlfn.XLOOKUP(C2261, calc_rusacc!$C$15:$C$65, calc_rusacc!$AD$15:$AD$65, "",0),AND( F2261="Sealant", I2261="Roll-up Screen"), _xlfn.XLOOKUP(C2261, calc_rusacc!$C$15:$C$65, calc_rusacc!$AF$15:$AF$65, "",0),  AND( F2261="Main Chain", I2261="Accordion Screen"), _xlfn.XLOOKUP(C2261, calc_rusacc!$C$15:$C$65, calc_rusacc!$BF$15:$BF$65, "",0), AND( F2261="Sealant", I2261="Accordion Screen"), _xlfn.XLOOKUP(C2261, calc_rusacc!$C$15:$C$65, calc_rusacc!$BJ$15:$BJ$65, "",0),  F2261="Sealant", _xlfn.XLOOKUP(C2261, dd_accsrycalc!$A$2:$A$51, dd_accsrycalc!$G$2:$G$51, "",0),  F2261&lt;&gt;"",L2261*_xlfn.XLOOKUP(1, (SKUs!$C$2:$C$10001=G2261)*(SKUs!$K$2:$K$10001=I2261),SKUs!$E$2:$E$10001)), 0),"")</f>
        <v/>
      </c>
      <c r="E2261" s="16" t="str">
        <f>_xlfn.XLOOKUP(F2261,dd_item!$B$2:$B$105,dd_item!$C$2:$C$105,"",0)</f>
        <v/>
      </c>
      <c r="F2261" s="16"/>
      <c r="G2261" s="16" cm="1">
        <f t="array" ref="G2261">IFERROR(_xlfn.XLOOKUP(1, (SKUs!$J$2:$J$10001=accsry_unmerged!F2261)*IF(H2261&lt;&gt;"",(SKUs!$L$2:$L$10001=accsry_unmerged!H2261),1)*(SKUs!$K$2:$K$10001=I2261),SKUs!$C$2:$C$10001),"")</f>
        <v>0</v>
      </c>
      <c r="H2261" s="33" cm="1">
        <f t="array" ref="H2261">IFERROR(_xlfn.XLOOKUP(1, (dd_accsryclr!$C$2:$C$1000=accsry_unmerged!F2261)*(dd_accsryclr!$B$2:$B$1000=accsry_unmerged!J2261),dd_accsryclr!$A$2:$A$1000),"")</f>
        <v>0</v>
      </c>
      <c r="I2261" s="16">
        <f>_xlfn.XLOOKUP(C2261,'Project Details'!$C$17:$C$66,'Project Details'!$E$17:$E$66,"",0)</f>
        <v>0</v>
      </c>
      <c r="J2261" s="16">
        <f>_xlfn.XLOOKUP(C2261,'Project Details'!$C$17:$C$66,'Project Details'!$H$17:$H$66,"",0)</f>
        <v>0</v>
      </c>
      <c r="K2261" s="33" t="str">
        <f>IF(AND(_xlfn.XLOOKUP(C2261,'Project Details'!$C$17:$C$66,'Project Details'!$L$17:$L$66,"",0)&gt;550, F2261="Spring-L27cm"),"",SUBSTITUTE(_xlfn.XLOOKUP(G2261,SKUs!$C$2:$C$10001,SKUs!$F$2:$F$10001,"",0), " Accessories",""))</f>
        <v/>
      </c>
      <c r="L2261" s="33">
        <f>_xlfn.XLOOKUP(C2261,'Project Details'!$C$17:$C$66,'Project Details'!$D$17:$D$66,"",0)</f>
        <v>0</v>
      </c>
      <c r="M2261" s="43"/>
    </row>
    <row r="2262" spans="1:13" ht="13.5" customHeight="1" outlineLevel="1" x14ac:dyDescent="0.25">
      <c r="A2262" s="43"/>
      <c r="B2262" s="43"/>
      <c r="C2262" s="35">
        <f t="shared" si="43"/>
        <v>45</v>
      </c>
      <c r="D2262" s="35" t="str" cm="1">
        <f t="array" ref="D2262">IFERROR(ROUNDUP(_xlfn.IFS(F2262="Aluminum Track", _xlfn.XLOOKUP(C2262, dd_accsrycalc!$A$2:$A$51, dd_accsrycalc!$B$2:$B$51, "",0), F2262="10 x 2 1/2 S (Flat)", _xlfn.XLOOKUP(C2262, dd_accsrycalc!$A$2:$A$51, dd_accsrycalc!$C$2:$C$51, "",0), F2262="Tox6", _xlfn.XLOOKUP(C2262, dd_accsrycalc!$A$2:$A$51, dd_accsrycalc!$D$2:$D$51, "",0), F2262="Cover Cap", _xlfn.XLOOKUP(C2262, dd_accsrycalc!$A$2:$A$51, dd_accsrycalc!$E$2:$E$51, "",0), F2262="Drainage Cover", _xlfn.XLOOKUP(C2262, dd_accsrycalc!$A$2:$A$51, dd_accsrycalc!$F$2:$F$51, "",0),AND( F2262="Double Adhesive Tape", I2262="Roll-up Screen"), _xlfn.XLOOKUP(C2262, calc_rusacc!$C$15:$C$65, calc_rusacc!$AD$15:$AD$65, "",0),AND( F2262="Sealant", I2262="Roll-up Screen"), _xlfn.XLOOKUP(C2262, calc_rusacc!$C$15:$C$65, calc_rusacc!$AF$15:$AF$65, "",0),  AND( F2262="Main Chain", I2262="Accordion Screen"), _xlfn.XLOOKUP(C2262, calc_rusacc!$C$15:$C$65, calc_rusacc!$BF$15:$BF$65, "",0), AND( F2262="Sealant", I2262="Accordion Screen"), _xlfn.XLOOKUP(C2262, calc_rusacc!$C$15:$C$65, calc_rusacc!$BJ$15:$BJ$65, "",0),  F2262="Sealant", _xlfn.XLOOKUP(C2262, dd_accsrycalc!$A$2:$A$51, dd_accsrycalc!$G$2:$G$51, "",0),  F2262&lt;&gt;"",L2262*_xlfn.XLOOKUP(1, (SKUs!$C$2:$C$10001=G2262)*(SKUs!$K$2:$K$10001=I2262),SKUs!$E$2:$E$10001)), 0),"")</f>
        <v/>
      </c>
      <c r="E2262" s="35" t="str">
        <f>_xlfn.XLOOKUP(F2262,dd_item!$B$2:$B$105,dd_item!$C$2:$C$105,"",0)</f>
        <v/>
      </c>
      <c r="F2262" s="35"/>
      <c r="G2262" s="35" cm="1">
        <f t="array" ref="G2262">IFERROR(_xlfn.XLOOKUP(1, (SKUs!$J$2:$J$10001=accsry_unmerged!F2262)*IF(H2262&lt;&gt;"",(SKUs!$L$2:$L$10001=accsry_unmerged!H2262),1)*(SKUs!$K$2:$K$10001=I2262),SKUs!$C$2:$C$10001),"")</f>
        <v>0</v>
      </c>
      <c r="H2262" s="36" cm="1">
        <f t="array" ref="H2262">IFERROR(_xlfn.XLOOKUP(1, (dd_accsryclr!$C$2:$C$1000=accsry_unmerged!F2262)*(dd_accsryclr!$B$2:$B$1000=accsry_unmerged!J2262),dd_accsryclr!$A$2:$A$1000),"")</f>
        <v>0</v>
      </c>
      <c r="I2262" s="35">
        <f>_xlfn.XLOOKUP(C2262,'Project Details'!$C$17:$C$66,'Project Details'!$E$17:$E$66,"",0)</f>
        <v>0</v>
      </c>
      <c r="J2262" s="35">
        <f>_xlfn.XLOOKUP(C2262,'Project Details'!$C$17:$C$66,'Project Details'!$H$17:$H$66,"",0)</f>
        <v>0</v>
      </c>
      <c r="K2262" s="36" t="str">
        <f>IF(AND(_xlfn.XLOOKUP(C2262,'Project Details'!$C$17:$C$66,'Project Details'!$L$17:$L$66,"",0)&gt;550, F2262="Spring-L27cm"),"",SUBSTITUTE(_xlfn.XLOOKUP(G2262,SKUs!$C$2:$C$10001,SKUs!$F$2:$F$10001,"",0), " Accessories",""))</f>
        <v/>
      </c>
      <c r="L2262" s="36">
        <f>_xlfn.XLOOKUP(C2262,'Project Details'!$C$17:$C$66,'Project Details'!$D$17:$D$66,"",0)</f>
        <v>0</v>
      </c>
      <c r="M2262" s="43"/>
    </row>
    <row r="2263" spans="1:13" ht="13.5" customHeight="1" outlineLevel="1" x14ac:dyDescent="0.25">
      <c r="A2263" s="43"/>
      <c r="B2263" s="43"/>
      <c r="C2263" s="16">
        <f t="shared" si="43"/>
        <v>45</v>
      </c>
      <c r="D2263" s="16" t="str" cm="1">
        <f t="array" ref="D2263">IFERROR(ROUNDUP(_xlfn.IFS(F2263="Aluminum Track", _xlfn.XLOOKUP(C2263, dd_accsrycalc!$A$2:$A$51, dd_accsrycalc!$B$2:$B$51, "",0), F2263="10 x 2 1/2 S (Flat)", _xlfn.XLOOKUP(C2263, dd_accsrycalc!$A$2:$A$51, dd_accsrycalc!$C$2:$C$51, "",0), F2263="Tox6", _xlfn.XLOOKUP(C2263, dd_accsrycalc!$A$2:$A$51, dd_accsrycalc!$D$2:$D$51, "",0), F2263="Cover Cap", _xlfn.XLOOKUP(C2263, dd_accsrycalc!$A$2:$A$51, dd_accsrycalc!$E$2:$E$51, "",0), F2263="Drainage Cover", _xlfn.XLOOKUP(C2263, dd_accsrycalc!$A$2:$A$51, dd_accsrycalc!$F$2:$F$51, "",0),AND( F2263="Double Adhesive Tape", I2263="Roll-up Screen"), _xlfn.XLOOKUP(C2263, calc_rusacc!$C$15:$C$65, calc_rusacc!$AD$15:$AD$65, "",0),AND( F2263="Sealant", I2263="Roll-up Screen"), _xlfn.XLOOKUP(C2263, calc_rusacc!$C$15:$C$65, calc_rusacc!$AF$15:$AF$65, "",0),  AND( F2263="Main Chain", I2263="Accordion Screen"), _xlfn.XLOOKUP(C2263, calc_rusacc!$C$15:$C$65, calc_rusacc!$BF$15:$BF$65, "",0), AND( F2263="Sealant", I2263="Accordion Screen"), _xlfn.XLOOKUP(C2263, calc_rusacc!$C$15:$C$65, calc_rusacc!$BJ$15:$BJ$65, "",0),  F2263="Sealant", _xlfn.XLOOKUP(C2263, dd_accsrycalc!$A$2:$A$51, dd_accsrycalc!$G$2:$G$51, "",0),  F2263&lt;&gt;"",L2263*_xlfn.XLOOKUP(1, (SKUs!$C$2:$C$10001=G2263)*(SKUs!$K$2:$K$10001=I2263),SKUs!$E$2:$E$10001)), 0),"")</f>
        <v/>
      </c>
      <c r="E2263" s="16" t="str">
        <f>_xlfn.XLOOKUP(F2263,dd_item!$B$2:$B$105,dd_item!$C$2:$C$105,"",0)</f>
        <v/>
      </c>
      <c r="F2263" s="16"/>
      <c r="G2263" s="16" cm="1">
        <f t="array" ref="G2263">IFERROR(_xlfn.XLOOKUP(1, (SKUs!$J$2:$J$10001=accsry_unmerged!F2263)*IF(H2263&lt;&gt;"",(SKUs!$L$2:$L$10001=accsry_unmerged!H2263),1)*(SKUs!$K$2:$K$10001=I2263),SKUs!$C$2:$C$10001),"")</f>
        <v>0</v>
      </c>
      <c r="H2263" s="33" cm="1">
        <f t="array" ref="H2263">IFERROR(_xlfn.XLOOKUP(1, (dd_accsryclr!$C$2:$C$1000=accsry_unmerged!F2263)*(dd_accsryclr!$B$2:$B$1000=accsry_unmerged!J2263),dd_accsryclr!$A$2:$A$1000),"")</f>
        <v>0</v>
      </c>
      <c r="I2263" s="16">
        <f>_xlfn.XLOOKUP(C2263,'Project Details'!$C$17:$C$66,'Project Details'!$E$17:$E$66,"",0)</f>
        <v>0</v>
      </c>
      <c r="J2263" s="16">
        <f>_xlfn.XLOOKUP(C2263,'Project Details'!$C$17:$C$66,'Project Details'!$H$17:$H$66,"",0)</f>
        <v>0</v>
      </c>
      <c r="K2263" s="33" t="str">
        <f>IF(AND(_xlfn.XLOOKUP(C2263,'Project Details'!$C$17:$C$66,'Project Details'!$L$17:$L$66,"",0)&gt;550, F2263="Spring-L27cm"),"",SUBSTITUTE(_xlfn.XLOOKUP(G2263,SKUs!$C$2:$C$10001,SKUs!$F$2:$F$10001,"",0), " Accessories",""))</f>
        <v/>
      </c>
      <c r="L2263" s="33">
        <f>_xlfn.XLOOKUP(C2263,'Project Details'!$C$17:$C$66,'Project Details'!$D$17:$D$66,"",0)</f>
        <v>0</v>
      </c>
      <c r="M2263" s="43"/>
    </row>
    <row r="2264" spans="1:13" x14ac:dyDescent="0.25">
      <c r="A2264" s="43"/>
      <c r="B2264" s="43"/>
      <c r="C2264" s="43"/>
      <c r="D2264" s="43"/>
      <c r="E2264" s="43"/>
      <c r="F2264" s="43"/>
      <c r="G2264" s="43"/>
      <c r="H2264" s="43"/>
      <c r="I2264" s="43"/>
      <c r="J2264" s="43"/>
      <c r="K2264" s="43"/>
      <c r="L2264" s="43"/>
      <c r="M2264" s="43"/>
    </row>
    <row r="2265" spans="1:13" x14ac:dyDescent="0.25">
      <c r="A2265" s="43"/>
      <c r="B2265" s="43"/>
      <c r="C2265" s="16">
        <f>C2263+1</f>
        <v>46</v>
      </c>
      <c r="D2265" s="48" cm="1">
        <f t="array" ref="D2265">IFERROR(ROUNDUP(_xlfn.IFS(F2265="Aluminum Track", _xlfn.XLOOKUP(C2265, dd_accsrycalc!$A$2:$A$51, dd_accsrycalc!$B$2:$B$51, "",0), F2265="10 x 2 1/2 S (Flat)", _xlfn.XLOOKUP(C2265, dd_accsrycalc!$A$2:$A$51, dd_accsrycalc!$C$2:$C$51, "",0), F2265="Tox6", _xlfn.XLOOKUP(C2265, dd_accsrycalc!$A$2:$A$51, dd_accsrycalc!$D$2:$D$51, "",0), F2265="Cover Cap", _xlfn.XLOOKUP(C2265, dd_accsrycalc!$A$2:$A$51, dd_accsrycalc!$E$2:$E$51, "",0), F2265="Drainage Cover", _xlfn.XLOOKUP(C2265, dd_accsrycalc!$A$2:$A$51, dd_accsrycalc!$F$2:$F$51, "",0),AND( F2265="Double Adhesive Tape", I2265="Roll-up Screen"), _xlfn.XLOOKUP(C2265, calc_rusacc!$C$15:$C$65, calc_rusacc!$AD$15:$AD$65, "",0),AND( F2265="Sealant", I2265="Roll-up Screen"), _xlfn.XLOOKUP(C2265, calc_rusacc!$C$15:$C$65, calc_rusacc!$AF$15:$AF$65, "",0),  AND( F2265="Main Chain", I2265="Accordion Screen"), _xlfn.XLOOKUP(C2265, calc_rusacc!$C$15:$C$65, calc_rusacc!$BF$15:$BF$65, "",0), AND( F2265="Sealant", I2265="Accordion Screen"), _xlfn.XLOOKUP(C2265, calc_rusacc!$C$15:$C$65, calc_rusacc!$BJ$15:$BJ$65, "",0),  F2265="Sealant", _xlfn.XLOOKUP(C2265, dd_accsrycalc!$A$2:$A$51, dd_accsrycalc!$G$2:$G$51, "",0),  F2265&lt;&gt;"",L2265*_xlfn.XLOOKUP(1, (SKUs!$C$2:$C$10001=G2265)*(SKUs!$K$2:$K$10001=I2265),SKUs!$E$2:$E$10001)), 0),"")</f>
        <v>0</v>
      </c>
      <c r="E2265" s="48" t="str">
        <f>_xlfn.XLOOKUP(F2265,dd_item!$B$2:$B$105,dd_item!$C$2:$C$105,"",0)</f>
        <v/>
      </c>
      <c r="F2265" s="48" cm="1">
        <f t="array" ref="F2265">IFERROR(_xlfn.UNIQUE(_xlfn._xlws.FILTER(SKUs!$J$2:$J$10001, (SKUs!$F$2:$F$10001&lt;&gt;"Cutting List") * (SKUs!$A$2:$A$10001=_xlfn.XLOOKUP(_xlfn.XLOOKUP(C2265,'Project Details'!$C$17:$C$66,'Project Details'!$E$17:$E$66,"",0), dd_design_raw!$A$2:$A$101,dd_design_raw!$C$2:$C$101,"",0)))), "")</f>
        <v>0</v>
      </c>
      <c r="G2265" s="16" cm="1">
        <f t="array" ref="G2265">IFERROR(_xlfn.XLOOKUP(1, (SKUs!$J$2:$J$10001=accsry_unmerged!F2265)*IF(H2265&lt;&gt;"",(SKUs!$L$2:$L$10001=accsry_unmerged!H2265),1)*(SKUs!$K$2:$K$10001=I2265),SKUs!$C$2:$C$10001),"")</f>
        <v>0</v>
      </c>
      <c r="H2265" s="16" cm="1">
        <f t="array" ref="H2265">IFERROR(_xlfn.XLOOKUP(1, (dd_accsryclr!$C$2:$C$1000=accsry_unmerged!F2265)*(dd_accsryclr!$B$2:$B$1000=accsry_unmerged!J2265),dd_accsryclr!$A$2:$A$1000),"")</f>
        <v>0</v>
      </c>
      <c r="I2265" s="16">
        <f>_xlfn.XLOOKUP(C2265,'Project Details'!$C$17:$C$66,'Project Details'!$E$17:$E$66,"",0)</f>
        <v>0</v>
      </c>
      <c r="J2265" s="16">
        <f>_xlfn.XLOOKUP(C2265,'Project Details'!$C$17:$C$66,'Project Details'!$H$17:$H$66,"",0)</f>
        <v>0</v>
      </c>
      <c r="K2265" s="16" t="str">
        <f>IF(AND(_xlfn.XLOOKUP(C2265,'Project Details'!$C$17:$C$66,'Project Details'!$L$17:$L$66,"",0)&gt;550, F2265="Spring-L27cm"),"",SUBSTITUTE(_xlfn.XLOOKUP(G2265,SKUs!$C$2:$C$10001,SKUs!$F$2:$F$10001,"",0), " Accessories",""))</f>
        <v/>
      </c>
      <c r="L2265" s="16">
        <f>_xlfn.XLOOKUP(C2265,'Project Details'!$C$17:$C$66,'Project Details'!$D$17:$D$66,"",0)</f>
        <v>0</v>
      </c>
      <c r="M2265" s="43"/>
    </row>
    <row r="2266" spans="1:13" x14ac:dyDescent="0.25">
      <c r="A2266" s="43"/>
      <c r="B2266" s="43"/>
      <c r="C2266" s="35">
        <f>C2265</f>
        <v>46</v>
      </c>
      <c r="D2266" s="35" t="str" cm="1">
        <f t="array" ref="D2266">IFERROR(ROUNDUP(_xlfn.IFS(F2266="Aluminum Track", _xlfn.XLOOKUP(C2266, dd_accsrycalc!$A$2:$A$51, dd_accsrycalc!$B$2:$B$51, "",0), F2266="10 x 2 1/2 S (Flat)", _xlfn.XLOOKUP(C2266, dd_accsrycalc!$A$2:$A$51, dd_accsrycalc!$C$2:$C$51, "",0), F2266="Tox6", _xlfn.XLOOKUP(C2266, dd_accsrycalc!$A$2:$A$51, dd_accsrycalc!$D$2:$D$51, "",0), F2266="Cover Cap", _xlfn.XLOOKUP(C2266, dd_accsrycalc!$A$2:$A$51, dd_accsrycalc!$E$2:$E$51, "",0), F2266="Drainage Cover", _xlfn.XLOOKUP(C2266, dd_accsrycalc!$A$2:$A$51, dd_accsrycalc!$F$2:$F$51, "",0),AND( F2266="Double Adhesive Tape", I2266="Roll-up Screen"), _xlfn.XLOOKUP(C2266, calc_rusacc!$C$15:$C$65, calc_rusacc!$AD$15:$AD$65, "",0),AND( F2266="Sealant", I2266="Roll-up Screen"), _xlfn.XLOOKUP(C2266, calc_rusacc!$C$15:$C$65, calc_rusacc!$AF$15:$AF$65, "",0),  AND( F2266="Main Chain", I2266="Accordion Screen"), _xlfn.XLOOKUP(C2266, calc_rusacc!$C$15:$C$65, calc_rusacc!$BF$15:$BF$65, "",0), AND( F2266="Sealant", I2266="Accordion Screen"), _xlfn.XLOOKUP(C2266, calc_rusacc!$C$15:$C$65, calc_rusacc!$BJ$15:$BJ$65, "",0),  F2266="Sealant", _xlfn.XLOOKUP(C2266, dd_accsrycalc!$A$2:$A$51, dd_accsrycalc!$G$2:$G$51, "",0),  F2266&lt;&gt;"",L2266*_xlfn.XLOOKUP(1, (SKUs!$C$2:$C$10001=G2266)*(SKUs!$K$2:$K$10001=I2266),SKUs!$E$2:$E$10001)), 0),"")</f>
        <v/>
      </c>
      <c r="E2266" s="35" t="str">
        <f>_xlfn.XLOOKUP(F2266,dd_item!$B$2:$B$105,dd_item!$C$2:$C$105,"",0)</f>
        <v/>
      </c>
      <c r="F2266" s="35"/>
      <c r="G2266" s="35" cm="1">
        <f t="array" ref="G2266">IFERROR(_xlfn.XLOOKUP(1, (SKUs!$J$2:$J$10001=accsry_unmerged!F2266)*IF(H2266&lt;&gt;"",(SKUs!$L$2:$L$10001=accsry_unmerged!H2266),1)*(SKUs!$K$2:$K$10001=I2266),SKUs!$C$2:$C$10001),"")</f>
        <v>0</v>
      </c>
      <c r="H2266" s="36" cm="1">
        <f t="array" ref="H2266">IFERROR(_xlfn.XLOOKUP(1, (dd_accsryclr!$C$2:$C$1000=accsry_unmerged!F2266)*(dd_accsryclr!$B$2:$B$1000=accsry_unmerged!J2266),dd_accsryclr!$A$2:$A$1000),"")</f>
        <v>0</v>
      </c>
      <c r="I2266" s="35">
        <f>_xlfn.XLOOKUP(C2266,'Project Details'!$C$17:$C$66,'Project Details'!$E$17:$E$66,"",0)</f>
        <v>0</v>
      </c>
      <c r="J2266" s="35">
        <f>_xlfn.XLOOKUP(C2266,'Project Details'!$C$17:$C$66,'Project Details'!$H$17:$H$66,"",0)</f>
        <v>0</v>
      </c>
      <c r="K2266" s="36" t="str">
        <f>IF(AND(_xlfn.XLOOKUP(C2266,'Project Details'!$C$17:$C$66,'Project Details'!$L$17:$L$66,"",0)&gt;550, F2266="Spring-L27cm"),"",SUBSTITUTE(_xlfn.XLOOKUP(G2266,SKUs!$C$2:$C$10001,SKUs!$F$2:$F$10001,"",0), " Accessories",""))</f>
        <v/>
      </c>
      <c r="L2266" s="36">
        <f>_xlfn.XLOOKUP(C2266,'Project Details'!$C$17:$C$66,'Project Details'!$D$17:$D$66,"",0)</f>
        <v>0</v>
      </c>
      <c r="M2266" s="43"/>
    </row>
    <row r="2267" spans="1:13" x14ac:dyDescent="0.25">
      <c r="A2267" s="43"/>
      <c r="B2267" s="43"/>
      <c r="C2267" s="16">
        <f t="shared" ref="C2267:C2313" si="44">C2266</f>
        <v>46</v>
      </c>
      <c r="D2267" s="16" t="str" cm="1">
        <f t="array" ref="D2267">IFERROR(ROUNDUP(_xlfn.IFS(F2267="Aluminum Track", _xlfn.XLOOKUP(C2267, dd_accsrycalc!$A$2:$A$51, dd_accsrycalc!$B$2:$B$51, "",0), F2267="10 x 2 1/2 S (Flat)", _xlfn.XLOOKUP(C2267, dd_accsrycalc!$A$2:$A$51, dd_accsrycalc!$C$2:$C$51, "",0), F2267="Tox6", _xlfn.XLOOKUP(C2267, dd_accsrycalc!$A$2:$A$51, dd_accsrycalc!$D$2:$D$51, "",0), F2267="Cover Cap", _xlfn.XLOOKUP(C2267, dd_accsrycalc!$A$2:$A$51, dd_accsrycalc!$E$2:$E$51, "",0), F2267="Drainage Cover", _xlfn.XLOOKUP(C2267, dd_accsrycalc!$A$2:$A$51, dd_accsrycalc!$F$2:$F$51, "",0),AND( F2267="Double Adhesive Tape", I2267="Roll-up Screen"), _xlfn.XLOOKUP(C2267, calc_rusacc!$C$15:$C$65, calc_rusacc!$AD$15:$AD$65, "",0),AND( F2267="Sealant", I2267="Roll-up Screen"), _xlfn.XLOOKUP(C2267, calc_rusacc!$C$15:$C$65, calc_rusacc!$AF$15:$AF$65, "",0),  AND( F2267="Main Chain", I2267="Accordion Screen"), _xlfn.XLOOKUP(C2267, calc_rusacc!$C$15:$C$65, calc_rusacc!$BF$15:$BF$65, "",0), AND( F2267="Sealant", I2267="Accordion Screen"), _xlfn.XLOOKUP(C2267, calc_rusacc!$C$15:$C$65, calc_rusacc!$BJ$15:$BJ$65, "",0),  F2267="Sealant", _xlfn.XLOOKUP(C2267, dd_accsrycalc!$A$2:$A$51, dd_accsrycalc!$G$2:$G$51, "",0),  F2267&lt;&gt;"",L2267*_xlfn.XLOOKUP(1, (SKUs!$C$2:$C$10001=G2267)*(SKUs!$K$2:$K$10001=I2267),SKUs!$E$2:$E$10001)), 0),"")</f>
        <v/>
      </c>
      <c r="E2267" s="16" t="str">
        <f>_xlfn.XLOOKUP(F2267,dd_item!$B$2:$B$105,dd_item!$C$2:$C$105,"",0)</f>
        <v/>
      </c>
      <c r="F2267" s="16"/>
      <c r="G2267" s="16" cm="1">
        <f t="array" ref="G2267">IFERROR(_xlfn.XLOOKUP(1, (SKUs!$J$2:$J$10001=accsry_unmerged!F2267)*IF(H2267&lt;&gt;"",(SKUs!$L$2:$L$10001=accsry_unmerged!H2267),1)*(SKUs!$K$2:$K$10001=I2267),SKUs!$C$2:$C$10001),"")</f>
        <v>0</v>
      </c>
      <c r="H2267" s="33" cm="1">
        <f t="array" ref="H2267">IFERROR(_xlfn.XLOOKUP(1, (dd_accsryclr!$C$2:$C$1000=accsry_unmerged!F2267)*(dd_accsryclr!$B$2:$B$1000=accsry_unmerged!J2267),dd_accsryclr!$A$2:$A$1000),"")</f>
        <v>0</v>
      </c>
      <c r="I2267" s="16">
        <f>_xlfn.XLOOKUP(C2267,'Project Details'!$C$17:$C$66,'Project Details'!$E$17:$E$66,"",0)</f>
        <v>0</v>
      </c>
      <c r="J2267" s="16">
        <f>_xlfn.XLOOKUP(C2267,'Project Details'!$C$17:$C$66,'Project Details'!$H$17:$H$66,"",0)</f>
        <v>0</v>
      </c>
      <c r="K2267" s="33" t="str">
        <f>IF(AND(_xlfn.XLOOKUP(C2267,'Project Details'!$C$17:$C$66,'Project Details'!$L$17:$L$66,"",0)&gt;550, F2267="Spring-L27cm"),"",SUBSTITUTE(_xlfn.XLOOKUP(G2267,SKUs!$C$2:$C$10001,SKUs!$F$2:$F$10001,"",0), " Accessories",""))</f>
        <v/>
      </c>
      <c r="L2267" s="33">
        <f>_xlfn.XLOOKUP(C2267,'Project Details'!$C$17:$C$66,'Project Details'!$D$17:$D$66,"",0)</f>
        <v>0</v>
      </c>
      <c r="M2267" s="43"/>
    </row>
    <row r="2268" spans="1:13" x14ac:dyDescent="0.25">
      <c r="A2268" s="43"/>
      <c r="B2268" s="43"/>
      <c r="C2268" s="35">
        <f t="shared" si="44"/>
        <v>46</v>
      </c>
      <c r="D2268" s="35" t="str" cm="1">
        <f t="array" ref="D2268">IFERROR(ROUNDUP(_xlfn.IFS(F2268="Aluminum Track", _xlfn.XLOOKUP(C2268, dd_accsrycalc!$A$2:$A$51, dd_accsrycalc!$B$2:$B$51, "",0), F2268="10 x 2 1/2 S (Flat)", _xlfn.XLOOKUP(C2268, dd_accsrycalc!$A$2:$A$51, dd_accsrycalc!$C$2:$C$51, "",0), F2268="Tox6", _xlfn.XLOOKUP(C2268, dd_accsrycalc!$A$2:$A$51, dd_accsrycalc!$D$2:$D$51, "",0), F2268="Cover Cap", _xlfn.XLOOKUP(C2268, dd_accsrycalc!$A$2:$A$51, dd_accsrycalc!$E$2:$E$51, "",0), F2268="Drainage Cover", _xlfn.XLOOKUP(C2268, dd_accsrycalc!$A$2:$A$51, dd_accsrycalc!$F$2:$F$51, "",0),AND( F2268="Double Adhesive Tape", I2268="Roll-up Screen"), _xlfn.XLOOKUP(C2268, calc_rusacc!$C$15:$C$65, calc_rusacc!$AD$15:$AD$65, "",0),AND( F2268="Sealant", I2268="Roll-up Screen"), _xlfn.XLOOKUP(C2268, calc_rusacc!$C$15:$C$65, calc_rusacc!$AF$15:$AF$65, "",0),  AND( F2268="Main Chain", I2268="Accordion Screen"), _xlfn.XLOOKUP(C2268, calc_rusacc!$C$15:$C$65, calc_rusacc!$BF$15:$BF$65, "",0), AND( F2268="Sealant", I2268="Accordion Screen"), _xlfn.XLOOKUP(C2268, calc_rusacc!$C$15:$C$65, calc_rusacc!$BJ$15:$BJ$65, "",0),  F2268="Sealant", _xlfn.XLOOKUP(C2268, dd_accsrycalc!$A$2:$A$51, dd_accsrycalc!$G$2:$G$51, "",0),  F2268&lt;&gt;"",L2268*_xlfn.XLOOKUP(1, (SKUs!$C$2:$C$10001=G2268)*(SKUs!$K$2:$K$10001=I2268),SKUs!$E$2:$E$10001)), 0),"")</f>
        <v/>
      </c>
      <c r="E2268" s="35" t="str">
        <f>_xlfn.XLOOKUP(F2268,dd_item!$B$2:$B$105,dd_item!$C$2:$C$105,"",0)</f>
        <v/>
      </c>
      <c r="F2268" s="35"/>
      <c r="G2268" s="35" cm="1">
        <f t="array" ref="G2268">IFERROR(_xlfn.XLOOKUP(1, (SKUs!$J$2:$J$10001=accsry_unmerged!F2268)*IF(H2268&lt;&gt;"",(SKUs!$L$2:$L$10001=accsry_unmerged!H2268),1)*(SKUs!$K$2:$K$10001=I2268),SKUs!$C$2:$C$10001),"")</f>
        <v>0</v>
      </c>
      <c r="H2268" s="36" cm="1">
        <f t="array" ref="H2268">IFERROR(_xlfn.XLOOKUP(1, (dd_accsryclr!$C$2:$C$1000=accsry_unmerged!F2268)*(dd_accsryclr!$B$2:$B$1000=accsry_unmerged!J2268),dd_accsryclr!$A$2:$A$1000),"")</f>
        <v>0</v>
      </c>
      <c r="I2268" s="35">
        <f>_xlfn.XLOOKUP(C2268,'Project Details'!$C$17:$C$66,'Project Details'!$E$17:$E$66,"",0)</f>
        <v>0</v>
      </c>
      <c r="J2268" s="35">
        <f>_xlfn.XLOOKUP(C2268,'Project Details'!$C$17:$C$66,'Project Details'!$H$17:$H$66,"",0)</f>
        <v>0</v>
      </c>
      <c r="K2268" s="36" t="str">
        <f>IF(AND(_xlfn.XLOOKUP(C2268,'Project Details'!$C$17:$C$66,'Project Details'!$L$17:$L$66,"",0)&gt;550, F2268="Spring-L27cm"),"",SUBSTITUTE(_xlfn.XLOOKUP(G2268,SKUs!$C$2:$C$10001,SKUs!$F$2:$F$10001,"",0), " Accessories",""))</f>
        <v/>
      </c>
      <c r="L2268" s="36">
        <f>_xlfn.XLOOKUP(C2268,'Project Details'!$C$17:$C$66,'Project Details'!$D$17:$D$66,"",0)</f>
        <v>0</v>
      </c>
      <c r="M2268" s="43"/>
    </row>
    <row r="2269" spans="1:13" x14ac:dyDescent="0.25">
      <c r="A2269" s="43"/>
      <c r="B2269" s="43"/>
      <c r="C2269" s="16">
        <f t="shared" si="44"/>
        <v>46</v>
      </c>
      <c r="D2269" s="16" t="str" cm="1">
        <f t="array" ref="D2269">IFERROR(ROUNDUP(_xlfn.IFS(F2269="Aluminum Track", _xlfn.XLOOKUP(C2269, dd_accsrycalc!$A$2:$A$51, dd_accsrycalc!$B$2:$B$51, "",0), F2269="10 x 2 1/2 S (Flat)", _xlfn.XLOOKUP(C2269, dd_accsrycalc!$A$2:$A$51, dd_accsrycalc!$C$2:$C$51, "",0), F2269="Tox6", _xlfn.XLOOKUP(C2269, dd_accsrycalc!$A$2:$A$51, dd_accsrycalc!$D$2:$D$51, "",0), F2269="Cover Cap", _xlfn.XLOOKUP(C2269, dd_accsrycalc!$A$2:$A$51, dd_accsrycalc!$E$2:$E$51, "",0), F2269="Drainage Cover", _xlfn.XLOOKUP(C2269, dd_accsrycalc!$A$2:$A$51, dd_accsrycalc!$F$2:$F$51, "",0),AND( F2269="Double Adhesive Tape", I2269="Roll-up Screen"), _xlfn.XLOOKUP(C2269, calc_rusacc!$C$15:$C$65, calc_rusacc!$AD$15:$AD$65, "",0),AND( F2269="Sealant", I2269="Roll-up Screen"), _xlfn.XLOOKUP(C2269, calc_rusacc!$C$15:$C$65, calc_rusacc!$AF$15:$AF$65, "",0),  AND( F2269="Main Chain", I2269="Accordion Screen"), _xlfn.XLOOKUP(C2269, calc_rusacc!$C$15:$C$65, calc_rusacc!$BF$15:$BF$65, "",0), AND( F2269="Sealant", I2269="Accordion Screen"), _xlfn.XLOOKUP(C2269, calc_rusacc!$C$15:$C$65, calc_rusacc!$BJ$15:$BJ$65, "",0),  F2269="Sealant", _xlfn.XLOOKUP(C2269, dd_accsrycalc!$A$2:$A$51, dd_accsrycalc!$G$2:$G$51, "",0),  F2269&lt;&gt;"",L2269*_xlfn.XLOOKUP(1, (SKUs!$C$2:$C$10001=G2269)*(SKUs!$K$2:$K$10001=I2269),SKUs!$E$2:$E$10001)), 0),"")</f>
        <v/>
      </c>
      <c r="E2269" s="16" t="str">
        <f>_xlfn.XLOOKUP(F2269,dd_item!$B$2:$B$105,dd_item!$C$2:$C$105,"",0)</f>
        <v/>
      </c>
      <c r="F2269" s="16"/>
      <c r="G2269" s="16" cm="1">
        <f t="array" ref="G2269">IFERROR(_xlfn.XLOOKUP(1, (SKUs!$J$2:$J$10001=accsry_unmerged!F2269)*IF(H2269&lt;&gt;"",(SKUs!$L$2:$L$10001=accsry_unmerged!H2269),1)*(SKUs!$K$2:$K$10001=I2269),SKUs!$C$2:$C$10001),"")</f>
        <v>0</v>
      </c>
      <c r="H2269" s="33" cm="1">
        <f t="array" ref="H2269">IFERROR(_xlfn.XLOOKUP(1, (dd_accsryclr!$C$2:$C$1000=accsry_unmerged!F2269)*(dd_accsryclr!$B$2:$B$1000=accsry_unmerged!J2269),dd_accsryclr!$A$2:$A$1000),"")</f>
        <v>0</v>
      </c>
      <c r="I2269" s="16">
        <f>_xlfn.XLOOKUP(C2269,'Project Details'!$C$17:$C$66,'Project Details'!$E$17:$E$66,"",0)</f>
        <v>0</v>
      </c>
      <c r="J2269" s="16">
        <f>_xlfn.XLOOKUP(C2269,'Project Details'!$C$17:$C$66,'Project Details'!$H$17:$H$66,"",0)</f>
        <v>0</v>
      </c>
      <c r="K2269" s="33" t="str">
        <f>IF(AND(_xlfn.XLOOKUP(C2269,'Project Details'!$C$17:$C$66,'Project Details'!$L$17:$L$66,"",0)&gt;550, F2269="Spring-L27cm"),"",SUBSTITUTE(_xlfn.XLOOKUP(G2269,SKUs!$C$2:$C$10001,SKUs!$F$2:$F$10001,"",0), " Accessories",""))</f>
        <v/>
      </c>
      <c r="L2269" s="33">
        <f>_xlfn.XLOOKUP(C2269,'Project Details'!$C$17:$C$66,'Project Details'!$D$17:$D$66,"",0)</f>
        <v>0</v>
      </c>
      <c r="M2269" s="43"/>
    </row>
    <row r="2270" spans="1:13" x14ac:dyDescent="0.25">
      <c r="A2270" s="43"/>
      <c r="B2270" s="43"/>
      <c r="C2270" s="35">
        <f t="shared" si="44"/>
        <v>46</v>
      </c>
      <c r="D2270" s="35" t="str" cm="1">
        <f t="array" ref="D2270">IFERROR(ROUNDUP(_xlfn.IFS(F2270="Aluminum Track", _xlfn.XLOOKUP(C2270, dd_accsrycalc!$A$2:$A$51, dd_accsrycalc!$B$2:$B$51, "",0), F2270="10 x 2 1/2 S (Flat)", _xlfn.XLOOKUP(C2270, dd_accsrycalc!$A$2:$A$51, dd_accsrycalc!$C$2:$C$51, "",0), F2270="Tox6", _xlfn.XLOOKUP(C2270, dd_accsrycalc!$A$2:$A$51, dd_accsrycalc!$D$2:$D$51, "",0), F2270="Cover Cap", _xlfn.XLOOKUP(C2270, dd_accsrycalc!$A$2:$A$51, dd_accsrycalc!$E$2:$E$51, "",0), F2270="Drainage Cover", _xlfn.XLOOKUP(C2270, dd_accsrycalc!$A$2:$A$51, dd_accsrycalc!$F$2:$F$51, "",0),AND( F2270="Double Adhesive Tape", I2270="Roll-up Screen"), _xlfn.XLOOKUP(C2270, calc_rusacc!$C$15:$C$65, calc_rusacc!$AD$15:$AD$65, "",0),AND( F2270="Sealant", I2270="Roll-up Screen"), _xlfn.XLOOKUP(C2270, calc_rusacc!$C$15:$C$65, calc_rusacc!$AF$15:$AF$65, "",0),  AND( F2270="Main Chain", I2270="Accordion Screen"), _xlfn.XLOOKUP(C2270, calc_rusacc!$C$15:$C$65, calc_rusacc!$BF$15:$BF$65, "",0), AND( F2270="Sealant", I2270="Accordion Screen"), _xlfn.XLOOKUP(C2270, calc_rusacc!$C$15:$C$65, calc_rusacc!$BJ$15:$BJ$65, "",0),  F2270="Sealant", _xlfn.XLOOKUP(C2270, dd_accsrycalc!$A$2:$A$51, dd_accsrycalc!$G$2:$G$51, "",0),  F2270&lt;&gt;"",L2270*_xlfn.XLOOKUP(1, (SKUs!$C$2:$C$10001=G2270)*(SKUs!$K$2:$K$10001=I2270),SKUs!$E$2:$E$10001)), 0),"")</f>
        <v/>
      </c>
      <c r="E2270" s="35" t="str">
        <f>_xlfn.XLOOKUP(F2270,dd_item!$B$2:$B$105,dd_item!$C$2:$C$105,"",0)</f>
        <v/>
      </c>
      <c r="F2270" s="35"/>
      <c r="G2270" s="35" cm="1">
        <f t="array" ref="G2270">IFERROR(_xlfn.XLOOKUP(1, (SKUs!$J$2:$J$10001=accsry_unmerged!F2270)*IF(H2270&lt;&gt;"",(SKUs!$L$2:$L$10001=accsry_unmerged!H2270),1)*(SKUs!$K$2:$K$10001=I2270),SKUs!$C$2:$C$10001),"")</f>
        <v>0</v>
      </c>
      <c r="H2270" s="36" cm="1">
        <f t="array" ref="H2270">IFERROR(_xlfn.XLOOKUP(1, (dd_accsryclr!$C$2:$C$1000=accsry_unmerged!F2270)*(dd_accsryclr!$B$2:$B$1000=accsry_unmerged!J2270),dd_accsryclr!$A$2:$A$1000),"")</f>
        <v>0</v>
      </c>
      <c r="I2270" s="35">
        <f>_xlfn.XLOOKUP(C2270,'Project Details'!$C$17:$C$66,'Project Details'!$E$17:$E$66,"",0)</f>
        <v>0</v>
      </c>
      <c r="J2270" s="35">
        <f>_xlfn.XLOOKUP(C2270,'Project Details'!$C$17:$C$66,'Project Details'!$H$17:$H$66,"",0)</f>
        <v>0</v>
      </c>
      <c r="K2270" s="36" t="str">
        <f>IF(AND(_xlfn.XLOOKUP(C2270,'Project Details'!$C$17:$C$66,'Project Details'!$L$17:$L$66,"",0)&gt;550, F2270="Spring-L27cm"),"",SUBSTITUTE(_xlfn.XLOOKUP(G2270,SKUs!$C$2:$C$10001,SKUs!$F$2:$F$10001,"",0), " Accessories",""))</f>
        <v/>
      </c>
      <c r="L2270" s="36">
        <f>_xlfn.XLOOKUP(C2270,'Project Details'!$C$17:$C$66,'Project Details'!$D$17:$D$66,"",0)</f>
        <v>0</v>
      </c>
      <c r="M2270" s="43"/>
    </row>
    <row r="2271" spans="1:13" x14ac:dyDescent="0.25">
      <c r="A2271" s="43"/>
      <c r="B2271" s="43"/>
      <c r="C2271" s="16">
        <f t="shared" si="44"/>
        <v>46</v>
      </c>
      <c r="D2271" s="16" t="str" cm="1">
        <f t="array" ref="D2271">IFERROR(ROUNDUP(_xlfn.IFS(F2271="Aluminum Track", _xlfn.XLOOKUP(C2271, dd_accsrycalc!$A$2:$A$51, dd_accsrycalc!$B$2:$B$51, "",0), F2271="10 x 2 1/2 S (Flat)", _xlfn.XLOOKUP(C2271, dd_accsrycalc!$A$2:$A$51, dd_accsrycalc!$C$2:$C$51, "",0), F2271="Tox6", _xlfn.XLOOKUP(C2271, dd_accsrycalc!$A$2:$A$51, dd_accsrycalc!$D$2:$D$51, "",0), F2271="Cover Cap", _xlfn.XLOOKUP(C2271, dd_accsrycalc!$A$2:$A$51, dd_accsrycalc!$E$2:$E$51, "",0), F2271="Drainage Cover", _xlfn.XLOOKUP(C2271, dd_accsrycalc!$A$2:$A$51, dd_accsrycalc!$F$2:$F$51, "",0),AND( F2271="Double Adhesive Tape", I2271="Roll-up Screen"), _xlfn.XLOOKUP(C2271, calc_rusacc!$C$15:$C$65, calc_rusacc!$AD$15:$AD$65, "",0),AND( F2271="Sealant", I2271="Roll-up Screen"), _xlfn.XLOOKUP(C2271, calc_rusacc!$C$15:$C$65, calc_rusacc!$AF$15:$AF$65, "",0),  AND( F2271="Main Chain", I2271="Accordion Screen"), _xlfn.XLOOKUP(C2271, calc_rusacc!$C$15:$C$65, calc_rusacc!$BF$15:$BF$65, "",0), AND( F2271="Sealant", I2271="Accordion Screen"), _xlfn.XLOOKUP(C2271, calc_rusacc!$C$15:$C$65, calc_rusacc!$BJ$15:$BJ$65, "",0),  F2271="Sealant", _xlfn.XLOOKUP(C2271, dd_accsrycalc!$A$2:$A$51, dd_accsrycalc!$G$2:$G$51, "",0),  F2271&lt;&gt;"",L2271*_xlfn.XLOOKUP(1, (SKUs!$C$2:$C$10001=G2271)*(SKUs!$K$2:$K$10001=I2271),SKUs!$E$2:$E$10001)), 0),"")</f>
        <v/>
      </c>
      <c r="E2271" s="16" t="str">
        <f>_xlfn.XLOOKUP(F2271,dd_item!$B$2:$B$105,dd_item!$C$2:$C$105,"",0)</f>
        <v/>
      </c>
      <c r="F2271" s="16"/>
      <c r="G2271" s="16" cm="1">
        <f t="array" ref="G2271">IFERROR(_xlfn.XLOOKUP(1, (SKUs!$J$2:$J$10001=accsry_unmerged!F2271)*IF(H2271&lt;&gt;"",(SKUs!$L$2:$L$10001=accsry_unmerged!H2271),1)*(SKUs!$K$2:$K$10001=I2271),SKUs!$C$2:$C$10001),"")</f>
        <v>0</v>
      </c>
      <c r="H2271" s="33" cm="1">
        <f t="array" ref="H2271">IFERROR(_xlfn.XLOOKUP(1, (dd_accsryclr!$C$2:$C$1000=accsry_unmerged!F2271)*(dd_accsryclr!$B$2:$B$1000=accsry_unmerged!J2271),dd_accsryclr!$A$2:$A$1000),"")</f>
        <v>0</v>
      </c>
      <c r="I2271" s="16">
        <f>_xlfn.XLOOKUP(C2271,'Project Details'!$C$17:$C$66,'Project Details'!$E$17:$E$66,"",0)</f>
        <v>0</v>
      </c>
      <c r="J2271" s="16">
        <f>_xlfn.XLOOKUP(C2271,'Project Details'!$C$17:$C$66,'Project Details'!$H$17:$H$66,"",0)</f>
        <v>0</v>
      </c>
      <c r="K2271" s="33" t="str">
        <f>IF(AND(_xlfn.XLOOKUP(C2271,'Project Details'!$C$17:$C$66,'Project Details'!$L$17:$L$66,"",0)&gt;550, F2271="Spring-L27cm"),"",SUBSTITUTE(_xlfn.XLOOKUP(G2271,SKUs!$C$2:$C$10001,SKUs!$F$2:$F$10001,"",0), " Accessories",""))</f>
        <v/>
      </c>
      <c r="L2271" s="33">
        <f>_xlfn.XLOOKUP(C2271,'Project Details'!$C$17:$C$66,'Project Details'!$D$17:$D$66,"",0)</f>
        <v>0</v>
      </c>
      <c r="M2271" s="43"/>
    </row>
    <row r="2272" spans="1:13" x14ac:dyDescent="0.25">
      <c r="A2272" s="43"/>
      <c r="B2272" s="43"/>
      <c r="C2272" s="35">
        <f t="shared" si="44"/>
        <v>46</v>
      </c>
      <c r="D2272" s="35" t="str" cm="1">
        <f t="array" ref="D2272">IFERROR(ROUNDUP(_xlfn.IFS(F2272="Aluminum Track", _xlfn.XLOOKUP(C2272, dd_accsrycalc!$A$2:$A$51, dd_accsrycalc!$B$2:$B$51, "",0), F2272="10 x 2 1/2 S (Flat)", _xlfn.XLOOKUP(C2272, dd_accsrycalc!$A$2:$A$51, dd_accsrycalc!$C$2:$C$51, "",0), F2272="Tox6", _xlfn.XLOOKUP(C2272, dd_accsrycalc!$A$2:$A$51, dd_accsrycalc!$D$2:$D$51, "",0), F2272="Cover Cap", _xlfn.XLOOKUP(C2272, dd_accsrycalc!$A$2:$A$51, dd_accsrycalc!$E$2:$E$51, "",0), F2272="Drainage Cover", _xlfn.XLOOKUP(C2272, dd_accsrycalc!$A$2:$A$51, dd_accsrycalc!$F$2:$F$51, "",0),AND( F2272="Double Adhesive Tape", I2272="Roll-up Screen"), _xlfn.XLOOKUP(C2272, calc_rusacc!$C$15:$C$65, calc_rusacc!$AD$15:$AD$65, "",0),AND( F2272="Sealant", I2272="Roll-up Screen"), _xlfn.XLOOKUP(C2272, calc_rusacc!$C$15:$C$65, calc_rusacc!$AF$15:$AF$65, "",0),  AND( F2272="Main Chain", I2272="Accordion Screen"), _xlfn.XLOOKUP(C2272, calc_rusacc!$C$15:$C$65, calc_rusacc!$BF$15:$BF$65, "",0), AND( F2272="Sealant", I2272="Accordion Screen"), _xlfn.XLOOKUP(C2272, calc_rusacc!$C$15:$C$65, calc_rusacc!$BJ$15:$BJ$65, "",0),  F2272="Sealant", _xlfn.XLOOKUP(C2272, dd_accsrycalc!$A$2:$A$51, dd_accsrycalc!$G$2:$G$51, "",0),  F2272&lt;&gt;"",L2272*_xlfn.XLOOKUP(1, (SKUs!$C$2:$C$10001=G2272)*(SKUs!$K$2:$K$10001=I2272),SKUs!$E$2:$E$10001)), 0),"")</f>
        <v/>
      </c>
      <c r="E2272" s="35" t="str">
        <f>_xlfn.XLOOKUP(F2272,dd_item!$B$2:$B$105,dd_item!$C$2:$C$105,"",0)</f>
        <v/>
      </c>
      <c r="F2272" s="35"/>
      <c r="G2272" s="35" cm="1">
        <f t="array" ref="G2272">IFERROR(_xlfn.XLOOKUP(1, (SKUs!$J$2:$J$10001=accsry_unmerged!F2272)*IF(H2272&lt;&gt;"",(SKUs!$L$2:$L$10001=accsry_unmerged!H2272),1)*(SKUs!$K$2:$K$10001=I2272),SKUs!$C$2:$C$10001),"")</f>
        <v>0</v>
      </c>
      <c r="H2272" s="36" cm="1">
        <f t="array" ref="H2272">IFERROR(_xlfn.XLOOKUP(1, (dd_accsryclr!$C$2:$C$1000=accsry_unmerged!F2272)*(dd_accsryclr!$B$2:$B$1000=accsry_unmerged!J2272),dd_accsryclr!$A$2:$A$1000),"")</f>
        <v>0</v>
      </c>
      <c r="I2272" s="35">
        <f>_xlfn.XLOOKUP(C2272,'Project Details'!$C$17:$C$66,'Project Details'!$E$17:$E$66,"",0)</f>
        <v>0</v>
      </c>
      <c r="J2272" s="35">
        <f>_xlfn.XLOOKUP(C2272,'Project Details'!$C$17:$C$66,'Project Details'!$H$17:$H$66,"",0)</f>
        <v>0</v>
      </c>
      <c r="K2272" s="36" t="str">
        <f>IF(AND(_xlfn.XLOOKUP(C2272,'Project Details'!$C$17:$C$66,'Project Details'!$L$17:$L$66,"",0)&gt;550, F2272="Spring-L27cm"),"",SUBSTITUTE(_xlfn.XLOOKUP(G2272,SKUs!$C$2:$C$10001,SKUs!$F$2:$F$10001,"",0), " Accessories",""))</f>
        <v/>
      </c>
      <c r="L2272" s="36">
        <f>_xlfn.XLOOKUP(C2272,'Project Details'!$C$17:$C$66,'Project Details'!$D$17:$D$66,"",0)</f>
        <v>0</v>
      </c>
      <c r="M2272" s="43"/>
    </row>
    <row r="2273" spans="1:13" x14ac:dyDescent="0.25">
      <c r="A2273" s="43"/>
      <c r="B2273" s="43"/>
      <c r="C2273" s="16">
        <f t="shared" si="44"/>
        <v>46</v>
      </c>
      <c r="D2273" s="16" t="str" cm="1">
        <f t="array" ref="D2273">IFERROR(ROUNDUP(_xlfn.IFS(F2273="Aluminum Track", _xlfn.XLOOKUP(C2273, dd_accsrycalc!$A$2:$A$51, dd_accsrycalc!$B$2:$B$51, "",0), F2273="10 x 2 1/2 S (Flat)", _xlfn.XLOOKUP(C2273, dd_accsrycalc!$A$2:$A$51, dd_accsrycalc!$C$2:$C$51, "",0), F2273="Tox6", _xlfn.XLOOKUP(C2273, dd_accsrycalc!$A$2:$A$51, dd_accsrycalc!$D$2:$D$51, "",0), F2273="Cover Cap", _xlfn.XLOOKUP(C2273, dd_accsrycalc!$A$2:$A$51, dd_accsrycalc!$E$2:$E$51, "",0), F2273="Drainage Cover", _xlfn.XLOOKUP(C2273, dd_accsrycalc!$A$2:$A$51, dd_accsrycalc!$F$2:$F$51, "",0),AND( F2273="Double Adhesive Tape", I2273="Roll-up Screen"), _xlfn.XLOOKUP(C2273, calc_rusacc!$C$15:$C$65, calc_rusacc!$AD$15:$AD$65, "",0),AND( F2273="Sealant", I2273="Roll-up Screen"), _xlfn.XLOOKUP(C2273, calc_rusacc!$C$15:$C$65, calc_rusacc!$AF$15:$AF$65, "",0),  AND( F2273="Main Chain", I2273="Accordion Screen"), _xlfn.XLOOKUP(C2273, calc_rusacc!$C$15:$C$65, calc_rusacc!$BF$15:$BF$65, "",0), AND( F2273="Sealant", I2273="Accordion Screen"), _xlfn.XLOOKUP(C2273, calc_rusacc!$C$15:$C$65, calc_rusacc!$BJ$15:$BJ$65, "",0),  F2273="Sealant", _xlfn.XLOOKUP(C2273, dd_accsrycalc!$A$2:$A$51, dd_accsrycalc!$G$2:$G$51, "",0),  F2273&lt;&gt;"",L2273*_xlfn.XLOOKUP(1, (SKUs!$C$2:$C$10001=G2273)*(SKUs!$K$2:$K$10001=I2273),SKUs!$E$2:$E$10001)), 0),"")</f>
        <v/>
      </c>
      <c r="E2273" s="16" t="str">
        <f>_xlfn.XLOOKUP(F2273,dd_item!$B$2:$B$105,dd_item!$C$2:$C$105,"",0)</f>
        <v/>
      </c>
      <c r="F2273" s="16"/>
      <c r="G2273" s="16" cm="1">
        <f t="array" ref="G2273">IFERROR(_xlfn.XLOOKUP(1, (SKUs!$J$2:$J$10001=accsry_unmerged!F2273)*IF(H2273&lt;&gt;"",(SKUs!$L$2:$L$10001=accsry_unmerged!H2273),1)*(SKUs!$K$2:$K$10001=I2273),SKUs!$C$2:$C$10001),"")</f>
        <v>0</v>
      </c>
      <c r="H2273" s="33" cm="1">
        <f t="array" ref="H2273">IFERROR(_xlfn.XLOOKUP(1, (dd_accsryclr!$C$2:$C$1000=accsry_unmerged!F2273)*(dd_accsryclr!$B$2:$B$1000=accsry_unmerged!J2273),dd_accsryclr!$A$2:$A$1000),"")</f>
        <v>0</v>
      </c>
      <c r="I2273" s="16">
        <f>_xlfn.XLOOKUP(C2273,'Project Details'!$C$17:$C$66,'Project Details'!$E$17:$E$66,"",0)</f>
        <v>0</v>
      </c>
      <c r="J2273" s="16">
        <f>_xlfn.XLOOKUP(C2273,'Project Details'!$C$17:$C$66,'Project Details'!$H$17:$H$66,"",0)</f>
        <v>0</v>
      </c>
      <c r="K2273" s="33" t="str">
        <f>IF(AND(_xlfn.XLOOKUP(C2273,'Project Details'!$C$17:$C$66,'Project Details'!$L$17:$L$66,"",0)&gt;550, F2273="Spring-L27cm"),"",SUBSTITUTE(_xlfn.XLOOKUP(G2273,SKUs!$C$2:$C$10001,SKUs!$F$2:$F$10001,"",0), " Accessories",""))</f>
        <v/>
      </c>
      <c r="L2273" s="33">
        <f>_xlfn.XLOOKUP(C2273,'Project Details'!$C$17:$C$66,'Project Details'!$D$17:$D$66,"",0)</f>
        <v>0</v>
      </c>
      <c r="M2273" s="43"/>
    </row>
    <row r="2274" spans="1:13" x14ac:dyDescent="0.25">
      <c r="A2274" s="43"/>
      <c r="B2274" s="43"/>
      <c r="C2274" s="35">
        <f t="shared" si="44"/>
        <v>46</v>
      </c>
      <c r="D2274" s="35" t="str" cm="1">
        <f t="array" ref="D2274">IFERROR(ROUNDUP(_xlfn.IFS(F2274="Aluminum Track", _xlfn.XLOOKUP(C2274, dd_accsrycalc!$A$2:$A$51, dd_accsrycalc!$B$2:$B$51, "",0), F2274="10 x 2 1/2 S (Flat)", _xlfn.XLOOKUP(C2274, dd_accsrycalc!$A$2:$A$51, dd_accsrycalc!$C$2:$C$51, "",0), F2274="Tox6", _xlfn.XLOOKUP(C2274, dd_accsrycalc!$A$2:$A$51, dd_accsrycalc!$D$2:$D$51, "",0), F2274="Cover Cap", _xlfn.XLOOKUP(C2274, dd_accsrycalc!$A$2:$A$51, dd_accsrycalc!$E$2:$E$51, "",0), F2274="Drainage Cover", _xlfn.XLOOKUP(C2274, dd_accsrycalc!$A$2:$A$51, dd_accsrycalc!$F$2:$F$51, "",0),AND( F2274="Double Adhesive Tape", I2274="Roll-up Screen"), _xlfn.XLOOKUP(C2274, calc_rusacc!$C$15:$C$65, calc_rusacc!$AD$15:$AD$65, "",0),AND( F2274="Sealant", I2274="Roll-up Screen"), _xlfn.XLOOKUP(C2274, calc_rusacc!$C$15:$C$65, calc_rusacc!$AF$15:$AF$65, "",0),  AND( F2274="Main Chain", I2274="Accordion Screen"), _xlfn.XLOOKUP(C2274, calc_rusacc!$C$15:$C$65, calc_rusacc!$BF$15:$BF$65, "",0), AND( F2274="Sealant", I2274="Accordion Screen"), _xlfn.XLOOKUP(C2274, calc_rusacc!$C$15:$C$65, calc_rusacc!$BJ$15:$BJ$65, "",0),  F2274="Sealant", _xlfn.XLOOKUP(C2274, dd_accsrycalc!$A$2:$A$51, dd_accsrycalc!$G$2:$G$51, "",0),  F2274&lt;&gt;"",L2274*_xlfn.XLOOKUP(1, (SKUs!$C$2:$C$10001=G2274)*(SKUs!$K$2:$K$10001=I2274),SKUs!$E$2:$E$10001)), 0),"")</f>
        <v/>
      </c>
      <c r="E2274" s="35" t="str">
        <f>_xlfn.XLOOKUP(F2274,dd_item!$B$2:$B$105,dd_item!$C$2:$C$105,"",0)</f>
        <v/>
      </c>
      <c r="F2274" s="35"/>
      <c r="G2274" s="35" cm="1">
        <f t="array" ref="G2274">IFERROR(_xlfn.XLOOKUP(1, (SKUs!$J$2:$J$10001=accsry_unmerged!F2274)*IF(H2274&lt;&gt;"",(SKUs!$L$2:$L$10001=accsry_unmerged!H2274),1)*(SKUs!$K$2:$K$10001=I2274),SKUs!$C$2:$C$10001),"")</f>
        <v>0</v>
      </c>
      <c r="H2274" s="36" cm="1">
        <f t="array" ref="H2274">IFERROR(_xlfn.XLOOKUP(1, (dd_accsryclr!$C$2:$C$1000=accsry_unmerged!F2274)*(dd_accsryclr!$B$2:$B$1000=accsry_unmerged!J2274),dd_accsryclr!$A$2:$A$1000),"")</f>
        <v>0</v>
      </c>
      <c r="I2274" s="35">
        <f>_xlfn.XLOOKUP(C2274,'Project Details'!$C$17:$C$66,'Project Details'!$E$17:$E$66,"",0)</f>
        <v>0</v>
      </c>
      <c r="J2274" s="35">
        <f>_xlfn.XLOOKUP(C2274,'Project Details'!$C$17:$C$66,'Project Details'!$H$17:$H$66,"",0)</f>
        <v>0</v>
      </c>
      <c r="K2274" s="36" t="str">
        <f>IF(AND(_xlfn.XLOOKUP(C2274,'Project Details'!$C$17:$C$66,'Project Details'!$L$17:$L$66,"",0)&gt;550, F2274="Spring-L27cm"),"",SUBSTITUTE(_xlfn.XLOOKUP(G2274,SKUs!$C$2:$C$10001,SKUs!$F$2:$F$10001,"",0), " Accessories",""))</f>
        <v/>
      </c>
      <c r="L2274" s="36">
        <f>_xlfn.XLOOKUP(C2274,'Project Details'!$C$17:$C$66,'Project Details'!$D$17:$D$66,"",0)</f>
        <v>0</v>
      </c>
      <c r="M2274" s="43"/>
    </row>
    <row r="2275" spans="1:13" x14ac:dyDescent="0.25">
      <c r="A2275" s="43"/>
      <c r="B2275" s="43"/>
      <c r="C2275" s="16">
        <f t="shared" si="44"/>
        <v>46</v>
      </c>
      <c r="D2275" s="16" t="str" cm="1">
        <f t="array" ref="D2275">IFERROR(ROUNDUP(_xlfn.IFS(F2275="Aluminum Track", _xlfn.XLOOKUP(C2275, dd_accsrycalc!$A$2:$A$51, dd_accsrycalc!$B$2:$B$51, "",0), F2275="10 x 2 1/2 S (Flat)", _xlfn.XLOOKUP(C2275, dd_accsrycalc!$A$2:$A$51, dd_accsrycalc!$C$2:$C$51, "",0), F2275="Tox6", _xlfn.XLOOKUP(C2275, dd_accsrycalc!$A$2:$A$51, dd_accsrycalc!$D$2:$D$51, "",0), F2275="Cover Cap", _xlfn.XLOOKUP(C2275, dd_accsrycalc!$A$2:$A$51, dd_accsrycalc!$E$2:$E$51, "",0), F2275="Drainage Cover", _xlfn.XLOOKUP(C2275, dd_accsrycalc!$A$2:$A$51, dd_accsrycalc!$F$2:$F$51, "",0),AND( F2275="Double Adhesive Tape", I2275="Roll-up Screen"), _xlfn.XLOOKUP(C2275, calc_rusacc!$C$15:$C$65, calc_rusacc!$AD$15:$AD$65, "",0),AND( F2275="Sealant", I2275="Roll-up Screen"), _xlfn.XLOOKUP(C2275, calc_rusacc!$C$15:$C$65, calc_rusacc!$AF$15:$AF$65, "",0),  AND( F2275="Main Chain", I2275="Accordion Screen"), _xlfn.XLOOKUP(C2275, calc_rusacc!$C$15:$C$65, calc_rusacc!$BF$15:$BF$65, "",0), AND( F2275="Sealant", I2275="Accordion Screen"), _xlfn.XLOOKUP(C2275, calc_rusacc!$C$15:$C$65, calc_rusacc!$BJ$15:$BJ$65, "",0),  F2275="Sealant", _xlfn.XLOOKUP(C2275, dd_accsrycalc!$A$2:$A$51, dd_accsrycalc!$G$2:$G$51, "",0),  F2275&lt;&gt;"",L2275*_xlfn.XLOOKUP(1, (SKUs!$C$2:$C$10001=G2275)*(SKUs!$K$2:$K$10001=I2275),SKUs!$E$2:$E$10001)), 0),"")</f>
        <v/>
      </c>
      <c r="E2275" s="16" t="str">
        <f>_xlfn.XLOOKUP(F2275,dd_item!$B$2:$B$105,dd_item!$C$2:$C$105,"",0)</f>
        <v/>
      </c>
      <c r="F2275" s="16"/>
      <c r="G2275" s="16" cm="1">
        <f t="array" ref="G2275">IFERROR(_xlfn.XLOOKUP(1, (SKUs!$J$2:$J$10001=accsry_unmerged!F2275)*IF(H2275&lt;&gt;"",(SKUs!$L$2:$L$10001=accsry_unmerged!H2275),1)*(SKUs!$K$2:$K$10001=I2275),SKUs!$C$2:$C$10001),"")</f>
        <v>0</v>
      </c>
      <c r="H2275" s="33" cm="1">
        <f t="array" ref="H2275">IFERROR(_xlfn.XLOOKUP(1, (dd_accsryclr!$C$2:$C$1000=accsry_unmerged!F2275)*(dd_accsryclr!$B$2:$B$1000=accsry_unmerged!J2275),dd_accsryclr!$A$2:$A$1000),"")</f>
        <v>0</v>
      </c>
      <c r="I2275" s="16">
        <f>_xlfn.XLOOKUP(C2275,'Project Details'!$C$17:$C$66,'Project Details'!$E$17:$E$66,"",0)</f>
        <v>0</v>
      </c>
      <c r="J2275" s="16">
        <f>_xlfn.XLOOKUP(C2275,'Project Details'!$C$17:$C$66,'Project Details'!$H$17:$H$66,"",0)</f>
        <v>0</v>
      </c>
      <c r="K2275" s="33" t="str">
        <f>IF(AND(_xlfn.XLOOKUP(C2275,'Project Details'!$C$17:$C$66,'Project Details'!$L$17:$L$66,"",0)&gt;550, F2275="Spring-L27cm"),"",SUBSTITUTE(_xlfn.XLOOKUP(G2275,SKUs!$C$2:$C$10001,SKUs!$F$2:$F$10001,"",0), " Accessories",""))</f>
        <v/>
      </c>
      <c r="L2275" s="33">
        <f>_xlfn.XLOOKUP(C2275,'Project Details'!$C$17:$C$66,'Project Details'!$D$17:$D$66,"",0)</f>
        <v>0</v>
      </c>
      <c r="M2275" s="43"/>
    </row>
    <row r="2276" spans="1:13" x14ac:dyDescent="0.25">
      <c r="A2276" s="43"/>
      <c r="B2276" s="43"/>
      <c r="C2276" s="35">
        <f t="shared" si="44"/>
        <v>46</v>
      </c>
      <c r="D2276" s="35" t="str" cm="1">
        <f t="array" ref="D2276">IFERROR(ROUNDUP(_xlfn.IFS(F2276="Aluminum Track", _xlfn.XLOOKUP(C2276, dd_accsrycalc!$A$2:$A$51, dd_accsrycalc!$B$2:$B$51, "",0), F2276="10 x 2 1/2 S (Flat)", _xlfn.XLOOKUP(C2276, dd_accsrycalc!$A$2:$A$51, dd_accsrycalc!$C$2:$C$51, "",0), F2276="Tox6", _xlfn.XLOOKUP(C2276, dd_accsrycalc!$A$2:$A$51, dd_accsrycalc!$D$2:$D$51, "",0), F2276="Cover Cap", _xlfn.XLOOKUP(C2276, dd_accsrycalc!$A$2:$A$51, dd_accsrycalc!$E$2:$E$51, "",0), F2276="Drainage Cover", _xlfn.XLOOKUP(C2276, dd_accsrycalc!$A$2:$A$51, dd_accsrycalc!$F$2:$F$51, "",0),AND( F2276="Double Adhesive Tape", I2276="Roll-up Screen"), _xlfn.XLOOKUP(C2276, calc_rusacc!$C$15:$C$65, calc_rusacc!$AD$15:$AD$65, "",0),AND( F2276="Sealant", I2276="Roll-up Screen"), _xlfn.XLOOKUP(C2276, calc_rusacc!$C$15:$C$65, calc_rusacc!$AF$15:$AF$65, "",0),  AND( F2276="Main Chain", I2276="Accordion Screen"), _xlfn.XLOOKUP(C2276, calc_rusacc!$C$15:$C$65, calc_rusacc!$BF$15:$BF$65, "",0), AND( F2276="Sealant", I2276="Accordion Screen"), _xlfn.XLOOKUP(C2276, calc_rusacc!$C$15:$C$65, calc_rusacc!$BJ$15:$BJ$65, "",0),  F2276="Sealant", _xlfn.XLOOKUP(C2276, dd_accsrycalc!$A$2:$A$51, dd_accsrycalc!$G$2:$G$51, "",0),  F2276&lt;&gt;"",L2276*_xlfn.XLOOKUP(1, (SKUs!$C$2:$C$10001=G2276)*(SKUs!$K$2:$K$10001=I2276),SKUs!$E$2:$E$10001)), 0),"")</f>
        <v/>
      </c>
      <c r="E2276" s="35" t="str">
        <f>_xlfn.XLOOKUP(F2276,dd_item!$B$2:$B$105,dd_item!$C$2:$C$105,"",0)</f>
        <v/>
      </c>
      <c r="F2276" s="35"/>
      <c r="G2276" s="35" cm="1">
        <f t="array" ref="G2276">IFERROR(_xlfn.XLOOKUP(1, (SKUs!$J$2:$J$10001=accsry_unmerged!F2276)*IF(H2276&lt;&gt;"",(SKUs!$L$2:$L$10001=accsry_unmerged!H2276),1)*(SKUs!$K$2:$K$10001=I2276),SKUs!$C$2:$C$10001),"")</f>
        <v>0</v>
      </c>
      <c r="H2276" s="36" cm="1">
        <f t="array" ref="H2276">IFERROR(_xlfn.XLOOKUP(1, (dd_accsryclr!$C$2:$C$1000=accsry_unmerged!F2276)*(dd_accsryclr!$B$2:$B$1000=accsry_unmerged!J2276),dd_accsryclr!$A$2:$A$1000),"")</f>
        <v>0</v>
      </c>
      <c r="I2276" s="35">
        <f>_xlfn.XLOOKUP(C2276,'Project Details'!$C$17:$C$66,'Project Details'!$E$17:$E$66,"",0)</f>
        <v>0</v>
      </c>
      <c r="J2276" s="35">
        <f>_xlfn.XLOOKUP(C2276,'Project Details'!$C$17:$C$66,'Project Details'!$H$17:$H$66,"",0)</f>
        <v>0</v>
      </c>
      <c r="K2276" s="36" t="str">
        <f>IF(AND(_xlfn.XLOOKUP(C2276,'Project Details'!$C$17:$C$66,'Project Details'!$L$17:$L$66,"",0)&gt;550, F2276="Spring-L27cm"),"",SUBSTITUTE(_xlfn.XLOOKUP(G2276,SKUs!$C$2:$C$10001,SKUs!$F$2:$F$10001,"",0), " Accessories",""))</f>
        <v/>
      </c>
      <c r="L2276" s="36">
        <f>_xlfn.XLOOKUP(C2276,'Project Details'!$C$17:$C$66,'Project Details'!$D$17:$D$66,"",0)</f>
        <v>0</v>
      </c>
      <c r="M2276" s="43"/>
    </row>
    <row r="2277" spans="1:13" x14ac:dyDescent="0.25">
      <c r="A2277" s="43"/>
      <c r="B2277" s="43"/>
      <c r="C2277" s="16">
        <f t="shared" si="44"/>
        <v>46</v>
      </c>
      <c r="D2277" s="16" t="str" cm="1">
        <f t="array" ref="D2277">IFERROR(ROUNDUP(_xlfn.IFS(F2277="Aluminum Track", _xlfn.XLOOKUP(C2277, dd_accsrycalc!$A$2:$A$51, dd_accsrycalc!$B$2:$B$51, "",0), F2277="10 x 2 1/2 S (Flat)", _xlfn.XLOOKUP(C2277, dd_accsrycalc!$A$2:$A$51, dd_accsrycalc!$C$2:$C$51, "",0), F2277="Tox6", _xlfn.XLOOKUP(C2277, dd_accsrycalc!$A$2:$A$51, dd_accsrycalc!$D$2:$D$51, "",0), F2277="Cover Cap", _xlfn.XLOOKUP(C2277, dd_accsrycalc!$A$2:$A$51, dd_accsrycalc!$E$2:$E$51, "",0), F2277="Drainage Cover", _xlfn.XLOOKUP(C2277, dd_accsrycalc!$A$2:$A$51, dd_accsrycalc!$F$2:$F$51, "",0),AND( F2277="Double Adhesive Tape", I2277="Roll-up Screen"), _xlfn.XLOOKUP(C2277, calc_rusacc!$C$15:$C$65, calc_rusacc!$AD$15:$AD$65, "",0),AND( F2277="Sealant", I2277="Roll-up Screen"), _xlfn.XLOOKUP(C2277, calc_rusacc!$C$15:$C$65, calc_rusacc!$AF$15:$AF$65, "",0),  AND( F2277="Main Chain", I2277="Accordion Screen"), _xlfn.XLOOKUP(C2277, calc_rusacc!$C$15:$C$65, calc_rusacc!$BF$15:$BF$65, "",0), AND( F2277="Sealant", I2277="Accordion Screen"), _xlfn.XLOOKUP(C2277, calc_rusacc!$C$15:$C$65, calc_rusacc!$BJ$15:$BJ$65, "",0),  F2277="Sealant", _xlfn.XLOOKUP(C2277, dd_accsrycalc!$A$2:$A$51, dd_accsrycalc!$G$2:$G$51, "",0),  F2277&lt;&gt;"",L2277*_xlfn.XLOOKUP(1, (SKUs!$C$2:$C$10001=G2277)*(SKUs!$K$2:$K$10001=I2277),SKUs!$E$2:$E$10001)), 0),"")</f>
        <v/>
      </c>
      <c r="E2277" s="16" t="str">
        <f>_xlfn.XLOOKUP(F2277,dd_item!$B$2:$B$105,dd_item!$C$2:$C$105,"",0)</f>
        <v/>
      </c>
      <c r="F2277" s="16"/>
      <c r="G2277" s="16" cm="1">
        <f t="array" ref="G2277">IFERROR(_xlfn.XLOOKUP(1, (SKUs!$J$2:$J$10001=accsry_unmerged!F2277)*IF(H2277&lt;&gt;"",(SKUs!$L$2:$L$10001=accsry_unmerged!H2277),1)*(SKUs!$K$2:$K$10001=I2277),SKUs!$C$2:$C$10001),"")</f>
        <v>0</v>
      </c>
      <c r="H2277" s="33" cm="1">
        <f t="array" ref="H2277">IFERROR(_xlfn.XLOOKUP(1, (dd_accsryclr!$C$2:$C$1000=accsry_unmerged!F2277)*(dd_accsryclr!$B$2:$B$1000=accsry_unmerged!J2277),dd_accsryclr!$A$2:$A$1000),"")</f>
        <v>0</v>
      </c>
      <c r="I2277" s="16">
        <f>_xlfn.XLOOKUP(C2277,'Project Details'!$C$17:$C$66,'Project Details'!$E$17:$E$66,"",0)</f>
        <v>0</v>
      </c>
      <c r="J2277" s="16">
        <f>_xlfn.XLOOKUP(C2277,'Project Details'!$C$17:$C$66,'Project Details'!$H$17:$H$66,"",0)</f>
        <v>0</v>
      </c>
      <c r="K2277" s="33" t="str">
        <f>IF(AND(_xlfn.XLOOKUP(C2277,'Project Details'!$C$17:$C$66,'Project Details'!$L$17:$L$66,"",0)&gt;550, F2277="Spring-L27cm"),"",SUBSTITUTE(_xlfn.XLOOKUP(G2277,SKUs!$C$2:$C$10001,SKUs!$F$2:$F$10001,"",0), " Accessories",""))</f>
        <v/>
      </c>
      <c r="L2277" s="33">
        <f>_xlfn.XLOOKUP(C2277,'Project Details'!$C$17:$C$66,'Project Details'!$D$17:$D$66,"",0)</f>
        <v>0</v>
      </c>
      <c r="M2277" s="43"/>
    </row>
    <row r="2278" spans="1:13" x14ac:dyDescent="0.25">
      <c r="A2278" s="43"/>
      <c r="B2278" s="43"/>
      <c r="C2278" s="35">
        <f t="shared" si="44"/>
        <v>46</v>
      </c>
      <c r="D2278" s="35" t="str" cm="1">
        <f t="array" ref="D2278">IFERROR(ROUNDUP(_xlfn.IFS(F2278="Aluminum Track", _xlfn.XLOOKUP(C2278, dd_accsrycalc!$A$2:$A$51, dd_accsrycalc!$B$2:$B$51, "",0), F2278="10 x 2 1/2 S (Flat)", _xlfn.XLOOKUP(C2278, dd_accsrycalc!$A$2:$A$51, dd_accsrycalc!$C$2:$C$51, "",0), F2278="Tox6", _xlfn.XLOOKUP(C2278, dd_accsrycalc!$A$2:$A$51, dd_accsrycalc!$D$2:$D$51, "",0), F2278="Cover Cap", _xlfn.XLOOKUP(C2278, dd_accsrycalc!$A$2:$A$51, dd_accsrycalc!$E$2:$E$51, "",0), F2278="Drainage Cover", _xlfn.XLOOKUP(C2278, dd_accsrycalc!$A$2:$A$51, dd_accsrycalc!$F$2:$F$51, "",0),AND( F2278="Double Adhesive Tape", I2278="Roll-up Screen"), _xlfn.XLOOKUP(C2278, calc_rusacc!$C$15:$C$65, calc_rusacc!$AD$15:$AD$65, "",0),AND( F2278="Sealant", I2278="Roll-up Screen"), _xlfn.XLOOKUP(C2278, calc_rusacc!$C$15:$C$65, calc_rusacc!$AF$15:$AF$65, "",0),  AND( F2278="Main Chain", I2278="Accordion Screen"), _xlfn.XLOOKUP(C2278, calc_rusacc!$C$15:$C$65, calc_rusacc!$BF$15:$BF$65, "",0), AND( F2278="Sealant", I2278="Accordion Screen"), _xlfn.XLOOKUP(C2278, calc_rusacc!$C$15:$C$65, calc_rusacc!$BJ$15:$BJ$65, "",0),  F2278="Sealant", _xlfn.XLOOKUP(C2278, dd_accsrycalc!$A$2:$A$51, dd_accsrycalc!$G$2:$G$51, "",0),  F2278&lt;&gt;"",L2278*_xlfn.XLOOKUP(1, (SKUs!$C$2:$C$10001=G2278)*(SKUs!$K$2:$K$10001=I2278),SKUs!$E$2:$E$10001)), 0),"")</f>
        <v/>
      </c>
      <c r="E2278" s="35" t="str">
        <f>_xlfn.XLOOKUP(F2278,dd_item!$B$2:$B$105,dd_item!$C$2:$C$105,"",0)</f>
        <v/>
      </c>
      <c r="F2278" s="35"/>
      <c r="G2278" s="35" cm="1">
        <f t="array" ref="G2278">IFERROR(_xlfn.XLOOKUP(1, (SKUs!$J$2:$J$10001=accsry_unmerged!F2278)*IF(H2278&lt;&gt;"",(SKUs!$L$2:$L$10001=accsry_unmerged!H2278),1)*(SKUs!$K$2:$K$10001=I2278),SKUs!$C$2:$C$10001),"")</f>
        <v>0</v>
      </c>
      <c r="H2278" s="36" cm="1">
        <f t="array" ref="H2278">IFERROR(_xlfn.XLOOKUP(1, (dd_accsryclr!$C$2:$C$1000=accsry_unmerged!F2278)*(dd_accsryclr!$B$2:$B$1000=accsry_unmerged!J2278),dd_accsryclr!$A$2:$A$1000),"")</f>
        <v>0</v>
      </c>
      <c r="I2278" s="35">
        <f>_xlfn.XLOOKUP(C2278,'Project Details'!$C$17:$C$66,'Project Details'!$E$17:$E$66,"",0)</f>
        <v>0</v>
      </c>
      <c r="J2278" s="35">
        <f>_xlfn.XLOOKUP(C2278,'Project Details'!$C$17:$C$66,'Project Details'!$H$17:$H$66,"",0)</f>
        <v>0</v>
      </c>
      <c r="K2278" s="36" t="str">
        <f>IF(AND(_xlfn.XLOOKUP(C2278,'Project Details'!$C$17:$C$66,'Project Details'!$L$17:$L$66,"",0)&gt;550, F2278="Spring-L27cm"),"",SUBSTITUTE(_xlfn.XLOOKUP(G2278,SKUs!$C$2:$C$10001,SKUs!$F$2:$F$10001,"",0), " Accessories",""))</f>
        <v/>
      </c>
      <c r="L2278" s="36">
        <f>_xlfn.XLOOKUP(C2278,'Project Details'!$C$17:$C$66,'Project Details'!$D$17:$D$66,"",0)</f>
        <v>0</v>
      </c>
      <c r="M2278" s="43"/>
    </row>
    <row r="2279" spans="1:13" x14ac:dyDescent="0.25">
      <c r="A2279" s="43"/>
      <c r="B2279" s="43"/>
      <c r="C2279" s="16">
        <f t="shared" si="44"/>
        <v>46</v>
      </c>
      <c r="D2279" s="16" t="str" cm="1">
        <f t="array" ref="D2279">IFERROR(ROUNDUP(_xlfn.IFS(F2279="Aluminum Track", _xlfn.XLOOKUP(C2279, dd_accsrycalc!$A$2:$A$51, dd_accsrycalc!$B$2:$B$51, "",0), F2279="10 x 2 1/2 S (Flat)", _xlfn.XLOOKUP(C2279, dd_accsrycalc!$A$2:$A$51, dd_accsrycalc!$C$2:$C$51, "",0), F2279="Tox6", _xlfn.XLOOKUP(C2279, dd_accsrycalc!$A$2:$A$51, dd_accsrycalc!$D$2:$D$51, "",0), F2279="Cover Cap", _xlfn.XLOOKUP(C2279, dd_accsrycalc!$A$2:$A$51, dd_accsrycalc!$E$2:$E$51, "",0), F2279="Drainage Cover", _xlfn.XLOOKUP(C2279, dd_accsrycalc!$A$2:$A$51, dd_accsrycalc!$F$2:$F$51, "",0),AND( F2279="Double Adhesive Tape", I2279="Roll-up Screen"), _xlfn.XLOOKUP(C2279, calc_rusacc!$C$15:$C$65, calc_rusacc!$AD$15:$AD$65, "",0),AND( F2279="Sealant", I2279="Roll-up Screen"), _xlfn.XLOOKUP(C2279, calc_rusacc!$C$15:$C$65, calc_rusacc!$AF$15:$AF$65, "",0),  AND( F2279="Main Chain", I2279="Accordion Screen"), _xlfn.XLOOKUP(C2279, calc_rusacc!$C$15:$C$65, calc_rusacc!$BF$15:$BF$65, "",0), AND( F2279="Sealant", I2279="Accordion Screen"), _xlfn.XLOOKUP(C2279, calc_rusacc!$C$15:$C$65, calc_rusacc!$BJ$15:$BJ$65, "",0),  F2279="Sealant", _xlfn.XLOOKUP(C2279, dd_accsrycalc!$A$2:$A$51, dd_accsrycalc!$G$2:$G$51, "",0),  F2279&lt;&gt;"",L2279*_xlfn.XLOOKUP(1, (SKUs!$C$2:$C$10001=G2279)*(SKUs!$K$2:$K$10001=I2279),SKUs!$E$2:$E$10001)), 0),"")</f>
        <v/>
      </c>
      <c r="E2279" s="16" t="str">
        <f>_xlfn.XLOOKUP(F2279,dd_item!$B$2:$B$105,dd_item!$C$2:$C$105,"",0)</f>
        <v/>
      </c>
      <c r="F2279" s="16"/>
      <c r="G2279" s="16" cm="1">
        <f t="array" ref="G2279">IFERROR(_xlfn.XLOOKUP(1, (SKUs!$J$2:$J$10001=accsry_unmerged!F2279)*IF(H2279&lt;&gt;"",(SKUs!$L$2:$L$10001=accsry_unmerged!H2279),1)*(SKUs!$K$2:$K$10001=I2279),SKUs!$C$2:$C$10001),"")</f>
        <v>0</v>
      </c>
      <c r="H2279" s="33" cm="1">
        <f t="array" ref="H2279">IFERROR(_xlfn.XLOOKUP(1, (dd_accsryclr!$C$2:$C$1000=accsry_unmerged!F2279)*(dd_accsryclr!$B$2:$B$1000=accsry_unmerged!J2279),dd_accsryclr!$A$2:$A$1000),"")</f>
        <v>0</v>
      </c>
      <c r="I2279" s="16">
        <f>_xlfn.XLOOKUP(C2279,'Project Details'!$C$17:$C$66,'Project Details'!$E$17:$E$66,"",0)</f>
        <v>0</v>
      </c>
      <c r="J2279" s="16">
        <f>_xlfn.XLOOKUP(C2279,'Project Details'!$C$17:$C$66,'Project Details'!$H$17:$H$66,"",0)</f>
        <v>0</v>
      </c>
      <c r="K2279" s="33" t="str">
        <f>IF(AND(_xlfn.XLOOKUP(C2279,'Project Details'!$C$17:$C$66,'Project Details'!$L$17:$L$66,"",0)&gt;550, F2279="Spring-L27cm"),"",SUBSTITUTE(_xlfn.XLOOKUP(G2279,SKUs!$C$2:$C$10001,SKUs!$F$2:$F$10001,"",0), " Accessories",""))</f>
        <v/>
      </c>
      <c r="L2279" s="33">
        <f>_xlfn.XLOOKUP(C2279,'Project Details'!$C$17:$C$66,'Project Details'!$D$17:$D$66,"",0)</f>
        <v>0</v>
      </c>
      <c r="M2279" s="43"/>
    </row>
    <row r="2280" spans="1:13" x14ac:dyDescent="0.25">
      <c r="A2280" s="43"/>
      <c r="B2280" s="43"/>
      <c r="C2280" s="35">
        <f t="shared" si="44"/>
        <v>46</v>
      </c>
      <c r="D2280" s="35" t="str" cm="1">
        <f t="array" ref="D2280">IFERROR(ROUNDUP(_xlfn.IFS(F2280="Aluminum Track", _xlfn.XLOOKUP(C2280, dd_accsrycalc!$A$2:$A$51, dd_accsrycalc!$B$2:$B$51, "",0), F2280="10 x 2 1/2 S (Flat)", _xlfn.XLOOKUP(C2280, dd_accsrycalc!$A$2:$A$51, dd_accsrycalc!$C$2:$C$51, "",0), F2280="Tox6", _xlfn.XLOOKUP(C2280, dd_accsrycalc!$A$2:$A$51, dd_accsrycalc!$D$2:$D$51, "",0), F2280="Cover Cap", _xlfn.XLOOKUP(C2280, dd_accsrycalc!$A$2:$A$51, dd_accsrycalc!$E$2:$E$51, "",0), F2280="Drainage Cover", _xlfn.XLOOKUP(C2280, dd_accsrycalc!$A$2:$A$51, dd_accsrycalc!$F$2:$F$51, "",0),AND( F2280="Double Adhesive Tape", I2280="Roll-up Screen"), _xlfn.XLOOKUP(C2280, calc_rusacc!$C$15:$C$65, calc_rusacc!$AD$15:$AD$65, "",0),AND( F2280="Sealant", I2280="Roll-up Screen"), _xlfn.XLOOKUP(C2280, calc_rusacc!$C$15:$C$65, calc_rusacc!$AF$15:$AF$65, "",0),  AND( F2280="Main Chain", I2280="Accordion Screen"), _xlfn.XLOOKUP(C2280, calc_rusacc!$C$15:$C$65, calc_rusacc!$BF$15:$BF$65, "",0), AND( F2280="Sealant", I2280="Accordion Screen"), _xlfn.XLOOKUP(C2280, calc_rusacc!$C$15:$C$65, calc_rusacc!$BJ$15:$BJ$65, "",0),  F2280="Sealant", _xlfn.XLOOKUP(C2280, dd_accsrycalc!$A$2:$A$51, dd_accsrycalc!$G$2:$G$51, "",0),  F2280&lt;&gt;"",L2280*_xlfn.XLOOKUP(1, (SKUs!$C$2:$C$10001=G2280)*(SKUs!$K$2:$K$10001=I2280),SKUs!$E$2:$E$10001)), 0),"")</f>
        <v/>
      </c>
      <c r="E2280" s="35" t="str">
        <f>_xlfn.XLOOKUP(F2280,dd_item!$B$2:$B$105,dd_item!$C$2:$C$105,"",0)</f>
        <v/>
      </c>
      <c r="F2280" s="35"/>
      <c r="G2280" s="35" cm="1">
        <f t="array" ref="G2280">IFERROR(_xlfn.XLOOKUP(1, (SKUs!$J$2:$J$10001=accsry_unmerged!F2280)*IF(H2280&lt;&gt;"",(SKUs!$L$2:$L$10001=accsry_unmerged!H2280),1)*(SKUs!$K$2:$K$10001=I2280),SKUs!$C$2:$C$10001),"")</f>
        <v>0</v>
      </c>
      <c r="H2280" s="36" cm="1">
        <f t="array" ref="H2280">IFERROR(_xlfn.XLOOKUP(1, (dd_accsryclr!$C$2:$C$1000=accsry_unmerged!F2280)*(dd_accsryclr!$B$2:$B$1000=accsry_unmerged!J2280),dd_accsryclr!$A$2:$A$1000),"")</f>
        <v>0</v>
      </c>
      <c r="I2280" s="35">
        <f>_xlfn.XLOOKUP(C2280,'Project Details'!$C$17:$C$66,'Project Details'!$E$17:$E$66,"",0)</f>
        <v>0</v>
      </c>
      <c r="J2280" s="35">
        <f>_xlfn.XLOOKUP(C2280,'Project Details'!$C$17:$C$66,'Project Details'!$H$17:$H$66,"",0)</f>
        <v>0</v>
      </c>
      <c r="K2280" s="36" t="str">
        <f>IF(AND(_xlfn.XLOOKUP(C2280,'Project Details'!$C$17:$C$66,'Project Details'!$L$17:$L$66,"",0)&gt;550, F2280="Spring-L27cm"),"",SUBSTITUTE(_xlfn.XLOOKUP(G2280,SKUs!$C$2:$C$10001,SKUs!$F$2:$F$10001,"",0), " Accessories",""))</f>
        <v/>
      </c>
      <c r="L2280" s="36">
        <f>_xlfn.XLOOKUP(C2280,'Project Details'!$C$17:$C$66,'Project Details'!$D$17:$D$66,"",0)</f>
        <v>0</v>
      </c>
      <c r="M2280" s="43"/>
    </row>
    <row r="2281" spans="1:13" x14ac:dyDescent="0.25">
      <c r="A2281" s="43"/>
      <c r="B2281" s="43"/>
      <c r="C2281" s="16">
        <f t="shared" si="44"/>
        <v>46</v>
      </c>
      <c r="D2281" s="16" t="str" cm="1">
        <f t="array" ref="D2281">IFERROR(ROUNDUP(_xlfn.IFS(F2281="Aluminum Track", _xlfn.XLOOKUP(C2281, dd_accsrycalc!$A$2:$A$51, dd_accsrycalc!$B$2:$B$51, "",0), F2281="10 x 2 1/2 S (Flat)", _xlfn.XLOOKUP(C2281, dd_accsrycalc!$A$2:$A$51, dd_accsrycalc!$C$2:$C$51, "",0), F2281="Tox6", _xlfn.XLOOKUP(C2281, dd_accsrycalc!$A$2:$A$51, dd_accsrycalc!$D$2:$D$51, "",0), F2281="Cover Cap", _xlfn.XLOOKUP(C2281, dd_accsrycalc!$A$2:$A$51, dd_accsrycalc!$E$2:$E$51, "",0), F2281="Drainage Cover", _xlfn.XLOOKUP(C2281, dd_accsrycalc!$A$2:$A$51, dd_accsrycalc!$F$2:$F$51, "",0),AND( F2281="Double Adhesive Tape", I2281="Roll-up Screen"), _xlfn.XLOOKUP(C2281, calc_rusacc!$C$15:$C$65, calc_rusacc!$AD$15:$AD$65, "",0),AND( F2281="Sealant", I2281="Roll-up Screen"), _xlfn.XLOOKUP(C2281, calc_rusacc!$C$15:$C$65, calc_rusacc!$AF$15:$AF$65, "",0),  AND( F2281="Main Chain", I2281="Accordion Screen"), _xlfn.XLOOKUP(C2281, calc_rusacc!$C$15:$C$65, calc_rusacc!$BF$15:$BF$65, "",0), AND( F2281="Sealant", I2281="Accordion Screen"), _xlfn.XLOOKUP(C2281, calc_rusacc!$C$15:$C$65, calc_rusacc!$BJ$15:$BJ$65, "",0),  F2281="Sealant", _xlfn.XLOOKUP(C2281, dd_accsrycalc!$A$2:$A$51, dd_accsrycalc!$G$2:$G$51, "",0),  F2281&lt;&gt;"",L2281*_xlfn.XLOOKUP(1, (SKUs!$C$2:$C$10001=G2281)*(SKUs!$K$2:$K$10001=I2281),SKUs!$E$2:$E$10001)), 0),"")</f>
        <v/>
      </c>
      <c r="E2281" s="16" t="str">
        <f>_xlfn.XLOOKUP(F2281,dd_item!$B$2:$B$105,dd_item!$C$2:$C$105,"",0)</f>
        <v/>
      </c>
      <c r="F2281" s="16"/>
      <c r="G2281" s="16" cm="1">
        <f t="array" ref="G2281">IFERROR(_xlfn.XLOOKUP(1, (SKUs!$J$2:$J$10001=accsry_unmerged!F2281)*IF(H2281&lt;&gt;"",(SKUs!$L$2:$L$10001=accsry_unmerged!H2281),1)*(SKUs!$K$2:$K$10001=I2281),SKUs!$C$2:$C$10001),"")</f>
        <v>0</v>
      </c>
      <c r="H2281" s="33" cm="1">
        <f t="array" ref="H2281">IFERROR(_xlfn.XLOOKUP(1, (dd_accsryclr!$C$2:$C$1000=accsry_unmerged!F2281)*(dd_accsryclr!$B$2:$B$1000=accsry_unmerged!J2281),dd_accsryclr!$A$2:$A$1000),"")</f>
        <v>0</v>
      </c>
      <c r="I2281" s="16">
        <f>_xlfn.XLOOKUP(C2281,'Project Details'!$C$17:$C$66,'Project Details'!$E$17:$E$66,"",0)</f>
        <v>0</v>
      </c>
      <c r="J2281" s="16">
        <f>_xlfn.XLOOKUP(C2281,'Project Details'!$C$17:$C$66,'Project Details'!$H$17:$H$66,"",0)</f>
        <v>0</v>
      </c>
      <c r="K2281" s="33" t="str">
        <f>IF(AND(_xlfn.XLOOKUP(C2281,'Project Details'!$C$17:$C$66,'Project Details'!$L$17:$L$66,"",0)&gt;550, F2281="Spring-L27cm"),"",SUBSTITUTE(_xlfn.XLOOKUP(G2281,SKUs!$C$2:$C$10001,SKUs!$F$2:$F$10001,"",0), " Accessories",""))</f>
        <v/>
      </c>
      <c r="L2281" s="33">
        <f>_xlfn.XLOOKUP(C2281,'Project Details'!$C$17:$C$66,'Project Details'!$D$17:$D$66,"",0)</f>
        <v>0</v>
      </c>
      <c r="M2281" s="43"/>
    </row>
    <row r="2282" spans="1:13" x14ac:dyDescent="0.25">
      <c r="A2282" s="43"/>
      <c r="B2282" s="43"/>
      <c r="C2282" s="35">
        <f t="shared" si="44"/>
        <v>46</v>
      </c>
      <c r="D2282" s="35" t="str" cm="1">
        <f t="array" ref="D2282">IFERROR(ROUNDUP(_xlfn.IFS(F2282="Aluminum Track", _xlfn.XLOOKUP(C2282, dd_accsrycalc!$A$2:$A$51, dd_accsrycalc!$B$2:$B$51, "",0), F2282="10 x 2 1/2 S (Flat)", _xlfn.XLOOKUP(C2282, dd_accsrycalc!$A$2:$A$51, dd_accsrycalc!$C$2:$C$51, "",0), F2282="Tox6", _xlfn.XLOOKUP(C2282, dd_accsrycalc!$A$2:$A$51, dd_accsrycalc!$D$2:$D$51, "",0), F2282="Cover Cap", _xlfn.XLOOKUP(C2282, dd_accsrycalc!$A$2:$A$51, dd_accsrycalc!$E$2:$E$51, "",0), F2282="Drainage Cover", _xlfn.XLOOKUP(C2282, dd_accsrycalc!$A$2:$A$51, dd_accsrycalc!$F$2:$F$51, "",0),AND( F2282="Double Adhesive Tape", I2282="Roll-up Screen"), _xlfn.XLOOKUP(C2282, calc_rusacc!$C$15:$C$65, calc_rusacc!$AD$15:$AD$65, "",0),AND( F2282="Sealant", I2282="Roll-up Screen"), _xlfn.XLOOKUP(C2282, calc_rusacc!$C$15:$C$65, calc_rusacc!$AF$15:$AF$65, "",0),  AND( F2282="Main Chain", I2282="Accordion Screen"), _xlfn.XLOOKUP(C2282, calc_rusacc!$C$15:$C$65, calc_rusacc!$BF$15:$BF$65, "",0), AND( F2282="Sealant", I2282="Accordion Screen"), _xlfn.XLOOKUP(C2282, calc_rusacc!$C$15:$C$65, calc_rusacc!$BJ$15:$BJ$65, "",0),  F2282="Sealant", _xlfn.XLOOKUP(C2282, dd_accsrycalc!$A$2:$A$51, dd_accsrycalc!$G$2:$G$51, "",0),  F2282&lt;&gt;"",L2282*_xlfn.XLOOKUP(1, (SKUs!$C$2:$C$10001=G2282)*(SKUs!$K$2:$K$10001=I2282),SKUs!$E$2:$E$10001)), 0),"")</f>
        <v/>
      </c>
      <c r="E2282" s="35" t="str">
        <f>_xlfn.XLOOKUP(F2282,dd_item!$B$2:$B$105,dd_item!$C$2:$C$105,"",0)</f>
        <v/>
      </c>
      <c r="F2282" s="35"/>
      <c r="G2282" s="35" cm="1">
        <f t="array" ref="G2282">IFERROR(_xlfn.XLOOKUP(1, (SKUs!$J$2:$J$10001=accsry_unmerged!F2282)*IF(H2282&lt;&gt;"",(SKUs!$L$2:$L$10001=accsry_unmerged!H2282),1)*(SKUs!$K$2:$K$10001=I2282),SKUs!$C$2:$C$10001),"")</f>
        <v>0</v>
      </c>
      <c r="H2282" s="36" cm="1">
        <f t="array" ref="H2282">IFERROR(_xlfn.XLOOKUP(1, (dd_accsryclr!$C$2:$C$1000=accsry_unmerged!F2282)*(dd_accsryclr!$B$2:$B$1000=accsry_unmerged!J2282),dd_accsryclr!$A$2:$A$1000),"")</f>
        <v>0</v>
      </c>
      <c r="I2282" s="35">
        <f>_xlfn.XLOOKUP(C2282,'Project Details'!$C$17:$C$66,'Project Details'!$E$17:$E$66,"",0)</f>
        <v>0</v>
      </c>
      <c r="J2282" s="35">
        <f>_xlfn.XLOOKUP(C2282,'Project Details'!$C$17:$C$66,'Project Details'!$H$17:$H$66,"",0)</f>
        <v>0</v>
      </c>
      <c r="K2282" s="36" t="str">
        <f>IF(AND(_xlfn.XLOOKUP(C2282,'Project Details'!$C$17:$C$66,'Project Details'!$L$17:$L$66,"",0)&gt;550, F2282="Spring-L27cm"),"",SUBSTITUTE(_xlfn.XLOOKUP(G2282,SKUs!$C$2:$C$10001,SKUs!$F$2:$F$10001,"",0), " Accessories",""))</f>
        <v/>
      </c>
      <c r="L2282" s="36">
        <f>_xlfn.XLOOKUP(C2282,'Project Details'!$C$17:$C$66,'Project Details'!$D$17:$D$66,"",0)</f>
        <v>0</v>
      </c>
      <c r="M2282" s="43"/>
    </row>
    <row r="2283" spans="1:13" x14ac:dyDescent="0.25">
      <c r="A2283" s="43"/>
      <c r="B2283" s="43"/>
      <c r="C2283" s="16">
        <f t="shared" si="44"/>
        <v>46</v>
      </c>
      <c r="D2283" s="16" t="str" cm="1">
        <f t="array" ref="D2283">IFERROR(ROUNDUP(_xlfn.IFS(F2283="Aluminum Track", _xlfn.XLOOKUP(C2283, dd_accsrycalc!$A$2:$A$51, dd_accsrycalc!$B$2:$B$51, "",0), F2283="10 x 2 1/2 S (Flat)", _xlfn.XLOOKUP(C2283, dd_accsrycalc!$A$2:$A$51, dd_accsrycalc!$C$2:$C$51, "",0), F2283="Tox6", _xlfn.XLOOKUP(C2283, dd_accsrycalc!$A$2:$A$51, dd_accsrycalc!$D$2:$D$51, "",0), F2283="Cover Cap", _xlfn.XLOOKUP(C2283, dd_accsrycalc!$A$2:$A$51, dd_accsrycalc!$E$2:$E$51, "",0), F2283="Drainage Cover", _xlfn.XLOOKUP(C2283, dd_accsrycalc!$A$2:$A$51, dd_accsrycalc!$F$2:$F$51, "",0),AND( F2283="Double Adhesive Tape", I2283="Roll-up Screen"), _xlfn.XLOOKUP(C2283, calc_rusacc!$C$15:$C$65, calc_rusacc!$AD$15:$AD$65, "",0),AND( F2283="Sealant", I2283="Roll-up Screen"), _xlfn.XLOOKUP(C2283, calc_rusacc!$C$15:$C$65, calc_rusacc!$AF$15:$AF$65, "",0),  AND( F2283="Main Chain", I2283="Accordion Screen"), _xlfn.XLOOKUP(C2283, calc_rusacc!$C$15:$C$65, calc_rusacc!$BF$15:$BF$65, "",0), AND( F2283="Sealant", I2283="Accordion Screen"), _xlfn.XLOOKUP(C2283, calc_rusacc!$C$15:$C$65, calc_rusacc!$BJ$15:$BJ$65, "",0),  F2283="Sealant", _xlfn.XLOOKUP(C2283, dd_accsrycalc!$A$2:$A$51, dd_accsrycalc!$G$2:$G$51, "",0),  F2283&lt;&gt;"",L2283*_xlfn.XLOOKUP(1, (SKUs!$C$2:$C$10001=G2283)*(SKUs!$K$2:$K$10001=I2283),SKUs!$E$2:$E$10001)), 0),"")</f>
        <v/>
      </c>
      <c r="E2283" s="16" t="str">
        <f>_xlfn.XLOOKUP(F2283,dd_item!$B$2:$B$105,dd_item!$C$2:$C$105,"",0)</f>
        <v/>
      </c>
      <c r="F2283" s="16"/>
      <c r="G2283" s="16" cm="1">
        <f t="array" ref="G2283">IFERROR(_xlfn.XLOOKUP(1, (SKUs!$J$2:$J$10001=accsry_unmerged!F2283)*IF(H2283&lt;&gt;"",(SKUs!$L$2:$L$10001=accsry_unmerged!H2283),1)*(SKUs!$K$2:$K$10001=I2283),SKUs!$C$2:$C$10001),"")</f>
        <v>0</v>
      </c>
      <c r="H2283" s="33" cm="1">
        <f t="array" ref="H2283">IFERROR(_xlfn.XLOOKUP(1, (dd_accsryclr!$C$2:$C$1000=accsry_unmerged!F2283)*(dd_accsryclr!$B$2:$B$1000=accsry_unmerged!J2283),dd_accsryclr!$A$2:$A$1000),"")</f>
        <v>0</v>
      </c>
      <c r="I2283" s="16">
        <f>_xlfn.XLOOKUP(C2283,'Project Details'!$C$17:$C$66,'Project Details'!$E$17:$E$66,"",0)</f>
        <v>0</v>
      </c>
      <c r="J2283" s="16">
        <f>_xlfn.XLOOKUP(C2283,'Project Details'!$C$17:$C$66,'Project Details'!$H$17:$H$66,"",0)</f>
        <v>0</v>
      </c>
      <c r="K2283" s="33" t="str">
        <f>IF(AND(_xlfn.XLOOKUP(C2283,'Project Details'!$C$17:$C$66,'Project Details'!$L$17:$L$66,"",0)&gt;550, F2283="Spring-L27cm"),"",SUBSTITUTE(_xlfn.XLOOKUP(G2283,SKUs!$C$2:$C$10001,SKUs!$F$2:$F$10001,"",0), " Accessories",""))</f>
        <v/>
      </c>
      <c r="L2283" s="33">
        <f>_xlfn.XLOOKUP(C2283,'Project Details'!$C$17:$C$66,'Project Details'!$D$17:$D$66,"",0)</f>
        <v>0</v>
      </c>
      <c r="M2283" s="43"/>
    </row>
    <row r="2284" spans="1:13" ht="13.5" customHeight="1" x14ac:dyDescent="0.25">
      <c r="A2284" s="43"/>
      <c r="B2284" s="43"/>
      <c r="C2284" s="35">
        <f t="shared" si="44"/>
        <v>46</v>
      </c>
      <c r="D2284" s="35" t="str" cm="1">
        <f t="array" ref="D2284">IFERROR(ROUNDUP(_xlfn.IFS(F2284="Aluminum Track", _xlfn.XLOOKUP(C2284, dd_accsrycalc!$A$2:$A$51, dd_accsrycalc!$B$2:$B$51, "",0), F2284="10 x 2 1/2 S (Flat)", _xlfn.XLOOKUP(C2284, dd_accsrycalc!$A$2:$A$51, dd_accsrycalc!$C$2:$C$51, "",0), F2284="Tox6", _xlfn.XLOOKUP(C2284, dd_accsrycalc!$A$2:$A$51, dd_accsrycalc!$D$2:$D$51, "",0), F2284="Cover Cap", _xlfn.XLOOKUP(C2284, dd_accsrycalc!$A$2:$A$51, dd_accsrycalc!$E$2:$E$51, "",0), F2284="Drainage Cover", _xlfn.XLOOKUP(C2284, dd_accsrycalc!$A$2:$A$51, dd_accsrycalc!$F$2:$F$51, "",0),AND( F2284="Double Adhesive Tape", I2284="Roll-up Screen"), _xlfn.XLOOKUP(C2284, calc_rusacc!$C$15:$C$65, calc_rusacc!$AD$15:$AD$65, "",0),AND( F2284="Sealant", I2284="Roll-up Screen"), _xlfn.XLOOKUP(C2284, calc_rusacc!$C$15:$C$65, calc_rusacc!$AF$15:$AF$65, "",0),  AND( F2284="Main Chain", I2284="Accordion Screen"), _xlfn.XLOOKUP(C2284, calc_rusacc!$C$15:$C$65, calc_rusacc!$BF$15:$BF$65, "",0), AND( F2284="Sealant", I2284="Accordion Screen"), _xlfn.XLOOKUP(C2284, calc_rusacc!$C$15:$C$65, calc_rusacc!$BJ$15:$BJ$65, "",0),  F2284="Sealant", _xlfn.XLOOKUP(C2284, dd_accsrycalc!$A$2:$A$51, dd_accsrycalc!$G$2:$G$51, "",0),  F2284&lt;&gt;"",L2284*_xlfn.XLOOKUP(1, (SKUs!$C$2:$C$10001=G2284)*(SKUs!$K$2:$K$10001=I2284),SKUs!$E$2:$E$10001)), 0),"")</f>
        <v/>
      </c>
      <c r="E2284" s="35" t="str">
        <f>_xlfn.XLOOKUP(F2284,dd_item!$B$2:$B$105,dd_item!$C$2:$C$105,"",0)</f>
        <v/>
      </c>
      <c r="F2284" s="35"/>
      <c r="G2284" s="35" cm="1">
        <f t="array" ref="G2284">IFERROR(_xlfn.XLOOKUP(1, (SKUs!$J$2:$J$10001=accsry_unmerged!F2284)*IF(H2284&lt;&gt;"",(SKUs!$L$2:$L$10001=accsry_unmerged!H2284),1)*(SKUs!$K$2:$K$10001=I2284),SKUs!$C$2:$C$10001),"")</f>
        <v>0</v>
      </c>
      <c r="H2284" s="36" cm="1">
        <f t="array" ref="H2284">IFERROR(_xlfn.XLOOKUP(1, (dd_accsryclr!$C$2:$C$1000=accsry_unmerged!F2284)*(dd_accsryclr!$B$2:$B$1000=accsry_unmerged!J2284),dd_accsryclr!$A$2:$A$1000),"")</f>
        <v>0</v>
      </c>
      <c r="I2284" s="35">
        <f>_xlfn.XLOOKUP(C2284,'Project Details'!$C$17:$C$66,'Project Details'!$E$17:$E$66,"",0)</f>
        <v>0</v>
      </c>
      <c r="J2284" s="35">
        <f>_xlfn.XLOOKUP(C2284,'Project Details'!$C$17:$C$66,'Project Details'!$H$17:$H$66,"",0)</f>
        <v>0</v>
      </c>
      <c r="K2284" s="36" t="str">
        <f>IF(AND(_xlfn.XLOOKUP(C2284,'Project Details'!$C$17:$C$66,'Project Details'!$L$17:$L$66,"",0)&gt;550, F2284="Spring-L27cm"),"",SUBSTITUTE(_xlfn.XLOOKUP(G2284,SKUs!$C$2:$C$10001,SKUs!$F$2:$F$10001,"",0), " Accessories",""))</f>
        <v/>
      </c>
      <c r="L2284" s="36">
        <f>_xlfn.XLOOKUP(C2284,'Project Details'!$C$17:$C$66,'Project Details'!$D$17:$D$66,"",0)</f>
        <v>0</v>
      </c>
      <c r="M2284" s="43"/>
    </row>
    <row r="2285" spans="1:13" ht="13.5" customHeight="1" x14ac:dyDescent="0.25">
      <c r="A2285" s="43"/>
      <c r="B2285" s="43"/>
      <c r="C2285" s="16">
        <f t="shared" si="44"/>
        <v>46</v>
      </c>
      <c r="D2285" s="16" t="str" cm="1">
        <f t="array" ref="D2285">IFERROR(ROUNDUP(_xlfn.IFS(F2285="Aluminum Track", _xlfn.XLOOKUP(C2285, dd_accsrycalc!$A$2:$A$51, dd_accsrycalc!$B$2:$B$51, "",0), F2285="10 x 2 1/2 S (Flat)", _xlfn.XLOOKUP(C2285, dd_accsrycalc!$A$2:$A$51, dd_accsrycalc!$C$2:$C$51, "",0), F2285="Tox6", _xlfn.XLOOKUP(C2285, dd_accsrycalc!$A$2:$A$51, dd_accsrycalc!$D$2:$D$51, "",0), F2285="Cover Cap", _xlfn.XLOOKUP(C2285, dd_accsrycalc!$A$2:$A$51, dd_accsrycalc!$E$2:$E$51, "",0), F2285="Drainage Cover", _xlfn.XLOOKUP(C2285, dd_accsrycalc!$A$2:$A$51, dd_accsrycalc!$F$2:$F$51, "",0),AND( F2285="Double Adhesive Tape", I2285="Roll-up Screen"), _xlfn.XLOOKUP(C2285, calc_rusacc!$C$15:$C$65, calc_rusacc!$AD$15:$AD$65, "",0),AND( F2285="Sealant", I2285="Roll-up Screen"), _xlfn.XLOOKUP(C2285, calc_rusacc!$C$15:$C$65, calc_rusacc!$AF$15:$AF$65, "",0),  AND( F2285="Main Chain", I2285="Accordion Screen"), _xlfn.XLOOKUP(C2285, calc_rusacc!$C$15:$C$65, calc_rusacc!$BF$15:$BF$65, "",0), AND( F2285="Sealant", I2285="Accordion Screen"), _xlfn.XLOOKUP(C2285, calc_rusacc!$C$15:$C$65, calc_rusacc!$BJ$15:$BJ$65, "",0),  F2285="Sealant", _xlfn.XLOOKUP(C2285, dd_accsrycalc!$A$2:$A$51, dd_accsrycalc!$G$2:$G$51, "",0),  F2285&lt;&gt;"",L2285*_xlfn.XLOOKUP(1, (SKUs!$C$2:$C$10001=G2285)*(SKUs!$K$2:$K$10001=I2285),SKUs!$E$2:$E$10001)), 0),"")</f>
        <v/>
      </c>
      <c r="E2285" s="16" t="str">
        <f>_xlfn.XLOOKUP(F2285,dd_item!$B$2:$B$105,dd_item!$C$2:$C$105,"",0)</f>
        <v/>
      </c>
      <c r="F2285" s="16"/>
      <c r="G2285" s="16" cm="1">
        <f t="array" ref="G2285">IFERROR(_xlfn.XLOOKUP(1, (SKUs!$J$2:$J$10001=accsry_unmerged!F2285)*IF(H2285&lt;&gt;"",(SKUs!$L$2:$L$10001=accsry_unmerged!H2285),1)*(SKUs!$K$2:$K$10001=I2285),SKUs!$C$2:$C$10001),"")</f>
        <v>0</v>
      </c>
      <c r="H2285" s="33" cm="1">
        <f t="array" ref="H2285">IFERROR(_xlfn.XLOOKUP(1, (dd_accsryclr!$C$2:$C$1000=accsry_unmerged!F2285)*(dd_accsryclr!$B$2:$B$1000=accsry_unmerged!J2285),dd_accsryclr!$A$2:$A$1000),"")</f>
        <v>0</v>
      </c>
      <c r="I2285" s="16">
        <f>_xlfn.XLOOKUP(C2285,'Project Details'!$C$17:$C$66,'Project Details'!$E$17:$E$66,"",0)</f>
        <v>0</v>
      </c>
      <c r="J2285" s="16">
        <f>_xlfn.XLOOKUP(C2285,'Project Details'!$C$17:$C$66,'Project Details'!$H$17:$H$66,"",0)</f>
        <v>0</v>
      </c>
      <c r="K2285" s="33" t="str">
        <f>IF(AND(_xlfn.XLOOKUP(C2285,'Project Details'!$C$17:$C$66,'Project Details'!$L$17:$L$66,"",0)&gt;550, F2285="Spring-L27cm"),"",SUBSTITUTE(_xlfn.XLOOKUP(G2285,SKUs!$C$2:$C$10001,SKUs!$F$2:$F$10001,"",0), " Accessories",""))</f>
        <v/>
      </c>
      <c r="L2285" s="33">
        <f>_xlfn.XLOOKUP(C2285,'Project Details'!$C$17:$C$66,'Project Details'!$D$17:$D$66,"",0)</f>
        <v>0</v>
      </c>
      <c r="M2285" s="43"/>
    </row>
    <row r="2286" spans="1:13" ht="13.5" customHeight="1" x14ac:dyDescent="0.25">
      <c r="A2286" s="43"/>
      <c r="B2286" s="43"/>
      <c r="C2286" s="35">
        <f t="shared" si="44"/>
        <v>46</v>
      </c>
      <c r="D2286" s="35" t="str" cm="1">
        <f t="array" ref="D2286">IFERROR(ROUNDUP(_xlfn.IFS(F2286="Aluminum Track", _xlfn.XLOOKUP(C2286, dd_accsrycalc!$A$2:$A$51, dd_accsrycalc!$B$2:$B$51, "",0), F2286="10 x 2 1/2 S (Flat)", _xlfn.XLOOKUP(C2286, dd_accsrycalc!$A$2:$A$51, dd_accsrycalc!$C$2:$C$51, "",0), F2286="Tox6", _xlfn.XLOOKUP(C2286, dd_accsrycalc!$A$2:$A$51, dd_accsrycalc!$D$2:$D$51, "",0), F2286="Cover Cap", _xlfn.XLOOKUP(C2286, dd_accsrycalc!$A$2:$A$51, dd_accsrycalc!$E$2:$E$51, "",0), F2286="Drainage Cover", _xlfn.XLOOKUP(C2286, dd_accsrycalc!$A$2:$A$51, dd_accsrycalc!$F$2:$F$51, "",0),AND( F2286="Double Adhesive Tape", I2286="Roll-up Screen"), _xlfn.XLOOKUP(C2286, calc_rusacc!$C$15:$C$65, calc_rusacc!$AD$15:$AD$65, "",0),AND( F2286="Sealant", I2286="Roll-up Screen"), _xlfn.XLOOKUP(C2286, calc_rusacc!$C$15:$C$65, calc_rusacc!$AF$15:$AF$65, "",0),  AND( F2286="Main Chain", I2286="Accordion Screen"), _xlfn.XLOOKUP(C2286, calc_rusacc!$C$15:$C$65, calc_rusacc!$BF$15:$BF$65, "",0), AND( F2286="Sealant", I2286="Accordion Screen"), _xlfn.XLOOKUP(C2286, calc_rusacc!$C$15:$C$65, calc_rusacc!$BJ$15:$BJ$65, "",0),  F2286="Sealant", _xlfn.XLOOKUP(C2286, dd_accsrycalc!$A$2:$A$51, dd_accsrycalc!$G$2:$G$51, "",0),  F2286&lt;&gt;"",L2286*_xlfn.XLOOKUP(1, (SKUs!$C$2:$C$10001=G2286)*(SKUs!$K$2:$K$10001=I2286),SKUs!$E$2:$E$10001)), 0),"")</f>
        <v/>
      </c>
      <c r="E2286" s="35" t="str">
        <f>_xlfn.XLOOKUP(F2286,dd_item!$B$2:$B$105,dd_item!$C$2:$C$105,"",0)</f>
        <v/>
      </c>
      <c r="F2286" s="35"/>
      <c r="G2286" s="35" cm="1">
        <f t="array" ref="G2286">IFERROR(_xlfn.XLOOKUP(1, (SKUs!$J$2:$J$10001=accsry_unmerged!F2286)*IF(H2286&lt;&gt;"",(SKUs!$L$2:$L$10001=accsry_unmerged!H2286),1)*(SKUs!$K$2:$K$10001=I2286),SKUs!$C$2:$C$10001),"")</f>
        <v>0</v>
      </c>
      <c r="H2286" s="36" cm="1">
        <f t="array" ref="H2286">IFERROR(_xlfn.XLOOKUP(1, (dd_accsryclr!$C$2:$C$1000=accsry_unmerged!F2286)*(dd_accsryclr!$B$2:$B$1000=accsry_unmerged!J2286),dd_accsryclr!$A$2:$A$1000),"")</f>
        <v>0</v>
      </c>
      <c r="I2286" s="35">
        <f>_xlfn.XLOOKUP(C2286,'Project Details'!$C$17:$C$66,'Project Details'!$E$17:$E$66,"",0)</f>
        <v>0</v>
      </c>
      <c r="J2286" s="35">
        <f>_xlfn.XLOOKUP(C2286,'Project Details'!$C$17:$C$66,'Project Details'!$H$17:$H$66,"",0)</f>
        <v>0</v>
      </c>
      <c r="K2286" s="36" t="str">
        <f>IF(AND(_xlfn.XLOOKUP(C2286,'Project Details'!$C$17:$C$66,'Project Details'!$L$17:$L$66,"",0)&gt;550, F2286="Spring-L27cm"),"",SUBSTITUTE(_xlfn.XLOOKUP(G2286,SKUs!$C$2:$C$10001,SKUs!$F$2:$F$10001,"",0), " Accessories",""))</f>
        <v/>
      </c>
      <c r="L2286" s="36">
        <f>_xlfn.XLOOKUP(C2286,'Project Details'!$C$17:$C$66,'Project Details'!$D$17:$D$66,"",0)</f>
        <v>0</v>
      </c>
      <c r="M2286" s="43"/>
    </row>
    <row r="2287" spans="1:13" ht="13.5" customHeight="1" x14ac:dyDescent="0.25">
      <c r="A2287" s="43"/>
      <c r="B2287" s="43"/>
      <c r="C2287" s="16">
        <f t="shared" si="44"/>
        <v>46</v>
      </c>
      <c r="D2287" s="16" t="str" cm="1">
        <f t="array" ref="D2287">IFERROR(ROUNDUP(_xlfn.IFS(F2287="Aluminum Track", _xlfn.XLOOKUP(C2287, dd_accsrycalc!$A$2:$A$51, dd_accsrycalc!$B$2:$B$51, "",0), F2287="10 x 2 1/2 S (Flat)", _xlfn.XLOOKUP(C2287, dd_accsrycalc!$A$2:$A$51, dd_accsrycalc!$C$2:$C$51, "",0), F2287="Tox6", _xlfn.XLOOKUP(C2287, dd_accsrycalc!$A$2:$A$51, dd_accsrycalc!$D$2:$D$51, "",0), F2287="Cover Cap", _xlfn.XLOOKUP(C2287, dd_accsrycalc!$A$2:$A$51, dd_accsrycalc!$E$2:$E$51, "",0), F2287="Drainage Cover", _xlfn.XLOOKUP(C2287, dd_accsrycalc!$A$2:$A$51, dd_accsrycalc!$F$2:$F$51, "",0),AND( F2287="Double Adhesive Tape", I2287="Roll-up Screen"), _xlfn.XLOOKUP(C2287, calc_rusacc!$C$15:$C$65, calc_rusacc!$AD$15:$AD$65, "",0),AND( F2287="Sealant", I2287="Roll-up Screen"), _xlfn.XLOOKUP(C2287, calc_rusacc!$C$15:$C$65, calc_rusacc!$AF$15:$AF$65, "",0),  AND( F2287="Main Chain", I2287="Accordion Screen"), _xlfn.XLOOKUP(C2287, calc_rusacc!$C$15:$C$65, calc_rusacc!$BF$15:$BF$65, "",0), AND( F2287="Sealant", I2287="Accordion Screen"), _xlfn.XLOOKUP(C2287, calc_rusacc!$C$15:$C$65, calc_rusacc!$BJ$15:$BJ$65, "",0),  F2287="Sealant", _xlfn.XLOOKUP(C2287, dd_accsrycalc!$A$2:$A$51, dd_accsrycalc!$G$2:$G$51, "",0),  F2287&lt;&gt;"",L2287*_xlfn.XLOOKUP(1, (SKUs!$C$2:$C$10001=G2287)*(SKUs!$K$2:$K$10001=I2287),SKUs!$E$2:$E$10001)), 0),"")</f>
        <v/>
      </c>
      <c r="E2287" s="16" t="str">
        <f>_xlfn.XLOOKUP(F2287,dd_item!$B$2:$B$105,dd_item!$C$2:$C$105,"",0)</f>
        <v/>
      </c>
      <c r="F2287" s="16"/>
      <c r="G2287" s="16" cm="1">
        <f t="array" ref="G2287">IFERROR(_xlfn.XLOOKUP(1, (SKUs!$J$2:$J$10001=accsry_unmerged!F2287)*IF(H2287&lt;&gt;"",(SKUs!$L$2:$L$10001=accsry_unmerged!H2287),1)*(SKUs!$K$2:$K$10001=I2287),SKUs!$C$2:$C$10001),"")</f>
        <v>0</v>
      </c>
      <c r="H2287" s="33" cm="1">
        <f t="array" ref="H2287">IFERROR(_xlfn.XLOOKUP(1, (dd_accsryclr!$C$2:$C$1000=accsry_unmerged!F2287)*(dd_accsryclr!$B$2:$B$1000=accsry_unmerged!J2287),dd_accsryclr!$A$2:$A$1000),"")</f>
        <v>0</v>
      </c>
      <c r="I2287" s="16">
        <f>_xlfn.XLOOKUP(C2287,'Project Details'!$C$17:$C$66,'Project Details'!$E$17:$E$66,"",0)</f>
        <v>0</v>
      </c>
      <c r="J2287" s="16">
        <f>_xlfn.XLOOKUP(C2287,'Project Details'!$C$17:$C$66,'Project Details'!$H$17:$H$66,"",0)</f>
        <v>0</v>
      </c>
      <c r="K2287" s="33" t="str">
        <f>IF(AND(_xlfn.XLOOKUP(C2287,'Project Details'!$C$17:$C$66,'Project Details'!$L$17:$L$66,"",0)&gt;550, F2287="Spring-L27cm"),"",SUBSTITUTE(_xlfn.XLOOKUP(G2287,SKUs!$C$2:$C$10001,SKUs!$F$2:$F$10001,"",0), " Accessories",""))</f>
        <v/>
      </c>
      <c r="L2287" s="33">
        <f>_xlfn.XLOOKUP(C2287,'Project Details'!$C$17:$C$66,'Project Details'!$D$17:$D$66,"",0)</f>
        <v>0</v>
      </c>
      <c r="M2287" s="43"/>
    </row>
    <row r="2288" spans="1:13" ht="13.5" customHeight="1" x14ac:dyDescent="0.25">
      <c r="A2288" s="43"/>
      <c r="B2288" s="43"/>
      <c r="C2288" s="35">
        <f t="shared" si="44"/>
        <v>46</v>
      </c>
      <c r="D2288" s="35" t="str" cm="1">
        <f t="array" ref="D2288">IFERROR(ROUNDUP(_xlfn.IFS(F2288="Aluminum Track", _xlfn.XLOOKUP(C2288, dd_accsrycalc!$A$2:$A$51, dd_accsrycalc!$B$2:$B$51, "",0), F2288="10 x 2 1/2 S (Flat)", _xlfn.XLOOKUP(C2288, dd_accsrycalc!$A$2:$A$51, dd_accsrycalc!$C$2:$C$51, "",0), F2288="Tox6", _xlfn.XLOOKUP(C2288, dd_accsrycalc!$A$2:$A$51, dd_accsrycalc!$D$2:$D$51, "",0), F2288="Cover Cap", _xlfn.XLOOKUP(C2288, dd_accsrycalc!$A$2:$A$51, dd_accsrycalc!$E$2:$E$51, "",0), F2288="Drainage Cover", _xlfn.XLOOKUP(C2288, dd_accsrycalc!$A$2:$A$51, dd_accsrycalc!$F$2:$F$51, "",0),AND( F2288="Double Adhesive Tape", I2288="Roll-up Screen"), _xlfn.XLOOKUP(C2288, calc_rusacc!$C$15:$C$65, calc_rusacc!$AD$15:$AD$65, "",0),AND( F2288="Sealant", I2288="Roll-up Screen"), _xlfn.XLOOKUP(C2288, calc_rusacc!$C$15:$C$65, calc_rusacc!$AF$15:$AF$65, "",0),  AND( F2288="Main Chain", I2288="Accordion Screen"), _xlfn.XLOOKUP(C2288, calc_rusacc!$C$15:$C$65, calc_rusacc!$BF$15:$BF$65, "",0), AND( F2288="Sealant", I2288="Accordion Screen"), _xlfn.XLOOKUP(C2288, calc_rusacc!$C$15:$C$65, calc_rusacc!$BJ$15:$BJ$65, "",0),  F2288="Sealant", _xlfn.XLOOKUP(C2288, dd_accsrycalc!$A$2:$A$51, dd_accsrycalc!$G$2:$G$51, "",0),  F2288&lt;&gt;"",L2288*_xlfn.XLOOKUP(1, (SKUs!$C$2:$C$10001=G2288)*(SKUs!$K$2:$K$10001=I2288),SKUs!$E$2:$E$10001)), 0),"")</f>
        <v/>
      </c>
      <c r="E2288" s="35" t="str">
        <f>_xlfn.XLOOKUP(F2288,dd_item!$B$2:$B$105,dd_item!$C$2:$C$105,"",0)</f>
        <v/>
      </c>
      <c r="F2288" s="35"/>
      <c r="G2288" s="35" cm="1">
        <f t="array" ref="G2288">IFERROR(_xlfn.XLOOKUP(1, (SKUs!$J$2:$J$10001=accsry_unmerged!F2288)*IF(H2288&lt;&gt;"",(SKUs!$L$2:$L$10001=accsry_unmerged!H2288),1)*(SKUs!$K$2:$K$10001=I2288),SKUs!$C$2:$C$10001),"")</f>
        <v>0</v>
      </c>
      <c r="H2288" s="36" cm="1">
        <f t="array" ref="H2288">IFERROR(_xlfn.XLOOKUP(1, (dd_accsryclr!$C$2:$C$1000=accsry_unmerged!F2288)*(dd_accsryclr!$B$2:$B$1000=accsry_unmerged!J2288),dd_accsryclr!$A$2:$A$1000),"")</f>
        <v>0</v>
      </c>
      <c r="I2288" s="35">
        <f>_xlfn.XLOOKUP(C2288,'Project Details'!$C$17:$C$66,'Project Details'!$E$17:$E$66,"",0)</f>
        <v>0</v>
      </c>
      <c r="J2288" s="35">
        <f>_xlfn.XLOOKUP(C2288,'Project Details'!$C$17:$C$66,'Project Details'!$H$17:$H$66,"",0)</f>
        <v>0</v>
      </c>
      <c r="K2288" s="36" t="str">
        <f>IF(AND(_xlfn.XLOOKUP(C2288,'Project Details'!$C$17:$C$66,'Project Details'!$L$17:$L$66,"",0)&gt;550, F2288="Spring-L27cm"),"",SUBSTITUTE(_xlfn.XLOOKUP(G2288,SKUs!$C$2:$C$10001,SKUs!$F$2:$F$10001,"",0), " Accessories",""))</f>
        <v/>
      </c>
      <c r="L2288" s="36">
        <f>_xlfn.XLOOKUP(C2288,'Project Details'!$C$17:$C$66,'Project Details'!$D$17:$D$66,"",0)</f>
        <v>0</v>
      </c>
      <c r="M2288" s="43"/>
    </row>
    <row r="2289" spans="1:13" ht="13.5" customHeight="1" x14ac:dyDescent="0.25">
      <c r="A2289" s="43"/>
      <c r="B2289" s="43"/>
      <c r="C2289" s="16">
        <f t="shared" si="44"/>
        <v>46</v>
      </c>
      <c r="D2289" s="16" t="str" cm="1">
        <f t="array" ref="D2289">IFERROR(ROUNDUP(_xlfn.IFS(F2289="Aluminum Track", _xlfn.XLOOKUP(C2289, dd_accsrycalc!$A$2:$A$51, dd_accsrycalc!$B$2:$B$51, "",0), F2289="10 x 2 1/2 S (Flat)", _xlfn.XLOOKUP(C2289, dd_accsrycalc!$A$2:$A$51, dd_accsrycalc!$C$2:$C$51, "",0), F2289="Tox6", _xlfn.XLOOKUP(C2289, dd_accsrycalc!$A$2:$A$51, dd_accsrycalc!$D$2:$D$51, "",0), F2289="Cover Cap", _xlfn.XLOOKUP(C2289, dd_accsrycalc!$A$2:$A$51, dd_accsrycalc!$E$2:$E$51, "",0), F2289="Drainage Cover", _xlfn.XLOOKUP(C2289, dd_accsrycalc!$A$2:$A$51, dd_accsrycalc!$F$2:$F$51, "",0),AND( F2289="Double Adhesive Tape", I2289="Roll-up Screen"), _xlfn.XLOOKUP(C2289, calc_rusacc!$C$15:$C$65, calc_rusacc!$AD$15:$AD$65, "",0),AND( F2289="Sealant", I2289="Roll-up Screen"), _xlfn.XLOOKUP(C2289, calc_rusacc!$C$15:$C$65, calc_rusacc!$AF$15:$AF$65, "",0),  AND( F2289="Main Chain", I2289="Accordion Screen"), _xlfn.XLOOKUP(C2289, calc_rusacc!$C$15:$C$65, calc_rusacc!$BF$15:$BF$65, "",0), AND( F2289="Sealant", I2289="Accordion Screen"), _xlfn.XLOOKUP(C2289, calc_rusacc!$C$15:$C$65, calc_rusacc!$BJ$15:$BJ$65, "",0),  F2289="Sealant", _xlfn.XLOOKUP(C2289, dd_accsrycalc!$A$2:$A$51, dd_accsrycalc!$G$2:$G$51, "",0),  F2289&lt;&gt;"",L2289*_xlfn.XLOOKUP(1, (SKUs!$C$2:$C$10001=G2289)*(SKUs!$K$2:$K$10001=I2289),SKUs!$E$2:$E$10001)), 0),"")</f>
        <v/>
      </c>
      <c r="E2289" s="16" t="str">
        <f>_xlfn.XLOOKUP(F2289,dd_item!$B$2:$B$105,dd_item!$C$2:$C$105,"",0)</f>
        <v/>
      </c>
      <c r="F2289" s="16"/>
      <c r="G2289" s="16" cm="1">
        <f t="array" ref="G2289">IFERROR(_xlfn.XLOOKUP(1, (SKUs!$J$2:$J$10001=accsry_unmerged!F2289)*IF(H2289&lt;&gt;"",(SKUs!$L$2:$L$10001=accsry_unmerged!H2289),1)*(SKUs!$K$2:$K$10001=I2289),SKUs!$C$2:$C$10001),"")</f>
        <v>0</v>
      </c>
      <c r="H2289" s="33" cm="1">
        <f t="array" ref="H2289">IFERROR(_xlfn.XLOOKUP(1, (dd_accsryclr!$C$2:$C$1000=accsry_unmerged!F2289)*(dd_accsryclr!$B$2:$B$1000=accsry_unmerged!J2289),dd_accsryclr!$A$2:$A$1000),"")</f>
        <v>0</v>
      </c>
      <c r="I2289" s="16">
        <f>_xlfn.XLOOKUP(C2289,'Project Details'!$C$17:$C$66,'Project Details'!$E$17:$E$66,"",0)</f>
        <v>0</v>
      </c>
      <c r="J2289" s="16">
        <f>_xlfn.XLOOKUP(C2289,'Project Details'!$C$17:$C$66,'Project Details'!$H$17:$H$66,"",0)</f>
        <v>0</v>
      </c>
      <c r="K2289" s="33" t="str">
        <f>IF(AND(_xlfn.XLOOKUP(C2289,'Project Details'!$C$17:$C$66,'Project Details'!$L$17:$L$66,"",0)&gt;550, F2289="Spring-L27cm"),"",SUBSTITUTE(_xlfn.XLOOKUP(G2289,SKUs!$C$2:$C$10001,SKUs!$F$2:$F$10001,"",0), " Accessories",""))</f>
        <v/>
      </c>
      <c r="L2289" s="33">
        <f>_xlfn.XLOOKUP(C2289,'Project Details'!$C$17:$C$66,'Project Details'!$D$17:$D$66,"",0)</f>
        <v>0</v>
      </c>
      <c r="M2289" s="43"/>
    </row>
    <row r="2290" spans="1:13" ht="13.5" customHeight="1" x14ac:dyDescent="0.25">
      <c r="A2290" s="43"/>
      <c r="B2290" s="43"/>
      <c r="C2290" s="35">
        <f t="shared" si="44"/>
        <v>46</v>
      </c>
      <c r="D2290" s="35" t="str" cm="1">
        <f t="array" ref="D2290">IFERROR(ROUNDUP(_xlfn.IFS(F2290="Aluminum Track", _xlfn.XLOOKUP(C2290, dd_accsrycalc!$A$2:$A$51, dd_accsrycalc!$B$2:$B$51, "",0), F2290="10 x 2 1/2 S (Flat)", _xlfn.XLOOKUP(C2290, dd_accsrycalc!$A$2:$A$51, dd_accsrycalc!$C$2:$C$51, "",0), F2290="Tox6", _xlfn.XLOOKUP(C2290, dd_accsrycalc!$A$2:$A$51, dd_accsrycalc!$D$2:$D$51, "",0), F2290="Cover Cap", _xlfn.XLOOKUP(C2290, dd_accsrycalc!$A$2:$A$51, dd_accsrycalc!$E$2:$E$51, "",0), F2290="Drainage Cover", _xlfn.XLOOKUP(C2290, dd_accsrycalc!$A$2:$A$51, dd_accsrycalc!$F$2:$F$51, "",0),AND( F2290="Double Adhesive Tape", I2290="Roll-up Screen"), _xlfn.XLOOKUP(C2290, calc_rusacc!$C$15:$C$65, calc_rusacc!$AD$15:$AD$65, "",0),AND( F2290="Sealant", I2290="Roll-up Screen"), _xlfn.XLOOKUP(C2290, calc_rusacc!$C$15:$C$65, calc_rusacc!$AF$15:$AF$65, "",0),  AND( F2290="Main Chain", I2290="Accordion Screen"), _xlfn.XLOOKUP(C2290, calc_rusacc!$C$15:$C$65, calc_rusacc!$BF$15:$BF$65, "",0), AND( F2290="Sealant", I2290="Accordion Screen"), _xlfn.XLOOKUP(C2290, calc_rusacc!$C$15:$C$65, calc_rusacc!$BJ$15:$BJ$65, "",0),  F2290="Sealant", _xlfn.XLOOKUP(C2290, dd_accsrycalc!$A$2:$A$51, dd_accsrycalc!$G$2:$G$51, "",0),  F2290&lt;&gt;"",L2290*_xlfn.XLOOKUP(1, (SKUs!$C$2:$C$10001=G2290)*(SKUs!$K$2:$K$10001=I2290),SKUs!$E$2:$E$10001)), 0),"")</f>
        <v/>
      </c>
      <c r="E2290" s="35" t="str">
        <f>_xlfn.XLOOKUP(F2290,dd_item!$B$2:$B$105,dd_item!$C$2:$C$105,"",0)</f>
        <v/>
      </c>
      <c r="F2290" s="35"/>
      <c r="G2290" s="35" cm="1">
        <f t="array" ref="G2290">IFERROR(_xlfn.XLOOKUP(1, (SKUs!$J$2:$J$10001=accsry_unmerged!F2290)*IF(H2290&lt;&gt;"",(SKUs!$L$2:$L$10001=accsry_unmerged!H2290),1)*(SKUs!$K$2:$K$10001=I2290),SKUs!$C$2:$C$10001),"")</f>
        <v>0</v>
      </c>
      <c r="H2290" s="36" cm="1">
        <f t="array" ref="H2290">IFERROR(_xlfn.XLOOKUP(1, (dd_accsryclr!$C$2:$C$1000=accsry_unmerged!F2290)*(dd_accsryclr!$B$2:$B$1000=accsry_unmerged!J2290),dd_accsryclr!$A$2:$A$1000),"")</f>
        <v>0</v>
      </c>
      <c r="I2290" s="35">
        <f>_xlfn.XLOOKUP(C2290,'Project Details'!$C$17:$C$66,'Project Details'!$E$17:$E$66,"",0)</f>
        <v>0</v>
      </c>
      <c r="J2290" s="35">
        <f>_xlfn.XLOOKUP(C2290,'Project Details'!$C$17:$C$66,'Project Details'!$H$17:$H$66,"",0)</f>
        <v>0</v>
      </c>
      <c r="K2290" s="36" t="str">
        <f>IF(AND(_xlfn.XLOOKUP(C2290,'Project Details'!$C$17:$C$66,'Project Details'!$L$17:$L$66,"",0)&gt;550, F2290="Spring-L27cm"),"",SUBSTITUTE(_xlfn.XLOOKUP(G2290,SKUs!$C$2:$C$10001,SKUs!$F$2:$F$10001,"",0), " Accessories",""))</f>
        <v/>
      </c>
      <c r="L2290" s="36">
        <f>_xlfn.XLOOKUP(C2290,'Project Details'!$C$17:$C$66,'Project Details'!$D$17:$D$66,"",0)</f>
        <v>0</v>
      </c>
      <c r="M2290" s="43"/>
    </row>
    <row r="2291" spans="1:13" ht="13.5" customHeight="1" x14ac:dyDescent="0.25">
      <c r="A2291" s="43"/>
      <c r="B2291" s="43"/>
      <c r="C2291" s="16">
        <f t="shared" si="44"/>
        <v>46</v>
      </c>
      <c r="D2291" s="16" t="str" cm="1">
        <f t="array" ref="D2291">IFERROR(ROUNDUP(_xlfn.IFS(F2291="Aluminum Track", _xlfn.XLOOKUP(C2291, dd_accsrycalc!$A$2:$A$51, dd_accsrycalc!$B$2:$B$51, "",0), F2291="10 x 2 1/2 S (Flat)", _xlfn.XLOOKUP(C2291, dd_accsrycalc!$A$2:$A$51, dd_accsrycalc!$C$2:$C$51, "",0), F2291="Tox6", _xlfn.XLOOKUP(C2291, dd_accsrycalc!$A$2:$A$51, dd_accsrycalc!$D$2:$D$51, "",0), F2291="Cover Cap", _xlfn.XLOOKUP(C2291, dd_accsrycalc!$A$2:$A$51, dd_accsrycalc!$E$2:$E$51, "",0), F2291="Drainage Cover", _xlfn.XLOOKUP(C2291, dd_accsrycalc!$A$2:$A$51, dd_accsrycalc!$F$2:$F$51, "",0),AND( F2291="Double Adhesive Tape", I2291="Roll-up Screen"), _xlfn.XLOOKUP(C2291, calc_rusacc!$C$15:$C$65, calc_rusacc!$AD$15:$AD$65, "",0),AND( F2291="Sealant", I2291="Roll-up Screen"), _xlfn.XLOOKUP(C2291, calc_rusacc!$C$15:$C$65, calc_rusacc!$AF$15:$AF$65, "",0),  AND( F2291="Main Chain", I2291="Accordion Screen"), _xlfn.XLOOKUP(C2291, calc_rusacc!$C$15:$C$65, calc_rusacc!$BF$15:$BF$65, "",0), AND( F2291="Sealant", I2291="Accordion Screen"), _xlfn.XLOOKUP(C2291, calc_rusacc!$C$15:$C$65, calc_rusacc!$BJ$15:$BJ$65, "",0),  F2291="Sealant", _xlfn.XLOOKUP(C2291, dd_accsrycalc!$A$2:$A$51, dd_accsrycalc!$G$2:$G$51, "",0),  F2291&lt;&gt;"",L2291*_xlfn.XLOOKUP(1, (SKUs!$C$2:$C$10001=G2291)*(SKUs!$K$2:$K$10001=I2291),SKUs!$E$2:$E$10001)), 0),"")</f>
        <v/>
      </c>
      <c r="E2291" s="16" t="str">
        <f>_xlfn.XLOOKUP(F2291,dd_item!$B$2:$B$105,dd_item!$C$2:$C$105,"",0)</f>
        <v/>
      </c>
      <c r="F2291" s="16"/>
      <c r="G2291" s="16" cm="1">
        <f t="array" ref="G2291">IFERROR(_xlfn.XLOOKUP(1, (SKUs!$J$2:$J$10001=accsry_unmerged!F2291)*IF(H2291&lt;&gt;"",(SKUs!$L$2:$L$10001=accsry_unmerged!H2291),1)*(SKUs!$K$2:$K$10001=I2291),SKUs!$C$2:$C$10001),"")</f>
        <v>0</v>
      </c>
      <c r="H2291" s="33" cm="1">
        <f t="array" ref="H2291">IFERROR(_xlfn.XLOOKUP(1, (dd_accsryclr!$C$2:$C$1000=accsry_unmerged!F2291)*(dd_accsryclr!$B$2:$B$1000=accsry_unmerged!J2291),dd_accsryclr!$A$2:$A$1000),"")</f>
        <v>0</v>
      </c>
      <c r="I2291" s="16">
        <f>_xlfn.XLOOKUP(C2291,'Project Details'!$C$17:$C$66,'Project Details'!$E$17:$E$66,"",0)</f>
        <v>0</v>
      </c>
      <c r="J2291" s="16">
        <f>_xlfn.XLOOKUP(C2291,'Project Details'!$C$17:$C$66,'Project Details'!$H$17:$H$66,"",0)</f>
        <v>0</v>
      </c>
      <c r="K2291" s="33" t="str">
        <f>IF(AND(_xlfn.XLOOKUP(C2291,'Project Details'!$C$17:$C$66,'Project Details'!$L$17:$L$66,"",0)&gt;550, F2291="Spring-L27cm"),"",SUBSTITUTE(_xlfn.XLOOKUP(G2291,SKUs!$C$2:$C$10001,SKUs!$F$2:$F$10001,"",0), " Accessories",""))</f>
        <v/>
      </c>
      <c r="L2291" s="33">
        <f>_xlfn.XLOOKUP(C2291,'Project Details'!$C$17:$C$66,'Project Details'!$D$17:$D$66,"",0)</f>
        <v>0</v>
      </c>
      <c r="M2291" s="43"/>
    </row>
    <row r="2292" spans="1:13" ht="13.5" customHeight="1" x14ac:dyDescent="0.25">
      <c r="A2292" s="43"/>
      <c r="B2292" s="43"/>
      <c r="C2292" s="35">
        <f t="shared" si="44"/>
        <v>46</v>
      </c>
      <c r="D2292" s="35" t="str" cm="1">
        <f t="array" ref="D2292">IFERROR(ROUNDUP(_xlfn.IFS(F2292="Aluminum Track", _xlfn.XLOOKUP(C2292, dd_accsrycalc!$A$2:$A$51, dd_accsrycalc!$B$2:$B$51, "",0), F2292="10 x 2 1/2 S (Flat)", _xlfn.XLOOKUP(C2292, dd_accsrycalc!$A$2:$A$51, dd_accsrycalc!$C$2:$C$51, "",0), F2292="Tox6", _xlfn.XLOOKUP(C2292, dd_accsrycalc!$A$2:$A$51, dd_accsrycalc!$D$2:$D$51, "",0), F2292="Cover Cap", _xlfn.XLOOKUP(C2292, dd_accsrycalc!$A$2:$A$51, dd_accsrycalc!$E$2:$E$51, "",0), F2292="Drainage Cover", _xlfn.XLOOKUP(C2292, dd_accsrycalc!$A$2:$A$51, dd_accsrycalc!$F$2:$F$51, "",0),AND( F2292="Double Adhesive Tape", I2292="Roll-up Screen"), _xlfn.XLOOKUP(C2292, calc_rusacc!$C$15:$C$65, calc_rusacc!$AD$15:$AD$65, "",0),AND( F2292="Sealant", I2292="Roll-up Screen"), _xlfn.XLOOKUP(C2292, calc_rusacc!$C$15:$C$65, calc_rusacc!$AF$15:$AF$65, "",0),  AND( F2292="Main Chain", I2292="Accordion Screen"), _xlfn.XLOOKUP(C2292, calc_rusacc!$C$15:$C$65, calc_rusacc!$BF$15:$BF$65, "",0), AND( F2292="Sealant", I2292="Accordion Screen"), _xlfn.XLOOKUP(C2292, calc_rusacc!$C$15:$C$65, calc_rusacc!$BJ$15:$BJ$65, "",0),  F2292="Sealant", _xlfn.XLOOKUP(C2292, dd_accsrycalc!$A$2:$A$51, dd_accsrycalc!$G$2:$G$51, "",0),  F2292&lt;&gt;"",L2292*_xlfn.XLOOKUP(1, (SKUs!$C$2:$C$10001=G2292)*(SKUs!$K$2:$K$10001=I2292),SKUs!$E$2:$E$10001)), 0),"")</f>
        <v/>
      </c>
      <c r="E2292" s="35" t="str">
        <f>_xlfn.XLOOKUP(F2292,dd_item!$B$2:$B$105,dd_item!$C$2:$C$105,"",0)</f>
        <v/>
      </c>
      <c r="F2292" s="35"/>
      <c r="G2292" s="35" cm="1">
        <f t="array" ref="G2292">IFERROR(_xlfn.XLOOKUP(1, (SKUs!$J$2:$J$10001=accsry_unmerged!F2292)*IF(H2292&lt;&gt;"",(SKUs!$L$2:$L$10001=accsry_unmerged!H2292),1)*(SKUs!$K$2:$K$10001=I2292),SKUs!$C$2:$C$10001),"")</f>
        <v>0</v>
      </c>
      <c r="H2292" s="36" cm="1">
        <f t="array" ref="H2292">IFERROR(_xlfn.XLOOKUP(1, (dd_accsryclr!$C$2:$C$1000=accsry_unmerged!F2292)*(dd_accsryclr!$B$2:$B$1000=accsry_unmerged!J2292),dd_accsryclr!$A$2:$A$1000),"")</f>
        <v>0</v>
      </c>
      <c r="I2292" s="35">
        <f>_xlfn.XLOOKUP(C2292,'Project Details'!$C$17:$C$66,'Project Details'!$E$17:$E$66,"",0)</f>
        <v>0</v>
      </c>
      <c r="J2292" s="35">
        <f>_xlfn.XLOOKUP(C2292,'Project Details'!$C$17:$C$66,'Project Details'!$H$17:$H$66,"",0)</f>
        <v>0</v>
      </c>
      <c r="K2292" s="36" t="str">
        <f>IF(AND(_xlfn.XLOOKUP(C2292,'Project Details'!$C$17:$C$66,'Project Details'!$L$17:$L$66,"",0)&gt;550, F2292="Spring-L27cm"),"",SUBSTITUTE(_xlfn.XLOOKUP(G2292,SKUs!$C$2:$C$10001,SKUs!$F$2:$F$10001,"",0), " Accessories",""))</f>
        <v/>
      </c>
      <c r="L2292" s="36">
        <f>_xlfn.XLOOKUP(C2292,'Project Details'!$C$17:$C$66,'Project Details'!$D$17:$D$66,"",0)</f>
        <v>0</v>
      </c>
      <c r="M2292" s="43"/>
    </row>
    <row r="2293" spans="1:13" ht="13.5" customHeight="1" x14ac:dyDescent="0.25">
      <c r="A2293" s="43"/>
      <c r="B2293" s="43"/>
      <c r="C2293" s="16">
        <f t="shared" si="44"/>
        <v>46</v>
      </c>
      <c r="D2293" s="16" t="str" cm="1">
        <f t="array" ref="D2293">IFERROR(ROUNDUP(_xlfn.IFS(F2293="Aluminum Track", _xlfn.XLOOKUP(C2293, dd_accsrycalc!$A$2:$A$51, dd_accsrycalc!$B$2:$B$51, "",0), F2293="10 x 2 1/2 S (Flat)", _xlfn.XLOOKUP(C2293, dd_accsrycalc!$A$2:$A$51, dd_accsrycalc!$C$2:$C$51, "",0), F2293="Tox6", _xlfn.XLOOKUP(C2293, dd_accsrycalc!$A$2:$A$51, dd_accsrycalc!$D$2:$D$51, "",0), F2293="Cover Cap", _xlfn.XLOOKUP(C2293, dd_accsrycalc!$A$2:$A$51, dd_accsrycalc!$E$2:$E$51, "",0), F2293="Drainage Cover", _xlfn.XLOOKUP(C2293, dd_accsrycalc!$A$2:$A$51, dd_accsrycalc!$F$2:$F$51, "",0),AND( F2293="Double Adhesive Tape", I2293="Roll-up Screen"), _xlfn.XLOOKUP(C2293, calc_rusacc!$C$15:$C$65, calc_rusacc!$AD$15:$AD$65, "",0),AND( F2293="Sealant", I2293="Roll-up Screen"), _xlfn.XLOOKUP(C2293, calc_rusacc!$C$15:$C$65, calc_rusacc!$AF$15:$AF$65, "",0),  AND( F2293="Main Chain", I2293="Accordion Screen"), _xlfn.XLOOKUP(C2293, calc_rusacc!$C$15:$C$65, calc_rusacc!$BF$15:$BF$65, "",0), AND( F2293="Sealant", I2293="Accordion Screen"), _xlfn.XLOOKUP(C2293, calc_rusacc!$C$15:$C$65, calc_rusacc!$BJ$15:$BJ$65, "",0),  F2293="Sealant", _xlfn.XLOOKUP(C2293, dd_accsrycalc!$A$2:$A$51, dd_accsrycalc!$G$2:$G$51, "",0),  F2293&lt;&gt;"",L2293*_xlfn.XLOOKUP(1, (SKUs!$C$2:$C$10001=G2293)*(SKUs!$K$2:$K$10001=I2293),SKUs!$E$2:$E$10001)), 0),"")</f>
        <v/>
      </c>
      <c r="E2293" s="16" t="str">
        <f>_xlfn.XLOOKUP(F2293,dd_item!$B$2:$B$105,dd_item!$C$2:$C$105,"",0)</f>
        <v/>
      </c>
      <c r="F2293" s="16"/>
      <c r="G2293" s="16" cm="1">
        <f t="array" ref="G2293">IFERROR(_xlfn.XLOOKUP(1, (SKUs!$J$2:$J$10001=accsry_unmerged!F2293)*IF(H2293&lt;&gt;"",(SKUs!$L$2:$L$10001=accsry_unmerged!H2293),1)*(SKUs!$K$2:$K$10001=I2293),SKUs!$C$2:$C$10001),"")</f>
        <v>0</v>
      </c>
      <c r="H2293" s="33" cm="1">
        <f t="array" ref="H2293">IFERROR(_xlfn.XLOOKUP(1, (dd_accsryclr!$C$2:$C$1000=accsry_unmerged!F2293)*(dd_accsryclr!$B$2:$B$1000=accsry_unmerged!J2293),dd_accsryclr!$A$2:$A$1000),"")</f>
        <v>0</v>
      </c>
      <c r="I2293" s="16">
        <f>_xlfn.XLOOKUP(C2293,'Project Details'!$C$17:$C$66,'Project Details'!$E$17:$E$66,"",0)</f>
        <v>0</v>
      </c>
      <c r="J2293" s="16">
        <f>_xlfn.XLOOKUP(C2293,'Project Details'!$C$17:$C$66,'Project Details'!$H$17:$H$66,"",0)</f>
        <v>0</v>
      </c>
      <c r="K2293" s="33" t="str">
        <f>IF(AND(_xlfn.XLOOKUP(C2293,'Project Details'!$C$17:$C$66,'Project Details'!$L$17:$L$66,"",0)&gt;550, F2293="Spring-L27cm"),"",SUBSTITUTE(_xlfn.XLOOKUP(G2293,SKUs!$C$2:$C$10001,SKUs!$F$2:$F$10001,"",0), " Accessories",""))</f>
        <v/>
      </c>
      <c r="L2293" s="33">
        <f>_xlfn.XLOOKUP(C2293,'Project Details'!$C$17:$C$66,'Project Details'!$D$17:$D$66,"",0)</f>
        <v>0</v>
      </c>
      <c r="M2293" s="43"/>
    </row>
    <row r="2294" spans="1:13" ht="13.5" customHeight="1" x14ac:dyDescent="0.25">
      <c r="A2294" s="43"/>
      <c r="B2294" s="43"/>
      <c r="C2294" s="35">
        <f t="shared" si="44"/>
        <v>46</v>
      </c>
      <c r="D2294" s="35" t="str" cm="1">
        <f t="array" ref="D2294">IFERROR(ROUNDUP(_xlfn.IFS(F2294="Aluminum Track", _xlfn.XLOOKUP(C2294, dd_accsrycalc!$A$2:$A$51, dd_accsrycalc!$B$2:$B$51, "",0), F2294="10 x 2 1/2 S (Flat)", _xlfn.XLOOKUP(C2294, dd_accsrycalc!$A$2:$A$51, dd_accsrycalc!$C$2:$C$51, "",0), F2294="Tox6", _xlfn.XLOOKUP(C2294, dd_accsrycalc!$A$2:$A$51, dd_accsrycalc!$D$2:$D$51, "",0), F2294="Cover Cap", _xlfn.XLOOKUP(C2294, dd_accsrycalc!$A$2:$A$51, dd_accsrycalc!$E$2:$E$51, "",0), F2294="Drainage Cover", _xlfn.XLOOKUP(C2294, dd_accsrycalc!$A$2:$A$51, dd_accsrycalc!$F$2:$F$51, "",0),AND( F2294="Double Adhesive Tape", I2294="Roll-up Screen"), _xlfn.XLOOKUP(C2294, calc_rusacc!$C$15:$C$65, calc_rusacc!$AD$15:$AD$65, "",0),AND( F2294="Sealant", I2294="Roll-up Screen"), _xlfn.XLOOKUP(C2294, calc_rusacc!$C$15:$C$65, calc_rusacc!$AF$15:$AF$65, "",0),  AND( F2294="Main Chain", I2294="Accordion Screen"), _xlfn.XLOOKUP(C2294, calc_rusacc!$C$15:$C$65, calc_rusacc!$BF$15:$BF$65, "",0), AND( F2294="Sealant", I2294="Accordion Screen"), _xlfn.XLOOKUP(C2294, calc_rusacc!$C$15:$C$65, calc_rusacc!$BJ$15:$BJ$65, "",0),  F2294="Sealant", _xlfn.XLOOKUP(C2294, dd_accsrycalc!$A$2:$A$51, dd_accsrycalc!$G$2:$G$51, "",0),  F2294&lt;&gt;"",L2294*_xlfn.XLOOKUP(1, (SKUs!$C$2:$C$10001=G2294)*(SKUs!$K$2:$K$10001=I2294),SKUs!$E$2:$E$10001)), 0),"")</f>
        <v/>
      </c>
      <c r="E2294" s="35" t="str">
        <f>_xlfn.XLOOKUP(F2294,dd_item!$B$2:$B$105,dd_item!$C$2:$C$105,"",0)</f>
        <v/>
      </c>
      <c r="F2294" s="35"/>
      <c r="G2294" s="35" cm="1">
        <f t="array" ref="G2294">IFERROR(_xlfn.XLOOKUP(1, (SKUs!$J$2:$J$10001=accsry_unmerged!F2294)*IF(H2294&lt;&gt;"",(SKUs!$L$2:$L$10001=accsry_unmerged!H2294),1)*(SKUs!$K$2:$K$10001=I2294),SKUs!$C$2:$C$10001),"")</f>
        <v>0</v>
      </c>
      <c r="H2294" s="36" cm="1">
        <f t="array" ref="H2294">IFERROR(_xlfn.XLOOKUP(1, (dd_accsryclr!$C$2:$C$1000=accsry_unmerged!F2294)*(dd_accsryclr!$B$2:$B$1000=accsry_unmerged!J2294),dd_accsryclr!$A$2:$A$1000),"")</f>
        <v>0</v>
      </c>
      <c r="I2294" s="35">
        <f>_xlfn.XLOOKUP(C2294,'Project Details'!$C$17:$C$66,'Project Details'!$E$17:$E$66,"",0)</f>
        <v>0</v>
      </c>
      <c r="J2294" s="35">
        <f>_xlfn.XLOOKUP(C2294,'Project Details'!$C$17:$C$66,'Project Details'!$H$17:$H$66,"",0)</f>
        <v>0</v>
      </c>
      <c r="K2294" s="36" t="str">
        <f>IF(AND(_xlfn.XLOOKUP(C2294,'Project Details'!$C$17:$C$66,'Project Details'!$L$17:$L$66,"",0)&gt;550, F2294="Spring-L27cm"),"",SUBSTITUTE(_xlfn.XLOOKUP(G2294,SKUs!$C$2:$C$10001,SKUs!$F$2:$F$10001,"",0), " Accessories",""))</f>
        <v/>
      </c>
      <c r="L2294" s="36">
        <f>_xlfn.XLOOKUP(C2294,'Project Details'!$C$17:$C$66,'Project Details'!$D$17:$D$66,"",0)</f>
        <v>0</v>
      </c>
      <c r="M2294" s="43"/>
    </row>
    <row r="2295" spans="1:13" ht="13.5" customHeight="1" outlineLevel="1" x14ac:dyDescent="0.25">
      <c r="A2295" s="43"/>
      <c r="B2295" s="43"/>
      <c r="C2295" s="16">
        <f t="shared" si="44"/>
        <v>46</v>
      </c>
      <c r="D2295" s="16" t="str" cm="1">
        <f t="array" ref="D2295">IFERROR(ROUNDUP(_xlfn.IFS(F2295="Aluminum Track", _xlfn.XLOOKUP(C2295, dd_accsrycalc!$A$2:$A$51, dd_accsrycalc!$B$2:$B$51, "",0), F2295="10 x 2 1/2 S (Flat)", _xlfn.XLOOKUP(C2295, dd_accsrycalc!$A$2:$A$51, dd_accsrycalc!$C$2:$C$51, "",0), F2295="Tox6", _xlfn.XLOOKUP(C2295, dd_accsrycalc!$A$2:$A$51, dd_accsrycalc!$D$2:$D$51, "",0), F2295="Cover Cap", _xlfn.XLOOKUP(C2295, dd_accsrycalc!$A$2:$A$51, dd_accsrycalc!$E$2:$E$51, "",0), F2295="Drainage Cover", _xlfn.XLOOKUP(C2295, dd_accsrycalc!$A$2:$A$51, dd_accsrycalc!$F$2:$F$51, "",0),AND( F2295="Double Adhesive Tape", I2295="Roll-up Screen"), _xlfn.XLOOKUP(C2295, calc_rusacc!$C$15:$C$65, calc_rusacc!$AD$15:$AD$65, "",0),AND( F2295="Sealant", I2295="Roll-up Screen"), _xlfn.XLOOKUP(C2295, calc_rusacc!$C$15:$C$65, calc_rusacc!$AF$15:$AF$65, "",0),  AND( F2295="Main Chain", I2295="Accordion Screen"), _xlfn.XLOOKUP(C2295, calc_rusacc!$C$15:$C$65, calc_rusacc!$BF$15:$BF$65, "",0), AND( F2295="Sealant", I2295="Accordion Screen"), _xlfn.XLOOKUP(C2295, calc_rusacc!$C$15:$C$65, calc_rusacc!$BJ$15:$BJ$65, "",0),  F2295="Sealant", _xlfn.XLOOKUP(C2295, dd_accsrycalc!$A$2:$A$51, dd_accsrycalc!$G$2:$G$51, "",0),  F2295&lt;&gt;"",L2295*_xlfn.XLOOKUP(1, (SKUs!$C$2:$C$10001=G2295)*(SKUs!$K$2:$K$10001=I2295),SKUs!$E$2:$E$10001)), 0),"")</f>
        <v/>
      </c>
      <c r="E2295" s="16" t="str">
        <f>_xlfn.XLOOKUP(F2295,dd_item!$B$2:$B$105,dd_item!$C$2:$C$105,"",0)</f>
        <v/>
      </c>
      <c r="F2295" s="16"/>
      <c r="G2295" s="16" cm="1">
        <f t="array" ref="G2295">IFERROR(_xlfn.XLOOKUP(1, (SKUs!$J$2:$J$10001=accsry_unmerged!F2295)*IF(H2295&lt;&gt;"",(SKUs!$L$2:$L$10001=accsry_unmerged!H2295),1)*(SKUs!$K$2:$K$10001=I2295),SKUs!$C$2:$C$10001),"")</f>
        <v>0</v>
      </c>
      <c r="H2295" s="33" cm="1">
        <f t="array" ref="H2295">IFERROR(_xlfn.XLOOKUP(1, (dd_accsryclr!$C$2:$C$1000=accsry_unmerged!F2295)*(dd_accsryclr!$B$2:$B$1000=accsry_unmerged!J2295),dd_accsryclr!$A$2:$A$1000),"")</f>
        <v>0</v>
      </c>
      <c r="I2295" s="16">
        <f>_xlfn.XLOOKUP(C2295,'Project Details'!$C$17:$C$66,'Project Details'!$E$17:$E$66,"",0)</f>
        <v>0</v>
      </c>
      <c r="J2295" s="16">
        <f>_xlfn.XLOOKUP(C2295,'Project Details'!$C$17:$C$66,'Project Details'!$H$17:$H$66,"",0)</f>
        <v>0</v>
      </c>
      <c r="K2295" s="33" t="str">
        <f>IF(AND(_xlfn.XLOOKUP(C2295,'Project Details'!$C$17:$C$66,'Project Details'!$L$17:$L$66,"",0)&gt;550, F2295="Spring-L27cm"),"",SUBSTITUTE(_xlfn.XLOOKUP(G2295,SKUs!$C$2:$C$10001,SKUs!$F$2:$F$10001,"",0), " Accessories",""))</f>
        <v/>
      </c>
      <c r="L2295" s="33">
        <f>_xlfn.XLOOKUP(C2295,'Project Details'!$C$17:$C$66,'Project Details'!$D$17:$D$66,"",0)</f>
        <v>0</v>
      </c>
      <c r="M2295" s="43"/>
    </row>
    <row r="2296" spans="1:13" ht="13.5" customHeight="1" outlineLevel="1" x14ac:dyDescent="0.25">
      <c r="A2296" s="43"/>
      <c r="B2296" s="43"/>
      <c r="C2296" s="35">
        <f t="shared" si="44"/>
        <v>46</v>
      </c>
      <c r="D2296" s="35" t="str" cm="1">
        <f t="array" ref="D2296">IFERROR(ROUNDUP(_xlfn.IFS(F2296="Aluminum Track", _xlfn.XLOOKUP(C2296, dd_accsrycalc!$A$2:$A$51, dd_accsrycalc!$B$2:$B$51, "",0), F2296="10 x 2 1/2 S (Flat)", _xlfn.XLOOKUP(C2296, dd_accsrycalc!$A$2:$A$51, dd_accsrycalc!$C$2:$C$51, "",0), F2296="Tox6", _xlfn.XLOOKUP(C2296, dd_accsrycalc!$A$2:$A$51, dd_accsrycalc!$D$2:$D$51, "",0), F2296="Cover Cap", _xlfn.XLOOKUP(C2296, dd_accsrycalc!$A$2:$A$51, dd_accsrycalc!$E$2:$E$51, "",0), F2296="Drainage Cover", _xlfn.XLOOKUP(C2296, dd_accsrycalc!$A$2:$A$51, dd_accsrycalc!$F$2:$F$51, "",0),AND( F2296="Double Adhesive Tape", I2296="Roll-up Screen"), _xlfn.XLOOKUP(C2296, calc_rusacc!$C$15:$C$65, calc_rusacc!$AD$15:$AD$65, "",0),AND( F2296="Sealant", I2296="Roll-up Screen"), _xlfn.XLOOKUP(C2296, calc_rusacc!$C$15:$C$65, calc_rusacc!$AF$15:$AF$65, "",0),  AND( F2296="Main Chain", I2296="Accordion Screen"), _xlfn.XLOOKUP(C2296, calc_rusacc!$C$15:$C$65, calc_rusacc!$BF$15:$BF$65, "",0), AND( F2296="Sealant", I2296="Accordion Screen"), _xlfn.XLOOKUP(C2296, calc_rusacc!$C$15:$C$65, calc_rusacc!$BJ$15:$BJ$65, "",0),  F2296="Sealant", _xlfn.XLOOKUP(C2296, dd_accsrycalc!$A$2:$A$51, dd_accsrycalc!$G$2:$G$51, "",0),  F2296&lt;&gt;"",L2296*_xlfn.XLOOKUP(1, (SKUs!$C$2:$C$10001=G2296)*(SKUs!$K$2:$K$10001=I2296),SKUs!$E$2:$E$10001)), 0),"")</f>
        <v/>
      </c>
      <c r="E2296" s="35" t="str">
        <f>_xlfn.XLOOKUP(F2296,dd_item!$B$2:$B$105,dd_item!$C$2:$C$105,"",0)</f>
        <v/>
      </c>
      <c r="F2296" s="35"/>
      <c r="G2296" s="35" cm="1">
        <f t="array" ref="G2296">IFERROR(_xlfn.XLOOKUP(1, (SKUs!$J$2:$J$10001=accsry_unmerged!F2296)*IF(H2296&lt;&gt;"",(SKUs!$L$2:$L$10001=accsry_unmerged!H2296),1)*(SKUs!$K$2:$K$10001=I2296),SKUs!$C$2:$C$10001),"")</f>
        <v>0</v>
      </c>
      <c r="H2296" s="36" cm="1">
        <f t="array" ref="H2296">IFERROR(_xlfn.XLOOKUP(1, (dd_accsryclr!$C$2:$C$1000=accsry_unmerged!F2296)*(dd_accsryclr!$B$2:$B$1000=accsry_unmerged!J2296),dd_accsryclr!$A$2:$A$1000),"")</f>
        <v>0</v>
      </c>
      <c r="I2296" s="35">
        <f>_xlfn.XLOOKUP(C2296,'Project Details'!$C$17:$C$66,'Project Details'!$E$17:$E$66,"",0)</f>
        <v>0</v>
      </c>
      <c r="J2296" s="35">
        <f>_xlfn.XLOOKUP(C2296,'Project Details'!$C$17:$C$66,'Project Details'!$H$17:$H$66,"",0)</f>
        <v>0</v>
      </c>
      <c r="K2296" s="36" t="str">
        <f>IF(AND(_xlfn.XLOOKUP(C2296,'Project Details'!$C$17:$C$66,'Project Details'!$L$17:$L$66,"",0)&gt;550, F2296="Spring-L27cm"),"",SUBSTITUTE(_xlfn.XLOOKUP(G2296,SKUs!$C$2:$C$10001,SKUs!$F$2:$F$10001,"",0), " Accessories",""))</f>
        <v/>
      </c>
      <c r="L2296" s="36">
        <f>_xlfn.XLOOKUP(C2296,'Project Details'!$C$17:$C$66,'Project Details'!$D$17:$D$66,"",0)</f>
        <v>0</v>
      </c>
      <c r="M2296" s="43"/>
    </row>
    <row r="2297" spans="1:13" ht="13.5" customHeight="1" outlineLevel="1" x14ac:dyDescent="0.25">
      <c r="A2297" s="43"/>
      <c r="B2297" s="43"/>
      <c r="C2297" s="16">
        <f t="shared" si="44"/>
        <v>46</v>
      </c>
      <c r="D2297" s="16" t="str" cm="1">
        <f t="array" ref="D2297">IFERROR(ROUNDUP(_xlfn.IFS(F2297="Aluminum Track", _xlfn.XLOOKUP(C2297, dd_accsrycalc!$A$2:$A$51, dd_accsrycalc!$B$2:$B$51, "",0), F2297="10 x 2 1/2 S (Flat)", _xlfn.XLOOKUP(C2297, dd_accsrycalc!$A$2:$A$51, dd_accsrycalc!$C$2:$C$51, "",0), F2297="Tox6", _xlfn.XLOOKUP(C2297, dd_accsrycalc!$A$2:$A$51, dd_accsrycalc!$D$2:$D$51, "",0), F2297="Cover Cap", _xlfn.XLOOKUP(C2297, dd_accsrycalc!$A$2:$A$51, dd_accsrycalc!$E$2:$E$51, "",0), F2297="Drainage Cover", _xlfn.XLOOKUP(C2297, dd_accsrycalc!$A$2:$A$51, dd_accsrycalc!$F$2:$F$51, "",0),AND( F2297="Double Adhesive Tape", I2297="Roll-up Screen"), _xlfn.XLOOKUP(C2297, calc_rusacc!$C$15:$C$65, calc_rusacc!$AD$15:$AD$65, "",0),AND( F2297="Sealant", I2297="Roll-up Screen"), _xlfn.XLOOKUP(C2297, calc_rusacc!$C$15:$C$65, calc_rusacc!$AF$15:$AF$65, "",0),  AND( F2297="Main Chain", I2297="Accordion Screen"), _xlfn.XLOOKUP(C2297, calc_rusacc!$C$15:$C$65, calc_rusacc!$BF$15:$BF$65, "",0), AND( F2297="Sealant", I2297="Accordion Screen"), _xlfn.XLOOKUP(C2297, calc_rusacc!$C$15:$C$65, calc_rusacc!$BJ$15:$BJ$65, "",0),  F2297="Sealant", _xlfn.XLOOKUP(C2297, dd_accsrycalc!$A$2:$A$51, dd_accsrycalc!$G$2:$G$51, "",0),  F2297&lt;&gt;"",L2297*_xlfn.XLOOKUP(1, (SKUs!$C$2:$C$10001=G2297)*(SKUs!$K$2:$K$10001=I2297),SKUs!$E$2:$E$10001)), 0),"")</f>
        <v/>
      </c>
      <c r="E2297" s="16" t="str">
        <f>_xlfn.XLOOKUP(F2297,dd_item!$B$2:$B$105,dd_item!$C$2:$C$105,"",0)</f>
        <v/>
      </c>
      <c r="F2297" s="16"/>
      <c r="G2297" s="16" cm="1">
        <f t="array" ref="G2297">IFERROR(_xlfn.XLOOKUP(1, (SKUs!$J$2:$J$10001=accsry_unmerged!F2297)*IF(H2297&lt;&gt;"",(SKUs!$L$2:$L$10001=accsry_unmerged!H2297),1)*(SKUs!$K$2:$K$10001=I2297),SKUs!$C$2:$C$10001),"")</f>
        <v>0</v>
      </c>
      <c r="H2297" s="33" cm="1">
        <f t="array" ref="H2297">IFERROR(_xlfn.XLOOKUP(1, (dd_accsryclr!$C$2:$C$1000=accsry_unmerged!F2297)*(dd_accsryclr!$B$2:$B$1000=accsry_unmerged!J2297),dd_accsryclr!$A$2:$A$1000),"")</f>
        <v>0</v>
      </c>
      <c r="I2297" s="16">
        <f>_xlfn.XLOOKUP(C2297,'Project Details'!$C$17:$C$66,'Project Details'!$E$17:$E$66,"",0)</f>
        <v>0</v>
      </c>
      <c r="J2297" s="16">
        <f>_xlfn.XLOOKUP(C2297,'Project Details'!$C$17:$C$66,'Project Details'!$H$17:$H$66,"",0)</f>
        <v>0</v>
      </c>
      <c r="K2297" s="33" t="str">
        <f>IF(AND(_xlfn.XLOOKUP(C2297,'Project Details'!$C$17:$C$66,'Project Details'!$L$17:$L$66,"",0)&gt;550, F2297="Spring-L27cm"),"",SUBSTITUTE(_xlfn.XLOOKUP(G2297,SKUs!$C$2:$C$10001,SKUs!$F$2:$F$10001,"",0), " Accessories",""))</f>
        <v/>
      </c>
      <c r="L2297" s="33">
        <f>_xlfn.XLOOKUP(C2297,'Project Details'!$C$17:$C$66,'Project Details'!$D$17:$D$66,"",0)</f>
        <v>0</v>
      </c>
      <c r="M2297" s="43"/>
    </row>
    <row r="2298" spans="1:13" ht="13.5" customHeight="1" outlineLevel="1" x14ac:dyDescent="0.25">
      <c r="A2298" s="43"/>
      <c r="B2298" s="43"/>
      <c r="C2298" s="35">
        <f t="shared" si="44"/>
        <v>46</v>
      </c>
      <c r="D2298" s="35" t="str" cm="1">
        <f t="array" ref="D2298">IFERROR(ROUNDUP(_xlfn.IFS(F2298="Aluminum Track", _xlfn.XLOOKUP(C2298, dd_accsrycalc!$A$2:$A$51, dd_accsrycalc!$B$2:$B$51, "",0), F2298="10 x 2 1/2 S (Flat)", _xlfn.XLOOKUP(C2298, dd_accsrycalc!$A$2:$A$51, dd_accsrycalc!$C$2:$C$51, "",0), F2298="Tox6", _xlfn.XLOOKUP(C2298, dd_accsrycalc!$A$2:$A$51, dd_accsrycalc!$D$2:$D$51, "",0), F2298="Cover Cap", _xlfn.XLOOKUP(C2298, dd_accsrycalc!$A$2:$A$51, dd_accsrycalc!$E$2:$E$51, "",0), F2298="Drainage Cover", _xlfn.XLOOKUP(C2298, dd_accsrycalc!$A$2:$A$51, dd_accsrycalc!$F$2:$F$51, "",0),AND( F2298="Double Adhesive Tape", I2298="Roll-up Screen"), _xlfn.XLOOKUP(C2298, calc_rusacc!$C$15:$C$65, calc_rusacc!$AD$15:$AD$65, "",0),AND( F2298="Sealant", I2298="Roll-up Screen"), _xlfn.XLOOKUP(C2298, calc_rusacc!$C$15:$C$65, calc_rusacc!$AF$15:$AF$65, "",0),  AND( F2298="Main Chain", I2298="Accordion Screen"), _xlfn.XLOOKUP(C2298, calc_rusacc!$C$15:$C$65, calc_rusacc!$BF$15:$BF$65, "",0), AND( F2298="Sealant", I2298="Accordion Screen"), _xlfn.XLOOKUP(C2298, calc_rusacc!$C$15:$C$65, calc_rusacc!$BJ$15:$BJ$65, "",0),  F2298="Sealant", _xlfn.XLOOKUP(C2298, dd_accsrycalc!$A$2:$A$51, dd_accsrycalc!$G$2:$G$51, "",0),  F2298&lt;&gt;"",L2298*_xlfn.XLOOKUP(1, (SKUs!$C$2:$C$10001=G2298)*(SKUs!$K$2:$K$10001=I2298),SKUs!$E$2:$E$10001)), 0),"")</f>
        <v/>
      </c>
      <c r="E2298" s="35" t="str">
        <f>_xlfn.XLOOKUP(F2298,dd_item!$B$2:$B$105,dd_item!$C$2:$C$105,"",0)</f>
        <v/>
      </c>
      <c r="F2298" s="35"/>
      <c r="G2298" s="35" cm="1">
        <f t="array" ref="G2298">IFERROR(_xlfn.XLOOKUP(1, (SKUs!$J$2:$J$10001=accsry_unmerged!F2298)*IF(H2298&lt;&gt;"",(SKUs!$L$2:$L$10001=accsry_unmerged!H2298),1)*(SKUs!$K$2:$K$10001=I2298),SKUs!$C$2:$C$10001),"")</f>
        <v>0</v>
      </c>
      <c r="H2298" s="36" cm="1">
        <f t="array" ref="H2298">IFERROR(_xlfn.XLOOKUP(1, (dd_accsryclr!$C$2:$C$1000=accsry_unmerged!F2298)*(dd_accsryclr!$B$2:$B$1000=accsry_unmerged!J2298),dd_accsryclr!$A$2:$A$1000),"")</f>
        <v>0</v>
      </c>
      <c r="I2298" s="35">
        <f>_xlfn.XLOOKUP(C2298,'Project Details'!$C$17:$C$66,'Project Details'!$E$17:$E$66,"",0)</f>
        <v>0</v>
      </c>
      <c r="J2298" s="35">
        <f>_xlfn.XLOOKUP(C2298,'Project Details'!$C$17:$C$66,'Project Details'!$H$17:$H$66,"",0)</f>
        <v>0</v>
      </c>
      <c r="K2298" s="36" t="str">
        <f>IF(AND(_xlfn.XLOOKUP(C2298,'Project Details'!$C$17:$C$66,'Project Details'!$L$17:$L$66,"",0)&gt;550, F2298="Spring-L27cm"),"",SUBSTITUTE(_xlfn.XLOOKUP(G2298,SKUs!$C$2:$C$10001,SKUs!$F$2:$F$10001,"",0), " Accessories",""))</f>
        <v/>
      </c>
      <c r="L2298" s="36">
        <f>_xlfn.XLOOKUP(C2298,'Project Details'!$C$17:$C$66,'Project Details'!$D$17:$D$66,"",0)</f>
        <v>0</v>
      </c>
      <c r="M2298" s="43"/>
    </row>
    <row r="2299" spans="1:13" ht="13.5" customHeight="1" outlineLevel="1" x14ac:dyDescent="0.25">
      <c r="A2299" s="43"/>
      <c r="B2299" s="43"/>
      <c r="C2299" s="16">
        <f t="shared" si="44"/>
        <v>46</v>
      </c>
      <c r="D2299" s="16" t="str" cm="1">
        <f t="array" ref="D2299">IFERROR(ROUNDUP(_xlfn.IFS(F2299="Aluminum Track", _xlfn.XLOOKUP(C2299, dd_accsrycalc!$A$2:$A$51, dd_accsrycalc!$B$2:$B$51, "",0), F2299="10 x 2 1/2 S (Flat)", _xlfn.XLOOKUP(C2299, dd_accsrycalc!$A$2:$A$51, dd_accsrycalc!$C$2:$C$51, "",0), F2299="Tox6", _xlfn.XLOOKUP(C2299, dd_accsrycalc!$A$2:$A$51, dd_accsrycalc!$D$2:$D$51, "",0), F2299="Cover Cap", _xlfn.XLOOKUP(C2299, dd_accsrycalc!$A$2:$A$51, dd_accsrycalc!$E$2:$E$51, "",0), F2299="Drainage Cover", _xlfn.XLOOKUP(C2299, dd_accsrycalc!$A$2:$A$51, dd_accsrycalc!$F$2:$F$51, "",0),AND( F2299="Double Adhesive Tape", I2299="Roll-up Screen"), _xlfn.XLOOKUP(C2299, calc_rusacc!$C$15:$C$65, calc_rusacc!$AD$15:$AD$65, "",0),AND( F2299="Sealant", I2299="Roll-up Screen"), _xlfn.XLOOKUP(C2299, calc_rusacc!$C$15:$C$65, calc_rusacc!$AF$15:$AF$65, "",0),  AND( F2299="Main Chain", I2299="Accordion Screen"), _xlfn.XLOOKUP(C2299, calc_rusacc!$C$15:$C$65, calc_rusacc!$BF$15:$BF$65, "",0), AND( F2299="Sealant", I2299="Accordion Screen"), _xlfn.XLOOKUP(C2299, calc_rusacc!$C$15:$C$65, calc_rusacc!$BJ$15:$BJ$65, "",0),  F2299="Sealant", _xlfn.XLOOKUP(C2299, dd_accsrycalc!$A$2:$A$51, dd_accsrycalc!$G$2:$G$51, "",0),  F2299&lt;&gt;"",L2299*_xlfn.XLOOKUP(1, (SKUs!$C$2:$C$10001=G2299)*(SKUs!$K$2:$K$10001=I2299),SKUs!$E$2:$E$10001)), 0),"")</f>
        <v/>
      </c>
      <c r="E2299" s="16" t="str">
        <f>_xlfn.XLOOKUP(F2299,dd_item!$B$2:$B$105,dd_item!$C$2:$C$105,"",0)</f>
        <v/>
      </c>
      <c r="F2299" s="16"/>
      <c r="G2299" s="16" cm="1">
        <f t="array" ref="G2299">IFERROR(_xlfn.XLOOKUP(1, (SKUs!$J$2:$J$10001=accsry_unmerged!F2299)*IF(H2299&lt;&gt;"",(SKUs!$L$2:$L$10001=accsry_unmerged!H2299),1)*(SKUs!$K$2:$K$10001=I2299),SKUs!$C$2:$C$10001),"")</f>
        <v>0</v>
      </c>
      <c r="H2299" s="33" cm="1">
        <f t="array" ref="H2299">IFERROR(_xlfn.XLOOKUP(1, (dd_accsryclr!$C$2:$C$1000=accsry_unmerged!F2299)*(dd_accsryclr!$B$2:$B$1000=accsry_unmerged!J2299),dd_accsryclr!$A$2:$A$1000),"")</f>
        <v>0</v>
      </c>
      <c r="I2299" s="16">
        <f>_xlfn.XLOOKUP(C2299,'Project Details'!$C$17:$C$66,'Project Details'!$E$17:$E$66,"",0)</f>
        <v>0</v>
      </c>
      <c r="J2299" s="16">
        <f>_xlfn.XLOOKUP(C2299,'Project Details'!$C$17:$C$66,'Project Details'!$H$17:$H$66,"",0)</f>
        <v>0</v>
      </c>
      <c r="K2299" s="33" t="str">
        <f>IF(AND(_xlfn.XLOOKUP(C2299,'Project Details'!$C$17:$C$66,'Project Details'!$L$17:$L$66,"",0)&gt;550, F2299="Spring-L27cm"),"",SUBSTITUTE(_xlfn.XLOOKUP(G2299,SKUs!$C$2:$C$10001,SKUs!$F$2:$F$10001,"",0), " Accessories",""))</f>
        <v/>
      </c>
      <c r="L2299" s="33">
        <f>_xlfn.XLOOKUP(C2299,'Project Details'!$C$17:$C$66,'Project Details'!$D$17:$D$66,"",0)</f>
        <v>0</v>
      </c>
      <c r="M2299" s="43"/>
    </row>
    <row r="2300" spans="1:13" ht="13.5" customHeight="1" outlineLevel="1" x14ac:dyDescent="0.25">
      <c r="A2300" s="43"/>
      <c r="B2300" s="43"/>
      <c r="C2300" s="35">
        <f t="shared" si="44"/>
        <v>46</v>
      </c>
      <c r="D2300" s="35" t="str" cm="1">
        <f t="array" ref="D2300">IFERROR(ROUNDUP(_xlfn.IFS(F2300="Aluminum Track", _xlfn.XLOOKUP(C2300, dd_accsrycalc!$A$2:$A$51, dd_accsrycalc!$B$2:$B$51, "",0), F2300="10 x 2 1/2 S (Flat)", _xlfn.XLOOKUP(C2300, dd_accsrycalc!$A$2:$A$51, dd_accsrycalc!$C$2:$C$51, "",0), F2300="Tox6", _xlfn.XLOOKUP(C2300, dd_accsrycalc!$A$2:$A$51, dd_accsrycalc!$D$2:$D$51, "",0), F2300="Cover Cap", _xlfn.XLOOKUP(C2300, dd_accsrycalc!$A$2:$A$51, dd_accsrycalc!$E$2:$E$51, "",0), F2300="Drainage Cover", _xlfn.XLOOKUP(C2300, dd_accsrycalc!$A$2:$A$51, dd_accsrycalc!$F$2:$F$51, "",0),AND( F2300="Double Adhesive Tape", I2300="Roll-up Screen"), _xlfn.XLOOKUP(C2300, calc_rusacc!$C$15:$C$65, calc_rusacc!$AD$15:$AD$65, "",0),AND( F2300="Sealant", I2300="Roll-up Screen"), _xlfn.XLOOKUP(C2300, calc_rusacc!$C$15:$C$65, calc_rusacc!$AF$15:$AF$65, "",0),  AND( F2300="Main Chain", I2300="Accordion Screen"), _xlfn.XLOOKUP(C2300, calc_rusacc!$C$15:$C$65, calc_rusacc!$BF$15:$BF$65, "",0), AND( F2300="Sealant", I2300="Accordion Screen"), _xlfn.XLOOKUP(C2300, calc_rusacc!$C$15:$C$65, calc_rusacc!$BJ$15:$BJ$65, "",0),  F2300="Sealant", _xlfn.XLOOKUP(C2300, dd_accsrycalc!$A$2:$A$51, dd_accsrycalc!$G$2:$G$51, "",0),  F2300&lt;&gt;"",L2300*_xlfn.XLOOKUP(1, (SKUs!$C$2:$C$10001=G2300)*(SKUs!$K$2:$K$10001=I2300),SKUs!$E$2:$E$10001)), 0),"")</f>
        <v/>
      </c>
      <c r="E2300" s="35" t="str">
        <f>_xlfn.XLOOKUP(F2300,dd_item!$B$2:$B$105,dd_item!$C$2:$C$105,"",0)</f>
        <v/>
      </c>
      <c r="F2300" s="35"/>
      <c r="G2300" s="35" cm="1">
        <f t="array" ref="G2300">IFERROR(_xlfn.XLOOKUP(1, (SKUs!$J$2:$J$10001=accsry_unmerged!F2300)*IF(H2300&lt;&gt;"",(SKUs!$L$2:$L$10001=accsry_unmerged!H2300),1)*(SKUs!$K$2:$K$10001=I2300),SKUs!$C$2:$C$10001),"")</f>
        <v>0</v>
      </c>
      <c r="H2300" s="36" cm="1">
        <f t="array" ref="H2300">IFERROR(_xlfn.XLOOKUP(1, (dd_accsryclr!$C$2:$C$1000=accsry_unmerged!F2300)*(dd_accsryclr!$B$2:$B$1000=accsry_unmerged!J2300),dd_accsryclr!$A$2:$A$1000),"")</f>
        <v>0</v>
      </c>
      <c r="I2300" s="35">
        <f>_xlfn.XLOOKUP(C2300,'Project Details'!$C$17:$C$66,'Project Details'!$E$17:$E$66,"",0)</f>
        <v>0</v>
      </c>
      <c r="J2300" s="35">
        <f>_xlfn.XLOOKUP(C2300,'Project Details'!$C$17:$C$66,'Project Details'!$H$17:$H$66,"",0)</f>
        <v>0</v>
      </c>
      <c r="K2300" s="36" t="str">
        <f>IF(AND(_xlfn.XLOOKUP(C2300,'Project Details'!$C$17:$C$66,'Project Details'!$L$17:$L$66,"",0)&gt;550, F2300="Spring-L27cm"),"",SUBSTITUTE(_xlfn.XLOOKUP(G2300,SKUs!$C$2:$C$10001,SKUs!$F$2:$F$10001,"",0), " Accessories",""))</f>
        <v/>
      </c>
      <c r="L2300" s="36">
        <f>_xlfn.XLOOKUP(C2300,'Project Details'!$C$17:$C$66,'Project Details'!$D$17:$D$66,"",0)</f>
        <v>0</v>
      </c>
      <c r="M2300" s="43"/>
    </row>
    <row r="2301" spans="1:13" ht="13.5" customHeight="1" outlineLevel="1" x14ac:dyDescent="0.25">
      <c r="A2301" s="43"/>
      <c r="B2301" s="43"/>
      <c r="C2301" s="16">
        <f t="shared" si="44"/>
        <v>46</v>
      </c>
      <c r="D2301" s="16" t="str" cm="1">
        <f t="array" ref="D2301">IFERROR(ROUNDUP(_xlfn.IFS(F2301="Aluminum Track", _xlfn.XLOOKUP(C2301, dd_accsrycalc!$A$2:$A$51, dd_accsrycalc!$B$2:$B$51, "",0), F2301="10 x 2 1/2 S (Flat)", _xlfn.XLOOKUP(C2301, dd_accsrycalc!$A$2:$A$51, dd_accsrycalc!$C$2:$C$51, "",0), F2301="Tox6", _xlfn.XLOOKUP(C2301, dd_accsrycalc!$A$2:$A$51, dd_accsrycalc!$D$2:$D$51, "",0), F2301="Cover Cap", _xlfn.XLOOKUP(C2301, dd_accsrycalc!$A$2:$A$51, dd_accsrycalc!$E$2:$E$51, "",0), F2301="Drainage Cover", _xlfn.XLOOKUP(C2301, dd_accsrycalc!$A$2:$A$51, dd_accsrycalc!$F$2:$F$51, "",0),AND( F2301="Double Adhesive Tape", I2301="Roll-up Screen"), _xlfn.XLOOKUP(C2301, calc_rusacc!$C$15:$C$65, calc_rusacc!$AD$15:$AD$65, "",0),AND( F2301="Sealant", I2301="Roll-up Screen"), _xlfn.XLOOKUP(C2301, calc_rusacc!$C$15:$C$65, calc_rusacc!$AF$15:$AF$65, "",0),  AND( F2301="Main Chain", I2301="Accordion Screen"), _xlfn.XLOOKUP(C2301, calc_rusacc!$C$15:$C$65, calc_rusacc!$BF$15:$BF$65, "",0), AND( F2301="Sealant", I2301="Accordion Screen"), _xlfn.XLOOKUP(C2301, calc_rusacc!$C$15:$C$65, calc_rusacc!$BJ$15:$BJ$65, "",0),  F2301="Sealant", _xlfn.XLOOKUP(C2301, dd_accsrycalc!$A$2:$A$51, dd_accsrycalc!$G$2:$G$51, "",0),  F2301&lt;&gt;"",L2301*_xlfn.XLOOKUP(1, (SKUs!$C$2:$C$10001=G2301)*(SKUs!$K$2:$K$10001=I2301),SKUs!$E$2:$E$10001)), 0),"")</f>
        <v/>
      </c>
      <c r="E2301" s="16" t="str">
        <f>_xlfn.XLOOKUP(F2301,dd_item!$B$2:$B$105,dd_item!$C$2:$C$105,"",0)</f>
        <v/>
      </c>
      <c r="F2301" s="16"/>
      <c r="G2301" s="16" cm="1">
        <f t="array" ref="G2301">IFERROR(_xlfn.XLOOKUP(1, (SKUs!$J$2:$J$10001=accsry_unmerged!F2301)*IF(H2301&lt;&gt;"",(SKUs!$L$2:$L$10001=accsry_unmerged!H2301),1)*(SKUs!$K$2:$K$10001=I2301),SKUs!$C$2:$C$10001),"")</f>
        <v>0</v>
      </c>
      <c r="H2301" s="33" cm="1">
        <f t="array" ref="H2301">IFERROR(_xlfn.XLOOKUP(1, (dd_accsryclr!$C$2:$C$1000=accsry_unmerged!F2301)*(dd_accsryclr!$B$2:$B$1000=accsry_unmerged!J2301),dd_accsryclr!$A$2:$A$1000),"")</f>
        <v>0</v>
      </c>
      <c r="I2301" s="16">
        <f>_xlfn.XLOOKUP(C2301,'Project Details'!$C$17:$C$66,'Project Details'!$E$17:$E$66,"",0)</f>
        <v>0</v>
      </c>
      <c r="J2301" s="16">
        <f>_xlfn.XLOOKUP(C2301,'Project Details'!$C$17:$C$66,'Project Details'!$H$17:$H$66,"",0)</f>
        <v>0</v>
      </c>
      <c r="K2301" s="33" t="str">
        <f>IF(AND(_xlfn.XLOOKUP(C2301,'Project Details'!$C$17:$C$66,'Project Details'!$L$17:$L$66,"",0)&gt;550, F2301="Spring-L27cm"),"",SUBSTITUTE(_xlfn.XLOOKUP(G2301,SKUs!$C$2:$C$10001,SKUs!$F$2:$F$10001,"",0), " Accessories",""))</f>
        <v/>
      </c>
      <c r="L2301" s="33">
        <f>_xlfn.XLOOKUP(C2301,'Project Details'!$C$17:$C$66,'Project Details'!$D$17:$D$66,"",0)</f>
        <v>0</v>
      </c>
      <c r="M2301" s="43"/>
    </row>
    <row r="2302" spans="1:13" ht="13.5" customHeight="1" outlineLevel="1" x14ac:dyDescent="0.25">
      <c r="A2302" s="43"/>
      <c r="B2302" s="43"/>
      <c r="C2302" s="35">
        <f t="shared" si="44"/>
        <v>46</v>
      </c>
      <c r="D2302" s="35" t="str" cm="1">
        <f t="array" ref="D2302">IFERROR(ROUNDUP(_xlfn.IFS(F2302="Aluminum Track", _xlfn.XLOOKUP(C2302, dd_accsrycalc!$A$2:$A$51, dd_accsrycalc!$B$2:$B$51, "",0), F2302="10 x 2 1/2 S (Flat)", _xlfn.XLOOKUP(C2302, dd_accsrycalc!$A$2:$A$51, dd_accsrycalc!$C$2:$C$51, "",0), F2302="Tox6", _xlfn.XLOOKUP(C2302, dd_accsrycalc!$A$2:$A$51, dd_accsrycalc!$D$2:$D$51, "",0), F2302="Cover Cap", _xlfn.XLOOKUP(C2302, dd_accsrycalc!$A$2:$A$51, dd_accsrycalc!$E$2:$E$51, "",0), F2302="Drainage Cover", _xlfn.XLOOKUP(C2302, dd_accsrycalc!$A$2:$A$51, dd_accsrycalc!$F$2:$F$51, "",0),AND( F2302="Double Adhesive Tape", I2302="Roll-up Screen"), _xlfn.XLOOKUP(C2302, calc_rusacc!$C$15:$C$65, calc_rusacc!$AD$15:$AD$65, "",0),AND( F2302="Sealant", I2302="Roll-up Screen"), _xlfn.XLOOKUP(C2302, calc_rusacc!$C$15:$C$65, calc_rusacc!$AF$15:$AF$65, "",0),  AND( F2302="Main Chain", I2302="Accordion Screen"), _xlfn.XLOOKUP(C2302, calc_rusacc!$C$15:$C$65, calc_rusacc!$BF$15:$BF$65, "",0), AND( F2302="Sealant", I2302="Accordion Screen"), _xlfn.XLOOKUP(C2302, calc_rusacc!$C$15:$C$65, calc_rusacc!$BJ$15:$BJ$65, "",0),  F2302="Sealant", _xlfn.XLOOKUP(C2302, dd_accsrycalc!$A$2:$A$51, dd_accsrycalc!$G$2:$G$51, "",0),  F2302&lt;&gt;"",L2302*_xlfn.XLOOKUP(1, (SKUs!$C$2:$C$10001=G2302)*(SKUs!$K$2:$K$10001=I2302),SKUs!$E$2:$E$10001)), 0),"")</f>
        <v/>
      </c>
      <c r="E2302" s="35" t="str">
        <f>_xlfn.XLOOKUP(F2302,dd_item!$B$2:$B$105,dd_item!$C$2:$C$105,"",0)</f>
        <v/>
      </c>
      <c r="F2302" s="35"/>
      <c r="G2302" s="35" cm="1">
        <f t="array" ref="G2302">IFERROR(_xlfn.XLOOKUP(1, (SKUs!$J$2:$J$10001=accsry_unmerged!F2302)*IF(H2302&lt;&gt;"",(SKUs!$L$2:$L$10001=accsry_unmerged!H2302),1)*(SKUs!$K$2:$K$10001=I2302),SKUs!$C$2:$C$10001),"")</f>
        <v>0</v>
      </c>
      <c r="H2302" s="36" cm="1">
        <f t="array" ref="H2302">IFERROR(_xlfn.XLOOKUP(1, (dd_accsryclr!$C$2:$C$1000=accsry_unmerged!F2302)*(dd_accsryclr!$B$2:$B$1000=accsry_unmerged!J2302),dd_accsryclr!$A$2:$A$1000),"")</f>
        <v>0</v>
      </c>
      <c r="I2302" s="35">
        <f>_xlfn.XLOOKUP(C2302,'Project Details'!$C$17:$C$66,'Project Details'!$E$17:$E$66,"",0)</f>
        <v>0</v>
      </c>
      <c r="J2302" s="35">
        <f>_xlfn.XLOOKUP(C2302,'Project Details'!$C$17:$C$66,'Project Details'!$H$17:$H$66,"",0)</f>
        <v>0</v>
      </c>
      <c r="K2302" s="36" t="str">
        <f>IF(AND(_xlfn.XLOOKUP(C2302,'Project Details'!$C$17:$C$66,'Project Details'!$L$17:$L$66,"",0)&gt;550, F2302="Spring-L27cm"),"",SUBSTITUTE(_xlfn.XLOOKUP(G2302,SKUs!$C$2:$C$10001,SKUs!$F$2:$F$10001,"",0), " Accessories",""))</f>
        <v/>
      </c>
      <c r="L2302" s="36">
        <f>_xlfn.XLOOKUP(C2302,'Project Details'!$C$17:$C$66,'Project Details'!$D$17:$D$66,"",0)</f>
        <v>0</v>
      </c>
      <c r="M2302" s="43"/>
    </row>
    <row r="2303" spans="1:13" ht="13.5" customHeight="1" outlineLevel="1" x14ac:dyDescent="0.25">
      <c r="A2303" s="43"/>
      <c r="B2303" s="43"/>
      <c r="C2303" s="16">
        <f t="shared" si="44"/>
        <v>46</v>
      </c>
      <c r="D2303" s="16" t="str" cm="1">
        <f t="array" ref="D2303">IFERROR(ROUNDUP(_xlfn.IFS(F2303="Aluminum Track", _xlfn.XLOOKUP(C2303, dd_accsrycalc!$A$2:$A$51, dd_accsrycalc!$B$2:$B$51, "",0), F2303="10 x 2 1/2 S (Flat)", _xlfn.XLOOKUP(C2303, dd_accsrycalc!$A$2:$A$51, dd_accsrycalc!$C$2:$C$51, "",0), F2303="Tox6", _xlfn.XLOOKUP(C2303, dd_accsrycalc!$A$2:$A$51, dd_accsrycalc!$D$2:$D$51, "",0), F2303="Cover Cap", _xlfn.XLOOKUP(C2303, dd_accsrycalc!$A$2:$A$51, dd_accsrycalc!$E$2:$E$51, "",0), F2303="Drainage Cover", _xlfn.XLOOKUP(C2303, dd_accsrycalc!$A$2:$A$51, dd_accsrycalc!$F$2:$F$51, "",0),AND( F2303="Double Adhesive Tape", I2303="Roll-up Screen"), _xlfn.XLOOKUP(C2303, calc_rusacc!$C$15:$C$65, calc_rusacc!$AD$15:$AD$65, "",0),AND( F2303="Sealant", I2303="Roll-up Screen"), _xlfn.XLOOKUP(C2303, calc_rusacc!$C$15:$C$65, calc_rusacc!$AF$15:$AF$65, "",0),  AND( F2303="Main Chain", I2303="Accordion Screen"), _xlfn.XLOOKUP(C2303, calc_rusacc!$C$15:$C$65, calc_rusacc!$BF$15:$BF$65, "",0), AND( F2303="Sealant", I2303="Accordion Screen"), _xlfn.XLOOKUP(C2303, calc_rusacc!$C$15:$C$65, calc_rusacc!$BJ$15:$BJ$65, "",0),  F2303="Sealant", _xlfn.XLOOKUP(C2303, dd_accsrycalc!$A$2:$A$51, dd_accsrycalc!$G$2:$G$51, "",0),  F2303&lt;&gt;"",L2303*_xlfn.XLOOKUP(1, (SKUs!$C$2:$C$10001=G2303)*(SKUs!$K$2:$K$10001=I2303),SKUs!$E$2:$E$10001)), 0),"")</f>
        <v/>
      </c>
      <c r="E2303" s="16" t="str">
        <f>_xlfn.XLOOKUP(F2303,dd_item!$B$2:$B$105,dd_item!$C$2:$C$105,"",0)</f>
        <v/>
      </c>
      <c r="F2303" s="16"/>
      <c r="G2303" s="16" cm="1">
        <f t="array" ref="G2303">IFERROR(_xlfn.XLOOKUP(1, (SKUs!$J$2:$J$10001=accsry_unmerged!F2303)*IF(H2303&lt;&gt;"",(SKUs!$L$2:$L$10001=accsry_unmerged!H2303),1)*(SKUs!$K$2:$K$10001=I2303),SKUs!$C$2:$C$10001),"")</f>
        <v>0</v>
      </c>
      <c r="H2303" s="33" cm="1">
        <f t="array" ref="H2303">IFERROR(_xlfn.XLOOKUP(1, (dd_accsryclr!$C$2:$C$1000=accsry_unmerged!F2303)*(dd_accsryclr!$B$2:$B$1000=accsry_unmerged!J2303),dd_accsryclr!$A$2:$A$1000),"")</f>
        <v>0</v>
      </c>
      <c r="I2303" s="16">
        <f>_xlfn.XLOOKUP(C2303,'Project Details'!$C$17:$C$66,'Project Details'!$E$17:$E$66,"",0)</f>
        <v>0</v>
      </c>
      <c r="J2303" s="16">
        <f>_xlfn.XLOOKUP(C2303,'Project Details'!$C$17:$C$66,'Project Details'!$H$17:$H$66,"",0)</f>
        <v>0</v>
      </c>
      <c r="K2303" s="33" t="str">
        <f>IF(AND(_xlfn.XLOOKUP(C2303,'Project Details'!$C$17:$C$66,'Project Details'!$L$17:$L$66,"",0)&gt;550, F2303="Spring-L27cm"),"",SUBSTITUTE(_xlfn.XLOOKUP(G2303,SKUs!$C$2:$C$10001,SKUs!$F$2:$F$10001,"",0), " Accessories",""))</f>
        <v/>
      </c>
      <c r="L2303" s="33">
        <f>_xlfn.XLOOKUP(C2303,'Project Details'!$C$17:$C$66,'Project Details'!$D$17:$D$66,"",0)</f>
        <v>0</v>
      </c>
      <c r="M2303" s="43"/>
    </row>
    <row r="2304" spans="1:13" ht="13.5" customHeight="1" outlineLevel="1" x14ac:dyDescent="0.25">
      <c r="A2304" s="43"/>
      <c r="B2304" s="43"/>
      <c r="C2304" s="35">
        <f t="shared" si="44"/>
        <v>46</v>
      </c>
      <c r="D2304" s="35" t="str" cm="1">
        <f t="array" ref="D2304">IFERROR(ROUNDUP(_xlfn.IFS(F2304="Aluminum Track", _xlfn.XLOOKUP(C2304, dd_accsrycalc!$A$2:$A$51, dd_accsrycalc!$B$2:$B$51, "",0), F2304="10 x 2 1/2 S (Flat)", _xlfn.XLOOKUP(C2304, dd_accsrycalc!$A$2:$A$51, dd_accsrycalc!$C$2:$C$51, "",0), F2304="Tox6", _xlfn.XLOOKUP(C2304, dd_accsrycalc!$A$2:$A$51, dd_accsrycalc!$D$2:$D$51, "",0), F2304="Cover Cap", _xlfn.XLOOKUP(C2304, dd_accsrycalc!$A$2:$A$51, dd_accsrycalc!$E$2:$E$51, "",0), F2304="Drainage Cover", _xlfn.XLOOKUP(C2304, dd_accsrycalc!$A$2:$A$51, dd_accsrycalc!$F$2:$F$51, "",0),AND( F2304="Double Adhesive Tape", I2304="Roll-up Screen"), _xlfn.XLOOKUP(C2304, calc_rusacc!$C$15:$C$65, calc_rusacc!$AD$15:$AD$65, "",0),AND( F2304="Sealant", I2304="Roll-up Screen"), _xlfn.XLOOKUP(C2304, calc_rusacc!$C$15:$C$65, calc_rusacc!$AF$15:$AF$65, "",0),  AND( F2304="Main Chain", I2304="Accordion Screen"), _xlfn.XLOOKUP(C2304, calc_rusacc!$C$15:$C$65, calc_rusacc!$BF$15:$BF$65, "",0), AND( F2304="Sealant", I2304="Accordion Screen"), _xlfn.XLOOKUP(C2304, calc_rusacc!$C$15:$C$65, calc_rusacc!$BJ$15:$BJ$65, "",0),  F2304="Sealant", _xlfn.XLOOKUP(C2304, dd_accsrycalc!$A$2:$A$51, dd_accsrycalc!$G$2:$G$51, "",0),  F2304&lt;&gt;"",L2304*_xlfn.XLOOKUP(1, (SKUs!$C$2:$C$10001=G2304)*(SKUs!$K$2:$K$10001=I2304),SKUs!$E$2:$E$10001)), 0),"")</f>
        <v/>
      </c>
      <c r="E2304" s="35" t="str">
        <f>_xlfn.XLOOKUP(F2304,dd_item!$B$2:$B$105,dd_item!$C$2:$C$105,"",0)</f>
        <v/>
      </c>
      <c r="F2304" s="35"/>
      <c r="G2304" s="35" cm="1">
        <f t="array" ref="G2304">IFERROR(_xlfn.XLOOKUP(1, (SKUs!$J$2:$J$10001=accsry_unmerged!F2304)*IF(H2304&lt;&gt;"",(SKUs!$L$2:$L$10001=accsry_unmerged!H2304),1)*(SKUs!$K$2:$K$10001=I2304),SKUs!$C$2:$C$10001),"")</f>
        <v>0</v>
      </c>
      <c r="H2304" s="36" cm="1">
        <f t="array" ref="H2304">IFERROR(_xlfn.XLOOKUP(1, (dd_accsryclr!$C$2:$C$1000=accsry_unmerged!F2304)*(dd_accsryclr!$B$2:$B$1000=accsry_unmerged!J2304),dd_accsryclr!$A$2:$A$1000),"")</f>
        <v>0</v>
      </c>
      <c r="I2304" s="35">
        <f>_xlfn.XLOOKUP(C2304,'Project Details'!$C$17:$C$66,'Project Details'!$E$17:$E$66,"",0)</f>
        <v>0</v>
      </c>
      <c r="J2304" s="35">
        <f>_xlfn.XLOOKUP(C2304,'Project Details'!$C$17:$C$66,'Project Details'!$H$17:$H$66,"",0)</f>
        <v>0</v>
      </c>
      <c r="K2304" s="36" t="str">
        <f>IF(AND(_xlfn.XLOOKUP(C2304,'Project Details'!$C$17:$C$66,'Project Details'!$L$17:$L$66,"",0)&gt;550, F2304="Spring-L27cm"),"",SUBSTITUTE(_xlfn.XLOOKUP(G2304,SKUs!$C$2:$C$10001,SKUs!$F$2:$F$10001,"",0), " Accessories",""))</f>
        <v/>
      </c>
      <c r="L2304" s="36">
        <f>_xlfn.XLOOKUP(C2304,'Project Details'!$C$17:$C$66,'Project Details'!$D$17:$D$66,"",0)</f>
        <v>0</v>
      </c>
      <c r="M2304" s="43"/>
    </row>
    <row r="2305" spans="1:13" ht="13.5" customHeight="1" outlineLevel="1" collapsed="1" x14ac:dyDescent="0.25">
      <c r="A2305" s="43"/>
      <c r="B2305" s="43"/>
      <c r="C2305" s="16">
        <f t="shared" si="44"/>
        <v>46</v>
      </c>
      <c r="D2305" s="16" t="str" cm="1">
        <f t="array" ref="D2305">IFERROR(ROUNDUP(_xlfn.IFS(F2305="Aluminum Track", _xlfn.XLOOKUP(C2305, dd_accsrycalc!$A$2:$A$51, dd_accsrycalc!$B$2:$B$51, "",0), F2305="10 x 2 1/2 S (Flat)", _xlfn.XLOOKUP(C2305, dd_accsrycalc!$A$2:$A$51, dd_accsrycalc!$C$2:$C$51, "",0), F2305="Tox6", _xlfn.XLOOKUP(C2305, dd_accsrycalc!$A$2:$A$51, dd_accsrycalc!$D$2:$D$51, "",0), F2305="Cover Cap", _xlfn.XLOOKUP(C2305, dd_accsrycalc!$A$2:$A$51, dd_accsrycalc!$E$2:$E$51, "",0), F2305="Drainage Cover", _xlfn.XLOOKUP(C2305, dd_accsrycalc!$A$2:$A$51, dd_accsrycalc!$F$2:$F$51, "",0),AND( F2305="Double Adhesive Tape", I2305="Roll-up Screen"), _xlfn.XLOOKUP(C2305, calc_rusacc!$C$15:$C$65, calc_rusacc!$AD$15:$AD$65, "",0),AND( F2305="Sealant", I2305="Roll-up Screen"), _xlfn.XLOOKUP(C2305, calc_rusacc!$C$15:$C$65, calc_rusacc!$AF$15:$AF$65, "",0),  AND( F2305="Main Chain", I2305="Accordion Screen"), _xlfn.XLOOKUP(C2305, calc_rusacc!$C$15:$C$65, calc_rusacc!$BF$15:$BF$65, "",0), AND( F2305="Sealant", I2305="Accordion Screen"), _xlfn.XLOOKUP(C2305, calc_rusacc!$C$15:$C$65, calc_rusacc!$BJ$15:$BJ$65, "",0),  F2305="Sealant", _xlfn.XLOOKUP(C2305, dd_accsrycalc!$A$2:$A$51, dd_accsrycalc!$G$2:$G$51, "",0),  F2305&lt;&gt;"",L2305*_xlfn.XLOOKUP(1, (SKUs!$C$2:$C$10001=G2305)*(SKUs!$K$2:$K$10001=I2305),SKUs!$E$2:$E$10001)), 0),"")</f>
        <v/>
      </c>
      <c r="E2305" s="16" t="str">
        <f>_xlfn.XLOOKUP(F2305,dd_item!$B$2:$B$105,dd_item!$C$2:$C$105,"",0)</f>
        <v/>
      </c>
      <c r="F2305" s="16"/>
      <c r="G2305" s="16" cm="1">
        <f t="array" ref="G2305">IFERROR(_xlfn.XLOOKUP(1, (SKUs!$J$2:$J$10001=accsry_unmerged!F2305)*IF(H2305&lt;&gt;"",(SKUs!$L$2:$L$10001=accsry_unmerged!H2305),1)*(SKUs!$K$2:$K$10001=I2305),SKUs!$C$2:$C$10001),"")</f>
        <v>0</v>
      </c>
      <c r="H2305" s="33" cm="1">
        <f t="array" ref="H2305">IFERROR(_xlfn.XLOOKUP(1, (dd_accsryclr!$C$2:$C$1000=accsry_unmerged!F2305)*(dd_accsryclr!$B$2:$B$1000=accsry_unmerged!J2305),dd_accsryclr!$A$2:$A$1000),"")</f>
        <v>0</v>
      </c>
      <c r="I2305" s="16">
        <f>_xlfn.XLOOKUP(C2305,'Project Details'!$C$17:$C$66,'Project Details'!$E$17:$E$66,"",0)</f>
        <v>0</v>
      </c>
      <c r="J2305" s="16">
        <f>_xlfn.XLOOKUP(C2305,'Project Details'!$C$17:$C$66,'Project Details'!$H$17:$H$66,"",0)</f>
        <v>0</v>
      </c>
      <c r="K2305" s="33" t="str">
        <f>IF(AND(_xlfn.XLOOKUP(C2305,'Project Details'!$C$17:$C$66,'Project Details'!$L$17:$L$66,"",0)&gt;550, F2305="Spring-L27cm"),"",SUBSTITUTE(_xlfn.XLOOKUP(G2305,SKUs!$C$2:$C$10001,SKUs!$F$2:$F$10001,"",0), " Accessories",""))</f>
        <v/>
      </c>
      <c r="L2305" s="33">
        <f>_xlfn.XLOOKUP(C2305,'Project Details'!$C$17:$C$66,'Project Details'!$D$17:$D$66,"",0)</f>
        <v>0</v>
      </c>
      <c r="M2305" s="43"/>
    </row>
    <row r="2306" spans="1:13" ht="13.5" customHeight="1" outlineLevel="1" x14ac:dyDescent="0.25">
      <c r="A2306" s="43"/>
      <c r="B2306" s="43"/>
      <c r="C2306" s="35">
        <f t="shared" si="44"/>
        <v>46</v>
      </c>
      <c r="D2306" s="35" t="str" cm="1">
        <f t="array" ref="D2306">IFERROR(ROUNDUP(_xlfn.IFS(F2306="Aluminum Track", _xlfn.XLOOKUP(C2306, dd_accsrycalc!$A$2:$A$51, dd_accsrycalc!$B$2:$B$51, "",0), F2306="10 x 2 1/2 S (Flat)", _xlfn.XLOOKUP(C2306, dd_accsrycalc!$A$2:$A$51, dd_accsrycalc!$C$2:$C$51, "",0), F2306="Tox6", _xlfn.XLOOKUP(C2306, dd_accsrycalc!$A$2:$A$51, dd_accsrycalc!$D$2:$D$51, "",0), F2306="Cover Cap", _xlfn.XLOOKUP(C2306, dd_accsrycalc!$A$2:$A$51, dd_accsrycalc!$E$2:$E$51, "",0), F2306="Drainage Cover", _xlfn.XLOOKUP(C2306, dd_accsrycalc!$A$2:$A$51, dd_accsrycalc!$F$2:$F$51, "",0),AND( F2306="Double Adhesive Tape", I2306="Roll-up Screen"), _xlfn.XLOOKUP(C2306, calc_rusacc!$C$15:$C$65, calc_rusacc!$AD$15:$AD$65, "",0),AND( F2306="Sealant", I2306="Roll-up Screen"), _xlfn.XLOOKUP(C2306, calc_rusacc!$C$15:$C$65, calc_rusacc!$AF$15:$AF$65, "",0),  AND( F2306="Main Chain", I2306="Accordion Screen"), _xlfn.XLOOKUP(C2306, calc_rusacc!$C$15:$C$65, calc_rusacc!$BF$15:$BF$65, "",0), AND( F2306="Sealant", I2306="Accordion Screen"), _xlfn.XLOOKUP(C2306, calc_rusacc!$C$15:$C$65, calc_rusacc!$BJ$15:$BJ$65, "",0),  F2306="Sealant", _xlfn.XLOOKUP(C2306, dd_accsrycalc!$A$2:$A$51, dd_accsrycalc!$G$2:$G$51, "",0),  F2306&lt;&gt;"",L2306*_xlfn.XLOOKUP(1, (SKUs!$C$2:$C$10001=G2306)*(SKUs!$K$2:$K$10001=I2306),SKUs!$E$2:$E$10001)), 0),"")</f>
        <v/>
      </c>
      <c r="E2306" s="35" t="str">
        <f>_xlfn.XLOOKUP(F2306,dd_item!$B$2:$B$105,dd_item!$C$2:$C$105,"",0)</f>
        <v/>
      </c>
      <c r="F2306" s="35"/>
      <c r="G2306" s="35" cm="1">
        <f t="array" ref="G2306">IFERROR(_xlfn.XLOOKUP(1, (SKUs!$J$2:$J$10001=accsry_unmerged!F2306)*IF(H2306&lt;&gt;"",(SKUs!$L$2:$L$10001=accsry_unmerged!H2306),1)*(SKUs!$K$2:$K$10001=I2306),SKUs!$C$2:$C$10001),"")</f>
        <v>0</v>
      </c>
      <c r="H2306" s="36" cm="1">
        <f t="array" ref="H2306">IFERROR(_xlfn.XLOOKUP(1, (dd_accsryclr!$C$2:$C$1000=accsry_unmerged!F2306)*(dd_accsryclr!$B$2:$B$1000=accsry_unmerged!J2306),dd_accsryclr!$A$2:$A$1000),"")</f>
        <v>0</v>
      </c>
      <c r="I2306" s="35">
        <f>_xlfn.XLOOKUP(C2306,'Project Details'!$C$17:$C$66,'Project Details'!$E$17:$E$66,"",0)</f>
        <v>0</v>
      </c>
      <c r="J2306" s="35">
        <f>_xlfn.XLOOKUP(C2306,'Project Details'!$C$17:$C$66,'Project Details'!$H$17:$H$66,"",0)</f>
        <v>0</v>
      </c>
      <c r="K2306" s="36" t="str">
        <f>IF(AND(_xlfn.XLOOKUP(C2306,'Project Details'!$C$17:$C$66,'Project Details'!$L$17:$L$66,"",0)&gt;550, F2306="Spring-L27cm"),"",SUBSTITUTE(_xlfn.XLOOKUP(G2306,SKUs!$C$2:$C$10001,SKUs!$F$2:$F$10001,"",0), " Accessories",""))</f>
        <v/>
      </c>
      <c r="L2306" s="36">
        <f>_xlfn.XLOOKUP(C2306,'Project Details'!$C$17:$C$66,'Project Details'!$D$17:$D$66,"",0)</f>
        <v>0</v>
      </c>
      <c r="M2306" s="43"/>
    </row>
    <row r="2307" spans="1:13" ht="13.5" customHeight="1" outlineLevel="1" x14ac:dyDescent="0.25">
      <c r="A2307" s="43"/>
      <c r="B2307" s="43"/>
      <c r="C2307" s="16">
        <f t="shared" si="44"/>
        <v>46</v>
      </c>
      <c r="D2307" s="16" t="str" cm="1">
        <f t="array" ref="D2307">IFERROR(ROUNDUP(_xlfn.IFS(F2307="Aluminum Track", _xlfn.XLOOKUP(C2307, dd_accsrycalc!$A$2:$A$51, dd_accsrycalc!$B$2:$B$51, "",0), F2307="10 x 2 1/2 S (Flat)", _xlfn.XLOOKUP(C2307, dd_accsrycalc!$A$2:$A$51, dd_accsrycalc!$C$2:$C$51, "",0), F2307="Tox6", _xlfn.XLOOKUP(C2307, dd_accsrycalc!$A$2:$A$51, dd_accsrycalc!$D$2:$D$51, "",0), F2307="Cover Cap", _xlfn.XLOOKUP(C2307, dd_accsrycalc!$A$2:$A$51, dd_accsrycalc!$E$2:$E$51, "",0), F2307="Drainage Cover", _xlfn.XLOOKUP(C2307, dd_accsrycalc!$A$2:$A$51, dd_accsrycalc!$F$2:$F$51, "",0),AND( F2307="Double Adhesive Tape", I2307="Roll-up Screen"), _xlfn.XLOOKUP(C2307, calc_rusacc!$C$15:$C$65, calc_rusacc!$AD$15:$AD$65, "",0),AND( F2307="Sealant", I2307="Roll-up Screen"), _xlfn.XLOOKUP(C2307, calc_rusacc!$C$15:$C$65, calc_rusacc!$AF$15:$AF$65, "",0),  AND( F2307="Main Chain", I2307="Accordion Screen"), _xlfn.XLOOKUP(C2307, calc_rusacc!$C$15:$C$65, calc_rusacc!$BF$15:$BF$65, "",0), AND( F2307="Sealant", I2307="Accordion Screen"), _xlfn.XLOOKUP(C2307, calc_rusacc!$C$15:$C$65, calc_rusacc!$BJ$15:$BJ$65, "",0),  F2307="Sealant", _xlfn.XLOOKUP(C2307, dd_accsrycalc!$A$2:$A$51, dd_accsrycalc!$G$2:$G$51, "",0),  F2307&lt;&gt;"",L2307*_xlfn.XLOOKUP(1, (SKUs!$C$2:$C$10001=G2307)*(SKUs!$K$2:$K$10001=I2307),SKUs!$E$2:$E$10001)), 0),"")</f>
        <v/>
      </c>
      <c r="E2307" s="16" t="str">
        <f>_xlfn.XLOOKUP(F2307,dd_item!$B$2:$B$105,dd_item!$C$2:$C$105,"",0)</f>
        <v/>
      </c>
      <c r="F2307" s="16"/>
      <c r="G2307" s="16" cm="1">
        <f t="array" ref="G2307">IFERROR(_xlfn.XLOOKUP(1, (SKUs!$J$2:$J$10001=accsry_unmerged!F2307)*IF(H2307&lt;&gt;"",(SKUs!$L$2:$L$10001=accsry_unmerged!H2307),1)*(SKUs!$K$2:$K$10001=I2307),SKUs!$C$2:$C$10001),"")</f>
        <v>0</v>
      </c>
      <c r="H2307" s="33" cm="1">
        <f t="array" ref="H2307">IFERROR(_xlfn.XLOOKUP(1, (dd_accsryclr!$C$2:$C$1000=accsry_unmerged!F2307)*(dd_accsryclr!$B$2:$B$1000=accsry_unmerged!J2307),dd_accsryclr!$A$2:$A$1000),"")</f>
        <v>0</v>
      </c>
      <c r="I2307" s="16">
        <f>_xlfn.XLOOKUP(C2307,'Project Details'!$C$17:$C$66,'Project Details'!$E$17:$E$66,"",0)</f>
        <v>0</v>
      </c>
      <c r="J2307" s="16">
        <f>_xlfn.XLOOKUP(C2307,'Project Details'!$C$17:$C$66,'Project Details'!$H$17:$H$66,"",0)</f>
        <v>0</v>
      </c>
      <c r="K2307" s="33" t="str">
        <f>IF(AND(_xlfn.XLOOKUP(C2307,'Project Details'!$C$17:$C$66,'Project Details'!$L$17:$L$66,"",0)&gt;550, F2307="Spring-L27cm"),"",SUBSTITUTE(_xlfn.XLOOKUP(G2307,SKUs!$C$2:$C$10001,SKUs!$F$2:$F$10001,"",0), " Accessories",""))</f>
        <v/>
      </c>
      <c r="L2307" s="33">
        <f>_xlfn.XLOOKUP(C2307,'Project Details'!$C$17:$C$66,'Project Details'!$D$17:$D$66,"",0)</f>
        <v>0</v>
      </c>
      <c r="M2307" s="43"/>
    </row>
    <row r="2308" spans="1:13" ht="13.5" customHeight="1" outlineLevel="1" x14ac:dyDescent="0.25">
      <c r="A2308" s="43"/>
      <c r="B2308" s="43"/>
      <c r="C2308" s="35">
        <f t="shared" si="44"/>
        <v>46</v>
      </c>
      <c r="D2308" s="35" t="str" cm="1">
        <f t="array" ref="D2308">IFERROR(ROUNDUP(_xlfn.IFS(F2308="Aluminum Track", _xlfn.XLOOKUP(C2308, dd_accsrycalc!$A$2:$A$51, dd_accsrycalc!$B$2:$B$51, "",0), F2308="10 x 2 1/2 S (Flat)", _xlfn.XLOOKUP(C2308, dd_accsrycalc!$A$2:$A$51, dd_accsrycalc!$C$2:$C$51, "",0), F2308="Tox6", _xlfn.XLOOKUP(C2308, dd_accsrycalc!$A$2:$A$51, dd_accsrycalc!$D$2:$D$51, "",0), F2308="Cover Cap", _xlfn.XLOOKUP(C2308, dd_accsrycalc!$A$2:$A$51, dd_accsrycalc!$E$2:$E$51, "",0), F2308="Drainage Cover", _xlfn.XLOOKUP(C2308, dd_accsrycalc!$A$2:$A$51, dd_accsrycalc!$F$2:$F$51, "",0),AND( F2308="Double Adhesive Tape", I2308="Roll-up Screen"), _xlfn.XLOOKUP(C2308, calc_rusacc!$C$15:$C$65, calc_rusacc!$AD$15:$AD$65, "",0),AND( F2308="Sealant", I2308="Roll-up Screen"), _xlfn.XLOOKUP(C2308, calc_rusacc!$C$15:$C$65, calc_rusacc!$AF$15:$AF$65, "",0),  AND( F2308="Main Chain", I2308="Accordion Screen"), _xlfn.XLOOKUP(C2308, calc_rusacc!$C$15:$C$65, calc_rusacc!$BF$15:$BF$65, "",0), AND( F2308="Sealant", I2308="Accordion Screen"), _xlfn.XLOOKUP(C2308, calc_rusacc!$C$15:$C$65, calc_rusacc!$BJ$15:$BJ$65, "",0),  F2308="Sealant", _xlfn.XLOOKUP(C2308, dd_accsrycalc!$A$2:$A$51, dd_accsrycalc!$G$2:$G$51, "",0),  F2308&lt;&gt;"",L2308*_xlfn.XLOOKUP(1, (SKUs!$C$2:$C$10001=G2308)*(SKUs!$K$2:$K$10001=I2308),SKUs!$E$2:$E$10001)), 0),"")</f>
        <v/>
      </c>
      <c r="E2308" s="35" t="str">
        <f>_xlfn.XLOOKUP(F2308,dd_item!$B$2:$B$105,dd_item!$C$2:$C$105,"",0)</f>
        <v/>
      </c>
      <c r="F2308" s="35"/>
      <c r="G2308" s="35" cm="1">
        <f t="array" ref="G2308">IFERROR(_xlfn.XLOOKUP(1, (SKUs!$J$2:$J$10001=accsry_unmerged!F2308)*IF(H2308&lt;&gt;"",(SKUs!$L$2:$L$10001=accsry_unmerged!H2308),1)*(SKUs!$K$2:$K$10001=I2308),SKUs!$C$2:$C$10001),"")</f>
        <v>0</v>
      </c>
      <c r="H2308" s="36" cm="1">
        <f t="array" ref="H2308">IFERROR(_xlfn.XLOOKUP(1, (dd_accsryclr!$C$2:$C$1000=accsry_unmerged!F2308)*(dd_accsryclr!$B$2:$B$1000=accsry_unmerged!J2308),dd_accsryclr!$A$2:$A$1000),"")</f>
        <v>0</v>
      </c>
      <c r="I2308" s="35">
        <f>_xlfn.XLOOKUP(C2308,'Project Details'!$C$17:$C$66,'Project Details'!$E$17:$E$66,"",0)</f>
        <v>0</v>
      </c>
      <c r="J2308" s="35">
        <f>_xlfn.XLOOKUP(C2308,'Project Details'!$C$17:$C$66,'Project Details'!$H$17:$H$66,"",0)</f>
        <v>0</v>
      </c>
      <c r="K2308" s="36" t="str">
        <f>IF(AND(_xlfn.XLOOKUP(C2308,'Project Details'!$C$17:$C$66,'Project Details'!$L$17:$L$66,"",0)&gt;550, F2308="Spring-L27cm"),"",SUBSTITUTE(_xlfn.XLOOKUP(G2308,SKUs!$C$2:$C$10001,SKUs!$F$2:$F$10001,"",0), " Accessories",""))</f>
        <v/>
      </c>
      <c r="L2308" s="36">
        <f>_xlfn.XLOOKUP(C2308,'Project Details'!$C$17:$C$66,'Project Details'!$D$17:$D$66,"",0)</f>
        <v>0</v>
      </c>
      <c r="M2308" s="43"/>
    </row>
    <row r="2309" spans="1:13" ht="13.5" customHeight="1" outlineLevel="1" x14ac:dyDescent="0.25">
      <c r="A2309" s="43"/>
      <c r="B2309" s="43"/>
      <c r="C2309" s="16">
        <f t="shared" si="44"/>
        <v>46</v>
      </c>
      <c r="D2309" s="16" t="str" cm="1">
        <f t="array" ref="D2309">IFERROR(ROUNDUP(_xlfn.IFS(F2309="Aluminum Track", _xlfn.XLOOKUP(C2309, dd_accsrycalc!$A$2:$A$51, dd_accsrycalc!$B$2:$B$51, "",0), F2309="10 x 2 1/2 S (Flat)", _xlfn.XLOOKUP(C2309, dd_accsrycalc!$A$2:$A$51, dd_accsrycalc!$C$2:$C$51, "",0), F2309="Tox6", _xlfn.XLOOKUP(C2309, dd_accsrycalc!$A$2:$A$51, dd_accsrycalc!$D$2:$D$51, "",0), F2309="Cover Cap", _xlfn.XLOOKUP(C2309, dd_accsrycalc!$A$2:$A$51, dd_accsrycalc!$E$2:$E$51, "",0), F2309="Drainage Cover", _xlfn.XLOOKUP(C2309, dd_accsrycalc!$A$2:$A$51, dd_accsrycalc!$F$2:$F$51, "",0),AND( F2309="Double Adhesive Tape", I2309="Roll-up Screen"), _xlfn.XLOOKUP(C2309, calc_rusacc!$C$15:$C$65, calc_rusacc!$AD$15:$AD$65, "",0),AND( F2309="Sealant", I2309="Roll-up Screen"), _xlfn.XLOOKUP(C2309, calc_rusacc!$C$15:$C$65, calc_rusacc!$AF$15:$AF$65, "",0),  AND( F2309="Main Chain", I2309="Accordion Screen"), _xlfn.XLOOKUP(C2309, calc_rusacc!$C$15:$C$65, calc_rusacc!$BF$15:$BF$65, "",0), AND( F2309="Sealant", I2309="Accordion Screen"), _xlfn.XLOOKUP(C2309, calc_rusacc!$C$15:$C$65, calc_rusacc!$BJ$15:$BJ$65, "",0),  F2309="Sealant", _xlfn.XLOOKUP(C2309, dd_accsrycalc!$A$2:$A$51, dd_accsrycalc!$G$2:$G$51, "",0),  F2309&lt;&gt;"",L2309*_xlfn.XLOOKUP(1, (SKUs!$C$2:$C$10001=G2309)*(SKUs!$K$2:$K$10001=I2309),SKUs!$E$2:$E$10001)), 0),"")</f>
        <v/>
      </c>
      <c r="E2309" s="16" t="str">
        <f>_xlfn.XLOOKUP(F2309,dd_item!$B$2:$B$105,dd_item!$C$2:$C$105,"",0)</f>
        <v/>
      </c>
      <c r="F2309" s="16"/>
      <c r="G2309" s="16" cm="1">
        <f t="array" ref="G2309">IFERROR(_xlfn.XLOOKUP(1, (SKUs!$J$2:$J$10001=accsry_unmerged!F2309)*IF(H2309&lt;&gt;"",(SKUs!$L$2:$L$10001=accsry_unmerged!H2309),1)*(SKUs!$K$2:$K$10001=I2309),SKUs!$C$2:$C$10001),"")</f>
        <v>0</v>
      </c>
      <c r="H2309" s="33" cm="1">
        <f t="array" ref="H2309">IFERROR(_xlfn.XLOOKUP(1, (dd_accsryclr!$C$2:$C$1000=accsry_unmerged!F2309)*(dd_accsryclr!$B$2:$B$1000=accsry_unmerged!J2309),dd_accsryclr!$A$2:$A$1000),"")</f>
        <v>0</v>
      </c>
      <c r="I2309" s="16">
        <f>_xlfn.XLOOKUP(C2309,'Project Details'!$C$17:$C$66,'Project Details'!$E$17:$E$66,"",0)</f>
        <v>0</v>
      </c>
      <c r="J2309" s="16">
        <f>_xlfn.XLOOKUP(C2309,'Project Details'!$C$17:$C$66,'Project Details'!$H$17:$H$66,"",0)</f>
        <v>0</v>
      </c>
      <c r="K2309" s="33" t="str">
        <f>IF(AND(_xlfn.XLOOKUP(C2309,'Project Details'!$C$17:$C$66,'Project Details'!$L$17:$L$66,"",0)&gt;550, F2309="Spring-L27cm"),"",SUBSTITUTE(_xlfn.XLOOKUP(G2309,SKUs!$C$2:$C$10001,SKUs!$F$2:$F$10001,"",0), " Accessories",""))</f>
        <v/>
      </c>
      <c r="L2309" s="33">
        <f>_xlfn.XLOOKUP(C2309,'Project Details'!$C$17:$C$66,'Project Details'!$D$17:$D$66,"",0)</f>
        <v>0</v>
      </c>
      <c r="M2309" s="43"/>
    </row>
    <row r="2310" spans="1:13" ht="13.5" customHeight="1" outlineLevel="1" x14ac:dyDescent="0.25">
      <c r="A2310" s="43"/>
      <c r="B2310" s="43"/>
      <c r="C2310" s="35">
        <f t="shared" si="44"/>
        <v>46</v>
      </c>
      <c r="D2310" s="35" t="str" cm="1">
        <f t="array" ref="D2310">IFERROR(ROUNDUP(_xlfn.IFS(F2310="Aluminum Track", _xlfn.XLOOKUP(C2310, dd_accsrycalc!$A$2:$A$51, dd_accsrycalc!$B$2:$B$51, "",0), F2310="10 x 2 1/2 S (Flat)", _xlfn.XLOOKUP(C2310, dd_accsrycalc!$A$2:$A$51, dd_accsrycalc!$C$2:$C$51, "",0), F2310="Tox6", _xlfn.XLOOKUP(C2310, dd_accsrycalc!$A$2:$A$51, dd_accsrycalc!$D$2:$D$51, "",0), F2310="Cover Cap", _xlfn.XLOOKUP(C2310, dd_accsrycalc!$A$2:$A$51, dd_accsrycalc!$E$2:$E$51, "",0), F2310="Drainage Cover", _xlfn.XLOOKUP(C2310, dd_accsrycalc!$A$2:$A$51, dd_accsrycalc!$F$2:$F$51, "",0),AND( F2310="Double Adhesive Tape", I2310="Roll-up Screen"), _xlfn.XLOOKUP(C2310, calc_rusacc!$C$15:$C$65, calc_rusacc!$AD$15:$AD$65, "",0),AND( F2310="Sealant", I2310="Roll-up Screen"), _xlfn.XLOOKUP(C2310, calc_rusacc!$C$15:$C$65, calc_rusacc!$AF$15:$AF$65, "",0),  AND( F2310="Main Chain", I2310="Accordion Screen"), _xlfn.XLOOKUP(C2310, calc_rusacc!$C$15:$C$65, calc_rusacc!$BF$15:$BF$65, "",0), AND( F2310="Sealant", I2310="Accordion Screen"), _xlfn.XLOOKUP(C2310, calc_rusacc!$C$15:$C$65, calc_rusacc!$BJ$15:$BJ$65, "",0),  F2310="Sealant", _xlfn.XLOOKUP(C2310, dd_accsrycalc!$A$2:$A$51, dd_accsrycalc!$G$2:$G$51, "",0),  F2310&lt;&gt;"",L2310*_xlfn.XLOOKUP(1, (SKUs!$C$2:$C$10001=G2310)*(SKUs!$K$2:$K$10001=I2310),SKUs!$E$2:$E$10001)), 0),"")</f>
        <v/>
      </c>
      <c r="E2310" s="35" t="str">
        <f>_xlfn.XLOOKUP(F2310,dd_item!$B$2:$B$105,dd_item!$C$2:$C$105,"",0)</f>
        <v/>
      </c>
      <c r="F2310" s="35"/>
      <c r="G2310" s="35" cm="1">
        <f t="array" ref="G2310">IFERROR(_xlfn.XLOOKUP(1, (SKUs!$J$2:$J$10001=accsry_unmerged!F2310)*IF(H2310&lt;&gt;"",(SKUs!$L$2:$L$10001=accsry_unmerged!H2310),1)*(SKUs!$K$2:$K$10001=I2310),SKUs!$C$2:$C$10001),"")</f>
        <v>0</v>
      </c>
      <c r="H2310" s="36" cm="1">
        <f t="array" ref="H2310">IFERROR(_xlfn.XLOOKUP(1, (dd_accsryclr!$C$2:$C$1000=accsry_unmerged!F2310)*(dd_accsryclr!$B$2:$B$1000=accsry_unmerged!J2310),dd_accsryclr!$A$2:$A$1000),"")</f>
        <v>0</v>
      </c>
      <c r="I2310" s="35">
        <f>_xlfn.XLOOKUP(C2310,'Project Details'!$C$17:$C$66,'Project Details'!$E$17:$E$66,"",0)</f>
        <v>0</v>
      </c>
      <c r="J2310" s="35">
        <f>_xlfn.XLOOKUP(C2310,'Project Details'!$C$17:$C$66,'Project Details'!$H$17:$H$66,"",0)</f>
        <v>0</v>
      </c>
      <c r="K2310" s="36" t="str">
        <f>IF(AND(_xlfn.XLOOKUP(C2310,'Project Details'!$C$17:$C$66,'Project Details'!$L$17:$L$66,"",0)&gt;550, F2310="Spring-L27cm"),"",SUBSTITUTE(_xlfn.XLOOKUP(G2310,SKUs!$C$2:$C$10001,SKUs!$F$2:$F$10001,"",0), " Accessories",""))</f>
        <v/>
      </c>
      <c r="L2310" s="36">
        <f>_xlfn.XLOOKUP(C2310,'Project Details'!$C$17:$C$66,'Project Details'!$D$17:$D$66,"",0)</f>
        <v>0</v>
      </c>
      <c r="M2310" s="43"/>
    </row>
    <row r="2311" spans="1:13" ht="13.5" customHeight="1" outlineLevel="1" x14ac:dyDescent="0.25">
      <c r="A2311" s="43"/>
      <c r="B2311" s="43"/>
      <c r="C2311" s="16">
        <f t="shared" si="44"/>
        <v>46</v>
      </c>
      <c r="D2311" s="16" t="str" cm="1">
        <f t="array" ref="D2311">IFERROR(ROUNDUP(_xlfn.IFS(F2311="Aluminum Track", _xlfn.XLOOKUP(C2311, dd_accsrycalc!$A$2:$A$51, dd_accsrycalc!$B$2:$B$51, "",0), F2311="10 x 2 1/2 S (Flat)", _xlfn.XLOOKUP(C2311, dd_accsrycalc!$A$2:$A$51, dd_accsrycalc!$C$2:$C$51, "",0), F2311="Tox6", _xlfn.XLOOKUP(C2311, dd_accsrycalc!$A$2:$A$51, dd_accsrycalc!$D$2:$D$51, "",0), F2311="Cover Cap", _xlfn.XLOOKUP(C2311, dd_accsrycalc!$A$2:$A$51, dd_accsrycalc!$E$2:$E$51, "",0), F2311="Drainage Cover", _xlfn.XLOOKUP(C2311, dd_accsrycalc!$A$2:$A$51, dd_accsrycalc!$F$2:$F$51, "",0),AND( F2311="Double Adhesive Tape", I2311="Roll-up Screen"), _xlfn.XLOOKUP(C2311, calc_rusacc!$C$15:$C$65, calc_rusacc!$AD$15:$AD$65, "",0),AND( F2311="Sealant", I2311="Roll-up Screen"), _xlfn.XLOOKUP(C2311, calc_rusacc!$C$15:$C$65, calc_rusacc!$AF$15:$AF$65, "",0),  AND( F2311="Main Chain", I2311="Accordion Screen"), _xlfn.XLOOKUP(C2311, calc_rusacc!$C$15:$C$65, calc_rusacc!$BF$15:$BF$65, "",0), AND( F2311="Sealant", I2311="Accordion Screen"), _xlfn.XLOOKUP(C2311, calc_rusacc!$C$15:$C$65, calc_rusacc!$BJ$15:$BJ$65, "",0),  F2311="Sealant", _xlfn.XLOOKUP(C2311, dd_accsrycalc!$A$2:$A$51, dd_accsrycalc!$G$2:$G$51, "",0),  F2311&lt;&gt;"",L2311*_xlfn.XLOOKUP(1, (SKUs!$C$2:$C$10001=G2311)*(SKUs!$K$2:$K$10001=I2311),SKUs!$E$2:$E$10001)), 0),"")</f>
        <v/>
      </c>
      <c r="E2311" s="16" t="str">
        <f>_xlfn.XLOOKUP(F2311,dd_item!$B$2:$B$105,dd_item!$C$2:$C$105,"",0)</f>
        <v/>
      </c>
      <c r="F2311" s="16"/>
      <c r="G2311" s="16" cm="1">
        <f t="array" ref="G2311">IFERROR(_xlfn.XLOOKUP(1, (SKUs!$J$2:$J$10001=accsry_unmerged!F2311)*IF(H2311&lt;&gt;"",(SKUs!$L$2:$L$10001=accsry_unmerged!H2311),1)*(SKUs!$K$2:$K$10001=I2311),SKUs!$C$2:$C$10001),"")</f>
        <v>0</v>
      </c>
      <c r="H2311" s="33" cm="1">
        <f t="array" ref="H2311">IFERROR(_xlfn.XLOOKUP(1, (dd_accsryclr!$C$2:$C$1000=accsry_unmerged!F2311)*(dd_accsryclr!$B$2:$B$1000=accsry_unmerged!J2311),dd_accsryclr!$A$2:$A$1000),"")</f>
        <v>0</v>
      </c>
      <c r="I2311" s="16">
        <f>_xlfn.XLOOKUP(C2311,'Project Details'!$C$17:$C$66,'Project Details'!$E$17:$E$66,"",0)</f>
        <v>0</v>
      </c>
      <c r="J2311" s="16">
        <f>_xlfn.XLOOKUP(C2311,'Project Details'!$C$17:$C$66,'Project Details'!$H$17:$H$66,"",0)</f>
        <v>0</v>
      </c>
      <c r="K2311" s="33" t="str">
        <f>IF(AND(_xlfn.XLOOKUP(C2311,'Project Details'!$C$17:$C$66,'Project Details'!$L$17:$L$66,"",0)&gt;550, F2311="Spring-L27cm"),"",SUBSTITUTE(_xlfn.XLOOKUP(G2311,SKUs!$C$2:$C$10001,SKUs!$F$2:$F$10001,"",0), " Accessories",""))</f>
        <v/>
      </c>
      <c r="L2311" s="33">
        <f>_xlfn.XLOOKUP(C2311,'Project Details'!$C$17:$C$66,'Project Details'!$D$17:$D$66,"",0)</f>
        <v>0</v>
      </c>
      <c r="M2311" s="43"/>
    </row>
    <row r="2312" spans="1:13" ht="13.5" customHeight="1" outlineLevel="1" x14ac:dyDescent="0.25">
      <c r="A2312" s="43"/>
      <c r="B2312" s="43"/>
      <c r="C2312" s="35">
        <f t="shared" si="44"/>
        <v>46</v>
      </c>
      <c r="D2312" s="35" t="str" cm="1">
        <f t="array" ref="D2312">IFERROR(ROUNDUP(_xlfn.IFS(F2312="Aluminum Track", _xlfn.XLOOKUP(C2312, dd_accsrycalc!$A$2:$A$51, dd_accsrycalc!$B$2:$B$51, "",0), F2312="10 x 2 1/2 S (Flat)", _xlfn.XLOOKUP(C2312, dd_accsrycalc!$A$2:$A$51, dd_accsrycalc!$C$2:$C$51, "",0), F2312="Tox6", _xlfn.XLOOKUP(C2312, dd_accsrycalc!$A$2:$A$51, dd_accsrycalc!$D$2:$D$51, "",0), F2312="Cover Cap", _xlfn.XLOOKUP(C2312, dd_accsrycalc!$A$2:$A$51, dd_accsrycalc!$E$2:$E$51, "",0), F2312="Drainage Cover", _xlfn.XLOOKUP(C2312, dd_accsrycalc!$A$2:$A$51, dd_accsrycalc!$F$2:$F$51, "",0),AND( F2312="Double Adhesive Tape", I2312="Roll-up Screen"), _xlfn.XLOOKUP(C2312, calc_rusacc!$C$15:$C$65, calc_rusacc!$AD$15:$AD$65, "",0),AND( F2312="Sealant", I2312="Roll-up Screen"), _xlfn.XLOOKUP(C2312, calc_rusacc!$C$15:$C$65, calc_rusacc!$AF$15:$AF$65, "",0),  AND( F2312="Main Chain", I2312="Accordion Screen"), _xlfn.XLOOKUP(C2312, calc_rusacc!$C$15:$C$65, calc_rusacc!$BF$15:$BF$65, "",0), AND( F2312="Sealant", I2312="Accordion Screen"), _xlfn.XLOOKUP(C2312, calc_rusacc!$C$15:$C$65, calc_rusacc!$BJ$15:$BJ$65, "",0),  F2312="Sealant", _xlfn.XLOOKUP(C2312, dd_accsrycalc!$A$2:$A$51, dd_accsrycalc!$G$2:$G$51, "",0),  F2312&lt;&gt;"",L2312*_xlfn.XLOOKUP(1, (SKUs!$C$2:$C$10001=G2312)*(SKUs!$K$2:$K$10001=I2312),SKUs!$E$2:$E$10001)), 0),"")</f>
        <v/>
      </c>
      <c r="E2312" s="35" t="str">
        <f>_xlfn.XLOOKUP(F2312,dd_item!$B$2:$B$105,dd_item!$C$2:$C$105,"",0)</f>
        <v/>
      </c>
      <c r="F2312" s="35"/>
      <c r="G2312" s="35" cm="1">
        <f t="array" ref="G2312">IFERROR(_xlfn.XLOOKUP(1, (SKUs!$J$2:$J$10001=accsry_unmerged!F2312)*IF(H2312&lt;&gt;"",(SKUs!$L$2:$L$10001=accsry_unmerged!H2312),1)*(SKUs!$K$2:$K$10001=I2312),SKUs!$C$2:$C$10001),"")</f>
        <v>0</v>
      </c>
      <c r="H2312" s="36" cm="1">
        <f t="array" ref="H2312">IFERROR(_xlfn.XLOOKUP(1, (dd_accsryclr!$C$2:$C$1000=accsry_unmerged!F2312)*(dd_accsryclr!$B$2:$B$1000=accsry_unmerged!J2312),dd_accsryclr!$A$2:$A$1000),"")</f>
        <v>0</v>
      </c>
      <c r="I2312" s="35">
        <f>_xlfn.XLOOKUP(C2312,'Project Details'!$C$17:$C$66,'Project Details'!$E$17:$E$66,"",0)</f>
        <v>0</v>
      </c>
      <c r="J2312" s="35">
        <f>_xlfn.XLOOKUP(C2312,'Project Details'!$C$17:$C$66,'Project Details'!$H$17:$H$66,"",0)</f>
        <v>0</v>
      </c>
      <c r="K2312" s="36" t="str">
        <f>IF(AND(_xlfn.XLOOKUP(C2312,'Project Details'!$C$17:$C$66,'Project Details'!$L$17:$L$66,"",0)&gt;550, F2312="Spring-L27cm"),"",SUBSTITUTE(_xlfn.XLOOKUP(G2312,SKUs!$C$2:$C$10001,SKUs!$F$2:$F$10001,"",0), " Accessories",""))</f>
        <v/>
      </c>
      <c r="L2312" s="36">
        <f>_xlfn.XLOOKUP(C2312,'Project Details'!$C$17:$C$66,'Project Details'!$D$17:$D$66,"",0)</f>
        <v>0</v>
      </c>
      <c r="M2312" s="43"/>
    </row>
    <row r="2313" spans="1:13" ht="13.5" customHeight="1" outlineLevel="1" x14ac:dyDescent="0.25">
      <c r="A2313" s="43"/>
      <c r="B2313" s="43"/>
      <c r="C2313" s="16">
        <f t="shared" si="44"/>
        <v>46</v>
      </c>
      <c r="D2313" s="16" t="str" cm="1">
        <f t="array" ref="D2313">IFERROR(ROUNDUP(_xlfn.IFS(F2313="Aluminum Track", _xlfn.XLOOKUP(C2313, dd_accsrycalc!$A$2:$A$51, dd_accsrycalc!$B$2:$B$51, "",0), F2313="10 x 2 1/2 S (Flat)", _xlfn.XLOOKUP(C2313, dd_accsrycalc!$A$2:$A$51, dd_accsrycalc!$C$2:$C$51, "",0), F2313="Tox6", _xlfn.XLOOKUP(C2313, dd_accsrycalc!$A$2:$A$51, dd_accsrycalc!$D$2:$D$51, "",0), F2313="Cover Cap", _xlfn.XLOOKUP(C2313, dd_accsrycalc!$A$2:$A$51, dd_accsrycalc!$E$2:$E$51, "",0), F2313="Drainage Cover", _xlfn.XLOOKUP(C2313, dd_accsrycalc!$A$2:$A$51, dd_accsrycalc!$F$2:$F$51, "",0),AND( F2313="Double Adhesive Tape", I2313="Roll-up Screen"), _xlfn.XLOOKUP(C2313, calc_rusacc!$C$15:$C$65, calc_rusacc!$AD$15:$AD$65, "",0),AND( F2313="Sealant", I2313="Roll-up Screen"), _xlfn.XLOOKUP(C2313, calc_rusacc!$C$15:$C$65, calc_rusacc!$AF$15:$AF$65, "",0),  AND( F2313="Main Chain", I2313="Accordion Screen"), _xlfn.XLOOKUP(C2313, calc_rusacc!$C$15:$C$65, calc_rusacc!$BF$15:$BF$65, "",0), AND( F2313="Sealant", I2313="Accordion Screen"), _xlfn.XLOOKUP(C2313, calc_rusacc!$C$15:$C$65, calc_rusacc!$BJ$15:$BJ$65, "",0),  F2313="Sealant", _xlfn.XLOOKUP(C2313, dd_accsrycalc!$A$2:$A$51, dd_accsrycalc!$G$2:$G$51, "",0),  F2313&lt;&gt;"",L2313*_xlfn.XLOOKUP(1, (SKUs!$C$2:$C$10001=G2313)*(SKUs!$K$2:$K$10001=I2313),SKUs!$E$2:$E$10001)), 0),"")</f>
        <v/>
      </c>
      <c r="E2313" s="16" t="str">
        <f>_xlfn.XLOOKUP(F2313,dd_item!$B$2:$B$105,dd_item!$C$2:$C$105,"",0)</f>
        <v/>
      </c>
      <c r="F2313" s="16"/>
      <c r="G2313" s="16" cm="1">
        <f t="array" ref="G2313">IFERROR(_xlfn.XLOOKUP(1, (SKUs!$J$2:$J$10001=accsry_unmerged!F2313)*IF(H2313&lt;&gt;"",(SKUs!$L$2:$L$10001=accsry_unmerged!H2313),1)*(SKUs!$K$2:$K$10001=I2313),SKUs!$C$2:$C$10001),"")</f>
        <v>0</v>
      </c>
      <c r="H2313" s="33" cm="1">
        <f t="array" ref="H2313">IFERROR(_xlfn.XLOOKUP(1, (dd_accsryclr!$C$2:$C$1000=accsry_unmerged!F2313)*(dd_accsryclr!$B$2:$B$1000=accsry_unmerged!J2313),dd_accsryclr!$A$2:$A$1000),"")</f>
        <v>0</v>
      </c>
      <c r="I2313" s="16">
        <f>_xlfn.XLOOKUP(C2313,'Project Details'!$C$17:$C$66,'Project Details'!$E$17:$E$66,"",0)</f>
        <v>0</v>
      </c>
      <c r="J2313" s="16">
        <f>_xlfn.XLOOKUP(C2313,'Project Details'!$C$17:$C$66,'Project Details'!$H$17:$H$66,"",0)</f>
        <v>0</v>
      </c>
      <c r="K2313" s="33" t="str">
        <f>IF(AND(_xlfn.XLOOKUP(C2313,'Project Details'!$C$17:$C$66,'Project Details'!$L$17:$L$66,"",0)&gt;550, F2313="Spring-L27cm"),"",SUBSTITUTE(_xlfn.XLOOKUP(G2313,SKUs!$C$2:$C$10001,SKUs!$F$2:$F$10001,"",0), " Accessories",""))</f>
        <v/>
      </c>
      <c r="L2313" s="33">
        <f>_xlfn.XLOOKUP(C2313,'Project Details'!$C$17:$C$66,'Project Details'!$D$17:$D$66,"",0)</f>
        <v>0</v>
      </c>
      <c r="M2313" s="43"/>
    </row>
    <row r="2314" spans="1:13" x14ac:dyDescent="0.25">
      <c r="A2314" s="43"/>
      <c r="B2314" s="43"/>
      <c r="C2314" s="43"/>
      <c r="D2314" s="43"/>
      <c r="E2314" s="43"/>
      <c r="F2314" s="43"/>
      <c r="G2314" s="43"/>
      <c r="H2314" s="43"/>
      <c r="I2314" s="43"/>
      <c r="J2314" s="43"/>
      <c r="K2314" s="43"/>
      <c r="L2314" s="43"/>
      <c r="M2314" s="43"/>
    </row>
    <row r="2315" spans="1:13" x14ac:dyDescent="0.25">
      <c r="A2315" s="43"/>
      <c r="B2315" s="43"/>
      <c r="C2315" s="16">
        <f>C2313+1</f>
        <v>47</v>
      </c>
      <c r="D2315" s="48" cm="1">
        <f t="array" ref="D2315">IFERROR(ROUNDUP(_xlfn.IFS(F2315="Aluminum Track", _xlfn.XLOOKUP(C2315, dd_accsrycalc!$A$2:$A$51, dd_accsrycalc!$B$2:$B$51, "",0), F2315="10 x 2 1/2 S (Flat)", _xlfn.XLOOKUP(C2315, dd_accsrycalc!$A$2:$A$51, dd_accsrycalc!$C$2:$C$51, "",0), F2315="Tox6", _xlfn.XLOOKUP(C2315, dd_accsrycalc!$A$2:$A$51, dd_accsrycalc!$D$2:$D$51, "",0), F2315="Cover Cap", _xlfn.XLOOKUP(C2315, dd_accsrycalc!$A$2:$A$51, dd_accsrycalc!$E$2:$E$51, "",0), F2315="Drainage Cover", _xlfn.XLOOKUP(C2315, dd_accsrycalc!$A$2:$A$51, dd_accsrycalc!$F$2:$F$51, "",0),AND( F2315="Double Adhesive Tape", I2315="Roll-up Screen"), _xlfn.XLOOKUP(C2315, calc_rusacc!$C$15:$C$65, calc_rusacc!$AD$15:$AD$65, "",0),AND( F2315="Sealant", I2315="Roll-up Screen"), _xlfn.XLOOKUP(C2315, calc_rusacc!$C$15:$C$65, calc_rusacc!$AF$15:$AF$65, "",0),  AND( F2315="Main Chain", I2315="Accordion Screen"), _xlfn.XLOOKUP(C2315, calc_rusacc!$C$15:$C$65, calc_rusacc!$BF$15:$BF$65, "",0), AND( F2315="Sealant", I2315="Accordion Screen"), _xlfn.XLOOKUP(C2315, calc_rusacc!$C$15:$C$65, calc_rusacc!$BJ$15:$BJ$65, "",0),  F2315="Sealant", _xlfn.XLOOKUP(C2315, dd_accsrycalc!$A$2:$A$51, dd_accsrycalc!$G$2:$G$51, "",0),  F2315&lt;&gt;"",L2315*_xlfn.XLOOKUP(1, (SKUs!$C$2:$C$10001=G2315)*(SKUs!$K$2:$K$10001=I2315),SKUs!$E$2:$E$10001)), 0),"")</f>
        <v>0</v>
      </c>
      <c r="E2315" s="48" t="str">
        <f>_xlfn.XLOOKUP(F2315,dd_item!$B$2:$B$105,dd_item!$C$2:$C$105,"",0)</f>
        <v/>
      </c>
      <c r="F2315" s="48" cm="1">
        <f t="array" ref="F2315">IFERROR(_xlfn.UNIQUE(_xlfn._xlws.FILTER(SKUs!$J$2:$J$10001, (SKUs!$F$2:$F$10001&lt;&gt;"Cutting List") * (SKUs!$A$2:$A$10001=_xlfn.XLOOKUP(_xlfn.XLOOKUP(C2315,'Project Details'!$C$17:$C$66,'Project Details'!$E$17:$E$66,"",0), dd_design_raw!$A$2:$A$101,dd_design_raw!$C$2:$C$101,"",0)))), "")</f>
        <v>0</v>
      </c>
      <c r="G2315" s="16" cm="1">
        <f t="array" ref="G2315">IFERROR(_xlfn.XLOOKUP(1, (SKUs!$J$2:$J$10001=accsry_unmerged!F2315)*IF(H2315&lt;&gt;"",(SKUs!$L$2:$L$10001=accsry_unmerged!H2315),1)*(SKUs!$K$2:$K$10001=I2315),SKUs!$C$2:$C$10001),"")</f>
        <v>0</v>
      </c>
      <c r="H2315" s="16" cm="1">
        <f t="array" ref="H2315">IFERROR(_xlfn.XLOOKUP(1, (dd_accsryclr!$C$2:$C$1000=accsry_unmerged!F2315)*(dd_accsryclr!$B$2:$B$1000=accsry_unmerged!J2315),dd_accsryclr!$A$2:$A$1000),"")</f>
        <v>0</v>
      </c>
      <c r="I2315" s="16">
        <f>_xlfn.XLOOKUP(C2315,'Project Details'!$C$17:$C$66,'Project Details'!$E$17:$E$66,"",0)</f>
        <v>0</v>
      </c>
      <c r="J2315" s="16">
        <f>_xlfn.XLOOKUP(C2315,'Project Details'!$C$17:$C$66,'Project Details'!$H$17:$H$66,"",0)</f>
        <v>0</v>
      </c>
      <c r="K2315" s="16" t="str">
        <f>IF(AND(_xlfn.XLOOKUP(C2315,'Project Details'!$C$17:$C$66,'Project Details'!$L$17:$L$66,"",0)&gt;550, F2315="Spring-L27cm"),"",SUBSTITUTE(_xlfn.XLOOKUP(G2315,SKUs!$C$2:$C$10001,SKUs!$F$2:$F$10001,"",0), " Accessories",""))</f>
        <v/>
      </c>
      <c r="L2315" s="16">
        <f>_xlfn.XLOOKUP(C2315,'Project Details'!$C$17:$C$66,'Project Details'!$D$17:$D$66,"",0)</f>
        <v>0</v>
      </c>
      <c r="M2315" s="43"/>
    </row>
    <row r="2316" spans="1:13" x14ac:dyDescent="0.25">
      <c r="A2316" s="43"/>
      <c r="B2316" s="43"/>
      <c r="C2316" s="35">
        <f>C2315</f>
        <v>47</v>
      </c>
      <c r="D2316" s="35" t="str" cm="1">
        <f t="array" ref="D2316">IFERROR(ROUNDUP(_xlfn.IFS(F2316="Aluminum Track", _xlfn.XLOOKUP(C2316, dd_accsrycalc!$A$2:$A$51, dd_accsrycalc!$B$2:$B$51, "",0), F2316="10 x 2 1/2 S (Flat)", _xlfn.XLOOKUP(C2316, dd_accsrycalc!$A$2:$A$51, dd_accsrycalc!$C$2:$C$51, "",0), F2316="Tox6", _xlfn.XLOOKUP(C2316, dd_accsrycalc!$A$2:$A$51, dd_accsrycalc!$D$2:$D$51, "",0), F2316="Cover Cap", _xlfn.XLOOKUP(C2316, dd_accsrycalc!$A$2:$A$51, dd_accsrycalc!$E$2:$E$51, "",0), F2316="Drainage Cover", _xlfn.XLOOKUP(C2316, dd_accsrycalc!$A$2:$A$51, dd_accsrycalc!$F$2:$F$51, "",0),AND( F2316="Double Adhesive Tape", I2316="Roll-up Screen"), _xlfn.XLOOKUP(C2316, calc_rusacc!$C$15:$C$65, calc_rusacc!$AD$15:$AD$65, "",0),AND( F2316="Sealant", I2316="Roll-up Screen"), _xlfn.XLOOKUP(C2316, calc_rusacc!$C$15:$C$65, calc_rusacc!$AF$15:$AF$65, "",0),  AND( F2316="Main Chain", I2316="Accordion Screen"), _xlfn.XLOOKUP(C2316, calc_rusacc!$C$15:$C$65, calc_rusacc!$BF$15:$BF$65, "",0), AND( F2316="Sealant", I2316="Accordion Screen"), _xlfn.XLOOKUP(C2316, calc_rusacc!$C$15:$C$65, calc_rusacc!$BJ$15:$BJ$65, "",0),  F2316="Sealant", _xlfn.XLOOKUP(C2316, dd_accsrycalc!$A$2:$A$51, dd_accsrycalc!$G$2:$G$51, "",0),  F2316&lt;&gt;"",L2316*_xlfn.XLOOKUP(1, (SKUs!$C$2:$C$10001=G2316)*(SKUs!$K$2:$K$10001=I2316),SKUs!$E$2:$E$10001)), 0),"")</f>
        <v/>
      </c>
      <c r="E2316" s="35" t="str">
        <f>_xlfn.XLOOKUP(F2316,dd_item!$B$2:$B$105,dd_item!$C$2:$C$105,"",0)</f>
        <v/>
      </c>
      <c r="F2316" s="35"/>
      <c r="G2316" s="35" cm="1">
        <f t="array" ref="G2316">IFERROR(_xlfn.XLOOKUP(1, (SKUs!$J$2:$J$10001=accsry_unmerged!F2316)*IF(H2316&lt;&gt;"",(SKUs!$L$2:$L$10001=accsry_unmerged!H2316),1)*(SKUs!$K$2:$K$10001=I2316),SKUs!$C$2:$C$10001),"")</f>
        <v>0</v>
      </c>
      <c r="H2316" s="36" cm="1">
        <f t="array" ref="H2316">IFERROR(_xlfn.XLOOKUP(1, (dd_accsryclr!$C$2:$C$1000=accsry_unmerged!F2316)*(dd_accsryclr!$B$2:$B$1000=accsry_unmerged!J2316),dd_accsryclr!$A$2:$A$1000),"")</f>
        <v>0</v>
      </c>
      <c r="I2316" s="35">
        <f>_xlfn.XLOOKUP(C2316,'Project Details'!$C$17:$C$66,'Project Details'!$E$17:$E$66,"",0)</f>
        <v>0</v>
      </c>
      <c r="J2316" s="35">
        <f>_xlfn.XLOOKUP(C2316,'Project Details'!$C$17:$C$66,'Project Details'!$H$17:$H$66,"",0)</f>
        <v>0</v>
      </c>
      <c r="K2316" s="36" t="str">
        <f>IF(AND(_xlfn.XLOOKUP(C2316,'Project Details'!$C$17:$C$66,'Project Details'!$L$17:$L$66,"",0)&gt;550, F2316="Spring-L27cm"),"",SUBSTITUTE(_xlfn.XLOOKUP(G2316,SKUs!$C$2:$C$10001,SKUs!$F$2:$F$10001,"",0), " Accessories",""))</f>
        <v/>
      </c>
      <c r="L2316" s="36">
        <f>_xlfn.XLOOKUP(C2316,'Project Details'!$C$17:$C$66,'Project Details'!$D$17:$D$66,"",0)</f>
        <v>0</v>
      </c>
      <c r="M2316" s="43"/>
    </row>
    <row r="2317" spans="1:13" x14ac:dyDescent="0.25">
      <c r="A2317" s="43"/>
      <c r="B2317" s="43"/>
      <c r="C2317" s="16">
        <f t="shared" ref="C2317:C2363" si="45">C2316</f>
        <v>47</v>
      </c>
      <c r="D2317" s="16" t="str" cm="1">
        <f t="array" ref="D2317">IFERROR(ROUNDUP(_xlfn.IFS(F2317="Aluminum Track", _xlfn.XLOOKUP(C2317, dd_accsrycalc!$A$2:$A$51, dd_accsrycalc!$B$2:$B$51, "",0), F2317="10 x 2 1/2 S (Flat)", _xlfn.XLOOKUP(C2317, dd_accsrycalc!$A$2:$A$51, dd_accsrycalc!$C$2:$C$51, "",0), F2317="Tox6", _xlfn.XLOOKUP(C2317, dd_accsrycalc!$A$2:$A$51, dd_accsrycalc!$D$2:$D$51, "",0), F2317="Cover Cap", _xlfn.XLOOKUP(C2317, dd_accsrycalc!$A$2:$A$51, dd_accsrycalc!$E$2:$E$51, "",0), F2317="Drainage Cover", _xlfn.XLOOKUP(C2317, dd_accsrycalc!$A$2:$A$51, dd_accsrycalc!$F$2:$F$51, "",0),AND( F2317="Double Adhesive Tape", I2317="Roll-up Screen"), _xlfn.XLOOKUP(C2317, calc_rusacc!$C$15:$C$65, calc_rusacc!$AD$15:$AD$65, "",0),AND( F2317="Sealant", I2317="Roll-up Screen"), _xlfn.XLOOKUP(C2317, calc_rusacc!$C$15:$C$65, calc_rusacc!$AF$15:$AF$65, "",0),  AND( F2317="Main Chain", I2317="Accordion Screen"), _xlfn.XLOOKUP(C2317, calc_rusacc!$C$15:$C$65, calc_rusacc!$BF$15:$BF$65, "",0), AND( F2317="Sealant", I2317="Accordion Screen"), _xlfn.XLOOKUP(C2317, calc_rusacc!$C$15:$C$65, calc_rusacc!$BJ$15:$BJ$65, "",0),  F2317="Sealant", _xlfn.XLOOKUP(C2317, dd_accsrycalc!$A$2:$A$51, dd_accsrycalc!$G$2:$G$51, "",0),  F2317&lt;&gt;"",L2317*_xlfn.XLOOKUP(1, (SKUs!$C$2:$C$10001=G2317)*(SKUs!$K$2:$K$10001=I2317),SKUs!$E$2:$E$10001)), 0),"")</f>
        <v/>
      </c>
      <c r="E2317" s="16" t="str">
        <f>_xlfn.XLOOKUP(F2317,dd_item!$B$2:$B$105,dd_item!$C$2:$C$105,"",0)</f>
        <v/>
      </c>
      <c r="F2317" s="16"/>
      <c r="G2317" s="16" cm="1">
        <f t="array" ref="G2317">IFERROR(_xlfn.XLOOKUP(1, (SKUs!$J$2:$J$10001=accsry_unmerged!F2317)*IF(H2317&lt;&gt;"",(SKUs!$L$2:$L$10001=accsry_unmerged!H2317),1)*(SKUs!$K$2:$K$10001=I2317),SKUs!$C$2:$C$10001),"")</f>
        <v>0</v>
      </c>
      <c r="H2317" s="33" cm="1">
        <f t="array" ref="H2317">IFERROR(_xlfn.XLOOKUP(1, (dd_accsryclr!$C$2:$C$1000=accsry_unmerged!F2317)*(dd_accsryclr!$B$2:$B$1000=accsry_unmerged!J2317),dd_accsryclr!$A$2:$A$1000),"")</f>
        <v>0</v>
      </c>
      <c r="I2317" s="16">
        <f>_xlfn.XLOOKUP(C2317,'Project Details'!$C$17:$C$66,'Project Details'!$E$17:$E$66,"",0)</f>
        <v>0</v>
      </c>
      <c r="J2317" s="16">
        <f>_xlfn.XLOOKUP(C2317,'Project Details'!$C$17:$C$66,'Project Details'!$H$17:$H$66,"",0)</f>
        <v>0</v>
      </c>
      <c r="K2317" s="33" t="str">
        <f>IF(AND(_xlfn.XLOOKUP(C2317,'Project Details'!$C$17:$C$66,'Project Details'!$L$17:$L$66,"",0)&gt;550, F2317="Spring-L27cm"),"",SUBSTITUTE(_xlfn.XLOOKUP(G2317,SKUs!$C$2:$C$10001,SKUs!$F$2:$F$10001,"",0), " Accessories",""))</f>
        <v/>
      </c>
      <c r="L2317" s="33">
        <f>_xlfn.XLOOKUP(C2317,'Project Details'!$C$17:$C$66,'Project Details'!$D$17:$D$66,"",0)</f>
        <v>0</v>
      </c>
      <c r="M2317" s="43"/>
    </row>
    <row r="2318" spans="1:13" x14ac:dyDescent="0.25">
      <c r="A2318" s="43"/>
      <c r="B2318" s="43"/>
      <c r="C2318" s="35">
        <f t="shared" si="45"/>
        <v>47</v>
      </c>
      <c r="D2318" s="35" t="str" cm="1">
        <f t="array" ref="D2318">IFERROR(ROUNDUP(_xlfn.IFS(F2318="Aluminum Track", _xlfn.XLOOKUP(C2318, dd_accsrycalc!$A$2:$A$51, dd_accsrycalc!$B$2:$B$51, "",0), F2318="10 x 2 1/2 S (Flat)", _xlfn.XLOOKUP(C2318, dd_accsrycalc!$A$2:$A$51, dd_accsrycalc!$C$2:$C$51, "",0), F2318="Tox6", _xlfn.XLOOKUP(C2318, dd_accsrycalc!$A$2:$A$51, dd_accsrycalc!$D$2:$D$51, "",0), F2318="Cover Cap", _xlfn.XLOOKUP(C2318, dd_accsrycalc!$A$2:$A$51, dd_accsrycalc!$E$2:$E$51, "",0), F2318="Drainage Cover", _xlfn.XLOOKUP(C2318, dd_accsrycalc!$A$2:$A$51, dd_accsrycalc!$F$2:$F$51, "",0),AND( F2318="Double Adhesive Tape", I2318="Roll-up Screen"), _xlfn.XLOOKUP(C2318, calc_rusacc!$C$15:$C$65, calc_rusacc!$AD$15:$AD$65, "",0),AND( F2318="Sealant", I2318="Roll-up Screen"), _xlfn.XLOOKUP(C2318, calc_rusacc!$C$15:$C$65, calc_rusacc!$AF$15:$AF$65, "",0),  AND( F2318="Main Chain", I2318="Accordion Screen"), _xlfn.XLOOKUP(C2318, calc_rusacc!$C$15:$C$65, calc_rusacc!$BF$15:$BF$65, "",0), AND( F2318="Sealant", I2318="Accordion Screen"), _xlfn.XLOOKUP(C2318, calc_rusacc!$C$15:$C$65, calc_rusacc!$BJ$15:$BJ$65, "",0),  F2318="Sealant", _xlfn.XLOOKUP(C2318, dd_accsrycalc!$A$2:$A$51, dd_accsrycalc!$G$2:$G$51, "",0),  F2318&lt;&gt;"",L2318*_xlfn.XLOOKUP(1, (SKUs!$C$2:$C$10001=G2318)*(SKUs!$K$2:$K$10001=I2318),SKUs!$E$2:$E$10001)), 0),"")</f>
        <v/>
      </c>
      <c r="E2318" s="35" t="str">
        <f>_xlfn.XLOOKUP(F2318,dd_item!$B$2:$B$105,dd_item!$C$2:$C$105,"",0)</f>
        <v/>
      </c>
      <c r="F2318" s="35"/>
      <c r="G2318" s="35" cm="1">
        <f t="array" ref="G2318">IFERROR(_xlfn.XLOOKUP(1, (SKUs!$J$2:$J$10001=accsry_unmerged!F2318)*IF(H2318&lt;&gt;"",(SKUs!$L$2:$L$10001=accsry_unmerged!H2318),1)*(SKUs!$K$2:$K$10001=I2318),SKUs!$C$2:$C$10001),"")</f>
        <v>0</v>
      </c>
      <c r="H2318" s="36" cm="1">
        <f t="array" ref="H2318">IFERROR(_xlfn.XLOOKUP(1, (dd_accsryclr!$C$2:$C$1000=accsry_unmerged!F2318)*(dd_accsryclr!$B$2:$B$1000=accsry_unmerged!J2318),dd_accsryclr!$A$2:$A$1000),"")</f>
        <v>0</v>
      </c>
      <c r="I2318" s="35">
        <f>_xlfn.XLOOKUP(C2318,'Project Details'!$C$17:$C$66,'Project Details'!$E$17:$E$66,"",0)</f>
        <v>0</v>
      </c>
      <c r="J2318" s="35">
        <f>_xlfn.XLOOKUP(C2318,'Project Details'!$C$17:$C$66,'Project Details'!$H$17:$H$66,"",0)</f>
        <v>0</v>
      </c>
      <c r="K2318" s="36" t="str">
        <f>IF(AND(_xlfn.XLOOKUP(C2318,'Project Details'!$C$17:$C$66,'Project Details'!$L$17:$L$66,"",0)&gt;550, F2318="Spring-L27cm"),"",SUBSTITUTE(_xlfn.XLOOKUP(G2318,SKUs!$C$2:$C$10001,SKUs!$F$2:$F$10001,"",0), " Accessories",""))</f>
        <v/>
      </c>
      <c r="L2318" s="36">
        <f>_xlfn.XLOOKUP(C2318,'Project Details'!$C$17:$C$66,'Project Details'!$D$17:$D$66,"",0)</f>
        <v>0</v>
      </c>
      <c r="M2318" s="43"/>
    </row>
    <row r="2319" spans="1:13" x14ac:dyDescent="0.25">
      <c r="A2319" s="43"/>
      <c r="B2319" s="43"/>
      <c r="C2319" s="16">
        <f t="shared" si="45"/>
        <v>47</v>
      </c>
      <c r="D2319" s="16" t="str" cm="1">
        <f t="array" ref="D2319">IFERROR(ROUNDUP(_xlfn.IFS(F2319="Aluminum Track", _xlfn.XLOOKUP(C2319, dd_accsrycalc!$A$2:$A$51, dd_accsrycalc!$B$2:$B$51, "",0), F2319="10 x 2 1/2 S (Flat)", _xlfn.XLOOKUP(C2319, dd_accsrycalc!$A$2:$A$51, dd_accsrycalc!$C$2:$C$51, "",0), F2319="Tox6", _xlfn.XLOOKUP(C2319, dd_accsrycalc!$A$2:$A$51, dd_accsrycalc!$D$2:$D$51, "",0), F2319="Cover Cap", _xlfn.XLOOKUP(C2319, dd_accsrycalc!$A$2:$A$51, dd_accsrycalc!$E$2:$E$51, "",0), F2319="Drainage Cover", _xlfn.XLOOKUP(C2319, dd_accsrycalc!$A$2:$A$51, dd_accsrycalc!$F$2:$F$51, "",0),AND( F2319="Double Adhesive Tape", I2319="Roll-up Screen"), _xlfn.XLOOKUP(C2319, calc_rusacc!$C$15:$C$65, calc_rusacc!$AD$15:$AD$65, "",0),AND( F2319="Sealant", I2319="Roll-up Screen"), _xlfn.XLOOKUP(C2319, calc_rusacc!$C$15:$C$65, calc_rusacc!$AF$15:$AF$65, "",0),  AND( F2319="Main Chain", I2319="Accordion Screen"), _xlfn.XLOOKUP(C2319, calc_rusacc!$C$15:$C$65, calc_rusacc!$BF$15:$BF$65, "",0), AND( F2319="Sealant", I2319="Accordion Screen"), _xlfn.XLOOKUP(C2319, calc_rusacc!$C$15:$C$65, calc_rusacc!$BJ$15:$BJ$65, "",0),  F2319="Sealant", _xlfn.XLOOKUP(C2319, dd_accsrycalc!$A$2:$A$51, dd_accsrycalc!$G$2:$G$51, "",0),  F2319&lt;&gt;"",L2319*_xlfn.XLOOKUP(1, (SKUs!$C$2:$C$10001=G2319)*(SKUs!$K$2:$K$10001=I2319),SKUs!$E$2:$E$10001)), 0),"")</f>
        <v/>
      </c>
      <c r="E2319" s="16" t="str">
        <f>_xlfn.XLOOKUP(F2319,dd_item!$B$2:$B$105,dd_item!$C$2:$C$105,"",0)</f>
        <v/>
      </c>
      <c r="F2319" s="16"/>
      <c r="G2319" s="16" cm="1">
        <f t="array" ref="G2319">IFERROR(_xlfn.XLOOKUP(1, (SKUs!$J$2:$J$10001=accsry_unmerged!F2319)*IF(H2319&lt;&gt;"",(SKUs!$L$2:$L$10001=accsry_unmerged!H2319),1)*(SKUs!$K$2:$K$10001=I2319),SKUs!$C$2:$C$10001),"")</f>
        <v>0</v>
      </c>
      <c r="H2319" s="33" cm="1">
        <f t="array" ref="H2319">IFERROR(_xlfn.XLOOKUP(1, (dd_accsryclr!$C$2:$C$1000=accsry_unmerged!F2319)*(dd_accsryclr!$B$2:$B$1000=accsry_unmerged!J2319),dd_accsryclr!$A$2:$A$1000),"")</f>
        <v>0</v>
      </c>
      <c r="I2319" s="16">
        <f>_xlfn.XLOOKUP(C2319,'Project Details'!$C$17:$C$66,'Project Details'!$E$17:$E$66,"",0)</f>
        <v>0</v>
      </c>
      <c r="J2319" s="16">
        <f>_xlfn.XLOOKUP(C2319,'Project Details'!$C$17:$C$66,'Project Details'!$H$17:$H$66,"",0)</f>
        <v>0</v>
      </c>
      <c r="K2319" s="33" t="str">
        <f>IF(AND(_xlfn.XLOOKUP(C2319,'Project Details'!$C$17:$C$66,'Project Details'!$L$17:$L$66,"",0)&gt;550, F2319="Spring-L27cm"),"",SUBSTITUTE(_xlfn.XLOOKUP(G2319,SKUs!$C$2:$C$10001,SKUs!$F$2:$F$10001,"",0), " Accessories",""))</f>
        <v/>
      </c>
      <c r="L2319" s="33">
        <f>_xlfn.XLOOKUP(C2319,'Project Details'!$C$17:$C$66,'Project Details'!$D$17:$D$66,"",0)</f>
        <v>0</v>
      </c>
      <c r="M2319" s="43"/>
    </row>
    <row r="2320" spans="1:13" x14ac:dyDescent="0.25">
      <c r="A2320" s="43"/>
      <c r="B2320" s="43"/>
      <c r="C2320" s="35">
        <f t="shared" si="45"/>
        <v>47</v>
      </c>
      <c r="D2320" s="35" t="str" cm="1">
        <f t="array" ref="D2320">IFERROR(ROUNDUP(_xlfn.IFS(F2320="Aluminum Track", _xlfn.XLOOKUP(C2320, dd_accsrycalc!$A$2:$A$51, dd_accsrycalc!$B$2:$B$51, "",0), F2320="10 x 2 1/2 S (Flat)", _xlfn.XLOOKUP(C2320, dd_accsrycalc!$A$2:$A$51, dd_accsrycalc!$C$2:$C$51, "",0), F2320="Tox6", _xlfn.XLOOKUP(C2320, dd_accsrycalc!$A$2:$A$51, dd_accsrycalc!$D$2:$D$51, "",0), F2320="Cover Cap", _xlfn.XLOOKUP(C2320, dd_accsrycalc!$A$2:$A$51, dd_accsrycalc!$E$2:$E$51, "",0), F2320="Drainage Cover", _xlfn.XLOOKUP(C2320, dd_accsrycalc!$A$2:$A$51, dd_accsrycalc!$F$2:$F$51, "",0),AND( F2320="Double Adhesive Tape", I2320="Roll-up Screen"), _xlfn.XLOOKUP(C2320, calc_rusacc!$C$15:$C$65, calc_rusacc!$AD$15:$AD$65, "",0),AND( F2320="Sealant", I2320="Roll-up Screen"), _xlfn.XLOOKUP(C2320, calc_rusacc!$C$15:$C$65, calc_rusacc!$AF$15:$AF$65, "",0),  AND( F2320="Main Chain", I2320="Accordion Screen"), _xlfn.XLOOKUP(C2320, calc_rusacc!$C$15:$C$65, calc_rusacc!$BF$15:$BF$65, "",0), AND( F2320="Sealant", I2320="Accordion Screen"), _xlfn.XLOOKUP(C2320, calc_rusacc!$C$15:$C$65, calc_rusacc!$BJ$15:$BJ$65, "",0),  F2320="Sealant", _xlfn.XLOOKUP(C2320, dd_accsrycalc!$A$2:$A$51, dd_accsrycalc!$G$2:$G$51, "",0),  F2320&lt;&gt;"",L2320*_xlfn.XLOOKUP(1, (SKUs!$C$2:$C$10001=G2320)*(SKUs!$K$2:$K$10001=I2320),SKUs!$E$2:$E$10001)), 0),"")</f>
        <v/>
      </c>
      <c r="E2320" s="35" t="str">
        <f>_xlfn.XLOOKUP(F2320,dd_item!$B$2:$B$105,dd_item!$C$2:$C$105,"",0)</f>
        <v/>
      </c>
      <c r="F2320" s="35"/>
      <c r="G2320" s="35" cm="1">
        <f t="array" ref="G2320">IFERROR(_xlfn.XLOOKUP(1, (SKUs!$J$2:$J$10001=accsry_unmerged!F2320)*IF(H2320&lt;&gt;"",(SKUs!$L$2:$L$10001=accsry_unmerged!H2320),1)*(SKUs!$K$2:$K$10001=I2320),SKUs!$C$2:$C$10001),"")</f>
        <v>0</v>
      </c>
      <c r="H2320" s="36" cm="1">
        <f t="array" ref="H2320">IFERROR(_xlfn.XLOOKUP(1, (dd_accsryclr!$C$2:$C$1000=accsry_unmerged!F2320)*(dd_accsryclr!$B$2:$B$1000=accsry_unmerged!J2320),dd_accsryclr!$A$2:$A$1000),"")</f>
        <v>0</v>
      </c>
      <c r="I2320" s="35">
        <f>_xlfn.XLOOKUP(C2320,'Project Details'!$C$17:$C$66,'Project Details'!$E$17:$E$66,"",0)</f>
        <v>0</v>
      </c>
      <c r="J2320" s="35">
        <f>_xlfn.XLOOKUP(C2320,'Project Details'!$C$17:$C$66,'Project Details'!$H$17:$H$66,"",0)</f>
        <v>0</v>
      </c>
      <c r="K2320" s="36" t="str">
        <f>IF(AND(_xlfn.XLOOKUP(C2320,'Project Details'!$C$17:$C$66,'Project Details'!$L$17:$L$66,"",0)&gt;550, F2320="Spring-L27cm"),"",SUBSTITUTE(_xlfn.XLOOKUP(G2320,SKUs!$C$2:$C$10001,SKUs!$F$2:$F$10001,"",0), " Accessories",""))</f>
        <v/>
      </c>
      <c r="L2320" s="36">
        <f>_xlfn.XLOOKUP(C2320,'Project Details'!$C$17:$C$66,'Project Details'!$D$17:$D$66,"",0)</f>
        <v>0</v>
      </c>
      <c r="M2320" s="43"/>
    </row>
    <row r="2321" spans="1:13" x14ac:dyDescent="0.25">
      <c r="A2321" s="43"/>
      <c r="B2321" s="43"/>
      <c r="C2321" s="16">
        <f t="shared" si="45"/>
        <v>47</v>
      </c>
      <c r="D2321" s="16" t="str" cm="1">
        <f t="array" ref="D2321">IFERROR(ROUNDUP(_xlfn.IFS(F2321="Aluminum Track", _xlfn.XLOOKUP(C2321, dd_accsrycalc!$A$2:$A$51, dd_accsrycalc!$B$2:$B$51, "",0), F2321="10 x 2 1/2 S (Flat)", _xlfn.XLOOKUP(C2321, dd_accsrycalc!$A$2:$A$51, dd_accsrycalc!$C$2:$C$51, "",0), F2321="Tox6", _xlfn.XLOOKUP(C2321, dd_accsrycalc!$A$2:$A$51, dd_accsrycalc!$D$2:$D$51, "",0), F2321="Cover Cap", _xlfn.XLOOKUP(C2321, dd_accsrycalc!$A$2:$A$51, dd_accsrycalc!$E$2:$E$51, "",0), F2321="Drainage Cover", _xlfn.XLOOKUP(C2321, dd_accsrycalc!$A$2:$A$51, dd_accsrycalc!$F$2:$F$51, "",0),AND( F2321="Double Adhesive Tape", I2321="Roll-up Screen"), _xlfn.XLOOKUP(C2321, calc_rusacc!$C$15:$C$65, calc_rusacc!$AD$15:$AD$65, "",0),AND( F2321="Sealant", I2321="Roll-up Screen"), _xlfn.XLOOKUP(C2321, calc_rusacc!$C$15:$C$65, calc_rusacc!$AF$15:$AF$65, "",0),  AND( F2321="Main Chain", I2321="Accordion Screen"), _xlfn.XLOOKUP(C2321, calc_rusacc!$C$15:$C$65, calc_rusacc!$BF$15:$BF$65, "",0), AND( F2321="Sealant", I2321="Accordion Screen"), _xlfn.XLOOKUP(C2321, calc_rusacc!$C$15:$C$65, calc_rusacc!$BJ$15:$BJ$65, "",0),  F2321="Sealant", _xlfn.XLOOKUP(C2321, dd_accsrycalc!$A$2:$A$51, dd_accsrycalc!$G$2:$G$51, "",0),  F2321&lt;&gt;"",L2321*_xlfn.XLOOKUP(1, (SKUs!$C$2:$C$10001=G2321)*(SKUs!$K$2:$K$10001=I2321),SKUs!$E$2:$E$10001)), 0),"")</f>
        <v/>
      </c>
      <c r="E2321" s="16" t="str">
        <f>_xlfn.XLOOKUP(F2321,dd_item!$B$2:$B$105,dd_item!$C$2:$C$105,"",0)</f>
        <v/>
      </c>
      <c r="F2321" s="16"/>
      <c r="G2321" s="16" cm="1">
        <f t="array" ref="G2321">IFERROR(_xlfn.XLOOKUP(1, (SKUs!$J$2:$J$10001=accsry_unmerged!F2321)*IF(H2321&lt;&gt;"",(SKUs!$L$2:$L$10001=accsry_unmerged!H2321),1)*(SKUs!$K$2:$K$10001=I2321),SKUs!$C$2:$C$10001),"")</f>
        <v>0</v>
      </c>
      <c r="H2321" s="33" cm="1">
        <f t="array" ref="H2321">IFERROR(_xlfn.XLOOKUP(1, (dd_accsryclr!$C$2:$C$1000=accsry_unmerged!F2321)*(dd_accsryclr!$B$2:$B$1000=accsry_unmerged!J2321),dd_accsryclr!$A$2:$A$1000),"")</f>
        <v>0</v>
      </c>
      <c r="I2321" s="16">
        <f>_xlfn.XLOOKUP(C2321,'Project Details'!$C$17:$C$66,'Project Details'!$E$17:$E$66,"",0)</f>
        <v>0</v>
      </c>
      <c r="J2321" s="16">
        <f>_xlfn.XLOOKUP(C2321,'Project Details'!$C$17:$C$66,'Project Details'!$H$17:$H$66,"",0)</f>
        <v>0</v>
      </c>
      <c r="K2321" s="33" t="str">
        <f>IF(AND(_xlfn.XLOOKUP(C2321,'Project Details'!$C$17:$C$66,'Project Details'!$L$17:$L$66,"",0)&gt;550, F2321="Spring-L27cm"),"",SUBSTITUTE(_xlfn.XLOOKUP(G2321,SKUs!$C$2:$C$10001,SKUs!$F$2:$F$10001,"",0), " Accessories",""))</f>
        <v/>
      </c>
      <c r="L2321" s="33">
        <f>_xlfn.XLOOKUP(C2321,'Project Details'!$C$17:$C$66,'Project Details'!$D$17:$D$66,"",0)</f>
        <v>0</v>
      </c>
      <c r="M2321" s="43"/>
    </row>
    <row r="2322" spans="1:13" x14ac:dyDescent="0.25">
      <c r="A2322" s="43"/>
      <c r="B2322" s="43"/>
      <c r="C2322" s="35">
        <f t="shared" si="45"/>
        <v>47</v>
      </c>
      <c r="D2322" s="35" t="str" cm="1">
        <f t="array" ref="D2322">IFERROR(ROUNDUP(_xlfn.IFS(F2322="Aluminum Track", _xlfn.XLOOKUP(C2322, dd_accsrycalc!$A$2:$A$51, dd_accsrycalc!$B$2:$B$51, "",0), F2322="10 x 2 1/2 S (Flat)", _xlfn.XLOOKUP(C2322, dd_accsrycalc!$A$2:$A$51, dd_accsrycalc!$C$2:$C$51, "",0), F2322="Tox6", _xlfn.XLOOKUP(C2322, dd_accsrycalc!$A$2:$A$51, dd_accsrycalc!$D$2:$D$51, "",0), F2322="Cover Cap", _xlfn.XLOOKUP(C2322, dd_accsrycalc!$A$2:$A$51, dd_accsrycalc!$E$2:$E$51, "",0), F2322="Drainage Cover", _xlfn.XLOOKUP(C2322, dd_accsrycalc!$A$2:$A$51, dd_accsrycalc!$F$2:$F$51, "",0),AND( F2322="Double Adhesive Tape", I2322="Roll-up Screen"), _xlfn.XLOOKUP(C2322, calc_rusacc!$C$15:$C$65, calc_rusacc!$AD$15:$AD$65, "",0),AND( F2322="Sealant", I2322="Roll-up Screen"), _xlfn.XLOOKUP(C2322, calc_rusacc!$C$15:$C$65, calc_rusacc!$AF$15:$AF$65, "",0),  AND( F2322="Main Chain", I2322="Accordion Screen"), _xlfn.XLOOKUP(C2322, calc_rusacc!$C$15:$C$65, calc_rusacc!$BF$15:$BF$65, "",0), AND( F2322="Sealant", I2322="Accordion Screen"), _xlfn.XLOOKUP(C2322, calc_rusacc!$C$15:$C$65, calc_rusacc!$BJ$15:$BJ$65, "",0),  F2322="Sealant", _xlfn.XLOOKUP(C2322, dd_accsrycalc!$A$2:$A$51, dd_accsrycalc!$G$2:$G$51, "",0),  F2322&lt;&gt;"",L2322*_xlfn.XLOOKUP(1, (SKUs!$C$2:$C$10001=G2322)*(SKUs!$K$2:$K$10001=I2322),SKUs!$E$2:$E$10001)), 0),"")</f>
        <v/>
      </c>
      <c r="E2322" s="35" t="str">
        <f>_xlfn.XLOOKUP(F2322,dd_item!$B$2:$B$105,dd_item!$C$2:$C$105,"",0)</f>
        <v/>
      </c>
      <c r="F2322" s="35"/>
      <c r="G2322" s="35" cm="1">
        <f t="array" ref="G2322">IFERROR(_xlfn.XLOOKUP(1, (SKUs!$J$2:$J$10001=accsry_unmerged!F2322)*IF(H2322&lt;&gt;"",(SKUs!$L$2:$L$10001=accsry_unmerged!H2322),1)*(SKUs!$K$2:$K$10001=I2322),SKUs!$C$2:$C$10001),"")</f>
        <v>0</v>
      </c>
      <c r="H2322" s="36" cm="1">
        <f t="array" ref="H2322">IFERROR(_xlfn.XLOOKUP(1, (dd_accsryclr!$C$2:$C$1000=accsry_unmerged!F2322)*(dd_accsryclr!$B$2:$B$1000=accsry_unmerged!J2322),dd_accsryclr!$A$2:$A$1000),"")</f>
        <v>0</v>
      </c>
      <c r="I2322" s="35">
        <f>_xlfn.XLOOKUP(C2322,'Project Details'!$C$17:$C$66,'Project Details'!$E$17:$E$66,"",0)</f>
        <v>0</v>
      </c>
      <c r="J2322" s="35">
        <f>_xlfn.XLOOKUP(C2322,'Project Details'!$C$17:$C$66,'Project Details'!$H$17:$H$66,"",0)</f>
        <v>0</v>
      </c>
      <c r="K2322" s="36" t="str">
        <f>IF(AND(_xlfn.XLOOKUP(C2322,'Project Details'!$C$17:$C$66,'Project Details'!$L$17:$L$66,"",0)&gt;550, F2322="Spring-L27cm"),"",SUBSTITUTE(_xlfn.XLOOKUP(G2322,SKUs!$C$2:$C$10001,SKUs!$F$2:$F$10001,"",0), " Accessories",""))</f>
        <v/>
      </c>
      <c r="L2322" s="36">
        <f>_xlfn.XLOOKUP(C2322,'Project Details'!$C$17:$C$66,'Project Details'!$D$17:$D$66,"",0)</f>
        <v>0</v>
      </c>
      <c r="M2322" s="43"/>
    </row>
    <row r="2323" spans="1:13" x14ac:dyDescent="0.25">
      <c r="A2323" s="43"/>
      <c r="B2323" s="43"/>
      <c r="C2323" s="16">
        <f t="shared" si="45"/>
        <v>47</v>
      </c>
      <c r="D2323" s="16" t="str" cm="1">
        <f t="array" ref="D2323">IFERROR(ROUNDUP(_xlfn.IFS(F2323="Aluminum Track", _xlfn.XLOOKUP(C2323, dd_accsrycalc!$A$2:$A$51, dd_accsrycalc!$B$2:$B$51, "",0), F2323="10 x 2 1/2 S (Flat)", _xlfn.XLOOKUP(C2323, dd_accsrycalc!$A$2:$A$51, dd_accsrycalc!$C$2:$C$51, "",0), F2323="Tox6", _xlfn.XLOOKUP(C2323, dd_accsrycalc!$A$2:$A$51, dd_accsrycalc!$D$2:$D$51, "",0), F2323="Cover Cap", _xlfn.XLOOKUP(C2323, dd_accsrycalc!$A$2:$A$51, dd_accsrycalc!$E$2:$E$51, "",0), F2323="Drainage Cover", _xlfn.XLOOKUP(C2323, dd_accsrycalc!$A$2:$A$51, dd_accsrycalc!$F$2:$F$51, "",0),AND( F2323="Double Adhesive Tape", I2323="Roll-up Screen"), _xlfn.XLOOKUP(C2323, calc_rusacc!$C$15:$C$65, calc_rusacc!$AD$15:$AD$65, "",0),AND( F2323="Sealant", I2323="Roll-up Screen"), _xlfn.XLOOKUP(C2323, calc_rusacc!$C$15:$C$65, calc_rusacc!$AF$15:$AF$65, "",0),  AND( F2323="Main Chain", I2323="Accordion Screen"), _xlfn.XLOOKUP(C2323, calc_rusacc!$C$15:$C$65, calc_rusacc!$BF$15:$BF$65, "",0), AND( F2323="Sealant", I2323="Accordion Screen"), _xlfn.XLOOKUP(C2323, calc_rusacc!$C$15:$C$65, calc_rusacc!$BJ$15:$BJ$65, "",0),  F2323="Sealant", _xlfn.XLOOKUP(C2323, dd_accsrycalc!$A$2:$A$51, dd_accsrycalc!$G$2:$G$51, "",0),  F2323&lt;&gt;"",L2323*_xlfn.XLOOKUP(1, (SKUs!$C$2:$C$10001=G2323)*(SKUs!$K$2:$K$10001=I2323),SKUs!$E$2:$E$10001)), 0),"")</f>
        <v/>
      </c>
      <c r="E2323" s="16" t="str">
        <f>_xlfn.XLOOKUP(F2323,dd_item!$B$2:$B$105,dd_item!$C$2:$C$105,"",0)</f>
        <v/>
      </c>
      <c r="F2323" s="16"/>
      <c r="G2323" s="16" cm="1">
        <f t="array" ref="G2323">IFERROR(_xlfn.XLOOKUP(1, (SKUs!$J$2:$J$10001=accsry_unmerged!F2323)*IF(H2323&lt;&gt;"",(SKUs!$L$2:$L$10001=accsry_unmerged!H2323),1)*(SKUs!$K$2:$K$10001=I2323),SKUs!$C$2:$C$10001),"")</f>
        <v>0</v>
      </c>
      <c r="H2323" s="33" cm="1">
        <f t="array" ref="H2323">IFERROR(_xlfn.XLOOKUP(1, (dd_accsryclr!$C$2:$C$1000=accsry_unmerged!F2323)*(dd_accsryclr!$B$2:$B$1000=accsry_unmerged!J2323),dd_accsryclr!$A$2:$A$1000),"")</f>
        <v>0</v>
      </c>
      <c r="I2323" s="16">
        <f>_xlfn.XLOOKUP(C2323,'Project Details'!$C$17:$C$66,'Project Details'!$E$17:$E$66,"",0)</f>
        <v>0</v>
      </c>
      <c r="J2323" s="16">
        <f>_xlfn.XLOOKUP(C2323,'Project Details'!$C$17:$C$66,'Project Details'!$H$17:$H$66,"",0)</f>
        <v>0</v>
      </c>
      <c r="K2323" s="33" t="str">
        <f>IF(AND(_xlfn.XLOOKUP(C2323,'Project Details'!$C$17:$C$66,'Project Details'!$L$17:$L$66,"",0)&gt;550, F2323="Spring-L27cm"),"",SUBSTITUTE(_xlfn.XLOOKUP(G2323,SKUs!$C$2:$C$10001,SKUs!$F$2:$F$10001,"",0), " Accessories",""))</f>
        <v/>
      </c>
      <c r="L2323" s="33">
        <f>_xlfn.XLOOKUP(C2323,'Project Details'!$C$17:$C$66,'Project Details'!$D$17:$D$66,"",0)</f>
        <v>0</v>
      </c>
      <c r="M2323" s="43"/>
    </row>
    <row r="2324" spans="1:13" x14ac:dyDescent="0.25">
      <c r="A2324" s="43"/>
      <c r="B2324" s="43"/>
      <c r="C2324" s="35">
        <f t="shared" si="45"/>
        <v>47</v>
      </c>
      <c r="D2324" s="35" t="str" cm="1">
        <f t="array" ref="D2324">IFERROR(ROUNDUP(_xlfn.IFS(F2324="Aluminum Track", _xlfn.XLOOKUP(C2324, dd_accsrycalc!$A$2:$A$51, dd_accsrycalc!$B$2:$B$51, "",0), F2324="10 x 2 1/2 S (Flat)", _xlfn.XLOOKUP(C2324, dd_accsrycalc!$A$2:$A$51, dd_accsrycalc!$C$2:$C$51, "",0), F2324="Tox6", _xlfn.XLOOKUP(C2324, dd_accsrycalc!$A$2:$A$51, dd_accsrycalc!$D$2:$D$51, "",0), F2324="Cover Cap", _xlfn.XLOOKUP(C2324, dd_accsrycalc!$A$2:$A$51, dd_accsrycalc!$E$2:$E$51, "",0), F2324="Drainage Cover", _xlfn.XLOOKUP(C2324, dd_accsrycalc!$A$2:$A$51, dd_accsrycalc!$F$2:$F$51, "",0),AND( F2324="Double Adhesive Tape", I2324="Roll-up Screen"), _xlfn.XLOOKUP(C2324, calc_rusacc!$C$15:$C$65, calc_rusacc!$AD$15:$AD$65, "",0),AND( F2324="Sealant", I2324="Roll-up Screen"), _xlfn.XLOOKUP(C2324, calc_rusacc!$C$15:$C$65, calc_rusacc!$AF$15:$AF$65, "",0),  AND( F2324="Main Chain", I2324="Accordion Screen"), _xlfn.XLOOKUP(C2324, calc_rusacc!$C$15:$C$65, calc_rusacc!$BF$15:$BF$65, "",0), AND( F2324="Sealant", I2324="Accordion Screen"), _xlfn.XLOOKUP(C2324, calc_rusacc!$C$15:$C$65, calc_rusacc!$BJ$15:$BJ$65, "",0),  F2324="Sealant", _xlfn.XLOOKUP(C2324, dd_accsrycalc!$A$2:$A$51, dd_accsrycalc!$G$2:$G$51, "",0),  F2324&lt;&gt;"",L2324*_xlfn.XLOOKUP(1, (SKUs!$C$2:$C$10001=G2324)*(SKUs!$K$2:$K$10001=I2324),SKUs!$E$2:$E$10001)), 0),"")</f>
        <v/>
      </c>
      <c r="E2324" s="35" t="str">
        <f>_xlfn.XLOOKUP(F2324,dd_item!$B$2:$B$105,dd_item!$C$2:$C$105,"",0)</f>
        <v/>
      </c>
      <c r="F2324" s="35"/>
      <c r="G2324" s="35" cm="1">
        <f t="array" ref="G2324">IFERROR(_xlfn.XLOOKUP(1, (SKUs!$J$2:$J$10001=accsry_unmerged!F2324)*IF(H2324&lt;&gt;"",(SKUs!$L$2:$L$10001=accsry_unmerged!H2324),1)*(SKUs!$K$2:$K$10001=I2324),SKUs!$C$2:$C$10001),"")</f>
        <v>0</v>
      </c>
      <c r="H2324" s="36" cm="1">
        <f t="array" ref="H2324">IFERROR(_xlfn.XLOOKUP(1, (dd_accsryclr!$C$2:$C$1000=accsry_unmerged!F2324)*(dd_accsryclr!$B$2:$B$1000=accsry_unmerged!J2324),dd_accsryclr!$A$2:$A$1000),"")</f>
        <v>0</v>
      </c>
      <c r="I2324" s="35">
        <f>_xlfn.XLOOKUP(C2324,'Project Details'!$C$17:$C$66,'Project Details'!$E$17:$E$66,"",0)</f>
        <v>0</v>
      </c>
      <c r="J2324" s="35">
        <f>_xlfn.XLOOKUP(C2324,'Project Details'!$C$17:$C$66,'Project Details'!$H$17:$H$66,"",0)</f>
        <v>0</v>
      </c>
      <c r="K2324" s="36" t="str">
        <f>IF(AND(_xlfn.XLOOKUP(C2324,'Project Details'!$C$17:$C$66,'Project Details'!$L$17:$L$66,"",0)&gt;550, F2324="Spring-L27cm"),"",SUBSTITUTE(_xlfn.XLOOKUP(G2324,SKUs!$C$2:$C$10001,SKUs!$F$2:$F$10001,"",0), " Accessories",""))</f>
        <v/>
      </c>
      <c r="L2324" s="36">
        <f>_xlfn.XLOOKUP(C2324,'Project Details'!$C$17:$C$66,'Project Details'!$D$17:$D$66,"",0)</f>
        <v>0</v>
      </c>
      <c r="M2324" s="43"/>
    </row>
    <row r="2325" spans="1:13" x14ac:dyDescent="0.25">
      <c r="A2325" s="43"/>
      <c r="B2325" s="43"/>
      <c r="C2325" s="16">
        <f t="shared" si="45"/>
        <v>47</v>
      </c>
      <c r="D2325" s="16" t="str" cm="1">
        <f t="array" ref="D2325">IFERROR(ROUNDUP(_xlfn.IFS(F2325="Aluminum Track", _xlfn.XLOOKUP(C2325, dd_accsrycalc!$A$2:$A$51, dd_accsrycalc!$B$2:$B$51, "",0), F2325="10 x 2 1/2 S (Flat)", _xlfn.XLOOKUP(C2325, dd_accsrycalc!$A$2:$A$51, dd_accsrycalc!$C$2:$C$51, "",0), F2325="Tox6", _xlfn.XLOOKUP(C2325, dd_accsrycalc!$A$2:$A$51, dd_accsrycalc!$D$2:$D$51, "",0), F2325="Cover Cap", _xlfn.XLOOKUP(C2325, dd_accsrycalc!$A$2:$A$51, dd_accsrycalc!$E$2:$E$51, "",0), F2325="Drainage Cover", _xlfn.XLOOKUP(C2325, dd_accsrycalc!$A$2:$A$51, dd_accsrycalc!$F$2:$F$51, "",0),AND( F2325="Double Adhesive Tape", I2325="Roll-up Screen"), _xlfn.XLOOKUP(C2325, calc_rusacc!$C$15:$C$65, calc_rusacc!$AD$15:$AD$65, "",0),AND( F2325="Sealant", I2325="Roll-up Screen"), _xlfn.XLOOKUP(C2325, calc_rusacc!$C$15:$C$65, calc_rusacc!$AF$15:$AF$65, "",0),  AND( F2325="Main Chain", I2325="Accordion Screen"), _xlfn.XLOOKUP(C2325, calc_rusacc!$C$15:$C$65, calc_rusacc!$BF$15:$BF$65, "",0), AND( F2325="Sealant", I2325="Accordion Screen"), _xlfn.XLOOKUP(C2325, calc_rusacc!$C$15:$C$65, calc_rusacc!$BJ$15:$BJ$65, "",0),  F2325="Sealant", _xlfn.XLOOKUP(C2325, dd_accsrycalc!$A$2:$A$51, dd_accsrycalc!$G$2:$G$51, "",0),  F2325&lt;&gt;"",L2325*_xlfn.XLOOKUP(1, (SKUs!$C$2:$C$10001=G2325)*(SKUs!$K$2:$K$10001=I2325),SKUs!$E$2:$E$10001)), 0),"")</f>
        <v/>
      </c>
      <c r="E2325" s="16" t="str">
        <f>_xlfn.XLOOKUP(F2325,dd_item!$B$2:$B$105,dd_item!$C$2:$C$105,"",0)</f>
        <v/>
      </c>
      <c r="F2325" s="16"/>
      <c r="G2325" s="16" cm="1">
        <f t="array" ref="G2325">IFERROR(_xlfn.XLOOKUP(1, (SKUs!$J$2:$J$10001=accsry_unmerged!F2325)*IF(H2325&lt;&gt;"",(SKUs!$L$2:$L$10001=accsry_unmerged!H2325),1)*(SKUs!$K$2:$K$10001=I2325),SKUs!$C$2:$C$10001),"")</f>
        <v>0</v>
      </c>
      <c r="H2325" s="33" cm="1">
        <f t="array" ref="H2325">IFERROR(_xlfn.XLOOKUP(1, (dd_accsryclr!$C$2:$C$1000=accsry_unmerged!F2325)*(dd_accsryclr!$B$2:$B$1000=accsry_unmerged!J2325),dd_accsryclr!$A$2:$A$1000),"")</f>
        <v>0</v>
      </c>
      <c r="I2325" s="16">
        <f>_xlfn.XLOOKUP(C2325,'Project Details'!$C$17:$C$66,'Project Details'!$E$17:$E$66,"",0)</f>
        <v>0</v>
      </c>
      <c r="J2325" s="16">
        <f>_xlfn.XLOOKUP(C2325,'Project Details'!$C$17:$C$66,'Project Details'!$H$17:$H$66,"",0)</f>
        <v>0</v>
      </c>
      <c r="K2325" s="33" t="str">
        <f>IF(AND(_xlfn.XLOOKUP(C2325,'Project Details'!$C$17:$C$66,'Project Details'!$L$17:$L$66,"",0)&gt;550, F2325="Spring-L27cm"),"",SUBSTITUTE(_xlfn.XLOOKUP(G2325,SKUs!$C$2:$C$10001,SKUs!$F$2:$F$10001,"",0), " Accessories",""))</f>
        <v/>
      </c>
      <c r="L2325" s="33">
        <f>_xlfn.XLOOKUP(C2325,'Project Details'!$C$17:$C$66,'Project Details'!$D$17:$D$66,"",0)</f>
        <v>0</v>
      </c>
      <c r="M2325" s="43"/>
    </row>
    <row r="2326" spans="1:13" x14ac:dyDescent="0.25">
      <c r="A2326" s="43"/>
      <c r="B2326" s="43"/>
      <c r="C2326" s="35">
        <f t="shared" si="45"/>
        <v>47</v>
      </c>
      <c r="D2326" s="35" t="str" cm="1">
        <f t="array" ref="D2326">IFERROR(ROUNDUP(_xlfn.IFS(F2326="Aluminum Track", _xlfn.XLOOKUP(C2326, dd_accsrycalc!$A$2:$A$51, dd_accsrycalc!$B$2:$B$51, "",0), F2326="10 x 2 1/2 S (Flat)", _xlfn.XLOOKUP(C2326, dd_accsrycalc!$A$2:$A$51, dd_accsrycalc!$C$2:$C$51, "",0), F2326="Tox6", _xlfn.XLOOKUP(C2326, dd_accsrycalc!$A$2:$A$51, dd_accsrycalc!$D$2:$D$51, "",0), F2326="Cover Cap", _xlfn.XLOOKUP(C2326, dd_accsrycalc!$A$2:$A$51, dd_accsrycalc!$E$2:$E$51, "",0), F2326="Drainage Cover", _xlfn.XLOOKUP(C2326, dd_accsrycalc!$A$2:$A$51, dd_accsrycalc!$F$2:$F$51, "",0),AND( F2326="Double Adhesive Tape", I2326="Roll-up Screen"), _xlfn.XLOOKUP(C2326, calc_rusacc!$C$15:$C$65, calc_rusacc!$AD$15:$AD$65, "",0),AND( F2326="Sealant", I2326="Roll-up Screen"), _xlfn.XLOOKUP(C2326, calc_rusacc!$C$15:$C$65, calc_rusacc!$AF$15:$AF$65, "",0),  AND( F2326="Main Chain", I2326="Accordion Screen"), _xlfn.XLOOKUP(C2326, calc_rusacc!$C$15:$C$65, calc_rusacc!$BF$15:$BF$65, "",0), AND( F2326="Sealant", I2326="Accordion Screen"), _xlfn.XLOOKUP(C2326, calc_rusacc!$C$15:$C$65, calc_rusacc!$BJ$15:$BJ$65, "",0),  F2326="Sealant", _xlfn.XLOOKUP(C2326, dd_accsrycalc!$A$2:$A$51, dd_accsrycalc!$G$2:$G$51, "",0),  F2326&lt;&gt;"",L2326*_xlfn.XLOOKUP(1, (SKUs!$C$2:$C$10001=G2326)*(SKUs!$K$2:$K$10001=I2326),SKUs!$E$2:$E$10001)), 0),"")</f>
        <v/>
      </c>
      <c r="E2326" s="35" t="str">
        <f>_xlfn.XLOOKUP(F2326,dd_item!$B$2:$B$105,dd_item!$C$2:$C$105,"",0)</f>
        <v/>
      </c>
      <c r="F2326" s="35"/>
      <c r="G2326" s="35" cm="1">
        <f t="array" ref="G2326">IFERROR(_xlfn.XLOOKUP(1, (SKUs!$J$2:$J$10001=accsry_unmerged!F2326)*IF(H2326&lt;&gt;"",(SKUs!$L$2:$L$10001=accsry_unmerged!H2326),1)*(SKUs!$K$2:$K$10001=I2326),SKUs!$C$2:$C$10001),"")</f>
        <v>0</v>
      </c>
      <c r="H2326" s="36" cm="1">
        <f t="array" ref="H2326">IFERROR(_xlfn.XLOOKUP(1, (dd_accsryclr!$C$2:$C$1000=accsry_unmerged!F2326)*(dd_accsryclr!$B$2:$B$1000=accsry_unmerged!J2326),dd_accsryclr!$A$2:$A$1000),"")</f>
        <v>0</v>
      </c>
      <c r="I2326" s="35">
        <f>_xlfn.XLOOKUP(C2326,'Project Details'!$C$17:$C$66,'Project Details'!$E$17:$E$66,"",0)</f>
        <v>0</v>
      </c>
      <c r="J2326" s="35">
        <f>_xlfn.XLOOKUP(C2326,'Project Details'!$C$17:$C$66,'Project Details'!$H$17:$H$66,"",0)</f>
        <v>0</v>
      </c>
      <c r="K2326" s="36" t="str">
        <f>IF(AND(_xlfn.XLOOKUP(C2326,'Project Details'!$C$17:$C$66,'Project Details'!$L$17:$L$66,"",0)&gt;550, F2326="Spring-L27cm"),"",SUBSTITUTE(_xlfn.XLOOKUP(G2326,SKUs!$C$2:$C$10001,SKUs!$F$2:$F$10001,"",0), " Accessories",""))</f>
        <v/>
      </c>
      <c r="L2326" s="36">
        <f>_xlfn.XLOOKUP(C2326,'Project Details'!$C$17:$C$66,'Project Details'!$D$17:$D$66,"",0)</f>
        <v>0</v>
      </c>
      <c r="M2326" s="43"/>
    </row>
    <row r="2327" spans="1:13" x14ac:dyDescent="0.25">
      <c r="A2327" s="43"/>
      <c r="B2327" s="43"/>
      <c r="C2327" s="16">
        <f t="shared" si="45"/>
        <v>47</v>
      </c>
      <c r="D2327" s="16" t="str" cm="1">
        <f t="array" ref="D2327">IFERROR(ROUNDUP(_xlfn.IFS(F2327="Aluminum Track", _xlfn.XLOOKUP(C2327, dd_accsrycalc!$A$2:$A$51, dd_accsrycalc!$B$2:$B$51, "",0), F2327="10 x 2 1/2 S (Flat)", _xlfn.XLOOKUP(C2327, dd_accsrycalc!$A$2:$A$51, dd_accsrycalc!$C$2:$C$51, "",0), F2327="Tox6", _xlfn.XLOOKUP(C2327, dd_accsrycalc!$A$2:$A$51, dd_accsrycalc!$D$2:$D$51, "",0), F2327="Cover Cap", _xlfn.XLOOKUP(C2327, dd_accsrycalc!$A$2:$A$51, dd_accsrycalc!$E$2:$E$51, "",0), F2327="Drainage Cover", _xlfn.XLOOKUP(C2327, dd_accsrycalc!$A$2:$A$51, dd_accsrycalc!$F$2:$F$51, "",0),AND( F2327="Double Adhesive Tape", I2327="Roll-up Screen"), _xlfn.XLOOKUP(C2327, calc_rusacc!$C$15:$C$65, calc_rusacc!$AD$15:$AD$65, "",0),AND( F2327="Sealant", I2327="Roll-up Screen"), _xlfn.XLOOKUP(C2327, calc_rusacc!$C$15:$C$65, calc_rusacc!$AF$15:$AF$65, "",0),  AND( F2327="Main Chain", I2327="Accordion Screen"), _xlfn.XLOOKUP(C2327, calc_rusacc!$C$15:$C$65, calc_rusacc!$BF$15:$BF$65, "",0), AND( F2327="Sealant", I2327="Accordion Screen"), _xlfn.XLOOKUP(C2327, calc_rusacc!$C$15:$C$65, calc_rusacc!$BJ$15:$BJ$65, "",0),  F2327="Sealant", _xlfn.XLOOKUP(C2327, dd_accsrycalc!$A$2:$A$51, dd_accsrycalc!$G$2:$G$51, "",0),  F2327&lt;&gt;"",L2327*_xlfn.XLOOKUP(1, (SKUs!$C$2:$C$10001=G2327)*(SKUs!$K$2:$K$10001=I2327),SKUs!$E$2:$E$10001)), 0),"")</f>
        <v/>
      </c>
      <c r="E2327" s="16" t="str">
        <f>_xlfn.XLOOKUP(F2327,dd_item!$B$2:$B$105,dd_item!$C$2:$C$105,"",0)</f>
        <v/>
      </c>
      <c r="F2327" s="16"/>
      <c r="G2327" s="16" cm="1">
        <f t="array" ref="G2327">IFERROR(_xlfn.XLOOKUP(1, (SKUs!$J$2:$J$10001=accsry_unmerged!F2327)*IF(H2327&lt;&gt;"",(SKUs!$L$2:$L$10001=accsry_unmerged!H2327),1)*(SKUs!$K$2:$K$10001=I2327),SKUs!$C$2:$C$10001),"")</f>
        <v>0</v>
      </c>
      <c r="H2327" s="33" cm="1">
        <f t="array" ref="H2327">IFERROR(_xlfn.XLOOKUP(1, (dd_accsryclr!$C$2:$C$1000=accsry_unmerged!F2327)*(dd_accsryclr!$B$2:$B$1000=accsry_unmerged!J2327),dd_accsryclr!$A$2:$A$1000),"")</f>
        <v>0</v>
      </c>
      <c r="I2327" s="16">
        <f>_xlfn.XLOOKUP(C2327,'Project Details'!$C$17:$C$66,'Project Details'!$E$17:$E$66,"",0)</f>
        <v>0</v>
      </c>
      <c r="J2327" s="16">
        <f>_xlfn.XLOOKUP(C2327,'Project Details'!$C$17:$C$66,'Project Details'!$H$17:$H$66,"",0)</f>
        <v>0</v>
      </c>
      <c r="K2327" s="33" t="str">
        <f>IF(AND(_xlfn.XLOOKUP(C2327,'Project Details'!$C$17:$C$66,'Project Details'!$L$17:$L$66,"",0)&gt;550, F2327="Spring-L27cm"),"",SUBSTITUTE(_xlfn.XLOOKUP(G2327,SKUs!$C$2:$C$10001,SKUs!$F$2:$F$10001,"",0), " Accessories",""))</f>
        <v/>
      </c>
      <c r="L2327" s="33">
        <f>_xlfn.XLOOKUP(C2327,'Project Details'!$C$17:$C$66,'Project Details'!$D$17:$D$66,"",0)</f>
        <v>0</v>
      </c>
      <c r="M2327" s="43"/>
    </row>
    <row r="2328" spans="1:13" x14ac:dyDescent="0.25">
      <c r="A2328" s="43"/>
      <c r="B2328" s="43"/>
      <c r="C2328" s="35">
        <f t="shared" si="45"/>
        <v>47</v>
      </c>
      <c r="D2328" s="35" t="str" cm="1">
        <f t="array" ref="D2328">IFERROR(ROUNDUP(_xlfn.IFS(F2328="Aluminum Track", _xlfn.XLOOKUP(C2328, dd_accsrycalc!$A$2:$A$51, dd_accsrycalc!$B$2:$B$51, "",0), F2328="10 x 2 1/2 S (Flat)", _xlfn.XLOOKUP(C2328, dd_accsrycalc!$A$2:$A$51, dd_accsrycalc!$C$2:$C$51, "",0), F2328="Tox6", _xlfn.XLOOKUP(C2328, dd_accsrycalc!$A$2:$A$51, dd_accsrycalc!$D$2:$D$51, "",0), F2328="Cover Cap", _xlfn.XLOOKUP(C2328, dd_accsrycalc!$A$2:$A$51, dd_accsrycalc!$E$2:$E$51, "",0), F2328="Drainage Cover", _xlfn.XLOOKUP(C2328, dd_accsrycalc!$A$2:$A$51, dd_accsrycalc!$F$2:$F$51, "",0),AND( F2328="Double Adhesive Tape", I2328="Roll-up Screen"), _xlfn.XLOOKUP(C2328, calc_rusacc!$C$15:$C$65, calc_rusacc!$AD$15:$AD$65, "",0),AND( F2328="Sealant", I2328="Roll-up Screen"), _xlfn.XLOOKUP(C2328, calc_rusacc!$C$15:$C$65, calc_rusacc!$AF$15:$AF$65, "",0),  AND( F2328="Main Chain", I2328="Accordion Screen"), _xlfn.XLOOKUP(C2328, calc_rusacc!$C$15:$C$65, calc_rusacc!$BF$15:$BF$65, "",0), AND( F2328="Sealant", I2328="Accordion Screen"), _xlfn.XLOOKUP(C2328, calc_rusacc!$C$15:$C$65, calc_rusacc!$BJ$15:$BJ$65, "",0),  F2328="Sealant", _xlfn.XLOOKUP(C2328, dd_accsrycalc!$A$2:$A$51, dd_accsrycalc!$G$2:$G$51, "",0),  F2328&lt;&gt;"",L2328*_xlfn.XLOOKUP(1, (SKUs!$C$2:$C$10001=G2328)*(SKUs!$K$2:$K$10001=I2328),SKUs!$E$2:$E$10001)), 0),"")</f>
        <v/>
      </c>
      <c r="E2328" s="35" t="str">
        <f>_xlfn.XLOOKUP(F2328,dd_item!$B$2:$B$105,dd_item!$C$2:$C$105,"",0)</f>
        <v/>
      </c>
      <c r="F2328" s="35"/>
      <c r="G2328" s="35" cm="1">
        <f t="array" ref="G2328">IFERROR(_xlfn.XLOOKUP(1, (SKUs!$J$2:$J$10001=accsry_unmerged!F2328)*IF(H2328&lt;&gt;"",(SKUs!$L$2:$L$10001=accsry_unmerged!H2328),1)*(SKUs!$K$2:$K$10001=I2328),SKUs!$C$2:$C$10001),"")</f>
        <v>0</v>
      </c>
      <c r="H2328" s="36" cm="1">
        <f t="array" ref="H2328">IFERROR(_xlfn.XLOOKUP(1, (dd_accsryclr!$C$2:$C$1000=accsry_unmerged!F2328)*(dd_accsryclr!$B$2:$B$1000=accsry_unmerged!J2328),dd_accsryclr!$A$2:$A$1000),"")</f>
        <v>0</v>
      </c>
      <c r="I2328" s="35">
        <f>_xlfn.XLOOKUP(C2328,'Project Details'!$C$17:$C$66,'Project Details'!$E$17:$E$66,"",0)</f>
        <v>0</v>
      </c>
      <c r="J2328" s="35">
        <f>_xlfn.XLOOKUP(C2328,'Project Details'!$C$17:$C$66,'Project Details'!$H$17:$H$66,"",0)</f>
        <v>0</v>
      </c>
      <c r="K2328" s="36" t="str">
        <f>IF(AND(_xlfn.XLOOKUP(C2328,'Project Details'!$C$17:$C$66,'Project Details'!$L$17:$L$66,"",0)&gt;550, F2328="Spring-L27cm"),"",SUBSTITUTE(_xlfn.XLOOKUP(G2328,SKUs!$C$2:$C$10001,SKUs!$F$2:$F$10001,"",0), " Accessories",""))</f>
        <v/>
      </c>
      <c r="L2328" s="36">
        <f>_xlfn.XLOOKUP(C2328,'Project Details'!$C$17:$C$66,'Project Details'!$D$17:$D$66,"",0)</f>
        <v>0</v>
      </c>
      <c r="M2328" s="43"/>
    </row>
    <row r="2329" spans="1:13" x14ac:dyDescent="0.25">
      <c r="A2329" s="43"/>
      <c r="B2329" s="43"/>
      <c r="C2329" s="16">
        <f t="shared" si="45"/>
        <v>47</v>
      </c>
      <c r="D2329" s="16" t="str" cm="1">
        <f t="array" ref="D2329">IFERROR(ROUNDUP(_xlfn.IFS(F2329="Aluminum Track", _xlfn.XLOOKUP(C2329, dd_accsrycalc!$A$2:$A$51, dd_accsrycalc!$B$2:$B$51, "",0), F2329="10 x 2 1/2 S (Flat)", _xlfn.XLOOKUP(C2329, dd_accsrycalc!$A$2:$A$51, dd_accsrycalc!$C$2:$C$51, "",0), F2329="Tox6", _xlfn.XLOOKUP(C2329, dd_accsrycalc!$A$2:$A$51, dd_accsrycalc!$D$2:$D$51, "",0), F2329="Cover Cap", _xlfn.XLOOKUP(C2329, dd_accsrycalc!$A$2:$A$51, dd_accsrycalc!$E$2:$E$51, "",0), F2329="Drainage Cover", _xlfn.XLOOKUP(C2329, dd_accsrycalc!$A$2:$A$51, dd_accsrycalc!$F$2:$F$51, "",0),AND( F2329="Double Adhesive Tape", I2329="Roll-up Screen"), _xlfn.XLOOKUP(C2329, calc_rusacc!$C$15:$C$65, calc_rusacc!$AD$15:$AD$65, "",0),AND( F2329="Sealant", I2329="Roll-up Screen"), _xlfn.XLOOKUP(C2329, calc_rusacc!$C$15:$C$65, calc_rusacc!$AF$15:$AF$65, "",0),  AND( F2329="Main Chain", I2329="Accordion Screen"), _xlfn.XLOOKUP(C2329, calc_rusacc!$C$15:$C$65, calc_rusacc!$BF$15:$BF$65, "",0), AND( F2329="Sealant", I2329="Accordion Screen"), _xlfn.XLOOKUP(C2329, calc_rusacc!$C$15:$C$65, calc_rusacc!$BJ$15:$BJ$65, "",0),  F2329="Sealant", _xlfn.XLOOKUP(C2329, dd_accsrycalc!$A$2:$A$51, dd_accsrycalc!$G$2:$G$51, "",0),  F2329&lt;&gt;"",L2329*_xlfn.XLOOKUP(1, (SKUs!$C$2:$C$10001=G2329)*(SKUs!$K$2:$K$10001=I2329),SKUs!$E$2:$E$10001)), 0),"")</f>
        <v/>
      </c>
      <c r="E2329" s="16" t="str">
        <f>_xlfn.XLOOKUP(F2329,dd_item!$B$2:$B$105,dd_item!$C$2:$C$105,"",0)</f>
        <v/>
      </c>
      <c r="F2329" s="16"/>
      <c r="G2329" s="16" cm="1">
        <f t="array" ref="G2329">IFERROR(_xlfn.XLOOKUP(1, (SKUs!$J$2:$J$10001=accsry_unmerged!F2329)*IF(H2329&lt;&gt;"",(SKUs!$L$2:$L$10001=accsry_unmerged!H2329),1)*(SKUs!$K$2:$K$10001=I2329),SKUs!$C$2:$C$10001),"")</f>
        <v>0</v>
      </c>
      <c r="H2329" s="33" cm="1">
        <f t="array" ref="H2329">IFERROR(_xlfn.XLOOKUP(1, (dd_accsryclr!$C$2:$C$1000=accsry_unmerged!F2329)*(dd_accsryclr!$B$2:$B$1000=accsry_unmerged!J2329),dd_accsryclr!$A$2:$A$1000),"")</f>
        <v>0</v>
      </c>
      <c r="I2329" s="16">
        <f>_xlfn.XLOOKUP(C2329,'Project Details'!$C$17:$C$66,'Project Details'!$E$17:$E$66,"",0)</f>
        <v>0</v>
      </c>
      <c r="J2329" s="16">
        <f>_xlfn.XLOOKUP(C2329,'Project Details'!$C$17:$C$66,'Project Details'!$H$17:$H$66,"",0)</f>
        <v>0</v>
      </c>
      <c r="K2329" s="33" t="str">
        <f>IF(AND(_xlfn.XLOOKUP(C2329,'Project Details'!$C$17:$C$66,'Project Details'!$L$17:$L$66,"",0)&gt;550, F2329="Spring-L27cm"),"",SUBSTITUTE(_xlfn.XLOOKUP(G2329,SKUs!$C$2:$C$10001,SKUs!$F$2:$F$10001,"",0), " Accessories",""))</f>
        <v/>
      </c>
      <c r="L2329" s="33">
        <f>_xlfn.XLOOKUP(C2329,'Project Details'!$C$17:$C$66,'Project Details'!$D$17:$D$66,"",0)</f>
        <v>0</v>
      </c>
      <c r="M2329" s="43"/>
    </row>
    <row r="2330" spans="1:13" x14ac:dyDescent="0.25">
      <c r="A2330" s="43"/>
      <c r="B2330" s="43"/>
      <c r="C2330" s="35">
        <f t="shared" si="45"/>
        <v>47</v>
      </c>
      <c r="D2330" s="35" t="str" cm="1">
        <f t="array" ref="D2330">IFERROR(ROUNDUP(_xlfn.IFS(F2330="Aluminum Track", _xlfn.XLOOKUP(C2330, dd_accsrycalc!$A$2:$A$51, dd_accsrycalc!$B$2:$B$51, "",0), F2330="10 x 2 1/2 S (Flat)", _xlfn.XLOOKUP(C2330, dd_accsrycalc!$A$2:$A$51, dd_accsrycalc!$C$2:$C$51, "",0), F2330="Tox6", _xlfn.XLOOKUP(C2330, dd_accsrycalc!$A$2:$A$51, dd_accsrycalc!$D$2:$D$51, "",0), F2330="Cover Cap", _xlfn.XLOOKUP(C2330, dd_accsrycalc!$A$2:$A$51, dd_accsrycalc!$E$2:$E$51, "",0), F2330="Drainage Cover", _xlfn.XLOOKUP(C2330, dd_accsrycalc!$A$2:$A$51, dd_accsrycalc!$F$2:$F$51, "",0),AND( F2330="Double Adhesive Tape", I2330="Roll-up Screen"), _xlfn.XLOOKUP(C2330, calc_rusacc!$C$15:$C$65, calc_rusacc!$AD$15:$AD$65, "",0),AND( F2330="Sealant", I2330="Roll-up Screen"), _xlfn.XLOOKUP(C2330, calc_rusacc!$C$15:$C$65, calc_rusacc!$AF$15:$AF$65, "",0),  AND( F2330="Main Chain", I2330="Accordion Screen"), _xlfn.XLOOKUP(C2330, calc_rusacc!$C$15:$C$65, calc_rusacc!$BF$15:$BF$65, "",0), AND( F2330="Sealant", I2330="Accordion Screen"), _xlfn.XLOOKUP(C2330, calc_rusacc!$C$15:$C$65, calc_rusacc!$BJ$15:$BJ$65, "",0),  F2330="Sealant", _xlfn.XLOOKUP(C2330, dd_accsrycalc!$A$2:$A$51, dd_accsrycalc!$G$2:$G$51, "",0),  F2330&lt;&gt;"",L2330*_xlfn.XLOOKUP(1, (SKUs!$C$2:$C$10001=G2330)*(SKUs!$K$2:$K$10001=I2330),SKUs!$E$2:$E$10001)), 0),"")</f>
        <v/>
      </c>
      <c r="E2330" s="35" t="str">
        <f>_xlfn.XLOOKUP(F2330,dd_item!$B$2:$B$105,dd_item!$C$2:$C$105,"",0)</f>
        <v/>
      </c>
      <c r="F2330" s="35"/>
      <c r="G2330" s="35" cm="1">
        <f t="array" ref="G2330">IFERROR(_xlfn.XLOOKUP(1, (SKUs!$J$2:$J$10001=accsry_unmerged!F2330)*IF(H2330&lt;&gt;"",(SKUs!$L$2:$L$10001=accsry_unmerged!H2330),1)*(SKUs!$K$2:$K$10001=I2330),SKUs!$C$2:$C$10001),"")</f>
        <v>0</v>
      </c>
      <c r="H2330" s="36" cm="1">
        <f t="array" ref="H2330">IFERROR(_xlfn.XLOOKUP(1, (dd_accsryclr!$C$2:$C$1000=accsry_unmerged!F2330)*(dd_accsryclr!$B$2:$B$1000=accsry_unmerged!J2330),dd_accsryclr!$A$2:$A$1000),"")</f>
        <v>0</v>
      </c>
      <c r="I2330" s="35">
        <f>_xlfn.XLOOKUP(C2330,'Project Details'!$C$17:$C$66,'Project Details'!$E$17:$E$66,"",0)</f>
        <v>0</v>
      </c>
      <c r="J2330" s="35">
        <f>_xlfn.XLOOKUP(C2330,'Project Details'!$C$17:$C$66,'Project Details'!$H$17:$H$66,"",0)</f>
        <v>0</v>
      </c>
      <c r="K2330" s="36" t="str">
        <f>IF(AND(_xlfn.XLOOKUP(C2330,'Project Details'!$C$17:$C$66,'Project Details'!$L$17:$L$66,"",0)&gt;550, F2330="Spring-L27cm"),"",SUBSTITUTE(_xlfn.XLOOKUP(G2330,SKUs!$C$2:$C$10001,SKUs!$F$2:$F$10001,"",0), " Accessories",""))</f>
        <v/>
      </c>
      <c r="L2330" s="36">
        <f>_xlfn.XLOOKUP(C2330,'Project Details'!$C$17:$C$66,'Project Details'!$D$17:$D$66,"",0)</f>
        <v>0</v>
      </c>
      <c r="M2330" s="43"/>
    </row>
    <row r="2331" spans="1:13" x14ac:dyDescent="0.25">
      <c r="A2331" s="43"/>
      <c r="B2331" s="43"/>
      <c r="C2331" s="16">
        <f t="shared" si="45"/>
        <v>47</v>
      </c>
      <c r="D2331" s="16" t="str" cm="1">
        <f t="array" ref="D2331">IFERROR(ROUNDUP(_xlfn.IFS(F2331="Aluminum Track", _xlfn.XLOOKUP(C2331, dd_accsrycalc!$A$2:$A$51, dd_accsrycalc!$B$2:$B$51, "",0), F2331="10 x 2 1/2 S (Flat)", _xlfn.XLOOKUP(C2331, dd_accsrycalc!$A$2:$A$51, dd_accsrycalc!$C$2:$C$51, "",0), F2331="Tox6", _xlfn.XLOOKUP(C2331, dd_accsrycalc!$A$2:$A$51, dd_accsrycalc!$D$2:$D$51, "",0), F2331="Cover Cap", _xlfn.XLOOKUP(C2331, dd_accsrycalc!$A$2:$A$51, dd_accsrycalc!$E$2:$E$51, "",0), F2331="Drainage Cover", _xlfn.XLOOKUP(C2331, dd_accsrycalc!$A$2:$A$51, dd_accsrycalc!$F$2:$F$51, "",0),AND( F2331="Double Adhesive Tape", I2331="Roll-up Screen"), _xlfn.XLOOKUP(C2331, calc_rusacc!$C$15:$C$65, calc_rusacc!$AD$15:$AD$65, "",0),AND( F2331="Sealant", I2331="Roll-up Screen"), _xlfn.XLOOKUP(C2331, calc_rusacc!$C$15:$C$65, calc_rusacc!$AF$15:$AF$65, "",0),  AND( F2331="Main Chain", I2331="Accordion Screen"), _xlfn.XLOOKUP(C2331, calc_rusacc!$C$15:$C$65, calc_rusacc!$BF$15:$BF$65, "",0), AND( F2331="Sealant", I2331="Accordion Screen"), _xlfn.XLOOKUP(C2331, calc_rusacc!$C$15:$C$65, calc_rusacc!$BJ$15:$BJ$65, "",0),  F2331="Sealant", _xlfn.XLOOKUP(C2331, dd_accsrycalc!$A$2:$A$51, dd_accsrycalc!$G$2:$G$51, "",0),  F2331&lt;&gt;"",L2331*_xlfn.XLOOKUP(1, (SKUs!$C$2:$C$10001=G2331)*(SKUs!$K$2:$K$10001=I2331),SKUs!$E$2:$E$10001)), 0),"")</f>
        <v/>
      </c>
      <c r="E2331" s="16" t="str">
        <f>_xlfn.XLOOKUP(F2331,dd_item!$B$2:$B$105,dd_item!$C$2:$C$105,"",0)</f>
        <v/>
      </c>
      <c r="F2331" s="16"/>
      <c r="G2331" s="16" cm="1">
        <f t="array" ref="G2331">IFERROR(_xlfn.XLOOKUP(1, (SKUs!$J$2:$J$10001=accsry_unmerged!F2331)*IF(H2331&lt;&gt;"",(SKUs!$L$2:$L$10001=accsry_unmerged!H2331),1)*(SKUs!$K$2:$K$10001=I2331),SKUs!$C$2:$C$10001),"")</f>
        <v>0</v>
      </c>
      <c r="H2331" s="33" cm="1">
        <f t="array" ref="H2331">IFERROR(_xlfn.XLOOKUP(1, (dd_accsryclr!$C$2:$C$1000=accsry_unmerged!F2331)*(dd_accsryclr!$B$2:$B$1000=accsry_unmerged!J2331),dd_accsryclr!$A$2:$A$1000),"")</f>
        <v>0</v>
      </c>
      <c r="I2331" s="16">
        <f>_xlfn.XLOOKUP(C2331,'Project Details'!$C$17:$C$66,'Project Details'!$E$17:$E$66,"",0)</f>
        <v>0</v>
      </c>
      <c r="J2331" s="16">
        <f>_xlfn.XLOOKUP(C2331,'Project Details'!$C$17:$C$66,'Project Details'!$H$17:$H$66,"",0)</f>
        <v>0</v>
      </c>
      <c r="K2331" s="33" t="str">
        <f>IF(AND(_xlfn.XLOOKUP(C2331,'Project Details'!$C$17:$C$66,'Project Details'!$L$17:$L$66,"",0)&gt;550, F2331="Spring-L27cm"),"",SUBSTITUTE(_xlfn.XLOOKUP(G2331,SKUs!$C$2:$C$10001,SKUs!$F$2:$F$10001,"",0), " Accessories",""))</f>
        <v/>
      </c>
      <c r="L2331" s="33">
        <f>_xlfn.XLOOKUP(C2331,'Project Details'!$C$17:$C$66,'Project Details'!$D$17:$D$66,"",0)</f>
        <v>0</v>
      </c>
      <c r="M2331" s="43"/>
    </row>
    <row r="2332" spans="1:13" x14ac:dyDescent="0.25">
      <c r="A2332" s="43"/>
      <c r="B2332" s="43"/>
      <c r="C2332" s="35">
        <f t="shared" si="45"/>
        <v>47</v>
      </c>
      <c r="D2332" s="35" t="str" cm="1">
        <f t="array" ref="D2332">IFERROR(ROUNDUP(_xlfn.IFS(F2332="Aluminum Track", _xlfn.XLOOKUP(C2332, dd_accsrycalc!$A$2:$A$51, dd_accsrycalc!$B$2:$B$51, "",0), F2332="10 x 2 1/2 S (Flat)", _xlfn.XLOOKUP(C2332, dd_accsrycalc!$A$2:$A$51, dd_accsrycalc!$C$2:$C$51, "",0), F2332="Tox6", _xlfn.XLOOKUP(C2332, dd_accsrycalc!$A$2:$A$51, dd_accsrycalc!$D$2:$D$51, "",0), F2332="Cover Cap", _xlfn.XLOOKUP(C2332, dd_accsrycalc!$A$2:$A$51, dd_accsrycalc!$E$2:$E$51, "",0), F2332="Drainage Cover", _xlfn.XLOOKUP(C2332, dd_accsrycalc!$A$2:$A$51, dd_accsrycalc!$F$2:$F$51, "",0),AND( F2332="Double Adhesive Tape", I2332="Roll-up Screen"), _xlfn.XLOOKUP(C2332, calc_rusacc!$C$15:$C$65, calc_rusacc!$AD$15:$AD$65, "",0),AND( F2332="Sealant", I2332="Roll-up Screen"), _xlfn.XLOOKUP(C2332, calc_rusacc!$C$15:$C$65, calc_rusacc!$AF$15:$AF$65, "",0),  AND( F2332="Main Chain", I2332="Accordion Screen"), _xlfn.XLOOKUP(C2332, calc_rusacc!$C$15:$C$65, calc_rusacc!$BF$15:$BF$65, "",0), AND( F2332="Sealant", I2332="Accordion Screen"), _xlfn.XLOOKUP(C2332, calc_rusacc!$C$15:$C$65, calc_rusacc!$BJ$15:$BJ$65, "",0),  F2332="Sealant", _xlfn.XLOOKUP(C2332, dd_accsrycalc!$A$2:$A$51, dd_accsrycalc!$G$2:$G$51, "",0),  F2332&lt;&gt;"",L2332*_xlfn.XLOOKUP(1, (SKUs!$C$2:$C$10001=G2332)*(SKUs!$K$2:$K$10001=I2332),SKUs!$E$2:$E$10001)), 0),"")</f>
        <v/>
      </c>
      <c r="E2332" s="35" t="str">
        <f>_xlfn.XLOOKUP(F2332,dd_item!$B$2:$B$105,dd_item!$C$2:$C$105,"",0)</f>
        <v/>
      </c>
      <c r="F2332" s="35"/>
      <c r="G2332" s="35" cm="1">
        <f t="array" ref="G2332">IFERROR(_xlfn.XLOOKUP(1, (SKUs!$J$2:$J$10001=accsry_unmerged!F2332)*IF(H2332&lt;&gt;"",(SKUs!$L$2:$L$10001=accsry_unmerged!H2332),1)*(SKUs!$K$2:$K$10001=I2332),SKUs!$C$2:$C$10001),"")</f>
        <v>0</v>
      </c>
      <c r="H2332" s="36" cm="1">
        <f t="array" ref="H2332">IFERROR(_xlfn.XLOOKUP(1, (dd_accsryclr!$C$2:$C$1000=accsry_unmerged!F2332)*(dd_accsryclr!$B$2:$B$1000=accsry_unmerged!J2332),dd_accsryclr!$A$2:$A$1000),"")</f>
        <v>0</v>
      </c>
      <c r="I2332" s="35">
        <f>_xlfn.XLOOKUP(C2332,'Project Details'!$C$17:$C$66,'Project Details'!$E$17:$E$66,"",0)</f>
        <v>0</v>
      </c>
      <c r="J2332" s="35">
        <f>_xlfn.XLOOKUP(C2332,'Project Details'!$C$17:$C$66,'Project Details'!$H$17:$H$66,"",0)</f>
        <v>0</v>
      </c>
      <c r="K2332" s="36" t="str">
        <f>IF(AND(_xlfn.XLOOKUP(C2332,'Project Details'!$C$17:$C$66,'Project Details'!$L$17:$L$66,"",0)&gt;550, F2332="Spring-L27cm"),"",SUBSTITUTE(_xlfn.XLOOKUP(G2332,SKUs!$C$2:$C$10001,SKUs!$F$2:$F$10001,"",0), " Accessories",""))</f>
        <v/>
      </c>
      <c r="L2332" s="36">
        <f>_xlfn.XLOOKUP(C2332,'Project Details'!$C$17:$C$66,'Project Details'!$D$17:$D$66,"",0)</f>
        <v>0</v>
      </c>
      <c r="M2332" s="43"/>
    </row>
    <row r="2333" spans="1:13" x14ac:dyDescent="0.25">
      <c r="A2333" s="43"/>
      <c r="B2333" s="43"/>
      <c r="C2333" s="16">
        <f t="shared" si="45"/>
        <v>47</v>
      </c>
      <c r="D2333" s="16" t="str" cm="1">
        <f t="array" ref="D2333">IFERROR(ROUNDUP(_xlfn.IFS(F2333="Aluminum Track", _xlfn.XLOOKUP(C2333, dd_accsrycalc!$A$2:$A$51, dd_accsrycalc!$B$2:$B$51, "",0), F2333="10 x 2 1/2 S (Flat)", _xlfn.XLOOKUP(C2333, dd_accsrycalc!$A$2:$A$51, dd_accsrycalc!$C$2:$C$51, "",0), F2333="Tox6", _xlfn.XLOOKUP(C2333, dd_accsrycalc!$A$2:$A$51, dd_accsrycalc!$D$2:$D$51, "",0), F2333="Cover Cap", _xlfn.XLOOKUP(C2333, dd_accsrycalc!$A$2:$A$51, dd_accsrycalc!$E$2:$E$51, "",0), F2333="Drainage Cover", _xlfn.XLOOKUP(C2333, dd_accsrycalc!$A$2:$A$51, dd_accsrycalc!$F$2:$F$51, "",0),AND( F2333="Double Adhesive Tape", I2333="Roll-up Screen"), _xlfn.XLOOKUP(C2333, calc_rusacc!$C$15:$C$65, calc_rusacc!$AD$15:$AD$65, "",0),AND( F2333="Sealant", I2333="Roll-up Screen"), _xlfn.XLOOKUP(C2333, calc_rusacc!$C$15:$C$65, calc_rusacc!$AF$15:$AF$65, "",0),  AND( F2333="Main Chain", I2333="Accordion Screen"), _xlfn.XLOOKUP(C2333, calc_rusacc!$C$15:$C$65, calc_rusacc!$BF$15:$BF$65, "",0), AND( F2333="Sealant", I2333="Accordion Screen"), _xlfn.XLOOKUP(C2333, calc_rusacc!$C$15:$C$65, calc_rusacc!$BJ$15:$BJ$65, "",0),  F2333="Sealant", _xlfn.XLOOKUP(C2333, dd_accsrycalc!$A$2:$A$51, dd_accsrycalc!$G$2:$G$51, "",0),  F2333&lt;&gt;"",L2333*_xlfn.XLOOKUP(1, (SKUs!$C$2:$C$10001=G2333)*(SKUs!$K$2:$K$10001=I2333),SKUs!$E$2:$E$10001)), 0),"")</f>
        <v/>
      </c>
      <c r="E2333" s="16" t="str">
        <f>_xlfn.XLOOKUP(F2333,dd_item!$B$2:$B$105,dd_item!$C$2:$C$105,"",0)</f>
        <v/>
      </c>
      <c r="F2333" s="16"/>
      <c r="G2333" s="16" cm="1">
        <f t="array" ref="G2333">IFERROR(_xlfn.XLOOKUP(1, (SKUs!$J$2:$J$10001=accsry_unmerged!F2333)*IF(H2333&lt;&gt;"",(SKUs!$L$2:$L$10001=accsry_unmerged!H2333),1)*(SKUs!$K$2:$K$10001=I2333),SKUs!$C$2:$C$10001),"")</f>
        <v>0</v>
      </c>
      <c r="H2333" s="33" cm="1">
        <f t="array" ref="H2333">IFERROR(_xlfn.XLOOKUP(1, (dd_accsryclr!$C$2:$C$1000=accsry_unmerged!F2333)*(dd_accsryclr!$B$2:$B$1000=accsry_unmerged!J2333),dd_accsryclr!$A$2:$A$1000),"")</f>
        <v>0</v>
      </c>
      <c r="I2333" s="16">
        <f>_xlfn.XLOOKUP(C2333,'Project Details'!$C$17:$C$66,'Project Details'!$E$17:$E$66,"",0)</f>
        <v>0</v>
      </c>
      <c r="J2333" s="16">
        <f>_xlfn.XLOOKUP(C2333,'Project Details'!$C$17:$C$66,'Project Details'!$H$17:$H$66,"",0)</f>
        <v>0</v>
      </c>
      <c r="K2333" s="33" t="str">
        <f>IF(AND(_xlfn.XLOOKUP(C2333,'Project Details'!$C$17:$C$66,'Project Details'!$L$17:$L$66,"",0)&gt;550, F2333="Spring-L27cm"),"",SUBSTITUTE(_xlfn.XLOOKUP(G2333,SKUs!$C$2:$C$10001,SKUs!$F$2:$F$10001,"",0), " Accessories",""))</f>
        <v/>
      </c>
      <c r="L2333" s="33">
        <f>_xlfn.XLOOKUP(C2333,'Project Details'!$C$17:$C$66,'Project Details'!$D$17:$D$66,"",0)</f>
        <v>0</v>
      </c>
      <c r="M2333" s="43"/>
    </row>
    <row r="2334" spans="1:13" ht="13.5" customHeight="1" x14ac:dyDescent="0.25">
      <c r="A2334" s="43"/>
      <c r="B2334" s="43"/>
      <c r="C2334" s="35">
        <f t="shared" si="45"/>
        <v>47</v>
      </c>
      <c r="D2334" s="35" t="str" cm="1">
        <f t="array" ref="D2334">IFERROR(ROUNDUP(_xlfn.IFS(F2334="Aluminum Track", _xlfn.XLOOKUP(C2334, dd_accsrycalc!$A$2:$A$51, dd_accsrycalc!$B$2:$B$51, "",0), F2334="10 x 2 1/2 S (Flat)", _xlfn.XLOOKUP(C2334, dd_accsrycalc!$A$2:$A$51, dd_accsrycalc!$C$2:$C$51, "",0), F2334="Tox6", _xlfn.XLOOKUP(C2334, dd_accsrycalc!$A$2:$A$51, dd_accsrycalc!$D$2:$D$51, "",0), F2334="Cover Cap", _xlfn.XLOOKUP(C2334, dd_accsrycalc!$A$2:$A$51, dd_accsrycalc!$E$2:$E$51, "",0), F2334="Drainage Cover", _xlfn.XLOOKUP(C2334, dd_accsrycalc!$A$2:$A$51, dd_accsrycalc!$F$2:$F$51, "",0),AND( F2334="Double Adhesive Tape", I2334="Roll-up Screen"), _xlfn.XLOOKUP(C2334, calc_rusacc!$C$15:$C$65, calc_rusacc!$AD$15:$AD$65, "",0),AND( F2334="Sealant", I2334="Roll-up Screen"), _xlfn.XLOOKUP(C2334, calc_rusacc!$C$15:$C$65, calc_rusacc!$AF$15:$AF$65, "",0),  AND( F2334="Main Chain", I2334="Accordion Screen"), _xlfn.XLOOKUP(C2334, calc_rusacc!$C$15:$C$65, calc_rusacc!$BF$15:$BF$65, "",0), AND( F2334="Sealant", I2334="Accordion Screen"), _xlfn.XLOOKUP(C2334, calc_rusacc!$C$15:$C$65, calc_rusacc!$BJ$15:$BJ$65, "",0),  F2334="Sealant", _xlfn.XLOOKUP(C2334, dd_accsrycalc!$A$2:$A$51, dd_accsrycalc!$G$2:$G$51, "",0),  F2334&lt;&gt;"",L2334*_xlfn.XLOOKUP(1, (SKUs!$C$2:$C$10001=G2334)*(SKUs!$K$2:$K$10001=I2334),SKUs!$E$2:$E$10001)), 0),"")</f>
        <v/>
      </c>
      <c r="E2334" s="35" t="str">
        <f>_xlfn.XLOOKUP(F2334,dd_item!$B$2:$B$105,dd_item!$C$2:$C$105,"",0)</f>
        <v/>
      </c>
      <c r="F2334" s="35"/>
      <c r="G2334" s="35" cm="1">
        <f t="array" ref="G2334">IFERROR(_xlfn.XLOOKUP(1, (SKUs!$J$2:$J$10001=accsry_unmerged!F2334)*IF(H2334&lt;&gt;"",(SKUs!$L$2:$L$10001=accsry_unmerged!H2334),1)*(SKUs!$K$2:$K$10001=I2334),SKUs!$C$2:$C$10001),"")</f>
        <v>0</v>
      </c>
      <c r="H2334" s="36" cm="1">
        <f t="array" ref="H2334">IFERROR(_xlfn.XLOOKUP(1, (dd_accsryclr!$C$2:$C$1000=accsry_unmerged!F2334)*(dd_accsryclr!$B$2:$B$1000=accsry_unmerged!J2334),dd_accsryclr!$A$2:$A$1000),"")</f>
        <v>0</v>
      </c>
      <c r="I2334" s="35">
        <f>_xlfn.XLOOKUP(C2334,'Project Details'!$C$17:$C$66,'Project Details'!$E$17:$E$66,"",0)</f>
        <v>0</v>
      </c>
      <c r="J2334" s="35">
        <f>_xlfn.XLOOKUP(C2334,'Project Details'!$C$17:$C$66,'Project Details'!$H$17:$H$66,"",0)</f>
        <v>0</v>
      </c>
      <c r="K2334" s="36" t="str">
        <f>IF(AND(_xlfn.XLOOKUP(C2334,'Project Details'!$C$17:$C$66,'Project Details'!$L$17:$L$66,"",0)&gt;550, F2334="Spring-L27cm"),"",SUBSTITUTE(_xlfn.XLOOKUP(G2334,SKUs!$C$2:$C$10001,SKUs!$F$2:$F$10001,"",0), " Accessories",""))</f>
        <v/>
      </c>
      <c r="L2334" s="36">
        <f>_xlfn.XLOOKUP(C2334,'Project Details'!$C$17:$C$66,'Project Details'!$D$17:$D$66,"",0)</f>
        <v>0</v>
      </c>
      <c r="M2334" s="43"/>
    </row>
    <row r="2335" spans="1:13" ht="13.5" customHeight="1" x14ac:dyDescent="0.25">
      <c r="A2335" s="43"/>
      <c r="B2335" s="43"/>
      <c r="C2335" s="16">
        <f t="shared" si="45"/>
        <v>47</v>
      </c>
      <c r="D2335" s="16" t="str" cm="1">
        <f t="array" ref="D2335">IFERROR(ROUNDUP(_xlfn.IFS(F2335="Aluminum Track", _xlfn.XLOOKUP(C2335, dd_accsrycalc!$A$2:$A$51, dd_accsrycalc!$B$2:$B$51, "",0), F2335="10 x 2 1/2 S (Flat)", _xlfn.XLOOKUP(C2335, dd_accsrycalc!$A$2:$A$51, dd_accsrycalc!$C$2:$C$51, "",0), F2335="Tox6", _xlfn.XLOOKUP(C2335, dd_accsrycalc!$A$2:$A$51, dd_accsrycalc!$D$2:$D$51, "",0), F2335="Cover Cap", _xlfn.XLOOKUP(C2335, dd_accsrycalc!$A$2:$A$51, dd_accsrycalc!$E$2:$E$51, "",0), F2335="Drainage Cover", _xlfn.XLOOKUP(C2335, dd_accsrycalc!$A$2:$A$51, dd_accsrycalc!$F$2:$F$51, "",0),AND( F2335="Double Adhesive Tape", I2335="Roll-up Screen"), _xlfn.XLOOKUP(C2335, calc_rusacc!$C$15:$C$65, calc_rusacc!$AD$15:$AD$65, "",0),AND( F2335="Sealant", I2335="Roll-up Screen"), _xlfn.XLOOKUP(C2335, calc_rusacc!$C$15:$C$65, calc_rusacc!$AF$15:$AF$65, "",0),  AND( F2335="Main Chain", I2335="Accordion Screen"), _xlfn.XLOOKUP(C2335, calc_rusacc!$C$15:$C$65, calc_rusacc!$BF$15:$BF$65, "",0), AND( F2335="Sealant", I2335="Accordion Screen"), _xlfn.XLOOKUP(C2335, calc_rusacc!$C$15:$C$65, calc_rusacc!$BJ$15:$BJ$65, "",0),  F2335="Sealant", _xlfn.XLOOKUP(C2335, dd_accsrycalc!$A$2:$A$51, dd_accsrycalc!$G$2:$G$51, "",0),  F2335&lt;&gt;"",L2335*_xlfn.XLOOKUP(1, (SKUs!$C$2:$C$10001=G2335)*(SKUs!$K$2:$K$10001=I2335),SKUs!$E$2:$E$10001)), 0),"")</f>
        <v/>
      </c>
      <c r="E2335" s="16" t="str">
        <f>_xlfn.XLOOKUP(F2335,dd_item!$B$2:$B$105,dd_item!$C$2:$C$105,"",0)</f>
        <v/>
      </c>
      <c r="F2335" s="16"/>
      <c r="G2335" s="16" cm="1">
        <f t="array" ref="G2335">IFERROR(_xlfn.XLOOKUP(1, (SKUs!$J$2:$J$10001=accsry_unmerged!F2335)*IF(H2335&lt;&gt;"",(SKUs!$L$2:$L$10001=accsry_unmerged!H2335),1)*(SKUs!$K$2:$K$10001=I2335),SKUs!$C$2:$C$10001),"")</f>
        <v>0</v>
      </c>
      <c r="H2335" s="33" cm="1">
        <f t="array" ref="H2335">IFERROR(_xlfn.XLOOKUP(1, (dd_accsryclr!$C$2:$C$1000=accsry_unmerged!F2335)*(dd_accsryclr!$B$2:$B$1000=accsry_unmerged!J2335),dd_accsryclr!$A$2:$A$1000),"")</f>
        <v>0</v>
      </c>
      <c r="I2335" s="16">
        <f>_xlfn.XLOOKUP(C2335,'Project Details'!$C$17:$C$66,'Project Details'!$E$17:$E$66,"",0)</f>
        <v>0</v>
      </c>
      <c r="J2335" s="16">
        <f>_xlfn.XLOOKUP(C2335,'Project Details'!$C$17:$C$66,'Project Details'!$H$17:$H$66,"",0)</f>
        <v>0</v>
      </c>
      <c r="K2335" s="33" t="str">
        <f>IF(AND(_xlfn.XLOOKUP(C2335,'Project Details'!$C$17:$C$66,'Project Details'!$L$17:$L$66,"",0)&gt;550, F2335="Spring-L27cm"),"",SUBSTITUTE(_xlfn.XLOOKUP(G2335,SKUs!$C$2:$C$10001,SKUs!$F$2:$F$10001,"",0), " Accessories",""))</f>
        <v/>
      </c>
      <c r="L2335" s="33">
        <f>_xlfn.XLOOKUP(C2335,'Project Details'!$C$17:$C$66,'Project Details'!$D$17:$D$66,"",0)</f>
        <v>0</v>
      </c>
      <c r="M2335" s="43"/>
    </row>
    <row r="2336" spans="1:13" ht="13.5" customHeight="1" x14ac:dyDescent="0.25">
      <c r="A2336" s="43"/>
      <c r="B2336" s="43"/>
      <c r="C2336" s="35">
        <f t="shared" si="45"/>
        <v>47</v>
      </c>
      <c r="D2336" s="35" t="str" cm="1">
        <f t="array" ref="D2336">IFERROR(ROUNDUP(_xlfn.IFS(F2336="Aluminum Track", _xlfn.XLOOKUP(C2336, dd_accsrycalc!$A$2:$A$51, dd_accsrycalc!$B$2:$B$51, "",0), F2336="10 x 2 1/2 S (Flat)", _xlfn.XLOOKUP(C2336, dd_accsrycalc!$A$2:$A$51, dd_accsrycalc!$C$2:$C$51, "",0), F2336="Tox6", _xlfn.XLOOKUP(C2336, dd_accsrycalc!$A$2:$A$51, dd_accsrycalc!$D$2:$D$51, "",0), F2336="Cover Cap", _xlfn.XLOOKUP(C2336, dd_accsrycalc!$A$2:$A$51, dd_accsrycalc!$E$2:$E$51, "",0), F2336="Drainage Cover", _xlfn.XLOOKUP(C2336, dd_accsrycalc!$A$2:$A$51, dd_accsrycalc!$F$2:$F$51, "",0),AND( F2336="Double Adhesive Tape", I2336="Roll-up Screen"), _xlfn.XLOOKUP(C2336, calc_rusacc!$C$15:$C$65, calc_rusacc!$AD$15:$AD$65, "",0),AND( F2336="Sealant", I2336="Roll-up Screen"), _xlfn.XLOOKUP(C2336, calc_rusacc!$C$15:$C$65, calc_rusacc!$AF$15:$AF$65, "",0),  AND( F2336="Main Chain", I2336="Accordion Screen"), _xlfn.XLOOKUP(C2336, calc_rusacc!$C$15:$C$65, calc_rusacc!$BF$15:$BF$65, "",0), AND( F2336="Sealant", I2336="Accordion Screen"), _xlfn.XLOOKUP(C2336, calc_rusacc!$C$15:$C$65, calc_rusacc!$BJ$15:$BJ$65, "",0),  F2336="Sealant", _xlfn.XLOOKUP(C2336, dd_accsrycalc!$A$2:$A$51, dd_accsrycalc!$G$2:$G$51, "",0),  F2336&lt;&gt;"",L2336*_xlfn.XLOOKUP(1, (SKUs!$C$2:$C$10001=G2336)*(SKUs!$K$2:$K$10001=I2336),SKUs!$E$2:$E$10001)), 0),"")</f>
        <v/>
      </c>
      <c r="E2336" s="35" t="str">
        <f>_xlfn.XLOOKUP(F2336,dd_item!$B$2:$B$105,dd_item!$C$2:$C$105,"",0)</f>
        <v/>
      </c>
      <c r="F2336" s="35"/>
      <c r="G2336" s="35" cm="1">
        <f t="array" ref="G2336">IFERROR(_xlfn.XLOOKUP(1, (SKUs!$J$2:$J$10001=accsry_unmerged!F2336)*IF(H2336&lt;&gt;"",(SKUs!$L$2:$L$10001=accsry_unmerged!H2336),1)*(SKUs!$K$2:$K$10001=I2336),SKUs!$C$2:$C$10001),"")</f>
        <v>0</v>
      </c>
      <c r="H2336" s="36" cm="1">
        <f t="array" ref="H2336">IFERROR(_xlfn.XLOOKUP(1, (dd_accsryclr!$C$2:$C$1000=accsry_unmerged!F2336)*(dd_accsryclr!$B$2:$B$1000=accsry_unmerged!J2336),dd_accsryclr!$A$2:$A$1000),"")</f>
        <v>0</v>
      </c>
      <c r="I2336" s="35">
        <f>_xlfn.XLOOKUP(C2336,'Project Details'!$C$17:$C$66,'Project Details'!$E$17:$E$66,"",0)</f>
        <v>0</v>
      </c>
      <c r="J2336" s="35">
        <f>_xlfn.XLOOKUP(C2336,'Project Details'!$C$17:$C$66,'Project Details'!$H$17:$H$66,"",0)</f>
        <v>0</v>
      </c>
      <c r="K2336" s="36" t="str">
        <f>IF(AND(_xlfn.XLOOKUP(C2336,'Project Details'!$C$17:$C$66,'Project Details'!$L$17:$L$66,"",0)&gt;550, F2336="Spring-L27cm"),"",SUBSTITUTE(_xlfn.XLOOKUP(G2336,SKUs!$C$2:$C$10001,SKUs!$F$2:$F$10001,"",0), " Accessories",""))</f>
        <v/>
      </c>
      <c r="L2336" s="36">
        <f>_xlfn.XLOOKUP(C2336,'Project Details'!$C$17:$C$66,'Project Details'!$D$17:$D$66,"",0)</f>
        <v>0</v>
      </c>
      <c r="M2336" s="43"/>
    </row>
    <row r="2337" spans="1:13" ht="13.5" customHeight="1" x14ac:dyDescent="0.25">
      <c r="A2337" s="43"/>
      <c r="B2337" s="43"/>
      <c r="C2337" s="16">
        <f t="shared" si="45"/>
        <v>47</v>
      </c>
      <c r="D2337" s="16" t="str" cm="1">
        <f t="array" ref="D2337">IFERROR(ROUNDUP(_xlfn.IFS(F2337="Aluminum Track", _xlfn.XLOOKUP(C2337, dd_accsrycalc!$A$2:$A$51, dd_accsrycalc!$B$2:$B$51, "",0), F2337="10 x 2 1/2 S (Flat)", _xlfn.XLOOKUP(C2337, dd_accsrycalc!$A$2:$A$51, dd_accsrycalc!$C$2:$C$51, "",0), F2337="Tox6", _xlfn.XLOOKUP(C2337, dd_accsrycalc!$A$2:$A$51, dd_accsrycalc!$D$2:$D$51, "",0), F2337="Cover Cap", _xlfn.XLOOKUP(C2337, dd_accsrycalc!$A$2:$A$51, dd_accsrycalc!$E$2:$E$51, "",0), F2337="Drainage Cover", _xlfn.XLOOKUP(C2337, dd_accsrycalc!$A$2:$A$51, dd_accsrycalc!$F$2:$F$51, "",0),AND( F2337="Double Adhesive Tape", I2337="Roll-up Screen"), _xlfn.XLOOKUP(C2337, calc_rusacc!$C$15:$C$65, calc_rusacc!$AD$15:$AD$65, "",0),AND( F2337="Sealant", I2337="Roll-up Screen"), _xlfn.XLOOKUP(C2337, calc_rusacc!$C$15:$C$65, calc_rusacc!$AF$15:$AF$65, "",0),  AND( F2337="Main Chain", I2337="Accordion Screen"), _xlfn.XLOOKUP(C2337, calc_rusacc!$C$15:$C$65, calc_rusacc!$BF$15:$BF$65, "",0), AND( F2337="Sealant", I2337="Accordion Screen"), _xlfn.XLOOKUP(C2337, calc_rusacc!$C$15:$C$65, calc_rusacc!$BJ$15:$BJ$65, "",0),  F2337="Sealant", _xlfn.XLOOKUP(C2337, dd_accsrycalc!$A$2:$A$51, dd_accsrycalc!$G$2:$G$51, "",0),  F2337&lt;&gt;"",L2337*_xlfn.XLOOKUP(1, (SKUs!$C$2:$C$10001=G2337)*(SKUs!$K$2:$K$10001=I2337),SKUs!$E$2:$E$10001)), 0),"")</f>
        <v/>
      </c>
      <c r="E2337" s="16" t="str">
        <f>_xlfn.XLOOKUP(F2337,dd_item!$B$2:$B$105,dd_item!$C$2:$C$105,"",0)</f>
        <v/>
      </c>
      <c r="F2337" s="16"/>
      <c r="G2337" s="16" cm="1">
        <f t="array" ref="G2337">IFERROR(_xlfn.XLOOKUP(1, (SKUs!$J$2:$J$10001=accsry_unmerged!F2337)*IF(H2337&lt;&gt;"",(SKUs!$L$2:$L$10001=accsry_unmerged!H2337),1)*(SKUs!$K$2:$K$10001=I2337),SKUs!$C$2:$C$10001),"")</f>
        <v>0</v>
      </c>
      <c r="H2337" s="33" cm="1">
        <f t="array" ref="H2337">IFERROR(_xlfn.XLOOKUP(1, (dd_accsryclr!$C$2:$C$1000=accsry_unmerged!F2337)*(dd_accsryclr!$B$2:$B$1000=accsry_unmerged!J2337),dd_accsryclr!$A$2:$A$1000),"")</f>
        <v>0</v>
      </c>
      <c r="I2337" s="16">
        <f>_xlfn.XLOOKUP(C2337,'Project Details'!$C$17:$C$66,'Project Details'!$E$17:$E$66,"",0)</f>
        <v>0</v>
      </c>
      <c r="J2337" s="16">
        <f>_xlfn.XLOOKUP(C2337,'Project Details'!$C$17:$C$66,'Project Details'!$H$17:$H$66,"",0)</f>
        <v>0</v>
      </c>
      <c r="K2337" s="33" t="str">
        <f>IF(AND(_xlfn.XLOOKUP(C2337,'Project Details'!$C$17:$C$66,'Project Details'!$L$17:$L$66,"",0)&gt;550, F2337="Spring-L27cm"),"",SUBSTITUTE(_xlfn.XLOOKUP(G2337,SKUs!$C$2:$C$10001,SKUs!$F$2:$F$10001,"",0), " Accessories",""))</f>
        <v/>
      </c>
      <c r="L2337" s="33">
        <f>_xlfn.XLOOKUP(C2337,'Project Details'!$C$17:$C$66,'Project Details'!$D$17:$D$66,"",0)</f>
        <v>0</v>
      </c>
      <c r="M2337" s="43"/>
    </row>
    <row r="2338" spans="1:13" ht="13.5" customHeight="1" x14ac:dyDescent="0.25">
      <c r="A2338" s="43"/>
      <c r="B2338" s="43"/>
      <c r="C2338" s="35">
        <f t="shared" si="45"/>
        <v>47</v>
      </c>
      <c r="D2338" s="35" t="str" cm="1">
        <f t="array" ref="D2338">IFERROR(ROUNDUP(_xlfn.IFS(F2338="Aluminum Track", _xlfn.XLOOKUP(C2338, dd_accsrycalc!$A$2:$A$51, dd_accsrycalc!$B$2:$B$51, "",0), F2338="10 x 2 1/2 S (Flat)", _xlfn.XLOOKUP(C2338, dd_accsrycalc!$A$2:$A$51, dd_accsrycalc!$C$2:$C$51, "",0), F2338="Tox6", _xlfn.XLOOKUP(C2338, dd_accsrycalc!$A$2:$A$51, dd_accsrycalc!$D$2:$D$51, "",0), F2338="Cover Cap", _xlfn.XLOOKUP(C2338, dd_accsrycalc!$A$2:$A$51, dd_accsrycalc!$E$2:$E$51, "",0), F2338="Drainage Cover", _xlfn.XLOOKUP(C2338, dd_accsrycalc!$A$2:$A$51, dd_accsrycalc!$F$2:$F$51, "",0),AND( F2338="Double Adhesive Tape", I2338="Roll-up Screen"), _xlfn.XLOOKUP(C2338, calc_rusacc!$C$15:$C$65, calc_rusacc!$AD$15:$AD$65, "",0),AND( F2338="Sealant", I2338="Roll-up Screen"), _xlfn.XLOOKUP(C2338, calc_rusacc!$C$15:$C$65, calc_rusacc!$AF$15:$AF$65, "",0),  AND( F2338="Main Chain", I2338="Accordion Screen"), _xlfn.XLOOKUP(C2338, calc_rusacc!$C$15:$C$65, calc_rusacc!$BF$15:$BF$65, "",0), AND( F2338="Sealant", I2338="Accordion Screen"), _xlfn.XLOOKUP(C2338, calc_rusacc!$C$15:$C$65, calc_rusacc!$BJ$15:$BJ$65, "",0),  F2338="Sealant", _xlfn.XLOOKUP(C2338, dd_accsrycalc!$A$2:$A$51, dd_accsrycalc!$G$2:$G$51, "",0),  F2338&lt;&gt;"",L2338*_xlfn.XLOOKUP(1, (SKUs!$C$2:$C$10001=G2338)*(SKUs!$K$2:$K$10001=I2338),SKUs!$E$2:$E$10001)), 0),"")</f>
        <v/>
      </c>
      <c r="E2338" s="35" t="str">
        <f>_xlfn.XLOOKUP(F2338,dd_item!$B$2:$B$105,dd_item!$C$2:$C$105,"",0)</f>
        <v/>
      </c>
      <c r="F2338" s="35"/>
      <c r="G2338" s="35" cm="1">
        <f t="array" ref="G2338">IFERROR(_xlfn.XLOOKUP(1, (SKUs!$J$2:$J$10001=accsry_unmerged!F2338)*IF(H2338&lt;&gt;"",(SKUs!$L$2:$L$10001=accsry_unmerged!H2338),1)*(SKUs!$K$2:$K$10001=I2338),SKUs!$C$2:$C$10001),"")</f>
        <v>0</v>
      </c>
      <c r="H2338" s="36" cm="1">
        <f t="array" ref="H2338">IFERROR(_xlfn.XLOOKUP(1, (dd_accsryclr!$C$2:$C$1000=accsry_unmerged!F2338)*(dd_accsryclr!$B$2:$B$1000=accsry_unmerged!J2338),dd_accsryclr!$A$2:$A$1000),"")</f>
        <v>0</v>
      </c>
      <c r="I2338" s="35">
        <f>_xlfn.XLOOKUP(C2338,'Project Details'!$C$17:$C$66,'Project Details'!$E$17:$E$66,"",0)</f>
        <v>0</v>
      </c>
      <c r="J2338" s="35">
        <f>_xlfn.XLOOKUP(C2338,'Project Details'!$C$17:$C$66,'Project Details'!$H$17:$H$66,"",0)</f>
        <v>0</v>
      </c>
      <c r="K2338" s="36" t="str">
        <f>IF(AND(_xlfn.XLOOKUP(C2338,'Project Details'!$C$17:$C$66,'Project Details'!$L$17:$L$66,"",0)&gt;550, F2338="Spring-L27cm"),"",SUBSTITUTE(_xlfn.XLOOKUP(G2338,SKUs!$C$2:$C$10001,SKUs!$F$2:$F$10001,"",0), " Accessories",""))</f>
        <v/>
      </c>
      <c r="L2338" s="36">
        <f>_xlfn.XLOOKUP(C2338,'Project Details'!$C$17:$C$66,'Project Details'!$D$17:$D$66,"",0)</f>
        <v>0</v>
      </c>
      <c r="M2338" s="43"/>
    </row>
    <row r="2339" spans="1:13" ht="13.5" customHeight="1" x14ac:dyDescent="0.25">
      <c r="A2339" s="43"/>
      <c r="B2339" s="43"/>
      <c r="C2339" s="16">
        <f t="shared" si="45"/>
        <v>47</v>
      </c>
      <c r="D2339" s="16" t="str" cm="1">
        <f t="array" ref="D2339">IFERROR(ROUNDUP(_xlfn.IFS(F2339="Aluminum Track", _xlfn.XLOOKUP(C2339, dd_accsrycalc!$A$2:$A$51, dd_accsrycalc!$B$2:$B$51, "",0), F2339="10 x 2 1/2 S (Flat)", _xlfn.XLOOKUP(C2339, dd_accsrycalc!$A$2:$A$51, dd_accsrycalc!$C$2:$C$51, "",0), F2339="Tox6", _xlfn.XLOOKUP(C2339, dd_accsrycalc!$A$2:$A$51, dd_accsrycalc!$D$2:$D$51, "",0), F2339="Cover Cap", _xlfn.XLOOKUP(C2339, dd_accsrycalc!$A$2:$A$51, dd_accsrycalc!$E$2:$E$51, "",0), F2339="Drainage Cover", _xlfn.XLOOKUP(C2339, dd_accsrycalc!$A$2:$A$51, dd_accsrycalc!$F$2:$F$51, "",0),AND( F2339="Double Adhesive Tape", I2339="Roll-up Screen"), _xlfn.XLOOKUP(C2339, calc_rusacc!$C$15:$C$65, calc_rusacc!$AD$15:$AD$65, "",0),AND( F2339="Sealant", I2339="Roll-up Screen"), _xlfn.XLOOKUP(C2339, calc_rusacc!$C$15:$C$65, calc_rusacc!$AF$15:$AF$65, "",0),  AND( F2339="Main Chain", I2339="Accordion Screen"), _xlfn.XLOOKUP(C2339, calc_rusacc!$C$15:$C$65, calc_rusacc!$BF$15:$BF$65, "",0), AND( F2339="Sealant", I2339="Accordion Screen"), _xlfn.XLOOKUP(C2339, calc_rusacc!$C$15:$C$65, calc_rusacc!$BJ$15:$BJ$65, "",0),  F2339="Sealant", _xlfn.XLOOKUP(C2339, dd_accsrycalc!$A$2:$A$51, dd_accsrycalc!$G$2:$G$51, "",0),  F2339&lt;&gt;"",L2339*_xlfn.XLOOKUP(1, (SKUs!$C$2:$C$10001=G2339)*(SKUs!$K$2:$K$10001=I2339),SKUs!$E$2:$E$10001)), 0),"")</f>
        <v/>
      </c>
      <c r="E2339" s="16" t="str">
        <f>_xlfn.XLOOKUP(F2339,dd_item!$B$2:$B$105,dd_item!$C$2:$C$105,"",0)</f>
        <v/>
      </c>
      <c r="F2339" s="16"/>
      <c r="G2339" s="16" cm="1">
        <f t="array" ref="G2339">IFERROR(_xlfn.XLOOKUP(1, (SKUs!$J$2:$J$10001=accsry_unmerged!F2339)*IF(H2339&lt;&gt;"",(SKUs!$L$2:$L$10001=accsry_unmerged!H2339),1)*(SKUs!$K$2:$K$10001=I2339),SKUs!$C$2:$C$10001),"")</f>
        <v>0</v>
      </c>
      <c r="H2339" s="33" cm="1">
        <f t="array" ref="H2339">IFERROR(_xlfn.XLOOKUP(1, (dd_accsryclr!$C$2:$C$1000=accsry_unmerged!F2339)*(dd_accsryclr!$B$2:$B$1000=accsry_unmerged!J2339),dd_accsryclr!$A$2:$A$1000),"")</f>
        <v>0</v>
      </c>
      <c r="I2339" s="16">
        <f>_xlfn.XLOOKUP(C2339,'Project Details'!$C$17:$C$66,'Project Details'!$E$17:$E$66,"",0)</f>
        <v>0</v>
      </c>
      <c r="J2339" s="16">
        <f>_xlfn.XLOOKUP(C2339,'Project Details'!$C$17:$C$66,'Project Details'!$H$17:$H$66,"",0)</f>
        <v>0</v>
      </c>
      <c r="K2339" s="33" t="str">
        <f>IF(AND(_xlfn.XLOOKUP(C2339,'Project Details'!$C$17:$C$66,'Project Details'!$L$17:$L$66,"",0)&gt;550, F2339="Spring-L27cm"),"",SUBSTITUTE(_xlfn.XLOOKUP(G2339,SKUs!$C$2:$C$10001,SKUs!$F$2:$F$10001,"",0), " Accessories",""))</f>
        <v/>
      </c>
      <c r="L2339" s="33">
        <f>_xlfn.XLOOKUP(C2339,'Project Details'!$C$17:$C$66,'Project Details'!$D$17:$D$66,"",0)</f>
        <v>0</v>
      </c>
      <c r="M2339" s="43"/>
    </row>
    <row r="2340" spans="1:13" ht="13.5" customHeight="1" x14ac:dyDescent="0.25">
      <c r="A2340" s="43"/>
      <c r="B2340" s="43"/>
      <c r="C2340" s="35">
        <f t="shared" si="45"/>
        <v>47</v>
      </c>
      <c r="D2340" s="35" t="str" cm="1">
        <f t="array" ref="D2340">IFERROR(ROUNDUP(_xlfn.IFS(F2340="Aluminum Track", _xlfn.XLOOKUP(C2340, dd_accsrycalc!$A$2:$A$51, dd_accsrycalc!$B$2:$B$51, "",0), F2340="10 x 2 1/2 S (Flat)", _xlfn.XLOOKUP(C2340, dd_accsrycalc!$A$2:$A$51, dd_accsrycalc!$C$2:$C$51, "",0), F2340="Tox6", _xlfn.XLOOKUP(C2340, dd_accsrycalc!$A$2:$A$51, dd_accsrycalc!$D$2:$D$51, "",0), F2340="Cover Cap", _xlfn.XLOOKUP(C2340, dd_accsrycalc!$A$2:$A$51, dd_accsrycalc!$E$2:$E$51, "",0), F2340="Drainage Cover", _xlfn.XLOOKUP(C2340, dd_accsrycalc!$A$2:$A$51, dd_accsrycalc!$F$2:$F$51, "",0),AND( F2340="Double Adhesive Tape", I2340="Roll-up Screen"), _xlfn.XLOOKUP(C2340, calc_rusacc!$C$15:$C$65, calc_rusacc!$AD$15:$AD$65, "",0),AND( F2340="Sealant", I2340="Roll-up Screen"), _xlfn.XLOOKUP(C2340, calc_rusacc!$C$15:$C$65, calc_rusacc!$AF$15:$AF$65, "",0),  AND( F2340="Main Chain", I2340="Accordion Screen"), _xlfn.XLOOKUP(C2340, calc_rusacc!$C$15:$C$65, calc_rusacc!$BF$15:$BF$65, "",0), AND( F2340="Sealant", I2340="Accordion Screen"), _xlfn.XLOOKUP(C2340, calc_rusacc!$C$15:$C$65, calc_rusacc!$BJ$15:$BJ$65, "",0),  F2340="Sealant", _xlfn.XLOOKUP(C2340, dd_accsrycalc!$A$2:$A$51, dd_accsrycalc!$G$2:$G$51, "",0),  F2340&lt;&gt;"",L2340*_xlfn.XLOOKUP(1, (SKUs!$C$2:$C$10001=G2340)*(SKUs!$K$2:$K$10001=I2340),SKUs!$E$2:$E$10001)), 0),"")</f>
        <v/>
      </c>
      <c r="E2340" s="35" t="str">
        <f>_xlfn.XLOOKUP(F2340,dd_item!$B$2:$B$105,dd_item!$C$2:$C$105,"",0)</f>
        <v/>
      </c>
      <c r="F2340" s="35"/>
      <c r="G2340" s="35" cm="1">
        <f t="array" ref="G2340">IFERROR(_xlfn.XLOOKUP(1, (SKUs!$J$2:$J$10001=accsry_unmerged!F2340)*IF(H2340&lt;&gt;"",(SKUs!$L$2:$L$10001=accsry_unmerged!H2340),1)*(SKUs!$K$2:$K$10001=I2340),SKUs!$C$2:$C$10001),"")</f>
        <v>0</v>
      </c>
      <c r="H2340" s="36" cm="1">
        <f t="array" ref="H2340">IFERROR(_xlfn.XLOOKUP(1, (dd_accsryclr!$C$2:$C$1000=accsry_unmerged!F2340)*(dd_accsryclr!$B$2:$B$1000=accsry_unmerged!J2340),dd_accsryclr!$A$2:$A$1000),"")</f>
        <v>0</v>
      </c>
      <c r="I2340" s="35">
        <f>_xlfn.XLOOKUP(C2340,'Project Details'!$C$17:$C$66,'Project Details'!$E$17:$E$66,"",0)</f>
        <v>0</v>
      </c>
      <c r="J2340" s="35">
        <f>_xlfn.XLOOKUP(C2340,'Project Details'!$C$17:$C$66,'Project Details'!$H$17:$H$66,"",0)</f>
        <v>0</v>
      </c>
      <c r="K2340" s="36" t="str">
        <f>IF(AND(_xlfn.XLOOKUP(C2340,'Project Details'!$C$17:$C$66,'Project Details'!$L$17:$L$66,"",0)&gt;550, F2340="Spring-L27cm"),"",SUBSTITUTE(_xlfn.XLOOKUP(G2340,SKUs!$C$2:$C$10001,SKUs!$F$2:$F$10001,"",0), " Accessories",""))</f>
        <v/>
      </c>
      <c r="L2340" s="36">
        <f>_xlfn.XLOOKUP(C2340,'Project Details'!$C$17:$C$66,'Project Details'!$D$17:$D$66,"",0)</f>
        <v>0</v>
      </c>
      <c r="M2340" s="43"/>
    </row>
    <row r="2341" spans="1:13" ht="13.5" customHeight="1" x14ac:dyDescent="0.25">
      <c r="A2341" s="43"/>
      <c r="B2341" s="43"/>
      <c r="C2341" s="16">
        <f t="shared" si="45"/>
        <v>47</v>
      </c>
      <c r="D2341" s="16" t="str" cm="1">
        <f t="array" ref="D2341">IFERROR(ROUNDUP(_xlfn.IFS(F2341="Aluminum Track", _xlfn.XLOOKUP(C2341, dd_accsrycalc!$A$2:$A$51, dd_accsrycalc!$B$2:$B$51, "",0), F2341="10 x 2 1/2 S (Flat)", _xlfn.XLOOKUP(C2341, dd_accsrycalc!$A$2:$A$51, dd_accsrycalc!$C$2:$C$51, "",0), F2341="Tox6", _xlfn.XLOOKUP(C2341, dd_accsrycalc!$A$2:$A$51, dd_accsrycalc!$D$2:$D$51, "",0), F2341="Cover Cap", _xlfn.XLOOKUP(C2341, dd_accsrycalc!$A$2:$A$51, dd_accsrycalc!$E$2:$E$51, "",0), F2341="Drainage Cover", _xlfn.XLOOKUP(C2341, dd_accsrycalc!$A$2:$A$51, dd_accsrycalc!$F$2:$F$51, "",0),AND( F2341="Double Adhesive Tape", I2341="Roll-up Screen"), _xlfn.XLOOKUP(C2341, calc_rusacc!$C$15:$C$65, calc_rusacc!$AD$15:$AD$65, "",0),AND( F2341="Sealant", I2341="Roll-up Screen"), _xlfn.XLOOKUP(C2341, calc_rusacc!$C$15:$C$65, calc_rusacc!$AF$15:$AF$65, "",0),  AND( F2341="Main Chain", I2341="Accordion Screen"), _xlfn.XLOOKUP(C2341, calc_rusacc!$C$15:$C$65, calc_rusacc!$BF$15:$BF$65, "",0), AND( F2341="Sealant", I2341="Accordion Screen"), _xlfn.XLOOKUP(C2341, calc_rusacc!$C$15:$C$65, calc_rusacc!$BJ$15:$BJ$65, "",0),  F2341="Sealant", _xlfn.XLOOKUP(C2341, dd_accsrycalc!$A$2:$A$51, dd_accsrycalc!$G$2:$G$51, "",0),  F2341&lt;&gt;"",L2341*_xlfn.XLOOKUP(1, (SKUs!$C$2:$C$10001=G2341)*(SKUs!$K$2:$K$10001=I2341),SKUs!$E$2:$E$10001)), 0),"")</f>
        <v/>
      </c>
      <c r="E2341" s="16" t="str">
        <f>_xlfn.XLOOKUP(F2341,dd_item!$B$2:$B$105,dd_item!$C$2:$C$105,"",0)</f>
        <v/>
      </c>
      <c r="F2341" s="16"/>
      <c r="G2341" s="16" cm="1">
        <f t="array" ref="G2341">IFERROR(_xlfn.XLOOKUP(1, (SKUs!$J$2:$J$10001=accsry_unmerged!F2341)*IF(H2341&lt;&gt;"",(SKUs!$L$2:$L$10001=accsry_unmerged!H2341),1)*(SKUs!$K$2:$K$10001=I2341),SKUs!$C$2:$C$10001),"")</f>
        <v>0</v>
      </c>
      <c r="H2341" s="33" cm="1">
        <f t="array" ref="H2341">IFERROR(_xlfn.XLOOKUP(1, (dd_accsryclr!$C$2:$C$1000=accsry_unmerged!F2341)*(dd_accsryclr!$B$2:$B$1000=accsry_unmerged!J2341),dd_accsryclr!$A$2:$A$1000),"")</f>
        <v>0</v>
      </c>
      <c r="I2341" s="16">
        <f>_xlfn.XLOOKUP(C2341,'Project Details'!$C$17:$C$66,'Project Details'!$E$17:$E$66,"",0)</f>
        <v>0</v>
      </c>
      <c r="J2341" s="16">
        <f>_xlfn.XLOOKUP(C2341,'Project Details'!$C$17:$C$66,'Project Details'!$H$17:$H$66,"",0)</f>
        <v>0</v>
      </c>
      <c r="K2341" s="33" t="str">
        <f>IF(AND(_xlfn.XLOOKUP(C2341,'Project Details'!$C$17:$C$66,'Project Details'!$L$17:$L$66,"",0)&gt;550, F2341="Spring-L27cm"),"",SUBSTITUTE(_xlfn.XLOOKUP(G2341,SKUs!$C$2:$C$10001,SKUs!$F$2:$F$10001,"",0), " Accessories",""))</f>
        <v/>
      </c>
      <c r="L2341" s="33">
        <f>_xlfn.XLOOKUP(C2341,'Project Details'!$C$17:$C$66,'Project Details'!$D$17:$D$66,"",0)</f>
        <v>0</v>
      </c>
      <c r="M2341" s="43"/>
    </row>
    <row r="2342" spans="1:13" ht="13.5" customHeight="1" x14ac:dyDescent="0.25">
      <c r="A2342" s="43"/>
      <c r="B2342" s="43"/>
      <c r="C2342" s="35">
        <f t="shared" si="45"/>
        <v>47</v>
      </c>
      <c r="D2342" s="35" t="str" cm="1">
        <f t="array" ref="D2342">IFERROR(ROUNDUP(_xlfn.IFS(F2342="Aluminum Track", _xlfn.XLOOKUP(C2342, dd_accsrycalc!$A$2:$A$51, dd_accsrycalc!$B$2:$B$51, "",0), F2342="10 x 2 1/2 S (Flat)", _xlfn.XLOOKUP(C2342, dd_accsrycalc!$A$2:$A$51, dd_accsrycalc!$C$2:$C$51, "",0), F2342="Tox6", _xlfn.XLOOKUP(C2342, dd_accsrycalc!$A$2:$A$51, dd_accsrycalc!$D$2:$D$51, "",0), F2342="Cover Cap", _xlfn.XLOOKUP(C2342, dd_accsrycalc!$A$2:$A$51, dd_accsrycalc!$E$2:$E$51, "",0), F2342="Drainage Cover", _xlfn.XLOOKUP(C2342, dd_accsrycalc!$A$2:$A$51, dd_accsrycalc!$F$2:$F$51, "",0),AND( F2342="Double Adhesive Tape", I2342="Roll-up Screen"), _xlfn.XLOOKUP(C2342, calc_rusacc!$C$15:$C$65, calc_rusacc!$AD$15:$AD$65, "",0),AND( F2342="Sealant", I2342="Roll-up Screen"), _xlfn.XLOOKUP(C2342, calc_rusacc!$C$15:$C$65, calc_rusacc!$AF$15:$AF$65, "",0),  AND( F2342="Main Chain", I2342="Accordion Screen"), _xlfn.XLOOKUP(C2342, calc_rusacc!$C$15:$C$65, calc_rusacc!$BF$15:$BF$65, "",0), AND( F2342="Sealant", I2342="Accordion Screen"), _xlfn.XLOOKUP(C2342, calc_rusacc!$C$15:$C$65, calc_rusacc!$BJ$15:$BJ$65, "",0),  F2342="Sealant", _xlfn.XLOOKUP(C2342, dd_accsrycalc!$A$2:$A$51, dd_accsrycalc!$G$2:$G$51, "",0),  F2342&lt;&gt;"",L2342*_xlfn.XLOOKUP(1, (SKUs!$C$2:$C$10001=G2342)*(SKUs!$K$2:$K$10001=I2342),SKUs!$E$2:$E$10001)), 0),"")</f>
        <v/>
      </c>
      <c r="E2342" s="35" t="str">
        <f>_xlfn.XLOOKUP(F2342,dd_item!$B$2:$B$105,dd_item!$C$2:$C$105,"",0)</f>
        <v/>
      </c>
      <c r="F2342" s="35"/>
      <c r="G2342" s="35" cm="1">
        <f t="array" ref="G2342">IFERROR(_xlfn.XLOOKUP(1, (SKUs!$J$2:$J$10001=accsry_unmerged!F2342)*IF(H2342&lt;&gt;"",(SKUs!$L$2:$L$10001=accsry_unmerged!H2342),1)*(SKUs!$K$2:$K$10001=I2342),SKUs!$C$2:$C$10001),"")</f>
        <v>0</v>
      </c>
      <c r="H2342" s="36" cm="1">
        <f t="array" ref="H2342">IFERROR(_xlfn.XLOOKUP(1, (dd_accsryclr!$C$2:$C$1000=accsry_unmerged!F2342)*(dd_accsryclr!$B$2:$B$1000=accsry_unmerged!J2342),dd_accsryclr!$A$2:$A$1000),"")</f>
        <v>0</v>
      </c>
      <c r="I2342" s="35">
        <f>_xlfn.XLOOKUP(C2342,'Project Details'!$C$17:$C$66,'Project Details'!$E$17:$E$66,"",0)</f>
        <v>0</v>
      </c>
      <c r="J2342" s="35">
        <f>_xlfn.XLOOKUP(C2342,'Project Details'!$C$17:$C$66,'Project Details'!$H$17:$H$66,"",0)</f>
        <v>0</v>
      </c>
      <c r="K2342" s="36" t="str">
        <f>IF(AND(_xlfn.XLOOKUP(C2342,'Project Details'!$C$17:$C$66,'Project Details'!$L$17:$L$66,"",0)&gt;550, F2342="Spring-L27cm"),"",SUBSTITUTE(_xlfn.XLOOKUP(G2342,SKUs!$C$2:$C$10001,SKUs!$F$2:$F$10001,"",0), " Accessories",""))</f>
        <v/>
      </c>
      <c r="L2342" s="36">
        <f>_xlfn.XLOOKUP(C2342,'Project Details'!$C$17:$C$66,'Project Details'!$D$17:$D$66,"",0)</f>
        <v>0</v>
      </c>
      <c r="M2342" s="43"/>
    </row>
    <row r="2343" spans="1:13" ht="13.5" customHeight="1" x14ac:dyDescent="0.25">
      <c r="A2343" s="43"/>
      <c r="B2343" s="43"/>
      <c r="C2343" s="16">
        <f t="shared" si="45"/>
        <v>47</v>
      </c>
      <c r="D2343" s="16" t="str" cm="1">
        <f t="array" ref="D2343">IFERROR(ROUNDUP(_xlfn.IFS(F2343="Aluminum Track", _xlfn.XLOOKUP(C2343, dd_accsrycalc!$A$2:$A$51, dd_accsrycalc!$B$2:$B$51, "",0), F2343="10 x 2 1/2 S (Flat)", _xlfn.XLOOKUP(C2343, dd_accsrycalc!$A$2:$A$51, dd_accsrycalc!$C$2:$C$51, "",0), F2343="Tox6", _xlfn.XLOOKUP(C2343, dd_accsrycalc!$A$2:$A$51, dd_accsrycalc!$D$2:$D$51, "",0), F2343="Cover Cap", _xlfn.XLOOKUP(C2343, dd_accsrycalc!$A$2:$A$51, dd_accsrycalc!$E$2:$E$51, "",0), F2343="Drainage Cover", _xlfn.XLOOKUP(C2343, dd_accsrycalc!$A$2:$A$51, dd_accsrycalc!$F$2:$F$51, "",0),AND( F2343="Double Adhesive Tape", I2343="Roll-up Screen"), _xlfn.XLOOKUP(C2343, calc_rusacc!$C$15:$C$65, calc_rusacc!$AD$15:$AD$65, "",0),AND( F2343="Sealant", I2343="Roll-up Screen"), _xlfn.XLOOKUP(C2343, calc_rusacc!$C$15:$C$65, calc_rusacc!$AF$15:$AF$65, "",0),  AND( F2343="Main Chain", I2343="Accordion Screen"), _xlfn.XLOOKUP(C2343, calc_rusacc!$C$15:$C$65, calc_rusacc!$BF$15:$BF$65, "",0), AND( F2343="Sealant", I2343="Accordion Screen"), _xlfn.XLOOKUP(C2343, calc_rusacc!$C$15:$C$65, calc_rusacc!$BJ$15:$BJ$65, "",0),  F2343="Sealant", _xlfn.XLOOKUP(C2343, dd_accsrycalc!$A$2:$A$51, dd_accsrycalc!$G$2:$G$51, "",0),  F2343&lt;&gt;"",L2343*_xlfn.XLOOKUP(1, (SKUs!$C$2:$C$10001=G2343)*(SKUs!$K$2:$K$10001=I2343),SKUs!$E$2:$E$10001)), 0),"")</f>
        <v/>
      </c>
      <c r="E2343" s="16" t="str">
        <f>_xlfn.XLOOKUP(F2343,dd_item!$B$2:$B$105,dd_item!$C$2:$C$105,"",0)</f>
        <v/>
      </c>
      <c r="F2343" s="16"/>
      <c r="G2343" s="16" cm="1">
        <f t="array" ref="G2343">IFERROR(_xlfn.XLOOKUP(1, (SKUs!$J$2:$J$10001=accsry_unmerged!F2343)*IF(H2343&lt;&gt;"",(SKUs!$L$2:$L$10001=accsry_unmerged!H2343),1)*(SKUs!$K$2:$K$10001=I2343),SKUs!$C$2:$C$10001),"")</f>
        <v>0</v>
      </c>
      <c r="H2343" s="33" cm="1">
        <f t="array" ref="H2343">IFERROR(_xlfn.XLOOKUP(1, (dd_accsryclr!$C$2:$C$1000=accsry_unmerged!F2343)*(dd_accsryclr!$B$2:$B$1000=accsry_unmerged!J2343),dd_accsryclr!$A$2:$A$1000),"")</f>
        <v>0</v>
      </c>
      <c r="I2343" s="16">
        <f>_xlfn.XLOOKUP(C2343,'Project Details'!$C$17:$C$66,'Project Details'!$E$17:$E$66,"",0)</f>
        <v>0</v>
      </c>
      <c r="J2343" s="16">
        <f>_xlfn.XLOOKUP(C2343,'Project Details'!$C$17:$C$66,'Project Details'!$H$17:$H$66,"",0)</f>
        <v>0</v>
      </c>
      <c r="K2343" s="33" t="str">
        <f>IF(AND(_xlfn.XLOOKUP(C2343,'Project Details'!$C$17:$C$66,'Project Details'!$L$17:$L$66,"",0)&gt;550, F2343="Spring-L27cm"),"",SUBSTITUTE(_xlfn.XLOOKUP(G2343,SKUs!$C$2:$C$10001,SKUs!$F$2:$F$10001,"",0), " Accessories",""))</f>
        <v/>
      </c>
      <c r="L2343" s="33">
        <f>_xlfn.XLOOKUP(C2343,'Project Details'!$C$17:$C$66,'Project Details'!$D$17:$D$66,"",0)</f>
        <v>0</v>
      </c>
      <c r="M2343" s="43"/>
    </row>
    <row r="2344" spans="1:13" ht="13.5" customHeight="1" x14ac:dyDescent="0.25">
      <c r="A2344" s="43"/>
      <c r="B2344" s="43"/>
      <c r="C2344" s="35">
        <f t="shared" si="45"/>
        <v>47</v>
      </c>
      <c r="D2344" s="35" t="str" cm="1">
        <f t="array" ref="D2344">IFERROR(ROUNDUP(_xlfn.IFS(F2344="Aluminum Track", _xlfn.XLOOKUP(C2344, dd_accsrycalc!$A$2:$A$51, dd_accsrycalc!$B$2:$B$51, "",0), F2344="10 x 2 1/2 S (Flat)", _xlfn.XLOOKUP(C2344, dd_accsrycalc!$A$2:$A$51, dd_accsrycalc!$C$2:$C$51, "",0), F2344="Tox6", _xlfn.XLOOKUP(C2344, dd_accsrycalc!$A$2:$A$51, dd_accsrycalc!$D$2:$D$51, "",0), F2344="Cover Cap", _xlfn.XLOOKUP(C2344, dd_accsrycalc!$A$2:$A$51, dd_accsrycalc!$E$2:$E$51, "",0), F2344="Drainage Cover", _xlfn.XLOOKUP(C2344, dd_accsrycalc!$A$2:$A$51, dd_accsrycalc!$F$2:$F$51, "",0),AND( F2344="Double Adhesive Tape", I2344="Roll-up Screen"), _xlfn.XLOOKUP(C2344, calc_rusacc!$C$15:$C$65, calc_rusacc!$AD$15:$AD$65, "",0),AND( F2344="Sealant", I2344="Roll-up Screen"), _xlfn.XLOOKUP(C2344, calc_rusacc!$C$15:$C$65, calc_rusacc!$AF$15:$AF$65, "",0),  AND( F2344="Main Chain", I2344="Accordion Screen"), _xlfn.XLOOKUP(C2344, calc_rusacc!$C$15:$C$65, calc_rusacc!$BF$15:$BF$65, "",0), AND( F2344="Sealant", I2344="Accordion Screen"), _xlfn.XLOOKUP(C2344, calc_rusacc!$C$15:$C$65, calc_rusacc!$BJ$15:$BJ$65, "",0),  F2344="Sealant", _xlfn.XLOOKUP(C2344, dd_accsrycalc!$A$2:$A$51, dd_accsrycalc!$G$2:$G$51, "",0),  F2344&lt;&gt;"",L2344*_xlfn.XLOOKUP(1, (SKUs!$C$2:$C$10001=G2344)*(SKUs!$K$2:$K$10001=I2344),SKUs!$E$2:$E$10001)), 0),"")</f>
        <v/>
      </c>
      <c r="E2344" s="35" t="str">
        <f>_xlfn.XLOOKUP(F2344,dd_item!$B$2:$B$105,dd_item!$C$2:$C$105,"",0)</f>
        <v/>
      </c>
      <c r="F2344" s="35"/>
      <c r="G2344" s="35" cm="1">
        <f t="array" ref="G2344">IFERROR(_xlfn.XLOOKUP(1, (SKUs!$J$2:$J$10001=accsry_unmerged!F2344)*IF(H2344&lt;&gt;"",(SKUs!$L$2:$L$10001=accsry_unmerged!H2344),1)*(SKUs!$K$2:$K$10001=I2344),SKUs!$C$2:$C$10001),"")</f>
        <v>0</v>
      </c>
      <c r="H2344" s="36" cm="1">
        <f t="array" ref="H2344">IFERROR(_xlfn.XLOOKUP(1, (dd_accsryclr!$C$2:$C$1000=accsry_unmerged!F2344)*(dd_accsryclr!$B$2:$B$1000=accsry_unmerged!J2344),dd_accsryclr!$A$2:$A$1000),"")</f>
        <v>0</v>
      </c>
      <c r="I2344" s="35">
        <f>_xlfn.XLOOKUP(C2344,'Project Details'!$C$17:$C$66,'Project Details'!$E$17:$E$66,"",0)</f>
        <v>0</v>
      </c>
      <c r="J2344" s="35">
        <f>_xlfn.XLOOKUP(C2344,'Project Details'!$C$17:$C$66,'Project Details'!$H$17:$H$66,"",0)</f>
        <v>0</v>
      </c>
      <c r="K2344" s="36" t="str">
        <f>IF(AND(_xlfn.XLOOKUP(C2344,'Project Details'!$C$17:$C$66,'Project Details'!$L$17:$L$66,"",0)&gt;550, F2344="Spring-L27cm"),"",SUBSTITUTE(_xlfn.XLOOKUP(G2344,SKUs!$C$2:$C$10001,SKUs!$F$2:$F$10001,"",0), " Accessories",""))</f>
        <v/>
      </c>
      <c r="L2344" s="36">
        <f>_xlfn.XLOOKUP(C2344,'Project Details'!$C$17:$C$66,'Project Details'!$D$17:$D$66,"",0)</f>
        <v>0</v>
      </c>
      <c r="M2344" s="43"/>
    </row>
    <row r="2345" spans="1:13" ht="13.5" customHeight="1" outlineLevel="1" x14ac:dyDescent="0.25">
      <c r="A2345" s="43"/>
      <c r="B2345" s="43"/>
      <c r="C2345" s="16">
        <f t="shared" si="45"/>
        <v>47</v>
      </c>
      <c r="D2345" s="16" t="str" cm="1">
        <f t="array" ref="D2345">IFERROR(ROUNDUP(_xlfn.IFS(F2345="Aluminum Track", _xlfn.XLOOKUP(C2345, dd_accsrycalc!$A$2:$A$51, dd_accsrycalc!$B$2:$B$51, "",0), F2345="10 x 2 1/2 S (Flat)", _xlfn.XLOOKUP(C2345, dd_accsrycalc!$A$2:$A$51, dd_accsrycalc!$C$2:$C$51, "",0), F2345="Tox6", _xlfn.XLOOKUP(C2345, dd_accsrycalc!$A$2:$A$51, dd_accsrycalc!$D$2:$D$51, "",0), F2345="Cover Cap", _xlfn.XLOOKUP(C2345, dd_accsrycalc!$A$2:$A$51, dd_accsrycalc!$E$2:$E$51, "",0), F2345="Drainage Cover", _xlfn.XLOOKUP(C2345, dd_accsrycalc!$A$2:$A$51, dd_accsrycalc!$F$2:$F$51, "",0),AND( F2345="Double Adhesive Tape", I2345="Roll-up Screen"), _xlfn.XLOOKUP(C2345, calc_rusacc!$C$15:$C$65, calc_rusacc!$AD$15:$AD$65, "",0),AND( F2345="Sealant", I2345="Roll-up Screen"), _xlfn.XLOOKUP(C2345, calc_rusacc!$C$15:$C$65, calc_rusacc!$AF$15:$AF$65, "",0),  AND( F2345="Main Chain", I2345="Accordion Screen"), _xlfn.XLOOKUP(C2345, calc_rusacc!$C$15:$C$65, calc_rusacc!$BF$15:$BF$65, "",0), AND( F2345="Sealant", I2345="Accordion Screen"), _xlfn.XLOOKUP(C2345, calc_rusacc!$C$15:$C$65, calc_rusacc!$BJ$15:$BJ$65, "",0),  F2345="Sealant", _xlfn.XLOOKUP(C2345, dd_accsrycalc!$A$2:$A$51, dd_accsrycalc!$G$2:$G$51, "",0),  F2345&lt;&gt;"",L2345*_xlfn.XLOOKUP(1, (SKUs!$C$2:$C$10001=G2345)*(SKUs!$K$2:$K$10001=I2345),SKUs!$E$2:$E$10001)), 0),"")</f>
        <v/>
      </c>
      <c r="E2345" s="16" t="str">
        <f>_xlfn.XLOOKUP(F2345,dd_item!$B$2:$B$105,dd_item!$C$2:$C$105,"",0)</f>
        <v/>
      </c>
      <c r="F2345" s="16"/>
      <c r="G2345" s="16" cm="1">
        <f t="array" ref="G2345">IFERROR(_xlfn.XLOOKUP(1, (SKUs!$J$2:$J$10001=accsry_unmerged!F2345)*IF(H2345&lt;&gt;"",(SKUs!$L$2:$L$10001=accsry_unmerged!H2345),1)*(SKUs!$K$2:$K$10001=I2345),SKUs!$C$2:$C$10001),"")</f>
        <v>0</v>
      </c>
      <c r="H2345" s="33" cm="1">
        <f t="array" ref="H2345">IFERROR(_xlfn.XLOOKUP(1, (dd_accsryclr!$C$2:$C$1000=accsry_unmerged!F2345)*(dd_accsryclr!$B$2:$B$1000=accsry_unmerged!J2345),dd_accsryclr!$A$2:$A$1000),"")</f>
        <v>0</v>
      </c>
      <c r="I2345" s="16">
        <f>_xlfn.XLOOKUP(C2345,'Project Details'!$C$17:$C$66,'Project Details'!$E$17:$E$66,"",0)</f>
        <v>0</v>
      </c>
      <c r="J2345" s="16">
        <f>_xlfn.XLOOKUP(C2345,'Project Details'!$C$17:$C$66,'Project Details'!$H$17:$H$66,"",0)</f>
        <v>0</v>
      </c>
      <c r="K2345" s="33" t="str">
        <f>IF(AND(_xlfn.XLOOKUP(C2345,'Project Details'!$C$17:$C$66,'Project Details'!$L$17:$L$66,"",0)&gt;550, F2345="Spring-L27cm"),"",SUBSTITUTE(_xlfn.XLOOKUP(G2345,SKUs!$C$2:$C$10001,SKUs!$F$2:$F$10001,"",0), " Accessories",""))</f>
        <v/>
      </c>
      <c r="L2345" s="33">
        <f>_xlfn.XLOOKUP(C2345,'Project Details'!$C$17:$C$66,'Project Details'!$D$17:$D$66,"",0)</f>
        <v>0</v>
      </c>
      <c r="M2345" s="43"/>
    </row>
    <row r="2346" spans="1:13" ht="13.5" customHeight="1" outlineLevel="1" x14ac:dyDescent="0.25">
      <c r="A2346" s="43"/>
      <c r="B2346" s="43"/>
      <c r="C2346" s="35">
        <f t="shared" si="45"/>
        <v>47</v>
      </c>
      <c r="D2346" s="35" t="str" cm="1">
        <f t="array" ref="D2346">IFERROR(ROUNDUP(_xlfn.IFS(F2346="Aluminum Track", _xlfn.XLOOKUP(C2346, dd_accsrycalc!$A$2:$A$51, dd_accsrycalc!$B$2:$B$51, "",0), F2346="10 x 2 1/2 S (Flat)", _xlfn.XLOOKUP(C2346, dd_accsrycalc!$A$2:$A$51, dd_accsrycalc!$C$2:$C$51, "",0), F2346="Tox6", _xlfn.XLOOKUP(C2346, dd_accsrycalc!$A$2:$A$51, dd_accsrycalc!$D$2:$D$51, "",0), F2346="Cover Cap", _xlfn.XLOOKUP(C2346, dd_accsrycalc!$A$2:$A$51, dd_accsrycalc!$E$2:$E$51, "",0), F2346="Drainage Cover", _xlfn.XLOOKUP(C2346, dd_accsrycalc!$A$2:$A$51, dd_accsrycalc!$F$2:$F$51, "",0),AND( F2346="Double Adhesive Tape", I2346="Roll-up Screen"), _xlfn.XLOOKUP(C2346, calc_rusacc!$C$15:$C$65, calc_rusacc!$AD$15:$AD$65, "",0),AND( F2346="Sealant", I2346="Roll-up Screen"), _xlfn.XLOOKUP(C2346, calc_rusacc!$C$15:$C$65, calc_rusacc!$AF$15:$AF$65, "",0),  AND( F2346="Main Chain", I2346="Accordion Screen"), _xlfn.XLOOKUP(C2346, calc_rusacc!$C$15:$C$65, calc_rusacc!$BF$15:$BF$65, "",0), AND( F2346="Sealant", I2346="Accordion Screen"), _xlfn.XLOOKUP(C2346, calc_rusacc!$C$15:$C$65, calc_rusacc!$BJ$15:$BJ$65, "",0),  F2346="Sealant", _xlfn.XLOOKUP(C2346, dd_accsrycalc!$A$2:$A$51, dd_accsrycalc!$G$2:$G$51, "",0),  F2346&lt;&gt;"",L2346*_xlfn.XLOOKUP(1, (SKUs!$C$2:$C$10001=G2346)*(SKUs!$K$2:$K$10001=I2346),SKUs!$E$2:$E$10001)), 0),"")</f>
        <v/>
      </c>
      <c r="E2346" s="35" t="str">
        <f>_xlfn.XLOOKUP(F2346,dd_item!$B$2:$B$105,dd_item!$C$2:$C$105,"",0)</f>
        <v/>
      </c>
      <c r="F2346" s="35"/>
      <c r="G2346" s="35" cm="1">
        <f t="array" ref="G2346">IFERROR(_xlfn.XLOOKUP(1, (SKUs!$J$2:$J$10001=accsry_unmerged!F2346)*IF(H2346&lt;&gt;"",(SKUs!$L$2:$L$10001=accsry_unmerged!H2346),1)*(SKUs!$K$2:$K$10001=I2346),SKUs!$C$2:$C$10001),"")</f>
        <v>0</v>
      </c>
      <c r="H2346" s="36" cm="1">
        <f t="array" ref="H2346">IFERROR(_xlfn.XLOOKUP(1, (dd_accsryclr!$C$2:$C$1000=accsry_unmerged!F2346)*(dd_accsryclr!$B$2:$B$1000=accsry_unmerged!J2346),dd_accsryclr!$A$2:$A$1000),"")</f>
        <v>0</v>
      </c>
      <c r="I2346" s="35">
        <f>_xlfn.XLOOKUP(C2346,'Project Details'!$C$17:$C$66,'Project Details'!$E$17:$E$66,"",0)</f>
        <v>0</v>
      </c>
      <c r="J2346" s="35">
        <f>_xlfn.XLOOKUP(C2346,'Project Details'!$C$17:$C$66,'Project Details'!$H$17:$H$66,"",0)</f>
        <v>0</v>
      </c>
      <c r="K2346" s="36" t="str">
        <f>IF(AND(_xlfn.XLOOKUP(C2346,'Project Details'!$C$17:$C$66,'Project Details'!$L$17:$L$66,"",0)&gt;550, F2346="Spring-L27cm"),"",SUBSTITUTE(_xlfn.XLOOKUP(G2346,SKUs!$C$2:$C$10001,SKUs!$F$2:$F$10001,"",0), " Accessories",""))</f>
        <v/>
      </c>
      <c r="L2346" s="36">
        <f>_xlfn.XLOOKUP(C2346,'Project Details'!$C$17:$C$66,'Project Details'!$D$17:$D$66,"",0)</f>
        <v>0</v>
      </c>
      <c r="M2346" s="43"/>
    </row>
    <row r="2347" spans="1:13" ht="13.5" customHeight="1" outlineLevel="1" x14ac:dyDescent="0.25">
      <c r="A2347" s="43"/>
      <c r="B2347" s="43"/>
      <c r="C2347" s="16">
        <f t="shared" si="45"/>
        <v>47</v>
      </c>
      <c r="D2347" s="16" t="str" cm="1">
        <f t="array" ref="D2347">IFERROR(ROUNDUP(_xlfn.IFS(F2347="Aluminum Track", _xlfn.XLOOKUP(C2347, dd_accsrycalc!$A$2:$A$51, dd_accsrycalc!$B$2:$B$51, "",0), F2347="10 x 2 1/2 S (Flat)", _xlfn.XLOOKUP(C2347, dd_accsrycalc!$A$2:$A$51, dd_accsrycalc!$C$2:$C$51, "",0), F2347="Tox6", _xlfn.XLOOKUP(C2347, dd_accsrycalc!$A$2:$A$51, dd_accsrycalc!$D$2:$D$51, "",0), F2347="Cover Cap", _xlfn.XLOOKUP(C2347, dd_accsrycalc!$A$2:$A$51, dd_accsrycalc!$E$2:$E$51, "",0), F2347="Drainage Cover", _xlfn.XLOOKUP(C2347, dd_accsrycalc!$A$2:$A$51, dd_accsrycalc!$F$2:$F$51, "",0),AND( F2347="Double Adhesive Tape", I2347="Roll-up Screen"), _xlfn.XLOOKUP(C2347, calc_rusacc!$C$15:$C$65, calc_rusacc!$AD$15:$AD$65, "",0),AND( F2347="Sealant", I2347="Roll-up Screen"), _xlfn.XLOOKUP(C2347, calc_rusacc!$C$15:$C$65, calc_rusacc!$AF$15:$AF$65, "",0),  AND( F2347="Main Chain", I2347="Accordion Screen"), _xlfn.XLOOKUP(C2347, calc_rusacc!$C$15:$C$65, calc_rusacc!$BF$15:$BF$65, "",0), AND( F2347="Sealant", I2347="Accordion Screen"), _xlfn.XLOOKUP(C2347, calc_rusacc!$C$15:$C$65, calc_rusacc!$BJ$15:$BJ$65, "",0),  F2347="Sealant", _xlfn.XLOOKUP(C2347, dd_accsrycalc!$A$2:$A$51, dd_accsrycalc!$G$2:$G$51, "",0),  F2347&lt;&gt;"",L2347*_xlfn.XLOOKUP(1, (SKUs!$C$2:$C$10001=G2347)*(SKUs!$K$2:$K$10001=I2347),SKUs!$E$2:$E$10001)), 0),"")</f>
        <v/>
      </c>
      <c r="E2347" s="16" t="str">
        <f>_xlfn.XLOOKUP(F2347,dd_item!$B$2:$B$105,dd_item!$C$2:$C$105,"",0)</f>
        <v/>
      </c>
      <c r="F2347" s="16"/>
      <c r="G2347" s="16" cm="1">
        <f t="array" ref="G2347">IFERROR(_xlfn.XLOOKUP(1, (SKUs!$J$2:$J$10001=accsry_unmerged!F2347)*IF(H2347&lt;&gt;"",(SKUs!$L$2:$L$10001=accsry_unmerged!H2347),1)*(SKUs!$K$2:$K$10001=I2347),SKUs!$C$2:$C$10001),"")</f>
        <v>0</v>
      </c>
      <c r="H2347" s="33" cm="1">
        <f t="array" ref="H2347">IFERROR(_xlfn.XLOOKUP(1, (dd_accsryclr!$C$2:$C$1000=accsry_unmerged!F2347)*(dd_accsryclr!$B$2:$B$1000=accsry_unmerged!J2347),dd_accsryclr!$A$2:$A$1000),"")</f>
        <v>0</v>
      </c>
      <c r="I2347" s="16">
        <f>_xlfn.XLOOKUP(C2347,'Project Details'!$C$17:$C$66,'Project Details'!$E$17:$E$66,"",0)</f>
        <v>0</v>
      </c>
      <c r="J2347" s="16">
        <f>_xlfn.XLOOKUP(C2347,'Project Details'!$C$17:$C$66,'Project Details'!$H$17:$H$66,"",0)</f>
        <v>0</v>
      </c>
      <c r="K2347" s="33" t="str">
        <f>IF(AND(_xlfn.XLOOKUP(C2347,'Project Details'!$C$17:$C$66,'Project Details'!$L$17:$L$66,"",0)&gt;550, F2347="Spring-L27cm"),"",SUBSTITUTE(_xlfn.XLOOKUP(G2347,SKUs!$C$2:$C$10001,SKUs!$F$2:$F$10001,"",0), " Accessories",""))</f>
        <v/>
      </c>
      <c r="L2347" s="33">
        <f>_xlfn.XLOOKUP(C2347,'Project Details'!$C$17:$C$66,'Project Details'!$D$17:$D$66,"",0)</f>
        <v>0</v>
      </c>
      <c r="M2347" s="43"/>
    </row>
    <row r="2348" spans="1:13" ht="13.5" customHeight="1" outlineLevel="1" x14ac:dyDescent="0.25">
      <c r="A2348" s="43"/>
      <c r="B2348" s="43"/>
      <c r="C2348" s="35">
        <f t="shared" si="45"/>
        <v>47</v>
      </c>
      <c r="D2348" s="35" t="str" cm="1">
        <f t="array" ref="D2348">IFERROR(ROUNDUP(_xlfn.IFS(F2348="Aluminum Track", _xlfn.XLOOKUP(C2348, dd_accsrycalc!$A$2:$A$51, dd_accsrycalc!$B$2:$B$51, "",0), F2348="10 x 2 1/2 S (Flat)", _xlfn.XLOOKUP(C2348, dd_accsrycalc!$A$2:$A$51, dd_accsrycalc!$C$2:$C$51, "",0), F2348="Tox6", _xlfn.XLOOKUP(C2348, dd_accsrycalc!$A$2:$A$51, dd_accsrycalc!$D$2:$D$51, "",0), F2348="Cover Cap", _xlfn.XLOOKUP(C2348, dd_accsrycalc!$A$2:$A$51, dd_accsrycalc!$E$2:$E$51, "",0), F2348="Drainage Cover", _xlfn.XLOOKUP(C2348, dd_accsrycalc!$A$2:$A$51, dd_accsrycalc!$F$2:$F$51, "",0),AND( F2348="Double Adhesive Tape", I2348="Roll-up Screen"), _xlfn.XLOOKUP(C2348, calc_rusacc!$C$15:$C$65, calc_rusacc!$AD$15:$AD$65, "",0),AND( F2348="Sealant", I2348="Roll-up Screen"), _xlfn.XLOOKUP(C2348, calc_rusacc!$C$15:$C$65, calc_rusacc!$AF$15:$AF$65, "",0),  AND( F2348="Main Chain", I2348="Accordion Screen"), _xlfn.XLOOKUP(C2348, calc_rusacc!$C$15:$C$65, calc_rusacc!$BF$15:$BF$65, "",0), AND( F2348="Sealant", I2348="Accordion Screen"), _xlfn.XLOOKUP(C2348, calc_rusacc!$C$15:$C$65, calc_rusacc!$BJ$15:$BJ$65, "",0),  F2348="Sealant", _xlfn.XLOOKUP(C2348, dd_accsrycalc!$A$2:$A$51, dd_accsrycalc!$G$2:$G$51, "",0),  F2348&lt;&gt;"",L2348*_xlfn.XLOOKUP(1, (SKUs!$C$2:$C$10001=G2348)*(SKUs!$K$2:$K$10001=I2348),SKUs!$E$2:$E$10001)), 0),"")</f>
        <v/>
      </c>
      <c r="E2348" s="35" t="str">
        <f>_xlfn.XLOOKUP(F2348,dd_item!$B$2:$B$105,dd_item!$C$2:$C$105,"",0)</f>
        <v/>
      </c>
      <c r="F2348" s="35"/>
      <c r="G2348" s="35" cm="1">
        <f t="array" ref="G2348">IFERROR(_xlfn.XLOOKUP(1, (SKUs!$J$2:$J$10001=accsry_unmerged!F2348)*IF(H2348&lt;&gt;"",(SKUs!$L$2:$L$10001=accsry_unmerged!H2348),1)*(SKUs!$K$2:$K$10001=I2348),SKUs!$C$2:$C$10001),"")</f>
        <v>0</v>
      </c>
      <c r="H2348" s="36" cm="1">
        <f t="array" ref="H2348">IFERROR(_xlfn.XLOOKUP(1, (dd_accsryclr!$C$2:$C$1000=accsry_unmerged!F2348)*(dd_accsryclr!$B$2:$B$1000=accsry_unmerged!J2348),dd_accsryclr!$A$2:$A$1000),"")</f>
        <v>0</v>
      </c>
      <c r="I2348" s="35">
        <f>_xlfn.XLOOKUP(C2348,'Project Details'!$C$17:$C$66,'Project Details'!$E$17:$E$66,"",0)</f>
        <v>0</v>
      </c>
      <c r="J2348" s="35">
        <f>_xlfn.XLOOKUP(C2348,'Project Details'!$C$17:$C$66,'Project Details'!$H$17:$H$66,"",0)</f>
        <v>0</v>
      </c>
      <c r="K2348" s="36" t="str">
        <f>IF(AND(_xlfn.XLOOKUP(C2348,'Project Details'!$C$17:$C$66,'Project Details'!$L$17:$L$66,"",0)&gt;550, F2348="Spring-L27cm"),"",SUBSTITUTE(_xlfn.XLOOKUP(G2348,SKUs!$C$2:$C$10001,SKUs!$F$2:$F$10001,"",0), " Accessories",""))</f>
        <v/>
      </c>
      <c r="L2348" s="36">
        <f>_xlfn.XLOOKUP(C2348,'Project Details'!$C$17:$C$66,'Project Details'!$D$17:$D$66,"",0)</f>
        <v>0</v>
      </c>
      <c r="M2348" s="43"/>
    </row>
    <row r="2349" spans="1:13" ht="13.5" customHeight="1" outlineLevel="1" x14ac:dyDescent="0.25">
      <c r="A2349" s="43"/>
      <c r="B2349" s="43"/>
      <c r="C2349" s="16">
        <f t="shared" si="45"/>
        <v>47</v>
      </c>
      <c r="D2349" s="16" t="str" cm="1">
        <f t="array" ref="D2349">IFERROR(ROUNDUP(_xlfn.IFS(F2349="Aluminum Track", _xlfn.XLOOKUP(C2349, dd_accsrycalc!$A$2:$A$51, dd_accsrycalc!$B$2:$B$51, "",0), F2349="10 x 2 1/2 S (Flat)", _xlfn.XLOOKUP(C2349, dd_accsrycalc!$A$2:$A$51, dd_accsrycalc!$C$2:$C$51, "",0), F2349="Tox6", _xlfn.XLOOKUP(C2349, dd_accsrycalc!$A$2:$A$51, dd_accsrycalc!$D$2:$D$51, "",0), F2349="Cover Cap", _xlfn.XLOOKUP(C2349, dd_accsrycalc!$A$2:$A$51, dd_accsrycalc!$E$2:$E$51, "",0), F2349="Drainage Cover", _xlfn.XLOOKUP(C2349, dd_accsrycalc!$A$2:$A$51, dd_accsrycalc!$F$2:$F$51, "",0),AND( F2349="Double Adhesive Tape", I2349="Roll-up Screen"), _xlfn.XLOOKUP(C2349, calc_rusacc!$C$15:$C$65, calc_rusacc!$AD$15:$AD$65, "",0),AND( F2349="Sealant", I2349="Roll-up Screen"), _xlfn.XLOOKUP(C2349, calc_rusacc!$C$15:$C$65, calc_rusacc!$AF$15:$AF$65, "",0),  AND( F2349="Main Chain", I2349="Accordion Screen"), _xlfn.XLOOKUP(C2349, calc_rusacc!$C$15:$C$65, calc_rusacc!$BF$15:$BF$65, "",0), AND( F2349="Sealant", I2349="Accordion Screen"), _xlfn.XLOOKUP(C2349, calc_rusacc!$C$15:$C$65, calc_rusacc!$BJ$15:$BJ$65, "",0),  F2349="Sealant", _xlfn.XLOOKUP(C2349, dd_accsrycalc!$A$2:$A$51, dd_accsrycalc!$G$2:$G$51, "",0),  F2349&lt;&gt;"",L2349*_xlfn.XLOOKUP(1, (SKUs!$C$2:$C$10001=G2349)*(SKUs!$K$2:$K$10001=I2349),SKUs!$E$2:$E$10001)), 0),"")</f>
        <v/>
      </c>
      <c r="E2349" s="16" t="str">
        <f>_xlfn.XLOOKUP(F2349,dd_item!$B$2:$B$105,dd_item!$C$2:$C$105,"",0)</f>
        <v/>
      </c>
      <c r="F2349" s="16"/>
      <c r="G2349" s="16" cm="1">
        <f t="array" ref="G2349">IFERROR(_xlfn.XLOOKUP(1, (SKUs!$J$2:$J$10001=accsry_unmerged!F2349)*IF(H2349&lt;&gt;"",(SKUs!$L$2:$L$10001=accsry_unmerged!H2349),1)*(SKUs!$K$2:$K$10001=I2349),SKUs!$C$2:$C$10001),"")</f>
        <v>0</v>
      </c>
      <c r="H2349" s="33" cm="1">
        <f t="array" ref="H2349">IFERROR(_xlfn.XLOOKUP(1, (dd_accsryclr!$C$2:$C$1000=accsry_unmerged!F2349)*(dd_accsryclr!$B$2:$B$1000=accsry_unmerged!J2349),dd_accsryclr!$A$2:$A$1000),"")</f>
        <v>0</v>
      </c>
      <c r="I2349" s="16">
        <f>_xlfn.XLOOKUP(C2349,'Project Details'!$C$17:$C$66,'Project Details'!$E$17:$E$66,"",0)</f>
        <v>0</v>
      </c>
      <c r="J2349" s="16">
        <f>_xlfn.XLOOKUP(C2349,'Project Details'!$C$17:$C$66,'Project Details'!$H$17:$H$66,"",0)</f>
        <v>0</v>
      </c>
      <c r="K2349" s="33" t="str">
        <f>IF(AND(_xlfn.XLOOKUP(C2349,'Project Details'!$C$17:$C$66,'Project Details'!$L$17:$L$66,"",0)&gt;550, F2349="Spring-L27cm"),"",SUBSTITUTE(_xlfn.XLOOKUP(G2349,SKUs!$C$2:$C$10001,SKUs!$F$2:$F$10001,"",0), " Accessories",""))</f>
        <v/>
      </c>
      <c r="L2349" s="33">
        <f>_xlfn.XLOOKUP(C2349,'Project Details'!$C$17:$C$66,'Project Details'!$D$17:$D$66,"",0)</f>
        <v>0</v>
      </c>
      <c r="M2349" s="43"/>
    </row>
    <row r="2350" spans="1:13" ht="13.5" customHeight="1" outlineLevel="1" x14ac:dyDescent="0.25">
      <c r="A2350" s="43"/>
      <c r="B2350" s="43"/>
      <c r="C2350" s="35">
        <f t="shared" si="45"/>
        <v>47</v>
      </c>
      <c r="D2350" s="35" t="str" cm="1">
        <f t="array" ref="D2350">IFERROR(ROUNDUP(_xlfn.IFS(F2350="Aluminum Track", _xlfn.XLOOKUP(C2350, dd_accsrycalc!$A$2:$A$51, dd_accsrycalc!$B$2:$B$51, "",0), F2350="10 x 2 1/2 S (Flat)", _xlfn.XLOOKUP(C2350, dd_accsrycalc!$A$2:$A$51, dd_accsrycalc!$C$2:$C$51, "",0), F2350="Tox6", _xlfn.XLOOKUP(C2350, dd_accsrycalc!$A$2:$A$51, dd_accsrycalc!$D$2:$D$51, "",0), F2350="Cover Cap", _xlfn.XLOOKUP(C2350, dd_accsrycalc!$A$2:$A$51, dd_accsrycalc!$E$2:$E$51, "",0), F2350="Drainage Cover", _xlfn.XLOOKUP(C2350, dd_accsrycalc!$A$2:$A$51, dd_accsrycalc!$F$2:$F$51, "",0),AND( F2350="Double Adhesive Tape", I2350="Roll-up Screen"), _xlfn.XLOOKUP(C2350, calc_rusacc!$C$15:$C$65, calc_rusacc!$AD$15:$AD$65, "",0),AND( F2350="Sealant", I2350="Roll-up Screen"), _xlfn.XLOOKUP(C2350, calc_rusacc!$C$15:$C$65, calc_rusacc!$AF$15:$AF$65, "",0),  AND( F2350="Main Chain", I2350="Accordion Screen"), _xlfn.XLOOKUP(C2350, calc_rusacc!$C$15:$C$65, calc_rusacc!$BF$15:$BF$65, "",0), AND( F2350="Sealant", I2350="Accordion Screen"), _xlfn.XLOOKUP(C2350, calc_rusacc!$C$15:$C$65, calc_rusacc!$BJ$15:$BJ$65, "",0),  F2350="Sealant", _xlfn.XLOOKUP(C2350, dd_accsrycalc!$A$2:$A$51, dd_accsrycalc!$G$2:$G$51, "",0),  F2350&lt;&gt;"",L2350*_xlfn.XLOOKUP(1, (SKUs!$C$2:$C$10001=G2350)*(SKUs!$K$2:$K$10001=I2350),SKUs!$E$2:$E$10001)), 0),"")</f>
        <v/>
      </c>
      <c r="E2350" s="35" t="str">
        <f>_xlfn.XLOOKUP(F2350,dd_item!$B$2:$B$105,dd_item!$C$2:$C$105,"",0)</f>
        <v/>
      </c>
      <c r="F2350" s="35"/>
      <c r="G2350" s="35" cm="1">
        <f t="array" ref="G2350">IFERROR(_xlfn.XLOOKUP(1, (SKUs!$J$2:$J$10001=accsry_unmerged!F2350)*IF(H2350&lt;&gt;"",(SKUs!$L$2:$L$10001=accsry_unmerged!H2350),1)*(SKUs!$K$2:$K$10001=I2350),SKUs!$C$2:$C$10001),"")</f>
        <v>0</v>
      </c>
      <c r="H2350" s="36" cm="1">
        <f t="array" ref="H2350">IFERROR(_xlfn.XLOOKUP(1, (dd_accsryclr!$C$2:$C$1000=accsry_unmerged!F2350)*(dd_accsryclr!$B$2:$B$1000=accsry_unmerged!J2350),dd_accsryclr!$A$2:$A$1000),"")</f>
        <v>0</v>
      </c>
      <c r="I2350" s="35">
        <f>_xlfn.XLOOKUP(C2350,'Project Details'!$C$17:$C$66,'Project Details'!$E$17:$E$66,"",0)</f>
        <v>0</v>
      </c>
      <c r="J2350" s="35">
        <f>_xlfn.XLOOKUP(C2350,'Project Details'!$C$17:$C$66,'Project Details'!$H$17:$H$66,"",0)</f>
        <v>0</v>
      </c>
      <c r="K2350" s="36" t="str">
        <f>IF(AND(_xlfn.XLOOKUP(C2350,'Project Details'!$C$17:$C$66,'Project Details'!$L$17:$L$66,"",0)&gt;550, F2350="Spring-L27cm"),"",SUBSTITUTE(_xlfn.XLOOKUP(G2350,SKUs!$C$2:$C$10001,SKUs!$F$2:$F$10001,"",0), " Accessories",""))</f>
        <v/>
      </c>
      <c r="L2350" s="36">
        <f>_xlfn.XLOOKUP(C2350,'Project Details'!$C$17:$C$66,'Project Details'!$D$17:$D$66,"",0)</f>
        <v>0</v>
      </c>
      <c r="M2350" s="43"/>
    </row>
    <row r="2351" spans="1:13" ht="13.5" customHeight="1" outlineLevel="1" x14ac:dyDescent="0.25">
      <c r="A2351" s="43"/>
      <c r="B2351" s="43"/>
      <c r="C2351" s="16">
        <f t="shared" si="45"/>
        <v>47</v>
      </c>
      <c r="D2351" s="16" t="str" cm="1">
        <f t="array" ref="D2351">IFERROR(ROUNDUP(_xlfn.IFS(F2351="Aluminum Track", _xlfn.XLOOKUP(C2351, dd_accsrycalc!$A$2:$A$51, dd_accsrycalc!$B$2:$B$51, "",0), F2351="10 x 2 1/2 S (Flat)", _xlfn.XLOOKUP(C2351, dd_accsrycalc!$A$2:$A$51, dd_accsrycalc!$C$2:$C$51, "",0), F2351="Tox6", _xlfn.XLOOKUP(C2351, dd_accsrycalc!$A$2:$A$51, dd_accsrycalc!$D$2:$D$51, "",0), F2351="Cover Cap", _xlfn.XLOOKUP(C2351, dd_accsrycalc!$A$2:$A$51, dd_accsrycalc!$E$2:$E$51, "",0), F2351="Drainage Cover", _xlfn.XLOOKUP(C2351, dd_accsrycalc!$A$2:$A$51, dd_accsrycalc!$F$2:$F$51, "",0),AND( F2351="Double Adhesive Tape", I2351="Roll-up Screen"), _xlfn.XLOOKUP(C2351, calc_rusacc!$C$15:$C$65, calc_rusacc!$AD$15:$AD$65, "",0),AND( F2351="Sealant", I2351="Roll-up Screen"), _xlfn.XLOOKUP(C2351, calc_rusacc!$C$15:$C$65, calc_rusacc!$AF$15:$AF$65, "",0),  AND( F2351="Main Chain", I2351="Accordion Screen"), _xlfn.XLOOKUP(C2351, calc_rusacc!$C$15:$C$65, calc_rusacc!$BF$15:$BF$65, "",0), AND( F2351="Sealant", I2351="Accordion Screen"), _xlfn.XLOOKUP(C2351, calc_rusacc!$C$15:$C$65, calc_rusacc!$BJ$15:$BJ$65, "",0),  F2351="Sealant", _xlfn.XLOOKUP(C2351, dd_accsrycalc!$A$2:$A$51, dd_accsrycalc!$G$2:$G$51, "",0),  F2351&lt;&gt;"",L2351*_xlfn.XLOOKUP(1, (SKUs!$C$2:$C$10001=G2351)*(SKUs!$K$2:$K$10001=I2351),SKUs!$E$2:$E$10001)), 0),"")</f>
        <v/>
      </c>
      <c r="E2351" s="16" t="str">
        <f>_xlfn.XLOOKUP(F2351,dd_item!$B$2:$B$105,dd_item!$C$2:$C$105,"",0)</f>
        <v/>
      </c>
      <c r="F2351" s="16"/>
      <c r="G2351" s="16" cm="1">
        <f t="array" ref="G2351">IFERROR(_xlfn.XLOOKUP(1, (SKUs!$J$2:$J$10001=accsry_unmerged!F2351)*IF(H2351&lt;&gt;"",(SKUs!$L$2:$L$10001=accsry_unmerged!H2351),1)*(SKUs!$K$2:$K$10001=I2351),SKUs!$C$2:$C$10001),"")</f>
        <v>0</v>
      </c>
      <c r="H2351" s="33" cm="1">
        <f t="array" ref="H2351">IFERROR(_xlfn.XLOOKUP(1, (dd_accsryclr!$C$2:$C$1000=accsry_unmerged!F2351)*(dd_accsryclr!$B$2:$B$1000=accsry_unmerged!J2351),dd_accsryclr!$A$2:$A$1000),"")</f>
        <v>0</v>
      </c>
      <c r="I2351" s="16">
        <f>_xlfn.XLOOKUP(C2351,'Project Details'!$C$17:$C$66,'Project Details'!$E$17:$E$66,"",0)</f>
        <v>0</v>
      </c>
      <c r="J2351" s="16">
        <f>_xlfn.XLOOKUP(C2351,'Project Details'!$C$17:$C$66,'Project Details'!$H$17:$H$66,"",0)</f>
        <v>0</v>
      </c>
      <c r="K2351" s="33" t="str">
        <f>IF(AND(_xlfn.XLOOKUP(C2351,'Project Details'!$C$17:$C$66,'Project Details'!$L$17:$L$66,"",0)&gt;550, F2351="Spring-L27cm"),"",SUBSTITUTE(_xlfn.XLOOKUP(G2351,SKUs!$C$2:$C$10001,SKUs!$F$2:$F$10001,"",0), " Accessories",""))</f>
        <v/>
      </c>
      <c r="L2351" s="33">
        <f>_xlfn.XLOOKUP(C2351,'Project Details'!$C$17:$C$66,'Project Details'!$D$17:$D$66,"",0)</f>
        <v>0</v>
      </c>
      <c r="M2351" s="43"/>
    </row>
    <row r="2352" spans="1:13" ht="13.5" customHeight="1" outlineLevel="1" x14ac:dyDescent="0.25">
      <c r="A2352" s="43"/>
      <c r="B2352" s="43"/>
      <c r="C2352" s="35">
        <f t="shared" si="45"/>
        <v>47</v>
      </c>
      <c r="D2352" s="35" t="str" cm="1">
        <f t="array" ref="D2352">IFERROR(ROUNDUP(_xlfn.IFS(F2352="Aluminum Track", _xlfn.XLOOKUP(C2352, dd_accsrycalc!$A$2:$A$51, dd_accsrycalc!$B$2:$B$51, "",0), F2352="10 x 2 1/2 S (Flat)", _xlfn.XLOOKUP(C2352, dd_accsrycalc!$A$2:$A$51, dd_accsrycalc!$C$2:$C$51, "",0), F2352="Tox6", _xlfn.XLOOKUP(C2352, dd_accsrycalc!$A$2:$A$51, dd_accsrycalc!$D$2:$D$51, "",0), F2352="Cover Cap", _xlfn.XLOOKUP(C2352, dd_accsrycalc!$A$2:$A$51, dd_accsrycalc!$E$2:$E$51, "",0), F2352="Drainage Cover", _xlfn.XLOOKUP(C2352, dd_accsrycalc!$A$2:$A$51, dd_accsrycalc!$F$2:$F$51, "",0),AND( F2352="Double Adhesive Tape", I2352="Roll-up Screen"), _xlfn.XLOOKUP(C2352, calc_rusacc!$C$15:$C$65, calc_rusacc!$AD$15:$AD$65, "",0),AND( F2352="Sealant", I2352="Roll-up Screen"), _xlfn.XLOOKUP(C2352, calc_rusacc!$C$15:$C$65, calc_rusacc!$AF$15:$AF$65, "",0),  AND( F2352="Main Chain", I2352="Accordion Screen"), _xlfn.XLOOKUP(C2352, calc_rusacc!$C$15:$C$65, calc_rusacc!$BF$15:$BF$65, "",0), AND( F2352="Sealant", I2352="Accordion Screen"), _xlfn.XLOOKUP(C2352, calc_rusacc!$C$15:$C$65, calc_rusacc!$BJ$15:$BJ$65, "",0),  F2352="Sealant", _xlfn.XLOOKUP(C2352, dd_accsrycalc!$A$2:$A$51, dd_accsrycalc!$G$2:$G$51, "",0),  F2352&lt;&gt;"",L2352*_xlfn.XLOOKUP(1, (SKUs!$C$2:$C$10001=G2352)*(SKUs!$K$2:$K$10001=I2352),SKUs!$E$2:$E$10001)), 0),"")</f>
        <v/>
      </c>
      <c r="E2352" s="35" t="str">
        <f>_xlfn.XLOOKUP(F2352,dd_item!$B$2:$B$105,dd_item!$C$2:$C$105,"",0)</f>
        <v/>
      </c>
      <c r="F2352" s="35"/>
      <c r="G2352" s="35" cm="1">
        <f t="array" ref="G2352">IFERROR(_xlfn.XLOOKUP(1, (SKUs!$J$2:$J$10001=accsry_unmerged!F2352)*IF(H2352&lt;&gt;"",(SKUs!$L$2:$L$10001=accsry_unmerged!H2352),1)*(SKUs!$K$2:$K$10001=I2352),SKUs!$C$2:$C$10001),"")</f>
        <v>0</v>
      </c>
      <c r="H2352" s="36" cm="1">
        <f t="array" ref="H2352">IFERROR(_xlfn.XLOOKUP(1, (dd_accsryclr!$C$2:$C$1000=accsry_unmerged!F2352)*(dd_accsryclr!$B$2:$B$1000=accsry_unmerged!J2352),dd_accsryclr!$A$2:$A$1000),"")</f>
        <v>0</v>
      </c>
      <c r="I2352" s="35">
        <f>_xlfn.XLOOKUP(C2352,'Project Details'!$C$17:$C$66,'Project Details'!$E$17:$E$66,"",0)</f>
        <v>0</v>
      </c>
      <c r="J2352" s="35">
        <f>_xlfn.XLOOKUP(C2352,'Project Details'!$C$17:$C$66,'Project Details'!$H$17:$H$66,"",0)</f>
        <v>0</v>
      </c>
      <c r="K2352" s="36" t="str">
        <f>IF(AND(_xlfn.XLOOKUP(C2352,'Project Details'!$C$17:$C$66,'Project Details'!$L$17:$L$66,"",0)&gt;550, F2352="Spring-L27cm"),"",SUBSTITUTE(_xlfn.XLOOKUP(G2352,SKUs!$C$2:$C$10001,SKUs!$F$2:$F$10001,"",0), " Accessories",""))</f>
        <v/>
      </c>
      <c r="L2352" s="36">
        <f>_xlfn.XLOOKUP(C2352,'Project Details'!$C$17:$C$66,'Project Details'!$D$17:$D$66,"",0)</f>
        <v>0</v>
      </c>
      <c r="M2352" s="43"/>
    </row>
    <row r="2353" spans="1:13" ht="13.5" customHeight="1" outlineLevel="1" x14ac:dyDescent="0.25">
      <c r="A2353" s="43"/>
      <c r="B2353" s="43"/>
      <c r="C2353" s="16">
        <f t="shared" si="45"/>
        <v>47</v>
      </c>
      <c r="D2353" s="16" t="str" cm="1">
        <f t="array" ref="D2353">IFERROR(ROUNDUP(_xlfn.IFS(F2353="Aluminum Track", _xlfn.XLOOKUP(C2353, dd_accsrycalc!$A$2:$A$51, dd_accsrycalc!$B$2:$B$51, "",0), F2353="10 x 2 1/2 S (Flat)", _xlfn.XLOOKUP(C2353, dd_accsrycalc!$A$2:$A$51, dd_accsrycalc!$C$2:$C$51, "",0), F2353="Tox6", _xlfn.XLOOKUP(C2353, dd_accsrycalc!$A$2:$A$51, dd_accsrycalc!$D$2:$D$51, "",0), F2353="Cover Cap", _xlfn.XLOOKUP(C2353, dd_accsrycalc!$A$2:$A$51, dd_accsrycalc!$E$2:$E$51, "",0), F2353="Drainage Cover", _xlfn.XLOOKUP(C2353, dd_accsrycalc!$A$2:$A$51, dd_accsrycalc!$F$2:$F$51, "",0),AND( F2353="Double Adhesive Tape", I2353="Roll-up Screen"), _xlfn.XLOOKUP(C2353, calc_rusacc!$C$15:$C$65, calc_rusacc!$AD$15:$AD$65, "",0),AND( F2353="Sealant", I2353="Roll-up Screen"), _xlfn.XLOOKUP(C2353, calc_rusacc!$C$15:$C$65, calc_rusacc!$AF$15:$AF$65, "",0),  AND( F2353="Main Chain", I2353="Accordion Screen"), _xlfn.XLOOKUP(C2353, calc_rusacc!$C$15:$C$65, calc_rusacc!$BF$15:$BF$65, "",0), AND( F2353="Sealant", I2353="Accordion Screen"), _xlfn.XLOOKUP(C2353, calc_rusacc!$C$15:$C$65, calc_rusacc!$BJ$15:$BJ$65, "",0),  F2353="Sealant", _xlfn.XLOOKUP(C2353, dd_accsrycalc!$A$2:$A$51, dd_accsrycalc!$G$2:$G$51, "",0),  F2353&lt;&gt;"",L2353*_xlfn.XLOOKUP(1, (SKUs!$C$2:$C$10001=G2353)*(SKUs!$K$2:$K$10001=I2353),SKUs!$E$2:$E$10001)), 0),"")</f>
        <v/>
      </c>
      <c r="E2353" s="16" t="str">
        <f>_xlfn.XLOOKUP(F2353,dd_item!$B$2:$B$105,dd_item!$C$2:$C$105,"",0)</f>
        <v/>
      </c>
      <c r="F2353" s="16"/>
      <c r="G2353" s="16" cm="1">
        <f t="array" ref="G2353">IFERROR(_xlfn.XLOOKUP(1, (SKUs!$J$2:$J$10001=accsry_unmerged!F2353)*IF(H2353&lt;&gt;"",(SKUs!$L$2:$L$10001=accsry_unmerged!H2353),1)*(SKUs!$K$2:$K$10001=I2353),SKUs!$C$2:$C$10001),"")</f>
        <v>0</v>
      </c>
      <c r="H2353" s="33" cm="1">
        <f t="array" ref="H2353">IFERROR(_xlfn.XLOOKUP(1, (dd_accsryclr!$C$2:$C$1000=accsry_unmerged!F2353)*(dd_accsryclr!$B$2:$B$1000=accsry_unmerged!J2353),dd_accsryclr!$A$2:$A$1000),"")</f>
        <v>0</v>
      </c>
      <c r="I2353" s="16">
        <f>_xlfn.XLOOKUP(C2353,'Project Details'!$C$17:$C$66,'Project Details'!$E$17:$E$66,"",0)</f>
        <v>0</v>
      </c>
      <c r="J2353" s="16">
        <f>_xlfn.XLOOKUP(C2353,'Project Details'!$C$17:$C$66,'Project Details'!$H$17:$H$66,"",0)</f>
        <v>0</v>
      </c>
      <c r="K2353" s="33" t="str">
        <f>IF(AND(_xlfn.XLOOKUP(C2353,'Project Details'!$C$17:$C$66,'Project Details'!$L$17:$L$66,"",0)&gt;550, F2353="Spring-L27cm"),"",SUBSTITUTE(_xlfn.XLOOKUP(G2353,SKUs!$C$2:$C$10001,SKUs!$F$2:$F$10001,"",0), " Accessories",""))</f>
        <v/>
      </c>
      <c r="L2353" s="33">
        <f>_xlfn.XLOOKUP(C2353,'Project Details'!$C$17:$C$66,'Project Details'!$D$17:$D$66,"",0)</f>
        <v>0</v>
      </c>
      <c r="M2353" s="43"/>
    </row>
    <row r="2354" spans="1:13" ht="13.5" customHeight="1" outlineLevel="1" x14ac:dyDescent="0.25">
      <c r="A2354" s="43"/>
      <c r="B2354" s="43"/>
      <c r="C2354" s="35">
        <f t="shared" si="45"/>
        <v>47</v>
      </c>
      <c r="D2354" s="35" t="str" cm="1">
        <f t="array" ref="D2354">IFERROR(ROUNDUP(_xlfn.IFS(F2354="Aluminum Track", _xlfn.XLOOKUP(C2354, dd_accsrycalc!$A$2:$A$51, dd_accsrycalc!$B$2:$B$51, "",0), F2354="10 x 2 1/2 S (Flat)", _xlfn.XLOOKUP(C2354, dd_accsrycalc!$A$2:$A$51, dd_accsrycalc!$C$2:$C$51, "",0), F2354="Tox6", _xlfn.XLOOKUP(C2354, dd_accsrycalc!$A$2:$A$51, dd_accsrycalc!$D$2:$D$51, "",0), F2354="Cover Cap", _xlfn.XLOOKUP(C2354, dd_accsrycalc!$A$2:$A$51, dd_accsrycalc!$E$2:$E$51, "",0), F2354="Drainage Cover", _xlfn.XLOOKUP(C2354, dd_accsrycalc!$A$2:$A$51, dd_accsrycalc!$F$2:$F$51, "",0),AND( F2354="Double Adhesive Tape", I2354="Roll-up Screen"), _xlfn.XLOOKUP(C2354, calc_rusacc!$C$15:$C$65, calc_rusacc!$AD$15:$AD$65, "",0),AND( F2354="Sealant", I2354="Roll-up Screen"), _xlfn.XLOOKUP(C2354, calc_rusacc!$C$15:$C$65, calc_rusacc!$AF$15:$AF$65, "",0),  AND( F2354="Main Chain", I2354="Accordion Screen"), _xlfn.XLOOKUP(C2354, calc_rusacc!$C$15:$C$65, calc_rusacc!$BF$15:$BF$65, "",0), AND( F2354="Sealant", I2354="Accordion Screen"), _xlfn.XLOOKUP(C2354, calc_rusacc!$C$15:$C$65, calc_rusacc!$BJ$15:$BJ$65, "",0),  F2354="Sealant", _xlfn.XLOOKUP(C2354, dd_accsrycalc!$A$2:$A$51, dd_accsrycalc!$G$2:$G$51, "",0),  F2354&lt;&gt;"",L2354*_xlfn.XLOOKUP(1, (SKUs!$C$2:$C$10001=G2354)*(SKUs!$K$2:$K$10001=I2354),SKUs!$E$2:$E$10001)), 0),"")</f>
        <v/>
      </c>
      <c r="E2354" s="35" t="str">
        <f>_xlfn.XLOOKUP(F2354,dd_item!$B$2:$B$105,dd_item!$C$2:$C$105,"",0)</f>
        <v/>
      </c>
      <c r="F2354" s="35"/>
      <c r="G2354" s="35" cm="1">
        <f t="array" ref="G2354">IFERROR(_xlfn.XLOOKUP(1, (SKUs!$J$2:$J$10001=accsry_unmerged!F2354)*IF(H2354&lt;&gt;"",(SKUs!$L$2:$L$10001=accsry_unmerged!H2354),1)*(SKUs!$K$2:$K$10001=I2354),SKUs!$C$2:$C$10001),"")</f>
        <v>0</v>
      </c>
      <c r="H2354" s="36" cm="1">
        <f t="array" ref="H2354">IFERROR(_xlfn.XLOOKUP(1, (dd_accsryclr!$C$2:$C$1000=accsry_unmerged!F2354)*(dd_accsryclr!$B$2:$B$1000=accsry_unmerged!J2354),dd_accsryclr!$A$2:$A$1000),"")</f>
        <v>0</v>
      </c>
      <c r="I2354" s="35">
        <f>_xlfn.XLOOKUP(C2354,'Project Details'!$C$17:$C$66,'Project Details'!$E$17:$E$66,"",0)</f>
        <v>0</v>
      </c>
      <c r="J2354" s="35">
        <f>_xlfn.XLOOKUP(C2354,'Project Details'!$C$17:$C$66,'Project Details'!$H$17:$H$66,"",0)</f>
        <v>0</v>
      </c>
      <c r="K2354" s="36" t="str">
        <f>IF(AND(_xlfn.XLOOKUP(C2354,'Project Details'!$C$17:$C$66,'Project Details'!$L$17:$L$66,"",0)&gt;550, F2354="Spring-L27cm"),"",SUBSTITUTE(_xlfn.XLOOKUP(G2354,SKUs!$C$2:$C$10001,SKUs!$F$2:$F$10001,"",0), " Accessories",""))</f>
        <v/>
      </c>
      <c r="L2354" s="36">
        <f>_xlfn.XLOOKUP(C2354,'Project Details'!$C$17:$C$66,'Project Details'!$D$17:$D$66,"",0)</f>
        <v>0</v>
      </c>
      <c r="M2354" s="43"/>
    </row>
    <row r="2355" spans="1:13" ht="13.5" customHeight="1" outlineLevel="1" collapsed="1" x14ac:dyDescent="0.25">
      <c r="A2355" s="43"/>
      <c r="B2355" s="43"/>
      <c r="C2355" s="16">
        <f t="shared" si="45"/>
        <v>47</v>
      </c>
      <c r="D2355" s="16" t="str" cm="1">
        <f t="array" ref="D2355">IFERROR(ROUNDUP(_xlfn.IFS(F2355="Aluminum Track", _xlfn.XLOOKUP(C2355, dd_accsrycalc!$A$2:$A$51, dd_accsrycalc!$B$2:$B$51, "",0), F2355="10 x 2 1/2 S (Flat)", _xlfn.XLOOKUP(C2355, dd_accsrycalc!$A$2:$A$51, dd_accsrycalc!$C$2:$C$51, "",0), F2355="Tox6", _xlfn.XLOOKUP(C2355, dd_accsrycalc!$A$2:$A$51, dd_accsrycalc!$D$2:$D$51, "",0), F2355="Cover Cap", _xlfn.XLOOKUP(C2355, dd_accsrycalc!$A$2:$A$51, dd_accsrycalc!$E$2:$E$51, "",0), F2355="Drainage Cover", _xlfn.XLOOKUP(C2355, dd_accsrycalc!$A$2:$A$51, dd_accsrycalc!$F$2:$F$51, "",0),AND( F2355="Double Adhesive Tape", I2355="Roll-up Screen"), _xlfn.XLOOKUP(C2355, calc_rusacc!$C$15:$C$65, calc_rusacc!$AD$15:$AD$65, "",0),AND( F2355="Sealant", I2355="Roll-up Screen"), _xlfn.XLOOKUP(C2355, calc_rusacc!$C$15:$C$65, calc_rusacc!$AF$15:$AF$65, "",0),  AND( F2355="Main Chain", I2355="Accordion Screen"), _xlfn.XLOOKUP(C2355, calc_rusacc!$C$15:$C$65, calc_rusacc!$BF$15:$BF$65, "",0), AND( F2355="Sealant", I2355="Accordion Screen"), _xlfn.XLOOKUP(C2355, calc_rusacc!$C$15:$C$65, calc_rusacc!$BJ$15:$BJ$65, "",0),  F2355="Sealant", _xlfn.XLOOKUP(C2355, dd_accsrycalc!$A$2:$A$51, dd_accsrycalc!$G$2:$G$51, "",0),  F2355&lt;&gt;"",L2355*_xlfn.XLOOKUP(1, (SKUs!$C$2:$C$10001=G2355)*(SKUs!$K$2:$K$10001=I2355),SKUs!$E$2:$E$10001)), 0),"")</f>
        <v/>
      </c>
      <c r="E2355" s="16" t="str">
        <f>_xlfn.XLOOKUP(F2355,dd_item!$B$2:$B$105,dd_item!$C$2:$C$105,"",0)</f>
        <v/>
      </c>
      <c r="F2355" s="16"/>
      <c r="G2355" s="16" cm="1">
        <f t="array" ref="G2355">IFERROR(_xlfn.XLOOKUP(1, (SKUs!$J$2:$J$10001=accsry_unmerged!F2355)*IF(H2355&lt;&gt;"",(SKUs!$L$2:$L$10001=accsry_unmerged!H2355),1)*(SKUs!$K$2:$K$10001=I2355),SKUs!$C$2:$C$10001),"")</f>
        <v>0</v>
      </c>
      <c r="H2355" s="33" cm="1">
        <f t="array" ref="H2355">IFERROR(_xlfn.XLOOKUP(1, (dd_accsryclr!$C$2:$C$1000=accsry_unmerged!F2355)*(dd_accsryclr!$B$2:$B$1000=accsry_unmerged!J2355),dd_accsryclr!$A$2:$A$1000),"")</f>
        <v>0</v>
      </c>
      <c r="I2355" s="16">
        <f>_xlfn.XLOOKUP(C2355,'Project Details'!$C$17:$C$66,'Project Details'!$E$17:$E$66,"",0)</f>
        <v>0</v>
      </c>
      <c r="J2355" s="16">
        <f>_xlfn.XLOOKUP(C2355,'Project Details'!$C$17:$C$66,'Project Details'!$H$17:$H$66,"",0)</f>
        <v>0</v>
      </c>
      <c r="K2355" s="33" t="str">
        <f>IF(AND(_xlfn.XLOOKUP(C2355,'Project Details'!$C$17:$C$66,'Project Details'!$L$17:$L$66,"",0)&gt;550, F2355="Spring-L27cm"),"",SUBSTITUTE(_xlfn.XLOOKUP(G2355,SKUs!$C$2:$C$10001,SKUs!$F$2:$F$10001,"",0), " Accessories",""))</f>
        <v/>
      </c>
      <c r="L2355" s="33">
        <f>_xlfn.XLOOKUP(C2355,'Project Details'!$C$17:$C$66,'Project Details'!$D$17:$D$66,"",0)</f>
        <v>0</v>
      </c>
      <c r="M2355" s="43"/>
    </row>
    <row r="2356" spans="1:13" ht="13.5" customHeight="1" outlineLevel="1" x14ac:dyDescent="0.25">
      <c r="A2356" s="43"/>
      <c r="B2356" s="43"/>
      <c r="C2356" s="35">
        <f t="shared" si="45"/>
        <v>47</v>
      </c>
      <c r="D2356" s="35" t="str" cm="1">
        <f t="array" ref="D2356">IFERROR(ROUNDUP(_xlfn.IFS(F2356="Aluminum Track", _xlfn.XLOOKUP(C2356, dd_accsrycalc!$A$2:$A$51, dd_accsrycalc!$B$2:$B$51, "",0), F2356="10 x 2 1/2 S (Flat)", _xlfn.XLOOKUP(C2356, dd_accsrycalc!$A$2:$A$51, dd_accsrycalc!$C$2:$C$51, "",0), F2356="Tox6", _xlfn.XLOOKUP(C2356, dd_accsrycalc!$A$2:$A$51, dd_accsrycalc!$D$2:$D$51, "",0), F2356="Cover Cap", _xlfn.XLOOKUP(C2356, dd_accsrycalc!$A$2:$A$51, dd_accsrycalc!$E$2:$E$51, "",0), F2356="Drainage Cover", _xlfn.XLOOKUP(C2356, dd_accsrycalc!$A$2:$A$51, dd_accsrycalc!$F$2:$F$51, "",0),AND( F2356="Double Adhesive Tape", I2356="Roll-up Screen"), _xlfn.XLOOKUP(C2356, calc_rusacc!$C$15:$C$65, calc_rusacc!$AD$15:$AD$65, "",0),AND( F2356="Sealant", I2356="Roll-up Screen"), _xlfn.XLOOKUP(C2356, calc_rusacc!$C$15:$C$65, calc_rusacc!$AF$15:$AF$65, "",0),  AND( F2356="Main Chain", I2356="Accordion Screen"), _xlfn.XLOOKUP(C2356, calc_rusacc!$C$15:$C$65, calc_rusacc!$BF$15:$BF$65, "",0), AND( F2356="Sealant", I2356="Accordion Screen"), _xlfn.XLOOKUP(C2356, calc_rusacc!$C$15:$C$65, calc_rusacc!$BJ$15:$BJ$65, "",0),  F2356="Sealant", _xlfn.XLOOKUP(C2356, dd_accsrycalc!$A$2:$A$51, dd_accsrycalc!$G$2:$G$51, "",0),  F2356&lt;&gt;"",L2356*_xlfn.XLOOKUP(1, (SKUs!$C$2:$C$10001=G2356)*(SKUs!$K$2:$K$10001=I2356),SKUs!$E$2:$E$10001)), 0),"")</f>
        <v/>
      </c>
      <c r="E2356" s="35" t="str">
        <f>_xlfn.XLOOKUP(F2356,dd_item!$B$2:$B$105,dd_item!$C$2:$C$105,"",0)</f>
        <v/>
      </c>
      <c r="F2356" s="35"/>
      <c r="G2356" s="35" cm="1">
        <f t="array" ref="G2356">IFERROR(_xlfn.XLOOKUP(1, (SKUs!$J$2:$J$10001=accsry_unmerged!F2356)*IF(H2356&lt;&gt;"",(SKUs!$L$2:$L$10001=accsry_unmerged!H2356),1)*(SKUs!$K$2:$K$10001=I2356),SKUs!$C$2:$C$10001),"")</f>
        <v>0</v>
      </c>
      <c r="H2356" s="36" cm="1">
        <f t="array" ref="H2356">IFERROR(_xlfn.XLOOKUP(1, (dd_accsryclr!$C$2:$C$1000=accsry_unmerged!F2356)*(dd_accsryclr!$B$2:$B$1000=accsry_unmerged!J2356),dd_accsryclr!$A$2:$A$1000),"")</f>
        <v>0</v>
      </c>
      <c r="I2356" s="35">
        <f>_xlfn.XLOOKUP(C2356,'Project Details'!$C$17:$C$66,'Project Details'!$E$17:$E$66,"",0)</f>
        <v>0</v>
      </c>
      <c r="J2356" s="35">
        <f>_xlfn.XLOOKUP(C2356,'Project Details'!$C$17:$C$66,'Project Details'!$H$17:$H$66,"",0)</f>
        <v>0</v>
      </c>
      <c r="K2356" s="36" t="str">
        <f>IF(AND(_xlfn.XLOOKUP(C2356,'Project Details'!$C$17:$C$66,'Project Details'!$L$17:$L$66,"",0)&gt;550, F2356="Spring-L27cm"),"",SUBSTITUTE(_xlfn.XLOOKUP(G2356,SKUs!$C$2:$C$10001,SKUs!$F$2:$F$10001,"",0), " Accessories",""))</f>
        <v/>
      </c>
      <c r="L2356" s="36">
        <f>_xlfn.XLOOKUP(C2356,'Project Details'!$C$17:$C$66,'Project Details'!$D$17:$D$66,"",0)</f>
        <v>0</v>
      </c>
      <c r="M2356" s="43"/>
    </row>
    <row r="2357" spans="1:13" ht="13.5" customHeight="1" outlineLevel="1" x14ac:dyDescent="0.25">
      <c r="A2357" s="43"/>
      <c r="B2357" s="43"/>
      <c r="C2357" s="16">
        <f t="shared" si="45"/>
        <v>47</v>
      </c>
      <c r="D2357" s="16" t="str" cm="1">
        <f t="array" ref="D2357">IFERROR(ROUNDUP(_xlfn.IFS(F2357="Aluminum Track", _xlfn.XLOOKUP(C2357, dd_accsrycalc!$A$2:$A$51, dd_accsrycalc!$B$2:$B$51, "",0), F2357="10 x 2 1/2 S (Flat)", _xlfn.XLOOKUP(C2357, dd_accsrycalc!$A$2:$A$51, dd_accsrycalc!$C$2:$C$51, "",0), F2357="Tox6", _xlfn.XLOOKUP(C2357, dd_accsrycalc!$A$2:$A$51, dd_accsrycalc!$D$2:$D$51, "",0), F2357="Cover Cap", _xlfn.XLOOKUP(C2357, dd_accsrycalc!$A$2:$A$51, dd_accsrycalc!$E$2:$E$51, "",0), F2357="Drainage Cover", _xlfn.XLOOKUP(C2357, dd_accsrycalc!$A$2:$A$51, dd_accsrycalc!$F$2:$F$51, "",0),AND( F2357="Double Adhesive Tape", I2357="Roll-up Screen"), _xlfn.XLOOKUP(C2357, calc_rusacc!$C$15:$C$65, calc_rusacc!$AD$15:$AD$65, "",0),AND( F2357="Sealant", I2357="Roll-up Screen"), _xlfn.XLOOKUP(C2357, calc_rusacc!$C$15:$C$65, calc_rusacc!$AF$15:$AF$65, "",0),  AND( F2357="Main Chain", I2357="Accordion Screen"), _xlfn.XLOOKUP(C2357, calc_rusacc!$C$15:$C$65, calc_rusacc!$BF$15:$BF$65, "",0), AND( F2357="Sealant", I2357="Accordion Screen"), _xlfn.XLOOKUP(C2357, calc_rusacc!$C$15:$C$65, calc_rusacc!$BJ$15:$BJ$65, "",0),  F2357="Sealant", _xlfn.XLOOKUP(C2357, dd_accsrycalc!$A$2:$A$51, dd_accsrycalc!$G$2:$G$51, "",0),  F2357&lt;&gt;"",L2357*_xlfn.XLOOKUP(1, (SKUs!$C$2:$C$10001=G2357)*(SKUs!$K$2:$K$10001=I2357),SKUs!$E$2:$E$10001)), 0),"")</f>
        <v/>
      </c>
      <c r="E2357" s="16" t="str">
        <f>_xlfn.XLOOKUP(F2357,dd_item!$B$2:$B$105,dd_item!$C$2:$C$105,"",0)</f>
        <v/>
      </c>
      <c r="F2357" s="16"/>
      <c r="G2357" s="16" cm="1">
        <f t="array" ref="G2357">IFERROR(_xlfn.XLOOKUP(1, (SKUs!$J$2:$J$10001=accsry_unmerged!F2357)*IF(H2357&lt;&gt;"",(SKUs!$L$2:$L$10001=accsry_unmerged!H2357),1)*(SKUs!$K$2:$K$10001=I2357),SKUs!$C$2:$C$10001),"")</f>
        <v>0</v>
      </c>
      <c r="H2357" s="33" cm="1">
        <f t="array" ref="H2357">IFERROR(_xlfn.XLOOKUP(1, (dd_accsryclr!$C$2:$C$1000=accsry_unmerged!F2357)*(dd_accsryclr!$B$2:$B$1000=accsry_unmerged!J2357),dd_accsryclr!$A$2:$A$1000),"")</f>
        <v>0</v>
      </c>
      <c r="I2357" s="16">
        <f>_xlfn.XLOOKUP(C2357,'Project Details'!$C$17:$C$66,'Project Details'!$E$17:$E$66,"",0)</f>
        <v>0</v>
      </c>
      <c r="J2357" s="16">
        <f>_xlfn.XLOOKUP(C2357,'Project Details'!$C$17:$C$66,'Project Details'!$H$17:$H$66,"",0)</f>
        <v>0</v>
      </c>
      <c r="K2357" s="33" t="str">
        <f>IF(AND(_xlfn.XLOOKUP(C2357,'Project Details'!$C$17:$C$66,'Project Details'!$L$17:$L$66,"",0)&gt;550, F2357="Spring-L27cm"),"",SUBSTITUTE(_xlfn.XLOOKUP(G2357,SKUs!$C$2:$C$10001,SKUs!$F$2:$F$10001,"",0), " Accessories",""))</f>
        <v/>
      </c>
      <c r="L2357" s="33">
        <f>_xlfn.XLOOKUP(C2357,'Project Details'!$C$17:$C$66,'Project Details'!$D$17:$D$66,"",0)</f>
        <v>0</v>
      </c>
      <c r="M2357" s="43"/>
    </row>
    <row r="2358" spans="1:13" ht="13.5" customHeight="1" outlineLevel="1" x14ac:dyDescent="0.25">
      <c r="A2358" s="43"/>
      <c r="B2358" s="43"/>
      <c r="C2358" s="35">
        <f t="shared" si="45"/>
        <v>47</v>
      </c>
      <c r="D2358" s="35" t="str" cm="1">
        <f t="array" ref="D2358">IFERROR(ROUNDUP(_xlfn.IFS(F2358="Aluminum Track", _xlfn.XLOOKUP(C2358, dd_accsrycalc!$A$2:$A$51, dd_accsrycalc!$B$2:$B$51, "",0), F2358="10 x 2 1/2 S (Flat)", _xlfn.XLOOKUP(C2358, dd_accsrycalc!$A$2:$A$51, dd_accsrycalc!$C$2:$C$51, "",0), F2358="Tox6", _xlfn.XLOOKUP(C2358, dd_accsrycalc!$A$2:$A$51, dd_accsrycalc!$D$2:$D$51, "",0), F2358="Cover Cap", _xlfn.XLOOKUP(C2358, dd_accsrycalc!$A$2:$A$51, dd_accsrycalc!$E$2:$E$51, "",0), F2358="Drainage Cover", _xlfn.XLOOKUP(C2358, dd_accsrycalc!$A$2:$A$51, dd_accsrycalc!$F$2:$F$51, "",0),AND( F2358="Double Adhesive Tape", I2358="Roll-up Screen"), _xlfn.XLOOKUP(C2358, calc_rusacc!$C$15:$C$65, calc_rusacc!$AD$15:$AD$65, "",0),AND( F2358="Sealant", I2358="Roll-up Screen"), _xlfn.XLOOKUP(C2358, calc_rusacc!$C$15:$C$65, calc_rusacc!$AF$15:$AF$65, "",0),  AND( F2358="Main Chain", I2358="Accordion Screen"), _xlfn.XLOOKUP(C2358, calc_rusacc!$C$15:$C$65, calc_rusacc!$BF$15:$BF$65, "",0), AND( F2358="Sealant", I2358="Accordion Screen"), _xlfn.XLOOKUP(C2358, calc_rusacc!$C$15:$C$65, calc_rusacc!$BJ$15:$BJ$65, "",0),  F2358="Sealant", _xlfn.XLOOKUP(C2358, dd_accsrycalc!$A$2:$A$51, dd_accsrycalc!$G$2:$G$51, "",0),  F2358&lt;&gt;"",L2358*_xlfn.XLOOKUP(1, (SKUs!$C$2:$C$10001=G2358)*(SKUs!$K$2:$K$10001=I2358),SKUs!$E$2:$E$10001)), 0),"")</f>
        <v/>
      </c>
      <c r="E2358" s="35" t="str">
        <f>_xlfn.XLOOKUP(F2358,dd_item!$B$2:$B$105,dd_item!$C$2:$C$105,"",0)</f>
        <v/>
      </c>
      <c r="F2358" s="35"/>
      <c r="G2358" s="35" cm="1">
        <f t="array" ref="G2358">IFERROR(_xlfn.XLOOKUP(1, (SKUs!$J$2:$J$10001=accsry_unmerged!F2358)*IF(H2358&lt;&gt;"",(SKUs!$L$2:$L$10001=accsry_unmerged!H2358),1)*(SKUs!$K$2:$K$10001=I2358),SKUs!$C$2:$C$10001),"")</f>
        <v>0</v>
      </c>
      <c r="H2358" s="36" cm="1">
        <f t="array" ref="H2358">IFERROR(_xlfn.XLOOKUP(1, (dd_accsryclr!$C$2:$C$1000=accsry_unmerged!F2358)*(dd_accsryclr!$B$2:$B$1000=accsry_unmerged!J2358),dd_accsryclr!$A$2:$A$1000),"")</f>
        <v>0</v>
      </c>
      <c r="I2358" s="35">
        <f>_xlfn.XLOOKUP(C2358,'Project Details'!$C$17:$C$66,'Project Details'!$E$17:$E$66,"",0)</f>
        <v>0</v>
      </c>
      <c r="J2358" s="35">
        <f>_xlfn.XLOOKUP(C2358,'Project Details'!$C$17:$C$66,'Project Details'!$H$17:$H$66,"",0)</f>
        <v>0</v>
      </c>
      <c r="K2358" s="36" t="str">
        <f>IF(AND(_xlfn.XLOOKUP(C2358,'Project Details'!$C$17:$C$66,'Project Details'!$L$17:$L$66,"",0)&gt;550, F2358="Spring-L27cm"),"",SUBSTITUTE(_xlfn.XLOOKUP(G2358,SKUs!$C$2:$C$10001,SKUs!$F$2:$F$10001,"",0), " Accessories",""))</f>
        <v/>
      </c>
      <c r="L2358" s="36">
        <f>_xlfn.XLOOKUP(C2358,'Project Details'!$C$17:$C$66,'Project Details'!$D$17:$D$66,"",0)</f>
        <v>0</v>
      </c>
      <c r="M2358" s="43"/>
    </row>
    <row r="2359" spans="1:13" ht="13.5" customHeight="1" outlineLevel="1" x14ac:dyDescent="0.25">
      <c r="A2359" s="43"/>
      <c r="B2359" s="43"/>
      <c r="C2359" s="16">
        <f t="shared" si="45"/>
        <v>47</v>
      </c>
      <c r="D2359" s="16" t="str" cm="1">
        <f t="array" ref="D2359">IFERROR(ROUNDUP(_xlfn.IFS(F2359="Aluminum Track", _xlfn.XLOOKUP(C2359, dd_accsrycalc!$A$2:$A$51, dd_accsrycalc!$B$2:$B$51, "",0), F2359="10 x 2 1/2 S (Flat)", _xlfn.XLOOKUP(C2359, dd_accsrycalc!$A$2:$A$51, dd_accsrycalc!$C$2:$C$51, "",0), F2359="Tox6", _xlfn.XLOOKUP(C2359, dd_accsrycalc!$A$2:$A$51, dd_accsrycalc!$D$2:$D$51, "",0), F2359="Cover Cap", _xlfn.XLOOKUP(C2359, dd_accsrycalc!$A$2:$A$51, dd_accsrycalc!$E$2:$E$51, "",0), F2359="Drainage Cover", _xlfn.XLOOKUP(C2359, dd_accsrycalc!$A$2:$A$51, dd_accsrycalc!$F$2:$F$51, "",0),AND( F2359="Double Adhesive Tape", I2359="Roll-up Screen"), _xlfn.XLOOKUP(C2359, calc_rusacc!$C$15:$C$65, calc_rusacc!$AD$15:$AD$65, "",0),AND( F2359="Sealant", I2359="Roll-up Screen"), _xlfn.XLOOKUP(C2359, calc_rusacc!$C$15:$C$65, calc_rusacc!$AF$15:$AF$65, "",0),  AND( F2359="Main Chain", I2359="Accordion Screen"), _xlfn.XLOOKUP(C2359, calc_rusacc!$C$15:$C$65, calc_rusacc!$BF$15:$BF$65, "",0), AND( F2359="Sealant", I2359="Accordion Screen"), _xlfn.XLOOKUP(C2359, calc_rusacc!$C$15:$C$65, calc_rusacc!$BJ$15:$BJ$65, "",0),  F2359="Sealant", _xlfn.XLOOKUP(C2359, dd_accsrycalc!$A$2:$A$51, dd_accsrycalc!$G$2:$G$51, "",0),  F2359&lt;&gt;"",L2359*_xlfn.XLOOKUP(1, (SKUs!$C$2:$C$10001=G2359)*(SKUs!$K$2:$K$10001=I2359),SKUs!$E$2:$E$10001)), 0),"")</f>
        <v/>
      </c>
      <c r="E2359" s="16" t="str">
        <f>_xlfn.XLOOKUP(F2359,dd_item!$B$2:$B$105,dd_item!$C$2:$C$105,"",0)</f>
        <v/>
      </c>
      <c r="F2359" s="16"/>
      <c r="G2359" s="16" cm="1">
        <f t="array" ref="G2359">IFERROR(_xlfn.XLOOKUP(1, (SKUs!$J$2:$J$10001=accsry_unmerged!F2359)*IF(H2359&lt;&gt;"",(SKUs!$L$2:$L$10001=accsry_unmerged!H2359),1)*(SKUs!$K$2:$K$10001=I2359),SKUs!$C$2:$C$10001),"")</f>
        <v>0</v>
      </c>
      <c r="H2359" s="33" cm="1">
        <f t="array" ref="H2359">IFERROR(_xlfn.XLOOKUP(1, (dd_accsryclr!$C$2:$C$1000=accsry_unmerged!F2359)*(dd_accsryclr!$B$2:$B$1000=accsry_unmerged!J2359),dd_accsryclr!$A$2:$A$1000),"")</f>
        <v>0</v>
      </c>
      <c r="I2359" s="16">
        <f>_xlfn.XLOOKUP(C2359,'Project Details'!$C$17:$C$66,'Project Details'!$E$17:$E$66,"",0)</f>
        <v>0</v>
      </c>
      <c r="J2359" s="16">
        <f>_xlfn.XLOOKUP(C2359,'Project Details'!$C$17:$C$66,'Project Details'!$H$17:$H$66,"",0)</f>
        <v>0</v>
      </c>
      <c r="K2359" s="33" t="str">
        <f>IF(AND(_xlfn.XLOOKUP(C2359,'Project Details'!$C$17:$C$66,'Project Details'!$L$17:$L$66,"",0)&gt;550, F2359="Spring-L27cm"),"",SUBSTITUTE(_xlfn.XLOOKUP(G2359,SKUs!$C$2:$C$10001,SKUs!$F$2:$F$10001,"",0), " Accessories",""))</f>
        <v/>
      </c>
      <c r="L2359" s="33">
        <f>_xlfn.XLOOKUP(C2359,'Project Details'!$C$17:$C$66,'Project Details'!$D$17:$D$66,"",0)</f>
        <v>0</v>
      </c>
      <c r="M2359" s="43"/>
    </row>
    <row r="2360" spans="1:13" ht="13.5" customHeight="1" outlineLevel="1" x14ac:dyDescent="0.25">
      <c r="A2360" s="43"/>
      <c r="B2360" s="43"/>
      <c r="C2360" s="35">
        <f t="shared" si="45"/>
        <v>47</v>
      </c>
      <c r="D2360" s="35" t="str" cm="1">
        <f t="array" ref="D2360">IFERROR(ROUNDUP(_xlfn.IFS(F2360="Aluminum Track", _xlfn.XLOOKUP(C2360, dd_accsrycalc!$A$2:$A$51, dd_accsrycalc!$B$2:$B$51, "",0), F2360="10 x 2 1/2 S (Flat)", _xlfn.XLOOKUP(C2360, dd_accsrycalc!$A$2:$A$51, dd_accsrycalc!$C$2:$C$51, "",0), F2360="Tox6", _xlfn.XLOOKUP(C2360, dd_accsrycalc!$A$2:$A$51, dd_accsrycalc!$D$2:$D$51, "",0), F2360="Cover Cap", _xlfn.XLOOKUP(C2360, dd_accsrycalc!$A$2:$A$51, dd_accsrycalc!$E$2:$E$51, "",0), F2360="Drainage Cover", _xlfn.XLOOKUP(C2360, dd_accsrycalc!$A$2:$A$51, dd_accsrycalc!$F$2:$F$51, "",0),AND( F2360="Double Adhesive Tape", I2360="Roll-up Screen"), _xlfn.XLOOKUP(C2360, calc_rusacc!$C$15:$C$65, calc_rusacc!$AD$15:$AD$65, "",0),AND( F2360="Sealant", I2360="Roll-up Screen"), _xlfn.XLOOKUP(C2360, calc_rusacc!$C$15:$C$65, calc_rusacc!$AF$15:$AF$65, "",0),  AND( F2360="Main Chain", I2360="Accordion Screen"), _xlfn.XLOOKUP(C2360, calc_rusacc!$C$15:$C$65, calc_rusacc!$BF$15:$BF$65, "",0), AND( F2360="Sealant", I2360="Accordion Screen"), _xlfn.XLOOKUP(C2360, calc_rusacc!$C$15:$C$65, calc_rusacc!$BJ$15:$BJ$65, "",0),  F2360="Sealant", _xlfn.XLOOKUP(C2360, dd_accsrycalc!$A$2:$A$51, dd_accsrycalc!$G$2:$G$51, "",0),  F2360&lt;&gt;"",L2360*_xlfn.XLOOKUP(1, (SKUs!$C$2:$C$10001=G2360)*(SKUs!$K$2:$K$10001=I2360),SKUs!$E$2:$E$10001)), 0),"")</f>
        <v/>
      </c>
      <c r="E2360" s="35" t="str">
        <f>_xlfn.XLOOKUP(F2360,dd_item!$B$2:$B$105,dd_item!$C$2:$C$105,"",0)</f>
        <v/>
      </c>
      <c r="F2360" s="35"/>
      <c r="G2360" s="35" cm="1">
        <f t="array" ref="G2360">IFERROR(_xlfn.XLOOKUP(1, (SKUs!$J$2:$J$10001=accsry_unmerged!F2360)*IF(H2360&lt;&gt;"",(SKUs!$L$2:$L$10001=accsry_unmerged!H2360),1)*(SKUs!$K$2:$K$10001=I2360),SKUs!$C$2:$C$10001),"")</f>
        <v>0</v>
      </c>
      <c r="H2360" s="36" cm="1">
        <f t="array" ref="H2360">IFERROR(_xlfn.XLOOKUP(1, (dd_accsryclr!$C$2:$C$1000=accsry_unmerged!F2360)*(dd_accsryclr!$B$2:$B$1000=accsry_unmerged!J2360),dd_accsryclr!$A$2:$A$1000),"")</f>
        <v>0</v>
      </c>
      <c r="I2360" s="35">
        <f>_xlfn.XLOOKUP(C2360,'Project Details'!$C$17:$C$66,'Project Details'!$E$17:$E$66,"",0)</f>
        <v>0</v>
      </c>
      <c r="J2360" s="35">
        <f>_xlfn.XLOOKUP(C2360,'Project Details'!$C$17:$C$66,'Project Details'!$H$17:$H$66,"",0)</f>
        <v>0</v>
      </c>
      <c r="K2360" s="36" t="str">
        <f>IF(AND(_xlfn.XLOOKUP(C2360,'Project Details'!$C$17:$C$66,'Project Details'!$L$17:$L$66,"",0)&gt;550, F2360="Spring-L27cm"),"",SUBSTITUTE(_xlfn.XLOOKUP(G2360,SKUs!$C$2:$C$10001,SKUs!$F$2:$F$10001,"",0), " Accessories",""))</f>
        <v/>
      </c>
      <c r="L2360" s="36">
        <f>_xlfn.XLOOKUP(C2360,'Project Details'!$C$17:$C$66,'Project Details'!$D$17:$D$66,"",0)</f>
        <v>0</v>
      </c>
      <c r="M2360" s="43"/>
    </row>
    <row r="2361" spans="1:13" ht="13.5" customHeight="1" outlineLevel="1" x14ac:dyDescent="0.25">
      <c r="A2361" s="43"/>
      <c r="B2361" s="43"/>
      <c r="C2361" s="16">
        <f t="shared" si="45"/>
        <v>47</v>
      </c>
      <c r="D2361" s="16" t="str" cm="1">
        <f t="array" ref="D2361">IFERROR(ROUNDUP(_xlfn.IFS(F2361="Aluminum Track", _xlfn.XLOOKUP(C2361, dd_accsrycalc!$A$2:$A$51, dd_accsrycalc!$B$2:$B$51, "",0), F2361="10 x 2 1/2 S (Flat)", _xlfn.XLOOKUP(C2361, dd_accsrycalc!$A$2:$A$51, dd_accsrycalc!$C$2:$C$51, "",0), F2361="Tox6", _xlfn.XLOOKUP(C2361, dd_accsrycalc!$A$2:$A$51, dd_accsrycalc!$D$2:$D$51, "",0), F2361="Cover Cap", _xlfn.XLOOKUP(C2361, dd_accsrycalc!$A$2:$A$51, dd_accsrycalc!$E$2:$E$51, "",0), F2361="Drainage Cover", _xlfn.XLOOKUP(C2361, dd_accsrycalc!$A$2:$A$51, dd_accsrycalc!$F$2:$F$51, "",0),AND( F2361="Double Adhesive Tape", I2361="Roll-up Screen"), _xlfn.XLOOKUP(C2361, calc_rusacc!$C$15:$C$65, calc_rusacc!$AD$15:$AD$65, "",0),AND( F2361="Sealant", I2361="Roll-up Screen"), _xlfn.XLOOKUP(C2361, calc_rusacc!$C$15:$C$65, calc_rusacc!$AF$15:$AF$65, "",0),  AND( F2361="Main Chain", I2361="Accordion Screen"), _xlfn.XLOOKUP(C2361, calc_rusacc!$C$15:$C$65, calc_rusacc!$BF$15:$BF$65, "",0), AND( F2361="Sealant", I2361="Accordion Screen"), _xlfn.XLOOKUP(C2361, calc_rusacc!$C$15:$C$65, calc_rusacc!$BJ$15:$BJ$65, "",0),  F2361="Sealant", _xlfn.XLOOKUP(C2361, dd_accsrycalc!$A$2:$A$51, dd_accsrycalc!$G$2:$G$51, "",0),  F2361&lt;&gt;"",L2361*_xlfn.XLOOKUP(1, (SKUs!$C$2:$C$10001=G2361)*(SKUs!$K$2:$K$10001=I2361),SKUs!$E$2:$E$10001)), 0),"")</f>
        <v/>
      </c>
      <c r="E2361" s="16" t="str">
        <f>_xlfn.XLOOKUP(F2361,dd_item!$B$2:$B$105,dd_item!$C$2:$C$105,"",0)</f>
        <v/>
      </c>
      <c r="F2361" s="16"/>
      <c r="G2361" s="16" cm="1">
        <f t="array" ref="G2361">IFERROR(_xlfn.XLOOKUP(1, (SKUs!$J$2:$J$10001=accsry_unmerged!F2361)*IF(H2361&lt;&gt;"",(SKUs!$L$2:$L$10001=accsry_unmerged!H2361),1)*(SKUs!$K$2:$K$10001=I2361),SKUs!$C$2:$C$10001),"")</f>
        <v>0</v>
      </c>
      <c r="H2361" s="33" cm="1">
        <f t="array" ref="H2361">IFERROR(_xlfn.XLOOKUP(1, (dd_accsryclr!$C$2:$C$1000=accsry_unmerged!F2361)*(dd_accsryclr!$B$2:$B$1000=accsry_unmerged!J2361),dd_accsryclr!$A$2:$A$1000),"")</f>
        <v>0</v>
      </c>
      <c r="I2361" s="16">
        <f>_xlfn.XLOOKUP(C2361,'Project Details'!$C$17:$C$66,'Project Details'!$E$17:$E$66,"",0)</f>
        <v>0</v>
      </c>
      <c r="J2361" s="16">
        <f>_xlfn.XLOOKUP(C2361,'Project Details'!$C$17:$C$66,'Project Details'!$H$17:$H$66,"",0)</f>
        <v>0</v>
      </c>
      <c r="K2361" s="33" t="str">
        <f>IF(AND(_xlfn.XLOOKUP(C2361,'Project Details'!$C$17:$C$66,'Project Details'!$L$17:$L$66,"",0)&gt;550, F2361="Spring-L27cm"),"",SUBSTITUTE(_xlfn.XLOOKUP(G2361,SKUs!$C$2:$C$10001,SKUs!$F$2:$F$10001,"",0), " Accessories",""))</f>
        <v/>
      </c>
      <c r="L2361" s="33">
        <f>_xlfn.XLOOKUP(C2361,'Project Details'!$C$17:$C$66,'Project Details'!$D$17:$D$66,"",0)</f>
        <v>0</v>
      </c>
      <c r="M2361" s="43"/>
    </row>
    <row r="2362" spans="1:13" ht="13.5" customHeight="1" outlineLevel="1" x14ac:dyDescent="0.25">
      <c r="A2362" s="43"/>
      <c r="B2362" s="43"/>
      <c r="C2362" s="35">
        <f t="shared" si="45"/>
        <v>47</v>
      </c>
      <c r="D2362" s="35" t="str" cm="1">
        <f t="array" ref="D2362">IFERROR(ROUNDUP(_xlfn.IFS(F2362="Aluminum Track", _xlfn.XLOOKUP(C2362, dd_accsrycalc!$A$2:$A$51, dd_accsrycalc!$B$2:$B$51, "",0), F2362="10 x 2 1/2 S (Flat)", _xlfn.XLOOKUP(C2362, dd_accsrycalc!$A$2:$A$51, dd_accsrycalc!$C$2:$C$51, "",0), F2362="Tox6", _xlfn.XLOOKUP(C2362, dd_accsrycalc!$A$2:$A$51, dd_accsrycalc!$D$2:$D$51, "",0), F2362="Cover Cap", _xlfn.XLOOKUP(C2362, dd_accsrycalc!$A$2:$A$51, dd_accsrycalc!$E$2:$E$51, "",0), F2362="Drainage Cover", _xlfn.XLOOKUP(C2362, dd_accsrycalc!$A$2:$A$51, dd_accsrycalc!$F$2:$F$51, "",0),AND( F2362="Double Adhesive Tape", I2362="Roll-up Screen"), _xlfn.XLOOKUP(C2362, calc_rusacc!$C$15:$C$65, calc_rusacc!$AD$15:$AD$65, "",0),AND( F2362="Sealant", I2362="Roll-up Screen"), _xlfn.XLOOKUP(C2362, calc_rusacc!$C$15:$C$65, calc_rusacc!$AF$15:$AF$65, "",0),  AND( F2362="Main Chain", I2362="Accordion Screen"), _xlfn.XLOOKUP(C2362, calc_rusacc!$C$15:$C$65, calc_rusacc!$BF$15:$BF$65, "",0), AND( F2362="Sealant", I2362="Accordion Screen"), _xlfn.XLOOKUP(C2362, calc_rusacc!$C$15:$C$65, calc_rusacc!$BJ$15:$BJ$65, "",0),  F2362="Sealant", _xlfn.XLOOKUP(C2362, dd_accsrycalc!$A$2:$A$51, dd_accsrycalc!$G$2:$G$51, "",0),  F2362&lt;&gt;"",L2362*_xlfn.XLOOKUP(1, (SKUs!$C$2:$C$10001=G2362)*(SKUs!$K$2:$K$10001=I2362),SKUs!$E$2:$E$10001)), 0),"")</f>
        <v/>
      </c>
      <c r="E2362" s="35" t="str">
        <f>_xlfn.XLOOKUP(F2362,dd_item!$B$2:$B$105,dd_item!$C$2:$C$105,"",0)</f>
        <v/>
      </c>
      <c r="F2362" s="35"/>
      <c r="G2362" s="35" cm="1">
        <f t="array" ref="G2362">IFERROR(_xlfn.XLOOKUP(1, (SKUs!$J$2:$J$10001=accsry_unmerged!F2362)*IF(H2362&lt;&gt;"",(SKUs!$L$2:$L$10001=accsry_unmerged!H2362),1)*(SKUs!$K$2:$K$10001=I2362),SKUs!$C$2:$C$10001),"")</f>
        <v>0</v>
      </c>
      <c r="H2362" s="36" cm="1">
        <f t="array" ref="H2362">IFERROR(_xlfn.XLOOKUP(1, (dd_accsryclr!$C$2:$C$1000=accsry_unmerged!F2362)*(dd_accsryclr!$B$2:$B$1000=accsry_unmerged!J2362),dd_accsryclr!$A$2:$A$1000),"")</f>
        <v>0</v>
      </c>
      <c r="I2362" s="35">
        <f>_xlfn.XLOOKUP(C2362,'Project Details'!$C$17:$C$66,'Project Details'!$E$17:$E$66,"",0)</f>
        <v>0</v>
      </c>
      <c r="J2362" s="35">
        <f>_xlfn.XLOOKUP(C2362,'Project Details'!$C$17:$C$66,'Project Details'!$H$17:$H$66,"",0)</f>
        <v>0</v>
      </c>
      <c r="K2362" s="36" t="str">
        <f>IF(AND(_xlfn.XLOOKUP(C2362,'Project Details'!$C$17:$C$66,'Project Details'!$L$17:$L$66,"",0)&gt;550, F2362="Spring-L27cm"),"",SUBSTITUTE(_xlfn.XLOOKUP(G2362,SKUs!$C$2:$C$10001,SKUs!$F$2:$F$10001,"",0), " Accessories",""))</f>
        <v/>
      </c>
      <c r="L2362" s="36">
        <f>_xlfn.XLOOKUP(C2362,'Project Details'!$C$17:$C$66,'Project Details'!$D$17:$D$66,"",0)</f>
        <v>0</v>
      </c>
      <c r="M2362" s="43"/>
    </row>
    <row r="2363" spans="1:13" ht="13.5" customHeight="1" outlineLevel="1" x14ac:dyDescent="0.25">
      <c r="A2363" s="43"/>
      <c r="B2363" s="43"/>
      <c r="C2363" s="16">
        <f t="shared" si="45"/>
        <v>47</v>
      </c>
      <c r="D2363" s="16" t="str" cm="1">
        <f t="array" ref="D2363">IFERROR(ROUNDUP(_xlfn.IFS(F2363="Aluminum Track", _xlfn.XLOOKUP(C2363, dd_accsrycalc!$A$2:$A$51, dd_accsrycalc!$B$2:$B$51, "",0), F2363="10 x 2 1/2 S (Flat)", _xlfn.XLOOKUP(C2363, dd_accsrycalc!$A$2:$A$51, dd_accsrycalc!$C$2:$C$51, "",0), F2363="Tox6", _xlfn.XLOOKUP(C2363, dd_accsrycalc!$A$2:$A$51, dd_accsrycalc!$D$2:$D$51, "",0), F2363="Cover Cap", _xlfn.XLOOKUP(C2363, dd_accsrycalc!$A$2:$A$51, dd_accsrycalc!$E$2:$E$51, "",0), F2363="Drainage Cover", _xlfn.XLOOKUP(C2363, dd_accsrycalc!$A$2:$A$51, dd_accsrycalc!$F$2:$F$51, "",0),AND( F2363="Double Adhesive Tape", I2363="Roll-up Screen"), _xlfn.XLOOKUP(C2363, calc_rusacc!$C$15:$C$65, calc_rusacc!$AD$15:$AD$65, "",0),AND( F2363="Sealant", I2363="Roll-up Screen"), _xlfn.XLOOKUP(C2363, calc_rusacc!$C$15:$C$65, calc_rusacc!$AF$15:$AF$65, "",0),  AND( F2363="Main Chain", I2363="Accordion Screen"), _xlfn.XLOOKUP(C2363, calc_rusacc!$C$15:$C$65, calc_rusacc!$BF$15:$BF$65, "",0), AND( F2363="Sealant", I2363="Accordion Screen"), _xlfn.XLOOKUP(C2363, calc_rusacc!$C$15:$C$65, calc_rusacc!$BJ$15:$BJ$65, "",0),  F2363="Sealant", _xlfn.XLOOKUP(C2363, dd_accsrycalc!$A$2:$A$51, dd_accsrycalc!$G$2:$G$51, "",0),  F2363&lt;&gt;"",L2363*_xlfn.XLOOKUP(1, (SKUs!$C$2:$C$10001=G2363)*(SKUs!$K$2:$K$10001=I2363),SKUs!$E$2:$E$10001)), 0),"")</f>
        <v/>
      </c>
      <c r="E2363" s="16" t="str">
        <f>_xlfn.XLOOKUP(F2363,dd_item!$B$2:$B$105,dd_item!$C$2:$C$105,"",0)</f>
        <v/>
      </c>
      <c r="F2363" s="16"/>
      <c r="G2363" s="16" cm="1">
        <f t="array" ref="G2363">IFERROR(_xlfn.XLOOKUP(1, (SKUs!$J$2:$J$10001=accsry_unmerged!F2363)*IF(H2363&lt;&gt;"",(SKUs!$L$2:$L$10001=accsry_unmerged!H2363),1)*(SKUs!$K$2:$K$10001=I2363),SKUs!$C$2:$C$10001),"")</f>
        <v>0</v>
      </c>
      <c r="H2363" s="33" cm="1">
        <f t="array" ref="H2363">IFERROR(_xlfn.XLOOKUP(1, (dd_accsryclr!$C$2:$C$1000=accsry_unmerged!F2363)*(dd_accsryclr!$B$2:$B$1000=accsry_unmerged!J2363),dd_accsryclr!$A$2:$A$1000),"")</f>
        <v>0</v>
      </c>
      <c r="I2363" s="16">
        <f>_xlfn.XLOOKUP(C2363,'Project Details'!$C$17:$C$66,'Project Details'!$E$17:$E$66,"",0)</f>
        <v>0</v>
      </c>
      <c r="J2363" s="16">
        <f>_xlfn.XLOOKUP(C2363,'Project Details'!$C$17:$C$66,'Project Details'!$H$17:$H$66,"",0)</f>
        <v>0</v>
      </c>
      <c r="K2363" s="33" t="str">
        <f>IF(AND(_xlfn.XLOOKUP(C2363,'Project Details'!$C$17:$C$66,'Project Details'!$L$17:$L$66,"",0)&gt;550, F2363="Spring-L27cm"),"",SUBSTITUTE(_xlfn.XLOOKUP(G2363,SKUs!$C$2:$C$10001,SKUs!$F$2:$F$10001,"",0), " Accessories",""))</f>
        <v/>
      </c>
      <c r="L2363" s="33">
        <f>_xlfn.XLOOKUP(C2363,'Project Details'!$C$17:$C$66,'Project Details'!$D$17:$D$66,"",0)</f>
        <v>0</v>
      </c>
      <c r="M2363" s="43"/>
    </row>
    <row r="2364" spans="1:13" x14ac:dyDescent="0.25">
      <c r="A2364" s="43"/>
      <c r="B2364" s="43"/>
      <c r="C2364" s="43"/>
      <c r="D2364" s="43"/>
      <c r="E2364" s="43"/>
      <c r="F2364" s="43"/>
      <c r="G2364" s="43"/>
      <c r="H2364" s="43"/>
      <c r="I2364" s="43"/>
      <c r="J2364" s="43"/>
      <c r="K2364" s="43"/>
      <c r="L2364" s="43"/>
      <c r="M2364" s="43"/>
    </row>
    <row r="2365" spans="1:13" x14ac:dyDescent="0.25">
      <c r="A2365" s="43"/>
      <c r="B2365" s="43"/>
      <c r="C2365" s="16">
        <f>C2363+1</f>
        <v>48</v>
      </c>
      <c r="D2365" s="48" cm="1">
        <f t="array" ref="D2365">IFERROR(ROUNDUP(_xlfn.IFS(F2365="Aluminum Track", _xlfn.XLOOKUP(C2365, dd_accsrycalc!$A$2:$A$51, dd_accsrycalc!$B$2:$B$51, "",0), F2365="10 x 2 1/2 S (Flat)", _xlfn.XLOOKUP(C2365, dd_accsrycalc!$A$2:$A$51, dd_accsrycalc!$C$2:$C$51, "",0), F2365="Tox6", _xlfn.XLOOKUP(C2365, dd_accsrycalc!$A$2:$A$51, dd_accsrycalc!$D$2:$D$51, "",0), F2365="Cover Cap", _xlfn.XLOOKUP(C2365, dd_accsrycalc!$A$2:$A$51, dd_accsrycalc!$E$2:$E$51, "",0), F2365="Drainage Cover", _xlfn.XLOOKUP(C2365, dd_accsrycalc!$A$2:$A$51, dd_accsrycalc!$F$2:$F$51, "",0),AND( F2365="Double Adhesive Tape", I2365="Roll-up Screen"), _xlfn.XLOOKUP(C2365, calc_rusacc!$C$15:$C$65, calc_rusacc!$AD$15:$AD$65, "",0),AND( F2365="Sealant", I2365="Roll-up Screen"), _xlfn.XLOOKUP(C2365, calc_rusacc!$C$15:$C$65, calc_rusacc!$AF$15:$AF$65, "",0),  AND( F2365="Main Chain", I2365="Accordion Screen"), _xlfn.XLOOKUP(C2365, calc_rusacc!$C$15:$C$65, calc_rusacc!$BF$15:$BF$65, "",0), AND( F2365="Sealant", I2365="Accordion Screen"), _xlfn.XLOOKUP(C2365, calc_rusacc!$C$15:$C$65, calc_rusacc!$BJ$15:$BJ$65, "",0),  F2365="Sealant", _xlfn.XLOOKUP(C2365, dd_accsrycalc!$A$2:$A$51, dd_accsrycalc!$G$2:$G$51, "",0),  F2365&lt;&gt;"",L2365*_xlfn.XLOOKUP(1, (SKUs!$C$2:$C$10001=G2365)*(SKUs!$K$2:$K$10001=I2365),SKUs!$E$2:$E$10001)), 0),"")</f>
        <v>0</v>
      </c>
      <c r="E2365" s="48" t="str">
        <f>_xlfn.XLOOKUP(F2365,dd_item!$B$2:$B$105,dd_item!$C$2:$C$105,"",0)</f>
        <v/>
      </c>
      <c r="F2365" s="48" cm="1">
        <f t="array" ref="F2365">IFERROR(_xlfn.UNIQUE(_xlfn._xlws.FILTER(SKUs!$J$2:$J$10001, (SKUs!$F$2:$F$10001&lt;&gt;"Cutting List") * (SKUs!$A$2:$A$10001=_xlfn.XLOOKUP(_xlfn.XLOOKUP(C2365,'Project Details'!$C$17:$C$66,'Project Details'!$E$17:$E$66,"",0), dd_design_raw!$A$2:$A$101,dd_design_raw!$C$2:$C$101,"",0)))), "")</f>
        <v>0</v>
      </c>
      <c r="G2365" s="16" cm="1">
        <f t="array" ref="G2365">IFERROR(_xlfn.XLOOKUP(1, (SKUs!$J$2:$J$10001=accsry_unmerged!F2365)*IF(H2365&lt;&gt;"",(SKUs!$L$2:$L$10001=accsry_unmerged!H2365),1)*(SKUs!$K$2:$K$10001=I2365),SKUs!$C$2:$C$10001),"")</f>
        <v>0</v>
      </c>
      <c r="H2365" s="16" cm="1">
        <f t="array" ref="H2365">IFERROR(_xlfn.XLOOKUP(1, (dd_accsryclr!$C$2:$C$1000=accsry_unmerged!F2365)*(dd_accsryclr!$B$2:$B$1000=accsry_unmerged!J2365),dd_accsryclr!$A$2:$A$1000),"")</f>
        <v>0</v>
      </c>
      <c r="I2365" s="16">
        <f>_xlfn.XLOOKUP(C2365,'Project Details'!$C$17:$C$66,'Project Details'!$E$17:$E$66,"",0)</f>
        <v>0</v>
      </c>
      <c r="J2365" s="16">
        <f>_xlfn.XLOOKUP(C2365,'Project Details'!$C$17:$C$66,'Project Details'!$H$17:$H$66,"",0)</f>
        <v>0</v>
      </c>
      <c r="K2365" s="16" t="str">
        <f>IF(AND(_xlfn.XLOOKUP(C2365,'Project Details'!$C$17:$C$66,'Project Details'!$L$17:$L$66,"",0)&gt;550, F2365="Spring-L27cm"),"",SUBSTITUTE(_xlfn.XLOOKUP(G2365,SKUs!$C$2:$C$10001,SKUs!$F$2:$F$10001,"",0), " Accessories",""))</f>
        <v/>
      </c>
      <c r="L2365" s="16">
        <f>_xlfn.XLOOKUP(C2365,'Project Details'!$C$17:$C$66,'Project Details'!$D$17:$D$66,"",0)</f>
        <v>0</v>
      </c>
      <c r="M2365" s="43"/>
    </row>
    <row r="2366" spans="1:13" x14ac:dyDescent="0.25">
      <c r="A2366" s="43"/>
      <c r="B2366" s="43"/>
      <c r="C2366" s="35">
        <f>C2365</f>
        <v>48</v>
      </c>
      <c r="D2366" s="35" t="str" cm="1">
        <f t="array" ref="D2366">IFERROR(ROUNDUP(_xlfn.IFS(F2366="Aluminum Track", _xlfn.XLOOKUP(C2366, dd_accsrycalc!$A$2:$A$51, dd_accsrycalc!$B$2:$B$51, "",0), F2366="10 x 2 1/2 S (Flat)", _xlfn.XLOOKUP(C2366, dd_accsrycalc!$A$2:$A$51, dd_accsrycalc!$C$2:$C$51, "",0), F2366="Tox6", _xlfn.XLOOKUP(C2366, dd_accsrycalc!$A$2:$A$51, dd_accsrycalc!$D$2:$D$51, "",0), F2366="Cover Cap", _xlfn.XLOOKUP(C2366, dd_accsrycalc!$A$2:$A$51, dd_accsrycalc!$E$2:$E$51, "",0), F2366="Drainage Cover", _xlfn.XLOOKUP(C2366, dd_accsrycalc!$A$2:$A$51, dd_accsrycalc!$F$2:$F$51, "",0),AND( F2366="Double Adhesive Tape", I2366="Roll-up Screen"), _xlfn.XLOOKUP(C2366, calc_rusacc!$C$15:$C$65, calc_rusacc!$AD$15:$AD$65, "",0),AND( F2366="Sealant", I2366="Roll-up Screen"), _xlfn.XLOOKUP(C2366, calc_rusacc!$C$15:$C$65, calc_rusacc!$AF$15:$AF$65, "",0),  AND( F2366="Main Chain", I2366="Accordion Screen"), _xlfn.XLOOKUP(C2366, calc_rusacc!$C$15:$C$65, calc_rusacc!$BF$15:$BF$65, "",0), AND( F2366="Sealant", I2366="Accordion Screen"), _xlfn.XLOOKUP(C2366, calc_rusacc!$C$15:$C$65, calc_rusacc!$BJ$15:$BJ$65, "",0),  F2366="Sealant", _xlfn.XLOOKUP(C2366, dd_accsrycalc!$A$2:$A$51, dd_accsrycalc!$G$2:$G$51, "",0),  F2366&lt;&gt;"",L2366*_xlfn.XLOOKUP(1, (SKUs!$C$2:$C$10001=G2366)*(SKUs!$K$2:$K$10001=I2366),SKUs!$E$2:$E$10001)), 0),"")</f>
        <v/>
      </c>
      <c r="E2366" s="35" t="str">
        <f>_xlfn.XLOOKUP(F2366,dd_item!$B$2:$B$105,dd_item!$C$2:$C$105,"",0)</f>
        <v/>
      </c>
      <c r="F2366" s="35"/>
      <c r="G2366" s="35" cm="1">
        <f t="array" ref="G2366">IFERROR(_xlfn.XLOOKUP(1, (SKUs!$J$2:$J$10001=accsry_unmerged!F2366)*IF(H2366&lt;&gt;"",(SKUs!$L$2:$L$10001=accsry_unmerged!H2366),1)*(SKUs!$K$2:$K$10001=I2366),SKUs!$C$2:$C$10001),"")</f>
        <v>0</v>
      </c>
      <c r="H2366" s="36" cm="1">
        <f t="array" ref="H2366">IFERROR(_xlfn.XLOOKUP(1, (dd_accsryclr!$C$2:$C$1000=accsry_unmerged!F2366)*(dd_accsryclr!$B$2:$B$1000=accsry_unmerged!J2366),dd_accsryclr!$A$2:$A$1000),"")</f>
        <v>0</v>
      </c>
      <c r="I2366" s="35">
        <f>_xlfn.XLOOKUP(C2366,'Project Details'!$C$17:$C$66,'Project Details'!$E$17:$E$66,"",0)</f>
        <v>0</v>
      </c>
      <c r="J2366" s="35">
        <f>_xlfn.XLOOKUP(C2366,'Project Details'!$C$17:$C$66,'Project Details'!$H$17:$H$66,"",0)</f>
        <v>0</v>
      </c>
      <c r="K2366" s="36" t="str">
        <f>IF(AND(_xlfn.XLOOKUP(C2366,'Project Details'!$C$17:$C$66,'Project Details'!$L$17:$L$66,"",0)&gt;550, F2366="Spring-L27cm"),"",SUBSTITUTE(_xlfn.XLOOKUP(G2366,SKUs!$C$2:$C$10001,SKUs!$F$2:$F$10001,"",0), " Accessories",""))</f>
        <v/>
      </c>
      <c r="L2366" s="36">
        <f>_xlfn.XLOOKUP(C2366,'Project Details'!$C$17:$C$66,'Project Details'!$D$17:$D$66,"",0)</f>
        <v>0</v>
      </c>
      <c r="M2366" s="43"/>
    </row>
    <row r="2367" spans="1:13" x14ac:dyDescent="0.25">
      <c r="A2367" s="43"/>
      <c r="B2367" s="43"/>
      <c r="C2367" s="16">
        <f t="shared" ref="C2367:C2413" si="46">C2366</f>
        <v>48</v>
      </c>
      <c r="D2367" s="16" t="str" cm="1">
        <f t="array" ref="D2367">IFERROR(ROUNDUP(_xlfn.IFS(F2367="Aluminum Track", _xlfn.XLOOKUP(C2367, dd_accsrycalc!$A$2:$A$51, dd_accsrycalc!$B$2:$B$51, "",0), F2367="10 x 2 1/2 S (Flat)", _xlfn.XLOOKUP(C2367, dd_accsrycalc!$A$2:$A$51, dd_accsrycalc!$C$2:$C$51, "",0), F2367="Tox6", _xlfn.XLOOKUP(C2367, dd_accsrycalc!$A$2:$A$51, dd_accsrycalc!$D$2:$D$51, "",0), F2367="Cover Cap", _xlfn.XLOOKUP(C2367, dd_accsrycalc!$A$2:$A$51, dd_accsrycalc!$E$2:$E$51, "",0), F2367="Drainage Cover", _xlfn.XLOOKUP(C2367, dd_accsrycalc!$A$2:$A$51, dd_accsrycalc!$F$2:$F$51, "",0),AND( F2367="Double Adhesive Tape", I2367="Roll-up Screen"), _xlfn.XLOOKUP(C2367, calc_rusacc!$C$15:$C$65, calc_rusacc!$AD$15:$AD$65, "",0),AND( F2367="Sealant", I2367="Roll-up Screen"), _xlfn.XLOOKUP(C2367, calc_rusacc!$C$15:$C$65, calc_rusacc!$AF$15:$AF$65, "",0),  AND( F2367="Main Chain", I2367="Accordion Screen"), _xlfn.XLOOKUP(C2367, calc_rusacc!$C$15:$C$65, calc_rusacc!$BF$15:$BF$65, "",0), AND( F2367="Sealant", I2367="Accordion Screen"), _xlfn.XLOOKUP(C2367, calc_rusacc!$C$15:$C$65, calc_rusacc!$BJ$15:$BJ$65, "",0),  F2367="Sealant", _xlfn.XLOOKUP(C2367, dd_accsrycalc!$A$2:$A$51, dd_accsrycalc!$G$2:$G$51, "",0),  F2367&lt;&gt;"",L2367*_xlfn.XLOOKUP(1, (SKUs!$C$2:$C$10001=G2367)*(SKUs!$K$2:$K$10001=I2367),SKUs!$E$2:$E$10001)), 0),"")</f>
        <v/>
      </c>
      <c r="E2367" s="16" t="str">
        <f>_xlfn.XLOOKUP(F2367,dd_item!$B$2:$B$105,dd_item!$C$2:$C$105,"",0)</f>
        <v/>
      </c>
      <c r="F2367" s="16"/>
      <c r="G2367" s="16" cm="1">
        <f t="array" ref="G2367">IFERROR(_xlfn.XLOOKUP(1, (SKUs!$J$2:$J$10001=accsry_unmerged!F2367)*IF(H2367&lt;&gt;"",(SKUs!$L$2:$L$10001=accsry_unmerged!H2367),1)*(SKUs!$K$2:$K$10001=I2367),SKUs!$C$2:$C$10001),"")</f>
        <v>0</v>
      </c>
      <c r="H2367" s="33" cm="1">
        <f t="array" ref="H2367">IFERROR(_xlfn.XLOOKUP(1, (dd_accsryclr!$C$2:$C$1000=accsry_unmerged!F2367)*(dd_accsryclr!$B$2:$B$1000=accsry_unmerged!J2367),dd_accsryclr!$A$2:$A$1000),"")</f>
        <v>0</v>
      </c>
      <c r="I2367" s="16">
        <f>_xlfn.XLOOKUP(C2367,'Project Details'!$C$17:$C$66,'Project Details'!$E$17:$E$66,"",0)</f>
        <v>0</v>
      </c>
      <c r="J2367" s="16">
        <f>_xlfn.XLOOKUP(C2367,'Project Details'!$C$17:$C$66,'Project Details'!$H$17:$H$66,"",0)</f>
        <v>0</v>
      </c>
      <c r="K2367" s="33" t="str">
        <f>IF(AND(_xlfn.XLOOKUP(C2367,'Project Details'!$C$17:$C$66,'Project Details'!$L$17:$L$66,"",0)&gt;550, F2367="Spring-L27cm"),"",SUBSTITUTE(_xlfn.XLOOKUP(G2367,SKUs!$C$2:$C$10001,SKUs!$F$2:$F$10001,"",0), " Accessories",""))</f>
        <v/>
      </c>
      <c r="L2367" s="33">
        <f>_xlfn.XLOOKUP(C2367,'Project Details'!$C$17:$C$66,'Project Details'!$D$17:$D$66,"",0)</f>
        <v>0</v>
      </c>
      <c r="M2367" s="43"/>
    </row>
    <row r="2368" spans="1:13" x14ac:dyDescent="0.25">
      <c r="A2368" s="43"/>
      <c r="B2368" s="43"/>
      <c r="C2368" s="35">
        <f t="shared" si="46"/>
        <v>48</v>
      </c>
      <c r="D2368" s="35" t="str" cm="1">
        <f t="array" ref="D2368">IFERROR(ROUNDUP(_xlfn.IFS(F2368="Aluminum Track", _xlfn.XLOOKUP(C2368, dd_accsrycalc!$A$2:$A$51, dd_accsrycalc!$B$2:$B$51, "",0), F2368="10 x 2 1/2 S (Flat)", _xlfn.XLOOKUP(C2368, dd_accsrycalc!$A$2:$A$51, dd_accsrycalc!$C$2:$C$51, "",0), F2368="Tox6", _xlfn.XLOOKUP(C2368, dd_accsrycalc!$A$2:$A$51, dd_accsrycalc!$D$2:$D$51, "",0), F2368="Cover Cap", _xlfn.XLOOKUP(C2368, dd_accsrycalc!$A$2:$A$51, dd_accsrycalc!$E$2:$E$51, "",0), F2368="Drainage Cover", _xlfn.XLOOKUP(C2368, dd_accsrycalc!$A$2:$A$51, dd_accsrycalc!$F$2:$F$51, "",0),AND( F2368="Double Adhesive Tape", I2368="Roll-up Screen"), _xlfn.XLOOKUP(C2368, calc_rusacc!$C$15:$C$65, calc_rusacc!$AD$15:$AD$65, "",0),AND( F2368="Sealant", I2368="Roll-up Screen"), _xlfn.XLOOKUP(C2368, calc_rusacc!$C$15:$C$65, calc_rusacc!$AF$15:$AF$65, "",0),  AND( F2368="Main Chain", I2368="Accordion Screen"), _xlfn.XLOOKUP(C2368, calc_rusacc!$C$15:$C$65, calc_rusacc!$BF$15:$BF$65, "",0), AND( F2368="Sealant", I2368="Accordion Screen"), _xlfn.XLOOKUP(C2368, calc_rusacc!$C$15:$C$65, calc_rusacc!$BJ$15:$BJ$65, "",0),  F2368="Sealant", _xlfn.XLOOKUP(C2368, dd_accsrycalc!$A$2:$A$51, dd_accsrycalc!$G$2:$G$51, "",0),  F2368&lt;&gt;"",L2368*_xlfn.XLOOKUP(1, (SKUs!$C$2:$C$10001=G2368)*(SKUs!$K$2:$K$10001=I2368),SKUs!$E$2:$E$10001)), 0),"")</f>
        <v/>
      </c>
      <c r="E2368" s="35" t="str">
        <f>_xlfn.XLOOKUP(F2368,dd_item!$B$2:$B$105,dd_item!$C$2:$C$105,"",0)</f>
        <v/>
      </c>
      <c r="F2368" s="35"/>
      <c r="G2368" s="35" cm="1">
        <f t="array" ref="G2368">IFERROR(_xlfn.XLOOKUP(1, (SKUs!$J$2:$J$10001=accsry_unmerged!F2368)*IF(H2368&lt;&gt;"",(SKUs!$L$2:$L$10001=accsry_unmerged!H2368),1)*(SKUs!$K$2:$K$10001=I2368),SKUs!$C$2:$C$10001),"")</f>
        <v>0</v>
      </c>
      <c r="H2368" s="36" cm="1">
        <f t="array" ref="H2368">IFERROR(_xlfn.XLOOKUP(1, (dd_accsryclr!$C$2:$C$1000=accsry_unmerged!F2368)*(dd_accsryclr!$B$2:$B$1000=accsry_unmerged!J2368),dd_accsryclr!$A$2:$A$1000),"")</f>
        <v>0</v>
      </c>
      <c r="I2368" s="35">
        <f>_xlfn.XLOOKUP(C2368,'Project Details'!$C$17:$C$66,'Project Details'!$E$17:$E$66,"",0)</f>
        <v>0</v>
      </c>
      <c r="J2368" s="35">
        <f>_xlfn.XLOOKUP(C2368,'Project Details'!$C$17:$C$66,'Project Details'!$H$17:$H$66,"",0)</f>
        <v>0</v>
      </c>
      <c r="K2368" s="36" t="str">
        <f>IF(AND(_xlfn.XLOOKUP(C2368,'Project Details'!$C$17:$C$66,'Project Details'!$L$17:$L$66,"",0)&gt;550, F2368="Spring-L27cm"),"",SUBSTITUTE(_xlfn.XLOOKUP(G2368,SKUs!$C$2:$C$10001,SKUs!$F$2:$F$10001,"",0), " Accessories",""))</f>
        <v/>
      </c>
      <c r="L2368" s="36">
        <f>_xlfn.XLOOKUP(C2368,'Project Details'!$C$17:$C$66,'Project Details'!$D$17:$D$66,"",0)</f>
        <v>0</v>
      </c>
      <c r="M2368" s="43"/>
    </row>
    <row r="2369" spans="1:13" x14ac:dyDescent="0.25">
      <c r="A2369" s="43"/>
      <c r="B2369" s="43"/>
      <c r="C2369" s="16">
        <f t="shared" si="46"/>
        <v>48</v>
      </c>
      <c r="D2369" s="16" t="str" cm="1">
        <f t="array" ref="D2369">IFERROR(ROUNDUP(_xlfn.IFS(F2369="Aluminum Track", _xlfn.XLOOKUP(C2369, dd_accsrycalc!$A$2:$A$51, dd_accsrycalc!$B$2:$B$51, "",0), F2369="10 x 2 1/2 S (Flat)", _xlfn.XLOOKUP(C2369, dd_accsrycalc!$A$2:$A$51, dd_accsrycalc!$C$2:$C$51, "",0), F2369="Tox6", _xlfn.XLOOKUP(C2369, dd_accsrycalc!$A$2:$A$51, dd_accsrycalc!$D$2:$D$51, "",0), F2369="Cover Cap", _xlfn.XLOOKUP(C2369, dd_accsrycalc!$A$2:$A$51, dd_accsrycalc!$E$2:$E$51, "",0), F2369="Drainage Cover", _xlfn.XLOOKUP(C2369, dd_accsrycalc!$A$2:$A$51, dd_accsrycalc!$F$2:$F$51, "",0),AND( F2369="Double Adhesive Tape", I2369="Roll-up Screen"), _xlfn.XLOOKUP(C2369, calc_rusacc!$C$15:$C$65, calc_rusacc!$AD$15:$AD$65, "",0),AND( F2369="Sealant", I2369="Roll-up Screen"), _xlfn.XLOOKUP(C2369, calc_rusacc!$C$15:$C$65, calc_rusacc!$AF$15:$AF$65, "",0),  AND( F2369="Main Chain", I2369="Accordion Screen"), _xlfn.XLOOKUP(C2369, calc_rusacc!$C$15:$C$65, calc_rusacc!$BF$15:$BF$65, "",0), AND( F2369="Sealant", I2369="Accordion Screen"), _xlfn.XLOOKUP(C2369, calc_rusacc!$C$15:$C$65, calc_rusacc!$BJ$15:$BJ$65, "",0),  F2369="Sealant", _xlfn.XLOOKUP(C2369, dd_accsrycalc!$A$2:$A$51, dd_accsrycalc!$G$2:$G$51, "",0),  F2369&lt;&gt;"",L2369*_xlfn.XLOOKUP(1, (SKUs!$C$2:$C$10001=G2369)*(SKUs!$K$2:$K$10001=I2369),SKUs!$E$2:$E$10001)), 0),"")</f>
        <v/>
      </c>
      <c r="E2369" s="16" t="str">
        <f>_xlfn.XLOOKUP(F2369,dd_item!$B$2:$B$105,dd_item!$C$2:$C$105,"",0)</f>
        <v/>
      </c>
      <c r="F2369" s="16"/>
      <c r="G2369" s="16" cm="1">
        <f t="array" ref="G2369">IFERROR(_xlfn.XLOOKUP(1, (SKUs!$J$2:$J$10001=accsry_unmerged!F2369)*IF(H2369&lt;&gt;"",(SKUs!$L$2:$L$10001=accsry_unmerged!H2369),1)*(SKUs!$K$2:$K$10001=I2369),SKUs!$C$2:$C$10001),"")</f>
        <v>0</v>
      </c>
      <c r="H2369" s="33" cm="1">
        <f t="array" ref="H2369">IFERROR(_xlfn.XLOOKUP(1, (dd_accsryclr!$C$2:$C$1000=accsry_unmerged!F2369)*(dd_accsryclr!$B$2:$B$1000=accsry_unmerged!J2369),dd_accsryclr!$A$2:$A$1000),"")</f>
        <v>0</v>
      </c>
      <c r="I2369" s="16">
        <f>_xlfn.XLOOKUP(C2369,'Project Details'!$C$17:$C$66,'Project Details'!$E$17:$E$66,"",0)</f>
        <v>0</v>
      </c>
      <c r="J2369" s="16">
        <f>_xlfn.XLOOKUP(C2369,'Project Details'!$C$17:$C$66,'Project Details'!$H$17:$H$66,"",0)</f>
        <v>0</v>
      </c>
      <c r="K2369" s="33" t="str">
        <f>IF(AND(_xlfn.XLOOKUP(C2369,'Project Details'!$C$17:$C$66,'Project Details'!$L$17:$L$66,"",0)&gt;550, F2369="Spring-L27cm"),"",SUBSTITUTE(_xlfn.XLOOKUP(G2369,SKUs!$C$2:$C$10001,SKUs!$F$2:$F$10001,"",0), " Accessories",""))</f>
        <v/>
      </c>
      <c r="L2369" s="33">
        <f>_xlfn.XLOOKUP(C2369,'Project Details'!$C$17:$C$66,'Project Details'!$D$17:$D$66,"",0)</f>
        <v>0</v>
      </c>
      <c r="M2369" s="43"/>
    </row>
    <row r="2370" spans="1:13" x14ac:dyDescent="0.25">
      <c r="A2370" s="43"/>
      <c r="B2370" s="43"/>
      <c r="C2370" s="35">
        <f t="shared" si="46"/>
        <v>48</v>
      </c>
      <c r="D2370" s="35" t="str" cm="1">
        <f t="array" ref="D2370">IFERROR(ROUNDUP(_xlfn.IFS(F2370="Aluminum Track", _xlfn.XLOOKUP(C2370, dd_accsrycalc!$A$2:$A$51, dd_accsrycalc!$B$2:$B$51, "",0), F2370="10 x 2 1/2 S (Flat)", _xlfn.XLOOKUP(C2370, dd_accsrycalc!$A$2:$A$51, dd_accsrycalc!$C$2:$C$51, "",0), F2370="Tox6", _xlfn.XLOOKUP(C2370, dd_accsrycalc!$A$2:$A$51, dd_accsrycalc!$D$2:$D$51, "",0), F2370="Cover Cap", _xlfn.XLOOKUP(C2370, dd_accsrycalc!$A$2:$A$51, dd_accsrycalc!$E$2:$E$51, "",0), F2370="Drainage Cover", _xlfn.XLOOKUP(C2370, dd_accsrycalc!$A$2:$A$51, dd_accsrycalc!$F$2:$F$51, "",0),AND( F2370="Double Adhesive Tape", I2370="Roll-up Screen"), _xlfn.XLOOKUP(C2370, calc_rusacc!$C$15:$C$65, calc_rusacc!$AD$15:$AD$65, "",0),AND( F2370="Sealant", I2370="Roll-up Screen"), _xlfn.XLOOKUP(C2370, calc_rusacc!$C$15:$C$65, calc_rusacc!$AF$15:$AF$65, "",0),  AND( F2370="Main Chain", I2370="Accordion Screen"), _xlfn.XLOOKUP(C2370, calc_rusacc!$C$15:$C$65, calc_rusacc!$BF$15:$BF$65, "",0), AND( F2370="Sealant", I2370="Accordion Screen"), _xlfn.XLOOKUP(C2370, calc_rusacc!$C$15:$C$65, calc_rusacc!$BJ$15:$BJ$65, "",0),  F2370="Sealant", _xlfn.XLOOKUP(C2370, dd_accsrycalc!$A$2:$A$51, dd_accsrycalc!$G$2:$G$51, "",0),  F2370&lt;&gt;"",L2370*_xlfn.XLOOKUP(1, (SKUs!$C$2:$C$10001=G2370)*(SKUs!$K$2:$K$10001=I2370),SKUs!$E$2:$E$10001)), 0),"")</f>
        <v/>
      </c>
      <c r="E2370" s="35" t="str">
        <f>_xlfn.XLOOKUP(F2370,dd_item!$B$2:$B$105,dd_item!$C$2:$C$105,"",0)</f>
        <v/>
      </c>
      <c r="F2370" s="35"/>
      <c r="G2370" s="35" cm="1">
        <f t="array" ref="G2370">IFERROR(_xlfn.XLOOKUP(1, (SKUs!$J$2:$J$10001=accsry_unmerged!F2370)*IF(H2370&lt;&gt;"",(SKUs!$L$2:$L$10001=accsry_unmerged!H2370),1)*(SKUs!$K$2:$K$10001=I2370),SKUs!$C$2:$C$10001),"")</f>
        <v>0</v>
      </c>
      <c r="H2370" s="36" cm="1">
        <f t="array" ref="H2370">IFERROR(_xlfn.XLOOKUP(1, (dd_accsryclr!$C$2:$C$1000=accsry_unmerged!F2370)*(dd_accsryclr!$B$2:$B$1000=accsry_unmerged!J2370),dd_accsryclr!$A$2:$A$1000),"")</f>
        <v>0</v>
      </c>
      <c r="I2370" s="35">
        <f>_xlfn.XLOOKUP(C2370,'Project Details'!$C$17:$C$66,'Project Details'!$E$17:$E$66,"",0)</f>
        <v>0</v>
      </c>
      <c r="J2370" s="35">
        <f>_xlfn.XLOOKUP(C2370,'Project Details'!$C$17:$C$66,'Project Details'!$H$17:$H$66,"",0)</f>
        <v>0</v>
      </c>
      <c r="K2370" s="36" t="str">
        <f>IF(AND(_xlfn.XLOOKUP(C2370,'Project Details'!$C$17:$C$66,'Project Details'!$L$17:$L$66,"",0)&gt;550, F2370="Spring-L27cm"),"",SUBSTITUTE(_xlfn.XLOOKUP(G2370,SKUs!$C$2:$C$10001,SKUs!$F$2:$F$10001,"",0), " Accessories",""))</f>
        <v/>
      </c>
      <c r="L2370" s="36">
        <f>_xlfn.XLOOKUP(C2370,'Project Details'!$C$17:$C$66,'Project Details'!$D$17:$D$66,"",0)</f>
        <v>0</v>
      </c>
      <c r="M2370" s="43"/>
    </row>
    <row r="2371" spans="1:13" x14ac:dyDescent="0.25">
      <c r="A2371" s="43"/>
      <c r="B2371" s="43"/>
      <c r="C2371" s="16">
        <f t="shared" si="46"/>
        <v>48</v>
      </c>
      <c r="D2371" s="16" t="str" cm="1">
        <f t="array" ref="D2371">IFERROR(ROUNDUP(_xlfn.IFS(F2371="Aluminum Track", _xlfn.XLOOKUP(C2371, dd_accsrycalc!$A$2:$A$51, dd_accsrycalc!$B$2:$B$51, "",0), F2371="10 x 2 1/2 S (Flat)", _xlfn.XLOOKUP(C2371, dd_accsrycalc!$A$2:$A$51, dd_accsrycalc!$C$2:$C$51, "",0), F2371="Tox6", _xlfn.XLOOKUP(C2371, dd_accsrycalc!$A$2:$A$51, dd_accsrycalc!$D$2:$D$51, "",0), F2371="Cover Cap", _xlfn.XLOOKUP(C2371, dd_accsrycalc!$A$2:$A$51, dd_accsrycalc!$E$2:$E$51, "",0), F2371="Drainage Cover", _xlfn.XLOOKUP(C2371, dd_accsrycalc!$A$2:$A$51, dd_accsrycalc!$F$2:$F$51, "",0),AND( F2371="Double Adhesive Tape", I2371="Roll-up Screen"), _xlfn.XLOOKUP(C2371, calc_rusacc!$C$15:$C$65, calc_rusacc!$AD$15:$AD$65, "",0),AND( F2371="Sealant", I2371="Roll-up Screen"), _xlfn.XLOOKUP(C2371, calc_rusacc!$C$15:$C$65, calc_rusacc!$AF$15:$AF$65, "",0),  AND( F2371="Main Chain", I2371="Accordion Screen"), _xlfn.XLOOKUP(C2371, calc_rusacc!$C$15:$C$65, calc_rusacc!$BF$15:$BF$65, "",0), AND( F2371="Sealant", I2371="Accordion Screen"), _xlfn.XLOOKUP(C2371, calc_rusacc!$C$15:$C$65, calc_rusacc!$BJ$15:$BJ$65, "",0),  F2371="Sealant", _xlfn.XLOOKUP(C2371, dd_accsrycalc!$A$2:$A$51, dd_accsrycalc!$G$2:$G$51, "",0),  F2371&lt;&gt;"",L2371*_xlfn.XLOOKUP(1, (SKUs!$C$2:$C$10001=G2371)*(SKUs!$K$2:$K$10001=I2371),SKUs!$E$2:$E$10001)), 0),"")</f>
        <v/>
      </c>
      <c r="E2371" s="16" t="str">
        <f>_xlfn.XLOOKUP(F2371,dd_item!$B$2:$B$105,dd_item!$C$2:$C$105,"",0)</f>
        <v/>
      </c>
      <c r="F2371" s="16"/>
      <c r="G2371" s="16" cm="1">
        <f t="array" ref="G2371">IFERROR(_xlfn.XLOOKUP(1, (SKUs!$J$2:$J$10001=accsry_unmerged!F2371)*IF(H2371&lt;&gt;"",(SKUs!$L$2:$L$10001=accsry_unmerged!H2371),1)*(SKUs!$K$2:$K$10001=I2371),SKUs!$C$2:$C$10001),"")</f>
        <v>0</v>
      </c>
      <c r="H2371" s="33" cm="1">
        <f t="array" ref="H2371">IFERROR(_xlfn.XLOOKUP(1, (dd_accsryclr!$C$2:$C$1000=accsry_unmerged!F2371)*(dd_accsryclr!$B$2:$B$1000=accsry_unmerged!J2371),dd_accsryclr!$A$2:$A$1000),"")</f>
        <v>0</v>
      </c>
      <c r="I2371" s="16">
        <f>_xlfn.XLOOKUP(C2371,'Project Details'!$C$17:$C$66,'Project Details'!$E$17:$E$66,"",0)</f>
        <v>0</v>
      </c>
      <c r="J2371" s="16">
        <f>_xlfn.XLOOKUP(C2371,'Project Details'!$C$17:$C$66,'Project Details'!$H$17:$H$66,"",0)</f>
        <v>0</v>
      </c>
      <c r="K2371" s="33" t="str">
        <f>IF(AND(_xlfn.XLOOKUP(C2371,'Project Details'!$C$17:$C$66,'Project Details'!$L$17:$L$66,"",0)&gt;550, F2371="Spring-L27cm"),"",SUBSTITUTE(_xlfn.XLOOKUP(G2371,SKUs!$C$2:$C$10001,SKUs!$F$2:$F$10001,"",0), " Accessories",""))</f>
        <v/>
      </c>
      <c r="L2371" s="33">
        <f>_xlfn.XLOOKUP(C2371,'Project Details'!$C$17:$C$66,'Project Details'!$D$17:$D$66,"",0)</f>
        <v>0</v>
      </c>
      <c r="M2371" s="43"/>
    </row>
    <row r="2372" spans="1:13" x14ac:dyDescent="0.25">
      <c r="A2372" s="43"/>
      <c r="B2372" s="43"/>
      <c r="C2372" s="35">
        <f t="shared" si="46"/>
        <v>48</v>
      </c>
      <c r="D2372" s="35" t="str" cm="1">
        <f t="array" ref="D2372">IFERROR(ROUNDUP(_xlfn.IFS(F2372="Aluminum Track", _xlfn.XLOOKUP(C2372, dd_accsrycalc!$A$2:$A$51, dd_accsrycalc!$B$2:$B$51, "",0), F2372="10 x 2 1/2 S (Flat)", _xlfn.XLOOKUP(C2372, dd_accsrycalc!$A$2:$A$51, dd_accsrycalc!$C$2:$C$51, "",0), F2372="Tox6", _xlfn.XLOOKUP(C2372, dd_accsrycalc!$A$2:$A$51, dd_accsrycalc!$D$2:$D$51, "",0), F2372="Cover Cap", _xlfn.XLOOKUP(C2372, dd_accsrycalc!$A$2:$A$51, dd_accsrycalc!$E$2:$E$51, "",0), F2372="Drainage Cover", _xlfn.XLOOKUP(C2372, dd_accsrycalc!$A$2:$A$51, dd_accsrycalc!$F$2:$F$51, "",0),AND( F2372="Double Adhesive Tape", I2372="Roll-up Screen"), _xlfn.XLOOKUP(C2372, calc_rusacc!$C$15:$C$65, calc_rusacc!$AD$15:$AD$65, "",0),AND( F2372="Sealant", I2372="Roll-up Screen"), _xlfn.XLOOKUP(C2372, calc_rusacc!$C$15:$C$65, calc_rusacc!$AF$15:$AF$65, "",0),  AND( F2372="Main Chain", I2372="Accordion Screen"), _xlfn.XLOOKUP(C2372, calc_rusacc!$C$15:$C$65, calc_rusacc!$BF$15:$BF$65, "",0), AND( F2372="Sealant", I2372="Accordion Screen"), _xlfn.XLOOKUP(C2372, calc_rusacc!$C$15:$C$65, calc_rusacc!$BJ$15:$BJ$65, "",0),  F2372="Sealant", _xlfn.XLOOKUP(C2372, dd_accsrycalc!$A$2:$A$51, dd_accsrycalc!$G$2:$G$51, "",0),  F2372&lt;&gt;"",L2372*_xlfn.XLOOKUP(1, (SKUs!$C$2:$C$10001=G2372)*(SKUs!$K$2:$K$10001=I2372),SKUs!$E$2:$E$10001)), 0),"")</f>
        <v/>
      </c>
      <c r="E2372" s="35" t="str">
        <f>_xlfn.XLOOKUP(F2372,dd_item!$B$2:$B$105,dd_item!$C$2:$C$105,"",0)</f>
        <v/>
      </c>
      <c r="F2372" s="35"/>
      <c r="G2372" s="35" cm="1">
        <f t="array" ref="G2372">IFERROR(_xlfn.XLOOKUP(1, (SKUs!$J$2:$J$10001=accsry_unmerged!F2372)*IF(H2372&lt;&gt;"",(SKUs!$L$2:$L$10001=accsry_unmerged!H2372),1)*(SKUs!$K$2:$K$10001=I2372),SKUs!$C$2:$C$10001),"")</f>
        <v>0</v>
      </c>
      <c r="H2372" s="36" cm="1">
        <f t="array" ref="H2372">IFERROR(_xlfn.XLOOKUP(1, (dd_accsryclr!$C$2:$C$1000=accsry_unmerged!F2372)*(dd_accsryclr!$B$2:$B$1000=accsry_unmerged!J2372),dd_accsryclr!$A$2:$A$1000),"")</f>
        <v>0</v>
      </c>
      <c r="I2372" s="35">
        <f>_xlfn.XLOOKUP(C2372,'Project Details'!$C$17:$C$66,'Project Details'!$E$17:$E$66,"",0)</f>
        <v>0</v>
      </c>
      <c r="J2372" s="35">
        <f>_xlfn.XLOOKUP(C2372,'Project Details'!$C$17:$C$66,'Project Details'!$H$17:$H$66,"",0)</f>
        <v>0</v>
      </c>
      <c r="K2372" s="36" t="str">
        <f>IF(AND(_xlfn.XLOOKUP(C2372,'Project Details'!$C$17:$C$66,'Project Details'!$L$17:$L$66,"",0)&gt;550, F2372="Spring-L27cm"),"",SUBSTITUTE(_xlfn.XLOOKUP(G2372,SKUs!$C$2:$C$10001,SKUs!$F$2:$F$10001,"",0), " Accessories",""))</f>
        <v/>
      </c>
      <c r="L2372" s="36">
        <f>_xlfn.XLOOKUP(C2372,'Project Details'!$C$17:$C$66,'Project Details'!$D$17:$D$66,"",0)</f>
        <v>0</v>
      </c>
      <c r="M2372" s="43"/>
    </row>
    <row r="2373" spans="1:13" x14ac:dyDescent="0.25">
      <c r="A2373" s="43"/>
      <c r="B2373" s="43"/>
      <c r="C2373" s="16">
        <f t="shared" si="46"/>
        <v>48</v>
      </c>
      <c r="D2373" s="16" t="str" cm="1">
        <f t="array" ref="D2373">IFERROR(ROUNDUP(_xlfn.IFS(F2373="Aluminum Track", _xlfn.XLOOKUP(C2373, dd_accsrycalc!$A$2:$A$51, dd_accsrycalc!$B$2:$B$51, "",0), F2373="10 x 2 1/2 S (Flat)", _xlfn.XLOOKUP(C2373, dd_accsrycalc!$A$2:$A$51, dd_accsrycalc!$C$2:$C$51, "",0), F2373="Tox6", _xlfn.XLOOKUP(C2373, dd_accsrycalc!$A$2:$A$51, dd_accsrycalc!$D$2:$D$51, "",0), F2373="Cover Cap", _xlfn.XLOOKUP(C2373, dd_accsrycalc!$A$2:$A$51, dd_accsrycalc!$E$2:$E$51, "",0), F2373="Drainage Cover", _xlfn.XLOOKUP(C2373, dd_accsrycalc!$A$2:$A$51, dd_accsrycalc!$F$2:$F$51, "",0),AND( F2373="Double Adhesive Tape", I2373="Roll-up Screen"), _xlfn.XLOOKUP(C2373, calc_rusacc!$C$15:$C$65, calc_rusacc!$AD$15:$AD$65, "",0),AND( F2373="Sealant", I2373="Roll-up Screen"), _xlfn.XLOOKUP(C2373, calc_rusacc!$C$15:$C$65, calc_rusacc!$AF$15:$AF$65, "",0),  AND( F2373="Main Chain", I2373="Accordion Screen"), _xlfn.XLOOKUP(C2373, calc_rusacc!$C$15:$C$65, calc_rusacc!$BF$15:$BF$65, "",0), AND( F2373="Sealant", I2373="Accordion Screen"), _xlfn.XLOOKUP(C2373, calc_rusacc!$C$15:$C$65, calc_rusacc!$BJ$15:$BJ$65, "",0),  F2373="Sealant", _xlfn.XLOOKUP(C2373, dd_accsrycalc!$A$2:$A$51, dd_accsrycalc!$G$2:$G$51, "",0),  F2373&lt;&gt;"",L2373*_xlfn.XLOOKUP(1, (SKUs!$C$2:$C$10001=G2373)*(SKUs!$K$2:$K$10001=I2373),SKUs!$E$2:$E$10001)), 0),"")</f>
        <v/>
      </c>
      <c r="E2373" s="16" t="str">
        <f>_xlfn.XLOOKUP(F2373,dd_item!$B$2:$B$105,dd_item!$C$2:$C$105,"",0)</f>
        <v/>
      </c>
      <c r="F2373" s="16"/>
      <c r="G2373" s="16" cm="1">
        <f t="array" ref="G2373">IFERROR(_xlfn.XLOOKUP(1, (SKUs!$J$2:$J$10001=accsry_unmerged!F2373)*IF(H2373&lt;&gt;"",(SKUs!$L$2:$L$10001=accsry_unmerged!H2373),1)*(SKUs!$K$2:$K$10001=I2373),SKUs!$C$2:$C$10001),"")</f>
        <v>0</v>
      </c>
      <c r="H2373" s="33" cm="1">
        <f t="array" ref="H2373">IFERROR(_xlfn.XLOOKUP(1, (dd_accsryclr!$C$2:$C$1000=accsry_unmerged!F2373)*(dd_accsryclr!$B$2:$B$1000=accsry_unmerged!J2373),dd_accsryclr!$A$2:$A$1000),"")</f>
        <v>0</v>
      </c>
      <c r="I2373" s="16">
        <f>_xlfn.XLOOKUP(C2373,'Project Details'!$C$17:$C$66,'Project Details'!$E$17:$E$66,"",0)</f>
        <v>0</v>
      </c>
      <c r="J2373" s="16">
        <f>_xlfn.XLOOKUP(C2373,'Project Details'!$C$17:$C$66,'Project Details'!$H$17:$H$66,"",0)</f>
        <v>0</v>
      </c>
      <c r="K2373" s="33" t="str">
        <f>IF(AND(_xlfn.XLOOKUP(C2373,'Project Details'!$C$17:$C$66,'Project Details'!$L$17:$L$66,"",0)&gt;550, F2373="Spring-L27cm"),"",SUBSTITUTE(_xlfn.XLOOKUP(G2373,SKUs!$C$2:$C$10001,SKUs!$F$2:$F$10001,"",0), " Accessories",""))</f>
        <v/>
      </c>
      <c r="L2373" s="33">
        <f>_xlfn.XLOOKUP(C2373,'Project Details'!$C$17:$C$66,'Project Details'!$D$17:$D$66,"",0)</f>
        <v>0</v>
      </c>
      <c r="M2373" s="43"/>
    </row>
    <row r="2374" spans="1:13" x14ac:dyDescent="0.25">
      <c r="A2374" s="43"/>
      <c r="B2374" s="43"/>
      <c r="C2374" s="35">
        <f t="shared" si="46"/>
        <v>48</v>
      </c>
      <c r="D2374" s="35" t="str" cm="1">
        <f t="array" ref="D2374">IFERROR(ROUNDUP(_xlfn.IFS(F2374="Aluminum Track", _xlfn.XLOOKUP(C2374, dd_accsrycalc!$A$2:$A$51, dd_accsrycalc!$B$2:$B$51, "",0), F2374="10 x 2 1/2 S (Flat)", _xlfn.XLOOKUP(C2374, dd_accsrycalc!$A$2:$A$51, dd_accsrycalc!$C$2:$C$51, "",0), F2374="Tox6", _xlfn.XLOOKUP(C2374, dd_accsrycalc!$A$2:$A$51, dd_accsrycalc!$D$2:$D$51, "",0), F2374="Cover Cap", _xlfn.XLOOKUP(C2374, dd_accsrycalc!$A$2:$A$51, dd_accsrycalc!$E$2:$E$51, "",0), F2374="Drainage Cover", _xlfn.XLOOKUP(C2374, dd_accsrycalc!$A$2:$A$51, dd_accsrycalc!$F$2:$F$51, "",0),AND( F2374="Double Adhesive Tape", I2374="Roll-up Screen"), _xlfn.XLOOKUP(C2374, calc_rusacc!$C$15:$C$65, calc_rusacc!$AD$15:$AD$65, "",0),AND( F2374="Sealant", I2374="Roll-up Screen"), _xlfn.XLOOKUP(C2374, calc_rusacc!$C$15:$C$65, calc_rusacc!$AF$15:$AF$65, "",0),  AND( F2374="Main Chain", I2374="Accordion Screen"), _xlfn.XLOOKUP(C2374, calc_rusacc!$C$15:$C$65, calc_rusacc!$BF$15:$BF$65, "",0), AND( F2374="Sealant", I2374="Accordion Screen"), _xlfn.XLOOKUP(C2374, calc_rusacc!$C$15:$C$65, calc_rusacc!$BJ$15:$BJ$65, "",0),  F2374="Sealant", _xlfn.XLOOKUP(C2374, dd_accsrycalc!$A$2:$A$51, dd_accsrycalc!$G$2:$G$51, "",0),  F2374&lt;&gt;"",L2374*_xlfn.XLOOKUP(1, (SKUs!$C$2:$C$10001=G2374)*(SKUs!$K$2:$K$10001=I2374),SKUs!$E$2:$E$10001)), 0),"")</f>
        <v/>
      </c>
      <c r="E2374" s="35" t="str">
        <f>_xlfn.XLOOKUP(F2374,dd_item!$B$2:$B$105,dd_item!$C$2:$C$105,"",0)</f>
        <v/>
      </c>
      <c r="F2374" s="35"/>
      <c r="G2374" s="35" cm="1">
        <f t="array" ref="G2374">IFERROR(_xlfn.XLOOKUP(1, (SKUs!$J$2:$J$10001=accsry_unmerged!F2374)*IF(H2374&lt;&gt;"",(SKUs!$L$2:$L$10001=accsry_unmerged!H2374),1)*(SKUs!$K$2:$K$10001=I2374),SKUs!$C$2:$C$10001),"")</f>
        <v>0</v>
      </c>
      <c r="H2374" s="36" cm="1">
        <f t="array" ref="H2374">IFERROR(_xlfn.XLOOKUP(1, (dd_accsryclr!$C$2:$C$1000=accsry_unmerged!F2374)*(dd_accsryclr!$B$2:$B$1000=accsry_unmerged!J2374),dd_accsryclr!$A$2:$A$1000),"")</f>
        <v>0</v>
      </c>
      <c r="I2374" s="35">
        <f>_xlfn.XLOOKUP(C2374,'Project Details'!$C$17:$C$66,'Project Details'!$E$17:$E$66,"",0)</f>
        <v>0</v>
      </c>
      <c r="J2374" s="35">
        <f>_xlfn.XLOOKUP(C2374,'Project Details'!$C$17:$C$66,'Project Details'!$H$17:$H$66,"",0)</f>
        <v>0</v>
      </c>
      <c r="K2374" s="36" t="str">
        <f>IF(AND(_xlfn.XLOOKUP(C2374,'Project Details'!$C$17:$C$66,'Project Details'!$L$17:$L$66,"",0)&gt;550, F2374="Spring-L27cm"),"",SUBSTITUTE(_xlfn.XLOOKUP(G2374,SKUs!$C$2:$C$10001,SKUs!$F$2:$F$10001,"",0), " Accessories",""))</f>
        <v/>
      </c>
      <c r="L2374" s="36">
        <f>_xlfn.XLOOKUP(C2374,'Project Details'!$C$17:$C$66,'Project Details'!$D$17:$D$66,"",0)</f>
        <v>0</v>
      </c>
      <c r="M2374" s="43"/>
    </row>
    <row r="2375" spans="1:13" x14ac:dyDescent="0.25">
      <c r="A2375" s="43"/>
      <c r="B2375" s="43"/>
      <c r="C2375" s="16">
        <f t="shared" si="46"/>
        <v>48</v>
      </c>
      <c r="D2375" s="16" t="str" cm="1">
        <f t="array" ref="D2375">IFERROR(ROUNDUP(_xlfn.IFS(F2375="Aluminum Track", _xlfn.XLOOKUP(C2375, dd_accsrycalc!$A$2:$A$51, dd_accsrycalc!$B$2:$B$51, "",0), F2375="10 x 2 1/2 S (Flat)", _xlfn.XLOOKUP(C2375, dd_accsrycalc!$A$2:$A$51, dd_accsrycalc!$C$2:$C$51, "",0), F2375="Tox6", _xlfn.XLOOKUP(C2375, dd_accsrycalc!$A$2:$A$51, dd_accsrycalc!$D$2:$D$51, "",0), F2375="Cover Cap", _xlfn.XLOOKUP(C2375, dd_accsrycalc!$A$2:$A$51, dd_accsrycalc!$E$2:$E$51, "",0), F2375="Drainage Cover", _xlfn.XLOOKUP(C2375, dd_accsrycalc!$A$2:$A$51, dd_accsrycalc!$F$2:$F$51, "",0),AND( F2375="Double Adhesive Tape", I2375="Roll-up Screen"), _xlfn.XLOOKUP(C2375, calc_rusacc!$C$15:$C$65, calc_rusacc!$AD$15:$AD$65, "",0),AND( F2375="Sealant", I2375="Roll-up Screen"), _xlfn.XLOOKUP(C2375, calc_rusacc!$C$15:$C$65, calc_rusacc!$AF$15:$AF$65, "",0),  AND( F2375="Main Chain", I2375="Accordion Screen"), _xlfn.XLOOKUP(C2375, calc_rusacc!$C$15:$C$65, calc_rusacc!$BF$15:$BF$65, "",0), AND( F2375="Sealant", I2375="Accordion Screen"), _xlfn.XLOOKUP(C2375, calc_rusacc!$C$15:$C$65, calc_rusacc!$BJ$15:$BJ$65, "",0),  F2375="Sealant", _xlfn.XLOOKUP(C2375, dd_accsrycalc!$A$2:$A$51, dd_accsrycalc!$G$2:$G$51, "",0),  F2375&lt;&gt;"",L2375*_xlfn.XLOOKUP(1, (SKUs!$C$2:$C$10001=G2375)*(SKUs!$K$2:$K$10001=I2375),SKUs!$E$2:$E$10001)), 0),"")</f>
        <v/>
      </c>
      <c r="E2375" s="16" t="str">
        <f>_xlfn.XLOOKUP(F2375,dd_item!$B$2:$B$105,dd_item!$C$2:$C$105,"",0)</f>
        <v/>
      </c>
      <c r="F2375" s="16"/>
      <c r="G2375" s="16" cm="1">
        <f t="array" ref="G2375">IFERROR(_xlfn.XLOOKUP(1, (SKUs!$J$2:$J$10001=accsry_unmerged!F2375)*IF(H2375&lt;&gt;"",(SKUs!$L$2:$L$10001=accsry_unmerged!H2375),1)*(SKUs!$K$2:$K$10001=I2375),SKUs!$C$2:$C$10001),"")</f>
        <v>0</v>
      </c>
      <c r="H2375" s="33" cm="1">
        <f t="array" ref="H2375">IFERROR(_xlfn.XLOOKUP(1, (dd_accsryclr!$C$2:$C$1000=accsry_unmerged!F2375)*(dd_accsryclr!$B$2:$B$1000=accsry_unmerged!J2375),dd_accsryclr!$A$2:$A$1000),"")</f>
        <v>0</v>
      </c>
      <c r="I2375" s="16">
        <f>_xlfn.XLOOKUP(C2375,'Project Details'!$C$17:$C$66,'Project Details'!$E$17:$E$66,"",0)</f>
        <v>0</v>
      </c>
      <c r="J2375" s="16">
        <f>_xlfn.XLOOKUP(C2375,'Project Details'!$C$17:$C$66,'Project Details'!$H$17:$H$66,"",0)</f>
        <v>0</v>
      </c>
      <c r="K2375" s="33" t="str">
        <f>IF(AND(_xlfn.XLOOKUP(C2375,'Project Details'!$C$17:$C$66,'Project Details'!$L$17:$L$66,"",0)&gt;550, F2375="Spring-L27cm"),"",SUBSTITUTE(_xlfn.XLOOKUP(G2375,SKUs!$C$2:$C$10001,SKUs!$F$2:$F$10001,"",0), " Accessories",""))</f>
        <v/>
      </c>
      <c r="L2375" s="33">
        <f>_xlfn.XLOOKUP(C2375,'Project Details'!$C$17:$C$66,'Project Details'!$D$17:$D$66,"",0)</f>
        <v>0</v>
      </c>
      <c r="M2375" s="43"/>
    </row>
    <row r="2376" spans="1:13" x14ac:dyDescent="0.25">
      <c r="A2376" s="43"/>
      <c r="B2376" s="43"/>
      <c r="C2376" s="35">
        <f t="shared" si="46"/>
        <v>48</v>
      </c>
      <c r="D2376" s="35" t="str" cm="1">
        <f t="array" ref="D2376">IFERROR(ROUNDUP(_xlfn.IFS(F2376="Aluminum Track", _xlfn.XLOOKUP(C2376, dd_accsrycalc!$A$2:$A$51, dd_accsrycalc!$B$2:$B$51, "",0), F2376="10 x 2 1/2 S (Flat)", _xlfn.XLOOKUP(C2376, dd_accsrycalc!$A$2:$A$51, dd_accsrycalc!$C$2:$C$51, "",0), F2376="Tox6", _xlfn.XLOOKUP(C2376, dd_accsrycalc!$A$2:$A$51, dd_accsrycalc!$D$2:$D$51, "",0), F2376="Cover Cap", _xlfn.XLOOKUP(C2376, dd_accsrycalc!$A$2:$A$51, dd_accsrycalc!$E$2:$E$51, "",0), F2376="Drainage Cover", _xlfn.XLOOKUP(C2376, dd_accsrycalc!$A$2:$A$51, dd_accsrycalc!$F$2:$F$51, "",0),AND( F2376="Double Adhesive Tape", I2376="Roll-up Screen"), _xlfn.XLOOKUP(C2376, calc_rusacc!$C$15:$C$65, calc_rusacc!$AD$15:$AD$65, "",0),AND( F2376="Sealant", I2376="Roll-up Screen"), _xlfn.XLOOKUP(C2376, calc_rusacc!$C$15:$C$65, calc_rusacc!$AF$15:$AF$65, "",0),  AND( F2376="Main Chain", I2376="Accordion Screen"), _xlfn.XLOOKUP(C2376, calc_rusacc!$C$15:$C$65, calc_rusacc!$BF$15:$BF$65, "",0), AND( F2376="Sealant", I2376="Accordion Screen"), _xlfn.XLOOKUP(C2376, calc_rusacc!$C$15:$C$65, calc_rusacc!$BJ$15:$BJ$65, "",0),  F2376="Sealant", _xlfn.XLOOKUP(C2376, dd_accsrycalc!$A$2:$A$51, dd_accsrycalc!$G$2:$G$51, "",0),  F2376&lt;&gt;"",L2376*_xlfn.XLOOKUP(1, (SKUs!$C$2:$C$10001=G2376)*(SKUs!$K$2:$K$10001=I2376),SKUs!$E$2:$E$10001)), 0),"")</f>
        <v/>
      </c>
      <c r="E2376" s="35" t="str">
        <f>_xlfn.XLOOKUP(F2376,dd_item!$B$2:$B$105,dd_item!$C$2:$C$105,"",0)</f>
        <v/>
      </c>
      <c r="F2376" s="35"/>
      <c r="G2376" s="35" cm="1">
        <f t="array" ref="G2376">IFERROR(_xlfn.XLOOKUP(1, (SKUs!$J$2:$J$10001=accsry_unmerged!F2376)*IF(H2376&lt;&gt;"",(SKUs!$L$2:$L$10001=accsry_unmerged!H2376),1)*(SKUs!$K$2:$K$10001=I2376),SKUs!$C$2:$C$10001),"")</f>
        <v>0</v>
      </c>
      <c r="H2376" s="36" cm="1">
        <f t="array" ref="H2376">IFERROR(_xlfn.XLOOKUP(1, (dd_accsryclr!$C$2:$C$1000=accsry_unmerged!F2376)*(dd_accsryclr!$B$2:$B$1000=accsry_unmerged!J2376),dd_accsryclr!$A$2:$A$1000),"")</f>
        <v>0</v>
      </c>
      <c r="I2376" s="35">
        <f>_xlfn.XLOOKUP(C2376,'Project Details'!$C$17:$C$66,'Project Details'!$E$17:$E$66,"",0)</f>
        <v>0</v>
      </c>
      <c r="J2376" s="35">
        <f>_xlfn.XLOOKUP(C2376,'Project Details'!$C$17:$C$66,'Project Details'!$H$17:$H$66,"",0)</f>
        <v>0</v>
      </c>
      <c r="K2376" s="36" t="str">
        <f>IF(AND(_xlfn.XLOOKUP(C2376,'Project Details'!$C$17:$C$66,'Project Details'!$L$17:$L$66,"",0)&gt;550, F2376="Spring-L27cm"),"",SUBSTITUTE(_xlfn.XLOOKUP(G2376,SKUs!$C$2:$C$10001,SKUs!$F$2:$F$10001,"",0), " Accessories",""))</f>
        <v/>
      </c>
      <c r="L2376" s="36">
        <f>_xlfn.XLOOKUP(C2376,'Project Details'!$C$17:$C$66,'Project Details'!$D$17:$D$66,"",0)</f>
        <v>0</v>
      </c>
      <c r="M2376" s="43"/>
    </row>
    <row r="2377" spans="1:13" x14ac:dyDescent="0.25">
      <c r="A2377" s="43"/>
      <c r="B2377" s="43"/>
      <c r="C2377" s="16">
        <f t="shared" si="46"/>
        <v>48</v>
      </c>
      <c r="D2377" s="16" t="str" cm="1">
        <f t="array" ref="D2377">IFERROR(ROUNDUP(_xlfn.IFS(F2377="Aluminum Track", _xlfn.XLOOKUP(C2377, dd_accsrycalc!$A$2:$A$51, dd_accsrycalc!$B$2:$B$51, "",0), F2377="10 x 2 1/2 S (Flat)", _xlfn.XLOOKUP(C2377, dd_accsrycalc!$A$2:$A$51, dd_accsrycalc!$C$2:$C$51, "",0), F2377="Tox6", _xlfn.XLOOKUP(C2377, dd_accsrycalc!$A$2:$A$51, dd_accsrycalc!$D$2:$D$51, "",0), F2377="Cover Cap", _xlfn.XLOOKUP(C2377, dd_accsrycalc!$A$2:$A$51, dd_accsrycalc!$E$2:$E$51, "",0), F2377="Drainage Cover", _xlfn.XLOOKUP(C2377, dd_accsrycalc!$A$2:$A$51, dd_accsrycalc!$F$2:$F$51, "",0),AND( F2377="Double Adhesive Tape", I2377="Roll-up Screen"), _xlfn.XLOOKUP(C2377, calc_rusacc!$C$15:$C$65, calc_rusacc!$AD$15:$AD$65, "",0),AND( F2377="Sealant", I2377="Roll-up Screen"), _xlfn.XLOOKUP(C2377, calc_rusacc!$C$15:$C$65, calc_rusacc!$AF$15:$AF$65, "",0),  AND( F2377="Main Chain", I2377="Accordion Screen"), _xlfn.XLOOKUP(C2377, calc_rusacc!$C$15:$C$65, calc_rusacc!$BF$15:$BF$65, "",0), AND( F2377="Sealant", I2377="Accordion Screen"), _xlfn.XLOOKUP(C2377, calc_rusacc!$C$15:$C$65, calc_rusacc!$BJ$15:$BJ$65, "",0),  F2377="Sealant", _xlfn.XLOOKUP(C2377, dd_accsrycalc!$A$2:$A$51, dd_accsrycalc!$G$2:$G$51, "",0),  F2377&lt;&gt;"",L2377*_xlfn.XLOOKUP(1, (SKUs!$C$2:$C$10001=G2377)*(SKUs!$K$2:$K$10001=I2377),SKUs!$E$2:$E$10001)), 0),"")</f>
        <v/>
      </c>
      <c r="E2377" s="16" t="str">
        <f>_xlfn.XLOOKUP(F2377,dd_item!$B$2:$B$105,dd_item!$C$2:$C$105,"",0)</f>
        <v/>
      </c>
      <c r="F2377" s="16"/>
      <c r="G2377" s="16" cm="1">
        <f t="array" ref="G2377">IFERROR(_xlfn.XLOOKUP(1, (SKUs!$J$2:$J$10001=accsry_unmerged!F2377)*IF(H2377&lt;&gt;"",(SKUs!$L$2:$L$10001=accsry_unmerged!H2377),1)*(SKUs!$K$2:$K$10001=I2377),SKUs!$C$2:$C$10001),"")</f>
        <v>0</v>
      </c>
      <c r="H2377" s="33" cm="1">
        <f t="array" ref="H2377">IFERROR(_xlfn.XLOOKUP(1, (dd_accsryclr!$C$2:$C$1000=accsry_unmerged!F2377)*(dd_accsryclr!$B$2:$B$1000=accsry_unmerged!J2377),dd_accsryclr!$A$2:$A$1000),"")</f>
        <v>0</v>
      </c>
      <c r="I2377" s="16">
        <f>_xlfn.XLOOKUP(C2377,'Project Details'!$C$17:$C$66,'Project Details'!$E$17:$E$66,"",0)</f>
        <v>0</v>
      </c>
      <c r="J2377" s="16">
        <f>_xlfn.XLOOKUP(C2377,'Project Details'!$C$17:$C$66,'Project Details'!$H$17:$H$66,"",0)</f>
        <v>0</v>
      </c>
      <c r="K2377" s="33" t="str">
        <f>IF(AND(_xlfn.XLOOKUP(C2377,'Project Details'!$C$17:$C$66,'Project Details'!$L$17:$L$66,"",0)&gt;550, F2377="Spring-L27cm"),"",SUBSTITUTE(_xlfn.XLOOKUP(G2377,SKUs!$C$2:$C$10001,SKUs!$F$2:$F$10001,"",0), " Accessories",""))</f>
        <v/>
      </c>
      <c r="L2377" s="33">
        <f>_xlfn.XLOOKUP(C2377,'Project Details'!$C$17:$C$66,'Project Details'!$D$17:$D$66,"",0)</f>
        <v>0</v>
      </c>
      <c r="M2377" s="43"/>
    </row>
    <row r="2378" spans="1:13" x14ac:dyDescent="0.25">
      <c r="A2378" s="43"/>
      <c r="B2378" s="43"/>
      <c r="C2378" s="35">
        <f t="shared" si="46"/>
        <v>48</v>
      </c>
      <c r="D2378" s="35" t="str" cm="1">
        <f t="array" ref="D2378">IFERROR(ROUNDUP(_xlfn.IFS(F2378="Aluminum Track", _xlfn.XLOOKUP(C2378, dd_accsrycalc!$A$2:$A$51, dd_accsrycalc!$B$2:$B$51, "",0), F2378="10 x 2 1/2 S (Flat)", _xlfn.XLOOKUP(C2378, dd_accsrycalc!$A$2:$A$51, dd_accsrycalc!$C$2:$C$51, "",0), F2378="Tox6", _xlfn.XLOOKUP(C2378, dd_accsrycalc!$A$2:$A$51, dd_accsrycalc!$D$2:$D$51, "",0), F2378="Cover Cap", _xlfn.XLOOKUP(C2378, dd_accsrycalc!$A$2:$A$51, dd_accsrycalc!$E$2:$E$51, "",0), F2378="Drainage Cover", _xlfn.XLOOKUP(C2378, dd_accsrycalc!$A$2:$A$51, dd_accsrycalc!$F$2:$F$51, "",0),AND( F2378="Double Adhesive Tape", I2378="Roll-up Screen"), _xlfn.XLOOKUP(C2378, calc_rusacc!$C$15:$C$65, calc_rusacc!$AD$15:$AD$65, "",0),AND( F2378="Sealant", I2378="Roll-up Screen"), _xlfn.XLOOKUP(C2378, calc_rusacc!$C$15:$C$65, calc_rusacc!$AF$15:$AF$65, "",0),  AND( F2378="Main Chain", I2378="Accordion Screen"), _xlfn.XLOOKUP(C2378, calc_rusacc!$C$15:$C$65, calc_rusacc!$BF$15:$BF$65, "",0), AND( F2378="Sealant", I2378="Accordion Screen"), _xlfn.XLOOKUP(C2378, calc_rusacc!$C$15:$C$65, calc_rusacc!$BJ$15:$BJ$65, "",0),  F2378="Sealant", _xlfn.XLOOKUP(C2378, dd_accsrycalc!$A$2:$A$51, dd_accsrycalc!$G$2:$G$51, "",0),  F2378&lt;&gt;"",L2378*_xlfn.XLOOKUP(1, (SKUs!$C$2:$C$10001=G2378)*(SKUs!$K$2:$K$10001=I2378),SKUs!$E$2:$E$10001)), 0),"")</f>
        <v/>
      </c>
      <c r="E2378" s="35" t="str">
        <f>_xlfn.XLOOKUP(F2378,dd_item!$B$2:$B$105,dd_item!$C$2:$C$105,"",0)</f>
        <v/>
      </c>
      <c r="F2378" s="35"/>
      <c r="G2378" s="35" cm="1">
        <f t="array" ref="G2378">IFERROR(_xlfn.XLOOKUP(1, (SKUs!$J$2:$J$10001=accsry_unmerged!F2378)*IF(H2378&lt;&gt;"",(SKUs!$L$2:$L$10001=accsry_unmerged!H2378),1)*(SKUs!$K$2:$K$10001=I2378),SKUs!$C$2:$C$10001),"")</f>
        <v>0</v>
      </c>
      <c r="H2378" s="36" cm="1">
        <f t="array" ref="H2378">IFERROR(_xlfn.XLOOKUP(1, (dd_accsryclr!$C$2:$C$1000=accsry_unmerged!F2378)*(dd_accsryclr!$B$2:$B$1000=accsry_unmerged!J2378),dd_accsryclr!$A$2:$A$1000),"")</f>
        <v>0</v>
      </c>
      <c r="I2378" s="35">
        <f>_xlfn.XLOOKUP(C2378,'Project Details'!$C$17:$C$66,'Project Details'!$E$17:$E$66,"",0)</f>
        <v>0</v>
      </c>
      <c r="J2378" s="35">
        <f>_xlfn.XLOOKUP(C2378,'Project Details'!$C$17:$C$66,'Project Details'!$H$17:$H$66,"",0)</f>
        <v>0</v>
      </c>
      <c r="K2378" s="36" t="str">
        <f>IF(AND(_xlfn.XLOOKUP(C2378,'Project Details'!$C$17:$C$66,'Project Details'!$L$17:$L$66,"",0)&gt;550, F2378="Spring-L27cm"),"",SUBSTITUTE(_xlfn.XLOOKUP(G2378,SKUs!$C$2:$C$10001,SKUs!$F$2:$F$10001,"",0), " Accessories",""))</f>
        <v/>
      </c>
      <c r="L2378" s="36">
        <f>_xlfn.XLOOKUP(C2378,'Project Details'!$C$17:$C$66,'Project Details'!$D$17:$D$66,"",0)</f>
        <v>0</v>
      </c>
      <c r="M2378" s="43"/>
    </row>
    <row r="2379" spans="1:13" x14ac:dyDescent="0.25">
      <c r="A2379" s="43"/>
      <c r="B2379" s="43"/>
      <c r="C2379" s="16">
        <f t="shared" si="46"/>
        <v>48</v>
      </c>
      <c r="D2379" s="16" t="str" cm="1">
        <f t="array" ref="D2379">IFERROR(ROUNDUP(_xlfn.IFS(F2379="Aluminum Track", _xlfn.XLOOKUP(C2379, dd_accsrycalc!$A$2:$A$51, dd_accsrycalc!$B$2:$B$51, "",0), F2379="10 x 2 1/2 S (Flat)", _xlfn.XLOOKUP(C2379, dd_accsrycalc!$A$2:$A$51, dd_accsrycalc!$C$2:$C$51, "",0), F2379="Tox6", _xlfn.XLOOKUP(C2379, dd_accsrycalc!$A$2:$A$51, dd_accsrycalc!$D$2:$D$51, "",0), F2379="Cover Cap", _xlfn.XLOOKUP(C2379, dd_accsrycalc!$A$2:$A$51, dd_accsrycalc!$E$2:$E$51, "",0), F2379="Drainage Cover", _xlfn.XLOOKUP(C2379, dd_accsrycalc!$A$2:$A$51, dd_accsrycalc!$F$2:$F$51, "",0),AND( F2379="Double Adhesive Tape", I2379="Roll-up Screen"), _xlfn.XLOOKUP(C2379, calc_rusacc!$C$15:$C$65, calc_rusacc!$AD$15:$AD$65, "",0),AND( F2379="Sealant", I2379="Roll-up Screen"), _xlfn.XLOOKUP(C2379, calc_rusacc!$C$15:$C$65, calc_rusacc!$AF$15:$AF$65, "",0),  AND( F2379="Main Chain", I2379="Accordion Screen"), _xlfn.XLOOKUP(C2379, calc_rusacc!$C$15:$C$65, calc_rusacc!$BF$15:$BF$65, "",0), AND( F2379="Sealant", I2379="Accordion Screen"), _xlfn.XLOOKUP(C2379, calc_rusacc!$C$15:$C$65, calc_rusacc!$BJ$15:$BJ$65, "",0),  F2379="Sealant", _xlfn.XLOOKUP(C2379, dd_accsrycalc!$A$2:$A$51, dd_accsrycalc!$G$2:$G$51, "",0),  F2379&lt;&gt;"",L2379*_xlfn.XLOOKUP(1, (SKUs!$C$2:$C$10001=G2379)*(SKUs!$K$2:$K$10001=I2379),SKUs!$E$2:$E$10001)), 0),"")</f>
        <v/>
      </c>
      <c r="E2379" s="16" t="str">
        <f>_xlfn.XLOOKUP(F2379,dd_item!$B$2:$B$105,dd_item!$C$2:$C$105,"",0)</f>
        <v/>
      </c>
      <c r="F2379" s="16"/>
      <c r="G2379" s="16" cm="1">
        <f t="array" ref="G2379">IFERROR(_xlfn.XLOOKUP(1, (SKUs!$J$2:$J$10001=accsry_unmerged!F2379)*IF(H2379&lt;&gt;"",(SKUs!$L$2:$L$10001=accsry_unmerged!H2379),1)*(SKUs!$K$2:$K$10001=I2379),SKUs!$C$2:$C$10001),"")</f>
        <v>0</v>
      </c>
      <c r="H2379" s="33" cm="1">
        <f t="array" ref="H2379">IFERROR(_xlfn.XLOOKUP(1, (dd_accsryclr!$C$2:$C$1000=accsry_unmerged!F2379)*(dd_accsryclr!$B$2:$B$1000=accsry_unmerged!J2379),dd_accsryclr!$A$2:$A$1000),"")</f>
        <v>0</v>
      </c>
      <c r="I2379" s="16">
        <f>_xlfn.XLOOKUP(C2379,'Project Details'!$C$17:$C$66,'Project Details'!$E$17:$E$66,"",0)</f>
        <v>0</v>
      </c>
      <c r="J2379" s="16">
        <f>_xlfn.XLOOKUP(C2379,'Project Details'!$C$17:$C$66,'Project Details'!$H$17:$H$66,"",0)</f>
        <v>0</v>
      </c>
      <c r="K2379" s="33" t="str">
        <f>IF(AND(_xlfn.XLOOKUP(C2379,'Project Details'!$C$17:$C$66,'Project Details'!$L$17:$L$66,"",0)&gt;550, F2379="Spring-L27cm"),"",SUBSTITUTE(_xlfn.XLOOKUP(G2379,SKUs!$C$2:$C$10001,SKUs!$F$2:$F$10001,"",0), " Accessories",""))</f>
        <v/>
      </c>
      <c r="L2379" s="33">
        <f>_xlfn.XLOOKUP(C2379,'Project Details'!$C$17:$C$66,'Project Details'!$D$17:$D$66,"",0)</f>
        <v>0</v>
      </c>
      <c r="M2379" s="43"/>
    </row>
    <row r="2380" spans="1:13" x14ac:dyDescent="0.25">
      <c r="A2380" s="43"/>
      <c r="B2380" s="43"/>
      <c r="C2380" s="35">
        <f t="shared" si="46"/>
        <v>48</v>
      </c>
      <c r="D2380" s="35" t="str" cm="1">
        <f t="array" ref="D2380">IFERROR(ROUNDUP(_xlfn.IFS(F2380="Aluminum Track", _xlfn.XLOOKUP(C2380, dd_accsrycalc!$A$2:$A$51, dd_accsrycalc!$B$2:$B$51, "",0), F2380="10 x 2 1/2 S (Flat)", _xlfn.XLOOKUP(C2380, dd_accsrycalc!$A$2:$A$51, dd_accsrycalc!$C$2:$C$51, "",0), F2380="Tox6", _xlfn.XLOOKUP(C2380, dd_accsrycalc!$A$2:$A$51, dd_accsrycalc!$D$2:$D$51, "",0), F2380="Cover Cap", _xlfn.XLOOKUP(C2380, dd_accsrycalc!$A$2:$A$51, dd_accsrycalc!$E$2:$E$51, "",0), F2380="Drainage Cover", _xlfn.XLOOKUP(C2380, dd_accsrycalc!$A$2:$A$51, dd_accsrycalc!$F$2:$F$51, "",0),AND( F2380="Double Adhesive Tape", I2380="Roll-up Screen"), _xlfn.XLOOKUP(C2380, calc_rusacc!$C$15:$C$65, calc_rusacc!$AD$15:$AD$65, "",0),AND( F2380="Sealant", I2380="Roll-up Screen"), _xlfn.XLOOKUP(C2380, calc_rusacc!$C$15:$C$65, calc_rusacc!$AF$15:$AF$65, "",0),  AND( F2380="Main Chain", I2380="Accordion Screen"), _xlfn.XLOOKUP(C2380, calc_rusacc!$C$15:$C$65, calc_rusacc!$BF$15:$BF$65, "",0), AND( F2380="Sealant", I2380="Accordion Screen"), _xlfn.XLOOKUP(C2380, calc_rusacc!$C$15:$C$65, calc_rusacc!$BJ$15:$BJ$65, "",0),  F2380="Sealant", _xlfn.XLOOKUP(C2380, dd_accsrycalc!$A$2:$A$51, dd_accsrycalc!$G$2:$G$51, "",0),  F2380&lt;&gt;"",L2380*_xlfn.XLOOKUP(1, (SKUs!$C$2:$C$10001=G2380)*(SKUs!$K$2:$K$10001=I2380),SKUs!$E$2:$E$10001)), 0),"")</f>
        <v/>
      </c>
      <c r="E2380" s="35" t="str">
        <f>_xlfn.XLOOKUP(F2380,dd_item!$B$2:$B$105,dd_item!$C$2:$C$105,"",0)</f>
        <v/>
      </c>
      <c r="F2380" s="35"/>
      <c r="G2380" s="35" cm="1">
        <f t="array" ref="G2380">IFERROR(_xlfn.XLOOKUP(1, (SKUs!$J$2:$J$10001=accsry_unmerged!F2380)*IF(H2380&lt;&gt;"",(SKUs!$L$2:$L$10001=accsry_unmerged!H2380),1)*(SKUs!$K$2:$K$10001=I2380),SKUs!$C$2:$C$10001),"")</f>
        <v>0</v>
      </c>
      <c r="H2380" s="36" cm="1">
        <f t="array" ref="H2380">IFERROR(_xlfn.XLOOKUP(1, (dd_accsryclr!$C$2:$C$1000=accsry_unmerged!F2380)*(dd_accsryclr!$B$2:$B$1000=accsry_unmerged!J2380),dd_accsryclr!$A$2:$A$1000),"")</f>
        <v>0</v>
      </c>
      <c r="I2380" s="35">
        <f>_xlfn.XLOOKUP(C2380,'Project Details'!$C$17:$C$66,'Project Details'!$E$17:$E$66,"",0)</f>
        <v>0</v>
      </c>
      <c r="J2380" s="35">
        <f>_xlfn.XLOOKUP(C2380,'Project Details'!$C$17:$C$66,'Project Details'!$H$17:$H$66,"",0)</f>
        <v>0</v>
      </c>
      <c r="K2380" s="36" t="str">
        <f>IF(AND(_xlfn.XLOOKUP(C2380,'Project Details'!$C$17:$C$66,'Project Details'!$L$17:$L$66,"",0)&gt;550, F2380="Spring-L27cm"),"",SUBSTITUTE(_xlfn.XLOOKUP(G2380,SKUs!$C$2:$C$10001,SKUs!$F$2:$F$10001,"",0), " Accessories",""))</f>
        <v/>
      </c>
      <c r="L2380" s="36">
        <f>_xlfn.XLOOKUP(C2380,'Project Details'!$C$17:$C$66,'Project Details'!$D$17:$D$66,"",0)</f>
        <v>0</v>
      </c>
      <c r="M2380" s="43"/>
    </row>
    <row r="2381" spans="1:13" x14ac:dyDescent="0.25">
      <c r="A2381" s="43"/>
      <c r="B2381" s="43"/>
      <c r="C2381" s="16">
        <f t="shared" si="46"/>
        <v>48</v>
      </c>
      <c r="D2381" s="16" t="str" cm="1">
        <f t="array" ref="D2381">IFERROR(ROUNDUP(_xlfn.IFS(F2381="Aluminum Track", _xlfn.XLOOKUP(C2381, dd_accsrycalc!$A$2:$A$51, dd_accsrycalc!$B$2:$B$51, "",0), F2381="10 x 2 1/2 S (Flat)", _xlfn.XLOOKUP(C2381, dd_accsrycalc!$A$2:$A$51, dd_accsrycalc!$C$2:$C$51, "",0), F2381="Tox6", _xlfn.XLOOKUP(C2381, dd_accsrycalc!$A$2:$A$51, dd_accsrycalc!$D$2:$D$51, "",0), F2381="Cover Cap", _xlfn.XLOOKUP(C2381, dd_accsrycalc!$A$2:$A$51, dd_accsrycalc!$E$2:$E$51, "",0), F2381="Drainage Cover", _xlfn.XLOOKUP(C2381, dd_accsrycalc!$A$2:$A$51, dd_accsrycalc!$F$2:$F$51, "",0),AND( F2381="Double Adhesive Tape", I2381="Roll-up Screen"), _xlfn.XLOOKUP(C2381, calc_rusacc!$C$15:$C$65, calc_rusacc!$AD$15:$AD$65, "",0),AND( F2381="Sealant", I2381="Roll-up Screen"), _xlfn.XLOOKUP(C2381, calc_rusacc!$C$15:$C$65, calc_rusacc!$AF$15:$AF$65, "",0),  AND( F2381="Main Chain", I2381="Accordion Screen"), _xlfn.XLOOKUP(C2381, calc_rusacc!$C$15:$C$65, calc_rusacc!$BF$15:$BF$65, "",0), AND( F2381="Sealant", I2381="Accordion Screen"), _xlfn.XLOOKUP(C2381, calc_rusacc!$C$15:$C$65, calc_rusacc!$BJ$15:$BJ$65, "",0),  F2381="Sealant", _xlfn.XLOOKUP(C2381, dd_accsrycalc!$A$2:$A$51, dd_accsrycalc!$G$2:$G$51, "",0),  F2381&lt;&gt;"",L2381*_xlfn.XLOOKUP(1, (SKUs!$C$2:$C$10001=G2381)*(SKUs!$K$2:$K$10001=I2381),SKUs!$E$2:$E$10001)), 0),"")</f>
        <v/>
      </c>
      <c r="E2381" s="16" t="str">
        <f>_xlfn.XLOOKUP(F2381,dd_item!$B$2:$B$105,dd_item!$C$2:$C$105,"",0)</f>
        <v/>
      </c>
      <c r="F2381" s="16"/>
      <c r="G2381" s="16" cm="1">
        <f t="array" ref="G2381">IFERROR(_xlfn.XLOOKUP(1, (SKUs!$J$2:$J$10001=accsry_unmerged!F2381)*IF(H2381&lt;&gt;"",(SKUs!$L$2:$L$10001=accsry_unmerged!H2381),1)*(SKUs!$K$2:$K$10001=I2381),SKUs!$C$2:$C$10001),"")</f>
        <v>0</v>
      </c>
      <c r="H2381" s="33" cm="1">
        <f t="array" ref="H2381">IFERROR(_xlfn.XLOOKUP(1, (dd_accsryclr!$C$2:$C$1000=accsry_unmerged!F2381)*(dd_accsryclr!$B$2:$B$1000=accsry_unmerged!J2381),dd_accsryclr!$A$2:$A$1000),"")</f>
        <v>0</v>
      </c>
      <c r="I2381" s="16">
        <f>_xlfn.XLOOKUP(C2381,'Project Details'!$C$17:$C$66,'Project Details'!$E$17:$E$66,"",0)</f>
        <v>0</v>
      </c>
      <c r="J2381" s="16">
        <f>_xlfn.XLOOKUP(C2381,'Project Details'!$C$17:$C$66,'Project Details'!$H$17:$H$66,"",0)</f>
        <v>0</v>
      </c>
      <c r="K2381" s="33" t="str">
        <f>IF(AND(_xlfn.XLOOKUP(C2381,'Project Details'!$C$17:$C$66,'Project Details'!$L$17:$L$66,"",0)&gt;550, F2381="Spring-L27cm"),"",SUBSTITUTE(_xlfn.XLOOKUP(G2381,SKUs!$C$2:$C$10001,SKUs!$F$2:$F$10001,"",0), " Accessories",""))</f>
        <v/>
      </c>
      <c r="L2381" s="33">
        <f>_xlfn.XLOOKUP(C2381,'Project Details'!$C$17:$C$66,'Project Details'!$D$17:$D$66,"",0)</f>
        <v>0</v>
      </c>
      <c r="M2381" s="43"/>
    </row>
    <row r="2382" spans="1:13" x14ac:dyDescent="0.25">
      <c r="A2382" s="43"/>
      <c r="B2382" s="43"/>
      <c r="C2382" s="35">
        <f t="shared" si="46"/>
        <v>48</v>
      </c>
      <c r="D2382" s="35" t="str" cm="1">
        <f t="array" ref="D2382">IFERROR(ROUNDUP(_xlfn.IFS(F2382="Aluminum Track", _xlfn.XLOOKUP(C2382, dd_accsrycalc!$A$2:$A$51, dd_accsrycalc!$B$2:$B$51, "",0), F2382="10 x 2 1/2 S (Flat)", _xlfn.XLOOKUP(C2382, dd_accsrycalc!$A$2:$A$51, dd_accsrycalc!$C$2:$C$51, "",0), F2382="Tox6", _xlfn.XLOOKUP(C2382, dd_accsrycalc!$A$2:$A$51, dd_accsrycalc!$D$2:$D$51, "",0), F2382="Cover Cap", _xlfn.XLOOKUP(C2382, dd_accsrycalc!$A$2:$A$51, dd_accsrycalc!$E$2:$E$51, "",0), F2382="Drainage Cover", _xlfn.XLOOKUP(C2382, dd_accsrycalc!$A$2:$A$51, dd_accsrycalc!$F$2:$F$51, "",0),AND( F2382="Double Adhesive Tape", I2382="Roll-up Screen"), _xlfn.XLOOKUP(C2382, calc_rusacc!$C$15:$C$65, calc_rusacc!$AD$15:$AD$65, "",0),AND( F2382="Sealant", I2382="Roll-up Screen"), _xlfn.XLOOKUP(C2382, calc_rusacc!$C$15:$C$65, calc_rusacc!$AF$15:$AF$65, "",0),  AND( F2382="Main Chain", I2382="Accordion Screen"), _xlfn.XLOOKUP(C2382, calc_rusacc!$C$15:$C$65, calc_rusacc!$BF$15:$BF$65, "",0), AND( F2382="Sealant", I2382="Accordion Screen"), _xlfn.XLOOKUP(C2382, calc_rusacc!$C$15:$C$65, calc_rusacc!$BJ$15:$BJ$65, "",0),  F2382="Sealant", _xlfn.XLOOKUP(C2382, dd_accsrycalc!$A$2:$A$51, dd_accsrycalc!$G$2:$G$51, "",0),  F2382&lt;&gt;"",L2382*_xlfn.XLOOKUP(1, (SKUs!$C$2:$C$10001=G2382)*(SKUs!$K$2:$K$10001=I2382),SKUs!$E$2:$E$10001)), 0),"")</f>
        <v/>
      </c>
      <c r="E2382" s="35" t="str">
        <f>_xlfn.XLOOKUP(F2382,dd_item!$B$2:$B$105,dd_item!$C$2:$C$105,"",0)</f>
        <v/>
      </c>
      <c r="F2382" s="35"/>
      <c r="G2382" s="35" cm="1">
        <f t="array" ref="G2382">IFERROR(_xlfn.XLOOKUP(1, (SKUs!$J$2:$J$10001=accsry_unmerged!F2382)*IF(H2382&lt;&gt;"",(SKUs!$L$2:$L$10001=accsry_unmerged!H2382),1)*(SKUs!$K$2:$K$10001=I2382),SKUs!$C$2:$C$10001),"")</f>
        <v>0</v>
      </c>
      <c r="H2382" s="36" cm="1">
        <f t="array" ref="H2382">IFERROR(_xlfn.XLOOKUP(1, (dd_accsryclr!$C$2:$C$1000=accsry_unmerged!F2382)*(dd_accsryclr!$B$2:$B$1000=accsry_unmerged!J2382),dd_accsryclr!$A$2:$A$1000),"")</f>
        <v>0</v>
      </c>
      <c r="I2382" s="35">
        <f>_xlfn.XLOOKUP(C2382,'Project Details'!$C$17:$C$66,'Project Details'!$E$17:$E$66,"",0)</f>
        <v>0</v>
      </c>
      <c r="J2382" s="35">
        <f>_xlfn.XLOOKUP(C2382,'Project Details'!$C$17:$C$66,'Project Details'!$H$17:$H$66,"",0)</f>
        <v>0</v>
      </c>
      <c r="K2382" s="36" t="str">
        <f>IF(AND(_xlfn.XLOOKUP(C2382,'Project Details'!$C$17:$C$66,'Project Details'!$L$17:$L$66,"",0)&gt;550, F2382="Spring-L27cm"),"",SUBSTITUTE(_xlfn.XLOOKUP(G2382,SKUs!$C$2:$C$10001,SKUs!$F$2:$F$10001,"",0), " Accessories",""))</f>
        <v/>
      </c>
      <c r="L2382" s="36">
        <f>_xlfn.XLOOKUP(C2382,'Project Details'!$C$17:$C$66,'Project Details'!$D$17:$D$66,"",0)</f>
        <v>0</v>
      </c>
      <c r="M2382" s="43"/>
    </row>
    <row r="2383" spans="1:13" x14ac:dyDescent="0.25">
      <c r="A2383" s="43"/>
      <c r="B2383" s="43"/>
      <c r="C2383" s="16">
        <f t="shared" si="46"/>
        <v>48</v>
      </c>
      <c r="D2383" s="16" t="str" cm="1">
        <f t="array" ref="D2383">IFERROR(ROUNDUP(_xlfn.IFS(F2383="Aluminum Track", _xlfn.XLOOKUP(C2383, dd_accsrycalc!$A$2:$A$51, dd_accsrycalc!$B$2:$B$51, "",0), F2383="10 x 2 1/2 S (Flat)", _xlfn.XLOOKUP(C2383, dd_accsrycalc!$A$2:$A$51, dd_accsrycalc!$C$2:$C$51, "",0), F2383="Tox6", _xlfn.XLOOKUP(C2383, dd_accsrycalc!$A$2:$A$51, dd_accsrycalc!$D$2:$D$51, "",0), F2383="Cover Cap", _xlfn.XLOOKUP(C2383, dd_accsrycalc!$A$2:$A$51, dd_accsrycalc!$E$2:$E$51, "",0), F2383="Drainage Cover", _xlfn.XLOOKUP(C2383, dd_accsrycalc!$A$2:$A$51, dd_accsrycalc!$F$2:$F$51, "",0),AND( F2383="Double Adhesive Tape", I2383="Roll-up Screen"), _xlfn.XLOOKUP(C2383, calc_rusacc!$C$15:$C$65, calc_rusacc!$AD$15:$AD$65, "",0),AND( F2383="Sealant", I2383="Roll-up Screen"), _xlfn.XLOOKUP(C2383, calc_rusacc!$C$15:$C$65, calc_rusacc!$AF$15:$AF$65, "",0),  AND( F2383="Main Chain", I2383="Accordion Screen"), _xlfn.XLOOKUP(C2383, calc_rusacc!$C$15:$C$65, calc_rusacc!$BF$15:$BF$65, "",0), AND( F2383="Sealant", I2383="Accordion Screen"), _xlfn.XLOOKUP(C2383, calc_rusacc!$C$15:$C$65, calc_rusacc!$BJ$15:$BJ$65, "",0),  F2383="Sealant", _xlfn.XLOOKUP(C2383, dd_accsrycalc!$A$2:$A$51, dd_accsrycalc!$G$2:$G$51, "",0),  F2383&lt;&gt;"",L2383*_xlfn.XLOOKUP(1, (SKUs!$C$2:$C$10001=G2383)*(SKUs!$K$2:$K$10001=I2383),SKUs!$E$2:$E$10001)), 0),"")</f>
        <v/>
      </c>
      <c r="E2383" s="16" t="str">
        <f>_xlfn.XLOOKUP(F2383,dd_item!$B$2:$B$105,dd_item!$C$2:$C$105,"",0)</f>
        <v/>
      </c>
      <c r="F2383" s="16"/>
      <c r="G2383" s="16" cm="1">
        <f t="array" ref="G2383">IFERROR(_xlfn.XLOOKUP(1, (SKUs!$J$2:$J$10001=accsry_unmerged!F2383)*IF(H2383&lt;&gt;"",(SKUs!$L$2:$L$10001=accsry_unmerged!H2383),1)*(SKUs!$K$2:$K$10001=I2383),SKUs!$C$2:$C$10001),"")</f>
        <v>0</v>
      </c>
      <c r="H2383" s="33" cm="1">
        <f t="array" ref="H2383">IFERROR(_xlfn.XLOOKUP(1, (dd_accsryclr!$C$2:$C$1000=accsry_unmerged!F2383)*(dd_accsryclr!$B$2:$B$1000=accsry_unmerged!J2383),dd_accsryclr!$A$2:$A$1000),"")</f>
        <v>0</v>
      </c>
      <c r="I2383" s="16">
        <f>_xlfn.XLOOKUP(C2383,'Project Details'!$C$17:$C$66,'Project Details'!$E$17:$E$66,"",0)</f>
        <v>0</v>
      </c>
      <c r="J2383" s="16">
        <f>_xlfn.XLOOKUP(C2383,'Project Details'!$C$17:$C$66,'Project Details'!$H$17:$H$66,"",0)</f>
        <v>0</v>
      </c>
      <c r="K2383" s="33" t="str">
        <f>IF(AND(_xlfn.XLOOKUP(C2383,'Project Details'!$C$17:$C$66,'Project Details'!$L$17:$L$66,"",0)&gt;550, F2383="Spring-L27cm"),"",SUBSTITUTE(_xlfn.XLOOKUP(G2383,SKUs!$C$2:$C$10001,SKUs!$F$2:$F$10001,"",0), " Accessories",""))</f>
        <v/>
      </c>
      <c r="L2383" s="33">
        <f>_xlfn.XLOOKUP(C2383,'Project Details'!$C$17:$C$66,'Project Details'!$D$17:$D$66,"",0)</f>
        <v>0</v>
      </c>
      <c r="M2383" s="43"/>
    </row>
    <row r="2384" spans="1:13" ht="13.5" customHeight="1" x14ac:dyDescent="0.25">
      <c r="A2384" s="43"/>
      <c r="B2384" s="43"/>
      <c r="C2384" s="35">
        <f t="shared" si="46"/>
        <v>48</v>
      </c>
      <c r="D2384" s="35" t="str" cm="1">
        <f t="array" ref="D2384">IFERROR(ROUNDUP(_xlfn.IFS(F2384="Aluminum Track", _xlfn.XLOOKUP(C2384, dd_accsrycalc!$A$2:$A$51, dd_accsrycalc!$B$2:$B$51, "",0), F2384="10 x 2 1/2 S (Flat)", _xlfn.XLOOKUP(C2384, dd_accsrycalc!$A$2:$A$51, dd_accsrycalc!$C$2:$C$51, "",0), F2384="Tox6", _xlfn.XLOOKUP(C2384, dd_accsrycalc!$A$2:$A$51, dd_accsrycalc!$D$2:$D$51, "",0), F2384="Cover Cap", _xlfn.XLOOKUP(C2384, dd_accsrycalc!$A$2:$A$51, dd_accsrycalc!$E$2:$E$51, "",0), F2384="Drainage Cover", _xlfn.XLOOKUP(C2384, dd_accsrycalc!$A$2:$A$51, dd_accsrycalc!$F$2:$F$51, "",0),AND( F2384="Double Adhesive Tape", I2384="Roll-up Screen"), _xlfn.XLOOKUP(C2384, calc_rusacc!$C$15:$C$65, calc_rusacc!$AD$15:$AD$65, "",0),AND( F2384="Sealant", I2384="Roll-up Screen"), _xlfn.XLOOKUP(C2384, calc_rusacc!$C$15:$C$65, calc_rusacc!$AF$15:$AF$65, "",0),  AND( F2384="Main Chain", I2384="Accordion Screen"), _xlfn.XLOOKUP(C2384, calc_rusacc!$C$15:$C$65, calc_rusacc!$BF$15:$BF$65, "",0), AND( F2384="Sealant", I2384="Accordion Screen"), _xlfn.XLOOKUP(C2384, calc_rusacc!$C$15:$C$65, calc_rusacc!$BJ$15:$BJ$65, "",0),  F2384="Sealant", _xlfn.XLOOKUP(C2384, dd_accsrycalc!$A$2:$A$51, dd_accsrycalc!$G$2:$G$51, "",0),  F2384&lt;&gt;"",L2384*_xlfn.XLOOKUP(1, (SKUs!$C$2:$C$10001=G2384)*(SKUs!$K$2:$K$10001=I2384),SKUs!$E$2:$E$10001)), 0),"")</f>
        <v/>
      </c>
      <c r="E2384" s="35" t="str">
        <f>_xlfn.XLOOKUP(F2384,dd_item!$B$2:$B$105,dd_item!$C$2:$C$105,"",0)</f>
        <v/>
      </c>
      <c r="F2384" s="35"/>
      <c r="G2384" s="35" cm="1">
        <f t="array" ref="G2384">IFERROR(_xlfn.XLOOKUP(1, (SKUs!$J$2:$J$10001=accsry_unmerged!F2384)*IF(H2384&lt;&gt;"",(SKUs!$L$2:$L$10001=accsry_unmerged!H2384),1)*(SKUs!$K$2:$K$10001=I2384),SKUs!$C$2:$C$10001),"")</f>
        <v>0</v>
      </c>
      <c r="H2384" s="36" cm="1">
        <f t="array" ref="H2384">IFERROR(_xlfn.XLOOKUP(1, (dd_accsryclr!$C$2:$C$1000=accsry_unmerged!F2384)*(dd_accsryclr!$B$2:$B$1000=accsry_unmerged!J2384),dd_accsryclr!$A$2:$A$1000),"")</f>
        <v>0</v>
      </c>
      <c r="I2384" s="35">
        <f>_xlfn.XLOOKUP(C2384,'Project Details'!$C$17:$C$66,'Project Details'!$E$17:$E$66,"",0)</f>
        <v>0</v>
      </c>
      <c r="J2384" s="35">
        <f>_xlfn.XLOOKUP(C2384,'Project Details'!$C$17:$C$66,'Project Details'!$H$17:$H$66,"",0)</f>
        <v>0</v>
      </c>
      <c r="K2384" s="36" t="str">
        <f>IF(AND(_xlfn.XLOOKUP(C2384,'Project Details'!$C$17:$C$66,'Project Details'!$L$17:$L$66,"",0)&gt;550, F2384="Spring-L27cm"),"",SUBSTITUTE(_xlfn.XLOOKUP(G2384,SKUs!$C$2:$C$10001,SKUs!$F$2:$F$10001,"",0), " Accessories",""))</f>
        <v/>
      </c>
      <c r="L2384" s="36">
        <f>_xlfn.XLOOKUP(C2384,'Project Details'!$C$17:$C$66,'Project Details'!$D$17:$D$66,"",0)</f>
        <v>0</v>
      </c>
      <c r="M2384" s="43"/>
    </row>
    <row r="2385" spans="1:13" ht="13.5" customHeight="1" x14ac:dyDescent="0.25">
      <c r="A2385" s="43"/>
      <c r="B2385" s="43"/>
      <c r="C2385" s="16">
        <f t="shared" si="46"/>
        <v>48</v>
      </c>
      <c r="D2385" s="16" t="str" cm="1">
        <f t="array" ref="D2385">IFERROR(ROUNDUP(_xlfn.IFS(F2385="Aluminum Track", _xlfn.XLOOKUP(C2385, dd_accsrycalc!$A$2:$A$51, dd_accsrycalc!$B$2:$B$51, "",0), F2385="10 x 2 1/2 S (Flat)", _xlfn.XLOOKUP(C2385, dd_accsrycalc!$A$2:$A$51, dd_accsrycalc!$C$2:$C$51, "",0), F2385="Tox6", _xlfn.XLOOKUP(C2385, dd_accsrycalc!$A$2:$A$51, dd_accsrycalc!$D$2:$D$51, "",0), F2385="Cover Cap", _xlfn.XLOOKUP(C2385, dd_accsrycalc!$A$2:$A$51, dd_accsrycalc!$E$2:$E$51, "",0), F2385="Drainage Cover", _xlfn.XLOOKUP(C2385, dd_accsrycalc!$A$2:$A$51, dd_accsrycalc!$F$2:$F$51, "",0),AND( F2385="Double Adhesive Tape", I2385="Roll-up Screen"), _xlfn.XLOOKUP(C2385, calc_rusacc!$C$15:$C$65, calc_rusacc!$AD$15:$AD$65, "",0),AND( F2385="Sealant", I2385="Roll-up Screen"), _xlfn.XLOOKUP(C2385, calc_rusacc!$C$15:$C$65, calc_rusacc!$AF$15:$AF$65, "",0),  AND( F2385="Main Chain", I2385="Accordion Screen"), _xlfn.XLOOKUP(C2385, calc_rusacc!$C$15:$C$65, calc_rusacc!$BF$15:$BF$65, "",0), AND( F2385="Sealant", I2385="Accordion Screen"), _xlfn.XLOOKUP(C2385, calc_rusacc!$C$15:$C$65, calc_rusacc!$BJ$15:$BJ$65, "",0),  F2385="Sealant", _xlfn.XLOOKUP(C2385, dd_accsrycalc!$A$2:$A$51, dd_accsrycalc!$G$2:$G$51, "",0),  F2385&lt;&gt;"",L2385*_xlfn.XLOOKUP(1, (SKUs!$C$2:$C$10001=G2385)*(SKUs!$K$2:$K$10001=I2385),SKUs!$E$2:$E$10001)), 0),"")</f>
        <v/>
      </c>
      <c r="E2385" s="16" t="str">
        <f>_xlfn.XLOOKUP(F2385,dd_item!$B$2:$B$105,dd_item!$C$2:$C$105,"",0)</f>
        <v/>
      </c>
      <c r="F2385" s="16"/>
      <c r="G2385" s="16" cm="1">
        <f t="array" ref="G2385">IFERROR(_xlfn.XLOOKUP(1, (SKUs!$J$2:$J$10001=accsry_unmerged!F2385)*IF(H2385&lt;&gt;"",(SKUs!$L$2:$L$10001=accsry_unmerged!H2385),1)*(SKUs!$K$2:$K$10001=I2385),SKUs!$C$2:$C$10001),"")</f>
        <v>0</v>
      </c>
      <c r="H2385" s="33" cm="1">
        <f t="array" ref="H2385">IFERROR(_xlfn.XLOOKUP(1, (dd_accsryclr!$C$2:$C$1000=accsry_unmerged!F2385)*(dd_accsryclr!$B$2:$B$1000=accsry_unmerged!J2385),dd_accsryclr!$A$2:$A$1000),"")</f>
        <v>0</v>
      </c>
      <c r="I2385" s="16">
        <f>_xlfn.XLOOKUP(C2385,'Project Details'!$C$17:$C$66,'Project Details'!$E$17:$E$66,"",0)</f>
        <v>0</v>
      </c>
      <c r="J2385" s="16">
        <f>_xlfn.XLOOKUP(C2385,'Project Details'!$C$17:$C$66,'Project Details'!$H$17:$H$66,"",0)</f>
        <v>0</v>
      </c>
      <c r="K2385" s="33" t="str">
        <f>IF(AND(_xlfn.XLOOKUP(C2385,'Project Details'!$C$17:$C$66,'Project Details'!$L$17:$L$66,"",0)&gt;550, F2385="Spring-L27cm"),"",SUBSTITUTE(_xlfn.XLOOKUP(G2385,SKUs!$C$2:$C$10001,SKUs!$F$2:$F$10001,"",0), " Accessories",""))</f>
        <v/>
      </c>
      <c r="L2385" s="33">
        <f>_xlfn.XLOOKUP(C2385,'Project Details'!$C$17:$C$66,'Project Details'!$D$17:$D$66,"",0)</f>
        <v>0</v>
      </c>
      <c r="M2385" s="43"/>
    </row>
    <row r="2386" spans="1:13" ht="13.5" customHeight="1" x14ac:dyDescent="0.25">
      <c r="A2386" s="43"/>
      <c r="B2386" s="43"/>
      <c r="C2386" s="35">
        <f t="shared" si="46"/>
        <v>48</v>
      </c>
      <c r="D2386" s="35" t="str" cm="1">
        <f t="array" ref="D2386">IFERROR(ROUNDUP(_xlfn.IFS(F2386="Aluminum Track", _xlfn.XLOOKUP(C2386, dd_accsrycalc!$A$2:$A$51, dd_accsrycalc!$B$2:$B$51, "",0), F2386="10 x 2 1/2 S (Flat)", _xlfn.XLOOKUP(C2386, dd_accsrycalc!$A$2:$A$51, dd_accsrycalc!$C$2:$C$51, "",0), F2386="Tox6", _xlfn.XLOOKUP(C2386, dd_accsrycalc!$A$2:$A$51, dd_accsrycalc!$D$2:$D$51, "",0), F2386="Cover Cap", _xlfn.XLOOKUP(C2386, dd_accsrycalc!$A$2:$A$51, dd_accsrycalc!$E$2:$E$51, "",0), F2386="Drainage Cover", _xlfn.XLOOKUP(C2386, dd_accsrycalc!$A$2:$A$51, dd_accsrycalc!$F$2:$F$51, "",0),AND( F2386="Double Adhesive Tape", I2386="Roll-up Screen"), _xlfn.XLOOKUP(C2386, calc_rusacc!$C$15:$C$65, calc_rusacc!$AD$15:$AD$65, "",0),AND( F2386="Sealant", I2386="Roll-up Screen"), _xlfn.XLOOKUP(C2386, calc_rusacc!$C$15:$C$65, calc_rusacc!$AF$15:$AF$65, "",0),  AND( F2386="Main Chain", I2386="Accordion Screen"), _xlfn.XLOOKUP(C2386, calc_rusacc!$C$15:$C$65, calc_rusacc!$BF$15:$BF$65, "",0), AND( F2386="Sealant", I2386="Accordion Screen"), _xlfn.XLOOKUP(C2386, calc_rusacc!$C$15:$C$65, calc_rusacc!$BJ$15:$BJ$65, "",0),  F2386="Sealant", _xlfn.XLOOKUP(C2386, dd_accsrycalc!$A$2:$A$51, dd_accsrycalc!$G$2:$G$51, "",0),  F2386&lt;&gt;"",L2386*_xlfn.XLOOKUP(1, (SKUs!$C$2:$C$10001=G2386)*(SKUs!$K$2:$K$10001=I2386),SKUs!$E$2:$E$10001)), 0),"")</f>
        <v/>
      </c>
      <c r="E2386" s="35" t="str">
        <f>_xlfn.XLOOKUP(F2386,dd_item!$B$2:$B$105,dd_item!$C$2:$C$105,"",0)</f>
        <v/>
      </c>
      <c r="F2386" s="35"/>
      <c r="G2386" s="35" cm="1">
        <f t="array" ref="G2386">IFERROR(_xlfn.XLOOKUP(1, (SKUs!$J$2:$J$10001=accsry_unmerged!F2386)*IF(H2386&lt;&gt;"",(SKUs!$L$2:$L$10001=accsry_unmerged!H2386),1)*(SKUs!$K$2:$K$10001=I2386),SKUs!$C$2:$C$10001),"")</f>
        <v>0</v>
      </c>
      <c r="H2386" s="36" cm="1">
        <f t="array" ref="H2386">IFERROR(_xlfn.XLOOKUP(1, (dd_accsryclr!$C$2:$C$1000=accsry_unmerged!F2386)*(dd_accsryclr!$B$2:$B$1000=accsry_unmerged!J2386),dd_accsryclr!$A$2:$A$1000),"")</f>
        <v>0</v>
      </c>
      <c r="I2386" s="35">
        <f>_xlfn.XLOOKUP(C2386,'Project Details'!$C$17:$C$66,'Project Details'!$E$17:$E$66,"",0)</f>
        <v>0</v>
      </c>
      <c r="J2386" s="35">
        <f>_xlfn.XLOOKUP(C2386,'Project Details'!$C$17:$C$66,'Project Details'!$H$17:$H$66,"",0)</f>
        <v>0</v>
      </c>
      <c r="K2386" s="36" t="str">
        <f>IF(AND(_xlfn.XLOOKUP(C2386,'Project Details'!$C$17:$C$66,'Project Details'!$L$17:$L$66,"",0)&gt;550, F2386="Spring-L27cm"),"",SUBSTITUTE(_xlfn.XLOOKUP(G2386,SKUs!$C$2:$C$10001,SKUs!$F$2:$F$10001,"",0), " Accessories",""))</f>
        <v/>
      </c>
      <c r="L2386" s="36">
        <f>_xlfn.XLOOKUP(C2386,'Project Details'!$C$17:$C$66,'Project Details'!$D$17:$D$66,"",0)</f>
        <v>0</v>
      </c>
      <c r="M2386" s="43"/>
    </row>
    <row r="2387" spans="1:13" ht="13.5" customHeight="1" x14ac:dyDescent="0.25">
      <c r="A2387" s="43"/>
      <c r="B2387" s="43"/>
      <c r="C2387" s="16">
        <f t="shared" si="46"/>
        <v>48</v>
      </c>
      <c r="D2387" s="16" t="str" cm="1">
        <f t="array" ref="D2387">IFERROR(ROUNDUP(_xlfn.IFS(F2387="Aluminum Track", _xlfn.XLOOKUP(C2387, dd_accsrycalc!$A$2:$A$51, dd_accsrycalc!$B$2:$B$51, "",0), F2387="10 x 2 1/2 S (Flat)", _xlfn.XLOOKUP(C2387, dd_accsrycalc!$A$2:$A$51, dd_accsrycalc!$C$2:$C$51, "",0), F2387="Tox6", _xlfn.XLOOKUP(C2387, dd_accsrycalc!$A$2:$A$51, dd_accsrycalc!$D$2:$D$51, "",0), F2387="Cover Cap", _xlfn.XLOOKUP(C2387, dd_accsrycalc!$A$2:$A$51, dd_accsrycalc!$E$2:$E$51, "",0), F2387="Drainage Cover", _xlfn.XLOOKUP(C2387, dd_accsrycalc!$A$2:$A$51, dd_accsrycalc!$F$2:$F$51, "",0),AND( F2387="Double Adhesive Tape", I2387="Roll-up Screen"), _xlfn.XLOOKUP(C2387, calc_rusacc!$C$15:$C$65, calc_rusacc!$AD$15:$AD$65, "",0),AND( F2387="Sealant", I2387="Roll-up Screen"), _xlfn.XLOOKUP(C2387, calc_rusacc!$C$15:$C$65, calc_rusacc!$AF$15:$AF$65, "",0),  AND( F2387="Main Chain", I2387="Accordion Screen"), _xlfn.XLOOKUP(C2387, calc_rusacc!$C$15:$C$65, calc_rusacc!$BF$15:$BF$65, "",0), AND( F2387="Sealant", I2387="Accordion Screen"), _xlfn.XLOOKUP(C2387, calc_rusacc!$C$15:$C$65, calc_rusacc!$BJ$15:$BJ$65, "",0),  F2387="Sealant", _xlfn.XLOOKUP(C2387, dd_accsrycalc!$A$2:$A$51, dd_accsrycalc!$G$2:$G$51, "",0),  F2387&lt;&gt;"",L2387*_xlfn.XLOOKUP(1, (SKUs!$C$2:$C$10001=G2387)*(SKUs!$K$2:$K$10001=I2387),SKUs!$E$2:$E$10001)), 0),"")</f>
        <v/>
      </c>
      <c r="E2387" s="16" t="str">
        <f>_xlfn.XLOOKUP(F2387,dd_item!$B$2:$B$105,dd_item!$C$2:$C$105,"",0)</f>
        <v/>
      </c>
      <c r="F2387" s="16"/>
      <c r="G2387" s="16" cm="1">
        <f t="array" ref="G2387">IFERROR(_xlfn.XLOOKUP(1, (SKUs!$J$2:$J$10001=accsry_unmerged!F2387)*IF(H2387&lt;&gt;"",(SKUs!$L$2:$L$10001=accsry_unmerged!H2387),1)*(SKUs!$K$2:$K$10001=I2387),SKUs!$C$2:$C$10001),"")</f>
        <v>0</v>
      </c>
      <c r="H2387" s="33" cm="1">
        <f t="array" ref="H2387">IFERROR(_xlfn.XLOOKUP(1, (dd_accsryclr!$C$2:$C$1000=accsry_unmerged!F2387)*(dd_accsryclr!$B$2:$B$1000=accsry_unmerged!J2387),dd_accsryclr!$A$2:$A$1000),"")</f>
        <v>0</v>
      </c>
      <c r="I2387" s="16">
        <f>_xlfn.XLOOKUP(C2387,'Project Details'!$C$17:$C$66,'Project Details'!$E$17:$E$66,"",0)</f>
        <v>0</v>
      </c>
      <c r="J2387" s="16">
        <f>_xlfn.XLOOKUP(C2387,'Project Details'!$C$17:$C$66,'Project Details'!$H$17:$H$66,"",0)</f>
        <v>0</v>
      </c>
      <c r="K2387" s="33" t="str">
        <f>IF(AND(_xlfn.XLOOKUP(C2387,'Project Details'!$C$17:$C$66,'Project Details'!$L$17:$L$66,"",0)&gt;550, F2387="Spring-L27cm"),"",SUBSTITUTE(_xlfn.XLOOKUP(G2387,SKUs!$C$2:$C$10001,SKUs!$F$2:$F$10001,"",0), " Accessories",""))</f>
        <v/>
      </c>
      <c r="L2387" s="33">
        <f>_xlfn.XLOOKUP(C2387,'Project Details'!$C$17:$C$66,'Project Details'!$D$17:$D$66,"",0)</f>
        <v>0</v>
      </c>
      <c r="M2387" s="43"/>
    </row>
    <row r="2388" spans="1:13" ht="13.5" customHeight="1" x14ac:dyDescent="0.25">
      <c r="A2388" s="43"/>
      <c r="B2388" s="43"/>
      <c r="C2388" s="35">
        <f t="shared" si="46"/>
        <v>48</v>
      </c>
      <c r="D2388" s="35" t="str" cm="1">
        <f t="array" ref="D2388">IFERROR(ROUNDUP(_xlfn.IFS(F2388="Aluminum Track", _xlfn.XLOOKUP(C2388, dd_accsrycalc!$A$2:$A$51, dd_accsrycalc!$B$2:$B$51, "",0), F2388="10 x 2 1/2 S (Flat)", _xlfn.XLOOKUP(C2388, dd_accsrycalc!$A$2:$A$51, dd_accsrycalc!$C$2:$C$51, "",0), F2388="Tox6", _xlfn.XLOOKUP(C2388, dd_accsrycalc!$A$2:$A$51, dd_accsrycalc!$D$2:$D$51, "",0), F2388="Cover Cap", _xlfn.XLOOKUP(C2388, dd_accsrycalc!$A$2:$A$51, dd_accsrycalc!$E$2:$E$51, "",0), F2388="Drainage Cover", _xlfn.XLOOKUP(C2388, dd_accsrycalc!$A$2:$A$51, dd_accsrycalc!$F$2:$F$51, "",0),AND( F2388="Double Adhesive Tape", I2388="Roll-up Screen"), _xlfn.XLOOKUP(C2388, calc_rusacc!$C$15:$C$65, calc_rusacc!$AD$15:$AD$65, "",0),AND( F2388="Sealant", I2388="Roll-up Screen"), _xlfn.XLOOKUP(C2388, calc_rusacc!$C$15:$C$65, calc_rusacc!$AF$15:$AF$65, "",0),  AND( F2388="Main Chain", I2388="Accordion Screen"), _xlfn.XLOOKUP(C2388, calc_rusacc!$C$15:$C$65, calc_rusacc!$BF$15:$BF$65, "",0), AND( F2388="Sealant", I2388="Accordion Screen"), _xlfn.XLOOKUP(C2388, calc_rusacc!$C$15:$C$65, calc_rusacc!$BJ$15:$BJ$65, "",0),  F2388="Sealant", _xlfn.XLOOKUP(C2388, dd_accsrycalc!$A$2:$A$51, dd_accsrycalc!$G$2:$G$51, "",0),  F2388&lt;&gt;"",L2388*_xlfn.XLOOKUP(1, (SKUs!$C$2:$C$10001=G2388)*(SKUs!$K$2:$K$10001=I2388),SKUs!$E$2:$E$10001)), 0),"")</f>
        <v/>
      </c>
      <c r="E2388" s="35" t="str">
        <f>_xlfn.XLOOKUP(F2388,dd_item!$B$2:$B$105,dd_item!$C$2:$C$105,"",0)</f>
        <v/>
      </c>
      <c r="F2388" s="35"/>
      <c r="G2388" s="35" cm="1">
        <f t="array" ref="G2388">IFERROR(_xlfn.XLOOKUP(1, (SKUs!$J$2:$J$10001=accsry_unmerged!F2388)*IF(H2388&lt;&gt;"",(SKUs!$L$2:$L$10001=accsry_unmerged!H2388),1)*(SKUs!$K$2:$K$10001=I2388),SKUs!$C$2:$C$10001),"")</f>
        <v>0</v>
      </c>
      <c r="H2388" s="36" cm="1">
        <f t="array" ref="H2388">IFERROR(_xlfn.XLOOKUP(1, (dd_accsryclr!$C$2:$C$1000=accsry_unmerged!F2388)*(dd_accsryclr!$B$2:$B$1000=accsry_unmerged!J2388),dd_accsryclr!$A$2:$A$1000),"")</f>
        <v>0</v>
      </c>
      <c r="I2388" s="35">
        <f>_xlfn.XLOOKUP(C2388,'Project Details'!$C$17:$C$66,'Project Details'!$E$17:$E$66,"",0)</f>
        <v>0</v>
      </c>
      <c r="J2388" s="35">
        <f>_xlfn.XLOOKUP(C2388,'Project Details'!$C$17:$C$66,'Project Details'!$H$17:$H$66,"",0)</f>
        <v>0</v>
      </c>
      <c r="K2388" s="36" t="str">
        <f>IF(AND(_xlfn.XLOOKUP(C2388,'Project Details'!$C$17:$C$66,'Project Details'!$L$17:$L$66,"",0)&gt;550, F2388="Spring-L27cm"),"",SUBSTITUTE(_xlfn.XLOOKUP(G2388,SKUs!$C$2:$C$10001,SKUs!$F$2:$F$10001,"",0), " Accessories",""))</f>
        <v/>
      </c>
      <c r="L2388" s="36">
        <f>_xlfn.XLOOKUP(C2388,'Project Details'!$C$17:$C$66,'Project Details'!$D$17:$D$66,"",0)</f>
        <v>0</v>
      </c>
      <c r="M2388" s="43"/>
    </row>
    <row r="2389" spans="1:13" ht="13.5" customHeight="1" x14ac:dyDescent="0.25">
      <c r="A2389" s="43"/>
      <c r="B2389" s="43"/>
      <c r="C2389" s="16">
        <f t="shared" si="46"/>
        <v>48</v>
      </c>
      <c r="D2389" s="16" t="str" cm="1">
        <f t="array" ref="D2389">IFERROR(ROUNDUP(_xlfn.IFS(F2389="Aluminum Track", _xlfn.XLOOKUP(C2389, dd_accsrycalc!$A$2:$A$51, dd_accsrycalc!$B$2:$B$51, "",0), F2389="10 x 2 1/2 S (Flat)", _xlfn.XLOOKUP(C2389, dd_accsrycalc!$A$2:$A$51, dd_accsrycalc!$C$2:$C$51, "",0), F2389="Tox6", _xlfn.XLOOKUP(C2389, dd_accsrycalc!$A$2:$A$51, dd_accsrycalc!$D$2:$D$51, "",0), F2389="Cover Cap", _xlfn.XLOOKUP(C2389, dd_accsrycalc!$A$2:$A$51, dd_accsrycalc!$E$2:$E$51, "",0), F2389="Drainage Cover", _xlfn.XLOOKUP(C2389, dd_accsrycalc!$A$2:$A$51, dd_accsrycalc!$F$2:$F$51, "",0),AND( F2389="Double Adhesive Tape", I2389="Roll-up Screen"), _xlfn.XLOOKUP(C2389, calc_rusacc!$C$15:$C$65, calc_rusacc!$AD$15:$AD$65, "",0),AND( F2389="Sealant", I2389="Roll-up Screen"), _xlfn.XLOOKUP(C2389, calc_rusacc!$C$15:$C$65, calc_rusacc!$AF$15:$AF$65, "",0),  AND( F2389="Main Chain", I2389="Accordion Screen"), _xlfn.XLOOKUP(C2389, calc_rusacc!$C$15:$C$65, calc_rusacc!$BF$15:$BF$65, "",0), AND( F2389="Sealant", I2389="Accordion Screen"), _xlfn.XLOOKUP(C2389, calc_rusacc!$C$15:$C$65, calc_rusacc!$BJ$15:$BJ$65, "",0),  F2389="Sealant", _xlfn.XLOOKUP(C2389, dd_accsrycalc!$A$2:$A$51, dd_accsrycalc!$G$2:$G$51, "",0),  F2389&lt;&gt;"",L2389*_xlfn.XLOOKUP(1, (SKUs!$C$2:$C$10001=G2389)*(SKUs!$K$2:$K$10001=I2389),SKUs!$E$2:$E$10001)), 0),"")</f>
        <v/>
      </c>
      <c r="E2389" s="16" t="str">
        <f>_xlfn.XLOOKUP(F2389,dd_item!$B$2:$B$105,dd_item!$C$2:$C$105,"",0)</f>
        <v/>
      </c>
      <c r="F2389" s="16"/>
      <c r="G2389" s="16" cm="1">
        <f t="array" ref="G2389">IFERROR(_xlfn.XLOOKUP(1, (SKUs!$J$2:$J$10001=accsry_unmerged!F2389)*IF(H2389&lt;&gt;"",(SKUs!$L$2:$L$10001=accsry_unmerged!H2389),1)*(SKUs!$K$2:$K$10001=I2389),SKUs!$C$2:$C$10001),"")</f>
        <v>0</v>
      </c>
      <c r="H2389" s="33" cm="1">
        <f t="array" ref="H2389">IFERROR(_xlfn.XLOOKUP(1, (dd_accsryclr!$C$2:$C$1000=accsry_unmerged!F2389)*(dd_accsryclr!$B$2:$B$1000=accsry_unmerged!J2389),dd_accsryclr!$A$2:$A$1000),"")</f>
        <v>0</v>
      </c>
      <c r="I2389" s="16">
        <f>_xlfn.XLOOKUP(C2389,'Project Details'!$C$17:$C$66,'Project Details'!$E$17:$E$66,"",0)</f>
        <v>0</v>
      </c>
      <c r="J2389" s="16">
        <f>_xlfn.XLOOKUP(C2389,'Project Details'!$C$17:$C$66,'Project Details'!$H$17:$H$66,"",0)</f>
        <v>0</v>
      </c>
      <c r="K2389" s="33" t="str">
        <f>IF(AND(_xlfn.XLOOKUP(C2389,'Project Details'!$C$17:$C$66,'Project Details'!$L$17:$L$66,"",0)&gt;550, F2389="Spring-L27cm"),"",SUBSTITUTE(_xlfn.XLOOKUP(G2389,SKUs!$C$2:$C$10001,SKUs!$F$2:$F$10001,"",0), " Accessories",""))</f>
        <v/>
      </c>
      <c r="L2389" s="33">
        <f>_xlfn.XLOOKUP(C2389,'Project Details'!$C$17:$C$66,'Project Details'!$D$17:$D$66,"",0)</f>
        <v>0</v>
      </c>
      <c r="M2389" s="43"/>
    </row>
    <row r="2390" spans="1:13" ht="13.5" customHeight="1" x14ac:dyDescent="0.25">
      <c r="A2390" s="43"/>
      <c r="B2390" s="43"/>
      <c r="C2390" s="35">
        <f t="shared" si="46"/>
        <v>48</v>
      </c>
      <c r="D2390" s="35" t="str" cm="1">
        <f t="array" ref="D2390">IFERROR(ROUNDUP(_xlfn.IFS(F2390="Aluminum Track", _xlfn.XLOOKUP(C2390, dd_accsrycalc!$A$2:$A$51, dd_accsrycalc!$B$2:$B$51, "",0), F2390="10 x 2 1/2 S (Flat)", _xlfn.XLOOKUP(C2390, dd_accsrycalc!$A$2:$A$51, dd_accsrycalc!$C$2:$C$51, "",0), F2390="Tox6", _xlfn.XLOOKUP(C2390, dd_accsrycalc!$A$2:$A$51, dd_accsrycalc!$D$2:$D$51, "",0), F2390="Cover Cap", _xlfn.XLOOKUP(C2390, dd_accsrycalc!$A$2:$A$51, dd_accsrycalc!$E$2:$E$51, "",0), F2390="Drainage Cover", _xlfn.XLOOKUP(C2390, dd_accsrycalc!$A$2:$A$51, dd_accsrycalc!$F$2:$F$51, "",0),AND( F2390="Double Adhesive Tape", I2390="Roll-up Screen"), _xlfn.XLOOKUP(C2390, calc_rusacc!$C$15:$C$65, calc_rusacc!$AD$15:$AD$65, "",0),AND( F2390="Sealant", I2390="Roll-up Screen"), _xlfn.XLOOKUP(C2390, calc_rusacc!$C$15:$C$65, calc_rusacc!$AF$15:$AF$65, "",0),  AND( F2390="Main Chain", I2390="Accordion Screen"), _xlfn.XLOOKUP(C2390, calc_rusacc!$C$15:$C$65, calc_rusacc!$BF$15:$BF$65, "",0), AND( F2390="Sealant", I2390="Accordion Screen"), _xlfn.XLOOKUP(C2390, calc_rusacc!$C$15:$C$65, calc_rusacc!$BJ$15:$BJ$65, "",0),  F2390="Sealant", _xlfn.XLOOKUP(C2390, dd_accsrycalc!$A$2:$A$51, dd_accsrycalc!$G$2:$G$51, "",0),  F2390&lt;&gt;"",L2390*_xlfn.XLOOKUP(1, (SKUs!$C$2:$C$10001=G2390)*(SKUs!$K$2:$K$10001=I2390),SKUs!$E$2:$E$10001)), 0),"")</f>
        <v/>
      </c>
      <c r="E2390" s="35" t="str">
        <f>_xlfn.XLOOKUP(F2390,dd_item!$B$2:$B$105,dd_item!$C$2:$C$105,"",0)</f>
        <v/>
      </c>
      <c r="F2390" s="35"/>
      <c r="G2390" s="35" cm="1">
        <f t="array" ref="G2390">IFERROR(_xlfn.XLOOKUP(1, (SKUs!$J$2:$J$10001=accsry_unmerged!F2390)*IF(H2390&lt;&gt;"",(SKUs!$L$2:$L$10001=accsry_unmerged!H2390),1)*(SKUs!$K$2:$K$10001=I2390),SKUs!$C$2:$C$10001),"")</f>
        <v>0</v>
      </c>
      <c r="H2390" s="36" cm="1">
        <f t="array" ref="H2390">IFERROR(_xlfn.XLOOKUP(1, (dd_accsryclr!$C$2:$C$1000=accsry_unmerged!F2390)*(dd_accsryclr!$B$2:$B$1000=accsry_unmerged!J2390),dd_accsryclr!$A$2:$A$1000),"")</f>
        <v>0</v>
      </c>
      <c r="I2390" s="35">
        <f>_xlfn.XLOOKUP(C2390,'Project Details'!$C$17:$C$66,'Project Details'!$E$17:$E$66,"",0)</f>
        <v>0</v>
      </c>
      <c r="J2390" s="35">
        <f>_xlfn.XLOOKUP(C2390,'Project Details'!$C$17:$C$66,'Project Details'!$H$17:$H$66,"",0)</f>
        <v>0</v>
      </c>
      <c r="K2390" s="36" t="str">
        <f>IF(AND(_xlfn.XLOOKUP(C2390,'Project Details'!$C$17:$C$66,'Project Details'!$L$17:$L$66,"",0)&gt;550, F2390="Spring-L27cm"),"",SUBSTITUTE(_xlfn.XLOOKUP(G2390,SKUs!$C$2:$C$10001,SKUs!$F$2:$F$10001,"",0), " Accessories",""))</f>
        <v/>
      </c>
      <c r="L2390" s="36">
        <f>_xlfn.XLOOKUP(C2390,'Project Details'!$C$17:$C$66,'Project Details'!$D$17:$D$66,"",0)</f>
        <v>0</v>
      </c>
      <c r="M2390" s="43"/>
    </row>
    <row r="2391" spans="1:13" ht="13.5" customHeight="1" x14ac:dyDescent="0.25">
      <c r="A2391" s="43"/>
      <c r="B2391" s="43"/>
      <c r="C2391" s="16">
        <f t="shared" si="46"/>
        <v>48</v>
      </c>
      <c r="D2391" s="16" t="str" cm="1">
        <f t="array" ref="D2391">IFERROR(ROUNDUP(_xlfn.IFS(F2391="Aluminum Track", _xlfn.XLOOKUP(C2391, dd_accsrycalc!$A$2:$A$51, dd_accsrycalc!$B$2:$B$51, "",0), F2391="10 x 2 1/2 S (Flat)", _xlfn.XLOOKUP(C2391, dd_accsrycalc!$A$2:$A$51, dd_accsrycalc!$C$2:$C$51, "",0), F2391="Tox6", _xlfn.XLOOKUP(C2391, dd_accsrycalc!$A$2:$A$51, dd_accsrycalc!$D$2:$D$51, "",0), F2391="Cover Cap", _xlfn.XLOOKUP(C2391, dd_accsrycalc!$A$2:$A$51, dd_accsrycalc!$E$2:$E$51, "",0), F2391="Drainage Cover", _xlfn.XLOOKUP(C2391, dd_accsrycalc!$A$2:$A$51, dd_accsrycalc!$F$2:$F$51, "",0),AND( F2391="Double Adhesive Tape", I2391="Roll-up Screen"), _xlfn.XLOOKUP(C2391, calc_rusacc!$C$15:$C$65, calc_rusacc!$AD$15:$AD$65, "",0),AND( F2391="Sealant", I2391="Roll-up Screen"), _xlfn.XLOOKUP(C2391, calc_rusacc!$C$15:$C$65, calc_rusacc!$AF$15:$AF$65, "",0),  AND( F2391="Main Chain", I2391="Accordion Screen"), _xlfn.XLOOKUP(C2391, calc_rusacc!$C$15:$C$65, calc_rusacc!$BF$15:$BF$65, "",0), AND( F2391="Sealant", I2391="Accordion Screen"), _xlfn.XLOOKUP(C2391, calc_rusacc!$C$15:$C$65, calc_rusacc!$BJ$15:$BJ$65, "",0),  F2391="Sealant", _xlfn.XLOOKUP(C2391, dd_accsrycalc!$A$2:$A$51, dd_accsrycalc!$G$2:$G$51, "",0),  F2391&lt;&gt;"",L2391*_xlfn.XLOOKUP(1, (SKUs!$C$2:$C$10001=G2391)*(SKUs!$K$2:$K$10001=I2391),SKUs!$E$2:$E$10001)), 0),"")</f>
        <v/>
      </c>
      <c r="E2391" s="16" t="str">
        <f>_xlfn.XLOOKUP(F2391,dd_item!$B$2:$B$105,dd_item!$C$2:$C$105,"",0)</f>
        <v/>
      </c>
      <c r="F2391" s="16"/>
      <c r="G2391" s="16" cm="1">
        <f t="array" ref="G2391">IFERROR(_xlfn.XLOOKUP(1, (SKUs!$J$2:$J$10001=accsry_unmerged!F2391)*IF(H2391&lt;&gt;"",(SKUs!$L$2:$L$10001=accsry_unmerged!H2391),1)*(SKUs!$K$2:$K$10001=I2391),SKUs!$C$2:$C$10001),"")</f>
        <v>0</v>
      </c>
      <c r="H2391" s="33" cm="1">
        <f t="array" ref="H2391">IFERROR(_xlfn.XLOOKUP(1, (dd_accsryclr!$C$2:$C$1000=accsry_unmerged!F2391)*(dd_accsryclr!$B$2:$B$1000=accsry_unmerged!J2391),dd_accsryclr!$A$2:$A$1000),"")</f>
        <v>0</v>
      </c>
      <c r="I2391" s="16">
        <f>_xlfn.XLOOKUP(C2391,'Project Details'!$C$17:$C$66,'Project Details'!$E$17:$E$66,"",0)</f>
        <v>0</v>
      </c>
      <c r="J2391" s="16">
        <f>_xlfn.XLOOKUP(C2391,'Project Details'!$C$17:$C$66,'Project Details'!$H$17:$H$66,"",0)</f>
        <v>0</v>
      </c>
      <c r="K2391" s="33" t="str">
        <f>IF(AND(_xlfn.XLOOKUP(C2391,'Project Details'!$C$17:$C$66,'Project Details'!$L$17:$L$66,"",0)&gt;550, F2391="Spring-L27cm"),"",SUBSTITUTE(_xlfn.XLOOKUP(G2391,SKUs!$C$2:$C$10001,SKUs!$F$2:$F$10001,"",0), " Accessories",""))</f>
        <v/>
      </c>
      <c r="L2391" s="33">
        <f>_xlfn.XLOOKUP(C2391,'Project Details'!$C$17:$C$66,'Project Details'!$D$17:$D$66,"",0)</f>
        <v>0</v>
      </c>
      <c r="M2391" s="43"/>
    </row>
    <row r="2392" spans="1:13" ht="13.5" customHeight="1" x14ac:dyDescent="0.25">
      <c r="A2392" s="43"/>
      <c r="B2392" s="43"/>
      <c r="C2392" s="35">
        <f t="shared" si="46"/>
        <v>48</v>
      </c>
      <c r="D2392" s="35" t="str" cm="1">
        <f t="array" ref="D2392">IFERROR(ROUNDUP(_xlfn.IFS(F2392="Aluminum Track", _xlfn.XLOOKUP(C2392, dd_accsrycalc!$A$2:$A$51, dd_accsrycalc!$B$2:$B$51, "",0), F2392="10 x 2 1/2 S (Flat)", _xlfn.XLOOKUP(C2392, dd_accsrycalc!$A$2:$A$51, dd_accsrycalc!$C$2:$C$51, "",0), F2392="Tox6", _xlfn.XLOOKUP(C2392, dd_accsrycalc!$A$2:$A$51, dd_accsrycalc!$D$2:$D$51, "",0), F2392="Cover Cap", _xlfn.XLOOKUP(C2392, dd_accsrycalc!$A$2:$A$51, dd_accsrycalc!$E$2:$E$51, "",0), F2392="Drainage Cover", _xlfn.XLOOKUP(C2392, dd_accsrycalc!$A$2:$A$51, dd_accsrycalc!$F$2:$F$51, "",0),AND( F2392="Double Adhesive Tape", I2392="Roll-up Screen"), _xlfn.XLOOKUP(C2392, calc_rusacc!$C$15:$C$65, calc_rusacc!$AD$15:$AD$65, "",0),AND( F2392="Sealant", I2392="Roll-up Screen"), _xlfn.XLOOKUP(C2392, calc_rusacc!$C$15:$C$65, calc_rusacc!$AF$15:$AF$65, "",0),  AND( F2392="Main Chain", I2392="Accordion Screen"), _xlfn.XLOOKUP(C2392, calc_rusacc!$C$15:$C$65, calc_rusacc!$BF$15:$BF$65, "",0), AND( F2392="Sealant", I2392="Accordion Screen"), _xlfn.XLOOKUP(C2392, calc_rusacc!$C$15:$C$65, calc_rusacc!$BJ$15:$BJ$65, "",0),  F2392="Sealant", _xlfn.XLOOKUP(C2392, dd_accsrycalc!$A$2:$A$51, dd_accsrycalc!$G$2:$G$51, "",0),  F2392&lt;&gt;"",L2392*_xlfn.XLOOKUP(1, (SKUs!$C$2:$C$10001=G2392)*(SKUs!$K$2:$K$10001=I2392),SKUs!$E$2:$E$10001)), 0),"")</f>
        <v/>
      </c>
      <c r="E2392" s="35" t="str">
        <f>_xlfn.XLOOKUP(F2392,dd_item!$B$2:$B$105,dd_item!$C$2:$C$105,"",0)</f>
        <v/>
      </c>
      <c r="F2392" s="35"/>
      <c r="G2392" s="35" cm="1">
        <f t="array" ref="G2392">IFERROR(_xlfn.XLOOKUP(1, (SKUs!$J$2:$J$10001=accsry_unmerged!F2392)*IF(H2392&lt;&gt;"",(SKUs!$L$2:$L$10001=accsry_unmerged!H2392),1)*(SKUs!$K$2:$K$10001=I2392),SKUs!$C$2:$C$10001),"")</f>
        <v>0</v>
      </c>
      <c r="H2392" s="36" cm="1">
        <f t="array" ref="H2392">IFERROR(_xlfn.XLOOKUP(1, (dd_accsryclr!$C$2:$C$1000=accsry_unmerged!F2392)*(dd_accsryclr!$B$2:$B$1000=accsry_unmerged!J2392),dd_accsryclr!$A$2:$A$1000),"")</f>
        <v>0</v>
      </c>
      <c r="I2392" s="35">
        <f>_xlfn.XLOOKUP(C2392,'Project Details'!$C$17:$C$66,'Project Details'!$E$17:$E$66,"",0)</f>
        <v>0</v>
      </c>
      <c r="J2392" s="35">
        <f>_xlfn.XLOOKUP(C2392,'Project Details'!$C$17:$C$66,'Project Details'!$H$17:$H$66,"",0)</f>
        <v>0</v>
      </c>
      <c r="K2392" s="36" t="str">
        <f>IF(AND(_xlfn.XLOOKUP(C2392,'Project Details'!$C$17:$C$66,'Project Details'!$L$17:$L$66,"",0)&gt;550, F2392="Spring-L27cm"),"",SUBSTITUTE(_xlfn.XLOOKUP(G2392,SKUs!$C$2:$C$10001,SKUs!$F$2:$F$10001,"",0), " Accessories",""))</f>
        <v/>
      </c>
      <c r="L2392" s="36">
        <f>_xlfn.XLOOKUP(C2392,'Project Details'!$C$17:$C$66,'Project Details'!$D$17:$D$66,"",0)</f>
        <v>0</v>
      </c>
      <c r="M2392" s="43"/>
    </row>
    <row r="2393" spans="1:13" ht="13.5" customHeight="1" x14ac:dyDescent="0.25">
      <c r="A2393" s="43"/>
      <c r="B2393" s="43"/>
      <c r="C2393" s="16">
        <f t="shared" si="46"/>
        <v>48</v>
      </c>
      <c r="D2393" s="16" t="str" cm="1">
        <f t="array" ref="D2393">IFERROR(ROUNDUP(_xlfn.IFS(F2393="Aluminum Track", _xlfn.XLOOKUP(C2393, dd_accsrycalc!$A$2:$A$51, dd_accsrycalc!$B$2:$B$51, "",0), F2393="10 x 2 1/2 S (Flat)", _xlfn.XLOOKUP(C2393, dd_accsrycalc!$A$2:$A$51, dd_accsrycalc!$C$2:$C$51, "",0), F2393="Tox6", _xlfn.XLOOKUP(C2393, dd_accsrycalc!$A$2:$A$51, dd_accsrycalc!$D$2:$D$51, "",0), F2393="Cover Cap", _xlfn.XLOOKUP(C2393, dd_accsrycalc!$A$2:$A$51, dd_accsrycalc!$E$2:$E$51, "",0), F2393="Drainage Cover", _xlfn.XLOOKUP(C2393, dd_accsrycalc!$A$2:$A$51, dd_accsrycalc!$F$2:$F$51, "",0),AND( F2393="Double Adhesive Tape", I2393="Roll-up Screen"), _xlfn.XLOOKUP(C2393, calc_rusacc!$C$15:$C$65, calc_rusacc!$AD$15:$AD$65, "",0),AND( F2393="Sealant", I2393="Roll-up Screen"), _xlfn.XLOOKUP(C2393, calc_rusacc!$C$15:$C$65, calc_rusacc!$AF$15:$AF$65, "",0),  AND( F2393="Main Chain", I2393="Accordion Screen"), _xlfn.XLOOKUP(C2393, calc_rusacc!$C$15:$C$65, calc_rusacc!$BF$15:$BF$65, "",0), AND( F2393="Sealant", I2393="Accordion Screen"), _xlfn.XLOOKUP(C2393, calc_rusacc!$C$15:$C$65, calc_rusacc!$BJ$15:$BJ$65, "",0),  F2393="Sealant", _xlfn.XLOOKUP(C2393, dd_accsrycalc!$A$2:$A$51, dd_accsrycalc!$G$2:$G$51, "",0),  F2393&lt;&gt;"",L2393*_xlfn.XLOOKUP(1, (SKUs!$C$2:$C$10001=G2393)*(SKUs!$K$2:$K$10001=I2393),SKUs!$E$2:$E$10001)), 0),"")</f>
        <v/>
      </c>
      <c r="E2393" s="16" t="str">
        <f>_xlfn.XLOOKUP(F2393,dd_item!$B$2:$B$105,dd_item!$C$2:$C$105,"",0)</f>
        <v/>
      </c>
      <c r="F2393" s="16"/>
      <c r="G2393" s="16" cm="1">
        <f t="array" ref="G2393">IFERROR(_xlfn.XLOOKUP(1, (SKUs!$J$2:$J$10001=accsry_unmerged!F2393)*IF(H2393&lt;&gt;"",(SKUs!$L$2:$L$10001=accsry_unmerged!H2393),1)*(SKUs!$K$2:$K$10001=I2393),SKUs!$C$2:$C$10001),"")</f>
        <v>0</v>
      </c>
      <c r="H2393" s="33" cm="1">
        <f t="array" ref="H2393">IFERROR(_xlfn.XLOOKUP(1, (dd_accsryclr!$C$2:$C$1000=accsry_unmerged!F2393)*(dd_accsryclr!$B$2:$B$1000=accsry_unmerged!J2393),dd_accsryclr!$A$2:$A$1000),"")</f>
        <v>0</v>
      </c>
      <c r="I2393" s="16">
        <f>_xlfn.XLOOKUP(C2393,'Project Details'!$C$17:$C$66,'Project Details'!$E$17:$E$66,"",0)</f>
        <v>0</v>
      </c>
      <c r="J2393" s="16">
        <f>_xlfn.XLOOKUP(C2393,'Project Details'!$C$17:$C$66,'Project Details'!$H$17:$H$66,"",0)</f>
        <v>0</v>
      </c>
      <c r="K2393" s="33" t="str">
        <f>IF(AND(_xlfn.XLOOKUP(C2393,'Project Details'!$C$17:$C$66,'Project Details'!$L$17:$L$66,"",0)&gt;550, F2393="Spring-L27cm"),"",SUBSTITUTE(_xlfn.XLOOKUP(G2393,SKUs!$C$2:$C$10001,SKUs!$F$2:$F$10001,"",0), " Accessories",""))</f>
        <v/>
      </c>
      <c r="L2393" s="33">
        <f>_xlfn.XLOOKUP(C2393,'Project Details'!$C$17:$C$66,'Project Details'!$D$17:$D$66,"",0)</f>
        <v>0</v>
      </c>
      <c r="M2393" s="43"/>
    </row>
    <row r="2394" spans="1:13" ht="13.5" customHeight="1" x14ac:dyDescent="0.25">
      <c r="A2394" s="43"/>
      <c r="B2394" s="43"/>
      <c r="C2394" s="35">
        <f t="shared" si="46"/>
        <v>48</v>
      </c>
      <c r="D2394" s="35" t="str" cm="1">
        <f t="array" ref="D2394">IFERROR(ROUNDUP(_xlfn.IFS(F2394="Aluminum Track", _xlfn.XLOOKUP(C2394, dd_accsrycalc!$A$2:$A$51, dd_accsrycalc!$B$2:$B$51, "",0), F2394="10 x 2 1/2 S (Flat)", _xlfn.XLOOKUP(C2394, dd_accsrycalc!$A$2:$A$51, dd_accsrycalc!$C$2:$C$51, "",0), F2394="Tox6", _xlfn.XLOOKUP(C2394, dd_accsrycalc!$A$2:$A$51, dd_accsrycalc!$D$2:$D$51, "",0), F2394="Cover Cap", _xlfn.XLOOKUP(C2394, dd_accsrycalc!$A$2:$A$51, dd_accsrycalc!$E$2:$E$51, "",0), F2394="Drainage Cover", _xlfn.XLOOKUP(C2394, dd_accsrycalc!$A$2:$A$51, dd_accsrycalc!$F$2:$F$51, "",0),AND( F2394="Double Adhesive Tape", I2394="Roll-up Screen"), _xlfn.XLOOKUP(C2394, calc_rusacc!$C$15:$C$65, calc_rusacc!$AD$15:$AD$65, "",0),AND( F2394="Sealant", I2394="Roll-up Screen"), _xlfn.XLOOKUP(C2394, calc_rusacc!$C$15:$C$65, calc_rusacc!$AF$15:$AF$65, "",0),  AND( F2394="Main Chain", I2394="Accordion Screen"), _xlfn.XLOOKUP(C2394, calc_rusacc!$C$15:$C$65, calc_rusacc!$BF$15:$BF$65, "",0), AND( F2394="Sealant", I2394="Accordion Screen"), _xlfn.XLOOKUP(C2394, calc_rusacc!$C$15:$C$65, calc_rusacc!$BJ$15:$BJ$65, "",0),  F2394="Sealant", _xlfn.XLOOKUP(C2394, dd_accsrycalc!$A$2:$A$51, dd_accsrycalc!$G$2:$G$51, "",0),  F2394&lt;&gt;"",L2394*_xlfn.XLOOKUP(1, (SKUs!$C$2:$C$10001=G2394)*(SKUs!$K$2:$K$10001=I2394),SKUs!$E$2:$E$10001)), 0),"")</f>
        <v/>
      </c>
      <c r="E2394" s="35" t="str">
        <f>_xlfn.XLOOKUP(F2394,dd_item!$B$2:$B$105,dd_item!$C$2:$C$105,"",0)</f>
        <v/>
      </c>
      <c r="F2394" s="35"/>
      <c r="G2394" s="35" cm="1">
        <f t="array" ref="G2394">IFERROR(_xlfn.XLOOKUP(1, (SKUs!$J$2:$J$10001=accsry_unmerged!F2394)*IF(H2394&lt;&gt;"",(SKUs!$L$2:$L$10001=accsry_unmerged!H2394),1)*(SKUs!$K$2:$K$10001=I2394),SKUs!$C$2:$C$10001),"")</f>
        <v>0</v>
      </c>
      <c r="H2394" s="36" cm="1">
        <f t="array" ref="H2394">IFERROR(_xlfn.XLOOKUP(1, (dd_accsryclr!$C$2:$C$1000=accsry_unmerged!F2394)*(dd_accsryclr!$B$2:$B$1000=accsry_unmerged!J2394),dd_accsryclr!$A$2:$A$1000),"")</f>
        <v>0</v>
      </c>
      <c r="I2394" s="35">
        <f>_xlfn.XLOOKUP(C2394,'Project Details'!$C$17:$C$66,'Project Details'!$E$17:$E$66,"",0)</f>
        <v>0</v>
      </c>
      <c r="J2394" s="35">
        <f>_xlfn.XLOOKUP(C2394,'Project Details'!$C$17:$C$66,'Project Details'!$H$17:$H$66,"",0)</f>
        <v>0</v>
      </c>
      <c r="K2394" s="36" t="str">
        <f>IF(AND(_xlfn.XLOOKUP(C2394,'Project Details'!$C$17:$C$66,'Project Details'!$L$17:$L$66,"",0)&gt;550, F2394="Spring-L27cm"),"",SUBSTITUTE(_xlfn.XLOOKUP(G2394,SKUs!$C$2:$C$10001,SKUs!$F$2:$F$10001,"",0), " Accessories",""))</f>
        <v/>
      </c>
      <c r="L2394" s="36">
        <f>_xlfn.XLOOKUP(C2394,'Project Details'!$C$17:$C$66,'Project Details'!$D$17:$D$66,"",0)</f>
        <v>0</v>
      </c>
      <c r="M2394" s="43"/>
    </row>
    <row r="2395" spans="1:13" ht="13.5" customHeight="1" outlineLevel="1" x14ac:dyDescent="0.25">
      <c r="A2395" s="43"/>
      <c r="B2395" s="43"/>
      <c r="C2395" s="16">
        <f t="shared" si="46"/>
        <v>48</v>
      </c>
      <c r="D2395" s="16" t="str" cm="1">
        <f t="array" ref="D2395">IFERROR(ROUNDUP(_xlfn.IFS(F2395="Aluminum Track", _xlfn.XLOOKUP(C2395, dd_accsrycalc!$A$2:$A$51, dd_accsrycalc!$B$2:$B$51, "",0), F2395="10 x 2 1/2 S (Flat)", _xlfn.XLOOKUP(C2395, dd_accsrycalc!$A$2:$A$51, dd_accsrycalc!$C$2:$C$51, "",0), F2395="Tox6", _xlfn.XLOOKUP(C2395, dd_accsrycalc!$A$2:$A$51, dd_accsrycalc!$D$2:$D$51, "",0), F2395="Cover Cap", _xlfn.XLOOKUP(C2395, dd_accsrycalc!$A$2:$A$51, dd_accsrycalc!$E$2:$E$51, "",0), F2395="Drainage Cover", _xlfn.XLOOKUP(C2395, dd_accsrycalc!$A$2:$A$51, dd_accsrycalc!$F$2:$F$51, "",0),AND( F2395="Double Adhesive Tape", I2395="Roll-up Screen"), _xlfn.XLOOKUP(C2395, calc_rusacc!$C$15:$C$65, calc_rusacc!$AD$15:$AD$65, "",0),AND( F2395="Sealant", I2395="Roll-up Screen"), _xlfn.XLOOKUP(C2395, calc_rusacc!$C$15:$C$65, calc_rusacc!$AF$15:$AF$65, "",0),  AND( F2395="Main Chain", I2395="Accordion Screen"), _xlfn.XLOOKUP(C2395, calc_rusacc!$C$15:$C$65, calc_rusacc!$BF$15:$BF$65, "",0), AND( F2395="Sealant", I2395="Accordion Screen"), _xlfn.XLOOKUP(C2395, calc_rusacc!$C$15:$C$65, calc_rusacc!$BJ$15:$BJ$65, "",0),  F2395="Sealant", _xlfn.XLOOKUP(C2395, dd_accsrycalc!$A$2:$A$51, dd_accsrycalc!$G$2:$G$51, "",0),  F2395&lt;&gt;"",L2395*_xlfn.XLOOKUP(1, (SKUs!$C$2:$C$10001=G2395)*(SKUs!$K$2:$K$10001=I2395),SKUs!$E$2:$E$10001)), 0),"")</f>
        <v/>
      </c>
      <c r="E2395" s="16" t="str">
        <f>_xlfn.XLOOKUP(F2395,dd_item!$B$2:$B$105,dd_item!$C$2:$C$105,"",0)</f>
        <v/>
      </c>
      <c r="F2395" s="16"/>
      <c r="G2395" s="16" cm="1">
        <f t="array" ref="G2395">IFERROR(_xlfn.XLOOKUP(1, (SKUs!$J$2:$J$10001=accsry_unmerged!F2395)*IF(H2395&lt;&gt;"",(SKUs!$L$2:$L$10001=accsry_unmerged!H2395),1)*(SKUs!$K$2:$K$10001=I2395),SKUs!$C$2:$C$10001),"")</f>
        <v>0</v>
      </c>
      <c r="H2395" s="33" cm="1">
        <f t="array" ref="H2395">IFERROR(_xlfn.XLOOKUP(1, (dd_accsryclr!$C$2:$C$1000=accsry_unmerged!F2395)*(dd_accsryclr!$B$2:$B$1000=accsry_unmerged!J2395),dd_accsryclr!$A$2:$A$1000),"")</f>
        <v>0</v>
      </c>
      <c r="I2395" s="16">
        <f>_xlfn.XLOOKUP(C2395,'Project Details'!$C$17:$C$66,'Project Details'!$E$17:$E$66,"",0)</f>
        <v>0</v>
      </c>
      <c r="J2395" s="16">
        <f>_xlfn.XLOOKUP(C2395,'Project Details'!$C$17:$C$66,'Project Details'!$H$17:$H$66,"",0)</f>
        <v>0</v>
      </c>
      <c r="K2395" s="33" t="str">
        <f>IF(AND(_xlfn.XLOOKUP(C2395,'Project Details'!$C$17:$C$66,'Project Details'!$L$17:$L$66,"",0)&gt;550, F2395="Spring-L27cm"),"",SUBSTITUTE(_xlfn.XLOOKUP(G2395,SKUs!$C$2:$C$10001,SKUs!$F$2:$F$10001,"",0), " Accessories",""))</f>
        <v/>
      </c>
      <c r="L2395" s="33">
        <f>_xlfn.XLOOKUP(C2395,'Project Details'!$C$17:$C$66,'Project Details'!$D$17:$D$66,"",0)</f>
        <v>0</v>
      </c>
      <c r="M2395" s="43"/>
    </row>
    <row r="2396" spans="1:13" ht="13.5" customHeight="1" outlineLevel="1" x14ac:dyDescent="0.25">
      <c r="A2396" s="43"/>
      <c r="B2396" s="43"/>
      <c r="C2396" s="35">
        <f t="shared" si="46"/>
        <v>48</v>
      </c>
      <c r="D2396" s="35" t="str" cm="1">
        <f t="array" ref="D2396">IFERROR(ROUNDUP(_xlfn.IFS(F2396="Aluminum Track", _xlfn.XLOOKUP(C2396, dd_accsrycalc!$A$2:$A$51, dd_accsrycalc!$B$2:$B$51, "",0), F2396="10 x 2 1/2 S (Flat)", _xlfn.XLOOKUP(C2396, dd_accsrycalc!$A$2:$A$51, dd_accsrycalc!$C$2:$C$51, "",0), F2396="Tox6", _xlfn.XLOOKUP(C2396, dd_accsrycalc!$A$2:$A$51, dd_accsrycalc!$D$2:$D$51, "",0), F2396="Cover Cap", _xlfn.XLOOKUP(C2396, dd_accsrycalc!$A$2:$A$51, dd_accsrycalc!$E$2:$E$51, "",0), F2396="Drainage Cover", _xlfn.XLOOKUP(C2396, dd_accsrycalc!$A$2:$A$51, dd_accsrycalc!$F$2:$F$51, "",0),AND( F2396="Double Adhesive Tape", I2396="Roll-up Screen"), _xlfn.XLOOKUP(C2396, calc_rusacc!$C$15:$C$65, calc_rusacc!$AD$15:$AD$65, "",0),AND( F2396="Sealant", I2396="Roll-up Screen"), _xlfn.XLOOKUP(C2396, calc_rusacc!$C$15:$C$65, calc_rusacc!$AF$15:$AF$65, "",0),  AND( F2396="Main Chain", I2396="Accordion Screen"), _xlfn.XLOOKUP(C2396, calc_rusacc!$C$15:$C$65, calc_rusacc!$BF$15:$BF$65, "",0), AND( F2396="Sealant", I2396="Accordion Screen"), _xlfn.XLOOKUP(C2396, calc_rusacc!$C$15:$C$65, calc_rusacc!$BJ$15:$BJ$65, "",0),  F2396="Sealant", _xlfn.XLOOKUP(C2396, dd_accsrycalc!$A$2:$A$51, dd_accsrycalc!$G$2:$G$51, "",0),  F2396&lt;&gt;"",L2396*_xlfn.XLOOKUP(1, (SKUs!$C$2:$C$10001=G2396)*(SKUs!$K$2:$K$10001=I2396),SKUs!$E$2:$E$10001)), 0),"")</f>
        <v/>
      </c>
      <c r="E2396" s="35" t="str">
        <f>_xlfn.XLOOKUP(F2396,dd_item!$B$2:$B$105,dd_item!$C$2:$C$105,"",0)</f>
        <v/>
      </c>
      <c r="F2396" s="35"/>
      <c r="G2396" s="35" cm="1">
        <f t="array" ref="G2396">IFERROR(_xlfn.XLOOKUP(1, (SKUs!$J$2:$J$10001=accsry_unmerged!F2396)*IF(H2396&lt;&gt;"",(SKUs!$L$2:$L$10001=accsry_unmerged!H2396),1)*(SKUs!$K$2:$K$10001=I2396),SKUs!$C$2:$C$10001),"")</f>
        <v>0</v>
      </c>
      <c r="H2396" s="36" cm="1">
        <f t="array" ref="H2396">IFERROR(_xlfn.XLOOKUP(1, (dd_accsryclr!$C$2:$C$1000=accsry_unmerged!F2396)*(dd_accsryclr!$B$2:$B$1000=accsry_unmerged!J2396),dd_accsryclr!$A$2:$A$1000),"")</f>
        <v>0</v>
      </c>
      <c r="I2396" s="35">
        <f>_xlfn.XLOOKUP(C2396,'Project Details'!$C$17:$C$66,'Project Details'!$E$17:$E$66,"",0)</f>
        <v>0</v>
      </c>
      <c r="J2396" s="35">
        <f>_xlfn.XLOOKUP(C2396,'Project Details'!$C$17:$C$66,'Project Details'!$H$17:$H$66,"",0)</f>
        <v>0</v>
      </c>
      <c r="K2396" s="36" t="str">
        <f>IF(AND(_xlfn.XLOOKUP(C2396,'Project Details'!$C$17:$C$66,'Project Details'!$L$17:$L$66,"",0)&gt;550, F2396="Spring-L27cm"),"",SUBSTITUTE(_xlfn.XLOOKUP(G2396,SKUs!$C$2:$C$10001,SKUs!$F$2:$F$10001,"",0), " Accessories",""))</f>
        <v/>
      </c>
      <c r="L2396" s="36">
        <f>_xlfn.XLOOKUP(C2396,'Project Details'!$C$17:$C$66,'Project Details'!$D$17:$D$66,"",0)</f>
        <v>0</v>
      </c>
      <c r="M2396" s="43"/>
    </row>
    <row r="2397" spans="1:13" ht="13.5" customHeight="1" outlineLevel="1" x14ac:dyDescent="0.25">
      <c r="A2397" s="43"/>
      <c r="B2397" s="43"/>
      <c r="C2397" s="16">
        <f t="shared" si="46"/>
        <v>48</v>
      </c>
      <c r="D2397" s="16" t="str" cm="1">
        <f t="array" ref="D2397">IFERROR(ROUNDUP(_xlfn.IFS(F2397="Aluminum Track", _xlfn.XLOOKUP(C2397, dd_accsrycalc!$A$2:$A$51, dd_accsrycalc!$B$2:$B$51, "",0), F2397="10 x 2 1/2 S (Flat)", _xlfn.XLOOKUP(C2397, dd_accsrycalc!$A$2:$A$51, dd_accsrycalc!$C$2:$C$51, "",0), F2397="Tox6", _xlfn.XLOOKUP(C2397, dd_accsrycalc!$A$2:$A$51, dd_accsrycalc!$D$2:$D$51, "",0), F2397="Cover Cap", _xlfn.XLOOKUP(C2397, dd_accsrycalc!$A$2:$A$51, dd_accsrycalc!$E$2:$E$51, "",0), F2397="Drainage Cover", _xlfn.XLOOKUP(C2397, dd_accsrycalc!$A$2:$A$51, dd_accsrycalc!$F$2:$F$51, "",0),AND( F2397="Double Adhesive Tape", I2397="Roll-up Screen"), _xlfn.XLOOKUP(C2397, calc_rusacc!$C$15:$C$65, calc_rusacc!$AD$15:$AD$65, "",0),AND( F2397="Sealant", I2397="Roll-up Screen"), _xlfn.XLOOKUP(C2397, calc_rusacc!$C$15:$C$65, calc_rusacc!$AF$15:$AF$65, "",0),  AND( F2397="Main Chain", I2397="Accordion Screen"), _xlfn.XLOOKUP(C2397, calc_rusacc!$C$15:$C$65, calc_rusacc!$BF$15:$BF$65, "",0), AND( F2397="Sealant", I2397="Accordion Screen"), _xlfn.XLOOKUP(C2397, calc_rusacc!$C$15:$C$65, calc_rusacc!$BJ$15:$BJ$65, "",0),  F2397="Sealant", _xlfn.XLOOKUP(C2397, dd_accsrycalc!$A$2:$A$51, dd_accsrycalc!$G$2:$G$51, "",0),  F2397&lt;&gt;"",L2397*_xlfn.XLOOKUP(1, (SKUs!$C$2:$C$10001=G2397)*(SKUs!$K$2:$K$10001=I2397),SKUs!$E$2:$E$10001)), 0),"")</f>
        <v/>
      </c>
      <c r="E2397" s="16" t="str">
        <f>_xlfn.XLOOKUP(F2397,dd_item!$B$2:$B$105,dd_item!$C$2:$C$105,"",0)</f>
        <v/>
      </c>
      <c r="F2397" s="16"/>
      <c r="G2397" s="16" cm="1">
        <f t="array" ref="G2397">IFERROR(_xlfn.XLOOKUP(1, (SKUs!$J$2:$J$10001=accsry_unmerged!F2397)*IF(H2397&lt;&gt;"",(SKUs!$L$2:$L$10001=accsry_unmerged!H2397),1)*(SKUs!$K$2:$K$10001=I2397),SKUs!$C$2:$C$10001),"")</f>
        <v>0</v>
      </c>
      <c r="H2397" s="33" cm="1">
        <f t="array" ref="H2397">IFERROR(_xlfn.XLOOKUP(1, (dd_accsryclr!$C$2:$C$1000=accsry_unmerged!F2397)*(dd_accsryclr!$B$2:$B$1000=accsry_unmerged!J2397),dd_accsryclr!$A$2:$A$1000),"")</f>
        <v>0</v>
      </c>
      <c r="I2397" s="16">
        <f>_xlfn.XLOOKUP(C2397,'Project Details'!$C$17:$C$66,'Project Details'!$E$17:$E$66,"",0)</f>
        <v>0</v>
      </c>
      <c r="J2397" s="16">
        <f>_xlfn.XLOOKUP(C2397,'Project Details'!$C$17:$C$66,'Project Details'!$H$17:$H$66,"",0)</f>
        <v>0</v>
      </c>
      <c r="K2397" s="33" t="str">
        <f>IF(AND(_xlfn.XLOOKUP(C2397,'Project Details'!$C$17:$C$66,'Project Details'!$L$17:$L$66,"",0)&gt;550, F2397="Spring-L27cm"),"",SUBSTITUTE(_xlfn.XLOOKUP(G2397,SKUs!$C$2:$C$10001,SKUs!$F$2:$F$10001,"",0), " Accessories",""))</f>
        <v/>
      </c>
      <c r="L2397" s="33">
        <f>_xlfn.XLOOKUP(C2397,'Project Details'!$C$17:$C$66,'Project Details'!$D$17:$D$66,"",0)</f>
        <v>0</v>
      </c>
      <c r="M2397" s="43"/>
    </row>
    <row r="2398" spans="1:13" ht="13.5" customHeight="1" outlineLevel="1" x14ac:dyDescent="0.25">
      <c r="A2398" s="43"/>
      <c r="B2398" s="43"/>
      <c r="C2398" s="35">
        <f t="shared" si="46"/>
        <v>48</v>
      </c>
      <c r="D2398" s="35" t="str" cm="1">
        <f t="array" ref="D2398">IFERROR(ROUNDUP(_xlfn.IFS(F2398="Aluminum Track", _xlfn.XLOOKUP(C2398, dd_accsrycalc!$A$2:$A$51, dd_accsrycalc!$B$2:$B$51, "",0), F2398="10 x 2 1/2 S (Flat)", _xlfn.XLOOKUP(C2398, dd_accsrycalc!$A$2:$A$51, dd_accsrycalc!$C$2:$C$51, "",0), F2398="Tox6", _xlfn.XLOOKUP(C2398, dd_accsrycalc!$A$2:$A$51, dd_accsrycalc!$D$2:$D$51, "",0), F2398="Cover Cap", _xlfn.XLOOKUP(C2398, dd_accsrycalc!$A$2:$A$51, dd_accsrycalc!$E$2:$E$51, "",0), F2398="Drainage Cover", _xlfn.XLOOKUP(C2398, dd_accsrycalc!$A$2:$A$51, dd_accsrycalc!$F$2:$F$51, "",0),AND( F2398="Double Adhesive Tape", I2398="Roll-up Screen"), _xlfn.XLOOKUP(C2398, calc_rusacc!$C$15:$C$65, calc_rusacc!$AD$15:$AD$65, "",0),AND( F2398="Sealant", I2398="Roll-up Screen"), _xlfn.XLOOKUP(C2398, calc_rusacc!$C$15:$C$65, calc_rusacc!$AF$15:$AF$65, "",0),  AND( F2398="Main Chain", I2398="Accordion Screen"), _xlfn.XLOOKUP(C2398, calc_rusacc!$C$15:$C$65, calc_rusacc!$BF$15:$BF$65, "",0), AND( F2398="Sealant", I2398="Accordion Screen"), _xlfn.XLOOKUP(C2398, calc_rusacc!$C$15:$C$65, calc_rusacc!$BJ$15:$BJ$65, "",0),  F2398="Sealant", _xlfn.XLOOKUP(C2398, dd_accsrycalc!$A$2:$A$51, dd_accsrycalc!$G$2:$G$51, "",0),  F2398&lt;&gt;"",L2398*_xlfn.XLOOKUP(1, (SKUs!$C$2:$C$10001=G2398)*(SKUs!$K$2:$K$10001=I2398),SKUs!$E$2:$E$10001)), 0),"")</f>
        <v/>
      </c>
      <c r="E2398" s="35" t="str">
        <f>_xlfn.XLOOKUP(F2398,dd_item!$B$2:$B$105,dd_item!$C$2:$C$105,"",0)</f>
        <v/>
      </c>
      <c r="F2398" s="35"/>
      <c r="G2398" s="35" cm="1">
        <f t="array" ref="G2398">IFERROR(_xlfn.XLOOKUP(1, (SKUs!$J$2:$J$10001=accsry_unmerged!F2398)*IF(H2398&lt;&gt;"",(SKUs!$L$2:$L$10001=accsry_unmerged!H2398),1)*(SKUs!$K$2:$K$10001=I2398),SKUs!$C$2:$C$10001),"")</f>
        <v>0</v>
      </c>
      <c r="H2398" s="36" cm="1">
        <f t="array" ref="H2398">IFERROR(_xlfn.XLOOKUP(1, (dd_accsryclr!$C$2:$C$1000=accsry_unmerged!F2398)*(dd_accsryclr!$B$2:$B$1000=accsry_unmerged!J2398),dd_accsryclr!$A$2:$A$1000),"")</f>
        <v>0</v>
      </c>
      <c r="I2398" s="35">
        <f>_xlfn.XLOOKUP(C2398,'Project Details'!$C$17:$C$66,'Project Details'!$E$17:$E$66,"",0)</f>
        <v>0</v>
      </c>
      <c r="J2398" s="35">
        <f>_xlfn.XLOOKUP(C2398,'Project Details'!$C$17:$C$66,'Project Details'!$H$17:$H$66,"",0)</f>
        <v>0</v>
      </c>
      <c r="K2398" s="36" t="str">
        <f>IF(AND(_xlfn.XLOOKUP(C2398,'Project Details'!$C$17:$C$66,'Project Details'!$L$17:$L$66,"",0)&gt;550, F2398="Spring-L27cm"),"",SUBSTITUTE(_xlfn.XLOOKUP(G2398,SKUs!$C$2:$C$10001,SKUs!$F$2:$F$10001,"",0), " Accessories",""))</f>
        <v/>
      </c>
      <c r="L2398" s="36">
        <f>_xlfn.XLOOKUP(C2398,'Project Details'!$C$17:$C$66,'Project Details'!$D$17:$D$66,"",0)</f>
        <v>0</v>
      </c>
      <c r="M2398" s="43"/>
    </row>
    <row r="2399" spans="1:13" ht="13.5" customHeight="1" outlineLevel="1" x14ac:dyDescent="0.25">
      <c r="A2399" s="43"/>
      <c r="B2399" s="43"/>
      <c r="C2399" s="16">
        <f t="shared" si="46"/>
        <v>48</v>
      </c>
      <c r="D2399" s="16" t="str" cm="1">
        <f t="array" ref="D2399">IFERROR(ROUNDUP(_xlfn.IFS(F2399="Aluminum Track", _xlfn.XLOOKUP(C2399, dd_accsrycalc!$A$2:$A$51, dd_accsrycalc!$B$2:$B$51, "",0), F2399="10 x 2 1/2 S (Flat)", _xlfn.XLOOKUP(C2399, dd_accsrycalc!$A$2:$A$51, dd_accsrycalc!$C$2:$C$51, "",0), F2399="Tox6", _xlfn.XLOOKUP(C2399, dd_accsrycalc!$A$2:$A$51, dd_accsrycalc!$D$2:$D$51, "",0), F2399="Cover Cap", _xlfn.XLOOKUP(C2399, dd_accsrycalc!$A$2:$A$51, dd_accsrycalc!$E$2:$E$51, "",0), F2399="Drainage Cover", _xlfn.XLOOKUP(C2399, dd_accsrycalc!$A$2:$A$51, dd_accsrycalc!$F$2:$F$51, "",0),AND( F2399="Double Adhesive Tape", I2399="Roll-up Screen"), _xlfn.XLOOKUP(C2399, calc_rusacc!$C$15:$C$65, calc_rusacc!$AD$15:$AD$65, "",0),AND( F2399="Sealant", I2399="Roll-up Screen"), _xlfn.XLOOKUP(C2399, calc_rusacc!$C$15:$C$65, calc_rusacc!$AF$15:$AF$65, "",0),  AND( F2399="Main Chain", I2399="Accordion Screen"), _xlfn.XLOOKUP(C2399, calc_rusacc!$C$15:$C$65, calc_rusacc!$BF$15:$BF$65, "",0), AND( F2399="Sealant", I2399="Accordion Screen"), _xlfn.XLOOKUP(C2399, calc_rusacc!$C$15:$C$65, calc_rusacc!$BJ$15:$BJ$65, "",0),  F2399="Sealant", _xlfn.XLOOKUP(C2399, dd_accsrycalc!$A$2:$A$51, dd_accsrycalc!$G$2:$G$51, "",0),  F2399&lt;&gt;"",L2399*_xlfn.XLOOKUP(1, (SKUs!$C$2:$C$10001=G2399)*(SKUs!$K$2:$K$10001=I2399),SKUs!$E$2:$E$10001)), 0),"")</f>
        <v/>
      </c>
      <c r="E2399" s="16" t="str">
        <f>_xlfn.XLOOKUP(F2399,dd_item!$B$2:$B$105,dd_item!$C$2:$C$105,"",0)</f>
        <v/>
      </c>
      <c r="F2399" s="16"/>
      <c r="G2399" s="16" cm="1">
        <f t="array" ref="G2399">IFERROR(_xlfn.XLOOKUP(1, (SKUs!$J$2:$J$10001=accsry_unmerged!F2399)*IF(H2399&lt;&gt;"",(SKUs!$L$2:$L$10001=accsry_unmerged!H2399),1)*(SKUs!$K$2:$K$10001=I2399),SKUs!$C$2:$C$10001),"")</f>
        <v>0</v>
      </c>
      <c r="H2399" s="33" cm="1">
        <f t="array" ref="H2399">IFERROR(_xlfn.XLOOKUP(1, (dd_accsryclr!$C$2:$C$1000=accsry_unmerged!F2399)*(dd_accsryclr!$B$2:$B$1000=accsry_unmerged!J2399),dd_accsryclr!$A$2:$A$1000),"")</f>
        <v>0</v>
      </c>
      <c r="I2399" s="16">
        <f>_xlfn.XLOOKUP(C2399,'Project Details'!$C$17:$C$66,'Project Details'!$E$17:$E$66,"",0)</f>
        <v>0</v>
      </c>
      <c r="J2399" s="16">
        <f>_xlfn.XLOOKUP(C2399,'Project Details'!$C$17:$C$66,'Project Details'!$H$17:$H$66,"",0)</f>
        <v>0</v>
      </c>
      <c r="K2399" s="33" t="str">
        <f>IF(AND(_xlfn.XLOOKUP(C2399,'Project Details'!$C$17:$C$66,'Project Details'!$L$17:$L$66,"",0)&gt;550, F2399="Spring-L27cm"),"",SUBSTITUTE(_xlfn.XLOOKUP(G2399,SKUs!$C$2:$C$10001,SKUs!$F$2:$F$10001,"",0), " Accessories",""))</f>
        <v/>
      </c>
      <c r="L2399" s="33">
        <f>_xlfn.XLOOKUP(C2399,'Project Details'!$C$17:$C$66,'Project Details'!$D$17:$D$66,"",0)</f>
        <v>0</v>
      </c>
      <c r="M2399" s="43"/>
    </row>
    <row r="2400" spans="1:13" ht="13.5" customHeight="1" outlineLevel="1" x14ac:dyDescent="0.25">
      <c r="A2400" s="43"/>
      <c r="B2400" s="43"/>
      <c r="C2400" s="35">
        <f t="shared" si="46"/>
        <v>48</v>
      </c>
      <c r="D2400" s="35" t="str" cm="1">
        <f t="array" ref="D2400">IFERROR(ROUNDUP(_xlfn.IFS(F2400="Aluminum Track", _xlfn.XLOOKUP(C2400, dd_accsrycalc!$A$2:$A$51, dd_accsrycalc!$B$2:$B$51, "",0), F2400="10 x 2 1/2 S (Flat)", _xlfn.XLOOKUP(C2400, dd_accsrycalc!$A$2:$A$51, dd_accsrycalc!$C$2:$C$51, "",0), F2400="Tox6", _xlfn.XLOOKUP(C2400, dd_accsrycalc!$A$2:$A$51, dd_accsrycalc!$D$2:$D$51, "",0), F2400="Cover Cap", _xlfn.XLOOKUP(C2400, dd_accsrycalc!$A$2:$A$51, dd_accsrycalc!$E$2:$E$51, "",0), F2400="Drainage Cover", _xlfn.XLOOKUP(C2400, dd_accsrycalc!$A$2:$A$51, dd_accsrycalc!$F$2:$F$51, "",0),AND( F2400="Double Adhesive Tape", I2400="Roll-up Screen"), _xlfn.XLOOKUP(C2400, calc_rusacc!$C$15:$C$65, calc_rusacc!$AD$15:$AD$65, "",0),AND( F2400="Sealant", I2400="Roll-up Screen"), _xlfn.XLOOKUP(C2400, calc_rusacc!$C$15:$C$65, calc_rusacc!$AF$15:$AF$65, "",0),  AND( F2400="Main Chain", I2400="Accordion Screen"), _xlfn.XLOOKUP(C2400, calc_rusacc!$C$15:$C$65, calc_rusacc!$BF$15:$BF$65, "",0), AND( F2400="Sealant", I2400="Accordion Screen"), _xlfn.XLOOKUP(C2400, calc_rusacc!$C$15:$C$65, calc_rusacc!$BJ$15:$BJ$65, "",0),  F2400="Sealant", _xlfn.XLOOKUP(C2400, dd_accsrycalc!$A$2:$A$51, dd_accsrycalc!$G$2:$G$51, "",0),  F2400&lt;&gt;"",L2400*_xlfn.XLOOKUP(1, (SKUs!$C$2:$C$10001=G2400)*(SKUs!$K$2:$K$10001=I2400),SKUs!$E$2:$E$10001)), 0),"")</f>
        <v/>
      </c>
      <c r="E2400" s="35" t="str">
        <f>_xlfn.XLOOKUP(F2400,dd_item!$B$2:$B$105,dd_item!$C$2:$C$105,"",0)</f>
        <v/>
      </c>
      <c r="F2400" s="35"/>
      <c r="G2400" s="35" cm="1">
        <f t="array" ref="G2400">IFERROR(_xlfn.XLOOKUP(1, (SKUs!$J$2:$J$10001=accsry_unmerged!F2400)*IF(H2400&lt;&gt;"",(SKUs!$L$2:$L$10001=accsry_unmerged!H2400),1)*(SKUs!$K$2:$K$10001=I2400),SKUs!$C$2:$C$10001),"")</f>
        <v>0</v>
      </c>
      <c r="H2400" s="36" cm="1">
        <f t="array" ref="H2400">IFERROR(_xlfn.XLOOKUP(1, (dd_accsryclr!$C$2:$C$1000=accsry_unmerged!F2400)*(dd_accsryclr!$B$2:$B$1000=accsry_unmerged!J2400),dd_accsryclr!$A$2:$A$1000),"")</f>
        <v>0</v>
      </c>
      <c r="I2400" s="35">
        <f>_xlfn.XLOOKUP(C2400,'Project Details'!$C$17:$C$66,'Project Details'!$E$17:$E$66,"",0)</f>
        <v>0</v>
      </c>
      <c r="J2400" s="35">
        <f>_xlfn.XLOOKUP(C2400,'Project Details'!$C$17:$C$66,'Project Details'!$H$17:$H$66,"",0)</f>
        <v>0</v>
      </c>
      <c r="K2400" s="36" t="str">
        <f>IF(AND(_xlfn.XLOOKUP(C2400,'Project Details'!$C$17:$C$66,'Project Details'!$L$17:$L$66,"",0)&gt;550, F2400="Spring-L27cm"),"",SUBSTITUTE(_xlfn.XLOOKUP(G2400,SKUs!$C$2:$C$10001,SKUs!$F$2:$F$10001,"",0), " Accessories",""))</f>
        <v/>
      </c>
      <c r="L2400" s="36">
        <f>_xlfn.XLOOKUP(C2400,'Project Details'!$C$17:$C$66,'Project Details'!$D$17:$D$66,"",0)</f>
        <v>0</v>
      </c>
      <c r="M2400" s="43"/>
    </row>
    <row r="2401" spans="1:13" ht="13.5" customHeight="1" outlineLevel="1" x14ac:dyDescent="0.25">
      <c r="A2401" s="43"/>
      <c r="B2401" s="43"/>
      <c r="C2401" s="16">
        <f t="shared" si="46"/>
        <v>48</v>
      </c>
      <c r="D2401" s="16" t="str" cm="1">
        <f t="array" ref="D2401">IFERROR(ROUNDUP(_xlfn.IFS(F2401="Aluminum Track", _xlfn.XLOOKUP(C2401, dd_accsrycalc!$A$2:$A$51, dd_accsrycalc!$B$2:$B$51, "",0), F2401="10 x 2 1/2 S (Flat)", _xlfn.XLOOKUP(C2401, dd_accsrycalc!$A$2:$A$51, dd_accsrycalc!$C$2:$C$51, "",0), F2401="Tox6", _xlfn.XLOOKUP(C2401, dd_accsrycalc!$A$2:$A$51, dd_accsrycalc!$D$2:$D$51, "",0), F2401="Cover Cap", _xlfn.XLOOKUP(C2401, dd_accsrycalc!$A$2:$A$51, dd_accsrycalc!$E$2:$E$51, "",0), F2401="Drainage Cover", _xlfn.XLOOKUP(C2401, dd_accsrycalc!$A$2:$A$51, dd_accsrycalc!$F$2:$F$51, "",0),AND( F2401="Double Adhesive Tape", I2401="Roll-up Screen"), _xlfn.XLOOKUP(C2401, calc_rusacc!$C$15:$C$65, calc_rusacc!$AD$15:$AD$65, "",0),AND( F2401="Sealant", I2401="Roll-up Screen"), _xlfn.XLOOKUP(C2401, calc_rusacc!$C$15:$C$65, calc_rusacc!$AF$15:$AF$65, "",0),  AND( F2401="Main Chain", I2401="Accordion Screen"), _xlfn.XLOOKUP(C2401, calc_rusacc!$C$15:$C$65, calc_rusacc!$BF$15:$BF$65, "",0), AND( F2401="Sealant", I2401="Accordion Screen"), _xlfn.XLOOKUP(C2401, calc_rusacc!$C$15:$C$65, calc_rusacc!$BJ$15:$BJ$65, "",0),  F2401="Sealant", _xlfn.XLOOKUP(C2401, dd_accsrycalc!$A$2:$A$51, dd_accsrycalc!$G$2:$G$51, "",0),  F2401&lt;&gt;"",L2401*_xlfn.XLOOKUP(1, (SKUs!$C$2:$C$10001=G2401)*(SKUs!$K$2:$K$10001=I2401),SKUs!$E$2:$E$10001)), 0),"")</f>
        <v/>
      </c>
      <c r="E2401" s="16" t="str">
        <f>_xlfn.XLOOKUP(F2401,dd_item!$B$2:$B$105,dd_item!$C$2:$C$105,"",0)</f>
        <v/>
      </c>
      <c r="F2401" s="16"/>
      <c r="G2401" s="16" cm="1">
        <f t="array" ref="G2401">IFERROR(_xlfn.XLOOKUP(1, (SKUs!$J$2:$J$10001=accsry_unmerged!F2401)*IF(H2401&lt;&gt;"",(SKUs!$L$2:$L$10001=accsry_unmerged!H2401),1)*(SKUs!$K$2:$K$10001=I2401),SKUs!$C$2:$C$10001),"")</f>
        <v>0</v>
      </c>
      <c r="H2401" s="33" cm="1">
        <f t="array" ref="H2401">IFERROR(_xlfn.XLOOKUP(1, (dd_accsryclr!$C$2:$C$1000=accsry_unmerged!F2401)*(dd_accsryclr!$B$2:$B$1000=accsry_unmerged!J2401),dd_accsryclr!$A$2:$A$1000),"")</f>
        <v>0</v>
      </c>
      <c r="I2401" s="16">
        <f>_xlfn.XLOOKUP(C2401,'Project Details'!$C$17:$C$66,'Project Details'!$E$17:$E$66,"",0)</f>
        <v>0</v>
      </c>
      <c r="J2401" s="16">
        <f>_xlfn.XLOOKUP(C2401,'Project Details'!$C$17:$C$66,'Project Details'!$H$17:$H$66,"",0)</f>
        <v>0</v>
      </c>
      <c r="K2401" s="33" t="str">
        <f>IF(AND(_xlfn.XLOOKUP(C2401,'Project Details'!$C$17:$C$66,'Project Details'!$L$17:$L$66,"",0)&gt;550, F2401="Spring-L27cm"),"",SUBSTITUTE(_xlfn.XLOOKUP(G2401,SKUs!$C$2:$C$10001,SKUs!$F$2:$F$10001,"",0), " Accessories",""))</f>
        <v/>
      </c>
      <c r="L2401" s="33">
        <f>_xlfn.XLOOKUP(C2401,'Project Details'!$C$17:$C$66,'Project Details'!$D$17:$D$66,"",0)</f>
        <v>0</v>
      </c>
      <c r="M2401" s="43"/>
    </row>
    <row r="2402" spans="1:13" ht="13.5" customHeight="1" outlineLevel="1" x14ac:dyDescent="0.25">
      <c r="A2402" s="43"/>
      <c r="B2402" s="43"/>
      <c r="C2402" s="35">
        <f t="shared" si="46"/>
        <v>48</v>
      </c>
      <c r="D2402" s="35" t="str" cm="1">
        <f t="array" ref="D2402">IFERROR(ROUNDUP(_xlfn.IFS(F2402="Aluminum Track", _xlfn.XLOOKUP(C2402, dd_accsrycalc!$A$2:$A$51, dd_accsrycalc!$B$2:$B$51, "",0), F2402="10 x 2 1/2 S (Flat)", _xlfn.XLOOKUP(C2402, dd_accsrycalc!$A$2:$A$51, dd_accsrycalc!$C$2:$C$51, "",0), F2402="Tox6", _xlfn.XLOOKUP(C2402, dd_accsrycalc!$A$2:$A$51, dd_accsrycalc!$D$2:$D$51, "",0), F2402="Cover Cap", _xlfn.XLOOKUP(C2402, dd_accsrycalc!$A$2:$A$51, dd_accsrycalc!$E$2:$E$51, "",0), F2402="Drainage Cover", _xlfn.XLOOKUP(C2402, dd_accsrycalc!$A$2:$A$51, dd_accsrycalc!$F$2:$F$51, "",0),AND( F2402="Double Adhesive Tape", I2402="Roll-up Screen"), _xlfn.XLOOKUP(C2402, calc_rusacc!$C$15:$C$65, calc_rusacc!$AD$15:$AD$65, "",0),AND( F2402="Sealant", I2402="Roll-up Screen"), _xlfn.XLOOKUP(C2402, calc_rusacc!$C$15:$C$65, calc_rusacc!$AF$15:$AF$65, "",0),  AND( F2402="Main Chain", I2402="Accordion Screen"), _xlfn.XLOOKUP(C2402, calc_rusacc!$C$15:$C$65, calc_rusacc!$BF$15:$BF$65, "",0), AND( F2402="Sealant", I2402="Accordion Screen"), _xlfn.XLOOKUP(C2402, calc_rusacc!$C$15:$C$65, calc_rusacc!$BJ$15:$BJ$65, "",0),  F2402="Sealant", _xlfn.XLOOKUP(C2402, dd_accsrycalc!$A$2:$A$51, dd_accsrycalc!$G$2:$G$51, "",0),  F2402&lt;&gt;"",L2402*_xlfn.XLOOKUP(1, (SKUs!$C$2:$C$10001=G2402)*(SKUs!$K$2:$K$10001=I2402),SKUs!$E$2:$E$10001)), 0),"")</f>
        <v/>
      </c>
      <c r="E2402" s="35" t="str">
        <f>_xlfn.XLOOKUP(F2402,dd_item!$B$2:$B$105,dd_item!$C$2:$C$105,"",0)</f>
        <v/>
      </c>
      <c r="F2402" s="35"/>
      <c r="G2402" s="35" cm="1">
        <f t="array" ref="G2402">IFERROR(_xlfn.XLOOKUP(1, (SKUs!$J$2:$J$10001=accsry_unmerged!F2402)*IF(H2402&lt;&gt;"",(SKUs!$L$2:$L$10001=accsry_unmerged!H2402),1)*(SKUs!$K$2:$K$10001=I2402),SKUs!$C$2:$C$10001),"")</f>
        <v>0</v>
      </c>
      <c r="H2402" s="36" cm="1">
        <f t="array" ref="H2402">IFERROR(_xlfn.XLOOKUP(1, (dd_accsryclr!$C$2:$C$1000=accsry_unmerged!F2402)*(dd_accsryclr!$B$2:$B$1000=accsry_unmerged!J2402),dd_accsryclr!$A$2:$A$1000),"")</f>
        <v>0</v>
      </c>
      <c r="I2402" s="35">
        <f>_xlfn.XLOOKUP(C2402,'Project Details'!$C$17:$C$66,'Project Details'!$E$17:$E$66,"",0)</f>
        <v>0</v>
      </c>
      <c r="J2402" s="35">
        <f>_xlfn.XLOOKUP(C2402,'Project Details'!$C$17:$C$66,'Project Details'!$H$17:$H$66,"",0)</f>
        <v>0</v>
      </c>
      <c r="K2402" s="36" t="str">
        <f>IF(AND(_xlfn.XLOOKUP(C2402,'Project Details'!$C$17:$C$66,'Project Details'!$L$17:$L$66,"",0)&gt;550, F2402="Spring-L27cm"),"",SUBSTITUTE(_xlfn.XLOOKUP(G2402,SKUs!$C$2:$C$10001,SKUs!$F$2:$F$10001,"",0), " Accessories",""))</f>
        <v/>
      </c>
      <c r="L2402" s="36">
        <f>_xlfn.XLOOKUP(C2402,'Project Details'!$C$17:$C$66,'Project Details'!$D$17:$D$66,"",0)</f>
        <v>0</v>
      </c>
      <c r="M2402" s="43"/>
    </row>
    <row r="2403" spans="1:13" ht="13.5" customHeight="1" outlineLevel="1" x14ac:dyDescent="0.25">
      <c r="A2403" s="43"/>
      <c r="B2403" s="43"/>
      <c r="C2403" s="16">
        <f t="shared" si="46"/>
        <v>48</v>
      </c>
      <c r="D2403" s="16" t="str" cm="1">
        <f t="array" ref="D2403">IFERROR(ROUNDUP(_xlfn.IFS(F2403="Aluminum Track", _xlfn.XLOOKUP(C2403, dd_accsrycalc!$A$2:$A$51, dd_accsrycalc!$B$2:$B$51, "",0), F2403="10 x 2 1/2 S (Flat)", _xlfn.XLOOKUP(C2403, dd_accsrycalc!$A$2:$A$51, dd_accsrycalc!$C$2:$C$51, "",0), F2403="Tox6", _xlfn.XLOOKUP(C2403, dd_accsrycalc!$A$2:$A$51, dd_accsrycalc!$D$2:$D$51, "",0), F2403="Cover Cap", _xlfn.XLOOKUP(C2403, dd_accsrycalc!$A$2:$A$51, dd_accsrycalc!$E$2:$E$51, "",0), F2403="Drainage Cover", _xlfn.XLOOKUP(C2403, dd_accsrycalc!$A$2:$A$51, dd_accsrycalc!$F$2:$F$51, "",0),AND( F2403="Double Adhesive Tape", I2403="Roll-up Screen"), _xlfn.XLOOKUP(C2403, calc_rusacc!$C$15:$C$65, calc_rusacc!$AD$15:$AD$65, "",0),AND( F2403="Sealant", I2403="Roll-up Screen"), _xlfn.XLOOKUP(C2403, calc_rusacc!$C$15:$C$65, calc_rusacc!$AF$15:$AF$65, "",0),  AND( F2403="Main Chain", I2403="Accordion Screen"), _xlfn.XLOOKUP(C2403, calc_rusacc!$C$15:$C$65, calc_rusacc!$BF$15:$BF$65, "",0), AND( F2403="Sealant", I2403="Accordion Screen"), _xlfn.XLOOKUP(C2403, calc_rusacc!$C$15:$C$65, calc_rusacc!$BJ$15:$BJ$65, "",0),  F2403="Sealant", _xlfn.XLOOKUP(C2403, dd_accsrycalc!$A$2:$A$51, dd_accsrycalc!$G$2:$G$51, "",0),  F2403&lt;&gt;"",L2403*_xlfn.XLOOKUP(1, (SKUs!$C$2:$C$10001=G2403)*(SKUs!$K$2:$K$10001=I2403),SKUs!$E$2:$E$10001)), 0),"")</f>
        <v/>
      </c>
      <c r="E2403" s="16" t="str">
        <f>_xlfn.XLOOKUP(F2403,dd_item!$B$2:$B$105,dd_item!$C$2:$C$105,"",0)</f>
        <v/>
      </c>
      <c r="F2403" s="16"/>
      <c r="G2403" s="16" cm="1">
        <f t="array" ref="G2403">IFERROR(_xlfn.XLOOKUP(1, (SKUs!$J$2:$J$10001=accsry_unmerged!F2403)*IF(H2403&lt;&gt;"",(SKUs!$L$2:$L$10001=accsry_unmerged!H2403),1)*(SKUs!$K$2:$K$10001=I2403),SKUs!$C$2:$C$10001),"")</f>
        <v>0</v>
      </c>
      <c r="H2403" s="33" cm="1">
        <f t="array" ref="H2403">IFERROR(_xlfn.XLOOKUP(1, (dd_accsryclr!$C$2:$C$1000=accsry_unmerged!F2403)*(dd_accsryclr!$B$2:$B$1000=accsry_unmerged!J2403),dd_accsryclr!$A$2:$A$1000),"")</f>
        <v>0</v>
      </c>
      <c r="I2403" s="16">
        <f>_xlfn.XLOOKUP(C2403,'Project Details'!$C$17:$C$66,'Project Details'!$E$17:$E$66,"",0)</f>
        <v>0</v>
      </c>
      <c r="J2403" s="16">
        <f>_xlfn.XLOOKUP(C2403,'Project Details'!$C$17:$C$66,'Project Details'!$H$17:$H$66,"",0)</f>
        <v>0</v>
      </c>
      <c r="K2403" s="33" t="str">
        <f>IF(AND(_xlfn.XLOOKUP(C2403,'Project Details'!$C$17:$C$66,'Project Details'!$L$17:$L$66,"",0)&gt;550, F2403="Spring-L27cm"),"",SUBSTITUTE(_xlfn.XLOOKUP(G2403,SKUs!$C$2:$C$10001,SKUs!$F$2:$F$10001,"",0), " Accessories",""))</f>
        <v/>
      </c>
      <c r="L2403" s="33">
        <f>_xlfn.XLOOKUP(C2403,'Project Details'!$C$17:$C$66,'Project Details'!$D$17:$D$66,"",0)</f>
        <v>0</v>
      </c>
      <c r="M2403" s="43"/>
    </row>
    <row r="2404" spans="1:13" ht="13.5" customHeight="1" outlineLevel="1" x14ac:dyDescent="0.25">
      <c r="A2404" s="43"/>
      <c r="B2404" s="43"/>
      <c r="C2404" s="35">
        <f t="shared" si="46"/>
        <v>48</v>
      </c>
      <c r="D2404" s="35" t="str" cm="1">
        <f t="array" ref="D2404">IFERROR(ROUNDUP(_xlfn.IFS(F2404="Aluminum Track", _xlfn.XLOOKUP(C2404, dd_accsrycalc!$A$2:$A$51, dd_accsrycalc!$B$2:$B$51, "",0), F2404="10 x 2 1/2 S (Flat)", _xlfn.XLOOKUP(C2404, dd_accsrycalc!$A$2:$A$51, dd_accsrycalc!$C$2:$C$51, "",0), F2404="Tox6", _xlfn.XLOOKUP(C2404, dd_accsrycalc!$A$2:$A$51, dd_accsrycalc!$D$2:$D$51, "",0), F2404="Cover Cap", _xlfn.XLOOKUP(C2404, dd_accsrycalc!$A$2:$A$51, dd_accsrycalc!$E$2:$E$51, "",0), F2404="Drainage Cover", _xlfn.XLOOKUP(C2404, dd_accsrycalc!$A$2:$A$51, dd_accsrycalc!$F$2:$F$51, "",0),AND( F2404="Double Adhesive Tape", I2404="Roll-up Screen"), _xlfn.XLOOKUP(C2404, calc_rusacc!$C$15:$C$65, calc_rusacc!$AD$15:$AD$65, "",0),AND( F2404="Sealant", I2404="Roll-up Screen"), _xlfn.XLOOKUP(C2404, calc_rusacc!$C$15:$C$65, calc_rusacc!$AF$15:$AF$65, "",0),  AND( F2404="Main Chain", I2404="Accordion Screen"), _xlfn.XLOOKUP(C2404, calc_rusacc!$C$15:$C$65, calc_rusacc!$BF$15:$BF$65, "",0), AND( F2404="Sealant", I2404="Accordion Screen"), _xlfn.XLOOKUP(C2404, calc_rusacc!$C$15:$C$65, calc_rusacc!$BJ$15:$BJ$65, "",0),  F2404="Sealant", _xlfn.XLOOKUP(C2404, dd_accsrycalc!$A$2:$A$51, dd_accsrycalc!$G$2:$G$51, "",0),  F2404&lt;&gt;"",L2404*_xlfn.XLOOKUP(1, (SKUs!$C$2:$C$10001=G2404)*(SKUs!$K$2:$K$10001=I2404),SKUs!$E$2:$E$10001)), 0),"")</f>
        <v/>
      </c>
      <c r="E2404" s="35" t="str">
        <f>_xlfn.XLOOKUP(F2404,dd_item!$B$2:$B$105,dd_item!$C$2:$C$105,"",0)</f>
        <v/>
      </c>
      <c r="F2404" s="35"/>
      <c r="G2404" s="35" cm="1">
        <f t="array" ref="G2404">IFERROR(_xlfn.XLOOKUP(1, (SKUs!$J$2:$J$10001=accsry_unmerged!F2404)*IF(H2404&lt;&gt;"",(SKUs!$L$2:$L$10001=accsry_unmerged!H2404),1)*(SKUs!$K$2:$K$10001=I2404),SKUs!$C$2:$C$10001),"")</f>
        <v>0</v>
      </c>
      <c r="H2404" s="36" cm="1">
        <f t="array" ref="H2404">IFERROR(_xlfn.XLOOKUP(1, (dd_accsryclr!$C$2:$C$1000=accsry_unmerged!F2404)*(dd_accsryclr!$B$2:$B$1000=accsry_unmerged!J2404),dd_accsryclr!$A$2:$A$1000),"")</f>
        <v>0</v>
      </c>
      <c r="I2404" s="35">
        <f>_xlfn.XLOOKUP(C2404,'Project Details'!$C$17:$C$66,'Project Details'!$E$17:$E$66,"",0)</f>
        <v>0</v>
      </c>
      <c r="J2404" s="35">
        <f>_xlfn.XLOOKUP(C2404,'Project Details'!$C$17:$C$66,'Project Details'!$H$17:$H$66,"",0)</f>
        <v>0</v>
      </c>
      <c r="K2404" s="36" t="str">
        <f>IF(AND(_xlfn.XLOOKUP(C2404,'Project Details'!$C$17:$C$66,'Project Details'!$L$17:$L$66,"",0)&gt;550, F2404="Spring-L27cm"),"",SUBSTITUTE(_xlfn.XLOOKUP(G2404,SKUs!$C$2:$C$10001,SKUs!$F$2:$F$10001,"",0), " Accessories",""))</f>
        <v/>
      </c>
      <c r="L2404" s="36">
        <f>_xlfn.XLOOKUP(C2404,'Project Details'!$C$17:$C$66,'Project Details'!$D$17:$D$66,"",0)</f>
        <v>0</v>
      </c>
      <c r="M2404" s="43"/>
    </row>
    <row r="2405" spans="1:13" ht="13.5" customHeight="1" outlineLevel="1" collapsed="1" x14ac:dyDescent="0.25">
      <c r="A2405" s="43"/>
      <c r="B2405" s="43"/>
      <c r="C2405" s="16">
        <f t="shared" si="46"/>
        <v>48</v>
      </c>
      <c r="D2405" s="16" t="str" cm="1">
        <f t="array" ref="D2405">IFERROR(ROUNDUP(_xlfn.IFS(F2405="Aluminum Track", _xlfn.XLOOKUP(C2405, dd_accsrycalc!$A$2:$A$51, dd_accsrycalc!$B$2:$B$51, "",0), F2405="10 x 2 1/2 S (Flat)", _xlfn.XLOOKUP(C2405, dd_accsrycalc!$A$2:$A$51, dd_accsrycalc!$C$2:$C$51, "",0), F2405="Tox6", _xlfn.XLOOKUP(C2405, dd_accsrycalc!$A$2:$A$51, dd_accsrycalc!$D$2:$D$51, "",0), F2405="Cover Cap", _xlfn.XLOOKUP(C2405, dd_accsrycalc!$A$2:$A$51, dd_accsrycalc!$E$2:$E$51, "",0), F2405="Drainage Cover", _xlfn.XLOOKUP(C2405, dd_accsrycalc!$A$2:$A$51, dd_accsrycalc!$F$2:$F$51, "",0),AND( F2405="Double Adhesive Tape", I2405="Roll-up Screen"), _xlfn.XLOOKUP(C2405, calc_rusacc!$C$15:$C$65, calc_rusacc!$AD$15:$AD$65, "",0),AND( F2405="Sealant", I2405="Roll-up Screen"), _xlfn.XLOOKUP(C2405, calc_rusacc!$C$15:$C$65, calc_rusacc!$AF$15:$AF$65, "",0),  AND( F2405="Main Chain", I2405="Accordion Screen"), _xlfn.XLOOKUP(C2405, calc_rusacc!$C$15:$C$65, calc_rusacc!$BF$15:$BF$65, "",0), AND( F2405="Sealant", I2405="Accordion Screen"), _xlfn.XLOOKUP(C2405, calc_rusacc!$C$15:$C$65, calc_rusacc!$BJ$15:$BJ$65, "",0),  F2405="Sealant", _xlfn.XLOOKUP(C2405, dd_accsrycalc!$A$2:$A$51, dd_accsrycalc!$G$2:$G$51, "",0),  F2405&lt;&gt;"",L2405*_xlfn.XLOOKUP(1, (SKUs!$C$2:$C$10001=G2405)*(SKUs!$K$2:$K$10001=I2405),SKUs!$E$2:$E$10001)), 0),"")</f>
        <v/>
      </c>
      <c r="E2405" s="16" t="str">
        <f>_xlfn.XLOOKUP(F2405,dd_item!$B$2:$B$105,dd_item!$C$2:$C$105,"",0)</f>
        <v/>
      </c>
      <c r="F2405" s="16"/>
      <c r="G2405" s="16" cm="1">
        <f t="array" ref="G2405">IFERROR(_xlfn.XLOOKUP(1, (SKUs!$J$2:$J$10001=accsry_unmerged!F2405)*IF(H2405&lt;&gt;"",(SKUs!$L$2:$L$10001=accsry_unmerged!H2405),1)*(SKUs!$K$2:$K$10001=I2405),SKUs!$C$2:$C$10001),"")</f>
        <v>0</v>
      </c>
      <c r="H2405" s="33" cm="1">
        <f t="array" ref="H2405">IFERROR(_xlfn.XLOOKUP(1, (dd_accsryclr!$C$2:$C$1000=accsry_unmerged!F2405)*(dd_accsryclr!$B$2:$B$1000=accsry_unmerged!J2405),dd_accsryclr!$A$2:$A$1000),"")</f>
        <v>0</v>
      </c>
      <c r="I2405" s="16">
        <f>_xlfn.XLOOKUP(C2405,'Project Details'!$C$17:$C$66,'Project Details'!$E$17:$E$66,"",0)</f>
        <v>0</v>
      </c>
      <c r="J2405" s="16">
        <f>_xlfn.XLOOKUP(C2405,'Project Details'!$C$17:$C$66,'Project Details'!$H$17:$H$66,"",0)</f>
        <v>0</v>
      </c>
      <c r="K2405" s="33" t="str">
        <f>IF(AND(_xlfn.XLOOKUP(C2405,'Project Details'!$C$17:$C$66,'Project Details'!$L$17:$L$66,"",0)&gt;550, F2405="Spring-L27cm"),"",SUBSTITUTE(_xlfn.XLOOKUP(G2405,SKUs!$C$2:$C$10001,SKUs!$F$2:$F$10001,"",0), " Accessories",""))</f>
        <v/>
      </c>
      <c r="L2405" s="33">
        <f>_xlfn.XLOOKUP(C2405,'Project Details'!$C$17:$C$66,'Project Details'!$D$17:$D$66,"",0)</f>
        <v>0</v>
      </c>
      <c r="M2405" s="43"/>
    </row>
    <row r="2406" spans="1:13" ht="13.5" customHeight="1" outlineLevel="1" x14ac:dyDescent="0.25">
      <c r="A2406" s="43"/>
      <c r="B2406" s="43"/>
      <c r="C2406" s="35">
        <f t="shared" si="46"/>
        <v>48</v>
      </c>
      <c r="D2406" s="35" t="str" cm="1">
        <f t="array" ref="D2406">IFERROR(ROUNDUP(_xlfn.IFS(F2406="Aluminum Track", _xlfn.XLOOKUP(C2406, dd_accsrycalc!$A$2:$A$51, dd_accsrycalc!$B$2:$B$51, "",0), F2406="10 x 2 1/2 S (Flat)", _xlfn.XLOOKUP(C2406, dd_accsrycalc!$A$2:$A$51, dd_accsrycalc!$C$2:$C$51, "",0), F2406="Tox6", _xlfn.XLOOKUP(C2406, dd_accsrycalc!$A$2:$A$51, dd_accsrycalc!$D$2:$D$51, "",0), F2406="Cover Cap", _xlfn.XLOOKUP(C2406, dd_accsrycalc!$A$2:$A$51, dd_accsrycalc!$E$2:$E$51, "",0), F2406="Drainage Cover", _xlfn.XLOOKUP(C2406, dd_accsrycalc!$A$2:$A$51, dd_accsrycalc!$F$2:$F$51, "",0),AND( F2406="Double Adhesive Tape", I2406="Roll-up Screen"), _xlfn.XLOOKUP(C2406, calc_rusacc!$C$15:$C$65, calc_rusacc!$AD$15:$AD$65, "",0),AND( F2406="Sealant", I2406="Roll-up Screen"), _xlfn.XLOOKUP(C2406, calc_rusacc!$C$15:$C$65, calc_rusacc!$AF$15:$AF$65, "",0),  AND( F2406="Main Chain", I2406="Accordion Screen"), _xlfn.XLOOKUP(C2406, calc_rusacc!$C$15:$C$65, calc_rusacc!$BF$15:$BF$65, "",0), AND( F2406="Sealant", I2406="Accordion Screen"), _xlfn.XLOOKUP(C2406, calc_rusacc!$C$15:$C$65, calc_rusacc!$BJ$15:$BJ$65, "",0),  F2406="Sealant", _xlfn.XLOOKUP(C2406, dd_accsrycalc!$A$2:$A$51, dd_accsrycalc!$G$2:$G$51, "",0),  F2406&lt;&gt;"",L2406*_xlfn.XLOOKUP(1, (SKUs!$C$2:$C$10001=G2406)*(SKUs!$K$2:$K$10001=I2406),SKUs!$E$2:$E$10001)), 0),"")</f>
        <v/>
      </c>
      <c r="E2406" s="35" t="str">
        <f>_xlfn.XLOOKUP(F2406,dd_item!$B$2:$B$105,dd_item!$C$2:$C$105,"",0)</f>
        <v/>
      </c>
      <c r="F2406" s="35"/>
      <c r="G2406" s="35" cm="1">
        <f t="array" ref="G2406">IFERROR(_xlfn.XLOOKUP(1, (SKUs!$J$2:$J$10001=accsry_unmerged!F2406)*IF(H2406&lt;&gt;"",(SKUs!$L$2:$L$10001=accsry_unmerged!H2406),1)*(SKUs!$K$2:$K$10001=I2406),SKUs!$C$2:$C$10001),"")</f>
        <v>0</v>
      </c>
      <c r="H2406" s="36" cm="1">
        <f t="array" ref="H2406">IFERROR(_xlfn.XLOOKUP(1, (dd_accsryclr!$C$2:$C$1000=accsry_unmerged!F2406)*(dd_accsryclr!$B$2:$B$1000=accsry_unmerged!J2406),dd_accsryclr!$A$2:$A$1000),"")</f>
        <v>0</v>
      </c>
      <c r="I2406" s="35">
        <f>_xlfn.XLOOKUP(C2406,'Project Details'!$C$17:$C$66,'Project Details'!$E$17:$E$66,"",0)</f>
        <v>0</v>
      </c>
      <c r="J2406" s="35">
        <f>_xlfn.XLOOKUP(C2406,'Project Details'!$C$17:$C$66,'Project Details'!$H$17:$H$66,"",0)</f>
        <v>0</v>
      </c>
      <c r="K2406" s="36" t="str">
        <f>IF(AND(_xlfn.XLOOKUP(C2406,'Project Details'!$C$17:$C$66,'Project Details'!$L$17:$L$66,"",0)&gt;550, F2406="Spring-L27cm"),"",SUBSTITUTE(_xlfn.XLOOKUP(G2406,SKUs!$C$2:$C$10001,SKUs!$F$2:$F$10001,"",0), " Accessories",""))</f>
        <v/>
      </c>
      <c r="L2406" s="36">
        <f>_xlfn.XLOOKUP(C2406,'Project Details'!$C$17:$C$66,'Project Details'!$D$17:$D$66,"",0)</f>
        <v>0</v>
      </c>
      <c r="M2406" s="43"/>
    </row>
    <row r="2407" spans="1:13" ht="13.5" customHeight="1" outlineLevel="1" x14ac:dyDescent="0.25">
      <c r="A2407" s="43"/>
      <c r="B2407" s="43"/>
      <c r="C2407" s="16">
        <f t="shared" si="46"/>
        <v>48</v>
      </c>
      <c r="D2407" s="16" t="str" cm="1">
        <f t="array" ref="D2407">IFERROR(ROUNDUP(_xlfn.IFS(F2407="Aluminum Track", _xlfn.XLOOKUP(C2407, dd_accsrycalc!$A$2:$A$51, dd_accsrycalc!$B$2:$B$51, "",0), F2407="10 x 2 1/2 S (Flat)", _xlfn.XLOOKUP(C2407, dd_accsrycalc!$A$2:$A$51, dd_accsrycalc!$C$2:$C$51, "",0), F2407="Tox6", _xlfn.XLOOKUP(C2407, dd_accsrycalc!$A$2:$A$51, dd_accsrycalc!$D$2:$D$51, "",0), F2407="Cover Cap", _xlfn.XLOOKUP(C2407, dd_accsrycalc!$A$2:$A$51, dd_accsrycalc!$E$2:$E$51, "",0), F2407="Drainage Cover", _xlfn.XLOOKUP(C2407, dd_accsrycalc!$A$2:$A$51, dd_accsrycalc!$F$2:$F$51, "",0),AND( F2407="Double Adhesive Tape", I2407="Roll-up Screen"), _xlfn.XLOOKUP(C2407, calc_rusacc!$C$15:$C$65, calc_rusacc!$AD$15:$AD$65, "",0),AND( F2407="Sealant", I2407="Roll-up Screen"), _xlfn.XLOOKUP(C2407, calc_rusacc!$C$15:$C$65, calc_rusacc!$AF$15:$AF$65, "",0),  AND( F2407="Main Chain", I2407="Accordion Screen"), _xlfn.XLOOKUP(C2407, calc_rusacc!$C$15:$C$65, calc_rusacc!$BF$15:$BF$65, "",0), AND( F2407="Sealant", I2407="Accordion Screen"), _xlfn.XLOOKUP(C2407, calc_rusacc!$C$15:$C$65, calc_rusacc!$BJ$15:$BJ$65, "",0),  F2407="Sealant", _xlfn.XLOOKUP(C2407, dd_accsrycalc!$A$2:$A$51, dd_accsrycalc!$G$2:$G$51, "",0),  F2407&lt;&gt;"",L2407*_xlfn.XLOOKUP(1, (SKUs!$C$2:$C$10001=G2407)*(SKUs!$K$2:$K$10001=I2407),SKUs!$E$2:$E$10001)), 0),"")</f>
        <v/>
      </c>
      <c r="E2407" s="16" t="str">
        <f>_xlfn.XLOOKUP(F2407,dd_item!$B$2:$B$105,dd_item!$C$2:$C$105,"",0)</f>
        <v/>
      </c>
      <c r="F2407" s="16"/>
      <c r="G2407" s="16" cm="1">
        <f t="array" ref="G2407">IFERROR(_xlfn.XLOOKUP(1, (SKUs!$J$2:$J$10001=accsry_unmerged!F2407)*IF(H2407&lt;&gt;"",(SKUs!$L$2:$L$10001=accsry_unmerged!H2407),1)*(SKUs!$K$2:$K$10001=I2407),SKUs!$C$2:$C$10001),"")</f>
        <v>0</v>
      </c>
      <c r="H2407" s="33" cm="1">
        <f t="array" ref="H2407">IFERROR(_xlfn.XLOOKUP(1, (dd_accsryclr!$C$2:$C$1000=accsry_unmerged!F2407)*(dd_accsryclr!$B$2:$B$1000=accsry_unmerged!J2407),dd_accsryclr!$A$2:$A$1000),"")</f>
        <v>0</v>
      </c>
      <c r="I2407" s="16">
        <f>_xlfn.XLOOKUP(C2407,'Project Details'!$C$17:$C$66,'Project Details'!$E$17:$E$66,"",0)</f>
        <v>0</v>
      </c>
      <c r="J2407" s="16">
        <f>_xlfn.XLOOKUP(C2407,'Project Details'!$C$17:$C$66,'Project Details'!$H$17:$H$66,"",0)</f>
        <v>0</v>
      </c>
      <c r="K2407" s="33" t="str">
        <f>IF(AND(_xlfn.XLOOKUP(C2407,'Project Details'!$C$17:$C$66,'Project Details'!$L$17:$L$66,"",0)&gt;550, F2407="Spring-L27cm"),"",SUBSTITUTE(_xlfn.XLOOKUP(G2407,SKUs!$C$2:$C$10001,SKUs!$F$2:$F$10001,"",0), " Accessories",""))</f>
        <v/>
      </c>
      <c r="L2407" s="33">
        <f>_xlfn.XLOOKUP(C2407,'Project Details'!$C$17:$C$66,'Project Details'!$D$17:$D$66,"",0)</f>
        <v>0</v>
      </c>
      <c r="M2407" s="43"/>
    </row>
    <row r="2408" spans="1:13" ht="13.5" customHeight="1" outlineLevel="1" x14ac:dyDescent="0.25">
      <c r="A2408" s="43"/>
      <c r="B2408" s="43"/>
      <c r="C2408" s="35">
        <f t="shared" si="46"/>
        <v>48</v>
      </c>
      <c r="D2408" s="35" t="str" cm="1">
        <f t="array" ref="D2408">IFERROR(ROUNDUP(_xlfn.IFS(F2408="Aluminum Track", _xlfn.XLOOKUP(C2408, dd_accsrycalc!$A$2:$A$51, dd_accsrycalc!$B$2:$B$51, "",0), F2408="10 x 2 1/2 S (Flat)", _xlfn.XLOOKUP(C2408, dd_accsrycalc!$A$2:$A$51, dd_accsrycalc!$C$2:$C$51, "",0), F2408="Tox6", _xlfn.XLOOKUP(C2408, dd_accsrycalc!$A$2:$A$51, dd_accsrycalc!$D$2:$D$51, "",0), F2408="Cover Cap", _xlfn.XLOOKUP(C2408, dd_accsrycalc!$A$2:$A$51, dd_accsrycalc!$E$2:$E$51, "",0), F2408="Drainage Cover", _xlfn.XLOOKUP(C2408, dd_accsrycalc!$A$2:$A$51, dd_accsrycalc!$F$2:$F$51, "",0),AND( F2408="Double Adhesive Tape", I2408="Roll-up Screen"), _xlfn.XLOOKUP(C2408, calc_rusacc!$C$15:$C$65, calc_rusacc!$AD$15:$AD$65, "",0),AND( F2408="Sealant", I2408="Roll-up Screen"), _xlfn.XLOOKUP(C2408, calc_rusacc!$C$15:$C$65, calc_rusacc!$AF$15:$AF$65, "",0),  AND( F2408="Main Chain", I2408="Accordion Screen"), _xlfn.XLOOKUP(C2408, calc_rusacc!$C$15:$C$65, calc_rusacc!$BF$15:$BF$65, "",0), AND( F2408="Sealant", I2408="Accordion Screen"), _xlfn.XLOOKUP(C2408, calc_rusacc!$C$15:$C$65, calc_rusacc!$BJ$15:$BJ$65, "",0),  F2408="Sealant", _xlfn.XLOOKUP(C2408, dd_accsrycalc!$A$2:$A$51, dd_accsrycalc!$G$2:$G$51, "",0),  F2408&lt;&gt;"",L2408*_xlfn.XLOOKUP(1, (SKUs!$C$2:$C$10001=G2408)*(SKUs!$K$2:$K$10001=I2408),SKUs!$E$2:$E$10001)), 0),"")</f>
        <v/>
      </c>
      <c r="E2408" s="35" t="str">
        <f>_xlfn.XLOOKUP(F2408,dd_item!$B$2:$B$105,dd_item!$C$2:$C$105,"",0)</f>
        <v/>
      </c>
      <c r="F2408" s="35"/>
      <c r="G2408" s="35" cm="1">
        <f t="array" ref="G2408">IFERROR(_xlfn.XLOOKUP(1, (SKUs!$J$2:$J$10001=accsry_unmerged!F2408)*IF(H2408&lt;&gt;"",(SKUs!$L$2:$L$10001=accsry_unmerged!H2408),1)*(SKUs!$K$2:$K$10001=I2408),SKUs!$C$2:$C$10001),"")</f>
        <v>0</v>
      </c>
      <c r="H2408" s="36" cm="1">
        <f t="array" ref="H2408">IFERROR(_xlfn.XLOOKUP(1, (dd_accsryclr!$C$2:$C$1000=accsry_unmerged!F2408)*(dd_accsryclr!$B$2:$B$1000=accsry_unmerged!J2408),dd_accsryclr!$A$2:$A$1000),"")</f>
        <v>0</v>
      </c>
      <c r="I2408" s="35">
        <f>_xlfn.XLOOKUP(C2408,'Project Details'!$C$17:$C$66,'Project Details'!$E$17:$E$66,"",0)</f>
        <v>0</v>
      </c>
      <c r="J2408" s="35">
        <f>_xlfn.XLOOKUP(C2408,'Project Details'!$C$17:$C$66,'Project Details'!$H$17:$H$66,"",0)</f>
        <v>0</v>
      </c>
      <c r="K2408" s="36" t="str">
        <f>IF(AND(_xlfn.XLOOKUP(C2408,'Project Details'!$C$17:$C$66,'Project Details'!$L$17:$L$66,"",0)&gt;550, F2408="Spring-L27cm"),"",SUBSTITUTE(_xlfn.XLOOKUP(G2408,SKUs!$C$2:$C$10001,SKUs!$F$2:$F$10001,"",0), " Accessories",""))</f>
        <v/>
      </c>
      <c r="L2408" s="36">
        <f>_xlfn.XLOOKUP(C2408,'Project Details'!$C$17:$C$66,'Project Details'!$D$17:$D$66,"",0)</f>
        <v>0</v>
      </c>
      <c r="M2408" s="43"/>
    </row>
    <row r="2409" spans="1:13" ht="13.5" customHeight="1" outlineLevel="1" x14ac:dyDescent="0.25">
      <c r="A2409" s="43"/>
      <c r="B2409" s="43"/>
      <c r="C2409" s="16">
        <f t="shared" si="46"/>
        <v>48</v>
      </c>
      <c r="D2409" s="16" t="str" cm="1">
        <f t="array" ref="D2409">IFERROR(ROUNDUP(_xlfn.IFS(F2409="Aluminum Track", _xlfn.XLOOKUP(C2409, dd_accsrycalc!$A$2:$A$51, dd_accsrycalc!$B$2:$B$51, "",0), F2409="10 x 2 1/2 S (Flat)", _xlfn.XLOOKUP(C2409, dd_accsrycalc!$A$2:$A$51, dd_accsrycalc!$C$2:$C$51, "",0), F2409="Tox6", _xlfn.XLOOKUP(C2409, dd_accsrycalc!$A$2:$A$51, dd_accsrycalc!$D$2:$D$51, "",0), F2409="Cover Cap", _xlfn.XLOOKUP(C2409, dd_accsrycalc!$A$2:$A$51, dd_accsrycalc!$E$2:$E$51, "",0), F2409="Drainage Cover", _xlfn.XLOOKUP(C2409, dd_accsrycalc!$A$2:$A$51, dd_accsrycalc!$F$2:$F$51, "",0),AND( F2409="Double Adhesive Tape", I2409="Roll-up Screen"), _xlfn.XLOOKUP(C2409, calc_rusacc!$C$15:$C$65, calc_rusacc!$AD$15:$AD$65, "",0),AND( F2409="Sealant", I2409="Roll-up Screen"), _xlfn.XLOOKUP(C2409, calc_rusacc!$C$15:$C$65, calc_rusacc!$AF$15:$AF$65, "",0),  AND( F2409="Main Chain", I2409="Accordion Screen"), _xlfn.XLOOKUP(C2409, calc_rusacc!$C$15:$C$65, calc_rusacc!$BF$15:$BF$65, "",0), AND( F2409="Sealant", I2409="Accordion Screen"), _xlfn.XLOOKUP(C2409, calc_rusacc!$C$15:$C$65, calc_rusacc!$BJ$15:$BJ$65, "",0),  F2409="Sealant", _xlfn.XLOOKUP(C2409, dd_accsrycalc!$A$2:$A$51, dd_accsrycalc!$G$2:$G$51, "",0),  F2409&lt;&gt;"",L2409*_xlfn.XLOOKUP(1, (SKUs!$C$2:$C$10001=G2409)*(SKUs!$K$2:$K$10001=I2409),SKUs!$E$2:$E$10001)), 0),"")</f>
        <v/>
      </c>
      <c r="E2409" s="16" t="str">
        <f>_xlfn.XLOOKUP(F2409,dd_item!$B$2:$B$105,dd_item!$C$2:$C$105,"",0)</f>
        <v/>
      </c>
      <c r="F2409" s="16"/>
      <c r="G2409" s="16" cm="1">
        <f t="array" ref="G2409">IFERROR(_xlfn.XLOOKUP(1, (SKUs!$J$2:$J$10001=accsry_unmerged!F2409)*IF(H2409&lt;&gt;"",(SKUs!$L$2:$L$10001=accsry_unmerged!H2409),1)*(SKUs!$K$2:$K$10001=I2409),SKUs!$C$2:$C$10001),"")</f>
        <v>0</v>
      </c>
      <c r="H2409" s="33" cm="1">
        <f t="array" ref="H2409">IFERROR(_xlfn.XLOOKUP(1, (dd_accsryclr!$C$2:$C$1000=accsry_unmerged!F2409)*(dd_accsryclr!$B$2:$B$1000=accsry_unmerged!J2409),dd_accsryclr!$A$2:$A$1000),"")</f>
        <v>0</v>
      </c>
      <c r="I2409" s="16">
        <f>_xlfn.XLOOKUP(C2409,'Project Details'!$C$17:$C$66,'Project Details'!$E$17:$E$66,"",0)</f>
        <v>0</v>
      </c>
      <c r="J2409" s="16">
        <f>_xlfn.XLOOKUP(C2409,'Project Details'!$C$17:$C$66,'Project Details'!$H$17:$H$66,"",0)</f>
        <v>0</v>
      </c>
      <c r="K2409" s="33" t="str">
        <f>IF(AND(_xlfn.XLOOKUP(C2409,'Project Details'!$C$17:$C$66,'Project Details'!$L$17:$L$66,"",0)&gt;550, F2409="Spring-L27cm"),"",SUBSTITUTE(_xlfn.XLOOKUP(G2409,SKUs!$C$2:$C$10001,SKUs!$F$2:$F$10001,"",0), " Accessories",""))</f>
        <v/>
      </c>
      <c r="L2409" s="33">
        <f>_xlfn.XLOOKUP(C2409,'Project Details'!$C$17:$C$66,'Project Details'!$D$17:$D$66,"",0)</f>
        <v>0</v>
      </c>
      <c r="M2409" s="43"/>
    </row>
    <row r="2410" spans="1:13" ht="13.5" customHeight="1" outlineLevel="1" x14ac:dyDescent="0.25">
      <c r="A2410" s="43"/>
      <c r="B2410" s="43"/>
      <c r="C2410" s="35">
        <f t="shared" si="46"/>
        <v>48</v>
      </c>
      <c r="D2410" s="35" t="str" cm="1">
        <f t="array" ref="D2410">IFERROR(ROUNDUP(_xlfn.IFS(F2410="Aluminum Track", _xlfn.XLOOKUP(C2410, dd_accsrycalc!$A$2:$A$51, dd_accsrycalc!$B$2:$B$51, "",0), F2410="10 x 2 1/2 S (Flat)", _xlfn.XLOOKUP(C2410, dd_accsrycalc!$A$2:$A$51, dd_accsrycalc!$C$2:$C$51, "",0), F2410="Tox6", _xlfn.XLOOKUP(C2410, dd_accsrycalc!$A$2:$A$51, dd_accsrycalc!$D$2:$D$51, "",0), F2410="Cover Cap", _xlfn.XLOOKUP(C2410, dd_accsrycalc!$A$2:$A$51, dd_accsrycalc!$E$2:$E$51, "",0), F2410="Drainage Cover", _xlfn.XLOOKUP(C2410, dd_accsrycalc!$A$2:$A$51, dd_accsrycalc!$F$2:$F$51, "",0),AND( F2410="Double Adhesive Tape", I2410="Roll-up Screen"), _xlfn.XLOOKUP(C2410, calc_rusacc!$C$15:$C$65, calc_rusacc!$AD$15:$AD$65, "",0),AND( F2410="Sealant", I2410="Roll-up Screen"), _xlfn.XLOOKUP(C2410, calc_rusacc!$C$15:$C$65, calc_rusacc!$AF$15:$AF$65, "",0),  AND( F2410="Main Chain", I2410="Accordion Screen"), _xlfn.XLOOKUP(C2410, calc_rusacc!$C$15:$C$65, calc_rusacc!$BF$15:$BF$65, "",0), AND( F2410="Sealant", I2410="Accordion Screen"), _xlfn.XLOOKUP(C2410, calc_rusacc!$C$15:$C$65, calc_rusacc!$BJ$15:$BJ$65, "",0),  F2410="Sealant", _xlfn.XLOOKUP(C2410, dd_accsrycalc!$A$2:$A$51, dd_accsrycalc!$G$2:$G$51, "",0),  F2410&lt;&gt;"",L2410*_xlfn.XLOOKUP(1, (SKUs!$C$2:$C$10001=G2410)*(SKUs!$K$2:$K$10001=I2410),SKUs!$E$2:$E$10001)), 0),"")</f>
        <v/>
      </c>
      <c r="E2410" s="35" t="str">
        <f>_xlfn.XLOOKUP(F2410,dd_item!$B$2:$B$105,dd_item!$C$2:$C$105,"",0)</f>
        <v/>
      </c>
      <c r="F2410" s="35"/>
      <c r="G2410" s="35" cm="1">
        <f t="array" ref="G2410">IFERROR(_xlfn.XLOOKUP(1, (SKUs!$J$2:$J$10001=accsry_unmerged!F2410)*IF(H2410&lt;&gt;"",(SKUs!$L$2:$L$10001=accsry_unmerged!H2410),1)*(SKUs!$K$2:$K$10001=I2410),SKUs!$C$2:$C$10001),"")</f>
        <v>0</v>
      </c>
      <c r="H2410" s="36" cm="1">
        <f t="array" ref="H2410">IFERROR(_xlfn.XLOOKUP(1, (dd_accsryclr!$C$2:$C$1000=accsry_unmerged!F2410)*(dd_accsryclr!$B$2:$B$1000=accsry_unmerged!J2410),dd_accsryclr!$A$2:$A$1000),"")</f>
        <v>0</v>
      </c>
      <c r="I2410" s="35">
        <f>_xlfn.XLOOKUP(C2410,'Project Details'!$C$17:$C$66,'Project Details'!$E$17:$E$66,"",0)</f>
        <v>0</v>
      </c>
      <c r="J2410" s="35">
        <f>_xlfn.XLOOKUP(C2410,'Project Details'!$C$17:$C$66,'Project Details'!$H$17:$H$66,"",0)</f>
        <v>0</v>
      </c>
      <c r="K2410" s="36" t="str">
        <f>IF(AND(_xlfn.XLOOKUP(C2410,'Project Details'!$C$17:$C$66,'Project Details'!$L$17:$L$66,"",0)&gt;550, F2410="Spring-L27cm"),"",SUBSTITUTE(_xlfn.XLOOKUP(G2410,SKUs!$C$2:$C$10001,SKUs!$F$2:$F$10001,"",0), " Accessories",""))</f>
        <v/>
      </c>
      <c r="L2410" s="36">
        <f>_xlfn.XLOOKUP(C2410,'Project Details'!$C$17:$C$66,'Project Details'!$D$17:$D$66,"",0)</f>
        <v>0</v>
      </c>
      <c r="M2410" s="43"/>
    </row>
    <row r="2411" spans="1:13" ht="13.5" customHeight="1" outlineLevel="1" x14ac:dyDescent="0.25">
      <c r="A2411" s="43"/>
      <c r="B2411" s="43"/>
      <c r="C2411" s="16">
        <f t="shared" si="46"/>
        <v>48</v>
      </c>
      <c r="D2411" s="16" t="str" cm="1">
        <f t="array" ref="D2411">IFERROR(ROUNDUP(_xlfn.IFS(F2411="Aluminum Track", _xlfn.XLOOKUP(C2411, dd_accsrycalc!$A$2:$A$51, dd_accsrycalc!$B$2:$B$51, "",0), F2411="10 x 2 1/2 S (Flat)", _xlfn.XLOOKUP(C2411, dd_accsrycalc!$A$2:$A$51, dd_accsrycalc!$C$2:$C$51, "",0), F2411="Tox6", _xlfn.XLOOKUP(C2411, dd_accsrycalc!$A$2:$A$51, dd_accsrycalc!$D$2:$D$51, "",0), F2411="Cover Cap", _xlfn.XLOOKUP(C2411, dd_accsrycalc!$A$2:$A$51, dd_accsrycalc!$E$2:$E$51, "",0), F2411="Drainage Cover", _xlfn.XLOOKUP(C2411, dd_accsrycalc!$A$2:$A$51, dd_accsrycalc!$F$2:$F$51, "",0),AND( F2411="Double Adhesive Tape", I2411="Roll-up Screen"), _xlfn.XLOOKUP(C2411, calc_rusacc!$C$15:$C$65, calc_rusacc!$AD$15:$AD$65, "",0),AND( F2411="Sealant", I2411="Roll-up Screen"), _xlfn.XLOOKUP(C2411, calc_rusacc!$C$15:$C$65, calc_rusacc!$AF$15:$AF$65, "",0),  AND( F2411="Main Chain", I2411="Accordion Screen"), _xlfn.XLOOKUP(C2411, calc_rusacc!$C$15:$C$65, calc_rusacc!$BF$15:$BF$65, "",0), AND( F2411="Sealant", I2411="Accordion Screen"), _xlfn.XLOOKUP(C2411, calc_rusacc!$C$15:$C$65, calc_rusacc!$BJ$15:$BJ$65, "",0),  F2411="Sealant", _xlfn.XLOOKUP(C2411, dd_accsrycalc!$A$2:$A$51, dd_accsrycalc!$G$2:$G$51, "",0),  F2411&lt;&gt;"",L2411*_xlfn.XLOOKUP(1, (SKUs!$C$2:$C$10001=G2411)*(SKUs!$K$2:$K$10001=I2411),SKUs!$E$2:$E$10001)), 0),"")</f>
        <v/>
      </c>
      <c r="E2411" s="16" t="str">
        <f>_xlfn.XLOOKUP(F2411,dd_item!$B$2:$B$105,dd_item!$C$2:$C$105,"",0)</f>
        <v/>
      </c>
      <c r="F2411" s="16"/>
      <c r="G2411" s="16" cm="1">
        <f t="array" ref="G2411">IFERROR(_xlfn.XLOOKUP(1, (SKUs!$J$2:$J$10001=accsry_unmerged!F2411)*IF(H2411&lt;&gt;"",(SKUs!$L$2:$L$10001=accsry_unmerged!H2411),1)*(SKUs!$K$2:$K$10001=I2411),SKUs!$C$2:$C$10001),"")</f>
        <v>0</v>
      </c>
      <c r="H2411" s="33" cm="1">
        <f t="array" ref="H2411">IFERROR(_xlfn.XLOOKUP(1, (dd_accsryclr!$C$2:$C$1000=accsry_unmerged!F2411)*(dd_accsryclr!$B$2:$B$1000=accsry_unmerged!J2411),dd_accsryclr!$A$2:$A$1000),"")</f>
        <v>0</v>
      </c>
      <c r="I2411" s="16">
        <f>_xlfn.XLOOKUP(C2411,'Project Details'!$C$17:$C$66,'Project Details'!$E$17:$E$66,"",0)</f>
        <v>0</v>
      </c>
      <c r="J2411" s="16">
        <f>_xlfn.XLOOKUP(C2411,'Project Details'!$C$17:$C$66,'Project Details'!$H$17:$H$66,"",0)</f>
        <v>0</v>
      </c>
      <c r="K2411" s="33" t="str">
        <f>IF(AND(_xlfn.XLOOKUP(C2411,'Project Details'!$C$17:$C$66,'Project Details'!$L$17:$L$66,"",0)&gt;550, F2411="Spring-L27cm"),"",SUBSTITUTE(_xlfn.XLOOKUP(G2411,SKUs!$C$2:$C$10001,SKUs!$F$2:$F$10001,"",0), " Accessories",""))</f>
        <v/>
      </c>
      <c r="L2411" s="33">
        <f>_xlfn.XLOOKUP(C2411,'Project Details'!$C$17:$C$66,'Project Details'!$D$17:$D$66,"",0)</f>
        <v>0</v>
      </c>
      <c r="M2411" s="43"/>
    </row>
    <row r="2412" spans="1:13" ht="13.5" customHeight="1" outlineLevel="1" x14ac:dyDescent="0.25">
      <c r="A2412" s="43"/>
      <c r="B2412" s="43"/>
      <c r="C2412" s="35">
        <f t="shared" si="46"/>
        <v>48</v>
      </c>
      <c r="D2412" s="35" t="str" cm="1">
        <f t="array" ref="D2412">IFERROR(ROUNDUP(_xlfn.IFS(F2412="Aluminum Track", _xlfn.XLOOKUP(C2412, dd_accsrycalc!$A$2:$A$51, dd_accsrycalc!$B$2:$B$51, "",0), F2412="10 x 2 1/2 S (Flat)", _xlfn.XLOOKUP(C2412, dd_accsrycalc!$A$2:$A$51, dd_accsrycalc!$C$2:$C$51, "",0), F2412="Tox6", _xlfn.XLOOKUP(C2412, dd_accsrycalc!$A$2:$A$51, dd_accsrycalc!$D$2:$D$51, "",0), F2412="Cover Cap", _xlfn.XLOOKUP(C2412, dd_accsrycalc!$A$2:$A$51, dd_accsrycalc!$E$2:$E$51, "",0), F2412="Drainage Cover", _xlfn.XLOOKUP(C2412, dd_accsrycalc!$A$2:$A$51, dd_accsrycalc!$F$2:$F$51, "",0),AND( F2412="Double Adhesive Tape", I2412="Roll-up Screen"), _xlfn.XLOOKUP(C2412, calc_rusacc!$C$15:$C$65, calc_rusacc!$AD$15:$AD$65, "",0),AND( F2412="Sealant", I2412="Roll-up Screen"), _xlfn.XLOOKUP(C2412, calc_rusacc!$C$15:$C$65, calc_rusacc!$AF$15:$AF$65, "",0),  AND( F2412="Main Chain", I2412="Accordion Screen"), _xlfn.XLOOKUP(C2412, calc_rusacc!$C$15:$C$65, calc_rusacc!$BF$15:$BF$65, "",0), AND( F2412="Sealant", I2412="Accordion Screen"), _xlfn.XLOOKUP(C2412, calc_rusacc!$C$15:$C$65, calc_rusacc!$BJ$15:$BJ$65, "",0),  F2412="Sealant", _xlfn.XLOOKUP(C2412, dd_accsrycalc!$A$2:$A$51, dd_accsrycalc!$G$2:$G$51, "",0),  F2412&lt;&gt;"",L2412*_xlfn.XLOOKUP(1, (SKUs!$C$2:$C$10001=G2412)*(SKUs!$K$2:$K$10001=I2412),SKUs!$E$2:$E$10001)), 0),"")</f>
        <v/>
      </c>
      <c r="E2412" s="35" t="str">
        <f>_xlfn.XLOOKUP(F2412,dd_item!$B$2:$B$105,dd_item!$C$2:$C$105,"",0)</f>
        <v/>
      </c>
      <c r="F2412" s="35"/>
      <c r="G2412" s="35" cm="1">
        <f t="array" ref="G2412">IFERROR(_xlfn.XLOOKUP(1, (SKUs!$J$2:$J$10001=accsry_unmerged!F2412)*IF(H2412&lt;&gt;"",(SKUs!$L$2:$L$10001=accsry_unmerged!H2412),1)*(SKUs!$K$2:$K$10001=I2412),SKUs!$C$2:$C$10001),"")</f>
        <v>0</v>
      </c>
      <c r="H2412" s="36" cm="1">
        <f t="array" ref="H2412">IFERROR(_xlfn.XLOOKUP(1, (dd_accsryclr!$C$2:$C$1000=accsry_unmerged!F2412)*(dd_accsryclr!$B$2:$B$1000=accsry_unmerged!J2412),dd_accsryclr!$A$2:$A$1000),"")</f>
        <v>0</v>
      </c>
      <c r="I2412" s="35">
        <f>_xlfn.XLOOKUP(C2412,'Project Details'!$C$17:$C$66,'Project Details'!$E$17:$E$66,"",0)</f>
        <v>0</v>
      </c>
      <c r="J2412" s="35">
        <f>_xlfn.XLOOKUP(C2412,'Project Details'!$C$17:$C$66,'Project Details'!$H$17:$H$66,"",0)</f>
        <v>0</v>
      </c>
      <c r="K2412" s="36" t="str">
        <f>IF(AND(_xlfn.XLOOKUP(C2412,'Project Details'!$C$17:$C$66,'Project Details'!$L$17:$L$66,"",0)&gt;550, F2412="Spring-L27cm"),"",SUBSTITUTE(_xlfn.XLOOKUP(G2412,SKUs!$C$2:$C$10001,SKUs!$F$2:$F$10001,"",0), " Accessories",""))</f>
        <v/>
      </c>
      <c r="L2412" s="36">
        <f>_xlfn.XLOOKUP(C2412,'Project Details'!$C$17:$C$66,'Project Details'!$D$17:$D$66,"",0)</f>
        <v>0</v>
      </c>
      <c r="M2412" s="43"/>
    </row>
    <row r="2413" spans="1:13" ht="13.5" customHeight="1" outlineLevel="1" x14ac:dyDescent="0.25">
      <c r="A2413" s="43"/>
      <c r="B2413" s="43"/>
      <c r="C2413" s="16">
        <f t="shared" si="46"/>
        <v>48</v>
      </c>
      <c r="D2413" s="16" t="str" cm="1">
        <f t="array" ref="D2413">IFERROR(ROUNDUP(_xlfn.IFS(F2413="Aluminum Track", _xlfn.XLOOKUP(C2413, dd_accsrycalc!$A$2:$A$51, dd_accsrycalc!$B$2:$B$51, "",0), F2413="10 x 2 1/2 S (Flat)", _xlfn.XLOOKUP(C2413, dd_accsrycalc!$A$2:$A$51, dd_accsrycalc!$C$2:$C$51, "",0), F2413="Tox6", _xlfn.XLOOKUP(C2413, dd_accsrycalc!$A$2:$A$51, dd_accsrycalc!$D$2:$D$51, "",0), F2413="Cover Cap", _xlfn.XLOOKUP(C2413, dd_accsrycalc!$A$2:$A$51, dd_accsrycalc!$E$2:$E$51, "",0), F2413="Drainage Cover", _xlfn.XLOOKUP(C2413, dd_accsrycalc!$A$2:$A$51, dd_accsrycalc!$F$2:$F$51, "",0),AND( F2413="Double Adhesive Tape", I2413="Roll-up Screen"), _xlfn.XLOOKUP(C2413, calc_rusacc!$C$15:$C$65, calc_rusacc!$AD$15:$AD$65, "",0),AND( F2413="Sealant", I2413="Roll-up Screen"), _xlfn.XLOOKUP(C2413, calc_rusacc!$C$15:$C$65, calc_rusacc!$AF$15:$AF$65, "",0),  AND( F2413="Main Chain", I2413="Accordion Screen"), _xlfn.XLOOKUP(C2413, calc_rusacc!$C$15:$C$65, calc_rusacc!$BF$15:$BF$65, "",0), AND( F2413="Sealant", I2413="Accordion Screen"), _xlfn.XLOOKUP(C2413, calc_rusacc!$C$15:$C$65, calc_rusacc!$BJ$15:$BJ$65, "",0),  F2413="Sealant", _xlfn.XLOOKUP(C2413, dd_accsrycalc!$A$2:$A$51, dd_accsrycalc!$G$2:$G$51, "",0),  F2413&lt;&gt;"",L2413*_xlfn.XLOOKUP(1, (SKUs!$C$2:$C$10001=G2413)*(SKUs!$K$2:$K$10001=I2413),SKUs!$E$2:$E$10001)), 0),"")</f>
        <v/>
      </c>
      <c r="E2413" s="16" t="str">
        <f>_xlfn.XLOOKUP(F2413,dd_item!$B$2:$B$105,dd_item!$C$2:$C$105,"",0)</f>
        <v/>
      </c>
      <c r="F2413" s="16"/>
      <c r="G2413" s="16" cm="1">
        <f t="array" ref="G2413">IFERROR(_xlfn.XLOOKUP(1, (SKUs!$J$2:$J$10001=accsry_unmerged!F2413)*IF(H2413&lt;&gt;"",(SKUs!$L$2:$L$10001=accsry_unmerged!H2413),1)*(SKUs!$K$2:$K$10001=I2413),SKUs!$C$2:$C$10001),"")</f>
        <v>0</v>
      </c>
      <c r="H2413" s="33" cm="1">
        <f t="array" ref="H2413">IFERROR(_xlfn.XLOOKUP(1, (dd_accsryclr!$C$2:$C$1000=accsry_unmerged!F2413)*(dd_accsryclr!$B$2:$B$1000=accsry_unmerged!J2413),dd_accsryclr!$A$2:$A$1000),"")</f>
        <v>0</v>
      </c>
      <c r="I2413" s="16">
        <f>_xlfn.XLOOKUP(C2413,'Project Details'!$C$17:$C$66,'Project Details'!$E$17:$E$66,"",0)</f>
        <v>0</v>
      </c>
      <c r="J2413" s="16">
        <f>_xlfn.XLOOKUP(C2413,'Project Details'!$C$17:$C$66,'Project Details'!$H$17:$H$66,"",0)</f>
        <v>0</v>
      </c>
      <c r="K2413" s="33" t="str">
        <f>IF(AND(_xlfn.XLOOKUP(C2413,'Project Details'!$C$17:$C$66,'Project Details'!$L$17:$L$66,"",0)&gt;550, F2413="Spring-L27cm"),"",SUBSTITUTE(_xlfn.XLOOKUP(G2413,SKUs!$C$2:$C$10001,SKUs!$F$2:$F$10001,"",0), " Accessories",""))</f>
        <v/>
      </c>
      <c r="L2413" s="33">
        <f>_xlfn.XLOOKUP(C2413,'Project Details'!$C$17:$C$66,'Project Details'!$D$17:$D$66,"",0)</f>
        <v>0</v>
      </c>
      <c r="M2413" s="43"/>
    </row>
    <row r="2414" spans="1:13" x14ac:dyDescent="0.25">
      <c r="A2414" s="43"/>
      <c r="B2414" s="43"/>
      <c r="C2414" s="43"/>
      <c r="D2414" s="43"/>
      <c r="E2414" s="43"/>
      <c r="F2414" s="43"/>
      <c r="G2414" s="43"/>
      <c r="H2414" s="43"/>
      <c r="I2414" s="43"/>
      <c r="J2414" s="43"/>
      <c r="K2414" s="43"/>
      <c r="L2414" s="43"/>
      <c r="M2414" s="43"/>
    </row>
    <row r="2415" spans="1:13" x14ac:dyDescent="0.25">
      <c r="A2415" s="43"/>
      <c r="B2415" s="43"/>
      <c r="C2415" s="16">
        <f>C2413+1</f>
        <v>49</v>
      </c>
      <c r="D2415" s="48" cm="1">
        <f t="array" ref="D2415">IFERROR(ROUNDUP(_xlfn.IFS(F2415="Aluminum Track", _xlfn.XLOOKUP(C2415, dd_accsrycalc!$A$2:$A$51, dd_accsrycalc!$B$2:$B$51, "",0), F2415="10 x 2 1/2 S (Flat)", _xlfn.XLOOKUP(C2415, dd_accsrycalc!$A$2:$A$51, dd_accsrycalc!$C$2:$C$51, "",0), F2415="Tox6", _xlfn.XLOOKUP(C2415, dd_accsrycalc!$A$2:$A$51, dd_accsrycalc!$D$2:$D$51, "",0), F2415="Cover Cap", _xlfn.XLOOKUP(C2415, dd_accsrycalc!$A$2:$A$51, dd_accsrycalc!$E$2:$E$51, "",0), F2415="Drainage Cover", _xlfn.XLOOKUP(C2415, dd_accsrycalc!$A$2:$A$51, dd_accsrycalc!$F$2:$F$51, "",0),AND( F2415="Double Adhesive Tape", I2415="Roll-up Screen"), _xlfn.XLOOKUP(C2415, calc_rusacc!$C$15:$C$65, calc_rusacc!$AD$15:$AD$65, "",0),AND( F2415="Sealant", I2415="Roll-up Screen"), _xlfn.XLOOKUP(C2415, calc_rusacc!$C$15:$C$65, calc_rusacc!$AF$15:$AF$65, "",0),  AND( F2415="Main Chain", I2415="Accordion Screen"), _xlfn.XLOOKUP(C2415, calc_rusacc!$C$15:$C$65, calc_rusacc!$BF$15:$BF$65, "",0), AND( F2415="Sealant", I2415="Accordion Screen"), _xlfn.XLOOKUP(C2415, calc_rusacc!$C$15:$C$65, calc_rusacc!$BJ$15:$BJ$65, "",0),  F2415="Sealant", _xlfn.XLOOKUP(C2415, dd_accsrycalc!$A$2:$A$51, dd_accsrycalc!$G$2:$G$51, "",0),  F2415&lt;&gt;"",L2415*_xlfn.XLOOKUP(1, (SKUs!$C$2:$C$10001=G2415)*(SKUs!$K$2:$K$10001=I2415),SKUs!$E$2:$E$10001)), 0),"")</f>
        <v>0</v>
      </c>
      <c r="E2415" s="48" t="str">
        <f>_xlfn.XLOOKUP(F2415,dd_item!$B$2:$B$105,dd_item!$C$2:$C$105,"",0)</f>
        <v/>
      </c>
      <c r="F2415" s="48" cm="1">
        <f t="array" ref="F2415">IFERROR(_xlfn.UNIQUE(_xlfn._xlws.FILTER(SKUs!$J$2:$J$10001, (SKUs!$F$2:$F$10001&lt;&gt;"Cutting List") * (SKUs!$A$2:$A$10001=_xlfn.XLOOKUP(_xlfn.XLOOKUP(C2415,'Project Details'!$C$17:$C$66,'Project Details'!$E$17:$E$66,"",0), dd_design_raw!$A$2:$A$101,dd_design_raw!$C$2:$C$101,"",0)))), "")</f>
        <v>0</v>
      </c>
      <c r="G2415" s="16" cm="1">
        <f t="array" ref="G2415">IFERROR(_xlfn.XLOOKUP(1, (SKUs!$J$2:$J$10001=accsry_unmerged!F2415)*IF(H2415&lt;&gt;"",(SKUs!$L$2:$L$10001=accsry_unmerged!H2415),1)*(SKUs!$K$2:$K$10001=I2415),SKUs!$C$2:$C$10001),"")</f>
        <v>0</v>
      </c>
      <c r="H2415" s="16" cm="1">
        <f t="array" ref="H2415">IFERROR(_xlfn.XLOOKUP(1, (dd_accsryclr!$C$2:$C$1000=accsry_unmerged!F2415)*(dd_accsryclr!$B$2:$B$1000=accsry_unmerged!J2415),dd_accsryclr!$A$2:$A$1000),"")</f>
        <v>0</v>
      </c>
      <c r="I2415" s="16">
        <f>_xlfn.XLOOKUP(C2415,'Project Details'!$C$17:$C$66,'Project Details'!$E$17:$E$66,"",0)</f>
        <v>0</v>
      </c>
      <c r="J2415" s="16">
        <f>_xlfn.XLOOKUP(C2415,'Project Details'!$C$17:$C$66,'Project Details'!$H$17:$H$66,"",0)</f>
        <v>0</v>
      </c>
      <c r="K2415" s="16" t="str">
        <f>IF(AND(_xlfn.XLOOKUP(C2415,'Project Details'!$C$17:$C$66,'Project Details'!$L$17:$L$66,"",0)&gt;550, F2415="Spring-L27cm"),"",SUBSTITUTE(_xlfn.XLOOKUP(G2415,SKUs!$C$2:$C$10001,SKUs!$F$2:$F$10001,"",0), " Accessories",""))</f>
        <v/>
      </c>
      <c r="L2415" s="16">
        <f>_xlfn.XLOOKUP(C2415,'Project Details'!$C$17:$C$66,'Project Details'!$D$17:$D$66,"",0)</f>
        <v>0</v>
      </c>
      <c r="M2415" s="43"/>
    </row>
    <row r="2416" spans="1:13" x14ac:dyDescent="0.25">
      <c r="A2416" s="43"/>
      <c r="B2416" s="43"/>
      <c r="C2416" s="35">
        <f>C2415</f>
        <v>49</v>
      </c>
      <c r="D2416" s="35" t="str" cm="1">
        <f t="array" ref="D2416">IFERROR(ROUNDUP(_xlfn.IFS(F2416="Aluminum Track", _xlfn.XLOOKUP(C2416, dd_accsrycalc!$A$2:$A$51, dd_accsrycalc!$B$2:$B$51, "",0), F2416="10 x 2 1/2 S (Flat)", _xlfn.XLOOKUP(C2416, dd_accsrycalc!$A$2:$A$51, dd_accsrycalc!$C$2:$C$51, "",0), F2416="Tox6", _xlfn.XLOOKUP(C2416, dd_accsrycalc!$A$2:$A$51, dd_accsrycalc!$D$2:$D$51, "",0), F2416="Cover Cap", _xlfn.XLOOKUP(C2416, dd_accsrycalc!$A$2:$A$51, dd_accsrycalc!$E$2:$E$51, "",0), F2416="Drainage Cover", _xlfn.XLOOKUP(C2416, dd_accsrycalc!$A$2:$A$51, dd_accsrycalc!$F$2:$F$51, "",0),AND( F2416="Double Adhesive Tape", I2416="Roll-up Screen"), _xlfn.XLOOKUP(C2416, calc_rusacc!$C$15:$C$65, calc_rusacc!$AD$15:$AD$65, "",0),AND( F2416="Sealant", I2416="Roll-up Screen"), _xlfn.XLOOKUP(C2416, calc_rusacc!$C$15:$C$65, calc_rusacc!$AF$15:$AF$65, "",0),  AND( F2416="Main Chain", I2416="Accordion Screen"), _xlfn.XLOOKUP(C2416, calc_rusacc!$C$15:$C$65, calc_rusacc!$BF$15:$BF$65, "",0), AND( F2416="Sealant", I2416="Accordion Screen"), _xlfn.XLOOKUP(C2416, calc_rusacc!$C$15:$C$65, calc_rusacc!$BJ$15:$BJ$65, "",0),  F2416="Sealant", _xlfn.XLOOKUP(C2416, dd_accsrycalc!$A$2:$A$51, dd_accsrycalc!$G$2:$G$51, "",0),  F2416&lt;&gt;"",L2416*_xlfn.XLOOKUP(1, (SKUs!$C$2:$C$10001=G2416)*(SKUs!$K$2:$K$10001=I2416),SKUs!$E$2:$E$10001)), 0),"")</f>
        <v/>
      </c>
      <c r="E2416" s="35" t="str">
        <f>_xlfn.XLOOKUP(F2416,dd_item!$B$2:$B$105,dd_item!$C$2:$C$105,"",0)</f>
        <v/>
      </c>
      <c r="F2416" s="35"/>
      <c r="G2416" s="35" cm="1">
        <f t="array" ref="G2416">IFERROR(_xlfn.XLOOKUP(1, (SKUs!$J$2:$J$10001=accsry_unmerged!F2416)*IF(H2416&lt;&gt;"",(SKUs!$L$2:$L$10001=accsry_unmerged!H2416),1)*(SKUs!$K$2:$K$10001=I2416),SKUs!$C$2:$C$10001),"")</f>
        <v>0</v>
      </c>
      <c r="H2416" s="36" cm="1">
        <f t="array" ref="H2416">IFERROR(_xlfn.XLOOKUP(1, (dd_accsryclr!$C$2:$C$1000=accsry_unmerged!F2416)*(dd_accsryclr!$B$2:$B$1000=accsry_unmerged!J2416),dd_accsryclr!$A$2:$A$1000),"")</f>
        <v>0</v>
      </c>
      <c r="I2416" s="35">
        <f>_xlfn.XLOOKUP(C2416,'Project Details'!$C$17:$C$66,'Project Details'!$E$17:$E$66,"",0)</f>
        <v>0</v>
      </c>
      <c r="J2416" s="35">
        <f>_xlfn.XLOOKUP(C2416,'Project Details'!$C$17:$C$66,'Project Details'!$H$17:$H$66,"",0)</f>
        <v>0</v>
      </c>
      <c r="K2416" s="36" t="str">
        <f>IF(AND(_xlfn.XLOOKUP(C2416,'Project Details'!$C$17:$C$66,'Project Details'!$L$17:$L$66,"",0)&gt;550, F2416="Spring-L27cm"),"",SUBSTITUTE(_xlfn.XLOOKUP(G2416,SKUs!$C$2:$C$10001,SKUs!$F$2:$F$10001,"",0), " Accessories",""))</f>
        <v/>
      </c>
      <c r="L2416" s="36">
        <f>_xlfn.XLOOKUP(C2416,'Project Details'!$C$17:$C$66,'Project Details'!$D$17:$D$66,"",0)</f>
        <v>0</v>
      </c>
      <c r="M2416" s="43"/>
    </row>
    <row r="2417" spans="1:13" x14ac:dyDescent="0.25">
      <c r="A2417" s="43"/>
      <c r="B2417" s="43"/>
      <c r="C2417" s="16">
        <f t="shared" ref="C2417:C2463" si="47">C2416</f>
        <v>49</v>
      </c>
      <c r="D2417" s="16" t="str" cm="1">
        <f t="array" ref="D2417">IFERROR(ROUNDUP(_xlfn.IFS(F2417="Aluminum Track", _xlfn.XLOOKUP(C2417, dd_accsrycalc!$A$2:$A$51, dd_accsrycalc!$B$2:$B$51, "",0), F2417="10 x 2 1/2 S (Flat)", _xlfn.XLOOKUP(C2417, dd_accsrycalc!$A$2:$A$51, dd_accsrycalc!$C$2:$C$51, "",0), F2417="Tox6", _xlfn.XLOOKUP(C2417, dd_accsrycalc!$A$2:$A$51, dd_accsrycalc!$D$2:$D$51, "",0), F2417="Cover Cap", _xlfn.XLOOKUP(C2417, dd_accsrycalc!$A$2:$A$51, dd_accsrycalc!$E$2:$E$51, "",0), F2417="Drainage Cover", _xlfn.XLOOKUP(C2417, dd_accsrycalc!$A$2:$A$51, dd_accsrycalc!$F$2:$F$51, "",0),AND( F2417="Double Adhesive Tape", I2417="Roll-up Screen"), _xlfn.XLOOKUP(C2417, calc_rusacc!$C$15:$C$65, calc_rusacc!$AD$15:$AD$65, "",0),AND( F2417="Sealant", I2417="Roll-up Screen"), _xlfn.XLOOKUP(C2417, calc_rusacc!$C$15:$C$65, calc_rusacc!$AF$15:$AF$65, "",0),  AND( F2417="Main Chain", I2417="Accordion Screen"), _xlfn.XLOOKUP(C2417, calc_rusacc!$C$15:$C$65, calc_rusacc!$BF$15:$BF$65, "",0), AND( F2417="Sealant", I2417="Accordion Screen"), _xlfn.XLOOKUP(C2417, calc_rusacc!$C$15:$C$65, calc_rusacc!$BJ$15:$BJ$65, "",0),  F2417="Sealant", _xlfn.XLOOKUP(C2417, dd_accsrycalc!$A$2:$A$51, dd_accsrycalc!$G$2:$G$51, "",0),  F2417&lt;&gt;"",L2417*_xlfn.XLOOKUP(1, (SKUs!$C$2:$C$10001=G2417)*(SKUs!$K$2:$K$10001=I2417),SKUs!$E$2:$E$10001)), 0),"")</f>
        <v/>
      </c>
      <c r="E2417" s="16" t="str">
        <f>_xlfn.XLOOKUP(F2417,dd_item!$B$2:$B$105,dd_item!$C$2:$C$105,"",0)</f>
        <v/>
      </c>
      <c r="F2417" s="16"/>
      <c r="G2417" s="16" cm="1">
        <f t="array" ref="G2417">IFERROR(_xlfn.XLOOKUP(1, (SKUs!$J$2:$J$10001=accsry_unmerged!F2417)*IF(H2417&lt;&gt;"",(SKUs!$L$2:$L$10001=accsry_unmerged!H2417),1)*(SKUs!$K$2:$K$10001=I2417),SKUs!$C$2:$C$10001),"")</f>
        <v>0</v>
      </c>
      <c r="H2417" s="33" cm="1">
        <f t="array" ref="H2417">IFERROR(_xlfn.XLOOKUP(1, (dd_accsryclr!$C$2:$C$1000=accsry_unmerged!F2417)*(dd_accsryclr!$B$2:$B$1000=accsry_unmerged!J2417),dd_accsryclr!$A$2:$A$1000),"")</f>
        <v>0</v>
      </c>
      <c r="I2417" s="16">
        <f>_xlfn.XLOOKUP(C2417,'Project Details'!$C$17:$C$66,'Project Details'!$E$17:$E$66,"",0)</f>
        <v>0</v>
      </c>
      <c r="J2417" s="16">
        <f>_xlfn.XLOOKUP(C2417,'Project Details'!$C$17:$C$66,'Project Details'!$H$17:$H$66,"",0)</f>
        <v>0</v>
      </c>
      <c r="K2417" s="33" t="str">
        <f>IF(AND(_xlfn.XLOOKUP(C2417,'Project Details'!$C$17:$C$66,'Project Details'!$L$17:$L$66,"",0)&gt;550, F2417="Spring-L27cm"),"",SUBSTITUTE(_xlfn.XLOOKUP(G2417,SKUs!$C$2:$C$10001,SKUs!$F$2:$F$10001,"",0), " Accessories",""))</f>
        <v/>
      </c>
      <c r="L2417" s="33">
        <f>_xlfn.XLOOKUP(C2417,'Project Details'!$C$17:$C$66,'Project Details'!$D$17:$D$66,"",0)</f>
        <v>0</v>
      </c>
      <c r="M2417" s="43"/>
    </row>
    <row r="2418" spans="1:13" x14ac:dyDescent="0.25">
      <c r="A2418" s="43"/>
      <c r="B2418" s="43"/>
      <c r="C2418" s="35">
        <f t="shared" si="47"/>
        <v>49</v>
      </c>
      <c r="D2418" s="35" t="str" cm="1">
        <f t="array" ref="D2418">IFERROR(ROUNDUP(_xlfn.IFS(F2418="Aluminum Track", _xlfn.XLOOKUP(C2418, dd_accsrycalc!$A$2:$A$51, dd_accsrycalc!$B$2:$B$51, "",0), F2418="10 x 2 1/2 S (Flat)", _xlfn.XLOOKUP(C2418, dd_accsrycalc!$A$2:$A$51, dd_accsrycalc!$C$2:$C$51, "",0), F2418="Tox6", _xlfn.XLOOKUP(C2418, dd_accsrycalc!$A$2:$A$51, dd_accsrycalc!$D$2:$D$51, "",0), F2418="Cover Cap", _xlfn.XLOOKUP(C2418, dd_accsrycalc!$A$2:$A$51, dd_accsrycalc!$E$2:$E$51, "",0), F2418="Drainage Cover", _xlfn.XLOOKUP(C2418, dd_accsrycalc!$A$2:$A$51, dd_accsrycalc!$F$2:$F$51, "",0),AND( F2418="Double Adhesive Tape", I2418="Roll-up Screen"), _xlfn.XLOOKUP(C2418, calc_rusacc!$C$15:$C$65, calc_rusacc!$AD$15:$AD$65, "",0),AND( F2418="Sealant", I2418="Roll-up Screen"), _xlfn.XLOOKUP(C2418, calc_rusacc!$C$15:$C$65, calc_rusacc!$AF$15:$AF$65, "",0),  AND( F2418="Main Chain", I2418="Accordion Screen"), _xlfn.XLOOKUP(C2418, calc_rusacc!$C$15:$C$65, calc_rusacc!$BF$15:$BF$65, "",0), AND( F2418="Sealant", I2418="Accordion Screen"), _xlfn.XLOOKUP(C2418, calc_rusacc!$C$15:$C$65, calc_rusacc!$BJ$15:$BJ$65, "",0),  F2418="Sealant", _xlfn.XLOOKUP(C2418, dd_accsrycalc!$A$2:$A$51, dd_accsrycalc!$G$2:$G$51, "",0),  F2418&lt;&gt;"",L2418*_xlfn.XLOOKUP(1, (SKUs!$C$2:$C$10001=G2418)*(SKUs!$K$2:$K$10001=I2418),SKUs!$E$2:$E$10001)), 0),"")</f>
        <v/>
      </c>
      <c r="E2418" s="35" t="str">
        <f>_xlfn.XLOOKUP(F2418,dd_item!$B$2:$B$105,dd_item!$C$2:$C$105,"",0)</f>
        <v/>
      </c>
      <c r="F2418" s="35"/>
      <c r="G2418" s="35" cm="1">
        <f t="array" ref="G2418">IFERROR(_xlfn.XLOOKUP(1, (SKUs!$J$2:$J$10001=accsry_unmerged!F2418)*IF(H2418&lt;&gt;"",(SKUs!$L$2:$L$10001=accsry_unmerged!H2418),1)*(SKUs!$K$2:$K$10001=I2418),SKUs!$C$2:$C$10001),"")</f>
        <v>0</v>
      </c>
      <c r="H2418" s="36" cm="1">
        <f t="array" ref="H2418">IFERROR(_xlfn.XLOOKUP(1, (dd_accsryclr!$C$2:$C$1000=accsry_unmerged!F2418)*(dd_accsryclr!$B$2:$B$1000=accsry_unmerged!J2418),dd_accsryclr!$A$2:$A$1000),"")</f>
        <v>0</v>
      </c>
      <c r="I2418" s="35">
        <f>_xlfn.XLOOKUP(C2418,'Project Details'!$C$17:$C$66,'Project Details'!$E$17:$E$66,"",0)</f>
        <v>0</v>
      </c>
      <c r="J2418" s="35">
        <f>_xlfn.XLOOKUP(C2418,'Project Details'!$C$17:$C$66,'Project Details'!$H$17:$H$66,"",0)</f>
        <v>0</v>
      </c>
      <c r="K2418" s="36" t="str">
        <f>IF(AND(_xlfn.XLOOKUP(C2418,'Project Details'!$C$17:$C$66,'Project Details'!$L$17:$L$66,"",0)&gt;550, F2418="Spring-L27cm"),"",SUBSTITUTE(_xlfn.XLOOKUP(G2418,SKUs!$C$2:$C$10001,SKUs!$F$2:$F$10001,"",0), " Accessories",""))</f>
        <v/>
      </c>
      <c r="L2418" s="36">
        <f>_xlfn.XLOOKUP(C2418,'Project Details'!$C$17:$C$66,'Project Details'!$D$17:$D$66,"",0)</f>
        <v>0</v>
      </c>
      <c r="M2418" s="43"/>
    </row>
    <row r="2419" spans="1:13" x14ac:dyDescent="0.25">
      <c r="A2419" s="43"/>
      <c r="B2419" s="43"/>
      <c r="C2419" s="16">
        <f t="shared" si="47"/>
        <v>49</v>
      </c>
      <c r="D2419" s="16" t="str" cm="1">
        <f t="array" ref="D2419">IFERROR(ROUNDUP(_xlfn.IFS(F2419="Aluminum Track", _xlfn.XLOOKUP(C2419, dd_accsrycalc!$A$2:$A$51, dd_accsrycalc!$B$2:$B$51, "",0), F2419="10 x 2 1/2 S (Flat)", _xlfn.XLOOKUP(C2419, dd_accsrycalc!$A$2:$A$51, dd_accsrycalc!$C$2:$C$51, "",0), F2419="Tox6", _xlfn.XLOOKUP(C2419, dd_accsrycalc!$A$2:$A$51, dd_accsrycalc!$D$2:$D$51, "",0), F2419="Cover Cap", _xlfn.XLOOKUP(C2419, dd_accsrycalc!$A$2:$A$51, dd_accsrycalc!$E$2:$E$51, "",0), F2419="Drainage Cover", _xlfn.XLOOKUP(C2419, dd_accsrycalc!$A$2:$A$51, dd_accsrycalc!$F$2:$F$51, "",0),AND( F2419="Double Adhesive Tape", I2419="Roll-up Screen"), _xlfn.XLOOKUP(C2419, calc_rusacc!$C$15:$C$65, calc_rusacc!$AD$15:$AD$65, "",0),AND( F2419="Sealant", I2419="Roll-up Screen"), _xlfn.XLOOKUP(C2419, calc_rusacc!$C$15:$C$65, calc_rusacc!$AF$15:$AF$65, "",0),  AND( F2419="Main Chain", I2419="Accordion Screen"), _xlfn.XLOOKUP(C2419, calc_rusacc!$C$15:$C$65, calc_rusacc!$BF$15:$BF$65, "",0), AND( F2419="Sealant", I2419="Accordion Screen"), _xlfn.XLOOKUP(C2419, calc_rusacc!$C$15:$C$65, calc_rusacc!$BJ$15:$BJ$65, "",0),  F2419="Sealant", _xlfn.XLOOKUP(C2419, dd_accsrycalc!$A$2:$A$51, dd_accsrycalc!$G$2:$G$51, "",0),  F2419&lt;&gt;"",L2419*_xlfn.XLOOKUP(1, (SKUs!$C$2:$C$10001=G2419)*(SKUs!$K$2:$K$10001=I2419),SKUs!$E$2:$E$10001)), 0),"")</f>
        <v/>
      </c>
      <c r="E2419" s="16" t="str">
        <f>_xlfn.XLOOKUP(F2419,dd_item!$B$2:$B$105,dd_item!$C$2:$C$105,"",0)</f>
        <v/>
      </c>
      <c r="F2419" s="16"/>
      <c r="G2419" s="16" cm="1">
        <f t="array" ref="G2419">IFERROR(_xlfn.XLOOKUP(1, (SKUs!$J$2:$J$10001=accsry_unmerged!F2419)*IF(H2419&lt;&gt;"",(SKUs!$L$2:$L$10001=accsry_unmerged!H2419),1)*(SKUs!$K$2:$K$10001=I2419),SKUs!$C$2:$C$10001),"")</f>
        <v>0</v>
      </c>
      <c r="H2419" s="33" cm="1">
        <f t="array" ref="H2419">IFERROR(_xlfn.XLOOKUP(1, (dd_accsryclr!$C$2:$C$1000=accsry_unmerged!F2419)*(dd_accsryclr!$B$2:$B$1000=accsry_unmerged!J2419),dd_accsryclr!$A$2:$A$1000),"")</f>
        <v>0</v>
      </c>
      <c r="I2419" s="16">
        <f>_xlfn.XLOOKUP(C2419,'Project Details'!$C$17:$C$66,'Project Details'!$E$17:$E$66,"",0)</f>
        <v>0</v>
      </c>
      <c r="J2419" s="16">
        <f>_xlfn.XLOOKUP(C2419,'Project Details'!$C$17:$C$66,'Project Details'!$H$17:$H$66,"",0)</f>
        <v>0</v>
      </c>
      <c r="K2419" s="33" t="str">
        <f>IF(AND(_xlfn.XLOOKUP(C2419,'Project Details'!$C$17:$C$66,'Project Details'!$L$17:$L$66,"",0)&gt;550, F2419="Spring-L27cm"),"",SUBSTITUTE(_xlfn.XLOOKUP(G2419,SKUs!$C$2:$C$10001,SKUs!$F$2:$F$10001,"",0), " Accessories",""))</f>
        <v/>
      </c>
      <c r="L2419" s="33">
        <f>_xlfn.XLOOKUP(C2419,'Project Details'!$C$17:$C$66,'Project Details'!$D$17:$D$66,"",0)</f>
        <v>0</v>
      </c>
      <c r="M2419" s="43"/>
    </row>
    <row r="2420" spans="1:13" x14ac:dyDescent="0.25">
      <c r="A2420" s="43"/>
      <c r="B2420" s="43"/>
      <c r="C2420" s="35">
        <f t="shared" si="47"/>
        <v>49</v>
      </c>
      <c r="D2420" s="35" t="str" cm="1">
        <f t="array" ref="D2420">IFERROR(ROUNDUP(_xlfn.IFS(F2420="Aluminum Track", _xlfn.XLOOKUP(C2420, dd_accsrycalc!$A$2:$A$51, dd_accsrycalc!$B$2:$B$51, "",0), F2420="10 x 2 1/2 S (Flat)", _xlfn.XLOOKUP(C2420, dd_accsrycalc!$A$2:$A$51, dd_accsrycalc!$C$2:$C$51, "",0), F2420="Tox6", _xlfn.XLOOKUP(C2420, dd_accsrycalc!$A$2:$A$51, dd_accsrycalc!$D$2:$D$51, "",0), F2420="Cover Cap", _xlfn.XLOOKUP(C2420, dd_accsrycalc!$A$2:$A$51, dd_accsrycalc!$E$2:$E$51, "",0), F2420="Drainage Cover", _xlfn.XLOOKUP(C2420, dd_accsrycalc!$A$2:$A$51, dd_accsrycalc!$F$2:$F$51, "",0),AND( F2420="Double Adhesive Tape", I2420="Roll-up Screen"), _xlfn.XLOOKUP(C2420, calc_rusacc!$C$15:$C$65, calc_rusacc!$AD$15:$AD$65, "",0),AND( F2420="Sealant", I2420="Roll-up Screen"), _xlfn.XLOOKUP(C2420, calc_rusacc!$C$15:$C$65, calc_rusacc!$AF$15:$AF$65, "",0),  AND( F2420="Main Chain", I2420="Accordion Screen"), _xlfn.XLOOKUP(C2420, calc_rusacc!$C$15:$C$65, calc_rusacc!$BF$15:$BF$65, "",0), AND( F2420="Sealant", I2420="Accordion Screen"), _xlfn.XLOOKUP(C2420, calc_rusacc!$C$15:$C$65, calc_rusacc!$BJ$15:$BJ$65, "",0),  F2420="Sealant", _xlfn.XLOOKUP(C2420, dd_accsrycalc!$A$2:$A$51, dd_accsrycalc!$G$2:$G$51, "",0),  F2420&lt;&gt;"",L2420*_xlfn.XLOOKUP(1, (SKUs!$C$2:$C$10001=G2420)*(SKUs!$K$2:$K$10001=I2420),SKUs!$E$2:$E$10001)), 0),"")</f>
        <v/>
      </c>
      <c r="E2420" s="35" t="str">
        <f>_xlfn.XLOOKUP(F2420,dd_item!$B$2:$B$105,dd_item!$C$2:$C$105,"",0)</f>
        <v/>
      </c>
      <c r="F2420" s="35"/>
      <c r="G2420" s="35" cm="1">
        <f t="array" ref="G2420">IFERROR(_xlfn.XLOOKUP(1, (SKUs!$J$2:$J$10001=accsry_unmerged!F2420)*IF(H2420&lt;&gt;"",(SKUs!$L$2:$L$10001=accsry_unmerged!H2420),1)*(SKUs!$K$2:$K$10001=I2420),SKUs!$C$2:$C$10001),"")</f>
        <v>0</v>
      </c>
      <c r="H2420" s="36" cm="1">
        <f t="array" ref="H2420">IFERROR(_xlfn.XLOOKUP(1, (dd_accsryclr!$C$2:$C$1000=accsry_unmerged!F2420)*(dd_accsryclr!$B$2:$B$1000=accsry_unmerged!J2420),dd_accsryclr!$A$2:$A$1000),"")</f>
        <v>0</v>
      </c>
      <c r="I2420" s="35">
        <f>_xlfn.XLOOKUP(C2420,'Project Details'!$C$17:$C$66,'Project Details'!$E$17:$E$66,"",0)</f>
        <v>0</v>
      </c>
      <c r="J2420" s="35">
        <f>_xlfn.XLOOKUP(C2420,'Project Details'!$C$17:$C$66,'Project Details'!$H$17:$H$66,"",0)</f>
        <v>0</v>
      </c>
      <c r="K2420" s="36" t="str">
        <f>IF(AND(_xlfn.XLOOKUP(C2420,'Project Details'!$C$17:$C$66,'Project Details'!$L$17:$L$66,"",0)&gt;550, F2420="Spring-L27cm"),"",SUBSTITUTE(_xlfn.XLOOKUP(G2420,SKUs!$C$2:$C$10001,SKUs!$F$2:$F$10001,"",0), " Accessories",""))</f>
        <v/>
      </c>
      <c r="L2420" s="36">
        <f>_xlfn.XLOOKUP(C2420,'Project Details'!$C$17:$C$66,'Project Details'!$D$17:$D$66,"",0)</f>
        <v>0</v>
      </c>
      <c r="M2420" s="43"/>
    </row>
    <row r="2421" spans="1:13" x14ac:dyDescent="0.25">
      <c r="A2421" s="43"/>
      <c r="B2421" s="43"/>
      <c r="C2421" s="16">
        <f t="shared" si="47"/>
        <v>49</v>
      </c>
      <c r="D2421" s="16" t="str" cm="1">
        <f t="array" ref="D2421">IFERROR(ROUNDUP(_xlfn.IFS(F2421="Aluminum Track", _xlfn.XLOOKUP(C2421, dd_accsrycalc!$A$2:$A$51, dd_accsrycalc!$B$2:$B$51, "",0), F2421="10 x 2 1/2 S (Flat)", _xlfn.XLOOKUP(C2421, dd_accsrycalc!$A$2:$A$51, dd_accsrycalc!$C$2:$C$51, "",0), F2421="Tox6", _xlfn.XLOOKUP(C2421, dd_accsrycalc!$A$2:$A$51, dd_accsrycalc!$D$2:$D$51, "",0), F2421="Cover Cap", _xlfn.XLOOKUP(C2421, dd_accsrycalc!$A$2:$A$51, dd_accsrycalc!$E$2:$E$51, "",0), F2421="Drainage Cover", _xlfn.XLOOKUP(C2421, dd_accsrycalc!$A$2:$A$51, dd_accsrycalc!$F$2:$F$51, "",0),AND( F2421="Double Adhesive Tape", I2421="Roll-up Screen"), _xlfn.XLOOKUP(C2421, calc_rusacc!$C$15:$C$65, calc_rusacc!$AD$15:$AD$65, "",0),AND( F2421="Sealant", I2421="Roll-up Screen"), _xlfn.XLOOKUP(C2421, calc_rusacc!$C$15:$C$65, calc_rusacc!$AF$15:$AF$65, "",0),  AND( F2421="Main Chain", I2421="Accordion Screen"), _xlfn.XLOOKUP(C2421, calc_rusacc!$C$15:$C$65, calc_rusacc!$BF$15:$BF$65, "",0), AND( F2421="Sealant", I2421="Accordion Screen"), _xlfn.XLOOKUP(C2421, calc_rusacc!$C$15:$C$65, calc_rusacc!$BJ$15:$BJ$65, "",0),  F2421="Sealant", _xlfn.XLOOKUP(C2421, dd_accsrycalc!$A$2:$A$51, dd_accsrycalc!$G$2:$G$51, "",0),  F2421&lt;&gt;"",L2421*_xlfn.XLOOKUP(1, (SKUs!$C$2:$C$10001=G2421)*(SKUs!$K$2:$K$10001=I2421),SKUs!$E$2:$E$10001)), 0),"")</f>
        <v/>
      </c>
      <c r="E2421" s="16" t="str">
        <f>_xlfn.XLOOKUP(F2421,dd_item!$B$2:$B$105,dd_item!$C$2:$C$105,"",0)</f>
        <v/>
      </c>
      <c r="F2421" s="16"/>
      <c r="G2421" s="16" cm="1">
        <f t="array" ref="G2421">IFERROR(_xlfn.XLOOKUP(1, (SKUs!$J$2:$J$10001=accsry_unmerged!F2421)*IF(H2421&lt;&gt;"",(SKUs!$L$2:$L$10001=accsry_unmerged!H2421),1)*(SKUs!$K$2:$K$10001=I2421),SKUs!$C$2:$C$10001),"")</f>
        <v>0</v>
      </c>
      <c r="H2421" s="33" cm="1">
        <f t="array" ref="H2421">IFERROR(_xlfn.XLOOKUP(1, (dd_accsryclr!$C$2:$C$1000=accsry_unmerged!F2421)*(dd_accsryclr!$B$2:$B$1000=accsry_unmerged!J2421),dd_accsryclr!$A$2:$A$1000),"")</f>
        <v>0</v>
      </c>
      <c r="I2421" s="16">
        <f>_xlfn.XLOOKUP(C2421,'Project Details'!$C$17:$C$66,'Project Details'!$E$17:$E$66,"",0)</f>
        <v>0</v>
      </c>
      <c r="J2421" s="16">
        <f>_xlfn.XLOOKUP(C2421,'Project Details'!$C$17:$C$66,'Project Details'!$H$17:$H$66,"",0)</f>
        <v>0</v>
      </c>
      <c r="K2421" s="33" t="str">
        <f>IF(AND(_xlfn.XLOOKUP(C2421,'Project Details'!$C$17:$C$66,'Project Details'!$L$17:$L$66,"",0)&gt;550, F2421="Spring-L27cm"),"",SUBSTITUTE(_xlfn.XLOOKUP(G2421,SKUs!$C$2:$C$10001,SKUs!$F$2:$F$10001,"",0), " Accessories",""))</f>
        <v/>
      </c>
      <c r="L2421" s="33">
        <f>_xlfn.XLOOKUP(C2421,'Project Details'!$C$17:$C$66,'Project Details'!$D$17:$D$66,"",0)</f>
        <v>0</v>
      </c>
      <c r="M2421" s="43"/>
    </row>
    <row r="2422" spans="1:13" x14ac:dyDescent="0.25">
      <c r="A2422" s="43"/>
      <c r="B2422" s="43"/>
      <c r="C2422" s="35">
        <f t="shared" si="47"/>
        <v>49</v>
      </c>
      <c r="D2422" s="35" t="str" cm="1">
        <f t="array" ref="D2422">IFERROR(ROUNDUP(_xlfn.IFS(F2422="Aluminum Track", _xlfn.XLOOKUP(C2422, dd_accsrycalc!$A$2:$A$51, dd_accsrycalc!$B$2:$B$51, "",0), F2422="10 x 2 1/2 S (Flat)", _xlfn.XLOOKUP(C2422, dd_accsrycalc!$A$2:$A$51, dd_accsrycalc!$C$2:$C$51, "",0), F2422="Tox6", _xlfn.XLOOKUP(C2422, dd_accsrycalc!$A$2:$A$51, dd_accsrycalc!$D$2:$D$51, "",0), F2422="Cover Cap", _xlfn.XLOOKUP(C2422, dd_accsrycalc!$A$2:$A$51, dd_accsrycalc!$E$2:$E$51, "",0), F2422="Drainage Cover", _xlfn.XLOOKUP(C2422, dd_accsrycalc!$A$2:$A$51, dd_accsrycalc!$F$2:$F$51, "",0),AND( F2422="Double Adhesive Tape", I2422="Roll-up Screen"), _xlfn.XLOOKUP(C2422, calc_rusacc!$C$15:$C$65, calc_rusacc!$AD$15:$AD$65, "",0),AND( F2422="Sealant", I2422="Roll-up Screen"), _xlfn.XLOOKUP(C2422, calc_rusacc!$C$15:$C$65, calc_rusacc!$AF$15:$AF$65, "",0),  AND( F2422="Main Chain", I2422="Accordion Screen"), _xlfn.XLOOKUP(C2422, calc_rusacc!$C$15:$C$65, calc_rusacc!$BF$15:$BF$65, "",0), AND( F2422="Sealant", I2422="Accordion Screen"), _xlfn.XLOOKUP(C2422, calc_rusacc!$C$15:$C$65, calc_rusacc!$BJ$15:$BJ$65, "",0),  F2422="Sealant", _xlfn.XLOOKUP(C2422, dd_accsrycalc!$A$2:$A$51, dd_accsrycalc!$G$2:$G$51, "",0),  F2422&lt;&gt;"",L2422*_xlfn.XLOOKUP(1, (SKUs!$C$2:$C$10001=G2422)*(SKUs!$K$2:$K$10001=I2422),SKUs!$E$2:$E$10001)), 0),"")</f>
        <v/>
      </c>
      <c r="E2422" s="35" t="str">
        <f>_xlfn.XLOOKUP(F2422,dd_item!$B$2:$B$105,dd_item!$C$2:$C$105,"",0)</f>
        <v/>
      </c>
      <c r="F2422" s="35"/>
      <c r="G2422" s="35" cm="1">
        <f t="array" ref="G2422">IFERROR(_xlfn.XLOOKUP(1, (SKUs!$J$2:$J$10001=accsry_unmerged!F2422)*IF(H2422&lt;&gt;"",(SKUs!$L$2:$L$10001=accsry_unmerged!H2422),1)*(SKUs!$K$2:$K$10001=I2422),SKUs!$C$2:$C$10001),"")</f>
        <v>0</v>
      </c>
      <c r="H2422" s="36" cm="1">
        <f t="array" ref="H2422">IFERROR(_xlfn.XLOOKUP(1, (dd_accsryclr!$C$2:$C$1000=accsry_unmerged!F2422)*(dd_accsryclr!$B$2:$B$1000=accsry_unmerged!J2422),dd_accsryclr!$A$2:$A$1000),"")</f>
        <v>0</v>
      </c>
      <c r="I2422" s="35">
        <f>_xlfn.XLOOKUP(C2422,'Project Details'!$C$17:$C$66,'Project Details'!$E$17:$E$66,"",0)</f>
        <v>0</v>
      </c>
      <c r="J2422" s="35">
        <f>_xlfn.XLOOKUP(C2422,'Project Details'!$C$17:$C$66,'Project Details'!$H$17:$H$66,"",0)</f>
        <v>0</v>
      </c>
      <c r="K2422" s="36" t="str">
        <f>IF(AND(_xlfn.XLOOKUP(C2422,'Project Details'!$C$17:$C$66,'Project Details'!$L$17:$L$66,"",0)&gt;550, F2422="Spring-L27cm"),"",SUBSTITUTE(_xlfn.XLOOKUP(G2422,SKUs!$C$2:$C$10001,SKUs!$F$2:$F$10001,"",0), " Accessories",""))</f>
        <v/>
      </c>
      <c r="L2422" s="36">
        <f>_xlfn.XLOOKUP(C2422,'Project Details'!$C$17:$C$66,'Project Details'!$D$17:$D$66,"",0)</f>
        <v>0</v>
      </c>
      <c r="M2422" s="43"/>
    </row>
    <row r="2423" spans="1:13" x14ac:dyDescent="0.25">
      <c r="A2423" s="43"/>
      <c r="B2423" s="43"/>
      <c r="C2423" s="16">
        <f t="shared" si="47"/>
        <v>49</v>
      </c>
      <c r="D2423" s="16" t="str" cm="1">
        <f t="array" ref="D2423">IFERROR(ROUNDUP(_xlfn.IFS(F2423="Aluminum Track", _xlfn.XLOOKUP(C2423, dd_accsrycalc!$A$2:$A$51, dd_accsrycalc!$B$2:$B$51, "",0), F2423="10 x 2 1/2 S (Flat)", _xlfn.XLOOKUP(C2423, dd_accsrycalc!$A$2:$A$51, dd_accsrycalc!$C$2:$C$51, "",0), F2423="Tox6", _xlfn.XLOOKUP(C2423, dd_accsrycalc!$A$2:$A$51, dd_accsrycalc!$D$2:$D$51, "",0), F2423="Cover Cap", _xlfn.XLOOKUP(C2423, dd_accsrycalc!$A$2:$A$51, dd_accsrycalc!$E$2:$E$51, "",0), F2423="Drainage Cover", _xlfn.XLOOKUP(C2423, dd_accsrycalc!$A$2:$A$51, dd_accsrycalc!$F$2:$F$51, "",0),AND( F2423="Double Adhesive Tape", I2423="Roll-up Screen"), _xlfn.XLOOKUP(C2423, calc_rusacc!$C$15:$C$65, calc_rusacc!$AD$15:$AD$65, "",0),AND( F2423="Sealant", I2423="Roll-up Screen"), _xlfn.XLOOKUP(C2423, calc_rusacc!$C$15:$C$65, calc_rusacc!$AF$15:$AF$65, "",0),  AND( F2423="Main Chain", I2423="Accordion Screen"), _xlfn.XLOOKUP(C2423, calc_rusacc!$C$15:$C$65, calc_rusacc!$BF$15:$BF$65, "",0), AND( F2423="Sealant", I2423="Accordion Screen"), _xlfn.XLOOKUP(C2423, calc_rusacc!$C$15:$C$65, calc_rusacc!$BJ$15:$BJ$65, "",0),  F2423="Sealant", _xlfn.XLOOKUP(C2423, dd_accsrycalc!$A$2:$A$51, dd_accsrycalc!$G$2:$G$51, "",0),  F2423&lt;&gt;"",L2423*_xlfn.XLOOKUP(1, (SKUs!$C$2:$C$10001=G2423)*(SKUs!$K$2:$K$10001=I2423),SKUs!$E$2:$E$10001)), 0),"")</f>
        <v/>
      </c>
      <c r="E2423" s="16" t="str">
        <f>_xlfn.XLOOKUP(F2423,dd_item!$B$2:$B$105,dd_item!$C$2:$C$105,"",0)</f>
        <v/>
      </c>
      <c r="F2423" s="16"/>
      <c r="G2423" s="16" cm="1">
        <f t="array" ref="G2423">IFERROR(_xlfn.XLOOKUP(1, (SKUs!$J$2:$J$10001=accsry_unmerged!F2423)*IF(H2423&lt;&gt;"",(SKUs!$L$2:$L$10001=accsry_unmerged!H2423),1)*(SKUs!$K$2:$K$10001=I2423),SKUs!$C$2:$C$10001),"")</f>
        <v>0</v>
      </c>
      <c r="H2423" s="33" cm="1">
        <f t="array" ref="H2423">IFERROR(_xlfn.XLOOKUP(1, (dd_accsryclr!$C$2:$C$1000=accsry_unmerged!F2423)*(dd_accsryclr!$B$2:$B$1000=accsry_unmerged!J2423),dd_accsryclr!$A$2:$A$1000),"")</f>
        <v>0</v>
      </c>
      <c r="I2423" s="16">
        <f>_xlfn.XLOOKUP(C2423,'Project Details'!$C$17:$C$66,'Project Details'!$E$17:$E$66,"",0)</f>
        <v>0</v>
      </c>
      <c r="J2423" s="16">
        <f>_xlfn.XLOOKUP(C2423,'Project Details'!$C$17:$C$66,'Project Details'!$H$17:$H$66,"",0)</f>
        <v>0</v>
      </c>
      <c r="K2423" s="33" t="str">
        <f>IF(AND(_xlfn.XLOOKUP(C2423,'Project Details'!$C$17:$C$66,'Project Details'!$L$17:$L$66,"",0)&gt;550, F2423="Spring-L27cm"),"",SUBSTITUTE(_xlfn.XLOOKUP(G2423,SKUs!$C$2:$C$10001,SKUs!$F$2:$F$10001,"",0), " Accessories",""))</f>
        <v/>
      </c>
      <c r="L2423" s="33">
        <f>_xlfn.XLOOKUP(C2423,'Project Details'!$C$17:$C$66,'Project Details'!$D$17:$D$66,"",0)</f>
        <v>0</v>
      </c>
      <c r="M2423" s="43"/>
    </row>
    <row r="2424" spans="1:13" x14ac:dyDescent="0.25">
      <c r="A2424" s="43"/>
      <c r="B2424" s="43"/>
      <c r="C2424" s="35">
        <f t="shared" si="47"/>
        <v>49</v>
      </c>
      <c r="D2424" s="35" t="str" cm="1">
        <f t="array" ref="D2424">IFERROR(ROUNDUP(_xlfn.IFS(F2424="Aluminum Track", _xlfn.XLOOKUP(C2424, dd_accsrycalc!$A$2:$A$51, dd_accsrycalc!$B$2:$B$51, "",0), F2424="10 x 2 1/2 S (Flat)", _xlfn.XLOOKUP(C2424, dd_accsrycalc!$A$2:$A$51, dd_accsrycalc!$C$2:$C$51, "",0), F2424="Tox6", _xlfn.XLOOKUP(C2424, dd_accsrycalc!$A$2:$A$51, dd_accsrycalc!$D$2:$D$51, "",0), F2424="Cover Cap", _xlfn.XLOOKUP(C2424, dd_accsrycalc!$A$2:$A$51, dd_accsrycalc!$E$2:$E$51, "",0), F2424="Drainage Cover", _xlfn.XLOOKUP(C2424, dd_accsrycalc!$A$2:$A$51, dd_accsrycalc!$F$2:$F$51, "",0),AND( F2424="Double Adhesive Tape", I2424="Roll-up Screen"), _xlfn.XLOOKUP(C2424, calc_rusacc!$C$15:$C$65, calc_rusacc!$AD$15:$AD$65, "",0),AND( F2424="Sealant", I2424="Roll-up Screen"), _xlfn.XLOOKUP(C2424, calc_rusacc!$C$15:$C$65, calc_rusacc!$AF$15:$AF$65, "",0),  AND( F2424="Main Chain", I2424="Accordion Screen"), _xlfn.XLOOKUP(C2424, calc_rusacc!$C$15:$C$65, calc_rusacc!$BF$15:$BF$65, "",0), AND( F2424="Sealant", I2424="Accordion Screen"), _xlfn.XLOOKUP(C2424, calc_rusacc!$C$15:$C$65, calc_rusacc!$BJ$15:$BJ$65, "",0),  F2424="Sealant", _xlfn.XLOOKUP(C2424, dd_accsrycalc!$A$2:$A$51, dd_accsrycalc!$G$2:$G$51, "",0),  F2424&lt;&gt;"",L2424*_xlfn.XLOOKUP(1, (SKUs!$C$2:$C$10001=G2424)*(SKUs!$K$2:$K$10001=I2424),SKUs!$E$2:$E$10001)), 0),"")</f>
        <v/>
      </c>
      <c r="E2424" s="35" t="str">
        <f>_xlfn.XLOOKUP(F2424,dd_item!$B$2:$B$105,dd_item!$C$2:$C$105,"",0)</f>
        <v/>
      </c>
      <c r="F2424" s="35"/>
      <c r="G2424" s="35" cm="1">
        <f t="array" ref="G2424">IFERROR(_xlfn.XLOOKUP(1, (SKUs!$J$2:$J$10001=accsry_unmerged!F2424)*IF(H2424&lt;&gt;"",(SKUs!$L$2:$L$10001=accsry_unmerged!H2424),1)*(SKUs!$K$2:$K$10001=I2424),SKUs!$C$2:$C$10001),"")</f>
        <v>0</v>
      </c>
      <c r="H2424" s="36" cm="1">
        <f t="array" ref="H2424">IFERROR(_xlfn.XLOOKUP(1, (dd_accsryclr!$C$2:$C$1000=accsry_unmerged!F2424)*(dd_accsryclr!$B$2:$B$1000=accsry_unmerged!J2424),dd_accsryclr!$A$2:$A$1000),"")</f>
        <v>0</v>
      </c>
      <c r="I2424" s="35">
        <f>_xlfn.XLOOKUP(C2424,'Project Details'!$C$17:$C$66,'Project Details'!$E$17:$E$66,"",0)</f>
        <v>0</v>
      </c>
      <c r="J2424" s="35">
        <f>_xlfn.XLOOKUP(C2424,'Project Details'!$C$17:$C$66,'Project Details'!$H$17:$H$66,"",0)</f>
        <v>0</v>
      </c>
      <c r="K2424" s="36" t="str">
        <f>IF(AND(_xlfn.XLOOKUP(C2424,'Project Details'!$C$17:$C$66,'Project Details'!$L$17:$L$66,"",0)&gt;550, F2424="Spring-L27cm"),"",SUBSTITUTE(_xlfn.XLOOKUP(G2424,SKUs!$C$2:$C$10001,SKUs!$F$2:$F$10001,"",0), " Accessories",""))</f>
        <v/>
      </c>
      <c r="L2424" s="36">
        <f>_xlfn.XLOOKUP(C2424,'Project Details'!$C$17:$C$66,'Project Details'!$D$17:$D$66,"",0)</f>
        <v>0</v>
      </c>
      <c r="M2424" s="43"/>
    </row>
    <row r="2425" spans="1:13" x14ac:dyDescent="0.25">
      <c r="A2425" s="43"/>
      <c r="B2425" s="43"/>
      <c r="C2425" s="16">
        <f t="shared" si="47"/>
        <v>49</v>
      </c>
      <c r="D2425" s="16" t="str" cm="1">
        <f t="array" ref="D2425">IFERROR(ROUNDUP(_xlfn.IFS(F2425="Aluminum Track", _xlfn.XLOOKUP(C2425, dd_accsrycalc!$A$2:$A$51, dd_accsrycalc!$B$2:$B$51, "",0), F2425="10 x 2 1/2 S (Flat)", _xlfn.XLOOKUP(C2425, dd_accsrycalc!$A$2:$A$51, dd_accsrycalc!$C$2:$C$51, "",0), F2425="Tox6", _xlfn.XLOOKUP(C2425, dd_accsrycalc!$A$2:$A$51, dd_accsrycalc!$D$2:$D$51, "",0), F2425="Cover Cap", _xlfn.XLOOKUP(C2425, dd_accsrycalc!$A$2:$A$51, dd_accsrycalc!$E$2:$E$51, "",0), F2425="Drainage Cover", _xlfn.XLOOKUP(C2425, dd_accsrycalc!$A$2:$A$51, dd_accsrycalc!$F$2:$F$51, "",0),AND( F2425="Double Adhesive Tape", I2425="Roll-up Screen"), _xlfn.XLOOKUP(C2425, calc_rusacc!$C$15:$C$65, calc_rusacc!$AD$15:$AD$65, "",0),AND( F2425="Sealant", I2425="Roll-up Screen"), _xlfn.XLOOKUP(C2425, calc_rusacc!$C$15:$C$65, calc_rusacc!$AF$15:$AF$65, "",0),  AND( F2425="Main Chain", I2425="Accordion Screen"), _xlfn.XLOOKUP(C2425, calc_rusacc!$C$15:$C$65, calc_rusacc!$BF$15:$BF$65, "",0), AND( F2425="Sealant", I2425="Accordion Screen"), _xlfn.XLOOKUP(C2425, calc_rusacc!$C$15:$C$65, calc_rusacc!$BJ$15:$BJ$65, "",0),  F2425="Sealant", _xlfn.XLOOKUP(C2425, dd_accsrycalc!$A$2:$A$51, dd_accsrycalc!$G$2:$G$51, "",0),  F2425&lt;&gt;"",L2425*_xlfn.XLOOKUP(1, (SKUs!$C$2:$C$10001=G2425)*(SKUs!$K$2:$K$10001=I2425),SKUs!$E$2:$E$10001)), 0),"")</f>
        <v/>
      </c>
      <c r="E2425" s="16" t="str">
        <f>_xlfn.XLOOKUP(F2425,dd_item!$B$2:$B$105,dd_item!$C$2:$C$105,"",0)</f>
        <v/>
      </c>
      <c r="F2425" s="16"/>
      <c r="G2425" s="16" cm="1">
        <f t="array" ref="G2425">IFERROR(_xlfn.XLOOKUP(1, (SKUs!$J$2:$J$10001=accsry_unmerged!F2425)*IF(H2425&lt;&gt;"",(SKUs!$L$2:$L$10001=accsry_unmerged!H2425),1)*(SKUs!$K$2:$K$10001=I2425),SKUs!$C$2:$C$10001),"")</f>
        <v>0</v>
      </c>
      <c r="H2425" s="33" cm="1">
        <f t="array" ref="H2425">IFERROR(_xlfn.XLOOKUP(1, (dd_accsryclr!$C$2:$C$1000=accsry_unmerged!F2425)*(dd_accsryclr!$B$2:$B$1000=accsry_unmerged!J2425),dd_accsryclr!$A$2:$A$1000),"")</f>
        <v>0</v>
      </c>
      <c r="I2425" s="16">
        <f>_xlfn.XLOOKUP(C2425,'Project Details'!$C$17:$C$66,'Project Details'!$E$17:$E$66,"",0)</f>
        <v>0</v>
      </c>
      <c r="J2425" s="16">
        <f>_xlfn.XLOOKUP(C2425,'Project Details'!$C$17:$C$66,'Project Details'!$H$17:$H$66,"",0)</f>
        <v>0</v>
      </c>
      <c r="K2425" s="33" t="str">
        <f>IF(AND(_xlfn.XLOOKUP(C2425,'Project Details'!$C$17:$C$66,'Project Details'!$L$17:$L$66,"",0)&gt;550, F2425="Spring-L27cm"),"",SUBSTITUTE(_xlfn.XLOOKUP(G2425,SKUs!$C$2:$C$10001,SKUs!$F$2:$F$10001,"",0), " Accessories",""))</f>
        <v/>
      </c>
      <c r="L2425" s="33">
        <f>_xlfn.XLOOKUP(C2425,'Project Details'!$C$17:$C$66,'Project Details'!$D$17:$D$66,"",0)</f>
        <v>0</v>
      </c>
      <c r="M2425" s="43"/>
    </row>
    <row r="2426" spans="1:13" x14ac:dyDescent="0.25">
      <c r="A2426" s="43"/>
      <c r="B2426" s="43"/>
      <c r="C2426" s="35">
        <f t="shared" si="47"/>
        <v>49</v>
      </c>
      <c r="D2426" s="35" t="str" cm="1">
        <f t="array" ref="D2426">IFERROR(ROUNDUP(_xlfn.IFS(F2426="Aluminum Track", _xlfn.XLOOKUP(C2426, dd_accsrycalc!$A$2:$A$51, dd_accsrycalc!$B$2:$B$51, "",0), F2426="10 x 2 1/2 S (Flat)", _xlfn.XLOOKUP(C2426, dd_accsrycalc!$A$2:$A$51, dd_accsrycalc!$C$2:$C$51, "",0), F2426="Tox6", _xlfn.XLOOKUP(C2426, dd_accsrycalc!$A$2:$A$51, dd_accsrycalc!$D$2:$D$51, "",0), F2426="Cover Cap", _xlfn.XLOOKUP(C2426, dd_accsrycalc!$A$2:$A$51, dd_accsrycalc!$E$2:$E$51, "",0), F2426="Drainage Cover", _xlfn.XLOOKUP(C2426, dd_accsrycalc!$A$2:$A$51, dd_accsrycalc!$F$2:$F$51, "",0),AND( F2426="Double Adhesive Tape", I2426="Roll-up Screen"), _xlfn.XLOOKUP(C2426, calc_rusacc!$C$15:$C$65, calc_rusacc!$AD$15:$AD$65, "",0),AND( F2426="Sealant", I2426="Roll-up Screen"), _xlfn.XLOOKUP(C2426, calc_rusacc!$C$15:$C$65, calc_rusacc!$AF$15:$AF$65, "",0),  AND( F2426="Main Chain", I2426="Accordion Screen"), _xlfn.XLOOKUP(C2426, calc_rusacc!$C$15:$C$65, calc_rusacc!$BF$15:$BF$65, "",0), AND( F2426="Sealant", I2426="Accordion Screen"), _xlfn.XLOOKUP(C2426, calc_rusacc!$C$15:$C$65, calc_rusacc!$BJ$15:$BJ$65, "",0),  F2426="Sealant", _xlfn.XLOOKUP(C2426, dd_accsrycalc!$A$2:$A$51, dd_accsrycalc!$G$2:$G$51, "",0),  F2426&lt;&gt;"",L2426*_xlfn.XLOOKUP(1, (SKUs!$C$2:$C$10001=G2426)*(SKUs!$K$2:$K$10001=I2426),SKUs!$E$2:$E$10001)), 0),"")</f>
        <v/>
      </c>
      <c r="E2426" s="35" t="str">
        <f>_xlfn.XLOOKUP(F2426,dd_item!$B$2:$B$105,dd_item!$C$2:$C$105,"",0)</f>
        <v/>
      </c>
      <c r="F2426" s="35"/>
      <c r="G2426" s="35" cm="1">
        <f t="array" ref="G2426">IFERROR(_xlfn.XLOOKUP(1, (SKUs!$J$2:$J$10001=accsry_unmerged!F2426)*IF(H2426&lt;&gt;"",(SKUs!$L$2:$L$10001=accsry_unmerged!H2426),1)*(SKUs!$K$2:$K$10001=I2426),SKUs!$C$2:$C$10001),"")</f>
        <v>0</v>
      </c>
      <c r="H2426" s="36" cm="1">
        <f t="array" ref="H2426">IFERROR(_xlfn.XLOOKUP(1, (dd_accsryclr!$C$2:$C$1000=accsry_unmerged!F2426)*(dd_accsryclr!$B$2:$B$1000=accsry_unmerged!J2426),dd_accsryclr!$A$2:$A$1000),"")</f>
        <v>0</v>
      </c>
      <c r="I2426" s="35">
        <f>_xlfn.XLOOKUP(C2426,'Project Details'!$C$17:$C$66,'Project Details'!$E$17:$E$66,"",0)</f>
        <v>0</v>
      </c>
      <c r="J2426" s="35">
        <f>_xlfn.XLOOKUP(C2426,'Project Details'!$C$17:$C$66,'Project Details'!$H$17:$H$66,"",0)</f>
        <v>0</v>
      </c>
      <c r="K2426" s="36" t="str">
        <f>IF(AND(_xlfn.XLOOKUP(C2426,'Project Details'!$C$17:$C$66,'Project Details'!$L$17:$L$66,"",0)&gt;550, F2426="Spring-L27cm"),"",SUBSTITUTE(_xlfn.XLOOKUP(G2426,SKUs!$C$2:$C$10001,SKUs!$F$2:$F$10001,"",0), " Accessories",""))</f>
        <v/>
      </c>
      <c r="L2426" s="36">
        <f>_xlfn.XLOOKUP(C2426,'Project Details'!$C$17:$C$66,'Project Details'!$D$17:$D$66,"",0)</f>
        <v>0</v>
      </c>
      <c r="M2426" s="43"/>
    </row>
    <row r="2427" spans="1:13" x14ac:dyDescent="0.25">
      <c r="A2427" s="43"/>
      <c r="B2427" s="43"/>
      <c r="C2427" s="16">
        <f t="shared" si="47"/>
        <v>49</v>
      </c>
      <c r="D2427" s="16" t="str" cm="1">
        <f t="array" ref="D2427">IFERROR(ROUNDUP(_xlfn.IFS(F2427="Aluminum Track", _xlfn.XLOOKUP(C2427, dd_accsrycalc!$A$2:$A$51, dd_accsrycalc!$B$2:$B$51, "",0), F2427="10 x 2 1/2 S (Flat)", _xlfn.XLOOKUP(C2427, dd_accsrycalc!$A$2:$A$51, dd_accsrycalc!$C$2:$C$51, "",0), F2427="Tox6", _xlfn.XLOOKUP(C2427, dd_accsrycalc!$A$2:$A$51, dd_accsrycalc!$D$2:$D$51, "",0), F2427="Cover Cap", _xlfn.XLOOKUP(C2427, dd_accsrycalc!$A$2:$A$51, dd_accsrycalc!$E$2:$E$51, "",0), F2427="Drainage Cover", _xlfn.XLOOKUP(C2427, dd_accsrycalc!$A$2:$A$51, dd_accsrycalc!$F$2:$F$51, "",0),AND( F2427="Double Adhesive Tape", I2427="Roll-up Screen"), _xlfn.XLOOKUP(C2427, calc_rusacc!$C$15:$C$65, calc_rusacc!$AD$15:$AD$65, "",0),AND( F2427="Sealant", I2427="Roll-up Screen"), _xlfn.XLOOKUP(C2427, calc_rusacc!$C$15:$C$65, calc_rusacc!$AF$15:$AF$65, "",0),  AND( F2427="Main Chain", I2427="Accordion Screen"), _xlfn.XLOOKUP(C2427, calc_rusacc!$C$15:$C$65, calc_rusacc!$BF$15:$BF$65, "",0), AND( F2427="Sealant", I2427="Accordion Screen"), _xlfn.XLOOKUP(C2427, calc_rusacc!$C$15:$C$65, calc_rusacc!$BJ$15:$BJ$65, "",0),  F2427="Sealant", _xlfn.XLOOKUP(C2427, dd_accsrycalc!$A$2:$A$51, dd_accsrycalc!$G$2:$G$51, "",0),  F2427&lt;&gt;"",L2427*_xlfn.XLOOKUP(1, (SKUs!$C$2:$C$10001=G2427)*(SKUs!$K$2:$K$10001=I2427),SKUs!$E$2:$E$10001)), 0),"")</f>
        <v/>
      </c>
      <c r="E2427" s="16" t="str">
        <f>_xlfn.XLOOKUP(F2427,dd_item!$B$2:$B$105,dd_item!$C$2:$C$105,"",0)</f>
        <v/>
      </c>
      <c r="F2427" s="16"/>
      <c r="G2427" s="16" cm="1">
        <f t="array" ref="G2427">IFERROR(_xlfn.XLOOKUP(1, (SKUs!$J$2:$J$10001=accsry_unmerged!F2427)*IF(H2427&lt;&gt;"",(SKUs!$L$2:$L$10001=accsry_unmerged!H2427),1)*(SKUs!$K$2:$K$10001=I2427),SKUs!$C$2:$C$10001),"")</f>
        <v>0</v>
      </c>
      <c r="H2427" s="33" cm="1">
        <f t="array" ref="H2427">IFERROR(_xlfn.XLOOKUP(1, (dd_accsryclr!$C$2:$C$1000=accsry_unmerged!F2427)*(dd_accsryclr!$B$2:$B$1000=accsry_unmerged!J2427),dd_accsryclr!$A$2:$A$1000),"")</f>
        <v>0</v>
      </c>
      <c r="I2427" s="16">
        <f>_xlfn.XLOOKUP(C2427,'Project Details'!$C$17:$C$66,'Project Details'!$E$17:$E$66,"",0)</f>
        <v>0</v>
      </c>
      <c r="J2427" s="16">
        <f>_xlfn.XLOOKUP(C2427,'Project Details'!$C$17:$C$66,'Project Details'!$H$17:$H$66,"",0)</f>
        <v>0</v>
      </c>
      <c r="K2427" s="33" t="str">
        <f>IF(AND(_xlfn.XLOOKUP(C2427,'Project Details'!$C$17:$C$66,'Project Details'!$L$17:$L$66,"",0)&gt;550, F2427="Spring-L27cm"),"",SUBSTITUTE(_xlfn.XLOOKUP(G2427,SKUs!$C$2:$C$10001,SKUs!$F$2:$F$10001,"",0), " Accessories",""))</f>
        <v/>
      </c>
      <c r="L2427" s="33">
        <f>_xlfn.XLOOKUP(C2427,'Project Details'!$C$17:$C$66,'Project Details'!$D$17:$D$66,"",0)</f>
        <v>0</v>
      </c>
      <c r="M2427" s="43"/>
    </row>
    <row r="2428" spans="1:13" x14ac:dyDescent="0.25">
      <c r="A2428" s="43"/>
      <c r="B2428" s="43"/>
      <c r="C2428" s="35">
        <f t="shared" si="47"/>
        <v>49</v>
      </c>
      <c r="D2428" s="35" t="str" cm="1">
        <f t="array" ref="D2428">IFERROR(ROUNDUP(_xlfn.IFS(F2428="Aluminum Track", _xlfn.XLOOKUP(C2428, dd_accsrycalc!$A$2:$A$51, dd_accsrycalc!$B$2:$B$51, "",0), F2428="10 x 2 1/2 S (Flat)", _xlfn.XLOOKUP(C2428, dd_accsrycalc!$A$2:$A$51, dd_accsrycalc!$C$2:$C$51, "",0), F2428="Tox6", _xlfn.XLOOKUP(C2428, dd_accsrycalc!$A$2:$A$51, dd_accsrycalc!$D$2:$D$51, "",0), F2428="Cover Cap", _xlfn.XLOOKUP(C2428, dd_accsrycalc!$A$2:$A$51, dd_accsrycalc!$E$2:$E$51, "",0), F2428="Drainage Cover", _xlfn.XLOOKUP(C2428, dd_accsrycalc!$A$2:$A$51, dd_accsrycalc!$F$2:$F$51, "",0),AND( F2428="Double Adhesive Tape", I2428="Roll-up Screen"), _xlfn.XLOOKUP(C2428, calc_rusacc!$C$15:$C$65, calc_rusacc!$AD$15:$AD$65, "",0),AND( F2428="Sealant", I2428="Roll-up Screen"), _xlfn.XLOOKUP(C2428, calc_rusacc!$C$15:$C$65, calc_rusacc!$AF$15:$AF$65, "",0),  AND( F2428="Main Chain", I2428="Accordion Screen"), _xlfn.XLOOKUP(C2428, calc_rusacc!$C$15:$C$65, calc_rusacc!$BF$15:$BF$65, "",0), AND( F2428="Sealant", I2428="Accordion Screen"), _xlfn.XLOOKUP(C2428, calc_rusacc!$C$15:$C$65, calc_rusacc!$BJ$15:$BJ$65, "",0),  F2428="Sealant", _xlfn.XLOOKUP(C2428, dd_accsrycalc!$A$2:$A$51, dd_accsrycalc!$G$2:$G$51, "",0),  F2428&lt;&gt;"",L2428*_xlfn.XLOOKUP(1, (SKUs!$C$2:$C$10001=G2428)*(SKUs!$K$2:$K$10001=I2428),SKUs!$E$2:$E$10001)), 0),"")</f>
        <v/>
      </c>
      <c r="E2428" s="35" t="str">
        <f>_xlfn.XLOOKUP(F2428,dd_item!$B$2:$B$105,dd_item!$C$2:$C$105,"",0)</f>
        <v/>
      </c>
      <c r="F2428" s="35"/>
      <c r="G2428" s="35" cm="1">
        <f t="array" ref="G2428">IFERROR(_xlfn.XLOOKUP(1, (SKUs!$J$2:$J$10001=accsry_unmerged!F2428)*IF(H2428&lt;&gt;"",(SKUs!$L$2:$L$10001=accsry_unmerged!H2428),1)*(SKUs!$K$2:$K$10001=I2428),SKUs!$C$2:$C$10001),"")</f>
        <v>0</v>
      </c>
      <c r="H2428" s="36" cm="1">
        <f t="array" ref="H2428">IFERROR(_xlfn.XLOOKUP(1, (dd_accsryclr!$C$2:$C$1000=accsry_unmerged!F2428)*(dd_accsryclr!$B$2:$B$1000=accsry_unmerged!J2428),dd_accsryclr!$A$2:$A$1000),"")</f>
        <v>0</v>
      </c>
      <c r="I2428" s="35">
        <f>_xlfn.XLOOKUP(C2428,'Project Details'!$C$17:$C$66,'Project Details'!$E$17:$E$66,"",0)</f>
        <v>0</v>
      </c>
      <c r="J2428" s="35">
        <f>_xlfn.XLOOKUP(C2428,'Project Details'!$C$17:$C$66,'Project Details'!$H$17:$H$66,"",0)</f>
        <v>0</v>
      </c>
      <c r="K2428" s="36" t="str">
        <f>IF(AND(_xlfn.XLOOKUP(C2428,'Project Details'!$C$17:$C$66,'Project Details'!$L$17:$L$66,"",0)&gt;550, F2428="Spring-L27cm"),"",SUBSTITUTE(_xlfn.XLOOKUP(G2428,SKUs!$C$2:$C$10001,SKUs!$F$2:$F$10001,"",0), " Accessories",""))</f>
        <v/>
      </c>
      <c r="L2428" s="36">
        <f>_xlfn.XLOOKUP(C2428,'Project Details'!$C$17:$C$66,'Project Details'!$D$17:$D$66,"",0)</f>
        <v>0</v>
      </c>
      <c r="M2428" s="43"/>
    </row>
    <row r="2429" spans="1:13" x14ac:dyDescent="0.25">
      <c r="A2429" s="43"/>
      <c r="B2429" s="43"/>
      <c r="C2429" s="16">
        <f t="shared" si="47"/>
        <v>49</v>
      </c>
      <c r="D2429" s="16" t="str" cm="1">
        <f t="array" ref="D2429">IFERROR(ROUNDUP(_xlfn.IFS(F2429="Aluminum Track", _xlfn.XLOOKUP(C2429, dd_accsrycalc!$A$2:$A$51, dd_accsrycalc!$B$2:$B$51, "",0), F2429="10 x 2 1/2 S (Flat)", _xlfn.XLOOKUP(C2429, dd_accsrycalc!$A$2:$A$51, dd_accsrycalc!$C$2:$C$51, "",0), F2429="Tox6", _xlfn.XLOOKUP(C2429, dd_accsrycalc!$A$2:$A$51, dd_accsrycalc!$D$2:$D$51, "",0), F2429="Cover Cap", _xlfn.XLOOKUP(C2429, dd_accsrycalc!$A$2:$A$51, dd_accsrycalc!$E$2:$E$51, "",0), F2429="Drainage Cover", _xlfn.XLOOKUP(C2429, dd_accsrycalc!$A$2:$A$51, dd_accsrycalc!$F$2:$F$51, "",0),AND( F2429="Double Adhesive Tape", I2429="Roll-up Screen"), _xlfn.XLOOKUP(C2429, calc_rusacc!$C$15:$C$65, calc_rusacc!$AD$15:$AD$65, "",0),AND( F2429="Sealant", I2429="Roll-up Screen"), _xlfn.XLOOKUP(C2429, calc_rusacc!$C$15:$C$65, calc_rusacc!$AF$15:$AF$65, "",0),  AND( F2429="Main Chain", I2429="Accordion Screen"), _xlfn.XLOOKUP(C2429, calc_rusacc!$C$15:$C$65, calc_rusacc!$BF$15:$BF$65, "",0), AND( F2429="Sealant", I2429="Accordion Screen"), _xlfn.XLOOKUP(C2429, calc_rusacc!$C$15:$C$65, calc_rusacc!$BJ$15:$BJ$65, "",0),  F2429="Sealant", _xlfn.XLOOKUP(C2429, dd_accsrycalc!$A$2:$A$51, dd_accsrycalc!$G$2:$G$51, "",0),  F2429&lt;&gt;"",L2429*_xlfn.XLOOKUP(1, (SKUs!$C$2:$C$10001=G2429)*(SKUs!$K$2:$K$10001=I2429),SKUs!$E$2:$E$10001)), 0),"")</f>
        <v/>
      </c>
      <c r="E2429" s="16" t="str">
        <f>_xlfn.XLOOKUP(F2429,dd_item!$B$2:$B$105,dd_item!$C$2:$C$105,"",0)</f>
        <v/>
      </c>
      <c r="F2429" s="16"/>
      <c r="G2429" s="16" cm="1">
        <f t="array" ref="G2429">IFERROR(_xlfn.XLOOKUP(1, (SKUs!$J$2:$J$10001=accsry_unmerged!F2429)*IF(H2429&lt;&gt;"",(SKUs!$L$2:$L$10001=accsry_unmerged!H2429),1)*(SKUs!$K$2:$K$10001=I2429),SKUs!$C$2:$C$10001),"")</f>
        <v>0</v>
      </c>
      <c r="H2429" s="33" cm="1">
        <f t="array" ref="H2429">IFERROR(_xlfn.XLOOKUP(1, (dd_accsryclr!$C$2:$C$1000=accsry_unmerged!F2429)*(dd_accsryclr!$B$2:$B$1000=accsry_unmerged!J2429),dd_accsryclr!$A$2:$A$1000),"")</f>
        <v>0</v>
      </c>
      <c r="I2429" s="16">
        <f>_xlfn.XLOOKUP(C2429,'Project Details'!$C$17:$C$66,'Project Details'!$E$17:$E$66,"",0)</f>
        <v>0</v>
      </c>
      <c r="J2429" s="16">
        <f>_xlfn.XLOOKUP(C2429,'Project Details'!$C$17:$C$66,'Project Details'!$H$17:$H$66,"",0)</f>
        <v>0</v>
      </c>
      <c r="K2429" s="33" t="str">
        <f>IF(AND(_xlfn.XLOOKUP(C2429,'Project Details'!$C$17:$C$66,'Project Details'!$L$17:$L$66,"",0)&gt;550, F2429="Spring-L27cm"),"",SUBSTITUTE(_xlfn.XLOOKUP(G2429,SKUs!$C$2:$C$10001,SKUs!$F$2:$F$10001,"",0), " Accessories",""))</f>
        <v/>
      </c>
      <c r="L2429" s="33">
        <f>_xlfn.XLOOKUP(C2429,'Project Details'!$C$17:$C$66,'Project Details'!$D$17:$D$66,"",0)</f>
        <v>0</v>
      </c>
      <c r="M2429" s="43"/>
    </row>
    <row r="2430" spans="1:13" x14ac:dyDescent="0.25">
      <c r="A2430" s="43"/>
      <c r="B2430" s="43"/>
      <c r="C2430" s="35">
        <f t="shared" si="47"/>
        <v>49</v>
      </c>
      <c r="D2430" s="35" t="str" cm="1">
        <f t="array" ref="D2430">IFERROR(ROUNDUP(_xlfn.IFS(F2430="Aluminum Track", _xlfn.XLOOKUP(C2430, dd_accsrycalc!$A$2:$A$51, dd_accsrycalc!$B$2:$B$51, "",0), F2430="10 x 2 1/2 S (Flat)", _xlfn.XLOOKUP(C2430, dd_accsrycalc!$A$2:$A$51, dd_accsrycalc!$C$2:$C$51, "",0), F2430="Tox6", _xlfn.XLOOKUP(C2430, dd_accsrycalc!$A$2:$A$51, dd_accsrycalc!$D$2:$D$51, "",0), F2430="Cover Cap", _xlfn.XLOOKUP(C2430, dd_accsrycalc!$A$2:$A$51, dd_accsrycalc!$E$2:$E$51, "",0), F2430="Drainage Cover", _xlfn.XLOOKUP(C2430, dd_accsrycalc!$A$2:$A$51, dd_accsrycalc!$F$2:$F$51, "",0),AND( F2430="Double Adhesive Tape", I2430="Roll-up Screen"), _xlfn.XLOOKUP(C2430, calc_rusacc!$C$15:$C$65, calc_rusacc!$AD$15:$AD$65, "",0),AND( F2430="Sealant", I2430="Roll-up Screen"), _xlfn.XLOOKUP(C2430, calc_rusacc!$C$15:$C$65, calc_rusacc!$AF$15:$AF$65, "",0),  AND( F2430="Main Chain", I2430="Accordion Screen"), _xlfn.XLOOKUP(C2430, calc_rusacc!$C$15:$C$65, calc_rusacc!$BF$15:$BF$65, "",0), AND( F2430="Sealant", I2430="Accordion Screen"), _xlfn.XLOOKUP(C2430, calc_rusacc!$C$15:$C$65, calc_rusacc!$BJ$15:$BJ$65, "",0),  F2430="Sealant", _xlfn.XLOOKUP(C2430, dd_accsrycalc!$A$2:$A$51, dd_accsrycalc!$G$2:$G$51, "",0),  F2430&lt;&gt;"",L2430*_xlfn.XLOOKUP(1, (SKUs!$C$2:$C$10001=G2430)*(SKUs!$K$2:$K$10001=I2430),SKUs!$E$2:$E$10001)), 0),"")</f>
        <v/>
      </c>
      <c r="E2430" s="35" t="str">
        <f>_xlfn.XLOOKUP(F2430,dd_item!$B$2:$B$105,dd_item!$C$2:$C$105,"",0)</f>
        <v/>
      </c>
      <c r="F2430" s="35"/>
      <c r="G2430" s="35" cm="1">
        <f t="array" ref="G2430">IFERROR(_xlfn.XLOOKUP(1, (SKUs!$J$2:$J$10001=accsry_unmerged!F2430)*IF(H2430&lt;&gt;"",(SKUs!$L$2:$L$10001=accsry_unmerged!H2430),1)*(SKUs!$K$2:$K$10001=I2430),SKUs!$C$2:$C$10001),"")</f>
        <v>0</v>
      </c>
      <c r="H2430" s="36" cm="1">
        <f t="array" ref="H2430">IFERROR(_xlfn.XLOOKUP(1, (dd_accsryclr!$C$2:$C$1000=accsry_unmerged!F2430)*(dd_accsryclr!$B$2:$B$1000=accsry_unmerged!J2430),dd_accsryclr!$A$2:$A$1000),"")</f>
        <v>0</v>
      </c>
      <c r="I2430" s="35">
        <f>_xlfn.XLOOKUP(C2430,'Project Details'!$C$17:$C$66,'Project Details'!$E$17:$E$66,"",0)</f>
        <v>0</v>
      </c>
      <c r="J2430" s="35">
        <f>_xlfn.XLOOKUP(C2430,'Project Details'!$C$17:$C$66,'Project Details'!$H$17:$H$66,"",0)</f>
        <v>0</v>
      </c>
      <c r="K2430" s="36" t="str">
        <f>IF(AND(_xlfn.XLOOKUP(C2430,'Project Details'!$C$17:$C$66,'Project Details'!$L$17:$L$66,"",0)&gt;550, F2430="Spring-L27cm"),"",SUBSTITUTE(_xlfn.XLOOKUP(G2430,SKUs!$C$2:$C$10001,SKUs!$F$2:$F$10001,"",0), " Accessories",""))</f>
        <v/>
      </c>
      <c r="L2430" s="36">
        <f>_xlfn.XLOOKUP(C2430,'Project Details'!$C$17:$C$66,'Project Details'!$D$17:$D$66,"",0)</f>
        <v>0</v>
      </c>
      <c r="M2430" s="43"/>
    </row>
    <row r="2431" spans="1:13" x14ac:dyDescent="0.25">
      <c r="A2431" s="43"/>
      <c r="B2431" s="43"/>
      <c r="C2431" s="16">
        <f t="shared" si="47"/>
        <v>49</v>
      </c>
      <c r="D2431" s="16" t="str" cm="1">
        <f t="array" ref="D2431">IFERROR(ROUNDUP(_xlfn.IFS(F2431="Aluminum Track", _xlfn.XLOOKUP(C2431, dd_accsrycalc!$A$2:$A$51, dd_accsrycalc!$B$2:$B$51, "",0), F2431="10 x 2 1/2 S (Flat)", _xlfn.XLOOKUP(C2431, dd_accsrycalc!$A$2:$A$51, dd_accsrycalc!$C$2:$C$51, "",0), F2431="Tox6", _xlfn.XLOOKUP(C2431, dd_accsrycalc!$A$2:$A$51, dd_accsrycalc!$D$2:$D$51, "",0), F2431="Cover Cap", _xlfn.XLOOKUP(C2431, dd_accsrycalc!$A$2:$A$51, dd_accsrycalc!$E$2:$E$51, "",0), F2431="Drainage Cover", _xlfn.XLOOKUP(C2431, dd_accsrycalc!$A$2:$A$51, dd_accsrycalc!$F$2:$F$51, "",0),AND( F2431="Double Adhesive Tape", I2431="Roll-up Screen"), _xlfn.XLOOKUP(C2431, calc_rusacc!$C$15:$C$65, calc_rusacc!$AD$15:$AD$65, "",0),AND( F2431="Sealant", I2431="Roll-up Screen"), _xlfn.XLOOKUP(C2431, calc_rusacc!$C$15:$C$65, calc_rusacc!$AF$15:$AF$65, "",0),  AND( F2431="Main Chain", I2431="Accordion Screen"), _xlfn.XLOOKUP(C2431, calc_rusacc!$C$15:$C$65, calc_rusacc!$BF$15:$BF$65, "",0), AND( F2431="Sealant", I2431="Accordion Screen"), _xlfn.XLOOKUP(C2431, calc_rusacc!$C$15:$C$65, calc_rusacc!$BJ$15:$BJ$65, "",0),  F2431="Sealant", _xlfn.XLOOKUP(C2431, dd_accsrycalc!$A$2:$A$51, dd_accsrycalc!$G$2:$G$51, "",0),  F2431&lt;&gt;"",L2431*_xlfn.XLOOKUP(1, (SKUs!$C$2:$C$10001=G2431)*(SKUs!$K$2:$K$10001=I2431),SKUs!$E$2:$E$10001)), 0),"")</f>
        <v/>
      </c>
      <c r="E2431" s="16" t="str">
        <f>_xlfn.XLOOKUP(F2431,dd_item!$B$2:$B$105,dd_item!$C$2:$C$105,"",0)</f>
        <v/>
      </c>
      <c r="F2431" s="16"/>
      <c r="G2431" s="16" cm="1">
        <f t="array" ref="G2431">IFERROR(_xlfn.XLOOKUP(1, (SKUs!$J$2:$J$10001=accsry_unmerged!F2431)*IF(H2431&lt;&gt;"",(SKUs!$L$2:$L$10001=accsry_unmerged!H2431),1)*(SKUs!$K$2:$K$10001=I2431),SKUs!$C$2:$C$10001),"")</f>
        <v>0</v>
      </c>
      <c r="H2431" s="33" cm="1">
        <f t="array" ref="H2431">IFERROR(_xlfn.XLOOKUP(1, (dd_accsryclr!$C$2:$C$1000=accsry_unmerged!F2431)*(dd_accsryclr!$B$2:$B$1000=accsry_unmerged!J2431),dd_accsryclr!$A$2:$A$1000),"")</f>
        <v>0</v>
      </c>
      <c r="I2431" s="16">
        <f>_xlfn.XLOOKUP(C2431,'Project Details'!$C$17:$C$66,'Project Details'!$E$17:$E$66,"",0)</f>
        <v>0</v>
      </c>
      <c r="J2431" s="16">
        <f>_xlfn.XLOOKUP(C2431,'Project Details'!$C$17:$C$66,'Project Details'!$H$17:$H$66,"",0)</f>
        <v>0</v>
      </c>
      <c r="K2431" s="33" t="str">
        <f>IF(AND(_xlfn.XLOOKUP(C2431,'Project Details'!$C$17:$C$66,'Project Details'!$L$17:$L$66,"",0)&gt;550, F2431="Spring-L27cm"),"",SUBSTITUTE(_xlfn.XLOOKUP(G2431,SKUs!$C$2:$C$10001,SKUs!$F$2:$F$10001,"",0), " Accessories",""))</f>
        <v/>
      </c>
      <c r="L2431" s="33">
        <f>_xlfn.XLOOKUP(C2431,'Project Details'!$C$17:$C$66,'Project Details'!$D$17:$D$66,"",0)</f>
        <v>0</v>
      </c>
      <c r="M2431" s="43"/>
    </row>
    <row r="2432" spans="1:13" x14ac:dyDescent="0.25">
      <c r="A2432" s="43"/>
      <c r="B2432" s="43"/>
      <c r="C2432" s="35">
        <f t="shared" si="47"/>
        <v>49</v>
      </c>
      <c r="D2432" s="35" t="str" cm="1">
        <f t="array" ref="D2432">IFERROR(ROUNDUP(_xlfn.IFS(F2432="Aluminum Track", _xlfn.XLOOKUP(C2432, dd_accsrycalc!$A$2:$A$51, dd_accsrycalc!$B$2:$B$51, "",0), F2432="10 x 2 1/2 S (Flat)", _xlfn.XLOOKUP(C2432, dd_accsrycalc!$A$2:$A$51, dd_accsrycalc!$C$2:$C$51, "",0), F2432="Tox6", _xlfn.XLOOKUP(C2432, dd_accsrycalc!$A$2:$A$51, dd_accsrycalc!$D$2:$D$51, "",0), F2432="Cover Cap", _xlfn.XLOOKUP(C2432, dd_accsrycalc!$A$2:$A$51, dd_accsrycalc!$E$2:$E$51, "",0), F2432="Drainage Cover", _xlfn.XLOOKUP(C2432, dd_accsrycalc!$A$2:$A$51, dd_accsrycalc!$F$2:$F$51, "",0),AND( F2432="Double Adhesive Tape", I2432="Roll-up Screen"), _xlfn.XLOOKUP(C2432, calc_rusacc!$C$15:$C$65, calc_rusacc!$AD$15:$AD$65, "",0),AND( F2432="Sealant", I2432="Roll-up Screen"), _xlfn.XLOOKUP(C2432, calc_rusacc!$C$15:$C$65, calc_rusacc!$AF$15:$AF$65, "",0),  AND( F2432="Main Chain", I2432="Accordion Screen"), _xlfn.XLOOKUP(C2432, calc_rusacc!$C$15:$C$65, calc_rusacc!$BF$15:$BF$65, "",0), AND( F2432="Sealant", I2432="Accordion Screen"), _xlfn.XLOOKUP(C2432, calc_rusacc!$C$15:$C$65, calc_rusacc!$BJ$15:$BJ$65, "",0),  F2432="Sealant", _xlfn.XLOOKUP(C2432, dd_accsrycalc!$A$2:$A$51, dd_accsrycalc!$G$2:$G$51, "",0),  F2432&lt;&gt;"",L2432*_xlfn.XLOOKUP(1, (SKUs!$C$2:$C$10001=G2432)*(SKUs!$K$2:$K$10001=I2432),SKUs!$E$2:$E$10001)), 0),"")</f>
        <v/>
      </c>
      <c r="E2432" s="35" t="str">
        <f>_xlfn.XLOOKUP(F2432,dd_item!$B$2:$B$105,dd_item!$C$2:$C$105,"",0)</f>
        <v/>
      </c>
      <c r="F2432" s="35"/>
      <c r="G2432" s="35" cm="1">
        <f t="array" ref="G2432">IFERROR(_xlfn.XLOOKUP(1, (SKUs!$J$2:$J$10001=accsry_unmerged!F2432)*IF(H2432&lt;&gt;"",(SKUs!$L$2:$L$10001=accsry_unmerged!H2432),1)*(SKUs!$K$2:$K$10001=I2432),SKUs!$C$2:$C$10001),"")</f>
        <v>0</v>
      </c>
      <c r="H2432" s="36" cm="1">
        <f t="array" ref="H2432">IFERROR(_xlfn.XLOOKUP(1, (dd_accsryclr!$C$2:$C$1000=accsry_unmerged!F2432)*(dd_accsryclr!$B$2:$B$1000=accsry_unmerged!J2432),dd_accsryclr!$A$2:$A$1000),"")</f>
        <v>0</v>
      </c>
      <c r="I2432" s="35">
        <f>_xlfn.XLOOKUP(C2432,'Project Details'!$C$17:$C$66,'Project Details'!$E$17:$E$66,"",0)</f>
        <v>0</v>
      </c>
      <c r="J2432" s="35">
        <f>_xlfn.XLOOKUP(C2432,'Project Details'!$C$17:$C$66,'Project Details'!$H$17:$H$66,"",0)</f>
        <v>0</v>
      </c>
      <c r="K2432" s="36" t="str">
        <f>IF(AND(_xlfn.XLOOKUP(C2432,'Project Details'!$C$17:$C$66,'Project Details'!$L$17:$L$66,"",0)&gt;550, F2432="Spring-L27cm"),"",SUBSTITUTE(_xlfn.XLOOKUP(G2432,SKUs!$C$2:$C$10001,SKUs!$F$2:$F$10001,"",0), " Accessories",""))</f>
        <v/>
      </c>
      <c r="L2432" s="36">
        <f>_xlfn.XLOOKUP(C2432,'Project Details'!$C$17:$C$66,'Project Details'!$D$17:$D$66,"",0)</f>
        <v>0</v>
      </c>
      <c r="M2432" s="43"/>
    </row>
    <row r="2433" spans="1:13" x14ac:dyDescent="0.25">
      <c r="A2433" s="43"/>
      <c r="B2433" s="43"/>
      <c r="C2433" s="16">
        <f t="shared" si="47"/>
        <v>49</v>
      </c>
      <c r="D2433" s="16" t="str" cm="1">
        <f t="array" ref="D2433">IFERROR(ROUNDUP(_xlfn.IFS(F2433="Aluminum Track", _xlfn.XLOOKUP(C2433, dd_accsrycalc!$A$2:$A$51, dd_accsrycalc!$B$2:$B$51, "",0), F2433="10 x 2 1/2 S (Flat)", _xlfn.XLOOKUP(C2433, dd_accsrycalc!$A$2:$A$51, dd_accsrycalc!$C$2:$C$51, "",0), F2433="Tox6", _xlfn.XLOOKUP(C2433, dd_accsrycalc!$A$2:$A$51, dd_accsrycalc!$D$2:$D$51, "",0), F2433="Cover Cap", _xlfn.XLOOKUP(C2433, dd_accsrycalc!$A$2:$A$51, dd_accsrycalc!$E$2:$E$51, "",0), F2433="Drainage Cover", _xlfn.XLOOKUP(C2433, dd_accsrycalc!$A$2:$A$51, dd_accsrycalc!$F$2:$F$51, "",0),AND( F2433="Double Adhesive Tape", I2433="Roll-up Screen"), _xlfn.XLOOKUP(C2433, calc_rusacc!$C$15:$C$65, calc_rusacc!$AD$15:$AD$65, "",0),AND( F2433="Sealant", I2433="Roll-up Screen"), _xlfn.XLOOKUP(C2433, calc_rusacc!$C$15:$C$65, calc_rusacc!$AF$15:$AF$65, "",0),  AND( F2433="Main Chain", I2433="Accordion Screen"), _xlfn.XLOOKUP(C2433, calc_rusacc!$C$15:$C$65, calc_rusacc!$BF$15:$BF$65, "",0), AND( F2433="Sealant", I2433="Accordion Screen"), _xlfn.XLOOKUP(C2433, calc_rusacc!$C$15:$C$65, calc_rusacc!$BJ$15:$BJ$65, "",0),  F2433="Sealant", _xlfn.XLOOKUP(C2433, dd_accsrycalc!$A$2:$A$51, dd_accsrycalc!$G$2:$G$51, "",0),  F2433&lt;&gt;"",L2433*_xlfn.XLOOKUP(1, (SKUs!$C$2:$C$10001=G2433)*(SKUs!$K$2:$K$10001=I2433),SKUs!$E$2:$E$10001)), 0),"")</f>
        <v/>
      </c>
      <c r="E2433" s="16" t="str">
        <f>_xlfn.XLOOKUP(F2433,dd_item!$B$2:$B$105,dd_item!$C$2:$C$105,"",0)</f>
        <v/>
      </c>
      <c r="F2433" s="16"/>
      <c r="G2433" s="16" cm="1">
        <f t="array" ref="G2433">IFERROR(_xlfn.XLOOKUP(1, (SKUs!$J$2:$J$10001=accsry_unmerged!F2433)*IF(H2433&lt;&gt;"",(SKUs!$L$2:$L$10001=accsry_unmerged!H2433),1)*(SKUs!$K$2:$K$10001=I2433),SKUs!$C$2:$C$10001),"")</f>
        <v>0</v>
      </c>
      <c r="H2433" s="33" cm="1">
        <f t="array" ref="H2433">IFERROR(_xlfn.XLOOKUP(1, (dd_accsryclr!$C$2:$C$1000=accsry_unmerged!F2433)*(dd_accsryclr!$B$2:$B$1000=accsry_unmerged!J2433),dd_accsryclr!$A$2:$A$1000),"")</f>
        <v>0</v>
      </c>
      <c r="I2433" s="16">
        <f>_xlfn.XLOOKUP(C2433,'Project Details'!$C$17:$C$66,'Project Details'!$E$17:$E$66,"",0)</f>
        <v>0</v>
      </c>
      <c r="J2433" s="16">
        <f>_xlfn.XLOOKUP(C2433,'Project Details'!$C$17:$C$66,'Project Details'!$H$17:$H$66,"",0)</f>
        <v>0</v>
      </c>
      <c r="K2433" s="33" t="str">
        <f>IF(AND(_xlfn.XLOOKUP(C2433,'Project Details'!$C$17:$C$66,'Project Details'!$L$17:$L$66,"",0)&gt;550, F2433="Spring-L27cm"),"",SUBSTITUTE(_xlfn.XLOOKUP(G2433,SKUs!$C$2:$C$10001,SKUs!$F$2:$F$10001,"",0), " Accessories",""))</f>
        <v/>
      </c>
      <c r="L2433" s="33">
        <f>_xlfn.XLOOKUP(C2433,'Project Details'!$C$17:$C$66,'Project Details'!$D$17:$D$66,"",0)</f>
        <v>0</v>
      </c>
      <c r="M2433" s="43"/>
    </row>
    <row r="2434" spans="1:13" ht="13.5" customHeight="1" x14ac:dyDescent="0.25">
      <c r="A2434" s="43"/>
      <c r="B2434" s="43"/>
      <c r="C2434" s="35">
        <f t="shared" si="47"/>
        <v>49</v>
      </c>
      <c r="D2434" s="35" t="str" cm="1">
        <f t="array" ref="D2434">IFERROR(ROUNDUP(_xlfn.IFS(F2434="Aluminum Track", _xlfn.XLOOKUP(C2434, dd_accsrycalc!$A$2:$A$51, dd_accsrycalc!$B$2:$B$51, "",0), F2434="10 x 2 1/2 S (Flat)", _xlfn.XLOOKUP(C2434, dd_accsrycalc!$A$2:$A$51, dd_accsrycalc!$C$2:$C$51, "",0), F2434="Tox6", _xlfn.XLOOKUP(C2434, dd_accsrycalc!$A$2:$A$51, dd_accsrycalc!$D$2:$D$51, "",0), F2434="Cover Cap", _xlfn.XLOOKUP(C2434, dd_accsrycalc!$A$2:$A$51, dd_accsrycalc!$E$2:$E$51, "",0), F2434="Drainage Cover", _xlfn.XLOOKUP(C2434, dd_accsrycalc!$A$2:$A$51, dd_accsrycalc!$F$2:$F$51, "",0),AND( F2434="Double Adhesive Tape", I2434="Roll-up Screen"), _xlfn.XLOOKUP(C2434, calc_rusacc!$C$15:$C$65, calc_rusacc!$AD$15:$AD$65, "",0),AND( F2434="Sealant", I2434="Roll-up Screen"), _xlfn.XLOOKUP(C2434, calc_rusacc!$C$15:$C$65, calc_rusacc!$AF$15:$AF$65, "",0),  AND( F2434="Main Chain", I2434="Accordion Screen"), _xlfn.XLOOKUP(C2434, calc_rusacc!$C$15:$C$65, calc_rusacc!$BF$15:$BF$65, "",0), AND( F2434="Sealant", I2434="Accordion Screen"), _xlfn.XLOOKUP(C2434, calc_rusacc!$C$15:$C$65, calc_rusacc!$BJ$15:$BJ$65, "",0),  F2434="Sealant", _xlfn.XLOOKUP(C2434, dd_accsrycalc!$A$2:$A$51, dd_accsrycalc!$G$2:$G$51, "",0),  F2434&lt;&gt;"",L2434*_xlfn.XLOOKUP(1, (SKUs!$C$2:$C$10001=G2434)*(SKUs!$K$2:$K$10001=I2434),SKUs!$E$2:$E$10001)), 0),"")</f>
        <v/>
      </c>
      <c r="E2434" s="35" t="str">
        <f>_xlfn.XLOOKUP(F2434,dd_item!$B$2:$B$105,dd_item!$C$2:$C$105,"",0)</f>
        <v/>
      </c>
      <c r="F2434" s="35"/>
      <c r="G2434" s="35" cm="1">
        <f t="array" ref="G2434">IFERROR(_xlfn.XLOOKUP(1, (SKUs!$J$2:$J$10001=accsry_unmerged!F2434)*IF(H2434&lt;&gt;"",(SKUs!$L$2:$L$10001=accsry_unmerged!H2434),1)*(SKUs!$K$2:$K$10001=I2434),SKUs!$C$2:$C$10001),"")</f>
        <v>0</v>
      </c>
      <c r="H2434" s="36" cm="1">
        <f t="array" ref="H2434">IFERROR(_xlfn.XLOOKUP(1, (dd_accsryclr!$C$2:$C$1000=accsry_unmerged!F2434)*(dd_accsryclr!$B$2:$B$1000=accsry_unmerged!J2434),dd_accsryclr!$A$2:$A$1000),"")</f>
        <v>0</v>
      </c>
      <c r="I2434" s="35">
        <f>_xlfn.XLOOKUP(C2434,'Project Details'!$C$17:$C$66,'Project Details'!$E$17:$E$66,"",0)</f>
        <v>0</v>
      </c>
      <c r="J2434" s="35">
        <f>_xlfn.XLOOKUP(C2434,'Project Details'!$C$17:$C$66,'Project Details'!$H$17:$H$66,"",0)</f>
        <v>0</v>
      </c>
      <c r="K2434" s="36" t="str">
        <f>IF(AND(_xlfn.XLOOKUP(C2434,'Project Details'!$C$17:$C$66,'Project Details'!$L$17:$L$66,"",0)&gt;550, F2434="Spring-L27cm"),"",SUBSTITUTE(_xlfn.XLOOKUP(G2434,SKUs!$C$2:$C$10001,SKUs!$F$2:$F$10001,"",0), " Accessories",""))</f>
        <v/>
      </c>
      <c r="L2434" s="36">
        <f>_xlfn.XLOOKUP(C2434,'Project Details'!$C$17:$C$66,'Project Details'!$D$17:$D$66,"",0)</f>
        <v>0</v>
      </c>
      <c r="M2434" s="43"/>
    </row>
    <row r="2435" spans="1:13" ht="13.5" customHeight="1" x14ac:dyDescent="0.25">
      <c r="A2435" s="43"/>
      <c r="B2435" s="43"/>
      <c r="C2435" s="16">
        <f t="shared" si="47"/>
        <v>49</v>
      </c>
      <c r="D2435" s="16" t="str" cm="1">
        <f t="array" ref="D2435">IFERROR(ROUNDUP(_xlfn.IFS(F2435="Aluminum Track", _xlfn.XLOOKUP(C2435, dd_accsrycalc!$A$2:$A$51, dd_accsrycalc!$B$2:$B$51, "",0), F2435="10 x 2 1/2 S (Flat)", _xlfn.XLOOKUP(C2435, dd_accsrycalc!$A$2:$A$51, dd_accsrycalc!$C$2:$C$51, "",0), F2435="Tox6", _xlfn.XLOOKUP(C2435, dd_accsrycalc!$A$2:$A$51, dd_accsrycalc!$D$2:$D$51, "",0), F2435="Cover Cap", _xlfn.XLOOKUP(C2435, dd_accsrycalc!$A$2:$A$51, dd_accsrycalc!$E$2:$E$51, "",0), F2435="Drainage Cover", _xlfn.XLOOKUP(C2435, dd_accsrycalc!$A$2:$A$51, dd_accsrycalc!$F$2:$F$51, "",0),AND( F2435="Double Adhesive Tape", I2435="Roll-up Screen"), _xlfn.XLOOKUP(C2435, calc_rusacc!$C$15:$C$65, calc_rusacc!$AD$15:$AD$65, "",0),AND( F2435="Sealant", I2435="Roll-up Screen"), _xlfn.XLOOKUP(C2435, calc_rusacc!$C$15:$C$65, calc_rusacc!$AF$15:$AF$65, "",0),  AND( F2435="Main Chain", I2435="Accordion Screen"), _xlfn.XLOOKUP(C2435, calc_rusacc!$C$15:$C$65, calc_rusacc!$BF$15:$BF$65, "",0), AND( F2435="Sealant", I2435="Accordion Screen"), _xlfn.XLOOKUP(C2435, calc_rusacc!$C$15:$C$65, calc_rusacc!$BJ$15:$BJ$65, "",0),  F2435="Sealant", _xlfn.XLOOKUP(C2435, dd_accsrycalc!$A$2:$A$51, dd_accsrycalc!$G$2:$G$51, "",0),  F2435&lt;&gt;"",L2435*_xlfn.XLOOKUP(1, (SKUs!$C$2:$C$10001=G2435)*(SKUs!$K$2:$K$10001=I2435),SKUs!$E$2:$E$10001)), 0),"")</f>
        <v/>
      </c>
      <c r="E2435" s="16" t="str">
        <f>_xlfn.XLOOKUP(F2435,dd_item!$B$2:$B$105,dd_item!$C$2:$C$105,"",0)</f>
        <v/>
      </c>
      <c r="F2435" s="16"/>
      <c r="G2435" s="16" cm="1">
        <f t="array" ref="G2435">IFERROR(_xlfn.XLOOKUP(1, (SKUs!$J$2:$J$10001=accsry_unmerged!F2435)*IF(H2435&lt;&gt;"",(SKUs!$L$2:$L$10001=accsry_unmerged!H2435),1)*(SKUs!$K$2:$K$10001=I2435),SKUs!$C$2:$C$10001),"")</f>
        <v>0</v>
      </c>
      <c r="H2435" s="33" cm="1">
        <f t="array" ref="H2435">IFERROR(_xlfn.XLOOKUP(1, (dd_accsryclr!$C$2:$C$1000=accsry_unmerged!F2435)*(dd_accsryclr!$B$2:$B$1000=accsry_unmerged!J2435),dd_accsryclr!$A$2:$A$1000),"")</f>
        <v>0</v>
      </c>
      <c r="I2435" s="16">
        <f>_xlfn.XLOOKUP(C2435,'Project Details'!$C$17:$C$66,'Project Details'!$E$17:$E$66,"",0)</f>
        <v>0</v>
      </c>
      <c r="J2435" s="16">
        <f>_xlfn.XLOOKUP(C2435,'Project Details'!$C$17:$C$66,'Project Details'!$H$17:$H$66,"",0)</f>
        <v>0</v>
      </c>
      <c r="K2435" s="33" t="str">
        <f>IF(AND(_xlfn.XLOOKUP(C2435,'Project Details'!$C$17:$C$66,'Project Details'!$L$17:$L$66,"",0)&gt;550, F2435="Spring-L27cm"),"",SUBSTITUTE(_xlfn.XLOOKUP(G2435,SKUs!$C$2:$C$10001,SKUs!$F$2:$F$10001,"",0), " Accessories",""))</f>
        <v/>
      </c>
      <c r="L2435" s="33">
        <f>_xlfn.XLOOKUP(C2435,'Project Details'!$C$17:$C$66,'Project Details'!$D$17:$D$66,"",0)</f>
        <v>0</v>
      </c>
      <c r="M2435" s="43"/>
    </row>
    <row r="2436" spans="1:13" ht="13.5" customHeight="1" x14ac:dyDescent="0.25">
      <c r="A2436" s="43"/>
      <c r="B2436" s="43"/>
      <c r="C2436" s="35">
        <f t="shared" si="47"/>
        <v>49</v>
      </c>
      <c r="D2436" s="35" t="str" cm="1">
        <f t="array" ref="D2436">IFERROR(ROUNDUP(_xlfn.IFS(F2436="Aluminum Track", _xlfn.XLOOKUP(C2436, dd_accsrycalc!$A$2:$A$51, dd_accsrycalc!$B$2:$B$51, "",0), F2436="10 x 2 1/2 S (Flat)", _xlfn.XLOOKUP(C2436, dd_accsrycalc!$A$2:$A$51, dd_accsrycalc!$C$2:$C$51, "",0), F2436="Tox6", _xlfn.XLOOKUP(C2436, dd_accsrycalc!$A$2:$A$51, dd_accsrycalc!$D$2:$D$51, "",0), F2436="Cover Cap", _xlfn.XLOOKUP(C2436, dd_accsrycalc!$A$2:$A$51, dd_accsrycalc!$E$2:$E$51, "",0), F2436="Drainage Cover", _xlfn.XLOOKUP(C2436, dd_accsrycalc!$A$2:$A$51, dd_accsrycalc!$F$2:$F$51, "",0),AND( F2436="Double Adhesive Tape", I2436="Roll-up Screen"), _xlfn.XLOOKUP(C2436, calc_rusacc!$C$15:$C$65, calc_rusacc!$AD$15:$AD$65, "",0),AND( F2436="Sealant", I2436="Roll-up Screen"), _xlfn.XLOOKUP(C2436, calc_rusacc!$C$15:$C$65, calc_rusacc!$AF$15:$AF$65, "",0),  AND( F2436="Main Chain", I2436="Accordion Screen"), _xlfn.XLOOKUP(C2436, calc_rusacc!$C$15:$C$65, calc_rusacc!$BF$15:$BF$65, "",0), AND( F2436="Sealant", I2436="Accordion Screen"), _xlfn.XLOOKUP(C2436, calc_rusacc!$C$15:$C$65, calc_rusacc!$BJ$15:$BJ$65, "",0),  F2436="Sealant", _xlfn.XLOOKUP(C2436, dd_accsrycalc!$A$2:$A$51, dd_accsrycalc!$G$2:$G$51, "",0),  F2436&lt;&gt;"",L2436*_xlfn.XLOOKUP(1, (SKUs!$C$2:$C$10001=G2436)*(SKUs!$K$2:$K$10001=I2436),SKUs!$E$2:$E$10001)), 0),"")</f>
        <v/>
      </c>
      <c r="E2436" s="35" t="str">
        <f>_xlfn.XLOOKUP(F2436,dd_item!$B$2:$B$105,dd_item!$C$2:$C$105,"",0)</f>
        <v/>
      </c>
      <c r="F2436" s="35"/>
      <c r="G2436" s="35" cm="1">
        <f t="array" ref="G2436">IFERROR(_xlfn.XLOOKUP(1, (SKUs!$J$2:$J$10001=accsry_unmerged!F2436)*IF(H2436&lt;&gt;"",(SKUs!$L$2:$L$10001=accsry_unmerged!H2436),1)*(SKUs!$K$2:$K$10001=I2436),SKUs!$C$2:$C$10001),"")</f>
        <v>0</v>
      </c>
      <c r="H2436" s="36" cm="1">
        <f t="array" ref="H2436">IFERROR(_xlfn.XLOOKUP(1, (dd_accsryclr!$C$2:$C$1000=accsry_unmerged!F2436)*(dd_accsryclr!$B$2:$B$1000=accsry_unmerged!J2436),dd_accsryclr!$A$2:$A$1000),"")</f>
        <v>0</v>
      </c>
      <c r="I2436" s="35">
        <f>_xlfn.XLOOKUP(C2436,'Project Details'!$C$17:$C$66,'Project Details'!$E$17:$E$66,"",0)</f>
        <v>0</v>
      </c>
      <c r="J2436" s="35">
        <f>_xlfn.XLOOKUP(C2436,'Project Details'!$C$17:$C$66,'Project Details'!$H$17:$H$66,"",0)</f>
        <v>0</v>
      </c>
      <c r="K2436" s="36" t="str">
        <f>IF(AND(_xlfn.XLOOKUP(C2436,'Project Details'!$C$17:$C$66,'Project Details'!$L$17:$L$66,"",0)&gt;550, F2436="Spring-L27cm"),"",SUBSTITUTE(_xlfn.XLOOKUP(G2436,SKUs!$C$2:$C$10001,SKUs!$F$2:$F$10001,"",0), " Accessories",""))</f>
        <v/>
      </c>
      <c r="L2436" s="36">
        <f>_xlfn.XLOOKUP(C2436,'Project Details'!$C$17:$C$66,'Project Details'!$D$17:$D$66,"",0)</f>
        <v>0</v>
      </c>
      <c r="M2436" s="43"/>
    </row>
    <row r="2437" spans="1:13" ht="13.5" customHeight="1" x14ac:dyDescent="0.25">
      <c r="A2437" s="43"/>
      <c r="B2437" s="43"/>
      <c r="C2437" s="16">
        <f t="shared" si="47"/>
        <v>49</v>
      </c>
      <c r="D2437" s="16" t="str" cm="1">
        <f t="array" ref="D2437">IFERROR(ROUNDUP(_xlfn.IFS(F2437="Aluminum Track", _xlfn.XLOOKUP(C2437, dd_accsrycalc!$A$2:$A$51, dd_accsrycalc!$B$2:$B$51, "",0), F2437="10 x 2 1/2 S (Flat)", _xlfn.XLOOKUP(C2437, dd_accsrycalc!$A$2:$A$51, dd_accsrycalc!$C$2:$C$51, "",0), F2437="Tox6", _xlfn.XLOOKUP(C2437, dd_accsrycalc!$A$2:$A$51, dd_accsrycalc!$D$2:$D$51, "",0), F2437="Cover Cap", _xlfn.XLOOKUP(C2437, dd_accsrycalc!$A$2:$A$51, dd_accsrycalc!$E$2:$E$51, "",0), F2437="Drainage Cover", _xlfn.XLOOKUP(C2437, dd_accsrycalc!$A$2:$A$51, dd_accsrycalc!$F$2:$F$51, "",0),AND( F2437="Double Adhesive Tape", I2437="Roll-up Screen"), _xlfn.XLOOKUP(C2437, calc_rusacc!$C$15:$C$65, calc_rusacc!$AD$15:$AD$65, "",0),AND( F2437="Sealant", I2437="Roll-up Screen"), _xlfn.XLOOKUP(C2437, calc_rusacc!$C$15:$C$65, calc_rusacc!$AF$15:$AF$65, "",0),  AND( F2437="Main Chain", I2437="Accordion Screen"), _xlfn.XLOOKUP(C2437, calc_rusacc!$C$15:$C$65, calc_rusacc!$BF$15:$BF$65, "",0), AND( F2437="Sealant", I2437="Accordion Screen"), _xlfn.XLOOKUP(C2437, calc_rusacc!$C$15:$C$65, calc_rusacc!$BJ$15:$BJ$65, "",0),  F2437="Sealant", _xlfn.XLOOKUP(C2437, dd_accsrycalc!$A$2:$A$51, dd_accsrycalc!$G$2:$G$51, "",0),  F2437&lt;&gt;"",L2437*_xlfn.XLOOKUP(1, (SKUs!$C$2:$C$10001=G2437)*(SKUs!$K$2:$K$10001=I2437),SKUs!$E$2:$E$10001)), 0),"")</f>
        <v/>
      </c>
      <c r="E2437" s="16" t="str">
        <f>_xlfn.XLOOKUP(F2437,dd_item!$B$2:$B$105,dd_item!$C$2:$C$105,"",0)</f>
        <v/>
      </c>
      <c r="F2437" s="16"/>
      <c r="G2437" s="16" cm="1">
        <f t="array" ref="G2437">IFERROR(_xlfn.XLOOKUP(1, (SKUs!$J$2:$J$10001=accsry_unmerged!F2437)*IF(H2437&lt;&gt;"",(SKUs!$L$2:$L$10001=accsry_unmerged!H2437),1)*(SKUs!$K$2:$K$10001=I2437),SKUs!$C$2:$C$10001),"")</f>
        <v>0</v>
      </c>
      <c r="H2437" s="33" cm="1">
        <f t="array" ref="H2437">IFERROR(_xlfn.XLOOKUP(1, (dd_accsryclr!$C$2:$C$1000=accsry_unmerged!F2437)*(dd_accsryclr!$B$2:$B$1000=accsry_unmerged!J2437),dd_accsryclr!$A$2:$A$1000),"")</f>
        <v>0</v>
      </c>
      <c r="I2437" s="16">
        <f>_xlfn.XLOOKUP(C2437,'Project Details'!$C$17:$C$66,'Project Details'!$E$17:$E$66,"",0)</f>
        <v>0</v>
      </c>
      <c r="J2437" s="16">
        <f>_xlfn.XLOOKUP(C2437,'Project Details'!$C$17:$C$66,'Project Details'!$H$17:$H$66,"",0)</f>
        <v>0</v>
      </c>
      <c r="K2437" s="33" t="str">
        <f>IF(AND(_xlfn.XLOOKUP(C2437,'Project Details'!$C$17:$C$66,'Project Details'!$L$17:$L$66,"",0)&gt;550, F2437="Spring-L27cm"),"",SUBSTITUTE(_xlfn.XLOOKUP(G2437,SKUs!$C$2:$C$10001,SKUs!$F$2:$F$10001,"",0), " Accessories",""))</f>
        <v/>
      </c>
      <c r="L2437" s="33">
        <f>_xlfn.XLOOKUP(C2437,'Project Details'!$C$17:$C$66,'Project Details'!$D$17:$D$66,"",0)</f>
        <v>0</v>
      </c>
      <c r="M2437" s="43"/>
    </row>
    <row r="2438" spans="1:13" ht="13.5" customHeight="1" x14ac:dyDescent="0.25">
      <c r="A2438" s="43"/>
      <c r="B2438" s="43"/>
      <c r="C2438" s="35">
        <f t="shared" si="47"/>
        <v>49</v>
      </c>
      <c r="D2438" s="35" t="str" cm="1">
        <f t="array" ref="D2438">IFERROR(ROUNDUP(_xlfn.IFS(F2438="Aluminum Track", _xlfn.XLOOKUP(C2438, dd_accsrycalc!$A$2:$A$51, dd_accsrycalc!$B$2:$B$51, "",0), F2438="10 x 2 1/2 S (Flat)", _xlfn.XLOOKUP(C2438, dd_accsrycalc!$A$2:$A$51, dd_accsrycalc!$C$2:$C$51, "",0), F2438="Tox6", _xlfn.XLOOKUP(C2438, dd_accsrycalc!$A$2:$A$51, dd_accsrycalc!$D$2:$D$51, "",0), F2438="Cover Cap", _xlfn.XLOOKUP(C2438, dd_accsrycalc!$A$2:$A$51, dd_accsrycalc!$E$2:$E$51, "",0), F2438="Drainage Cover", _xlfn.XLOOKUP(C2438, dd_accsrycalc!$A$2:$A$51, dd_accsrycalc!$F$2:$F$51, "",0),AND( F2438="Double Adhesive Tape", I2438="Roll-up Screen"), _xlfn.XLOOKUP(C2438, calc_rusacc!$C$15:$C$65, calc_rusacc!$AD$15:$AD$65, "",0),AND( F2438="Sealant", I2438="Roll-up Screen"), _xlfn.XLOOKUP(C2438, calc_rusacc!$C$15:$C$65, calc_rusacc!$AF$15:$AF$65, "",0),  AND( F2438="Main Chain", I2438="Accordion Screen"), _xlfn.XLOOKUP(C2438, calc_rusacc!$C$15:$C$65, calc_rusacc!$BF$15:$BF$65, "",0), AND( F2438="Sealant", I2438="Accordion Screen"), _xlfn.XLOOKUP(C2438, calc_rusacc!$C$15:$C$65, calc_rusacc!$BJ$15:$BJ$65, "",0),  F2438="Sealant", _xlfn.XLOOKUP(C2438, dd_accsrycalc!$A$2:$A$51, dd_accsrycalc!$G$2:$G$51, "",0),  F2438&lt;&gt;"",L2438*_xlfn.XLOOKUP(1, (SKUs!$C$2:$C$10001=G2438)*(SKUs!$K$2:$K$10001=I2438),SKUs!$E$2:$E$10001)), 0),"")</f>
        <v/>
      </c>
      <c r="E2438" s="35" t="str">
        <f>_xlfn.XLOOKUP(F2438,dd_item!$B$2:$B$105,dd_item!$C$2:$C$105,"",0)</f>
        <v/>
      </c>
      <c r="F2438" s="35"/>
      <c r="G2438" s="35" cm="1">
        <f t="array" ref="G2438">IFERROR(_xlfn.XLOOKUP(1, (SKUs!$J$2:$J$10001=accsry_unmerged!F2438)*IF(H2438&lt;&gt;"",(SKUs!$L$2:$L$10001=accsry_unmerged!H2438),1)*(SKUs!$K$2:$K$10001=I2438),SKUs!$C$2:$C$10001),"")</f>
        <v>0</v>
      </c>
      <c r="H2438" s="36" cm="1">
        <f t="array" ref="H2438">IFERROR(_xlfn.XLOOKUP(1, (dd_accsryclr!$C$2:$C$1000=accsry_unmerged!F2438)*(dd_accsryclr!$B$2:$B$1000=accsry_unmerged!J2438),dd_accsryclr!$A$2:$A$1000),"")</f>
        <v>0</v>
      </c>
      <c r="I2438" s="35">
        <f>_xlfn.XLOOKUP(C2438,'Project Details'!$C$17:$C$66,'Project Details'!$E$17:$E$66,"",0)</f>
        <v>0</v>
      </c>
      <c r="J2438" s="35">
        <f>_xlfn.XLOOKUP(C2438,'Project Details'!$C$17:$C$66,'Project Details'!$H$17:$H$66,"",0)</f>
        <v>0</v>
      </c>
      <c r="K2438" s="36" t="str">
        <f>IF(AND(_xlfn.XLOOKUP(C2438,'Project Details'!$C$17:$C$66,'Project Details'!$L$17:$L$66,"",0)&gt;550, F2438="Spring-L27cm"),"",SUBSTITUTE(_xlfn.XLOOKUP(G2438,SKUs!$C$2:$C$10001,SKUs!$F$2:$F$10001,"",0), " Accessories",""))</f>
        <v/>
      </c>
      <c r="L2438" s="36">
        <f>_xlfn.XLOOKUP(C2438,'Project Details'!$C$17:$C$66,'Project Details'!$D$17:$D$66,"",0)</f>
        <v>0</v>
      </c>
      <c r="M2438" s="43"/>
    </row>
    <row r="2439" spans="1:13" ht="13.5" customHeight="1" x14ac:dyDescent="0.25">
      <c r="A2439" s="43"/>
      <c r="B2439" s="43"/>
      <c r="C2439" s="16">
        <f t="shared" si="47"/>
        <v>49</v>
      </c>
      <c r="D2439" s="16" t="str" cm="1">
        <f t="array" ref="D2439">IFERROR(ROUNDUP(_xlfn.IFS(F2439="Aluminum Track", _xlfn.XLOOKUP(C2439, dd_accsrycalc!$A$2:$A$51, dd_accsrycalc!$B$2:$B$51, "",0), F2439="10 x 2 1/2 S (Flat)", _xlfn.XLOOKUP(C2439, dd_accsrycalc!$A$2:$A$51, dd_accsrycalc!$C$2:$C$51, "",0), F2439="Tox6", _xlfn.XLOOKUP(C2439, dd_accsrycalc!$A$2:$A$51, dd_accsrycalc!$D$2:$D$51, "",0), F2439="Cover Cap", _xlfn.XLOOKUP(C2439, dd_accsrycalc!$A$2:$A$51, dd_accsrycalc!$E$2:$E$51, "",0), F2439="Drainage Cover", _xlfn.XLOOKUP(C2439, dd_accsrycalc!$A$2:$A$51, dd_accsrycalc!$F$2:$F$51, "",0),AND( F2439="Double Adhesive Tape", I2439="Roll-up Screen"), _xlfn.XLOOKUP(C2439, calc_rusacc!$C$15:$C$65, calc_rusacc!$AD$15:$AD$65, "",0),AND( F2439="Sealant", I2439="Roll-up Screen"), _xlfn.XLOOKUP(C2439, calc_rusacc!$C$15:$C$65, calc_rusacc!$AF$15:$AF$65, "",0),  AND( F2439="Main Chain", I2439="Accordion Screen"), _xlfn.XLOOKUP(C2439, calc_rusacc!$C$15:$C$65, calc_rusacc!$BF$15:$BF$65, "",0), AND( F2439="Sealant", I2439="Accordion Screen"), _xlfn.XLOOKUP(C2439, calc_rusacc!$C$15:$C$65, calc_rusacc!$BJ$15:$BJ$65, "",0),  F2439="Sealant", _xlfn.XLOOKUP(C2439, dd_accsrycalc!$A$2:$A$51, dd_accsrycalc!$G$2:$G$51, "",0),  F2439&lt;&gt;"",L2439*_xlfn.XLOOKUP(1, (SKUs!$C$2:$C$10001=G2439)*(SKUs!$K$2:$K$10001=I2439),SKUs!$E$2:$E$10001)), 0),"")</f>
        <v/>
      </c>
      <c r="E2439" s="16" t="str">
        <f>_xlfn.XLOOKUP(F2439,dd_item!$B$2:$B$105,dd_item!$C$2:$C$105,"",0)</f>
        <v/>
      </c>
      <c r="F2439" s="16"/>
      <c r="G2439" s="16" cm="1">
        <f t="array" ref="G2439">IFERROR(_xlfn.XLOOKUP(1, (SKUs!$J$2:$J$10001=accsry_unmerged!F2439)*IF(H2439&lt;&gt;"",(SKUs!$L$2:$L$10001=accsry_unmerged!H2439),1)*(SKUs!$K$2:$K$10001=I2439),SKUs!$C$2:$C$10001),"")</f>
        <v>0</v>
      </c>
      <c r="H2439" s="33" cm="1">
        <f t="array" ref="H2439">IFERROR(_xlfn.XLOOKUP(1, (dd_accsryclr!$C$2:$C$1000=accsry_unmerged!F2439)*(dd_accsryclr!$B$2:$B$1000=accsry_unmerged!J2439),dd_accsryclr!$A$2:$A$1000),"")</f>
        <v>0</v>
      </c>
      <c r="I2439" s="16">
        <f>_xlfn.XLOOKUP(C2439,'Project Details'!$C$17:$C$66,'Project Details'!$E$17:$E$66,"",0)</f>
        <v>0</v>
      </c>
      <c r="J2439" s="16">
        <f>_xlfn.XLOOKUP(C2439,'Project Details'!$C$17:$C$66,'Project Details'!$H$17:$H$66,"",0)</f>
        <v>0</v>
      </c>
      <c r="K2439" s="33" t="str">
        <f>IF(AND(_xlfn.XLOOKUP(C2439,'Project Details'!$C$17:$C$66,'Project Details'!$L$17:$L$66,"",0)&gt;550, F2439="Spring-L27cm"),"",SUBSTITUTE(_xlfn.XLOOKUP(G2439,SKUs!$C$2:$C$10001,SKUs!$F$2:$F$10001,"",0), " Accessories",""))</f>
        <v/>
      </c>
      <c r="L2439" s="33">
        <f>_xlfn.XLOOKUP(C2439,'Project Details'!$C$17:$C$66,'Project Details'!$D$17:$D$66,"",0)</f>
        <v>0</v>
      </c>
      <c r="M2439" s="43"/>
    </row>
    <row r="2440" spans="1:13" ht="13.5" customHeight="1" x14ac:dyDescent="0.25">
      <c r="A2440" s="43"/>
      <c r="B2440" s="43"/>
      <c r="C2440" s="35">
        <f t="shared" si="47"/>
        <v>49</v>
      </c>
      <c r="D2440" s="35" t="str" cm="1">
        <f t="array" ref="D2440">IFERROR(ROUNDUP(_xlfn.IFS(F2440="Aluminum Track", _xlfn.XLOOKUP(C2440, dd_accsrycalc!$A$2:$A$51, dd_accsrycalc!$B$2:$B$51, "",0), F2440="10 x 2 1/2 S (Flat)", _xlfn.XLOOKUP(C2440, dd_accsrycalc!$A$2:$A$51, dd_accsrycalc!$C$2:$C$51, "",0), F2440="Tox6", _xlfn.XLOOKUP(C2440, dd_accsrycalc!$A$2:$A$51, dd_accsrycalc!$D$2:$D$51, "",0), F2440="Cover Cap", _xlfn.XLOOKUP(C2440, dd_accsrycalc!$A$2:$A$51, dd_accsrycalc!$E$2:$E$51, "",0), F2440="Drainage Cover", _xlfn.XLOOKUP(C2440, dd_accsrycalc!$A$2:$A$51, dd_accsrycalc!$F$2:$F$51, "",0),AND( F2440="Double Adhesive Tape", I2440="Roll-up Screen"), _xlfn.XLOOKUP(C2440, calc_rusacc!$C$15:$C$65, calc_rusacc!$AD$15:$AD$65, "",0),AND( F2440="Sealant", I2440="Roll-up Screen"), _xlfn.XLOOKUP(C2440, calc_rusacc!$C$15:$C$65, calc_rusacc!$AF$15:$AF$65, "",0),  AND( F2440="Main Chain", I2440="Accordion Screen"), _xlfn.XLOOKUP(C2440, calc_rusacc!$C$15:$C$65, calc_rusacc!$BF$15:$BF$65, "",0), AND( F2440="Sealant", I2440="Accordion Screen"), _xlfn.XLOOKUP(C2440, calc_rusacc!$C$15:$C$65, calc_rusacc!$BJ$15:$BJ$65, "",0),  F2440="Sealant", _xlfn.XLOOKUP(C2440, dd_accsrycalc!$A$2:$A$51, dd_accsrycalc!$G$2:$G$51, "",0),  F2440&lt;&gt;"",L2440*_xlfn.XLOOKUP(1, (SKUs!$C$2:$C$10001=G2440)*(SKUs!$K$2:$K$10001=I2440),SKUs!$E$2:$E$10001)), 0),"")</f>
        <v/>
      </c>
      <c r="E2440" s="35" t="str">
        <f>_xlfn.XLOOKUP(F2440,dd_item!$B$2:$B$105,dd_item!$C$2:$C$105,"",0)</f>
        <v/>
      </c>
      <c r="F2440" s="35"/>
      <c r="G2440" s="35" cm="1">
        <f t="array" ref="G2440">IFERROR(_xlfn.XLOOKUP(1, (SKUs!$J$2:$J$10001=accsry_unmerged!F2440)*IF(H2440&lt;&gt;"",(SKUs!$L$2:$L$10001=accsry_unmerged!H2440),1)*(SKUs!$K$2:$K$10001=I2440),SKUs!$C$2:$C$10001),"")</f>
        <v>0</v>
      </c>
      <c r="H2440" s="36" cm="1">
        <f t="array" ref="H2440">IFERROR(_xlfn.XLOOKUP(1, (dd_accsryclr!$C$2:$C$1000=accsry_unmerged!F2440)*(dd_accsryclr!$B$2:$B$1000=accsry_unmerged!J2440),dd_accsryclr!$A$2:$A$1000),"")</f>
        <v>0</v>
      </c>
      <c r="I2440" s="35">
        <f>_xlfn.XLOOKUP(C2440,'Project Details'!$C$17:$C$66,'Project Details'!$E$17:$E$66,"",0)</f>
        <v>0</v>
      </c>
      <c r="J2440" s="35">
        <f>_xlfn.XLOOKUP(C2440,'Project Details'!$C$17:$C$66,'Project Details'!$H$17:$H$66,"",0)</f>
        <v>0</v>
      </c>
      <c r="K2440" s="36" t="str">
        <f>IF(AND(_xlfn.XLOOKUP(C2440,'Project Details'!$C$17:$C$66,'Project Details'!$L$17:$L$66,"",0)&gt;550, F2440="Spring-L27cm"),"",SUBSTITUTE(_xlfn.XLOOKUP(G2440,SKUs!$C$2:$C$10001,SKUs!$F$2:$F$10001,"",0), " Accessories",""))</f>
        <v/>
      </c>
      <c r="L2440" s="36">
        <f>_xlfn.XLOOKUP(C2440,'Project Details'!$C$17:$C$66,'Project Details'!$D$17:$D$66,"",0)</f>
        <v>0</v>
      </c>
      <c r="M2440" s="43"/>
    </row>
    <row r="2441" spans="1:13" ht="13.5" customHeight="1" x14ac:dyDescent="0.25">
      <c r="A2441" s="43"/>
      <c r="B2441" s="43"/>
      <c r="C2441" s="16">
        <f t="shared" si="47"/>
        <v>49</v>
      </c>
      <c r="D2441" s="16" t="str" cm="1">
        <f t="array" ref="D2441">IFERROR(ROUNDUP(_xlfn.IFS(F2441="Aluminum Track", _xlfn.XLOOKUP(C2441, dd_accsrycalc!$A$2:$A$51, dd_accsrycalc!$B$2:$B$51, "",0), F2441="10 x 2 1/2 S (Flat)", _xlfn.XLOOKUP(C2441, dd_accsrycalc!$A$2:$A$51, dd_accsrycalc!$C$2:$C$51, "",0), F2441="Tox6", _xlfn.XLOOKUP(C2441, dd_accsrycalc!$A$2:$A$51, dd_accsrycalc!$D$2:$D$51, "",0), F2441="Cover Cap", _xlfn.XLOOKUP(C2441, dd_accsrycalc!$A$2:$A$51, dd_accsrycalc!$E$2:$E$51, "",0), F2441="Drainage Cover", _xlfn.XLOOKUP(C2441, dd_accsrycalc!$A$2:$A$51, dd_accsrycalc!$F$2:$F$51, "",0),AND( F2441="Double Adhesive Tape", I2441="Roll-up Screen"), _xlfn.XLOOKUP(C2441, calc_rusacc!$C$15:$C$65, calc_rusacc!$AD$15:$AD$65, "",0),AND( F2441="Sealant", I2441="Roll-up Screen"), _xlfn.XLOOKUP(C2441, calc_rusacc!$C$15:$C$65, calc_rusacc!$AF$15:$AF$65, "",0),  AND( F2441="Main Chain", I2441="Accordion Screen"), _xlfn.XLOOKUP(C2441, calc_rusacc!$C$15:$C$65, calc_rusacc!$BF$15:$BF$65, "",0), AND( F2441="Sealant", I2441="Accordion Screen"), _xlfn.XLOOKUP(C2441, calc_rusacc!$C$15:$C$65, calc_rusacc!$BJ$15:$BJ$65, "",0),  F2441="Sealant", _xlfn.XLOOKUP(C2441, dd_accsrycalc!$A$2:$A$51, dd_accsrycalc!$G$2:$G$51, "",0),  F2441&lt;&gt;"",L2441*_xlfn.XLOOKUP(1, (SKUs!$C$2:$C$10001=G2441)*(SKUs!$K$2:$K$10001=I2441),SKUs!$E$2:$E$10001)), 0),"")</f>
        <v/>
      </c>
      <c r="E2441" s="16" t="str">
        <f>_xlfn.XLOOKUP(F2441,dd_item!$B$2:$B$105,dd_item!$C$2:$C$105,"",0)</f>
        <v/>
      </c>
      <c r="F2441" s="16"/>
      <c r="G2441" s="16" cm="1">
        <f t="array" ref="G2441">IFERROR(_xlfn.XLOOKUP(1, (SKUs!$J$2:$J$10001=accsry_unmerged!F2441)*IF(H2441&lt;&gt;"",(SKUs!$L$2:$L$10001=accsry_unmerged!H2441),1)*(SKUs!$K$2:$K$10001=I2441),SKUs!$C$2:$C$10001),"")</f>
        <v>0</v>
      </c>
      <c r="H2441" s="33" cm="1">
        <f t="array" ref="H2441">IFERROR(_xlfn.XLOOKUP(1, (dd_accsryclr!$C$2:$C$1000=accsry_unmerged!F2441)*(dd_accsryclr!$B$2:$B$1000=accsry_unmerged!J2441),dd_accsryclr!$A$2:$A$1000),"")</f>
        <v>0</v>
      </c>
      <c r="I2441" s="16">
        <f>_xlfn.XLOOKUP(C2441,'Project Details'!$C$17:$C$66,'Project Details'!$E$17:$E$66,"",0)</f>
        <v>0</v>
      </c>
      <c r="J2441" s="16">
        <f>_xlfn.XLOOKUP(C2441,'Project Details'!$C$17:$C$66,'Project Details'!$H$17:$H$66,"",0)</f>
        <v>0</v>
      </c>
      <c r="K2441" s="33" t="str">
        <f>IF(AND(_xlfn.XLOOKUP(C2441,'Project Details'!$C$17:$C$66,'Project Details'!$L$17:$L$66,"",0)&gt;550, F2441="Spring-L27cm"),"",SUBSTITUTE(_xlfn.XLOOKUP(G2441,SKUs!$C$2:$C$10001,SKUs!$F$2:$F$10001,"",0), " Accessories",""))</f>
        <v/>
      </c>
      <c r="L2441" s="33">
        <f>_xlfn.XLOOKUP(C2441,'Project Details'!$C$17:$C$66,'Project Details'!$D$17:$D$66,"",0)</f>
        <v>0</v>
      </c>
      <c r="M2441" s="43"/>
    </row>
    <row r="2442" spans="1:13" ht="13.5" customHeight="1" x14ac:dyDescent="0.25">
      <c r="A2442" s="43"/>
      <c r="B2442" s="43"/>
      <c r="C2442" s="35">
        <f t="shared" si="47"/>
        <v>49</v>
      </c>
      <c r="D2442" s="35" t="str" cm="1">
        <f t="array" ref="D2442">IFERROR(ROUNDUP(_xlfn.IFS(F2442="Aluminum Track", _xlfn.XLOOKUP(C2442, dd_accsrycalc!$A$2:$A$51, dd_accsrycalc!$B$2:$B$51, "",0), F2442="10 x 2 1/2 S (Flat)", _xlfn.XLOOKUP(C2442, dd_accsrycalc!$A$2:$A$51, dd_accsrycalc!$C$2:$C$51, "",0), F2442="Tox6", _xlfn.XLOOKUP(C2442, dd_accsrycalc!$A$2:$A$51, dd_accsrycalc!$D$2:$D$51, "",0), F2442="Cover Cap", _xlfn.XLOOKUP(C2442, dd_accsrycalc!$A$2:$A$51, dd_accsrycalc!$E$2:$E$51, "",0), F2442="Drainage Cover", _xlfn.XLOOKUP(C2442, dd_accsrycalc!$A$2:$A$51, dd_accsrycalc!$F$2:$F$51, "",0),AND( F2442="Double Adhesive Tape", I2442="Roll-up Screen"), _xlfn.XLOOKUP(C2442, calc_rusacc!$C$15:$C$65, calc_rusacc!$AD$15:$AD$65, "",0),AND( F2442="Sealant", I2442="Roll-up Screen"), _xlfn.XLOOKUP(C2442, calc_rusacc!$C$15:$C$65, calc_rusacc!$AF$15:$AF$65, "",0),  AND( F2442="Main Chain", I2442="Accordion Screen"), _xlfn.XLOOKUP(C2442, calc_rusacc!$C$15:$C$65, calc_rusacc!$BF$15:$BF$65, "",0), AND( F2442="Sealant", I2442="Accordion Screen"), _xlfn.XLOOKUP(C2442, calc_rusacc!$C$15:$C$65, calc_rusacc!$BJ$15:$BJ$65, "",0),  F2442="Sealant", _xlfn.XLOOKUP(C2442, dd_accsrycalc!$A$2:$A$51, dd_accsrycalc!$G$2:$G$51, "",0),  F2442&lt;&gt;"",L2442*_xlfn.XLOOKUP(1, (SKUs!$C$2:$C$10001=G2442)*(SKUs!$K$2:$K$10001=I2442),SKUs!$E$2:$E$10001)), 0),"")</f>
        <v/>
      </c>
      <c r="E2442" s="35" t="str">
        <f>_xlfn.XLOOKUP(F2442,dd_item!$B$2:$B$105,dd_item!$C$2:$C$105,"",0)</f>
        <v/>
      </c>
      <c r="F2442" s="35"/>
      <c r="G2442" s="35" cm="1">
        <f t="array" ref="G2442">IFERROR(_xlfn.XLOOKUP(1, (SKUs!$J$2:$J$10001=accsry_unmerged!F2442)*IF(H2442&lt;&gt;"",(SKUs!$L$2:$L$10001=accsry_unmerged!H2442),1)*(SKUs!$K$2:$K$10001=I2442),SKUs!$C$2:$C$10001),"")</f>
        <v>0</v>
      </c>
      <c r="H2442" s="36" cm="1">
        <f t="array" ref="H2442">IFERROR(_xlfn.XLOOKUP(1, (dd_accsryclr!$C$2:$C$1000=accsry_unmerged!F2442)*(dd_accsryclr!$B$2:$B$1000=accsry_unmerged!J2442),dd_accsryclr!$A$2:$A$1000),"")</f>
        <v>0</v>
      </c>
      <c r="I2442" s="35">
        <f>_xlfn.XLOOKUP(C2442,'Project Details'!$C$17:$C$66,'Project Details'!$E$17:$E$66,"",0)</f>
        <v>0</v>
      </c>
      <c r="J2442" s="35">
        <f>_xlfn.XLOOKUP(C2442,'Project Details'!$C$17:$C$66,'Project Details'!$H$17:$H$66,"",0)</f>
        <v>0</v>
      </c>
      <c r="K2442" s="36" t="str">
        <f>IF(AND(_xlfn.XLOOKUP(C2442,'Project Details'!$C$17:$C$66,'Project Details'!$L$17:$L$66,"",0)&gt;550, F2442="Spring-L27cm"),"",SUBSTITUTE(_xlfn.XLOOKUP(G2442,SKUs!$C$2:$C$10001,SKUs!$F$2:$F$10001,"",0), " Accessories",""))</f>
        <v/>
      </c>
      <c r="L2442" s="36">
        <f>_xlfn.XLOOKUP(C2442,'Project Details'!$C$17:$C$66,'Project Details'!$D$17:$D$66,"",0)</f>
        <v>0</v>
      </c>
      <c r="M2442" s="43"/>
    </row>
    <row r="2443" spans="1:13" ht="13.5" customHeight="1" x14ac:dyDescent="0.25">
      <c r="A2443" s="43"/>
      <c r="B2443" s="43"/>
      <c r="C2443" s="16">
        <f t="shared" si="47"/>
        <v>49</v>
      </c>
      <c r="D2443" s="16" t="str" cm="1">
        <f t="array" ref="D2443">IFERROR(ROUNDUP(_xlfn.IFS(F2443="Aluminum Track", _xlfn.XLOOKUP(C2443, dd_accsrycalc!$A$2:$A$51, dd_accsrycalc!$B$2:$B$51, "",0), F2443="10 x 2 1/2 S (Flat)", _xlfn.XLOOKUP(C2443, dd_accsrycalc!$A$2:$A$51, dd_accsrycalc!$C$2:$C$51, "",0), F2443="Tox6", _xlfn.XLOOKUP(C2443, dd_accsrycalc!$A$2:$A$51, dd_accsrycalc!$D$2:$D$51, "",0), F2443="Cover Cap", _xlfn.XLOOKUP(C2443, dd_accsrycalc!$A$2:$A$51, dd_accsrycalc!$E$2:$E$51, "",0), F2443="Drainage Cover", _xlfn.XLOOKUP(C2443, dd_accsrycalc!$A$2:$A$51, dd_accsrycalc!$F$2:$F$51, "",0),AND( F2443="Double Adhesive Tape", I2443="Roll-up Screen"), _xlfn.XLOOKUP(C2443, calc_rusacc!$C$15:$C$65, calc_rusacc!$AD$15:$AD$65, "",0),AND( F2443="Sealant", I2443="Roll-up Screen"), _xlfn.XLOOKUP(C2443, calc_rusacc!$C$15:$C$65, calc_rusacc!$AF$15:$AF$65, "",0),  AND( F2443="Main Chain", I2443="Accordion Screen"), _xlfn.XLOOKUP(C2443, calc_rusacc!$C$15:$C$65, calc_rusacc!$BF$15:$BF$65, "",0), AND( F2443="Sealant", I2443="Accordion Screen"), _xlfn.XLOOKUP(C2443, calc_rusacc!$C$15:$C$65, calc_rusacc!$BJ$15:$BJ$65, "",0),  F2443="Sealant", _xlfn.XLOOKUP(C2443, dd_accsrycalc!$A$2:$A$51, dd_accsrycalc!$G$2:$G$51, "",0),  F2443&lt;&gt;"",L2443*_xlfn.XLOOKUP(1, (SKUs!$C$2:$C$10001=G2443)*(SKUs!$K$2:$K$10001=I2443),SKUs!$E$2:$E$10001)), 0),"")</f>
        <v/>
      </c>
      <c r="E2443" s="16" t="str">
        <f>_xlfn.XLOOKUP(F2443,dd_item!$B$2:$B$105,dd_item!$C$2:$C$105,"",0)</f>
        <v/>
      </c>
      <c r="F2443" s="16"/>
      <c r="G2443" s="16" cm="1">
        <f t="array" ref="G2443">IFERROR(_xlfn.XLOOKUP(1, (SKUs!$J$2:$J$10001=accsry_unmerged!F2443)*IF(H2443&lt;&gt;"",(SKUs!$L$2:$L$10001=accsry_unmerged!H2443),1)*(SKUs!$K$2:$K$10001=I2443),SKUs!$C$2:$C$10001),"")</f>
        <v>0</v>
      </c>
      <c r="H2443" s="33" cm="1">
        <f t="array" ref="H2443">IFERROR(_xlfn.XLOOKUP(1, (dd_accsryclr!$C$2:$C$1000=accsry_unmerged!F2443)*(dd_accsryclr!$B$2:$B$1000=accsry_unmerged!J2443),dd_accsryclr!$A$2:$A$1000),"")</f>
        <v>0</v>
      </c>
      <c r="I2443" s="16">
        <f>_xlfn.XLOOKUP(C2443,'Project Details'!$C$17:$C$66,'Project Details'!$E$17:$E$66,"",0)</f>
        <v>0</v>
      </c>
      <c r="J2443" s="16">
        <f>_xlfn.XLOOKUP(C2443,'Project Details'!$C$17:$C$66,'Project Details'!$H$17:$H$66,"",0)</f>
        <v>0</v>
      </c>
      <c r="K2443" s="33" t="str">
        <f>IF(AND(_xlfn.XLOOKUP(C2443,'Project Details'!$C$17:$C$66,'Project Details'!$L$17:$L$66,"",0)&gt;550, F2443="Spring-L27cm"),"",SUBSTITUTE(_xlfn.XLOOKUP(G2443,SKUs!$C$2:$C$10001,SKUs!$F$2:$F$10001,"",0), " Accessories",""))</f>
        <v/>
      </c>
      <c r="L2443" s="33">
        <f>_xlfn.XLOOKUP(C2443,'Project Details'!$C$17:$C$66,'Project Details'!$D$17:$D$66,"",0)</f>
        <v>0</v>
      </c>
      <c r="M2443" s="43"/>
    </row>
    <row r="2444" spans="1:13" ht="13.5" customHeight="1" x14ac:dyDescent="0.25">
      <c r="A2444" s="43"/>
      <c r="B2444" s="43"/>
      <c r="C2444" s="35">
        <f t="shared" si="47"/>
        <v>49</v>
      </c>
      <c r="D2444" s="35" t="str" cm="1">
        <f t="array" ref="D2444">IFERROR(ROUNDUP(_xlfn.IFS(F2444="Aluminum Track", _xlfn.XLOOKUP(C2444, dd_accsrycalc!$A$2:$A$51, dd_accsrycalc!$B$2:$B$51, "",0), F2444="10 x 2 1/2 S (Flat)", _xlfn.XLOOKUP(C2444, dd_accsrycalc!$A$2:$A$51, dd_accsrycalc!$C$2:$C$51, "",0), F2444="Tox6", _xlfn.XLOOKUP(C2444, dd_accsrycalc!$A$2:$A$51, dd_accsrycalc!$D$2:$D$51, "",0), F2444="Cover Cap", _xlfn.XLOOKUP(C2444, dd_accsrycalc!$A$2:$A$51, dd_accsrycalc!$E$2:$E$51, "",0), F2444="Drainage Cover", _xlfn.XLOOKUP(C2444, dd_accsrycalc!$A$2:$A$51, dd_accsrycalc!$F$2:$F$51, "",0),AND( F2444="Double Adhesive Tape", I2444="Roll-up Screen"), _xlfn.XLOOKUP(C2444, calc_rusacc!$C$15:$C$65, calc_rusacc!$AD$15:$AD$65, "",0),AND( F2444="Sealant", I2444="Roll-up Screen"), _xlfn.XLOOKUP(C2444, calc_rusacc!$C$15:$C$65, calc_rusacc!$AF$15:$AF$65, "",0),  AND( F2444="Main Chain", I2444="Accordion Screen"), _xlfn.XLOOKUP(C2444, calc_rusacc!$C$15:$C$65, calc_rusacc!$BF$15:$BF$65, "",0), AND( F2444="Sealant", I2444="Accordion Screen"), _xlfn.XLOOKUP(C2444, calc_rusacc!$C$15:$C$65, calc_rusacc!$BJ$15:$BJ$65, "",0),  F2444="Sealant", _xlfn.XLOOKUP(C2444, dd_accsrycalc!$A$2:$A$51, dd_accsrycalc!$G$2:$G$51, "",0),  F2444&lt;&gt;"",L2444*_xlfn.XLOOKUP(1, (SKUs!$C$2:$C$10001=G2444)*(SKUs!$K$2:$K$10001=I2444),SKUs!$E$2:$E$10001)), 0),"")</f>
        <v/>
      </c>
      <c r="E2444" s="35" t="str">
        <f>_xlfn.XLOOKUP(F2444,dd_item!$B$2:$B$105,dd_item!$C$2:$C$105,"",0)</f>
        <v/>
      </c>
      <c r="F2444" s="35"/>
      <c r="G2444" s="35" cm="1">
        <f t="array" ref="G2444">IFERROR(_xlfn.XLOOKUP(1, (SKUs!$J$2:$J$10001=accsry_unmerged!F2444)*IF(H2444&lt;&gt;"",(SKUs!$L$2:$L$10001=accsry_unmerged!H2444),1)*(SKUs!$K$2:$K$10001=I2444),SKUs!$C$2:$C$10001),"")</f>
        <v>0</v>
      </c>
      <c r="H2444" s="36" cm="1">
        <f t="array" ref="H2444">IFERROR(_xlfn.XLOOKUP(1, (dd_accsryclr!$C$2:$C$1000=accsry_unmerged!F2444)*(dd_accsryclr!$B$2:$B$1000=accsry_unmerged!J2444),dd_accsryclr!$A$2:$A$1000),"")</f>
        <v>0</v>
      </c>
      <c r="I2444" s="35">
        <f>_xlfn.XLOOKUP(C2444,'Project Details'!$C$17:$C$66,'Project Details'!$E$17:$E$66,"",0)</f>
        <v>0</v>
      </c>
      <c r="J2444" s="35">
        <f>_xlfn.XLOOKUP(C2444,'Project Details'!$C$17:$C$66,'Project Details'!$H$17:$H$66,"",0)</f>
        <v>0</v>
      </c>
      <c r="K2444" s="36" t="str">
        <f>IF(AND(_xlfn.XLOOKUP(C2444,'Project Details'!$C$17:$C$66,'Project Details'!$L$17:$L$66,"",0)&gt;550, F2444="Spring-L27cm"),"",SUBSTITUTE(_xlfn.XLOOKUP(G2444,SKUs!$C$2:$C$10001,SKUs!$F$2:$F$10001,"",0), " Accessories",""))</f>
        <v/>
      </c>
      <c r="L2444" s="36">
        <f>_xlfn.XLOOKUP(C2444,'Project Details'!$C$17:$C$66,'Project Details'!$D$17:$D$66,"",0)</f>
        <v>0</v>
      </c>
      <c r="M2444" s="43"/>
    </row>
    <row r="2445" spans="1:13" ht="13.5" customHeight="1" outlineLevel="1" x14ac:dyDescent="0.25">
      <c r="A2445" s="43"/>
      <c r="B2445" s="43"/>
      <c r="C2445" s="16">
        <f t="shared" si="47"/>
        <v>49</v>
      </c>
      <c r="D2445" s="16" t="str" cm="1">
        <f t="array" ref="D2445">IFERROR(ROUNDUP(_xlfn.IFS(F2445="Aluminum Track", _xlfn.XLOOKUP(C2445, dd_accsrycalc!$A$2:$A$51, dd_accsrycalc!$B$2:$B$51, "",0), F2445="10 x 2 1/2 S (Flat)", _xlfn.XLOOKUP(C2445, dd_accsrycalc!$A$2:$A$51, dd_accsrycalc!$C$2:$C$51, "",0), F2445="Tox6", _xlfn.XLOOKUP(C2445, dd_accsrycalc!$A$2:$A$51, dd_accsrycalc!$D$2:$D$51, "",0), F2445="Cover Cap", _xlfn.XLOOKUP(C2445, dd_accsrycalc!$A$2:$A$51, dd_accsrycalc!$E$2:$E$51, "",0), F2445="Drainage Cover", _xlfn.XLOOKUP(C2445, dd_accsrycalc!$A$2:$A$51, dd_accsrycalc!$F$2:$F$51, "",0),AND( F2445="Double Adhesive Tape", I2445="Roll-up Screen"), _xlfn.XLOOKUP(C2445, calc_rusacc!$C$15:$C$65, calc_rusacc!$AD$15:$AD$65, "",0),AND( F2445="Sealant", I2445="Roll-up Screen"), _xlfn.XLOOKUP(C2445, calc_rusacc!$C$15:$C$65, calc_rusacc!$AF$15:$AF$65, "",0),  AND( F2445="Main Chain", I2445="Accordion Screen"), _xlfn.XLOOKUP(C2445, calc_rusacc!$C$15:$C$65, calc_rusacc!$BF$15:$BF$65, "",0), AND( F2445="Sealant", I2445="Accordion Screen"), _xlfn.XLOOKUP(C2445, calc_rusacc!$C$15:$C$65, calc_rusacc!$BJ$15:$BJ$65, "",0),  F2445="Sealant", _xlfn.XLOOKUP(C2445, dd_accsrycalc!$A$2:$A$51, dd_accsrycalc!$G$2:$G$51, "",0),  F2445&lt;&gt;"",L2445*_xlfn.XLOOKUP(1, (SKUs!$C$2:$C$10001=G2445)*(SKUs!$K$2:$K$10001=I2445),SKUs!$E$2:$E$10001)), 0),"")</f>
        <v/>
      </c>
      <c r="E2445" s="16" t="str">
        <f>_xlfn.XLOOKUP(F2445,dd_item!$B$2:$B$105,dd_item!$C$2:$C$105,"",0)</f>
        <v/>
      </c>
      <c r="F2445" s="16"/>
      <c r="G2445" s="16" cm="1">
        <f t="array" ref="G2445">IFERROR(_xlfn.XLOOKUP(1, (SKUs!$J$2:$J$10001=accsry_unmerged!F2445)*IF(H2445&lt;&gt;"",(SKUs!$L$2:$L$10001=accsry_unmerged!H2445),1)*(SKUs!$K$2:$K$10001=I2445),SKUs!$C$2:$C$10001),"")</f>
        <v>0</v>
      </c>
      <c r="H2445" s="33" cm="1">
        <f t="array" ref="H2445">IFERROR(_xlfn.XLOOKUP(1, (dd_accsryclr!$C$2:$C$1000=accsry_unmerged!F2445)*(dd_accsryclr!$B$2:$B$1000=accsry_unmerged!J2445),dd_accsryclr!$A$2:$A$1000),"")</f>
        <v>0</v>
      </c>
      <c r="I2445" s="16">
        <f>_xlfn.XLOOKUP(C2445,'Project Details'!$C$17:$C$66,'Project Details'!$E$17:$E$66,"",0)</f>
        <v>0</v>
      </c>
      <c r="J2445" s="16">
        <f>_xlfn.XLOOKUP(C2445,'Project Details'!$C$17:$C$66,'Project Details'!$H$17:$H$66,"",0)</f>
        <v>0</v>
      </c>
      <c r="K2445" s="33" t="str">
        <f>IF(AND(_xlfn.XLOOKUP(C2445,'Project Details'!$C$17:$C$66,'Project Details'!$L$17:$L$66,"",0)&gt;550, F2445="Spring-L27cm"),"",SUBSTITUTE(_xlfn.XLOOKUP(G2445,SKUs!$C$2:$C$10001,SKUs!$F$2:$F$10001,"",0), " Accessories",""))</f>
        <v/>
      </c>
      <c r="L2445" s="33">
        <f>_xlfn.XLOOKUP(C2445,'Project Details'!$C$17:$C$66,'Project Details'!$D$17:$D$66,"",0)</f>
        <v>0</v>
      </c>
      <c r="M2445" s="43"/>
    </row>
    <row r="2446" spans="1:13" ht="13.5" customHeight="1" outlineLevel="1" x14ac:dyDescent="0.25">
      <c r="A2446" s="43"/>
      <c r="B2446" s="43"/>
      <c r="C2446" s="35">
        <f t="shared" si="47"/>
        <v>49</v>
      </c>
      <c r="D2446" s="35" t="str" cm="1">
        <f t="array" ref="D2446">IFERROR(ROUNDUP(_xlfn.IFS(F2446="Aluminum Track", _xlfn.XLOOKUP(C2446, dd_accsrycalc!$A$2:$A$51, dd_accsrycalc!$B$2:$B$51, "",0), F2446="10 x 2 1/2 S (Flat)", _xlfn.XLOOKUP(C2446, dd_accsrycalc!$A$2:$A$51, dd_accsrycalc!$C$2:$C$51, "",0), F2446="Tox6", _xlfn.XLOOKUP(C2446, dd_accsrycalc!$A$2:$A$51, dd_accsrycalc!$D$2:$D$51, "",0), F2446="Cover Cap", _xlfn.XLOOKUP(C2446, dd_accsrycalc!$A$2:$A$51, dd_accsrycalc!$E$2:$E$51, "",0), F2446="Drainage Cover", _xlfn.XLOOKUP(C2446, dd_accsrycalc!$A$2:$A$51, dd_accsrycalc!$F$2:$F$51, "",0),AND( F2446="Double Adhesive Tape", I2446="Roll-up Screen"), _xlfn.XLOOKUP(C2446, calc_rusacc!$C$15:$C$65, calc_rusacc!$AD$15:$AD$65, "",0),AND( F2446="Sealant", I2446="Roll-up Screen"), _xlfn.XLOOKUP(C2446, calc_rusacc!$C$15:$C$65, calc_rusacc!$AF$15:$AF$65, "",0),  AND( F2446="Main Chain", I2446="Accordion Screen"), _xlfn.XLOOKUP(C2446, calc_rusacc!$C$15:$C$65, calc_rusacc!$BF$15:$BF$65, "",0), AND( F2446="Sealant", I2446="Accordion Screen"), _xlfn.XLOOKUP(C2446, calc_rusacc!$C$15:$C$65, calc_rusacc!$BJ$15:$BJ$65, "",0),  F2446="Sealant", _xlfn.XLOOKUP(C2446, dd_accsrycalc!$A$2:$A$51, dd_accsrycalc!$G$2:$G$51, "",0),  F2446&lt;&gt;"",L2446*_xlfn.XLOOKUP(1, (SKUs!$C$2:$C$10001=G2446)*(SKUs!$K$2:$K$10001=I2446),SKUs!$E$2:$E$10001)), 0),"")</f>
        <v/>
      </c>
      <c r="E2446" s="35" t="str">
        <f>_xlfn.XLOOKUP(F2446,dd_item!$B$2:$B$105,dd_item!$C$2:$C$105,"",0)</f>
        <v/>
      </c>
      <c r="F2446" s="35"/>
      <c r="G2446" s="35" cm="1">
        <f t="array" ref="G2446">IFERROR(_xlfn.XLOOKUP(1, (SKUs!$J$2:$J$10001=accsry_unmerged!F2446)*IF(H2446&lt;&gt;"",(SKUs!$L$2:$L$10001=accsry_unmerged!H2446),1)*(SKUs!$K$2:$K$10001=I2446),SKUs!$C$2:$C$10001),"")</f>
        <v>0</v>
      </c>
      <c r="H2446" s="36" cm="1">
        <f t="array" ref="H2446">IFERROR(_xlfn.XLOOKUP(1, (dd_accsryclr!$C$2:$C$1000=accsry_unmerged!F2446)*(dd_accsryclr!$B$2:$B$1000=accsry_unmerged!J2446),dd_accsryclr!$A$2:$A$1000),"")</f>
        <v>0</v>
      </c>
      <c r="I2446" s="35">
        <f>_xlfn.XLOOKUP(C2446,'Project Details'!$C$17:$C$66,'Project Details'!$E$17:$E$66,"",0)</f>
        <v>0</v>
      </c>
      <c r="J2446" s="35">
        <f>_xlfn.XLOOKUP(C2446,'Project Details'!$C$17:$C$66,'Project Details'!$H$17:$H$66,"",0)</f>
        <v>0</v>
      </c>
      <c r="K2446" s="36" t="str">
        <f>IF(AND(_xlfn.XLOOKUP(C2446,'Project Details'!$C$17:$C$66,'Project Details'!$L$17:$L$66,"",0)&gt;550, F2446="Spring-L27cm"),"",SUBSTITUTE(_xlfn.XLOOKUP(G2446,SKUs!$C$2:$C$10001,SKUs!$F$2:$F$10001,"",0), " Accessories",""))</f>
        <v/>
      </c>
      <c r="L2446" s="36">
        <f>_xlfn.XLOOKUP(C2446,'Project Details'!$C$17:$C$66,'Project Details'!$D$17:$D$66,"",0)</f>
        <v>0</v>
      </c>
      <c r="M2446" s="43"/>
    </row>
    <row r="2447" spans="1:13" ht="13.5" customHeight="1" outlineLevel="1" x14ac:dyDescent="0.25">
      <c r="A2447" s="43"/>
      <c r="B2447" s="43"/>
      <c r="C2447" s="16">
        <f t="shared" si="47"/>
        <v>49</v>
      </c>
      <c r="D2447" s="16" t="str" cm="1">
        <f t="array" ref="D2447">IFERROR(ROUNDUP(_xlfn.IFS(F2447="Aluminum Track", _xlfn.XLOOKUP(C2447, dd_accsrycalc!$A$2:$A$51, dd_accsrycalc!$B$2:$B$51, "",0), F2447="10 x 2 1/2 S (Flat)", _xlfn.XLOOKUP(C2447, dd_accsrycalc!$A$2:$A$51, dd_accsrycalc!$C$2:$C$51, "",0), F2447="Tox6", _xlfn.XLOOKUP(C2447, dd_accsrycalc!$A$2:$A$51, dd_accsrycalc!$D$2:$D$51, "",0), F2447="Cover Cap", _xlfn.XLOOKUP(C2447, dd_accsrycalc!$A$2:$A$51, dd_accsrycalc!$E$2:$E$51, "",0), F2447="Drainage Cover", _xlfn.XLOOKUP(C2447, dd_accsrycalc!$A$2:$A$51, dd_accsrycalc!$F$2:$F$51, "",0),AND( F2447="Double Adhesive Tape", I2447="Roll-up Screen"), _xlfn.XLOOKUP(C2447, calc_rusacc!$C$15:$C$65, calc_rusacc!$AD$15:$AD$65, "",0),AND( F2447="Sealant", I2447="Roll-up Screen"), _xlfn.XLOOKUP(C2447, calc_rusacc!$C$15:$C$65, calc_rusacc!$AF$15:$AF$65, "",0),  AND( F2447="Main Chain", I2447="Accordion Screen"), _xlfn.XLOOKUP(C2447, calc_rusacc!$C$15:$C$65, calc_rusacc!$BF$15:$BF$65, "",0), AND( F2447="Sealant", I2447="Accordion Screen"), _xlfn.XLOOKUP(C2447, calc_rusacc!$C$15:$C$65, calc_rusacc!$BJ$15:$BJ$65, "",0),  F2447="Sealant", _xlfn.XLOOKUP(C2447, dd_accsrycalc!$A$2:$A$51, dd_accsrycalc!$G$2:$G$51, "",0),  F2447&lt;&gt;"",L2447*_xlfn.XLOOKUP(1, (SKUs!$C$2:$C$10001=G2447)*(SKUs!$K$2:$K$10001=I2447),SKUs!$E$2:$E$10001)), 0),"")</f>
        <v/>
      </c>
      <c r="E2447" s="16" t="str">
        <f>_xlfn.XLOOKUP(F2447,dd_item!$B$2:$B$105,dd_item!$C$2:$C$105,"",0)</f>
        <v/>
      </c>
      <c r="F2447" s="16"/>
      <c r="G2447" s="16" cm="1">
        <f t="array" ref="G2447">IFERROR(_xlfn.XLOOKUP(1, (SKUs!$J$2:$J$10001=accsry_unmerged!F2447)*IF(H2447&lt;&gt;"",(SKUs!$L$2:$L$10001=accsry_unmerged!H2447),1)*(SKUs!$K$2:$K$10001=I2447),SKUs!$C$2:$C$10001),"")</f>
        <v>0</v>
      </c>
      <c r="H2447" s="33" cm="1">
        <f t="array" ref="H2447">IFERROR(_xlfn.XLOOKUP(1, (dd_accsryclr!$C$2:$C$1000=accsry_unmerged!F2447)*(dd_accsryclr!$B$2:$B$1000=accsry_unmerged!J2447),dd_accsryclr!$A$2:$A$1000),"")</f>
        <v>0</v>
      </c>
      <c r="I2447" s="16">
        <f>_xlfn.XLOOKUP(C2447,'Project Details'!$C$17:$C$66,'Project Details'!$E$17:$E$66,"",0)</f>
        <v>0</v>
      </c>
      <c r="J2447" s="16">
        <f>_xlfn.XLOOKUP(C2447,'Project Details'!$C$17:$C$66,'Project Details'!$H$17:$H$66,"",0)</f>
        <v>0</v>
      </c>
      <c r="K2447" s="33" t="str">
        <f>IF(AND(_xlfn.XLOOKUP(C2447,'Project Details'!$C$17:$C$66,'Project Details'!$L$17:$L$66,"",0)&gt;550, F2447="Spring-L27cm"),"",SUBSTITUTE(_xlfn.XLOOKUP(G2447,SKUs!$C$2:$C$10001,SKUs!$F$2:$F$10001,"",0), " Accessories",""))</f>
        <v/>
      </c>
      <c r="L2447" s="33">
        <f>_xlfn.XLOOKUP(C2447,'Project Details'!$C$17:$C$66,'Project Details'!$D$17:$D$66,"",0)</f>
        <v>0</v>
      </c>
      <c r="M2447" s="43"/>
    </row>
    <row r="2448" spans="1:13" ht="13.5" customHeight="1" outlineLevel="1" x14ac:dyDescent="0.25">
      <c r="A2448" s="43"/>
      <c r="B2448" s="43"/>
      <c r="C2448" s="35">
        <f t="shared" si="47"/>
        <v>49</v>
      </c>
      <c r="D2448" s="35" t="str" cm="1">
        <f t="array" ref="D2448">IFERROR(ROUNDUP(_xlfn.IFS(F2448="Aluminum Track", _xlfn.XLOOKUP(C2448, dd_accsrycalc!$A$2:$A$51, dd_accsrycalc!$B$2:$B$51, "",0), F2448="10 x 2 1/2 S (Flat)", _xlfn.XLOOKUP(C2448, dd_accsrycalc!$A$2:$A$51, dd_accsrycalc!$C$2:$C$51, "",0), F2448="Tox6", _xlfn.XLOOKUP(C2448, dd_accsrycalc!$A$2:$A$51, dd_accsrycalc!$D$2:$D$51, "",0), F2448="Cover Cap", _xlfn.XLOOKUP(C2448, dd_accsrycalc!$A$2:$A$51, dd_accsrycalc!$E$2:$E$51, "",0), F2448="Drainage Cover", _xlfn.XLOOKUP(C2448, dd_accsrycalc!$A$2:$A$51, dd_accsrycalc!$F$2:$F$51, "",0),AND( F2448="Double Adhesive Tape", I2448="Roll-up Screen"), _xlfn.XLOOKUP(C2448, calc_rusacc!$C$15:$C$65, calc_rusacc!$AD$15:$AD$65, "",0),AND( F2448="Sealant", I2448="Roll-up Screen"), _xlfn.XLOOKUP(C2448, calc_rusacc!$C$15:$C$65, calc_rusacc!$AF$15:$AF$65, "",0),  AND( F2448="Main Chain", I2448="Accordion Screen"), _xlfn.XLOOKUP(C2448, calc_rusacc!$C$15:$C$65, calc_rusacc!$BF$15:$BF$65, "",0), AND( F2448="Sealant", I2448="Accordion Screen"), _xlfn.XLOOKUP(C2448, calc_rusacc!$C$15:$C$65, calc_rusacc!$BJ$15:$BJ$65, "",0),  F2448="Sealant", _xlfn.XLOOKUP(C2448, dd_accsrycalc!$A$2:$A$51, dd_accsrycalc!$G$2:$G$51, "",0),  F2448&lt;&gt;"",L2448*_xlfn.XLOOKUP(1, (SKUs!$C$2:$C$10001=G2448)*(SKUs!$K$2:$K$10001=I2448),SKUs!$E$2:$E$10001)), 0),"")</f>
        <v/>
      </c>
      <c r="E2448" s="35" t="str">
        <f>_xlfn.XLOOKUP(F2448,dd_item!$B$2:$B$105,dd_item!$C$2:$C$105,"",0)</f>
        <v/>
      </c>
      <c r="F2448" s="35"/>
      <c r="G2448" s="35" cm="1">
        <f t="array" ref="G2448">IFERROR(_xlfn.XLOOKUP(1, (SKUs!$J$2:$J$10001=accsry_unmerged!F2448)*IF(H2448&lt;&gt;"",(SKUs!$L$2:$L$10001=accsry_unmerged!H2448),1)*(SKUs!$K$2:$K$10001=I2448),SKUs!$C$2:$C$10001),"")</f>
        <v>0</v>
      </c>
      <c r="H2448" s="36" cm="1">
        <f t="array" ref="H2448">IFERROR(_xlfn.XLOOKUP(1, (dd_accsryclr!$C$2:$C$1000=accsry_unmerged!F2448)*(dd_accsryclr!$B$2:$B$1000=accsry_unmerged!J2448),dd_accsryclr!$A$2:$A$1000),"")</f>
        <v>0</v>
      </c>
      <c r="I2448" s="35">
        <f>_xlfn.XLOOKUP(C2448,'Project Details'!$C$17:$C$66,'Project Details'!$E$17:$E$66,"",0)</f>
        <v>0</v>
      </c>
      <c r="J2448" s="35">
        <f>_xlfn.XLOOKUP(C2448,'Project Details'!$C$17:$C$66,'Project Details'!$H$17:$H$66,"",0)</f>
        <v>0</v>
      </c>
      <c r="K2448" s="36" t="str">
        <f>IF(AND(_xlfn.XLOOKUP(C2448,'Project Details'!$C$17:$C$66,'Project Details'!$L$17:$L$66,"",0)&gt;550, F2448="Spring-L27cm"),"",SUBSTITUTE(_xlfn.XLOOKUP(G2448,SKUs!$C$2:$C$10001,SKUs!$F$2:$F$10001,"",0), " Accessories",""))</f>
        <v/>
      </c>
      <c r="L2448" s="36">
        <f>_xlfn.XLOOKUP(C2448,'Project Details'!$C$17:$C$66,'Project Details'!$D$17:$D$66,"",0)</f>
        <v>0</v>
      </c>
      <c r="M2448" s="43"/>
    </row>
    <row r="2449" spans="1:13" ht="13.5" customHeight="1" outlineLevel="1" x14ac:dyDescent="0.25">
      <c r="A2449" s="43"/>
      <c r="B2449" s="43"/>
      <c r="C2449" s="16">
        <f t="shared" si="47"/>
        <v>49</v>
      </c>
      <c r="D2449" s="16" t="str" cm="1">
        <f t="array" ref="D2449">IFERROR(ROUNDUP(_xlfn.IFS(F2449="Aluminum Track", _xlfn.XLOOKUP(C2449, dd_accsrycalc!$A$2:$A$51, dd_accsrycalc!$B$2:$B$51, "",0), F2449="10 x 2 1/2 S (Flat)", _xlfn.XLOOKUP(C2449, dd_accsrycalc!$A$2:$A$51, dd_accsrycalc!$C$2:$C$51, "",0), F2449="Tox6", _xlfn.XLOOKUP(C2449, dd_accsrycalc!$A$2:$A$51, dd_accsrycalc!$D$2:$D$51, "",0), F2449="Cover Cap", _xlfn.XLOOKUP(C2449, dd_accsrycalc!$A$2:$A$51, dd_accsrycalc!$E$2:$E$51, "",0), F2449="Drainage Cover", _xlfn.XLOOKUP(C2449, dd_accsrycalc!$A$2:$A$51, dd_accsrycalc!$F$2:$F$51, "",0),AND( F2449="Double Adhesive Tape", I2449="Roll-up Screen"), _xlfn.XLOOKUP(C2449, calc_rusacc!$C$15:$C$65, calc_rusacc!$AD$15:$AD$65, "",0),AND( F2449="Sealant", I2449="Roll-up Screen"), _xlfn.XLOOKUP(C2449, calc_rusacc!$C$15:$C$65, calc_rusacc!$AF$15:$AF$65, "",0),  AND( F2449="Main Chain", I2449="Accordion Screen"), _xlfn.XLOOKUP(C2449, calc_rusacc!$C$15:$C$65, calc_rusacc!$BF$15:$BF$65, "",0), AND( F2449="Sealant", I2449="Accordion Screen"), _xlfn.XLOOKUP(C2449, calc_rusacc!$C$15:$C$65, calc_rusacc!$BJ$15:$BJ$65, "",0),  F2449="Sealant", _xlfn.XLOOKUP(C2449, dd_accsrycalc!$A$2:$A$51, dd_accsrycalc!$G$2:$G$51, "",0),  F2449&lt;&gt;"",L2449*_xlfn.XLOOKUP(1, (SKUs!$C$2:$C$10001=G2449)*(SKUs!$K$2:$K$10001=I2449),SKUs!$E$2:$E$10001)), 0),"")</f>
        <v/>
      </c>
      <c r="E2449" s="16" t="str">
        <f>_xlfn.XLOOKUP(F2449,dd_item!$B$2:$B$105,dd_item!$C$2:$C$105,"",0)</f>
        <v/>
      </c>
      <c r="F2449" s="16"/>
      <c r="G2449" s="16" cm="1">
        <f t="array" ref="G2449">IFERROR(_xlfn.XLOOKUP(1, (SKUs!$J$2:$J$10001=accsry_unmerged!F2449)*IF(H2449&lt;&gt;"",(SKUs!$L$2:$L$10001=accsry_unmerged!H2449),1)*(SKUs!$K$2:$K$10001=I2449),SKUs!$C$2:$C$10001),"")</f>
        <v>0</v>
      </c>
      <c r="H2449" s="33" cm="1">
        <f t="array" ref="H2449">IFERROR(_xlfn.XLOOKUP(1, (dd_accsryclr!$C$2:$C$1000=accsry_unmerged!F2449)*(dd_accsryclr!$B$2:$B$1000=accsry_unmerged!J2449),dd_accsryclr!$A$2:$A$1000),"")</f>
        <v>0</v>
      </c>
      <c r="I2449" s="16">
        <f>_xlfn.XLOOKUP(C2449,'Project Details'!$C$17:$C$66,'Project Details'!$E$17:$E$66,"",0)</f>
        <v>0</v>
      </c>
      <c r="J2449" s="16">
        <f>_xlfn.XLOOKUP(C2449,'Project Details'!$C$17:$C$66,'Project Details'!$H$17:$H$66,"",0)</f>
        <v>0</v>
      </c>
      <c r="K2449" s="33" t="str">
        <f>IF(AND(_xlfn.XLOOKUP(C2449,'Project Details'!$C$17:$C$66,'Project Details'!$L$17:$L$66,"",0)&gt;550, F2449="Spring-L27cm"),"",SUBSTITUTE(_xlfn.XLOOKUP(G2449,SKUs!$C$2:$C$10001,SKUs!$F$2:$F$10001,"",0), " Accessories",""))</f>
        <v/>
      </c>
      <c r="L2449" s="33">
        <f>_xlfn.XLOOKUP(C2449,'Project Details'!$C$17:$C$66,'Project Details'!$D$17:$D$66,"",0)</f>
        <v>0</v>
      </c>
      <c r="M2449" s="43"/>
    </row>
    <row r="2450" spans="1:13" ht="13.5" customHeight="1" outlineLevel="1" x14ac:dyDescent="0.25">
      <c r="A2450" s="43"/>
      <c r="B2450" s="43"/>
      <c r="C2450" s="35">
        <f t="shared" si="47"/>
        <v>49</v>
      </c>
      <c r="D2450" s="35" t="str" cm="1">
        <f t="array" ref="D2450">IFERROR(ROUNDUP(_xlfn.IFS(F2450="Aluminum Track", _xlfn.XLOOKUP(C2450, dd_accsrycalc!$A$2:$A$51, dd_accsrycalc!$B$2:$B$51, "",0), F2450="10 x 2 1/2 S (Flat)", _xlfn.XLOOKUP(C2450, dd_accsrycalc!$A$2:$A$51, dd_accsrycalc!$C$2:$C$51, "",0), F2450="Tox6", _xlfn.XLOOKUP(C2450, dd_accsrycalc!$A$2:$A$51, dd_accsrycalc!$D$2:$D$51, "",0), F2450="Cover Cap", _xlfn.XLOOKUP(C2450, dd_accsrycalc!$A$2:$A$51, dd_accsrycalc!$E$2:$E$51, "",0), F2450="Drainage Cover", _xlfn.XLOOKUP(C2450, dd_accsrycalc!$A$2:$A$51, dd_accsrycalc!$F$2:$F$51, "",0),AND( F2450="Double Adhesive Tape", I2450="Roll-up Screen"), _xlfn.XLOOKUP(C2450, calc_rusacc!$C$15:$C$65, calc_rusacc!$AD$15:$AD$65, "",0),AND( F2450="Sealant", I2450="Roll-up Screen"), _xlfn.XLOOKUP(C2450, calc_rusacc!$C$15:$C$65, calc_rusacc!$AF$15:$AF$65, "",0),  AND( F2450="Main Chain", I2450="Accordion Screen"), _xlfn.XLOOKUP(C2450, calc_rusacc!$C$15:$C$65, calc_rusacc!$BF$15:$BF$65, "",0), AND( F2450="Sealant", I2450="Accordion Screen"), _xlfn.XLOOKUP(C2450, calc_rusacc!$C$15:$C$65, calc_rusacc!$BJ$15:$BJ$65, "",0),  F2450="Sealant", _xlfn.XLOOKUP(C2450, dd_accsrycalc!$A$2:$A$51, dd_accsrycalc!$G$2:$G$51, "",0),  F2450&lt;&gt;"",L2450*_xlfn.XLOOKUP(1, (SKUs!$C$2:$C$10001=G2450)*(SKUs!$K$2:$K$10001=I2450),SKUs!$E$2:$E$10001)), 0),"")</f>
        <v/>
      </c>
      <c r="E2450" s="35" t="str">
        <f>_xlfn.XLOOKUP(F2450,dd_item!$B$2:$B$105,dd_item!$C$2:$C$105,"",0)</f>
        <v/>
      </c>
      <c r="F2450" s="35"/>
      <c r="G2450" s="35" cm="1">
        <f t="array" ref="G2450">IFERROR(_xlfn.XLOOKUP(1, (SKUs!$J$2:$J$10001=accsry_unmerged!F2450)*IF(H2450&lt;&gt;"",(SKUs!$L$2:$L$10001=accsry_unmerged!H2450),1)*(SKUs!$K$2:$K$10001=I2450),SKUs!$C$2:$C$10001),"")</f>
        <v>0</v>
      </c>
      <c r="H2450" s="36" cm="1">
        <f t="array" ref="H2450">IFERROR(_xlfn.XLOOKUP(1, (dd_accsryclr!$C$2:$C$1000=accsry_unmerged!F2450)*(dd_accsryclr!$B$2:$B$1000=accsry_unmerged!J2450),dd_accsryclr!$A$2:$A$1000),"")</f>
        <v>0</v>
      </c>
      <c r="I2450" s="35">
        <f>_xlfn.XLOOKUP(C2450,'Project Details'!$C$17:$C$66,'Project Details'!$E$17:$E$66,"",0)</f>
        <v>0</v>
      </c>
      <c r="J2450" s="35">
        <f>_xlfn.XLOOKUP(C2450,'Project Details'!$C$17:$C$66,'Project Details'!$H$17:$H$66,"",0)</f>
        <v>0</v>
      </c>
      <c r="K2450" s="36" t="str">
        <f>IF(AND(_xlfn.XLOOKUP(C2450,'Project Details'!$C$17:$C$66,'Project Details'!$L$17:$L$66,"",0)&gt;550, F2450="Spring-L27cm"),"",SUBSTITUTE(_xlfn.XLOOKUP(G2450,SKUs!$C$2:$C$10001,SKUs!$F$2:$F$10001,"",0), " Accessories",""))</f>
        <v/>
      </c>
      <c r="L2450" s="36">
        <f>_xlfn.XLOOKUP(C2450,'Project Details'!$C$17:$C$66,'Project Details'!$D$17:$D$66,"",0)</f>
        <v>0</v>
      </c>
      <c r="M2450" s="43"/>
    </row>
    <row r="2451" spans="1:13" ht="13.5" customHeight="1" outlineLevel="1" x14ac:dyDescent="0.25">
      <c r="A2451" s="43"/>
      <c r="B2451" s="43"/>
      <c r="C2451" s="16">
        <f t="shared" si="47"/>
        <v>49</v>
      </c>
      <c r="D2451" s="16" t="str" cm="1">
        <f t="array" ref="D2451">IFERROR(ROUNDUP(_xlfn.IFS(F2451="Aluminum Track", _xlfn.XLOOKUP(C2451, dd_accsrycalc!$A$2:$A$51, dd_accsrycalc!$B$2:$B$51, "",0), F2451="10 x 2 1/2 S (Flat)", _xlfn.XLOOKUP(C2451, dd_accsrycalc!$A$2:$A$51, dd_accsrycalc!$C$2:$C$51, "",0), F2451="Tox6", _xlfn.XLOOKUP(C2451, dd_accsrycalc!$A$2:$A$51, dd_accsrycalc!$D$2:$D$51, "",0), F2451="Cover Cap", _xlfn.XLOOKUP(C2451, dd_accsrycalc!$A$2:$A$51, dd_accsrycalc!$E$2:$E$51, "",0), F2451="Drainage Cover", _xlfn.XLOOKUP(C2451, dd_accsrycalc!$A$2:$A$51, dd_accsrycalc!$F$2:$F$51, "",0),AND( F2451="Double Adhesive Tape", I2451="Roll-up Screen"), _xlfn.XLOOKUP(C2451, calc_rusacc!$C$15:$C$65, calc_rusacc!$AD$15:$AD$65, "",0),AND( F2451="Sealant", I2451="Roll-up Screen"), _xlfn.XLOOKUP(C2451, calc_rusacc!$C$15:$C$65, calc_rusacc!$AF$15:$AF$65, "",0),  AND( F2451="Main Chain", I2451="Accordion Screen"), _xlfn.XLOOKUP(C2451, calc_rusacc!$C$15:$C$65, calc_rusacc!$BF$15:$BF$65, "",0), AND( F2451="Sealant", I2451="Accordion Screen"), _xlfn.XLOOKUP(C2451, calc_rusacc!$C$15:$C$65, calc_rusacc!$BJ$15:$BJ$65, "",0),  F2451="Sealant", _xlfn.XLOOKUP(C2451, dd_accsrycalc!$A$2:$A$51, dd_accsrycalc!$G$2:$G$51, "",0),  F2451&lt;&gt;"",L2451*_xlfn.XLOOKUP(1, (SKUs!$C$2:$C$10001=G2451)*(SKUs!$K$2:$K$10001=I2451),SKUs!$E$2:$E$10001)), 0),"")</f>
        <v/>
      </c>
      <c r="E2451" s="16" t="str">
        <f>_xlfn.XLOOKUP(F2451,dd_item!$B$2:$B$105,dd_item!$C$2:$C$105,"",0)</f>
        <v/>
      </c>
      <c r="F2451" s="16"/>
      <c r="G2451" s="16" cm="1">
        <f t="array" ref="G2451">IFERROR(_xlfn.XLOOKUP(1, (SKUs!$J$2:$J$10001=accsry_unmerged!F2451)*IF(H2451&lt;&gt;"",(SKUs!$L$2:$L$10001=accsry_unmerged!H2451),1)*(SKUs!$K$2:$K$10001=I2451),SKUs!$C$2:$C$10001),"")</f>
        <v>0</v>
      </c>
      <c r="H2451" s="33" cm="1">
        <f t="array" ref="H2451">IFERROR(_xlfn.XLOOKUP(1, (dd_accsryclr!$C$2:$C$1000=accsry_unmerged!F2451)*(dd_accsryclr!$B$2:$B$1000=accsry_unmerged!J2451),dd_accsryclr!$A$2:$A$1000),"")</f>
        <v>0</v>
      </c>
      <c r="I2451" s="16">
        <f>_xlfn.XLOOKUP(C2451,'Project Details'!$C$17:$C$66,'Project Details'!$E$17:$E$66,"",0)</f>
        <v>0</v>
      </c>
      <c r="J2451" s="16">
        <f>_xlfn.XLOOKUP(C2451,'Project Details'!$C$17:$C$66,'Project Details'!$H$17:$H$66,"",0)</f>
        <v>0</v>
      </c>
      <c r="K2451" s="33" t="str">
        <f>IF(AND(_xlfn.XLOOKUP(C2451,'Project Details'!$C$17:$C$66,'Project Details'!$L$17:$L$66,"",0)&gt;550, F2451="Spring-L27cm"),"",SUBSTITUTE(_xlfn.XLOOKUP(G2451,SKUs!$C$2:$C$10001,SKUs!$F$2:$F$10001,"",0), " Accessories",""))</f>
        <v/>
      </c>
      <c r="L2451" s="33">
        <f>_xlfn.XLOOKUP(C2451,'Project Details'!$C$17:$C$66,'Project Details'!$D$17:$D$66,"",0)</f>
        <v>0</v>
      </c>
      <c r="M2451" s="43"/>
    </row>
    <row r="2452" spans="1:13" ht="13.5" customHeight="1" outlineLevel="1" x14ac:dyDescent="0.25">
      <c r="A2452" s="43"/>
      <c r="B2452" s="43"/>
      <c r="C2452" s="35">
        <f t="shared" si="47"/>
        <v>49</v>
      </c>
      <c r="D2452" s="35" t="str" cm="1">
        <f t="array" ref="D2452">IFERROR(ROUNDUP(_xlfn.IFS(F2452="Aluminum Track", _xlfn.XLOOKUP(C2452, dd_accsrycalc!$A$2:$A$51, dd_accsrycalc!$B$2:$B$51, "",0), F2452="10 x 2 1/2 S (Flat)", _xlfn.XLOOKUP(C2452, dd_accsrycalc!$A$2:$A$51, dd_accsrycalc!$C$2:$C$51, "",0), F2452="Tox6", _xlfn.XLOOKUP(C2452, dd_accsrycalc!$A$2:$A$51, dd_accsrycalc!$D$2:$D$51, "",0), F2452="Cover Cap", _xlfn.XLOOKUP(C2452, dd_accsrycalc!$A$2:$A$51, dd_accsrycalc!$E$2:$E$51, "",0), F2452="Drainage Cover", _xlfn.XLOOKUP(C2452, dd_accsrycalc!$A$2:$A$51, dd_accsrycalc!$F$2:$F$51, "",0),AND( F2452="Double Adhesive Tape", I2452="Roll-up Screen"), _xlfn.XLOOKUP(C2452, calc_rusacc!$C$15:$C$65, calc_rusacc!$AD$15:$AD$65, "",0),AND( F2452="Sealant", I2452="Roll-up Screen"), _xlfn.XLOOKUP(C2452, calc_rusacc!$C$15:$C$65, calc_rusacc!$AF$15:$AF$65, "",0),  AND( F2452="Main Chain", I2452="Accordion Screen"), _xlfn.XLOOKUP(C2452, calc_rusacc!$C$15:$C$65, calc_rusacc!$BF$15:$BF$65, "",0), AND( F2452="Sealant", I2452="Accordion Screen"), _xlfn.XLOOKUP(C2452, calc_rusacc!$C$15:$C$65, calc_rusacc!$BJ$15:$BJ$65, "",0),  F2452="Sealant", _xlfn.XLOOKUP(C2452, dd_accsrycalc!$A$2:$A$51, dd_accsrycalc!$G$2:$G$51, "",0),  F2452&lt;&gt;"",L2452*_xlfn.XLOOKUP(1, (SKUs!$C$2:$C$10001=G2452)*(SKUs!$K$2:$K$10001=I2452),SKUs!$E$2:$E$10001)), 0),"")</f>
        <v/>
      </c>
      <c r="E2452" s="35" t="str">
        <f>_xlfn.XLOOKUP(F2452,dd_item!$B$2:$B$105,dd_item!$C$2:$C$105,"",0)</f>
        <v/>
      </c>
      <c r="F2452" s="35"/>
      <c r="G2452" s="35" cm="1">
        <f t="array" ref="G2452">IFERROR(_xlfn.XLOOKUP(1, (SKUs!$J$2:$J$10001=accsry_unmerged!F2452)*IF(H2452&lt;&gt;"",(SKUs!$L$2:$L$10001=accsry_unmerged!H2452),1)*(SKUs!$K$2:$K$10001=I2452),SKUs!$C$2:$C$10001),"")</f>
        <v>0</v>
      </c>
      <c r="H2452" s="36" cm="1">
        <f t="array" ref="H2452">IFERROR(_xlfn.XLOOKUP(1, (dd_accsryclr!$C$2:$C$1000=accsry_unmerged!F2452)*(dd_accsryclr!$B$2:$B$1000=accsry_unmerged!J2452),dd_accsryclr!$A$2:$A$1000),"")</f>
        <v>0</v>
      </c>
      <c r="I2452" s="35">
        <f>_xlfn.XLOOKUP(C2452,'Project Details'!$C$17:$C$66,'Project Details'!$E$17:$E$66,"",0)</f>
        <v>0</v>
      </c>
      <c r="J2452" s="35">
        <f>_xlfn.XLOOKUP(C2452,'Project Details'!$C$17:$C$66,'Project Details'!$H$17:$H$66,"",0)</f>
        <v>0</v>
      </c>
      <c r="K2452" s="36" t="str">
        <f>IF(AND(_xlfn.XLOOKUP(C2452,'Project Details'!$C$17:$C$66,'Project Details'!$L$17:$L$66,"",0)&gt;550, F2452="Spring-L27cm"),"",SUBSTITUTE(_xlfn.XLOOKUP(G2452,SKUs!$C$2:$C$10001,SKUs!$F$2:$F$10001,"",0), " Accessories",""))</f>
        <v/>
      </c>
      <c r="L2452" s="36">
        <f>_xlfn.XLOOKUP(C2452,'Project Details'!$C$17:$C$66,'Project Details'!$D$17:$D$66,"",0)</f>
        <v>0</v>
      </c>
      <c r="M2452" s="43"/>
    </row>
    <row r="2453" spans="1:13" ht="13.5" customHeight="1" outlineLevel="1" x14ac:dyDescent="0.25">
      <c r="A2453" s="43"/>
      <c r="B2453" s="43"/>
      <c r="C2453" s="16">
        <f t="shared" si="47"/>
        <v>49</v>
      </c>
      <c r="D2453" s="16" t="str" cm="1">
        <f t="array" ref="D2453">IFERROR(ROUNDUP(_xlfn.IFS(F2453="Aluminum Track", _xlfn.XLOOKUP(C2453, dd_accsrycalc!$A$2:$A$51, dd_accsrycalc!$B$2:$B$51, "",0), F2453="10 x 2 1/2 S (Flat)", _xlfn.XLOOKUP(C2453, dd_accsrycalc!$A$2:$A$51, dd_accsrycalc!$C$2:$C$51, "",0), F2453="Tox6", _xlfn.XLOOKUP(C2453, dd_accsrycalc!$A$2:$A$51, dd_accsrycalc!$D$2:$D$51, "",0), F2453="Cover Cap", _xlfn.XLOOKUP(C2453, dd_accsrycalc!$A$2:$A$51, dd_accsrycalc!$E$2:$E$51, "",0), F2453="Drainage Cover", _xlfn.XLOOKUP(C2453, dd_accsrycalc!$A$2:$A$51, dd_accsrycalc!$F$2:$F$51, "",0),AND( F2453="Double Adhesive Tape", I2453="Roll-up Screen"), _xlfn.XLOOKUP(C2453, calc_rusacc!$C$15:$C$65, calc_rusacc!$AD$15:$AD$65, "",0),AND( F2453="Sealant", I2453="Roll-up Screen"), _xlfn.XLOOKUP(C2453, calc_rusacc!$C$15:$C$65, calc_rusacc!$AF$15:$AF$65, "",0),  AND( F2453="Main Chain", I2453="Accordion Screen"), _xlfn.XLOOKUP(C2453, calc_rusacc!$C$15:$C$65, calc_rusacc!$BF$15:$BF$65, "",0), AND( F2453="Sealant", I2453="Accordion Screen"), _xlfn.XLOOKUP(C2453, calc_rusacc!$C$15:$C$65, calc_rusacc!$BJ$15:$BJ$65, "",0),  F2453="Sealant", _xlfn.XLOOKUP(C2453, dd_accsrycalc!$A$2:$A$51, dd_accsrycalc!$G$2:$G$51, "",0),  F2453&lt;&gt;"",L2453*_xlfn.XLOOKUP(1, (SKUs!$C$2:$C$10001=G2453)*(SKUs!$K$2:$K$10001=I2453),SKUs!$E$2:$E$10001)), 0),"")</f>
        <v/>
      </c>
      <c r="E2453" s="16" t="str">
        <f>_xlfn.XLOOKUP(F2453,dd_item!$B$2:$B$105,dd_item!$C$2:$C$105,"",0)</f>
        <v/>
      </c>
      <c r="F2453" s="16"/>
      <c r="G2453" s="16" cm="1">
        <f t="array" ref="G2453">IFERROR(_xlfn.XLOOKUP(1, (SKUs!$J$2:$J$10001=accsry_unmerged!F2453)*IF(H2453&lt;&gt;"",(SKUs!$L$2:$L$10001=accsry_unmerged!H2453),1)*(SKUs!$K$2:$K$10001=I2453),SKUs!$C$2:$C$10001),"")</f>
        <v>0</v>
      </c>
      <c r="H2453" s="33" cm="1">
        <f t="array" ref="H2453">IFERROR(_xlfn.XLOOKUP(1, (dd_accsryclr!$C$2:$C$1000=accsry_unmerged!F2453)*(dd_accsryclr!$B$2:$B$1000=accsry_unmerged!J2453),dd_accsryclr!$A$2:$A$1000),"")</f>
        <v>0</v>
      </c>
      <c r="I2453" s="16">
        <f>_xlfn.XLOOKUP(C2453,'Project Details'!$C$17:$C$66,'Project Details'!$E$17:$E$66,"",0)</f>
        <v>0</v>
      </c>
      <c r="J2453" s="16">
        <f>_xlfn.XLOOKUP(C2453,'Project Details'!$C$17:$C$66,'Project Details'!$H$17:$H$66,"",0)</f>
        <v>0</v>
      </c>
      <c r="K2453" s="33" t="str">
        <f>IF(AND(_xlfn.XLOOKUP(C2453,'Project Details'!$C$17:$C$66,'Project Details'!$L$17:$L$66,"",0)&gt;550, F2453="Spring-L27cm"),"",SUBSTITUTE(_xlfn.XLOOKUP(G2453,SKUs!$C$2:$C$10001,SKUs!$F$2:$F$10001,"",0), " Accessories",""))</f>
        <v/>
      </c>
      <c r="L2453" s="33">
        <f>_xlfn.XLOOKUP(C2453,'Project Details'!$C$17:$C$66,'Project Details'!$D$17:$D$66,"",0)</f>
        <v>0</v>
      </c>
      <c r="M2453" s="43"/>
    </row>
    <row r="2454" spans="1:13" ht="13.5" customHeight="1" outlineLevel="1" x14ac:dyDescent="0.25">
      <c r="A2454" s="43"/>
      <c r="B2454" s="43"/>
      <c r="C2454" s="35">
        <f t="shared" si="47"/>
        <v>49</v>
      </c>
      <c r="D2454" s="35" t="str" cm="1">
        <f t="array" ref="D2454">IFERROR(ROUNDUP(_xlfn.IFS(F2454="Aluminum Track", _xlfn.XLOOKUP(C2454, dd_accsrycalc!$A$2:$A$51, dd_accsrycalc!$B$2:$B$51, "",0), F2454="10 x 2 1/2 S (Flat)", _xlfn.XLOOKUP(C2454, dd_accsrycalc!$A$2:$A$51, dd_accsrycalc!$C$2:$C$51, "",0), F2454="Tox6", _xlfn.XLOOKUP(C2454, dd_accsrycalc!$A$2:$A$51, dd_accsrycalc!$D$2:$D$51, "",0), F2454="Cover Cap", _xlfn.XLOOKUP(C2454, dd_accsrycalc!$A$2:$A$51, dd_accsrycalc!$E$2:$E$51, "",0), F2454="Drainage Cover", _xlfn.XLOOKUP(C2454, dd_accsrycalc!$A$2:$A$51, dd_accsrycalc!$F$2:$F$51, "",0),AND( F2454="Double Adhesive Tape", I2454="Roll-up Screen"), _xlfn.XLOOKUP(C2454, calc_rusacc!$C$15:$C$65, calc_rusacc!$AD$15:$AD$65, "",0),AND( F2454="Sealant", I2454="Roll-up Screen"), _xlfn.XLOOKUP(C2454, calc_rusacc!$C$15:$C$65, calc_rusacc!$AF$15:$AF$65, "",0),  AND( F2454="Main Chain", I2454="Accordion Screen"), _xlfn.XLOOKUP(C2454, calc_rusacc!$C$15:$C$65, calc_rusacc!$BF$15:$BF$65, "",0), AND( F2454="Sealant", I2454="Accordion Screen"), _xlfn.XLOOKUP(C2454, calc_rusacc!$C$15:$C$65, calc_rusacc!$BJ$15:$BJ$65, "",0),  F2454="Sealant", _xlfn.XLOOKUP(C2454, dd_accsrycalc!$A$2:$A$51, dd_accsrycalc!$G$2:$G$51, "",0),  F2454&lt;&gt;"",L2454*_xlfn.XLOOKUP(1, (SKUs!$C$2:$C$10001=G2454)*(SKUs!$K$2:$K$10001=I2454),SKUs!$E$2:$E$10001)), 0),"")</f>
        <v/>
      </c>
      <c r="E2454" s="35" t="str">
        <f>_xlfn.XLOOKUP(F2454,dd_item!$B$2:$B$105,dd_item!$C$2:$C$105,"",0)</f>
        <v/>
      </c>
      <c r="F2454" s="35"/>
      <c r="G2454" s="35" cm="1">
        <f t="array" ref="G2454">IFERROR(_xlfn.XLOOKUP(1, (SKUs!$J$2:$J$10001=accsry_unmerged!F2454)*IF(H2454&lt;&gt;"",(SKUs!$L$2:$L$10001=accsry_unmerged!H2454),1)*(SKUs!$K$2:$K$10001=I2454),SKUs!$C$2:$C$10001),"")</f>
        <v>0</v>
      </c>
      <c r="H2454" s="36" cm="1">
        <f t="array" ref="H2454">IFERROR(_xlfn.XLOOKUP(1, (dd_accsryclr!$C$2:$C$1000=accsry_unmerged!F2454)*(dd_accsryclr!$B$2:$B$1000=accsry_unmerged!J2454),dd_accsryclr!$A$2:$A$1000),"")</f>
        <v>0</v>
      </c>
      <c r="I2454" s="35">
        <f>_xlfn.XLOOKUP(C2454,'Project Details'!$C$17:$C$66,'Project Details'!$E$17:$E$66,"",0)</f>
        <v>0</v>
      </c>
      <c r="J2454" s="35">
        <f>_xlfn.XLOOKUP(C2454,'Project Details'!$C$17:$C$66,'Project Details'!$H$17:$H$66,"",0)</f>
        <v>0</v>
      </c>
      <c r="K2454" s="36" t="str">
        <f>IF(AND(_xlfn.XLOOKUP(C2454,'Project Details'!$C$17:$C$66,'Project Details'!$L$17:$L$66,"",0)&gt;550, F2454="Spring-L27cm"),"",SUBSTITUTE(_xlfn.XLOOKUP(G2454,SKUs!$C$2:$C$10001,SKUs!$F$2:$F$10001,"",0), " Accessories",""))</f>
        <v/>
      </c>
      <c r="L2454" s="36">
        <f>_xlfn.XLOOKUP(C2454,'Project Details'!$C$17:$C$66,'Project Details'!$D$17:$D$66,"",0)</f>
        <v>0</v>
      </c>
      <c r="M2454" s="43"/>
    </row>
    <row r="2455" spans="1:13" ht="13.5" customHeight="1" outlineLevel="1" collapsed="1" x14ac:dyDescent="0.25">
      <c r="A2455" s="43"/>
      <c r="B2455" s="43"/>
      <c r="C2455" s="16">
        <f t="shared" si="47"/>
        <v>49</v>
      </c>
      <c r="D2455" s="16" t="str" cm="1">
        <f t="array" ref="D2455">IFERROR(ROUNDUP(_xlfn.IFS(F2455="Aluminum Track", _xlfn.XLOOKUP(C2455, dd_accsrycalc!$A$2:$A$51, dd_accsrycalc!$B$2:$B$51, "",0), F2455="10 x 2 1/2 S (Flat)", _xlfn.XLOOKUP(C2455, dd_accsrycalc!$A$2:$A$51, dd_accsrycalc!$C$2:$C$51, "",0), F2455="Tox6", _xlfn.XLOOKUP(C2455, dd_accsrycalc!$A$2:$A$51, dd_accsrycalc!$D$2:$D$51, "",0), F2455="Cover Cap", _xlfn.XLOOKUP(C2455, dd_accsrycalc!$A$2:$A$51, dd_accsrycalc!$E$2:$E$51, "",0), F2455="Drainage Cover", _xlfn.XLOOKUP(C2455, dd_accsrycalc!$A$2:$A$51, dd_accsrycalc!$F$2:$F$51, "",0),AND( F2455="Double Adhesive Tape", I2455="Roll-up Screen"), _xlfn.XLOOKUP(C2455, calc_rusacc!$C$15:$C$65, calc_rusacc!$AD$15:$AD$65, "",0),AND( F2455="Sealant", I2455="Roll-up Screen"), _xlfn.XLOOKUP(C2455, calc_rusacc!$C$15:$C$65, calc_rusacc!$AF$15:$AF$65, "",0),  AND( F2455="Main Chain", I2455="Accordion Screen"), _xlfn.XLOOKUP(C2455, calc_rusacc!$C$15:$C$65, calc_rusacc!$BF$15:$BF$65, "",0), AND( F2455="Sealant", I2455="Accordion Screen"), _xlfn.XLOOKUP(C2455, calc_rusacc!$C$15:$C$65, calc_rusacc!$BJ$15:$BJ$65, "",0),  F2455="Sealant", _xlfn.XLOOKUP(C2455, dd_accsrycalc!$A$2:$A$51, dd_accsrycalc!$G$2:$G$51, "",0),  F2455&lt;&gt;"",L2455*_xlfn.XLOOKUP(1, (SKUs!$C$2:$C$10001=G2455)*(SKUs!$K$2:$K$10001=I2455),SKUs!$E$2:$E$10001)), 0),"")</f>
        <v/>
      </c>
      <c r="E2455" s="16" t="str">
        <f>_xlfn.XLOOKUP(F2455,dd_item!$B$2:$B$105,dd_item!$C$2:$C$105,"",0)</f>
        <v/>
      </c>
      <c r="F2455" s="16"/>
      <c r="G2455" s="16" cm="1">
        <f t="array" ref="G2455">IFERROR(_xlfn.XLOOKUP(1, (SKUs!$J$2:$J$10001=accsry_unmerged!F2455)*IF(H2455&lt;&gt;"",(SKUs!$L$2:$L$10001=accsry_unmerged!H2455),1)*(SKUs!$K$2:$K$10001=I2455),SKUs!$C$2:$C$10001),"")</f>
        <v>0</v>
      </c>
      <c r="H2455" s="33" cm="1">
        <f t="array" ref="H2455">IFERROR(_xlfn.XLOOKUP(1, (dd_accsryclr!$C$2:$C$1000=accsry_unmerged!F2455)*(dd_accsryclr!$B$2:$B$1000=accsry_unmerged!J2455),dd_accsryclr!$A$2:$A$1000),"")</f>
        <v>0</v>
      </c>
      <c r="I2455" s="16">
        <f>_xlfn.XLOOKUP(C2455,'Project Details'!$C$17:$C$66,'Project Details'!$E$17:$E$66,"",0)</f>
        <v>0</v>
      </c>
      <c r="J2455" s="16">
        <f>_xlfn.XLOOKUP(C2455,'Project Details'!$C$17:$C$66,'Project Details'!$H$17:$H$66,"",0)</f>
        <v>0</v>
      </c>
      <c r="K2455" s="33" t="str">
        <f>IF(AND(_xlfn.XLOOKUP(C2455,'Project Details'!$C$17:$C$66,'Project Details'!$L$17:$L$66,"",0)&gt;550, F2455="Spring-L27cm"),"",SUBSTITUTE(_xlfn.XLOOKUP(G2455,SKUs!$C$2:$C$10001,SKUs!$F$2:$F$10001,"",0), " Accessories",""))</f>
        <v/>
      </c>
      <c r="L2455" s="33">
        <f>_xlfn.XLOOKUP(C2455,'Project Details'!$C$17:$C$66,'Project Details'!$D$17:$D$66,"",0)</f>
        <v>0</v>
      </c>
      <c r="M2455" s="43"/>
    </row>
    <row r="2456" spans="1:13" ht="13.5" customHeight="1" outlineLevel="1" x14ac:dyDescent="0.25">
      <c r="A2456" s="43"/>
      <c r="B2456" s="43"/>
      <c r="C2456" s="35">
        <f t="shared" si="47"/>
        <v>49</v>
      </c>
      <c r="D2456" s="35" t="str" cm="1">
        <f t="array" ref="D2456">IFERROR(ROUNDUP(_xlfn.IFS(F2456="Aluminum Track", _xlfn.XLOOKUP(C2456, dd_accsrycalc!$A$2:$A$51, dd_accsrycalc!$B$2:$B$51, "",0), F2456="10 x 2 1/2 S (Flat)", _xlfn.XLOOKUP(C2456, dd_accsrycalc!$A$2:$A$51, dd_accsrycalc!$C$2:$C$51, "",0), F2456="Tox6", _xlfn.XLOOKUP(C2456, dd_accsrycalc!$A$2:$A$51, dd_accsrycalc!$D$2:$D$51, "",0), F2456="Cover Cap", _xlfn.XLOOKUP(C2456, dd_accsrycalc!$A$2:$A$51, dd_accsrycalc!$E$2:$E$51, "",0), F2456="Drainage Cover", _xlfn.XLOOKUP(C2456, dd_accsrycalc!$A$2:$A$51, dd_accsrycalc!$F$2:$F$51, "",0),AND( F2456="Double Adhesive Tape", I2456="Roll-up Screen"), _xlfn.XLOOKUP(C2456, calc_rusacc!$C$15:$C$65, calc_rusacc!$AD$15:$AD$65, "",0),AND( F2456="Sealant", I2456="Roll-up Screen"), _xlfn.XLOOKUP(C2456, calc_rusacc!$C$15:$C$65, calc_rusacc!$AF$15:$AF$65, "",0),  AND( F2456="Main Chain", I2456="Accordion Screen"), _xlfn.XLOOKUP(C2456, calc_rusacc!$C$15:$C$65, calc_rusacc!$BF$15:$BF$65, "",0), AND( F2456="Sealant", I2456="Accordion Screen"), _xlfn.XLOOKUP(C2456, calc_rusacc!$C$15:$C$65, calc_rusacc!$BJ$15:$BJ$65, "",0),  F2456="Sealant", _xlfn.XLOOKUP(C2456, dd_accsrycalc!$A$2:$A$51, dd_accsrycalc!$G$2:$G$51, "",0),  F2456&lt;&gt;"",L2456*_xlfn.XLOOKUP(1, (SKUs!$C$2:$C$10001=G2456)*(SKUs!$K$2:$K$10001=I2456),SKUs!$E$2:$E$10001)), 0),"")</f>
        <v/>
      </c>
      <c r="E2456" s="35" t="str">
        <f>_xlfn.XLOOKUP(F2456,dd_item!$B$2:$B$105,dd_item!$C$2:$C$105,"",0)</f>
        <v/>
      </c>
      <c r="F2456" s="35"/>
      <c r="G2456" s="35" cm="1">
        <f t="array" ref="G2456">IFERROR(_xlfn.XLOOKUP(1, (SKUs!$J$2:$J$10001=accsry_unmerged!F2456)*IF(H2456&lt;&gt;"",(SKUs!$L$2:$L$10001=accsry_unmerged!H2456),1)*(SKUs!$K$2:$K$10001=I2456),SKUs!$C$2:$C$10001),"")</f>
        <v>0</v>
      </c>
      <c r="H2456" s="36" cm="1">
        <f t="array" ref="H2456">IFERROR(_xlfn.XLOOKUP(1, (dd_accsryclr!$C$2:$C$1000=accsry_unmerged!F2456)*(dd_accsryclr!$B$2:$B$1000=accsry_unmerged!J2456),dd_accsryclr!$A$2:$A$1000),"")</f>
        <v>0</v>
      </c>
      <c r="I2456" s="35">
        <f>_xlfn.XLOOKUP(C2456,'Project Details'!$C$17:$C$66,'Project Details'!$E$17:$E$66,"",0)</f>
        <v>0</v>
      </c>
      <c r="J2456" s="35">
        <f>_xlfn.XLOOKUP(C2456,'Project Details'!$C$17:$C$66,'Project Details'!$H$17:$H$66,"",0)</f>
        <v>0</v>
      </c>
      <c r="K2456" s="36" t="str">
        <f>IF(AND(_xlfn.XLOOKUP(C2456,'Project Details'!$C$17:$C$66,'Project Details'!$L$17:$L$66,"",0)&gt;550, F2456="Spring-L27cm"),"",SUBSTITUTE(_xlfn.XLOOKUP(G2456,SKUs!$C$2:$C$10001,SKUs!$F$2:$F$10001,"",0), " Accessories",""))</f>
        <v/>
      </c>
      <c r="L2456" s="36">
        <f>_xlfn.XLOOKUP(C2456,'Project Details'!$C$17:$C$66,'Project Details'!$D$17:$D$66,"",0)</f>
        <v>0</v>
      </c>
      <c r="M2456" s="43"/>
    </row>
    <row r="2457" spans="1:13" ht="13.5" customHeight="1" outlineLevel="1" x14ac:dyDescent="0.25">
      <c r="A2457" s="43"/>
      <c r="B2457" s="43"/>
      <c r="C2457" s="16">
        <f t="shared" si="47"/>
        <v>49</v>
      </c>
      <c r="D2457" s="16" t="str" cm="1">
        <f t="array" ref="D2457">IFERROR(ROUNDUP(_xlfn.IFS(F2457="Aluminum Track", _xlfn.XLOOKUP(C2457, dd_accsrycalc!$A$2:$A$51, dd_accsrycalc!$B$2:$B$51, "",0), F2457="10 x 2 1/2 S (Flat)", _xlfn.XLOOKUP(C2457, dd_accsrycalc!$A$2:$A$51, dd_accsrycalc!$C$2:$C$51, "",0), F2457="Tox6", _xlfn.XLOOKUP(C2457, dd_accsrycalc!$A$2:$A$51, dd_accsrycalc!$D$2:$D$51, "",0), F2457="Cover Cap", _xlfn.XLOOKUP(C2457, dd_accsrycalc!$A$2:$A$51, dd_accsrycalc!$E$2:$E$51, "",0), F2457="Drainage Cover", _xlfn.XLOOKUP(C2457, dd_accsrycalc!$A$2:$A$51, dd_accsrycalc!$F$2:$F$51, "",0),AND( F2457="Double Adhesive Tape", I2457="Roll-up Screen"), _xlfn.XLOOKUP(C2457, calc_rusacc!$C$15:$C$65, calc_rusacc!$AD$15:$AD$65, "",0),AND( F2457="Sealant", I2457="Roll-up Screen"), _xlfn.XLOOKUP(C2457, calc_rusacc!$C$15:$C$65, calc_rusacc!$AF$15:$AF$65, "",0),  AND( F2457="Main Chain", I2457="Accordion Screen"), _xlfn.XLOOKUP(C2457, calc_rusacc!$C$15:$C$65, calc_rusacc!$BF$15:$BF$65, "",0), AND( F2457="Sealant", I2457="Accordion Screen"), _xlfn.XLOOKUP(C2457, calc_rusacc!$C$15:$C$65, calc_rusacc!$BJ$15:$BJ$65, "",0),  F2457="Sealant", _xlfn.XLOOKUP(C2457, dd_accsrycalc!$A$2:$A$51, dd_accsrycalc!$G$2:$G$51, "",0),  F2457&lt;&gt;"",L2457*_xlfn.XLOOKUP(1, (SKUs!$C$2:$C$10001=G2457)*(SKUs!$K$2:$K$10001=I2457),SKUs!$E$2:$E$10001)), 0),"")</f>
        <v/>
      </c>
      <c r="E2457" s="16" t="str">
        <f>_xlfn.XLOOKUP(F2457,dd_item!$B$2:$B$105,dd_item!$C$2:$C$105,"",0)</f>
        <v/>
      </c>
      <c r="F2457" s="16"/>
      <c r="G2457" s="16" cm="1">
        <f t="array" ref="G2457">IFERROR(_xlfn.XLOOKUP(1, (SKUs!$J$2:$J$10001=accsry_unmerged!F2457)*IF(H2457&lt;&gt;"",(SKUs!$L$2:$L$10001=accsry_unmerged!H2457),1)*(SKUs!$K$2:$K$10001=I2457),SKUs!$C$2:$C$10001),"")</f>
        <v>0</v>
      </c>
      <c r="H2457" s="33" cm="1">
        <f t="array" ref="H2457">IFERROR(_xlfn.XLOOKUP(1, (dd_accsryclr!$C$2:$C$1000=accsry_unmerged!F2457)*(dd_accsryclr!$B$2:$B$1000=accsry_unmerged!J2457),dd_accsryclr!$A$2:$A$1000),"")</f>
        <v>0</v>
      </c>
      <c r="I2457" s="16">
        <f>_xlfn.XLOOKUP(C2457,'Project Details'!$C$17:$C$66,'Project Details'!$E$17:$E$66,"",0)</f>
        <v>0</v>
      </c>
      <c r="J2457" s="16">
        <f>_xlfn.XLOOKUP(C2457,'Project Details'!$C$17:$C$66,'Project Details'!$H$17:$H$66,"",0)</f>
        <v>0</v>
      </c>
      <c r="K2457" s="33" t="str">
        <f>IF(AND(_xlfn.XLOOKUP(C2457,'Project Details'!$C$17:$C$66,'Project Details'!$L$17:$L$66,"",0)&gt;550, F2457="Spring-L27cm"),"",SUBSTITUTE(_xlfn.XLOOKUP(G2457,SKUs!$C$2:$C$10001,SKUs!$F$2:$F$10001,"",0), " Accessories",""))</f>
        <v/>
      </c>
      <c r="L2457" s="33">
        <f>_xlfn.XLOOKUP(C2457,'Project Details'!$C$17:$C$66,'Project Details'!$D$17:$D$66,"",0)</f>
        <v>0</v>
      </c>
      <c r="M2457" s="43"/>
    </row>
    <row r="2458" spans="1:13" ht="13.5" customHeight="1" outlineLevel="1" x14ac:dyDescent="0.25">
      <c r="A2458" s="43"/>
      <c r="B2458" s="43"/>
      <c r="C2458" s="35">
        <f t="shared" si="47"/>
        <v>49</v>
      </c>
      <c r="D2458" s="35" t="str" cm="1">
        <f t="array" ref="D2458">IFERROR(ROUNDUP(_xlfn.IFS(F2458="Aluminum Track", _xlfn.XLOOKUP(C2458, dd_accsrycalc!$A$2:$A$51, dd_accsrycalc!$B$2:$B$51, "",0), F2458="10 x 2 1/2 S (Flat)", _xlfn.XLOOKUP(C2458, dd_accsrycalc!$A$2:$A$51, dd_accsrycalc!$C$2:$C$51, "",0), F2458="Tox6", _xlfn.XLOOKUP(C2458, dd_accsrycalc!$A$2:$A$51, dd_accsrycalc!$D$2:$D$51, "",0), F2458="Cover Cap", _xlfn.XLOOKUP(C2458, dd_accsrycalc!$A$2:$A$51, dd_accsrycalc!$E$2:$E$51, "",0), F2458="Drainage Cover", _xlfn.XLOOKUP(C2458, dd_accsrycalc!$A$2:$A$51, dd_accsrycalc!$F$2:$F$51, "",0),AND( F2458="Double Adhesive Tape", I2458="Roll-up Screen"), _xlfn.XLOOKUP(C2458, calc_rusacc!$C$15:$C$65, calc_rusacc!$AD$15:$AD$65, "",0),AND( F2458="Sealant", I2458="Roll-up Screen"), _xlfn.XLOOKUP(C2458, calc_rusacc!$C$15:$C$65, calc_rusacc!$AF$15:$AF$65, "",0),  AND( F2458="Main Chain", I2458="Accordion Screen"), _xlfn.XLOOKUP(C2458, calc_rusacc!$C$15:$C$65, calc_rusacc!$BF$15:$BF$65, "",0), AND( F2458="Sealant", I2458="Accordion Screen"), _xlfn.XLOOKUP(C2458, calc_rusacc!$C$15:$C$65, calc_rusacc!$BJ$15:$BJ$65, "",0),  F2458="Sealant", _xlfn.XLOOKUP(C2458, dd_accsrycalc!$A$2:$A$51, dd_accsrycalc!$G$2:$G$51, "",0),  F2458&lt;&gt;"",L2458*_xlfn.XLOOKUP(1, (SKUs!$C$2:$C$10001=G2458)*(SKUs!$K$2:$K$10001=I2458),SKUs!$E$2:$E$10001)), 0),"")</f>
        <v/>
      </c>
      <c r="E2458" s="35" t="str">
        <f>_xlfn.XLOOKUP(F2458,dd_item!$B$2:$B$105,dd_item!$C$2:$C$105,"",0)</f>
        <v/>
      </c>
      <c r="F2458" s="35"/>
      <c r="G2458" s="35" cm="1">
        <f t="array" ref="G2458">IFERROR(_xlfn.XLOOKUP(1, (SKUs!$J$2:$J$10001=accsry_unmerged!F2458)*IF(H2458&lt;&gt;"",(SKUs!$L$2:$L$10001=accsry_unmerged!H2458),1)*(SKUs!$K$2:$K$10001=I2458),SKUs!$C$2:$C$10001),"")</f>
        <v>0</v>
      </c>
      <c r="H2458" s="36" cm="1">
        <f t="array" ref="H2458">IFERROR(_xlfn.XLOOKUP(1, (dd_accsryclr!$C$2:$C$1000=accsry_unmerged!F2458)*(dd_accsryclr!$B$2:$B$1000=accsry_unmerged!J2458),dd_accsryclr!$A$2:$A$1000),"")</f>
        <v>0</v>
      </c>
      <c r="I2458" s="35">
        <f>_xlfn.XLOOKUP(C2458,'Project Details'!$C$17:$C$66,'Project Details'!$E$17:$E$66,"",0)</f>
        <v>0</v>
      </c>
      <c r="J2458" s="35">
        <f>_xlfn.XLOOKUP(C2458,'Project Details'!$C$17:$C$66,'Project Details'!$H$17:$H$66,"",0)</f>
        <v>0</v>
      </c>
      <c r="K2458" s="36" t="str">
        <f>IF(AND(_xlfn.XLOOKUP(C2458,'Project Details'!$C$17:$C$66,'Project Details'!$L$17:$L$66,"",0)&gt;550, F2458="Spring-L27cm"),"",SUBSTITUTE(_xlfn.XLOOKUP(G2458,SKUs!$C$2:$C$10001,SKUs!$F$2:$F$10001,"",0), " Accessories",""))</f>
        <v/>
      </c>
      <c r="L2458" s="36">
        <f>_xlfn.XLOOKUP(C2458,'Project Details'!$C$17:$C$66,'Project Details'!$D$17:$D$66,"",0)</f>
        <v>0</v>
      </c>
      <c r="M2458" s="43"/>
    </row>
    <row r="2459" spans="1:13" ht="13.5" customHeight="1" outlineLevel="1" x14ac:dyDescent="0.25">
      <c r="A2459" s="43"/>
      <c r="B2459" s="43"/>
      <c r="C2459" s="16">
        <f t="shared" si="47"/>
        <v>49</v>
      </c>
      <c r="D2459" s="16" t="str" cm="1">
        <f t="array" ref="D2459">IFERROR(ROUNDUP(_xlfn.IFS(F2459="Aluminum Track", _xlfn.XLOOKUP(C2459, dd_accsrycalc!$A$2:$A$51, dd_accsrycalc!$B$2:$B$51, "",0), F2459="10 x 2 1/2 S (Flat)", _xlfn.XLOOKUP(C2459, dd_accsrycalc!$A$2:$A$51, dd_accsrycalc!$C$2:$C$51, "",0), F2459="Tox6", _xlfn.XLOOKUP(C2459, dd_accsrycalc!$A$2:$A$51, dd_accsrycalc!$D$2:$D$51, "",0), F2459="Cover Cap", _xlfn.XLOOKUP(C2459, dd_accsrycalc!$A$2:$A$51, dd_accsrycalc!$E$2:$E$51, "",0), F2459="Drainage Cover", _xlfn.XLOOKUP(C2459, dd_accsrycalc!$A$2:$A$51, dd_accsrycalc!$F$2:$F$51, "",0),AND( F2459="Double Adhesive Tape", I2459="Roll-up Screen"), _xlfn.XLOOKUP(C2459, calc_rusacc!$C$15:$C$65, calc_rusacc!$AD$15:$AD$65, "",0),AND( F2459="Sealant", I2459="Roll-up Screen"), _xlfn.XLOOKUP(C2459, calc_rusacc!$C$15:$C$65, calc_rusacc!$AF$15:$AF$65, "",0),  AND( F2459="Main Chain", I2459="Accordion Screen"), _xlfn.XLOOKUP(C2459, calc_rusacc!$C$15:$C$65, calc_rusacc!$BF$15:$BF$65, "",0), AND( F2459="Sealant", I2459="Accordion Screen"), _xlfn.XLOOKUP(C2459, calc_rusacc!$C$15:$C$65, calc_rusacc!$BJ$15:$BJ$65, "",0),  F2459="Sealant", _xlfn.XLOOKUP(C2459, dd_accsrycalc!$A$2:$A$51, dd_accsrycalc!$G$2:$G$51, "",0),  F2459&lt;&gt;"",L2459*_xlfn.XLOOKUP(1, (SKUs!$C$2:$C$10001=G2459)*(SKUs!$K$2:$K$10001=I2459),SKUs!$E$2:$E$10001)), 0),"")</f>
        <v/>
      </c>
      <c r="E2459" s="16" t="str">
        <f>_xlfn.XLOOKUP(F2459,dd_item!$B$2:$B$105,dd_item!$C$2:$C$105,"",0)</f>
        <v/>
      </c>
      <c r="F2459" s="16"/>
      <c r="G2459" s="16" cm="1">
        <f t="array" ref="G2459">IFERROR(_xlfn.XLOOKUP(1, (SKUs!$J$2:$J$10001=accsry_unmerged!F2459)*IF(H2459&lt;&gt;"",(SKUs!$L$2:$L$10001=accsry_unmerged!H2459),1)*(SKUs!$K$2:$K$10001=I2459),SKUs!$C$2:$C$10001),"")</f>
        <v>0</v>
      </c>
      <c r="H2459" s="33" cm="1">
        <f t="array" ref="H2459">IFERROR(_xlfn.XLOOKUP(1, (dd_accsryclr!$C$2:$C$1000=accsry_unmerged!F2459)*(dd_accsryclr!$B$2:$B$1000=accsry_unmerged!J2459),dd_accsryclr!$A$2:$A$1000),"")</f>
        <v>0</v>
      </c>
      <c r="I2459" s="16">
        <f>_xlfn.XLOOKUP(C2459,'Project Details'!$C$17:$C$66,'Project Details'!$E$17:$E$66,"",0)</f>
        <v>0</v>
      </c>
      <c r="J2459" s="16">
        <f>_xlfn.XLOOKUP(C2459,'Project Details'!$C$17:$C$66,'Project Details'!$H$17:$H$66,"",0)</f>
        <v>0</v>
      </c>
      <c r="K2459" s="33" t="str">
        <f>IF(AND(_xlfn.XLOOKUP(C2459,'Project Details'!$C$17:$C$66,'Project Details'!$L$17:$L$66,"",0)&gt;550, F2459="Spring-L27cm"),"",SUBSTITUTE(_xlfn.XLOOKUP(G2459,SKUs!$C$2:$C$10001,SKUs!$F$2:$F$10001,"",0), " Accessories",""))</f>
        <v/>
      </c>
      <c r="L2459" s="33">
        <f>_xlfn.XLOOKUP(C2459,'Project Details'!$C$17:$C$66,'Project Details'!$D$17:$D$66,"",0)</f>
        <v>0</v>
      </c>
      <c r="M2459" s="43"/>
    </row>
    <row r="2460" spans="1:13" ht="13.5" customHeight="1" outlineLevel="1" x14ac:dyDescent="0.25">
      <c r="A2460" s="43"/>
      <c r="B2460" s="43"/>
      <c r="C2460" s="35">
        <f t="shared" si="47"/>
        <v>49</v>
      </c>
      <c r="D2460" s="35" t="str" cm="1">
        <f t="array" ref="D2460">IFERROR(ROUNDUP(_xlfn.IFS(F2460="Aluminum Track", _xlfn.XLOOKUP(C2460, dd_accsrycalc!$A$2:$A$51, dd_accsrycalc!$B$2:$B$51, "",0), F2460="10 x 2 1/2 S (Flat)", _xlfn.XLOOKUP(C2460, dd_accsrycalc!$A$2:$A$51, dd_accsrycalc!$C$2:$C$51, "",0), F2460="Tox6", _xlfn.XLOOKUP(C2460, dd_accsrycalc!$A$2:$A$51, dd_accsrycalc!$D$2:$D$51, "",0), F2460="Cover Cap", _xlfn.XLOOKUP(C2460, dd_accsrycalc!$A$2:$A$51, dd_accsrycalc!$E$2:$E$51, "",0), F2460="Drainage Cover", _xlfn.XLOOKUP(C2460, dd_accsrycalc!$A$2:$A$51, dd_accsrycalc!$F$2:$F$51, "",0),AND( F2460="Double Adhesive Tape", I2460="Roll-up Screen"), _xlfn.XLOOKUP(C2460, calc_rusacc!$C$15:$C$65, calc_rusacc!$AD$15:$AD$65, "",0),AND( F2460="Sealant", I2460="Roll-up Screen"), _xlfn.XLOOKUP(C2460, calc_rusacc!$C$15:$C$65, calc_rusacc!$AF$15:$AF$65, "",0),  AND( F2460="Main Chain", I2460="Accordion Screen"), _xlfn.XLOOKUP(C2460, calc_rusacc!$C$15:$C$65, calc_rusacc!$BF$15:$BF$65, "",0), AND( F2460="Sealant", I2460="Accordion Screen"), _xlfn.XLOOKUP(C2460, calc_rusacc!$C$15:$C$65, calc_rusacc!$BJ$15:$BJ$65, "",0),  F2460="Sealant", _xlfn.XLOOKUP(C2460, dd_accsrycalc!$A$2:$A$51, dd_accsrycalc!$G$2:$G$51, "",0),  F2460&lt;&gt;"",L2460*_xlfn.XLOOKUP(1, (SKUs!$C$2:$C$10001=G2460)*(SKUs!$K$2:$K$10001=I2460),SKUs!$E$2:$E$10001)), 0),"")</f>
        <v/>
      </c>
      <c r="E2460" s="35" t="str">
        <f>_xlfn.XLOOKUP(F2460,dd_item!$B$2:$B$105,dd_item!$C$2:$C$105,"",0)</f>
        <v/>
      </c>
      <c r="F2460" s="35"/>
      <c r="G2460" s="35" cm="1">
        <f t="array" ref="G2460">IFERROR(_xlfn.XLOOKUP(1, (SKUs!$J$2:$J$10001=accsry_unmerged!F2460)*IF(H2460&lt;&gt;"",(SKUs!$L$2:$L$10001=accsry_unmerged!H2460),1)*(SKUs!$K$2:$K$10001=I2460),SKUs!$C$2:$C$10001),"")</f>
        <v>0</v>
      </c>
      <c r="H2460" s="36" cm="1">
        <f t="array" ref="H2460">IFERROR(_xlfn.XLOOKUP(1, (dd_accsryclr!$C$2:$C$1000=accsry_unmerged!F2460)*(dd_accsryclr!$B$2:$B$1000=accsry_unmerged!J2460),dd_accsryclr!$A$2:$A$1000),"")</f>
        <v>0</v>
      </c>
      <c r="I2460" s="35">
        <f>_xlfn.XLOOKUP(C2460,'Project Details'!$C$17:$C$66,'Project Details'!$E$17:$E$66,"",0)</f>
        <v>0</v>
      </c>
      <c r="J2460" s="35">
        <f>_xlfn.XLOOKUP(C2460,'Project Details'!$C$17:$C$66,'Project Details'!$H$17:$H$66,"",0)</f>
        <v>0</v>
      </c>
      <c r="K2460" s="36" t="str">
        <f>IF(AND(_xlfn.XLOOKUP(C2460,'Project Details'!$C$17:$C$66,'Project Details'!$L$17:$L$66,"",0)&gt;550, F2460="Spring-L27cm"),"",SUBSTITUTE(_xlfn.XLOOKUP(G2460,SKUs!$C$2:$C$10001,SKUs!$F$2:$F$10001,"",0), " Accessories",""))</f>
        <v/>
      </c>
      <c r="L2460" s="36">
        <f>_xlfn.XLOOKUP(C2460,'Project Details'!$C$17:$C$66,'Project Details'!$D$17:$D$66,"",0)</f>
        <v>0</v>
      </c>
      <c r="M2460" s="43"/>
    </row>
    <row r="2461" spans="1:13" ht="13.5" customHeight="1" outlineLevel="1" x14ac:dyDescent="0.25">
      <c r="A2461" s="43"/>
      <c r="B2461" s="43"/>
      <c r="C2461" s="16">
        <f t="shared" si="47"/>
        <v>49</v>
      </c>
      <c r="D2461" s="16" t="str" cm="1">
        <f t="array" ref="D2461">IFERROR(ROUNDUP(_xlfn.IFS(F2461="Aluminum Track", _xlfn.XLOOKUP(C2461, dd_accsrycalc!$A$2:$A$51, dd_accsrycalc!$B$2:$B$51, "",0), F2461="10 x 2 1/2 S (Flat)", _xlfn.XLOOKUP(C2461, dd_accsrycalc!$A$2:$A$51, dd_accsrycalc!$C$2:$C$51, "",0), F2461="Tox6", _xlfn.XLOOKUP(C2461, dd_accsrycalc!$A$2:$A$51, dd_accsrycalc!$D$2:$D$51, "",0), F2461="Cover Cap", _xlfn.XLOOKUP(C2461, dd_accsrycalc!$A$2:$A$51, dd_accsrycalc!$E$2:$E$51, "",0), F2461="Drainage Cover", _xlfn.XLOOKUP(C2461, dd_accsrycalc!$A$2:$A$51, dd_accsrycalc!$F$2:$F$51, "",0),AND( F2461="Double Adhesive Tape", I2461="Roll-up Screen"), _xlfn.XLOOKUP(C2461, calc_rusacc!$C$15:$C$65, calc_rusacc!$AD$15:$AD$65, "",0),AND( F2461="Sealant", I2461="Roll-up Screen"), _xlfn.XLOOKUP(C2461, calc_rusacc!$C$15:$C$65, calc_rusacc!$AF$15:$AF$65, "",0),  AND( F2461="Main Chain", I2461="Accordion Screen"), _xlfn.XLOOKUP(C2461, calc_rusacc!$C$15:$C$65, calc_rusacc!$BF$15:$BF$65, "",0), AND( F2461="Sealant", I2461="Accordion Screen"), _xlfn.XLOOKUP(C2461, calc_rusacc!$C$15:$C$65, calc_rusacc!$BJ$15:$BJ$65, "",0),  F2461="Sealant", _xlfn.XLOOKUP(C2461, dd_accsrycalc!$A$2:$A$51, dd_accsrycalc!$G$2:$G$51, "",0),  F2461&lt;&gt;"",L2461*_xlfn.XLOOKUP(1, (SKUs!$C$2:$C$10001=G2461)*(SKUs!$K$2:$K$10001=I2461),SKUs!$E$2:$E$10001)), 0),"")</f>
        <v/>
      </c>
      <c r="E2461" s="16" t="str">
        <f>_xlfn.XLOOKUP(F2461,dd_item!$B$2:$B$105,dd_item!$C$2:$C$105,"",0)</f>
        <v/>
      </c>
      <c r="F2461" s="16"/>
      <c r="G2461" s="16" cm="1">
        <f t="array" ref="G2461">IFERROR(_xlfn.XLOOKUP(1, (SKUs!$J$2:$J$10001=accsry_unmerged!F2461)*IF(H2461&lt;&gt;"",(SKUs!$L$2:$L$10001=accsry_unmerged!H2461),1)*(SKUs!$K$2:$K$10001=I2461),SKUs!$C$2:$C$10001),"")</f>
        <v>0</v>
      </c>
      <c r="H2461" s="33" cm="1">
        <f t="array" ref="H2461">IFERROR(_xlfn.XLOOKUP(1, (dd_accsryclr!$C$2:$C$1000=accsry_unmerged!F2461)*(dd_accsryclr!$B$2:$B$1000=accsry_unmerged!J2461),dd_accsryclr!$A$2:$A$1000),"")</f>
        <v>0</v>
      </c>
      <c r="I2461" s="16">
        <f>_xlfn.XLOOKUP(C2461,'Project Details'!$C$17:$C$66,'Project Details'!$E$17:$E$66,"",0)</f>
        <v>0</v>
      </c>
      <c r="J2461" s="16">
        <f>_xlfn.XLOOKUP(C2461,'Project Details'!$C$17:$C$66,'Project Details'!$H$17:$H$66,"",0)</f>
        <v>0</v>
      </c>
      <c r="K2461" s="33" t="str">
        <f>IF(AND(_xlfn.XLOOKUP(C2461,'Project Details'!$C$17:$C$66,'Project Details'!$L$17:$L$66,"",0)&gt;550, F2461="Spring-L27cm"),"",SUBSTITUTE(_xlfn.XLOOKUP(G2461,SKUs!$C$2:$C$10001,SKUs!$F$2:$F$10001,"",0), " Accessories",""))</f>
        <v/>
      </c>
      <c r="L2461" s="33">
        <f>_xlfn.XLOOKUP(C2461,'Project Details'!$C$17:$C$66,'Project Details'!$D$17:$D$66,"",0)</f>
        <v>0</v>
      </c>
      <c r="M2461" s="43"/>
    </row>
    <row r="2462" spans="1:13" ht="13.5" customHeight="1" outlineLevel="1" x14ac:dyDescent="0.25">
      <c r="A2462" s="43"/>
      <c r="B2462" s="43"/>
      <c r="C2462" s="35">
        <f t="shared" si="47"/>
        <v>49</v>
      </c>
      <c r="D2462" s="35" t="str" cm="1">
        <f t="array" ref="D2462">IFERROR(ROUNDUP(_xlfn.IFS(F2462="Aluminum Track", _xlfn.XLOOKUP(C2462, dd_accsrycalc!$A$2:$A$51, dd_accsrycalc!$B$2:$B$51, "",0), F2462="10 x 2 1/2 S (Flat)", _xlfn.XLOOKUP(C2462, dd_accsrycalc!$A$2:$A$51, dd_accsrycalc!$C$2:$C$51, "",0), F2462="Tox6", _xlfn.XLOOKUP(C2462, dd_accsrycalc!$A$2:$A$51, dd_accsrycalc!$D$2:$D$51, "",0), F2462="Cover Cap", _xlfn.XLOOKUP(C2462, dd_accsrycalc!$A$2:$A$51, dd_accsrycalc!$E$2:$E$51, "",0), F2462="Drainage Cover", _xlfn.XLOOKUP(C2462, dd_accsrycalc!$A$2:$A$51, dd_accsrycalc!$F$2:$F$51, "",0),AND( F2462="Double Adhesive Tape", I2462="Roll-up Screen"), _xlfn.XLOOKUP(C2462, calc_rusacc!$C$15:$C$65, calc_rusacc!$AD$15:$AD$65, "",0),AND( F2462="Sealant", I2462="Roll-up Screen"), _xlfn.XLOOKUP(C2462, calc_rusacc!$C$15:$C$65, calc_rusacc!$AF$15:$AF$65, "",0),  AND( F2462="Main Chain", I2462="Accordion Screen"), _xlfn.XLOOKUP(C2462, calc_rusacc!$C$15:$C$65, calc_rusacc!$BF$15:$BF$65, "",0), AND( F2462="Sealant", I2462="Accordion Screen"), _xlfn.XLOOKUP(C2462, calc_rusacc!$C$15:$C$65, calc_rusacc!$BJ$15:$BJ$65, "",0),  F2462="Sealant", _xlfn.XLOOKUP(C2462, dd_accsrycalc!$A$2:$A$51, dd_accsrycalc!$G$2:$G$51, "",0),  F2462&lt;&gt;"",L2462*_xlfn.XLOOKUP(1, (SKUs!$C$2:$C$10001=G2462)*(SKUs!$K$2:$K$10001=I2462),SKUs!$E$2:$E$10001)), 0),"")</f>
        <v/>
      </c>
      <c r="E2462" s="35" t="str">
        <f>_xlfn.XLOOKUP(F2462,dd_item!$B$2:$B$105,dd_item!$C$2:$C$105,"",0)</f>
        <v/>
      </c>
      <c r="F2462" s="35"/>
      <c r="G2462" s="35" cm="1">
        <f t="array" ref="G2462">IFERROR(_xlfn.XLOOKUP(1, (SKUs!$J$2:$J$10001=accsry_unmerged!F2462)*IF(H2462&lt;&gt;"",(SKUs!$L$2:$L$10001=accsry_unmerged!H2462),1)*(SKUs!$K$2:$K$10001=I2462),SKUs!$C$2:$C$10001),"")</f>
        <v>0</v>
      </c>
      <c r="H2462" s="36" cm="1">
        <f t="array" ref="H2462">IFERROR(_xlfn.XLOOKUP(1, (dd_accsryclr!$C$2:$C$1000=accsry_unmerged!F2462)*(dd_accsryclr!$B$2:$B$1000=accsry_unmerged!J2462),dd_accsryclr!$A$2:$A$1000),"")</f>
        <v>0</v>
      </c>
      <c r="I2462" s="35">
        <f>_xlfn.XLOOKUP(C2462,'Project Details'!$C$17:$C$66,'Project Details'!$E$17:$E$66,"",0)</f>
        <v>0</v>
      </c>
      <c r="J2462" s="35">
        <f>_xlfn.XLOOKUP(C2462,'Project Details'!$C$17:$C$66,'Project Details'!$H$17:$H$66,"",0)</f>
        <v>0</v>
      </c>
      <c r="K2462" s="36" t="str">
        <f>IF(AND(_xlfn.XLOOKUP(C2462,'Project Details'!$C$17:$C$66,'Project Details'!$L$17:$L$66,"",0)&gt;550, F2462="Spring-L27cm"),"",SUBSTITUTE(_xlfn.XLOOKUP(G2462,SKUs!$C$2:$C$10001,SKUs!$F$2:$F$10001,"",0), " Accessories",""))</f>
        <v/>
      </c>
      <c r="L2462" s="36">
        <f>_xlfn.XLOOKUP(C2462,'Project Details'!$C$17:$C$66,'Project Details'!$D$17:$D$66,"",0)</f>
        <v>0</v>
      </c>
      <c r="M2462" s="43"/>
    </row>
    <row r="2463" spans="1:13" ht="13.5" customHeight="1" outlineLevel="1" x14ac:dyDescent="0.25">
      <c r="A2463" s="43"/>
      <c r="B2463" s="43"/>
      <c r="C2463" s="16">
        <f t="shared" si="47"/>
        <v>49</v>
      </c>
      <c r="D2463" s="16" t="str" cm="1">
        <f t="array" ref="D2463">IFERROR(ROUNDUP(_xlfn.IFS(F2463="Aluminum Track", _xlfn.XLOOKUP(C2463, dd_accsrycalc!$A$2:$A$51, dd_accsrycalc!$B$2:$B$51, "",0), F2463="10 x 2 1/2 S (Flat)", _xlfn.XLOOKUP(C2463, dd_accsrycalc!$A$2:$A$51, dd_accsrycalc!$C$2:$C$51, "",0), F2463="Tox6", _xlfn.XLOOKUP(C2463, dd_accsrycalc!$A$2:$A$51, dd_accsrycalc!$D$2:$D$51, "",0), F2463="Cover Cap", _xlfn.XLOOKUP(C2463, dd_accsrycalc!$A$2:$A$51, dd_accsrycalc!$E$2:$E$51, "",0), F2463="Drainage Cover", _xlfn.XLOOKUP(C2463, dd_accsrycalc!$A$2:$A$51, dd_accsrycalc!$F$2:$F$51, "",0),AND( F2463="Double Adhesive Tape", I2463="Roll-up Screen"), _xlfn.XLOOKUP(C2463, calc_rusacc!$C$15:$C$65, calc_rusacc!$AD$15:$AD$65, "",0),AND( F2463="Sealant", I2463="Roll-up Screen"), _xlfn.XLOOKUP(C2463, calc_rusacc!$C$15:$C$65, calc_rusacc!$AF$15:$AF$65, "",0),  AND( F2463="Main Chain", I2463="Accordion Screen"), _xlfn.XLOOKUP(C2463, calc_rusacc!$C$15:$C$65, calc_rusacc!$BF$15:$BF$65, "",0), AND( F2463="Sealant", I2463="Accordion Screen"), _xlfn.XLOOKUP(C2463, calc_rusacc!$C$15:$C$65, calc_rusacc!$BJ$15:$BJ$65, "",0),  F2463="Sealant", _xlfn.XLOOKUP(C2463, dd_accsrycalc!$A$2:$A$51, dd_accsrycalc!$G$2:$G$51, "",0),  F2463&lt;&gt;"",L2463*_xlfn.XLOOKUP(1, (SKUs!$C$2:$C$10001=G2463)*(SKUs!$K$2:$K$10001=I2463),SKUs!$E$2:$E$10001)), 0),"")</f>
        <v/>
      </c>
      <c r="E2463" s="16" t="str">
        <f>_xlfn.XLOOKUP(F2463,dd_item!$B$2:$B$105,dd_item!$C$2:$C$105,"",0)</f>
        <v/>
      </c>
      <c r="F2463" s="16"/>
      <c r="G2463" s="16" cm="1">
        <f t="array" ref="G2463">IFERROR(_xlfn.XLOOKUP(1, (SKUs!$J$2:$J$10001=accsry_unmerged!F2463)*IF(H2463&lt;&gt;"",(SKUs!$L$2:$L$10001=accsry_unmerged!H2463),1)*(SKUs!$K$2:$K$10001=I2463),SKUs!$C$2:$C$10001),"")</f>
        <v>0</v>
      </c>
      <c r="H2463" s="33" cm="1">
        <f t="array" ref="H2463">IFERROR(_xlfn.XLOOKUP(1, (dd_accsryclr!$C$2:$C$1000=accsry_unmerged!F2463)*(dd_accsryclr!$B$2:$B$1000=accsry_unmerged!J2463),dd_accsryclr!$A$2:$A$1000),"")</f>
        <v>0</v>
      </c>
      <c r="I2463" s="16">
        <f>_xlfn.XLOOKUP(C2463,'Project Details'!$C$17:$C$66,'Project Details'!$E$17:$E$66,"",0)</f>
        <v>0</v>
      </c>
      <c r="J2463" s="16">
        <f>_xlfn.XLOOKUP(C2463,'Project Details'!$C$17:$C$66,'Project Details'!$H$17:$H$66,"",0)</f>
        <v>0</v>
      </c>
      <c r="K2463" s="33" t="str">
        <f>IF(AND(_xlfn.XLOOKUP(C2463,'Project Details'!$C$17:$C$66,'Project Details'!$L$17:$L$66,"",0)&gt;550, F2463="Spring-L27cm"),"",SUBSTITUTE(_xlfn.XLOOKUP(G2463,SKUs!$C$2:$C$10001,SKUs!$F$2:$F$10001,"",0), " Accessories",""))</f>
        <v/>
      </c>
      <c r="L2463" s="33">
        <f>_xlfn.XLOOKUP(C2463,'Project Details'!$C$17:$C$66,'Project Details'!$D$17:$D$66,"",0)</f>
        <v>0</v>
      </c>
      <c r="M2463" s="43"/>
    </row>
    <row r="2464" spans="1:13" x14ac:dyDescent="0.25">
      <c r="A2464" s="43"/>
      <c r="B2464" s="43"/>
      <c r="C2464" s="43"/>
      <c r="D2464" s="43"/>
      <c r="E2464" s="43"/>
      <c r="F2464" s="43"/>
      <c r="G2464" s="43"/>
      <c r="H2464" s="43"/>
      <c r="I2464" s="43"/>
      <c r="J2464" s="43"/>
      <c r="K2464" s="43"/>
      <c r="L2464" s="43"/>
      <c r="M2464" s="43"/>
    </row>
    <row r="2465" spans="1:13" x14ac:dyDescent="0.25">
      <c r="A2465" s="43"/>
      <c r="B2465" s="43"/>
      <c r="C2465" s="16">
        <f>C2463+1</f>
        <v>50</v>
      </c>
      <c r="D2465" s="48" cm="1">
        <f t="array" ref="D2465">IFERROR(ROUNDUP(_xlfn.IFS(F2465="Aluminum Track", _xlfn.XLOOKUP(C2465, dd_accsrycalc!$A$2:$A$51, dd_accsrycalc!$B$2:$B$51, "",0), F2465="10 x 2 1/2 S (Flat)", _xlfn.XLOOKUP(C2465, dd_accsrycalc!$A$2:$A$51, dd_accsrycalc!$C$2:$C$51, "",0), F2465="Tox6", _xlfn.XLOOKUP(C2465, dd_accsrycalc!$A$2:$A$51, dd_accsrycalc!$D$2:$D$51, "",0), F2465="Cover Cap", _xlfn.XLOOKUP(C2465, dd_accsrycalc!$A$2:$A$51, dd_accsrycalc!$E$2:$E$51, "",0), F2465="Drainage Cover", _xlfn.XLOOKUP(C2465, dd_accsrycalc!$A$2:$A$51, dd_accsrycalc!$F$2:$F$51, "",0),AND( F2465="Double Adhesive Tape", I2465="Roll-up Screen"), _xlfn.XLOOKUP(C2465, calc_rusacc!$C$15:$C$65, calc_rusacc!$AD$15:$AD$65, "",0),AND( F2465="Sealant", I2465="Roll-up Screen"), _xlfn.XLOOKUP(C2465, calc_rusacc!$C$15:$C$65, calc_rusacc!$AF$15:$AF$65, "",0),  AND( F2465="Main Chain", I2465="Accordion Screen"), _xlfn.XLOOKUP(C2465, calc_rusacc!$C$15:$C$65, calc_rusacc!$BF$15:$BF$65, "",0), AND( F2465="Sealant", I2465="Accordion Screen"), _xlfn.XLOOKUP(C2465, calc_rusacc!$C$15:$C$65, calc_rusacc!$BJ$15:$BJ$65, "",0),  F2465="Sealant", _xlfn.XLOOKUP(C2465, dd_accsrycalc!$A$2:$A$51, dd_accsrycalc!$G$2:$G$51, "",0),  F2465&lt;&gt;"",L2465*_xlfn.XLOOKUP(1, (SKUs!$C$2:$C$10001=G2465)*(SKUs!$K$2:$K$10001=I2465),SKUs!$E$2:$E$10001)), 0),"")</f>
        <v>0</v>
      </c>
      <c r="E2465" s="48" t="str">
        <f>_xlfn.XLOOKUP(F2465,dd_item!$B$2:$B$105,dd_item!$C$2:$C$105,"",0)</f>
        <v/>
      </c>
      <c r="F2465" s="48" cm="1">
        <f t="array" ref="F2465">IFERROR(_xlfn.UNIQUE(_xlfn._xlws.FILTER(SKUs!$J$2:$J$10001, (SKUs!$F$2:$F$10001&lt;&gt;"Cutting List") * (SKUs!$A$2:$A$10001=_xlfn.XLOOKUP(_xlfn.XLOOKUP(C2465,'Project Details'!$C$17:$C$66,'Project Details'!$E$17:$E$66,"",0), dd_design_raw!$A$2:$A$101,dd_design_raw!$C$2:$C$101,"",0)))), "")</f>
        <v>0</v>
      </c>
      <c r="G2465" s="16" cm="1">
        <f t="array" ref="G2465">IFERROR(_xlfn.XLOOKUP(1, (SKUs!$J$2:$J$10001=accsry_unmerged!F2465)*IF(H2465&lt;&gt;"",(SKUs!$L$2:$L$10001=accsry_unmerged!H2465),1)*(SKUs!$K$2:$K$10001=I2465),SKUs!$C$2:$C$10001),"")</f>
        <v>0</v>
      </c>
      <c r="H2465" s="16" cm="1">
        <f t="array" ref="H2465">IFERROR(_xlfn.XLOOKUP(1, (dd_accsryclr!$C$2:$C$1000=accsry_unmerged!F2465)*(dd_accsryclr!$B$2:$B$1000=accsry_unmerged!J2465),dd_accsryclr!$A$2:$A$1000),"")</f>
        <v>0</v>
      </c>
      <c r="I2465" s="16">
        <f>_xlfn.XLOOKUP(C2465,'Project Details'!$C$17:$C$66,'Project Details'!$E$17:$E$66,"",0)</f>
        <v>0</v>
      </c>
      <c r="J2465" s="16">
        <f>_xlfn.XLOOKUP(C2465,'Project Details'!$C$17:$C$66,'Project Details'!$H$17:$H$66,"",0)</f>
        <v>0</v>
      </c>
      <c r="K2465" s="16" t="str">
        <f>IF(AND(_xlfn.XLOOKUP(C2465,'Project Details'!$C$17:$C$66,'Project Details'!$L$17:$L$66,"",0)&gt;550, F2465="Spring-L27cm"),"",SUBSTITUTE(_xlfn.XLOOKUP(G2465,SKUs!$C$2:$C$10001,SKUs!$F$2:$F$10001,"",0), " Accessories",""))</f>
        <v/>
      </c>
      <c r="L2465" s="16">
        <f>_xlfn.XLOOKUP(C2465,'Project Details'!$C$17:$C$66,'Project Details'!$D$17:$D$66,"",0)</f>
        <v>0</v>
      </c>
      <c r="M2465" s="43"/>
    </row>
    <row r="2466" spans="1:13" x14ac:dyDescent="0.25">
      <c r="A2466" s="43"/>
      <c r="B2466" s="43"/>
      <c r="C2466" s="35">
        <f>C2465</f>
        <v>50</v>
      </c>
      <c r="D2466" s="35" t="str" cm="1">
        <f t="array" ref="D2466">IFERROR(ROUNDUP(_xlfn.IFS(F2466="Aluminum Track", _xlfn.XLOOKUP(C2466, dd_accsrycalc!$A$2:$A$51, dd_accsrycalc!$B$2:$B$51, "",0), F2466="10 x 2 1/2 S (Flat)", _xlfn.XLOOKUP(C2466, dd_accsrycalc!$A$2:$A$51, dd_accsrycalc!$C$2:$C$51, "",0), F2466="Tox6", _xlfn.XLOOKUP(C2466, dd_accsrycalc!$A$2:$A$51, dd_accsrycalc!$D$2:$D$51, "",0), F2466="Cover Cap", _xlfn.XLOOKUP(C2466, dd_accsrycalc!$A$2:$A$51, dd_accsrycalc!$E$2:$E$51, "",0), F2466="Drainage Cover", _xlfn.XLOOKUP(C2466, dd_accsrycalc!$A$2:$A$51, dd_accsrycalc!$F$2:$F$51, "",0),AND( F2466="Double Adhesive Tape", I2466="Roll-up Screen"), _xlfn.XLOOKUP(C2466, calc_rusacc!$C$15:$C$65, calc_rusacc!$AD$15:$AD$65, "",0),AND( F2466="Sealant", I2466="Roll-up Screen"), _xlfn.XLOOKUP(C2466, calc_rusacc!$C$15:$C$65, calc_rusacc!$AF$15:$AF$65, "",0),  AND( F2466="Main Chain", I2466="Accordion Screen"), _xlfn.XLOOKUP(C2466, calc_rusacc!$C$15:$C$65, calc_rusacc!$BF$15:$BF$65, "",0), AND( F2466="Sealant", I2466="Accordion Screen"), _xlfn.XLOOKUP(C2466, calc_rusacc!$C$15:$C$65, calc_rusacc!$BJ$15:$BJ$65, "",0),  F2466="Sealant", _xlfn.XLOOKUP(C2466, dd_accsrycalc!$A$2:$A$51, dd_accsrycalc!$G$2:$G$51, "",0),  F2466&lt;&gt;"",L2466*_xlfn.XLOOKUP(1, (SKUs!$C$2:$C$10001=G2466)*(SKUs!$K$2:$K$10001=I2466),SKUs!$E$2:$E$10001)), 0),"")</f>
        <v/>
      </c>
      <c r="E2466" s="35" t="str">
        <f>_xlfn.XLOOKUP(F2466,dd_item!$B$2:$B$105,dd_item!$C$2:$C$105,"",0)</f>
        <v/>
      </c>
      <c r="F2466" s="35"/>
      <c r="G2466" s="35" cm="1">
        <f t="array" ref="G2466">IFERROR(_xlfn.XLOOKUP(1, (SKUs!$J$2:$J$10001=accsry_unmerged!F2466)*IF(H2466&lt;&gt;"",(SKUs!$L$2:$L$10001=accsry_unmerged!H2466),1)*(SKUs!$K$2:$K$10001=I2466),SKUs!$C$2:$C$10001),"")</f>
        <v>0</v>
      </c>
      <c r="H2466" s="36" cm="1">
        <f t="array" ref="H2466">IFERROR(_xlfn.XLOOKUP(1, (dd_accsryclr!$C$2:$C$1000=accsry_unmerged!F2466)*(dd_accsryclr!$B$2:$B$1000=accsry_unmerged!J2466),dd_accsryclr!$A$2:$A$1000),"")</f>
        <v>0</v>
      </c>
      <c r="I2466" s="35">
        <f>_xlfn.XLOOKUP(C2466,'Project Details'!$C$17:$C$66,'Project Details'!$E$17:$E$66,"",0)</f>
        <v>0</v>
      </c>
      <c r="J2466" s="35">
        <f>_xlfn.XLOOKUP(C2466,'Project Details'!$C$17:$C$66,'Project Details'!$H$17:$H$66,"",0)</f>
        <v>0</v>
      </c>
      <c r="K2466" s="36" t="str">
        <f>IF(AND(_xlfn.XLOOKUP(C2466,'Project Details'!$C$17:$C$66,'Project Details'!$L$17:$L$66,"",0)&gt;550, F2466="Spring-L27cm"),"",SUBSTITUTE(_xlfn.XLOOKUP(G2466,SKUs!$C$2:$C$10001,SKUs!$F$2:$F$10001,"",0), " Accessories",""))</f>
        <v/>
      </c>
      <c r="L2466" s="36">
        <f>_xlfn.XLOOKUP(C2466,'Project Details'!$C$17:$C$66,'Project Details'!$D$17:$D$66,"",0)</f>
        <v>0</v>
      </c>
      <c r="M2466" s="43"/>
    </row>
    <row r="2467" spans="1:13" x14ac:dyDescent="0.25">
      <c r="A2467" s="43"/>
      <c r="B2467" s="43"/>
      <c r="C2467" s="16">
        <f t="shared" ref="C2467:C2513" si="48">C2466</f>
        <v>50</v>
      </c>
      <c r="D2467" s="16" t="str" cm="1">
        <f t="array" ref="D2467">IFERROR(ROUNDUP(_xlfn.IFS(F2467="Aluminum Track", _xlfn.XLOOKUP(C2467, dd_accsrycalc!$A$2:$A$51, dd_accsrycalc!$B$2:$B$51, "",0), F2467="10 x 2 1/2 S (Flat)", _xlfn.XLOOKUP(C2467, dd_accsrycalc!$A$2:$A$51, dd_accsrycalc!$C$2:$C$51, "",0), F2467="Tox6", _xlfn.XLOOKUP(C2467, dd_accsrycalc!$A$2:$A$51, dd_accsrycalc!$D$2:$D$51, "",0), F2467="Cover Cap", _xlfn.XLOOKUP(C2467, dd_accsrycalc!$A$2:$A$51, dd_accsrycalc!$E$2:$E$51, "",0), F2467="Drainage Cover", _xlfn.XLOOKUP(C2467, dd_accsrycalc!$A$2:$A$51, dd_accsrycalc!$F$2:$F$51, "",0),AND( F2467="Double Adhesive Tape", I2467="Roll-up Screen"), _xlfn.XLOOKUP(C2467, calc_rusacc!$C$15:$C$65, calc_rusacc!$AD$15:$AD$65, "",0),AND( F2467="Sealant", I2467="Roll-up Screen"), _xlfn.XLOOKUP(C2467, calc_rusacc!$C$15:$C$65, calc_rusacc!$AF$15:$AF$65, "",0),  AND( F2467="Main Chain", I2467="Accordion Screen"), _xlfn.XLOOKUP(C2467, calc_rusacc!$C$15:$C$65, calc_rusacc!$BF$15:$BF$65, "",0), AND( F2467="Sealant", I2467="Accordion Screen"), _xlfn.XLOOKUP(C2467, calc_rusacc!$C$15:$C$65, calc_rusacc!$BJ$15:$BJ$65, "",0),  F2467="Sealant", _xlfn.XLOOKUP(C2467, dd_accsrycalc!$A$2:$A$51, dd_accsrycalc!$G$2:$G$51, "",0),  F2467&lt;&gt;"",L2467*_xlfn.XLOOKUP(1, (SKUs!$C$2:$C$10001=G2467)*(SKUs!$K$2:$K$10001=I2467),SKUs!$E$2:$E$10001)), 0),"")</f>
        <v/>
      </c>
      <c r="E2467" s="16" t="str">
        <f>_xlfn.XLOOKUP(F2467,dd_item!$B$2:$B$105,dd_item!$C$2:$C$105,"",0)</f>
        <v/>
      </c>
      <c r="F2467" s="16"/>
      <c r="G2467" s="16" cm="1">
        <f t="array" ref="G2467">IFERROR(_xlfn.XLOOKUP(1, (SKUs!$J$2:$J$10001=accsry_unmerged!F2467)*IF(H2467&lt;&gt;"",(SKUs!$L$2:$L$10001=accsry_unmerged!H2467),1)*(SKUs!$K$2:$K$10001=I2467),SKUs!$C$2:$C$10001),"")</f>
        <v>0</v>
      </c>
      <c r="H2467" s="33" cm="1">
        <f t="array" ref="H2467">IFERROR(_xlfn.XLOOKUP(1, (dd_accsryclr!$C$2:$C$1000=accsry_unmerged!F2467)*(dd_accsryclr!$B$2:$B$1000=accsry_unmerged!J2467),dd_accsryclr!$A$2:$A$1000),"")</f>
        <v>0</v>
      </c>
      <c r="I2467" s="16">
        <f>_xlfn.XLOOKUP(C2467,'Project Details'!$C$17:$C$66,'Project Details'!$E$17:$E$66,"",0)</f>
        <v>0</v>
      </c>
      <c r="J2467" s="16">
        <f>_xlfn.XLOOKUP(C2467,'Project Details'!$C$17:$C$66,'Project Details'!$H$17:$H$66,"",0)</f>
        <v>0</v>
      </c>
      <c r="K2467" s="33" t="str">
        <f>IF(AND(_xlfn.XLOOKUP(C2467,'Project Details'!$C$17:$C$66,'Project Details'!$L$17:$L$66,"",0)&gt;550, F2467="Spring-L27cm"),"",SUBSTITUTE(_xlfn.XLOOKUP(G2467,SKUs!$C$2:$C$10001,SKUs!$F$2:$F$10001,"",0), " Accessories",""))</f>
        <v/>
      </c>
      <c r="L2467" s="33">
        <f>_xlfn.XLOOKUP(C2467,'Project Details'!$C$17:$C$66,'Project Details'!$D$17:$D$66,"",0)</f>
        <v>0</v>
      </c>
      <c r="M2467" s="43"/>
    </row>
    <row r="2468" spans="1:13" x14ac:dyDescent="0.25">
      <c r="A2468" s="43"/>
      <c r="B2468" s="43"/>
      <c r="C2468" s="35">
        <f t="shared" si="48"/>
        <v>50</v>
      </c>
      <c r="D2468" s="35" t="str" cm="1">
        <f t="array" ref="D2468">IFERROR(ROUNDUP(_xlfn.IFS(F2468="Aluminum Track", _xlfn.XLOOKUP(C2468, dd_accsrycalc!$A$2:$A$51, dd_accsrycalc!$B$2:$B$51, "",0), F2468="10 x 2 1/2 S (Flat)", _xlfn.XLOOKUP(C2468, dd_accsrycalc!$A$2:$A$51, dd_accsrycalc!$C$2:$C$51, "",0), F2468="Tox6", _xlfn.XLOOKUP(C2468, dd_accsrycalc!$A$2:$A$51, dd_accsrycalc!$D$2:$D$51, "",0), F2468="Cover Cap", _xlfn.XLOOKUP(C2468, dd_accsrycalc!$A$2:$A$51, dd_accsrycalc!$E$2:$E$51, "",0), F2468="Drainage Cover", _xlfn.XLOOKUP(C2468, dd_accsrycalc!$A$2:$A$51, dd_accsrycalc!$F$2:$F$51, "",0),AND( F2468="Double Adhesive Tape", I2468="Roll-up Screen"), _xlfn.XLOOKUP(C2468, calc_rusacc!$C$15:$C$65, calc_rusacc!$AD$15:$AD$65, "",0),AND( F2468="Sealant", I2468="Roll-up Screen"), _xlfn.XLOOKUP(C2468, calc_rusacc!$C$15:$C$65, calc_rusacc!$AF$15:$AF$65, "",0),  AND( F2468="Main Chain", I2468="Accordion Screen"), _xlfn.XLOOKUP(C2468, calc_rusacc!$C$15:$C$65, calc_rusacc!$BF$15:$BF$65, "",0), AND( F2468="Sealant", I2468="Accordion Screen"), _xlfn.XLOOKUP(C2468, calc_rusacc!$C$15:$C$65, calc_rusacc!$BJ$15:$BJ$65, "",0),  F2468="Sealant", _xlfn.XLOOKUP(C2468, dd_accsrycalc!$A$2:$A$51, dd_accsrycalc!$G$2:$G$51, "",0),  F2468&lt;&gt;"",L2468*_xlfn.XLOOKUP(1, (SKUs!$C$2:$C$10001=G2468)*(SKUs!$K$2:$K$10001=I2468),SKUs!$E$2:$E$10001)), 0),"")</f>
        <v/>
      </c>
      <c r="E2468" s="35" t="str">
        <f>_xlfn.XLOOKUP(F2468,dd_item!$B$2:$B$105,dd_item!$C$2:$C$105,"",0)</f>
        <v/>
      </c>
      <c r="F2468" s="35"/>
      <c r="G2468" s="35" cm="1">
        <f t="array" ref="G2468">IFERROR(_xlfn.XLOOKUP(1, (SKUs!$J$2:$J$10001=accsry_unmerged!F2468)*IF(H2468&lt;&gt;"",(SKUs!$L$2:$L$10001=accsry_unmerged!H2468),1)*(SKUs!$K$2:$K$10001=I2468),SKUs!$C$2:$C$10001),"")</f>
        <v>0</v>
      </c>
      <c r="H2468" s="36" cm="1">
        <f t="array" ref="H2468">IFERROR(_xlfn.XLOOKUP(1, (dd_accsryclr!$C$2:$C$1000=accsry_unmerged!F2468)*(dd_accsryclr!$B$2:$B$1000=accsry_unmerged!J2468),dd_accsryclr!$A$2:$A$1000),"")</f>
        <v>0</v>
      </c>
      <c r="I2468" s="35">
        <f>_xlfn.XLOOKUP(C2468,'Project Details'!$C$17:$C$66,'Project Details'!$E$17:$E$66,"",0)</f>
        <v>0</v>
      </c>
      <c r="J2468" s="35">
        <f>_xlfn.XLOOKUP(C2468,'Project Details'!$C$17:$C$66,'Project Details'!$H$17:$H$66,"",0)</f>
        <v>0</v>
      </c>
      <c r="K2468" s="36" t="str">
        <f>IF(AND(_xlfn.XLOOKUP(C2468,'Project Details'!$C$17:$C$66,'Project Details'!$L$17:$L$66,"",0)&gt;550, F2468="Spring-L27cm"),"",SUBSTITUTE(_xlfn.XLOOKUP(G2468,SKUs!$C$2:$C$10001,SKUs!$F$2:$F$10001,"",0), " Accessories",""))</f>
        <v/>
      </c>
      <c r="L2468" s="36">
        <f>_xlfn.XLOOKUP(C2468,'Project Details'!$C$17:$C$66,'Project Details'!$D$17:$D$66,"",0)</f>
        <v>0</v>
      </c>
      <c r="M2468" s="43"/>
    </row>
    <row r="2469" spans="1:13" x14ac:dyDescent="0.25">
      <c r="A2469" s="43"/>
      <c r="B2469" s="43"/>
      <c r="C2469" s="16">
        <f t="shared" si="48"/>
        <v>50</v>
      </c>
      <c r="D2469" s="16" t="str" cm="1">
        <f t="array" ref="D2469">IFERROR(ROUNDUP(_xlfn.IFS(F2469="Aluminum Track", _xlfn.XLOOKUP(C2469, dd_accsrycalc!$A$2:$A$51, dd_accsrycalc!$B$2:$B$51, "",0), F2469="10 x 2 1/2 S (Flat)", _xlfn.XLOOKUP(C2469, dd_accsrycalc!$A$2:$A$51, dd_accsrycalc!$C$2:$C$51, "",0), F2469="Tox6", _xlfn.XLOOKUP(C2469, dd_accsrycalc!$A$2:$A$51, dd_accsrycalc!$D$2:$D$51, "",0), F2469="Cover Cap", _xlfn.XLOOKUP(C2469, dd_accsrycalc!$A$2:$A$51, dd_accsrycalc!$E$2:$E$51, "",0), F2469="Drainage Cover", _xlfn.XLOOKUP(C2469, dd_accsrycalc!$A$2:$A$51, dd_accsrycalc!$F$2:$F$51, "",0),AND( F2469="Double Adhesive Tape", I2469="Roll-up Screen"), _xlfn.XLOOKUP(C2469, calc_rusacc!$C$15:$C$65, calc_rusacc!$AD$15:$AD$65, "",0),AND( F2469="Sealant", I2469="Roll-up Screen"), _xlfn.XLOOKUP(C2469, calc_rusacc!$C$15:$C$65, calc_rusacc!$AF$15:$AF$65, "",0),  AND( F2469="Main Chain", I2469="Accordion Screen"), _xlfn.XLOOKUP(C2469, calc_rusacc!$C$15:$C$65, calc_rusacc!$BF$15:$BF$65, "",0), AND( F2469="Sealant", I2469="Accordion Screen"), _xlfn.XLOOKUP(C2469, calc_rusacc!$C$15:$C$65, calc_rusacc!$BJ$15:$BJ$65, "",0),  F2469="Sealant", _xlfn.XLOOKUP(C2469, dd_accsrycalc!$A$2:$A$51, dd_accsrycalc!$G$2:$G$51, "",0),  F2469&lt;&gt;"",L2469*_xlfn.XLOOKUP(1, (SKUs!$C$2:$C$10001=G2469)*(SKUs!$K$2:$K$10001=I2469),SKUs!$E$2:$E$10001)), 0),"")</f>
        <v/>
      </c>
      <c r="E2469" s="16" t="str">
        <f>_xlfn.XLOOKUP(F2469,dd_item!$B$2:$B$105,dd_item!$C$2:$C$105,"",0)</f>
        <v/>
      </c>
      <c r="F2469" s="16"/>
      <c r="G2469" s="16" cm="1">
        <f t="array" ref="G2469">IFERROR(_xlfn.XLOOKUP(1, (SKUs!$J$2:$J$10001=accsry_unmerged!F2469)*IF(H2469&lt;&gt;"",(SKUs!$L$2:$L$10001=accsry_unmerged!H2469),1)*(SKUs!$K$2:$K$10001=I2469),SKUs!$C$2:$C$10001),"")</f>
        <v>0</v>
      </c>
      <c r="H2469" s="33" cm="1">
        <f t="array" ref="H2469">IFERROR(_xlfn.XLOOKUP(1, (dd_accsryclr!$C$2:$C$1000=accsry_unmerged!F2469)*(dd_accsryclr!$B$2:$B$1000=accsry_unmerged!J2469),dd_accsryclr!$A$2:$A$1000),"")</f>
        <v>0</v>
      </c>
      <c r="I2469" s="16">
        <f>_xlfn.XLOOKUP(C2469,'Project Details'!$C$17:$C$66,'Project Details'!$E$17:$E$66,"",0)</f>
        <v>0</v>
      </c>
      <c r="J2469" s="16">
        <f>_xlfn.XLOOKUP(C2469,'Project Details'!$C$17:$C$66,'Project Details'!$H$17:$H$66,"",0)</f>
        <v>0</v>
      </c>
      <c r="K2469" s="33" t="str">
        <f>IF(AND(_xlfn.XLOOKUP(C2469,'Project Details'!$C$17:$C$66,'Project Details'!$L$17:$L$66,"",0)&gt;550, F2469="Spring-L27cm"),"",SUBSTITUTE(_xlfn.XLOOKUP(G2469,SKUs!$C$2:$C$10001,SKUs!$F$2:$F$10001,"",0), " Accessories",""))</f>
        <v/>
      </c>
      <c r="L2469" s="33">
        <f>_xlfn.XLOOKUP(C2469,'Project Details'!$C$17:$C$66,'Project Details'!$D$17:$D$66,"",0)</f>
        <v>0</v>
      </c>
      <c r="M2469" s="43"/>
    </row>
    <row r="2470" spans="1:13" x14ac:dyDescent="0.25">
      <c r="A2470" s="43"/>
      <c r="B2470" s="43"/>
      <c r="C2470" s="35">
        <f t="shared" si="48"/>
        <v>50</v>
      </c>
      <c r="D2470" s="35" t="str" cm="1">
        <f t="array" ref="D2470">IFERROR(ROUNDUP(_xlfn.IFS(F2470="Aluminum Track", _xlfn.XLOOKUP(C2470, dd_accsrycalc!$A$2:$A$51, dd_accsrycalc!$B$2:$B$51, "",0), F2470="10 x 2 1/2 S (Flat)", _xlfn.XLOOKUP(C2470, dd_accsrycalc!$A$2:$A$51, dd_accsrycalc!$C$2:$C$51, "",0), F2470="Tox6", _xlfn.XLOOKUP(C2470, dd_accsrycalc!$A$2:$A$51, dd_accsrycalc!$D$2:$D$51, "",0), F2470="Cover Cap", _xlfn.XLOOKUP(C2470, dd_accsrycalc!$A$2:$A$51, dd_accsrycalc!$E$2:$E$51, "",0), F2470="Drainage Cover", _xlfn.XLOOKUP(C2470, dd_accsrycalc!$A$2:$A$51, dd_accsrycalc!$F$2:$F$51, "",0),AND( F2470="Double Adhesive Tape", I2470="Roll-up Screen"), _xlfn.XLOOKUP(C2470, calc_rusacc!$C$15:$C$65, calc_rusacc!$AD$15:$AD$65, "",0),AND( F2470="Sealant", I2470="Roll-up Screen"), _xlfn.XLOOKUP(C2470, calc_rusacc!$C$15:$C$65, calc_rusacc!$AF$15:$AF$65, "",0),  AND( F2470="Main Chain", I2470="Accordion Screen"), _xlfn.XLOOKUP(C2470, calc_rusacc!$C$15:$C$65, calc_rusacc!$BF$15:$BF$65, "",0), AND( F2470="Sealant", I2470="Accordion Screen"), _xlfn.XLOOKUP(C2470, calc_rusacc!$C$15:$C$65, calc_rusacc!$BJ$15:$BJ$65, "",0),  F2470="Sealant", _xlfn.XLOOKUP(C2470, dd_accsrycalc!$A$2:$A$51, dd_accsrycalc!$G$2:$G$51, "",0),  F2470&lt;&gt;"",L2470*_xlfn.XLOOKUP(1, (SKUs!$C$2:$C$10001=G2470)*(SKUs!$K$2:$K$10001=I2470),SKUs!$E$2:$E$10001)), 0),"")</f>
        <v/>
      </c>
      <c r="E2470" s="35" t="str">
        <f>_xlfn.XLOOKUP(F2470,dd_item!$B$2:$B$105,dd_item!$C$2:$C$105,"",0)</f>
        <v/>
      </c>
      <c r="F2470" s="35"/>
      <c r="G2470" s="35" cm="1">
        <f t="array" ref="G2470">IFERROR(_xlfn.XLOOKUP(1, (SKUs!$J$2:$J$10001=accsry_unmerged!F2470)*IF(H2470&lt;&gt;"",(SKUs!$L$2:$L$10001=accsry_unmerged!H2470),1)*(SKUs!$K$2:$K$10001=I2470),SKUs!$C$2:$C$10001),"")</f>
        <v>0</v>
      </c>
      <c r="H2470" s="36" cm="1">
        <f t="array" ref="H2470">IFERROR(_xlfn.XLOOKUP(1, (dd_accsryclr!$C$2:$C$1000=accsry_unmerged!F2470)*(dd_accsryclr!$B$2:$B$1000=accsry_unmerged!J2470),dd_accsryclr!$A$2:$A$1000),"")</f>
        <v>0</v>
      </c>
      <c r="I2470" s="35">
        <f>_xlfn.XLOOKUP(C2470,'Project Details'!$C$17:$C$66,'Project Details'!$E$17:$E$66,"",0)</f>
        <v>0</v>
      </c>
      <c r="J2470" s="35">
        <f>_xlfn.XLOOKUP(C2470,'Project Details'!$C$17:$C$66,'Project Details'!$H$17:$H$66,"",0)</f>
        <v>0</v>
      </c>
      <c r="K2470" s="36" t="str">
        <f>IF(AND(_xlfn.XLOOKUP(C2470,'Project Details'!$C$17:$C$66,'Project Details'!$L$17:$L$66,"",0)&gt;550, F2470="Spring-L27cm"),"",SUBSTITUTE(_xlfn.XLOOKUP(G2470,SKUs!$C$2:$C$10001,SKUs!$F$2:$F$10001,"",0), " Accessories",""))</f>
        <v/>
      </c>
      <c r="L2470" s="36">
        <f>_xlfn.XLOOKUP(C2470,'Project Details'!$C$17:$C$66,'Project Details'!$D$17:$D$66,"",0)</f>
        <v>0</v>
      </c>
      <c r="M2470" s="43"/>
    </row>
    <row r="2471" spans="1:13" x14ac:dyDescent="0.25">
      <c r="A2471" s="43"/>
      <c r="B2471" s="43"/>
      <c r="C2471" s="16">
        <f t="shared" si="48"/>
        <v>50</v>
      </c>
      <c r="D2471" s="16" t="str" cm="1">
        <f t="array" ref="D2471">IFERROR(ROUNDUP(_xlfn.IFS(F2471="Aluminum Track", _xlfn.XLOOKUP(C2471, dd_accsrycalc!$A$2:$A$51, dd_accsrycalc!$B$2:$B$51, "",0), F2471="10 x 2 1/2 S (Flat)", _xlfn.XLOOKUP(C2471, dd_accsrycalc!$A$2:$A$51, dd_accsrycalc!$C$2:$C$51, "",0), F2471="Tox6", _xlfn.XLOOKUP(C2471, dd_accsrycalc!$A$2:$A$51, dd_accsrycalc!$D$2:$D$51, "",0), F2471="Cover Cap", _xlfn.XLOOKUP(C2471, dd_accsrycalc!$A$2:$A$51, dd_accsrycalc!$E$2:$E$51, "",0), F2471="Drainage Cover", _xlfn.XLOOKUP(C2471, dd_accsrycalc!$A$2:$A$51, dd_accsrycalc!$F$2:$F$51, "",0),AND( F2471="Double Adhesive Tape", I2471="Roll-up Screen"), _xlfn.XLOOKUP(C2471, calc_rusacc!$C$15:$C$65, calc_rusacc!$AD$15:$AD$65, "",0),AND( F2471="Sealant", I2471="Roll-up Screen"), _xlfn.XLOOKUP(C2471, calc_rusacc!$C$15:$C$65, calc_rusacc!$AF$15:$AF$65, "",0),  AND( F2471="Main Chain", I2471="Accordion Screen"), _xlfn.XLOOKUP(C2471, calc_rusacc!$C$15:$C$65, calc_rusacc!$BF$15:$BF$65, "",0), AND( F2471="Sealant", I2471="Accordion Screen"), _xlfn.XLOOKUP(C2471, calc_rusacc!$C$15:$C$65, calc_rusacc!$BJ$15:$BJ$65, "",0),  F2471="Sealant", _xlfn.XLOOKUP(C2471, dd_accsrycalc!$A$2:$A$51, dd_accsrycalc!$G$2:$G$51, "",0),  F2471&lt;&gt;"",L2471*_xlfn.XLOOKUP(1, (SKUs!$C$2:$C$10001=G2471)*(SKUs!$K$2:$K$10001=I2471),SKUs!$E$2:$E$10001)), 0),"")</f>
        <v/>
      </c>
      <c r="E2471" s="16" t="str">
        <f>_xlfn.XLOOKUP(F2471,dd_item!$B$2:$B$105,dd_item!$C$2:$C$105,"",0)</f>
        <v/>
      </c>
      <c r="F2471" s="16"/>
      <c r="G2471" s="16" cm="1">
        <f t="array" ref="G2471">IFERROR(_xlfn.XLOOKUP(1, (SKUs!$J$2:$J$10001=accsry_unmerged!F2471)*IF(H2471&lt;&gt;"",(SKUs!$L$2:$L$10001=accsry_unmerged!H2471),1)*(SKUs!$K$2:$K$10001=I2471),SKUs!$C$2:$C$10001),"")</f>
        <v>0</v>
      </c>
      <c r="H2471" s="33" cm="1">
        <f t="array" ref="H2471">IFERROR(_xlfn.XLOOKUP(1, (dd_accsryclr!$C$2:$C$1000=accsry_unmerged!F2471)*(dd_accsryclr!$B$2:$B$1000=accsry_unmerged!J2471),dd_accsryclr!$A$2:$A$1000),"")</f>
        <v>0</v>
      </c>
      <c r="I2471" s="16">
        <f>_xlfn.XLOOKUP(C2471,'Project Details'!$C$17:$C$66,'Project Details'!$E$17:$E$66,"",0)</f>
        <v>0</v>
      </c>
      <c r="J2471" s="16">
        <f>_xlfn.XLOOKUP(C2471,'Project Details'!$C$17:$C$66,'Project Details'!$H$17:$H$66,"",0)</f>
        <v>0</v>
      </c>
      <c r="K2471" s="33" t="str">
        <f>IF(AND(_xlfn.XLOOKUP(C2471,'Project Details'!$C$17:$C$66,'Project Details'!$L$17:$L$66,"",0)&gt;550, F2471="Spring-L27cm"),"",SUBSTITUTE(_xlfn.XLOOKUP(G2471,SKUs!$C$2:$C$10001,SKUs!$F$2:$F$10001,"",0), " Accessories",""))</f>
        <v/>
      </c>
      <c r="L2471" s="33">
        <f>_xlfn.XLOOKUP(C2471,'Project Details'!$C$17:$C$66,'Project Details'!$D$17:$D$66,"",0)</f>
        <v>0</v>
      </c>
      <c r="M2471" s="43"/>
    </row>
    <row r="2472" spans="1:13" x14ac:dyDescent="0.25">
      <c r="A2472" s="43"/>
      <c r="B2472" s="43"/>
      <c r="C2472" s="35">
        <f t="shared" si="48"/>
        <v>50</v>
      </c>
      <c r="D2472" s="35" t="str" cm="1">
        <f t="array" ref="D2472">IFERROR(ROUNDUP(_xlfn.IFS(F2472="Aluminum Track", _xlfn.XLOOKUP(C2472, dd_accsrycalc!$A$2:$A$51, dd_accsrycalc!$B$2:$B$51, "",0), F2472="10 x 2 1/2 S (Flat)", _xlfn.XLOOKUP(C2472, dd_accsrycalc!$A$2:$A$51, dd_accsrycalc!$C$2:$C$51, "",0), F2472="Tox6", _xlfn.XLOOKUP(C2472, dd_accsrycalc!$A$2:$A$51, dd_accsrycalc!$D$2:$D$51, "",0), F2472="Cover Cap", _xlfn.XLOOKUP(C2472, dd_accsrycalc!$A$2:$A$51, dd_accsrycalc!$E$2:$E$51, "",0), F2472="Drainage Cover", _xlfn.XLOOKUP(C2472, dd_accsrycalc!$A$2:$A$51, dd_accsrycalc!$F$2:$F$51, "",0),AND( F2472="Double Adhesive Tape", I2472="Roll-up Screen"), _xlfn.XLOOKUP(C2472, calc_rusacc!$C$15:$C$65, calc_rusacc!$AD$15:$AD$65, "",0),AND( F2472="Sealant", I2472="Roll-up Screen"), _xlfn.XLOOKUP(C2472, calc_rusacc!$C$15:$C$65, calc_rusacc!$AF$15:$AF$65, "",0),  AND( F2472="Main Chain", I2472="Accordion Screen"), _xlfn.XLOOKUP(C2472, calc_rusacc!$C$15:$C$65, calc_rusacc!$BF$15:$BF$65, "",0), AND( F2472="Sealant", I2472="Accordion Screen"), _xlfn.XLOOKUP(C2472, calc_rusacc!$C$15:$C$65, calc_rusacc!$BJ$15:$BJ$65, "",0),  F2472="Sealant", _xlfn.XLOOKUP(C2472, dd_accsrycalc!$A$2:$A$51, dd_accsrycalc!$G$2:$G$51, "",0),  F2472&lt;&gt;"",L2472*_xlfn.XLOOKUP(1, (SKUs!$C$2:$C$10001=G2472)*(SKUs!$K$2:$K$10001=I2472),SKUs!$E$2:$E$10001)), 0),"")</f>
        <v/>
      </c>
      <c r="E2472" s="35" t="str">
        <f>_xlfn.XLOOKUP(F2472,dd_item!$B$2:$B$105,dd_item!$C$2:$C$105,"",0)</f>
        <v/>
      </c>
      <c r="F2472" s="35"/>
      <c r="G2472" s="35" cm="1">
        <f t="array" ref="G2472">IFERROR(_xlfn.XLOOKUP(1, (SKUs!$J$2:$J$10001=accsry_unmerged!F2472)*IF(H2472&lt;&gt;"",(SKUs!$L$2:$L$10001=accsry_unmerged!H2472),1)*(SKUs!$K$2:$K$10001=I2472),SKUs!$C$2:$C$10001),"")</f>
        <v>0</v>
      </c>
      <c r="H2472" s="36" cm="1">
        <f t="array" ref="H2472">IFERROR(_xlfn.XLOOKUP(1, (dd_accsryclr!$C$2:$C$1000=accsry_unmerged!F2472)*(dd_accsryclr!$B$2:$B$1000=accsry_unmerged!J2472),dd_accsryclr!$A$2:$A$1000),"")</f>
        <v>0</v>
      </c>
      <c r="I2472" s="35">
        <f>_xlfn.XLOOKUP(C2472,'Project Details'!$C$17:$C$66,'Project Details'!$E$17:$E$66,"",0)</f>
        <v>0</v>
      </c>
      <c r="J2472" s="35">
        <f>_xlfn.XLOOKUP(C2472,'Project Details'!$C$17:$C$66,'Project Details'!$H$17:$H$66,"",0)</f>
        <v>0</v>
      </c>
      <c r="K2472" s="36" t="str">
        <f>IF(AND(_xlfn.XLOOKUP(C2472,'Project Details'!$C$17:$C$66,'Project Details'!$L$17:$L$66,"",0)&gt;550, F2472="Spring-L27cm"),"",SUBSTITUTE(_xlfn.XLOOKUP(G2472,SKUs!$C$2:$C$10001,SKUs!$F$2:$F$10001,"",0), " Accessories",""))</f>
        <v/>
      </c>
      <c r="L2472" s="36">
        <f>_xlfn.XLOOKUP(C2472,'Project Details'!$C$17:$C$66,'Project Details'!$D$17:$D$66,"",0)</f>
        <v>0</v>
      </c>
      <c r="M2472" s="43"/>
    </row>
    <row r="2473" spans="1:13" x14ac:dyDescent="0.25">
      <c r="A2473" s="43"/>
      <c r="B2473" s="43"/>
      <c r="C2473" s="16">
        <f t="shared" si="48"/>
        <v>50</v>
      </c>
      <c r="D2473" s="16" t="str" cm="1">
        <f t="array" ref="D2473">IFERROR(ROUNDUP(_xlfn.IFS(F2473="Aluminum Track", _xlfn.XLOOKUP(C2473, dd_accsrycalc!$A$2:$A$51, dd_accsrycalc!$B$2:$B$51, "",0), F2473="10 x 2 1/2 S (Flat)", _xlfn.XLOOKUP(C2473, dd_accsrycalc!$A$2:$A$51, dd_accsrycalc!$C$2:$C$51, "",0), F2473="Tox6", _xlfn.XLOOKUP(C2473, dd_accsrycalc!$A$2:$A$51, dd_accsrycalc!$D$2:$D$51, "",0), F2473="Cover Cap", _xlfn.XLOOKUP(C2473, dd_accsrycalc!$A$2:$A$51, dd_accsrycalc!$E$2:$E$51, "",0), F2473="Drainage Cover", _xlfn.XLOOKUP(C2473, dd_accsrycalc!$A$2:$A$51, dd_accsrycalc!$F$2:$F$51, "",0),AND( F2473="Double Adhesive Tape", I2473="Roll-up Screen"), _xlfn.XLOOKUP(C2473, calc_rusacc!$C$15:$C$65, calc_rusacc!$AD$15:$AD$65, "",0),AND( F2473="Sealant", I2473="Roll-up Screen"), _xlfn.XLOOKUP(C2473, calc_rusacc!$C$15:$C$65, calc_rusacc!$AF$15:$AF$65, "",0),  AND( F2473="Main Chain", I2473="Accordion Screen"), _xlfn.XLOOKUP(C2473, calc_rusacc!$C$15:$C$65, calc_rusacc!$BF$15:$BF$65, "",0), AND( F2473="Sealant", I2473="Accordion Screen"), _xlfn.XLOOKUP(C2473, calc_rusacc!$C$15:$C$65, calc_rusacc!$BJ$15:$BJ$65, "",0),  F2473="Sealant", _xlfn.XLOOKUP(C2473, dd_accsrycalc!$A$2:$A$51, dd_accsrycalc!$G$2:$G$51, "",0),  F2473&lt;&gt;"",L2473*_xlfn.XLOOKUP(1, (SKUs!$C$2:$C$10001=G2473)*(SKUs!$K$2:$K$10001=I2473),SKUs!$E$2:$E$10001)), 0),"")</f>
        <v/>
      </c>
      <c r="E2473" s="16" t="str">
        <f>_xlfn.XLOOKUP(F2473,dd_item!$B$2:$B$105,dd_item!$C$2:$C$105,"",0)</f>
        <v/>
      </c>
      <c r="F2473" s="16"/>
      <c r="G2473" s="16" cm="1">
        <f t="array" ref="G2473">IFERROR(_xlfn.XLOOKUP(1, (SKUs!$J$2:$J$10001=accsry_unmerged!F2473)*IF(H2473&lt;&gt;"",(SKUs!$L$2:$L$10001=accsry_unmerged!H2473),1)*(SKUs!$K$2:$K$10001=I2473),SKUs!$C$2:$C$10001),"")</f>
        <v>0</v>
      </c>
      <c r="H2473" s="33" cm="1">
        <f t="array" ref="H2473">IFERROR(_xlfn.XLOOKUP(1, (dd_accsryclr!$C$2:$C$1000=accsry_unmerged!F2473)*(dd_accsryclr!$B$2:$B$1000=accsry_unmerged!J2473),dd_accsryclr!$A$2:$A$1000),"")</f>
        <v>0</v>
      </c>
      <c r="I2473" s="16">
        <f>_xlfn.XLOOKUP(C2473,'Project Details'!$C$17:$C$66,'Project Details'!$E$17:$E$66,"",0)</f>
        <v>0</v>
      </c>
      <c r="J2473" s="16">
        <f>_xlfn.XLOOKUP(C2473,'Project Details'!$C$17:$C$66,'Project Details'!$H$17:$H$66,"",0)</f>
        <v>0</v>
      </c>
      <c r="K2473" s="33" t="str">
        <f>IF(AND(_xlfn.XLOOKUP(C2473,'Project Details'!$C$17:$C$66,'Project Details'!$L$17:$L$66,"",0)&gt;550, F2473="Spring-L27cm"),"",SUBSTITUTE(_xlfn.XLOOKUP(G2473,SKUs!$C$2:$C$10001,SKUs!$F$2:$F$10001,"",0), " Accessories",""))</f>
        <v/>
      </c>
      <c r="L2473" s="33">
        <f>_xlfn.XLOOKUP(C2473,'Project Details'!$C$17:$C$66,'Project Details'!$D$17:$D$66,"",0)</f>
        <v>0</v>
      </c>
      <c r="M2473" s="43"/>
    </row>
    <row r="2474" spans="1:13" x14ac:dyDescent="0.25">
      <c r="A2474" s="43"/>
      <c r="B2474" s="43"/>
      <c r="C2474" s="35">
        <f t="shared" si="48"/>
        <v>50</v>
      </c>
      <c r="D2474" s="35" t="str" cm="1">
        <f t="array" ref="D2474">IFERROR(ROUNDUP(_xlfn.IFS(F2474="Aluminum Track", _xlfn.XLOOKUP(C2474, dd_accsrycalc!$A$2:$A$51, dd_accsrycalc!$B$2:$B$51, "",0), F2474="10 x 2 1/2 S (Flat)", _xlfn.XLOOKUP(C2474, dd_accsrycalc!$A$2:$A$51, dd_accsrycalc!$C$2:$C$51, "",0), F2474="Tox6", _xlfn.XLOOKUP(C2474, dd_accsrycalc!$A$2:$A$51, dd_accsrycalc!$D$2:$D$51, "",0), F2474="Cover Cap", _xlfn.XLOOKUP(C2474, dd_accsrycalc!$A$2:$A$51, dd_accsrycalc!$E$2:$E$51, "",0), F2474="Drainage Cover", _xlfn.XLOOKUP(C2474, dd_accsrycalc!$A$2:$A$51, dd_accsrycalc!$F$2:$F$51, "",0),AND( F2474="Double Adhesive Tape", I2474="Roll-up Screen"), _xlfn.XLOOKUP(C2474, calc_rusacc!$C$15:$C$65, calc_rusacc!$AD$15:$AD$65, "",0),AND( F2474="Sealant", I2474="Roll-up Screen"), _xlfn.XLOOKUP(C2474, calc_rusacc!$C$15:$C$65, calc_rusacc!$AF$15:$AF$65, "",0),  AND( F2474="Main Chain", I2474="Accordion Screen"), _xlfn.XLOOKUP(C2474, calc_rusacc!$C$15:$C$65, calc_rusacc!$BF$15:$BF$65, "",0), AND( F2474="Sealant", I2474="Accordion Screen"), _xlfn.XLOOKUP(C2474, calc_rusacc!$C$15:$C$65, calc_rusacc!$BJ$15:$BJ$65, "",0),  F2474="Sealant", _xlfn.XLOOKUP(C2474, dd_accsrycalc!$A$2:$A$51, dd_accsrycalc!$G$2:$G$51, "",0),  F2474&lt;&gt;"",L2474*_xlfn.XLOOKUP(1, (SKUs!$C$2:$C$10001=G2474)*(SKUs!$K$2:$K$10001=I2474),SKUs!$E$2:$E$10001)), 0),"")</f>
        <v/>
      </c>
      <c r="E2474" s="35" t="str">
        <f>_xlfn.XLOOKUP(F2474,dd_item!$B$2:$B$105,dd_item!$C$2:$C$105,"",0)</f>
        <v/>
      </c>
      <c r="F2474" s="35"/>
      <c r="G2474" s="35" cm="1">
        <f t="array" ref="G2474">IFERROR(_xlfn.XLOOKUP(1, (SKUs!$J$2:$J$10001=accsry_unmerged!F2474)*IF(H2474&lt;&gt;"",(SKUs!$L$2:$L$10001=accsry_unmerged!H2474),1)*(SKUs!$K$2:$K$10001=I2474),SKUs!$C$2:$C$10001),"")</f>
        <v>0</v>
      </c>
      <c r="H2474" s="36" cm="1">
        <f t="array" ref="H2474">IFERROR(_xlfn.XLOOKUP(1, (dd_accsryclr!$C$2:$C$1000=accsry_unmerged!F2474)*(dd_accsryclr!$B$2:$B$1000=accsry_unmerged!J2474),dd_accsryclr!$A$2:$A$1000),"")</f>
        <v>0</v>
      </c>
      <c r="I2474" s="35">
        <f>_xlfn.XLOOKUP(C2474,'Project Details'!$C$17:$C$66,'Project Details'!$E$17:$E$66,"",0)</f>
        <v>0</v>
      </c>
      <c r="J2474" s="35">
        <f>_xlfn.XLOOKUP(C2474,'Project Details'!$C$17:$C$66,'Project Details'!$H$17:$H$66,"",0)</f>
        <v>0</v>
      </c>
      <c r="K2474" s="36" t="str">
        <f>IF(AND(_xlfn.XLOOKUP(C2474,'Project Details'!$C$17:$C$66,'Project Details'!$L$17:$L$66,"",0)&gt;550, F2474="Spring-L27cm"),"",SUBSTITUTE(_xlfn.XLOOKUP(G2474,SKUs!$C$2:$C$10001,SKUs!$F$2:$F$10001,"",0), " Accessories",""))</f>
        <v/>
      </c>
      <c r="L2474" s="36">
        <f>_xlfn.XLOOKUP(C2474,'Project Details'!$C$17:$C$66,'Project Details'!$D$17:$D$66,"",0)</f>
        <v>0</v>
      </c>
      <c r="M2474" s="43"/>
    </row>
    <row r="2475" spans="1:13" x14ac:dyDescent="0.25">
      <c r="A2475" s="43"/>
      <c r="B2475" s="43"/>
      <c r="C2475" s="16">
        <f t="shared" si="48"/>
        <v>50</v>
      </c>
      <c r="D2475" s="16" t="str" cm="1">
        <f t="array" ref="D2475">IFERROR(ROUNDUP(_xlfn.IFS(F2475="Aluminum Track", _xlfn.XLOOKUP(C2475, dd_accsrycalc!$A$2:$A$51, dd_accsrycalc!$B$2:$B$51, "",0), F2475="10 x 2 1/2 S (Flat)", _xlfn.XLOOKUP(C2475, dd_accsrycalc!$A$2:$A$51, dd_accsrycalc!$C$2:$C$51, "",0), F2475="Tox6", _xlfn.XLOOKUP(C2475, dd_accsrycalc!$A$2:$A$51, dd_accsrycalc!$D$2:$D$51, "",0), F2475="Cover Cap", _xlfn.XLOOKUP(C2475, dd_accsrycalc!$A$2:$A$51, dd_accsrycalc!$E$2:$E$51, "",0), F2475="Drainage Cover", _xlfn.XLOOKUP(C2475, dd_accsrycalc!$A$2:$A$51, dd_accsrycalc!$F$2:$F$51, "",0),AND( F2475="Double Adhesive Tape", I2475="Roll-up Screen"), _xlfn.XLOOKUP(C2475, calc_rusacc!$C$15:$C$65, calc_rusacc!$AD$15:$AD$65, "",0),AND( F2475="Sealant", I2475="Roll-up Screen"), _xlfn.XLOOKUP(C2475, calc_rusacc!$C$15:$C$65, calc_rusacc!$AF$15:$AF$65, "",0),  AND( F2475="Main Chain", I2475="Accordion Screen"), _xlfn.XLOOKUP(C2475, calc_rusacc!$C$15:$C$65, calc_rusacc!$BF$15:$BF$65, "",0), AND( F2475="Sealant", I2475="Accordion Screen"), _xlfn.XLOOKUP(C2475, calc_rusacc!$C$15:$C$65, calc_rusacc!$BJ$15:$BJ$65, "",0),  F2475="Sealant", _xlfn.XLOOKUP(C2475, dd_accsrycalc!$A$2:$A$51, dd_accsrycalc!$G$2:$G$51, "",0),  F2475&lt;&gt;"",L2475*_xlfn.XLOOKUP(1, (SKUs!$C$2:$C$10001=G2475)*(SKUs!$K$2:$K$10001=I2475),SKUs!$E$2:$E$10001)), 0),"")</f>
        <v/>
      </c>
      <c r="E2475" s="16" t="str">
        <f>_xlfn.XLOOKUP(F2475,dd_item!$B$2:$B$105,dd_item!$C$2:$C$105,"",0)</f>
        <v/>
      </c>
      <c r="F2475" s="16"/>
      <c r="G2475" s="16" cm="1">
        <f t="array" ref="G2475">IFERROR(_xlfn.XLOOKUP(1, (SKUs!$J$2:$J$10001=accsry_unmerged!F2475)*IF(H2475&lt;&gt;"",(SKUs!$L$2:$L$10001=accsry_unmerged!H2475),1)*(SKUs!$K$2:$K$10001=I2475),SKUs!$C$2:$C$10001),"")</f>
        <v>0</v>
      </c>
      <c r="H2475" s="33" cm="1">
        <f t="array" ref="H2475">IFERROR(_xlfn.XLOOKUP(1, (dd_accsryclr!$C$2:$C$1000=accsry_unmerged!F2475)*(dd_accsryclr!$B$2:$B$1000=accsry_unmerged!J2475),dd_accsryclr!$A$2:$A$1000),"")</f>
        <v>0</v>
      </c>
      <c r="I2475" s="16">
        <f>_xlfn.XLOOKUP(C2475,'Project Details'!$C$17:$C$66,'Project Details'!$E$17:$E$66,"",0)</f>
        <v>0</v>
      </c>
      <c r="J2475" s="16">
        <f>_xlfn.XLOOKUP(C2475,'Project Details'!$C$17:$C$66,'Project Details'!$H$17:$H$66,"",0)</f>
        <v>0</v>
      </c>
      <c r="K2475" s="33" t="str">
        <f>IF(AND(_xlfn.XLOOKUP(C2475,'Project Details'!$C$17:$C$66,'Project Details'!$L$17:$L$66,"",0)&gt;550, F2475="Spring-L27cm"),"",SUBSTITUTE(_xlfn.XLOOKUP(G2475,SKUs!$C$2:$C$10001,SKUs!$F$2:$F$10001,"",0), " Accessories",""))</f>
        <v/>
      </c>
      <c r="L2475" s="33">
        <f>_xlfn.XLOOKUP(C2475,'Project Details'!$C$17:$C$66,'Project Details'!$D$17:$D$66,"",0)</f>
        <v>0</v>
      </c>
      <c r="M2475" s="43"/>
    </row>
    <row r="2476" spans="1:13" x14ac:dyDescent="0.25">
      <c r="A2476" s="43"/>
      <c r="B2476" s="43"/>
      <c r="C2476" s="35">
        <f t="shared" si="48"/>
        <v>50</v>
      </c>
      <c r="D2476" s="35" t="str" cm="1">
        <f t="array" ref="D2476">IFERROR(ROUNDUP(_xlfn.IFS(F2476="Aluminum Track", _xlfn.XLOOKUP(C2476, dd_accsrycalc!$A$2:$A$51, dd_accsrycalc!$B$2:$B$51, "",0), F2476="10 x 2 1/2 S (Flat)", _xlfn.XLOOKUP(C2476, dd_accsrycalc!$A$2:$A$51, dd_accsrycalc!$C$2:$C$51, "",0), F2476="Tox6", _xlfn.XLOOKUP(C2476, dd_accsrycalc!$A$2:$A$51, dd_accsrycalc!$D$2:$D$51, "",0), F2476="Cover Cap", _xlfn.XLOOKUP(C2476, dd_accsrycalc!$A$2:$A$51, dd_accsrycalc!$E$2:$E$51, "",0), F2476="Drainage Cover", _xlfn.XLOOKUP(C2476, dd_accsrycalc!$A$2:$A$51, dd_accsrycalc!$F$2:$F$51, "",0),AND( F2476="Double Adhesive Tape", I2476="Roll-up Screen"), _xlfn.XLOOKUP(C2476, calc_rusacc!$C$15:$C$65, calc_rusacc!$AD$15:$AD$65, "",0),AND( F2476="Sealant", I2476="Roll-up Screen"), _xlfn.XLOOKUP(C2476, calc_rusacc!$C$15:$C$65, calc_rusacc!$AF$15:$AF$65, "",0),  AND( F2476="Main Chain", I2476="Accordion Screen"), _xlfn.XLOOKUP(C2476, calc_rusacc!$C$15:$C$65, calc_rusacc!$BF$15:$BF$65, "",0), AND( F2476="Sealant", I2476="Accordion Screen"), _xlfn.XLOOKUP(C2476, calc_rusacc!$C$15:$C$65, calc_rusacc!$BJ$15:$BJ$65, "",0),  F2476="Sealant", _xlfn.XLOOKUP(C2476, dd_accsrycalc!$A$2:$A$51, dd_accsrycalc!$G$2:$G$51, "",0),  F2476&lt;&gt;"",L2476*_xlfn.XLOOKUP(1, (SKUs!$C$2:$C$10001=G2476)*(SKUs!$K$2:$K$10001=I2476),SKUs!$E$2:$E$10001)), 0),"")</f>
        <v/>
      </c>
      <c r="E2476" s="35" t="str">
        <f>_xlfn.XLOOKUP(F2476,dd_item!$B$2:$B$105,dd_item!$C$2:$C$105,"",0)</f>
        <v/>
      </c>
      <c r="F2476" s="35"/>
      <c r="G2476" s="35" cm="1">
        <f t="array" ref="G2476">IFERROR(_xlfn.XLOOKUP(1, (SKUs!$J$2:$J$10001=accsry_unmerged!F2476)*IF(H2476&lt;&gt;"",(SKUs!$L$2:$L$10001=accsry_unmerged!H2476),1)*(SKUs!$K$2:$K$10001=I2476),SKUs!$C$2:$C$10001),"")</f>
        <v>0</v>
      </c>
      <c r="H2476" s="36" cm="1">
        <f t="array" ref="H2476">IFERROR(_xlfn.XLOOKUP(1, (dd_accsryclr!$C$2:$C$1000=accsry_unmerged!F2476)*(dd_accsryclr!$B$2:$B$1000=accsry_unmerged!J2476),dd_accsryclr!$A$2:$A$1000),"")</f>
        <v>0</v>
      </c>
      <c r="I2476" s="35">
        <f>_xlfn.XLOOKUP(C2476,'Project Details'!$C$17:$C$66,'Project Details'!$E$17:$E$66,"",0)</f>
        <v>0</v>
      </c>
      <c r="J2476" s="35">
        <f>_xlfn.XLOOKUP(C2476,'Project Details'!$C$17:$C$66,'Project Details'!$H$17:$H$66,"",0)</f>
        <v>0</v>
      </c>
      <c r="K2476" s="36" t="str">
        <f>IF(AND(_xlfn.XLOOKUP(C2476,'Project Details'!$C$17:$C$66,'Project Details'!$L$17:$L$66,"",0)&gt;550, F2476="Spring-L27cm"),"",SUBSTITUTE(_xlfn.XLOOKUP(G2476,SKUs!$C$2:$C$10001,SKUs!$F$2:$F$10001,"",0), " Accessories",""))</f>
        <v/>
      </c>
      <c r="L2476" s="36">
        <f>_xlfn.XLOOKUP(C2476,'Project Details'!$C$17:$C$66,'Project Details'!$D$17:$D$66,"",0)</f>
        <v>0</v>
      </c>
      <c r="M2476" s="43"/>
    </row>
    <row r="2477" spans="1:13" x14ac:dyDescent="0.25">
      <c r="A2477" s="43"/>
      <c r="B2477" s="43"/>
      <c r="C2477" s="16">
        <f t="shared" si="48"/>
        <v>50</v>
      </c>
      <c r="D2477" s="16" t="str" cm="1">
        <f t="array" ref="D2477">IFERROR(ROUNDUP(_xlfn.IFS(F2477="Aluminum Track", _xlfn.XLOOKUP(C2477, dd_accsrycalc!$A$2:$A$51, dd_accsrycalc!$B$2:$B$51, "",0), F2477="10 x 2 1/2 S (Flat)", _xlfn.XLOOKUP(C2477, dd_accsrycalc!$A$2:$A$51, dd_accsrycalc!$C$2:$C$51, "",0), F2477="Tox6", _xlfn.XLOOKUP(C2477, dd_accsrycalc!$A$2:$A$51, dd_accsrycalc!$D$2:$D$51, "",0), F2477="Cover Cap", _xlfn.XLOOKUP(C2477, dd_accsrycalc!$A$2:$A$51, dd_accsrycalc!$E$2:$E$51, "",0), F2477="Drainage Cover", _xlfn.XLOOKUP(C2477, dd_accsrycalc!$A$2:$A$51, dd_accsrycalc!$F$2:$F$51, "",0),AND( F2477="Double Adhesive Tape", I2477="Roll-up Screen"), _xlfn.XLOOKUP(C2477, calc_rusacc!$C$15:$C$65, calc_rusacc!$AD$15:$AD$65, "",0),AND( F2477="Sealant", I2477="Roll-up Screen"), _xlfn.XLOOKUP(C2477, calc_rusacc!$C$15:$C$65, calc_rusacc!$AF$15:$AF$65, "",0),  AND( F2477="Main Chain", I2477="Accordion Screen"), _xlfn.XLOOKUP(C2477, calc_rusacc!$C$15:$C$65, calc_rusacc!$BF$15:$BF$65, "",0), AND( F2477="Sealant", I2477="Accordion Screen"), _xlfn.XLOOKUP(C2477, calc_rusacc!$C$15:$C$65, calc_rusacc!$BJ$15:$BJ$65, "",0),  F2477="Sealant", _xlfn.XLOOKUP(C2477, dd_accsrycalc!$A$2:$A$51, dd_accsrycalc!$G$2:$G$51, "",0),  F2477&lt;&gt;"",L2477*_xlfn.XLOOKUP(1, (SKUs!$C$2:$C$10001=G2477)*(SKUs!$K$2:$K$10001=I2477),SKUs!$E$2:$E$10001)), 0),"")</f>
        <v/>
      </c>
      <c r="E2477" s="16" t="str">
        <f>_xlfn.XLOOKUP(F2477,dd_item!$B$2:$B$105,dd_item!$C$2:$C$105,"",0)</f>
        <v/>
      </c>
      <c r="F2477" s="16"/>
      <c r="G2477" s="16" cm="1">
        <f t="array" ref="G2477">IFERROR(_xlfn.XLOOKUP(1, (SKUs!$J$2:$J$10001=accsry_unmerged!F2477)*IF(H2477&lt;&gt;"",(SKUs!$L$2:$L$10001=accsry_unmerged!H2477),1)*(SKUs!$K$2:$K$10001=I2477),SKUs!$C$2:$C$10001),"")</f>
        <v>0</v>
      </c>
      <c r="H2477" s="33" cm="1">
        <f t="array" ref="H2477">IFERROR(_xlfn.XLOOKUP(1, (dd_accsryclr!$C$2:$C$1000=accsry_unmerged!F2477)*(dd_accsryclr!$B$2:$B$1000=accsry_unmerged!J2477),dd_accsryclr!$A$2:$A$1000),"")</f>
        <v>0</v>
      </c>
      <c r="I2477" s="16">
        <f>_xlfn.XLOOKUP(C2477,'Project Details'!$C$17:$C$66,'Project Details'!$E$17:$E$66,"",0)</f>
        <v>0</v>
      </c>
      <c r="J2477" s="16">
        <f>_xlfn.XLOOKUP(C2477,'Project Details'!$C$17:$C$66,'Project Details'!$H$17:$H$66,"",0)</f>
        <v>0</v>
      </c>
      <c r="K2477" s="33" t="str">
        <f>IF(AND(_xlfn.XLOOKUP(C2477,'Project Details'!$C$17:$C$66,'Project Details'!$L$17:$L$66,"",0)&gt;550, F2477="Spring-L27cm"),"",SUBSTITUTE(_xlfn.XLOOKUP(G2477,SKUs!$C$2:$C$10001,SKUs!$F$2:$F$10001,"",0), " Accessories",""))</f>
        <v/>
      </c>
      <c r="L2477" s="33">
        <f>_xlfn.XLOOKUP(C2477,'Project Details'!$C$17:$C$66,'Project Details'!$D$17:$D$66,"",0)</f>
        <v>0</v>
      </c>
      <c r="M2477" s="43"/>
    </row>
    <row r="2478" spans="1:13" x14ac:dyDescent="0.25">
      <c r="A2478" s="43"/>
      <c r="B2478" s="43"/>
      <c r="C2478" s="35">
        <f t="shared" si="48"/>
        <v>50</v>
      </c>
      <c r="D2478" s="35" t="str" cm="1">
        <f t="array" ref="D2478">IFERROR(ROUNDUP(_xlfn.IFS(F2478="Aluminum Track", _xlfn.XLOOKUP(C2478, dd_accsrycalc!$A$2:$A$51, dd_accsrycalc!$B$2:$B$51, "",0), F2478="10 x 2 1/2 S (Flat)", _xlfn.XLOOKUP(C2478, dd_accsrycalc!$A$2:$A$51, dd_accsrycalc!$C$2:$C$51, "",0), F2478="Tox6", _xlfn.XLOOKUP(C2478, dd_accsrycalc!$A$2:$A$51, dd_accsrycalc!$D$2:$D$51, "",0), F2478="Cover Cap", _xlfn.XLOOKUP(C2478, dd_accsrycalc!$A$2:$A$51, dd_accsrycalc!$E$2:$E$51, "",0), F2478="Drainage Cover", _xlfn.XLOOKUP(C2478, dd_accsrycalc!$A$2:$A$51, dd_accsrycalc!$F$2:$F$51, "",0),AND( F2478="Double Adhesive Tape", I2478="Roll-up Screen"), _xlfn.XLOOKUP(C2478, calc_rusacc!$C$15:$C$65, calc_rusacc!$AD$15:$AD$65, "",0),AND( F2478="Sealant", I2478="Roll-up Screen"), _xlfn.XLOOKUP(C2478, calc_rusacc!$C$15:$C$65, calc_rusacc!$AF$15:$AF$65, "",0),  AND( F2478="Main Chain", I2478="Accordion Screen"), _xlfn.XLOOKUP(C2478, calc_rusacc!$C$15:$C$65, calc_rusacc!$BF$15:$BF$65, "",0), AND( F2478="Sealant", I2478="Accordion Screen"), _xlfn.XLOOKUP(C2478, calc_rusacc!$C$15:$C$65, calc_rusacc!$BJ$15:$BJ$65, "",0),  F2478="Sealant", _xlfn.XLOOKUP(C2478, dd_accsrycalc!$A$2:$A$51, dd_accsrycalc!$G$2:$G$51, "",0),  F2478&lt;&gt;"",L2478*_xlfn.XLOOKUP(1, (SKUs!$C$2:$C$10001=G2478)*(SKUs!$K$2:$K$10001=I2478),SKUs!$E$2:$E$10001)), 0),"")</f>
        <v/>
      </c>
      <c r="E2478" s="35" t="str">
        <f>_xlfn.XLOOKUP(F2478,dd_item!$B$2:$B$105,dd_item!$C$2:$C$105,"",0)</f>
        <v/>
      </c>
      <c r="F2478" s="35"/>
      <c r="G2478" s="35" cm="1">
        <f t="array" ref="G2478">IFERROR(_xlfn.XLOOKUP(1, (SKUs!$J$2:$J$10001=accsry_unmerged!F2478)*IF(H2478&lt;&gt;"",(SKUs!$L$2:$L$10001=accsry_unmerged!H2478),1)*(SKUs!$K$2:$K$10001=I2478),SKUs!$C$2:$C$10001),"")</f>
        <v>0</v>
      </c>
      <c r="H2478" s="36" cm="1">
        <f t="array" ref="H2478">IFERROR(_xlfn.XLOOKUP(1, (dd_accsryclr!$C$2:$C$1000=accsry_unmerged!F2478)*(dd_accsryclr!$B$2:$B$1000=accsry_unmerged!J2478),dd_accsryclr!$A$2:$A$1000),"")</f>
        <v>0</v>
      </c>
      <c r="I2478" s="35">
        <f>_xlfn.XLOOKUP(C2478,'Project Details'!$C$17:$C$66,'Project Details'!$E$17:$E$66,"",0)</f>
        <v>0</v>
      </c>
      <c r="J2478" s="35">
        <f>_xlfn.XLOOKUP(C2478,'Project Details'!$C$17:$C$66,'Project Details'!$H$17:$H$66,"",0)</f>
        <v>0</v>
      </c>
      <c r="K2478" s="36" t="str">
        <f>IF(AND(_xlfn.XLOOKUP(C2478,'Project Details'!$C$17:$C$66,'Project Details'!$L$17:$L$66,"",0)&gt;550, F2478="Spring-L27cm"),"",SUBSTITUTE(_xlfn.XLOOKUP(G2478,SKUs!$C$2:$C$10001,SKUs!$F$2:$F$10001,"",0), " Accessories",""))</f>
        <v/>
      </c>
      <c r="L2478" s="36">
        <f>_xlfn.XLOOKUP(C2478,'Project Details'!$C$17:$C$66,'Project Details'!$D$17:$D$66,"",0)</f>
        <v>0</v>
      </c>
      <c r="M2478" s="43"/>
    </row>
    <row r="2479" spans="1:13" x14ac:dyDescent="0.25">
      <c r="A2479" s="43"/>
      <c r="B2479" s="43"/>
      <c r="C2479" s="16">
        <f t="shared" si="48"/>
        <v>50</v>
      </c>
      <c r="D2479" s="16" t="str" cm="1">
        <f t="array" ref="D2479">IFERROR(ROUNDUP(_xlfn.IFS(F2479="Aluminum Track", _xlfn.XLOOKUP(C2479, dd_accsrycalc!$A$2:$A$51, dd_accsrycalc!$B$2:$B$51, "",0), F2479="10 x 2 1/2 S (Flat)", _xlfn.XLOOKUP(C2479, dd_accsrycalc!$A$2:$A$51, dd_accsrycalc!$C$2:$C$51, "",0), F2479="Tox6", _xlfn.XLOOKUP(C2479, dd_accsrycalc!$A$2:$A$51, dd_accsrycalc!$D$2:$D$51, "",0), F2479="Cover Cap", _xlfn.XLOOKUP(C2479, dd_accsrycalc!$A$2:$A$51, dd_accsrycalc!$E$2:$E$51, "",0), F2479="Drainage Cover", _xlfn.XLOOKUP(C2479, dd_accsrycalc!$A$2:$A$51, dd_accsrycalc!$F$2:$F$51, "",0),AND( F2479="Double Adhesive Tape", I2479="Roll-up Screen"), _xlfn.XLOOKUP(C2479, calc_rusacc!$C$15:$C$65, calc_rusacc!$AD$15:$AD$65, "",0),AND( F2479="Sealant", I2479="Roll-up Screen"), _xlfn.XLOOKUP(C2479, calc_rusacc!$C$15:$C$65, calc_rusacc!$AF$15:$AF$65, "",0),  AND( F2479="Main Chain", I2479="Accordion Screen"), _xlfn.XLOOKUP(C2479, calc_rusacc!$C$15:$C$65, calc_rusacc!$BF$15:$BF$65, "",0), AND( F2479="Sealant", I2479="Accordion Screen"), _xlfn.XLOOKUP(C2479, calc_rusacc!$C$15:$C$65, calc_rusacc!$BJ$15:$BJ$65, "",0),  F2479="Sealant", _xlfn.XLOOKUP(C2479, dd_accsrycalc!$A$2:$A$51, dd_accsrycalc!$G$2:$G$51, "",0),  F2479&lt;&gt;"",L2479*_xlfn.XLOOKUP(1, (SKUs!$C$2:$C$10001=G2479)*(SKUs!$K$2:$K$10001=I2479),SKUs!$E$2:$E$10001)), 0),"")</f>
        <v/>
      </c>
      <c r="E2479" s="16" t="str">
        <f>_xlfn.XLOOKUP(F2479,dd_item!$B$2:$B$105,dd_item!$C$2:$C$105,"",0)</f>
        <v/>
      </c>
      <c r="F2479" s="16"/>
      <c r="G2479" s="16" cm="1">
        <f t="array" ref="G2479">IFERROR(_xlfn.XLOOKUP(1, (SKUs!$J$2:$J$10001=accsry_unmerged!F2479)*IF(H2479&lt;&gt;"",(SKUs!$L$2:$L$10001=accsry_unmerged!H2479),1)*(SKUs!$K$2:$K$10001=I2479),SKUs!$C$2:$C$10001),"")</f>
        <v>0</v>
      </c>
      <c r="H2479" s="33" cm="1">
        <f t="array" ref="H2479">IFERROR(_xlfn.XLOOKUP(1, (dd_accsryclr!$C$2:$C$1000=accsry_unmerged!F2479)*(dd_accsryclr!$B$2:$B$1000=accsry_unmerged!J2479),dd_accsryclr!$A$2:$A$1000),"")</f>
        <v>0</v>
      </c>
      <c r="I2479" s="16">
        <f>_xlfn.XLOOKUP(C2479,'Project Details'!$C$17:$C$66,'Project Details'!$E$17:$E$66,"",0)</f>
        <v>0</v>
      </c>
      <c r="J2479" s="16">
        <f>_xlfn.XLOOKUP(C2479,'Project Details'!$C$17:$C$66,'Project Details'!$H$17:$H$66,"",0)</f>
        <v>0</v>
      </c>
      <c r="K2479" s="33" t="str">
        <f>IF(AND(_xlfn.XLOOKUP(C2479,'Project Details'!$C$17:$C$66,'Project Details'!$L$17:$L$66,"",0)&gt;550, F2479="Spring-L27cm"),"",SUBSTITUTE(_xlfn.XLOOKUP(G2479,SKUs!$C$2:$C$10001,SKUs!$F$2:$F$10001,"",0), " Accessories",""))</f>
        <v/>
      </c>
      <c r="L2479" s="33">
        <f>_xlfn.XLOOKUP(C2479,'Project Details'!$C$17:$C$66,'Project Details'!$D$17:$D$66,"",0)</f>
        <v>0</v>
      </c>
      <c r="M2479" s="43"/>
    </row>
    <row r="2480" spans="1:13" x14ac:dyDescent="0.25">
      <c r="A2480" s="43"/>
      <c r="B2480" s="43"/>
      <c r="C2480" s="35">
        <f t="shared" si="48"/>
        <v>50</v>
      </c>
      <c r="D2480" s="35" t="str" cm="1">
        <f t="array" ref="D2480">IFERROR(ROUNDUP(_xlfn.IFS(F2480="Aluminum Track", _xlfn.XLOOKUP(C2480, dd_accsrycalc!$A$2:$A$51, dd_accsrycalc!$B$2:$B$51, "",0), F2480="10 x 2 1/2 S (Flat)", _xlfn.XLOOKUP(C2480, dd_accsrycalc!$A$2:$A$51, dd_accsrycalc!$C$2:$C$51, "",0), F2480="Tox6", _xlfn.XLOOKUP(C2480, dd_accsrycalc!$A$2:$A$51, dd_accsrycalc!$D$2:$D$51, "",0), F2480="Cover Cap", _xlfn.XLOOKUP(C2480, dd_accsrycalc!$A$2:$A$51, dd_accsrycalc!$E$2:$E$51, "",0), F2480="Drainage Cover", _xlfn.XLOOKUP(C2480, dd_accsrycalc!$A$2:$A$51, dd_accsrycalc!$F$2:$F$51, "",0),AND( F2480="Double Adhesive Tape", I2480="Roll-up Screen"), _xlfn.XLOOKUP(C2480, calc_rusacc!$C$15:$C$65, calc_rusacc!$AD$15:$AD$65, "",0),AND( F2480="Sealant", I2480="Roll-up Screen"), _xlfn.XLOOKUP(C2480, calc_rusacc!$C$15:$C$65, calc_rusacc!$AF$15:$AF$65, "",0),  AND( F2480="Main Chain", I2480="Accordion Screen"), _xlfn.XLOOKUP(C2480, calc_rusacc!$C$15:$C$65, calc_rusacc!$BF$15:$BF$65, "",0), AND( F2480="Sealant", I2480="Accordion Screen"), _xlfn.XLOOKUP(C2480, calc_rusacc!$C$15:$C$65, calc_rusacc!$BJ$15:$BJ$65, "",0),  F2480="Sealant", _xlfn.XLOOKUP(C2480, dd_accsrycalc!$A$2:$A$51, dd_accsrycalc!$G$2:$G$51, "",0),  F2480&lt;&gt;"",L2480*_xlfn.XLOOKUP(1, (SKUs!$C$2:$C$10001=G2480)*(SKUs!$K$2:$K$10001=I2480),SKUs!$E$2:$E$10001)), 0),"")</f>
        <v/>
      </c>
      <c r="E2480" s="35" t="str">
        <f>_xlfn.XLOOKUP(F2480,dd_item!$B$2:$B$105,dd_item!$C$2:$C$105,"",0)</f>
        <v/>
      </c>
      <c r="F2480" s="35"/>
      <c r="G2480" s="35" cm="1">
        <f t="array" ref="G2480">IFERROR(_xlfn.XLOOKUP(1, (SKUs!$J$2:$J$10001=accsry_unmerged!F2480)*IF(H2480&lt;&gt;"",(SKUs!$L$2:$L$10001=accsry_unmerged!H2480),1)*(SKUs!$K$2:$K$10001=I2480),SKUs!$C$2:$C$10001),"")</f>
        <v>0</v>
      </c>
      <c r="H2480" s="36" cm="1">
        <f t="array" ref="H2480">IFERROR(_xlfn.XLOOKUP(1, (dd_accsryclr!$C$2:$C$1000=accsry_unmerged!F2480)*(dd_accsryclr!$B$2:$B$1000=accsry_unmerged!J2480),dd_accsryclr!$A$2:$A$1000),"")</f>
        <v>0</v>
      </c>
      <c r="I2480" s="35">
        <f>_xlfn.XLOOKUP(C2480,'Project Details'!$C$17:$C$66,'Project Details'!$E$17:$E$66,"",0)</f>
        <v>0</v>
      </c>
      <c r="J2480" s="35">
        <f>_xlfn.XLOOKUP(C2480,'Project Details'!$C$17:$C$66,'Project Details'!$H$17:$H$66,"",0)</f>
        <v>0</v>
      </c>
      <c r="K2480" s="36" t="str">
        <f>IF(AND(_xlfn.XLOOKUP(C2480,'Project Details'!$C$17:$C$66,'Project Details'!$L$17:$L$66,"",0)&gt;550, F2480="Spring-L27cm"),"",SUBSTITUTE(_xlfn.XLOOKUP(G2480,SKUs!$C$2:$C$10001,SKUs!$F$2:$F$10001,"",0), " Accessories",""))</f>
        <v/>
      </c>
      <c r="L2480" s="36">
        <f>_xlfn.XLOOKUP(C2480,'Project Details'!$C$17:$C$66,'Project Details'!$D$17:$D$66,"",0)</f>
        <v>0</v>
      </c>
      <c r="M2480" s="43"/>
    </row>
    <row r="2481" spans="1:13" x14ac:dyDescent="0.25">
      <c r="A2481" s="43"/>
      <c r="B2481" s="43"/>
      <c r="C2481" s="16">
        <f t="shared" si="48"/>
        <v>50</v>
      </c>
      <c r="D2481" s="16" t="str" cm="1">
        <f t="array" ref="D2481">IFERROR(ROUNDUP(_xlfn.IFS(F2481="Aluminum Track", _xlfn.XLOOKUP(C2481, dd_accsrycalc!$A$2:$A$51, dd_accsrycalc!$B$2:$B$51, "",0), F2481="10 x 2 1/2 S (Flat)", _xlfn.XLOOKUP(C2481, dd_accsrycalc!$A$2:$A$51, dd_accsrycalc!$C$2:$C$51, "",0), F2481="Tox6", _xlfn.XLOOKUP(C2481, dd_accsrycalc!$A$2:$A$51, dd_accsrycalc!$D$2:$D$51, "",0), F2481="Cover Cap", _xlfn.XLOOKUP(C2481, dd_accsrycalc!$A$2:$A$51, dd_accsrycalc!$E$2:$E$51, "",0), F2481="Drainage Cover", _xlfn.XLOOKUP(C2481, dd_accsrycalc!$A$2:$A$51, dd_accsrycalc!$F$2:$F$51, "",0),AND( F2481="Double Adhesive Tape", I2481="Roll-up Screen"), _xlfn.XLOOKUP(C2481, calc_rusacc!$C$15:$C$65, calc_rusacc!$AD$15:$AD$65, "",0),AND( F2481="Sealant", I2481="Roll-up Screen"), _xlfn.XLOOKUP(C2481, calc_rusacc!$C$15:$C$65, calc_rusacc!$AF$15:$AF$65, "",0),  AND( F2481="Main Chain", I2481="Accordion Screen"), _xlfn.XLOOKUP(C2481, calc_rusacc!$C$15:$C$65, calc_rusacc!$BF$15:$BF$65, "",0), AND( F2481="Sealant", I2481="Accordion Screen"), _xlfn.XLOOKUP(C2481, calc_rusacc!$C$15:$C$65, calc_rusacc!$BJ$15:$BJ$65, "",0),  F2481="Sealant", _xlfn.XLOOKUP(C2481, dd_accsrycalc!$A$2:$A$51, dd_accsrycalc!$G$2:$G$51, "",0),  F2481&lt;&gt;"",L2481*_xlfn.XLOOKUP(1, (SKUs!$C$2:$C$10001=G2481)*(SKUs!$K$2:$K$10001=I2481),SKUs!$E$2:$E$10001)), 0),"")</f>
        <v/>
      </c>
      <c r="E2481" s="16" t="str">
        <f>_xlfn.XLOOKUP(F2481,dd_item!$B$2:$B$105,dd_item!$C$2:$C$105,"",0)</f>
        <v/>
      </c>
      <c r="F2481" s="16"/>
      <c r="G2481" s="16" cm="1">
        <f t="array" ref="G2481">IFERROR(_xlfn.XLOOKUP(1, (SKUs!$J$2:$J$10001=accsry_unmerged!F2481)*IF(H2481&lt;&gt;"",(SKUs!$L$2:$L$10001=accsry_unmerged!H2481),1)*(SKUs!$K$2:$K$10001=I2481),SKUs!$C$2:$C$10001),"")</f>
        <v>0</v>
      </c>
      <c r="H2481" s="33" cm="1">
        <f t="array" ref="H2481">IFERROR(_xlfn.XLOOKUP(1, (dd_accsryclr!$C$2:$C$1000=accsry_unmerged!F2481)*(dd_accsryclr!$B$2:$B$1000=accsry_unmerged!J2481),dd_accsryclr!$A$2:$A$1000),"")</f>
        <v>0</v>
      </c>
      <c r="I2481" s="16">
        <f>_xlfn.XLOOKUP(C2481,'Project Details'!$C$17:$C$66,'Project Details'!$E$17:$E$66,"",0)</f>
        <v>0</v>
      </c>
      <c r="J2481" s="16">
        <f>_xlfn.XLOOKUP(C2481,'Project Details'!$C$17:$C$66,'Project Details'!$H$17:$H$66,"",0)</f>
        <v>0</v>
      </c>
      <c r="K2481" s="33" t="str">
        <f>IF(AND(_xlfn.XLOOKUP(C2481,'Project Details'!$C$17:$C$66,'Project Details'!$L$17:$L$66,"",0)&gt;550, F2481="Spring-L27cm"),"",SUBSTITUTE(_xlfn.XLOOKUP(G2481,SKUs!$C$2:$C$10001,SKUs!$F$2:$F$10001,"",0), " Accessories",""))</f>
        <v/>
      </c>
      <c r="L2481" s="33">
        <f>_xlfn.XLOOKUP(C2481,'Project Details'!$C$17:$C$66,'Project Details'!$D$17:$D$66,"",0)</f>
        <v>0</v>
      </c>
      <c r="M2481" s="43"/>
    </row>
    <row r="2482" spans="1:13" x14ac:dyDescent="0.25">
      <c r="A2482" s="43"/>
      <c r="B2482" s="43"/>
      <c r="C2482" s="35">
        <f t="shared" si="48"/>
        <v>50</v>
      </c>
      <c r="D2482" s="35" t="str" cm="1">
        <f t="array" ref="D2482">IFERROR(ROUNDUP(_xlfn.IFS(F2482="Aluminum Track", _xlfn.XLOOKUP(C2482, dd_accsrycalc!$A$2:$A$51, dd_accsrycalc!$B$2:$B$51, "",0), F2482="10 x 2 1/2 S (Flat)", _xlfn.XLOOKUP(C2482, dd_accsrycalc!$A$2:$A$51, dd_accsrycalc!$C$2:$C$51, "",0), F2482="Tox6", _xlfn.XLOOKUP(C2482, dd_accsrycalc!$A$2:$A$51, dd_accsrycalc!$D$2:$D$51, "",0), F2482="Cover Cap", _xlfn.XLOOKUP(C2482, dd_accsrycalc!$A$2:$A$51, dd_accsrycalc!$E$2:$E$51, "",0), F2482="Drainage Cover", _xlfn.XLOOKUP(C2482, dd_accsrycalc!$A$2:$A$51, dd_accsrycalc!$F$2:$F$51, "",0),AND( F2482="Double Adhesive Tape", I2482="Roll-up Screen"), _xlfn.XLOOKUP(C2482, calc_rusacc!$C$15:$C$65, calc_rusacc!$AD$15:$AD$65, "",0),AND( F2482="Sealant", I2482="Roll-up Screen"), _xlfn.XLOOKUP(C2482, calc_rusacc!$C$15:$C$65, calc_rusacc!$AF$15:$AF$65, "",0),  AND( F2482="Main Chain", I2482="Accordion Screen"), _xlfn.XLOOKUP(C2482, calc_rusacc!$C$15:$C$65, calc_rusacc!$BF$15:$BF$65, "",0), AND( F2482="Sealant", I2482="Accordion Screen"), _xlfn.XLOOKUP(C2482, calc_rusacc!$C$15:$C$65, calc_rusacc!$BJ$15:$BJ$65, "",0),  F2482="Sealant", _xlfn.XLOOKUP(C2482, dd_accsrycalc!$A$2:$A$51, dd_accsrycalc!$G$2:$G$51, "",0),  F2482&lt;&gt;"",L2482*_xlfn.XLOOKUP(1, (SKUs!$C$2:$C$10001=G2482)*(SKUs!$K$2:$K$10001=I2482),SKUs!$E$2:$E$10001)), 0),"")</f>
        <v/>
      </c>
      <c r="E2482" s="35" t="str">
        <f>_xlfn.XLOOKUP(F2482,dd_item!$B$2:$B$105,dd_item!$C$2:$C$105,"",0)</f>
        <v/>
      </c>
      <c r="F2482" s="35"/>
      <c r="G2482" s="35" cm="1">
        <f t="array" ref="G2482">IFERROR(_xlfn.XLOOKUP(1, (SKUs!$J$2:$J$10001=accsry_unmerged!F2482)*IF(H2482&lt;&gt;"",(SKUs!$L$2:$L$10001=accsry_unmerged!H2482),1)*(SKUs!$K$2:$K$10001=I2482),SKUs!$C$2:$C$10001),"")</f>
        <v>0</v>
      </c>
      <c r="H2482" s="36" cm="1">
        <f t="array" ref="H2482">IFERROR(_xlfn.XLOOKUP(1, (dd_accsryclr!$C$2:$C$1000=accsry_unmerged!F2482)*(dd_accsryclr!$B$2:$B$1000=accsry_unmerged!J2482),dd_accsryclr!$A$2:$A$1000),"")</f>
        <v>0</v>
      </c>
      <c r="I2482" s="35">
        <f>_xlfn.XLOOKUP(C2482,'Project Details'!$C$17:$C$66,'Project Details'!$E$17:$E$66,"",0)</f>
        <v>0</v>
      </c>
      <c r="J2482" s="35">
        <f>_xlfn.XLOOKUP(C2482,'Project Details'!$C$17:$C$66,'Project Details'!$H$17:$H$66,"",0)</f>
        <v>0</v>
      </c>
      <c r="K2482" s="36" t="str">
        <f>IF(AND(_xlfn.XLOOKUP(C2482,'Project Details'!$C$17:$C$66,'Project Details'!$L$17:$L$66,"",0)&gt;550, F2482="Spring-L27cm"),"",SUBSTITUTE(_xlfn.XLOOKUP(G2482,SKUs!$C$2:$C$10001,SKUs!$F$2:$F$10001,"",0), " Accessories",""))</f>
        <v/>
      </c>
      <c r="L2482" s="36">
        <f>_xlfn.XLOOKUP(C2482,'Project Details'!$C$17:$C$66,'Project Details'!$D$17:$D$66,"",0)</f>
        <v>0</v>
      </c>
      <c r="M2482" s="43"/>
    </row>
    <row r="2483" spans="1:13" x14ac:dyDescent="0.25">
      <c r="A2483" s="43"/>
      <c r="B2483" s="43"/>
      <c r="C2483" s="16">
        <f t="shared" si="48"/>
        <v>50</v>
      </c>
      <c r="D2483" s="16" t="str" cm="1">
        <f t="array" ref="D2483">IFERROR(ROUNDUP(_xlfn.IFS(F2483="Aluminum Track", _xlfn.XLOOKUP(C2483, dd_accsrycalc!$A$2:$A$51, dd_accsrycalc!$B$2:$B$51, "",0), F2483="10 x 2 1/2 S (Flat)", _xlfn.XLOOKUP(C2483, dd_accsrycalc!$A$2:$A$51, dd_accsrycalc!$C$2:$C$51, "",0), F2483="Tox6", _xlfn.XLOOKUP(C2483, dd_accsrycalc!$A$2:$A$51, dd_accsrycalc!$D$2:$D$51, "",0), F2483="Cover Cap", _xlfn.XLOOKUP(C2483, dd_accsrycalc!$A$2:$A$51, dd_accsrycalc!$E$2:$E$51, "",0), F2483="Drainage Cover", _xlfn.XLOOKUP(C2483, dd_accsrycalc!$A$2:$A$51, dd_accsrycalc!$F$2:$F$51, "",0),AND( F2483="Double Adhesive Tape", I2483="Roll-up Screen"), _xlfn.XLOOKUP(C2483, calc_rusacc!$C$15:$C$65, calc_rusacc!$AD$15:$AD$65, "",0),AND( F2483="Sealant", I2483="Roll-up Screen"), _xlfn.XLOOKUP(C2483, calc_rusacc!$C$15:$C$65, calc_rusacc!$AF$15:$AF$65, "",0),  AND( F2483="Main Chain", I2483="Accordion Screen"), _xlfn.XLOOKUP(C2483, calc_rusacc!$C$15:$C$65, calc_rusacc!$BF$15:$BF$65, "",0), AND( F2483="Sealant", I2483="Accordion Screen"), _xlfn.XLOOKUP(C2483, calc_rusacc!$C$15:$C$65, calc_rusacc!$BJ$15:$BJ$65, "",0),  F2483="Sealant", _xlfn.XLOOKUP(C2483, dd_accsrycalc!$A$2:$A$51, dd_accsrycalc!$G$2:$G$51, "",0),  F2483&lt;&gt;"",L2483*_xlfn.XLOOKUP(1, (SKUs!$C$2:$C$10001=G2483)*(SKUs!$K$2:$K$10001=I2483),SKUs!$E$2:$E$10001)), 0),"")</f>
        <v/>
      </c>
      <c r="E2483" s="16" t="str">
        <f>_xlfn.XLOOKUP(F2483,dd_item!$B$2:$B$105,dd_item!$C$2:$C$105,"",0)</f>
        <v/>
      </c>
      <c r="F2483" s="16"/>
      <c r="G2483" s="16" cm="1">
        <f t="array" ref="G2483">IFERROR(_xlfn.XLOOKUP(1, (SKUs!$J$2:$J$10001=accsry_unmerged!F2483)*IF(H2483&lt;&gt;"",(SKUs!$L$2:$L$10001=accsry_unmerged!H2483),1)*(SKUs!$K$2:$K$10001=I2483),SKUs!$C$2:$C$10001),"")</f>
        <v>0</v>
      </c>
      <c r="H2483" s="33" cm="1">
        <f t="array" ref="H2483">IFERROR(_xlfn.XLOOKUP(1, (dd_accsryclr!$C$2:$C$1000=accsry_unmerged!F2483)*(dd_accsryclr!$B$2:$B$1000=accsry_unmerged!J2483),dd_accsryclr!$A$2:$A$1000),"")</f>
        <v>0</v>
      </c>
      <c r="I2483" s="16">
        <f>_xlfn.XLOOKUP(C2483,'Project Details'!$C$17:$C$66,'Project Details'!$E$17:$E$66,"",0)</f>
        <v>0</v>
      </c>
      <c r="J2483" s="16">
        <f>_xlfn.XLOOKUP(C2483,'Project Details'!$C$17:$C$66,'Project Details'!$H$17:$H$66,"",0)</f>
        <v>0</v>
      </c>
      <c r="K2483" s="33" t="str">
        <f>IF(AND(_xlfn.XLOOKUP(C2483,'Project Details'!$C$17:$C$66,'Project Details'!$L$17:$L$66,"",0)&gt;550, F2483="Spring-L27cm"),"",SUBSTITUTE(_xlfn.XLOOKUP(G2483,SKUs!$C$2:$C$10001,SKUs!$F$2:$F$10001,"",0), " Accessories",""))</f>
        <v/>
      </c>
      <c r="L2483" s="33">
        <f>_xlfn.XLOOKUP(C2483,'Project Details'!$C$17:$C$66,'Project Details'!$D$17:$D$66,"",0)</f>
        <v>0</v>
      </c>
      <c r="M2483" s="43"/>
    </row>
    <row r="2484" spans="1:13" ht="13.5" customHeight="1" x14ac:dyDescent="0.25">
      <c r="A2484" s="43"/>
      <c r="B2484" s="43"/>
      <c r="C2484" s="35">
        <f t="shared" si="48"/>
        <v>50</v>
      </c>
      <c r="D2484" s="35" t="str" cm="1">
        <f t="array" ref="D2484">IFERROR(ROUNDUP(_xlfn.IFS(F2484="Aluminum Track", _xlfn.XLOOKUP(C2484, dd_accsrycalc!$A$2:$A$51, dd_accsrycalc!$B$2:$B$51, "",0), F2484="10 x 2 1/2 S (Flat)", _xlfn.XLOOKUP(C2484, dd_accsrycalc!$A$2:$A$51, dd_accsrycalc!$C$2:$C$51, "",0), F2484="Tox6", _xlfn.XLOOKUP(C2484, dd_accsrycalc!$A$2:$A$51, dd_accsrycalc!$D$2:$D$51, "",0), F2484="Cover Cap", _xlfn.XLOOKUP(C2484, dd_accsrycalc!$A$2:$A$51, dd_accsrycalc!$E$2:$E$51, "",0), F2484="Drainage Cover", _xlfn.XLOOKUP(C2484, dd_accsrycalc!$A$2:$A$51, dd_accsrycalc!$F$2:$F$51, "",0),AND( F2484="Double Adhesive Tape", I2484="Roll-up Screen"), _xlfn.XLOOKUP(C2484, calc_rusacc!$C$15:$C$65, calc_rusacc!$AD$15:$AD$65, "",0),AND( F2484="Sealant", I2484="Roll-up Screen"), _xlfn.XLOOKUP(C2484, calc_rusacc!$C$15:$C$65, calc_rusacc!$AF$15:$AF$65, "",0),  AND( F2484="Main Chain", I2484="Accordion Screen"), _xlfn.XLOOKUP(C2484, calc_rusacc!$C$15:$C$65, calc_rusacc!$BF$15:$BF$65, "",0), AND( F2484="Sealant", I2484="Accordion Screen"), _xlfn.XLOOKUP(C2484, calc_rusacc!$C$15:$C$65, calc_rusacc!$BJ$15:$BJ$65, "",0),  F2484="Sealant", _xlfn.XLOOKUP(C2484, dd_accsrycalc!$A$2:$A$51, dd_accsrycalc!$G$2:$G$51, "",0),  F2484&lt;&gt;"",L2484*_xlfn.XLOOKUP(1, (SKUs!$C$2:$C$10001=G2484)*(SKUs!$K$2:$K$10001=I2484),SKUs!$E$2:$E$10001)), 0),"")</f>
        <v/>
      </c>
      <c r="E2484" s="35" t="str">
        <f>_xlfn.XLOOKUP(F2484,dd_item!$B$2:$B$105,dd_item!$C$2:$C$105,"",0)</f>
        <v/>
      </c>
      <c r="F2484" s="35"/>
      <c r="G2484" s="35" cm="1">
        <f t="array" ref="G2484">IFERROR(_xlfn.XLOOKUP(1, (SKUs!$J$2:$J$10001=accsry_unmerged!F2484)*IF(H2484&lt;&gt;"",(SKUs!$L$2:$L$10001=accsry_unmerged!H2484),1)*(SKUs!$K$2:$K$10001=I2484),SKUs!$C$2:$C$10001),"")</f>
        <v>0</v>
      </c>
      <c r="H2484" s="36" cm="1">
        <f t="array" ref="H2484">IFERROR(_xlfn.XLOOKUP(1, (dd_accsryclr!$C$2:$C$1000=accsry_unmerged!F2484)*(dd_accsryclr!$B$2:$B$1000=accsry_unmerged!J2484),dd_accsryclr!$A$2:$A$1000),"")</f>
        <v>0</v>
      </c>
      <c r="I2484" s="35">
        <f>_xlfn.XLOOKUP(C2484,'Project Details'!$C$17:$C$66,'Project Details'!$E$17:$E$66,"",0)</f>
        <v>0</v>
      </c>
      <c r="J2484" s="35">
        <f>_xlfn.XLOOKUP(C2484,'Project Details'!$C$17:$C$66,'Project Details'!$H$17:$H$66,"",0)</f>
        <v>0</v>
      </c>
      <c r="K2484" s="36" t="str">
        <f>IF(AND(_xlfn.XLOOKUP(C2484,'Project Details'!$C$17:$C$66,'Project Details'!$L$17:$L$66,"",0)&gt;550, F2484="Spring-L27cm"),"",SUBSTITUTE(_xlfn.XLOOKUP(G2484,SKUs!$C$2:$C$10001,SKUs!$F$2:$F$10001,"",0), " Accessories",""))</f>
        <v/>
      </c>
      <c r="L2484" s="36">
        <f>_xlfn.XLOOKUP(C2484,'Project Details'!$C$17:$C$66,'Project Details'!$D$17:$D$66,"",0)</f>
        <v>0</v>
      </c>
      <c r="M2484" s="43"/>
    </row>
    <row r="2485" spans="1:13" ht="13.5" customHeight="1" x14ac:dyDescent="0.25">
      <c r="A2485" s="43"/>
      <c r="B2485" s="43"/>
      <c r="C2485" s="16">
        <f t="shared" si="48"/>
        <v>50</v>
      </c>
      <c r="D2485" s="16" t="str" cm="1">
        <f t="array" ref="D2485">IFERROR(ROUNDUP(_xlfn.IFS(F2485="Aluminum Track", _xlfn.XLOOKUP(C2485, dd_accsrycalc!$A$2:$A$51, dd_accsrycalc!$B$2:$B$51, "",0), F2485="10 x 2 1/2 S (Flat)", _xlfn.XLOOKUP(C2485, dd_accsrycalc!$A$2:$A$51, dd_accsrycalc!$C$2:$C$51, "",0), F2485="Tox6", _xlfn.XLOOKUP(C2485, dd_accsrycalc!$A$2:$A$51, dd_accsrycalc!$D$2:$D$51, "",0), F2485="Cover Cap", _xlfn.XLOOKUP(C2485, dd_accsrycalc!$A$2:$A$51, dd_accsrycalc!$E$2:$E$51, "",0), F2485="Drainage Cover", _xlfn.XLOOKUP(C2485, dd_accsrycalc!$A$2:$A$51, dd_accsrycalc!$F$2:$F$51, "",0),AND( F2485="Double Adhesive Tape", I2485="Roll-up Screen"), _xlfn.XLOOKUP(C2485, calc_rusacc!$C$15:$C$65, calc_rusacc!$AD$15:$AD$65, "",0),AND( F2485="Sealant", I2485="Roll-up Screen"), _xlfn.XLOOKUP(C2485, calc_rusacc!$C$15:$C$65, calc_rusacc!$AF$15:$AF$65, "",0),  AND( F2485="Main Chain", I2485="Accordion Screen"), _xlfn.XLOOKUP(C2485, calc_rusacc!$C$15:$C$65, calc_rusacc!$BF$15:$BF$65, "",0), AND( F2485="Sealant", I2485="Accordion Screen"), _xlfn.XLOOKUP(C2485, calc_rusacc!$C$15:$C$65, calc_rusacc!$BJ$15:$BJ$65, "",0),  F2485="Sealant", _xlfn.XLOOKUP(C2485, dd_accsrycalc!$A$2:$A$51, dd_accsrycalc!$G$2:$G$51, "",0),  F2485&lt;&gt;"",L2485*_xlfn.XLOOKUP(1, (SKUs!$C$2:$C$10001=G2485)*(SKUs!$K$2:$K$10001=I2485),SKUs!$E$2:$E$10001)), 0),"")</f>
        <v/>
      </c>
      <c r="E2485" s="16" t="str">
        <f>_xlfn.XLOOKUP(F2485,dd_item!$B$2:$B$105,dd_item!$C$2:$C$105,"",0)</f>
        <v/>
      </c>
      <c r="F2485" s="16"/>
      <c r="G2485" s="16" cm="1">
        <f t="array" ref="G2485">IFERROR(_xlfn.XLOOKUP(1, (SKUs!$J$2:$J$10001=accsry_unmerged!F2485)*IF(H2485&lt;&gt;"",(SKUs!$L$2:$L$10001=accsry_unmerged!H2485),1)*(SKUs!$K$2:$K$10001=I2485),SKUs!$C$2:$C$10001),"")</f>
        <v>0</v>
      </c>
      <c r="H2485" s="33" cm="1">
        <f t="array" ref="H2485">IFERROR(_xlfn.XLOOKUP(1, (dd_accsryclr!$C$2:$C$1000=accsry_unmerged!F2485)*(dd_accsryclr!$B$2:$B$1000=accsry_unmerged!J2485),dd_accsryclr!$A$2:$A$1000),"")</f>
        <v>0</v>
      </c>
      <c r="I2485" s="16">
        <f>_xlfn.XLOOKUP(C2485,'Project Details'!$C$17:$C$66,'Project Details'!$E$17:$E$66,"",0)</f>
        <v>0</v>
      </c>
      <c r="J2485" s="16">
        <f>_xlfn.XLOOKUP(C2485,'Project Details'!$C$17:$C$66,'Project Details'!$H$17:$H$66,"",0)</f>
        <v>0</v>
      </c>
      <c r="K2485" s="33" t="str">
        <f>IF(AND(_xlfn.XLOOKUP(C2485,'Project Details'!$C$17:$C$66,'Project Details'!$L$17:$L$66,"",0)&gt;550, F2485="Spring-L27cm"),"",SUBSTITUTE(_xlfn.XLOOKUP(G2485,SKUs!$C$2:$C$10001,SKUs!$F$2:$F$10001,"",0), " Accessories",""))</f>
        <v/>
      </c>
      <c r="L2485" s="33">
        <f>_xlfn.XLOOKUP(C2485,'Project Details'!$C$17:$C$66,'Project Details'!$D$17:$D$66,"",0)</f>
        <v>0</v>
      </c>
      <c r="M2485" s="43"/>
    </row>
    <row r="2486" spans="1:13" ht="13.5" customHeight="1" x14ac:dyDescent="0.25">
      <c r="A2486" s="43"/>
      <c r="B2486" s="43"/>
      <c r="C2486" s="35">
        <f t="shared" si="48"/>
        <v>50</v>
      </c>
      <c r="D2486" s="35" t="str" cm="1">
        <f t="array" ref="D2486">IFERROR(ROUNDUP(_xlfn.IFS(F2486="Aluminum Track", _xlfn.XLOOKUP(C2486, dd_accsrycalc!$A$2:$A$51, dd_accsrycalc!$B$2:$B$51, "",0), F2486="10 x 2 1/2 S (Flat)", _xlfn.XLOOKUP(C2486, dd_accsrycalc!$A$2:$A$51, dd_accsrycalc!$C$2:$C$51, "",0), F2486="Tox6", _xlfn.XLOOKUP(C2486, dd_accsrycalc!$A$2:$A$51, dd_accsrycalc!$D$2:$D$51, "",0), F2486="Cover Cap", _xlfn.XLOOKUP(C2486, dd_accsrycalc!$A$2:$A$51, dd_accsrycalc!$E$2:$E$51, "",0), F2486="Drainage Cover", _xlfn.XLOOKUP(C2486, dd_accsrycalc!$A$2:$A$51, dd_accsrycalc!$F$2:$F$51, "",0),AND( F2486="Double Adhesive Tape", I2486="Roll-up Screen"), _xlfn.XLOOKUP(C2486, calc_rusacc!$C$15:$C$65, calc_rusacc!$AD$15:$AD$65, "",0),AND( F2486="Sealant", I2486="Roll-up Screen"), _xlfn.XLOOKUP(C2486, calc_rusacc!$C$15:$C$65, calc_rusacc!$AF$15:$AF$65, "",0),  AND( F2486="Main Chain", I2486="Accordion Screen"), _xlfn.XLOOKUP(C2486, calc_rusacc!$C$15:$C$65, calc_rusacc!$BF$15:$BF$65, "",0), AND( F2486="Sealant", I2486="Accordion Screen"), _xlfn.XLOOKUP(C2486, calc_rusacc!$C$15:$C$65, calc_rusacc!$BJ$15:$BJ$65, "",0),  F2486="Sealant", _xlfn.XLOOKUP(C2486, dd_accsrycalc!$A$2:$A$51, dd_accsrycalc!$G$2:$G$51, "",0),  F2486&lt;&gt;"",L2486*_xlfn.XLOOKUP(1, (SKUs!$C$2:$C$10001=G2486)*(SKUs!$K$2:$K$10001=I2486),SKUs!$E$2:$E$10001)), 0),"")</f>
        <v/>
      </c>
      <c r="E2486" s="35" t="str">
        <f>_xlfn.XLOOKUP(F2486,dd_item!$B$2:$B$105,dd_item!$C$2:$C$105,"",0)</f>
        <v/>
      </c>
      <c r="F2486" s="35"/>
      <c r="G2486" s="35" cm="1">
        <f t="array" ref="G2486">IFERROR(_xlfn.XLOOKUP(1, (SKUs!$J$2:$J$10001=accsry_unmerged!F2486)*IF(H2486&lt;&gt;"",(SKUs!$L$2:$L$10001=accsry_unmerged!H2486),1)*(SKUs!$K$2:$K$10001=I2486),SKUs!$C$2:$C$10001),"")</f>
        <v>0</v>
      </c>
      <c r="H2486" s="36" cm="1">
        <f t="array" ref="H2486">IFERROR(_xlfn.XLOOKUP(1, (dd_accsryclr!$C$2:$C$1000=accsry_unmerged!F2486)*(dd_accsryclr!$B$2:$B$1000=accsry_unmerged!J2486),dd_accsryclr!$A$2:$A$1000),"")</f>
        <v>0</v>
      </c>
      <c r="I2486" s="35">
        <f>_xlfn.XLOOKUP(C2486,'Project Details'!$C$17:$C$66,'Project Details'!$E$17:$E$66,"",0)</f>
        <v>0</v>
      </c>
      <c r="J2486" s="35">
        <f>_xlfn.XLOOKUP(C2486,'Project Details'!$C$17:$C$66,'Project Details'!$H$17:$H$66,"",0)</f>
        <v>0</v>
      </c>
      <c r="K2486" s="36" t="str">
        <f>IF(AND(_xlfn.XLOOKUP(C2486,'Project Details'!$C$17:$C$66,'Project Details'!$L$17:$L$66,"",0)&gt;550, F2486="Spring-L27cm"),"",SUBSTITUTE(_xlfn.XLOOKUP(G2486,SKUs!$C$2:$C$10001,SKUs!$F$2:$F$10001,"",0), " Accessories",""))</f>
        <v/>
      </c>
      <c r="L2486" s="36">
        <f>_xlfn.XLOOKUP(C2486,'Project Details'!$C$17:$C$66,'Project Details'!$D$17:$D$66,"",0)</f>
        <v>0</v>
      </c>
      <c r="M2486" s="43"/>
    </row>
    <row r="2487" spans="1:13" ht="13.5" customHeight="1" x14ac:dyDescent="0.25">
      <c r="A2487" s="43"/>
      <c r="B2487" s="43"/>
      <c r="C2487" s="16">
        <f t="shared" si="48"/>
        <v>50</v>
      </c>
      <c r="D2487" s="16" t="str" cm="1">
        <f t="array" ref="D2487">IFERROR(ROUNDUP(_xlfn.IFS(F2487="Aluminum Track", _xlfn.XLOOKUP(C2487, dd_accsrycalc!$A$2:$A$51, dd_accsrycalc!$B$2:$B$51, "",0), F2487="10 x 2 1/2 S (Flat)", _xlfn.XLOOKUP(C2487, dd_accsrycalc!$A$2:$A$51, dd_accsrycalc!$C$2:$C$51, "",0), F2487="Tox6", _xlfn.XLOOKUP(C2487, dd_accsrycalc!$A$2:$A$51, dd_accsrycalc!$D$2:$D$51, "",0), F2487="Cover Cap", _xlfn.XLOOKUP(C2487, dd_accsrycalc!$A$2:$A$51, dd_accsrycalc!$E$2:$E$51, "",0), F2487="Drainage Cover", _xlfn.XLOOKUP(C2487, dd_accsrycalc!$A$2:$A$51, dd_accsrycalc!$F$2:$F$51, "",0),AND( F2487="Double Adhesive Tape", I2487="Roll-up Screen"), _xlfn.XLOOKUP(C2487, calc_rusacc!$C$15:$C$65, calc_rusacc!$AD$15:$AD$65, "",0),AND( F2487="Sealant", I2487="Roll-up Screen"), _xlfn.XLOOKUP(C2487, calc_rusacc!$C$15:$C$65, calc_rusacc!$AF$15:$AF$65, "",0),  AND( F2487="Main Chain", I2487="Accordion Screen"), _xlfn.XLOOKUP(C2487, calc_rusacc!$C$15:$C$65, calc_rusacc!$BF$15:$BF$65, "",0), AND( F2487="Sealant", I2487="Accordion Screen"), _xlfn.XLOOKUP(C2487, calc_rusacc!$C$15:$C$65, calc_rusacc!$BJ$15:$BJ$65, "",0),  F2487="Sealant", _xlfn.XLOOKUP(C2487, dd_accsrycalc!$A$2:$A$51, dd_accsrycalc!$G$2:$G$51, "",0),  F2487&lt;&gt;"",L2487*_xlfn.XLOOKUP(1, (SKUs!$C$2:$C$10001=G2487)*(SKUs!$K$2:$K$10001=I2487),SKUs!$E$2:$E$10001)), 0),"")</f>
        <v/>
      </c>
      <c r="E2487" s="16" t="str">
        <f>_xlfn.XLOOKUP(F2487,dd_item!$B$2:$B$105,dd_item!$C$2:$C$105,"",0)</f>
        <v/>
      </c>
      <c r="F2487" s="16"/>
      <c r="G2487" s="16" cm="1">
        <f t="array" ref="G2487">IFERROR(_xlfn.XLOOKUP(1, (SKUs!$J$2:$J$10001=accsry_unmerged!F2487)*IF(H2487&lt;&gt;"",(SKUs!$L$2:$L$10001=accsry_unmerged!H2487),1)*(SKUs!$K$2:$K$10001=I2487),SKUs!$C$2:$C$10001),"")</f>
        <v>0</v>
      </c>
      <c r="H2487" s="33" cm="1">
        <f t="array" ref="H2487">IFERROR(_xlfn.XLOOKUP(1, (dd_accsryclr!$C$2:$C$1000=accsry_unmerged!F2487)*(dd_accsryclr!$B$2:$B$1000=accsry_unmerged!J2487),dd_accsryclr!$A$2:$A$1000),"")</f>
        <v>0</v>
      </c>
      <c r="I2487" s="16">
        <f>_xlfn.XLOOKUP(C2487,'Project Details'!$C$17:$C$66,'Project Details'!$E$17:$E$66,"",0)</f>
        <v>0</v>
      </c>
      <c r="J2487" s="16">
        <f>_xlfn.XLOOKUP(C2487,'Project Details'!$C$17:$C$66,'Project Details'!$H$17:$H$66,"",0)</f>
        <v>0</v>
      </c>
      <c r="K2487" s="33" t="str">
        <f>IF(AND(_xlfn.XLOOKUP(C2487,'Project Details'!$C$17:$C$66,'Project Details'!$L$17:$L$66,"",0)&gt;550, F2487="Spring-L27cm"),"",SUBSTITUTE(_xlfn.XLOOKUP(G2487,SKUs!$C$2:$C$10001,SKUs!$F$2:$F$10001,"",0), " Accessories",""))</f>
        <v/>
      </c>
      <c r="L2487" s="33">
        <f>_xlfn.XLOOKUP(C2487,'Project Details'!$C$17:$C$66,'Project Details'!$D$17:$D$66,"",0)</f>
        <v>0</v>
      </c>
      <c r="M2487" s="43"/>
    </row>
    <row r="2488" spans="1:13" ht="13.5" customHeight="1" x14ac:dyDescent="0.25">
      <c r="A2488" s="43"/>
      <c r="B2488" s="43"/>
      <c r="C2488" s="35">
        <f t="shared" si="48"/>
        <v>50</v>
      </c>
      <c r="D2488" s="35" t="str" cm="1">
        <f t="array" ref="D2488">IFERROR(ROUNDUP(_xlfn.IFS(F2488="Aluminum Track", _xlfn.XLOOKUP(C2488, dd_accsrycalc!$A$2:$A$51, dd_accsrycalc!$B$2:$B$51, "",0), F2488="10 x 2 1/2 S (Flat)", _xlfn.XLOOKUP(C2488, dd_accsrycalc!$A$2:$A$51, dd_accsrycalc!$C$2:$C$51, "",0), F2488="Tox6", _xlfn.XLOOKUP(C2488, dd_accsrycalc!$A$2:$A$51, dd_accsrycalc!$D$2:$D$51, "",0), F2488="Cover Cap", _xlfn.XLOOKUP(C2488, dd_accsrycalc!$A$2:$A$51, dd_accsrycalc!$E$2:$E$51, "",0), F2488="Drainage Cover", _xlfn.XLOOKUP(C2488, dd_accsrycalc!$A$2:$A$51, dd_accsrycalc!$F$2:$F$51, "",0),AND( F2488="Double Adhesive Tape", I2488="Roll-up Screen"), _xlfn.XLOOKUP(C2488, calc_rusacc!$C$15:$C$65, calc_rusacc!$AD$15:$AD$65, "",0),AND( F2488="Sealant", I2488="Roll-up Screen"), _xlfn.XLOOKUP(C2488, calc_rusacc!$C$15:$C$65, calc_rusacc!$AF$15:$AF$65, "",0),  AND( F2488="Main Chain", I2488="Accordion Screen"), _xlfn.XLOOKUP(C2488, calc_rusacc!$C$15:$C$65, calc_rusacc!$BF$15:$BF$65, "",0), AND( F2488="Sealant", I2488="Accordion Screen"), _xlfn.XLOOKUP(C2488, calc_rusacc!$C$15:$C$65, calc_rusacc!$BJ$15:$BJ$65, "",0),  F2488="Sealant", _xlfn.XLOOKUP(C2488, dd_accsrycalc!$A$2:$A$51, dd_accsrycalc!$G$2:$G$51, "",0),  F2488&lt;&gt;"",L2488*_xlfn.XLOOKUP(1, (SKUs!$C$2:$C$10001=G2488)*(SKUs!$K$2:$K$10001=I2488),SKUs!$E$2:$E$10001)), 0),"")</f>
        <v/>
      </c>
      <c r="E2488" s="35" t="str">
        <f>_xlfn.XLOOKUP(F2488,dd_item!$B$2:$B$105,dd_item!$C$2:$C$105,"",0)</f>
        <v/>
      </c>
      <c r="F2488" s="35"/>
      <c r="G2488" s="35" cm="1">
        <f t="array" ref="G2488">IFERROR(_xlfn.XLOOKUP(1, (SKUs!$J$2:$J$10001=accsry_unmerged!F2488)*IF(H2488&lt;&gt;"",(SKUs!$L$2:$L$10001=accsry_unmerged!H2488),1)*(SKUs!$K$2:$K$10001=I2488),SKUs!$C$2:$C$10001),"")</f>
        <v>0</v>
      </c>
      <c r="H2488" s="36" cm="1">
        <f t="array" ref="H2488">IFERROR(_xlfn.XLOOKUP(1, (dd_accsryclr!$C$2:$C$1000=accsry_unmerged!F2488)*(dd_accsryclr!$B$2:$B$1000=accsry_unmerged!J2488),dd_accsryclr!$A$2:$A$1000),"")</f>
        <v>0</v>
      </c>
      <c r="I2488" s="35">
        <f>_xlfn.XLOOKUP(C2488,'Project Details'!$C$17:$C$66,'Project Details'!$E$17:$E$66,"",0)</f>
        <v>0</v>
      </c>
      <c r="J2488" s="35">
        <f>_xlfn.XLOOKUP(C2488,'Project Details'!$C$17:$C$66,'Project Details'!$H$17:$H$66,"",0)</f>
        <v>0</v>
      </c>
      <c r="K2488" s="36" t="str">
        <f>IF(AND(_xlfn.XLOOKUP(C2488,'Project Details'!$C$17:$C$66,'Project Details'!$L$17:$L$66,"",0)&gt;550, F2488="Spring-L27cm"),"",SUBSTITUTE(_xlfn.XLOOKUP(G2488,SKUs!$C$2:$C$10001,SKUs!$F$2:$F$10001,"",0), " Accessories",""))</f>
        <v/>
      </c>
      <c r="L2488" s="36">
        <f>_xlfn.XLOOKUP(C2488,'Project Details'!$C$17:$C$66,'Project Details'!$D$17:$D$66,"",0)</f>
        <v>0</v>
      </c>
      <c r="M2488" s="43"/>
    </row>
    <row r="2489" spans="1:13" ht="13.5" customHeight="1" x14ac:dyDescent="0.25">
      <c r="A2489" s="43"/>
      <c r="B2489" s="43"/>
      <c r="C2489" s="16">
        <f t="shared" si="48"/>
        <v>50</v>
      </c>
      <c r="D2489" s="16" t="str" cm="1">
        <f t="array" ref="D2489">IFERROR(ROUNDUP(_xlfn.IFS(F2489="Aluminum Track", _xlfn.XLOOKUP(C2489, dd_accsrycalc!$A$2:$A$51, dd_accsrycalc!$B$2:$B$51, "",0), F2489="10 x 2 1/2 S (Flat)", _xlfn.XLOOKUP(C2489, dd_accsrycalc!$A$2:$A$51, dd_accsrycalc!$C$2:$C$51, "",0), F2489="Tox6", _xlfn.XLOOKUP(C2489, dd_accsrycalc!$A$2:$A$51, dd_accsrycalc!$D$2:$D$51, "",0), F2489="Cover Cap", _xlfn.XLOOKUP(C2489, dd_accsrycalc!$A$2:$A$51, dd_accsrycalc!$E$2:$E$51, "",0), F2489="Drainage Cover", _xlfn.XLOOKUP(C2489, dd_accsrycalc!$A$2:$A$51, dd_accsrycalc!$F$2:$F$51, "",0),AND( F2489="Double Adhesive Tape", I2489="Roll-up Screen"), _xlfn.XLOOKUP(C2489, calc_rusacc!$C$15:$C$65, calc_rusacc!$AD$15:$AD$65, "",0),AND( F2489="Sealant", I2489="Roll-up Screen"), _xlfn.XLOOKUP(C2489, calc_rusacc!$C$15:$C$65, calc_rusacc!$AF$15:$AF$65, "",0),  AND( F2489="Main Chain", I2489="Accordion Screen"), _xlfn.XLOOKUP(C2489, calc_rusacc!$C$15:$C$65, calc_rusacc!$BF$15:$BF$65, "",0), AND( F2489="Sealant", I2489="Accordion Screen"), _xlfn.XLOOKUP(C2489, calc_rusacc!$C$15:$C$65, calc_rusacc!$BJ$15:$BJ$65, "",0),  F2489="Sealant", _xlfn.XLOOKUP(C2489, dd_accsrycalc!$A$2:$A$51, dd_accsrycalc!$G$2:$G$51, "",0),  F2489&lt;&gt;"",L2489*_xlfn.XLOOKUP(1, (SKUs!$C$2:$C$10001=G2489)*(SKUs!$K$2:$K$10001=I2489),SKUs!$E$2:$E$10001)), 0),"")</f>
        <v/>
      </c>
      <c r="E2489" s="16" t="str">
        <f>_xlfn.XLOOKUP(F2489,dd_item!$B$2:$B$105,dd_item!$C$2:$C$105,"",0)</f>
        <v/>
      </c>
      <c r="F2489" s="16"/>
      <c r="G2489" s="16" cm="1">
        <f t="array" ref="G2489">IFERROR(_xlfn.XLOOKUP(1, (SKUs!$J$2:$J$10001=accsry_unmerged!F2489)*IF(H2489&lt;&gt;"",(SKUs!$L$2:$L$10001=accsry_unmerged!H2489),1)*(SKUs!$K$2:$K$10001=I2489),SKUs!$C$2:$C$10001),"")</f>
        <v>0</v>
      </c>
      <c r="H2489" s="33" cm="1">
        <f t="array" ref="H2489">IFERROR(_xlfn.XLOOKUP(1, (dd_accsryclr!$C$2:$C$1000=accsry_unmerged!F2489)*(dd_accsryclr!$B$2:$B$1000=accsry_unmerged!J2489),dd_accsryclr!$A$2:$A$1000),"")</f>
        <v>0</v>
      </c>
      <c r="I2489" s="16">
        <f>_xlfn.XLOOKUP(C2489,'Project Details'!$C$17:$C$66,'Project Details'!$E$17:$E$66,"",0)</f>
        <v>0</v>
      </c>
      <c r="J2489" s="16">
        <f>_xlfn.XLOOKUP(C2489,'Project Details'!$C$17:$C$66,'Project Details'!$H$17:$H$66,"",0)</f>
        <v>0</v>
      </c>
      <c r="K2489" s="33" t="str">
        <f>IF(AND(_xlfn.XLOOKUP(C2489,'Project Details'!$C$17:$C$66,'Project Details'!$L$17:$L$66,"",0)&gt;550, F2489="Spring-L27cm"),"",SUBSTITUTE(_xlfn.XLOOKUP(G2489,SKUs!$C$2:$C$10001,SKUs!$F$2:$F$10001,"",0), " Accessories",""))</f>
        <v/>
      </c>
      <c r="L2489" s="33">
        <f>_xlfn.XLOOKUP(C2489,'Project Details'!$C$17:$C$66,'Project Details'!$D$17:$D$66,"",0)</f>
        <v>0</v>
      </c>
      <c r="M2489" s="43"/>
    </row>
    <row r="2490" spans="1:13" ht="13.5" customHeight="1" x14ac:dyDescent="0.25">
      <c r="A2490" s="43"/>
      <c r="B2490" s="43"/>
      <c r="C2490" s="35">
        <f t="shared" si="48"/>
        <v>50</v>
      </c>
      <c r="D2490" s="35" t="str" cm="1">
        <f t="array" ref="D2490">IFERROR(ROUNDUP(_xlfn.IFS(F2490="Aluminum Track", _xlfn.XLOOKUP(C2490, dd_accsrycalc!$A$2:$A$51, dd_accsrycalc!$B$2:$B$51, "",0), F2490="10 x 2 1/2 S (Flat)", _xlfn.XLOOKUP(C2490, dd_accsrycalc!$A$2:$A$51, dd_accsrycalc!$C$2:$C$51, "",0), F2490="Tox6", _xlfn.XLOOKUP(C2490, dd_accsrycalc!$A$2:$A$51, dd_accsrycalc!$D$2:$D$51, "",0), F2490="Cover Cap", _xlfn.XLOOKUP(C2490, dd_accsrycalc!$A$2:$A$51, dd_accsrycalc!$E$2:$E$51, "",0), F2490="Drainage Cover", _xlfn.XLOOKUP(C2490, dd_accsrycalc!$A$2:$A$51, dd_accsrycalc!$F$2:$F$51, "",0),AND( F2490="Double Adhesive Tape", I2490="Roll-up Screen"), _xlfn.XLOOKUP(C2490, calc_rusacc!$C$15:$C$65, calc_rusacc!$AD$15:$AD$65, "",0),AND( F2490="Sealant", I2490="Roll-up Screen"), _xlfn.XLOOKUP(C2490, calc_rusacc!$C$15:$C$65, calc_rusacc!$AF$15:$AF$65, "",0),  AND( F2490="Main Chain", I2490="Accordion Screen"), _xlfn.XLOOKUP(C2490, calc_rusacc!$C$15:$C$65, calc_rusacc!$BF$15:$BF$65, "",0), AND( F2490="Sealant", I2490="Accordion Screen"), _xlfn.XLOOKUP(C2490, calc_rusacc!$C$15:$C$65, calc_rusacc!$BJ$15:$BJ$65, "",0),  F2490="Sealant", _xlfn.XLOOKUP(C2490, dd_accsrycalc!$A$2:$A$51, dd_accsrycalc!$G$2:$G$51, "",0),  F2490&lt;&gt;"",L2490*_xlfn.XLOOKUP(1, (SKUs!$C$2:$C$10001=G2490)*(SKUs!$K$2:$K$10001=I2490),SKUs!$E$2:$E$10001)), 0),"")</f>
        <v/>
      </c>
      <c r="E2490" s="35" t="str">
        <f>_xlfn.XLOOKUP(F2490,dd_item!$B$2:$B$105,dd_item!$C$2:$C$105,"",0)</f>
        <v/>
      </c>
      <c r="F2490" s="35"/>
      <c r="G2490" s="35" cm="1">
        <f t="array" ref="G2490">IFERROR(_xlfn.XLOOKUP(1, (SKUs!$J$2:$J$10001=accsry_unmerged!F2490)*IF(H2490&lt;&gt;"",(SKUs!$L$2:$L$10001=accsry_unmerged!H2490),1)*(SKUs!$K$2:$K$10001=I2490),SKUs!$C$2:$C$10001),"")</f>
        <v>0</v>
      </c>
      <c r="H2490" s="36" cm="1">
        <f t="array" ref="H2490">IFERROR(_xlfn.XLOOKUP(1, (dd_accsryclr!$C$2:$C$1000=accsry_unmerged!F2490)*(dd_accsryclr!$B$2:$B$1000=accsry_unmerged!J2490),dd_accsryclr!$A$2:$A$1000),"")</f>
        <v>0</v>
      </c>
      <c r="I2490" s="35">
        <f>_xlfn.XLOOKUP(C2490,'Project Details'!$C$17:$C$66,'Project Details'!$E$17:$E$66,"",0)</f>
        <v>0</v>
      </c>
      <c r="J2490" s="35">
        <f>_xlfn.XLOOKUP(C2490,'Project Details'!$C$17:$C$66,'Project Details'!$H$17:$H$66,"",0)</f>
        <v>0</v>
      </c>
      <c r="K2490" s="36" t="str">
        <f>IF(AND(_xlfn.XLOOKUP(C2490,'Project Details'!$C$17:$C$66,'Project Details'!$L$17:$L$66,"",0)&gt;550, F2490="Spring-L27cm"),"",SUBSTITUTE(_xlfn.XLOOKUP(G2490,SKUs!$C$2:$C$10001,SKUs!$F$2:$F$10001,"",0), " Accessories",""))</f>
        <v/>
      </c>
      <c r="L2490" s="36">
        <f>_xlfn.XLOOKUP(C2490,'Project Details'!$C$17:$C$66,'Project Details'!$D$17:$D$66,"",0)</f>
        <v>0</v>
      </c>
      <c r="M2490" s="43"/>
    </row>
    <row r="2491" spans="1:13" ht="13.5" customHeight="1" x14ac:dyDescent="0.25">
      <c r="A2491" s="43"/>
      <c r="B2491" s="43"/>
      <c r="C2491" s="16">
        <f t="shared" si="48"/>
        <v>50</v>
      </c>
      <c r="D2491" s="16" t="str" cm="1">
        <f t="array" ref="D2491">IFERROR(ROUNDUP(_xlfn.IFS(F2491="Aluminum Track", _xlfn.XLOOKUP(C2491, dd_accsrycalc!$A$2:$A$51, dd_accsrycalc!$B$2:$B$51, "",0), F2491="10 x 2 1/2 S (Flat)", _xlfn.XLOOKUP(C2491, dd_accsrycalc!$A$2:$A$51, dd_accsrycalc!$C$2:$C$51, "",0), F2491="Tox6", _xlfn.XLOOKUP(C2491, dd_accsrycalc!$A$2:$A$51, dd_accsrycalc!$D$2:$D$51, "",0), F2491="Cover Cap", _xlfn.XLOOKUP(C2491, dd_accsrycalc!$A$2:$A$51, dd_accsrycalc!$E$2:$E$51, "",0), F2491="Drainage Cover", _xlfn.XLOOKUP(C2491, dd_accsrycalc!$A$2:$A$51, dd_accsrycalc!$F$2:$F$51, "",0),AND( F2491="Double Adhesive Tape", I2491="Roll-up Screen"), _xlfn.XLOOKUP(C2491, calc_rusacc!$C$15:$C$65, calc_rusacc!$AD$15:$AD$65, "",0),AND( F2491="Sealant", I2491="Roll-up Screen"), _xlfn.XLOOKUP(C2491, calc_rusacc!$C$15:$C$65, calc_rusacc!$AF$15:$AF$65, "",0),  AND( F2491="Main Chain", I2491="Accordion Screen"), _xlfn.XLOOKUP(C2491, calc_rusacc!$C$15:$C$65, calc_rusacc!$BF$15:$BF$65, "",0), AND( F2491="Sealant", I2491="Accordion Screen"), _xlfn.XLOOKUP(C2491, calc_rusacc!$C$15:$C$65, calc_rusacc!$BJ$15:$BJ$65, "",0),  F2491="Sealant", _xlfn.XLOOKUP(C2491, dd_accsrycalc!$A$2:$A$51, dd_accsrycalc!$G$2:$G$51, "",0),  F2491&lt;&gt;"",L2491*_xlfn.XLOOKUP(1, (SKUs!$C$2:$C$10001=G2491)*(SKUs!$K$2:$K$10001=I2491),SKUs!$E$2:$E$10001)), 0),"")</f>
        <v/>
      </c>
      <c r="E2491" s="16" t="str">
        <f>_xlfn.XLOOKUP(F2491,dd_item!$B$2:$B$105,dd_item!$C$2:$C$105,"",0)</f>
        <v/>
      </c>
      <c r="F2491" s="16"/>
      <c r="G2491" s="16" cm="1">
        <f t="array" ref="G2491">IFERROR(_xlfn.XLOOKUP(1, (SKUs!$J$2:$J$10001=accsry_unmerged!F2491)*IF(H2491&lt;&gt;"",(SKUs!$L$2:$L$10001=accsry_unmerged!H2491),1)*(SKUs!$K$2:$K$10001=I2491),SKUs!$C$2:$C$10001),"")</f>
        <v>0</v>
      </c>
      <c r="H2491" s="33" cm="1">
        <f t="array" ref="H2491">IFERROR(_xlfn.XLOOKUP(1, (dd_accsryclr!$C$2:$C$1000=accsry_unmerged!F2491)*(dd_accsryclr!$B$2:$B$1000=accsry_unmerged!J2491),dd_accsryclr!$A$2:$A$1000),"")</f>
        <v>0</v>
      </c>
      <c r="I2491" s="16">
        <f>_xlfn.XLOOKUP(C2491,'Project Details'!$C$17:$C$66,'Project Details'!$E$17:$E$66,"",0)</f>
        <v>0</v>
      </c>
      <c r="J2491" s="16">
        <f>_xlfn.XLOOKUP(C2491,'Project Details'!$C$17:$C$66,'Project Details'!$H$17:$H$66,"",0)</f>
        <v>0</v>
      </c>
      <c r="K2491" s="33" t="str">
        <f>IF(AND(_xlfn.XLOOKUP(C2491,'Project Details'!$C$17:$C$66,'Project Details'!$L$17:$L$66,"",0)&gt;550, F2491="Spring-L27cm"),"",SUBSTITUTE(_xlfn.XLOOKUP(G2491,SKUs!$C$2:$C$10001,SKUs!$F$2:$F$10001,"",0), " Accessories",""))</f>
        <v/>
      </c>
      <c r="L2491" s="33">
        <f>_xlfn.XLOOKUP(C2491,'Project Details'!$C$17:$C$66,'Project Details'!$D$17:$D$66,"",0)</f>
        <v>0</v>
      </c>
      <c r="M2491" s="43"/>
    </row>
    <row r="2492" spans="1:13" ht="13.5" customHeight="1" x14ac:dyDescent="0.25">
      <c r="A2492" s="43"/>
      <c r="B2492" s="43"/>
      <c r="C2492" s="35">
        <f t="shared" si="48"/>
        <v>50</v>
      </c>
      <c r="D2492" s="35" t="str" cm="1">
        <f t="array" ref="D2492">IFERROR(ROUNDUP(_xlfn.IFS(F2492="Aluminum Track", _xlfn.XLOOKUP(C2492, dd_accsrycalc!$A$2:$A$51, dd_accsrycalc!$B$2:$B$51, "",0), F2492="10 x 2 1/2 S (Flat)", _xlfn.XLOOKUP(C2492, dd_accsrycalc!$A$2:$A$51, dd_accsrycalc!$C$2:$C$51, "",0), F2492="Tox6", _xlfn.XLOOKUP(C2492, dd_accsrycalc!$A$2:$A$51, dd_accsrycalc!$D$2:$D$51, "",0), F2492="Cover Cap", _xlfn.XLOOKUP(C2492, dd_accsrycalc!$A$2:$A$51, dd_accsrycalc!$E$2:$E$51, "",0), F2492="Drainage Cover", _xlfn.XLOOKUP(C2492, dd_accsrycalc!$A$2:$A$51, dd_accsrycalc!$F$2:$F$51, "",0),AND( F2492="Double Adhesive Tape", I2492="Roll-up Screen"), _xlfn.XLOOKUP(C2492, calc_rusacc!$C$15:$C$65, calc_rusacc!$AD$15:$AD$65, "",0),AND( F2492="Sealant", I2492="Roll-up Screen"), _xlfn.XLOOKUP(C2492, calc_rusacc!$C$15:$C$65, calc_rusacc!$AF$15:$AF$65, "",0),  AND( F2492="Main Chain", I2492="Accordion Screen"), _xlfn.XLOOKUP(C2492, calc_rusacc!$C$15:$C$65, calc_rusacc!$BF$15:$BF$65, "",0), AND( F2492="Sealant", I2492="Accordion Screen"), _xlfn.XLOOKUP(C2492, calc_rusacc!$C$15:$C$65, calc_rusacc!$BJ$15:$BJ$65, "",0),  F2492="Sealant", _xlfn.XLOOKUP(C2492, dd_accsrycalc!$A$2:$A$51, dd_accsrycalc!$G$2:$G$51, "",0),  F2492&lt;&gt;"",L2492*_xlfn.XLOOKUP(1, (SKUs!$C$2:$C$10001=G2492)*(SKUs!$K$2:$K$10001=I2492),SKUs!$E$2:$E$10001)), 0),"")</f>
        <v/>
      </c>
      <c r="E2492" s="35" t="str">
        <f>_xlfn.XLOOKUP(F2492,dd_item!$B$2:$B$105,dd_item!$C$2:$C$105,"",0)</f>
        <v/>
      </c>
      <c r="F2492" s="35"/>
      <c r="G2492" s="35" cm="1">
        <f t="array" ref="G2492">IFERROR(_xlfn.XLOOKUP(1, (SKUs!$J$2:$J$10001=accsry_unmerged!F2492)*IF(H2492&lt;&gt;"",(SKUs!$L$2:$L$10001=accsry_unmerged!H2492),1)*(SKUs!$K$2:$K$10001=I2492),SKUs!$C$2:$C$10001),"")</f>
        <v>0</v>
      </c>
      <c r="H2492" s="36" cm="1">
        <f t="array" ref="H2492">IFERROR(_xlfn.XLOOKUP(1, (dd_accsryclr!$C$2:$C$1000=accsry_unmerged!F2492)*(dd_accsryclr!$B$2:$B$1000=accsry_unmerged!J2492),dd_accsryclr!$A$2:$A$1000),"")</f>
        <v>0</v>
      </c>
      <c r="I2492" s="35">
        <f>_xlfn.XLOOKUP(C2492,'Project Details'!$C$17:$C$66,'Project Details'!$E$17:$E$66,"",0)</f>
        <v>0</v>
      </c>
      <c r="J2492" s="35">
        <f>_xlfn.XLOOKUP(C2492,'Project Details'!$C$17:$C$66,'Project Details'!$H$17:$H$66,"",0)</f>
        <v>0</v>
      </c>
      <c r="K2492" s="36" t="str">
        <f>IF(AND(_xlfn.XLOOKUP(C2492,'Project Details'!$C$17:$C$66,'Project Details'!$L$17:$L$66,"",0)&gt;550, F2492="Spring-L27cm"),"",SUBSTITUTE(_xlfn.XLOOKUP(G2492,SKUs!$C$2:$C$10001,SKUs!$F$2:$F$10001,"",0), " Accessories",""))</f>
        <v/>
      </c>
      <c r="L2492" s="36">
        <f>_xlfn.XLOOKUP(C2492,'Project Details'!$C$17:$C$66,'Project Details'!$D$17:$D$66,"",0)</f>
        <v>0</v>
      </c>
      <c r="M2492" s="43"/>
    </row>
    <row r="2493" spans="1:13" ht="13.5" customHeight="1" x14ac:dyDescent="0.25">
      <c r="A2493" s="43"/>
      <c r="B2493" s="43"/>
      <c r="C2493" s="16">
        <f t="shared" si="48"/>
        <v>50</v>
      </c>
      <c r="D2493" s="16" t="str" cm="1">
        <f t="array" ref="D2493">IFERROR(ROUNDUP(_xlfn.IFS(F2493="Aluminum Track", _xlfn.XLOOKUP(C2493, dd_accsrycalc!$A$2:$A$51, dd_accsrycalc!$B$2:$B$51, "",0), F2493="10 x 2 1/2 S (Flat)", _xlfn.XLOOKUP(C2493, dd_accsrycalc!$A$2:$A$51, dd_accsrycalc!$C$2:$C$51, "",0), F2493="Tox6", _xlfn.XLOOKUP(C2493, dd_accsrycalc!$A$2:$A$51, dd_accsrycalc!$D$2:$D$51, "",0), F2493="Cover Cap", _xlfn.XLOOKUP(C2493, dd_accsrycalc!$A$2:$A$51, dd_accsrycalc!$E$2:$E$51, "",0), F2493="Drainage Cover", _xlfn.XLOOKUP(C2493, dd_accsrycalc!$A$2:$A$51, dd_accsrycalc!$F$2:$F$51, "",0),AND( F2493="Double Adhesive Tape", I2493="Roll-up Screen"), _xlfn.XLOOKUP(C2493, calc_rusacc!$C$15:$C$65, calc_rusacc!$AD$15:$AD$65, "",0),AND( F2493="Sealant", I2493="Roll-up Screen"), _xlfn.XLOOKUP(C2493, calc_rusacc!$C$15:$C$65, calc_rusacc!$AF$15:$AF$65, "",0),  AND( F2493="Main Chain", I2493="Accordion Screen"), _xlfn.XLOOKUP(C2493, calc_rusacc!$C$15:$C$65, calc_rusacc!$BF$15:$BF$65, "",0), AND( F2493="Sealant", I2493="Accordion Screen"), _xlfn.XLOOKUP(C2493, calc_rusacc!$C$15:$C$65, calc_rusacc!$BJ$15:$BJ$65, "",0),  F2493="Sealant", _xlfn.XLOOKUP(C2493, dd_accsrycalc!$A$2:$A$51, dd_accsrycalc!$G$2:$G$51, "",0),  F2493&lt;&gt;"",L2493*_xlfn.XLOOKUP(1, (SKUs!$C$2:$C$10001=G2493)*(SKUs!$K$2:$K$10001=I2493),SKUs!$E$2:$E$10001)), 0),"")</f>
        <v/>
      </c>
      <c r="E2493" s="16" t="str">
        <f>_xlfn.XLOOKUP(F2493,dd_item!$B$2:$B$105,dd_item!$C$2:$C$105,"",0)</f>
        <v/>
      </c>
      <c r="F2493" s="16"/>
      <c r="G2493" s="16" cm="1">
        <f t="array" ref="G2493">IFERROR(_xlfn.XLOOKUP(1, (SKUs!$J$2:$J$10001=accsry_unmerged!F2493)*IF(H2493&lt;&gt;"",(SKUs!$L$2:$L$10001=accsry_unmerged!H2493),1)*(SKUs!$K$2:$K$10001=I2493),SKUs!$C$2:$C$10001),"")</f>
        <v>0</v>
      </c>
      <c r="H2493" s="33" cm="1">
        <f t="array" ref="H2493">IFERROR(_xlfn.XLOOKUP(1, (dd_accsryclr!$C$2:$C$1000=accsry_unmerged!F2493)*(dd_accsryclr!$B$2:$B$1000=accsry_unmerged!J2493),dd_accsryclr!$A$2:$A$1000),"")</f>
        <v>0</v>
      </c>
      <c r="I2493" s="16">
        <f>_xlfn.XLOOKUP(C2493,'Project Details'!$C$17:$C$66,'Project Details'!$E$17:$E$66,"",0)</f>
        <v>0</v>
      </c>
      <c r="J2493" s="16">
        <f>_xlfn.XLOOKUP(C2493,'Project Details'!$C$17:$C$66,'Project Details'!$H$17:$H$66,"",0)</f>
        <v>0</v>
      </c>
      <c r="K2493" s="33" t="str">
        <f>IF(AND(_xlfn.XLOOKUP(C2493,'Project Details'!$C$17:$C$66,'Project Details'!$L$17:$L$66,"",0)&gt;550, F2493="Spring-L27cm"),"",SUBSTITUTE(_xlfn.XLOOKUP(G2493,SKUs!$C$2:$C$10001,SKUs!$F$2:$F$10001,"",0), " Accessories",""))</f>
        <v/>
      </c>
      <c r="L2493" s="33">
        <f>_xlfn.XLOOKUP(C2493,'Project Details'!$C$17:$C$66,'Project Details'!$D$17:$D$66,"",0)</f>
        <v>0</v>
      </c>
      <c r="M2493" s="43"/>
    </row>
    <row r="2494" spans="1:13" ht="13.5" customHeight="1" x14ac:dyDescent="0.25">
      <c r="A2494" s="43"/>
      <c r="B2494" s="43"/>
      <c r="C2494" s="35">
        <f t="shared" si="48"/>
        <v>50</v>
      </c>
      <c r="D2494" s="35" t="str" cm="1">
        <f t="array" ref="D2494">IFERROR(ROUNDUP(_xlfn.IFS(F2494="Aluminum Track", _xlfn.XLOOKUP(C2494, dd_accsrycalc!$A$2:$A$51, dd_accsrycalc!$B$2:$B$51, "",0), F2494="10 x 2 1/2 S (Flat)", _xlfn.XLOOKUP(C2494, dd_accsrycalc!$A$2:$A$51, dd_accsrycalc!$C$2:$C$51, "",0), F2494="Tox6", _xlfn.XLOOKUP(C2494, dd_accsrycalc!$A$2:$A$51, dd_accsrycalc!$D$2:$D$51, "",0), F2494="Cover Cap", _xlfn.XLOOKUP(C2494, dd_accsrycalc!$A$2:$A$51, dd_accsrycalc!$E$2:$E$51, "",0), F2494="Drainage Cover", _xlfn.XLOOKUP(C2494, dd_accsrycalc!$A$2:$A$51, dd_accsrycalc!$F$2:$F$51, "",0),AND( F2494="Double Adhesive Tape", I2494="Roll-up Screen"), _xlfn.XLOOKUP(C2494, calc_rusacc!$C$15:$C$65, calc_rusacc!$AD$15:$AD$65, "",0),AND( F2494="Sealant", I2494="Roll-up Screen"), _xlfn.XLOOKUP(C2494, calc_rusacc!$C$15:$C$65, calc_rusacc!$AF$15:$AF$65, "",0),  AND( F2494="Main Chain", I2494="Accordion Screen"), _xlfn.XLOOKUP(C2494, calc_rusacc!$C$15:$C$65, calc_rusacc!$BF$15:$BF$65, "",0), AND( F2494="Sealant", I2494="Accordion Screen"), _xlfn.XLOOKUP(C2494, calc_rusacc!$C$15:$C$65, calc_rusacc!$BJ$15:$BJ$65, "",0),  F2494="Sealant", _xlfn.XLOOKUP(C2494, dd_accsrycalc!$A$2:$A$51, dd_accsrycalc!$G$2:$G$51, "",0),  F2494&lt;&gt;"",L2494*_xlfn.XLOOKUP(1, (SKUs!$C$2:$C$10001=G2494)*(SKUs!$K$2:$K$10001=I2494),SKUs!$E$2:$E$10001)), 0),"")</f>
        <v/>
      </c>
      <c r="E2494" s="35" t="str">
        <f>_xlfn.XLOOKUP(F2494,dd_item!$B$2:$B$105,dd_item!$C$2:$C$105,"",0)</f>
        <v/>
      </c>
      <c r="F2494" s="35"/>
      <c r="G2494" s="35" cm="1">
        <f t="array" ref="G2494">IFERROR(_xlfn.XLOOKUP(1, (SKUs!$J$2:$J$10001=accsry_unmerged!F2494)*IF(H2494&lt;&gt;"",(SKUs!$L$2:$L$10001=accsry_unmerged!H2494),1)*(SKUs!$K$2:$K$10001=I2494),SKUs!$C$2:$C$10001),"")</f>
        <v>0</v>
      </c>
      <c r="H2494" s="36" cm="1">
        <f t="array" ref="H2494">IFERROR(_xlfn.XLOOKUP(1, (dd_accsryclr!$C$2:$C$1000=accsry_unmerged!F2494)*(dd_accsryclr!$B$2:$B$1000=accsry_unmerged!J2494),dd_accsryclr!$A$2:$A$1000),"")</f>
        <v>0</v>
      </c>
      <c r="I2494" s="35">
        <f>_xlfn.XLOOKUP(C2494,'Project Details'!$C$17:$C$66,'Project Details'!$E$17:$E$66,"",0)</f>
        <v>0</v>
      </c>
      <c r="J2494" s="35">
        <f>_xlfn.XLOOKUP(C2494,'Project Details'!$C$17:$C$66,'Project Details'!$H$17:$H$66,"",0)</f>
        <v>0</v>
      </c>
      <c r="K2494" s="36" t="str">
        <f>IF(AND(_xlfn.XLOOKUP(C2494,'Project Details'!$C$17:$C$66,'Project Details'!$L$17:$L$66,"",0)&gt;550, F2494="Spring-L27cm"),"",SUBSTITUTE(_xlfn.XLOOKUP(G2494,SKUs!$C$2:$C$10001,SKUs!$F$2:$F$10001,"",0), " Accessories",""))</f>
        <v/>
      </c>
      <c r="L2494" s="36">
        <f>_xlfn.XLOOKUP(C2494,'Project Details'!$C$17:$C$66,'Project Details'!$D$17:$D$66,"",0)</f>
        <v>0</v>
      </c>
      <c r="M2494" s="43"/>
    </row>
    <row r="2495" spans="1:13" ht="13.5" customHeight="1" outlineLevel="1" x14ac:dyDescent="0.25">
      <c r="A2495" s="43"/>
      <c r="B2495" s="43"/>
      <c r="C2495" s="16">
        <f t="shared" si="48"/>
        <v>50</v>
      </c>
      <c r="D2495" s="16" t="str" cm="1">
        <f t="array" ref="D2495">IFERROR(ROUNDUP(_xlfn.IFS(F2495="Aluminum Track", _xlfn.XLOOKUP(C2495, dd_accsrycalc!$A$2:$A$51, dd_accsrycalc!$B$2:$B$51, "",0), F2495="10 x 2 1/2 S (Flat)", _xlfn.XLOOKUP(C2495, dd_accsrycalc!$A$2:$A$51, dd_accsrycalc!$C$2:$C$51, "",0), F2495="Tox6", _xlfn.XLOOKUP(C2495, dd_accsrycalc!$A$2:$A$51, dd_accsrycalc!$D$2:$D$51, "",0), F2495="Cover Cap", _xlfn.XLOOKUP(C2495, dd_accsrycalc!$A$2:$A$51, dd_accsrycalc!$E$2:$E$51, "",0), F2495="Drainage Cover", _xlfn.XLOOKUP(C2495, dd_accsrycalc!$A$2:$A$51, dd_accsrycalc!$F$2:$F$51, "",0),AND( F2495="Double Adhesive Tape", I2495="Roll-up Screen"), _xlfn.XLOOKUP(C2495, calc_rusacc!$C$15:$C$65, calc_rusacc!$AD$15:$AD$65, "",0),AND( F2495="Sealant", I2495="Roll-up Screen"), _xlfn.XLOOKUP(C2495, calc_rusacc!$C$15:$C$65, calc_rusacc!$AF$15:$AF$65, "",0),  AND( F2495="Main Chain", I2495="Accordion Screen"), _xlfn.XLOOKUP(C2495, calc_rusacc!$C$15:$C$65, calc_rusacc!$BF$15:$BF$65, "",0), AND( F2495="Sealant", I2495="Accordion Screen"), _xlfn.XLOOKUP(C2495, calc_rusacc!$C$15:$C$65, calc_rusacc!$BJ$15:$BJ$65, "",0),  F2495="Sealant", _xlfn.XLOOKUP(C2495, dd_accsrycalc!$A$2:$A$51, dd_accsrycalc!$G$2:$G$51, "",0),  F2495&lt;&gt;"",L2495*_xlfn.XLOOKUP(1, (SKUs!$C$2:$C$10001=G2495)*(SKUs!$K$2:$K$10001=I2495),SKUs!$E$2:$E$10001)), 0),"")</f>
        <v/>
      </c>
      <c r="E2495" s="16" t="str">
        <f>_xlfn.XLOOKUP(F2495,dd_item!$B$2:$B$105,dd_item!$C$2:$C$105,"",0)</f>
        <v/>
      </c>
      <c r="F2495" s="16"/>
      <c r="G2495" s="16" cm="1">
        <f t="array" ref="G2495">IFERROR(_xlfn.XLOOKUP(1, (SKUs!$J$2:$J$10001=accsry_unmerged!F2495)*IF(H2495&lt;&gt;"",(SKUs!$L$2:$L$10001=accsry_unmerged!H2495),1)*(SKUs!$K$2:$K$10001=I2495),SKUs!$C$2:$C$10001),"")</f>
        <v>0</v>
      </c>
      <c r="H2495" s="33" cm="1">
        <f t="array" ref="H2495">IFERROR(_xlfn.XLOOKUP(1, (dd_accsryclr!$C$2:$C$1000=accsry_unmerged!F2495)*(dd_accsryclr!$B$2:$B$1000=accsry_unmerged!J2495),dd_accsryclr!$A$2:$A$1000),"")</f>
        <v>0</v>
      </c>
      <c r="I2495" s="16">
        <f>_xlfn.XLOOKUP(C2495,'Project Details'!$C$17:$C$66,'Project Details'!$E$17:$E$66,"",0)</f>
        <v>0</v>
      </c>
      <c r="J2495" s="16">
        <f>_xlfn.XLOOKUP(C2495,'Project Details'!$C$17:$C$66,'Project Details'!$H$17:$H$66,"",0)</f>
        <v>0</v>
      </c>
      <c r="K2495" s="33" t="str">
        <f>IF(AND(_xlfn.XLOOKUP(C2495,'Project Details'!$C$17:$C$66,'Project Details'!$L$17:$L$66,"",0)&gt;550, F2495="Spring-L27cm"),"",SUBSTITUTE(_xlfn.XLOOKUP(G2495,SKUs!$C$2:$C$10001,SKUs!$F$2:$F$10001,"",0), " Accessories",""))</f>
        <v/>
      </c>
      <c r="L2495" s="33">
        <f>_xlfn.XLOOKUP(C2495,'Project Details'!$C$17:$C$66,'Project Details'!$D$17:$D$66,"",0)</f>
        <v>0</v>
      </c>
      <c r="M2495" s="43"/>
    </row>
    <row r="2496" spans="1:13" ht="13.5" customHeight="1" outlineLevel="1" x14ac:dyDescent="0.25">
      <c r="A2496" s="43"/>
      <c r="B2496" s="43"/>
      <c r="C2496" s="35">
        <f t="shared" si="48"/>
        <v>50</v>
      </c>
      <c r="D2496" s="35" t="str" cm="1">
        <f t="array" ref="D2496">IFERROR(ROUNDUP(_xlfn.IFS(F2496="Aluminum Track", _xlfn.XLOOKUP(C2496, dd_accsrycalc!$A$2:$A$51, dd_accsrycalc!$B$2:$B$51, "",0), F2496="10 x 2 1/2 S (Flat)", _xlfn.XLOOKUP(C2496, dd_accsrycalc!$A$2:$A$51, dd_accsrycalc!$C$2:$C$51, "",0), F2496="Tox6", _xlfn.XLOOKUP(C2496, dd_accsrycalc!$A$2:$A$51, dd_accsrycalc!$D$2:$D$51, "",0), F2496="Cover Cap", _xlfn.XLOOKUP(C2496, dd_accsrycalc!$A$2:$A$51, dd_accsrycalc!$E$2:$E$51, "",0), F2496="Drainage Cover", _xlfn.XLOOKUP(C2496, dd_accsrycalc!$A$2:$A$51, dd_accsrycalc!$F$2:$F$51, "",0),AND( F2496="Double Adhesive Tape", I2496="Roll-up Screen"), _xlfn.XLOOKUP(C2496, calc_rusacc!$C$15:$C$65, calc_rusacc!$AD$15:$AD$65, "",0),AND( F2496="Sealant", I2496="Roll-up Screen"), _xlfn.XLOOKUP(C2496, calc_rusacc!$C$15:$C$65, calc_rusacc!$AF$15:$AF$65, "",0),  AND( F2496="Main Chain", I2496="Accordion Screen"), _xlfn.XLOOKUP(C2496, calc_rusacc!$C$15:$C$65, calc_rusacc!$BF$15:$BF$65, "",0), AND( F2496="Sealant", I2496="Accordion Screen"), _xlfn.XLOOKUP(C2496, calc_rusacc!$C$15:$C$65, calc_rusacc!$BJ$15:$BJ$65, "",0),  F2496="Sealant", _xlfn.XLOOKUP(C2496, dd_accsrycalc!$A$2:$A$51, dd_accsrycalc!$G$2:$G$51, "",0),  F2496&lt;&gt;"",L2496*_xlfn.XLOOKUP(1, (SKUs!$C$2:$C$10001=G2496)*(SKUs!$K$2:$K$10001=I2496),SKUs!$E$2:$E$10001)), 0),"")</f>
        <v/>
      </c>
      <c r="E2496" s="35" t="str">
        <f>_xlfn.XLOOKUP(F2496,dd_item!$B$2:$B$105,dd_item!$C$2:$C$105,"",0)</f>
        <v/>
      </c>
      <c r="F2496" s="35"/>
      <c r="G2496" s="35" cm="1">
        <f t="array" ref="G2496">IFERROR(_xlfn.XLOOKUP(1, (SKUs!$J$2:$J$10001=accsry_unmerged!F2496)*IF(H2496&lt;&gt;"",(SKUs!$L$2:$L$10001=accsry_unmerged!H2496),1)*(SKUs!$K$2:$K$10001=I2496),SKUs!$C$2:$C$10001),"")</f>
        <v>0</v>
      </c>
      <c r="H2496" s="36" cm="1">
        <f t="array" ref="H2496">IFERROR(_xlfn.XLOOKUP(1, (dd_accsryclr!$C$2:$C$1000=accsry_unmerged!F2496)*(dd_accsryclr!$B$2:$B$1000=accsry_unmerged!J2496),dd_accsryclr!$A$2:$A$1000),"")</f>
        <v>0</v>
      </c>
      <c r="I2496" s="35">
        <f>_xlfn.XLOOKUP(C2496,'Project Details'!$C$17:$C$66,'Project Details'!$E$17:$E$66,"",0)</f>
        <v>0</v>
      </c>
      <c r="J2496" s="35">
        <f>_xlfn.XLOOKUP(C2496,'Project Details'!$C$17:$C$66,'Project Details'!$H$17:$H$66,"",0)</f>
        <v>0</v>
      </c>
      <c r="K2496" s="36" t="str">
        <f>IF(AND(_xlfn.XLOOKUP(C2496,'Project Details'!$C$17:$C$66,'Project Details'!$L$17:$L$66,"",0)&gt;550, F2496="Spring-L27cm"),"",SUBSTITUTE(_xlfn.XLOOKUP(G2496,SKUs!$C$2:$C$10001,SKUs!$F$2:$F$10001,"",0), " Accessories",""))</f>
        <v/>
      </c>
      <c r="L2496" s="36">
        <f>_xlfn.XLOOKUP(C2496,'Project Details'!$C$17:$C$66,'Project Details'!$D$17:$D$66,"",0)</f>
        <v>0</v>
      </c>
      <c r="M2496" s="43"/>
    </row>
    <row r="2497" spans="1:13" ht="13.5" customHeight="1" outlineLevel="1" x14ac:dyDescent="0.25">
      <c r="A2497" s="43"/>
      <c r="B2497" s="43"/>
      <c r="C2497" s="16">
        <f t="shared" si="48"/>
        <v>50</v>
      </c>
      <c r="D2497" s="16" t="str" cm="1">
        <f t="array" ref="D2497">IFERROR(ROUNDUP(_xlfn.IFS(F2497="Aluminum Track", _xlfn.XLOOKUP(C2497, dd_accsrycalc!$A$2:$A$51, dd_accsrycalc!$B$2:$B$51, "",0), F2497="10 x 2 1/2 S (Flat)", _xlfn.XLOOKUP(C2497, dd_accsrycalc!$A$2:$A$51, dd_accsrycalc!$C$2:$C$51, "",0), F2497="Tox6", _xlfn.XLOOKUP(C2497, dd_accsrycalc!$A$2:$A$51, dd_accsrycalc!$D$2:$D$51, "",0), F2497="Cover Cap", _xlfn.XLOOKUP(C2497, dd_accsrycalc!$A$2:$A$51, dd_accsrycalc!$E$2:$E$51, "",0), F2497="Drainage Cover", _xlfn.XLOOKUP(C2497, dd_accsrycalc!$A$2:$A$51, dd_accsrycalc!$F$2:$F$51, "",0),AND( F2497="Double Adhesive Tape", I2497="Roll-up Screen"), _xlfn.XLOOKUP(C2497, calc_rusacc!$C$15:$C$65, calc_rusacc!$AD$15:$AD$65, "",0),AND( F2497="Sealant", I2497="Roll-up Screen"), _xlfn.XLOOKUP(C2497, calc_rusacc!$C$15:$C$65, calc_rusacc!$AF$15:$AF$65, "",0),  AND( F2497="Main Chain", I2497="Accordion Screen"), _xlfn.XLOOKUP(C2497, calc_rusacc!$C$15:$C$65, calc_rusacc!$BF$15:$BF$65, "",0), AND( F2497="Sealant", I2497="Accordion Screen"), _xlfn.XLOOKUP(C2497, calc_rusacc!$C$15:$C$65, calc_rusacc!$BJ$15:$BJ$65, "",0),  F2497="Sealant", _xlfn.XLOOKUP(C2497, dd_accsrycalc!$A$2:$A$51, dd_accsrycalc!$G$2:$G$51, "",0),  F2497&lt;&gt;"",L2497*_xlfn.XLOOKUP(1, (SKUs!$C$2:$C$10001=G2497)*(SKUs!$K$2:$K$10001=I2497),SKUs!$E$2:$E$10001)), 0),"")</f>
        <v/>
      </c>
      <c r="E2497" s="16" t="str">
        <f>_xlfn.XLOOKUP(F2497,dd_item!$B$2:$B$105,dd_item!$C$2:$C$105,"",0)</f>
        <v/>
      </c>
      <c r="F2497" s="16"/>
      <c r="G2497" s="16" cm="1">
        <f t="array" ref="G2497">IFERROR(_xlfn.XLOOKUP(1, (SKUs!$J$2:$J$10001=accsry_unmerged!F2497)*IF(H2497&lt;&gt;"",(SKUs!$L$2:$L$10001=accsry_unmerged!H2497),1)*(SKUs!$K$2:$K$10001=I2497),SKUs!$C$2:$C$10001),"")</f>
        <v>0</v>
      </c>
      <c r="H2497" s="33" cm="1">
        <f t="array" ref="H2497">IFERROR(_xlfn.XLOOKUP(1, (dd_accsryclr!$C$2:$C$1000=accsry_unmerged!F2497)*(dd_accsryclr!$B$2:$B$1000=accsry_unmerged!J2497),dd_accsryclr!$A$2:$A$1000),"")</f>
        <v>0</v>
      </c>
      <c r="I2497" s="16">
        <f>_xlfn.XLOOKUP(C2497,'Project Details'!$C$17:$C$66,'Project Details'!$E$17:$E$66,"",0)</f>
        <v>0</v>
      </c>
      <c r="J2497" s="16">
        <f>_xlfn.XLOOKUP(C2497,'Project Details'!$C$17:$C$66,'Project Details'!$H$17:$H$66,"",0)</f>
        <v>0</v>
      </c>
      <c r="K2497" s="33" t="str">
        <f>IF(AND(_xlfn.XLOOKUP(C2497,'Project Details'!$C$17:$C$66,'Project Details'!$L$17:$L$66,"",0)&gt;550, F2497="Spring-L27cm"),"",SUBSTITUTE(_xlfn.XLOOKUP(G2497,SKUs!$C$2:$C$10001,SKUs!$F$2:$F$10001,"",0), " Accessories",""))</f>
        <v/>
      </c>
      <c r="L2497" s="33">
        <f>_xlfn.XLOOKUP(C2497,'Project Details'!$C$17:$C$66,'Project Details'!$D$17:$D$66,"",0)</f>
        <v>0</v>
      </c>
      <c r="M2497" s="43"/>
    </row>
    <row r="2498" spans="1:13" ht="13.5" customHeight="1" outlineLevel="1" x14ac:dyDescent="0.25">
      <c r="A2498" s="43"/>
      <c r="B2498" s="43"/>
      <c r="C2498" s="35">
        <f t="shared" si="48"/>
        <v>50</v>
      </c>
      <c r="D2498" s="35" t="str" cm="1">
        <f t="array" ref="D2498">IFERROR(ROUNDUP(_xlfn.IFS(F2498="Aluminum Track", _xlfn.XLOOKUP(C2498, dd_accsrycalc!$A$2:$A$51, dd_accsrycalc!$B$2:$B$51, "",0), F2498="10 x 2 1/2 S (Flat)", _xlfn.XLOOKUP(C2498, dd_accsrycalc!$A$2:$A$51, dd_accsrycalc!$C$2:$C$51, "",0), F2498="Tox6", _xlfn.XLOOKUP(C2498, dd_accsrycalc!$A$2:$A$51, dd_accsrycalc!$D$2:$D$51, "",0), F2498="Cover Cap", _xlfn.XLOOKUP(C2498, dd_accsrycalc!$A$2:$A$51, dd_accsrycalc!$E$2:$E$51, "",0), F2498="Drainage Cover", _xlfn.XLOOKUP(C2498, dd_accsrycalc!$A$2:$A$51, dd_accsrycalc!$F$2:$F$51, "",0),AND( F2498="Double Adhesive Tape", I2498="Roll-up Screen"), _xlfn.XLOOKUP(C2498, calc_rusacc!$C$15:$C$65, calc_rusacc!$AD$15:$AD$65, "",0),AND( F2498="Sealant", I2498="Roll-up Screen"), _xlfn.XLOOKUP(C2498, calc_rusacc!$C$15:$C$65, calc_rusacc!$AF$15:$AF$65, "",0),  AND( F2498="Main Chain", I2498="Accordion Screen"), _xlfn.XLOOKUP(C2498, calc_rusacc!$C$15:$C$65, calc_rusacc!$BF$15:$BF$65, "",0), AND( F2498="Sealant", I2498="Accordion Screen"), _xlfn.XLOOKUP(C2498, calc_rusacc!$C$15:$C$65, calc_rusacc!$BJ$15:$BJ$65, "",0),  F2498="Sealant", _xlfn.XLOOKUP(C2498, dd_accsrycalc!$A$2:$A$51, dd_accsrycalc!$G$2:$G$51, "",0),  F2498&lt;&gt;"",L2498*_xlfn.XLOOKUP(1, (SKUs!$C$2:$C$10001=G2498)*(SKUs!$K$2:$K$10001=I2498),SKUs!$E$2:$E$10001)), 0),"")</f>
        <v/>
      </c>
      <c r="E2498" s="35" t="str">
        <f>_xlfn.XLOOKUP(F2498,dd_item!$B$2:$B$105,dd_item!$C$2:$C$105,"",0)</f>
        <v/>
      </c>
      <c r="F2498" s="35"/>
      <c r="G2498" s="35" cm="1">
        <f t="array" ref="G2498">IFERROR(_xlfn.XLOOKUP(1, (SKUs!$J$2:$J$10001=accsry_unmerged!F2498)*IF(H2498&lt;&gt;"",(SKUs!$L$2:$L$10001=accsry_unmerged!H2498),1)*(SKUs!$K$2:$K$10001=I2498),SKUs!$C$2:$C$10001),"")</f>
        <v>0</v>
      </c>
      <c r="H2498" s="36" cm="1">
        <f t="array" ref="H2498">IFERROR(_xlfn.XLOOKUP(1, (dd_accsryclr!$C$2:$C$1000=accsry_unmerged!F2498)*(dd_accsryclr!$B$2:$B$1000=accsry_unmerged!J2498),dd_accsryclr!$A$2:$A$1000),"")</f>
        <v>0</v>
      </c>
      <c r="I2498" s="35">
        <f>_xlfn.XLOOKUP(C2498,'Project Details'!$C$17:$C$66,'Project Details'!$E$17:$E$66,"",0)</f>
        <v>0</v>
      </c>
      <c r="J2498" s="35">
        <f>_xlfn.XLOOKUP(C2498,'Project Details'!$C$17:$C$66,'Project Details'!$H$17:$H$66,"",0)</f>
        <v>0</v>
      </c>
      <c r="K2498" s="36" t="str">
        <f>IF(AND(_xlfn.XLOOKUP(C2498,'Project Details'!$C$17:$C$66,'Project Details'!$L$17:$L$66,"",0)&gt;550, F2498="Spring-L27cm"),"",SUBSTITUTE(_xlfn.XLOOKUP(G2498,SKUs!$C$2:$C$10001,SKUs!$F$2:$F$10001,"",0), " Accessories",""))</f>
        <v/>
      </c>
      <c r="L2498" s="36">
        <f>_xlfn.XLOOKUP(C2498,'Project Details'!$C$17:$C$66,'Project Details'!$D$17:$D$66,"",0)</f>
        <v>0</v>
      </c>
      <c r="M2498" s="43"/>
    </row>
    <row r="2499" spans="1:13" ht="13.5" customHeight="1" outlineLevel="1" x14ac:dyDescent="0.25">
      <c r="A2499" s="43"/>
      <c r="B2499" s="43"/>
      <c r="C2499" s="16">
        <f t="shared" si="48"/>
        <v>50</v>
      </c>
      <c r="D2499" s="16" t="str" cm="1">
        <f t="array" ref="D2499">IFERROR(ROUNDUP(_xlfn.IFS(F2499="Aluminum Track", _xlfn.XLOOKUP(C2499, dd_accsrycalc!$A$2:$A$51, dd_accsrycalc!$B$2:$B$51, "",0), F2499="10 x 2 1/2 S (Flat)", _xlfn.XLOOKUP(C2499, dd_accsrycalc!$A$2:$A$51, dd_accsrycalc!$C$2:$C$51, "",0), F2499="Tox6", _xlfn.XLOOKUP(C2499, dd_accsrycalc!$A$2:$A$51, dd_accsrycalc!$D$2:$D$51, "",0), F2499="Cover Cap", _xlfn.XLOOKUP(C2499, dd_accsrycalc!$A$2:$A$51, dd_accsrycalc!$E$2:$E$51, "",0), F2499="Drainage Cover", _xlfn.XLOOKUP(C2499, dd_accsrycalc!$A$2:$A$51, dd_accsrycalc!$F$2:$F$51, "",0),AND( F2499="Double Adhesive Tape", I2499="Roll-up Screen"), _xlfn.XLOOKUP(C2499, calc_rusacc!$C$15:$C$65, calc_rusacc!$AD$15:$AD$65, "",0),AND( F2499="Sealant", I2499="Roll-up Screen"), _xlfn.XLOOKUP(C2499, calc_rusacc!$C$15:$C$65, calc_rusacc!$AF$15:$AF$65, "",0),  AND( F2499="Main Chain", I2499="Accordion Screen"), _xlfn.XLOOKUP(C2499, calc_rusacc!$C$15:$C$65, calc_rusacc!$BF$15:$BF$65, "",0), AND( F2499="Sealant", I2499="Accordion Screen"), _xlfn.XLOOKUP(C2499, calc_rusacc!$C$15:$C$65, calc_rusacc!$BJ$15:$BJ$65, "",0),  F2499="Sealant", _xlfn.XLOOKUP(C2499, dd_accsrycalc!$A$2:$A$51, dd_accsrycalc!$G$2:$G$51, "",0),  F2499&lt;&gt;"",L2499*_xlfn.XLOOKUP(1, (SKUs!$C$2:$C$10001=G2499)*(SKUs!$K$2:$K$10001=I2499),SKUs!$E$2:$E$10001)), 0),"")</f>
        <v/>
      </c>
      <c r="E2499" s="16" t="str">
        <f>_xlfn.XLOOKUP(F2499,dd_item!$B$2:$B$105,dd_item!$C$2:$C$105,"",0)</f>
        <v/>
      </c>
      <c r="F2499" s="16"/>
      <c r="G2499" s="16" cm="1">
        <f t="array" ref="G2499">IFERROR(_xlfn.XLOOKUP(1, (SKUs!$J$2:$J$10001=accsry_unmerged!F2499)*IF(H2499&lt;&gt;"",(SKUs!$L$2:$L$10001=accsry_unmerged!H2499),1)*(SKUs!$K$2:$K$10001=I2499),SKUs!$C$2:$C$10001),"")</f>
        <v>0</v>
      </c>
      <c r="H2499" s="33" cm="1">
        <f t="array" ref="H2499">IFERROR(_xlfn.XLOOKUP(1, (dd_accsryclr!$C$2:$C$1000=accsry_unmerged!F2499)*(dd_accsryclr!$B$2:$B$1000=accsry_unmerged!J2499),dd_accsryclr!$A$2:$A$1000),"")</f>
        <v>0</v>
      </c>
      <c r="I2499" s="16">
        <f>_xlfn.XLOOKUP(C2499,'Project Details'!$C$17:$C$66,'Project Details'!$E$17:$E$66,"",0)</f>
        <v>0</v>
      </c>
      <c r="J2499" s="16">
        <f>_xlfn.XLOOKUP(C2499,'Project Details'!$C$17:$C$66,'Project Details'!$H$17:$H$66,"",0)</f>
        <v>0</v>
      </c>
      <c r="K2499" s="33" t="str">
        <f>IF(AND(_xlfn.XLOOKUP(C2499,'Project Details'!$C$17:$C$66,'Project Details'!$L$17:$L$66,"",0)&gt;550, F2499="Spring-L27cm"),"",SUBSTITUTE(_xlfn.XLOOKUP(G2499,SKUs!$C$2:$C$10001,SKUs!$F$2:$F$10001,"",0), " Accessories",""))</f>
        <v/>
      </c>
      <c r="L2499" s="33">
        <f>_xlfn.XLOOKUP(C2499,'Project Details'!$C$17:$C$66,'Project Details'!$D$17:$D$66,"",0)</f>
        <v>0</v>
      </c>
      <c r="M2499" s="43"/>
    </row>
    <row r="2500" spans="1:13" ht="13.5" customHeight="1" outlineLevel="1" x14ac:dyDescent="0.25">
      <c r="A2500" s="43"/>
      <c r="B2500" s="43"/>
      <c r="C2500" s="35">
        <f t="shared" si="48"/>
        <v>50</v>
      </c>
      <c r="D2500" s="35" t="str" cm="1">
        <f t="array" ref="D2500">IFERROR(ROUNDUP(_xlfn.IFS(F2500="Aluminum Track", _xlfn.XLOOKUP(C2500, dd_accsrycalc!$A$2:$A$51, dd_accsrycalc!$B$2:$B$51, "",0), F2500="10 x 2 1/2 S (Flat)", _xlfn.XLOOKUP(C2500, dd_accsrycalc!$A$2:$A$51, dd_accsrycalc!$C$2:$C$51, "",0), F2500="Tox6", _xlfn.XLOOKUP(C2500, dd_accsrycalc!$A$2:$A$51, dd_accsrycalc!$D$2:$D$51, "",0), F2500="Cover Cap", _xlfn.XLOOKUP(C2500, dd_accsrycalc!$A$2:$A$51, dd_accsrycalc!$E$2:$E$51, "",0), F2500="Drainage Cover", _xlfn.XLOOKUP(C2500, dd_accsrycalc!$A$2:$A$51, dd_accsrycalc!$F$2:$F$51, "",0),AND( F2500="Double Adhesive Tape", I2500="Roll-up Screen"), _xlfn.XLOOKUP(C2500, calc_rusacc!$C$15:$C$65, calc_rusacc!$AD$15:$AD$65, "",0),AND( F2500="Sealant", I2500="Roll-up Screen"), _xlfn.XLOOKUP(C2500, calc_rusacc!$C$15:$C$65, calc_rusacc!$AF$15:$AF$65, "",0),  AND( F2500="Main Chain", I2500="Accordion Screen"), _xlfn.XLOOKUP(C2500, calc_rusacc!$C$15:$C$65, calc_rusacc!$BF$15:$BF$65, "",0), AND( F2500="Sealant", I2500="Accordion Screen"), _xlfn.XLOOKUP(C2500, calc_rusacc!$C$15:$C$65, calc_rusacc!$BJ$15:$BJ$65, "",0),  F2500="Sealant", _xlfn.XLOOKUP(C2500, dd_accsrycalc!$A$2:$A$51, dd_accsrycalc!$G$2:$G$51, "",0),  F2500&lt;&gt;"",L2500*_xlfn.XLOOKUP(1, (SKUs!$C$2:$C$10001=G2500)*(SKUs!$K$2:$K$10001=I2500),SKUs!$E$2:$E$10001)), 0),"")</f>
        <v/>
      </c>
      <c r="E2500" s="35" t="str">
        <f>_xlfn.XLOOKUP(F2500,dd_item!$B$2:$B$105,dd_item!$C$2:$C$105,"",0)</f>
        <v/>
      </c>
      <c r="F2500" s="35"/>
      <c r="G2500" s="35" cm="1">
        <f t="array" ref="G2500">IFERROR(_xlfn.XLOOKUP(1, (SKUs!$J$2:$J$10001=accsry_unmerged!F2500)*IF(H2500&lt;&gt;"",(SKUs!$L$2:$L$10001=accsry_unmerged!H2500),1)*(SKUs!$K$2:$K$10001=I2500),SKUs!$C$2:$C$10001),"")</f>
        <v>0</v>
      </c>
      <c r="H2500" s="36" cm="1">
        <f t="array" ref="H2500">IFERROR(_xlfn.XLOOKUP(1, (dd_accsryclr!$C$2:$C$1000=accsry_unmerged!F2500)*(dd_accsryclr!$B$2:$B$1000=accsry_unmerged!J2500),dd_accsryclr!$A$2:$A$1000),"")</f>
        <v>0</v>
      </c>
      <c r="I2500" s="35">
        <f>_xlfn.XLOOKUP(C2500,'Project Details'!$C$17:$C$66,'Project Details'!$E$17:$E$66,"",0)</f>
        <v>0</v>
      </c>
      <c r="J2500" s="35">
        <f>_xlfn.XLOOKUP(C2500,'Project Details'!$C$17:$C$66,'Project Details'!$H$17:$H$66,"",0)</f>
        <v>0</v>
      </c>
      <c r="K2500" s="36" t="str">
        <f>IF(AND(_xlfn.XLOOKUP(C2500,'Project Details'!$C$17:$C$66,'Project Details'!$L$17:$L$66,"",0)&gt;550, F2500="Spring-L27cm"),"",SUBSTITUTE(_xlfn.XLOOKUP(G2500,SKUs!$C$2:$C$10001,SKUs!$F$2:$F$10001,"",0), " Accessories",""))</f>
        <v/>
      </c>
      <c r="L2500" s="36">
        <f>_xlfn.XLOOKUP(C2500,'Project Details'!$C$17:$C$66,'Project Details'!$D$17:$D$66,"",0)</f>
        <v>0</v>
      </c>
      <c r="M2500" s="43"/>
    </row>
    <row r="2501" spans="1:13" ht="13.5" customHeight="1" outlineLevel="1" x14ac:dyDescent="0.25">
      <c r="A2501" s="43"/>
      <c r="B2501" s="43"/>
      <c r="C2501" s="16">
        <f t="shared" si="48"/>
        <v>50</v>
      </c>
      <c r="D2501" s="16" t="str" cm="1">
        <f t="array" ref="D2501">IFERROR(ROUNDUP(_xlfn.IFS(F2501="Aluminum Track", _xlfn.XLOOKUP(C2501, dd_accsrycalc!$A$2:$A$51, dd_accsrycalc!$B$2:$B$51, "",0), F2501="10 x 2 1/2 S (Flat)", _xlfn.XLOOKUP(C2501, dd_accsrycalc!$A$2:$A$51, dd_accsrycalc!$C$2:$C$51, "",0), F2501="Tox6", _xlfn.XLOOKUP(C2501, dd_accsrycalc!$A$2:$A$51, dd_accsrycalc!$D$2:$D$51, "",0), F2501="Cover Cap", _xlfn.XLOOKUP(C2501, dd_accsrycalc!$A$2:$A$51, dd_accsrycalc!$E$2:$E$51, "",0), F2501="Drainage Cover", _xlfn.XLOOKUP(C2501, dd_accsrycalc!$A$2:$A$51, dd_accsrycalc!$F$2:$F$51, "",0),AND( F2501="Double Adhesive Tape", I2501="Roll-up Screen"), _xlfn.XLOOKUP(C2501, calc_rusacc!$C$15:$C$65, calc_rusacc!$AD$15:$AD$65, "",0),AND( F2501="Sealant", I2501="Roll-up Screen"), _xlfn.XLOOKUP(C2501, calc_rusacc!$C$15:$C$65, calc_rusacc!$AF$15:$AF$65, "",0),  AND( F2501="Main Chain", I2501="Accordion Screen"), _xlfn.XLOOKUP(C2501, calc_rusacc!$C$15:$C$65, calc_rusacc!$BF$15:$BF$65, "",0), AND( F2501="Sealant", I2501="Accordion Screen"), _xlfn.XLOOKUP(C2501, calc_rusacc!$C$15:$C$65, calc_rusacc!$BJ$15:$BJ$65, "",0),  F2501="Sealant", _xlfn.XLOOKUP(C2501, dd_accsrycalc!$A$2:$A$51, dd_accsrycalc!$G$2:$G$51, "",0),  F2501&lt;&gt;"",L2501*_xlfn.XLOOKUP(1, (SKUs!$C$2:$C$10001=G2501)*(SKUs!$K$2:$K$10001=I2501),SKUs!$E$2:$E$10001)), 0),"")</f>
        <v/>
      </c>
      <c r="E2501" s="16" t="str">
        <f>_xlfn.XLOOKUP(F2501,dd_item!$B$2:$B$105,dd_item!$C$2:$C$105,"",0)</f>
        <v/>
      </c>
      <c r="F2501" s="16"/>
      <c r="G2501" s="16" cm="1">
        <f t="array" ref="G2501">IFERROR(_xlfn.XLOOKUP(1, (SKUs!$J$2:$J$10001=accsry_unmerged!F2501)*IF(H2501&lt;&gt;"",(SKUs!$L$2:$L$10001=accsry_unmerged!H2501),1)*(SKUs!$K$2:$K$10001=I2501),SKUs!$C$2:$C$10001),"")</f>
        <v>0</v>
      </c>
      <c r="H2501" s="33" cm="1">
        <f t="array" ref="H2501">IFERROR(_xlfn.XLOOKUP(1, (dd_accsryclr!$C$2:$C$1000=accsry_unmerged!F2501)*(dd_accsryclr!$B$2:$B$1000=accsry_unmerged!J2501),dd_accsryclr!$A$2:$A$1000),"")</f>
        <v>0</v>
      </c>
      <c r="I2501" s="16">
        <f>_xlfn.XLOOKUP(C2501,'Project Details'!$C$17:$C$66,'Project Details'!$E$17:$E$66,"",0)</f>
        <v>0</v>
      </c>
      <c r="J2501" s="16">
        <f>_xlfn.XLOOKUP(C2501,'Project Details'!$C$17:$C$66,'Project Details'!$H$17:$H$66,"",0)</f>
        <v>0</v>
      </c>
      <c r="K2501" s="33" t="str">
        <f>IF(AND(_xlfn.XLOOKUP(C2501,'Project Details'!$C$17:$C$66,'Project Details'!$L$17:$L$66,"",0)&gt;550, F2501="Spring-L27cm"),"",SUBSTITUTE(_xlfn.XLOOKUP(G2501,SKUs!$C$2:$C$10001,SKUs!$F$2:$F$10001,"",0), " Accessories",""))</f>
        <v/>
      </c>
      <c r="L2501" s="33">
        <f>_xlfn.XLOOKUP(C2501,'Project Details'!$C$17:$C$66,'Project Details'!$D$17:$D$66,"",0)</f>
        <v>0</v>
      </c>
      <c r="M2501" s="43"/>
    </row>
    <row r="2502" spans="1:13" ht="13.5" customHeight="1" outlineLevel="1" x14ac:dyDescent="0.25">
      <c r="A2502" s="43"/>
      <c r="B2502" s="43"/>
      <c r="C2502" s="35">
        <f t="shared" si="48"/>
        <v>50</v>
      </c>
      <c r="D2502" s="35" t="str" cm="1">
        <f t="array" ref="D2502">IFERROR(ROUNDUP(_xlfn.IFS(F2502="Aluminum Track", _xlfn.XLOOKUP(C2502, dd_accsrycalc!$A$2:$A$51, dd_accsrycalc!$B$2:$B$51, "",0), F2502="10 x 2 1/2 S (Flat)", _xlfn.XLOOKUP(C2502, dd_accsrycalc!$A$2:$A$51, dd_accsrycalc!$C$2:$C$51, "",0), F2502="Tox6", _xlfn.XLOOKUP(C2502, dd_accsrycalc!$A$2:$A$51, dd_accsrycalc!$D$2:$D$51, "",0), F2502="Cover Cap", _xlfn.XLOOKUP(C2502, dd_accsrycalc!$A$2:$A$51, dd_accsrycalc!$E$2:$E$51, "",0), F2502="Drainage Cover", _xlfn.XLOOKUP(C2502, dd_accsrycalc!$A$2:$A$51, dd_accsrycalc!$F$2:$F$51, "",0),AND( F2502="Double Adhesive Tape", I2502="Roll-up Screen"), _xlfn.XLOOKUP(C2502, calc_rusacc!$C$15:$C$65, calc_rusacc!$AD$15:$AD$65, "",0),AND( F2502="Sealant", I2502="Roll-up Screen"), _xlfn.XLOOKUP(C2502, calc_rusacc!$C$15:$C$65, calc_rusacc!$AF$15:$AF$65, "",0),  AND( F2502="Main Chain", I2502="Accordion Screen"), _xlfn.XLOOKUP(C2502, calc_rusacc!$C$15:$C$65, calc_rusacc!$BF$15:$BF$65, "",0), AND( F2502="Sealant", I2502="Accordion Screen"), _xlfn.XLOOKUP(C2502, calc_rusacc!$C$15:$C$65, calc_rusacc!$BJ$15:$BJ$65, "",0),  F2502="Sealant", _xlfn.XLOOKUP(C2502, dd_accsrycalc!$A$2:$A$51, dd_accsrycalc!$G$2:$G$51, "",0),  F2502&lt;&gt;"",L2502*_xlfn.XLOOKUP(1, (SKUs!$C$2:$C$10001=G2502)*(SKUs!$K$2:$K$10001=I2502),SKUs!$E$2:$E$10001)), 0),"")</f>
        <v/>
      </c>
      <c r="E2502" s="35" t="str">
        <f>_xlfn.XLOOKUP(F2502,dd_item!$B$2:$B$105,dd_item!$C$2:$C$105,"",0)</f>
        <v/>
      </c>
      <c r="F2502" s="35"/>
      <c r="G2502" s="35" cm="1">
        <f t="array" ref="G2502">IFERROR(_xlfn.XLOOKUP(1, (SKUs!$J$2:$J$10001=accsry_unmerged!F2502)*IF(H2502&lt;&gt;"",(SKUs!$L$2:$L$10001=accsry_unmerged!H2502),1)*(SKUs!$K$2:$K$10001=I2502),SKUs!$C$2:$C$10001),"")</f>
        <v>0</v>
      </c>
      <c r="H2502" s="36" cm="1">
        <f t="array" ref="H2502">IFERROR(_xlfn.XLOOKUP(1, (dd_accsryclr!$C$2:$C$1000=accsry_unmerged!F2502)*(dd_accsryclr!$B$2:$B$1000=accsry_unmerged!J2502),dd_accsryclr!$A$2:$A$1000),"")</f>
        <v>0</v>
      </c>
      <c r="I2502" s="35">
        <f>_xlfn.XLOOKUP(C2502,'Project Details'!$C$17:$C$66,'Project Details'!$E$17:$E$66,"",0)</f>
        <v>0</v>
      </c>
      <c r="J2502" s="35">
        <f>_xlfn.XLOOKUP(C2502,'Project Details'!$C$17:$C$66,'Project Details'!$H$17:$H$66,"",0)</f>
        <v>0</v>
      </c>
      <c r="K2502" s="36" t="str">
        <f>IF(AND(_xlfn.XLOOKUP(C2502,'Project Details'!$C$17:$C$66,'Project Details'!$L$17:$L$66,"",0)&gt;550, F2502="Spring-L27cm"),"",SUBSTITUTE(_xlfn.XLOOKUP(G2502,SKUs!$C$2:$C$10001,SKUs!$F$2:$F$10001,"",0), " Accessories",""))</f>
        <v/>
      </c>
      <c r="L2502" s="36">
        <f>_xlfn.XLOOKUP(C2502,'Project Details'!$C$17:$C$66,'Project Details'!$D$17:$D$66,"",0)</f>
        <v>0</v>
      </c>
      <c r="M2502" s="43"/>
    </row>
    <row r="2503" spans="1:13" ht="13.5" customHeight="1" outlineLevel="1" x14ac:dyDescent="0.25">
      <c r="A2503" s="43"/>
      <c r="B2503" s="43"/>
      <c r="C2503" s="16">
        <f t="shared" si="48"/>
        <v>50</v>
      </c>
      <c r="D2503" s="16" t="str" cm="1">
        <f t="array" ref="D2503">IFERROR(ROUNDUP(_xlfn.IFS(F2503="Aluminum Track", _xlfn.XLOOKUP(C2503, dd_accsrycalc!$A$2:$A$51, dd_accsrycalc!$B$2:$B$51, "",0), F2503="10 x 2 1/2 S (Flat)", _xlfn.XLOOKUP(C2503, dd_accsrycalc!$A$2:$A$51, dd_accsrycalc!$C$2:$C$51, "",0), F2503="Tox6", _xlfn.XLOOKUP(C2503, dd_accsrycalc!$A$2:$A$51, dd_accsrycalc!$D$2:$D$51, "",0), F2503="Cover Cap", _xlfn.XLOOKUP(C2503, dd_accsrycalc!$A$2:$A$51, dd_accsrycalc!$E$2:$E$51, "",0), F2503="Drainage Cover", _xlfn.XLOOKUP(C2503, dd_accsrycalc!$A$2:$A$51, dd_accsrycalc!$F$2:$F$51, "",0),AND( F2503="Double Adhesive Tape", I2503="Roll-up Screen"), _xlfn.XLOOKUP(C2503, calc_rusacc!$C$15:$C$65, calc_rusacc!$AD$15:$AD$65, "",0),AND( F2503="Sealant", I2503="Roll-up Screen"), _xlfn.XLOOKUP(C2503, calc_rusacc!$C$15:$C$65, calc_rusacc!$AF$15:$AF$65, "",0),  AND( F2503="Main Chain", I2503="Accordion Screen"), _xlfn.XLOOKUP(C2503, calc_rusacc!$C$15:$C$65, calc_rusacc!$BF$15:$BF$65, "",0), AND( F2503="Sealant", I2503="Accordion Screen"), _xlfn.XLOOKUP(C2503, calc_rusacc!$C$15:$C$65, calc_rusacc!$BJ$15:$BJ$65, "",0),  F2503="Sealant", _xlfn.XLOOKUP(C2503, dd_accsrycalc!$A$2:$A$51, dd_accsrycalc!$G$2:$G$51, "",0),  F2503&lt;&gt;"",L2503*_xlfn.XLOOKUP(1, (SKUs!$C$2:$C$10001=G2503)*(SKUs!$K$2:$K$10001=I2503),SKUs!$E$2:$E$10001)), 0),"")</f>
        <v/>
      </c>
      <c r="E2503" s="16" t="str">
        <f>_xlfn.XLOOKUP(F2503,dd_item!$B$2:$B$105,dd_item!$C$2:$C$105,"",0)</f>
        <v/>
      </c>
      <c r="F2503" s="16"/>
      <c r="G2503" s="16" cm="1">
        <f t="array" ref="G2503">IFERROR(_xlfn.XLOOKUP(1, (SKUs!$J$2:$J$10001=accsry_unmerged!F2503)*IF(H2503&lt;&gt;"",(SKUs!$L$2:$L$10001=accsry_unmerged!H2503),1)*(SKUs!$K$2:$K$10001=I2503),SKUs!$C$2:$C$10001),"")</f>
        <v>0</v>
      </c>
      <c r="H2503" s="33" cm="1">
        <f t="array" ref="H2503">IFERROR(_xlfn.XLOOKUP(1, (dd_accsryclr!$C$2:$C$1000=accsry_unmerged!F2503)*(dd_accsryclr!$B$2:$B$1000=accsry_unmerged!J2503),dd_accsryclr!$A$2:$A$1000),"")</f>
        <v>0</v>
      </c>
      <c r="I2503" s="16">
        <f>_xlfn.XLOOKUP(C2503,'Project Details'!$C$17:$C$66,'Project Details'!$E$17:$E$66,"",0)</f>
        <v>0</v>
      </c>
      <c r="J2503" s="16">
        <f>_xlfn.XLOOKUP(C2503,'Project Details'!$C$17:$C$66,'Project Details'!$H$17:$H$66,"",0)</f>
        <v>0</v>
      </c>
      <c r="K2503" s="33" t="str">
        <f>IF(AND(_xlfn.XLOOKUP(C2503,'Project Details'!$C$17:$C$66,'Project Details'!$L$17:$L$66,"",0)&gt;550, F2503="Spring-L27cm"),"",SUBSTITUTE(_xlfn.XLOOKUP(G2503,SKUs!$C$2:$C$10001,SKUs!$F$2:$F$10001,"",0), " Accessories",""))</f>
        <v/>
      </c>
      <c r="L2503" s="33">
        <f>_xlfn.XLOOKUP(C2503,'Project Details'!$C$17:$C$66,'Project Details'!$D$17:$D$66,"",0)</f>
        <v>0</v>
      </c>
      <c r="M2503" s="43"/>
    </row>
    <row r="2504" spans="1:13" ht="13.5" customHeight="1" outlineLevel="1" x14ac:dyDescent="0.25">
      <c r="A2504" s="43"/>
      <c r="B2504" s="43"/>
      <c r="C2504" s="35">
        <f t="shared" si="48"/>
        <v>50</v>
      </c>
      <c r="D2504" s="35" t="str" cm="1">
        <f t="array" ref="D2504">IFERROR(ROUNDUP(_xlfn.IFS(F2504="Aluminum Track", _xlfn.XLOOKUP(C2504, dd_accsrycalc!$A$2:$A$51, dd_accsrycalc!$B$2:$B$51, "",0), F2504="10 x 2 1/2 S (Flat)", _xlfn.XLOOKUP(C2504, dd_accsrycalc!$A$2:$A$51, dd_accsrycalc!$C$2:$C$51, "",0), F2504="Tox6", _xlfn.XLOOKUP(C2504, dd_accsrycalc!$A$2:$A$51, dd_accsrycalc!$D$2:$D$51, "",0), F2504="Cover Cap", _xlfn.XLOOKUP(C2504, dd_accsrycalc!$A$2:$A$51, dd_accsrycalc!$E$2:$E$51, "",0), F2504="Drainage Cover", _xlfn.XLOOKUP(C2504, dd_accsrycalc!$A$2:$A$51, dd_accsrycalc!$F$2:$F$51, "",0),AND( F2504="Double Adhesive Tape", I2504="Roll-up Screen"), _xlfn.XLOOKUP(C2504, calc_rusacc!$C$15:$C$65, calc_rusacc!$AD$15:$AD$65, "",0),AND( F2504="Sealant", I2504="Roll-up Screen"), _xlfn.XLOOKUP(C2504, calc_rusacc!$C$15:$C$65, calc_rusacc!$AF$15:$AF$65, "",0),  AND( F2504="Main Chain", I2504="Accordion Screen"), _xlfn.XLOOKUP(C2504, calc_rusacc!$C$15:$C$65, calc_rusacc!$BF$15:$BF$65, "",0), AND( F2504="Sealant", I2504="Accordion Screen"), _xlfn.XLOOKUP(C2504, calc_rusacc!$C$15:$C$65, calc_rusacc!$BJ$15:$BJ$65, "",0),  F2504="Sealant", _xlfn.XLOOKUP(C2504, dd_accsrycalc!$A$2:$A$51, dd_accsrycalc!$G$2:$G$51, "",0),  F2504&lt;&gt;"",L2504*_xlfn.XLOOKUP(1, (SKUs!$C$2:$C$10001=G2504)*(SKUs!$K$2:$K$10001=I2504),SKUs!$E$2:$E$10001)), 0),"")</f>
        <v/>
      </c>
      <c r="E2504" s="35" t="str">
        <f>_xlfn.XLOOKUP(F2504,dd_item!$B$2:$B$105,dd_item!$C$2:$C$105,"",0)</f>
        <v/>
      </c>
      <c r="F2504" s="35"/>
      <c r="G2504" s="35" cm="1">
        <f t="array" ref="G2504">IFERROR(_xlfn.XLOOKUP(1, (SKUs!$J$2:$J$10001=accsry_unmerged!F2504)*IF(H2504&lt;&gt;"",(SKUs!$L$2:$L$10001=accsry_unmerged!H2504),1)*(SKUs!$K$2:$K$10001=I2504),SKUs!$C$2:$C$10001),"")</f>
        <v>0</v>
      </c>
      <c r="H2504" s="36" cm="1">
        <f t="array" ref="H2504">IFERROR(_xlfn.XLOOKUP(1, (dd_accsryclr!$C$2:$C$1000=accsry_unmerged!F2504)*(dd_accsryclr!$B$2:$B$1000=accsry_unmerged!J2504),dd_accsryclr!$A$2:$A$1000),"")</f>
        <v>0</v>
      </c>
      <c r="I2504" s="35">
        <f>_xlfn.XLOOKUP(C2504,'Project Details'!$C$17:$C$66,'Project Details'!$E$17:$E$66,"",0)</f>
        <v>0</v>
      </c>
      <c r="J2504" s="35">
        <f>_xlfn.XLOOKUP(C2504,'Project Details'!$C$17:$C$66,'Project Details'!$H$17:$H$66,"",0)</f>
        <v>0</v>
      </c>
      <c r="K2504" s="36" t="str">
        <f>IF(AND(_xlfn.XLOOKUP(C2504,'Project Details'!$C$17:$C$66,'Project Details'!$L$17:$L$66,"",0)&gt;550, F2504="Spring-L27cm"),"",SUBSTITUTE(_xlfn.XLOOKUP(G2504,SKUs!$C$2:$C$10001,SKUs!$F$2:$F$10001,"",0), " Accessories",""))</f>
        <v/>
      </c>
      <c r="L2504" s="36">
        <f>_xlfn.XLOOKUP(C2504,'Project Details'!$C$17:$C$66,'Project Details'!$D$17:$D$66,"",0)</f>
        <v>0</v>
      </c>
      <c r="M2504" s="43"/>
    </row>
    <row r="2505" spans="1:13" ht="13.5" customHeight="1" outlineLevel="1" collapsed="1" x14ac:dyDescent="0.25">
      <c r="A2505" s="43"/>
      <c r="B2505" s="43"/>
      <c r="C2505" s="16">
        <f t="shared" si="48"/>
        <v>50</v>
      </c>
      <c r="D2505" s="16" t="str" cm="1">
        <f t="array" ref="D2505">IFERROR(ROUNDUP(_xlfn.IFS(F2505="Aluminum Track", _xlfn.XLOOKUP(C2505, dd_accsrycalc!$A$2:$A$51, dd_accsrycalc!$B$2:$B$51, "",0), F2505="10 x 2 1/2 S (Flat)", _xlfn.XLOOKUP(C2505, dd_accsrycalc!$A$2:$A$51, dd_accsrycalc!$C$2:$C$51, "",0), F2505="Tox6", _xlfn.XLOOKUP(C2505, dd_accsrycalc!$A$2:$A$51, dd_accsrycalc!$D$2:$D$51, "",0), F2505="Cover Cap", _xlfn.XLOOKUP(C2505, dd_accsrycalc!$A$2:$A$51, dd_accsrycalc!$E$2:$E$51, "",0), F2505="Drainage Cover", _xlfn.XLOOKUP(C2505, dd_accsrycalc!$A$2:$A$51, dd_accsrycalc!$F$2:$F$51, "",0),AND( F2505="Double Adhesive Tape", I2505="Roll-up Screen"), _xlfn.XLOOKUP(C2505, calc_rusacc!$C$15:$C$65, calc_rusacc!$AD$15:$AD$65, "",0),AND( F2505="Sealant", I2505="Roll-up Screen"), _xlfn.XLOOKUP(C2505, calc_rusacc!$C$15:$C$65, calc_rusacc!$AF$15:$AF$65, "",0),  AND( F2505="Main Chain", I2505="Accordion Screen"), _xlfn.XLOOKUP(C2505, calc_rusacc!$C$15:$C$65, calc_rusacc!$BF$15:$BF$65, "",0), AND( F2505="Sealant", I2505="Accordion Screen"), _xlfn.XLOOKUP(C2505, calc_rusacc!$C$15:$C$65, calc_rusacc!$BJ$15:$BJ$65, "",0),  F2505="Sealant", _xlfn.XLOOKUP(C2505, dd_accsrycalc!$A$2:$A$51, dd_accsrycalc!$G$2:$G$51, "",0),  F2505&lt;&gt;"",L2505*_xlfn.XLOOKUP(1, (SKUs!$C$2:$C$10001=G2505)*(SKUs!$K$2:$K$10001=I2505),SKUs!$E$2:$E$10001)), 0),"")</f>
        <v/>
      </c>
      <c r="E2505" s="16" t="str">
        <f>_xlfn.XLOOKUP(F2505,dd_item!$B$2:$B$105,dd_item!$C$2:$C$105,"",0)</f>
        <v/>
      </c>
      <c r="F2505" s="16"/>
      <c r="G2505" s="16" cm="1">
        <f t="array" ref="G2505">IFERROR(_xlfn.XLOOKUP(1, (SKUs!$J$2:$J$10001=accsry_unmerged!F2505)*IF(H2505&lt;&gt;"",(SKUs!$L$2:$L$10001=accsry_unmerged!H2505),1)*(SKUs!$K$2:$K$10001=I2505),SKUs!$C$2:$C$10001),"")</f>
        <v>0</v>
      </c>
      <c r="H2505" s="33" cm="1">
        <f t="array" ref="H2505">IFERROR(_xlfn.XLOOKUP(1, (dd_accsryclr!$C$2:$C$1000=accsry_unmerged!F2505)*(dd_accsryclr!$B$2:$B$1000=accsry_unmerged!J2505),dd_accsryclr!$A$2:$A$1000),"")</f>
        <v>0</v>
      </c>
      <c r="I2505" s="16">
        <f>_xlfn.XLOOKUP(C2505,'Project Details'!$C$17:$C$66,'Project Details'!$E$17:$E$66,"",0)</f>
        <v>0</v>
      </c>
      <c r="J2505" s="16">
        <f>_xlfn.XLOOKUP(C2505,'Project Details'!$C$17:$C$66,'Project Details'!$H$17:$H$66,"",0)</f>
        <v>0</v>
      </c>
      <c r="K2505" s="33" t="str">
        <f>IF(AND(_xlfn.XLOOKUP(C2505,'Project Details'!$C$17:$C$66,'Project Details'!$L$17:$L$66,"",0)&gt;550, F2505="Spring-L27cm"),"",SUBSTITUTE(_xlfn.XLOOKUP(G2505,SKUs!$C$2:$C$10001,SKUs!$F$2:$F$10001,"",0), " Accessories",""))</f>
        <v/>
      </c>
      <c r="L2505" s="33">
        <f>_xlfn.XLOOKUP(C2505,'Project Details'!$C$17:$C$66,'Project Details'!$D$17:$D$66,"",0)</f>
        <v>0</v>
      </c>
      <c r="M2505" s="43"/>
    </row>
    <row r="2506" spans="1:13" ht="13.5" customHeight="1" outlineLevel="1" x14ac:dyDescent="0.25">
      <c r="A2506" s="43"/>
      <c r="B2506" s="43"/>
      <c r="C2506" s="35">
        <f t="shared" si="48"/>
        <v>50</v>
      </c>
      <c r="D2506" s="35" t="str" cm="1">
        <f t="array" ref="D2506">IFERROR(ROUNDUP(_xlfn.IFS(F2506="Aluminum Track", _xlfn.XLOOKUP(C2506, dd_accsrycalc!$A$2:$A$51, dd_accsrycalc!$B$2:$B$51, "",0), F2506="10 x 2 1/2 S (Flat)", _xlfn.XLOOKUP(C2506, dd_accsrycalc!$A$2:$A$51, dd_accsrycalc!$C$2:$C$51, "",0), F2506="Tox6", _xlfn.XLOOKUP(C2506, dd_accsrycalc!$A$2:$A$51, dd_accsrycalc!$D$2:$D$51, "",0), F2506="Cover Cap", _xlfn.XLOOKUP(C2506, dd_accsrycalc!$A$2:$A$51, dd_accsrycalc!$E$2:$E$51, "",0), F2506="Drainage Cover", _xlfn.XLOOKUP(C2506, dd_accsrycalc!$A$2:$A$51, dd_accsrycalc!$F$2:$F$51, "",0),AND( F2506="Double Adhesive Tape", I2506="Roll-up Screen"), _xlfn.XLOOKUP(C2506, calc_rusacc!$C$15:$C$65, calc_rusacc!$AD$15:$AD$65, "",0),AND( F2506="Sealant", I2506="Roll-up Screen"), _xlfn.XLOOKUP(C2506, calc_rusacc!$C$15:$C$65, calc_rusacc!$AF$15:$AF$65, "",0),  AND( F2506="Main Chain", I2506="Accordion Screen"), _xlfn.XLOOKUP(C2506, calc_rusacc!$C$15:$C$65, calc_rusacc!$BF$15:$BF$65, "",0), AND( F2506="Sealant", I2506="Accordion Screen"), _xlfn.XLOOKUP(C2506, calc_rusacc!$C$15:$C$65, calc_rusacc!$BJ$15:$BJ$65, "",0),  F2506="Sealant", _xlfn.XLOOKUP(C2506, dd_accsrycalc!$A$2:$A$51, dd_accsrycalc!$G$2:$G$51, "",0),  F2506&lt;&gt;"",L2506*_xlfn.XLOOKUP(1, (SKUs!$C$2:$C$10001=G2506)*(SKUs!$K$2:$K$10001=I2506),SKUs!$E$2:$E$10001)), 0),"")</f>
        <v/>
      </c>
      <c r="E2506" s="35" t="str">
        <f>_xlfn.XLOOKUP(F2506,dd_item!$B$2:$B$105,dd_item!$C$2:$C$105,"",0)</f>
        <v/>
      </c>
      <c r="F2506" s="35"/>
      <c r="G2506" s="35" cm="1">
        <f t="array" ref="G2506">IFERROR(_xlfn.XLOOKUP(1, (SKUs!$J$2:$J$10001=accsry_unmerged!F2506)*IF(H2506&lt;&gt;"",(SKUs!$L$2:$L$10001=accsry_unmerged!H2506),1)*(SKUs!$K$2:$K$10001=I2506),SKUs!$C$2:$C$10001),"")</f>
        <v>0</v>
      </c>
      <c r="H2506" s="36" cm="1">
        <f t="array" ref="H2506">IFERROR(_xlfn.XLOOKUP(1, (dd_accsryclr!$C$2:$C$1000=accsry_unmerged!F2506)*(dd_accsryclr!$B$2:$B$1000=accsry_unmerged!J2506),dd_accsryclr!$A$2:$A$1000),"")</f>
        <v>0</v>
      </c>
      <c r="I2506" s="35">
        <f>_xlfn.XLOOKUP(C2506,'Project Details'!$C$17:$C$66,'Project Details'!$E$17:$E$66,"",0)</f>
        <v>0</v>
      </c>
      <c r="J2506" s="35">
        <f>_xlfn.XLOOKUP(C2506,'Project Details'!$C$17:$C$66,'Project Details'!$H$17:$H$66,"",0)</f>
        <v>0</v>
      </c>
      <c r="K2506" s="36" t="str">
        <f>IF(AND(_xlfn.XLOOKUP(C2506,'Project Details'!$C$17:$C$66,'Project Details'!$L$17:$L$66,"",0)&gt;550, F2506="Spring-L27cm"),"",SUBSTITUTE(_xlfn.XLOOKUP(G2506,SKUs!$C$2:$C$10001,SKUs!$F$2:$F$10001,"",0), " Accessories",""))</f>
        <v/>
      </c>
      <c r="L2506" s="36">
        <f>_xlfn.XLOOKUP(C2506,'Project Details'!$C$17:$C$66,'Project Details'!$D$17:$D$66,"",0)</f>
        <v>0</v>
      </c>
      <c r="M2506" s="43"/>
    </row>
    <row r="2507" spans="1:13" ht="13.5" customHeight="1" outlineLevel="1" x14ac:dyDescent="0.25">
      <c r="A2507" s="43"/>
      <c r="B2507" s="43"/>
      <c r="C2507" s="16">
        <f t="shared" si="48"/>
        <v>50</v>
      </c>
      <c r="D2507" s="16" t="str" cm="1">
        <f t="array" ref="D2507">IFERROR(ROUNDUP(_xlfn.IFS(F2507="Aluminum Track", _xlfn.XLOOKUP(C2507, dd_accsrycalc!$A$2:$A$51, dd_accsrycalc!$B$2:$B$51, "",0), F2507="10 x 2 1/2 S (Flat)", _xlfn.XLOOKUP(C2507, dd_accsrycalc!$A$2:$A$51, dd_accsrycalc!$C$2:$C$51, "",0), F2507="Tox6", _xlfn.XLOOKUP(C2507, dd_accsrycalc!$A$2:$A$51, dd_accsrycalc!$D$2:$D$51, "",0), F2507="Cover Cap", _xlfn.XLOOKUP(C2507, dd_accsrycalc!$A$2:$A$51, dd_accsrycalc!$E$2:$E$51, "",0), F2507="Drainage Cover", _xlfn.XLOOKUP(C2507, dd_accsrycalc!$A$2:$A$51, dd_accsrycalc!$F$2:$F$51, "",0),AND( F2507="Double Adhesive Tape", I2507="Roll-up Screen"), _xlfn.XLOOKUP(C2507, calc_rusacc!$C$15:$C$65, calc_rusacc!$AD$15:$AD$65, "",0),AND( F2507="Sealant", I2507="Roll-up Screen"), _xlfn.XLOOKUP(C2507, calc_rusacc!$C$15:$C$65, calc_rusacc!$AF$15:$AF$65, "",0),  AND( F2507="Main Chain", I2507="Accordion Screen"), _xlfn.XLOOKUP(C2507, calc_rusacc!$C$15:$C$65, calc_rusacc!$BF$15:$BF$65, "",0), AND( F2507="Sealant", I2507="Accordion Screen"), _xlfn.XLOOKUP(C2507, calc_rusacc!$C$15:$C$65, calc_rusacc!$BJ$15:$BJ$65, "",0),  F2507="Sealant", _xlfn.XLOOKUP(C2507, dd_accsrycalc!$A$2:$A$51, dd_accsrycalc!$G$2:$G$51, "",0),  F2507&lt;&gt;"",L2507*_xlfn.XLOOKUP(1, (SKUs!$C$2:$C$10001=G2507)*(SKUs!$K$2:$K$10001=I2507),SKUs!$E$2:$E$10001)), 0),"")</f>
        <v/>
      </c>
      <c r="E2507" s="16" t="str">
        <f>_xlfn.XLOOKUP(F2507,dd_item!$B$2:$B$105,dd_item!$C$2:$C$105,"",0)</f>
        <v/>
      </c>
      <c r="F2507" s="16"/>
      <c r="G2507" s="16" cm="1">
        <f t="array" ref="G2507">IFERROR(_xlfn.XLOOKUP(1, (SKUs!$J$2:$J$10001=accsry_unmerged!F2507)*IF(H2507&lt;&gt;"",(SKUs!$L$2:$L$10001=accsry_unmerged!H2507),1)*(SKUs!$K$2:$K$10001=I2507),SKUs!$C$2:$C$10001),"")</f>
        <v>0</v>
      </c>
      <c r="H2507" s="33" cm="1">
        <f t="array" ref="H2507">IFERROR(_xlfn.XLOOKUP(1, (dd_accsryclr!$C$2:$C$1000=accsry_unmerged!F2507)*(dd_accsryclr!$B$2:$B$1000=accsry_unmerged!J2507),dd_accsryclr!$A$2:$A$1000),"")</f>
        <v>0</v>
      </c>
      <c r="I2507" s="16">
        <f>_xlfn.XLOOKUP(C2507,'Project Details'!$C$17:$C$66,'Project Details'!$E$17:$E$66,"",0)</f>
        <v>0</v>
      </c>
      <c r="J2507" s="16">
        <f>_xlfn.XLOOKUP(C2507,'Project Details'!$C$17:$C$66,'Project Details'!$H$17:$H$66,"",0)</f>
        <v>0</v>
      </c>
      <c r="K2507" s="33" t="str">
        <f>IF(AND(_xlfn.XLOOKUP(C2507,'Project Details'!$C$17:$C$66,'Project Details'!$L$17:$L$66,"",0)&gt;550, F2507="Spring-L27cm"),"",SUBSTITUTE(_xlfn.XLOOKUP(G2507,SKUs!$C$2:$C$10001,SKUs!$F$2:$F$10001,"",0), " Accessories",""))</f>
        <v/>
      </c>
      <c r="L2507" s="33">
        <f>_xlfn.XLOOKUP(C2507,'Project Details'!$C$17:$C$66,'Project Details'!$D$17:$D$66,"",0)</f>
        <v>0</v>
      </c>
      <c r="M2507" s="43"/>
    </row>
    <row r="2508" spans="1:13" ht="13.5" customHeight="1" outlineLevel="1" x14ac:dyDescent="0.25">
      <c r="A2508" s="43"/>
      <c r="B2508" s="43"/>
      <c r="C2508" s="35">
        <f t="shared" si="48"/>
        <v>50</v>
      </c>
      <c r="D2508" s="35" t="str" cm="1">
        <f t="array" ref="D2508">IFERROR(ROUNDUP(_xlfn.IFS(F2508="Aluminum Track", _xlfn.XLOOKUP(C2508, dd_accsrycalc!$A$2:$A$51, dd_accsrycalc!$B$2:$B$51, "",0), F2508="10 x 2 1/2 S (Flat)", _xlfn.XLOOKUP(C2508, dd_accsrycalc!$A$2:$A$51, dd_accsrycalc!$C$2:$C$51, "",0), F2508="Tox6", _xlfn.XLOOKUP(C2508, dd_accsrycalc!$A$2:$A$51, dd_accsrycalc!$D$2:$D$51, "",0), F2508="Cover Cap", _xlfn.XLOOKUP(C2508, dd_accsrycalc!$A$2:$A$51, dd_accsrycalc!$E$2:$E$51, "",0), F2508="Drainage Cover", _xlfn.XLOOKUP(C2508, dd_accsrycalc!$A$2:$A$51, dd_accsrycalc!$F$2:$F$51, "",0),AND( F2508="Double Adhesive Tape", I2508="Roll-up Screen"), _xlfn.XLOOKUP(C2508, calc_rusacc!$C$15:$C$65, calc_rusacc!$AD$15:$AD$65, "",0),AND( F2508="Sealant", I2508="Roll-up Screen"), _xlfn.XLOOKUP(C2508, calc_rusacc!$C$15:$C$65, calc_rusacc!$AF$15:$AF$65, "",0),  AND( F2508="Main Chain", I2508="Accordion Screen"), _xlfn.XLOOKUP(C2508, calc_rusacc!$C$15:$C$65, calc_rusacc!$BF$15:$BF$65, "",0), AND( F2508="Sealant", I2508="Accordion Screen"), _xlfn.XLOOKUP(C2508, calc_rusacc!$C$15:$C$65, calc_rusacc!$BJ$15:$BJ$65, "",0),  F2508="Sealant", _xlfn.XLOOKUP(C2508, dd_accsrycalc!$A$2:$A$51, dd_accsrycalc!$G$2:$G$51, "",0),  F2508&lt;&gt;"",L2508*_xlfn.XLOOKUP(1, (SKUs!$C$2:$C$10001=G2508)*(SKUs!$K$2:$K$10001=I2508),SKUs!$E$2:$E$10001)), 0),"")</f>
        <v/>
      </c>
      <c r="E2508" s="35" t="str">
        <f>_xlfn.XLOOKUP(F2508,dd_item!$B$2:$B$105,dd_item!$C$2:$C$105,"",0)</f>
        <v/>
      </c>
      <c r="F2508" s="35"/>
      <c r="G2508" s="35" cm="1">
        <f t="array" ref="G2508">IFERROR(_xlfn.XLOOKUP(1, (SKUs!$J$2:$J$10001=accsry_unmerged!F2508)*IF(H2508&lt;&gt;"",(SKUs!$L$2:$L$10001=accsry_unmerged!H2508),1)*(SKUs!$K$2:$K$10001=I2508),SKUs!$C$2:$C$10001),"")</f>
        <v>0</v>
      </c>
      <c r="H2508" s="36" cm="1">
        <f t="array" ref="H2508">IFERROR(_xlfn.XLOOKUP(1, (dd_accsryclr!$C$2:$C$1000=accsry_unmerged!F2508)*(dd_accsryclr!$B$2:$B$1000=accsry_unmerged!J2508),dd_accsryclr!$A$2:$A$1000),"")</f>
        <v>0</v>
      </c>
      <c r="I2508" s="35">
        <f>_xlfn.XLOOKUP(C2508,'Project Details'!$C$17:$C$66,'Project Details'!$E$17:$E$66,"",0)</f>
        <v>0</v>
      </c>
      <c r="J2508" s="35">
        <f>_xlfn.XLOOKUP(C2508,'Project Details'!$C$17:$C$66,'Project Details'!$H$17:$H$66,"",0)</f>
        <v>0</v>
      </c>
      <c r="K2508" s="36" t="str">
        <f>IF(AND(_xlfn.XLOOKUP(C2508,'Project Details'!$C$17:$C$66,'Project Details'!$L$17:$L$66,"",0)&gt;550, F2508="Spring-L27cm"),"",SUBSTITUTE(_xlfn.XLOOKUP(G2508,SKUs!$C$2:$C$10001,SKUs!$F$2:$F$10001,"",0), " Accessories",""))</f>
        <v/>
      </c>
      <c r="L2508" s="36">
        <f>_xlfn.XLOOKUP(C2508,'Project Details'!$C$17:$C$66,'Project Details'!$D$17:$D$66,"",0)</f>
        <v>0</v>
      </c>
      <c r="M2508" s="43"/>
    </row>
    <row r="2509" spans="1:13" ht="13.5" customHeight="1" outlineLevel="1" x14ac:dyDescent="0.25">
      <c r="A2509" s="43"/>
      <c r="B2509" s="43"/>
      <c r="C2509" s="16">
        <f t="shared" si="48"/>
        <v>50</v>
      </c>
      <c r="D2509" s="16" t="str" cm="1">
        <f t="array" ref="D2509">IFERROR(ROUNDUP(_xlfn.IFS(F2509="Aluminum Track", _xlfn.XLOOKUP(C2509, dd_accsrycalc!$A$2:$A$51, dd_accsrycalc!$B$2:$B$51, "",0), F2509="10 x 2 1/2 S (Flat)", _xlfn.XLOOKUP(C2509, dd_accsrycalc!$A$2:$A$51, dd_accsrycalc!$C$2:$C$51, "",0), F2509="Tox6", _xlfn.XLOOKUP(C2509, dd_accsrycalc!$A$2:$A$51, dd_accsrycalc!$D$2:$D$51, "",0), F2509="Cover Cap", _xlfn.XLOOKUP(C2509, dd_accsrycalc!$A$2:$A$51, dd_accsrycalc!$E$2:$E$51, "",0), F2509="Drainage Cover", _xlfn.XLOOKUP(C2509, dd_accsrycalc!$A$2:$A$51, dd_accsrycalc!$F$2:$F$51, "",0),AND( F2509="Double Adhesive Tape", I2509="Roll-up Screen"), _xlfn.XLOOKUP(C2509, calc_rusacc!$C$15:$C$65, calc_rusacc!$AD$15:$AD$65, "",0),AND( F2509="Sealant", I2509="Roll-up Screen"), _xlfn.XLOOKUP(C2509, calc_rusacc!$C$15:$C$65, calc_rusacc!$AF$15:$AF$65, "",0),  AND( F2509="Main Chain", I2509="Accordion Screen"), _xlfn.XLOOKUP(C2509, calc_rusacc!$C$15:$C$65, calc_rusacc!$BF$15:$BF$65, "",0), AND( F2509="Sealant", I2509="Accordion Screen"), _xlfn.XLOOKUP(C2509, calc_rusacc!$C$15:$C$65, calc_rusacc!$BJ$15:$BJ$65, "",0),  F2509="Sealant", _xlfn.XLOOKUP(C2509, dd_accsrycalc!$A$2:$A$51, dd_accsrycalc!$G$2:$G$51, "",0),  F2509&lt;&gt;"",L2509*_xlfn.XLOOKUP(1, (SKUs!$C$2:$C$10001=G2509)*(SKUs!$K$2:$K$10001=I2509),SKUs!$E$2:$E$10001)), 0),"")</f>
        <v/>
      </c>
      <c r="E2509" s="16" t="str">
        <f>_xlfn.XLOOKUP(F2509,dd_item!$B$2:$B$105,dd_item!$C$2:$C$105,"",0)</f>
        <v/>
      </c>
      <c r="F2509" s="16"/>
      <c r="G2509" s="16" cm="1">
        <f t="array" ref="G2509">IFERROR(_xlfn.XLOOKUP(1, (SKUs!$J$2:$J$10001=accsry_unmerged!F2509)*IF(H2509&lt;&gt;"",(SKUs!$L$2:$L$10001=accsry_unmerged!H2509),1)*(SKUs!$K$2:$K$10001=I2509),SKUs!$C$2:$C$10001),"")</f>
        <v>0</v>
      </c>
      <c r="H2509" s="33" cm="1">
        <f t="array" ref="H2509">IFERROR(_xlfn.XLOOKUP(1, (dd_accsryclr!$C$2:$C$1000=accsry_unmerged!F2509)*(dd_accsryclr!$B$2:$B$1000=accsry_unmerged!J2509),dd_accsryclr!$A$2:$A$1000),"")</f>
        <v>0</v>
      </c>
      <c r="I2509" s="16">
        <f>_xlfn.XLOOKUP(C2509,'Project Details'!$C$17:$C$66,'Project Details'!$E$17:$E$66,"",0)</f>
        <v>0</v>
      </c>
      <c r="J2509" s="16">
        <f>_xlfn.XLOOKUP(C2509,'Project Details'!$C$17:$C$66,'Project Details'!$H$17:$H$66,"",0)</f>
        <v>0</v>
      </c>
      <c r="K2509" s="33" t="str">
        <f>IF(AND(_xlfn.XLOOKUP(C2509,'Project Details'!$C$17:$C$66,'Project Details'!$L$17:$L$66,"",0)&gt;550, F2509="Spring-L27cm"),"",SUBSTITUTE(_xlfn.XLOOKUP(G2509,SKUs!$C$2:$C$10001,SKUs!$F$2:$F$10001,"",0), " Accessories",""))</f>
        <v/>
      </c>
      <c r="L2509" s="33">
        <f>_xlfn.XLOOKUP(C2509,'Project Details'!$C$17:$C$66,'Project Details'!$D$17:$D$66,"",0)</f>
        <v>0</v>
      </c>
      <c r="M2509" s="43"/>
    </row>
    <row r="2510" spans="1:13" ht="13.5" customHeight="1" outlineLevel="1" x14ac:dyDescent="0.25">
      <c r="A2510" s="43"/>
      <c r="B2510" s="43"/>
      <c r="C2510" s="35">
        <f t="shared" si="48"/>
        <v>50</v>
      </c>
      <c r="D2510" s="35" t="str" cm="1">
        <f t="array" ref="D2510">IFERROR(ROUNDUP(_xlfn.IFS(F2510="Aluminum Track", _xlfn.XLOOKUP(C2510, dd_accsrycalc!$A$2:$A$51, dd_accsrycalc!$B$2:$B$51, "",0), F2510="10 x 2 1/2 S (Flat)", _xlfn.XLOOKUP(C2510, dd_accsrycalc!$A$2:$A$51, dd_accsrycalc!$C$2:$C$51, "",0), F2510="Tox6", _xlfn.XLOOKUP(C2510, dd_accsrycalc!$A$2:$A$51, dd_accsrycalc!$D$2:$D$51, "",0), F2510="Cover Cap", _xlfn.XLOOKUP(C2510, dd_accsrycalc!$A$2:$A$51, dd_accsrycalc!$E$2:$E$51, "",0), F2510="Drainage Cover", _xlfn.XLOOKUP(C2510, dd_accsrycalc!$A$2:$A$51, dd_accsrycalc!$F$2:$F$51, "",0),AND( F2510="Double Adhesive Tape", I2510="Roll-up Screen"), _xlfn.XLOOKUP(C2510, calc_rusacc!$C$15:$C$65, calc_rusacc!$AD$15:$AD$65, "",0),AND( F2510="Sealant", I2510="Roll-up Screen"), _xlfn.XLOOKUP(C2510, calc_rusacc!$C$15:$C$65, calc_rusacc!$AF$15:$AF$65, "",0),  AND( F2510="Main Chain", I2510="Accordion Screen"), _xlfn.XLOOKUP(C2510, calc_rusacc!$C$15:$C$65, calc_rusacc!$BF$15:$BF$65, "",0), AND( F2510="Sealant", I2510="Accordion Screen"), _xlfn.XLOOKUP(C2510, calc_rusacc!$C$15:$C$65, calc_rusacc!$BJ$15:$BJ$65, "",0),  F2510="Sealant", _xlfn.XLOOKUP(C2510, dd_accsrycalc!$A$2:$A$51, dd_accsrycalc!$G$2:$G$51, "",0),  F2510&lt;&gt;"",L2510*_xlfn.XLOOKUP(1, (SKUs!$C$2:$C$10001=G2510)*(SKUs!$K$2:$K$10001=I2510),SKUs!$E$2:$E$10001)), 0),"")</f>
        <v/>
      </c>
      <c r="E2510" s="35" t="str">
        <f>_xlfn.XLOOKUP(F2510,dd_item!$B$2:$B$105,dd_item!$C$2:$C$105,"",0)</f>
        <v/>
      </c>
      <c r="F2510" s="35"/>
      <c r="G2510" s="35" cm="1">
        <f t="array" ref="G2510">IFERROR(_xlfn.XLOOKUP(1, (SKUs!$J$2:$J$10001=accsry_unmerged!F2510)*IF(H2510&lt;&gt;"",(SKUs!$L$2:$L$10001=accsry_unmerged!H2510),1)*(SKUs!$K$2:$K$10001=I2510),SKUs!$C$2:$C$10001),"")</f>
        <v>0</v>
      </c>
      <c r="H2510" s="36" cm="1">
        <f t="array" ref="H2510">IFERROR(_xlfn.XLOOKUP(1, (dd_accsryclr!$C$2:$C$1000=accsry_unmerged!F2510)*(dd_accsryclr!$B$2:$B$1000=accsry_unmerged!J2510),dd_accsryclr!$A$2:$A$1000),"")</f>
        <v>0</v>
      </c>
      <c r="I2510" s="35">
        <f>_xlfn.XLOOKUP(C2510,'Project Details'!$C$17:$C$66,'Project Details'!$E$17:$E$66,"",0)</f>
        <v>0</v>
      </c>
      <c r="J2510" s="35">
        <f>_xlfn.XLOOKUP(C2510,'Project Details'!$C$17:$C$66,'Project Details'!$H$17:$H$66,"",0)</f>
        <v>0</v>
      </c>
      <c r="K2510" s="36" t="str">
        <f>IF(AND(_xlfn.XLOOKUP(C2510,'Project Details'!$C$17:$C$66,'Project Details'!$L$17:$L$66,"",0)&gt;550, F2510="Spring-L27cm"),"",SUBSTITUTE(_xlfn.XLOOKUP(G2510,SKUs!$C$2:$C$10001,SKUs!$F$2:$F$10001,"",0), " Accessories",""))</f>
        <v/>
      </c>
      <c r="L2510" s="36">
        <f>_xlfn.XLOOKUP(C2510,'Project Details'!$C$17:$C$66,'Project Details'!$D$17:$D$66,"",0)</f>
        <v>0</v>
      </c>
      <c r="M2510" s="43"/>
    </row>
    <row r="2511" spans="1:13" ht="13.5" customHeight="1" outlineLevel="1" x14ac:dyDescent="0.25">
      <c r="A2511" s="43"/>
      <c r="B2511" s="43"/>
      <c r="C2511" s="16">
        <f t="shared" si="48"/>
        <v>50</v>
      </c>
      <c r="D2511" s="16" t="str" cm="1">
        <f t="array" ref="D2511">IFERROR(ROUNDUP(_xlfn.IFS(F2511="Aluminum Track", _xlfn.XLOOKUP(C2511, dd_accsrycalc!$A$2:$A$51, dd_accsrycalc!$B$2:$B$51, "",0), F2511="10 x 2 1/2 S (Flat)", _xlfn.XLOOKUP(C2511, dd_accsrycalc!$A$2:$A$51, dd_accsrycalc!$C$2:$C$51, "",0), F2511="Tox6", _xlfn.XLOOKUP(C2511, dd_accsrycalc!$A$2:$A$51, dd_accsrycalc!$D$2:$D$51, "",0), F2511="Cover Cap", _xlfn.XLOOKUP(C2511, dd_accsrycalc!$A$2:$A$51, dd_accsrycalc!$E$2:$E$51, "",0), F2511="Drainage Cover", _xlfn.XLOOKUP(C2511, dd_accsrycalc!$A$2:$A$51, dd_accsrycalc!$F$2:$F$51, "",0),AND( F2511="Double Adhesive Tape", I2511="Roll-up Screen"), _xlfn.XLOOKUP(C2511, calc_rusacc!$C$15:$C$65, calc_rusacc!$AD$15:$AD$65, "",0),AND( F2511="Sealant", I2511="Roll-up Screen"), _xlfn.XLOOKUP(C2511, calc_rusacc!$C$15:$C$65, calc_rusacc!$AF$15:$AF$65, "",0),  AND( F2511="Main Chain", I2511="Accordion Screen"), _xlfn.XLOOKUP(C2511, calc_rusacc!$C$15:$C$65, calc_rusacc!$BF$15:$BF$65, "",0), AND( F2511="Sealant", I2511="Accordion Screen"), _xlfn.XLOOKUP(C2511, calc_rusacc!$C$15:$C$65, calc_rusacc!$BJ$15:$BJ$65, "",0),  F2511="Sealant", _xlfn.XLOOKUP(C2511, dd_accsrycalc!$A$2:$A$51, dd_accsrycalc!$G$2:$G$51, "",0),  F2511&lt;&gt;"",L2511*_xlfn.XLOOKUP(1, (SKUs!$C$2:$C$10001=G2511)*(SKUs!$K$2:$K$10001=I2511),SKUs!$E$2:$E$10001)), 0),"")</f>
        <v/>
      </c>
      <c r="E2511" s="16" t="str">
        <f>_xlfn.XLOOKUP(F2511,dd_item!$B$2:$B$105,dd_item!$C$2:$C$105,"",0)</f>
        <v/>
      </c>
      <c r="F2511" s="16"/>
      <c r="G2511" s="16" cm="1">
        <f t="array" ref="G2511">IFERROR(_xlfn.XLOOKUP(1, (SKUs!$J$2:$J$10001=accsry_unmerged!F2511)*IF(H2511&lt;&gt;"",(SKUs!$L$2:$L$10001=accsry_unmerged!H2511),1)*(SKUs!$K$2:$K$10001=I2511),SKUs!$C$2:$C$10001),"")</f>
        <v>0</v>
      </c>
      <c r="H2511" s="33" cm="1">
        <f t="array" ref="H2511">IFERROR(_xlfn.XLOOKUP(1, (dd_accsryclr!$C$2:$C$1000=accsry_unmerged!F2511)*(dd_accsryclr!$B$2:$B$1000=accsry_unmerged!J2511),dd_accsryclr!$A$2:$A$1000),"")</f>
        <v>0</v>
      </c>
      <c r="I2511" s="16">
        <f>_xlfn.XLOOKUP(C2511,'Project Details'!$C$17:$C$66,'Project Details'!$E$17:$E$66,"",0)</f>
        <v>0</v>
      </c>
      <c r="J2511" s="16">
        <f>_xlfn.XLOOKUP(C2511,'Project Details'!$C$17:$C$66,'Project Details'!$H$17:$H$66,"",0)</f>
        <v>0</v>
      </c>
      <c r="K2511" s="33" t="str">
        <f>IF(AND(_xlfn.XLOOKUP(C2511,'Project Details'!$C$17:$C$66,'Project Details'!$L$17:$L$66,"",0)&gt;550, F2511="Spring-L27cm"),"",SUBSTITUTE(_xlfn.XLOOKUP(G2511,SKUs!$C$2:$C$10001,SKUs!$F$2:$F$10001,"",0), " Accessories",""))</f>
        <v/>
      </c>
      <c r="L2511" s="33">
        <f>_xlfn.XLOOKUP(C2511,'Project Details'!$C$17:$C$66,'Project Details'!$D$17:$D$66,"",0)</f>
        <v>0</v>
      </c>
      <c r="M2511" s="43"/>
    </row>
    <row r="2512" spans="1:13" ht="13.5" customHeight="1" outlineLevel="1" x14ac:dyDescent="0.25">
      <c r="A2512" s="43"/>
      <c r="B2512" s="43"/>
      <c r="C2512" s="35">
        <f t="shared" si="48"/>
        <v>50</v>
      </c>
      <c r="D2512" s="35" t="str" cm="1">
        <f t="array" ref="D2512">IFERROR(ROUNDUP(_xlfn.IFS(F2512="Aluminum Track", _xlfn.XLOOKUP(C2512, dd_accsrycalc!$A$2:$A$51, dd_accsrycalc!$B$2:$B$51, "",0), F2512="10 x 2 1/2 S (Flat)", _xlfn.XLOOKUP(C2512, dd_accsrycalc!$A$2:$A$51, dd_accsrycalc!$C$2:$C$51, "",0), F2512="Tox6", _xlfn.XLOOKUP(C2512, dd_accsrycalc!$A$2:$A$51, dd_accsrycalc!$D$2:$D$51, "",0), F2512="Cover Cap", _xlfn.XLOOKUP(C2512, dd_accsrycalc!$A$2:$A$51, dd_accsrycalc!$E$2:$E$51, "",0), F2512="Drainage Cover", _xlfn.XLOOKUP(C2512, dd_accsrycalc!$A$2:$A$51, dd_accsrycalc!$F$2:$F$51, "",0),AND( F2512="Double Adhesive Tape", I2512="Roll-up Screen"), _xlfn.XLOOKUP(C2512, calc_rusacc!$C$15:$C$65, calc_rusacc!$AD$15:$AD$65, "",0),AND( F2512="Sealant", I2512="Roll-up Screen"), _xlfn.XLOOKUP(C2512, calc_rusacc!$C$15:$C$65, calc_rusacc!$AF$15:$AF$65, "",0),  AND( F2512="Main Chain", I2512="Accordion Screen"), _xlfn.XLOOKUP(C2512, calc_rusacc!$C$15:$C$65, calc_rusacc!$BF$15:$BF$65, "",0), AND( F2512="Sealant", I2512="Accordion Screen"), _xlfn.XLOOKUP(C2512, calc_rusacc!$C$15:$C$65, calc_rusacc!$BJ$15:$BJ$65, "",0),  F2512="Sealant", _xlfn.XLOOKUP(C2512, dd_accsrycalc!$A$2:$A$51, dd_accsrycalc!$G$2:$G$51, "",0),  F2512&lt;&gt;"",L2512*_xlfn.XLOOKUP(1, (SKUs!$C$2:$C$10001=G2512)*(SKUs!$K$2:$K$10001=I2512),SKUs!$E$2:$E$10001)), 0),"")</f>
        <v/>
      </c>
      <c r="E2512" s="35" t="str">
        <f>_xlfn.XLOOKUP(F2512,dd_item!$B$2:$B$105,dd_item!$C$2:$C$105,"",0)</f>
        <v/>
      </c>
      <c r="F2512" s="35"/>
      <c r="G2512" s="35" cm="1">
        <f t="array" ref="G2512">IFERROR(_xlfn.XLOOKUP(1, (SKUs!$J$2:$J$10001=accsry_unmerged!F2512)*IF(H2512&lt;&gt;"",(SKUs!$L$2:$L$10001=accsry_unmerged!H2512),1)*(SKUs!$K$2:$K$10001=I2512),SKUs!$C$2:$C$10001),"")</f>
        <v>0</v>
      </c>
      <c r="H2512" s="36" cm="1">
        <f t="array" ref="H2512">IFERROR(_xlfn.XLOOKUP(1, (dd_accsryclr!$C$2:$C$1000=accsry_unmerged!F2512)*(dd_accsryclr!$B$2:$B$1000=accsry_unmerged!J2512),dd_accsryclr!$A$2:$A$1000),"")</f>
        <v>0</v>
      </c>
      <c r="I2512" s="35">
        <f>_xlfn.XLOOKUP(C2512,'Project Details'!$C$17:$C$66,'Project Details'!$E$17:$E$66,"",0)</f>
        <v>0</v>
      </c>
      <c r="J2512" s="35">
        <f>_xlfn.XLOOKUP(C2512,'Project Details'!$C$17:$C$66,'Project Details'!$H$17:$H$66,"",0)</f>
        <v>0</v>
      </c>
      <c r="K2512" s="36" t="str">
        <f>IF(AND(_xlfn.XLOOKUP(C2512,'Project Details'!$C$17:$C$66,'Project Details'!$L$17:$L$66,"",0)&gt;550, F2512="Spring-L27cm"),"",SUBSTITUTE(_xlfn.XLOOKUP(G2512,SKUs!$C$2:$C$10001,SKUs!$F$2:$F$10001,"",0), " Accessories",""))</f>
        <v/>
      </c>
      <c r="L2512" s="36">
        <f>_xlfn.XLOOKUP(C2512,'Project Details'!$C$17:$C$66,'Project Details'!$D$17:$D$66,"",0)</f>
        <v>0</v>
      </c>
      <c r="M2512" s="43"/>
    </row>
    <row r="2513" spans="1:13" ht="13.5" customHeight="1" outlineLevel="1" x14ac:dyDescent="0.25">
      <c r="A2513" s="43"/>
      <c r="B2513" s="43"/>
      <c r="C2513" s="16">
        <f t="shared" si="48"/>
        <v>50</v>
      </c>
      <c r="D2513" s="16" t="str" cm="1">
        <f t="array" ref="D2513">IFERROR(ROUNDUP(_xlfn.IFS(F2513="Aluminum Track", _xlfn.XLOOKUP(C2513, dd_accsrycalc!$A$2:$A$51, dd_accsrycalc!$B$2:$B$51, "",0), F2513="10 x 2 1/2 S (Flat)", _xlfn.XLOOKUP(C2513, dd_accsrycalc!$A$2:$A$51, dd_accsrycalc!$C$2:$C$51, "",0), F2513="Tox6", _xlfn.XLOOKUP(C2513, dd_accsrycalc!$A$2:$A$51, dd_accsrycalc!$D$2:$D$51, "",0), F2513="Cover Cap", _xlfn.XLOOKUP(C2513, dd_accsrycalc!$A$2:$A$51, dd_accsrycalc!$E$2:$E$51, "",0), F2513="Drainage Cover", _xlfn.XLOOKUP(C2513, dd_accsrycalc!$A$2:$A$51, dd_accsrycalc!$F$2:$F$51, "",0),AND( F2513="Double Adhesive Tape", I2513="Roll-up Screen"), _xlfn.XLOOKUP(C2513, calc_rusacc!$C$15:$C$65, calc_rusacc!$AD$15:$AD$65, "",0),AND( F2513="Sealant", I2513="Roll-up Screen"), _xlfn.XLOOKUP(C2513, calc_rusacc!$C$15:$C$65, calc_rusacc!$AF$15:$AF$65, "",0),  AND( F2513="Main Chain", I2513="Accordion Screen"), _xlfn.XLOOKUP(C2513, calc_rusacc!$C$15:$C$65, calc_rusacc!$BF$15:$BF$65, "",0), AND( F2513="Sealant", I2513="Accordion Screen"), _xlfn.XLOOKUP(C2513, calc_rusacc!$C$15:$C$65, calc_rusacc!$BJ$15:$BJ$65, "",0),  F2513="Sealant", _xlfn.XLOOKUP(C2513, dd_accsrycalc!$A$2:$A$51, dd_accsrycalc!$G$2:$G$51, "",0),  F2513&lt;&gt;"",L2513*_xlfn.XLOOKUP(1, (SKUs!$C$2:$C$10001=G2513)*(SKUs!$K$2:$K$10001=I2513),SKUs!$E$2:$E$10001)), 0),"")</f>
        <v/>
      </c>
      <c r="E2513" s="16" t="str">
        <f>_xlfn.XLOOKUP(F2513,dd_item!$B$2:$B$105,dd_item!$C$2:$C$105,"",0)</f>
        <v/>
      </c>
      <c r="F2513" s="16"/>
      <c r="G2513" s="16" cm="1">
        <f t="array" ref="G2513">IFERROR(_xlfn.XLOOKUP(1, (SKUs!$J$2:$J$10001=accsry_unmerged!F2513)*IF(H2513&lt;&gt;"",(SKUs!$L$2:$L$10001=accsry_unmerged!H2513),1)*(SKUs!$K$2:$K$10001=I2513),SKUs!$C$2:$C$10001),"")</f>
        <v>0</v>
      </c>
      <c r="H2513" s="33" cm="1">
        <f t="array" ref="H2513">IFERROR(_xlfn.XLOOKUP(1, (dd_accsryclr!$C$2:$C$1000=accsry_unmerged!F2513)*(dd_accsryclr!$B$2:$B$1000=accsry_unmerged!J2513),dd_accsryclr!$A$2:$A$1000),"")</f>
        <v>0</v>
      </c>
      <c r="I2513" s="16">
        <f>_xlfn.XLOOKUP(C2513,'Project Details'!$C$17:$C$66,'Project Details'!$E$17:$E$66,"",0)</f>
        <v>0</v>
      </c>
      <c r="J2513" s="16">
        <f>_xlfn.XLOOKUP(C2513,'Project Details'!$C$17:$C$66,'Project Details'!$H$17:$H$66,"",0)</f>
        <v>0</v>
      </c>
      <c r="K2513" s="33" t="str">
        <f>IF(AND(_xlfn.XLOOKUP(C2513,'Project Details'!$C$17:$C$66,'Project Details'!$L$17:$L$66,"",0)&gt;550, F2513="Spring-L27cm"),"",SUBSTITUTE(_xlfn.XLOOKUP(G2513,SKUs!$C$2:$C$10001,SKUs!$F$2:$F$10001,"",0), " Accessories",""))</f>
        <v/>
      </c>
      <c r="L2513" s="33">
        <f>_xlfn.XLOOKUP(C2513,'Project Details'!$C$17:$C$66,'Project Details'!$D$17:$D$66,"",0)</f>
        <v>0</v>
      </c>
      <c r="M2513" s="43"/>
    </row>
    <row r="2514" spans="1:13" x14ac:dyDescent="0.25">
      <c r="A2514" s="43"/>
      <c r="B2514" s="43"/>
      <c r="C2514" s="43"/>
      <c r="D2514" s="43"/>
      <c r="E2514" s="43"/>
      <c r="F2514" s="43"/>
      <c r="G2514" s="43"/>
      <c r="H2514" s="43"/>
      <c r="I2514" s="43"/>
      <c r="J2514" s="43"/>
      <c r="K2514" s="43"/>
      <c r="L2514" s="43"/>
      <c r="M2514" s="43"/>
    </row>
    <row r="2515" spans="1:13" ht="13.5" customHeight="1" x14ac:dyDescent="0.25">
      <c r="A2515" s="43"/>
      <c r="B2515" s="43"/>
      <c r="C2515" s="43"/>
      <c r="D2515" s="43"/>
      <c r="E2515" s="43"/>
      <c r="F2515" s="43"/>
      <c r="G2515" s="43"/>
      <c r="H2515" s="43"/>
      <c r="I2515" s="43"/>
      <c r="J2515" s="43"/>
      <c r="K2515" s="43"/>
      <c r="L2515" s="43"/>
      <c r="M2515" s="43"/>
    </row>
    <row r="2516" spans="1:13" ht="13.5" customHeight="1" x14ac:dyDescent="0.25">
      <c r="A2516" s="43"/>
      <c r="B2516" s="43"/>
      <c r="C2516" s="43"/>
      <c r="D2516" s="43"/>
      <c r="E2516" s="43"/>
      <c r="F2516" s="43"/>
      <c r="G2516" s="43"/>
      <c r="H2516" s="43"/>
      <c r="I2516" s="43"/>
      <c r="J2516" s="43"/>
      <c r="K2516" s="43"/>
      <c r="L2516" s="43"/>
      <c r="M2516" s="43"/>
    </row>
  </sheetData>
  <mergeCells count="10">
    <mergeCell ref="D9:F9"/>
    <mergeCell ref="I9:J9"/>
    <mergeCell ref="D10:F10"/>
    <mergeCell ref="I10:J10"/>
    <mergeCell ref="D6:F6"/>
    <mergeCell ref="I6:J6"/>
    <mergeCell ref="D7:F7"/>
    <mergeCell ref="I7:J7"/>
    <mergeCell ref="D8:F8"/>
    <mergeCell ref="I8:J8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2D138-B19B-4D3B-AC23-5C95369F5B6A}">
  <sheetPr codeName="Sheet16">
    <tabColor theme="0"/>
  </sheetPr>
  <dimension ref="B1:BK65"/>
  <sheetViews>
    <sheetView zoomScaleNormal="100" workbookViewId="0">
      <pane xSplit="8" ySplit="14" topLeftCell="AX15" activePane="bottomRight" state="frozen"/>
      <selection activeCell="E15" sqref="E15"/>
      <selection pane="topRight" activeCell="E15" sqref="E15"/>
      <selection pane="bottomLeft" activeCell="E15" sqref="E15"/>
      <selection pane="bottomRight" activeCell="BH15" sqref="BH15"/>
    </sheetView>
  </sheetViews>
  <sheetFormatPr defaultColWidth="9.140625" defaultRowHeight="13.5" customHeight="1" x14ac:dyDescent="0.25"/>
  <cols>
    <col min="1" max="1" width="2.7109375" style="1" customWidth="1"/>
    <col min="2" max="2" width="1.7109375" style="1" customWidth="1"/>
    <col min="3" max="3" width="11.85546875" style="1" customWidth="1"/>
    <col min="4" max="4" width="6.85546875" style="1" bestFit="1" customWidth="1"/>
    <col min="5" max="5" width="40.28515625" style="1" customWidth="1"/>
    <col min="6" max="6" width="19.42578125" style="1" customWidth="1"/>
    <col min="7" max="7" width="18" style="1" customWidth="1"/>
    <col min="8" max="8" width="24.28515625" style="1" customWidth="1"/>
    <col min="9" max="9" width="35" style="1" bestFit="1" customWidth="1"/>
    <col min="10" max="11" width="10.7109375" style="1" customWidth="1"/>
    <col min="12" max="12" width="1.7109375" style="1" customWidth="1"/>
    <col min="13" max="13" width="15.140625" style="1" customWidth="1"/>
    <col min="14" max="14" width="8.28515625" style="1" bestFit="1" customWidth="1"/>
    <col min="15" max="15" width="5.42578125" style="1" customWidth="1"/>
    <col min="16" max="16" width="8.28515625" style="1" bestFit="1" customWidth="1"/>
    <col min="17" max="17" width="5.42578125" style="1" customWidth="1"/>
    <col min="18" max="18" width="1.7109375" style="1" customWidth="1"/>
    <col min="19" max="20" width="9.140625" style="1"/>
    <col min="21" max="21" width="1.7109375" style="1" customWidth="1"/>
    <col min="22" max="24" width="9.140625" style="1"/>
    <col min="25" max="25" width="9.42578125" style="1" bestFit="1" customWidth="1"/>
    <col min="26" max="26" width="9.140625" style="1"/>
    <col min="27" max="27" width="1.7109375" style="1" customWidth="1"/>
    <col min="28" max="31" width="9.140625" style="1"/>
    <col min="32" max="32" width="1.7109375" style="1" customWidth="1"/>
    <col min="33" max="34" width="9.140625" style="1"/>
    <col min="35" max="35" width="9.42578125" style="1" bestFit="1" customWidth="1"/>
    <col min="36" max="36" width="9.140625" style="1"/>
    <col min="37" max="37" width="1.7109375" style="1" customWidth="1"/>
    <col min="38" max="41" width="9.140625" style="1"/>
    <col min="42" max="42" width="1.7109375" style="1" customWidth="1"/>
    <col min="43" max="46" width="9.140625" style="1"/>
    <col min="47" max="47" width="1.7109375" style="1" customWidth="1"/>
    <col min="48" max="49" width="12.5703125" style="1" customWidth="1"/>
    <col min="50" max="50" width="1.7109375" style="1" customWidth="1"/>
    <col min="51" max="53" width="9.140625" style="1"/>
    <col min="54" max="54" width="1.7109375" style="1" customWidth="1"/>
    <col min="55" max="57" width="9.140625" style="1"/>
    <col min="58" max="58" width="1.7109375" style="1" customWidth="1"/>
    <col min="59" max="59" width="13.7109375" style="1" customWidth="1"/>
    <col min="60" max="16384" width="9.140625" style="1"/>
  </cols>
  <sheetData>
    <row r="1" spans="2:63" x14ac:dyDescent="0.25"/>
    <row r="2" spans="2:63" x14ac:dyDescent="0.25"/>
    <row r="3" spans="2:63" x14ac:dyDescent="0.25"/>
    <row r="4" spans="2:63" x14ac:dyDescent="0.25"/>
    <row r="5" spans="2:63" ht="9.9499999999999993" customHeight="1" x14ac:dyDescent="0.25">
      <c r="B5" s="9"/>
      <c r="C5" s="10"/>
      <c r="D5" s="10"/>
      <c r="E5" s="10"/>
      <c r="F5" s="10"/>
      <c r="G5" s="10"/>
      <c r="H5" s="10"/>
      <c r="I5" s="10"/>
      <c r="J5" s="10"/>
      <c r="K5" s="10"/>
      <c r="L5" s="11"/>
    </row>
    <row r="6" spans="2:63" ht="14.25" x14ac:dyDescent="0.3">
      <c r="B6" s="4"/>
      <c r="C6" s="12" t="s">
        <v>0</v>
      </c>
      <c r="D6" s="114">
        <v>45217</v>
      </c>
      <c r="E6" s="114"/>
      <c r="F6" s="13"/>
      <c r="G6" s="13"/>
      <c r="H6" s="12" t="s">
        <v>90</v>
      </c>
      <c r="I6" s="12"/>
      <c r="J6" s="113"/>
      <c r="K6" s="113"/>
      <c r="L6" s="5"/>
    </row>
    <row r="7" spans="2:63" ht="14.25" x14ac:dyDescent="0.3">
      <c r="B7" s="4"/>
      <c r="C7" s="12" t="s">
        <v>1</v>
      </c>
      <c r="D7" s="112"/>
      <c r="E7" s="112"/>
      <c r="F7" s="13"/>
      <c r="G7" s="13"/>
      <c r="H7" s="12" t="s">
        <v>91</v>
      </c>
      <c r="I7" s="12"/>
      <c r="J7" s="113"/>
      <c r="K7" s="113"/>
      <c r="L7" s="5"/>
    </row>
    <row r="8" spans="2:63" ht="14.25" x14ac:dyDescent="0.3">
      <c r="B8" s="4"/>
      <c r="C8" s="12" t="s">
        <v>2</v>
      </c>
      <c r="D8" s="112"/>
      <c r="E8" s="112"/>
      <c r="F8" s="13"/>
      <c r="G8" s="13"/>
      <c r="H8" s="12" t="s">
        <v>92</v>
      </c>
      <c r="I8" s="12"/>
      <c r="J8" s="113"/>
      <c r="K8" s="113"/>
      <c r="L8" s="5"/>
    </row>
    <row r="9" spans="2:63" ht="14.25" x14ac:dyDescent="0.3">
      <c r="B9" s="4"/>
      <c r="C9" s="12" t="s">
        <v>62</v>
      </c>
      <c r="D9" s="112"/>
      <c r="E9" s="112"/>
      <c r="F9" s="13"/>
      <c r="G9" s="13"/>
      <c r="H9" s="12" t="s">
        <v>93</v>
      </c>
      <c r="I9" s="12"/>
      <c r="J9" s="113"/>
      <c r="K9" s="113"/>
      <c r="L9" s="5"/>
    </row>
    <row r="10" spans="2:63" ht="14.25" x14ac:dyDescent="0.3">
      <c r="B10" s="4"/>
      <c r="C10" s="12" t="s">
        <v>63</v>
      </c>
      <c r="D10" s="112"/>
      <c r="E10" s="112"/>
      <c r="F10" s="13"/>
      <c r="G10" s="13"/>
      <c r="H10" s="12" t="s">
        <v>94</v>
      </c>
      <c r="I10" s="12"/>
      <c r="J10" s="113"/>
      <c r="K10" s="113"/>
      <c r="L10" s="5"/>
    </row>
    <row r="11" spans="2:63" ht="9.9499999999999993" customHeight="1" x14ac:dyDescent="0.25">
      <c r="B11" s="6"/>
      <c r="C11" s="7"/>
      <c r="D11" s="7"/>
      <c r="E11" s="7"/>
      <c r="F11" s="7"/>
      <c r="G11" s="7"/>
      <c r="H11" s="7"/>
      <c r="I11" s="7"/>
      <c r="J11" s="14"/>
      <c r="K11" s="7"/>
      <c r="L11" s="8"/>
    </row>
    <row r="12" spans="2:63" x14ac:dyDescent="0.25"/>
    <row r="13" spans="2:63" s="25" customFormat="1" x14ac:dyDescent="0.25">
      <c r="C13" s="109" t="s">
        <v>148</v>
      </c>
      <c r="D13" s="110"/>
      <c r="E13" s="110"/>
      <c r="F13" s="110"/>
      <c r="G13" s="110"/>
      <c r="H13" s="110"/>
      <c r="I13" s="110"/>
      <c r="J13" s="110"/>
      <c r="K13" s="111"/>
      <c r="N13" s="116" t="s">
        <v>119</v>
      </c>
      <c r="O13" s="116"/>
      <c r="P13" s="116"/>
      <c r="Q13" s="116"/>
      <c r="S13" s="116" t="s">
        <v>120</v>
      </c>
      <c r="T13" s="116"/>
      <c r="V13" s="116" t="s">
        <v>127</v>
      </c>
      <c r="W13" s="116"/>
      <c r="X13" s="116"/>
      <c r="Y13" s="116"/>
      <c r="Z13" s="116"/>
      <c r="AB13" s="116" t="s">
        <v>129</v>
      </c>
      <c r="AC13" s="116"/>
      <c r="AD13" s="116"/>
      <c r="AE13" s="116"/>
      <c r="AG13" s="116" t="s">
        <v>132</v>
      </c>
      <c r="AH13" s="116"/>
      <c r="AI13" s="116"/>
      <c r="AJ13" s="116"/>
      <c r="AL13" s="116" t="s">
        <v>137</v>
      </c>
      <c r="AM13" s="116"/>
      <c r="AN13" s="116"/>
      <c r="AO13" s="116"/>
      <c r="AQ13" s="116" t="s">
        <v>138</v>
      </c>
      <c r="AR13" s="116"/>
      <c r="AS13" s="116"/>
      <c r="AT13" s="116"/>
      <c r="AV13" s="115" t="s">
        <v>139</v>
      </c>
      <c r="AW13" s="115"/>
      <c r="AY13" s="115" t="s">
        <v>145</v>
      </c>
      <c r="AZ13" s="115"/>
      <c r="BA13" s="115"/>
      <c r="BC13" s="115" t="s">
        <v>146</v>
      </c>
      <c r="BD13" s="115"/>
      <c r="BE13" s="115"/>
      <c r="BG13" s="115" t="s">
        <v>369</v>
      </c>
      <c r="BH13" s="115"/>
      <c r="BI13" s="115"/>
      <c r="BJ13" s="115"/>
      <c r="BK13" s="115"/>
    </row>
    <row r="14" spans="2:63" ht="25.5" x14ac:dyDescent="0.25">
      <c r="C14" s="15" t="s">
        <v>3</v>
      </c>
      <c r="D14" s="15" t="s">
        <v>88</v>
      </c>
      <c r="E14" s="15" t="s">
        <v>96</v>
      </c>
      <c r="F14" s="15" t="s">
        <v>2</v>
      </c>
      <c r="G14" s="15" t="s">
        <v>5</v>
      </c>
      <c r="H14" s="15" t="s">
        <v>825</v>
      </c>
      <c r="I14" s="15" t="s">
        <v>826</v>
      </c>
      <c r="J14" s="15" t="s">
        <v>89</v>
      </c>
      <c r="K14" s="15" t="s">
        <v>65</v>
      </c>
      <c r="M14" s="17" t="s">
        <v>98</v>
      </c>
      <c r="N14" s="17" t="s">
        <v>114</v>
      </c>
      <c r="O14" s="17" t="s">
        <v>72</v>
      </c>
      <c r="P14" s="17" t="s">
        <v>115</v>
      </c>
      <c r="Q14" s="17" t="s">
        <v>72</v>
      </c>
      <c r="S14" s="17" t="s">
        <v>121</v>
      </c>
      <c r="T14" s="17" t="s">
        <v>72</v>
      </c>
      <c r="V14" s="18" t="s">
        <v>124</v>
      </c>
      <c r="W14" s="17" t="s">
        <v>114</v>
      </c>
      <c r="X14" s="17" t="s">
        <v>81</v>
      </c>
      <c r="Y14" s="17" t="s">
        <v>115</v>
      </c>
      <c r="Z14" s="17" t="s">
        <v>83</v>
      </c>
      <c r="AB14" s="17" t="s">
        <v>114</v>
      </c>
      <c r="AC14" s="17" t="s">
        <v>81</v>
      </c>
      <c r="AD14" s="17" t="s">
        <v>115</v>
      </c>
      <c r="AE14" s="17" t="s">
        <v>83</v>
      </c>
      <c r="AG14" s="17" t="s">
        <v>114</v>
      </c>
      <c r="AH14" s="17" t="s">
        <v>81</v>
      </c>
      <c r="AI14" s="17" t="s">
        <v>115</v>
      </c>
      <c r="AJ14" s="17" t="s">
        <v>83</v>
      </c>
      <c r="AL14" s="17" t="s">
        <v>114</v>
      </c>
      <c r="AM14" s="17" t="s">
        <v>81</v>
      </c>
      <c r="AN14" s="17" t="s">
        <v>115</v>
      </c>
      <c r="AO14" s="17" t="s">
        <v>83</v>
      </c>
      <c r="AQ14" s="17" t="s">
        <v>114</v>
      </c>
      <c r="AR14" s="17" t="s">
        <v>81</v>
      </c>
      <c r="AS14" s="17" t="s">
        <v>115</v>
      </c>
      <c r="AT14" s="17" t="s">
        <v>83</v>
      </c>
      <c r="AV14" s="17" t="s">
        <v>121</v>
      </c>
      <c r="AW14" s="17" t="s">
        <v>81</v>
      </c>
      <c r="AY14" s="17" t="s">
        <v>114</v>
      </c>
      <c r="AZ14" s="17" t="s">
        <v>115</v>
      </c>
      <c r="BA14" s="17" t="s">
        <v>72</v>
      </c>
      <c r="BC14" s="17" t="s">
        <v>114</v>
      </c>
      <c r="BD14" s="17" t="s">
        <v>115</v>
      </c>
      <c r="BE14" s="17" t="s">
        <v>72</v>
      </c>
      <c r="BG14" s="17" t="s">
        <v>778</v>
      </c>
      <c r="BH14" s="17" t="s">
        <v>779</v>
      </c>
      <c r="BI14" s="17" t="s">
        <v>737</v>
      </c>
      <c r="BJ14" s="17" t="s">
        <v>739</v>
      </c>
      <c r="BK14" s="17" t="s">
        <v>765</v>
      </c>
    </row>
    <row r="15" spans="2:63" x14ac:dyDescent="0.25">
      <c r="C15" s="16" t="str" cm="1">
        <f t="array" ref="C15">IFERROR(IF(_xlfn._xlws.FILTER('Project Details'!C17:C103, ISNUMBER(MATCH('Project Details'!$E$17:$E$103, dd_design_raw!$A$4:$A$17, 0)))=0, "", _xlfn._xlws.FILTER('Project Details'!C17:C103, ISNUMBER(MATCH('Project Details'!$E$17:$E$103, dd_design_raw!$A$4:$A$17, 0)))),"")</f>
        <v/>
      </c>
      <c r="D15" s="16" t="str" cm="1">
        <f t="array" ref="D15">IFERROR(IF(_xlfn._xlws.FILTER('Project Details'!D17:D103, ISNUMBER(MATCH('Project Details'!$E$17:$E$103, dd_design_raw!$A$4:$A$17, 0)))=0, "", _xlfn._xlws.FILTER('Project Details'!D17:D103, ISNUMBER(MATCH('Project Details'!$E$17:$E$103, dd_design_raw!$A$4:$A$17, 0)))),"")</f>
        <v/>
      </c>
      <c r="E15" s="16" t="str" cm="1">
        <f t="array" ref="E15">IFERROR(IF(_xlfn._xlws.FILTER('Project Details'!E17:E103, ISNUMBER(MATCH('Project Details'!$E$17:$E$103, dd_design_raw!$A$4:$A$17, 0)))=0, "", _xlfn._xlws.FILTER('Project Details'!E17:E103, ISNUMBER(MATCH('Project Details'!$E$17:$E$103, dd_design_raw!$A$4:$A$17, 0)))),"")</f>
        <v/>
      </c>
      <c r="F15" s="16" t="str" cm="1">
        <f t="array" ref="F15">IFERROR(IF(_xlfn._xlws.FILTER('Project Details'!F17:F103, ISNUMBER(MATCH('Project Details'!$E$17:$E$103, dd_design_raw!$A$4:$A$17, 0)))=0, "", _xlfn._xlws.FILTER('Project Details'!F17:F103, ISNUMBER(MATCH('Project Details'!$E$17:$E$103, dd_design_raw!$A$4:$A$17, 0)))),"")</f>
        <v/>
      </c>
      <c r="G15" s="16" t="str" cm="1">
        <f t="array" ref="G15">IFERROR(IF(_xlfn._xlws.FILTER('Project Details'!H17:H103, ISNUMBER(MATCH('Project Details'!$E$17:$E$103, dd_design_raw!$A$4:$A$17, 0)))=0, "", _xlfn._xlws.FILTER('Project Details'!H17:H103, ISNUMBER(MATCH('Project Details'!$E$17:$E$103, dd_design_raw!$A$4:$A$17, 0)))),"")</f>
        <v/>
      </c>
      <c r="H15" s="16" t="str" cm="1">
        <f t="array" ref="H15">IFERROR(IF(_xlfn._xlws.FILTER('Project Details'!I17:I103, ISNUMBER(MATCH('Project Details'!$E$17:$E$103, dd_design_raw!$A$4:$A$17, 0)))=0, "", _xlfn._xlws.FILTER('Project Details'!I17:I103, ISNUMBER(MATCH('Project Details'!$E$17:$E$103, dd_design_raw!$A$4:$A$17, 0)))),"")</f>
        <v/>
      </c>
      <c r="I15" s="16" t="str" cm="1">
        <f t="array" ref="I15">IFERROR(IF(_xlfn._xlws.FILTER('Project Details'!J17:J103, ISNUMBER(MATCH('Project Details'!$E$17:$E$103, dd_design_raw!$A$4:$A$17, 0)))=0, "", _xlfn._xlws.FILTER('Project Details'!J17:J103, ISNUMBER(MATCH('Project Details'!$E$17:$E$103, dd_design_raw!$A$4:$A$17, 0)))),"")</f>
        <v/>
      </c>
      <c r="J15" s="16" t="str" cm="1">
        <f t="array" ref="J15">IFERROR(IF(_xlfn._xlws.FILTER('Project Details'!K17:K103, ISNUMBER(MATCH('Project Details'!$E$17:$E$103, dd_design_raw!$A$4:$A$17, 0)))=0, "", _xlfn._xlws.FILTER('Project Details'!K17:K103, ISNUMBER(MATCH('Project Details'!$E$17:$E$103, dd_design_raw!$A$4:$A$17, 0)))),"")</f>
        <v/>
      </c>
      <c r="K15" s="16" t="str" cm="1">
        <f t="array" ref="K15">IFERROR(IF(_xlfn._xlws.FILTER('Project Details'!L17:L103, ISNUMBER(MATCH('Project Details'!$E$17:$E$103, dd_design_raw!$A$4:$A$17, 0)))=0, "", _xlfn._xlws.FILTER('Project Details'!L17:L103, ISNUMBER(MATCH('Project Details'!$E$17:$E$103, dd_design_raw!$A$4:$A$17, 0)))),"")</f>
        <v/>
      </c>
      <c r="M15" s="20" t="str">
        <f>IF(C15&lt;&gt;"", IF(OR(G15="Classic White", G15="Conch Brown"), 6, 5),"")</f>
        <v/>
      </c>
      <c r="N15" s="20" t="str" cm="1">
        <f t="array" ref="N15">IFERROR(_xlfn.IFS(OR(E15="Fix Awning (Vertical)", E15="Fix Awning (Horizontal)"), J15/2+20,C15&lt;&gt;"", J15+M15),"")</f>
        <v/>
      </c>
      <c r="O15" s="20" t="str">
        <f>IF(D15&lt;&gt;"", D15*_xlfn.XLOOKUP(E15,lookups_s60!$B$4:$B$1000,lookups_s60!$C$4:$C$1000,"",0),"")</f>
        <v/>
      </c>
      <c r="P15" s="20" t="str">
        <f>IFERROR(K15+M15,"")</f>
        <v/>
      </c>
      <c r="Q15" s="20" t="str">
        <f>IF(D15&lt;&gt;"", D15*_xlfn.XLOOKUP(E15,lookups_s60!$B$4:$B$1000,lookups_s60!$D$4:$D$1000,"",0),"")</f>
        <v/>
      </c>
      <c r="S15" s="20" t="str" cm="1">
        <f t="array" ref="S15">IFERROR(_xlfn.IFS(E15="Double Fix",K15+_xlfn.XLOOKUP(E15,lookups_s60!$G$4:$G$1000,lookups_s60!$H$4:$H$1000,"",0), OR(E15="Double Awning (Horizontal)", E15="Double Awning (Vertical)",E15="Triple Awning (Horizontal)", E15="Triple Awning (Vertical)"), J15+_xlfn.XLOOKUP(E15,lookups_s60!$G$4:$G$1000,lookups_s60!$H$4:$H$1000,"",0), E15="Double Casement", J15+_xlfn.XLOOKUP(E15,lookups_s60!$G$4:$G$1000,lookups_s60!$H$4:$H$1000,"",0), OR(E15="Fix Awning (Vertical)", E15="Fix Awning (Horizontal)"), K15+_xlfn.XLOOKUP(E15,lookups_s60!$G$4:$G$1000,lookups_s60!$H$4:$H$1000,"",0), E15="Triple Casement", J15+_xlfn.XLOOKUP(E15,lookups_s60!$G$4:$G$1000,lookups_s60!$H$4:$H$1000,"",0)),"")</f>
        <v/>
      </c>
      <c r="T15" s="20" t="str">
        <f>IF(S15&lt;&gt;"",D15*_xlfn.XLOOKUP(E15,lookups_s60!$G$4:$G$1000,lookups_s60!$I$4:$I$1000,"",0),"")</f>
        <v/>
      </c>
      <c r="V15" s="20" t="str">
        <f>IF(_xlfn.XLOOKUP(E15,lookups_s60!$L$4:$L$1000,lookups_s60!$M$4:$M$1000,"",0)=0, "", _xlfn.XLOOKUP(E15,lookups_s60!$L$4:$L$1000,lookups_s60!$M$4:$M$1000,"",0))</f>
        <v/>
      </c>
      <c r="W15" s="20" t="str" cm="1">
        <f t="array" ref="W15">IFERROR(_xlfn.IFS(OR(E15="Fix Awning (Vertical)",E15="Fix Awning (Vertical)"),   ((J15-_xlfn.XLOOKUP(E15,lookups_s60!$L$4:$L$1000,lookups_s60!$N$4:$N$1000,"",0)-40)/2)+_xlfn.XLOOKUP(E15,lookups_s60!$L$4:$L$1000,lookups_s60!$O$4:$O$1000,"",0), V15&lt;&gt;"", J15-_xlfn.XLOOKUP(E15,lookups_s60!$L$4:$L$1000,lookups_s60!$N$4:$N$1000,"",0)+_xlfn.XLOOKUP(E15,lookups_s60!$L$4:$L$1000,lookups_s60!$O$4:$O$1000,"",0)),"")</f>
        <v/>
      </c>
      <c r="X15" s="20" t="e">
        <f>IF(_xlfn.XLOOKUP(E15,lookups_s60!$L$4:$L$1000,lookups_s60!$R$4:$R$1000,"",0)=0, "", D15*_xlfn.XLOOKUP(E15,lookups_s60!$L$4:$L$1000,lookups_s60!$R$4:$R$1000,"",0))</f>
        <v>#VALUE!</v>
      </c>
      <c r="Y15" s="22" t="str" cm="1">
        <f t="array" ref="Y15">IFERROR(_xlfn.IFS(OR(E15="Double Awning (Horizontal)", E15="Double Awning (Vertical)", E15="Double Casement"), ((K15-_xlfn.XLOOKUP(E15,lookups_s60!$L$4:$L$1000,lookups_s60!$P$4:$P$1000,"",0)-36)/2)+_xlfn.XLOOKUP(E15,lookups_s60!$L$4:$L$1000,lookups_s60!$Q$4:$Q$1000,"",0), OR(E15="Triple Awning (Horizontal)", E15="Triple Awning (Vertical)"),((K15-_xlfn.XLOOKUP(E15,lookups_s60!$L$4:$L$1000,lookups_s60!$P$4:$P$1000,"",0)-36-36)/3)+_xlfn.XLOOKUP(E15,lookups_s60!$L$4:$L$1000,lookups_s60!$Q$4:$Q$1000,"",0),E15="Triple Casement",((K15-_xlfn.XLOOKUP(E15,lookups_s60!$L$4:$L$1000,lookups_s60!$P$4:$P$1000,"",0)-36-36)/3)+_xlfn.XLOOKUP(E15,lookups_s60!$L$4:$L$1000,lookups_s60!$Q$4:$Q$1000,"",0),V15&lt;&gt;"",K15-_xlfn.XLOOKUP(E15,lookups_s60!$L$4:$L$1000,lookups_s60!$P$4:$P$1000,"",0)+_xlfn.XLOOKUP(E15,lookups_s60!$L$4:$L$1000,lookups_s60!$Q$4:$Q$1000,"",0)),"")</f>
        <v/>
      </c>
      <c r="Z15" s="20" t="e">
        <f>IF(_xlfn.XLOOKUP(E15,lookups_s60!$L$4:$L$1000,lookups_s60!$R$4:$R$1000,"",0)=0, "", D15*_xlfn.XLOOKUP(E15,lookups_s60!$L$4:$L$1000,lookups_s60!$R$4:$R$1000,"",0))</f>
        <v>#VALUE!</v>
      </c>
      <c r="AB15" s="20" t="str" cm="1">
        <f t="array" ref="AB15">IFERROR(_xlfn.IFS(OR(E15="Fix", E15="Double Fix"),J15-_xlfn.XLOOKUP(E15,lookups_s60!$U$4:$U$1000,lookups_s60!$V$4:$V$1000,"",0),OR(E15="Fix Awning (Vertical)", E15="Fix Awning (Horizontal)"),(J15-_xlfn.XLOOKUP(E15,lookups_s60!$U$4:$U$1000,lookups_s60!$V$4:$V$1000,"",0)-40)/2),"")</f>
        <v/>
      </c>
      <c r="AC15" s="20" t="e">
        <f>IF(_xlfn.XLOOKUP(E15,lookups_s60!$U$4:$U$1000,lookups_s60!$X$4:$X$1000,"",0)=0,"",D15*_xlfn.XLOOKUP(E15,lookups_s60!$U$4:$U$1000,lookups_s60!$X$4:$X$1000,"",0))</f>
        <v>#VALUE!</v>
      </c>
      <c r="AD15" s="20" t="str">
        <f>IF(OR(E15="Fix", E15="Double Fix", E15="Fix Awning (Vertical)", E15="Fix Awning (Horizontal)"), K15-_xlfn.XLOOKUP(E15,lookups_s60!$U$4:$U$1000,lookups_s60!$W$4:$W$1000,"",0), "")</f>
        <v/>
      </c>
      <c r="AE15" s="20" t="e">
        <f>IF(_xlfn.XLOOKUP(E15,lookups_s60!$U$4:$U$1000,lookups_s60!$X$4:$X$1000,"",0)=0,"",D15*_xlfn.XLOOKUP(E15,lookups_s60!$U$4:$U$1000,lookups_s60!$Y$4:$Y$1000,"",0))</f>
        <v>#VALUE!</v>
      </c>
      <c r="AG15" s="24" t="str">
        <f>IF(W15&lt;&gt;"", W15-_xlfn.XLOOKUP(E15,lookups_s60!$U$4:$U$1000,lookups_s60!$Z$4:$Z$1000,"",0)-IF(E15="Awning", 5,0),"")</f>
        <v/>
      </c>
      <c r="AH15" s="20" t="e">
        <f>IF(_xlfn.XLOOKUP(E15,lookups_s60!$U$4:$U$1000,lookups_s60!$AB$4:$AB$1000,"",0)=0,"",D15*_xlfn.XLOOKUP(E15,lookups_s60!$U$4:$U$1000,lookups_s60!$AB$4:$AB$1000,"",0))</f>
        <v>#VALUE!</v>
      </c>
      <c r="AI15" s="22" t="str">
        <f>IF(Y15&lt;&gt;"", Y15-_xlfn.XLOOKUP(E15,lookups_s60!$U$4:$U$1000,lookups_s60!$AA$4:$AA$1000,"",0),"")</f>
        <v/>
      </c>
      <c r="AJ15" s="20" t="e">
        <f>IF(_xlfn.XLOOKUP(E15,lookups_s60!$U$4:$U$1000,lookups_s60!$AC$4:$AC$1000,"",0)=0,"",D15*_xlfn.XLOOKUP(E15,lookups_s60!$U$4:$U$1000,lookups_s60!$AC$4:$AC$1000,"",0))</f>
        <v>#VALUE!</v>
      </c>
      <c r="AL15" s="20" t="str">
        <f>IF(C15&lt;&gt;"", N15-_xlfn.XLOOKUP(E15,lookups_s60!$AF$4:$AF$1000,lookups_s60!$AG$4:$AG$1000,"",0),"")</f>
        <v/>
      </c>
      <c r="AM15" s="20" t="e">
        <f>IF(_xlfn.XLOOKUP(E15,lookups_s60!$AF$4:$AF$1000,lookups_s60!$AH$4:$AH$1000,"",0)=0,"",D15*_xlfn.XLOOKUP(E15,lookups_s60!$AF$4:$AF$1000,lookups_s60!$AH$4:$AH$1000,"",0))</f>
        <v>#VALUE!</v>
      </c>
      <c r="AN15" s="20" t="str">
        <f>IF(C15&lt;&gt;"", P15-_xlfn.XLOOKUP(E15,lookups_s60!$AF$4:$AF$1000,lookups_s60!$AG$4:$AG$1000,"",0),"")</f>
        <v/>
      </c>
      <c r="AO15" s="20" t="str">
        <f>IFERROR(IF(_xlfn.XLOOKUP(E15,lookups_s60!$AF$4:$AF$1000,lookups_s60!$AI$4:$AI$1000,"",0)=0,"",D15*_xlfn.XLOOKUP(E15,lookups_s60!$AF$4:$AF$1000,lookups_s60!$AI$4:$AI$1000,"",0)),"")</f>
        <v/>
      </c>
      <c r="AQ15" s="20" t="str">
        <f>IF(W15&lt;&gt;"", W15-_xlfn.XLOOKUP(E15,lookups_s60!$AF$4:$AF$1000,lookups_s60!$AJ$4:$AJ$1000,"",0),"")</f>
        <v/>
      </c>
      <c r="AR15" s="20" t="str">
        <f>IFERROR(IF(_xlfn.XLOOKUP(E15,lookups_s60!$AF$4:$AF$1000,lookups_s60!$AK$4:$AK$1000,"",0)=0,"",D15*_xlfn.XLOOKUP(E15,lookups_s60!$AF$4:$AF$1000,lookups_s60!$AK$4:$AK$1000,"",0)),"")</f>
        <v/>
      </c>
      <c r="AS15" s="20" t="str">
        <f>IF(Y15&lt;&gt;"", Y15-_xlfn.XLOOKUP(E15,lookups_s60!$AF$4:$AF$1000,lookups_s60!$AJ$4:$AJ$1000,"",0),"")</f>
        <v/>
      </c>
      <c r="AT15" s="20" t="str">
        <f>IFERROR(IF(_xlfn.XLOOKUP(E15,lookups_s60!$AF$4:$AF$1000,lookups_s60!$AL$4:$AL$1000,"",0)=0,"",D15*_xlfn.XLOOKUP(E15,lookups_s60!$AF$4:$AF$1000,lookups_s60!$AL$4:$AL$1000,"",0)),"")</f>
        <v/>
      </c>
      <c r="AV15" s="20" t="str">
        <f>IF(S15&lt;&gt;"", S15-_xlfn.XLOOKUP(E15,lookups_s60!$AF$4:$AF$1000,lookups_s60!$AM$4:$AM$1000,"",0),"")</f>
        <v/>
      </c>
      <c r="AW15" s="20" t="str">
        <f>IFERROR(IF(_xlfn.XLOOKUP(E15,lookups_s60!$AF$4:$AF$1000,lookups_s60!$AN$4:$AN$1000,"",0)=0,"",D15*_xlfn.XLOOKUP(E15,lookups_s60!$AF$4:$AF$1000,lookups_s60!$AN$4:$AN$1000,"",0)),"")</f>
        <v/>
      </c>
      <c r="AY15" s="20" t="str" cm="1">
        <f t="array" ref="AY15">IFERROR(_xlfn.IFS(E15="Fix", J15-_xlfn.XLOOKUP(E15,lookups_s60!$AQ$4:$AQ$1000,lookups_s60!$AR$4:$AR$1000,"",0)-_xlfn.XLOOKUP(E15,lookups_s60!$AQ$4:$AQ$1000,lookups_s60!$AS$4:$AS$1000,"",0), E15="Double Fix", (J15-_xlfn.XLOOKUP(E15,lookups_s60!$AQ$4:$AQ$1000,lookups_s60!$AR$4:$AR$1000,"",0)-_xlfn.XLOOKUP(E15,lookups_s60!$G$4:$G$1000,lookups_s60!$H$4:$H$1000,"",0))/2-_xlfn.XLOOKUP(E15,lookups_s60!$AQ$4:$AQ$1000,lookups_s60!$AS$4:$AS$1000,"",0), OR(E15="Fix Awning (Vertical)",E15="Fix Awning (Horizontal)"),  (J15-_xlfn.XLOOKUP(E15,lookups_s60!$AQ$4:$AQ$1000,lookups_s60!$AR$4:$AR$1000,"",0)-40)/2-_xlfn.XLOOKUP(E15,lookups_s60!$AQ$4:$AQ$1000,lookups_s60!$AS$4:$AS$1000,"",0)),"")</f>
        <v/>
      </c>
      <c r="AZ15" s="20" t="str">
        <f>IFERROR(IF(C15&lt;&gt;"", K15-_xlfn.XLOOKUP(E15,lookups_s60!$AQ$4:$AQ$1000,lookups_s60!$AT$4:$AT$1000,"",0)-_xlfn.XLOOKUP(E15,lookups_s60!$AQ$4:$AQ$1000,lookups_s60!$AU$4:$AU$1000,"",0),""),"")</f>
        <v/>
      </c>
      <c r="BA15" s="20" t="str">
        <f>IF(AY15&lt;&gt;"",D15,"")</f>
        <v/>
      </c>
      <c r="BC15" s="20" t="str" cm="1">
        <f t="array" ref="BC15">IFERROR(_xlfn.IFS(E15="Awning",AQ15-_xlfn.XLOOKUP(E15,lookups_s60!$AQ$4:$AQ$1000,lookups_s60!$AV$4:$AV$1000,"",0)-_xlfn.XLOOKUP(E15,lookups_s60!$AQ$4:$AQ$1000,lookups_s60!$AW$4:$AW$1000,"",0),C15&lt;&gt;"",W15-_xlfn.XLOOKUP(E15,lookups_s60!$AQ$4:$AQ$1000,lookups_s60!$AV$4:$AV$1000,"",0)-_xlfn.XLOOKUP(E15,lookups_s60!$AQ$4:$AQ$1000,lookups_s60!$AW$4:$AW$1000,"",0)),"")</f>
        <v/>
      </c>
      <c r="BD15" s="20" t="str" cm="1">
        <f t="array" ref="BD15">IFERROR(_xlfn.IFS(E15="Awning",AS15-_xlfn.XLOOKUP(E15,lookups_s60!$AQ$4:$AQ$1000,lookups_s60!$AX$4:$AX$1000,"",0)-_xlfn.XLOOKUP(E15,lookups_s60!$AQ$4:$AQ$1000,lookups_s60!$AY$4:$AY$1000,"",0),C15&lt;&gt;"",Y15-_xlfn.XLOOKUP(E15,lookups_s60!$AQ$4:$AQ$1000,lookups_s60!$AX$4:$AX$1000,"",0)-_xlfn.XLOOKUP(E15,lookups_s60!$AQ$4:$AQ$1000,lookups_s60!$AY$4:$AY$1000,"",0)),"")</f>
        <v/>
      </c>
      <c r="BE15" s="20" t="str">
        <f>IF(BC15&lt;&gt;"", _xlfn.XLOOKUP(E15,lookups_s60!$AQ$4:$AQ$1000,lookups_s60!$AZ$4:$AZ$1000,"",0)*D15,"")</f>
        <v/>
      </c>
      <c r="BG15" s="20" t="str">
        <f>IF(D15&lt;&gt;"",((J15+K15)*2/500)*D15,"")</f>
        <v/>
      </c>
      <c r="BH15" s="22" t="str">
        <f>IF(D15&lt;&gt;"",(BG15*2)/100,"")</f>
        <v/>
      </c>
      <c r="BI15" s="20" t="str">
        <f>BG15</f>
        <v/>
      </c>
      <c r="BJ15" s="20" t="str">
        <f>IF(D15&lt;&gt;"",IF(K15&lt;1500, 2, 3)*D15,"")</f>
        <v/>
      </c>
      <c r="BK15" s="20" t="str">
        <f>IF(D15&lt;&gt;"",((J15+K15)*2/1500)*D15,"")</f>
        <v/>
      </c>
    </row>
    <row r="16" spans="2:63" x14ac:dyDescent="0.25">
      <c r="C16" s="16"/>
      <c r="D16" s="16"/>
      <c r="E16" s="16"/>
      <c r="F16" s="16"/>
      <c r="G16" s="16"/>
      <c r="H16" s="16"/>
      <c r="I16" s="16"/>
      <c r="J16" s="16"/>
      <c r="K16" s="16"/>
      <c r="M16" s="20" t="str">
        <f t="shared" ref="M16:M65" si="0">IF(C16&lt;&gt;"", IF(OR(G16="Classic White", G16="Conch Brown"), 6, 5),"")</f>
        <v/>
      </c>
      <c r="N16" s="20" t="str" cm="1">
        <f t="array" ref="N16">IFERROR(_xlfn.IFS(OR(E16="Fix Awning (Vertical)", E16="Fix Awning (Horizontal)"), J16/2+20,C16&lt;&gt;"", J16+M16),"")</f>
        <v/>
      </c>
      <c r="O16" s="20" t="str">
        <f>IF(D16&lt;&gt;"", D16*_xlfn.XLOOKUP(E16,lookups_s60!$B$4:$B$1000,lookups_s60!$C$4:$C$1000,"",0),"")</f>
        <v/>
      </c>
      <c r="P16" s="20" t="str">
        <f t="shared" ref="P16:P65" si="1">IFERROR(K16+M16,"")</f>
        <v/>
      </c>
      <c r="Q16" s="20" t="str">
        <f>IF(D16&lt;&gt;"", D16*_xlfn.XLOOKUP(E16,lookups_s60!$B$4:$B$1000,lookups_s60!$D$4:$D$1000,"",0),"")</f>
        <v/>
      </c>
      <c r="S16" s="20" t="str" cm="1">
        <f t="array" ref="S16">IFERROR(_xlfn.IFS(E16="Double Fix",K16+_xlfn.XLOOKUP(E16,lookups_s60!$G$4:$G$1000,lookups_s60!$H$4:$H$1000,"",0), OR(E16="Double Awning (Horizontal)", E16="Double Awning (Vertical)",E16="Triple Awning (Horizontal)", E16="Triple Awning (Vertical)"), J16+_xlfn.XLOOKUP(E16,lookups_s60!$G$4:$G$1000,lookups_s60!$H$4:$H$1000,"",0), E16="Double Casement", J16+_xlfn.XLOOKUP(E16,lookups_s60!$G$4:$G$1000,lookups_s60!$H$4:$H$1000,"",0), OR(E16="Fix Awning (Vertical)", E16="Fix Awning (Horizontal)"), K16+_xlfn.XLOOKUP(E16,lookups_s60!$G$4:$G$1000,lookups_s60!$H$4:$H$1000,"",0), E16="Triple Casement", J16+_xlfn.XLOOKUP(E16,lookups_s60!$G$4:$G$1000,lookups_s60!$H$4:$H$1000,"",0)),"")</f>
        <v/>
      </c>
      <c r="T16" s="20" t="str">
        <f>IF(S16&lt;&gt;"",D16*_xlfn.XLOOKUP(E16,lookups_s60!$G$4:$G$1000,lookups_s60!$I$4:$I$1000,"",0),"")</f>
        <v/>
      </c>
      <c r="V16" s="20" t="str">
        <f>IF(_xlfn.XLOOKUP(E16,lookups_s60!$L$4:$L$1000,lookups_s60!$M$4:$M$1000,"",0)=0, "", _xlfn.XLOOKUP(E16,lookups_s60!$L$4:$L$1000,lookups_s60!$M$4:$M$1000,"",0))</f>
        <v/>
      </c>
      <c r="W16" s="20" t="str" cm="1">
        <f t="array" ref="W16">IFERROR(_xlfn.IFS(OR(E16="Fix Awning (Vertical)",E16="Fix Awning (Vertical)"),   ((J16-_xlfn.XLOOKUP(E16,lookups_s60!$L$4:$L$1000,lookups_s60!$N$4:$N$1000,"",0)-40)/2)+_xlfn.XLOOKUP(E16,lookups_s60!$L$4:$L$1000,lookups_s60!$O$4:$O$1000,"",0), V16&lt;&gt;"", J16-_xlfn.XLOOKUP(E16,lookups_s60!$L$4:$L$1000,lookups_s60!$N$4:$N$1000,"",0)+_xlfn.XLOOKUP(E16,lookups_s60!$L$4:$L$1000,lookups_s60!$O$4:$O$1000,"",0)),"")</f>
        <v/>
      </c>
      <c r="X16" s="20" t="str">
        <f>IF(_xlfn.XLOOKUP(E16,lookups_s60!$L$4:$L$1000,lookups_s60!$R$4:$R$1000,"",0)=0, "", D16*_xlfn.XLOOKUP(E16,lookups_s60!$L$4:$L$1000,lookups_s60!$R$4:$R$1000,"",0))</f>
        <v/>
      </c>
      <c r="Y16" s="22" t="str" cm="1">
        <f t="array" ref="Y16">IFERROR(_xlfn.IFS(OR(E16="Double Awning (Horizontal)", E16="Double Awning (Vertical)", E16="Triple Awning (Horizontal)", E16="Triple Awning (Vertical)", E16="Double Casement"), ((K16-_xlfn.XLOOKUP(E16,lookups_s60!$L$4:$L$1000,lookups_s60!$P$4:$P$1000,"",0)-36)/2)+_xlfn.XLOOKUP(E16,lookups_s60!$L$4:$L$1000,lookups_s60!$Q$4:$Q$1000,"",0), E16="Triple Casement",((K16-_xlfn.XLOOKUP(E16,lookups_s60!$L$4:$L$1000,lookups_s60!$P$4:$P$1000,"",0)-36-36)/3)+_xlfn.XLOOKUP(E16,lookups_s60!$L$4:$L$1000,lookups_s60!$Q$4:$Q$1000,"",0),V16&lt;&gt;"",K16-_xlfn.XLOOKUP(E16,lookups_s60!$L$4:$L$1000,lookups_s60!$P$4:$P$1000,"",0)+_xlfn.XLOOKUP(E16,lookups_s60!$L$4:$L$1000,lookups_s60!$Q$4:$Q$1000,"",0)),"")</f>
        <v/>
      </c>
      <c r="Z16" s="20" t="str">
        <f>IF(_xlfn.XLOOKUP(E16,lookups_s60!$L$4:$L$1000,lookups_s60!$R$4:$R$1000,"",0)=0, "", D16*_xlfn.XLOOKUP(E16,lookups_s60!$L$4:$L$1000,lookups_s60!$R$4:$R$1000,"",0))</f>
        <v/>
      </c>
      <c r="AB16" s="20" t="str" cm="1">
        <f t="array" ref="AB16">IFERROR(_xlfn.IFS(OR(E16="Fix", E16="Double Fix"),J16-_xlfn.XLOOKUP(E16,lookups_s60!$U$4:$U$1000,lookups_s60!$V$4:$V$1000,"",0),OR(E16="Fix Awning (Vertical)", E16="Fix Awning (Horizontal)"),(J16-_xlfn.XLOOKUP(E16,lookups_s60!$U$4:$U$1000,lookups_s60!$V$4:$V$1000,"",0)-40)/2),"")</f>
        <v/>
      </c>
      <c r="AC16" s="20" t="str">
        <f>IF(_xlfn.XLOOKUP(E16,lookups_s60!$U$4:$U$1000,lookups_s60!$X$4:$X$1000,"",0)=0,"",D16*_xlfn.XLOOKUP(E16,lookups_s60!$U$4:$U$1000,lookups_s60!$X$4:$X$1000,"",0))</f>
        <v/>
      </c>
      <c r="AD16" s="20" t="str">
        <f>IF(OR(E16="Fix", E16="Double Fix", E16="Fix Awning (Vertical)", E16="Fix Awning (Horizontal)"), K16-_xlfn.XLOOKUP(E16,lookups_s60!$U$4:$U$1000,lookups_s60!$W$4:$W$1000,"",0), "")</f>
        <v/>
      </c>
      <c r="AE16" s="20" t="str">
        <f>IF(_xlfn.XLOOKUP(E16,lookups_s60!$U$4:$U$1000,lookups_s60!$X$4:$X$1000,"",0)=0,"",D16*_xlfn.XLOOKUP(E16,lookups_s60!$U$4:$U$1000,lookups_s60!$Y$4:$Y$1000,"",0))</f>
        <v/>
      </c>
      <c r="AG16" s="24" t="str">
        <f>IF(W16&lt;&gt;"", W16-_xlfn.XLOOKUP(E16,lookups_s60!$U$4:$U$1000,lookups_s60!$Z$4:$Z$1000,"",0)-IF(E16="Awning", 5,0),"")</f>
        <v/>
      </c>
      <c r="AH16" s="20" t="str">
        <f>IF(_xlfn.XLOOKUP(E16,lookups_s60!$U$4:$U$1000,lookups_s60!$AB$4:$AB$1000,"",0)=0,"",D16*_xlfn.XLOOKUP(E16,lookups_s60!$U$4:$U$1000,lookups_s60!$AB$4:$AB$1000,"",0))</f>
        <v/>
      </c>
      <c r="AI16" s="22" t="str">
        <f>IF(Y16&lt;&gt;"", Y16-_xlfn.XLOOKUP(E16,lookups_s60!$U$4:$U$1000,lookups_s60!$AA$4:$AA$1000,"",0),"")</f>
        <v/>
      </c>
      <c r="AJ16" s="20" t="str">
        <f>IF(_xlfn.XLOOKUP(E16,lookups_s60!$U$4:$U$1000,lookups_s60!$AC$4:$AC$1000,"",0)=0,"",D16*_xlfn.XLOOKUP(E16,lookups_s60!$U$4:$U$1000,lookups_s60!$AC$4:$AC$1000,"",0))</f>
        <v/>
      </c>
      <c r="AL16" s="20" t="str">
        <f>IF(C16&lt;&gt;"", N16-_xlfn.XLOOKUP(E16,lookups_s60!$AF$4:$AF$1000,lookups_s60!$AG$4:$AG$1000,"",0),"")</f>
        <v/>
      </c>
      <c r="AM16" s="20" t="str">
        <f>IF(_xlfn.XLOOKUP(E16,lookups_s60!$AF$4:$AF$1000,lookups_s60!$AH$4:$AH$1000,"",0)=0,"",D16*_xlfn.XLOOKUP(E16,lookups_s60!$AF$4:$AF$1000,lookups_s60!$AH$4:$AH$1000,"",0))</f>
        <v/>
      </c>
      <c r="AN16" s="20" t="str">
        <f>IF(C16&lt;&gt;"", P16-_xlfn.XLOOKUP(E16,lookups_s60!$AF$4:$AF$1000,lookups_s60!$AG$4:$AG$1000,"",0),"")</f>
        <v/>
      </c>
      <c r="AO16" s="20" t="str">
        <f>IFERROR(IF(_xlfn.XLOOKUP(E16,lookups_s60!$AF$4:$AF$1000,lookups_s60!$AI$4:$AI$1000,"",0)=0,"",D16*_xlfn.XLOOKUP(E16,lookups_s60!$AF$4:$AF$1000,lookups_s60!$AI$4:$AI$1000,"",0)),"")</f>
        <v/>
      </c>
      <c r="AQ16" s="20" t="str">
        <f>IF(W16&lt;&gt;"", W16-_xlfn.XLOOKUP(E16,lookups_s60!$AF$4:$AF$1000,lookups_s60!$AJ$4:$AJ$1000,"",0),"")</f>
        <v/>
      </c>
      <c r="AR16" s="20" t="str">
        <f>IFERROR(IF(_xlfn.XLOOKUP(E16,lookups_s60!$AF$4:$AF$1000,lookups_s60!$AK$4:$AK$1000,"",0)=0,"",D16*_xlfn.XLOOKUP(E16,lookups_s60!$AF$4:$AF$1000,lookups_s60!$AK$4:$AK$1000,"",0)),"")</f>
        <v/>
      </c>
      <c r="AS16" s="20" t="str">
        <f>IF(Y16&lt;&gt;"", Y16-_xlfn.XLOOKUP(E16,lookups_s60!$AF$4:$AF$1000,lookups_s60!$AJ$4:$AJ$1000,"",0),"")</f>
        <v/>
      </c>
      <c r="AT16" s="20" t="str">
        <f>IFERROR(IF(_xlfn.XLOOKUP(E16,lookups_s60!$AF$4:$AF$1000,lookups_s60!$AL$4:$AL$1000,"",0)=0,"",D16*_xlfn.XLOOKUP(E16,lookups_s60!$AF$4:$AF$1000,lookups_s60!$AL$4:$AL$1000,"",0)),"")</f>
        <v/>
      </c>
      <c r="AV16" s="20" t="str">
        <f>IF(S16&lt;&gt;"", S16-_xlfn.XLOOKUP(E16,lookups_s60!$AF$4:$AF$1000,lookups_s60!$AM$4:$AM$1000,"",0),"")</f>
        <v/>
      </c>
      <c r="AW16" s="20" t="str">
        <f>IFERROR(IF(_xlfn.XLOOKUP(E16,lookups_s60!$AF$4:$AF$1000,lookups_s60!$AN$4:$AN$1000,"",0)=0,"",D16*_xlfn.XLOOKUP(E16,lookups_s60!$AF$4:$AF$1000,lookups_s60!$AN$4:$AN$1000,"",0)),"")</f>
        <v/>
      </c>
      <c r="AY16" s="20" t="str" cm="1">
        <f t="array" ref="AY16">IFERROR(_xlfn.IFS(E16="Fix", J16-_xlfn.XLOOKUP(E16,lookups_s60!$AQ$4:$AQ$1000,lookups_s60!$AR$4:$AR$1000,"",0)-_xlfn.XLOOKUP(E16,lookups_s60!$AQ$4:$AQ$1000,lookups_s60!$AS$4:$AS$1000,"",0), E16="Double Fix", (J16-_xlfn.XLOOKUP(E16,lookups_s60!$AQ$4:$AQ$1000,lookups_s60!$AR$4:$AR$1000,"",0)-_xlfn.XLOOKUP(E16,lookups_s60!$G$4:$G$1000,lookups_s60!$H$4:$H$1000,"",0))/2-_xlfn.XLOOKUP(E16,lookups_s60!$AQ$4:$AQ$1000,lookups_s60!$AS$4:$AS$1000,"",0), OR(E16="Fix Awning (Vertical)",E16="Fix Awning (Horizontal)"),  (J16-_xlfn.XLOOKUP(E16,lookups_s60!$AQ$4:$AQ$1000,lookups_s60!$AR$4:$AR$1000,"",0)-40)/2-_xlfn.XLOOKUP(E16,lookups_s60!$AQ$4:$AQ$1000,lookups_s60!$AS$4:$AS$1000,"",0)),"")</f>
        <v/>
      </c>
      <c r="AZ16" s="20" t="str">
        <f>IFERROR(IF(C16&lt;&gt;"", K16-_xlfn.XLOOKUP(E16,lookups_s60!$AQ$4:$AQ$1000,lookups_s60!$AT$4:$AT$1000,"",0)-_xlfn.XLOOKUP(E16,lookups_s60!$AQ$4:$AQ$1000,lookups_s60!$AU$4:$AU$1000,"",0),""),"")</f>
        <v/>
      </c>
      <c r="BA16" s="20" t="str">
        <f t="shared" ref="BA16:BA46" si="2">IF(AY16&lt;&gt;"",D16,"")</f>
        <v/>
      </c>
      <c r="BC16" s="20" t="str" cm="1">
        <f t="array" ref="BC16">IFERROR(_xlfn.IFS(E16="Awning",AQ16-_xlfn.XLOOKUP(E16,lookups_s60!$AQ$4:$AQ$1000,lookups_s60!$AV$4:$AV$1000,"",0)-_xlfn.XLOOKUP(E16,lookups_s60!$AQ$4:$AQ$1000,lookups_s60!$AW$4:$AW$1000,"",0),C16&lt;&gt;"",W16-_xlfn.XLOOKUP(E16,lookups_s60!$AQ$4:$AQ$1000,lookups_s60!$AV$4:$AV$1000,"",0)-_xlfn.XLOOKUP(E16,lookups_s60!$AQ$4:$AQ$1000,lookups_s60!$AW$4:$AW$1000,"",0)),"")</f>
        <v/>
      </c>
      <c r="BD16" s="20" t="str" cm="1">
        <f t="array" ref="BD16">IFERROR(_xlfn.IFS(E16="Awning",AS16-_xlfn.XLOOKUP(E16,lookups_s60!$AQ$4:$AQ$1000,lookups_s60!$AX$4:$AX$1000,"",0)-_xlfn.XLOOKUP(E16,lookups_s60!$AQ$4:$AQ$1000,lookups_s60!$AY$4:$AY$1000,"",0),C16&lt;&gt;"",Y16-_xlfn.XLOOKUP(E16,lookups_s60!$AQ$4:$AQ$1000,lookups_s60!$AX$4:$AX$1000,"",0)-_xlfn.XLOOKUP(E16,lookups_s60!$AQ$4:$AQ$1000,lookups_s60!$AY$4:$AY$1000,"",0)),"")</f>
        <v/>
      </c>
      <c r="BE16" s="20" t="str">
        <f>IF(BC16&lt;&gt;"", _xlfn.XLOOKUP(E16,lookups_s60!$AQ$4:$AQ$1000,lookups_s60!$AZ$4:$AZ$1000,"",0)*D16,"")</f>
        <v/>
      </c>
      <c r="BG16" s="20" t="str">
        <f t="shared" ref="BG16:BG65" si="3">IF(D16&lt;&gt;"",((J16+K16)*2/500)*D16,"")</f>
        <v/>
      </c>
      <c r="BH16" s="22" t="str">
        <f t="shared" ref="BH16:BH65" si="4">IF(D16&lt;&gt;"",(BG16*2)/100,"")</f>
        <v/>
      </c>
      <c r="BI16" s="20" t="str">
        <f t="shared" ref="BI16:BI65" si="5">BG16</f>
        <v/>
      </c>
      <c r="BJ16" s="20" t="str">
        <f t="shared" ref="BJ16:BJ65" si="6">IF(D16&lt;&gt;"",IF(K16&lt;1500, 2, 3)*D16,"")</f>
        <v/>
      </c>
      <c r="BK16" s="20" t="str">
        <f t="shared" ref="BK16:BK65" si="7">IF(D16&lt;&gt;"",((J16+K16)*2/1500)*D16,"")</f>
        <v/>
      </c>
    </row>
    <row r="17" spans="3:63" x14ac:dyDescent="0.25">
      <c r="C17" s="16"/>
      <c r="D17" s="16"/>
      <c r="E17" s="16"/>
      <c r="F17" s="16"/>
      <c r="G17" s="16"/>
      <c r="H17" s="16"/>
      <c r="I17" s="16"/>
      <c r="J17" s="16"/>
      <c r="K17" s="16"/>
      <c r="M17" s="20" t="str">
        <f t="shared" si="0"/>
        <v/>
      </c>
      <c r="N17" s="20" t="str" cm="1">
        <f t="array" ref="N17">IFERROR(_xlfn.IFS(OR(E17="Fix Awning (Vertical)", E17="Fix Awning (Horizontal)"), J17/2+20,C17&lt;&gt;"", J17+M17),"")</f>
        <v/>
      </c>
      <c r="O17" s="20" t="str">
        <f>IF(D17&lt;&gt;"", D17*_xlfn.XLOOKUP(E17,lookups_s60!$B$4:$B$1000,lookups_s60!$C$4:$C$1000,"",0),"")</f>
        <v/>
      </c>
      <c r="P17" s="20" t="str">
        <f t="shared" si="1"/>
        <v/>
      </c>
      <c r="Q17" s="20" t="str">
        <f>IF(D17&lt;&gt;"", D17*_xlfn.XLOOKUP(E17,lookups_s60!$B$4:$B$1000,lookups_s60!$D$4:$D$1000,"",0),"")</f>
        <v/>
      </c>
      <c r="S17" s="20" t="str" cm="1">
        <f t="array" ref="S17">IFERROR(_xlfn.IFS(E17="Double Fix",K17+_xlfn.XLOOKUP(E17,lookups_s60!$G$4:$G$1000,lookups_s60!$H$4:$H$1000,"",0), OR(E17="Double Awning (Horizontal)", E17="Double Awning (Vertical)",E17="Triple Awning (Horizontal)", E17="Triple Awning (Vertical)"), J17+_xlfn.XLOOKUP(E17,lookups_s60!$G$4:$G$1000,lookups_s60!$H$4:$H$1000,"",0), E17="Double Casement", J17+_xlfn.XLOOKUP(E17,lookups_s60!$G$4:$G$1000,lookups_s60!$H$4:$H$1000,"",0), OR(E17="Fix Awning (Vertical)", E17="Fix Awning (Horizontal)"), K17+_xlfn.XLOOKUP(E17,lookups_s60!$G$4:$G$1000,lookups_s60!$H$4:$H$1000,"",0), E17="Triple Casement", J17+_xlfn.XLOOKUP(E17,lookups_s60!$G$4:$G$1000,lookups_s60!$H$4:$H$1000,"",0)),"")</f>
        <v/>
      </c>
      <c r="T17" s="20" t="str">
        <f>IF(S17&lt;&gt;"",D17*_xlfn.XLOOKUP(E17,lookups_s60!$G$4:$G$1000,lookups_s60!$I$4:$I$1000,"",0),"")</f>
        <v/>
      </c>
      <c r="V17" s="20" t="str">
        <f>IF(_xlfn.XLOOKUP(E17,lookups_s60!$L$4:$L$1000,lookups_s60!$M$4:$M$1000,"",0)=0, "", _xlfn.XLOOKUP(E17,lookups_s60!$L$4:$L$1000,lookups_s60!$M$4:$M$1000,"",0))</f>
        <v/>
      </c>
      <c r="W17" s="20" t="str" cm="1">
        <f t="array" ref="W17">IFERROR(_xlfn.IFS(OR(E17="Fix Awning (Vertical)",E17="Fix Awning (Vertical)"),   ((J17-_xlfn.XLOOKUP(E17,lookups_s60!$L$4:$L$1000,lookups_s60!$N$4:$N$1000,"",0)-40)/2)+_xlfn.XLOOKUP(E17,lookups_s60!$L$4:$L$1000,lookups_s60!$O$4:$O$1000,"",0), V17&lt;&gt;"", J17-_xlfn.XLOOKUP(E17,lookups_s60!$L$4:$L$1000,lookups_s60!$N$4:$N$1000,"",0)+_xlfn.XLOOKUP(E17,lookups_s60!$L$4:$L$1000,lookups_s60!$O$4:$O$1000,"",0)),"")</f>
        <v/>
      </c>
      <c r="X17" s="20" t="str">
        <f>IF(_xlfn.XLOOKUP(E17,lookups_s60!$L$4:$L$1000,lookups_s60!$R$4:$R$1000,"",0)=0, "", D17*_xlfn.XLOOKUP(E17,lookups_s60!$L$4:$L$1000,lookups_s60!$R$4:$R$1000,"",0))</f>
        <v/>
      </c>
      <c r="Y17" s="22" t="str" cm="1">
        <f t="array" ref="Y17">IFERROR(_xlfn.IFS(OR(E17="Double Awning (Horizontal)", E17="Double Awning (Vertical)", E17="Triple Awning (Horizontal)", E17="Triple Awning (Vertical)", E17="Double Casement"), ((K17-_xlfn.XLOOKUP(E17,lookups_s60!$L$4:$L$1000,lookups_s60!$P$4:$P$1000,"",0)-36)/2)+_xlfn.XLOOKUP(E17,lookups_s60!$L$4:$L$1000,lookups_s60!$Q$4:$Q$1000,"",0), E17="Triple Casement",((K17-_xlfn.XLOOKUP(E17,lookups_s60!$L$4:$L$1000,lookups_s60!$P$4:$P$1000,"",0)-36-36)/3)+_xlfn.XLOOKUP(E17,lookups_s60!$L$4:$L$1000,lookups_s60!$Q$4:$Q$1000,"",0),V17&lt;&gt;"",K17-_xlfn.XLOOKUP(E17,lookups_s60!$L$4:$L$1000,lookups_s60!$P$4:$P$1000,"",0)+_xlfn.XLOOKUP(E17,lookups_s60!$L$4:$L$1000,lookups_s60!$Q$4:$Q$1000,"",0)),"")</f>
        <v/>
      </c>
      <c r="Z17" s="20" t="str">
        <f>IF(_xlfn.XLOOKUP(E17,lookups_s60!$L$4:$L$1000,lookups_s60!$R$4:$R$1000,"",0)=0, "", D17*_xlfn.XLOOKUP(E17,lookups_s60!$L$4:$L$1000,lookups_s60!$R$4:$R$1000,"",0))</f>
        <v/>
      </c>
      <c r="AB17" s="20" t="str" cm="1">
        <f t="array" ref="AB17">IFERROR(_xlfn.IFS(OR(E17="Fix", E17="Double Fix"),J17-_xlfn.XLOOKUP(E17,lookups_s60!$U$4:$U$1000,lookups_s60!$V$4:$V$1000,"",0),OR(E17="Fix Awning (Vertical)", E17="Fix Awning (Horizontal)"),(J17-_xlfn.XLOOKUP(E17,lookups_s60!$U$4:$U$1000,lookups_s60!$V$4:$V$1000,"",0)-40)/2),"")</f>
        <v/>
      </c>
      <c r="AC17" s="20" t="str">
        <f>IF(_xlfn.XLOOKUP(E17,lookups_s60!$U$4:$U$1000,lookups_s60!$X$4:$X$1000,"",0)=0,"",D17*_xlfn.XLOOKUP(E17,lookups_s60!$U$4:$U$1000,lookups_s60!$X$4:$X$1000,"",0))</f>
        <v/>
      </c>
      <c r="AD17" s="20" t="str">
        <f>IF(OR(E17="Fix", E17="Double Fix", E17="Fix Awning (Vertical)", E17="Fix Awning (Horizontal)"), K17-_xlfn.XLOOKUP(E17,lookups_s60!$U$4:$U$1000,lookups_s60!$W$4:$W$1000,"",0), "")</f>
        <v/>
      </c>
      <c r="AE17" s="20" t="str">
        <f>IF(_xlfn.XLOOKUP(E17,lookups_s60!$U$4:$U$1000,lookups_s60!$X$4:$X$1000,"",0)=0,"",D17*_xlfn.XLOOKUP(E17,lookups_s60!$U$4:$U$1000,lookups_s60!$Y$4:$Y$1000,"",0))</f>
        <v/>
      </c>
      <c r="AG17" s="24" t="str">
        <f>IF(W17&lt;&gt;"", W17-_xlfn.XLOOKUP(E17,lookups_s60!$U$4:$U$1000,lookups_s60!$Z$4:$Z$1000,"",0)-IF(E17="Awning", 5,0),"")</f>
        <v/>
      </c>
      <c r="AH17" s="20" t="str">
        <f>IF(_xlfn.XLOOKUP(E17,lookups_s60!$U$4:$U$1000,lookups_s60!$AB$4:$AB$1000,"",0)=0,"",D17*_xlfn.XLOOKUP(E17,lookups_s60!$U$4:$U$1000,lookups_s60!$AB$4:$AB$1000,"",0))</f>
        <v/>
      </c>
      <c r="AI17" s="22" t="str">
        <f>IF(Y17&lt;&gt;"", Y17-_xlfn.XLOOKUP(E17,lookups_s60!$U$4:$U$1000,lookups_s60!$AA$4:$AA$1000,"",0),"")</f>
        <v/>
      </c>
      <c r="AJ17" s="20" t="str">
        <f>IF(_xlfn.XLOOKUP(E17,lookups_s60!$U$4:$U$1000,lookups_s60!$AC$4:$AC$1000,"",0)=0,"",D17*_xlfn.XLOOKUP(E17,lookups_s60!$U$4:$U$1000,lookups_s60!$AC$4:$AC$1000,"",0))</f>
        <v/>
      </c>
      <c r="AL17" s="20" t="str">
        <f>IF(C17&lt;&gt;"", N17-_xlfn.XLOOKUP(E17,lookups_s60!$AF$4:$AF$1000,lookups_s60!$AG$4:$AG$1000,"",0),"")</f>
        <v/>
      </c>
      <c r="AM17" s="20" t="str">
        <f>IF(_xlfn.XLOOKUP(E17,lookups_s60!$AF$4:$AF$1000,lookups_s60!$AH$4:$AH$1000,"",0)=0,"",D17*_xlfn.XLOOKUP(E17,lookups_s60!$AF$4:$AF$1000,lookups_s60!$AH$4:$AH$1000,"",0))</f>
        <v/>
      </c>
      <c r="AN17" s="20" t="str">
        <f>IF(C17&lt;&gt;"", P17-_xlfn.XLOOKUP(E17,lookups_s60!$AF$4:$AF$1000,lookups_s60!$AG$4:$AG$1000,"",0),"")</f>
        <v/>
      </c>
      <c r="AO17" s="20" t="str">
        <f>IFERROR(IF(_xlfn.XLOOKUP(E17,lookups_s60!$AF$4:$AF$1000,lookups_s60!$AI$4:$AI$1000,"",0)=0,"",D17*_xlfn.XLOOKUP(E17,lookups_s60!$AF$4:$AF$1000,lookups_s60!$AI$4:$AI$1000,"",0)),"")</f>
        <v/>
      </c>
      <c r="AQ17" s="20" t="str">
        <f>IF(W17&lt;&gt;"", W17-_xlfn.XLOOKUP(E17,lookups_s60!$AF$4:$AF$1000,lookups_s60!$AJ$4:$AJ$1000,"",0),"")</f>
        <v/>
      </c>
      <c r="AR17" s="20" t="str">
        <f>IFERROR(IF(_xlfn.XLOOKUP(E17,lookups_s60!$AF$4:$AF$1000,lookups_s60!$AK$4:$AK$1000,"",0)=0,"",D17*_xlfn.XLOOKUP(E17,lookups_s60!$AF$4:$AF$1000,lookups_s60!$AK$4:$AK$1000,"",0)),"")</f>
        <v/>
      </c>
      <c r="AS17" s="20" t="str">
        <f>IF(Y17&lt;&gt;"", Y17-_xlfn.XLOOKUP(E17,lookups_s60!$AF$4:$AF$1000,lookups_s60!$AJ$4:$AJ$1000,"",0),"")</f>
        <v/>
      </c>
      <c r="AT17" s="20" t="str">
        <f>IFERROR(IF(_xlfn.XLOOKUP(E17,lookups_s60!$AF$4:$AF$1000,lookups_s60!$AL$4:$AL$1000,"",0)=0,"",D17*_xlfn.XLOOKUP(E17,lookups_s60!$AF$4:$AF$1000,lookups_s60!$AL$4:$AL$1000,"",0)),"")</f>
        <v/>
      </c>
      <c r="AV17" s="20" t="str">
        <f>IF(S17&lt;&gt;"", S17-_xlfn.XLOOKUP(E17,lookups_s60!$AF$4:$AF$1000,lookups_s60!$AM$4:$AM$1000,"",0),"")</f>
        <v/>
      </c>
      <c r="AW17" s="20" t="str">
        <f>IFERROR(IF(_xlfn.XLOOKUP(E17,lookups_s60!$AF$4:$AF$1000,lookups_s60!$AN$4:$AN$1000,"",0)=0,"",D17*_xlfn.XLOOKUP(E17,lookups_s60!$AF$4:$AF$1000,lookups_s60!$AN$4:$AN$1000,"",0)),"")</f>
        <v/>
      </c>
      <c r="AY17" s="20" t="str" cm="1">
        <f t="array" ref="AY17">IFERROR(_xlfn.IFS(E17="Fix", J17-_xlfn.XLOOKUP(E17,lookups_s60!$AQ$4:$AQ$1000,lookups_s60!$AR$4:$AR$1000,"",0)-_xlfn.XLOOKUP(E17,lookups_s60!$AQ$4:$AQ$1000,lookups_s60!$AS$4:$AS$1000,"",0), E17="Double Fix", (J17-_xlfn.XLOOKUP(E17,lookups_s60!$AQ$4:$AQ$1000,lookups_s60!$AR$4:$AR$1000,"",0)-_xlfn.XLOOKUP(E17,lookups_s60!$G$4:$G$1000,lookups_s60!$H$4:$H$1000,"",0))/2-_xlfn.XLOOKUP(E17,lookups_s60!$AQ$4:$AQ$1000,lookups_s60!$AS$4:$AS$1000,"",0), OR(E17="Fix Awning (Vertical)",E17="Fix Awning (Horizontal)"),  (J17-_xlfn.XLOOKUP(E17,lookups_s60!$AQ$4:$AQ$1000,lookups_s60!$AR$4:$AR$1000,"",0)-40)/2-_xlfn.XLOOKUP(E17,lookups_s60!$AQ$4:$AQ$1000,lookups_s60!$AS$4:$AS$1000,"",0)),"")</f>
        <v/>
      </c>
      <c r="AZ17" s="20" t="str">
        <f>IFERROR(IF(C17&lt;&gt;"", K17-_xlfn.XLOOKUP(E17,lookups_s60!$AQ$4:$AQ$1000,lookups_s60!$AT$4:$AT$1000,"",0)-_xlfn.XLOOKUP(E17,lookups_s60!$AQ$4:$AQ$1000,lookups_s60!$AU$4:$AU$1000,"",0),""),"")</f>
        <v/>
      </c>
      <c r="BA17" s="20" t="str">
        <f t="shared" si="2"/>
        <v/>
      </c>
      <c r="BC17" s="20" t="str" cm="1">
        <f t="array" ref="BC17">IFERROR(_xlfn.IFS(E17="Awning",AQ17-_xlfn.XLOOKUP(E17,lookups_s60!$AQ$4:$AQ$1000,lookups_s60!$AV$4:$AV$1000,"",0)-_xlfn.XLOOKUP(E17,lookups_s60!$AQ$4:$AQ$1000,lookups_s60!$AW$4:$AW$1000,"",0),C17&lt;&gt;"",W17-_xlfn.XLOOKUP(E17,lookups_s60!$AQ$4:$AQ$1000,lookups_s60!$AV$4:$AV$1000,"",0)-_xlfn.XLOOKUP(E17,lookups_s60!$AQ$4:$AQ$1000,lookups_s60!$AW$4:$AW$1000,"",0)),"")</f>
        <v/>
      </c>
      <c r="BD17" s="20" t="str" cm="1">
        <f t="array" ref="BD17">IFERROR(_xlfn.IFS(E17="Awning",AS17-_xlfn.XLOOKUP(E17,lookups_s60!$AQ$4:$AQ$1000,lookups_s60!$AX$4:$AX$1000,"",0)-_xlfn.XLOOKUP(E17,lookups_s60!$AQ$4:$AQ$1000,lookups_s60!$AY$4:$AY$1000,"",0),C17&lt;&gt;"",Y17-_xlfn.XLOOKUP(E17,lookups_s60!$AQ$4:$AQ$1000,lookups_s60!$AX$4:$AX$1000,"",0)-_xlfn.XLOOKUP(E17,lookups_s60!$AQ$4:$AQ$1000,lookups_s60!$AY$4:$AY$1000,"",0)),"")</f>
        <v/>
      </c>
      <c r="BE17" s="20" t="str">
        <f>IF(BC17&lt;&gt;"", _xlfn.XLOOKUP(E17,lookups_s60!$AQ$4:$AQ$1000,lookups_s60!$AZ$4:$AZ$1000,"",0)*D17,"")</f>
        <v/>
      </c>
      <c r="BG17" s="20" t="str">
        <f t="shared" si="3"/>
        <v/>
      </c>
      <c r="BH17" s="22" t="str">
        <f t="shared" si="4"/>
        <v/>
      </c>
      <c r="BI17" s="20" t="str">
        <f t="shared" si="5"/>
        <v/>
      </c>
      <c r="BJ17" s="20" t="str">
        <f t="shared" si="6"/>
        <v/>
      </c>
      <c r="BK17" s="20" t="str">
        <f t="shared" si="7"/>
        <v/>
      </c>
    </row>
    <row r="18" spans="3:63" x14ac:dyDescent="0.25">
      <c r="C18" s="16"/>
      <c r="D18" s="16"/>
      <c r="E18" s="16"/>
      <c r="F18" s="16"/>
      <c r="G18" s="16"/>
      <c r="H18" s="16"/>
      <c r="I18" s="16"/>
      <c r="J18" s="16"/>
      <c r="K18" s="16"/>
      <c r="M18" s="20" t="str">
        <f t="shared" si="0"/>
        <v/>
      </c>
      <c r="N18" s="20" t="str" cm="1">
        <f t="array" ref="N18">IFERROR(_xlfn.IFS(OR(E18="Fix Awning (Vertical)", E18="Fix Awning (Horizontal)"), J18/2+20,C18&lt;&gt;"", J18+M18),"")</f>
        <v/>
      </c>
      <c r="O18" s="20" t="str">
        <f>IF(D18&lt;&gt;"", D18*_xlfn.XLOOKUP(E18,lookups_s60!$B$4:$B$1000,lookups_s60!$C$4:$C$1000,"",0),"")</f>
        <v/>
      </c>
      <c r="P18" s="20" t="str">
        <f t="shared" si="1"/>
        <v/>
      </c>
      <c r="Q18" s="20" t="str">
        <f>IF(D18&lt;&gt;"", D18*_xlfn.XLOOKUP(E18,lookups_s60!$B$4:$B$1000,lookups_s60!$D$4:$D$1000,"",0),"")</f>
        <v/>
      </c>
      <c r="S18" s="20" t="str" cm="1">
        <f t="array" ref="S18">IFERROR(_xlfn.IFS(E18="Double Fix",K18+_xlfn.XLOOKUP(E18,lookups_s60!$G$4:$G$1000,lookups_s60!$H$4:$H$1000,"",0), OR(E18="Double Awning (Horizontal)", E18="Double Awning (Vertical)",E18="Triple Awning (Horizontal)", E18="Triple Awning (Vertical)"), J18+_xlfn.XLOOKUP(E18,lookups_s60!$G$4:$G$1000,lookups_s60!$H$4:$H$1000,"",0), E18="Double Casement", J18+_xlfn.XLOOKUP(E18,lookups_s60!$G$4:$G$1000,lookups_s60!$H$4:$H$1000,"",0), OR(E18="Fix Awning (Vertical)", E18="Fix Awning (Horizontal)"), K18+_xlfn.XLOOKUP(E18,lookups_s60!$G$4:$G$1000,lookups_s60!$H$4:$H$1000,"",0), E18="Triple Casement", J18+_xlfn.XLOOKUP(E18,lookups_s60!$G$4:$G$1000,lookups_s60!$H$4:$H$1000,"",0)),"")</f>
        <v/>
      </c>
      <c r="T18" s="20" t="str">
        <f>IF(S18&lt;&gt;"",D18*_xlfn.XLOOKUP(E18,lookups_s60!$G$4:$G$1000,lookups_s60!$I$4:$I$1000,"",0),"")</f>
        <v/>
      </c>
      <c r="V18" s="20" t="str">
        <f>IF(_xlfn.XLOOKUP(E18,lookups_s60!$L$4:$L$1000,lookups_s60!$M$4:$M$1000,"",0)=0, "", _xlfn.XLOOKUP(E18,lookups_s60!$L$4:$L$1000,lookups_s60!$M$4:$M$1000,"",0))</f>
        <v/>
      </c>
      <c r="W18" s="20" t="str" cm="1">
        <f t="array" ref="W18">IFERROR(_xlfn.IFS(OR(E18="Fix Awning (Vertical)",E18="Fix Awning (Vertical)"),   ((J18-_xlfn.XLOOKUP(E18,lookups_s60!$L$4:$L$1000,lookups_s60!$N$4:$N$1000,"",0)-40)/2)+_xlfn.XLOOKUP(E18,lookups_s60!$L$4:$L$1000,lookups_s60!$O$4:$O$1000,"",0), V18&lt;&gt;"", J18-_xlfn.XLOOKUP(E18,lookups_s60!$L$4:$L$1000,lookups_s60!$N$4:$N$1000,"",0)+_xlfn.XLOOKUP(E18,lookups_s60!$L$4:$L$1000,lookups_s60!$O$4:$O$1000,"",0)),"")</f>
        <v/>
      </c>
      <c r="X18" s="20" t="str">
        <f>IF(_xlfn.XLOOKUP(E18,lookups_s60!$L$4:$L$1000,lookups_s60!$R$4:$R$1000,"",0)=0, "", D18*_xlfn.XLOOKUP(E18,lookups_s60!$L$4:$L$1000,lookups_s60!$R$4:$R$1000,"",0))</f>
        <v/>
      </c>
      <c r="Y18" s="22" t="str" cm="1">
        <f t="array" ref="Y18">IFERROR(_xlfn.IFS(OR(E18="Double Awning (Horizontal)", E18="Double Awning (Vertical)", E18="Triple Awning (Horizontal)", E18="Triple Awning (Vertical)", E18="Double Casement"), ((K18-_xlfn.XLOOKUP(E18,lookups_s60!$L$4:$L$1000,lookups_s60!$P$4:$P$1000,"",0)-36)/2)+_xlfn.XLOOKUP(E18,lookups_s60!$L$4:$L$1000,lookups_s60!$Q$4:$Q$1000,"",0), E18="Triple Casement",((K18-_xlfn.XLOOKUP(E18,lookups_s60!$L$4:$L$1000,lookups_s60!$P$4:$P$1000,"",0)-36-36)/3)+_xlfn.XLOOKUP(E18,lookups_s60!$L$4:$L$1000,lookups_s60!$Q$4:$Q$1000,"",0),V18&lt;&gt;"",K18-_xlfn.XLOOKUP(E18,lookups_s60!$L$4:$L$1000,lookups_s60!$P$4:$P$1000,"",0)+_xlfn.XLOOKUP(E18,lookups_s60!$L$4:$L$1000,lookups_s60!$Q$4:$Q$1000,"",0)),"")</f>
        <v/>
      </c>
      <c r="Z18" s="20" t="str">
        <f>IF(_xlfn.XLOOKUP(E18,lookups_s60!$L$4:$L$1000,lookups_s60!$R$4:$R$1000,"",0)=0, "", D18*_xlfn.XLOOKUP(E18,lookups_s60!$L$4:$L$1000,lookups_s60!$R$4:$R$1000,"",0))</f>
        <v/>
      </c>
      <c r="AB18" s="20" t="str" cm="1">
        <f t="array" ref="AB18">IFERROR(_xlfn.IFS(OR(E18="Fix", E18="Double Fix"),J18-_xlfn.XLOOKUP(E18,lookups_s60!$U$4:$U$1000,lookups_s60!$V$4:$V$1000,"",0),OR(E18="Fix Awning (Vertical)", E18="Fix Awning (Horizontal)"),(J18-_xlfn.XLOOKUP(E18,lookups_s60!$U$4:$U$1000,lookups_s60!$V$4:$V$1000,"",0)-40)/2),"")</f>
        <v/>
      </c>
      <c r="AC18" s="20" t="str">
        <f>IF(_xlfn.XLOOKUP(E18,lookups_s60!$U$4:$U$1000,lookups_s60!$X$4:$X$1000,"",0)=0,"",D18*_xlfn.XLOOKUP(E18,lookups_s60!$U$4:$U$1000,lookups_s60!$X$4:$X$1000,"",0))</f>
        <v/>
      </c>
      <c r="AD18" s="20" t="str">
        <f>IF(OR(E18="Fix", E18="Double Fix", E18="Fix Awning (Vertical)", E18="Fix Awning (Horizontal)"), K18-_xlfn.XLOOKUP(E18,lookups_s60!$U$4:$U$1000,lookups_s60!$W$4:$W$1000,"",0), "")</f>
        <v/>
      </c>
      <c r="AE18" s="20" t="str">
        <f>IF(_xlfn.XLOOKUP(E18,lookups_s60!$U$4:$U$1000,lookups_s60!$X$4:$X$1000,"",0)=0,"",D18*_xlfn.XLOOKUP(E18,lookups_s60!$U$4:$U$1000,lookups_s60!$Y$4:$Y$1000,"",0))</f>
        <v/>
      </c>
      <c r="AG18" s="24" t="str">
        <f>IF(W18&lt;&gt;"", W18-_xlfn.XLOOKUP(E18,lookups_s60!$U$4:$U$1000,lookups_s60!$Z$4:$Z$1000,"",0)-IF(E18="Awning", 5,0),"")</f>
        <v/>
      </c>
      <c r="AH18" s="20" t="str">
        <f>IF(_xlfn.XLOOKUP(E18,lookups_s60!$U$4:$U$1000,lookups_s60!$AB$4:$AB$1000,"",0)=0,"",D18*_xlfn.XLOOKUP(E18,lookups_s60!$U$4:$U$1000,lookups_s60!$AB$4:$AB$1000,"",0))</f>
        <v/>
      </c>
      <c r="AI18" s="22" t="str">
        <f>IF(Y18&lt;&gt;"", Y18-_xlfn.XLOOKUP(E18,lookups_s60!$U$4:$U$1000,lookups_s60!$AA$4:$AA$1000,"",0),"")</f>
        <v/>
      </c>
      <c r="AJ18" s="20" t="str">
        <f>IF(_xlfn.XLOOKUP(E18,lookups_s60!$U$4:$U$1000,lookups_s60!$AC$4:$AC$1000,"",0)=0,"",D18*_xlfn.XLOOKUP(E18,lookups_s60!$U$4:$U$1000,lookups_s60!$AC$4:$AC$1000,"",0))</f>
        <v/>
      </c>
      <c r="AL18" s="20" t="str">
        <f>IF(C18&lt;&gt;"", N18-_xlfn.XLOOKUP(E18,lookups_s60!$AF$4:$AF$1000,lookups_s60!$AG$4:$AG$1000,"",0),"")</f>
        <v/>
      </c>
      <c r="AM18" s="20" t="str">
        <f>IF(_xlfn.XLOOKUP(E18,lookups_s60!$AF$4:$AF$1000,lookups_s60!$AH$4:$AH$1000,"",0)=0,"",D18*_xlfn.XLOOKUP(E18,lookups_s60!$AF$4:$AF$1000,lookups_s60!$AH$4:$AH$1000,"",0))</f>
        <v/>
      </c>
      <c r="AN18" s="20" t="str">
        <f>IF(C18&lt;&gt;"", P18-_xlfn.XLOOKUP(E18,lookups_s60!$AF$4:$AF$1000,lookups_s60!$AG$4:$AG$1000,"",0),"")</f>
        <v/>
      </c>
      <c r="AO18" s="20" t="str">
        <f>IFERROR(IF(_xlfn.XLOOKUP(E18,lookups_s60!$AF$4:$AF$1000,lookups_s60!$AI$4:$AI$1000,"",0)=0,"",D18*_xlfn.XLOOKUP(E18,lookups_s60!$AF$4:$AF$1000,lookups_s60!$AI$4:$AI$1000,"",0)),"")</f>
        <v/>
      </c>
      <c r="AQ18" s="20" t="str">
        <f>IF(W18&lt;&gt;"", W18-_xlfn.XLOOKUP(E18,lookups_s60!$AF$4:$AF$1000,lookups_s60!$AJ$4:$AJ$1000,"",0),"")</f>
        <v/>
      </c>
      <c r="AR18" s="20" t="str">
        <f>IFERROR(IF(_xlfn.XLOOKUP(E18,lookups_s60!$AF$4:$AF$1000,lookups_s60!$AK$4:$AK$1000,"",0)=0,"",D18*_xlfn.XLOOKUP(E18,lookups_s60!$AF$4:$AF$1000,lookups_s60!$AK$4:$AK$1000,"",0)),"")</f>
        <v/>
      </c>
      <c r="AS18" s="20" t="str">
        <f>IF(Y18&lt;&gt;"", Y18-_xlfn.XLOOKUP(E18,lookups_s60!$AF$4:$AF$1000,lookups_s60!$AJ$4:$AJ$1000,"",0),"")</f>
        <v/>
      </c>
      <c r="AT18" s="20" t="str">
        <f>IFERROR(IF(_xlfn.XLOOKUP(E18,lookups_s60!$AF$4:$AF$1000,lookups_s60!$AL$4:$AL$1000,"",0)=0,"",D18*_xlfn.XLOOKUP(E18,lookups_s60!$AF$4:$AF$1000,lookups_s60!$AL$4:$AL$1000,"",0)),"")</f>
        <v/>
      </c>
      <c r="AV18" s="20" t="str">
        <f>IF(S18&lt;&gt;"", S18-_xlfn.XLOOKUP(E18,lookups_s60!$AF$4:$AF$1000,lookups_s60!$AM$4:$AM$1000,"",0),"")</f>
        <v/>
      </c>
      <c r="AW18" s="20" t="str">
        <f>IFERROR(IF(_xlfn.XLOOKUP(E18,lookups_s60!$AF$4:$AF$1000,lookups_s60!$AN$4:$AN$1000,"",0)=0,"",D18*_xlfn.XLOOKUP(E18,lookups_s60!$AF$4:$AF$1000,lookups_s60!$AN$4:$AN$1000,"",0)),"")</f>
        <v/>
      </c>
      <c r="AY18" s="20" t="str" cm="1">
        <f t="array" ref="AY18">IFERROR(_xlfn.IFS(E18="Fix", J18-_xlfn.XLOOKUP(E18,lookups_s60!$AQ$4:$AQ$1000,lookups_s60!$AR$4:$AR$1000,"",0)-_xlfn.XLOOKUP(E18,lookups_s60!$AQ$4:$AQ$1000,lookups_s60!$AS$4:$AS$1000,"",0), E18="Double Fix", (J18-_xlfn.XLOOKUP(E18,lookups_s60!$AQ$4:$AQ$1000,lookups_s60!$AR$4:$AR$1000,"",0)-_xlfn.XLOOKUP(E18,lookups_s60!$G$4:$G$1000,lookups_s60!$H$4:$H$1000,"",0))/2-_xlfn.XLOOKUP(E18,lookups_s60!$AQ$4:$AQ$1000,lookups_s60!$AS$4:$AS$1000,"",0), OR(E18="Fix Awning (Vertical)",E18="Fix Awning (Horizontal)"),  (J18-_xlfn.XLOOKUP(E18,lookups_s60!$AQ$4:$AQ$1000,lookups_s60!$AR$4:$AR$1000,"",0)-40)/2-_xlfn.XLOOKUP(E18,lookups_s60!$AQ$4:$AQ$1000,lookups_s60!$AS$4:$AS$1000,"",0)),"")</f>
        <v/>
      </c>
      <c r="AZ18" s="20" t="str">
        <f>IFERROR(IF(C18&lt;&gt;"", K18-_xlfn.XLOOKUP(E18,lookups_s60!$AQ$4:$AQ$1000,lookups_s60!$AT$4:$AT$1000,"",0)-_xlfn.XLOOKUP(E18,lookups_s60!$AQ$4:$AQ$1000,lookups_s60!$AU$4:$AU$1000,"",0),""),"")</f>
        <v/>
      </c>
      <c r="BA18" s="20" t="str">
        <f t="shared" si="2"/>
        <v/>
      </c>
      <c r="BC18" s="20" t="str" cm="1">
        <f t="array" ref="BC18">IFERROR(_xlfn.IFS(E18="Awning",AQ18-_xlfn.XLOOKUP(E18,lookups_s60!$AQ$4:$AQ$1000,lookups_s60!$AV$4:$AV$1000,"",0)-_xlfn.XLOOKUP(E18,lookups_s60!$AQ$4:$AQ$1000,lookups_s60!$AW$4:$AW$1000,"",0),C18&lt;&gt;"",W18-_xlfn.XLOOKUP(E18,lookups_s60!$AQ$4:$AQ$1000,lookups_s60!$AV$4:$AV$1000,"",0)-_xlfn.XLOOKUP(E18,lookups_s60!$AQ$4:$AQ$1000,lookups_s60!$AW$4:$AW$1000,"",0)),"")</f>
        <v/>
      </c>
      <c r="BD18" s="20" t="str" cm="1">
        <f t="array" ref="BD18">IFERROR(_xlfn.IFS(E18="Awning",AS18-_xlfn.XLOOKUP(E18,lookups_s60!$AQ$4:$AQ$1000,lookups_s60!$AX$4:$AX$1000,"",0)-_xlfn.XLOOKUP(E18,lookups_s60!$AQ$4:$AQ$1000,lookups_s60!$AY$4:$AY$1000,"",0),C18&lt;&gt;"",Y18-_xlfn.XLOOKUP(E18,lookups_s60!$AQ$4:$AQ$1000,lookups_s60!$AX$4:$AX$1000,"",0)-_xlfn.XLOOKUP(E18,lookups_s60!$AQ$4:$AQ$1000,lookups_s60!$AY$4:$AY$1000,"",0)),"")</f>
        <v/>
      </c>
      <c r="BE18" s="20" t="str">
        <f>IF(BC18&lt;&gt;"", _xlfn.XLOOKUP(E18,lookups_s60!$AQ$4:$AQ$1000,lookups_s60!$AZ$4:$AZ$1000,"",0)*D18,"")</f>
        <v/>
      </c>
      <c r="BG18" s="20" t="str">
        <f t="shared" si="3"/>
        <v/>
      </c>
      <c r="BH18" s="22" t="str">
        <f t="shared" si="4"/>
        <v/>
      </c>
      <c r="BI18" s="20" t="str">
        <f t="shared" si="5"/>
        <v/>
      </c>
      <c r="BJ18" s="20" t="str">
        <f t="shared" si="6"/>
        <v/>
      </c>
      <c r="BK18" s="20" t="str">
        <f t="shared" si="7"/>
        <v/>
      </c>
    </row>
    <row r="19" spans="3:63" x14ac:dyDescent="0.25">
      <c r="C19" s="16"/>
      <c r="D19" s="16"/>
      <c r="E19" s="16"/>
      <c r="F19" s="16"/>
      <c r="G19" s="16"/>
      <c r="H19" s="16"/>
      <c r="I19" s="16"/>
      <c r="J19" s="16"/>
      <c r="K19" s="16"/>
      <c r="M19" s="20" t="str">
        <f t="shared" si="0"/>
        <v/>
      </c>
      <c r="N19" s="20" t="str" cm="1">
        <f t="array" ref="N19">IFERROR(_xlfn.IFS(OR(E19="Fix Awning (Vertical)", E19="Fix Awning (Horizontal)"), J19/2+20,C19&lt;&gt;"", J19+M19),"")</f>
        <v/>
      </c>
      <c r="O19" s="20" t="str">
        <f>IF(D19&lt;&gt;"", D19*_xlfn.XLOOKUP(E19,lookups_s60!$B$4:$B$1000,lookups_s60!$C$4:$C$1000,"",0),"")</f>
        <v/>
      </c>
      <c r="P19" s="20" t="str">
        <f t="shared" si="1"/>
        <v/>
      </c>
      <c r="Q19" s="20" t="str">
        <f>IF(D19&lt;&gt;"", D19*_xlfn.XLOOKUP(E19,lookups_s60!$B$4:$B$1000,lookups_s60!$D$4:$D$1000,"",0),"")</f>
        <v/>
      </c>
      <c r="S19" s="20" t="str" cm="1">
        <f t="array" ref="S19">IFERROR(_xlfn.IFS(E19="Double Fix",K19+_xlfn.XLOOKUP(E19,lookups_s60!$G$4:$G$1000,lookups_s60!$H$4:$H$1000,"",0), OR(E19="Double Awning (Horizontal)", E19="Double Awning (Vertical)",E19="Triple Awning (Horizontal)", E19="Triple Awning (Vertical)"), J19+_xlfn.XLOOKUP(E19,lookups_s60!$G$4:$G$1000,lookups_s60!$H$4:$H$1000,"",0), E19="Double Casement", J19+_xlfn.XLOOKUP(E19,lookups_s60!$G$4:$G$1000,lookups_s60!$H$4:$H$1000,"",0), OR(E19="Fix Awning (Vertical)", E19="Fix Awning (Horizontal)"), K19+_xlfn.XLOOKUP(E19,lookups_s60!$G$4:$G$1000,lookups_s60!$H$4:$H$1000,"",0), E19="Triple Casement", J19+_xlfn.XLOOKUP(E19,lookups_s60!$G$4:$G$1000,lookups_s60!$H$4:$H$1000,"",0)),"")</f>
        <v/>
      </c>
      <c r="T19" s="20" t="str">
        <f>IF(S19&lt;&gt;"",D19*_xlfn.XLOOKUP(E19,lookups_s60!$G$4:$G$1000,lookups_s60!$I$4:$I$1000,"",0),"")</f>
        <v/>
      </c>
      <c r="V19" s="20" t="str">
        <f>IF(_xlfn.XLOOKUP(E19,lookups_s60!$L$4:$L$1000,lookups_s60!$M$4:$M$1000,"",0)=0, "", _xlfn.XLOOKUP(E19,lookups_s60!$L$4:$L$1000,lookups_s60!$M$4:$M$1000,"",0))</f>
        <v/>
      </c>
      <c r="W19" s="20" t="str" cm="1">
        <f t="array" ref="W19">IFERROR(_xlfn.IFS(OR(E19="Fix Awning (Vertical)",E19="Fix Awning (Vertical)"),   ((J19-_xlfn.XLOOKUP(E19,lookups_s60!$L$4:$L$1000,lookups_s60!$N$4:$N$1000,"",0)-40)/2)+_xlfn.XLOOKUP(E19,lookups_s60!$L$4:$L$1000,lookups_s60!$O$4:$O$1000,"",0), V19&lt;&gt;"", J19-_xlfn.XLOOKUP(E19,lookups_s60!$L$4:$L$1000,lookups_s60!$N$4:$N$1000,"",0)+_xlfn.XLOOKUP(E19,lookups_s60!$L$4:$L$1000,lookups_s60!$O$4:$O$1000,"",0)),"")</f>
        <v/>
      </c>
      <c r="X19" s="20" t="str">
        <f>IF(_xlfn.XLOOKUP(E19,lookups_s60!$L$4:$L$1000,lookups_s60!$R$4:$R$1000,"",0)=0, "", D19*_xlfn.XLOOKUP(E19,lookups_s60!$L$4:$L$1000,lookups_s60!$R$4:$R$1000,"",0))</f>
        <v/>
      </c>
      <c r="Y19" s="22" t="str" cm="1">
        <f t="array" ref="Y19">IFERROR(_xlfn.IFS(OR(E19="Double Awning (Horizontal)", E19="Double Awning (Vertical)", E19="Triple Awning (Horizontal)", E19="Triple Awning (Vertical)", E19="Double Casement"), ((K19-_xlfn.XLOOKUP(E19,lookups_s60!$L$4:$L$1000,lookups_s60!$P$4:$P$1000,"",0)-36)/2)+_xlfn.XLOOKUP(E19,lookups_s60!$L$4:$L$1000,lookups_s60!$Q$4:$Q$1000,"",0), E19="Triple Casement",((K19-_xlfn.XLOOKUP(E19,lookups_s60!$L$4:$L$1000,lookups_s60!$P$4:$P$1000,"",0)-36-36)/3)+_xlfn.XLOOKUP(E19,lookups_s60!$L$4:$L$1000,lookups_s60!$Q$4:$Q$1000,"",0),V19&lt;&gt;"",K19-_xlfn.XLOOKUP(E19,lookups_s60!$L$4:$L$1000,lookups_s60!$P$4:$P$1000,"",0)+_xlfn.XLOOKUP(E19,lookups_s60!$L$4:$L$1000,lookups_s60!$Q$4:$Q$1000,"",0)),"")</f>
        <v/>
      </c>
      <c r="Z19" s="20" t="str">
        <f>IF(_xlfn.XLOOKUP(E19,lookups_s60!$L$4:$L$1000,lookups_s60!$R$4:$R$1000,"",0)=0, "", D19*_xlfn.XLOOKUP(E19,lookups_s60!$L$4:$L$1000,lookups_s60!$R$4:$R$1000,"",0))</f>
        <v/>
      </c>
      <c r="AB19" s="20" t="str" cm="1">
        <f t="array" ref="AB19">IFERROR(_xlfn.IFS(OR(E19="Fix", E19="Double Fix"),J19-_xlfn.XLOOKUP(E19,lookups_s60!$U$4:$U$1000,lookups_s60!$V$4:$V$1000,"",0),OR(E19="Fix Awning (Vertical)", E19="Fix Awning (Horizontal)"),(J19-_xlfn.XLOOKUP(E19,lookups_s60!$U$4:$U$1000,lookups_s60!$V$4:$V$1000,"",0)-40)/2),"")</f>
        <v/>
      </c>
      <c r="AC19" s="20" t="str">
        <f>IF(_xlfn.XLOOKUP(E19,lookups_s60!$U$4:$U$1000,lookups_s60!$X$4:$X$1000,"",0)=0,"",D19*_xlfn.XLOOKUP(E19,lookups_s60!$U$4:$U$1000,lookups_s60!$X$4:$X$1000,"",0))</f>
        <v/>
      </c>
      <c r="AD19" s="20" t="str">
        <f>IF(OR(E19="Fix", E19="Double Fix", E19="Fix Awning (Vertical)", E19="Fix Awning (Horizontal)"), K19-_xlfn.XLOOKUP(E19,lookups_s60!$U$4:$U$1000,lookups_s60!$W$4:$W$1000,"",0), "")</f>
        <v/>
      </c>
      <c r="AE19" s="20" t="str">
        <f>IF(_xlfn.XLOOKUP(E19,lookups_s60!$U$4:$U$1000,lookups_s60!$X$4:$X$1000,"",0)=0,"",D19*_xlfn.XLOOKUP(E19,lookups_s60!$U$4:$U$1000,lookups_s60!$Y$4:$Y$1000,"",0))</f>
        <v/>
      </c>
      <c r="AG19" s="24" t="str">
        <f>IF(W19&lt;&gt;"", W19-_xlfn.XLOOKUP(E19,lookups_s60!$U$4:$U$1000,lookups_s60!$Z$4:$Z$1000,"",0)-IF(E19="Awning", 5,0),"")</f>
        <v/>
      </c>
      <c r="AH19" s="20" t="str">
        <f>IF(_xlfn.XLOOKUP(E19,lookups_s60!$U$4:$U$1000,lookups_s60!$AB$4:$AB$1000,"",0)=0,"",D19*_xlfn.XLOOKUP(E19,lookups_s60!$U$4:$U$1000,lookups_s60!$AB$4:$AB$1000,"",0))</f>
        <v/>
      </c>
      <c r="AI19" s="22" t="str">
        <f>IF(Y19&lt;&gt;"", Y19-_xlfn.XLOOKUP(E19,lookups_s60!$U$4:$U$1000,lookups_s60!$AA$4:$AA$1000,"",0),"")</f>
        <v/>
      </c>
      <c r="AJ19" s="20" t="str">
        <f>IF(_xlfn.XLOOKUP(E19,lookups_s60!$U$4:$U$1000,lookups_s60!$AC$4:$AC$1000,"",0)=0,"",D19*_xlfn.XLOOKUP(E19,lookups_s60!$U$4:$U$1000,lookups_s60!$AC$4:$AC$1000,"",0))</f>
        <v/>
      </c>
      <c r="AL19" s="20" t="str">
        <f>IF(C19&lt;&gt;"", N19-_xlfn.XLOOKUP(E19,lookups_s60!$AF$4:$AF$1000,lookups_s60!$AG$4:$AG$1000,"",0),"")</f>
        <v/>
      </c>
      <c r="AM19" s="20" t="str">
        <f>IF(_xlfn.XLOOKUP(E19,lookups_s60!$AF$4:$AF$1000,lookups_s60!$AH$4:$AH$1000,"",0)=0,"",D19*_xlfn.XLOOKUP(E19,lookups_s60!$AF$4:$AF$1000,lookups_s60!$AH$4:$AH$1000,"",0))</f>
        <v/>
      </c>
      <c r="AN19" s="20" t="str">
        <f>IF(C19&lt;&gt;"", P19-_xlfn.XLOOKUP(E19,lookups_s60!$AF$4:$AF$1000,lookups_s60!$AG$4:$AG$1000,"",0),"")</f>
        <v/>
      </c>
      <c r="AO19" s="20" t="str">
        <f>IFERROR(IF(_xlfn.XLOOKUP(E19,lookups_s60!$AF$4:$AF$1000,lookups_s60!$AI$4:$AI$1000,"",0)=0,"",D19*_xlfn.XLOOKUP(E19,lookups_s60!$AF$4:$AF$1000,lookups_s60!$AI$4:$AI$1000,"",0)),"")</f>
        <v/>
      </c>
      <c r="AQ19" s="20" t="str">
        <f>IF(W19&lt;&gt;"", W19-_xlfn.XLOOKUP(E19,lookups_s60!$AF$4:$AF$1000,lookups_s60!$AJ$4:$AJ$1000,"",0),"")</f>
        <v/>
      </c>
      <c r="AR19" s="20" t="str">
        <f>IFERROR(IF(_xlfn.XLOOKUP(E19,lookups_s60!$AF$4:$AF$1000,lookups_s60!$AK$4:$AK$1000,"",0)=0,"",D19*_xlfn.XLOOKUP(E19,lookups_s60!$AF$4:$AF$1000,lookups_s60!$AK$4:$AK$1000,"",0)),"")</f>
        <v/>
      </c>
      <c r="AS19" s="20" t="str">
        <f>IF(Y19&lt;&gt;"", Y19-_xlfn.XLOOKUP(E19,lookups_s60!$AF$4:$AF$1000,lookups_s60!$AJ$4:$AJ$1000,"",0),"")</f>
        <v/>
      </c>
      <c r="AT19" s="20" t="str">
        <f>IFERROR(IF(_xlfn.XLOOKUP(E19,lookups_s60!$AF$4:$AF$1000,lookups_s60!$AL$4:$AL$1000,"",0)=0,"",D19*_xlfn.XLOOKUP(E19,lookups_s60!$AF$4:$AF$1000,lookups_s60!$AL$4:$AL$1000,"",0)),"")</f>
        <v/>
      </c>
      <c r="AV19" s="20" t="str">
        <f>IF(S19&lt;&gt;"", S19-_xlfn.XLOOKUP(E19,lookups_s60!$AF$4:$AF$1000,lookups_s60!$AM$4:$AM$1000,"",0),"")</f>
        <v/>
      </c>
      <c r="AW19" s="20" t="str">
        <f>IFERROR(IF(_xlfn.XLOOKUP(E19,lookups_s60!$AF$4:$AF$1000,lookups_s60!$AN$4:$AN$1000,"",0)=0,"",D19*_xlfn.XLOOKUP(E19,lookups_s60!$AF$4:$AF$1000,lookups_s60!$AN$4:$AN$1000,"",0)),"")</f>
        <v/>
      </c>
      <c r="AY19" s="20" t="str" cm="1">
        <f t="array" ref="AY19">IFERROR(_xlfn.IFS(E19="Fix", J19-_xlfn.XLOOKUP(E19,lookups_s60!$AQ$4:$AQ$1000,lookups_s60!$AR$4:$AR$1000,"",0)-_xlfn.XLOOKUP(E19,lookups_s60!$AQ$4:$AQ$1000,lookups_s60!$AS$4:$AS$1000,"",0), E19="Double Fix", (J19-_xlfn.XLOOKUP(E19,lookups_s60!$AQ$4:$AQ$1000,lookups_s60!$AR$4:$AR$1000,"",0)-_xlfn.XLOOKUP(E19,lookups_s60!$G$4:$G$1000,lookups_s60!$H$4:$H$1000,"",0))/2-_xlfn.XLOOKUP(E19,lookups_s60!$AQ$4:$AQ$1000,lookups_s60!$AS$4:$AS$1000,"",0), OR(E19="Fix Awning (Vertical)",E19="Fix Awning (Horizontal)"),  (J19-_xlfn.XLOOKUP(E19,lookups_s60!$AQ$4:$AQ$1000,lookups_s60!$AR$4:$AR$1000,"",0)-40)/2-_xlfn.XLOOKUP(E19,lookups_s60!$AQ$4:$AQ$1000,lookups_s60!$AS$4:$AS$1000,"",0)),"")</f>
        <v/>
      </c>
      <c r="AZ19" s="20" t="str">
        <f>IFERROR(IF(C19&lt;&gt;"", K19-_xlfn.XLOOKUP(E19,lookups_s60!$AQ$4:$AQ$1000,lookups_s60!$AT$4:$AT$1000,"",0)-_xlfn.XLOOKUP(E19,lookups_s60!$AQ$4:$AQ$1000,lookups_s60!$AU$4:$AU$1000,"",0),""),"")</f>
        <v/>
      </c>
      <c r="BA19" s="20" t="str">
        <f t="shared" si="2"/>
        <v/>
      </c>
      <c r="BC19" s="20" t="str" cm="1">
        <f t="array" ref="BC19">IFERROR(_xlfn.IFS(E19="Awning",AQ19-_xlfn.XLOOKUP(E19,lookups_s60!$AQ$4:$AQ$1000,lookups_s60!$AV$4:$AV$1000,"",0)-_xlfn.XLOOKUP(E19,lookups_s60!$AQ$4:$AQ$1000,lookups_s60!$AW$4:$AW$1000,"",0),C19&lt;&gt;"",W19-_xlfn.XLOOKUP(E19,lookups_s60!$AQ$4:$AQ$1000,lookups_s60!$AV$4:$AV$1000,"",0)-_xlfn.XLOOKUP(E19,lookups_s60!$AQ$4:$AQ$1000,lookups_s60!$AW$4:$AW$1000,"",0)),"")</f>
        <v/>
      </c>
      <c r="BD19" s="20" t="str" cm="1">
        <f t="array" ref="BD19">IFERROR(_xlfn.IFS(E19="Awning",AS19-_xlfn.XLOOKUP(E19,lookups_s60!$AQ$4:$AQ$1000,lookups_s60!$AX$4:$AX$1000,"",0)-_xlfn.XLOOKUP(E19,lookups_s60!$AQ$4:$AQ$1000,lookups_s60!$AY$4:$AY$1000,"",0),C19&lt;&gt;"",Y19-_xlfn.XLOOKUP(E19,lookups_s60!$AQ$4:$AQ$1000,lookups_s60!$AX$4:$AX$1000,"",0)-_xlfn.XLOOKUP(E19,lookups_s60!$AQ$4:$AQ$1000,lookups_s60!$AY$4:$AY$1000,"",0)),"")</f>
        <v/>
      </c>
      <c r="BE19" s="20" t="str">
        <f>IF(BC19&lt;&gt;"", _xlfn.XLOOKUP(E19,lookups_s60!$AQ$4:$AQ$1000,lookups_s60!$AZ$4:$AZ$1000,"",0)*D19,"")</f>
        <v/>
      </c>
      <c r="BG19" s="20" t="str">
        <f t="shared" si="3"/>
        <v/>
      </c>
      <c r="BH19" s="22" t="str">
        <f t="shared" si="4"/>
        <v/>
      </c>
      <c r="BI19" s="20" t="str">
        <f t="shared" si="5"/>
        <v/>
      </c>
      <c r="BJ19" s="20" t="str">
        <f t="shared" si="6"/>
        <v/>
      </c>
      <c r="BK19" s="20" t="str">
        <f t="shared" si="7"/>
        <v/>
      </c>
    </row>
    <row r="20" spans="3:63" x14ac:dyDescent="0.25">
      <c r="C20" s="16"/>
      <c r="D20" s="16"/>
      <c r="E20" s="16"/>
      <c r="F20" s="16"/>
      <c r="G20" s="16"/>
      <c r="H20" s="16"/>
      <c r="I20" s="16"/>
      <c r="J20" s="16"/>
      <c r="K20" s="16"/>
      <c r="M20" s="20" t="str">
        <f t="shared" si="0"/>
        <v/>
      </c>
      <c r="N20" s="20" t="str" cm="1">
        <f t="array" ref="N20">IFERROR(_xlfn.IFS(OR(E20="Fix Awning (Vertical)", E20="Fix Awning (Horizontal)"), J20/2+20,C20&lt;&gt;"", J20+M20),"")</f>
        <v/>
      </c>
      <c r="O20" s="20" t="str">
        <f>IF(D20&lt;&gt;"", D20*_xlfn.XLOOKUP(E20,lookups_s60!$B$4:$B$1000,lookups_s60!$C$4:$C$1000,"",0),"")</f>
        <v/>
      </c>
      <c r="P20" s="20" t="str">
        <f t="shared" si="1"/>
        <v/>
      </c>
      <c r="Q20" s="20" t="str">
        <f>IF(D20&lt;&gt;"", D20*_xlfn.XLOOKUP(E20,lookups_s60!$B$4:$B$1000,lookups_s60!$D$4:$D$1000,"",0),"")</f>
        <v/>
      </c>
      <c r="S20" s="20" t="str" cm="1">
        <f t="array" ref="S20">IFERROR(_xlfn.IFS(E20="Double Fix",K20+_xlfn.XLOOKUP(E20,lookups_s60!$G$4:$G$1000,lookups_s60!$H$4:$H$1000,"",0), OR(E20="Double Awning (Horizontal)", E20="Double Awning (Vertical)",E20="Triple Awning (Horizontal)", E20="Triple Awning (Vertical)"), J20+_xlfn.XLOOKUP(E20,lookups_s60!$G$4:$G$1000,lookups_s60!$H$4:$H$1000,"",0), E20="Double Casement", J20+_xlfn.XLOOKUP(E20,lookups_s60!$G$4:$G$1000,lookups_s60!$H$4:$H$1000,"",0), OR(E20="Fix Awning (Vertical)", E20="Fix Awning (Horizontal)"), K20+_xlfn.XLOOKUP(E20,lookups_s60!$G$4:$G$1000,lookups_s60!$H$4:$H$1000,"",0), E20="Triple Casement", J20+_xlfn.XLOOKUP(E20,lookups_s60!$G$4:$G$1000,lookups_s60!$H$4:$H$1000,"",0)),"")</f>
        <v/>
      </c>
      <c r="T20" s="20" t="str">
        <f>IF(S20&lt;&gt;"",D20*_xlfn.XLOOKUP(E20,lookups_s60!$G$4:$G$1000,lookups_s60!$I$4:$I$1000,"",0),"")</f>
        <v/>
      </c>
      <c r="V20" s="20" t="str">
        <f>IF(_xlfn.XLOOKUP(E20,lookups_s60!$L$4:$L$1000,lookups_s60!$M$4:$M$1000,"",0)=0, "", _xlfn.XLOOKUP(E20,lookups_s60!$L$4:$L$1000,lookups_s60!$M$4:$M$1000,"",0))</f>
        <v/>
      </c>
      <c r="W20" s="20" t="str" cm="1">
        <f t="array" ref="W20">IFERROR(_xlfn.IFS(OR(E20="Fix Awning (Vertical)",E20="Fix Awning (Vertical)"),   ((J20-_xlfn.XLOOKUP(E20,lookups_s60!$L$4:$L$1000,lookups_s60!$N$4:$N$1000,"",0)-40)/2)+_xlfn.XLOOKUP(E20,lookups_s60!$L$4:$L$1000,lookups_s60!$O$4:$O$1000,"",0), V20&lt;&gt;"", J20-_xlfn.XLOOKUP(E20,lookups_s60!$L$4:$L$1000,lookups_s60!$N$4:$N$1000,"",0)+_xlfn.XLOOKUP(E20,lookups_s60!$L$4:$L$1000,lookups_s60!$O$4:$O$1000,"",0)),"")</f>
        <v/>
      </c>
      <c r="X20" s="20" t="str">
        <f>IF(_xlfn.XLOOKUP(E20,lookups_s60!$L$4:$L$1000,lookups_s60!$R$4:$R$1000,"",0)=0, "", D20*_xlfn.XLOOKUP(E20,lookups_s60!$L$4:$L$1000,lookups_s60!$R$4:$R$1000,"",0))</f>
        <v/>
      </c>
      <c r="Y20" s="22" t="str" cm="1">
        <f t="array" ref="Y20">IFERROR(_xlfn.IFS(OR(E20="Double Awning (Horizontal)", E20="Double Awning (Vertical)", E20="Triple Awning (Horizontal)", E20="Triple Awning (Vertical)", E20="Double Casement"), ((K20-_xlfn.XLOOKUP(E20,lookups_s60!$L$4:$L$1000,lookups_s60!$P$4:$P$1000,"",0)-36)/2)+_xlfn.XLOOKUP(E20,lookups_s60!$L$4:$L$1000,lookups_s60!$Q$4:$Q$1000,"",0), E20="Triple Casement",((K20-_xlfn.XLOOKUP(E20,lookups_s60!$L$4:$L$1000,lookups_s60!$P$4:$P$1000,"",0)-36-36)/3)+_xlfn.XLOOKUP(E20,lookups_s60!$L$4:$L$1000,lookups_s60!$Q$4:$Q$1000,"",0),V20&lt;&gt;"",K20-_xlfn.XLOOKUP(E20,lookups_s60!$L$4:$L$1000,lookups_s60!$P$4:$P$1000,"",0)+_xlfn.XLOOKUP(E20,lookups_s60!$L$4:$L$1000,lookups_s60!$Q$4:$Q$1000,"",0)),"")</f>
        <v/>
      </c>
      <c r="Z20" s="20" t="str">
        <f>IF(_xlfn.XLOOKUP(E20,lookups_s60!$L$4:$L$1000,lookups_s60!$R$4:$R$1000,"",0)=0, "", D20*_xlfn.XLOOKUP(E20,lookups_s60!$L$4:$L$1000,lookups_s60!$R$4:$R$1000,"",0))</f>
        <v/>
      </c>
      <c r="AB20" s="20" t="str" cm="1">
        <f t="array" ref="AB20">IFERROR(_xlfn.IFS(OR(E20="Fix", E20="Double Fix"),J20-_xlfn.XLOOKUP(E20,lookups_s60!$U$4:$U$1000,lookups_s60!$V$4:$V$1000,"",0),OR(E20="Fix Awning (Vertical)", E20="Fix Awning (Horizontal)"),(J20-_xlfn.XLOOKUP(E20,lookups_s60!$U$4:$U$1000,lookups_s60!$V$4:$V$1000,"",0)-40)/2),"")</f>
        <v/>
      </c>
      <c r="AC20" s="20" t="str">
        <f>IF(_xlfn.XLOOKUP(E20,lookups_s60!$U$4:$U$1000,lookups_s60!$X$4:$X$1000,"",0)=0,"",D20*_xlfn.XLOOKUP(E20,lookups_s60!$U$4:$U$1000,lookups_s60!$X$4:$X$1000,"",0))</f>
        <v/>
      </c>
      <c r="AD20" s="20" t="str">
        <f>IF(OR(E20="Fix", E20="Double Fix", E20="Fix Awning (Vertical)", E20="Fix Awning (Horizontal)"), K20-_xlfn.XLOOKUP(E20,lookups_s60!$U$4:$U$1000,lookups_s60!$W$4:$W$1000,"",0), "")</f>
        <v/>
      </c>
      <c r="AE20" s="20" t="str">
        <f>IF(_xlfn.XLOOKUP(E20,lookups_s60!$U$4:$U$1000,lookups_s60!$X$4:$X$1000,"",0)=0,"",D20*_xlfn.XLOOKUP(E20,lookups_s60!$U$4:$U$1000,lookups_s60!$Y$4:$Y$1000,"",0))</f>
        <v/>
      </c>
      <c r="AG20" s="24" t="str">
        <f>IF(W20&lt;&gt;"", W20-_xlfn.XLOOKUP(E20,lookups_s60!$U$4:$U$1000,lookups_s60!$Z$4:$Z$1000,"",0)-IF(E20="Awning", 5,0),"")</f>
        <v/>
      </c>
      <c r="AH20" s="20" t="str">
        <f>IF(_xlfn.XLOOKUP(E20,lookups_s60!$U$4:$U$1000,lookups_s60!$AB$4:$AB$1000,"",0)=0,"",D20*_xlfn.XLOOKUP(E20,lookups_s60!$U$4:$U$1000,lookups_s60!$AB$4:$AB$1000,"",0))</f>
        <v/>
      </c>
      <c r="AI20" s="22" t="str">
        <f>IF(Y20&lt;&gt;"", Y20-_xlfn.XLOOKUP(E20,lookups_s60!$U$4:$U$1000,lookups_s60!$AA$4:$AA$1000,"",0),"")</f>
        <v/>
      </c>
      <c r="AJ20" s="20" t="str">
        <f>IF(_xlfn.XLOOKUP(E20,lookups_s60!$U$4:$U$1000,lookups_s60!$AC$4:$AC$1000,"",0)=0,"",D20*_xlfn.XLOOKUP(E20,lookups_s60!$U$4:$U$1000,lookups_s60!$AC$4:$AC$1000,"",0))</f>
        <v/>
      </c>
      <c r="AL20" s="20" t="str">
        <f>IF(C20&lt;&gt;"", N20-_xlfn.XLOOKUP(E20,lookups_s60!$AF$4:$AF$1000,lookups_s60!$AG$4:$AG$1000,"",0),"")</f>
        <v/>
      </c>
      <c r="AM20" s="20" t="str">
        <f>IF(_xlfn.XLOOKUP(E20,lookups_s60!$AF$4:$AF$1000,lookups_s60!$AH$4:$AH$1000,"",0)=0,"",D20*_xlfn.XLOOKUP(E20,lookups_s60!$AF$4:$AF$1000,lookups_s60!$AH$4:$AH$1000,"",0))</f>
        <v/>
      </c>
      <c r="AN20" s="20" t="str">
        <f>IF(C20&lt;&gt;"", P20-_xlfn.XLOOKUP(E20,lookups_s60!$AF$4:$AF$1000,lookups_s60!$AG$4:$AG$1000,"",0),"")</f>
        <v/>
      </c>
      <c r="AO20" s="20" t="str">
        <f>IFERROR(IF(_xlfn.XLOOKUP(E20,lookups_s60!$AF$4:$AF$1000,lookups_s60!$AI$4:$AI$1000,"",0)=0,"",D20*_xlfn.XLOOKUP(E20,lookups_s60!$AF$4:$AF$1000,lookups_s60!$AI$4:$AI$1000,"",0)),"")</f>
        <v/>
      </c>
      <c r="AQ20" s="20" t="str">
        <f>IF(W20&lt;&gt;"", W20-_xlfn.XLOOKUP(E20,lookups_s60!$AF$4:$AF$1000,lookups_s60!$AJ$4:$AJ$1000,"",0),"")</f>
        <v/>
      </c>
      <c r="AR20" s="20" t="str">
        <f>IFERROR(IF(_xlfn.XLOOKUP(E20,lookups_s60!$AF$4:$AF$1000,lookups_s60!$AK$4:$AK$1000,"",0)=0,"",D20*_xlfn.XLOOKUP(E20,lookups_s60!$AF$4:$AF$1000,lookups_s60!$AK$4:$AK$1000,"",0)),"")</f>
        <v/>
      </c>
      <c r="AS20" s="20" t="str">
        <f>IF(Y20&lt;&gt;"", Y20-_xlfn.XLOOKUP(E20,lookups_s60!$AF$4:$AF$1000,lookups_s60!$AJ$4:$AJ$1000,"",0),"")</f>
        <v/>
      </c>
      <c r="AT20" s="20" t="str">
        <f>IFERROR(IF(_xlfn.XLOOKUP(E20,lookups_s60!$AF$4:$AF$1000,lookups_s60!$AL$4:$AL$1000,"",0)=0,"",D20*_xlfn.XLOOKUP(E20,lookups_s60!$AF$4:$AF$1000,lookups_s60!$AL$4:$AL$1000,"",0)),"")</f>
        <v/>
      </c>
      <c r="AV20" s="20" t="str">
        <f>IF(S20&lt;&gt;"", S20-_xlfn.XLOOKUP(E20,lookups_s60!$AF$4:$AF$1000,lookups_s60!$AM$4:$AM$1000,"",0),"")</f>
        <v/>
      </c>
      <c r="AW20" s="20" t="str">
        <f>IFERROR(IF(_xlfn.XLOOKUP(E20,lookups_s60!$AF$4:$AF$1000,lookups_s60!$AN$4:$AN$1000,"",0)=0,"",D20*_xlfn.XLOOKUP(E20,lookups_s60!$AF$4:$AF$1000,lookups_s60!$AN$4:$AN$1000,"",0)),"")</f>
        <v/>
      </c>
      <c r="AY20" s="20" t="str" cm="1">
        <f t="array" ref="AY20">IFERROR(_xlfn.IFS(E20="Fix", J20-_xlfn.XLOOKUP(E20,lookups_s60!$AQ$4:$AQ$1000,lookups_s60!$AR$4:$AR$1000,"",0)-_xlfn.XLOOKUP(E20,lookups_s60!$AQ$4:$AQ$1000,lookups_s60!$AS$4:$AS$1000,"",0), E20="Double Fix", (J20-_xlfn.XLOOKUP(E20,lookups_s60!$AQ$4:$AQ$1000,lookups_s60!$AR$4:$AR$1000,"",0)-_xlfn.XLOOKUP(E20,lookups_s60!$G$4:$G$1000,lookups_s60!$H$4:$H$1000,"",0))/2-_xlfn.XLOOKUP(E20,lookups_s60!$AQ$4:$AQ$1000,lookups_s60!$AS$4:$AS$1000,"",0), OR(E20="Fix Awning (Vertical)",E20="Fix Awning (Horizontal)"),  (J20-_xlfn.XLOOKUP(E20,lookups_s60!$AQ$4:$AQ$1000,lookups_s60!$AR$4:$AR$1000,"",0)-40)/2-_xlfn.XLOOKUP(E20,lookups_s60!$AQ$4:$AQ$1000,lookups_s60!$AS$4:$AS$1000,"",0)),"")</f>
        <v/>
      </c>
      <c r="AZ20" s="20" t="str">
        <f>IFERROR(IF(C20&lt;&gt;"", K20-_xlfn.XLOOKUP(E20,lookups_s60!$AQ$4:$AQ$1000,lookups_s60!$AT$4:$AT$1000,"",0)-_xlfn.XLOOKUP(E20,lookups_s60!$AQ$4:$AQ$1000,lookups_s60!$AU$4:$AU$1000,"",0),""),"")</f>
        <v/>
      </c>
      <c r="BA20" s="20" t="str">
        <f t="shared" si="2"/>
        <v/>
      </c>
      <c r="BC20" s="20" t="str" cm="1">
        <f t="array" ref="BC20">IFERROR(_xlfn.IFS(E20="Awning",AQ20-_xlfn.XLOOKUP(E20,lookups_s60!$AQ$4:$AQ$1000,lookups_s60!$AV$4:$AV$1000,"",0)-_xlfn.XLOOKUP(E20,lookups_s60!$AQ$4:$AQ$1000,lookups_s60!$AW$4:$AW$1000,"",0),C20&lt;&gt;"",W20-_xlfn.XLOOKUP(E20,lookups_s60!$AQ$4:$AQ$1000,lookups_s60!$AV$4:$AV$1000,"",0)-_xlfn.XLOOKUP(E20,lookups_s60!$AQ$4:$AQ$1000,lookups_s60!$AW$4:$AW$1000,"",0)),"")</f>
        <v/>
      </c>
      <c r="BD20" s="20" t="str" cm="1">
        <f t="array" ref="BD20">IFERROR(_xlfn.IFS(E20="Awning",AS20-_xlfn.XLOOKUP(E20,lookups_s60!$AQ$4:$AQ$1000,lookups_s60!$AX$4:$AX$1000,"",0)-_xlfn.XLOOKUP(E20,lookups_s60!$AQ$4:$AQ$1000,lookups_s60!$AY$4:$AY$1000,"",0),C20&lt;&gt;"",Y20-_xlfn.XLOOKUP(E20,lookups_s60!$AQ$4:$AQ$1000,lookups_s60!$AX$4:$AX$1000,"",0)-_xlfn.XLOOKUP(E20,lookups_s60!$AQ$4:$AQ$1000,lookups_s60!$AY$4:$AY$1000,"",0)),"")</f>
        <v/>
      </c>
      <c r="BE20" s="20" t="str">
        <f>IF(BC20&lt;&gt;"", _xlfn.XLOOKUP(E20,lookups_s60!$AQ$4:$AQ$1000,lookups_s60!$AZ$4:$AZ$1000,"",0)*D20,"")</f>
        <v/>
      </c>
      <c r="BG20" s="20" t="str">
        <f t="shared" si="3"/>
        <v/>
      </c>
      <c r="BH20" s="22" t="str">
        <f t="shared" si="4"/>
        <v/>
      </c>
      <c r="BI20" s="20" t="str">
        <f t="shared" si="5"/>
        <v/>
      </c>
      <c r="BJ20" s="20" t="str">
        <f t="shared" si="6"/>
        <v/>
      </c>
      <c r="BK20" s="20" t="str">
        <f t="shared" si="7"/>
        <v/>
      </c>
    </row>
    <row r="21" spans="3:63" x14ac:dyDescent="0.25">
      <c r="C21" s="16"/>
      <c r="D21" s="16"/>
      <c r="E21" s="16"/>
      <c r="F21" s="16"/>
      <c r="G21" s="16"/>
      <c r="H21" s="16"/>
      <c r="I21" s="16"/>
      <c r="J21" s="16"/>
      <c r="K21" s="16"/>
      <c r="M21" s="20" t="str">
        <f t="shared" si="0"/>
        <v/>
      </c>
      <c r="N21" s="20" t="str" cm="1">
        <f t="array" ref="N21">IFERROR(_xlfn.IFS(OR(E21="Fix Awning (Vertical)", E21="Fix Awning (Horizontal)"), J21/2+20,C21&lt;&gt;"", J21+M21),"")</f>
        <v/>
      </c>
      <c r="O21" s="20" t="str">
        <f>IF(D21&lt;&gt;"", D21*_xlfn.XLOOKUP(E21,lookups_s60!$B$4:$B$1000,lookups_s60!$C$4:$C$1000,"",0),"")</f>
        <v/>
      </c>
      <c r="P21" s="20" t="str">
        <f t="shared" si="1"/>
        <v/>
      </c>
      <c r="Q21" s="20" t="str">
        <f>IF(D21&lt;&gt;"", D21*_xlfn.XLOOKUP(E21,lookups_s60!$B$4:$B$1000,lookups_s60!$D$4:$D$1000,"",0),"")</f>
        <v/>
      </c>
      <c r="S21" s="20" t="str" cm="1">
        <f t="array" ref="S21">IFERROR(_xlfn.IFS(E21="Double Fix",K21+_xlfn.XLOOKUP(E21,lookups_s60!$G$4:$G$1000,lookups_s60!$H$4:$H$1000,"",0), OR(E21="Double Awning (Horizontal)", E21="Double Awning (Vertical)",E21="Triple Awning (Horizontal)", E21="Triple Awning (Vertical)"), J21+_xlfn.XLOOKUP(E21,lookups_s60!$G$4:$G$1000,lookups_s60!$H$4:$H$1000,"",0), E21="Double Casement", J21+_xlfn.XLOOKUP(E21,lookups_s60!$G$4:$G$1000,lookups_s60!$H$4:$H$1000,"",0), OR(E21="Fix Awning (Vertical)", E21="Fix Awning (Horizontal)"), K21+_xlfn.XLOOKUP(E21,lookups_s60!$G$4:$G$1000,lookups_s60!$H$4:$H$1000,"",0), E21="Triple Casement", J21+_xlfn.XLOOKUP(E21,lookups_s60!$G$4:$G$1000,lookups_s60!$H$4:$H$1000,"",0)),"")</f>
        <v/>
      </c>
      <c r="T21" s="20" t="str">
        <f>IF(S21&lt;&gt;"",D21*_xlfn.XLOOKUP(E21,lookups_s60!$G$4:$G$1000,lookups_s60!$I$4:$I$1000,"",0),"")</f>
        <v/>
      </c>
      <c r="V21" s="20" t="str">
        <f>IF(_xlfn.XLOOKUP(E21,lookups_s60!$L$4:$L$1000,lookups_s60!$M$4:$M$1000,"",0)=0, "", _xlfn.XLOOKUP(E21,lookups_s60!$L$4:$L$1000,lookups_s60!$M$4:$M$1000,"",0))</f>
        <v/>
      </c>
      <c r="W21" s="20" t="str" cm="1">
        <f t="array" ref="W21">IFERROR(_xlfn.IFS(OR(E21="Fix Awning (Vertical)",E21="Fix Awning (Vertical)"),   ((J21-_xlfn.XLOOKUP(E21,lookups_s60!$L$4:$L$1000,lookups_s60!$N$4:$N$1000,"",0)-40)/2)+_xlfn.XLOOKUP(E21,lookups_s60!$L$4:$L$1000,lookups_s60!$O$4:$O$1000,"",0), V21&lt;&gt;"", J21-_xlfn.XLOOKUP(E21,lookups_s60!$L$4:$L$1000,lookups_s60!$N$4:$N$1000,"",0)+_xlfn.XLOOKUP(E21,lookups_s60!$L$4:$L$1000,lookups_s60!$O$4:$O$1000,"",0)),"")</f>
        <v/>
      </c>
      <c r="X21" s="20" t="str">
        <f>IF(_xlfn.XLOOKUP(E21,lookups_s60!$L$4:$L$1000,lookups_s60!$R$4:$R$1000,"",0)=0, "", D21*_xlfn.XLOOKUP(E21,lookups_s60!$L$4:$L$1000,lookups_s60!$R$4:$R$1000,"",0))</f>
        <v/>
      </c>
      <c r="Y21" s="22" t="str" cm="1">
        <f t="array" ref="Y21">IFERROR(_xlfn.IFS(OR(E21="Double Awning (Horizontal)", E21="Double Awning (Vertical)", E21="Triple Awning (Horizontal)", E21="Triple Awning (Vertical)", E21="Double Casement"), ((K21-_xlfn.XLOOKUP(E21,lookups_s60!$L$4:$L$1000,lookups_s60!$P$4:$P$1000,"",0)-36)/2)+_xlfn.XLOOKUP(E21,lookups_s60!$L$4:$L$1000,lookups_s60!$Q$4:$Q$1000,"",0), E21="Triple Casement",((K21-_xlfn.XLOOKUP(E21,lookups_s60!$L$4:$L$1000,lookups_s60!$P$4:$P$1000,"",0)-36-36)/3)+_xlfn.XLOOKUP(E21,lookups_s60!$L$4:$L$1000,lookups_s60!$Q$4:$Q$1000,"",0),V21&lt;&gt;"",K21-_xlfn.XLOOKUP(E21,lookups_s60!$L$4:$L$1000,lookups_s60!$P$4:$P$1000,"",0)+_xlfn.XLOOKUP(E21,lookups_s60!$L$4:$L$1000,lookups_s60!$Q$4:$Q$1000,"",0)),"")</f>
        <v/>
      </c>
      <c r="Z21" s="20" t="str">
        <f>IF(_xlfn.XLOOKUP(E21,lookups_s60!$L$4:$L$1000,lookups_s60!$R$4:$R$1000,"",0)=0, "", D21*_xlfn.XLOOKUP(E21,lookups_s60!$L$4:$L$1000,lookups_s60!$R$4:$R$1000,"",0))</f>
        <v/>
      </c>
      <c r="AB21" s="20" t="str" cm="1">
        <f t="array" ref="AB21">IFERROR(_xlfn.IFS(OR(E21="Fix", E21="Double Fix"),J21-_xlfn.XLOOKUP(E21,lookups_s60!$U$4:$U$1000,lookups_s60!$V$4:$V$1000,"",0),OR(E21="Fix Awning (Vertical)", E21="Fix Awning (Horizontal)"),(J21-_xlfn.XLOOKUP(E21,lookups_s60!$U$4:$U$1000,lookups_s60!$V$4:$V$1000,"",0)-40)/2),"")</f>
        <v/>
      </c>
      <c r="AC21" s="20" t="str">
        <f>IF(_xlfn.XLOOKUP(E21,lookups_s60!$U$4:$U$1000,lookups_s60!$X$4:$X$1000,"",0)=0,"",D21*_xlfn.XLOOKUP(E21,lookups_s60!$U$4:$U$1000,lookups_s60!$X$4:$X$1000,"",0))</f>
        <v/>
      </c>
      <c r="AD21" s="20" t="str">
        <f>IF(OR(E21="Fix", E21="Double Fix", E21="Fix Awning (Vertical)", E21="Fix Awning (Horizontal)"), K21-_xlfn.XLOOKUP(E21,lookups_s60!$U$4:$U$1000,lookups_s60!$W$4:$W$1000,"",0), "")</f>
        <v/>
      </c>
      <c r="AE21" s="20" t="str">
        <f>IF(_xlfn.XLOOKUP(E21,lookups_s60!$U$4:$U$1000,lookups_s60!$X$4:$X$1000,"",0)=0,"",D21*_xlfn.XLOOKUP(E21,lookups_s60!$U$4:$U$1000,lookups_s60!$Y$4:$Y$1000,"",0))</f>
        <v/>
      </c>
      <c r="AG21" s="24" t="str">
        <f>IF(W21&lt;&gt;"", W21-_xlfn.XLOOKUP(E21,lookups_s60!$U$4:$U$1000,lookups_s60!$Z$4:$Z$1000,"",0)-IF(E21="Awning", 5,0),"")</f>
        <v/>
      </c>
      <c r="AH21" s="20" t="str">
        <f>IF(_xlfn.XLOOKUP(E21,lookups_s60!$U$4:$U$1000,lookups_s60!$AB$4:$AB$1000,"",0)=0,"",D21*_xlfn.XLOOKUP(E21,lookups_s60!$U$4:$U$1000,lookups_s60!$AB$4:$AB$1000,"",0))</f>
        <v/>
      </c>
      <c r="AI21" s="22" t="str">
        <f>IF(Y21&lt;&gt;"", Y21-_xlfn.XLOOKUP(E21,lookups_s60!$U$4:$U$1000,lookups_s60!$AA$4:$AA$1000,"",0),"")</f>
        <v/>
      </c>
      <c r="AJ21" s="20" t="str">
        <f>IF(_xlfn.XLOOKUP(E21,lookups_s60!$U$4:$U$1000,lookups_s60!$AC$4:$AC$1000,"",0)=0,"",D21*_xlfn.XLOOKUP(E21,lookups_s60!$U$4:$U$1000,lookups_s60!$AC$4:$AC$1000,"",0))</f>
        <v/>
      </c>
      <c r="AL21" s="20" t="str">
        <f>IF(C21&lt;&gt;"", N21-_xlfn.XLOOKUP(E21,lookups_s60!$AF$4:$AF$1000,lookups_s60!$AG$4:$AG$1000,"",0),"")</f>
        <v/>
      </c>
      <c r="AM21" s="20" t="str">
        <f>IF(_xlfn.XLOOKUP(E21,lookups_s60!$AF$4:$AF$1000,lookups_s60!$AH$4:$AH$1000,"",0)=0,"",D21*_xlfn.XLOOKUP(E21,lookups_s60!$AF$4:$AF$1000,lookups_s60!$AH$4:$AH$1000,"",0))</f>
        <v/>
      </c>
      <c r="AN21" s="20" t="str">
        <f>IF(C21&lt;&gt;"", P21-_xlfn.XLOOKUP(E21,lookups_s60!$AF$4:$AF$1000,lookups_s60!$AG$4:$AG$1000,"",0),"")</f>
        <v/>
      </c>
      <c r="AO21" s="20" t="str">
        <f>IFERROR(IF(_xlfn.XLOOKUP(E21,lookups_s60!$AF$4:$AF$1000,lookups_s60!$AI$4:$AI$1000,"",0)=0,"",D21*_xlfn.XLOOKUP(E21,lookups_s60!$AF$4:$AF$1000,lookups_s60!$AI$4:$AI$1000,"",0)),"")</f>
        <v/>
      </c>
      <c r="AQ21" s="20" t="str">
        <f>IF(W21&lt;&gt;"", W21-_xlfn.XLOOKUP(E21,lookups_s60!$AF$4:$AF$1000,lookups_s60!$AJ$4:$AJ$1000,"",0),"")</f>
        <v/>
      </c>
      <c r="AR21" s="20" t="str">
        <f>IFERROR(IF(_xlfn.XLOOKUP(E21,lookups_s60!$AF$4:$AF$1000,lookups_s60!$AK$4:$AK$1000,"",0)=0,"",D21*_xlfn.XLOOKUP(E21,lookups_s60!$AF$4:$AF$1000,lookups_s60!$AK$4:$AK$1000,"",0)),"")</f>
        <v/>
      </c>
      <c r="AS21" s="20" t="str">
        <f>IF(Y21&lt;&gt;"", Y21-_xlfn.XLOOKUP(E21,lookups_s60!$AF$4:$AF$1000,lookups_s60!$AJ$4:$AJ$1000,"",0),"")</f>
        <v/>
      </c>
      <c r="AT21" s="20" t="str">
        <f>IFERROR(IF(_xlfn.XLOOKUP(E21,lookups_s60!$AF$4:$AF$1000,lookups_s60!$AL$4:$AL$1000,"",0)=0,"",D21*_xlfn.XLOOKUP(E21,lookups_s60!$AF$4:$AF$1000,lookups_s60!$AL$4:$AL$1000,"",0)),"")</f>
        <v/>
      </c>
      <c r="AV21" s="20" t="str">
        <f>IF(S21&lt;&gt;"", S21-_xlfn.XLOOKUP(E21,lookups_s60!$AF$4:$AF$1000,lookups_s60!$AM$4:$AM$1000,"",0),"")</f>
        <v/>
      </c>
      <c r="AW21" s="20" t="str">
        <f>IFERROR(IF(_xlfn.XLOOKUP(E21,lookups_s60!$AF$4:$AF$1000,lookups_s60!$AN$4:$AN$1000,"",0)=0,"",D21*_xlfn.XLOOKUP(E21,lookups_s60!$AF$4:$AF$1000,lookups_s60!$AN$4:$AN$1000,"",0)),"")</f>
        <v/>
      </c>
      <c r="AY21" s="20" t="str" cm="1">
        <f t="array" ref="AY21">IFERROR(_xlfn.IFS(E21="Fix", J21-_xlfn.XLOOKUP(E21,lookups_s60!$AQ$4:$AQ$1000,lookups_s60!$AR$4:$AR$1000,"",0)-_xlfn.XLOOKUP(E21,lookups_s60!$AQ$4:$AQ$1000,lookups_s60!$AS$4:$AS$1000,"",0), E21="Double Fix", (J21-_xlfn.XLOOKUP(E21,lookups_s60!$AQ$4:$AQ$1000,lookups_s60!$AR$4:$AR$1000,"",0)-_xlfn.XLOOKUP(E21,lookups_s60!$G$4:$G$1000,lookups_s60!$H$4:$H$1000,"",0))/2-_xlfn.XLOOKUP(E21,lookups_s60!$AQ$4:$AQ$1000,lookups_s60!$AS$4:$AS$1000,"",0), OR(E21="Fix Awning (Vertical)",E21="Fix Awning (Horizontal)"),  (J21-_xlfn.XLOOKUP(E21,lookups_s60!$AQ$4:$AQ$1000,lookups_s60!$AR$4:$AR$1000,"",0)-40)/2-_xlfn.XLOOKUP(E21,lookups_s60!$AQ$4:$AQ$1000,lookups_s60!$AS$4:$AS$1000,"",0)),"")</f>
        <v/>
      </c>
      <c r="AZ21" s="20" t="str">
        <f>IFERROR(IF(C21&lt;&gt;"", K21-_xlfn.XLOOKUP(E21,lookups_s60!$AQ$4:$AQ$1000,lookups_s60!$AT$4:$AT$1000,"",0)-_xlfn.XLOOKUP(E21,lookups_s60!$AQ$4:$AQ$1000,lookups_s60!$AU$4:$AU$1000,"",0),""),"")</f>
        <v/>
      </c>
      <c r="BA21" s="20" t="str">
        <f t="shared" si="2"/>
        <v/>
      </c>
      <c r="BC21" s="20" t="str" cm="1">
        <f t="array" ref="BC21">IFERROR(_xlfn.IFS(E21="Awning",AQ21-_xlfn.XLOOKUP(E21,lookups_s60!$AQ$4:$AQ$1000,lookups_s60!$AV$4:$AV$1000,"",0)-_xlfn.XLOOKUP(E21,lookups_s60!$AQ$4:$AQ$1000,lookups_s60!$AW$4:$AW$1000,"",0),C21&lt;&gt;"",W21-_xlfn.XLOOKUP(E21,lookups_s60!$AQ$4:$AQ$1000,lookups_s60!$AV$4:$AV$1000,"",0)-_xlfn.XLOOKUP(E21,lookups_s60!$AQ$4:$AQ$1000,lookups_s60!$AW$4:$AW$1000,"",0)),"")</f>
        <v/>
      </c>
      <c r="BD21" s="20" t="str" cm="1">
        <f t="array" ref="BD21">IFERROR(_xlfn.IFS(E21="Awning",AS21-_xlfn.XLOOKUP(E21,lookups_s60!$AQ$4:$AQ$1000,lookups_s60!$AX$4:$AX$1000,"",0)-_xlfn.XLOOKUP(E21,lookups_s60!$AQ$4:$AQ$1000,lookups_s60!$AY$4:$AY$1000,"",0),C21&lt;&gt;"",Y21-_xlfn.XLOOKUP(E21,lookups_s60!$AQ$4:$AQ$1000,lookups_s60!$AX$4:$AX$1000,"",0)-_xlfn.XLOOKUP(E21,lookups_s60!$AQ$4:$AQ$1000,lookups_s60!$AY$4:$AY$1000,"",0)),"")</f>
        <v/>
      </c>
      <c r="BE21" s="20" t="str">
        <f>IF(BC21&lt;&gt;"", _xlfn.XLOOKUP(E21,lookups_s60!$AQ$4:$AQ$1000,lookups_s60!$AZ$4:$AZ$1000,"",0)*D21,"")</f>
        <v/>
      </c>
      <c r="BG21" s="20" t="str">
        <f t="shared" si="3"/>
        <v/>
      </c>
      <c r="BH21" s="22" t="str">
        <f t="shared" si="4"/>
        <v/>
      </c>
      <c r="BI21" s="20" t="str">
        <f t="shared" si="5"/>
        <v/>
      </c>
      <c r="BJ21" s="20" t="str">
        <f t="shared" si="6"/>
        <v/>
      </c>
      <c r="BK21" s="20" t="str">
        <f t="shared" si="7"/>
        <v/>
      </c>
    </row>
    <row r="22" spans="3:63" x14ac:dyDescent="0.25">
      <c r="C22" s="16"/>
      <c r="D22" s="16"/>
      <c r="E22" s="16"/>
      <c r="F22" s="16"/>
      <c r="G22" s="16"/>
      <c r="H22" s="16"/>
      <c r="I22" s="16"/>
      <c r="J22" s="16"/>
      <c r="K22" s="16"/>
      <c r="M22" s="20" t="str">
        <f t="shared" si="0"/>
        <v/>
      </c>
      <c r="N22" s="20" t="str" cm="1">
        <f t="array" ref="N22">IFERROR(_xlfn.IFS(OR(E22="Fix Awning (Vertical)", E22="Fix Awning (Horizontal)"), J22/2+20,C22&lt;&gt;"", J22+M22),"")</f>
        <v/>
      </c>
      <c r="O22" s="20" t="str">
        <f>IF(D22&lt;&gt;"", D22*_xlfn.XLOOKUP(E22,lookups_s60!$B$4:$B$1000,lookups_s60!$C$4:$C$1000,"",0),"")</f>
        <v/>
      </c>
      <c r="P22" s="20" t="str">
        <f t="shared" si="1"/>
        <v/>
      </c>
      <c r="Q22" s="20" t="str">
        <f>IF(D22&lt;&gt;"", D22*_xlfn.XLOOKUP(E22,lookups_s60!$B$4:$B$1000,lookups_s60!$D$4:$D$1000,"",0),"")</f>
        <v/>
      </c>
      <c r="S22" s="20" t="str" cm="1">
        <f t="array" ref="S22">IFERROR(_xlfn.IFS(E22="Double Fix",K22+_xlfn.XLOOKUP(E22,lookups_s60!$G$4:$G$1000,lookups_s60!$H$4:$H$1000,"",0), OR(E22="Double Awning (Horizontal)", E22="Double Awning (Vertical)",E22="Triple Awning (Horizontal)", E22="Triple Awning (Vertical)"), J22+_xlfn.XLOOKUP(E22,lookups_s60!$G$4:$G$1000,lookups_s60!$H$4:$H$1000,"",0), E22="Double Casement", J22+_xlfn.XLOOKUP(E22,lookups_s60!$G$4:$G$1000,lookups_s60!$H$4:$H$1000,"",0), OR(E22="Fix Awning (Vertical)", E22="Fix Awning (Horizontal)"), K22+_xlfn.XLOOKUP(E22,lookups_s60!$G$4:$G$1000,lookups_s60!$H$4:$H$1000,"",0), E22="Triple Casement", J22+_xlfn.XLOOKUP(E22,lookups_s60!$G$4:$G$1000,lookups_s60!$H$4:$H$1000,"",0)),"")</f>
        <v/>
      </c>
      <c r="T22" s="20" t="str">
        <f>IF(S22&lt;&gt;"",D22*_xlfn.XLOOKUP(E22,lookups_s60!$G$4:$G$1000,lookups_s60!$I$4:$I$1000,"",0),"")</f>
        <v/>
      </c>
      <c r="V22" s="20" t="str">
        <f>IF(_xlfn.XLOOKUP(E22,lookups_s60!$L$4:$L$1000,lookups_s60!$M$4:$M$1000,"",0)=0, "", _xlfn.XLOOKUP(E22,lookups_s60!$L$4:$L$1000,lookups_s60!$M$4:$M$1000,"",0))</f>
        <v/>
      </c>
      <c r="W22" s="20" t="str" cm="1">
        <f t="array" ref="W22">IFERROR(_xlfn.IFS(OR(E22="Fix Awning (Vertical)",E22="Fix Awning (Vertical)"),   ((J22-_xlfn.XLOOKUP(E22,lookups_s60!$L$4:$L$1000,lookups_s60!$N$4:$N$1000,"",0)-40)/2)+_xlfn.XLOOKUP(E22,lookups_s60!$L$4:$L$1000,lookups_s60!$O$4:$O$1000,"",0), V22&lt;&gt;"", J22-_xlfn.XLOOKUP(E22,lookups_s60!$L$4:$L$1000,lookups_s60!$N$4:$N$1000,"",0)+_xlfn.XLOOKUP(E22,lookups_s60!$L$4:$L$1000,lookups_s60!$O$4:$O$1000,"",0)),"")</f>
        <v/>
      </c>
      <c r="X22" s="20" t="str">
        <f>IF(_xlfn.XLOOKUP(E22,lookups_s60!$L$4:$L$1000,lookups_s60!$R$4:$R$1000,"",0)=0, "", D22*_xlfn.XLOOKUP(E22,lookups_s60!$L$4:$L$1000,lookups_s60!$R$4:$R$1000,"",0))</f>
        <v/>
      </c>
      <c r="Y22" s="22" t="str" cm="1">
        <f t="array" ref="Y22">IFERROR(_xlfn.IFS(OR(E22="Double Awning (Horizontal)", E22="Double Awning (Vertical)", E22="Triple Awning (Horizontal)", E22="Triple Awning (Vertical)", E22="Double Casement"), ((K22-_xlfn.XLOOKUP(E22,lookups_s60!$L$4:$L$1000,lookups_s60!$P$4:$P$1000,"",0)-36)/2)+_xlfn.XLOOKUP(E22,lookups_s60!$L$4:$L$1000,lookups_s60!$Q$4:$Q$1000,"",0), E22="Triple Casement",((K22-_xlfn.XLOOKUP(E22,lookups_s60!$L$4:$L$1000,lookups_s60!$P$4:$P$1000,"",0)-36-36)/3)+_xlfn.XLOOKUP(E22,lookups_s60!$L$4:$L$1000,lookups_s60!$Q$4:$Q$1000,"",0),V22&lt;&gt;"",K22-_xlfn.XLOOKUP(E22,lookups_s60!$L$4:$L$1000,lookups_s60!$P$4:$P$1000,"",0)+_xlfn.XLOOKUP(E22,lookups_s60!$L$4:$L$1000,lookups_s60!$Q$4:$Q$1000,"",0)),"")</f>
        <v/>
      </c>
      <c r="Z22" s="20" t="str">
        <f>IF(_xlfn.XLOOKUP(E22,lookups_s60!$L$4:$L$1000,lookups_s60!$R$4:$R$1000,"",0)=0, "", D22*_xlfn.XLOOKUP(E22,lookups_s60!$L$4:$L$1000,lookups_s60!$R$4:$R$1000,"",0))</f>
        <v/>
      </c>
      <c r="AB22" s="20" t="str" cm="1">
        <f t="array" ref="AB22">IFERROR(_xlfn.IFS(OR(E22="Fix", E22="Double Fix"),J22-_xlfn.XLOOKUP(E22,lookups_s60!$U$4:$U$1000,lookups_s60!$V$4:$V$1000,"",0),OR(E22="Fix Awning (Vertical)", E22="Fix Awning (Horizontal)"),(J22-_xlfn.XLOOKUP(E22,lookups_s60!$U$4:$U$1000,lookups_s60!$V$4:$V$1000,"",0)-40)/2),"")</f>
        <v/>
      </c>
      <c r="AC22" s="20" t="str">
        <f>IF(_xlfn.XLOOKUP(E22,lookups_s60!$U$4:$U$1000,lookups_s60!$X$4:$X$1000,"",0)=0,"",D22*_xlfn.XLOOKUP(E22,lookups_s60!$U$4:$U$1000,lookups_s60!$X$4:$X$1000,"",0))</f>
        <v/>
      </c>
      <c r="AD22" s="20" t="str">
        <f>IF(OR(E22="Fix", E22="Double Fix", E22="Fix Awning (Vertical)", E22="Fix Awning (Horizontal)"), K22-_xlfn.XLOOKUP(E22,lookups_s60!$U$4:$U$1000,lookups_s60!$W$4:$W$1000,"",0), "")</f>
        <v/>
      </c>
      <c r="AE22" s="20" t="str">
        <f>IF(_xlfn.XLOOKUP(E22,lookups_s60!$U$4:$U$1000,lookups_s60!$X$4:$X$1000,"",0)=0,"",D22*_xlfn.XLOOKUP(E22,lookups_s60!$U$4:$U$1000,lookups_s60!$Y$4:$Y$1000,"",0))</f>
        <v/>
      </c>
      <c r="AG22" s="24" t="str">
        <f>IF(W22&lt;&gt;"", W22-_xlfn.XLOOKUP(E22,lookups_s60!$U$4:$U$1000,lookups_s60!$Z$4:$Z$1000,"",0)-IF(E22="Awning", 5,0),"")</f>
        <v/>
      </c>
      <c r="AH22" s="20" t="str">
        <f>IF(_xlfn.XLOOKUP(E22,lookups_s60!$U$4:$U$1000,lookups_s60!$AB$4:$AB$1000,"",0)=0,"",D22*_xlfn.XLOOKUP(E22,lookups_s60!$U$4:$U$1000,lookups_s60!$AB$4:$AB$1000,"",0))</f>
        <v/>
      </c>
      <c r="AI22" s="22" t="str">
        <f>IF(Y22&lt;&gt;"", Y22-_xlfn.XLOOKUP(E22,lookups_s60!$U$4:$U$1000,lookups_s60!$AA$4:$AA$1000,"",0),"")</f>
        <v/>
      </c>
      <c r="AJ22" s="20" t="str">
        <f>IF(_xlfn.XLOOKUP(E22,lookups_s60!$U$4:$U$1000,lookups_s60!$AC$4:$AC$1000,"",0)=0,"",D22*_xlfn.XLOOKUP(E22,lookups_s60!$U$4:$U$1000,lookups_s60!$AC$4:$AC$1000,"",0))</f>
        <v/>
      </c>
      <c r="AL22" s="20" t="str">
        <f>IF(C22&lt;&gt;"", N22-_xlfn.XLOOKUP(E22,lookups_s60!$AF$4:$AF$1000,lookups_s60!$AG$4:$AG$1000,"",0),"")</f>
        <v/>
      </c>
      <c r="AM22" s="20" t="str">
        <f>IF(_xlfn.XLOOKUP(E22,lookups_s60!$AF$4:$AF$1000,lookups_s60!$AH$4:$AH$1000,"",0)=0,"",D22*_xlfn.XLOOKUP(E22,lookups_s60!$AF$4:$AF$1000,lookups_s60!$AH$4:$AH$1000,"",0))</f>
        <v/>
      </c>
      <c r="AN22" s="20" t="str">
        <f>IF(C22&lt;&gt;"", P22-_xlfn.XLOOKUP(E22,lookups_s60!$AF$4:$AF$1000,lookups_s60!$AG$4:$AG$1000,"",0),"")</f>
        <v/>
      </c>
      <c r="AO22" s="20" t="str">
        <f>IFERROR(IF(_xlfn.XLOOKUP(E22,lookups_s60!$AF$4:$AF$1000,lookups_s60!$AI$4:$AI$1000,"",0)=0,"",D22*_xlfn.XLOOKUP(E22,lookups_s60!$AF$4:$AF$1000,lookups_s60!$AI$4:$AI$1000,"",0)),"")</f>
        <v/>
      </c>
      <c r="AQ22" s="20" t="str">
        <f>IF(W22&lt;&gt;"", W22-_xlfn.XLOOKUP(E22,lookups_s60!$AF$4:$AF$1000,lookups_s60!$AJ$4:$AJ$1000,"",0),"")</f>
        <v/>
      </c>
      <c r="AR22" s="20" t="str">
        <f>IFERROR(IF(_xlfn.XLOOKUP(E22,lookups_s60!$AF$4:$AF$1000,lookups_s60!$AK$4:$AK$1000,"",0)=0,"",D22*_xlfn.XLOOKUP(E22,lookups_s60!$AF$4:$AF$1000,lookups_s60!$AK$4:$AK$1000,"",0)),"")</f>
        <v/>
      </c>
      <c r="AS22" s="22" t="str">
        <f>IF(Y22&lt;&gt;"", Y22-_xlfn.XLOOKUP(E22,lookups_s60!$AF$4:$AF$1000,lookups_s60!$AJ$4:$AJ$1000,"",0),"")</f>
        <v/>
      </c>
      <c r="AT22" s="20" t="str">
        <f>IFERROR(IF(_xlfn.XLOOKUP(E22,lookups_s60!$AF$4:$AF$1000,lookups_s60!$AL$4:$AL$1000,"",0)=0,"",D22*_xlfn.XLOOKUP(E22,lookups_s60!$AF$4:$AF$1000,lookups_s60!$AL$4:$AL$1000,"",0)),"")</f>
        <v/>
      </c>
      <c r="AV22" s="20" t="str">
        <f>IF(S22&lt;&gt;"", S22-_xlfn.XLOOKUP(E22,lookups_s60!$AF$4:$AF$1000,lookups_s60!$AM$4:$AM$1000,"",0),"")</f>
        <v/>
      </c>
      <c r="AW22" s="20" t="str">
        <f>IFERROR(IF(_xlfn.XLOOKUP(E22,lookups_s60!$AF$4:$AF$1000,lookups_s60!$AN$4:$AN$1000,"",0)=0,"",D22*_xlfn.XLOOKUP(E22,lookups_s60!$AF$4:$AF$1000,lookups_s60!$AN$4:$AN$1000,"",0)),"")</f>
        <v/>
      </c>
      <c r="AY22" s="20" t="str" cm="1">
        <f t="array" ref="AY22">IFERROR(_xlfn.IFS(E22="Fix", J22-_xlfn.XLOOKUP(E22,lookups_s60!$AQ$4:$AQ$1000,lookups_s60!$AR$4:$AR$1000,"",0)-_xlfn.XLOOKUP(E22,lookups_s60!$AQ$4:$AQ$1000,lookups_s60!$AS$4:$AS$1000,"",0), E22="Double Fix", (J22-_xlfn.XLOOKUP(E22,lookups_s60!$AQ$4:$AQ$1000,lookups_s60!$AR$4:$AR$1000,"",0)-_xlfn.XLOOKUP(E22,lookups_s60!$G$4:$G$1000,lookups_s60!$H$4:$H$1000,"",0))/2-_xlfn.XLOOKUP(E22,lookups_s60!$AQ$4:$AQ$1000,lookups_s60!$AS$4:$AS$1000,"",0), OR(E22="Fix Awning (Vertical)",E22="Fix Awning (Horizontal)"),  (J22-_xlfn.XLOOKUP(E22,lookups_s60!$AQ$4:$AQ$1000,lookups_s60!$AR$4:$AR$1000,"",0)-40)/2-_xlfn.XLOOKUP(E22,lookups_s60!$AQ$4:$AQ$1000,lookups_s60!$AS$4:$AS$1000,"",0)),"")</f>
        <v/>
      </c>
      <c r="AZ22" s="20" t="str">
        <f>IFERROR(IF(C22&lt;&gt;"", K22-_xlfn.XLOOKUP(E22,lookups_s60!$AQ$4:$AQ$1000,lookups_s60!$AT$4:$AT$1000,"",0)-_xlfn.XLOOKUP(E22,lookups_s60!$AQ$4:$AQ$1000,lookups_s60!$AU$4:$AU$1000,"",0),""),"")</f>
        <v/>
      </c>
      <c r="BA22" s="20" t="str">
        <f t="shared" si="2"/>
        <v/>
      </c>
      <c r="BC22" s="20" t="str" cm="1">
        <f t="array" ref="BC22">IFERROR(_xlfn.IFS(E22="Awning",AQ22-_xlfn.XLOOKUP(E22,lookups_s60!$AQ$4:$AQ$1000,lookups_s60!$AV$4:$AV$1000,"",0)-_xlfn.XLOOKUP(E22,lookups_s60!$AQ$4:$AQ$1000,lookups_s60!$AW$4:$AW$1000,"",0),C22&lt;&gt;"",W22-_xlfn.XLOOKUP(E22,lookups_s60!$AQ$4:$AQ$1000,lookups_s60!$AV$4:$AV$1000,"",0)-_xlfn.XLOOKUP(E22,lookups_s60!$AQ$4:$AQ$1000,lookups_s60!$AW$4:$AW$1000,"",0)),"")</f>
        <v/>
      </c>
      <c r="BD22" s="20" t="str" cm="1">
        <f t="array" ref="BD22">IFERROR(_xlfn.IFS(E22="Awning",AS22-_xlfn.XLOOKUP(E22,lookups_s60!$AQ$4:$AQ$1000,lookups_s60!$AX$4:$AX$1000,"",0)-_xlfn.XLOOKUP(E22,lookups_s60!$AQ$4:$AQ$1000,lookups_s60!$AY$4:$AY$1000,"",0),C22&lt;&gt;"",Y22-_xlfn.XLOOKUP(E22,lookups_s60!$AQ$4:$AQ$1000,lookups_s60!$AX$4:$AX$1000,"",0)-_xlfn.XLOOKUP(E22,lookups_s60!$AQ$4:$AQ$1000,lookups_s60!$AY$4:$AY$1000,"",0)),"")</f>
        <v/>
      </c>
      <c r="BE22" s="20" t="str">
        <f>IF(BC22&lt;&gt;"", _xlfn.XLOOKUP(E22,lookups_s60!$AQ$4:$AQ$1000,lookups_s60!$AZ$4:$AZ$1000,"",0)*D22,"")</f>
        <v/>
      </c>
      <c r="BG22" s="20" t="str">
        <f t="shared" si="3"/>
        <v/>
      </c>
      <c r="BH22" s="22" t="str">
        <f t="shared" si="4"/>
        <v/>
      </c>
      <c r="BI22" s="20" t="str">
        <f t="shared" si="5"/>
        <v/>
      </c>
      <c r="BJ22" s="20" t="str">
        <f t="shared" si="6"/>
        <v/>
      </c>
      <c r="BK22" s="20" t="str">
        <f t="shared" si="7"/>
        <v/>
      </c>
    </row>
    <row r="23" spans="3:63" x14ac:dyDescent="0.25">
      <c r="C23" s="16"/>
      <c r="D23" s="16"/>
      <c r="E23" s="16"/>
      <c r="F23" s="16"/>
      <c r="G23" s="16"/>
      <c r="H23" s="16"/>
      <c r="I23" s="16"/>
      <c r="J23" s="16"/>
      <c r="K23" s="16"/>
      <c r="M23" s="20" t="str">
        <f t="shared" si="0"/>
        <v/>
      </c>
      <c r="N23" s="20" t="str" cm="1">
        <f t="array" ref="N23">IFERROR(_xlfn.IFS(OR(E23="Fix Awning (Vertical)", E23="Fix Awning (Horizontal)"), J23/2+20,C23&lt;&gt;"", J23+M23),"")</f>
        <v/>
      </c>
      <c r="O23" s="20" t="str">
        <f>IF(D23&lt;&gt;"", D23*_xlfn.XLOOKUP(E23,lookups_s60!$B$4:$B$1000,lookups_s60!$C$4:$C$1000,"",0),"")</f>
        <v/>
      </c>
      <c r="P23" s="20" t="str">
        <f t="shared" si="1"/>
        <v/>
      </c>
      <c r="Q23" s="20" t="str">
        <f>IF(D23&lt;&gt;"", D23*_xlfn.XLOOKUP(E23,lookups_s60!$B$4:$B$1000,lookups_s60!$D$4:$D$1000,"",0),"")</f>
        <v/>
      </c>
      <c r="S23" s="20" t="str" cm="1">
        <f t="array" ref="S23">IFERROR(_xlfn.IFS(E23="Double Fix",K23+_xlfn.XLOOKUP(E23,lookups_s60!$G$4:$G$1000,lookups_s60!$H$4:$H$1000,"",0), OR(E23="Double Awning (Horizontal)", E23="Double Awning (Vertical)",E23="Triple Awning (Horizontal)", E23="Triple Awning (Vertical)"), J23+_xlfn.XLOOKUP(E23,lookups_s60!$G$4:$G$1000,lookups_s60!$H$4:$H$1000,"",0), E23="Double Casement", J23+_xlfn.XLOOKUP(E23,lookups_s60!$G$4:$G$1000,lookups_s60!$H$4:$H$1000,"",0), OR(E23="Fix Awning (Vertical)", E23="Fix Awning (Horizontal)"), K23+_xlfn.XLOOKUP(E23,lookups_s60!$G$4:$G$1000,lookups_s60!$H$4:$H$1000,"",0), E23="Triple Casement", J23+_xlfn.XLOOKUP(E23,lookups_s60!$G$4:$G$1000,lookups_s60!$H$4:$H$1000,"",0)),"")</f>
        <v/>
      </c>
      <c r="T23" s="20" t="str">
        <f>IF(S23&lt;&gt;"",D23*_xlfn.XLOOKUP(E23,lookups_s60!$G$4:$G$1000,lookups_s60!$I$4:$I$1000,"",0),"")</f>
        <v/>
      </c>
      <c r="V23" s="20" t="str">
        <f>IF(_xlfn.XLOOKUP(E23,lookups_s60!$L$4:$L$1000,lookups_s60!$M$4:$M$1000,"",0)=0, "", _xlfn.XLOOKUP(E23,lookups_s60!$L$4:$L$1000,lookups_s60!$M$4:$M$1000,"",0))</f>
        <v/>
      </c>
      <c r="W23" s="20" t="str" cm="1">
        <f t="array" ref="W23">IFERROR(_xlfn.IFS(OR(E23="Fix Awning (Vertical)",E23="Fix Awning (Vertical)"),   ((J23-_xlfn.XLOOKUP(E23,lookups_s60!$L$4:$L$1000,lookups_s60!$N$4:$N$1000,"",0)-40)/2)+_xlfn.XLOOKUP(E23,lookups_s60!$L$4:$L$1000,lookups_s60!$O$4:$O$1000,"",0), V23&lt;&gt;"", J23-_xlfn.XLOOKUP(E23,lookups_s60!$L$4:$L$1000,lookups_s60!$N$4:$N$1000,"",0)+_xlfn.XLOOKUP(E23,lookups_s60!$L$4:$L$1000,lookups_s60!$O$4:$O$1000,"",0)),"")</f>
        <v/>
      </c>
      <c r="X23" s="20" t="str">
        <f>IF(_xlfn.XLOOKUP(E23,lookups_s60!$L$4:$L$1000,lookups_s60!$R$4:$R$1000,"",0)=0, "", D23*_xlfn.XLOOKUP(E23,lookups_s60!$L$4:$L$1000,lookups_s60!$R$4:$R$1000,"",0))</f>
        <v/>
      </c>
      <c r="Y23" s="22" t="str" cm="1">
        <f t="array" ref="Y23">IFERROR(_xlfn.IFS(OR(E23="Double Awning (Horizontal)", E23="Double Awning (Vertical)", E23="Triple Awning (Horizontal)", E23="Triple Awning (Vertical)", E23="Double Casement"), ((K23-_xlfn.XLOOKUP(E23,lookups_s60!$L$4:$L$1000,lookups_s60!$P$4:$P$1000,"",0)-36)/2)+_xlfn.XLOOKUP(E23,lookups_s60!$L$4:$L$1000,lookups_s60!$Q$4:$Q$1000,"",0), E23="Triple Casement",((K23-_xlfn.XLOOKUP(E23,lookups_s60!$L$4:$L$1000,lookups_s60!$P$4:$P$1000,"",0)-36-36)/3)+_xlfn.XLOOKUP(E23,lookups_s60!$L$4:$L$1000,lookups_s60!$Q$4:$Q$1000,"",0),V23&lt;&gt;"",K23-_xlfn.XLOOKUP(E23,lookups_s60!$L$4:$L$1000,lookups_s60!$P$4:$P$1000,"",0)+_xlfn.XLOOKUP(E23,lookups_s60!$L$4:$L$1000,lookups_s60!$Q$4:$Q$1000,"",0)),"")</f>
        <v/>
      </c>
      <c r="Z23" s="20" t="str">
        <f>IF(_xlfn.XLOOKUP(E23,lookups_s60!$L$4:$L$1000,lookups_s60!$R$4:$R$1000,"",0)=0, "", D23*_xlfn.XLOOKUP(E23,lookups_s60!$L$4:$L$1000,lookups_s60!$R$4:$R$1000,"",0))</f>
        <v/>
      </c>
      <c r="AB23" s="20" t="str" cm="1">
        <f t="array" ref="AB23">IFERROR(_xlfn.IFS(OR(E23="Fix", E23="Double Fix"),J23-_xlfn.XLOOKUP(E23,lookups_s60!$U$4:$U$1000,lookups_s60!$V$4:$V$1000,"",0),OR(E23="Fix Awning (Vertical)", E23="Fix Awning (Horizontal)"),(J23-_xlfn.XLOOKUP(E23,lookups_s60!$U$4:$U$1000,lookups_s60!$V$4:$V$1000,"",0)-40)/2),"")</f>
        <v/>
      </c>
      <c r="AC23" s="20" t="str">
        <f>IF(_xlfn.XLOOKUP(E23,lookups_s60!$U$4:$U$1000,lookups_s60!$X$4:$X$1000,"",0)=0,"",D23*_xlfn.XLOOKUP(E23,lookups_s60!$U$4:$U$1000,lookups_s60!$X$4:$X$1000,"",0))</f>
        <v/>
      </c>
      <c r="AD23" s="20" t="str">
        <f>IF(OR(E23="Fix", E23="Double Fix", E23="Fix Awning (Vertical)", E23="Fix Awning (Horizontal)"), K23-_xlfn.XLOOKUP(E23,lookups_s60!$U$4:$U$1000,lookups_s60!$W$4:$W$1000,"",0), "")</f>
        <v/>
      </c>
      <c r="AE23" s="20" t="str">
        <f>IF(_xlfn.XLOOKUP(E23,lookups_s60!$U$4:$U$1000,lookups_s60!$X$4:$X$1000,"",0)=0,"",D23*_xlfn.XLOOKUP(E23,lookups_s60!$U$4:$U$1000,lookups_s60!$Y$4:$Y$1000,"",0))</f>
        <v/>
      </c>
      <c r="AG23" s="24" t="str">
        <f>IF(W23&lt;&gt;"", W23-_xlfn.XLOOKUP(E23,lookups_s60!$U$4:$U$1000,lookups_s60!$Z$4:$Z$1000,"",0)-IF(E23="Awning", 5,0),"")</f>
        <v/>
      </c>
      <c r="AH23" s="20" t="str">
        <f>IF(_xlfn.XLOOKUP(E23,lookups_s60!$U$4:$U$1000,lookups_s60!$AB$4:$AB$1000,"",0)=0,"",D23*_xlfn.XLOOKUP(E23,lookups_s60!$U$4:$U$1000,lookups_s60!$AB$4:$AB$1000,"",0))</f>
        <v/>
      </c>
      <c r="AI23" s="22" t="str">
        <f>IF(Y23&lt;&gt;"", Y23-_xlfn.XLOOKUP(E23,lookups_s60!$U$4:$U$1000,lookups_s60!$AA$4:$AA$1000,"",0),"")</f>
        <v/>
      </c>
      <c r="AJ23" s="20" t="str">
        <f>IF(_xlfn.XLOOKUP(E23,lookups_s60!$U$4:$U$1000,lookups_s60!$AC$4:$AC$1000,"",0)=0,"",D23*_xlfn.XLOOKUP(E23,lookups_s60!$U$4:$U$1000,lookups_s60!$AC$4:$AC$1000,"",0))</f>
        <v/>
      </c>
      <c r="AL23" s="20" t="str">
        <f>IF(C23&lt;&gt;"", N23-_xlfn.XLOOKUP(E23,lookups_s60!$AF$4:$AF$1000,lookups_s60!$AG$4:$AG$1000,"",0),"")</f>
        <v/>
      </c>
      <c r="AM23" s="20" t="str">
        <f>IF(_xlfn.XLOOKUP(E23,lookups_s60!$AF$4:$AF$1000,lookups_s60!$AH$4:$AH$1000,"",0)=0,"",D23*_xlfn.XLOOKUP(E23,lookups_s60!$AF$4:$AF$1000,lookups_s60!$AH$4:$AH$1000,"",0))</f>
        <v/>
      </c>
      <c r="AN23" s="20" t="str">
        <f>IF(C23&lt;&gt;"", P23-_xlfn.XLOOKUP(E23,lookups_s60!$AF$4:$AF$1000,lookups_s60!$AG$4:$AG$1000,"",0),"")</f>
        <v/>
      </c>
      <c r="AO23" s="20" t="str">
        <f>IFERROR(IF(_xlfn.XLOOKUP(E23,lookups_s60!$AF$4:$AF$1000,lookups_s60!$AI$4:$AI$1000,"",0)=0,"",D23*_xlfn.XLOOKUP(E23,lookups_s60!$AF$4:$AF$1000,lookups_s60!$AI$4:$AI$1000,"",0)),"")</f>
        <v/>
      </c>
      <c r="AQ23" s="20" t="str">
        <f>IF(W23&lt;&gt;"", W23-_xlfn.XLOOKUP(E23,lookups_s60!$AF$4:$AF$1000,lookups_s60!$AJ$4:$AJ$1000,"",0),"")</f>
        <v/>
      </c>
      <c r="AR23" s="20" t="str">
        <f>IFERROR(IF(_xlfn.XLOOKUP(E23,lookups_s60!$AF$4:$AF$1000,lookups_s60!$AK$4:$AK$1000,"",0)=0,"",D23*_xlfn.XLOOKUP(E23,lookups_s60!$AF$4:$AF$1000,lookups_s60!$AK$4:$AK$1000,"",0)),"")</f>
        <v/>
      </c>
      <c r="AS23" s="20" t="str">
        <f>IF(Y23&lt;&gt;"", Y23-_xlfn.XLOOKUP(E23,lookups_s60!$AF$4:$AF$1000,lookups_s60!$AJ$4:$AJ$1000,"",0),"")</f>
        <v/>
      </c>
      <c r="AT23" s="20" t="str">
        <f>IFERROR(IF(_xlfn.XLOOKUP(E23,lookups_s60!$AF$4:$AF$1000,lookups_s60!$AL$4:$AL$1000,"",0)=0,"",D23*_xlfn.XLOOKUP(E23,lookups_s60!$AF$4:$AF$1000,lookups_s60!$AL$4:$AL$1000,"",0)),"")</f>
        <v/>
      </c>
      <c r="AV23" s="20" t="str">
        <f>IF(S23&lt;&gt;"", S23-_xlfn.XLOOKUP(E23,lookups_s60!$AF$4:$AF$1000,lookups_s60!$AM$4:$AM$1000,"",0),"")</f>
        <v/>
      </c>
      <c r="AW23" s="20" t="str">
        <f>IFERROR(IF(_xlfn.XLOOKUP(E23,lookups_s60!$AF$4:$AF$1000,lookups_s60!$AN$4:$AN$1000,"",0)=0,"",D23*_xlfn.XLOOKUP(E23,lookups_s60!$AF$4:$AF$1000,lookups_s60!$AN$4:$AN$1000,"",0)),"")</f>
        <v/>
      </c>
      <c r="AY23" s="20" t="str" cm="1">
        <f t="array" ref="AY23">IFERROR(_xlfn.IFS(E23="Fix", J23-_xlfn.XLOOKUP(E23,lookups_s60!$AQ$4:$AQ$1000,lookups_s60!$AR$4:$AR$1000,"",0)-_xlfn.XLOOKUP(E23,lookups_s60!$AQ$4:$AQ$1000,lookups_s60!$AS$4:$AS$1000,"",0), E23="Double Fix", (J23-_xlfn.XLOOKUP(E23,lookups_s60!$AQ$4:$AQ$1000,lookups_s60!$AR$4:$AR$1000,"",0)-_xlfn.XLOOKUP(E23,lookups_s60!$G$4:$G$1000,lookups_s60!$H$4:$H$1000,"",0))/2-_xlfn.XLOOKUP(E23,lookups_s60!$AQ$4:$AQ$1000,lookups_s60!$AS$4:$AS$1000,"",0), OR(E23="Fix Awning (Vertical)",E23="Fix Awning (Horizontal)"),  (J23-_xlfn.XLOOKUP(E23,lookups_s60!$AQ$4:$AQ$1000,lookups_s60!$AR$4:$AR$1000,"",0)-40)/2-_xlfn.XLOOKUP(E23,lookups_s60!$AQ$4:$AQ$1000,lookups_s60!$AS$4:$AS$1000,"",0)),"")</f>
        <v/>
      </c>
      <c r="AZ23" s="20" t="str">
        <f>IFERROR(IF(C23&lt;&gt;"", K23-_xlfn.XLOOKUP(E23,lookups_s60!$AQ$4:$AQ$1000,lookups_s60!$AT$4:$AT$1000,"",0)-_xlfn.XLOOKUP(E23,lookups_s60!$AQ$4:$AQ$1000,lookups_s60!$AU$4:$AU$1000,"",0),""),"")</f>
        <v/>
      </c>
      <c r="BA23" s="20" t="str">
        <f t="shared" si="2"/>
        <v/>
      </c>
      <c r="BC23" s="20" t="str" cm="1">
        <f t="array" ref="BC23">IFERROR(_xlfn.IFS(E23="Awning",AQ23-_xlfn.XLOOKUP(E23,lookups_s60!$AQ$4:$AQ$1000,lookups_s60!$AV$4:$AV$1000,"",0)-_xlfn.XLOOKUP(E23,lookups_s60!$AQ$4:$AQ$1000,lookups_s60!$AW$4:$AW$1000,"",0),C23&lt;&gt;"",W23-_xlfn.XLOOKUP(E23,lookups_s60!$AQ$4:$AQ$1000,lookups_s60!$AV$4:$AV$1000,"",0)-_xlfn.XLOOKUP(E23,lookups_s60!$AQ$4:$AQ$1000,lookups_s60!$AW$4:$AW$1000,"",0)),"")</f>
        <v/>
      </c>
      <c r="BD23" s="20" t="str" cm="1">
        <f t="array" ref="BD23">IFERROR(_xlfn.IFS(E23="Awning",AS23-_xlfn.XLOOKUP(E23,lookups_s60!$AQ$4:$AQ$1000,lookups_s60!$AX$4:$AX$1000,"",0)-_xlfn.XLOOKUP(E23,lookups_s60!$AQ$4:$AQ$1000,lookups_s60!$AY$4:$AY$1000,"",0),C23&lt;&gt;"",Y23-_xlfn.XLOOKUP(E23,lookups_s60!$AQ$4:$AQ$1000,lookups_s60!$AX$4:$AX$1000,"",0)-_xlfn.XLOOKUP(E23,lookups_s60!$AQ$4:$AQ$1000,lookups_s60!$AY$4:$AY$1000,"",0)),"")</f>
        <v/>
      </c>
      <c r="BE23" s="20" t="str">
        <f>IF(BC23&lt;&gt;"", _xlfn.XLOOKUP(E23,lookups_s60!$AQ$4:$AQ$1000,lookups_s60!$AZ$4:$AZ$1000,"",0)*D23,"")</f>
        <v/>
      </c>
      <c r="BG23" s="20" t="str">
        <f t="shared" si="3"/>
        <v/>
      </c>
      <c r="BH23" s="22" t="str">
        <f t="shared" si="4"/>
        <v/>
      </c>
      <c r="BI23" s="20" t="str">
        <f t="shared" si="5"/>
        <v/>
      </c>
      <c r="BJ23" s="20" t="str">
        <f t="shared" si="6"/>
        <v/>
      </c>
      <c r="BK23" s="20" t="str">
        <f t="shared" si="7"/>
        <v/>
      </c>
    </row>
    <row r="24" spans="3:63" x14ac:dyDescent="0.25">
      <c r="C24" s="16"/>
      <c r="D24" s="16"/>
      <c r="E24" s="16"/>
      <c r="F24" s="16"/>
      <c r="G24" s="16"/>
      <c r="H24" s="16"/>
      <c r="I24" s="16"/>
      <c r="J24" s="16"/>
      <c r="K24" s="16"/>
      <c r="M24" s="20" t="str">
        <f t="shared" si="0"/>
        <v/>
      </c>
      <c r="N24" s="20" t="str" cm="1">
        <f t="array" ref="N24">IFERROR(_xlfn.IFS(OR(E24="Fix Awning (Vertical)", E24="Fix Awning (Horizontal)"), J24/2+20,C24&lt;&gt;"", J24+M24),"")</f>
        <v/>
      </c>
      <c r="O24" s="20" t="str">
        <f>IF(D24&lt;&gt;"", D24*_xlfn.XLOOKUP(E24,lookups_s60!$B$4:$B$1000,lookups_s60!$C$4:$C$1000,"",0),"")</f>
        <v/>
      </c>
      <c r="P24" s="20" t="str">
        <f t="shared" si="1"/>
        <v/>
      </c>
      <c r="Q24" s="20" t="str">
        <f>IF(D24&lt;&gt;"", D24*_xlfn.XLOOKUP(E24,lookups_s60!$B$4:$B$1000,lookups_s60!$D$4:$D$1000,"",0),"")</f>
        <v/>
      </c>
      <c r="S24" s="20" t="str" cm="1">
        <f t="array" ref="S24">IFERROR(_xlfn.IFS(E24="Double Fix",K24+_xlfn.XLOOKUP(E24,lookups_s60!$G$4:$G$1000,lookups_s60!$H$4:$H$1000,"",0), OR(E24="Double Awning (Horizontal)", E24="Double Awning (Vertical)",E24="Triple Awning (Horizontal)", E24="Triple Awning (Vertical)"), J24+_xlfn.XLOOKUP(E24,lookups_s60!$G$4:$G$1000,lookups_s60!$H$4:$H$1000,"",0), E24="Double Casement", J24+_xlfn.XLOOKUP(E24,lookups_s60!$G$4:$G$1000,lookups_s60!$H$4:$H$1000,"",0), OR(E24="Fix Awning (Vertical)", E24="Fix Awning (Horizontal)"), K24+_xlfn.XLOOKUP(E24,lookups_s60!$G$4:$G$1000,lookups_s60!$H$4:$H$1000,"",0), E24="Triple Casement", J24+_xlfn.XLOOKUP(E24,lookups_s60!$G$4:$G$1000,lookups_s60!$H$4:$H$1000,"",0)),"")</f>
        <v/>
      </c>
      <c r="T24" s="20" t="str">
        <f>IF(S24&lt;&gt;"",D24*_xlfn.XLOOKUP(E24,lookups_s60!$G$4:$G$1000,lookups_s60!$I$4:$I$1000,"",0),"")</f>
        <v/>
      </c>
      <c r="V24" s="20" t="str">
        <f>IF(_xlfn.XLOOKUP(E24,lookups_s60!$L$4:$L$1000,lookups_s60!$M$4:$M$1000,"",0)=0, "", _xlfn.XLOOKUP(E24,lookups_s60!$L$4:$L$1000,lookups_s60!$M$4:$M$1000,"",0))</f>
        <v/>
      </c>
      <c r="W24" s="20" t="str" cm="1">
        <f t="array" ref="W24">IFERROR(_xlfn.IFS(OR(E24="Fix Awning (Vertical)",E24="Fix Awning (Vertical)"),   ((J24-_xlfn.XLOOKUP(E24,lookups_s60!$L$4:$L$1000,lookups_s60!$N$4:$N$1000,"",0)-40)/2)+_xlfn.XLOOKUP(E24,lookups_s60!$L$4:$L$1000,lookups_s60!$O$4:$O$1000,"",0), V24&lt;&gt;"", J24-_xlfn.XLOOKUP(E24,lookups_s60!$L$4:$L$1000,lookups_s60!$N$4:$N$1000,"",0)+_xlfn.XLOOKUP(E24,lookups_s60!$L$4:$L$1000,lookups_s60!$O$4:$O$1000,"",0)),"")</f>
        <v/>
      </c>
      <c r="X24" s="20" t="str">
        <f>IF(_xlfn.XLOOKUP(E24,lookups_s60!$L$4:$L$1000,lookups_s60!$R$4:$R$1000,"",0)=0, "", D24*_xlfn.XLOOKUP(E24,lookups_s60!$L$4:$L$1000,lookups_s60!$R$4:$R$1000,"",0))</f>
        <v/>
      </c>
      <c r="Y24" s="22" t="str" cm="1">
        <f t="array" ref="Y24">IFERROR(_xlfn.IFS(OR(E24="Double Awning (Horizontal)", E24="Double Awning (Vertical)", E24="Triple Awning (Horizontal)", E24="Triple Awning (Vertical)", E24="Double Casement"), ((K24-_xlfn.XLOOKUP(E24,lookups_s60!$L$4:$L$1000,lookups_s60!$P$4:$P$1000,"",0)-36)/2)+_xlfn.XLOOKUP(E24,lookups_s60!$L$4:$L$1000,lookups_s60!$Q$4:$Q$1000,"",0), E24="Triple Casement",((K24-_xlfn.XLOOKUP(E24,lookups_s60!$L$4:$L$1000,lookups_s60!$P$4:$P$1000,"",0)-36-36)/3)+_xlfn.XLOOKUP(E24,lookups_s60!$L$4:$L$1000,lookups_s60!$Q$4:$Q$1000,"",0),V24&lt;&gt;"",K24-_xlfn.XLOOKUP(E24,lookups_s60!$L$4:$L$1000,lookups_s60!$P$4:$P$1000,"",0)+_xlfn.XLOOKUP(E24,lookups_s60!$L$4:$L$1000,lookups_s60!$Q$4:$Q$1000,"",0)),"")</f>
        <v/>
      </c>
      <c r="Z24" s="20" t="str">
        <f>IF(_xlfn.XLOOKUP(E24,lookups_s60!$L$4:$L$1000,lookups_s60!$R$4:$R$1000,"",0)=0, "", D24*_xlfn.XLOOKUP(E24,lookups_s60!$L$4:$L$1000,lookups_s60!$R$4:$R$1000,"",0))</f>
        <v/>
      </c>
      <c r="AB24" s="20" t="str" cm="1">
        <f t="array" ref="AB24">IFERROR(_xlfn.IFS(OR(E24="Fix", E24="Double Fix"),J24-_xlfn.XLOOKUP(E24,lookups_s60!$U$4:$U$1000,lookups_s60!$V$4:$V$1000,"",0),OR(E24="Fix Awning (Vertical)", E24="Fix Awning (Horizontal)"),(J24-_xlfn.XLOOKUP(E24,lookups_s60!$U$4:$U$1000,lookups_s60!$V$4:$V$1000,"",0)-40)/2),"")</f>
        <v/>
      </c>
      <c r="AC24" s="20" t="str">
        <f>IF(_xlfn.XLOOKUP(E24,lookups_s60!$U$4:$U$1000,lookups_s60!$X$4:$X$1000,"",0)=0,"",D24*_xlfn.XLOOKUP(E24,lookups_s60!$U$4:$U$1000,lookups_s60!$X$4:$X$1000,"",0))</f>
        <v/>
      </c>
      <c r="AD24" s="20" t="str">
        <f>IF(OR(E24="Fix", E24="Double Fix", E24="Fix Awning (Vertical)", E24="Fix Awning (Horizontal)"), K24-_xlfn.XLOOKUP(E24,lookups_s60!$U$4:$U$1000,lookups_s60!$W$4:$W$1000,"",0), "")</f>
        <v/>
      </c>
      <c r="AE24" s="20" t="str">
        <f>IF(_xlfn.XLOOKUP(E24,lookups_s60!$U$4:$U$1000,lookups_s60!$X$4:$X$1000,"",0)=0,"",D24*_xlfn.XLOOKUP(E24,lookups_s60!$U$4:$U$1000,lookups_s60!$Y$4:$Y$1000,"",0))</f>
        <v/>
      </c>
      <c r="AG24" s="24" t="str">
        <f>IF(W24&lt;&gt;"", W24-_xlfn.XLOOKUP(E24,lookups_s60!$U$4:$U$1000,lookups_s60!$Z$4:$Z$1000,"",0)-IF(E24="Awning", 5,0),"")</f>
        <v/>
      </c>
      <c r="AH24" s="20" t="str">
        <f>IF(_xlfn.XLOOKUP(E24,lookups_s60!$U$4:$U$1000,lookups_s60!$AB$4:$AB$1000,"",0)=0,"",D24*_xlfn.XLOOKUP(E24,lookups_s60!$U$4:$U$1000,lookups_s60!$AB$4:$AB$1000,"",0))</f>
        <v/>
      </c>
      <c r="AI24" s="22" t="str">
        <f>IF(Y24&lt;&gt;"", Y24-_xlfn.XLOOKUP(E24,lookups_s60!$U$4:$U$1000,lookups_s60!$AA$4:$AA$1000,"",0),"")</f>
        <v/>
      </c>
      <c r="AJ24" s="20" t="str">
        <f>IF(_xlfn.XLOOKUP(E24,lookups_s60!$U$4:$U$1000,lookups_s60!$AC$4:$AC$1000,"",0)=0,"",D24*_xlfn.XLOOKUP(E24,lookups_s60!$U$4:$U$1000,lookups_s60!$AC$4:$AC$1000,"",0))</f>
        <v/>
      </c>
      <c r="AL24" s="20" t="str">
        <f>IF(C24&lt;&gt;"", N24-_xlfn.XLOOKUP(E24,lookups_s60!$AF$4:$AF$1000,lookups_s60!$AG$4:$AG$1000,"",0),"")</f>
        <v/>
      </c>
      <c r="AM24" s="20" t="str">
        <f>IF(_xlfn.XLOOKUP(E24,lookups_s60!$AF$4:$AF$1000,lookups_s60!$AH$4:$AH$1000,"",0)=0,"",D24*_xlfn.XLOOKUP(E24,lookups_s60!$AF$4:$AF$1000,lookups_s60!$AH$4:$AH$1000,"",0))</f>
        <v/>
      </c>
      <c r="AN24" s="20" t="str">
        <f>IF(C24&lt;&gt;"", P24-_xlfn.XLOOKUP(E24,lookups_s60!$AF$4:$AF$1000,lookups_s60!$AG$4:$AG$1000,"",0),"")</f>
        <v/>
      </c>
      <c r="AO24" s="20" t="str">
        <f>IFERROR(IF(_xlfn.XLOOKUP(E24,lookups_s60!$AF$4:$AF$1000,lookups_s60!$AI$4:$AI$1000,"",0)=0,"",D24*_xlfn.XLOOKUP(E24,lookups_s60!$AF$4:$AF$1000,lookups_s60!$AI$4:$AI$1000,"",0)),"")</f>
        <v/>
      </c>
      <c r="AQ24" s="20" t="str">
        <f>IF(W24&lt;&gt;"", W24-_xlfn.XLOOKUP(E24,lookups_s60!$AF$4:$AF$1000,lookups_s60!$AJ$4:$AJ$1000,"",0),"")</f>
        <v/>
      </c>
      <c r="AR24" s="20" t="str">
        <f>IFERROR(IF(_xlfn.XLOOKUP(E24,lookups_s60!$AF$4:$AF$1000,lookups_s60!$AK$4:$AK$1000,"",0)=0,"",D24*_xlfn.XLOOKUP(E24,lookups_s60!$AF$4:$AF$1000,lookups_s60!$AK$4:$AK$1000,"",0)),"")</f>
        <v/>
      </c>
      <c r="AS24" s="20" t="str">
        <f>IF(Y24&lt;&gt;"", Y24-_xlfn.XLOOKUP(E24,lookups_s60!$AF$4:$AF$1000,lookups_s60!$AJ$4:$AJ$1000,"",0),"")</f>
        <v/>
      </c>
      <c r="AT24" s="20" t="str">
        <f>IFERROR(IF(_xlfn.XLOOKUP(E24,lookups_s60!$AF$4:$AF$1000,lookups_s60!$AL$4:$AL$1000,"",0)=0,"",D24*_xlfn.XLOOKUP(E24,lookups_s60!$AF$4:$AF$1000,lookups_s60!$AL$4:$AL$1000,"",0)),"")</f>
        <v/>
      </c>
      <c r="AV24" s="20" t="str">
        <f>IF(S24&lt;&gt;"", S24-_xlfn.XLOOKUP(E24,lookups_s60!$AF$4:$AF$1000,lookups_s60!$AM$4:$AM$1000,"",0),"")</f>
        <v/>
      </c>
      <c r="AW24" s="20" t="str">
        <f>IFERROR(IF(_xlfn.XLOOKUP(E24,lookups_s60!$AF$4:$AF$1000,lookups_s60!$AN$4:$AN$1000,"",0)=0,"",D24*_xlfn.XLOOKUP(E24,lookups_s60!$AF$4:$AF$1000,lookups_s60!$AN$4:$AN$1000,"",0)),"")</f>
        <v/>
      </c>
      <c r="AY24" s="20" t="str" cm="1">
        <f t="array" ref="AY24">IFERROR(_xlfn.IFS(E24="Fix", J24-_xlfn.XLOOKUP(E24,lookups_s60!$AQ$4:$AQ$1000,lookups_s60!$AR$4:$AR$1000,"",0)-_xlfn.XLOOKUP(E24,lookups_s60!$AQ$4:$AQ$1000,lookups_s60!$AS$4:$AS$1000,"",0), E24="Double Fix", (J24-_xlfn.XLOOKUP(E24,lookups_s60!$AQ$4:$AQ$1000,lookups_s60!$AR$4:$AR$1000,"",0)-_xlfn.XLOOKUP(E24,lookups_s60!$G$4:$G$1000,lookups_s60!$H$4:$H$1000,"",0))/2-_xlfn.XLOOKUP(E24,lookups_s60!$AQ$4:$AQ$1000,lookups_s60!$AS$4:$AS$1000,"",0), OR(E24="Fix Awning (Vertical)",E24="Fix Awning (Horizontal)"),  (J24-_xlfn.XLOOKUP(E24,lookups_s60!$AQ$4:$AQ$1000,lookups_s60!$AR$4:$AR$1000,"",0)-40)/2-_xlfn.XLOOKUP(E24,lookups_s60!$AQ$4:$AQ$1000,lookups_s60!$AS$4:$AS$1000,"",0)),"")</f>
        <v/>
      </c>
      <c r="AZ24" s="20" t="str">
        <f>IFERROR(IF(C24&lt;&gt;"", K24-_xlfn.XLOOKUP(E24,lookups_s60!$AQ$4:$AQ$1000,lookups_s60!$AT$4:$AT$1000,"",0)-_xlfn.XLOOKUP(E24,lookups_s60!$AQ$4:$AQ$1000,lookups_s60!$AU$4:$AU$1000,"",0),""),"")</f>
        <v/>
      </c>
      <c r="BA24" s="20" t="str">
        <f t="shared" si="2"/>
        <v/>
      </c>
      <c r="BC24" s="20" t="str" cm="1">
        <f t="array" ref="BC24">IFERROR(_xlfn.IFS(E24="Awning",AQ24-_xlfn.XLOOKUP(E24,lookups_s60!$AQ$4:$AQ$1000,lookups_s60!$AV$4:$AV$1000,"",0)-_xlfn.XLOOKUP(E24,lookups_s60!$AQ$4:$AQ$1000,lookups_s60!$AW$4:$AW$1000,"",0),C24&lt;&gt;"",W24-_xlfn.XLOOKUP(E24,lookups_s60!$AQ$4:$AQ$1000,lookups_s60!$AV$4:$AV$1000,"",0)-_xlfn.XLOOKUP(E24,lookups_s60!$AQ$4:$AQ$1000,lookups_s60!$AW$4:$AW$1000,"",0)),"")</f>
        <v/>
      </c>
      <c r="BD24" s="20" t="str" cm="1">
        <f t="array" ref="BD24">IFERROR(_xlfn.IFS(E24="Awning",AS24-_xlfn.XLOOKUP(E24,lookups_s60!$AQ$4:$AQ$1000,lookups_s60!$AX$4:$AX$1000,"",0)-_xlfn.XLOOKUP(E24,lookups_s60!$AQ$4:$AQ$1000,lookups_s60!$AY$4:$AY$1000,"",0),C24&lt;&gt;"",Y24-_xlfn.XLOOKUP(E24,lookups_s60!$AQ$4:$AQ$1000,lookups_s60!$AX$4:$AX$1000,"",0)-_xlfn.XLOOKUP(E24,lookups_s60!$AQ$4:$AQ$1000,lookups_s60!$AY$4:$AY$1000,"",0)),"")</f>
        <v/>
      </c>
      <c r="BE24" s="20" t="str">
        <f>IF(BC24&lt;&gt;"", _xlfn.XLOOKUP(E24,lookups_s60!$AQ$4:$AQ$1000,lookups_s60!$AZ$4:$AZ$1000,"",0)*D24,"")</f>
        <v/>
      </c>
      <c r="BG24" s="20" t="str">
        <f t="shared" si="3"/>
        <v/>
      </c>
      <c r="BH24" s="22" t="str">
        <f t="shared" si="4"/>
        <v/>
      </c>
      <c r="BI24" s="20" t="str">
        <f t="shared" si="5"/>
        <v/>
      </c>
      <c r="BJ24" s="20" t="str">
        <f t="shared" si="6"/>
        <v/>
      </c>
      <c r="BK24" s="20" t="str">
        <f t="shared" si="7"/>
        <v/>
      </c>
    </row>
    <row r="25" spans="3:63" x14ac:dyDescent="0.25">
      <c r="C25" s="16"/>
      <c r="D25" s="16"/>
      <c r="E25" s="16"/>
      <c r="F25" s="16"/>
      <c r="G25" s="16"/>
      <c r="H25" s="16"/>
      <c r="I25" s="16"/>
      <c r="J25" s="16"/>
      <c r="K25" s="16"/>
      <c r="M25" s="20" t="str">
        <f t="shared" si="0"/>
        <v/>
      </c>
      <c r="N25" s="20" t="str" cm="1">
        <f t="array" ref="N25">IFERROR(_xlfn.IFS(OR(E25="Fix Awning (Vertical)", E25="Fix Awning (Horizontal)"), J25/2+20,C25&lt;&gt;"", J25+M25),"")</f>
        <v/>
      </c>
      <c r="O25" s="20" t="str">
        <f>IF(D25&lt;&gt;"", D25*_xlfn.XLOOKUP(E25,lookups_s60!$B$4:$B$1000,lookups_s60!$C$4:$C$1000,"",0),"")</f>
        <v/>
      </c>
      <c r="P25" s="20" t="str">
        <f t="shared" si="1"/>
        <v/>
      </c>
      <c r="Q25" s="20" t="str">
        <f>IF(D25&lt;&gt;"", D25*_xlfn.XLOOKUP(E25,lookups_s60!$B$4:$B$1000,lookups_s60!$D$4:$D$1000,"",0),"")</f>
        <v/>
      </c>
      <c r="S25" s="20" t="str" cm="1">
        <f t="array" ref="S25">IFERROR(_xlfn.IFS(E25="Double Fix",K25+_xlfn.XLOOKUP(E25,lookups_s60!$G$4:$G$1000,lookups_s60!$H$4:$H$1000,"",0), OR(E25="Double Awning (Horizontal)", E25="Double Awning (Vertical)",E25="Triple Awning (Horizontal)", E25="Triple Awning (Vertical)"), J25+_xlfn.XLOOKUP(E25,lookups_s60!$G$4:$G$1000,lookups_s60!$H$4:$H$1000,"",0), E25="Double Casement", J25+_xlfn.XLOOKUP(E25,lookups_s60!$G$4:$G$1000,lookups_s60!$H$4:$H$1000,"",0), OR(E25="Fix Awning (Vertical)", E25="Fix Awning (Horizontal)"), K25+_xlfn.XLOOKUP(E25,lookups_s60!$G$4:$G$1000,lookups_s60!$H$4:$H$1000,"",0), E25="Triple Casement", J25+_xlfn.XLOOKUP(E25,lookups_s60!$G$4:$G$1000,lookups_s60!$H$4:$H$1000,"",0)),"")</f>
        <v/>
      </c>
      <c r="T25" s="20" t="str">
        <f>IF(S25&lt;&gt;"",D25*_xlfn.XLOOKUP(E25,lookups_s60!$G$4:$G$1000,lookups_s60!$I$4:$I$1000,"",0),"")</f>
        <v/>
      </c>
      <c r="V25" s="20" t="str">
        <f>IF(_xlfn.XLOOKUP(E25,lookups_s60!$L$4:$L$1000,lookups_s60!$M$4:$M$1000,"",0)=0, "", _xlfn.XLOOKUP(E25,lookups_s60!$L$4:$L$1000,lookups_s60!$M$4:$M$1000,"",0))</f>
        <v/>
      </c>
      <c r="W25" s="20" t="str" cm="1">
        <f t="array" ref="W25">IFERROR(_xlfn.IFS(OR(E25="Fix Awning (Vertical)",E25="Fix Awning (Vertical)"),   ((J25-_xlfn.XLOOKUP(E25,lookups_s60!$L$4:$L$1000,lookups_s60!$N$4:$N$1000,"",0)-40)/2)+_xlfn.XLOOKUP(E25,lookups_s60!$L$4:$L$1000,lookups_s60!$O$4:$O$1000,"",0), V25&lt;&gt;"", J25-_xlfn.XLOOKUP(E25,lookups_s60!$L$4:$L$1000,lookups_s60!$N$4:$N$1000,"",0)+_xlfn.XLOOKUP(E25,lookups_s60!$L$4:$L$1000,lookups_s60!$O$4:$O$1000,"",0)),"")</f>
        <v/>
      </c>
      <c r="X25" s="20" t="str">
        <f>IF(_xlfn.XLOOKUP(E25,lookups_s60!$L$4:$L$1000,lookups_s60!$R$4:$R$1000,"",0)=0, "", D25*_xlfn.XLOOKUP(E25,lookups_s60!$L$4:$L$1000,lookups_s60!$R$4:$R$1000,"",0))</f>
        <v/>
      </c>
      <c r="Y25" s="22" t="str" cm="1">
        <f t="array" ref="Y25">IFERROR(_xlfn.IFS(OR(E25="Double Awning (Horizontal)", E25="Double Awning (Vertical)", E25="Triple Awning (Horizontal)", E25="Triple Awning (Vertical)", E25="Double Casement"), ((K25-_xlfn.XLOOKUP(E25,lookups_s60!$L$4:$L$1000,lookups_s60!$P$4:$P$1000,"",0)-36)/2)+_xlfn.XLOOKUP(E25,lookups_s60!$L$4:$L$1000,lookups_s60!$Q$4:$Q$1000,"",0), E25="Triple Casement",((K25-_xlfn.XLOOKUP(E25,lookups_s60!$L$4:$L$1000,lookups_s60!$P$4:$P$1000,"",0)-36-36)/3)+_xlfn.XLOOKUP(E25,lookups_s60!$L$4:$L$1000,lookups_s60!$Q$4:$Q$1000,"",0),V25&lt;&gt;"",K25-_xlfn.XLOOKUP(E25,lookups_s60!$L$4:$L$1000,lookups_s60!$P$4:$P$1000,"",0)+_xlfn.XLOOKUP(E25,lookups_s60!$L$4:$L$1000,lookups_s60!$Q$4:$Q$1000,"",0)),"")</f>
        <v/>
      </c>
      <c r="Z25" s="20" t="str">
        <f>IF(_xlfn.XLOOKUP(E25,lookups_s60!$L$4:$L$1000,lookups_s60!$R$4:$R$1000,"",0)=0, "", D25*_xlfn.XLOOKUP(E25,lookups_s60!$L$4:$L$1000,lookups_s60!$R$4:$R$1000,"",0))</f>
        <v/>
      </c>
      <c r="AB25" s="20" t="str" cm="1">
        <f t="array" ref="AB25">IFERROR(_xlfn.IFS(OR(E25="Fix", E25="Double Fix"),J25-_xlfn.XLOOKUP(E25,lookups_s60!$U$4:$U$1000,lookups_s60!$V$4:$V$1000,"",0),OR(E25="Fix Awning (Vertical)", E25="Fix Awning (Horizontal)"),(J25-_xlfn.XLOOKUP(E25,lookups_s60!$U$4:$U$1000,lookups_s60!$V$4:$V$1000,"",0)-40)/2),"")</f>
        <v/>
      </c>
      <c r="AC25" s="20" t="str">
        <f>IF(_xlfn.XLOOKUP(E25,lookups_s60!$U$4:$U$1000,lookups_s60!$X$4:$X$1000,"",0)=0,"",D25*_xlfn.XLOOKUP(E25,lookups_s60!$U$4:$U$1000,lookups_s60!$X$4:$X$1000,"",0))</f>
        <v/>
      </c>
      <c r="AD25" s="20" t="str">
        <f>IF(OR(E25="Fix", E25="Double Fix", E25="Fix Awning (Vertical)", E25="Fix Awning (Horizontal)"), K25-_xlfn.XLOOKUP(E25,lookups_s60!$U$4:$U$1000,lookups_s60!$W$4:$W$1000,"",0), "")</f>
        <v/>
      </c>
      <c r="AE25" s="20" t="str">
        <f>IF(_xlfn.XLOOKUP(E25,lookups_s60!$U$4:$U$1000,lookups_s60!$X$4:$X$1000,"",0)=0,"",D25*_xlfn.XLOOKUP(E25,lookups_s60!$U$4:$U$1000,lookups_s60!$Y$4:$Y$1000,"",0))</f>
        <v/>
      </c>
      <c r="AG25" s="24" t="str">
        <f>IF(W25&lt;&gt;"", W25-_xlfn.XLOOKUP(E25,lookups_s60!$U$4:$U$1000,lookups_s60!$Z$4:$Z$1000,"",0)-IF(E25="Awning", 5,0),"")</f>
        <v/>
      </c>
      <c r="AH25" s="20" t="str">
        <f>IF(_xlfn.XLOOKUP(E25,lookups_s60!$U$4:$U$1000,lookups_s60!$AB$4:$AB$1000,"",0)=0,"",D25*_xlfn.XLOOKUP(E25,lookups_s60!$U$4:$U$1000,lookups_s60!$AB$4:$AB$1000,"",0))</f>
        <v/>
      </c>
      <c r="AI25" s="22" t="str">
        <f>IF(Y25&lt;&gt;"", Y25-_xlfn.XLOOKUP(E25,lookups_s60!$U$4:$U$1000,lookups_s60!$AA$4:$AA$1000,"",0),"")</f>
        <v/>
      </c>
      <c r="AJ25" s="20" t="str">
        <f>IF(_xlfn.XLOOKUP(E25,lookups_s60!$U$4:$U$1000,lookups_s60!$AC$4:$AC$1000,"",0)=0,"",D25*_xlfn.XLOOKUP(E25,lookups_s60!$U$4:$U$1000,lookups_s60!$AC$4:$AC$1000,"",0))</f>
        <v/>
      </c>
      <c r="AL25" s="20" t="str">
        <f>IF(C25&lt;&gt;"", N25-_xlfn.XLOOKUP(E25,lookups_s60!$AF$4:$AF$1000,lookups_s60!$AG$4:$AG$1000,"",0),"")</f>
        <v/>
      </c>
      <c r="AM25" s="20" t="str">
        <f>IF(_xlfn.XLOOKUP(E25,lookups_s60!$AF$4:$AF$1000,lookups_s60!$AH$4:$AH$1000,"",0)=0,"",D25*_xlfn.XLOOKUP(E25,lookups_s60!$AF$4:$AF$1000,lookups_s60!$AH$4:$AH$1000,"",0))</f>
        <v/>
      </c>
      <c r="AN25" s="20" t="str">
        <f>IF(C25&lt;&gt;"", P25-_xlfn.XLOOKUP(E25,lookups_s60!$AF$4:$AF$1000,lookups_s60!$AG$4:$AG$1000,"",0),"")</f>
        <v/>
      </c>
      <c r="AO25" s="20" t="str">
        <f>IFERROR(IF(_xlfn.XLOOKUP(E25,lookups_s60!$AF$4:$AF$1000,lookups_s60!$AI$4:$AI$1000,"",0)=0,"",D25*_xlfn.XLOOKUP(E25,lookups_s60!$AF$4:$AF$1000,lookups_s60!$AI$4:$AI$1000,"",0)),"")</f>
        <v/>
      </c>
      <c r="AQ25" s="20" t="str">
        <f>IF(W25&lt;&gt;"", W25-_xlfn.XLOOKUP(E25,lookups_s60!$AF$4:$AF$1000,lookups_s60!$AJ$4:$AJ$1000,"",0),"")</f>
        <v/>
      </c>
      <c r="AR25" s="20" t="str">
        <f>IFERROR(IF(_xlfn.XLOOKUP(E25,lookups_s60!$AF$4:$AF$1000,lookups_s60!$AK$4:$AK$1000,"",0)=0,"",D25*_xlfn.XLOOKUP(E25,lookups_s60!$AF$4:$AF$1000,lookups_s60!$AK$4:$AK$1000,"",0)),"")</f>
        <v/>
      </c>
      <c r="AS25" s="20" t="str">
        <f>IF(Y25&lt;&gt;"", Y25-_xlfn.XLOOKUP(E25,lookups_s60!$AF$4:$AF$1000,lookups_s60!$AJ$4:$AJ$1000,"",0),"")</f>
        <v/>
      </c>
      <c r="AT25" s="20" t="str">
        <f>IFERROR(IF(_xlfn.XLOOKUP(E25,lookups_s60!$AF$4:$AF$1000,lookups_s60!$AL$4:$AL$1000,"",0)=0,"",D25*_xlfn.XLOOKUP(E25,lookups_s60!$AF$4:$AF$1000,lookups_s60!$AL$4:$AL$1000,"",0)),"")</f>
        <v/>
      </c>
      <c r="AV25" s="20" t="str">
        <f>IF(S25&lt;&gt;"", S25-_xlfn.XLOOKUP(E25,lookups_s60!$AF$4:$AF$1000,lookups_s60!$AM$4:$AM$1000,"",0),"")</f>
        <v/>
      </c>
      <c r="AW25" s="20" t="str">
        <f>IFERROR(IF(_xlfn.XLOOKUP(E25,lookups_s60!$AF$4:$AF$1000,lookups_s60!$AN$4:$AN$1000,"",0)=0,"",D25*_xlfn.XLOOKUP(E25,lookups_s60!$AF$4:$AF$1000,lookups_s60!$AN$4:$AN$1000,"",0)),"")</f>
        <v/>
      </c>
      <c r="AY25" s="20" t="str" cm="1">
        <f t="array" ref="AY25">IFERROR(_xlfn.IFS(E25="Fix", J25-_xlfn.XLOOKUP(E25,lookups_s60!$AQ$4:$AQ$1000,lookups_s60!$AR$4:$AR$1000,"",0)-_xlfn.XLOOKUP(E25,lookups_s60!$AQ$4:$AQ$1000,lookups_s60!$AS$4:$AS$1000,"",0), E25="Double Fix", (J25-_xlfn.XLOOKUP(E25,lookups_s60!$AQ$4:$AQ$1000,lookups_s60!$AR$4:$AR$1000,"",0)-_xlfn.XLOOKUP(E25,lookups_s60!$G$4:$G$1000,lookups_s60!$H$4:$H$1000,"",0))/2-_xlfn.XLOOKUP(E25,lookups_s60!$AQ$4:$AQ$1000,lookups_s60!$AS$4:$AS$1000,"",0), OR(E25="Fix Awning (Vertical)",E25="Fix Awning (Horizontal)"),  (J25-_xlfn.XLOOKUP(E25,lookups_s60!$AQ$4:$AQ$1000,lookups_s60!$AR$4:$AR$1000,"",0)-40)/2-_xlfn.XLOOKUP(E25,lookups_s60!$AQ$4:$AQ$1000,lookups_s60!$AS$4:$AS$1000,"",0)),"")</f>
        <v/>
      </c>
      <c r="AZ25" s="20" t="str">
        <f>IFERROR(IF(C25&lt;&gt;"", K25-_xlfn.XLOOKUP(E25,lookups_s60!$AQ$4:$AQ$1000,lookups_s60!$AT$4:$AT$1000,"",0)-_xlfn.XLOOKUP(E25,lookups_s60!$AQ$4:$AQ$1000,lookups_s60!$AU$4:$AU$1000,"",0),""),"")</f>
        <v/>
      </c>
      <c r="BA25" s="20" t="str">
        <f t="shared" si="2"/>
        <v/>
      </c>
      <c r="BC25" s="20" t="str" cm="1">
        <f t="array" ref="BC25">IFERROR(_xlfn.IFS(E25="Awning",AQ25-_xlfn.XLOOKUP(E25,lookups_s60!$AQ$4:$AQ$1000,lookups_s60!$AV$4:$AV$1000,"",0)-_xlfn.XLOOKUP(E25,lookups_s60!$AQ$4:$AQ$1000,lookups_s60!$AW$4:$AW$1000,"",0),C25&lt;&gt;"",W25-_xlfn.XLOOKUP(E25,lookups_s60!$AQ$4:$AQ$1000,lookups_s60!$AV$4:$AV$1000,"",0)-_xlfn.XLOOKUP(E25,lookups_s60!$AQ$4:$AQ$1000,lookups_s60!$AW$4:$AW$1000,"",0)),"")</f>
        <v/>
      </c>
      <c r="BD25" s="20" t="str" cm="1">
        <f t="array" ref="BD25">IFERROR(_xlfn.IFS(E25="Awning",AS25-_xlfn.XLOOKUP(E25,lookups_s60!$AQ$4:$AQ$1000,lookups_s60!$AX$4:$AX$1000,"",0)-_xlfn.XLOOKUP(E25,lookups_s60!$AQ$4:$AQ$1000,lookups_s60!$AY$4:$AY$1000,"",0),C25&lt;&gt;"",Y25-_xlfn.XLOOKUP(E25,lookups_s60!$AQ$4:$AQ$1000,lookups_s60!$AX$4:$AX$1000,"",0)-_xlfn.XLOOKUP(E25,lookups_s60!$AQ$4:$AQ$1000,lookups_s60!$AY$4:$AY$1000,"",0)),"")</f>
        <v/>
      </c>
      <c r="BE25" s="20" t="str">
        <f>IF(BC25&lt;&gt;"", _xlfn.XLOOKUP(E25,lookups_s60!$AQ$4:$AQ$1000,lookups_s60!$AZ$4:$AZ$1000,"",0)*D25,"")</f>
        <v/>
      </c>
      <c r="BG25" s="20" t="str">
        <f t="shared" si="3"/>
        <v/>
      </c>
      <c r="BH25" s="22" t="str">
        <f t="shared" si="4"/>
        <v/>
      </c>
      <c r="BI25" s="20" t="str">
        <f t="shared" si="5"/>
        <v/>
      </c>
      <c r="BJ25" s="20" t="str">
        <f t="shared" si="6"/>
        <v/>
      </c>
      <c r="BK25" s="20" t="str">
        <f t="shared" si="7"/>
        <v/>
      </c>
    </row>
    <row r="26" spans="3:63" x14ac:dyDescent="0.25">
      <c r="C26" s="16"/>
      <c r="D26" s="16"/>
      <c r="E26" s="16"/>
      <c r="F26" s="16"/>
      <c r="G26" s="16"/>
      <c r="H26" s="16"/>
      <c r="I26" s="16"/>
      <c r="J26" s="16"/>
      <c r="K26" s="16"/>
      <c r="M26" s="20" t="str">
        <f t="shared" si="0"/>
        <v/>
      </c>
      <c r="N26" s="20" t="str" cm="1">
        <f t="array" ref="N26">IFERROR(_xlfn.IFS(OR(E26="Fix Awning (Vertical)", E26="Fix Awning (Horizontal)"), J26/2+20,C26&lt;&gt;"", J26+M26),"")</f>
        <v/>
      </c>
      <c r="O26" s="20" t="str">
        <f>IF(D26&lt;&gt;"", D26*_xlfn.XLOOKUP(E26,lookups_s60!$B$4:$B$1000,lookups_s60!$C$4:$C$1000,"",0),"")</f>
        <v/>
      </c>
      <c r="P26" s="20" t="str">
        <f t="shared" si="1"/>
        <v/>
      </c>
      <c r="Q26" s="20" t="str">
        <f>IF(D26&lt;&gt;"", D26*_xlfn.XLOOKUP(E26,lookups_s60!$B$4:$B$1000,lookups_s60!$D$4:$D$1000,"",0),"")</f>
        <v/>
      </c>
      <c r="S26" s="20" t="str" cm="1">
        <f t="array" ref="S26">IFERROR(_xlfn.IFS(E26="Double Fix",K26+_xlfn.XLOOKUP(E26,lookups_s60!$G$4:$G$1000,lookups_s60!$H$4:$H$1000,"",0), OR(E26="Double Awning (Horizontal)", E26="Double Awning (Vertical)",E26="Triple Awning (Horizontal)", E26="Triple Awning (Vertical)"), J26+_xlfn.XLOOKUP(E26,lookups_s60!$G$4:$G$1000,lookups_s60!$H$4:$H$1000,"",0), E26="Double Casement", J26+_xlfn.XLOOKUP(E26,lookups_s60!$G$4:$G$1000,lookups_s60!$H$4:$H$1000,"",0), OR(E26="Fix Awning (Vertical)", E26="Fix Awning (Horizontal)"), K26+_xlfn.XLOOKUP(E26,lookups_s60!$G$4:$G$1000,lookups_s60!$H$4:$H$1000,"",0), E26="Triple Casement", J26+_xlfn.XLOOKUP(E26,lookups_s60!$G$4:$G$1000,lookups_s60!$H$4:$H$1000,"",0)),"")</f>
        <v/>
      </c>
      <c r="T26" s="20" t="str">
        <f>IF(S26&lt;&gt;"",D26*_xlfn.XLOOKUP(E26,lookups_s60!$G$4:$G$1000,lookups_s60!$I$4:$I$1000,"",0),"")</f>
        <v/>
      </c>
      <c r="V26" s="20" t="str">
        <f>IF(_xlfn.XLOOKUP(E26,lookups_s60!$L$4:$L$1000,lookups_s60!$M$4:$M$1000,"",0)=0, "", _xlfn.XLOOKUP(E26,lookups_s60!$L$4:$L$1000,lookups_s60!$M$4:$M$1000,"",0))</f>
        <v/>
      </c>
      <c r="W26" s="20" t="str" cm="1">
        <f t="array" ref="W26">IFERROR(_xlfn.IFS(OR(E26="Fix Awning (Vertical)",E26="Fix Awning (Vertical)"),   ((J26-_xlfn.XLOOKUP(E26,lookups_s60!$L$4:$L$1000,lookups_s60!$N$4:$N$1000,"",0)-40)/2)+_xlfn.XLOOKUP(E26,lookups_s60!$L$4:$L$1000,lookups_s60!$O$4:$O$1000,"",0), V26&lt;&gt;"", J26-_xlfn.XLOOKUP(E26,lookups_s60!$L$4:$L$1000,lookups_s60!$N$4:$N$1000,"",0)+_xlfn.XLOOKUP(E26,lookups_s60!$L$4:$L$1000,lookups_s60!$O$4:$O$1000,"",0)),"")</f>
        <v/>
      </c>
      <c r="X26" s="20" t="str">
        <f>IF(_xlfn.XLOOKUP(E26,lookups_s60!$L$4:$L$1000,lookups_s60!$R$4:$R$1000,"",0)=0, "", D26*_xlfn.XLOOKUP(E26,lookups_s60!$L$4:$L$1000,lookups_s60!$R$4:$R$1000,"",0))</f>
        <v/>
      </c>
      <c r="Y26" s="22" t="str" cm="1">
        <f t="array" ref="Y26">IFERROR(_xlfn.IFS(OR(E26="Double Awning (Horizontal)", E26="Double Awning (Vertical)", E26="Triple Awning (Horizontal)", E26="Triple Awning (Vertical)", E26="Double Casement"), ((K26-_xlfn.XLOOKUP(E26,lookups_s60!$L$4:$L$1000,lookups_s60!$P$4:$P$1000,"",0)-36)/2)+_xlfn.XLOOKUP(E26,lookups_s60!$L$4:$L$1000,lookups_s60!$Q$4:$Q$1000,"",0), E26="Triple Casement",((K26-_xlfn.XLOOKUP(E26,lookups_s60!$L$4:$L$1000,lookups_s60!$P$4:$P$1000,"",0)-36-36)/3)+_xlfn.XLOOKUP(E26,lookups_s60!$L$4:$L$1000,lookups_s60!$Q$4:$Q$1000,"",0),V26&lt;&gt;"",K26-_xlfn.XLOOKUP(E26,lookups_s60!$L$4:$L$1000,lookups_s60!$P$4:$P$1000,"",0)+_xlfn.XLOOKUP(E26,lookups_s60!$L$4:$L$1000,lookups_s60!$Q$4:$Q$1000,"",0)),"")</f>
        <v/>
      </c>
      <c r="Z26" s="20" t="str">
        <f>IF(_xlfn.XLOOKUP(E26,lookups_s60!$L$4:$L$1000,lookups_s60!$R$4:$R$1000,"",0)=0, "", D26*_xlfn.XLOOKUP(E26,lookups_s60!$L$4:$L$1000,lookups_s60!$R$4:$R$1000,"",0))</f>
        <v/>
      </c>
      <c r="AB26" s="20" t="str" cm="1">
        <f t="array" ref="AB26">IFERROR(_xlfn.IFS(OR(E26="Fix", E26="Double Fix"),J26-_xlfn.XLOOKUP(E26,lookups_s60!$U$4:$U$1000,lookups_s60!$V$4:$V$1000,"",0),OR(E26="Fix Awning (Vertical)", E26="Fix Awning (Horizontal)"),(J26-_xlfn.XLOOKUP(E26,lookups_s60!$U$4:$U$1000,lookups_s60!$V$4:$V$1000,"",0)-40)/2),"")</f>
        <v/>
      </c>
      <c r="AC26" s="20" t="str">
        <f>IF(_xlfn.XLOOKUP(E26,lookups_s60!$U$4:$U$1000,lookups_s60!$X$4:$X$1000,"",0)=0,"",D26*_xlfn.XLOOKUP(E26,lookups_s60!$U$4:$U$1000,lookups_s60!$X$4:$X$1000,"",0))</f>
        <v/>
      </c>
      <c r="AD26" s="20" t="str">
        <f>IF(OR(E26="Fix", E26="Double Fix", E26="Fix Awning (Vertical)", E26="Fix Awning (Horizontal)"), K26-_xlfn.XLOOKUP(E26,lookups_s60!$U$4:$U$1000,lookups_s60!$W$4:$W$1000,"",0), "")</f>
        <v/>
      </c>
      <c r="AE26" s="20" t="str">
        <f>IF(_xlfn.XLOOKUP(E26,lookups_s60!$U$4:$U$1000,lookups_s60!$X$4:$X$1000,"",0)=0,"",D26*_xlfn.XLOOKUP(E26,lookups_s60!$U$4:$U$1000,lookups_s60!$Y$4:$Y$1000,"",0))</f>
        <v/>
      </c>
      <c r="AG26" s="24" t="str">
        <f>IF(W26&lt;&gt;"", W26-_xlfn.XLOOKUP(E26,lookups_s60!$U$4:$U$1000,lookups_s60!$Z$4:$Z$1000,"",0)-IF(E26="Awning", 5,0),"")</f>
        <v/>
      </c>
      <c r="AH26" s="20" t="str">
        <f>IF(_xlfn.XLOOKUP(E26,lookups_s60!$U$4:$U$1000,lookups_s60!$AB$4:$AB$1000,"",0)=0,"",D26*_xlfn.XLOOKUP(E26,lookups_s60!$U$4:$U$1000,lookups_s60!$AB$4:$AB$1000,"",0))</f>
        <v/>
      </c>
      <c r="AI26" s="22" t="str">
        <f>IF(Y26&lt;&gt;"", Y26-_xlfn.XLOOKUP(E26,lookups_s60!$U$4:$U$1000,lookups_s60!$AA$4:$AA$1000,"",0),"")</f>
        <v/>
      </c>
      <c r="AJ26" s="20" t="str">
        <f>IF(_xlfn.XLOOKUP(E26,lookups_s60!$U$4:$U$1000,lookups_s60!$AC$4:$AC$1000,"",0)=0,"",D26*_xlfn.XLOOKUP(E26,lookups_s60!$U$4:$U$1000,lookups_s60!$AC$4:$AC$1000,"",0))</f>
        <v/>
      </c>
      <c r="AL26" s="20" t="str">
        <f>IF(C26&lt;&gt;"", N26-_xlfn.XLOOKUP(E26,lookups_s60!$AF$4:$AF$1000,lookups_s60!$AG$4:$AG$1000,"",0),"")</f>
        <v/>
      </c>
      <c r="AM26" s="20" t="str">
        <f>IF(_xlfn.XLOOKUP(E26,lookups_s60!$AF$4:$AF$1000,lookups_s60!$AH$4:$AH$1000,"",0)=0,"",D26*_xlfn.XLOOKUP(E26,lookups_s60!$AF$4:$AF$1000,lookups_s60!$AH$4:$AH$1000,"",0))</f>
        <v/>
      </c>
      <c r="AN26" s="20" t="str">
        <f>IF(C26&lt;&gt;"", P26-_xlfn.XLOOKUP(E26,lookups_s60!$AF$4:$AF$1000,lookups_s60!$AG$4:$AG$1000,"",0),"")</f>
        <v/>
      </c>
      <c r="AO26" s="20" t="str">
        <f>IFERROR(IF(_xlfn.XLOOKUP(E26,lookups_s60!$AF$4:$AF$1000,lookups_s60!$AI$4:$AI$1000,"",0)=0,"",D26*_xlfn.XLOOKUP(E26,lookups_s60!$AF$4:$AF$1000,lookups_s60!$AI$4:$AI$1000,"",0)),"")</f>
        <v/>
      </c>
      <c r="AQ26" s="20" t="str">
        <f>IF(W26&lt;&gt;"", W26-_xlfn.XLOOKUP(E26,lookups_s60!$AF$4:$AF$1000,lookups_s60!$AJ$4:$AJ$1000,"",0),"")</f>
        <v/>
      </c>
      <c r="AR26" s="20" t="str">
        <f>IFERROR(IF(_xlfn.XLOOKUP(E26,lookups_s60!$AF$4:$AF$1000,lookups_s60!$AK$4:$AK$1000,"",0)=0,"",D26*_xlfn.XLOOKUP(E26,lookups_s60!$AF$4:$AF$1000,lookups_s60!$AK$4:$AK$1000,"",0)),"")</f>
        <v/>
      </c>
      <c r="AS26" s="20" t="str">
        <f>IF(Y26&lt;&gt;"", Y26-_xlfn.XLOOKUP(E26,lookups_s60!$AF$4:$AF$1000,lookups_s60!$AJ$4:$AJ$1000,"",0),"")</f>
        <v/>
      </c>
      <c r="AT26" s="20" t="str">
        <f>IFERROR(IF(_xlfn.XLOOKUP(E26,lookups_s60!$AF$4:$AF$1000,lookups_s60!$AL$4:$AL$1000,"",0)=0,"",D26*_xlfn.XLOOKUP(E26,lookups_s60!$AF$4:$AF$1000,lookups_s60!$AL$4:$AL$1000,"",0)),"")</f>
        <v/>
      </c>
      <c r="AV26" s="20" t="str">
        <f>IF(S26&lt;&gt;"", S26-_xlfn.XLOOKUP(E26,lookups_s60!$AF$4:$AF$1000,lookups_s60!$AM$4:$AM$1000,"",0),"")</f>
        <v/>
      </c>
      <c r="AW26" s="20" t="str">
        <f>IFERROR(IF(_xlfn.XLOOKUP(E26,lookups_s60!$AF$4:$AF$1000,lookups_s60!$AN$4:$AN$1000,"",0)=0,"",D26*_xlfn.XLOOKUP(E26,lookups_s60!$AF$4:$AF$1000,lookups_s60!$AN$4:$AN$1000,"",0)),"")</f>
        <v/>
      </c>
      <c r="AY26" s="20" t="str" cm="1">
        <f t="array" ref="AY26">IFERROR(_xlfn.IFS(E26="Fix", J26-_xlfn.XLOOKUP(E26,lookups_s60!$AQ$4:$AQ$1000,lookups_s60!$AR$4:$AR$1000,"",0)-_xlfn.XLOOKUP(E26,lookups_s60!$AQ$4:$AQ$1000,lookups_s60!$AS$4:$AS$1000,"",0), E26="Double Fix", (J26-_xlfn.XLOOKUP(E26,lookups_s60!$AQ$4:$AQ$1000,lookups_s60!$AR$4:$AR$1000,"",0)-_xlfn.XLOOKUP(E26,lookups_s60!$G$4:$G$1000,lookups_s60!$H$4:$H$1000,"",0))/2-_xlfn.XLOOKUP(E26,lookups_s60!$AQ$4:$AQ$1000,lookups_s60!$AS$4:$AS$1000,"",0), OR(E26="Fix Awning (Vertical)",E26="Fix Awning (Horizontal)"),  (J26-_xlfn.XLOOKUP(E26,lookups_s60!$AQ$4:$AQ$1000,lookups_s60!$AR$4:$AR$1000,"",0)-40)/2-_xlfn.XLOOKUP(E26,lookups_s60!$AQ$4:$AQ$1000,lookups_s60!$AS$4:$AS$1000,"",0)),"")</f>
        <v/>
      </c>
      <c r="AZ26" s="20" t="str">
        <f>IFERROR(IF(C26&lt;&gt;"", K26-_xlfn.XLOOKUP(E26,lookups_s60!$AQ$4:$AQ$1000,lookups_s60!$AT$4:$AT$1000,"",0)-_xlfn.XLOOKUP(E26,lookups_s60!$AQ$4:$AQ$1000,lookups_s60!$AU$4:$AU$1000,"",0),""),"")</f>
        <v/>
      </c>
      <c r="BA26" s="20" t="str">
        <f t="shared" si="2"/>
        <v/>
      </c>
      <c r="BC26" s="20" t="str" cm="1">
        <f t="array" ref="BC26">IFERROR(_xlfn.IFS(E26="Awning",AQ26-_xlfn.XLOOKUP(E26,lookups_s60!$AQ$4:$AQ$1000,lookups_s60!$AV$4:$AV$1000,"",0)-_xlfn.XLOOKUP(E26,lookups_s60!$AQ$4:$AQ$1000,lookups_s60!$AW$4:$AW$1000,"",0),C26&lt;&gt;"",W26-_xlfn.XLOOKUP(E26,lookups_s60!$AQ$4:$AQ$1000,lookups_s60!$AV$4:$AV$1000,"",0)-_xlfn.XLOOKUP(E26,lookups_s60!$AQ$4:$AQ$1000,lookups_s60!$AW$4:$AW$1000,"",0)),"")</f>
        <v/>
      </c>
      <c r="BD26" s="20" t="str" cm="1">
        <f t="array" ref="BD26">IFERROR(_xlfn.IFS(E26="Awning",AS26-_xlfn.XLOOKUP(E26,lookups_s60!$AQ$4:$AQ$1000,lookups_s60!$AX$4:$AX$1000,"",0)-_xlfn.XLOOKUP(E26,lookups_s60!$AQ$4:$AQ$1000,lookups_s60!$AY$4:$AY$1000,"",0),C26&lt;&gt;"",Y26-_xlfn.XLOOKUP(E26,lookups_s60!$AQ$4:$AQ$1000,lookups_s60!$AX$4:$AX$1000,"",0)-_xlfn.XLOOKUP(E26,lookups_s60!$AQ$4:$AQ$1000,lookups_s60!$AY$4:$AY$1000,"",0)),"")</f>
        <v/>
      </c>
      <c r="BE26" s="20" t="str">
        <f>IF(BC26&lt;&gt;"", _xlfn.XLOOKUP(E26,lookups_s60!$AQ$4:$AQ$1000,lookups_s60!$AZ$4:$AZ$1000,"",0)*D26,"")</f>
        <v/>
      </c>
      <c r="BG26" s="20" t="str">
        <f t="shared" si="3"/>
        <v/>
      </c>
      <c r="BH26" s="22" t="str">
        <f t="shared" si="4"/>
        <v/>
      </c>
      <c r="BI26" s="20" t="str">
        <f t="shared" si="5"/>
        <v/>
      </c>
      <c r="BJ26" s="20" t="str">
        <f t="shared" si="6"/>
        <v/>
      </c>
      <c r="BK26" s="20" t="str">
        <f t="shared" si="7"/>
        <v/>
      </c>
    </row>
    <row r="27" spans="3:63" x14ac:dyDescent="0.25">
      <c r="C27" s="16"/>
      <c r="D27" s="16"/>
      <c r="E27" s="16"/>
      <c r="F27" s="16"/>
      <c r="G27" s="16"/>
      <c r="H27" s="16"/>
      <c r="I27" s="16"/>
      <c r="J27" s="16"/>
      <c r="K27" s="16"/>
      <c r="M27" s="20" t="str">
        <f t="shared" si="0"/>
        <v/>
      </c>
      <c r="N27" s="20" t="str" cm="1">
        <f t="array" ref="N27">IFERROR(_xlfn.IFS(OR(E27="Fix Awning (Vertical)", E27="Fix Awning (Horizontal)"), J27/2+20,C27&lt;&gt;"", J27+M27),"")</f>
        <v/>
      </c>
      <c r="O27" s="20" t="str">
        <f>IF(D27&lt;&gt;"", D27*_xlfn.XLOOKUP(E27,lookups_s60!$B$4:$B$1000,lookups_s60!$C$4:$C$1000,"",0),"")</f>
        <v/>
      </c>
      <c r="P27" s="20" t="str">
        <f t="shared" si="1"/>
        <v/>
      </c>
      <c r="Q27" s="20" t="str">
        <f>IF(D27&lt;&gt;"", D27*_xlfn.XLOOKUP(E27,lookups_s60!$B$4:$B$1000,lookups_s60!$D$4:$D$1000,"",0),"")</f>
        <v/>
      </c>
      <c r="S27" s="20" t="str" cm="1">
        <f t="array" ref="S27">IFERROR(_xlfn.IFS(E27="Double Fix",K27+_xlfn.XLOOKUP(E27,lookups_s60!$G$4:$G$1000,lookups_s60!$H$4:$H$1000,"",0), OR(E27="Double Awning (Horizontal)", E27="Double Awning (Vertical)",E27="Triple Awning (Horizontal)", E27="Triple Awning (Vertical)"), J27+_xlfn.XLOOKUP(E27,lookups_s60!$G$4:$G$1000,lookups_s60!$H$4:$H$1000,"",0), E27="Double Casement", J27+_xlfn.XLOOKUP(E27,lookups_s60!$G$4:$G$1000,lookups_s60!$H$4:$H$1000,"",0), OR(E27="Fix Awning (Vertical)", E27="Fix Awning (Horizontal)"), K27+_xlfn.XLOOKUP(E27,lookups_s60!$G$4:$G$1000,lookups_s60!$H$4:$H$1000,"",0), E27="Triple Casement", J27+_xlfn.XLOOKUP(E27,lookups_s60!$G$4:$G$1000,lookups_s60!$H$4:$H$1000,"",0)),"")</f>
        <v/>
      </c>
      <c r="T27" s="20" t="str">
        <f>IF(S27&lt;&gt;"",D27*_xlfn.XLOOKUP(E27,lookups_s60!$G$4:$G$1000,lookups_s60!$I$4:$I$1000,"",0),"")</f>
        <v/>
      </c>
      <c r="V27" s="20" t="str">
        <f>IF(_xlfn.XLOOKUP(E27,lookups_s60!$L$4:$L$1000,lookups_s60!$M$4:$M$1000,"",0)=0, "", _xlfn.XLOOKUP(E27,lookups_s60!$L$4:$L$1000,lookups_s60!$M$4:$M$1000,"",0))</f>
        <v/>
      </c>
      <c r="W27" s="20" t="str" cm="1">
        <f t="array" ref="W27">IFERROR(_xlfn.IFS(OR(E27="Fix Awning (Vertical)",E27="Fix Awning (Vertical)"),   ((J27-_xlfn.XLOOKUP(E27,lookups_s60!$L$4:$L$1000,lookups_s60!$N$4:$N$1000,"",0)-40)/2)+_xlfn.XLOOKUP(E27,lookups_s60!$L$4:$L$1000,lookups_s60!$O$4:$O$1000,"",0), V27&lt;&gt;"", J27-_xlfn.XLOOKUP(E27,lookups_s60!$L$4:$L$1000,lookups_s60!$N$4:$N$1000,"",0)+_xlfn.XLOOKUP(E27,lookups_s60!$L$4:$L$1000,lookups_s60!$O$4:$O$1000,"",0)),"")</f>
        <v/>
      </c>
      <c r="X27" s="20" t="str">
        <f>IF(_xlfn.XLOOKUP(E27,lookups_s60!$L$4:$L$1000,lookups_s60!$R$4:$R$1000,"",0)=0, "", D27*_xlfn.XLOOKUP(E27,lookups_s60!$L$4:$L$1000,lookups_s60!$R$4:$R$1000,"",0))</f>
        <v/>
      </c>
      <c r="Y27" s="22" t="str" cm="1">
        <f t="array" ref="Y27">IFERROR(_xlfn.IFS(OR(E27="Double Awning (Horizontal)", E27="Double Awning (Vertical)", E27="Triple Awning (Horizontal)", E27="Triple Awning (Vertical)", E27="Double Casement"), ((K27-_xlfn.XLOOKUP(E27,lookups_s60!$L$4:$L$1000,lookups_s60!$P$4:$P$1000,"",0)-36)/2)+_xlfn.XLOOKUP(E27,lookups_s60!$L$4:$L$1000,lookups_s60!$Q$4:$Q$1000,"",0), E27="Triple Casement",((K27-_xlfn.XLOOKUP(E27,lookups_s60!$L$4:$L$1000,lookups_s60!$P$4:$P$1000,"",0)-36-36)/3)+_xlfn.XLOOKUP(E27,lookups_s60!$L$4:$L$1000,lookups_s60!$Q$4:$Q$1000,"",0),V27&lt;&gt;"",K27-_xlfn.XLOOKUP(E27,lookups_s60!$L$4:$L$1000,lookups_s60!$P$4:$P$1000,"",0)+_xlfn.XLOOKUP(E27,lookups_s60!$L$4:$L$1000,lookups_s60!$Q$4:$Q$1000,"",0)),"")</f>
        <v/>
      </c>
      <c r="Z27" s="20" t="str">
        <f>IF(_xlfn.XLOOKUP(E27,lookups_s60!$L$4:$L$1000,lookups_s60!$R$4:$R$1000,"",0)=0, "", D27*_xlfn.XLOOKUP(E27,lookups_s60!$L$4:$L$1000,lookups_s60!$R$4:$R$1000,"",0))</f>
        <v/>
      </c>
      <c r="AB27" s="20" t="str" cm="1">
        <f t="array" ref="AB27">IFERROR(_xlfn.IFS(OR(E27="Fix", E27="Double Fix"),J27-_xlfn.XLOOKUP(E27,lookups_s60!$U$4:$U$1000,lookups_s60!$V$4:$V$1000,"",0),OR(E27="Fix Awning (Vertical)", E27="Fix Awning (Horizontal)"),(J27-_xlfn.XLOOKUP(E27,lookups_s60!$U$4:$U$1000,lookups_s60!$V$4:$V$1000,"",0)-40)/2),"")</f>
        <v/>
      </c>
      <c r="AC27" s="20" t="str">
        <f>IF(_xlfn.XLOOKUP(E27,lookups_s60!$U$4:$U$1000,lookups_s60!$X$4:$X$1000,"",0)=0,"",D27*_xlfn.XLOOKUP(E27,lookups_s60!$U$4:$U$1000,lookups_s60!$X$4:$X$1000,"",0))</f>
        <v/>
      </c>
      <c r="AD27" s="20" t="str">
        <f>IF(OR(E27="Fix", E27="Double Fix", E27="Fix Awning (Vertical)", E27="Fix Awning (Horizontal)"), K27-_xlfn.XLOOKUP(E27,lookups_s60!$U$4:$U$1000,lookups_s60!$W$4:$W$1000,"",0), "")</f>
        <v/>
      </c>
      <c r="AE27" s="20" t="str">
        <f>IF(_xlfn.XLOOKUP(E27,lookups_s60!$U$4:$U$1000,lookups_s60!$X$4:$X$1000,"",0)=0,"",D27*_xlfn.XLOOKUP(E27,lookups_s60!$U$4:$U$1000,lookups_s60!$Y$4:$Y$1000,"",0))</f>
        <v/>
      </c>
      <c r="AG27" s="24" t="str">
        <f>IF(W27&lt;&gt;"", W27-_xlfn.XLOOKUP(E27,lookups_s60!$U$4:$U$1000,lookups_s60!$Z$4:$Z$1000,"",0)-IF(E27="Awning", 5,0),"")</f>
        <v/>
      </c>
      <c r="AH27" s="20" t="str">
        <f>IF(_xlfn.XLOOKUP(E27,lookups_s60!$U$4:$U$1000,lookups_s60!$AB$4:$AB$1000,"",0)=0,"",D27*_xlfn.XLOOKUP(E27,lookups_s60!$U$4:$U$1000,lookups_s60!$AB$4:$AB$1000,"",0))</f>
        <v/>
      </c>
      <c r="AI27" s="22" t="str">
        <f>IF(Y27&lt;&gt;"", Y27-_xlfn.XLOOKUP(E27,lookups_s60!$U$4:$U$1000,lookups_s60!$AA$4:$AA$1000,"",0),"")</f>
        <v/>
      </c>
      <c r="AJ27" s="20" t="str">
        <f>IF(_xlfn.XLOOKUP(E27,lookups_s60!$U$4:$U$1000,lookups_s60!$AC$4:$AC$1000,"",0)=0,"",D27*_xlfn.XLOOKUP(E27,lookups_s60!$U$4:$U$1000,lookups_s60!$AC$4:$AC$1000,"",0))</f>
        <v/>
      </c>
      <c r="AL27" s="20" t="str">
        <f>IF(C27&lt;&gt;"", N27-_xlfn.XLOOKUP(E27,lookups_s60!$AF$4:$AF$1000,lookups_s60!$AG$4:$AG$1000,"",0),"")</f>
        <v/>
      </c>
      <c r="AM27" s="20" t="str">
        <f>IF(_xlfn.XLOOKUP(E27,lookups_s60!$AF$4:$AF$1000,lookups_s60!$AH$4:$AH$1000,"",0)=0,"",D27*_xlfn.XLOOKUP(E27,lookups_s60!$AF$4:$AF$1000,lookups_s60!$AH$4:$AH$1000,"",0))</f>
        <v/>
      </c>
      <c r="AN27" s="20" t="str">
        <f>IF(C27&lt;&gt;"", P27-_xlfn.XLOOKUP(E27,lookups_s60!$AF$4:$AF$1000,lookups_s60!$AG$4:$AG$1000,"",0),"")</f>
        <v/>
      </c>
      <c r="AO27" s="20" t="str">
        <f>IFERROR(IF(_xlfn.XLOOKUP(E27,lookups_s60!$AF$4:$AF$1000,lookups_s60!$AI$4:$AI$1000,"",0)=0,"",D27*_xlfn.XLOOKUP(E27,lookups_s60!$AF$4:$AF$1000,lookups_s60!$AI$4:$AI$1000,"",0)),"")</f>
        <v/>
      </c>
      <c r="AQ27" s="20" t="str">
        <f>IF(W27&lt;&gt;"", W27-_xlfn.XLOOKUP(E27,lookups_s60!$AF$4:$AF$1000,lookups_s60!$AJ$4:$AJ$1000,"",0),"")</f>
        <v/>
      </c>
      <c r="AR27" s="20" t="str">
        <f>IFERROR(IF(_xlfn.XLOOKUP(E27,lookups_s60!$AF$4:$AF$1000,lookups_s60!$AK$4:$AK$1000,"",0)=0,"",D27*_xlfn.XLOOKUP(E27,lookups_s60!$AF$4:$AF$1000,lookups_s60!$AK$4:$AK$1000,"",0)),"")</f>
        <v/>
      </c>
      <c r="AS27" s="20" t="str">
        <f>IF(Y27&lt;&gt;"", Y27-_xlfn.XLOOKUP(E27,lookups_s60!$AF$4:$AF$1000,lookups_s60!$AJ$4:$AJ$1000,"",0),"")</f>
        <v/>
      </c>
      <c r="AT27" s="20" t="str">
        <f>IFERROR(IF(_xlfn.XLOOKUP(E27,lookups_s60!$AF$4:$AF$1000,lookups_s60!$AL$4:$AL$1000,"",0)=0,"",D27*_xlfn.XLOOKUP(E27,lookups_s60!$AF$4:$AF$1000,lookups_s60!$AL$4:$AL$1000,"",0)),"")</f>
        <v/>
      </c>
      <c r="AV27" s="20" t="str">
        <f>IF(S27&lt;&gt;"", S27-_xlfn.XLOOKUP(E27,lookups_s60!$AF$4:$AF$1000,lookups_s60!$AM$4:$AM$1000,"",0),"")</f>
        <v/>
      </c>
      <c r="AW27" s="20" t="str">
        <f>IFERROR(IF(_xlfn.XLOOKUP(E27,lookups_s60!$AF$4:$AF$1000,lookups_s60!$AN$4:$AN$1000,"",0)=0,"",D27*_xlfn.XLOOKUP(E27,lookups_s60!$AF$4:$AF$1000,lookups_s60!$AN$4:$AN$1000,"",0)),"")</f>
        <v/>
      </c>
      <c r="AY27" s="20" t="str" cm="1">
        <f t="array" ref="AY27">IFERROR(_xlfn.IFS(E27="Fix", J27-_xlfn.XLOOKUP(E27,lookups_s60!$AQ$4:$AQ$1000,lookups_s60!$AR$4:$AR$1000,"",0)-_xlfn.XLOOKUP(E27,lookups_s60!$AQ$4:$AQ$1000,lookups_s60!$AS$4:$AS$1000,"",0), E27="Double Fix", (J27-_xlfn.XLOOKUP(E27,lookups_s60!$AQ$4:$AQ$1000,lookups_s60!$AR$4:$AR$1000,"",0)-_xlfn.XLOOKUP(E27,lookups_s60!$G$4:$G$1000,lookups_s60!$H$4:$H$1000,"",0))/2-_xlfn.XLOOKUP(E27,lookups_s60!$AQ$4:$AQ$1000,lookups_s60!$AS$4:$AS$1000,"",0), OR(E27="Fix Awning (Vertical)",E27="Fix Awning (Horizontal)"),  (J27-_xlfn.XLOOKUP(E27,lookups_s60!$AQ$4:$AQ$1000,lookups_s60!$AR$4:$AR$1000,"",0)-40)/2-_xlfn.XLOOKUP(E27,lookups_s60!$AQ$4:$AQ$1000,lookups_s60!$AS$4:$AS$1000,"",0)),"")</f>
        <v/>
      </c>
      <c r="AZ27" s="20" t="str">
        <f>IFERROR(IF(C27&lt;&gt;"", K27-_xlfn.XLOOKUP(E27,lookups_s60!$AQ$4:$AQ$1000,lookups_s60!$AT$4:$AT$1000,"",0)-_xlfn.XLOOKUP(E27,lookups_s60!$AQ$4:$AQ$1000,lookups_s60!$AU$4:$AU$1000,"",0),""),"")</f>
        <v/>
      </c>
      <c r="BA27" s="20" t="str">
        <f t="shared" si="2"/>
        <v/>
      </c>
      <c r="BC27" s="20" t="str" cm="1">
        <f t="array" ref="BC27">IFERROR(_xlfn.IFS(E27="Awning",AQ27-_xlfn.XLOOKUP(E27,lookups_s60!$AQ$4:$AQ$1000,lookups_s60!$AV$4:$AV$1000,"",0)-_xlfn.XLOOKUP(E27,lookups_s60!$AQ$4:$AQ$1000,lookups_s60!$AW$4:$AW$1000,"",0),C27&lt;&gt;"",W27-_xlfn.XLOOKUP(E27,lookups_s60!$AQ$4:$AQ$1000,lookups_s60!$AV$4:$AV$1000,"",0)-_xlfn.XLOOKUP(E27,lookups_s60!$AQ$4:$AQ$1000,lookups_s60!$AW$4:$AW$1000,"",0)),"")</f>
        <v/>
      </c>
      <c r="BD27" s="20" t="str" cm="1">
        <f t="array" ref="BD27">IFERROR(_xlfn.IFS(E27="Awning",AS27-_xlfn.XLOOKUP(E27,lookups_s60!$AQ$4:$AQ$1000,lookups_s60!$AX$4:$AX$1000,"",0)-_xlfn.XLOOKUP(E27,lookups_s60!$AQ$4:$AQ$1000,lookups_s60!$AY$4:$AY$1000,"",0),C27&lt;&gt;"",Y27-_xlfn.XLOOKUP(E27,lookups_s60!$AQ$4:$AQ$1000,lookups_s60!$AX$4:$AX$1000,"",0)-_xlfn.XLOOKUP(E27,lookups_s60!$AQ$4:$AQ$1000,lookups_s60!$AY$4:$AY$1000,"",0)),"")</f>
        <v/>
      </c>
      <c r="BE27" s="20" t="str">
        <f>IF(BC27&lt;&gt;"", _xlfn.XLOOKUP(E27,lookups_s60!$AQ$4:$AQ$1000,lookups_s60!$AZ$4:$AZ$1000,"",0)*D27,"")</f>
        <v/>
      </c>
      <c r="BG27" s="20" t="str">
        <f t="shared" si="3"/>
        <v/>
      </c>
      <c r="BH27" s="22" t="str">
        <f t="shared" si="4"/>
        <v/>
      </c>
      <c r="BI27" s="20" t="str">
        <f t="shared" si="5"/>
        <v/>
      </c>
      <c r="BJ27" s="20" t="str">
        <f t="shared" si="6"/>
        <v/>
      </c>
      <c r="BK27" s="20" t="str">
        <f t="shared" si="7"/>
        <v/>
      </c>
    </row>
    <row r="28" spans="3:63" x14ac:dyDescent="0.25">
      <c r="C28" s="16"/>
      <c r="D28" s="16"/>
      <c r="E28" s="16"/>
      <c r="F28" s="16"/>
      <c r="G28" s="16"/>
      <c r="H28" s="16"/>
      <c r="I28" s="16"/>
      <c r="J28" s="16"/>
      <c r="K28" s="16"/>
      <c r="M28" s="20" t="str">
        <f t="shared" si="0"/>
        <v/>
      </c>
      <c r="N28" s="20" t="str" cm="1">
        <f t="array" ref="N28">IFERROR(_xlfn.IFS(OR(E28="Fix Awning (Vertical)", E28="Fix Awning (Horizontal)"), J28/2+20,C28&lt;&gt;"", J28+M28),"")</f>
        <v/>
      </c>
      <c r="O28" s="20" t="str">
        <f>IF(D28&lt;&gt;"", D28*_xlfn.XLOOKUP(E28,lookups_s60!$B$4:$B$1000,lookups_s60!$C$4:$C$1000,"",0),"")</f>
        <v/>
      </c>
      <c r="P28" s="20" t="str">
        <f t="shared" si="1"/>
        <v/>
      </c>
      <c r="Q28" s="20" t="str">
        <f>IF(D28&lt;&gt;"", D28*_xlfn.XLOOKUP(E28,lookups_s60!$B$4:$B$1000,lookups_s60!$D$4:$D$1000,"",0),"")</f>
        <v/>
      </c>
      <c r="S28" s="20" t="str" cm="1">
        <f t="array" ref="S28">IFERROR(_xlfn.IFS(E28="Double Fix",K28+_xlfn.XLOOKUP(E28,lookups_s60!$G$4:$G$1000,lookups_s60!$H$4:$H$1000,"",0), OR(E28="Double Awning (Horizontal)", E28="Double Awning (Vertical)",E28="Triple Awning (Horizontal)", E28="Triple Awning (Vertical)"), J28+_xlfn.XLOOKUP(E28,lookups_s60!$G$4:$G$1000,lookups_s60!$H$4:$H$1000,"",0), E28="Double Casement", J28+_xlfn.XLOOKUP(E28,lookups_s60!$G$4:$G$1000,lookups_s60!$H$4:$H$1000,"",0), OR(E28="Fix Awning (Vertical)", E28="Fix Awning (Horizontal)"), K28+_xlfn.XLOOKUP(E28,lookups_s60!$G$4:$G$1000,lookups_s60!$H$4:$H$1000,"",0), E28="Triple Casement", J28+_xlfn.XLOOKUP(E28,lookups_s60!$G$4:$G$1000,lookups_s60!$H$4:$H$1000,"",0)),"")</f>
        <v/>
      </c>
      <c r="T28" s="20" t="str">
        <f>IF(S28&lt;&gt;"",D28*_xlfn.XLOOKUP(E28,lookups_s60!$G$4:$G$1000,lookups_s60!$I$4:$I$1000,"",0),"")</f>
        <v/>
      </c>
      <c r="V28" s="20" t="str">
        <f>IF(_xlfn.XLOOKUP(E28,lookups_s60!$L$4:$L$1000,lookups_s60!$M$4:$M$1000,"",0)=0, "", _xlfn.XLOOKUP(E28,lookups_s60!$L$4:$L$1000,lookups_s60!$M$4:$M$1000,"",0))</f>
        <v/>
      </c>
      <c r="W28" s="20" t="str" cm="1">
        <f t="array" ref="W28">IFERROR(_xlfn.IFS(OR(E28="Fix Awning (Vertical)",E28="Fix Awning (Vertical)"),   ((J28-_xlfn.XLOOKUP(E28,lookups_s60!$L$4:$L$1000,lookups_s60!$N$4:$N$1000,"",0)-40)/2)+_xlfn.XLOOKUP(E28,lookups_s60!$L$4:$L$1000,lookups_s60!$O$4:$O$1000,"",0), V28&lt;&gt;"", J28-_xlfn.XLOOKUP(E28,lookups_s60!$L$4:$L$1000,lookups_s60!$N$4:$N$1000,"",0)+_xlfn.XLOOKUP(E28,lookups_s60!$L$4:$L$1000,lookups_s60!$O$4:$O$1000,"",0)),"")</f>
        <v/>
      </c>
      <c r="X28" s="20" t="str">
        <f>IF(_xlfn.XLOOKUP(E28,lookups_s60!$L$4:$L$1000,lookups_s60!$R$4:$R$1000,"",0)=0, "", D28*_xlfn.XLOOKUP(E28,lookups_s60!$L$4:$L$1000,lookups_s60!$R$4:$R$1000,"",0))</f>
        <v/>
      </c>
      <c r="Y28" s="22" t="str" cm="1">
        <f t="array" ref="Y28">IFERROR(_xlfn.IFS(OR(E28="Double Awning (Horizontal)", E28="Double Awning (Vertical)", E28="Triple Awning (Horizontal)", E28="Triple Awning (Vertical)", E28="Double Casement"), ((K28-_xlfn.XLOOKUP(E28,lookups_s60!$L$4:$L$1000,lookups_s60!$P$4:$P$1000,"",0)-36)/2)+_xlfn.XLOOKUP(E28,lookups_s60!$L$4:$L$1000,lookups_s60!$Q$4:$Q$1000,"",0), E28="Triple Casement",((K28-_xlfn.XLOOKUP(E28,lookups_s60!$L$4:$L$1000,lookups_s60!$P$4:$P$1000,"",0)-36-36)/3)+_xlfn.XLOOKUP(E28,lookups_s60!$L$4:$L$1000,lookups_s60!$Q$4:$Q$1000,"",0),V28&lt;&gt;"",K28-_xlfn.XLOOKUP(E28,lookups_s60!$L$4:$L$1000,lookups_s60!$P$4:$P$1000,"",0)+_xlfn.XLOOKUP(E28,lookups_s60!$L$4:$L$1000,lookups_s60!$Q$4:$Q$1000,"",0)),"")</f>
        <v/>
      </c>
      <c r="Z28" s="20" t="str">
        <f>IF(_xlfn.XLOOKUP(E28,lookups_s60!$L$4:$L$1000,lookups_s60!$R$4:$R$1000,"",0)=0, "", D28*_xlfn.XLOOKUP(E28,lookups_s60!$L$4:$L$1000,lookups_s60!$R$4:$R$1000,"",0))</f>
        <v/>
      </c>
      <c r="AB28" s="20" t="str" cm="1">
        <f t="array" ref="AB28">IFERROR(_xlfn.IFS(OR(E28="Fix", E28="Double Fix"),J28-_xlfn.XLOOKUP(E28,lookups_s60!$U$4:$U$1000,lookups_s60!$V$4:$V$1000,"",0),OR(E28="Fix Awning (Vertical)", E28="Fix Awning (Horizontal)"),(J28-_xlfn.XLOOKUP(E28,lookups_s60!$U$4:$U$1000,lookups_s60!$V$4:$V$1000,"",0)-40)/2),"")</f>
        <v/>
      </c>
      <c r="AC28" s="20" t="str">
        <f>IF(_xlfn.XLOOKUP(E28,lookups_s60!$U$4:$U$1000,lookups_s60!$X$4:$X$1000,"",0)=0,"",D28*_xlfn.XLOOKUP(E28,lookups_s60!$U$4:$U$1000,lookups_s60!$X$4:$X$1000,"",0))</f>
        <v/>
      </c>
      <c r="AD28" s="20" t="str">
        <f>IF(OR(E28="Fix", E28="Double Fix", E28="Fix Awning (Vertical)", E28="Fix Awning (Horizontal)"), K28-_xlfn.XLOOKUP(E28,lookups_s60!$U$4:$U$1000,lookups_s60!$W$4:$W$1000,"",0), "")</f>
        <v/>
      </c>
      <c r="AE28" s="20" t="str">
        <f>IF(_xlfn.XLOOKUP(E28,lookups_s60!$U$4:$U$1000,lookups_s60!$X$4:$X$1000,"",0)=0,"",D28*_xlfn.XLOOKUP(E28,lookups_s60!$U$4:$U$1000,lookups_s60!$Y$4:$Y$1000,"",0))</f>
        <v/>
      </c>
      <c r="AG28" s="24" t="str">
        <f>IF(W28&lt;&gt;"", W28-_xlfn.XLOOKUP(E28,lookups_s60!$U$4:$U$1000,lookups_s60!$Z$4:$Z$1000,"",0)-IF(E28="Awning", 5,0),"")</f>
        <v/>
      </c>
      <c r="AH28" s="20" t="str">
        <f>IF(_xlfn.XLOOKUP(E28,lookups_s60!$U$4:$U$1000,lookups_s60!$AB$4:$AB$1000,"",0)=0,"",D28*_xlfn.XLOOKUP(E28,lookups_s60!$U$4:$U$1000,lookups_s60!$AB$4:$AB$1000,"",0))</f>
        <v/>
      </c>
      <c r="AI28" s="22" t="str">
        <f>IF(Y28&lt;&gt;"", Y28-_xlfn.XLOOKUP(E28,lookups_s60!$U$4:$U$1000,lookups_s60!$AA$4:$AA$1000,"",0),"")</f>
        <v/>
      </c>
      <c r="AJ28" s="20" t="str">
        <f>IF(_xlfn.XLOOKUP(E28,lookups_s60!$U$4:$U$1000,lookups_s60!$AC$4:$AC$1000,"",0)=0,"",D28*_xlfn.XLOOKUP(E28,lookups_s60!$U$4:$U$1000,lookups_s60!$AC$4:$AC$1000,"",0))</f>
        <v/>
      </c>
      <c r="AL28" s="20" t="str">
        <f>IF(C28&lt;&gt;"", N28-_xlfn.XLOOKUP(E28,lookups_s60!$AF$4:$AF$1000,lookups_s60!$AG$4:$AG$1000,"",0),"")</f>
        <v/>
      </c>
      <c r="AM28" s="20" t="str">
        <f>IF(_xlfn.XLOOKUP(E28,lookups_s60!$AF$4:$AF$1000,lookups_s60!$AH$4:$AH$1000,"",0)=0,"",D28*_xlfn.XLOOKUP(E28,lookups_s60!$AF$4:$AF$1000,lookups_s60!$AH$4:$AH$1000,"",0))</f>
        <v/>
      </c>
      <c r="AN28" s="20" t="str">
        <f>IF(C28&lt;&gt;"", P28-_xlfn.XLOOKUP(E28,lookups_s60!$AF$4:$AF$1000,lookups_s60!$AG$4:$AG$1000,"",0),"")</f>
        <v/>
      </c>
      <c r="AO28" s="20" t="str">
        <f>IFERROR(IF(_xlfn.XLOOKUP(E28,lookups_s60!$AF$4:$AF$1000,lookups_s60!$AI$4:$AI$1000,"",0)=0,"",D28*_xlfn.XLOOKUP(E28,lookups_s60!$AF$4:$AF$1000,lookups_s60!$AI$4:$AI$1000,"",0)),"")</f>
        <v/>
      </c>
      <c r="AQ28" s="20" t="str">
        <f>IF(W28&lt;&gt;"", W28-_xlfn.XLOOKUP(E28,lookups_s60!$AF$4:$AF$1000,lookups_s60!$AJ$4:$AJ$1000,"",0),"")</f>
        <v/>
      </c>
      <c r="AR28" s="20" t="str">
        <f>IFERROR(IF(_xlfn.XLOOKUP(E28,lookups_s60!$AF$4:$AF$1000,lookups_s60!$AK$4:$AK$1000,"",0)=0,"",D28*_xlfn.XLOOKUP(E28,lookups_s60!$AF$4:$AF$1000,lookups_s60!$AK$4:$AK$1000,"",0)),"")</f>
        <v/>
      </c>
      <c r="AS28" s="20" t="str">
        <f>IF(Y28&lt;&gt;"", Y28-_xlfn.XLOOKUP(E28,lookups_s60!$AF$4:$AF$1000,lookups_s60!$AJ$4:$AJ$1000,"",0),"")</f>
        <v/>
      </c>
      <c r="AT28" s="20" t="str">
        <f>IFERROR(IF(_xlfn.XLOOKUP(E28,lookups_s60!$AF$4:$AF$1000,lookups_s60!$AL$4:$AL$1000,"",0)=0,"",D28*_xlfn.XLOOKUP(E28,lookups_s60!$AF$4:$AF$1000,lookups_s60!$AL$4:$AL$1000,"",0)),"")</f>
        <v/>
      </c>
      <c r="AV28" s="20" t="str">
        <f>IF(S28&lt;&gt;"", S28-_xlfn.XLOOKUP(E28,lookups_s60!$AF$4:$AF$1000,lookups_s60!$AM$4:$AM$1000,"",0),"")</f>
        <v/>
      </c>
      <c r="AW28" s="20" t="str">
        <f>IFERROR(IF(_xlfn.XLOOKUP(E28,lookups_s60!$AF$4:$AF$1000,lookups_s60!$AN$4:$AN$1000,"",0)=0,"",D28*_xlfn.XLOOKUP(E28,lookups_s60!$AF$4:$AF$1000,lookups_s60!$AN$4:$AN$1000,"",0)),"")</f>
        <v/>
      </c>
      <c r="AY28" s="20" t="str" cm="1">
        <f t="array" ref="AY28">IFERROR(_xlfn.IFS(E28="Fix", J28-_xlfn.XLOOKUP(E28,lookups_s60!$AQ$4:$AQ$1000,lookups_s60!$AR$4:$AR$1000,"",0)-_xlfn.XLOOKUP(E28,lookups_s60!$AQ$4:$AQ$1000,lookups_s60!$AS$4:$AS$1000,"",0), E28="Double Fix", (J28-_xlfn.XLOOKUP(E28,lookups_s60!$AQ$4:$AQ$1000,lookups_s60!$AR$4:$AR$1000,"",0)-_xlfn.XLOOKUP(E28,lookups_s60!$G$4:$G$1000,lookups_s60!$H$4:$H$1000,"",0))/2-_xlfn.XLOOKUP(E28,lookups_s60!$AQ$4:$AQ$1000,lookups_s60!$AS$4:$AS$1000,"",0), OR(E28="Fix Awning (Vertical)",E28="Fix Awning (Horizontal)"),  (J28-_xlfn.XLOOKUP(E28,lookups_s60!$AQ$4:$AQ$1000,lookups_s60!$AR$4:$AR$1000,"",0)-40)/2-_xlfn.XLOOKUP(E28,lookups_s60!$AQ$4:$AQ$1000,lookups_s60!$AS$4:$AS$1000,"",0)),"")</f>
        <v/>
      </c>
      <c r="AZ28" s="20" t="str">
        <f>IFERROR(IF(C28&lt;&gt;"", K28-_xlfn.XLOOKUP(E28,lookups_s60!$AQ$4:$AQ$1000,lookups_s60!$AT$4:$AT$1000,"",0)-_xlfn.XLOOKUP(E28,lookups_s60!$AQ$4:$AQ$1000,lookups_s60!$AU$4:$AU$1000,"",0),""),"")</f>
        <v/>
      </c>
      <c r="BA28" s="20" t="str">
        <f t="shared" si="2"/>
        <v/>
      </c>
      <c r="BC28" s="20" t="str" cm="1">
        <f t="array" ref="BC28">IFERROR(_xlfn.IFS(E28="Awning",AQ28-_xlfn.XLOOKUP(E28,lookups_s60!$AQ$4:$AQ$1000,lookups_s60!$AV$4:$AV$1000,"",0)-_xlfn.XLOOKUP(E28,lookups_s60!$AQ$4:$AQ$1000,lookups_s60!$AW$4:$AW$1000,"",0),C28&lt;&gt;"",W28-_xlfn.XLOOKUP(E28,lookups_s60!$AQ$4:$AQ$1000,lookups_s60!$AV$4:$AV$1000,"",0)-_xlfn.XLOOKUP(E28,lookups_s60!$AQ$4:$AQ$1000,lookups_s60!$AW$4:$AW$1000,"",0)),"")</f>
        <v/>
      </c>
      <c r="BD28" s="20" t="str" cm="1">
        <f t="array" ref="BD28">IFERROR(_xlfn.IFS(E28="Awning",AS28-_xlfn.XLOOKUP(E28,lookups_s60!$AQ$4:$AQ$1000,lookups_s60!$AX$4:$AX$1000,"",0)-_xlfn.XLOOKUP(E28,lookups_s60!$AQ$4:$AQ$1000,lookups_s60!$AY$4:$AY$1000,"",0),C28&lt;&gt;"",Y28-_xlfn.XLOOKUP(E28,lookups_s60!$AQ$4:$AQ$1000,lookups_s60!$AX$4:$AX$1000,"",0)-_xlfn.XLOOKUP(E28,lookups_s60!$AQ$4:$AQ$1000,lookups_s60!$AY$4:$AY$1000,"",0)),"")</f>
        <v/>
      </c>
      <c r="BE28" s="20" t="str">
        <f>IF(BC28&lt;&gt;"", _xlfn.XLOOKUP(E28,lookups_s60!$AQ$4:$AQ$1000,lookups_s60!$AZ$4:$AZ$1000,"",0)*D28,"")</f>
        <v/>
      </c>
      <c r="BG28" s="20" t="str">
        <f t="shared" si="3"/>
        <v/>
      </c>
      <c r="BH28" s="22" t="str">
        <f t="shared" si="4"/>
        <v/>
      </c>
      <c r="BI28" s="20" t="str">
        <f t="shared" si="5"/>
        <v/>
      </c>
      <c r="BJ28" s="20" t="str">
        <f t="shared" si="6"/>
        <v/>
      </c>
      <c r="BK28" s="20" t="str">
        <f t="shared" si="7"/>
        <v/>
      </c>
    </row>
    <row r="29" spans="3:63" x14ac:dyDescent="0.25">
      <c r="C29" s="16"/>
      <c r="D29" s="16"/>
      <c r="E29" s="16"/>
      <c r="F29" s="16"/>
      <c r="G29" s="16"/>
      <c r="H29" s="16"/>
      <c r="I29" s="16"/>
      <c r="J29" s="16"/>
      <c r="K29" s="16"/>
      <c r="M29" s="20" t="str">
        <f t="shared" si="0"/>
        <v/>
      </c>
      <c r="N29" s="20" t="str" cm="1">
        <f t="array" ref="N29">IFERROR(_xlfn.IFS(OR(E29="Fix Awning (Vertical)", E29="Fix Awning (Horizontal)"), J29/2+20,C29&lt;&gt;"", J29+M29),"")</f>
        <v/>
      </c>
      <c r="O29" s="20" t="str">
        <f>IF(D29&lt;&gt;"", D29*_xlfn.XLOOKUP(E29,lookups_s60!$B$4:$B$1000,lookups_s60!$C$4:$C$1000,"",0),"")</f>
        <v/>
      </c>
      <c r="P29" s="20" t="str">
        <f t="shared" si="1"/>
        <v/>
      </c>
      <c r="Q29" s="20" t="str">
        <f>IF(D29&lt;&gt;"", D29*_xlfn.XLOOKUP(E29,lookups_s60!$B$4:$B$1000,lookups_s60!$D$4:$D$1000,"",0),"")</f>
        <v/>
      </c>
      <c r="S29" s="20" t="str" cm="1">
        <f t="array" ref="S29">IFERROR(_xlfn.IFS(E29="Double Fix",K29+_xlfn.XLOOKUP(E29,lookups_s60!$G$4:$G$1000,lookups_s60!$H$4:$H$1000,"",0), OR(E29="Double Awning (Horizontal)", E29="Double Awning (Vertical)",E29="Triple Awning (Horizontal)", E29="Triple Awning (Vertical)"), J29+_xlfn.XLOOKUP(E29,lookups_s60!$G$4:$G$1000,lookups_s60!$H$4:$H$1000,"",0), E29="Double Casement", J29+_xlfn.XLOOKUP(E29,lookups_s60!$G$4:$G$1000,lookups_s60!$H$4:$H$1000,"",0), OR(E29="Fix Awning (Vertical)", E29="Fix Awning (Horizontal)"), K29+_xlfn.XLOOKUP(E29,lookups_s60!$G$4:$G$1000,lookups_s60!$H$4:$H$1000,"",0), E29="Triple Casement", J29+_xlfn.XLOOKUP(E29,lookups_s60!$G$4:$G$1000,lookups_s60!$H$4:$H$1000,"",0)),"")</f>
        <v/>
      </c>
      <c r="T29" s="20" t="str">
        <f>IF(S29&lt;&gt;"",D29*_xlfn.XLOOKUP(E29,lookups_s60!$G$4:$G$1000,lookups_s60!$I$4:$I$1000,"",0),"")</f>
        <v/>
      </c>
      <c r="V29" s="20" t="str">
        <f>IF(_xlfn.XLOOKUP(E29,lookups_s60!$L$4:$L$1000,lookups_s60!$M$4:$M$1000,"",0)=0, "", _xlfn.XLOOKUP(E29,lookups_s60!$L$4:$L$1000,lookups_s60!$M$4:$M$1000,"",0))</f>
        <v/>
      </c>
      <c r="W29" s="20" t="str" cm="1">
        <f t="array" ref="W29">IFERROR(_xlfn.IFS(OR(E29="Fix Awning (Vertical)",E29="Fix Awning (Vertical)"),   ((J29-_xlfn.XLOOKUP(E29,lookups_s60!$L$4:$L$1000,lookups_s60!$N$4:$N$1000,"",0)-40)/2)+_xlfn.XLOOKUP(E29,lookups_s60!$L$4:$L$1000,lookups_s60!$O$4:$O$1000,"",0), V29&lt;&gt;"", J29-_xlfn.XLOOKUP(E29,lookups_s60!$L$4:$L$1000,lookups_s60!$N$4:$N$1000,"",0)+_xlfn.XLOOKUP(E29,lookups_s60!$L$4:$L$1000,lookups_s60!$O$4:$O$1000,"",0)),"")</f>
        <v/>
      </c>
      <c r="X29" s="20" t="str">
        <f>IF(_xlfn.XLOOKUP(E29,lookups_s60!$L$4:$L$1000,lookups_s60!$R$4:$R$1000,"",0)=0, "", D29*_xlfn.XLOOKUP(E29,lookups_s60!$L$4:$L$1000,lookups_s60!$R$4:$R$1000,"",0))</f>
        <v/>
      </c>
      <c r="Y29" s="22" t="str" cm="1">
        <f t="array" ref="Y29">IFERROR(_xlfn.IFS(OR(E29="Double Awning (Horizontal)", E29="Double Awning (Vertical)", E29="Triple Awning (Horizontal)", E29="Triple Awning (Vertical)", E29="Double Casement"), ((K29-_xlfn.XLOOKUP(E29,lookups_s60!$L$4:$L$1000,lookups_s60!$P$4:$P$1000,"",0)-36)/2)+_xlfn.XLOOKUP(E29,lookups_s60!$L$4:$L$1000,lookups_s60!$Q$4:$Q$1000,"",0), E29="Triple Casement",((K29-_xlfn.XLOOKUP(E29,lookups_s60!$L$4:$L$1000,lookups_s60!$P$4:$P$1000,"",0)-36-36)/3)+_xlfn.XLOOKUP(E29,lookups_s60!$L$4:$L$1000,lookups_s60!$Q$4:$Q$1000,"",0),V29&lt;&gt;"",K29-_xlfn.XLOOKUP(E29,lookups_s60!$L$4:$L$1000,lookups_s60!$P$4:$P$1000,"",0)+_xlfn.XLOOKUP(E29,lookups_s60!$L$4:$L$1000,lookups_s60!$Q$4:$Q$1000,"",0)),"")</f>
        <v/>
      </c>
      <c r="Z29" s="20" t="str">
        <f>IF(_xlfn.XLOOKUP(E29,lookups_s60!$L$4:$L$1000,lookups_s60!$R$4:$R$1000,"",0)=0, "", D29*_xlfn.XLOOKUP(E29,lookups_s60!$L$4:$L$1000,lookups_s60!$R$4:$R$1000,"",0))</f>
        <v/>
      </c>
      <c r="AB29" s="20" t="str" cm="1">
        <f t="array" ref="AB29">IFERROR(_xlfn.IFS(OR(E29="Fix", E29="Double Fix"),J29-_xlfn.XLOOKUP(E29,lookups_s60!$U$4:$U$1000,lookups_s60!$V$4:$V$1000,"",0),OR(E29="Fix Awning (Vertical)", E29="Fix Awning (Horizontal)"),(J29-_xlfn.XLOOKUP(E29,lookups_s60!$U$4:$U$1000,lookups_s60!$V$4:$V$1000,"",0)-40)/2),"")</f>
        <v/>
      </c>
      <c r="AC29" s="20" t="str">
        <f>IF(_xlfn.XLOOKUP(E29,lookups_s60!$U$4:$U$1000,lookups_s60!$X$4:$X$1000,"",0)=0,"",D29*_xlfn.XLOOKUP(E29,lookups_s60!$U$4:$U$1000,lookups_s60!$X$4:$X$1000,"",0))</f>
        <v/>
      </c>
      <c r="AD29" s="20" t="str">
        <f>IF(OR(E29="Fix", E29="Double Fix", E29="Fix Awning (Vertical)", E29="Fix Awning (Horizontal)"), K29-_xlfn.XLOOKUP(E29,lookups_s60!$U$4:$U$1000,lookups_s60!$W$4:$W$1000,"",0), "")</f>
        <v/>
      </c>
      <c r="AE29" s="20" t="str">
        <f>IF(_xlfn.XLOOKUP(E29,lookups_s60!$U$4:$U$1000,lookups_s60!$X$4:$X$1000,"",0)=0,"",D29*_xlfn.XLOOKUP(E29,lookups_s60!$U$4:$U$1000,lookups_s60!$Y$4:$Y$1000,"",0))</f>
        <v/>
      </c>
      <c r="AG29" s="24" t="str">
        <f>IF(W29&lt;&gt;"", W29-_xlfn.XLOOKUP(E29,lookups_s60!$U$4:$U$1000,lookups_s60!$Z$4:$Z$1000,"",0)-IF(E29="Awning", 5,0),"")</f>
        <v/>
      </c>
      <c r="AH29" s="20" t="str">
        <f>IF(_xlfn.XLOOKUP(E29,lookups_s60!$U$4:$U$1000,lookups_s60!$AB$4:$AB$1000,"",0)=0,"",D29*_xlfn.XLOOKUP(E29,lookups_s60!$U$4:$U$1000,lookups_s60!$AB$4:$AB$1000,"",0))</f>
        <v/>
      </c>
      <c r="AI29" s="22" t="str">
        <f>IF(Y29&lt;&gt;"", Y29-_xlfn.XLOOKUP(E29,lookups_s60!$U$4:$U$1000,lookups_s60!$AA$4:$AA$1000,"",0),"")</f>
        <v/>
      </c>
      <c r="AJ29" s="20" t="str">
        <f>IF(_xlfn.XLOOKUP(E29,lookups_s60!$U$4:$U$1000,lookups_s60!$AC$4:$AC$1000,"",0)=0,"",D29*_xlfn.XLOOKUP(E29,lookups_s60!$U$4:$U$1000,lookups_s60!$AC$4:$AC$1000,"",0))</f>
        <v/>
      </c>
      <c r="AL29" s="20" t="str">
        <f>IF(C29&lt;&gt;"", N29-_xlfn.XLOOKUP(E29,lookups_s60!$AF$4:$AF$1000,lookups_s60!$AG$4:$AG$1000,"",0),"")</f>
        <v/>
      </c>
      <c r="AM29" s="20" t="str">
        <f>IF(_xlfn.XLOOKUP(E29,lookups_s60!$AF$4:$AF$1000,lookups_s60!$AH$4:$AH$1000,"",0)=0,"",D29*_xlfn.XLOOKUP(E29,lookups_s60!$AF$4:$AF$1000,lookups_s60!$AH$4:$AH$1000,"",0))</f>
        <v/>
      </c>
      <c r="AN29" s="20" t="str">
        <f>IF(C29&lt;&gt;"", P29-_xlfn.XLOOKUP(E29,lookups_s60!$AF$4:$AF$1000,lookups_s60!$AG$4:$AG$1000,"",0),"")</f>
        <v/>
      </c>
      <c r="AO29" s="20" t="str">
        <f>IFERROR(IF(_xlfn.XLOOKUP(E29,lookups_s60!$AF$4:$AF$1000,lookups_s60!$AI$4:$AI$1000,"",0)=0,"",D29*_xlfn.XLOOKUP(E29,lookups_s60!$AF$4:$AF$1000,lookups_s60!$AI$4:$AI$1000,"",0)),"")</f>
        <v/>
      </c>
      <c r="AQ29" s="20" t="str">
        <f>IF(W29&lt;&gt;"", W29-_xlfn.XLOOKUP(E29,lookups_s60!$AF$4:$AF$1000,lookups_s60!$AJ$4:$AJ$1000,"",0),"")</f>
        <v/>
      </c>
      <c r="AR29" s="20" t="str">
        <f>IFERROR(IF(_xlfn.XLOOKUP(E29,lookups_s60!$AF$4:$AF$1000,lookups_s60!$AK$4:$AK$1000,"",0)=0,"",D29*_xlfn.XLOOKUP(E29,lookups_s60!$AF$4:$AF$1000,lookups_s60!$AK$4:$AK$1000,"",0)),"")</f>
        <v/>
      </c>
      <c r="AS29" s="20" t="str">
        <f>IF(Y29&lt;&gt;"", Y29-_xlfn.XLOOKUP(E29,lookups_s60!$AF$4:$AF$1000,lookups_s60!$AJ$4:$AJ$1000,"",0),"")</f>
        <v/>
      </c>
      <c r="AT29" s="20" t="str">
        <f>IFERROR(IF(_xlfn.XLOOKUP(E29,lookups_s60!$AF$4:$AF$1000,lookups_s60!$AL$4:$AL$1000,"",0)=0,"",D29*_xlfn.XLOOKUP(E29,lookups_s60!$AF$4:$AF$1000,lookups_s60!$AL$4:$AL$1000,"",0)),"")</f>
        <v/>
      </c>
      <c r="AV29" s="20" t="str">
        <f>IF(S29&lt;&gt;"", S29-_xlfn.XLOOKUP(E29,lookups_s60!$AF$4:$AF$1000,lookups_s60!$AM$4:$AM$1000,"",0),"")</f>
        <v/>
      </c>
      <c r="AW29" s="20" t="str">
        <f>IFERROR(IF(_xlfn.XLOOKUP(E29,lookups_s60!$AF$4:$AF$1000,lookups_s60!$AN$4:$AN$1000,"",0)=0,"",D29*_xlfn.XLOOKUP(E29,lookups_s60!$AF$4:$AF$1000,lookups_s60!$AN$4:$AN$1000,"",0)),"")</f>
        <v/>
      </c>
      <c r="AY29" s="20" t="str" cm="1">
        <f t="array" ref="AY29">IFERROR(_xlfn.IFS(E29="Fix", J29-_xlfn.XLOOKUP(E29,lookups_s60!$AQ$4:$AQ$1000,lookups_s60!$AR$4:$AR$1000,"",0)-_xlfn.XLOOKUP(E29,lookups_s60!$AQ$4:$AQ$1000,lookups_s60!$AS$4:$AS$1000,"",0), E29="Double Fix", (J29-_xlfn.XLOOKUP(E29,lookups_s60!$AQ$4:$AQ$1000,lookups_s60!$AR$4:$AR$1000,"",0)-_xlfn.XLOOKUP(E29,lookups_s60!$G$4:$G$1000,lookups_s60!$H$4:$H$1000,"",0))/2-_xlfn.XLOOKUP(E29,lookups_s60!$AQ$4:$AQ$1000,lookups_s60!$AS$4:$AS$1000,"",0), OR(E29="Fix Awning (Vertical)",E29="Fix Awning (Horizontal)"),  (J29-_xlfn.XLOOKUP(E29,lookups_s60!$AQ$4:$AQ$1000,lookups_s60!$AR$4:$AR$1000,"",0)-40)/2-_xlfn.XLOOKUP(E29,lookups_s60!$AQ$4:$AQ$1000,lookups_s60!$AS$4:$AS$1000,"",0)),"")</f>
        <v/>
      </c>
      <c r="AZ29" s="20" t="str">
        <f>IFERROR(IF(C29&lt;&gt;"", K29-_xlfn.XLOOKUP(E29,lookups_s60!$AQ$4:$AQ$1000,lookups_s60!$AT$4:$AT$1000,"",0)-_xlfn.XLOOKUP(E29,lookups_s60!$AQ$4:$AQ$1000,lookups_s60!$AU$4:$AU$1000,"",0),""),"")</f>
        <v/>
      </c>
      <c r="BA29" s="20" t="str">
        <f t="shared" si="2"/>
        <v/>
      </c>
      <c r="BC29" s="20" t="str" cm="1">
        <f t="array" ref="BC29">IFERROR(_xlfn.IFS(E29="Awning",AQ29-_xlfn.XLOOKUP(E29,lookups_s60!$AQ$4:$AQ$1000,lookups_s60!$AV$4:$AV$1000,"",0)-_xlfn.XLOOKUP(E29,lookups_s60!$AQ$4:$AQ$1000,lookups_s60!$AW$4:$AW$1000,"",0),C29&lt;&gt;"",W29-_xlfn.XLOOKUP(E29,lookups_s60!$AQ$4:$AQ$1000,lookups_s60!$AV$4:$AV$1000,"",0)-_xlfn.XLOOKUP(E29,lookups_s60!$AQ$4:$AQ$1000,lookups_s60!$AW$4:$AW$1000,"",0)),"")</f>
        <v/>
      </c>
      <c r="BD29" s="20" t="str" cm="1">
        <f t="array" ref="BD29">IFERROR(_xlfn.IFS(E29="Awning",AS29-_xlfn.XLOOKUP(E29,lookups_s60!$AQ$4:$AQ$1000,lookups_s60!$AX$4:$AX$1000,"",0)-_xlfn.XLOOKUP(E29,lookups_s60!$AQ$4:$AQ$1000,lookups_s60!$AY$4:$AY$1000,"",0),C29&lt;&gt;"",Y29-_xlfn.XLOOKUP(E29,lookups_s60!$AQ$4:$AQ$1000,lookups_s60!$AX$4:$AX$1000,"",0)-_xlfn.XLOOKUP(E29,lookups_s60!$AQ$4:$AQ$1000,lookups_s60!$AY$4:$AY$1000,"",0)),"")</f>
        <v/>
      </c>
      <c r="BE29" s="20" t="str">
        <f>IF(BC29&lt;&gt;"", _xlfn.XLOOKUP(E29,lookups_s60!$AQ$4:$AQ$1000,lookups_s60!$AZ$4:$AZ$1000,"",0)*D29,"")</f>
        <v/>
      </c>
      <c r="BG29" s="20" t="str">
        <f t="shared" si="3"/>
        <v/>
      </c>
      <c r="BH29" s="22" t="str">
        <f t="shared" si="4"/>
        <v/>
      </c>
      <c r="BI29" s="20" t="str">
        <f t="shared" si="5"/>
        <v/>
      </c>
      <c r="BJ29" s="20" t="str">
        <f t="shared" si="6"/>
        <v/>
      </c>
      <c r="BK29" s="20" t="str">
        <f t="shared" si="7"/>
        <v/>
      </c>
    </row>
    <row r="30" spans="3:63" x14ac:dyDescent="0.25">
      <c r="C30" s="16"/>
      <c r="D30" s="16"/>
      <c r="E30" s="16"/>
      <c r="F30" s="16"/>
      <c r="G30" s="16"/>
      <c r="H30" s="16"/>
      <c r="I30" s="16"/>
      <c r="J30" s="16"/>
      <c r="K30" s="16"/>
      <c r="M30" s="20" t="str">
        <f t="shared" si="0"/>
        <v/>
      </c>
      <c r="N30" s="20" t="str" cm="1">
        <f t="array" ref="N30">IFERROR(_xlfn.IFS(OR(E30="Fix Awning (Vertical)", E30="Fix Awning (Horizontal)"), J30/2+20,C30&lt;&gt;"", J30+M30),"")</f>
        <v/>
      </c>
      <c r="O30" s="20" t="str">
        <f>IF(D30&lt;&gt;"", D30*_xlfn.XLOOKUP(E30,lookups_s60!$B$4:$B$1000,lookups_s60!$C$4:$C$1000,"",0),"")</f>
        <v/>
      </c>
      <c r="P30" s="20" t="str">
        <f t="shared" si="1"/>
        <v/>
      </c>
      <c r="Q30" s="20" t="str">
        <f>IF(D30&lt;&gt;"", D30*_xlfn.XLOOKUP(E30,lookups_s60!$B$4:$B$1000,lookups_s60!$D$4:$D$1000,"",0),"")</f>
        <v/>
      </c>
      <c r="S30" s="20" t="str" cm="1">
        <f t="array" ref="S30">IFERROR(_xlfn.IFS(E30="Double Fix",K30+_xlfn.XLOOKUP(E30,lookups_s60!$G$4:$G$1000,lookups_s60!$H$4:$H$1000,"",0), OR(E30="Double Awning (Horizontal)", E30="Double Awning (Vertical)",E30="Triple Awning (Horizontal)", E30="Triple Awning (Vertical)"), J30+_xlfn.XLOOKUP(E30,lookups_s60!$G$4:$G$1000,lookups_s60!$H$4:$H$1000,"",0), E30="Double Casement", J30+_xlfn.XLOOKUP(E30,lookups_s60!$G$4:$G$1000,lookups_s60!$H$4:$H$1000,"",0), OR(E30="Fix Awning (Vertical)", E30="Fix Awning (Horizontal)"), K30+_xlfn.XLOOKUP(E30,lookups_s60!$G$4:$G$1000,lookups_s60!$H$4:$H$1000,"",0), E30="Triple Casement", J30+_xlfn.XLOOKUP(E30,lookups_s60!$G$4:$G$1000,lookups_s60!$H$4:$H$1000,"",0)),"")</f>
        <v/>
      </c>
      <c r="T30" s="20" t="str">
        <f>IF(S30&lt;&gt;"",D30*_xlfn.XLOOKUP(E30,lookups_s60!$G$4:$G$1000,lookups_s60!$I$4:$I$1000,"",0),"")</f>
        <v/>
      </c>
      <c r="V30" s="20" t="str">
        <f>IF(_xlfn.XLOOKUP(E30,lookups_s60!$L$4:$L$1000,lookups_s60!$M$4:$M$1000,"",0)=0, "", _xlfn.XLOOKUP(E30,lookups_s60!$L$4:$L$1000,lookups_s60!$M$4:$M$1000,"",0))</f>
        <v/>
      </c>
      <c r="W30" s="20" t="str" cm="1">
        <f t="array" ref="W30">IFERROR(_xlfn.IFS(OR(E30="Fix Awning (Vertical)",E30="Fix Awning (Vertical)"),   ((J30-_xlfn.XLOOKUP(E30,lookups_s60!$L$4:$L$1000,lookups_s60!$N$4:$N$1000,"",0)-40)/2)+_xlfn.XLOOKUP(E30,lookups_s60!$L$4:$L$1000,lookups_s60!$O$4:$O$1000,"",0), V30&lt;&gt;"", J30-_xlfn.XLOOKUP(E30,lookups_s60!$L$4:$L$1000,lookups_s60!$N$4:$N$1000,"",0)+_xlfn.XLOOKUP(E30,lookups_s60!$L$4:$L$1000,lookups_s60!$O$4:$O$1000,"",0)),"")</f>
        <v/>
      </c>
      <c r="X30" s="20" t="str">
        <f>IF(_xlfn.XLOOKUP(E30,lookups_s60!$L$4:$L$1000,lookups_s60!$R$4:$R$1000,"",0)=0, "", D30*_xlfn.XLOOKUP(E30,lookups_s60!$L$4:$L$1000,lookups_s60!$R$4:$R$1000,"",0))</f>
        <v/>
      </c>
      <c r="Y30" s="22" t="str" cm="1">
        <f t="array" ref="Y30">IFERROR(_xlfn.IFS(OR(E30="Double Awning (Horizontal)", E30="Double Awning (Vertical)", E30="Triple Awning (Horizontal)", E30="Triple Awning (Vertical)", E30="Double Casement"), ((K30-_xlfn.XLOOKUP(E30,lookups_s60!$L$4:$L$1000,lookups_s60!$P$4:$P$1000,"",0)-36)/2)+_xlfn.XLOOKUP(E30,lookups_s60!$L$4:$L$1000,lookups_s60!$Q$4:$Q$1000,"",0), E30="Triple Casement",((K30-_xlfn.XLOOKUP(E30,lookups_s60!$L$4:$L$1000,lookups_s60!$P$4:$P$1000,"",0)-36-36)/3)+_xlfn.XLOOKUP(E30,lookups_s60!$L$4:$L$1000,lookups_s60!$Q$4:$Q$1000,"",0),V30&lt;&gt;"",K30-_xlfn.XLOOKUP(E30,lookups_s60!$L$4:$L$1000,lookups_s60!$P$4:$P$1000,"",0)+_xlfn.XLOOKUP(E30,lookups_s60!$L$4:$L$1000,lookups_s60!$Q$4:$Q$1000,"",0)),"")</f>
        <v/>
      </c>
      <c r="Z30" s="20" t="str">
        <f>IF(_xlfn.XLOOKUP(E30,lookups_s60!$L$4:$L$1000,lookups_s60!$R$4:$R$1000,"",0)=0, "", D30*_xlfn.XLOOKUP(E30,lookups_s60!$L$4:$L$1000,lookups_s60!$R$4:$R$1000,"",0))</f>
        <v/>
      </c>
      <c r="AB30" s="20" t="str" cm="1">
        <f t="array" ref="AB30">IFERROR(_xlfn.IFS(OR(E30="Fix", E30="Double Fix"),J30-_xlfn.XLOOKUP(E30,lookups_s60!$U$4:$U$1000,lookups_s60!$V$4:$V$1000,"",0),OR(E30="Fix Awning (Vertical)", E30="Fix Awning (Horizontal)"),(J30-_xlfn.XLOOKUP(E30,lookups_s60!$U$4:$U$1000,lookups_s60!$V$4:$V$1000,"",0)-40)/2),"")</f>
        <v/>
      </c>
      <c r="AC30" s="20" t="str">
        <f>IF(_xlfn.XLOOKUP(E30,lookups_s60!$U$4:$U$1000,lookups_s60!$X$4:$X$1000,"",0)=0,"",D30*_xlfn.XLOOKUP(E30,lookups_s60!$U$4:$U$1000,lookups_s60!$X$4:$X$1000,"",0))</f>
        <v/>
      </c>
      <c r="AD30" s="20" t="str">
        <f>IF(OR(E30="Fix", E30="Double Fix", E30="Fix Awning (Vertical)", E30="Fix Awning (Horizontal)"), K30-_xlfn.XLOOKUP(E30,lookups_s60!$U$4:$U$1000,lookups_s60!$W$4:$W$1000,"",0), "")</f>
        <v/>
      </c>
      <c r="AE30" s="20" t="str">
        <f>IF(_xlfn.XLOOKUP(E30,lookups_s60!$U$4:$U$1000,lookups_s60!$X$4:$X$1000,"",0)=0,"",D30*_xlfn.XLOOKUP(E30,lookups_s60!$U$4:$U$1000,lookups_s60!$Y$4:$Y$1000,"",0))</f>
        <v/>
      </c>
      <c r="AG30" s="24" t="str">
        <f>IF(W30&lt;&gt;"", W30-_xlfn.XLOOKUP(E30,lookups_s60!$U$4:$U$1000,lookups_s60!$Z$4:$Z$1000,"",0)-IF(E30="Awning", 5,0),"")</f>
        <v/>
      </c>
      <c r="AH30" s="20" t="str">
        <f>IF(_xlfn.XLOOKUP(E30,lookups_s60!$U$4:$U$1000,lookups_s60!$AB$4:$AB$1000,"",0)=0,"",D30*_xlfn.XLOOKUP(E30,lookups_s60!$U$4:$U$1000,lookups_s60!$AB$4:$AB$1000,"",0))</f>
        <v/>
      </c>
      <c r="AI30" s="22" t="str">
        <f>IF(Y30&lt;&gt;"", Y30-_xlfn.XLOOKUP(E30,lookups_s60!$U$4:$U$1000,lookups_s60!$AA$4:$AA$1000,"",0),"")</f>
        <v/>
      </c>
      <c r="AJ30" s="20" t="str">
        <f>IF(_xlfn.XLOOKUP(E30,lookups_s60!$U$4:$U$1000,lookups_s60!$AC$4:$AC$1000,"",0)=0,"",D30*_xlfn.XLOOKUP(E30,lookups_s60!$U$4:$U$1000,lookups_s60!$AC$4:$AC$1000,"",0))</f>
        <v/>
      </c>
      <c r="AL30" s="20" t="str">
        <f>IF(C30&lt;&gt;"", N30-_xlfn.XLOOKUP(E30,lookups_s60!$AF$4:$AF$1000,lookups_s60!$AG$4:$AG$1000,"",0),"")</f>
        <v/>
      </c>
      <c r="AM30" s="20" t="str">
        <f>IF(_xlfn.XLOOKUP(E30,lookups_s60!$AF$4:$AF$1000,lookups_s60!$AH$4:$AH$1000,"",0)=0,"",D30*_xlfn.XLOOKUP(E30,lookups_s60!$AF$4:$AF$1000,lookups_s60!$AH$4:$AH$1000,"",0))</f>
        <v/>
      </c>
      <c r="AN30" s="20" t="str">
        <f>IF(C30&lt;&gt;"", P30-_xlfn.XLOOKUP(E30,lookups_s60!$AF$4:$AF$1000,lookups_s60!$AG$4:$AG$1000,"",0),"")</f>
        <v/>
      </c>
      <c r="AO30" s="20" t="str">
        <f>IFERROR(IF(_xlfn.XLOOKUP(E30,lookups_s60!$AF$4:$AF$1000,lookups_s60!$AI$4:$AI$1000,"",0)=0,"",D30*_xlfn.XLOOKUP(E30,lookups_s60!$AF$4:$AF$1000,lookups_s60!$AI$4:$AI$1000,"",0)),"")</f>
        <v/>
      </c>
      <c r="AQ30" s="20" t="str">
        <f>IF(W30&lt;&gt;"", W30-_xlfn.XLOOKUP(E30,lookups_s60!$AF$4:$AF$1000,lookups_s60!$AJ$4:$AJ$1000,"",0),"")</f>
        <v/>
      </c>
      <c r="AR30" s="20" t="str">
        <f>IFERROR(IF(_xlfn.XLOOKUP(E30,lookups_s60!$AF$4:$AF$1000,lookups_s60!$AK$4:$AK$1000,"",0)=0,"",D30*_xlfn.XLOOKUP(E30,lookups_s60!$AF$4:$AF$1000,lookups_s60!$AK$4:$AK$1000,"",0)),"")</f>
        <v/>
      </c>
      <c r="AS30" s="20" t="str">
        <f>IF(Y30&lt;&gt;"", Y30-_xlfn.XLOOKUP(E30,lookups_s60!$AF$4:$AF$1000,lookups_s60!$AJ$4:$AJ$1000,"",0),"")</f>
        <v/>
      </c>
      <c r="AT30" s="20" t="str">
        <f>IFERROR(IF(_xlfn.XLOOKUP(E30,lookups_s60!$AF$4:$AF$1000,lookups_s60!$AL$4:$AL$1000,"",0)=0,"",D30*_xlfn.XLOOKUP(E30,lookups_s60!$AF$4:$AF$1000,lookups_s60!$AL$4:$AL$1000,"",0)),"")</f>
        <v/>
      </c>
      <c r="AV30" s="20" t="str">
        <f>IF(S30&lt;&gt;"", S30-_xlfn.XLOOKUP(E30,lookups_s60!$AF$4:$AF$1000,lookups_s60!$AM$4:$AM$1000,"",0),"")</f>
        <v/>
      </c>
      <c r="AW30" s="20" t="str">
        <f>IFERROR(IF(_xlfn.XLOOKUP(E30,lookups_s60!$AF$4:$AF$1000,lookups_s60!$AN$4:$AN$1000,"",0)=0,"",D30*_xlfn.XLOOKUP(E30,lookups_s60!$AF$4:$AF$1000,lookups_s60!$AN$4:$AN$1000,"",0)),"")</f>
        <v/>
      </c>
      <c r="AY30" s="20" t="str" cm="1">
        <f t="array" ref="AY30">IFERROR(_xlfn.IFS(E30="Fix", J30-_xlfn.XLOOKUP(E30,lookups_s60!$AQ$4:$AQ$1000,lookups_s60!$AR$4:$AR$1000,"",0)-_xlfn.XLOOKUP(E30,lookups_s60!$AQ$4:$AQ$1000,lookups_s60!$AS$4:$AS$1000,"",0), E30="Double Fix", (J30-_xlfn.XLOOKUP(E30,lookups_s60!$AQ$4:$AQ$1000,lookups_s60!$AR$4:$AR$1000,"",0)-_xlfn.XLOOKUP(E30,lookups_s60!$G$4:$G$1000,lookups_s60!$H$4:$H$1000,"",0))/2-_xlfn.XLOOKUP(E30,lookups_s60!$AQ$4:$AQ$1000,lookups_s60!$AS$4:$AS$1000,"",0), OR(E30="Fix Awning (Vertical)",E30="Fix Awning (Horizontal)"),  (J30-_xlfn.XLOOKUP(E30,lookups_s60!$AQ$4:$AQ$1000,lookups_s60!$AR$4:$AR$1000,"",0)-40)/2-_xlfn.XLOOKUP(E30,lookups_s60!$AQ$4:$AQ$1000,lookups_s60!$AS$4:$AS$1000,"",0)),"")</f>
        <v/>
      </c>
      <c r="AZ30" s="20" t="str">
        <f>IFERROR(IF(C30&lt;&gt;"", K30-_xlfn.XLOOKUP(E30,lookups_s60!$AQ$4:$AQ$1000,lookups_s60!$AT$4:$AT$1000,"",0)-_xlfn.XLOOKUP(E30,lookups_s60!$AQ$4:$AQ$1000,lookups_s60!$AU$4:$AU$1000,"",0),""),"")</f>
        <v/>
      </c>
      <c r="BA30" s="20" t="str">
        <f t="shared" si="2"/>
        <v/>
      </c>
      <c r="BC30" s="20" t="str" cm="1">
        <f t="array" ref="BC30">IFERROR(_xlfn.IFS(E30="Awning",AQ30-_xlfn.XLOOKUP(E30,lookups_s60!$AQ$4:$AQ$1000,lookups_s60!$AV$4:$AV$1000,"",0)-_xlfn.XLOOKUP(E30,lookups_s60!$AQ$4:$AQ$1000,lookups_s60!$AW$4:$AW$1000,"",0),C30&lt;&gt;"",W30-_xlfn.XLOOKUP(E30,lookups_s60!$AQ$4:$AQ$1000,lookups_s60!$AV$4:$AV$1000,"",0)-_xlfn.XLOOKUP(E30,lookups_s60!$AQ$4:$AQ$1000,lookups_s60!$AW$4:$AW$1000,"",0)),"")</f>
        <v/>
      </c>
      <c r="BD30" s="20" t="str" cm="1">
        <f t="array" ref="BD30">IFERROR(_xlfn.IFS(E30="Awning",AS30-_xlfn.XLOOKUP(E30,lookups_s60!$AQ$4:$AQ$1000,lookups_s60!$AX$4:$AX$1000,"",0)-_xlfn.XLOOKUP(E30,lookups_s60!$AQ$4:$AQ$1000,lookups_s60!$AY$4:$AY$1000,"",0),C30&lt;&gt;"",Y30-_xlfn.XLOOKUP(E30,lookups_s60!$AQ$4:$AQ$1000,lookups_s60!$AX$4:$AX$1000,"",0)-_xlfn.XLOOKUP(E30,lookups_s60!$AQ$4:$AQ$1000,lookups_s60!$AY$4:$AY$1000,"",0)),"")</f>
        <v/>
      </c>
      <c r="BE30" s="20" t="str">
        <f>IF(BC30&lt;&gt;"", _xlfn.XLOOKUP(E30,lookups_s60!$AQ$4:$AQ$1000,lookups_s60!$AZ$4:$AZ$1000,"",0)*D30,"")</f>
        <v/>
      </c>
      <c r="BG30" s="20" t="str">
        <f t="shared" si="3"/>
        <v/>
      </c>
      <c r="BH30" s="22" t="str">
        <f t="shared" si="4"/>
        <v/>
      </c>
      <c r="BI30" s="20" t="str">
        <f t="shared" si="5"/>
        <v/>
      </c>
      <c r="BJ30" s="20" t="str">
        <f t="shared" si="6"/>
        <v/>
      </c>
      <c r="BK30" s="20" t="str">
        <f t="shared" si="7"/>
        <v/>
      </c>
    </row>
    <row r="31" spans="3:63" x14ac:dyDescent="0.25">
      <c r="C31" s="16"/>
      <c r="D31" s="16"/>
      <c r="E31" s="16"/>
      <c r="F31" s="16"/>
      <c r="G31" s="16"/>
      <c r="H31" s="16"/>
      <c r="I31" s="16"/>
      <c r="J31" s="16"/>
      <c r="K31" s="16"/>
      <c r="M31" s="20" t="str">
        <f t="shared" si="0"/>
        <v/>
      </c>
      <c r="N31" s="20" t="str" cm="1">
        <f t="array" ref="N31">IFERROR(_xlfn.IFS(OR(E31="Fix Awning (Vertical)", E31="Fix Awning (Horizontal)"), J31/2+20,C31&lt;&gt;"", J31+M31),"")</f>
        <v/>
      </c>
      <c r="O31" s="20" t="str">
        <f>IF(D31&lt;&gt;"", D31*_xlfn.XLOOKUP(E31,lookups_s60!$B$4:$B$1000,lookups_s60!$C$4:$C$1000,"",0),"")</f>
        <v/>
      </c>
      <c r="P31" s="20" t="str">
        <f t="shared" si="1"/>
        <v/>
      </c>
      <c r="Q31" s="20" t="str">
        <f>IF(D31&lt;&gt;"", D31*_xlfn.XLOOKUP(E31,lookups_s60!$B$4:$B$1000,lookups_s60!$D$4:$D$1000,"",0),"")</f>
        <v/>
      </c>
      <c r="S31" s="20" t="str" cm="1">
        <f t="array" ref="S31">IFERROR(_xlfn.IFS(E31="Double Fix",K31+_xlfn.XLOOKUP(E31,lookups_s60!$G$4:$G$1000,lookups_s60!$H$4:$H$1000,"",0), OR(E31="Double Awning (Horizontal)", E31="Double Awning (Vertical)",E31="Triple Awning (Horizontal)", E31="Triple Awning (Vertical)"), J31+_xlfn.XLOOKUP(E31,lookups_s60!$G$4:$G$1000,lookups_s60!$H$4:$H$1000,"",0), E31="Double Casement", J31+_xlfn.XLOOKUP(E31,lookups_s60!$G$4:$G$1000,lookups_s60!$H$4:$H$1000,"",0), OR(E31="Fix Awning (Vertical)", E31="Fix Awning (Horizontal)"), K31+_xlfn.XLOOKUP(E31,lookups_s60!$G$4:$G$1000,lookups_s60!$H$4:$H$1000,"",0), E31="Triple Casement", J31+_xlfn.XLOOKUP(E31,lookups_s60!$G$4:$G$1000,lookups_s60!$H$4:$H$1000,"",0)),"")</f>
        <v/>
      </c>
      <c r="T31" s="20" t="str">
        <f>IF(S31&lt;&gt;"",D31*_xlfn.XLOOKUP(E31,lookups_s60!$G$4:$G$1000,lookups_s60!$I$4:$I$1000,"",0),"")</f>
        <v/>
      </c>
      <c r="V31" s="20" t="str">
        <f>IF(_xlfn.XLOOKUP(E31,lookups_s60!$L$4:$L$1000,lookups_s60!$M$4:$M$1000,"",0)=0, "", _xlfn.XLOOKUP(E31,lookups_s60!$L$4:$L$1000,lookups_s60!$M$4:$M$1000,"",0))</f>
        <v/>
      </c>
      <c r="W31" s="20" t="str" cm="1">
        <f t="array" ref="W31">IFERROR(_xlfn.IFS(OR(E31="Fix Awning (Vertical)",E31="Fix Awning (Vertical)"),   ((J31-_xlfn.XLOOKUP(E31,lookups_s60!$L$4:$L$1000,lookups_s60!$N$4:$N$1000,"",0)-40)/2)+_xlfn.XLOOKUP(E31,lookups_s60!$L$4:$L$1000,lookups_s60!$O$4:$O$1000,"",0), V31&lt;&gt;"", J31-_xlfn.XLOOKUP(E31,lookups_s60!$L$4:$L$1000,lookups_s60!$N$4:$N$1000,"",0)+_xlfn.XLOOKUP(E31,lookups_s60!$L$4:$L$1000,lookups_s60!$O$4:$O$1000,"",0)),"")</f>
        <v/>
      </c>
      <c r="X31" s="20" t="str">
        <f>IF(_xlfn.XLOOKUP(E31,lookups_s60!$L$4:$L$1000,lookups_s60!$R$4:$R$1000,"",0)=0, "", D31*_xlfn.XLOOKUP(E31,lookups_s60!$L$4:$L$1000,lookups_s60!$R$4:$R$1000,"",0))</f>
        <v/>
      </c>
      <c r="Y31" s="22" t="str" cm="1">
        <f t="array" ref="Y31">IFERROR(_xlfn.IFS(OR(E31="Double Awning (Horizontal)", E31="Double Awning (Vertical)", E31="Triple Awning (Horizontal)", E31="Triple Awning (Vertical)", E31="Double Casement"), ((K31-_xlfn.XLOOKUP(E31,lookups_s60!$L$4:$L$1000,lookups_s60!$P$4:$P$1000,"",0)-36)/2)+_xlfn.XLOOKUP(E31,lookups_s60!$L$4:$L$1000,lookups_s60!$Q$4:$Q$1000,"",0), E31="Triple Casement",((K31-_xlfn.XLOOKUP(E31,lookups_s60!$L$4:$L$1000,lookups_s60!$P$4:$P$1000,"",0)-36-36)/3)+_xlfn.XLOOKUP(E31,lookups_s60!$L$4:$L$1000,lookups_s60!$Q$4:$Q$1000,"",0),V31&lt;&gt;"",K31-_xlfn.XLOOKUP(E31,lookups_s60!$L$4:$L$1000,lookups_s60!$P$4:$P$1000,"",0)+_xlfn.XLOOKUP(E31,lookups_s60!$L$4:$L$1000,lookups_s60!$Q$4:$Q$1000,"",0)),"")</f>
        <v/>
      </c>
      <c r="Z31" s="20" t="str">
        <f>IF(_xlfn.XLOOKUP(E31,lookups_s60!$L$4:$L$1000,lookups_s60!$R$4:$R$1000,"",0)=0, "", D31*_xlfn.XLOOKUP(E31,lookups_s60!$L$4:$L$1000,lookups_s60!$R$4:$R$1000,"",0))</f>
        <v/>
      </c>
      <c r="AB31" s="20" t="str" cm="1">
        <f t="array" ref="AB31">IFERROR(_xlfn.IFS(OR(E31="Fix", E31="Double Fix"),J31-_xlfn.XLOOKUP(E31,lookups_s60!$U$4:$U$1000,lookups_s60!$V$4:$V$1000,"",0),OR(E31="Fix Awning (Vertical)", E31="Fix Awning (Horizontal)"),(J31-_xlfn.XLOOKUP(E31,lookups_s60!$U$4:$U$1000,lookups_s60!$V$4:$V$1000,"",0)-40)/2),"")</f>
        <v/>
      </c>
      <c r="AC31" s="20" t="str">
        <f>IF(_xlfn.XLOOKUP(E31,lookups_s60!$U$4:$U$1000,lookups_s60!$X$4:$X$1000,"",0)=0,"",D31*_xlfn.XLOOKUP(E31,lookups_s60!$U$4:$U$1000,lookups_s60!$X$4:$X$1000,"",0))</f>
        <v/>
      </c>
      <c r="AD31" s="20" t="str">
        <f>IF(OR(E31="Fix", E31="Double Fix", E31="Fix Awning (Vertical)", E31="Fix Awning (Horizontal)"), K31-_xlfn.XLOOKUP(E31,lookups_s60!$U$4:$U$1000,lookups_s60!$W$4:$W$1000,"",0), "")</f>
        <v/>
      </c>
      <c r="AE31" s="20" t="str">
        <f>IF(_xlfn.XLOOKUP(E31,lookups_s60!$U$4:$U$1000,lookups_s60!$X$4:$X$1000,"",0)=0,"",D31*_xlfn.XLOOKUP(E31,lookups_s60!$U$4:$U$1000,lookups_s60!$Y$4:$Y$1000,"",0))</f>
        <v/>
      </c>
      <c r="AG31" s="24" t="str">
        <f>IF(W31&lt;&gt;"", W31-_xlfn.XLOOKUP(E31,lookups_s60!$U$4:$U$1000,lookups_s60!$Z$4:$Z$1000,"",0)-IF(E31="Awning", 5,0),"")</f>
        <v/>
      </c>
      <c r="AH31" s="20" t="str">
        <f>IF(_xlfn.XLOOKUP(E31,lookups_s60!$U$4:$U$1000,lookups_s60!$AB$4:$AB$1000,"",0)=0,"",D31*_xlfn.XLOOKUP(E31,lookups_s60!$U$4:$U$1000,lookups_s60!$AB$4:$AB$1000,"",0))</f>
        <v/>
      </c>
      <c r="AI31" s="22" t="str">
        <f>IF(Y31&lt;&gt;"", Y31-_xlfn.XLOOKUP(E31,lookups_s60!$U$4:$U$1000,lookups_s60!$AA$4:$AA$1000,"",0),"")</f>
        <v/>
      </c>
      <c r="AJ31" s="20" t="str">
        <f>IF(_xlfn.XLOOKUP(E31,lookups_s60!$U$4:$U$1000,lookups_s60!$AC$4:$AC$1000,"",0)=0,"",D31*_xlfn.XLOOKUP(E31,lookups_s60!$U$4:$U$1000,lookups_s60!$AC$4:$AC$1000,"",0))</f>
        <v/>
      </c>
      <c r="AL31" s="20" t="str">
        <f>IF(C31&lt;&gt;"", N31-_xlfn.XLOOKUP(E31,lookups_s60!$AF$4:$AF$1000,lookups_s60!$AG$4:$AG$1000,"",0),"")</f>
        <v/>
      </c>
      <c r="AM31" s="20" t="str">
        <f>IF(_xlfn.XLOOKUP(E31,lookups_s60!$AF$4:$AF$1000,lookups_s60!$AH$4:$AH$1000,"",0)=0,"",D31*_xlfn.XLOOKUP(E31,lookups_s60!$AF$4:$AF$1000,lookups_s60!$AH$4:$AH$1000,"",0))</f>
        <v/>
      </c>
      <c r="AN31" s="20" t="str">
        <f>IF(C31&lt;&gt;"", P31-_xlfn.XLOOKUP(E31,lookups_s60!$AF$4:$AF$1000,lookups_s60!$AG$4:$AG$1000,"",0),"")</f>
        <v/>
      </c>
      <c r="AO31" s="20" t="str">
        <f>IFERROR(IF(_xlfn.XLOOKUP(E31,lookups_s60!$AF$4:$AF$1000,lookups_s60!$AI$4:$AI$1000,"",0)=0,"",D31*_xlfn.XLOOKUP(E31,lookups_s60!$AF$4:$AF$1000,lookups_s60!$AI$4:$AI$1000,"",0)),"")</f>
        <v/>
      </c>
      <c r="AQ31" s="20" t="str">
        <f>IF(W31&lt;&gt;"", W31-_xlfn.XLOOKUP(E31,lookups_s60!$AF$4:$AF$1000,lookups_s60!$AJ$4:$AJ$1000,"",0),"")</f>
        <v/>
      </c>
      <c r="AR31" s="20" t="str">
        <f>IFERROR(IF(_xlfn.XLOOKUP(E31,lookups_s60!$AF$4:$AF$1000,lookups_s60!$AK$4:$AK$1000,"",0)=0,"",D31*_xlfn.XLOOKUP(E31,lookups_s60!$AF$4:$AF$1000,lookups_s60!$AK$4:$AK$1000,"",0)),"")</f>
        <v/>
      </c>
      <c r="AS31" s="20" t="str">
        <f>IF(Y31&lt;&gt;"", Y31-_xlfn.XLOOKUP(E31,lookups_s60!$AF$4:$AF$1000,lookups_s60!$AJ$4:$AJ$1000,"",0),"")</f>
        <v/>
      </c>
      <c r="AT31" s="20" t="str">
        <f>IFERROR(IF(_xlfn.XLOOKUP(E31,lookups_s60!$AF$4:$AF$1000,lookups_s60!$AL$4:$AL$1000,"",0)=0,"",D31*_xlfn.XLOOKUP(E31,lookups_s60!$AF$4:$AF$1000,lookups_s60!$AL$4:$AL$1000,"",0)),"")</f>
        <v/>
      </c>
      <c r="AV31" s="20" t="str">
        <f>IF(S31&lt;&gt;"", S31-_xlfn.XLOOKUP(E31,lookups_s60!$AF$4:$AF$1000,lookups_s60!$AM$4:$AM$1000,"",0),"")</f>
        <v/>
      </c>
      <c r="AW31" s="20" t="str">
        <f>IFERROR(IF(_xlfn.XLOOKUP(E31,lookups_s60!$AF$4:$AF$1000,lookups_s60!$AN$4:$AN$1000,"",0)=0,"",D31*_xlfn.XLOOKUP(E31,lookups_s60!$AF$4:$AF$1000,lookups_s60!$AN$4:$AN$1000,"",0)),"")</f>
        <v/>
      </c>
      <c r="AY31" s="20" t="str" cm="1">
        <f t="array" ref="AY31">IFERROR(_xlfn.IFS(E31="Fix", J31-_xlfn.XLOOKUP(E31,lookups_s60!$AQ$4:$AQ$1000,lookups_s60!$AR$4:$AR$1000,"",0)-_xlfn.XLOOKUP(E31,lookups_s60!$AQ$4:$AQ$1000,lookups_s60!$AS$4:$AS$1000,"",0), E31="Double Fix", (J31-_xlfn.XLOOKUP(E31,lookups_s60!$AQ$4:$AQ$1000,lookups_s60!$AR$4:$AR$1000,"",0)-_xlfn.XLOOKUP(E31,lookups_s60!$G$4:$G$1000,lookups_s60!$H$4:$H$1000,"",0))/2-_xlfn.XLOOKUP(E31,lookups_s60!$AQ$4:$AQ$1000,lookups_s60!$AS$4:$AS$1000,"",0), OR(E31="Fix Awning (Vertical)",E31="Fix Awning (Horizontal)"),  (J31-_xlfn.XLOOKUP(E31,lookups_s60!$AQ$4:$AQ$1000,lookups_s60!$AR$4:$AR$1000,"",0)-40)/2-_xlfn.XLOOKUP(E31,lookups_s60!$AQ$4:$AQ$1000,lookups_s60!$AS$4:$AS$1000,"",0)),"")</f>
        <v/>
      </c>
      <c r="AZ31" s="20" t="str">
        <f>IFERROR(IF(C31&lt;&gt;"", K31-_xlfn.XLOOKUP(E31,lookups_s60!$AQ$4:$AQ$1000,lookups_s60!$AT$4:$AT$1000,"",0)-_xlfn.XLOOKUP(E31,lookups_s60!$AQ$4:$AQ$1000,lookups_s60!$AU$4:$AU$1000,"",0),""),"")</f>
        <v/>
      </c>
      <c r="BA31" s="20" t="str">
        <f t="shared" si="2"/>
        <v/>
      </c>
      <c r="BC31" s="20" t="str" cm="1">
        <f t="array" ref="BC31">IFERROR(_xlfn.IFS(E31="Awning",AQ31-_xlfn.XLOOKUP(E31,lookups_s60!$AQ$4:$AQ$1000,lookups_s60!$AV$4:$AV$1000,"",0)-_xlfn.XLOOKUP(E31,lookups_s60!$AQ$4:$AQ$1000,lookups_s60!$AW$4:$AW$1000,"",0),C31&lt;&gt;"",W31-_xlfn.XLOOKUP(E31,lookups_s60!$AQ$4:$AQ$1000,lookups_s60!$AV$4:$AV$1000,"",0)-_xlfn.XLOOKUP(E31,lookups_s60!$AQ$4:$AQ$1000,lookups_s60!$AW$4:$AW$1000,"",0)),"")</f>
        <v/>
      </c>
      <c r="BD31" s="20" t="str" cm="1">
        <f t="array" ref="BD31">IFERROR(_xlfn.IFS(E31="Awning",AS31-_xlfn.XLOOKUP(E31,lookups_s60!$AQ$4:$AQ$1000,lookups_s60!$AX$4:$AX$1000,"",0)-_xlfn.XLOOKUP(E31,lookups_s60!$AQ$4:$AQ$1000,lookups_s60!$AY$4:$AY$1000,"",0),C31&lt;&gt;"",Y31-_xlfn.XLOOKUP(E31,lookups_s60!$AQ$4:$AQ$1000,lookups_s60!$AX$4:$AX$1000,"",0)-_xlfn.XLOOKUP(E31,lookups_s60!$AQ$4:$AQ$1000,lookups_s60!$AY$4:$AY$1000,"",0)),"")</f>
        <v/>
      </c>
      <c r="BE31" s="20" t="str">
        <f>IF(BC31&lt;&gt;"", _xlfn.XLOOKUP(E31,lookups_s60!$AQ$4:$AQ$1000,lookups_s60!$AZ$4:$AZ$1000,"",0)*D31,"")</f>
        <v/>
      </c>
      <c r="BG31" s="20" t="str">
        <f t="shared" si="3"/>
        <v/>
      </c>
      <c r="BH31" s="22" t="str">
        <f t="shared" si="4"/>
        <v/>
      </c>
      <c r="BI31" s="20" t="str">
        <f t="shared" si="5"/>
        <v/>
      </c>
      <c r="BJ31" s="20" t="str">
        <f t="shared" si="6"/>
        <v/>
      </c>
      <c r="BK31" s="20" t="str">
        <f t="shared" si="7"/>
        <v/>
      </c>
    </row>
    <row r="32" spans="3:63" x14ac:dyDescent="0.25">
      <c r="C32" s="16"/>
      <c r="D32" s="16"/>
      <c r="E32" s="16"/>
      <c r="F32" s="16"/>
      <c r="G32" s="16"/>
      <c r="H32" s="16"/>
      <c r="I32" s="16"/>
      <c r="J32" s="16"/>
      <c r="K32" s="16"/>
      <c r="M32" s="20" t="str">
        <f t="shared" si="0"/>
        <v/>
      </c>
      <c r="N32" s="20" t="str" cm="1">
        <f t="array" ref="N32">IFERROR(_xlfn.IFS(OR(E32="Fix Awning (Vertical)", E32="Fix Awning (Horizontal)"), J32/2+20,C32&lt;&gt;"", J32+M32),"")</f>
        <v/>
      </c>
      <c r="O32" s="20" t="str">
        <f>IF(D32&lt;&gt;"", D32*_xlfn.XLOOKUP(E32,lookups_s60!$B$4:$B$1000,lookups_s60!$C$4:$C$1000,"",0),"")</f>
        <v/>
      </c>
      <c r="P32" s="20" t="str">
        <f t="shared" si="1"/>
        <v/>
      </c>
      <c r="Q32" s="20" t="str">
        <f>IF(D32&lt;&gt;"", D32*_xlfn.XLOOKUP(E32,lookups_s60!$B$4:$B$1000,lookups_s60!$D$4:$D$1000,"",0),"")</f>
        <v/>
      </c>
      <c r="S32" s="20" t="str" cm="1">
        <f t="array" ref="S32">IFERROR(_xlfn.IFS(E32="Double Fix",K32+_xlfn.XLOOKUP(E32,lookups_s60!$G$4:$G$1000,lookups_s60!$H$4:$H$1000,"",0), OR(E32="Double Awning (Horizontal)", E32="Double Awning (Vertical)",E32="Triple Awning (Horizontal)", E32="Triple Awning (Vertical)"), J32+_xlfn.XLOOKUP(E32,lookups_s60!$G$4:$G$1000,lookups_s60!$H$4:$H$1000,"",0), E32="Double Casement", J32+_xlfn.XLOOKUP(E32,lookups_s60!$G$4:$G$1000,lookups_s60!$H$4:$H$1000,"",0), OR(E32="Fix Awning (Vertical)", E32="Fix Awning (Horizontal)"), K32+_xlfn.XLOOKUP(E32,lookups_s60!$G$4:$G$1000,lookups_s60!$H$4:$H$1000,"",0), E32="Triple Casement", J32+_xlfn.XLOOKUP(E32,lookups_s60!$G$4:$G$1000,lookups_s60!$H$4:$H$1000,"",0)),"")</f>
        <v/>
      </c>
      <c r="T32" s="20" t="str">
        <f>IF(S32&lt;&gt;"",D32*_xlfn.XLOOKUP(E32,lookups_s60!$G$4:$G$1000,lookups_s60!$I$4:$I$1000,"",0),"")</f>
        <v/>
      </c>
      <c r="V32" s="20" t="str">
        <f>IF(_xlfn.XLOOKUP(E32,lookups_s60!$L$4:$L$1000,lookups_s60!$M$4:$M$1000,"",0)=0, "", _xlfn.XLOOKUP(E32,lookups_s60!$L$4:$L$1000,lookups_s60!$M$4:$M$1000,"",0))</f>
        <v/>
      </c>
      <c r="W32" s="20" t="str" cm="1">
        <f t="array" ref="W32">IFERROR(_xlfn.IFS(OR(E32="Fix Awning (Vertical)",E32="Fix Awning (Vertical)"),   ((J32-_xlfn.XLOOKUP(E32,lookups_s60!$L$4:$L$1000,lookups_s60!$N$4:$N$1000,"",0)-40)/2)+_xlfn.XLOOKUP(E32,lookups_s60!$L$4:$L$1000,lookups_s60!$O$4:$O$1000,"",0), V32&lt;&gt;"", J32-_xlfn.XLOOKUP(E32,lookups_s60!$L$4:$L$1000,lookups_s60!$N$4:$N$1000,"",0)+_xlfn.XLOOKUP(E32,lookups_s60!$L$4:$L$1000,lookups_s60!$O$4:$O$1000,"",0)),"")</f>
        <v/>
      </c>
      <c r="X32" s="20" t="str">
        <f>IF(_xlfn.XLOOKUP(E32,lookups_s60!$L$4:$L$1000,lookups_s60!$R$4:$R$1000,"",0)=0, "", D32*_xlfn.XLOOKUP(E32,lookups_s60!$L$4:$L$1000,lookups_s60!$R$4:$R$1000,"",0))</f>
        <v/>
      </c>
      <c r="Y32" s="22" t="str" cm="1">
        <f t="array" ref="Y32">IFERROR(_xlfn.IFS(OR(E32="Double Awning (Horizontal)", E32="Double Awning (Vertical)", E32="Triple Awning (Horizontal)", E32="Triple Awning (Vertical)", E32="Double Casement"), ((K32-_xlfn.XLOOKUP(E32,lookups_s60!$L$4:$L$1000,lookups_s60!$P$4:$P$1000,"",0)-36)/2)+_xlfn.XLOOKUP(E32,lookups_s60!$L$4:$L$1000,lookups_s60!$Q$4:$Q$1000,"",0), E32="Triple Casement",((K32-_xlfn.XLOOKUP(E32,lookups_s60!$L$4:$L$1000,lookups_s60!$P$4:$P$1000,"",0)-36-36)/3)+_xlfn.XLOOKUP(E32,lookups_s60!$L$4:$L$1000,lookups_s60!$Q$4:$Q$1000,"",0),V32&lt;&gt;"",K32-_xlfn.XLOOKUP(E32,lookups_s60!$L$4:$L$1000,lookups_s60!$P$4:$P$1000,"",0)+_xlfn.XLOOKUP(E32,lookups_s60!$L$4:$L$1000,lookups_s60!$Q$4:$Q$1000,"",0)),"")</f>
        <v/>
      </c>
      <c r="Z32" s="20" t="str">
        <f>IF(_xlfn.XLOOKUP(E32,lookups_s60!$L$4:$L$1000,lookups_s60!$R$4:$R$1000,"",0)=0, "", D32*_xlfn.XLOOKUP(E32,lookups_s60!$L$4:$L$1000,lookups_s60!$R$4:$R$1000,"",0))</f>
        <v/>
      </c>
      <c r="AB32" s="20" t="str" cm="1">
        <f t="array" ref="AB32">IFERROR(_xlfn.IFS(OR(E32="Fix", E32="Double Fix"),J32-_xlfn.XLOOKUP(E32,lookups_s60!$U$4:$U$1000,lookups_s60!$V$4:$V$1000,"",0),OR(E32="Fix Awning (Vertical)", E32="Fix Awning (Horizontal)"),(J32-_xlfn.XLOOKUP(E32,lookups_s60!$U$4:$U$1000,lookups_s60!$V$4:$V$1000,"",0)-40)/2),"")</f>
        <v/>
      </c>
      <c r="AC32" s="20" t="str">
        <f>IF(_xlfn.XLOOKUP(E32,lookups_s60!$U$4:$U$1000,lookups_s60!$X$4:$X$1000,"",0)=0,"",D32*_xlfn.XLOOKUP(E32,lookups_s60!$U$4:$U$1000,lookups_s60!$X$4:$X$1000,"",0))</f>
        <v/>
      </c>
      <c r="AD32" s="20" t="str">
        <f>IF(OR(E32="Fix", E32="Double Fix", E32="Fix Awning (Vertical)", E32="Fix Awning (Horizontal)"), K32-_xlfn.XLOOKUP(E32,lookups_s60!$U$4:$U$1000,lookups_s60!$W$4:$W$1000,"",0), "")</f>
        <v/>
      </c>
      <c r="AE32" s="20" t="str">
        <f>IF(_xlfn.XLOOKUP(E32,lookups_s60!$U$4:$U$1000,lookups_s60!$X$4:$X$1000,"",0)=0,"",D32*_xlfn.XLOOKUP(E32,lookups_s60!$U$4:$U$1000,lookups_s60!$Y$4:$Y$1000,"",0))</f>
        <v/>
      </c>
      <c r="AG32" s="24" t="str">
        <f>IF(W32&lt;&gt;"", W32-_xlfn.XLOOKUP(E32,lookups_s60!$U$4:$U$1000,lookups_s60!$Z$4:$Z$1000,"",0)-IF(E32="Awning", 5,0),"")</f>
        <v/>
      </c>
      <c r="AH32" s="20" t="str">
        <f>IF(_xlfn.XLOOKUP(E32,lookups_s60!$U$4:$U$1000,lookups_s60!$AB$4:$AB$1000,"",0)=0,"",D32*_xlfn.XLOOKUP(E32,lookups_s60!$U$4:$U$1000,lookups_s60!$AB$4:$AB$1000,"",0))</f>
        <v/>
      </c>
      <c r="AI32" s="22" t="str">
        <f>IF(Y32&lt;&gt;"", Y32-_xlfn.XLOOKUP(E32,lookups_s60!$U$4:$U$1000,lookups_s60!$AA$4:$AA$1000,"",0),"")</f>
        <v/>
      </c>
      <c r="AJ32" s="20" t="str">
        <f>IF(_xlfn.XLOOKUP(E32,lookups_s60!$U$4:$U$1000,lookups_s60!$AC$4:$AC$1000,"",0)=0,"",D32*_xlfn.XLOOKUP(E32,lookups_s60!$U$4:$U$1000,lookups_s60!$AC$4:$AC$1000,"",0))</f>
        <v/>
      </c>
      <c r="AL32" s="20" t="str">
        <f>IF(C32&lt;&gt;"", N32-_xlfn.XLOOKUP(E32,lookups_s60!$AF$4:$AF$1000,lookups_s60!$AG$4:$AG$1000,"",0),"")</f>
        <v/>
      </c>
      <c r="AM32" s="20" t="str">
        <f>IF(_xlfn.XLOOKUP(E32,lookups_s60!$AF$4:$AF$1000,lookups_s60!$AH$4:$AH$1000,"",0)=0,"",D32*_xlfn.XLOOKUP(E32,lookups_s60!$AF$4:$AF$1000,lookups_s60!$AH$4:$AH$1000,"",0))</f>
        <v/>
      </c>
      <c r="AN32" s="20" t="str">
        <f>IF(C32&lt;&gt;"", P32-_xlfn.XLOOKUP(E32,lookups_s60!$AF$4:$AF$1000,lookups_s60!$AG$4:$AG$1000,"",0),"")</f>
        <v/>
      </c>
      <c r="AO32" s="20" t="str">
        <f>IFERROR(IF(_xlfn.XLOOKUP(E32,lookups_s60!$AF$4:$AF$1000,lookups_s60!$AI$4:$AI$1000,"",0)=0,"",D32*_xlfn.XLOOKUP(E32,lookups_s60!$AF$4:$AF$1000,lookups_s60!$AI$4:$AI$1000,"",0)),"")</f>
        <v/>
      </c>
      <c r="AQ32" s="20" t="str">
        <f>IF(W32&lt;&gt;"", W32-_xlfn.XLOOKUP(E32,lookups_s60!$AF$4:$AF$1000,lookups_s60!$AJ$4:$AJ$1000,"",0),"")</f>
        <v/>
      </c>
      <c r="AR32" s="20" t="str">
        <f>IFERROR(IF(_xlfn.XLOOKUP(E32,lookups_s60!$AF$4:$AF$1000,lookups_s60!$AK$4:$AK$1000,"",0)=0,"",D32*_xlfn.XLOOKUP(E32,lookups_s60!$AF$4:$AF$1000,lookups_s60!$AK$4:$AK$1000,"",0)),"")</f>
        <v/>
      </c>
      <c r="AS32" s="20" t="str">
        <f>IF(Y32&lt;&gt;"", Y32-_xlfn.XLOOKUP(E32,lookups_s60!$AF$4:$AF$1000,lookups_s60!$AJ$4:$AJ$1000,"",0),"")</f>
        <v/>
      </c>
      <c r="AT32" s="20" t="str">
        <f>IFERROR(IF(_xlfn.XLOOKUP(E32,lookups_s60!$AF$4:$AF$1000,lookups_s60!$AL$4:$AL$1000,"",0)=0,"",D32*_xlfn.XLOOKUP(E32,lookups_s60!$AF$4:$AF$1000,lookups_s60!$AL$4:$AL$1000,"",0)),"")</f>
        <v/>
      </c>
      <c r="AV32" s="20" t="str">
        <f>IF(S32&lt;&gt;"", S32-_xlfn.XLOOKUP(E32,lookups_s60!$AF$4:$AF$1000,lookups_s60!$AM$4:$AM$1000,"",0),"")</f>
        <v/>
      </c>
      <c r="AW32" s="20" t="str">
        <f>IFERROR(IF(_xlfn.XLOOKUP(E32,lookups_s60!$AF$4:$AF$1000,lookups_s60!$AN$4:$AN$1000,"",0)=0,"",D32*_xlfn.XLOOKUP(E32,lookups_s60!$AF$4:$AF$1000,lookups_s60!$AN$4:$AN$1000,"",0)),"")</f>
        <v/>
      </c>
      <c r="AY32" s="20" t="str" cm="1">
        <f t="array" ref="AY32">IFERROR(_xlfn.IFS(E32="Fix", J32-_xlfn.XLOOKUP(E32,lookups_s60!$AQ$4:$AQ$1000,lookups_s60!$AR$4:$AR$1000,"",0)-_xlfn.XLOOKUP(E32,lookups_s60!$AQ$4:$AQ$1000,lookups_s60!$AS$4:$AS$1000,"",0), E32="Double Fix", (J32-_xlfn.XLOOKUP(E32,lookups_s60!$AQ$4:$AQ$1000,lookups_s60!$AR$4:$AR$1000,"",0)-_xlfn.XLOOKUP(E32,lookups_s60!$G$4:$G$1000,lookups_s60!$H$4:$H$1000,"",0))/2-_xlfn.XLOOKUP(E32,lookups_s60!$AQ$4:$AQ$1000,lookups_s60!$AS$4:$AS$1000,"",0), OR(E32="Fix Awning (Vertical)",E32="Fix Awning (Horizontal)"),  (J32-_xlfn.XLOOKUP(E32,lookups_s60!$AQ$4:$AQ$1000,lookups_s60!$AR$4:$AR$1000,"",0)-40)/2-_xlfn.XLOOKUP(E32,lookups_s60!$AQ$4:$AQ$1000,lookups_s60!$AS$4:$AS$1000,"",0)),"")</f>
        <v/>
      </c>
      <c r="AZ32" s="20" t="str">
        <f>IFERROR(IF(C32&lt;&gt;"", K32-_xlfn.XLOOKUP(E32,lookups_s60!$AQ$4:$AQ$1000,lookups_s60!$AT$4:$AT$1000,"",0)-_xlfn.XLOOKUP(E32,lookups_s60!$AQ$4:$AQ$1000,lookups_s60!$AU$4:$AU$1000,"",0),""),"")</f>
        <v/>
      </c>
      <c r="BA32" s="20" t="str">
        <f t="shared" si="2"/>
        <v/>
      </c>
      <c r="BC32" s="20" t="str" cm="1">
        <f t="array" ref="BC32">IFERROR(_xlfn.IFS(E32="Awning",AQ32-_xlfn.XLOOKUP(E32,lookups_s60!$AQ$4:$AQ$1000,lookups_s60!$AV$4:$AV$1000,"",0)-_xlfn.XLOOKUP(E32,lookups_s60!$AQ$4:$AQ$1000,lookups_s60!$AW$4:$AW$1000,"",0),C32&lt;&gt;"",W32-_xlfn.XLOOKUP(E32,lookups_s60!$AQ$4:$AQ$1000,lookups_s60!$AV$4:$AV$1000,"",0)-_xlfn.XLOOKUP(E32,lookups_s60!$AQ$4:$AQ$1000,lookups_s60!$AW$4:$AW$1000,"",0)),"")</f>
        <v/>
      </c>
      <c r="BD32" s="20" t="str" cm="1">
        <f t="array" ref="BD32">IFERROR(_xlfn.IFS(E32="Awning",AS32-_xlfn.XLOOKUP(E32,lookups_s60!$AQ$4:$AQ$1000,lookups_s60!$AX$4:$AX$1000,"",0)-_xlfn.XLOOKUP(E32,lookups_s60!$AQ$4:$AQ$1000,lookups_s60!$AY$4:$AY$1000,"",0),C32&lt;&gt;"",Y32-_xlfn.XLOOKUP(E32,lookups_s60!$AQ$4:$AQ$1000,lookups_s60!$AX$4:$AX$1000,"",0)-_xlfn.XLOOKUP(E32,lookups_s60!$AQ$4:$AQ$1000,lookups_s60!$AY$4:$AY$1000,"",0)),"")</f>
        <v/>
      </c>
      <c r="BE32" s="20" t="str">
        <f>IF(BC32&lt;&gt;"", _xlfn.XLOOKUP(E32,lookups_s60!$AQ$4:$AQ$1000,lookups_s60!$AZ$4:$AZ$1000,"",0)*D32,"")</f>
        <v/>
      </c>
      <c r="BG32" s="20" t="str">
        <f t="shared" si="3"/>
        <v/>
      </c>
      <c r="BH32" s="22" t="str">
        <f t="shared" si="4"/>
        <v/>
      </c>
      <c r="BI32" s="20" t="str">
        <f t="shared" si="5"/>
        <v/>
      </c>
      <c r="BJ32" s="20" t="str">
        <f t="shared" si="6"/>
        <v/>
      </c>
      <c r="BK32" s="20" t="str">
        <f t="shared" si="7"/>
        <v/>
      </c>
    </row>
    <row r="33" spans="3:63" x14ac:dyDescent="0.25">
      <c r="C33" s="16"/>
      <c r="D33" s="16"/>
      <c r="E33" s="16"/>
      <c r="F33" s="16"/>
      <c r="G33" s="16"/>
      <c r="H33" s="16"/>
      <c r="I33" s="16"/>
      <c r="J33" s="16"/>
      <c r="K33" s="16"/>
      <c r="M33" s="20" t="str">
        <f t="shared" si="0"/>
        <v/>
      </c>
      <c r="N33" s="20" t="str" cm="1">
        <f t="array" ref="N33">IFERROR(_xlfn.IFS(OR(E33="Fix Awning (Vertical)", E33="Fix Awning (Horizontal)"), J33/2+20,C33&lt;&gt;"", J33+M33),"")</f>
        <v/>
      </c>
      <c r="O33" s="20" t="str">
        <f>IF(D33&lt;&gt;"", D33*_xlfn.XLOOKUP(E33,lookups_s60!$B$4:$B$1000,lookups_s60!$C$4:$C$1000,"",0),"")</f>
        <v/>
      </c>
      <c r="P33" s="20" t="str">
        <f t="shared" si="1"/>
        <v/>
      </c>
      <c r="Q33" s="20" t="str">
        <f>IF(D33&lt;&gt;"", D33*_xlfn.XLOOKUP(E33,lookups_s60!$B$4:$B$1000,lookups_s60!$D$4:$D$1000,"",0),"")</f>
        <v/>
      </c>
      <c r="S33" s="20" t="str" cm="1">
        <f t="array" ref="S33">IFERROR(_xlfn.IFS(E33="Double Fix",K33+_xlfn.XLOOKUP(E33,lookups_s60!$G$4:$G$1000,lookups_s60!$H$4:$H$1000,"",0), OR(E33="Double Awning (Horizontal)", E33="Double Awning (Vertical)",E33="Triple Awning (Horizontal)", E33="Triple Awning (Vertical)"), J33+_xlfn.XLOOKUP(E33,lookups_s60!$G$4:$G$1000,lookups_s60!$H$4:$H$1000,"",0), E33="Double Casement", J33+_xlfn.XLOOKUP(E33,lookups_s60!$G$4:$G$1000,lookups_s60!$H$4:$H$1000,"",0), OR(E33="Fix Awning (Vertical)", E33="Fix Awning (Horizontal)"), K33+_xlfn.XLOOKUP(E33,lookups_s60!$G$4:$G$1000,lookups_s60!$H$4:$H$1000,"",0), E33="Triple Casement", J33+_xlfn.XLOOKUP(E33,lookups_s60!$G$4:$G$1000,lookups_s60!$H$4:$H$1000,"",0)),"")</f>
        <v/>
      </c>
      <c r="T33" s="20" t="str">
        <f>IF(S33&lt;&gt;"",D33*_xlfn.XLOOKUP(E33,lookups_s60!$G$4:$G$1000,lookups_s60!$I$4:$I$1000,"",0),"")</f>
        <v/>
      </c>
      <c r="V33" s="20" t="str">
        <f>IF(_xlfn.XLOOKUP(E33,lookups_s60!$L$4:$L$1000,lookups_s60!$M$4:$M$1000,"",0)=0, "", _xlfn.XLOOKUP(E33,lookups_s60!$L$4:$L$1000,lookups_s60!$M$4:$M$1000,"",0))</f>
        <v/>
      </c>
      <c r="W33" s="20" t="str" cm="1">
        <f t="array" ref="W33">IFERROR(_xlfn.IFS(OR(E33="Fix Awning (Vertical)",E33="Fix Awning (Vertical)"),   ((J33-_xlfn.XLOOKUP(E33,lookups_s60!$L$4:$L$1000,lookups_s60!$N$4:$N$1000,"",0)-40)/2)+_xlfn.XLOOKUP(E33,lookups_s60!$L$4:$L$1000,lookups_s60!$O$4:$O$1000,"",0), V33&lt;&gt;"", J33-_xlfn.XLOOKUP(E33,lookups_s60!$L$4:$L$1000,lookups_s60!$N$4:$N$1000,"",0)+_xlfn.XLOOKUP(E33,lookups_s60!$L$4:$L$1000,lookups_s60!$O$4:$O$1000,"",0)),"")</f>
        <v/>
      </c>
      <c r="X33" s="20" t="str">
        <f>IF(_xlfn.XLOOKUP(E33,lookups_s60!$L$4:$L$1000,lookups_s60!$R$4:$R$1000,"",0)=0, "", D33*_xlfn.XLOOKUP(E33,lookups_s60!$L$4:$L$1000,lookups_s60!$R$4:$R$1000,"",0))</f>
        <v/>
      </c>
      <c r="Y33" s="22" t="str" cm="1">
        <f t="array" ref="Y33">IFERROR(_xlfn.IFS(OR(E33="Double Awning (Horizontal)", E33="Double Awning (Vertical)", E33="Triple Awning (Horizontal)", E33="Triple Awning (Vertical)", E33="Double Casement"), ((K33-_xlfn.XLOOKUP(E33,lookups_s60!$L$4:$L$1000,lookups_s60!$P$4:$P$1000,"",0)-36)/2)+_xlfn.XLOOKUP(E33,lookups_s60!$L$4:$L$1000,lookups_s60!$Q$4:$Q$1000,"",0), E33="Triple Casement",((K33-_xlfn.XLOOKUP(E33,lookups_s60!$L$4:$L$1000,lookups_s60!$P$4:$P$1000,"",0)-36-36)/3)+_xlfn.XLOOKUP(E33,lookups_s60!$L$4:$L$1000,lookups_s60!$Q$4:$Q$1000,"",0),V33&lt;&gt;"",K33-_xlfn.XLOOKUP(E33,lookups_s60!$L$4:$L$1000,lookups_s60!$P$4:$P$1000,"",0)+_xlfn.XLOOKUP(E33,lookups_s60!$L$4:$L$1000,lookups_s60!$Q$4:$Q$1000,"",0)),"")</f>
        <v/>
      </c>
      <c r="Z33" s="20" t="str">
        <f>IF(_xlfn.XLOOKUP(E33,lookups_s60!$L$4:$L$1000,lookups_s60!$R$4:$R$1000,"",0)=0, "", D33*_xlfn.XLOOKUP(E33,lookups_s60!$L$4:$L$1000,lookups_s60!$R$4:$R$1000,"",0))</f>
        <v/>
      </c>
      <c r="AB33" s="20" t="str" cm="1">
        <f t="array" ref="AB33">IFERROR(_xlfn.IFS(OR(E33="Fix", E33="Double Fix"),J33-_xlfn.XLOOKUP(E33,lookups_s60!$U$4:$U$1000,lookups_s60!$V$4:$V$1000,"",0),OR(E33="Fix Awning (Vertical)", E33="Fix Awning (Horizontal)"),(J33-_xlfn.XLOOKUP(E33,lookups_s60!$U$4:$U$1000,lookups_s60!$V$4:$V$1000,"",0)-40)/2),"")</f>
        <v/>
      </c>
      <c r="AC33" s="20" t="str">
        <f>IF(_xlfn.XLOOKUP(E33,lookups_s60!$U$4:$U$1000,lookups_s60!$X$4:$X$1000,"",0)=0,"",D33*_xlfn.XLOOKUP(E33,lookups_s60!$U$4:$U$1000,lookups_s60!$X$4:$X$1000,"",0))</f>
        <v/>
      </c>
      <c r="AD33" s="20" t="str">
        <f>IF(OR(E33="Fix", E33="Double Fix", E33="Fix Awning (Vertical)", E33="Fix Awning (Horizontal)"), K33-_xlfn.XLOOKUP(E33,lookups_s60!$U$4:$U$1000,lookups_s60!$W$4:$W$1000,"",0), "")</f>
        <v/>
      </c>
      <c r="AE33" s="20" t="str">
        <f>IF(_xlfn.XLOOKUP(E33,lookups_s60!$U$4:$U$1000,lookups_s60!$X$4:$X$1000,"",0)=0,"",D33*_xlfn.XLOOKUP(E33,lookups_s60!$U$4:$U$1000,lookups_s60!$Y$4:$Y$1000,"",0))</f>
        <v/>
      </c>
      <c r="AG33" s="24" t="str">
        <f>IF(W33&lt;&gt;"", W33-_xlfn.XLOOKUP(E33,lookups_s60!$U$4:$U$1000,lookups_s60!$Z$4:$Z$1000,"",0)-IF(E33="Awning", 5,0),"")</f>
        <v/>
      </c>
      <c r="AH33" s="20" t="str">
        <f>IF(_xlfn.XLOOKUP(E33,lookups_s60!$U$4:$U$1000,lookups_s60!$AB$4:$AB$1000,"",0)=0,"",D33*_xlfn.XLOOKUP(E33,lookups_s60!$U$4:$U$1000,lookups_s60!$AB$4:$AB$1000,"",0))</f>
        <v/>
      </c>
      <c r="AI33" s="22" t="str">
        <f>IF(Y33&lt;&gt;"", Y33-_xlfn.XLOOKUP(E33,lookups_s60!$U$4:$U$1000,lookups_s60!$AA$4:$AA$1000,"",0),"")</f>
        <v/>
      </c>
      <c r="AJ33" s="20" t="str">
        <f>IF(_xlfn.XLOOKUP(E33,lookups_s60!$U$4:$U$1000,lookups_s60!$AC$4:$AC$1000,"",0)=0,"",D33*_xlfn.XLOOKUP(E33,lookups_s60!$U$4:$U$1000,lookups_s60!$AC$4:$AC$1000,"",0))</f>
        <v/>
      </c>
      <c r="AL33" s="20" t="str">
        <f>IF(C33&lt;&gt;"", N33-_xlfn.XLOOKUP(E33,lookups_s60!$AF$4:$AF$1000,lookups_s60!$AG$4:$AG$1000,"",0),"")</f>
        <v/>
      </c>
      <c r="AM33" s="20" t="str">
        <f>IF(_xlfn.XLOOKUP(E33,lookups_s60!$AF$4:$AF$1000,lookups_s60!$AH$4:$AH$1000,"",0)=0,"",D33*_xlfn.XLOOKUP(E33,lookups_s60!$AF$4:$AF$1000,lookups_s60!$AH$4:$AH$1000,"",0))</f>
        <v/>
      </c>
      <c r="AN33" s="20" t="str">
        <f>IF(C33&lt;&gt;"", P33-_xlfn.XLOOKUP(E33,lookups_s60!$AF$4:$AF$1000,lookups_s60!$AG$4:$AG$1000,"",0),"")</f>
        <v/>
      </c>
      <c r="AO33" s="20" t="str">
        <f>IFERROR(IF(_xlfn.XLOOKUP(E33,lookups_s60!$AF$4:$AF$1000,lookups_s60!$AI$4:$AI$1000,"",0)=0,"",D33*_xlfn.XLOOKUP(E33,lookups_s60!$AF$4:$AF$1000,lookups_s60!$AI$4:$AI$1000,"",0)),"")</f>
        <v/>
      </c>
      <c r="AQ33" s="20" t="str">
        <f>IF(W33&lt;&gt;"", W33-_xlfn.XLOOKUP(E33,lookups_s60!$AF$4:$AF$1000,lookups_s60!$AJ$4:$AJ$1000,"",0),"")</f>
        <v/>
      </c>
      <c r="AR33" s="20" t="str">
        <f>IFERROR(IF(_xlfn.XLOOKUP(E33,lookups_s60!$AF$4:$AF$1000,lookups_s60!$AK$4:$AK$1000,"",0)=0,"",D33*_xlfn.XLOOKUP(E33,lookups_s60!$AF$4:$AF$1000,lookups_s60!$AK$4:$AK$1000,"",0)),"")</f>
        <v/>
      </c>
      <c r="AS33" s="20" t="str">
        <f>IF(Y33&lt;&gt;"", Y33-_xlfn.XLOOKUP(E33,lookups_s60!$AF$4:$AF$1000,lookups_s60!$AJ$4:$AJ$1000,"",0),"")</f>
        <v/>
      </c>
      <c r="AT33" s="20" t="str">
        <f>IFERROR(IF(_xlfn.XLOOKUP(E33,lookups_s60!$AF$4:$AF$1000,lookups_s60!$AL$4:$AL$1000,"",0)=0,"",D33*_xlfn.XLOOKUP(E33,lookups_s60!$AF$4:$AF$1000,lookups_s60!$AL$4:$AL$1000,"",0)),"")</f>
        <v/>
      </c>
      <c r="AV33" s="20" t="str">
        <f>IF(S33&lt;&gt;"", S33-_xlfn.XLOOKUP(E33,lookups_s60!$AF$4:$AF$1000,lookups_s60!$AM$4:$AM$1000,"",0),"")</f>
        <v/>
      </c>
      <c r="AW33" s="20" t="str">
        <f>IFERROR(IF(_xlfn.XLOOKUP(E33,lookups_s60!$AF$4:$AF$1000,lookups_s60!$AN$4:$AN$1000,"",0)=0,"",D33*_xlfn.XLOOKUP(E33,lookups_s60!$AF$4:$AF$1000,lookups_s60!$AN$4:$AN$1000,"",0)),"")</f>
        <v/>
      </c>
      <c r="AY33" s="20" t="str" cm="1">
        <f t="array" ref="AY33">IFERROR(_xlfn.IFS(E33="Fix", J33-_xlfn.XLOOKUP(E33,lookups_s60!$AQ$4:$AQ$1000,lookups_s60!$AR$4:$AR$1000,"",0)-_xlfn.XLOOKUP(E33,lookups_s60!$AQ$4:$AQ$1000,lookups_s60!$AS$4:$AS$1000,"",0), E33="Double Fix", (J33-_xlfn.XLOOKUP(E33,lookups_s60!$AQ$4:$AQ$1000,lookups_s60!$AR$4:$AR$1000,"",0)-_xlfn.XLOOKUP(E33,lookups_s60!$G$4:$G$1000,lookups_s60!$H$4:$H$1000,"",0))/2-_xlfn.XLOOKUP(E33,lookups_s60!$AQ$4:$AQ$1000,lookups_s60!$AS$4:$AS$1000,"",0), OR(E33="Fix Awning (Vertical)",E33="Fix Awning (Horizontal)"),  (J33-_xlfn.XLOOKUP(E33,lookups_s60!$AQ$4:$AQ$1000,lookups_s60!$AR$4:$AR$1000,"",0)-40)/2-_xlfn.XLOOKUP(E33,lookups_s60!$AQ$4:$AQ$1000,lookups_s60!$AS$4:$AS$1000,"",0)),"")</f>
        <v/>
      </c>
      <c r="AZ33" s="20" t="str">
        <f>IFERROR(IF(C33&lt;&gt;"", K33-_xlfn.XLOOKUP(E33,lookups_s60!$AQ$4:$AQ$1000,lookups_s60!$AT$4:$AT$1000,"",0)-_xlfn.XLOOKUP(E33,lookups_s60!$AQ$4:$AQ$1000,lookups_s60!$AU$4:$AU$1000,"",0),""),"")</f>
        <v/>
      </c>
      <c r="BA33" s="20" t="str">
        <f t="shared" si="2"/>
        <v/>
      </c>
      <c r="BC33" s="20" t="str" cm="1">
        <f t="array" ref="BC33">IFERROR(_xlfn.IFS(E33="Awning",AQ33-_xlfn.XLOOKUP(E33,lookups_s60!$AQ$4:$AQ$1000,lookups_s60!$AV$4:$AV$1000,"",0)-_xlfn.XLOOKUP(E33,lookups_s60!$AQ$4:$AQ$1000,lookups_s60!$AW$4:$AW$1000,"",0),C33&lt;&gt;"",W33-_xlfn.XLOOKUP(E33,lookups_s60!$AQ$4:$AQ$1000,lookups_s60!$AV$4:$AV$1000,"",0)-_xlfn.XLOOKUP(E33,lookups_s60!$AQ$4:$AQ$1000,lookups_s60!$AW$4:$AW$1000,"",0)),"")</f>
        <v/>
      </c>
      <c r="BD33" s="20" t="str" cm="1">
        <f t="array" ref="BD33">IFERROR(_xlfn.IFS(E33="Awning",AS33-_xlfn.XLOOKUP(E33,lookups_s60!$AQ$4:$AQ$1000,lookups_s60!$AX$4:$AX$1000,"",0)-_xlfn.XLOOKUP(E33,lookups_s60!$AQ$4:$AQ$1000,lookups_s60!$AY$4:$AY$1000,"",0),C33&lt;&gt;"",Y33-_xlfn.XLOOKUP(E33,lookups_s60!$AQ$4:$AQ$1000,lookups_s60!$AX$4:$AX$1000,"",0)-_xlfn.XLOOKUP(E33,lookups_s60!$AQ$4:$AQ$1000,lookups_s60!$AY$4:$AY$1000,"",0)),"")</f>
        <v/>
      </c>
      <c r="BE33" s="20" t="str">
        <f>IF(BC33&lt;&gt;"", _xlfn.XLOOKUP(E33,lookups_s60!$AQ$4:$AQ$1000,lookups_s60!$AZ$4:$AZ$1000,"",0)*D33,"")</f>
        <v/>
      </c>
      <c r="BG33" s="20" t="str">
        <f t="shared" si="3"/>
        <v/>
      </c>
      <c r="BH33" s="22" t="str">
        <f t="shared" si="4"/>
        <v/>
      </c>
      <c r="BI33" s="20" t="str">
        <f t="shared" si="5"/>
        <v/>
      </c>
      <c r="BJ33" s="20" t="str">
        <f t="shared" si="6"/>
        <v/>
      </c>
      <c r="BK33" s="20" t="str">
        <f t="shared" si="7"/>
        <v/>
      </c>
    </row>
    <row r="34" spans="3:63" ht="13.5" customHeight="1" x14ac:dyDescent="0.25">
      <c r="C34" s="16"/>
      <c r="D34" s="16"/>
      <c r="E34" s="16"/>
      <c r="F34" s="16"/>
      <c r="G34" s="16"/>
      <c r="H34" s="16"/>
      <c r="I34" s="16"/>
      <c r="J34" s="16"/>
      <c r="K34" s="16"/>
      <c r="M34" s="20" t="str">
        <f t="shared" si="0"/>
        <v/>
      </c>
      <c r="N34" s="20" t="str" cm="1">
        <f t="array" ref="N34">IFERROR(_xlfn.IFS(OR(E34="Fix Awning (Vertical)", E34="Fix Awning (Horizontal)"), J34/2+20,C34&lt;&gt;"", J34+M34),"")</f>
        <v/>
      </c>
      <c r="O34" s="20" t="str">
        <f>IF(D34&lt;&gt;"", D34*_xlfn.XLOOKUP(E34,lookups_s60!$B$4:$B$1000,lookups_s60!$C$4:$C$1000,"",0),"")</f>
        <v/>
      </c>
      <c r="P34" s="20" t="str">
        <f t="shared" si="1"/>
        <v/>
      </c>
      <c r="Q34" s="20" t="str">
        <f>IF(D34&lt;&gt;"", D34*_xlfn.XLOOKUP(E34,lookups_s60!$B$4:$B$1000,lookups_s60!$D$4:$D$1000,"",0),"")</f>
        <v/>
      </c>
      <c r="S34" s="20" t="str" cm="1">
        <f t="array" ref="S34">IFERROR(_xlfn.IFS(E34="Double Fix",K34+_xlfn.XLOOKUP(E34,lookups_s60!$G$4:$G$1000,lookups_s60!$H$4:$H$1000,"",0), OR(E34="Double Awning (Horizontal)", E34="Double Awning (Vertical)",E34="Triple Awning (Horizontal)", E34="Triple Awning (Vertical)"), J34+_xlfn.XLOOKUP(E34,lookups_s60!$G$4:$G$1000,lookups_s60!$H$4:$H$1000,"",0), E34="Double Casement", J34+_xlfn.XLOOKUP(E34,lookups_s60!$G$4:$G$1000,lookups_s60!$H$4:$H$1000,"",0), OR(E34="Fix Awning (Vertical)", E34="Fix Awning (Horizontal)"), K34+_xlfn.XLOOKUP(E34,lookups_s60!$G$4:$G$1000,lookups_s60!$H$4:$H$1000,"",0), E34="Triple Casement", J34+_xlfn.XLOOKUP(E34,lookups_s60!$G$4:$G$1000,lookups_s60!$H$4:$H$1000,"",0)),"")</f>
        <v/>
      </c>
      <c r="T34" s="20" t="str">
        <f>IF(S34&lt;&gt;"",D34*_xlfn.XLOOKUP(E34,lookups_s60!$G$4:$G$1000,lookups_s60!$I$4:$I$1000,"",0),"")</f>
        <v/>
      </c>
      <c r="V34" s="20" t="str">
        <f>IF(_xlfn.XLOOKUP(E34,lookups_s60!$L$4:$L$1000,lookups_s60!$M$4:$M$1000,"",0)=0, "", _xlfn.XLOOKUP(E34,lookups_s60!$L$4:$L$1000,lookups_s60!$M$4:$M$1000,"",0))</f>
        <v/>
      </c>
      <c r="W34" s="20" t="str" cm="1">
        <f t="array" ref="W34">IFERROR(_xlfn.IFS(OR(E34="Fix Awning (Vertical)",E34="Fix Awning (Vertical)"),   ((J34-_xlfn.XLOOKUP(E34,lookups_s60!$L$4:$L$1000,lookups_s60!$N$4:$N$1000,"",0)-40)/2)+_xlfn.XLOOKUP(E34,lookups_s60!$L$4:$L$1000,lookups_s60!$O$4:$O$1000,"",0), V34&lt;&gt;"", J34-_xlfn.XLOOKUP(E34,lookups_s60!$L$4:$L$1000,lookups_s60!$N$4:$N$1000,"",0)+_xlfn.XLOOKUP(E34,lookups_s60!$L$4:$L$1000,lookups_s60!$O$4:$O$1000,"",0)),"")</f>
        <v/>
      </c>
      <c r="X34" s="20" t="str">
        <f>IF(_xlfn.XLOOKUP(E34,lookups_s60!$L$4:$L$1000,lookups_s60!$R$4:$R$1000,"",0)=0, "", D34*_xlfn.XLOOKUP(E34,lookups_s60!$L$4:$L$1000,lookups_s60!$R$4:$R$1000,"",0))</f>
        <v/>
      </c>
      <c r="Y34" s="22" t="str" cm="1">
        <f t="array" ref="Y34">IFERROR(_xlfn.IFS(OR(E34="Double Awning (Horizontal)", E34="Double Awning (Vertical)", E34="Triple Awning (Horizontal)", E34="Triple Awning (Vertical)", E34="Double Casement"), ((K34-_xlfn.XLOOKUP(E34,lookups_s60!$L$4:$L$1000,lookups_s60!$P$4:$P$1000,"",0)-36)/2)+_xlfn.XLOOKUP(E34,lookups_s60!$L$4:$L$1000,lookups_s60!$Q$4:$Q$1000,"",0), E34="Triple Casement",((K34-_xlfn.XLOOKUP(E34,lookups_s60!$L$4:$L$1000,lookups_s60!$P$4:$P$1000,"",0)-36-36)/3)+_xlfn.XLOOKUP(E34,lookups_s60!$L$4:$L$1000,lookups_s60!$Q$4:$Q$1000,"",0),V34&lt;&gt;"",K34-_xlfn.XLOOKUP(E34,lookups_s60!$L$4:$L$1000,lookups_s60!$P$4:$P$1000,"",0)+_xlfn.XLOOKUP(E34,lookups_s60!$L$4:$L$1000,lookups_s60!$Q$4:$Q$1000,"",0)),"")</f>
        <v/>
      </c>
      <c r="Z34" s="20" t="str">
        <f>IF(_xlfn.XLOOKUP(E34,lookups_s60!$L$4:$L$1000,lookups_s60!$R$4:$R$1000,"",0)=0, "", D34*_xlfn.XLOOKUP(E34,lookups_s60!$L$4:$L$1000,lookups_s60!$R$4:$R$1000,"",0))</f>
        <v/>
      </c>
      <c r="AB34" s="20" t="str" cm="1">
        <f t="array" ref="AB34">IFERROR(_xlfn.IFS(OR(E34="Fix", E34="Double Fix"),J34-_xlfn.XLOOKUP(E34,lookups_s60!$U$4:$U$1000,lookups_s60!$V$4:$V$1000,"",0),OR(E34="Fix Awning (Vertical)", E34="Fix Awning (Horizontal)"),(J34-_xlfn.XLOOKUP(E34,lookups_s60!$U$4:$U$1000,lookups_s60!$V$4:$V$1000,"",0)-40)/2),"")</f>
        <v/>
      </c>
      <c r="AC34" s="20" t="str">
        <f>IF(_xlfn.XLOOKUP(E34,lookups_s60!$U$4:$U$1000,lookups_s60!$X$4:$X$1000,"",0)=0,"",D34*_xlfn.XLOOKUP(E34,lookups_s60!$U$4:$U$1000,lookups_s60!$X$4:$X$1000,"",0))</f>
        <v/>
      </c>
      <c r="AD34" s="20" t="str">
        <f>IF(OR(E34="Fix", E34="Double Fix", E34="Fix Awning (Vertical)", E34="Fix Awning (Horizontal)"), K34-_xlfn.XLOOKUP(E34,lookups_s60!$U$4:$U$1000,lookups_s60!$W$4:$W$1000,"",0), "")</f>
        <v/>
      </c>
      <c r="AE34" s="20" t="str">
        <f>IF(_xlfn.XLOOKUP(E34,lookups_s60!$U$4:$U$1000,lookups_s60!$X$4:$X$1000,"",0)=0,"",D34*_xlfn.XLOOKUP(E34,lookups_s60!$U$4:$U$1000,lookups_s60!$Y$4:$Y$1000,"",0))</f>
        <v/>
      </c>
      <c r="AG34" s="24" t="str">
        <f>IF(W34&lt;&gt;"", W34-_xlfn.XLOOKUP(E34,lookups_s60!$U$4:$U$1000,lookups_s60!$Z$4:$Z$1000,"",0)-IF(E34="Awning", 5,0),"")</f>
        <v/>
      </c>
      <c r="AH34" s="20" t="str">
        <f>IF(_xlfn.XLOOKUP(E34,lookups_s60!$U$4:$U$1000,lookups_s60!$AB$4:$AB$1000,"",0)=0,"",D34*_xlfn.XLOOKUP(E34,lookups_s60!$U$4:$U$1000,lookups_s60!$AB$4:$AB$1000,"",0))</f>
        <v/>
      </c>
      <c r="AI34" s="22" t="str">
        <f>IF(Y34&lt;&gt;"", Y34-_xlfn.XLOOKUP(E34,lookups_s60!$U$4:$U$1000,lookups_s60!$AA$4:$AA$1000,"",0),"")</f>
        <v/>
      </c>
      <c r="AJ34" s="20" t="str">
        <f>IF(_xlfn.XLOOKUP(E34,lookups_s60!$U$4:$U$1000,lookups_s60!$AC$4:$AC$1000,"",0)=0,"",D34*_xlfn.XLOOKUP(E34,lookups_s60!$U$4:$U$1000,lookups_s60!$AC$4:$AC$1000,"",0))</f>
        <v/>
      </c>
      <c r="AL34" s="20" t="str">
        <f>IF(C34&lt;&gt;"", N34-_xlfn.XLOOKUP(E34,lookups_s60!$AF$4:$AF$1000,lookups_s60!$AG$4:$AG$1000,"",0),"")</f>
        <v/>
      </c>
      <c r="AM34" s="20" t="str">
        <f>IF(_xlfn.XLOOKUP(E34,lookups_s60!$AF$4:$AF$1000,lookups_s60!$AH$4:$AH$1000,"",0)=0,"",D34*_xlfn.XLOOKUP(E34,lookups_s60!$AF$4:$AF$1000,lookups_s60!$AH$4:$AH$1000,"",0))</f>
        <v/>
      </c>
      <c r="AN34" s="20" t="str">
        <f>IF(C34&lt;&gt;"", P34-_xlfn.XLOOKUP(E34,lookups_s60!$AF$4:$AF$1000,lookups_s60!$AG$4:$AG$1000,"",0),"")</f>
        <v/>
      </c>
      <c r="AO34" s="20" t="str">
        <f>IFERROR(IF(_xlfn.XLOOKUP(E34,lookups_s60!$AF$4:$AF$1000,lookups_s60!$AI$4:$AI$1000,"",0)=0,"",D34*_xlfn.XLOOKUP(E34,lookups_s60!$AF$4:$AF$1000,lookups_s60!$AI$4:$AI$1000,"",0)),"")</f>
        <v/>
      </c>
      <c r="AQ34" s="20" t="str">
        <f>IF(W34&lt;&gt;"", W34-_xlfn.XLOOKUP(E34,lookups_s60!$AF$4:$AF$1000,lookups_s60!$AJ$4:$AJ$1000,"",0),"")</f>
        <v/>
      </c>
      <c r="AR34" s="20" t="str">
        <f>IFERROR(IF(_xlfn.XLOOKUP(E34,lookups_s60!$AF$4:$AF$1000,lookups_s60!$AK$4:$AK$1000,"",0)=0,"",D34*_xlfn.XLOOKUP(E34,lookups_s60!$AF$4:$AF$1000,lookups_s60!$AK$4:$AK$1000,"",0)),"")</f>
        <v/>
      </c>
      <c r="AS34" s="20" t="str">
        <f>IF(Y34&lt;&gt;"", Y34-_xlfn.XLOOKUP(E34,lookups_s60!$AF$4:$AF$1000,lookups_s60!$AJ$4:$AJ$1000,"",0),"")</f>
        <v/>
      </c>
      <c r="AT34" s="20" t="str">
        <f>IFERROR(IF(_xlfn.XLOOKUP(E34,lookups_s60!$AF$4:$AF$1000,lookups_s60!$AL$4:$AL$1000,"",0)=0,"",D34*_xlfn.XLOOKUP(E34,lookups_s60!$AF$4:$AF$1000,lookups_s60!$AL$4:$AL$1000,"",0)),"")</f>
        <v/>
      </c>
      <c r="AV34" s="20" t="str">
        <f>IF(S34&lt;&gt;"", S34-_xlfn.XLOOKUP(E34,lookups_s60!$AF$4:$AF$1000,lookups_s60!$AM$4:$AM$1000,"",0),"")</f>
        <v/>
      </c>
      <c r="AW34" s="20" t="str">
        <f>IFERROR(IF(_xlfn.XLOOKUP(E34,lookups_s60!$AF$4:$AF$1000,lookups_s60!$AN$4:$AN$1000,"",0)=0,"",D34*_xlfn.XLOOKUP(E34,lookups_s60!$AF$4:$AF$1000,lookups_s60!$AN$4:$AN$1000,"",0)),"")</f>
        <v/>
      </c>
      <c r="AY34" s="20" t="str" cm="1">
        <f t="array" ref="AY34">IFERROR(_xlfn.IFS(E34="Fix", J34-_xlfn.XLOOKUP(E34,lookups_s60!$AQ$4:$AQ$1000,lookups_s60!$AR$4:$AR$1000,"",0)-_xlfn.XLOOKUP(E34,lookups_s60!$AQ$4:$AQ$1000,lookups_s60!$AS$4:$AS$1000,"",0), E34="Double Fix", (J34-_xlfn.XLOOKUP(E34,lookups_s60!$AQ$4:$AQ$1000,lookups_s60!$AR$4:$AR$1000,"",0)-_xlfn.XLOOKUP(E34,lookups_s60!$G$4:$G$1000,lookups_s60!$H$4:$H$1000,"",0))/2-_xlfn.XLOOKUP(E34,lookups_s60!$AQ$4:$AQ$1000,lookups_s60!$AS$4:$AS$1000,"",0), OR(E34="Fix Awning (Vertical)",E34="Fix Awning (Horizontal)"),  (J34-_xlfn.XLOOKUP(E34,lookups_s60!$AQ$4:$AQ$1000,lookups_s60!$AR$4:$AR$1000,"",0)-40)/2-_xlfn.XLOOKUP(E34,lookups_s60!$AQ$4:$AQ$1000,lookups_s60!$AS$4:$AS$1000,"",0)),"")</f>
        <v/>
      </c>
      <c r="AZ34" s="20" t="str">
        <f>IFERROR(IF(C34&lt;&gt;"", K34-_xlfn.XLOOKUP(E34,lookups_s60!$AQ$4:$AQ$1000,lookups_s60!$AT$4:$AT$1000,"",0)-_xlfn.XLOOKUP(E34,lookups_s60!$AQ$4:$AQ$1000,lookups_s60!$AU$4:$AU$1000,"",0),""),"")</f>
        <v/>
      </c>
      <c r="BA34" s="20" t="str">
        <f t="shared" si="2"/>
        <v/>
      </c>
      <c r="BC34" s="20" t="str" cm="1">
        <f t="array" ref="BC34">IFERROR(_xlfn.IFS(E34="Awning",AQ34-_xlfn.XLOOKUP(E34,lookups_s60!$AQ$4:$AQ$1000,lookups_s60!$AV$4:$AV$1000,"",0)-_xlfn.XLOOKUP(E34,lookups_s60!$AQ$4:$AQ$1000,lookups_s60!$AW$4:$AW$1000,"",0),C34&lt;&gt;"",W34-_xlfn.XLOOKUP(E34,lookups_s60!$AQ$4:$AQ$1000,lookups_s60!$AV$4:$AV$1000,"",0)-_xlfn.XLOOKUP(E34,lookups_s60!$AQ$4:$AQ$1000,lookups_s60!$AW$4:$AW$1000,"",0)),"")</f>
        <v/>
      </c>
      <c r="BD34" s="20" t="str" cm="1">
        <f t="array" ref="BD34">IFERROR(_xlfn.IFS(E34="Awning",AS34-_xlfn.XLOOKUP(E34,lookups_s60!$AQ$4:$AQ$1000,lookups_s60!$AX$4:$AX$1000,"",0)-_xlfn.XLOOKUP(E34,lookups_s60!$AQ$4:$AQ$1000,lookups_s60!$AY$4:$AY$1000,"",0),C34&lt;&gt;"",Y34-_xlfn.XLOOKUP(E34,lookups_s60!$AQ$4:$AQ$1000,lookups_s60!$AX$4:$AX$1000,"",0)-_xlfn.XLOOKUP(E34,lookups_s60!$AQ$4:$AQ$1000,lookups_s60!$AY$4:$AY$1000,"",0)),"")</f>
        <v/>
      </c>
      <c r="BE34" s="20" t="str">
        <f>IF(BC34&lt;&gt;"", _xlfn.XLOOKUP(E34,lookups_s60!$AQ$4:$AQ$1000,lookups_s60!$AZ$4:$AZ$1000,"",0)*D34,"")</f>
        <v/>
      </c>
      <c r="BG34" s="20" t="str">
        <f t="shared" si="3"/>
        <v/>
      </c>
      <c r="BH34" s="22" t="str">
        <f t="shared" si="4"/>
        <v/>
      </c>
      <c r="BI34" s="20" t="str">
        <f t="shared" si="5"/>
        <v/>
      </c>
      <c r="BJ34" s="20" t="str">
        <f t="shared" si="6"/>
        <v/>
      </c>
      <c r="BK34" s="20" t="str">
        <f t="shared" si="7"/>
        <v/>
      </c>
    </row>
    <row r="35" spans="3:63" ht="13.5" customHeight="1" x14ac:dyDescent="0.25">
      <c r="C35" s="16"/>
      <c r="D35" s="16"/>
      <c r="E35" s="16"/>
      <c r="F35" s="16"/>
      <c r="G35" s="16"/>
      <c r="H35" s="16"/>
      <c r="I35" s="16"/>
      <c r="J35" s="16"/>
      <c r="K35" s="16"/>
      <c r="M35" s="20" t="str">
        <f t="shared" si="0"/>
        <v/>
      </c>
      <c r="N35" s="20" t="str" cm="1">
        <f t="array" ref="N35">IFERROR(_xlfn.IFS(OR(E35="Fix Awning (Vertical)", E35="Fix Awning (Horizontal)"), J35/2+20,C35&lt;&gt;"", J35+M35),"")</f>
        <v/>
      </c>
      <c r="O35" s="20" t="str">
        <f>IF(D35&lt;&gt;"", D35*_xlfn.XLOOKUP(E35,lookups_s60!$B$4:$B$1000,lookups_s60!$C$4:$C$1000,"",0),"")</f>
        <v/>
      </c>
      <c r="P35" s="20" t="str">
        <f t="shared" si="1"/>
        <v/>
      </c>
      <c r="Q35" s="20" t="str">
        <f>IF(D35&lt;&gt;"", D35*_xlfn.XLOOKUP(E35,lookups_s60!$B$4:$B$1000,lookups_s60!$D$4:$D$1000,"",0),"")</f>
        <v/>
      </c>
      <c r="S35" s="20" t="str" cm="1">
        <f t="array" ref="S35">IFERROR(_xlfn.IFS(E35="Double Fix",K35+_xlfn.XLOOKUP(E35,lookups_s60!$G$4:$G$1000,lookups_s60!$H$4:$H$1000,"",0), OR(E35="Double Awning (Horizontal)", E35="Double Awning (Vertical)",E35="Triple Awning (Horizontal)", E35="Triple Awning (Vertical)"), J35+_xlfn.XLOOKUP(E35,lookups_s60!$G$4:$G$1000,lookups_s60!$H$4:$H$1000,"",0), E35="Double Casement", J35+_xlfn.XLOOKUP(E35,lookups_s60!$G$4:$G$1000,lookups_s60!$H$4:$H$1000,"",0), OR(E35="Fix Awning (Vertical)", E35="Fix Awning (Horizontal)"), K35+_xlfn.XLOOKUP(E35,lookups_s60!$G$4:$G$1000,lookups_s60!$H$4:$H$1000,"",0), E35="Triple Casement", J35+_xlfn.XLOOKUP(E35,lookups_s60!$G$4:$G$1000,lookups_s60!$H$4:$H$1000,"",0)),"")</f>
        <v/>
      </c>
      <c r="T35" s="20" t="str">
        <f>IF(S35&lt;&gt;"",D35*_xlfn.XLOOKUP(E35,lookups_s60!$G$4:$G$1000,lookups_s60!$I$4:$I$1000,"",0),"")</f>
        <v/>
      </c>
      <c r="V35" s="20" t="str">
        <f>IF(_xlfn.XLOOKUP(E35,lookups_s60!$L$4:$L$1000,lookups_s60!$M$4:$M$1000,"",0)=0, "", _xlfn.XLOOKUP(E35,lookups_s60!$L$4:$L$1000,lookups_s60!$M$4:$M$1000,"",0))</f>
        <v/>
      </c>
      <c r="W35" s="20" t="str" cm="1">
        <f t="array" ref="W35">IFERROR(_xlfn.IFS(OR(E35="Fix Awning (Vertical)",E35="Fix Awning (Vertical)"),   ((J35-_xlfn.XLOOKUP(E35,lookups_s60!$L$4:$L$1000,lookups_s60!$N$4:$N$1000,"",0)-40)/2)+_xlfn.XLOOKUP(E35,lookups_s60!$L$4:$L$1000,lookups_s60!$O$4:$O$1000,"",0), V35&lt;&gt;"", J35-_xlfn.XLOOKUP(E35,lookups_s60!$L$4:$L$1000,lookups_s60!$N$4:$N$1000,"",0)+_xlfn.XLOOKUP(E35,lookups_s60!$L$4:$L$1000,lookups_s60!$O$4:$O$1000,"",0)),"")</f>
        <v/>
      </c>
      <c r="X35" s="20" t="str">
        <f>IF(_xlfn.XLOOKUP(E35,lookups_s60!$L$4:$L$1000,lookups_s60!$R$4:$R$1000,"",0)=0, "", D35*_xlfn.XLOOKUP(E35,lookups_s60!$L$4:$L$1000,lookups_s60!$R$4:$R$1000,"",0))</f>
        <v/>
      </c>
      <c r="Y35" s="22" t="str" cm="1">
        <f t="array" ref="Y35">IFERROR(_xlfn.IFS(OR(E35="Double Awning (Horizontal)", E35="Double Awning (Vertical)", E35="Triple Awning (Horizontal)", E35="Triple Awning (Vertical)", E35="Double Casement"), ((K35-_xlfn.XLOOKUP(E35,lookups_s60!$L$4:$L$1000,lookups_s60!$P$4:$P$1000,"",0)-36)/2)+_xlfn.XLOOKUP(E35,lookups_s60!$L$4:$L$1000,lookups_s60!$Q$4:$Q$1000,"",0), E35="Triple Casement",((K35-_xlfn.XLOOKUP(E35,lookups_s60!$L$4:$L$1000,lookups_s60!$P$4:$P$1000,"",0)-36-36)/3)+_xlfn.XLOOKUP(E35,lookups_s60!$L$4:$L$1000,lookups_s60!$Q$4:$Q$1000,"",0),V35&lt;&gt;"",K35-_xlfn.XLOOKUP(E35,lookups_s60!$L$4:$L$1000,lookups_s60!$P$4:$P$1000,"",0)+_xlfn.XLOOKUP(E35,lookups_s60!$L$4:$L$1000,lookups_s60!$Q$4:$Q$1000,"",0)),"")</f>
        <v/>
      </c>
      <c r="Z35" s="20" t="str">
        <f>IF(_xlfn.XLOOKUP(E35,lookups_s60!$L$4:$L$1000,lookups_s60!$R$4:$R$1000,"",0)=0, "", D35*_xlfn.XLOOKUP(E35,lookups_s60!$L$4:$L$1000,lookups_s60!$R$4:$R$1000,"",0))</f>
        <v/>
      </c>
      <c r="AB35" s="20" t="str" cm="1">
        <f t="array" ref="AB35">IFERROR(_xlfn.IFS(OR(E35="Fix", E35="Double Fix"),J35-_xlfn.XLOOKUP(E35,lookups_s60!$U$4:$U$1000,lookups_s60!$V$4:$V$1000,"",0),OR(E35="Fix Awning (Vertical)", E35="Fix Awning (Horizontal)"),(J35-_xlfn.XLOOKUP(E35,lookups_s60!$U$4:$U$1000,lookups_s60!$V$4:$V$1000,"",0)-40)/2),"")</f>
        <v/>
      </c>
      <c r="AC35" s="20" t="str">
        <f>IF(_xlfn.XLOOKUP(E35,lookups_s60!$U$4:$U$1000,lookups_s60!$X$4:$X$1000,"",0)=0,"",D35*_xlfn.XLOOKUP(E35,lookups_s60!$U$4:$U$1000,lookups_s60!$X$4:$X$1000,"",0))</f>
        <v/>
      </c>
      <c r="AD35" s="20" t="str">
        <f>IF(OR(E35="Fix", E35="Double Fix", E35="Fix Awning (Vertical)", E35="Fix Awning (Horizontal)"), K35-_xlfn.XLOOKUP(E35,lookups_s60!$U$4:$U$1000,lookups_s60!$W$4:$W$1000,"",0), "")</f>
        <v/>
      </c>
      <c r="AE35" s="20" t="str">
        <f>IF(_xlfn.XLOOKUP(E35,lookups_s60!$U$4:$U$1000,lookups_s60!$X$4:$X$1000,"",0)=0,"",D35*_xlfn.XLOOKUP(E35,lookups_s60!$U$4:$U$1000,lookups_s60!$Y$4:$Y$1000,"",0))</f>
        <v/>
      </c>
      <c r="AG35" s="24" t="str">
        <f>IF(W35&lt;&gt;"", W35-_xlfn.XLOOKUP(E35,lookups_s60!$U$4:$U$1000,lookups_s60!$Z$4:$Z$1000,"",0)-IF(E35="Awning", 5,0),"")</f>
        <v/>
      </c>
      <c r="AH35" s="20" t="str">
        <f>IF(_xlfn.XLOOKUP(E35,lookups_s60!$U$4:$U$1000,lookups_s60!$AB$4:$AB$1000,"",0)=0,"",D35*_xlfn.XLOOKUP(E35,lookups_s60!$U$4:$U$1000,lookups_s60!$AB$4:$AB$1000,"",0))</f>
        <v/>
      </c>
      <c r="AI35" s="22" t="str">
        <f>IF(Y35&lt;&gt;"", Y35-_xlfn.XLOOKUP(E35,lookups_s60!$U$4:$U$1000,lookups_s60!$AA$4:$AA$1000,"",0),"")</f>
        <v/>
      </c>
      <c r="AJ35" s="20" t="str">
        <f>IF(_xlfn.XLOOKUP(E35,lookups_s60!$U$4:$U$1000,lookups_s60!$AC$4:$AC$1000,"",0)=0,"",D35*_xlfn.XLOOKUP(E35,lookups_s60!$U$4:$U$1000,lookups_s60!$AC$4:$AC$1000,"",0))</f>
        <v/>
      </c>
      <c r="AL35" s="20" t="str">
        <f>IF(C35&lt;&gt;"", N35-_xlfn.XLOOKUP(E35,lookups_s60!$AF$4:$AF$1000,lookups_s60!$AG$4:$AG$1000,"",0),"")</f>
        <v/>
      </c>
      <c r="AM35" s="20" t="str">
        <f>IF(_xlfn.XLOOKUP(E35,lookups_s60!$AF$4:$AF$1000,lookups_s60!$AH$4:$AH$1000,"",0)=0,"",D35*_xlfn.XLOOKUP(E35,lookups_s60!$AF$4:$AF$1000,lookups_s60!$AH$4:$AH$1000,"",0))</f>
        <v/>
      </c>
      <c r="AN35" s="20" t="str">
        <f>IF(C35&lt;&gt;"", P35-_xlfn.XLOOKUP(E35,lookups_s60!$AF$4:$AF$1000,lookups_s60!$AG$4:$AG$1000,"",0),"")</f>
        <v/>
      </c>
      <c r="AO35" s="20" t="str">
        <f>IFERROR(IF(_xlfn.XLOOKUP(E35,lookups_s60!$AF$4:$AF$1000,lookups_s60!$AI$4:$AI$1000,"",0)=0,"",D35*_xlfn.XLOOKUP(E35,lookups_s60!$AF$4:$AF$1000,lookups_s60!$AI$4:$AI$1000,"",0)),"")</f>
        <v/>
      </c>
      <c r="AQ35" s="20" t="str">
        <f>IF(W35&lt;&gt;"", W35-_xlfn.XLOOKUP(E35,lookups_s60!$AF$4:$AF$1000,lookups_s60!$AJ$4:$AJ$1000,"",0),"")</f>
        <v/>
      </c>
      <c r="AR35" s="20" t="str">
        <f>IFERROR(IF(_xlfn.XLOOKUP(E35,lookups_s60!$AF$4:$AF$1000,lookups_s60!$AK$4:$AK$1000,"",0)=0,"",D35*_xlfn.XLOOKUP(E35,lookups_s60!$AF$4:$AF$1000,lookups_s60!$AK$4:$AK$1000,"",0)),"")</f>
        <v/>
      </c>
      <c r="AS35" s="20" t="str">
        <f>IF(Y35&lt;&gt;"", Y35-_xlfn.XLOOKUP(E35,lookups_s60!$AF$4:$AF$1000,lookups_s60!$AJ$4:$AJ$1000,"",0),"")</f>
        <v/>
      </c>
      <c r="AT35" s="20" t="str">
        <f>IFERROR(IF(_xlfn.XLOOKUP(E35,lookups_s60!$AF$4:$AF$1000,lookups_s60!$AL$4:$AL$1000,"",0)=0,"",D35*_xlfn.XLOOKUP(E35,lookups_s60!$AF$4:$AF$1000,lookups_s60!$AL$4:$AL$1000,"",0)),"")</f>
        <v/>
      </c>
      <c r="AV35" s="20" t="str">
        <f>IF(S35&lt;&gt;"", S35-_xlfn.XLOOKUP(E35,lookups_s60!$AF$4:$AF$1000,lookups_s60!$AM$4:$AM$1000,"",0),"")</f>
        <v/>
      </c>
      <c r="AW35" s="20" t="str">
        <f>IFERROR(IF(_xlfn.XLOOKUP(E35,lookups_s60!$AF$4:$AF$1000,lookups_s60!$AN$4:$AN$1000,"",0)=0,"",D35*_xlfn.XLOOKUP(E35,lookups_s60!$AF$4:$AF$1000,lookups_s60!$AN$4:$AN$1000,"",0)),"")</f>
        <v/>
      </c>
      <c r="AY35" s="20" t="str" cm="1">
        <f t="array" ref="AY35">IFERROR(_xlfn.IFS(E35="Fix", J35-_xlfn.XLOOKUP(E35,lookups_s60!$AQ$4:$AQ$1000,lookups_s60!$AR$4:$AR$1000,"",0)-_xlfn.XLOOKUP(E35,lookups_s60!$AQ$4:$AQ$1000,lookups_s60!$AS$4:$AS$1000,"",0), E35="Double Fix", (J35-_xlfn.XLOOKUP(E35,lookups_s60!$AQ$4:$AQ$1000,lookups_s60!$AR$4:$AR$1000,"",0)-_xlfn.XLOOKUP(E35,lookups_s60!$G$4:$G$1000,lookups_s60!$H$4:$H$1000,"",0))/2-_xlfn.XLOOKUP(E35,lookups_s60!$AQ$4:$AQ$1000,lookups_s60!$AS$4:$AS$1000,"",0), OR(E35="Fix Awning (Vertical)",E35="Fix Awning (Horizontal)"),  (J35-_xlfn.XLOOKUP(E35,lookups_s60!$AQ$4:$AQ$1000,lookups_s60!$AR$4:$AR$1000,"",0)-40)/2-_xlfn.XLOOKUP(E35,lookups_s60!$AQ$4:$AQ$1000,lookups_s60!$AS$4:$AS$1000,"",0)),"")</f>
        <v/>
      </c>
      <c r="AZ35" s="20" t="str">
        <f>IFERROR(IF(C35&lt;&gt;"", K35-_xlfn.XLOOKUP(E35,lookups_s60!$AQ$4:$AQ$1000,lookups_s60!$AT$4:$AT$1000,"",0)-_xlfn.XLOOKUP(E35,lookups_s60!$AQ$4:$AQ$1000,lookups_s60!$AU$4:$AU$1000,"",0),""),"")</f>
        <v/>
      </c>
      <c r="BA35" s="20" t="str">
        <f t="shared" si="2"/>
        <v/>
      </c>
      <c r="BC35" s="20" t="str" cm="1">
        <f t="array" ref="BC35">IFERROR(_xlfn.IFS(E35="Awning",AQ35-_xlfn.XLOOKUP(E35,lookups_s60!$AQ$4:$AQ$1000,lookups_s60!$AV$4:$AV$1000,"",0)-_xlfn.XLOOKUP(E35,lookups_s60!$AQ$4:$AQ$1000,lookups_s60!$AW$4:$AW$1000,"",0),C35&lt;&gt;"",W35-_xlfn.XLOOKUP(E35,lookups_s60!$AQ$4:$AQ$1000,lookups_s60!$AV$4:$AV$1000,"",0)-_xlfn.XLOOKUP(E35,lookups_s60!$AQ$4:$AQ$1000,lookups_s60!$AW$4:$AW$1000,"",0)),"")</f>
        <v/>
      </c>
      <c r="BD35" s="20" t="str" cm="1">
        <f t="array" ref="BD35">IFERROR(_xlfn.IFS(E35="Awning",AS35-_xlfn.XLOOKUP(E35,lookups_s60!$AQ$4:$AQ$1000,lookups_s60!$AX$4:$AX$1000,"",0)-_xlfn.XLOOKUP(E35,lookups_s60!$AQ$4:$AQ$1000,lookups_s60!$AY$4:$AY$1000,"",0),C35&lt;&gt;"",Y35-_xlfn.XLOOKUP(E35,lookups_s60!$AQ$4:$AQ$1000,lookups_s60!$AX$4:$AX$1000,"",0)-_xlfn.XLOOKUP(E35,lookups_s60!$AQ$4:$AQ$1000,lookups_s60!$AY$4:$AY$1000,"",0)),"")</f>
        <v/>
      </c>
      <c r="BE35" s="20" t="str">
        <f>IF(BC35&lt;&gt;"", _xlfn.XLOOKUP(E35,lookups_s60!$AQ$4:$AQ$1000,lookups_s60!$AZ$4:$AZ$1000,"",0)*D35,"")</f>
        <v/>
      </c>
      <c r="BG35" s="20" t="str">
        <f t="shared" si="3"/>
        <v/>
      </c>
      <c r="BH35" s="22" t="str">
        <f t="shared" si="4"/>
        <v/>
      </c>
      <c r="BI35" s="20" t="str">
        <f t="shared" si="5"/>
        <v/>
      </c>
      <c r="BJ35" s="20" t="str">
        <f t="shared" si="6"/>
        <v/>
      </c>
      <c r="BK35" s="20" t="str">
        <f t="shared" si="7"/>
        <v/>
      </c>
    </row>
    <row r="36" spans="3:63" ht="13.5" customHeight="1" x14ac:dyDescent="0.25">
      <c r="C36" s="16"/>
      <c r="D36" s="16"/>
      <c r="E36" s="16"/>
      <c r="F36" s="16"/>
      <c r="G36" s="16"/>
      <c r="H36" s="16"/>
      <c r="I36" s="16"/>
      <c r="J36" s="16"/>
      <c r="K36" s="16"/>
      <c r="M36" s="20" t="str">
        <f t="shared" si="0"/>
        <v/>
      </c>
      <c r="N36" s="20" t="str" cm="1">
        <f t="array" ref="N36">IFERROR(_xlfn.IFS(OR(E36="Fix Awning (Vertical)", E36="Fix Awning (Horizontal)"), J36/2+20,C36&lt;&gt;"", J36+M36),"")</f>
        <v/>
      </c>
      <c r="O36" s="20" t="str">
        <f>IF(D36&lt;&gt;"", D36*_xlfn.XLOOKUP(E36,lookups_s60!$B$4:$B$1000,lookups_s60!$C$4:$C$1000,"",0),"")</f>
        <v/>
      </c>
      <c r="P36" s="20" t="str">
        <f t="shared" si="1"/>
        <v/>
      </c>
      <c r="Q36" s="20" t="str">
        <f>IF(D36&lt;&gt;"", D36*_xlfn.XLOOKUP(E36,lookups_s60!$B$4:$B$1000,lookups_s60!$D$4:$D$1000,"",0),"")</f>
        <v/>
      </c>
      <c r="S36" s="20" t="str" cm="1">
        <f t="array" ref="S36">IFERROR(_xlfn.IFS(E36="Double Fix",K36+_xlfn.XLOOKUP(E36,lookups_s60!$G$4:$G$1000,lookups_s60!$H$4:$H$1000,"",0), OR(E36="Double Awning (Horizontal)", E36="Double Awning (Vertical)",E36="Triple Awning (Horizontal)", E36="Triple Awning (Vertical)"), J36+_xlfn.XLOOKUP(E36,lookups_s60!$G$4:$G$1000,lookups_s60!$H$4:$H$1000,"",0), E36="Double Casement", J36+_xlfn.XLOOKUP(E36,lookups_s60!$G$4:$G$1000,lookups_s60!$H$4:$H$1000,"",0), OR(E36="Fix Awning (Vertical)", E36="Fix Awning (Horizontal)"), K36+_xlfn.XLOOKUP(E36,lookups_s60!$G$4:$G$1000,lookups_s60!$H$4:$H$1000,"",0), E36="Triple Casement", J36+_xlfn.XLOOKUP(E36,lookups_s60!$G$4:$G$1000,lookups_s60!$H$4:$H$1000,"",0)),"")</f>
        <v/>
      </c>
      <c r="T36" s="20" t="str">
        <f>IF(S36&lt;&gt;"",D36*_xlfn.XLOOKUP(E36,lookups_s60!$G$4:$G$1000,lookups_s60!$I$4:$I$1000,"",0),"")</f>
        <v/>
      </c>
      <c r="V36" s="20" t="str">
        <f>IF(_xlfn.XLOOKUP(E36,lookups_s60!$L$4:$L$1000,lookups_s60!$M$4:$M$1000,"",0)=0, "", _xlfn.XLOOKUP(E36,lookups_s60!$L$4:$L$1000,lookups_s60!$M$4:$M$1000,"",0))</f>
        <v/>
      </c>
      <c r="W36" s="20" t="str" cm="1">
        <f t="array" ref="W36">IFERROR(_xlfn.IFS(OR(E36="Fix Awning (Vertical)",E36="Fix Awning (Vertical)"),   ((J36-_xlfn.XLOOKUP(E36,lookups_s60!$L$4:$L$1000,lookups_s60!$N$4:$N$1000,"",0)-40)/2)+_xlfn.XLOOKUP(E36,lookups_s60!$L$4:$L$1000,lookups_s60!$O$4:$O$1000,"",0), V36&lt;&gt;"", J36-_xlfn.XLOOKUP(E36,lookups_s60!$L$4:$L$1000,lookups_s60!$N$4:$N$1000,"",0)+_xlfn.XLOOKUP(E36,lookups_s60!$L$4:$L$1000,lookups_s60!$O$4:$O$1000,"",0)),"")</f>
        <v/>
      </c>
      <c r="X36" s="20" t="str">
        <f>IF(_xlfn.XLOOKUP(E36,lookups_s60!$L$4:$L$1000,lookups_s60!$R$4:$R$1000,"",0)=0, "", D36*_xlfn.XLOOKUP(E36,lookups_s60!$L$4:$L$1000,lookups_s60!$R$4:$R$1000,"",0))</f>
        <v/>
      </c>
      <c r="Y36" s="22" t="str" cm="1">
        <f t="array" ref="Y36">IFERROR(_xlfn.IFS(OR(E36="Double Awning (Horizontal)", E36="Double Awning (Vertical)", E36="Triple Awning (Horizontal)", E36="Triple Awning (Vertical)", E36="Double Casement"), ((K36-_xlfn.XLOOKUP(E36,lookups_s60!$L$4:$L$1000,lookups_s60!$P$4:$P$1000,"",0)-36)/2)+_xlfn.XLOOKUP(E36,lookups_s60!$L$4:$L$1000,lookups_s60!$Q$4:$Q$1000,"",0), E36="Triple Casement",((K36-_xlfn.XLOOKUP(E36,lookups_s60!$L$4:$L$1000,lookups_s60!$P$4:$P$1000,"",0)-36-36)/3)+_xlfn.XLOOKUP(E36,lookups_s60!$L$4:$L$1000,lookups_s60!$Q$4:$Q$1000,"",0),V36&lt;&gt;"",K36-_xlfn.XLOOKUP(E36,lookups_s60!$L$4:$L$1000,lookups_s60!$P$4:$P$1000,"",0)+_xlfn.XLOOKUP(E36,lookups_s60!$L$4:$L$1000,lookups_s60!$Q$4:$Q$1000,"",0)),"")</f>
        <v/>
      </c>
      <c r="Z36" s="20" t="str">
        <f>IF(_xlfn.XLOOKUP(E36,lookups_s60!$L$4:$L$1000,lookups_s60!$R$4:$R$1000,"",0)=0, "", D36*_xlfn.XLOOKUP(E36,lookups_s60!$L$4:$L$1000,lookups_s60!$R$4:$R$1000,"",0))</f>
        <v/>
      </c>
      <c r="AB36" s="20" t="str" cm="1">
        <f t="array" ref="AB36">IFERROR(_xlfn.IFS(OR(E36="Fix", E36="Double Fix"),J36-_xlfn.XLOOKUP(E36,lookups_s60!$U$4:$U$1000,lookups_s60!$V$4:$V$1000,"",0),OR(E36="Fix Awning (Vertical)", E36="Fix Awning (Horizontal)"),(J36-_xlfn.XLOOKUP(E36,lookups_s60!$U$4:$U$1000,lookups_s60!$V$4:$V$1000,"",0)-40)/2),"")</f>
        <v/>
      </c>
      <c r="AC36" s="20" t="str">
        <f>IF(_xlfn.XLOOKUP(E36,lookups_s60!$U$4:$U$1000,lookups_s60!$X$4:$X$1000,"",0)=0,"",D36*_xlfn.XLOOKUP(E36,lookups_s60!$U$4:$U$1000,lookups_s60!$X$4:$X$1000,"",0))</f>
        <v/>
      </c>
      <c r="AD36" s="20" t="str">
        <f>IF(OR(E36="Fix", E36="Double Fix", E36="Fix Awning (Vertical)", E36="Fix Awning (Horizontal)"), K36-_xlfn.XLOOKUP(E36,lookups_s60!$U$4:$U$1000,lookups_s60!$W$4:$W$1000,"",0), "")</f>
        <v/>
      </c>
      <c r="AE36" s="20" t="str">
        <f>IF(_xlfn.XLOOKUP(E36,lookups_s60!$U$4:$U$1000,lookups_s60!$X$4:$X$1000,"",0)=0,"",D36*_xlfn.XLOOKUP(E36,lookups_s60!$U$4:$U$1000,lookups_s60!$Y$4:$Y$1000,"",0))</f>
        <v/>
      </c>
      <c r="AG36" s="24" t="str">
        <f>IF(W36&lt;&gt;"", W36-_xlfn.XLOOKUP(E36,lookups_s60!$U$4:$U$1000,lookups_s60!$Z$4:$Z$1000,"",0)-IF(E36="Awning", 5,0),"")</f>
        <v/>
      </c>
      <c r="AH36" s="20" t="str">
        <f>IF(_xlfn.XLOOKUP(E36,lookups_s60!$U$4:$U$1000,lookups_s60!$AB$4:$AB$1000,"",0)=0,"",D36*_xlfn.XLOOKUP(E36,lookups_s60!$U$4:$U$1000,lookups_s60!$AB$4:$AB$1000,"",0))</f>
        <v/>
      </c>
      <c r="AI36" s="22" t="str">
        <f>IF(Y36&lt;&gt;"", Y36-_xlfn.XLOOKUP(E36,lookups_s60!$U$4:$U$1000,lookups_s60!$AA$4:$AA$1000,"",0),"")</f>
        <v/>
      </c>
      <c r="AJ36" s="20" t="str">
        <f>IF(_xlfn.XLOOKUP(E36,lookups_s60!$U$4:$U$1000,lookups_s60!$AC$4:$AC$1000,"",0)=0,"",D36*_xlfn.XLOOKUP(E36,lookups_s60!$U$4:$U$1000,lookups_s60!$AC$4:$AC$1000,"",0))</f>
        <v/>
      </c>
      <c r="AL36" s="20" t="str">
        <f>IF(C36&lt;&gt;"", N36-_xlfn.XLOOKUP(E36,lookups_s60!$AF$4:$AF$1000,lookups_s60!$AG$4:$AG$1000,"",0),"")</f>
        <v/>
      </c>
      <c r="AM36" s="20" t="str">
        <f>IF(_xlfn.XLOOKUP(E36,lookups_s60!$AF$4:$AF$1000,lookups_s60!$AH$4:$AH$1000,"",0)=0,"",D36*_xlfn.XLOOKUP(E36,lookups_s60!$AF$4:$AF$1000,lookups_s60!$AH$4:$AH$1000,"",0))</f>
        <v/>
      </c>
      <c r="AN36" s="20" t="str">
        <f>IF(C36&lt;&gt;"", P36-_xlfn.XLOOKUP(E36,lookups_s60!$AF$4:$AF$1000,lookups_s60!$AG$4:$AG$1000,"",0),"")</f>
        <v/>
      </c>
      <c r="AO36" s="20" t="str">
        <f>IFERROR(IF(_xlfn.XLOOKUP(E36,lookups_s60!$AF$4:$AF$1000,lookups_s60!$AI$4:$AI$1000,"",0)=0,"",D36*_xlfn.XLOOKUP(E36,lookups_s60!$AF$4:$AF$1000,lookups_s60!$AI$4:$AI$1000,"",0)),"")</f>
        <v/>
      </c>
      <c r="AQ36" s="20" t="str">
        <f>IF(W36&lt;&gt;"", W36-_xlfn.XLOOKUP(E36,lookups_s60!$AF$4:$AF$1000,lookups_s60!$AJ$4:$AJ$1000,"",0),"")</f>
        <v/>
      </c>
      <c r="AR36" s="20" t="str">
        <f>IFERROR(IF(_xlfn.XLOOKUP(E36,lookups_s60!$AF$4:$AF$1000,lookups_s60!$AK$4:$AK$1000,"",0)=0,"",D36*_xlfn.XLOOKUP(E36,lookups_s60!$AF$4:$AF$1000,lookups_s60!$AK$4:$AK$1000,"",0)),"")</f>
        <v/>
      </c>
      <c r="AS36" s="20" t="str">
        <f>IF(Y36&lt;&gt;"", Y36-_xlfn.XLOOKUP(E36,lookups_s60!$AF$4:$AF$1000,lookups_s60!$AJ$4:$AJ$1000,"",0),"")</f>
        <v/>
      </c>
      <c r="AT36" s="20" t="str">
        <f>IFERROR(IF(_xlfn.XLOOKUP(E36,lookups_s60!$AF$4:$AF$1000,lookups_s60!$AL$4:$AL$1000,"",0)=0,"",D36*_xlfn.XLOOKUP(E36,lookups_s60!$AF$4:$AF$1000,lookups_s60!$AL$4:$AL$1000,"",0)),"")</f>
        <v/>
      </c>
      <c r="AV36" s="20" t="str">
        <f>IF(S36&lt;&gt;"", S36-_xlfn.XLOOKUP(E36,lookups_s60!$AF$4:$AF$1000,lookups_s60!$AM$4:$AM$1000,"",0),"")</f>
        <v/>
      </c>
      <c r="AW36" s="20" t="str">
        <f>IFERROR(IF(_xlfn.XLOOKUP(E36,lookups_s60!$AF$4:$AF$1000,lookups_s60!$AN$4:$AN$1000,"",0)=0,"",D36*_xlfn.XLOOKUP(E36,lookups_s60!$AF$4:$AF$1000,lookups_s60!$AN$4:$AN$1000,"",0)),"")</f>
        <v/>
      </c>
      <c r="AY36" s="20" t="str" cm="1">
        <f t="array" ref="AY36">IFERROR(_xlfn.IFS(E36="Fix", J36-_xlfn.XLOOKUP(E36,lookups_s60!$AQ$4:$AQ$1000,lookups_s60!$AR$4:$AR$1000,"",0)-_xlfn.XLOOKUP(E36,lookups_s60!$AQ$4:$AQ$1000,lookups_s60!$AS$4:$AS$1000,"",0), E36="Double Fix", (J36-_xlfn.XLOOKUP(E36,lookups_s60!$AQ$4:$AQ$1000,lookups_s60!$AR$4:$AR$1000,"",0)-_xlfn.XLOOKUP(E36,lookups_s60!$G$4:$G$1000,lookups_s60!$H$4:$H$1000,"",0))/2-_xlfn.XLOOKUP(E36,lookups_s60!$AQ$4:$AQ$1000,lookups_s60!$AS$4:$AS$1000,"",0), OR(E36="Fix Awning (Vertical)",E36="Fix Awning (Horizontal)"),  (J36-_xlfn.XLOOKUP(E36,lookups_s60!$AQ$4:$AQ$1000,lookups_s60!$AR$4:$AR$1000,"",0)-40)/2-_xlfn.XLOOKUP(E36,lookups_s60!$AQ$4:$AQ$1000,lookups_s60!$AS$4:$AS$1000,"",0)),"")</f>
        <v/>
      </c>
      <c r="AZ36" s="20" t="str">
        <f>IFERROR(IF(C36&lt;&gt;"", K36-_xlfn.XLOOKUP(E36,lookups_s60!$AQ$4:$AQ$1000,lookups_s60!$AT$4:$AT$1000,"",0)-_xlfn.XLOOKUP(E36,lookups_s60!$AQ$4:$AQ$1000,lookups_s60!$AU$4:$AU$1000,"",0),""),"")</f>
        <v/>
      </c>
      <c r="BA36" s="20" t="str">
        <f t="shared" si="2"/>
        <v/>
      </c>
      <c r="BC36" s="20" t="str" cm="1">
        <f t="array" ref="BC36">IFERROR(_xlfn.IFS(E36="Awning",AQ36-_xlfn.XLOOKUP(E36,lookups_s60!$AQ$4:$AQ$1000,lookups_s60!$AV$4:$AV$1000,"",0)-_xlfn.XLOOKUP(E36,lookups_s60!$AQ$4:$AQ$1000,lookups_s60!$AW$4:$AW$1000,"",0),C36&lt;&gt;"",W36-_xlfn.XLOOKUP(E36,lookups_s60!$AQ$4:$AQ$1000,lookups_s60!$AV$4:$AV$1000,"",0)-_xlfn.XLOOKUP(E36,lookups_s60!$AQ$4:$AQ$1000,lookups_s60!$AW$4:$AW$1000,"",0)),"")</f>
        <v/>
      </c>
      <c r="BD36" s="20" t="str" cm="1">
        <f t="array" ref="BD36">IFERROR(_xlfn.IFS(E36="Awning",AS36-_xlfn.XLOOKUP(E36,lookups_s60!$AQ$4:$AQ$1000,lookups_s60!$AX$4:$AX$1000,"",0)-_xlfn.XLOOKUP(E36,lookups_s60!$AQ$4:$AQ$1000,lookups_s60!$AY$4:$AY$1000,"",0),C36&lt;&gt;"",Y36-_xlfn.XLOOKUP(E36,lookups_s60!$AQ$4:$AQ$1000,lookups_s60!$AX$4:$AX$1000,"",0)-_xlfn.XLOOKUP(E36,lookups_s60!$AQ$4:$AQ$1000,lookups_s60!$AY$4:$AY$1000,"",0)),"")</f>
        <v/>
      </c>
      <c r="BE36" s="20" t="str">
        <f>IF(BC36&lt;&gt;"", _xlfn.XLOOKUP(E36,lookups_s60!$AQ$4:$AQ$1000,lookups_s60!$AZ$4:$AZ$1000,"",0)*D36,"")</f>
        <v/>
      </c>
      <c r="BG36" s="20" t="str">
        <f t="shared" si="3"/>
        <v/>
      </c>
      <c r="BH36" s="22" t="str">
        <f t="shared" si="4"/>
        <v/>
      </c>
      <c r="BI36" s="20" t="str">
        <f t="shared" si="5"/>
        <v/>
      </c>
      <c r="BJ36" s="20" t="str">
        <f t="shared" si="6"/>
        <v/>
      </c>
      <c r="BK36" s="20" t="str">
        <f t="shared" si="7"/>
        <v/>
      </c>
    </row>
    <row r="37" spans="3:63" ht="13.5" customHeight="1" x14ac:dyDescent="0.25">
      <c r="C37" s="16"/>
      <c r="D37" s="16"/>
      <c r="E37" s="16"/>
      <c r="F37" s="16"/>
      <c r="G37" s="16"/>
      <c r="H37" s="16"/>
      <c r="I37" s="16"/>
      <c r="J37" s="16"/>
      <c r="K37" s="16"/>
      <c r="M37" s="20" t="str">
        <f t="shared" si="0"/>
        <v/>
      </c>
      <c r="N37" s="20" t="str" cm="1">
        <f t="array" ref="N37">IFERROR(_xlfn.IFS(OR(E37="Fix Awning (Vertical)", E37="Fix Awning (Horizontal)"), J37/2+20,C37&lt;&gt;"", J37+M37),"")</f>
        <v/>
      </c>
      <c r="O37" s="20" t="str">
        <f>IF(D37&lt;&gt;"", D37*_xlfn.XLOOKUP(E37,lookups_s60!$B$4:$B$1000,lookups_s60!$C$4:$C$1000,"",0),"")</f>
        <v/>
      </c>
      <c r="P37" s="20" t="str">
        <f t="shared" si="1"/>
        <v/>
      </c>
      <c r="Q37" s="20" t="str">
        <f>IF(D37&lt;&gt;"", D37*_xlfn.XLOOKUP(E37,lookups_s60!$B$4:$B$1000,lookups_s60!$D$4:$D$1000,"",0),"")</f>
        <v/>
      </c>
      <c r="S37" s="20" t="str" cm="1">
        <f t="array" ref="S37">IFERROR(_xlfn.IFS(E37="Double Fix",K37+_xlfn.XLOOKUP(E37,lookups_s60!$G$4:$G$1000,lookups_s60!$H$4:$H$1000,"",0), OR(E37="Double Awning (Horizontal)", E37="Double Awning (Vertical)",E37="Triple Awning (Horizontal)", E37="Triple Awning (Vertical)"), J37+_xlfn.XLOOKUP(E37,lookups_s60!$G$4:$G$1000,lookups_s60!$H$4:$H$1000,"",0), E37="Double Casement", J37+_xlfn.XLOOKUP(E37,lookups_s60!$G$4:$G$1000,lookups_s60!$H$4:$H$1000,"",0), OR(E37="Fix Awning (Vertical)", E37="Fix Awning (Horizontal)"), K37+_xlfn.XLOOKUP(E37,lookups_s60!$G$4:$G$1000,lookups_s60!$H$4:$H$1000,"",0), E37="Triple Casement", J37+_xlfn.XLOOKUP(E37,lookups_s60!$G$4:$G$1000,lookups_s60!$H$4:$H$1000,"",0)),"")</f>
        <v/>
      </c>
      <c r="T37" s="20" t="str">
        <f>IF(S37&lt;&gt;"",D37*_xlfn.XLOOKUP(E37,lookups_s60!$G$4:$G$1000,lookups_s60!$I$4:$I$1000,"",0),"")</f>
        <v/>
      </c>
      <c r="V37" s="20" t="str">
        <f>IF(_xlfn.XLOOKUP(E37,lookups_s60!$L$4:$L$1000,lookups_s60!$M$4:$M$1000,"",0)=0, "", _xlfn.XLOOKUP(E37,lookups_s60!$L$4:$L$1000,lookups_s60!$M$4:$M$1000,"",0))</f>
        <v/>
      </c>
      <c r="W37" s="20" t="str" cm="1">
        <f t="array" ref="W37">IFERROR(_xlfn.IFS(OR(E37="Fix Awning (Vertical)",E37="Fix Awning (Vertical)"),   ((J37-_xlfn.XLOOKUP(E37,lookups_s60!$L$4:$L$1000,lookups_s60!$N$4:$N$1000,"",0)-40)/2)+_xlfn.XLOOKUP(E37,lookups_s60!$L$4:$L$1000,lookups_s60!$O$4:$O$1000,"",0), V37&lt;&gt;"", J37-_xlfn.XLOOKUP(E37,lookups_s60!$L$4:$L$1000,lookups_s60!$N$4:$N$1000,"",0)+_xlfn.XLOOKUP(E37,lookups_s60!$L$4:$L$1000,lookups_s60!$O$4:$O$1000,"",0)),"")</f>
        <v/>
      </c>
      <c r="X37" s="20" t="str">
        <f>IF(_xlfn.XLOOKUP(E37,lookups_s60!$L$4:$L$1000,lookups_s60!$R$4:$R$1000,"",0)=0, "", D37*_xlfn.XLOOKUP(E37,lookups_s60!$L$4:$L$1000,lookups_s60!$R$4:$R$1000,"",0))</f>
        <v/>
      </c>
      <c r="Y37" s="22" t="str" cm="1">
        <f t="array" ref="Y37">IFERROR(_xlfn.IFS(OR(E37="Double Awning (Horizontal)", E37="Double Awning (Vertical)", E37="Triple Awning (Horizontal)", E37="Triple Awning (Vertical)", E37="Double Casement"), ((K37-_xlfn.XLOOKUP(E37,lookups_s60!$L$4:$L$1000,lookups_s60!$P$4:$P$1000,"",0)-36)/2)+_xlfn.XLOOKUP(E37,lookups_s60!$L$4:$L$1000,lookups_s60!$Q$4:$Q$1000,"",0), E37="Triple Casement",((K37-_xlfn.XLOOKUP(E37,lookups_s60!$L$4:$L$1000,lookups_s60!$P$4:$P$1000,"",0)-36-36)/3)+_xlfn.XLOOKUP(E37,lookups_s60!$L$4:$L$1000,lookups_s60!$Q$4:$Q$1000,"",0),V37&lt;&gt;"",K37-_xlfn.XLOOKUP(E37,lookups_s60!$L$4:$L$1000,lookups_s60!$P$4:$P$1000,"",0)+_xlfn.XLOOKUP(E37,lookups_s60!$L$4:$L$1000,lookups_s60!$Q$4:$Q$1000,"",0)),"")</f>
        <v/>
      </c>
      <c r="Z37" s="20" t="str">
        <f>IF(_xlfn.XLOOKUP(E37,lookups_s60!$L$4:$L$1000,lookups_s60!$R$4:$R$1000,"",0)=0, "", D37*_xlfn.XLOOKUP(E37,lookups_s60!$L$4:$L$1000,lookups_s60!$R$4:$R$1000,"",0))</f>
        <v/>
      </c>
      <c r="AB37" s="20" t="str" cm="1">
        <f t="array" ref="AB37">IFERROR(_xlfn.IFS(OR(E37="Fix", E37="Double Fix"),J37-_xlfn.XLOOKUP(E37,lookups_s60!$U$4:$U$1000,lookups_s60!$V$4:$V$1000,"",0),OR(E37="Fix Awning (Vertical)", E37="Fix Awning (Horizontal)"),(J37-_xlfn.XLOOKUP(E37,lookups_s60!$U$4:$U$1000,lookups_s60!$V$4:$V$1000,"",0)-40)/2),"")</f>
        <v/>
      </c>
      <c r="AC37" s="20" t="str">
        <f>IF(_xlfn.XLOOKUP(E37,lookups_s60!$U$4:$U$1000,lookups_s60!$X$4:$X$1000,"",0)=0,"",D37*_xlfn.XLOOKUP(E37,lookups_s60!$U$4:$U$1000,lookups_s60!$X$4:$X$1000,"",0))</f>
        <v/>
      </c>
      <c r="AD37" s="20" t="str">
        <f>IF(OR(E37="Fix", E37="Double Fix", E37="Fix Awning (Vertical)", E37="Fix Awning (Horizontal)"), K37-_xlfn.XLOOKUP(E37,lookups_s60!$U$4:$U$1000,lookups_s60!$W$4:$W$1000,"",0), "")</f>
        <v/>
      </c>
      <c r="AE37" s="20" t="str">
        <f>IF(_xlfn.XLOOKUP(E37,lookups_s60!$U$4:$U$1000,lookups_s60!$X$4:$X$1000,"",0)=0,"",D37*_xlfn.XLOOKUP(E37,lookups_s60!$U$4:$U$1000,lookups_s60!$Y$4:$Y$1000,"",0))</f>
        <v/>
      </c>
      <c r="AG37" s="24" t="str">
        <f>IF(W37&lt;&gt;"", W37-_xlfn.XLOOKUP(E37,lookups_s60!$U$4:$U$1000,lookups_s60!$Z$4:$Z$1000,"",0)-IF(E37="Awning", 5,0),"")</f>
        <v/>
      </c>
      <c r="AH37" s="20" t="str">
        <f>IF(_xlfn.XLOOKUP(E37,lookups_s60!$U$4:$U$1000,lookups_s60!$AB$4:$AB$1000,"",0)=0,"",D37*_xlfn.XLOOKUP(E37,lookups_s60!$U$4:$U$1000,lookups_s60!$AB$4:$AB$1000,"",0))</f>
        <v/>
      </c>
      <c r="AI37" s="22" t="str">
        <f>IF(Y37&lt;&gt;"", Y37-_xlfn.XLOOKUP(E37,lookups_s60!$U$4:$U$1000,lookups_s60!$AA$4:$AA$1000,"",0),"")</f>
        <v/>
      </c>
      <c r="AJ37" s="20" t="str">
        <f>IF(_xlfn.XLOOKUP(E37,lookups_s60!$U$4:$U$1000,lookups_s60!$AC$4:$AC$1000,"",0)=0,"",D37*_xlfn.XLOOKUP(E37,lookups_s60!$U$4:$U$1000,lookups_s60!$AC$4:$AC$1000,"",0))</f>
        <v/>
      </c>
      <c r="AL37" s="20" t="str">
        <f>IF(C37&lt;&gt;"", N37-_xlfn.XLOOKUP(E37,lookups_s60!$AF$4:$AF$1000,lookups_s60!$AG$4:$AG$1000,"",0),"")</f>
        <v/>
      </c>
      <c r="AM37" s="20" t="str">
        <f>IF(_xlfn.XLOOKUP(E37,lookups_s60!$AF$4:$AF$1000,lookups_s60!$AH$4:$AH$1000,"",0)=0,"",D37*_xlfn.XLOOKUP(E37,lookups_s60!$AF$4:$AF$1000,lookups_s60!$AH$4:$AH$1000,"",0))</f>
        <v/>
      </c>
      <c r="AN37" s="20" t="str">
        <f>IF(C37&lt;&gt;"", P37-_xlfn.XLOOKUP(E37,lookups_s60!$AF$4:$AF$1000,lookups_s60!$AG$4:$AG$1000,"",0),"")</f>
        <v/>
      </c>
      <c r="AO37" s="20" t="str">
        <f>IFERROR(IF(_xlfn.XLOOKUP(E37,lookups_s60!$AF$4:$AF$1000,lookups_s60!$AI$4:$AI$1000,"",0)=0,"",D37*_xlfn.XLOOKUP(E37,lookups_s60!$AF$4:$AF$1000,lookups_s60!$AI$4:$AI$1000,"",0)),"")</f>
        <v/>
      </c>
      <c r="AQ37" s="20" t="str">
        <f>IF(W37&lt;&gt;"", W37-_xlfn.XLOOKUP(E37,lookups_s60!$AF$4:$AF$1000,lookups_s60!$AJ$4:$AJ$1000,"",0),"")</f>
        <v/>
      </c>
      <c r="AR37" s="20" t="str">
        <f>IFERROR(IF(_xlfn.XLOOKUP(E37,lookups_s60!$AF$4:$AF$1000,lookups_s60!$AK$4:$AK$1000,"",0)=0,"",D37*_xlfn.XLOOKUP(E37,lookups_s60!$AF$4:$AF$1000,lookups_s60!$AK$4:$AK$1000,"",0)),"")</f>
        <v/>
      </c>
      <c r="AS37" s="20" t="str">
        <f>IF(Y37&lt;&gt;"", Y37-_xlfn.XLOOKUP(E37,lookups_s60!$AF$4:$AF$1000,lookups_s60!$AJ$4:$AJ$1000,"",0),"")</f>
        <v/>
      </c>
      <c r="AT37" s="20" t="str">
        <f>IFERROR(IF(_xlfn.XLOOKUP(E37,lookups_s60!$AF$4:$AF$1000,lookups_s60!$AL$4:$AL$1000,"",0)=0,"",D37*_xlfn.XLOOKUP(E37,lookups_s60!$AF$4:$AF$1000,lookups_s60!$AL$4:$AL$1000,"",0)),"")</f>
        <v/>
      </c>
      <c r="AV37" s="20" t="str">
        <f>IF(S37&lt;&gt;"", S37-_xlfn.XLOOKUP(E37,lookups_s60!$AF$4:$AF$1000,lookups_s60!$AM$4:$AM$1000,"",0),"")</f>
        <v/>
      </c>
      <c r="AW37" s="20" t="str">
        <f>IFERROR(IF(_xlfn.XLOOKUP(E37,lookups_s60!$AF$4:$AF$1000,lookups_s60!$AN$4:$AN$1000,"",0)=0,"",D37*_xlfn.XLOOKUP(E37,lookups_s60!$AF$4:$AF$1000,lookups_s60!$AN$4:$AN$1000,"",0)),"")</f>
        <v/>
      </c>
      <c r="AY37" s="20" t="str" cm="1">
        <f t="array" ref="AY37">IFERROR(_xlfn.IFS(E37="Fix", J37-_xlfn.XLOOKUP(E37,lookups_s60!$AQ$4:$AQ$1000,lookups_s60!$AR$4:$AR$1000,"",0)-_xlfn.XLOOKUP(E37,lookups_s60!$AQ$4:$AQ$1000,lookups_s60!$AS$4:$AS$1000,"",0), E37="Double Fix", (J37-_xlfn.XLOOKUP(E37,lookups_s60!$AQ$4:$AQ$1000,lookups_s60!$AR$4:$AR$1000,"",0)-_xlfn.XLOOKUP(E37,lookups_s60!$G$4:$G$1000,lookups_s60!$H$4:$H$1000,"",0))/2-_xlfn.XLOOKUP(E37,lookups_s60!$AQ$4:$AQ$1000,lookups_s60!$AS$4:$AS$1000,"",0), OR(E37="Fix Awning (Vertical)",E37="Fix Awning (Horizontal)"),  (J37-_xlfn.XLOOKUP(E37,lookups_s60!$AQ$4:$AQ$1000,lookups_s60!$AR$4:$AR$1000,"",0)-40)/2-_xlfn.XLOOKUP(E37,lookups_s60!$AQ$4:$AQ$1000,lookups_s60!$AS$4:$AS$1000,"",0)),"")</f>
        <v/>
      </c>
      <c r="AZ37" s="20" t="str">
        <f>IFERROR(IF(C37&lt;&gt;"", K37-_xlfn.XLOOKUP(E37,lookups_s60!$AQ$4:$AQ$1000,lookups_s60!$AT$4:$AT$1000,"",0)-_xlfn.XLOOKUP(E37,lookups_s60!$AQ$4:$AQ$1000,lookups_s60!$AU$4:$AU$1000,"",0),""),"")</f>
        <v/>
      </c>
      <c r="BA37" s="20" t="str">
        <f t="shared" si="2"/>
        <v/>
      </c>
      <c r="BC37" s="20" t="str" cm="1">
        <f t="array" ref="BC37">IFERROR(_xlfn.IFS(E37="Awning",AQ37-_xlfn.XLOOKUP(E37,lookups_s60!$AQ$4:$AQ$1000,lookups_s60!$AV$4:$AV$1000,"",0)-_xlfn.XLOOKUP(E37,lookups_s60!$AQ$4:$AQ$1000,lookups_s60!$AW$4:$AW$1000,"",0),C37&lt;&gt;"",W37-_xlfn.XLOOKUP(E37,lookups_s60!$AQ$4:$AQ$1000,lookups_s60!$AV$4:$AV$1000,"",0)-_xlfn.XLOOKUP(E37,lookups_s60!$AQ$4:$AQ$1000,lookups_s60!$AW$4:$AW$1000,"",0)),"")</f>
        <v/>
      </c>
      <c r="BD37" s="20" t="str" cm="1">
        <f t="array" ref="BD37">IFERROR(_xlfn.IFS(E37="Awning",AS37-_xlfn.XLOOKUP(E37,lookups_s60!$AQ$4:$AQ$1000,lookups_s60!$AX$4:$AX$1000,"",0)-_xlfn.XLOOKUP(E37,lookups_s60!$AQ$4:$AQ$1000,lookups_s60!$AY$4:$AY$1000,"",0),C37&lt;&gt;"",Y37-_xlfn.XLOOKUP(E37,lookups_s60!$AQ$4:$AQ$1000,lookups_s60!$AX$4:$AX$1000,"",0)-_xlfn.XLOOKUP(E37,lookups_s60!$AQ$4:$AQ$1000,lookups_s60!$AY$4:$AY$1000,"",0)),"")</f>
        <v/>
      </c>
      <c r="BE37" s="20" t="str">
        <f>IF(BC37&lt;&gt;"", _xlfn.XLOOKUP(E37,lookups_s60!$AQ$4:$AQ$1000,lookups_s60!$AZ$4:$AZ$1000,"",0)*D37,"")</f>
        <v/>
      </c>
      <c r="BG37" s="20" t="str">
        <f t="shared" si="3"/>
        <v/>
      </c>
      <c r="BH37" s="22" t="str">
        <f t="shared" si="4"/>
        <v/>
      </c>
      <c r="BI37" s="20" t="str">
        <f t="shared" si="5"/>
        <v/>
      </c>
      <c r="BJ37" s="20" t="str">
        <f t="shared" si="6"/>
        <v/>
      </c>
      <c r="BK37" s="20" t="str">
        <f t="shared" si="7"/>
        <v/>
      </c>
    </row>
    <row r="38" spans="3:63" ht="13.5" customHeight="1" x14ac:dyDescent="0.25">
      <c r="C38" s="16"/>
      <c r="D38" s="16"/>
      <c r="E38" s="16"/>
      <c r="F38" s="16"/>
      <c r="G38" s="16"/>
      <c r="H38" s="16"/>
      <c r="I38" s="16"/>
      <c r="J38" s="16"/>
      <c r="K38" s="16"/>
      <c r="M38" s="20" t="str">
        <f t="shared" si="0"/>
        <v/>
      </c>
      <c r="N38" s="20" t="str" cm="1">
        <f t="array" ref="N38">IFERROR(_xlfn.IFS(OR(E38="Fix Awning (Vertical)", E38="Fix Awning (Horizontal)"), J38/2+20,C38&lt;&gt;"", J38+M38),"")</f>
        <v/>
      </c>
      <c r="O38" s="20" t="str">
        <f>IF(D38&lt;&gt;"", D38*_xlfn.XLOOKUP(E38,lookups_s60!$B$4:$B$1000,lookups_s60!$C$4:$C$1000,"",0),"")</f>
        <v/>
      </c>
      <c r="P38" s="20" t="str">
        <f t="shared" si="1"/>
        <v/>
      </c>
      <c r="Q38" s="20" t="str">
        <f>IF(D38&lt;&gt;"", D38*_xlfn.XLOOKUP(E38,lookups_s60!$B$4:$B$1000,lookups_s60!$D$4:$D$1000,"",0),"")</f>
        <v/>
      </c>
      <c r="S38" s="20" t="str" cm="1">
        <f t="array" ref="S38">IFERROR(_xlfn.IFS(E38="Double Fix",K38+_xlfn.XLOOKUP(E38,lookups_s60!$G$4:$G$1000,lookups_s60!$H$4:$H$1000,"",0), OR(E38="Double Awning (Horizontal)", E38="Double Awning (Vertical)",E38="Triple Awning (Horizontal)", E38="Triple Awning (Vertical)"), J38+_xlfn.XLOOKUP(E38,lookups_s60!$G$4:$G$1000,lookups_s60!$H$4:$H$1000,"",0), E38="Double Casement", J38+_xlfn.XLOOKUP(E38,lookups_s60!$G$4:$G$1000,lookups_s60!$H$4:$H$1000,"",0), OR(E38="Fix Awning (Vertical)", E38="Fix Awning (Horizontal)"), K38+_xlfn.XLOOKUP(E38,lookups_s60!$G$4:$G$1000,lookups_s60!$H$4:$H$1000,"",0), E38="Triple Casement", J38+_xlfn.XLOOKUP(E38,lookups_s60!$G$4:$G$1000,lookups_s60!$H$4:$H$1000,"",0)),"")</f>
        <v/>
      </c>
      <c r="T38" s="20" t="str">
        <f>IF(S38&lt;&gt;"",D38*_xlfn.XLOOKUP(E38,lookups_s60!$G$4:$G$1000,lookups_s60!$I$4:$I$1000,"",0),"")</f>
        <v/>
      </c>
      <c r="V38" s="20" t="str">
        <f>IF(_xlfn.XLOOKUP(E38,lookups_s60!$L$4:$L$1000,lookups_s60!$M$4:$M$1000,"",0)=0, "", _xlfn.XLOOKUP(E38,lookups_s60!$L$4:$L$1000,lookups_s60!$M$4:$M$1000,"",0))</f>
        <v/>
      </c>
      <c r="W38" s="20" t="str" cm="1">
        <f t="array" ref="W38">IFERROR(_xlfn.IFS(OR(E38="Fix Awning (Vertical)",E38="Fix Awning (Vertical)"),   ((J38-_xlfn.XLOOKUP(E38,lookups_s60!$L$4:$L$1000,lookups_s60!$N$4:$N$1000,"",0)-40)/2)+_xlfn.XLOOKUP(E38,lookups_s60!$L$4:$L$1000,lookups_s60!$O$4:$O$1000,"",0), V38&lt;&gt;"", J38-_xlfn.XLOOKUP(E38,lookups_s60!$L$4:$L$1000,lookups_s60!$N$4:$N$1000,"",0)+_xlfn.XLOOKUP(E38,lookups_s60!$L$4:$L$1000,lookups_s60!$O$4:$O$1000,"",0)),"")</f>
        <v/>
      </c>
      <c r="X38" s="20" t="str">
        <f>IF(_xlfn.XLOOKUP(E38,lookups_s60!$L$4:$L$1000,lookups_s60!$R$4:$R$1000,"",0)=0, "", D38*_xlfn.XLOOKUP(E38,lookups_s60!$L$4:$L$1000,lookups_s60!$R$4:$R$1000,"",0))</f>
        <v/>
      </c>
      <c r="Y38" s="22" t="str" cm="1">
        <f t="array" ref="Y38">IFERROR(_xlfn.IFS(OR(E38="Double Awning (Horizontal)", E38="Double Awning (Vertical)", E38="Triple Awning (Horizontal)", E38="Triple Awning (Vertical)", E38="Double Casement"), ((K38-_xlfn.XLOOKUP(E38,lookups_s60!$L$4:$L$1000,lookups_s60!$P$4:$P$1000,"",0)-36)/2)+_xlfn.XLOOKUP(E38,lookups_s60!$L$4:$L$1000,lookups_s60!$Q$4:$Q$1000,"",0), E38="Triple Casement",((K38-_xlfn.XLOOKUP(E38,lookups_s60!$L$4:$L$1000,lookups_s60!$P$4:$P$1000,"",0)-36-36)/3)+_xlfn.XLOOKUP(E38,lookups_s60!$L$4:$L$1000,lookups_s60!$Q$4:$Q$1000,"",0),V38&lt;&gt;"",K38-_xlfn.XLOOKUP(E38,lookups_s60!$L$4:$L$1000,lookups_s60!$P$4:$P$1000,"",0)+_xlfn.XLOOKUP(E38,lookups_s60!$L$4:$L$1000,lookups_s60!$Q$4:$Q$1000,"",0)),"")</f>
        <v/>
      </c>
      <c r="Z38" s="20" t="str">
        <f>IF(_xlfn.XLOOKUP(E38,lookups_s60!$L$4:$L$1000,lookups_s60!$R$4:$R$1000,"",0)=0, "", D38*_xlfn.XLOOKUP(E38,lookups_s60!$L$4:$L$1000,lookups_s60!$R$4:$R$1000,"",0))</f>
        <v/>
      </c>
      <c r="AB38" s="20" t="str" cm="1">
        <f t="array" ref="AB38">IFERROR(_xlfn.IFS(OR(E38="Fix", E38="Double Fix"),J38-_xlfn.XLOOKUP(E38,lookups_s60!$U$4:$U$1000,lookups_s60!$V$4:$V$1000,"",0),OR(E38="Fix Awning (Vertical)", E38="Fix Awning (Horizontal)"),(J38-_xlfn.XLOOKUP(E38,lookups_s60!$U$4:$U$1000,lookups_s60!$V$4:$V$1000,"",0)-40)/2),"")</f>
        <v/>
      </c>
      <c r="AC38" s="20" t="str">
        <f>IF(_xlfn.XLOOKUP(E38,lookups_s60!$U$4:$U$1000,lookups_s60!$X$4:$X$1000,"",0)=0,"",D38*_xlfn.XLOOKUP(E38,lookups_s60!$U$4:$U$1000,lookups_s60!$X$4:$X$1000,"",0))</f>
        <v/>
      </c>
      <c r="AD38" s="20" t="str">
        <f>IF(OR(E38="Fix", E38="Double Fix", E38="Fix Awning (Vertical)", E38="Fix Awning (Horizontal)"), K38-_xlfn.XLOOKUP(E38,lookups_s60!$U$4:$U$1000,lookups_s60!$W$4:$W$1000,"",0), "")</f>
        <v/>
      </c>
      <c r="AE38" s="20" t="str">
        <f>IF(_xlfn.XLOOKUP(E38,lookups_s60!$U$4:$U$1000,lookups_s60!$X$4:$X$1000,"",0)=0,"",D38*_xlfn.XLOOKUP(E38,lookups_s60!$U$4:$U$1000,lookups_s60!$Y$4:$Y$1000,"",0))</f>
        <v/>
      </c>
      <c r="AG38" s="24" t="str">
        <f>IF(W38&lt;&gt;"", W38-_xlfn.XLOOKUP(E38,lookups_s60!$U$4:$U$1000,lookups_s60!$Z$4:$Z$1000,"",0)-IF(E38="Awning", 5,0),"")</f>
        <v/>
      </c>
      <c r="AH38" s="20" t="str">
        <f>IF(_xlfn.XLOOKUP(E38,lookups_s60!$U$4:$U$1000,lookups_s60!$AB$4:$AB$1000,"",0)=0,"",D38*_xlfn.XLOOKUP(E38,lookups_s60!$U$4:$U$1000,lookups_s60!$AB$4:$AB$1000,"",0))</f>
        <v/>
      </c>
      <c r="AI38" s="22" t="str">
        <f>IF(Y38&lt;&gt;"", Y38-_xlfn.XLOOKUP(E38,lookups_s60!$U$4:$U$1000,lookups_s60!$AA$4:$AA$1000,"",0),"")</f>
        <v/>
      </c>
      <c r="AJ38" s="20" t="str">
        <f>IF(_xlfn.XLOOKUP(E38,lookups_s60!$U$4:$U$1000,lookups_s60!$AC$4:$AC$1000,"",0)=0,"",D38*_xlfn.XLOOKUP(E38,lookups_s60!$U$4:$U$1000,lookups_s60!$AC$4:$AC$1000,"",0))</f>
        <v/>
      </c>
      <c r="AL38" s="20" t="str">
        <f>IF(C38&lt;&gt;"", N38-_xlfn.XLOOKUP(E38,lookups_s60!$AF$4:$AF$1000,lookups_s60!$AG$4:$AG$1000,"",0),"")</f>
        <v/>
      </c>
      <c r="AM38" s="20" t="str">
        <f>IF(_xlfn.XLOOKUP(E38,lookups_s60!$AF$4:$AF$1000,lookups_s60!$AH$4:$AH$1000,"",0)=0,"",D38*_xlfn.XLOOKUP(E38,lookups_s60!$AF$4:$AF$1000,lookups_s60!$AH$4:$AH$1000,"",0))</f>
        <v/>
      </c>
      <c r="AN38" s="20" t="str">
        <f>IF(C38&lt;&gt;"", P38-_xlfn.XLOOKUP(E38,lookups_s60!$AF$4:$AF$1000,lookups_s60!$AG$4:$AG$1000,"",0),"")</f>
        <v/>
      </c>
      <c r="AO38" s="20" t="str">
        <f>IFERROR(IF(_xlfn.XLOOKUP(E38,lookups_s60!$AF$4:$AF$1000,lookups_s60!$AI$4:$AI$1000,"",0)=0,"",D38*_xlfn.XLOOKUP(E38,lookups_s60!$AF$4:$AF$1000,lookups_s60!$AI$4:$AI$1000,"",0)),"")</f>
        <v/>
      </c>
      <c r="AQ38" s="20" t="str">
        <f>IF(W38&lt;&gt;"", W38-_xlfn.XLOOKUP(E38,lookups_s60!$AF$4:$AF$1000,lookups_s60!$AJ$4:$AJ$1000,"",0),"")</f>
        <v/>
      </c>
      <c r="AR38" s="20" t="str">
        <f>IFERROR(IF(_xlfn.XLOOKUP(E38,lookups_s60!$AF$4:$AF$1000,lookups_s60!$AK$4:$AK$1000,"",0)=0,"",D38*_xlfn.XLOOKUP(E38,lookups_s60!$AF$4:$AF$1000,lookups_s60!$AK$4:$AK$1000,"",0)),"")</f>
        <v/>
      </c>
      <c r="AS38" s="20" t="str">
        <f>IF(Y38&lt;&gt;"", Y38-_xlfn.XLOOKUP(E38,lookups_s60!$AF$4:$AF$1000,lookups_s60!$AJ$4:$AJ$1000,"",0),"")</f>
        <v/>
      </c>
      <c r="AT38" s="20" t="str">
        <f>IFERROR(IF(_xlfn.XLOOKUP(E38,lookups_s60!$AF$4:$AF$1000,lookups_s60!$AL$4:$AL$1000,"",0)=0,"",D38*_xlfn.XLOOKUP(E38,lookups_s60!$AF$4:$AF$1000,lookups_s60!$AL$4:$AL$1000,"",0)),"")</f>
        <v/>
      </c>
      <c r="AV38" s="20" t="str">
        <f>IF(S38&lt;&gt;"", S38-_xlfn.XLOOKUP(E38,lookups_s60!$AF$4:$AF$1000,lookups_s60!$AM$4:$AM$1000,"",0),"")</f>
        <v/>
      </c>
      <c r="AW38" s="20" t="str">
        <f>IFERROR(IF(_xlfn.XLOOKUP(E38,lookups_s60!$AF$4:$AF$1000,lookups_s60!$AN$4:$AN$1000,"",0)=0,"",D38*_xlfn.XLOOKUP(E38,lookups_s60!$AF$4:$AF$1000,lookups_s60!$AN$4:$AN$1000,"",0)),"")</f>
        <v/>
      </c>
      <c r="AY38" s="20" t="str" cm="1">
        <f t="array" ref="AY38">IFERROR(_xlfn.IFS(E38="Fix", J38-_xlfn.XLOOKUP(E38,lookups_s60!$AQ$4:$AQ$1000,lookups_s60!$AR$4:$AR$1000,"",0)-_xlfn.XLOOKUP(E38,lookups_s60!$AQ$4:$AQ$1000,lookups_s60!$AS$4:$AS$1000,"",0), E38="Double Fix", (J38-_xlfn.XLOOKUP(E38,lookups_s60!$AQ$4:$AQ$1000,lookups_s60!$AR$4:$AR$1000,"",0)-_xlfn.XLOOKUP(E38,lookups_s60!$G$4:$G$1000,lookups_s60!$H$4:$H$1000,"",0))/2-_xlfn.XLOOKUP(E38,lookups_s60!$AQ$4:$AQ$1000,lookups_s60!$AS$4:$AS$1000,"",0), OR(E38="Fix Awning (Vertical)",E38="Fix Awning (Horizontal)"),  (J38-_xlfn.XLOOKUP(E38,lookups_s60!$AQ$4:$AQ$1000,lookups_s60!$AR$4:$AR$1000,"",0)-40)/2-_xlfn.XLOOKUP(E38,lookups_s60!$AQ$4:$AQ$1000,lookups_s60!$AS$4:$AS$1000,"",0)),"")</f>
        <v/>
      </c>
      <c r="AZ38" s="20" t="str">
        <f>IFERROR(IF(C38&lt;&gt;"", K38-_xlfn.XLOOKUP(E38,lookups_s60!$AQ$4:$AQ$1000,lookups_s60!$AT$4:$AT$1000,"",0)-_xlfn.XLOOKUP(E38,lookups_s60!$AQ$4:$AQ$1000,lookups_s60!$AU$4:$AU$1000,"",0),""),"")</f>
        <v/>
      </c>
      <c r="BA38" s="20" t="str">
        <f t="shared" si="2"/>
        <v/>
      </c>
      <c r="BC38" s="20" t="str" cm="1">
        <f t="array" ref="BC38">IFERROR(_xlfn.IFS(E38="Awning",AQ38-_xlfn.XLOOKUP(E38,lookups_s60!$AQ$4:$AQ$1000,lookups_s60!$AV$4:$AV$1000,"",0)-_xlfn.XLOOKUP(E38,lookups_s60!$AQ$4:$AQ$1000,lookups_s60!$AW$4:$AW$1000,"",0),C38&lt;&gt;"",W38-_xlfn.XLOOKUP(E38,lookups_s60!$AQ$4:$AQ$1000,lookups_s60!$AV$4:$AV$1000,"",0)-_xlfn.XLOOKUP(E38,lookups_s60!$AQ$4:$AQ$1000,lookups_s60!$AW$4:$AW$1000,"",0)),"")</f>
        <v/>
      </c>
      <c r="BD38" s="20" t="str" cm="1">
        <f t="array" ref="BD38">IFERROR(_xlfn.IFS(E38="Awning",AS38-_xlfn.XLOOKUP(E38,lookups_s60!$AQ$4:$AQ$1000,lookups_s60!$AX$4:$AX$1000,"",0)-_xlfn.XLOOKUP(E38,lookups_s60!$AQ$4:$AQ$1000,lookups_s60!$AY$4:$AY$1000,"",0),C38&lt;&gt;"",Y38-_xlfn.XLOOKUP(E38,lookups_s60!$AQ$4:$AQ$1000,lookups_s60!$AX$4:$AX$1000,"",0)-_xlfn.XLOOKUP(E38,lookups_s60!$AQ$4:$AQ$1000,lookups_s60!$AY$4:$AY$1000,"",0)),"")</f>
        <v/>
      </c>
      <c r="BE38" s="20" t="str">
        <f>IF(BC38&lt;&gt;"", _xlfn.XLOOKUP(E38,lookups_s60!$AQ$4:$AQ$1000,lookups_s60!$AZ$4:$AZ$1000,"",0)*D38,"")</f>
        <v/>
      </c>
      <c r="BG38" s="20" t="str">
        <f t="shared" si="3"/>
        <v/>
      </c>
      <c r="BH38" s="22" t="str">
        <f t="shared" si="4"/>
        <v/>
      </c>
      <c r="BI38" s="20" t="str">
        <f t="shared" si="5"/>
        <v/>
      </c>
      <c r="BJ38" s="20" t="str">
        <f t="shared" si="6"/>
        <v/>
      </c>
      <c r="BK38" s="20" t="str">
        <f t="shared" si="7"/>
        <v/>
      </c>
    </row>
    <row r="39" spans="3:63" ht="13.5" customHeight="1" x14ac:dyDescent="0.25">
      <c r="C39" s="16"/>
      <c r="D39" s="16"/>
      <c r="E39" s="16"/>
      <c r="F39" s="16"/>
      <c r="G39" s="16"/>
      <c r="H39" s="16"/>
      <c r="I39" s="16"/>
      <c r="J39" s="16"/>
      <c r="K39" s="16"/>
      <c r="M39" s="20" t="str">
        <f t="shared" si="0"/>
        <v/>
      </c>
      <c r="N39" s="20" t="str" cm="1">
        <f t="array" ref="N39">IFERROR(_xlfn.IFS(OR(E39="Fix Awning (Vertical)", E39="Fix Awning (Horizontal)"), J39/2+20,C39&lt;&gt;"", J39+M39),"")</f>
        <v/>
      </c>
      <c r="O39" s="20" t="str">
        <f>IF(D39&lt;&gt;"", D39*_xlfn.XLOOKUP(E39,lookups_s60!$B$4:$B$1000,lookups_s60!$C$4:$C$1000,"",0),"")</f>
        <v/>
      </c>
      <c r="P39" s="20" t="str">
        <f t="shared" si="1"/>
        <v/>
      </c>
      <c r="Q39" s="20" t="str">
        <f>IF(D39&lt;&gt;"", D39*_xlfn.XLOOKUP(E39,lookups_s60!$B$4:$B$1000,lookups_s60!$D$4:$D$1000,"",0),"")</f>
        <v/>
      </c>
      <c r="S39" s="20" t="str" cm="1">
        <f t="array" ref="S39">IFERROR(_xlfn.IFS(E39="Double Fix",K39+_xlfn.XLOOKUP(E39,lookups_s60!$G$4:$G$1000,lookups_s60!$H$4:$H$1000,"",0), OR(E39="Double Awning (Horizontal)", E39="Double Awning (Vertical)",E39="Triple Awning (Horizontal)", E39="Triple Awning (Vertical)"), J39+_xlfn.XLOOKUP(E39,lookups_s60!$G$4:$G$1000,lookups_s60!$H$4:$H$1000,"",0), E39="Double Casement", J39+_xlfn.XLOOKUP(E39,lookups_s60!$G$4:$G$1000,lookups_s60!$H$4:$H$1000,"",0), OR(E39="Fix Awning (Vertical)", E39="Fix Awning (Horizontal)"), K39+_xlfn.XLOOKUP(E39,lookups_s60!$G$4:$G$1000,lookups_s60!$H$4:$H$1000,"",0), E39="Triple Casement", J39+_xlfn.XLOOKUP(E39,lookups_s60!$G$4:$G$1000,lookups_s60!$H$4:$H$1000,"",0)),"")</f>
        <v/>
      </c>
      <c r="T39" s="20" t="str">
        <f>IF(S39&lt;&gt;"",D39*_xlfn.XLOOKUP(E39,lookups_s60!$G$4:$G$1000,lookups_s60!$I$4:$I$1000,"",0),"")</f>
        <v/>
      </c>
      <c r="V39" s="20" t="str">
        <f>IF(_xlfn.XLOOKUP(E39,lookups_s60!$L$4:$L$1000,lookups_s60!$M$4:$M$1000,"",0)=0, "", _xlfn.XLOOKUP(E39,lookups_s60!$L$4:$L$1000,lookups_s60!$M$4:$M$1000,"",0))</f>
        <v/>
      </c>
      <c r="W39" s="20" t="str" cm="1">
        <f t="array" ref="W39">IFERROR(_xlfn.IFS(OR(E39="Fix Awning (Vertical)",E39="Fix Awning (Vertical)"),   ((J39-_xlfn.XLOOKUP(E39,lookups_s60!$L$4:$L$1000,lookups_s60!$N$4:$N$1000,"",0)-40)/2)+_xlfn.XLOOKUP(E39,lookups_s60!$L$4:$L$1000,lookups_s60!$O$4:$O$1000,"",0), V39&lt;&gt;"", J39-_xlfn.XLOOKUP(E39,lookups_s60!$L$4:$L$1000,lookups_s60!$N$4:$N$1000,"",0)+_xlfn.XLOOKUP(E39,lookups_s60!$L$4:$L$1000,lookups_s60!$O$4:$O$1000,"",0)),"")</f>
        <v/>
      </c>
      <c r="X39" s="20" t="str">
        <f>IF(_xlfn.XLOOKUP(E39,lookups_s60!$L$4:$L$1000,lookups_s60!$R$4:$R$1000,"",0)=0, "", D39*_xlfn.XLOOKUP(E39,lookups_s60!$L$4:$L$1000,lookups_s60!$R$4:$R$1000,"",0))</f>
        <v/>
      </c>
      <c r="Y39" s="22" t="str" cm="1">
        <f t="array" ref="Y39">IFERROR(_xlfn.IFS(OR(E39="Double Awning (Horizontal)", E39="Double Awning (Vertical)", E39="Triple Awning (Horizontal)", E39="Triple Awning (Vertical)", E39="Double Casement"), ((K39-_xlfn.XLOOKUP(E39,lookups_s60!$L$4:$L$1000,lookups_s60!$P$4:$P$1000,"",0)-36)/2)+_xlfn.XLOOKUP(E39,lookups_s60!$L$4:$L$1000,lookups_s60!$Q$4:$Q$1000,"",0), E39="Triple Casement",((K39-_xlfn.XLOOKUP(E39,lookups_s60!$L$4:$L$1000,lookups_s60!$P$4:$P$1000,"",0)-36-36)/3)+_xlfn.XLOOKUP(E39,lookups_s60!$L$4:$L$1000,lookups_s60!$Q$4:$Q$1000,"",0),V39&lt;&gt;"",K39-_xlfn.XLOOKUP(E39,lookups_s60!$L$4:$L$1000,lookups_s60!$P$4:$P$1000,"",0)+_xlfn.XLOOKUP(E39,lookups_s60!$L$4:$L$1000,lookups_s60!$Q$4:$Q$1000,"",0)),"")</f>
        <v/>
      </c>
      <c r="Z39" s="20" t="str">
        <f>IF(_xlfn.XLOOKUP(E39,lookups_s60!$L$4:$L$1000,lookups_s60!$R$4:$R$1000,"",0)=0, "", D39*_xlfn.XLOOKUP(E39,lookups_s60!$L$4:$L$1000,lookups_s60!$R$4:$R$1000,"",0))</f>
        <v/>
      </c>
      <c r="AB39" s="20" t="str" cm="1">
        <f t="array" ref="AB39">IFERROR(_xlfn.IFS(OR(E39="Fix", E39="Double Fix"),J39-_xlfn.XLOOKUP(E39,lookups_s60!$U$4:$U$1000,lookups_s60!$V$4:$V$1000,"",0),OR(E39="Fix Awning (Vertical)", E39="Fix Awning (Horizontal)"),(J39-_xlfn.XLOOKUP(E39,lookups_s60!$U$4:$U$1000,lookups_s60!$V$4:$V$1000,"",0)-40)/2),"")</f>
        <v/>
      </c>
      <c r="AC39" s="20" t="str">
        <f>IF(_xlfn.XLOOKUP(E39,lookups_s60!$U$4:$U$1000,lookups_s60!$X$4:$X$1000,"",0)=0,"",D39*_xlfn.XLOOKUP(E39,lookups_s60!$U$4:$U$1000,lookups_s60!$X$4:$X$1000,"",0))</f>
        <v/>
      </c>
      <c r="AD39" s="20" t="str">
        <f>IF(OR(E39="Fix", E39="Double Fix", E39="Fix Awning (Vertical)", E39="Fix Awning (Horizontal)"), K39-_xlfn.XLOOKUP(E39,lookups_s60!$U$4:$U$1000,lookups_s60!$W$4:$W$1000,"",0), "")</f>
        <v/>
      </c>
      <c r="AE39" s="20" t="str">
        <f>IF(_xlfn.XLOOKUP(E39,lookups_s60!$U$4:$U$1000,lookups_s60!$X$4:$X$1000,"",0)=0,"",D39*_xlfn.XLOOKUP(E39,lookups_s60!$U$4:$U$1000,lookups_s60!$Y$4:$Y$1000,"",0))</f>
        <v/>
      </c>
      <c r="AG39" s="24" t="str">
        <f>IF(W39&lt;&gt;"", W39-_xlfn.XLOOKUP(E39,lookups_s60!$U$4:$U$1000,lookups_s60!$Z$4:$Z$1000,"",0)-IF(E39="Awning", 5,0),"")</f>
        <v/>
      </c>
      <c r="AH39" s="20" t="str">
        <f>IF(_xlfn.XLOOKUP(E39,lookups_s60!$U$4:$U$1000,lookups_s60!$AB$4:$AB$1000,"",0)=0,"",D39*_xlfn.XLOOKUP(E39,lookups_s60!$U$4:$U$1000,lookups_s60!$AB$4:$AB$1000,"",0))</f>
        <v/>
      </c>
      <c r="AI39" s="22" t="str">
        <f>IF(Y39&lt;&gt;"", Y39-_xlfn.XLOOKUP(E39,lookups_s60!$U$4:$U$1000,lookups_s60!$AA$4:$AA$1000,"",0),"")</f>
        <v/>
      </c>
      <c r="AJ39" s="20" t="str">
        <f>IF(_xlfn.XLOOKUP(E39,lookups_s60!$U$4:$U$1000,lookups_s60!$AC$4:$AC$1000,"",0)=0,"",D39*_xlfn.XLOOKUP(E39,lookups_s60!$U$4:$U$1000,lookups_s60!$AC$4:$AC$1000,"",0))</f>
        <v/>
      </c>
      <c r="AL39" s="20" t="str">
        <f>IF(C39&lt;&gt;"", N39-_xlfn.XLOOKUP(E39,lookups_s60!$AF$4:$AF$1000,lookups_s60!$AG$4:$AG$1000,"",0),"")</f>
        <v/>
      </c>
      <c r="AM39" s="20" t="str">
        <f>IF(_xlfn.XLOOKUP(E39,lookups_s60!$AF$4:$AF$1000,lookups_s60!$AH$4:$AH$1000,"",0)=0,"",D39*_xlfn.XLOOKUP(E39,lookups_s60!$AF$4:$AF$1000,lookups_s60!$AH$4:$AH$1000,"",0))</f>
        <v/>
      </c>
      <c r="AN39" s="20" t="str">
        <f>IF(C39&lt;&gt;"", P39-_xlfn.XLOOKUP(E39,lookups_s60!$AF$4:$AF$1000,lookups_s60!$AG$4:$AG$1000,"",0),"")</f>
        <v/>
      </c>
      <c r="AO39" s="20" t="str">
        <f>IFERROR(IF(_xlfn.XLOOKUP(E39,lookups_s60!$AF$4:$AF$1000,lookups_s60!$AI$4:$AI$1000,"",0)=0,"",D39*_xlfn.XLOOKUP(E39,lookups_s60!$AF$4:$AF$1000,lookups_s60!$AI$4:$AI$1000,"",0)),"")</f>
        <v/>
      </c>
      <c r="AQ39" s="20" t="str">
        <f>IF(W39&lt;&gt;"", W39-_xlfn.XLOOKUP(E39,lookups_s60!$AF$4:$AF$1000,lookups_s60!$AJ$4:$AJ$1000,"",0),"")</f>
        <v/>
      </c>
      <c r="AR39" s="20" t="str">
        <f>IFERROR(IF(_xlfn.XLOOKUP(E39,lookups_s60!$AF$4:$AF$1000,lookups_s60!$AK$4:$AK$1000,"",0)=0,"",D39*_xlfn.XLOOKUP(E39,lookups_s60!$AF$4:$AF$1000,lookups_s60!$AK$4:$AK$1000,"",0)),"")</f>
        <v/>
      </c>
      <c r="AS39" s="20" t="str">
        <f>IF(Y39&lt;&gt;"", Y39-_xlfn.XLOOKUP(E39,lookups_s60!$AF$4:$AF$1000,lookups_s60!$AJ$4:$AJ$1000,"",0),"")</f>
        <v/>
      </c>
      <c r="AT39" s="20" t="str">
        <f>IFERROR(IF(_xlfn.XLOOKUP(E39,lookups_s60!$AF$4:$AF$1000,lookups_s60!$AL$4:$AL$1000,"",0)=0,"",D39*_xlfn.XLOOKUP(E39,lookups_s60!$AF$4:$AF$1000,lookups_s60!$AL$4:$AL$1000,"",0)),"")</f>
        <v/>
      </c>
      <c r="AV39" s="20" t="str">
        <f>IF(S39&lt;&gt;"", S39-_xlfn.XLOOKUP(E39,lookups_s60!$AF$4:$AF$1000,lookups_s60!$AM$4:$AM$1000,"",0),"")</f>
        <v/>
      </c>
      <c r="AW39" s="20" t="str">
        <f>IFERROR(IF(_xlfn.XLOOKUP(E39,lookups_s60!$AF$4:$AF$1000,lookups_s60!$AN$4:$AN$1000,"",0)=0,"",D39*_xlfn.XLOOKUP(E39,lookups_s60!$AF$4:$AF$1000,lookups_s60!$AN$4:$AN$1000,"",0)),"")</f>
        <v/>
      </c>
      <c r="AY39" s="20" t="str" cm="1">
        <f t="array" ref="AY39">IFERROR(_xlfn.IFS(E39="Fix", J39-_xlfn.XLOOKUP(E39,lookups_s60!$AQ$4:$AQ$1000,lookups_s60!$AR$4:$AR$1000,"",0)-_xlfn.XLOOKUP(E39,lookups_s60!$AQ$4:$AQ$1000,lookups_s60!$AS$4:$AS$1000,"",0), E39="Double Fix", (J39-_xlfn.XLOOKUP(E39,lookups_s60!$AQ$4:$AQ$1000,lookups_s60!$AR$4:$AR$1000,"",0)-_xlfn.XLOOKUP(E39,lookups_s60!$G$4:$G$1000,lookups_s60!$H$4:$H$1000,"",0))/2-_xlfn.XLOOKUP(E39,lookups_s60!$AQ$4:$AQ$1000,lookups_s60!$AS$4:$AS$1000,"",0), OR(E39="Fix Awning (Vertical)",E39="Fix Awning (Horizontal)"),  (J39-_xlfn.XLOOKUP(E39,lookups_s60!$AQ$4:$AQ$1000,lookups_s60!$AR$4:$AR$1000,"",0)-40)/2-_xlfn.XLOOKUP(E39,lookups_s60!$AQ$4:$AQ$1000,lookups_s60!$AS$4:$AS$1000,"",0)),"")</f>
        <v/>
      </c>
      <c r="AZ39" s="20" t="str">
        <f>IFERROR(IF(C39&lt;&gt;"", K39-_xlfn.XLOOKUP(E39,lookups_s60!$AQ$4:$AQ$1000,lookups_s60!$AT$4:$AT$1000,"",0)-_xlfn.XLOOKUP(E39,lookups_s60!$AQ$4:$AQ$1000,lookups_s60!$AU$4:$AU$1000,"",0),""),"")</f>
        <v/>
      </c>
      <c r="BA39" s="20" t="str">
        <f t="shared" si="2"/>
        <v/>
      </c>
      <c r="BC39" s="20" t="str" cm="1">
        <f t="array" ref="BC39">IFERROR(_xlfn.IFS(E39="Awning",AQ39-_xlfn.XLOOKUP(E39,lookups_s60!$AQ$4:$AQ$1000,lookups_s60!$AV$4:$AV$1000,"",0)-_xlfn.XLOOKUP(E39,lookups_s60!$AQ$4:$AQ$1000,lookups_s60!$AW$4:$AW$1000,"",0),C39&lt;&gt;"",W39-_xlfn.XLOOKUP(E39,lookups_s60!$AQ$4:$AQ$1000,lookups_s60!$AV$4:$AV$1000,"",0)-_xlfn.XLOOKUP(E39,lookups_s60!$AQ$4:$AQ$1000,lookups_s60!$AW$4:$AW$1000,"",0)),"")</f>
        <v/>
      </c>
      <c r="BD39" s="20" t="str" cm="1">
        <f t="array" ref="BD39">IFERROR(_xlfn.IFS(E39="Awning",AS39-_xlfn.XLOOKUP(E39,lookups_s60!$AQ$4:$AQ$1000,lookups_s60!$AX$4:$AX$1000,"",0)-_xlfn.XLOOKUP(E39,lookups_s60!$AQ$4:$AQ$1000,lookups_s60!$AY$4:$AY$1000,"",0),C39&lt;&gt;"",Y39-_xlfn.XLOOKUP(E39,lookups_s60!$AQ$4:$AQ$1000,lookups_s60!$AX$4:$AX$1000,"",0)-_xlfn.XLOOKUP(E39,lookups_s60!$AQ$4:$AQ$1000,lookups_s60!$AY$4:$AY$1000,"",0)),"")</f>
        <v/>
      </c>
      <c r="BE39" s="20" t="str">
        <f>IF(BC39&lt;&gt;"", _xlfn.XLOOKUP(E39,lookups_s60!$AQ$4:$AQ$1000,lookups_s60!$AZ$4:$AZ$1000,"",0)*D39,"")</f>
        <v/>
      </c>
      <c r="BG39" s="20" t="str">
        <f t="shared" si="3"/>
        <v/>
      </c>
      <c r="BH39" s="22" t="str">
        <f t="shared" si="4"/>
        <v/>
      </c>
      <c r="BI39" s="20" t="str">
        <f t="shared" si="5"/>
        <v/>
      </c>
      <c r="BJ39" s="20" t="str">
        <f t="shared" si="6"/>
        <v/>
      </c>
      <c r="BK39" s="20" t="str">
        <f t="shared" si="7"/>
        <v/>
      </c>
    </row>
    <row r="40" spans="3:63" ht="13.5" customHeight="1" x14ac:dyDescent="0.25">
      <c r="C40" s="16"/>
      <c r="D40" s="16"/>
      <c r="E40" s="16"/>
      <c r="F40" s="16"/>
      <c r="G40" s="16"/>
      <c r="H40" s="16"/>
      <c r="I40" s="16"/>
      <c r="J40" s="16"/>
      <c r="K40" s="16"/>
      <c r="M40" s="20" t="str">
        <f t="shared" si="0"/>
        <v/>
      </c>
      <c r="N40" s="20" t="str" cm="1">
        <f t="array" ref="N40">IFERROR(_xlfn.IFS(OR(E40="Fix Awning (Vertical)", E40="Fix Awning (Horizontal)"), J40/2+20,C40&lt;&gt;"", J40+M40),"")</f>
        <v/>
      </c>
      <c r="O40" s="20" t="str">
        <f>IF(D40&lt;&gt;"", D40*_xlfn.XLOOKUP(E40,lookups_s60!$B$4:$B$1000,lookups_s60!$C$4:$C$1000,"",0),"")</f>
        <v/>
      </c>
      <c r="P40" s="20" t="str">
        <f t="shared" si="1"/>
        <v/>
      </c>
      <c r="Q40" s="20" t="str">
        <f>IF(D40&lt;&gt;"", D40*_xlfn.XLOOKUP(E40,lookups_s60!$B$4:$B$1000,lookups_s60!$D$4:$D$1000,"",0),"")</f>
        <v/>
      </c>
      <c r="S40" s="20" t="str" cm="1">
        <f t="array" ref="S40">IFERROR(_xlfn.IFS(E40="Double Fix",K40+_xlfn.XLOOKUP(E40,lookups_s60!$G$4:$G$1000,lookups_s60!$H$4:$H$1000,"",0), OR(E40="Double Awning (Horizontal)", E40="Double Awning (Vertical)",E40="Triple Awning (Horizontal)", E40="Triple Awning (Vertical)"), J40+_xlfn.XLOOKUP(E40,lookups_s60!$G$4:$G$1000,lookups_s60!$H$4:$H$1000,"",0), E40="Double Casement", J40+_xlfn.XLOOKUP(E40,lookups_s60!$G$4:$G$1000,lookups_s60!$H$4:$H$1000,"",0), OR(E40="Fix Awning (Vertical)", E40="Fix Awning (Horizontal)"), K40+_xlfn.XLOOKUP(E40,lookups_s60!$G$4:$G$1000,lookups_s60!$H$4:$H$1000,"",0), E40="Triple Casement", J40+_xlfn.XLOOKUP(E40,lookups_s60!$G$4:$G$1000,lookups_s60!$H$4:$H$1000,"",0)),"")</f>
        <v/>
      </c>
      <c r="T40" s="20" t="str">
        <f>IF(S40&lt;&gt;"",D40*_xlfn.XLOOKUP(E40,lookups_s60!$G$4:$G$1000,lookups_s60!$I$4:$I$1000,"",0),"")</f>
        <v/>
      </c>
      <c r="V40" s="20" t="str">
        <f>IF(_xlfn.XLOOKUP(E40,lookups_s60!$L$4:$L$1000,lookups_s60!$M$4:$M$1000,"",0)=0, "", _xlfn.XLOOKUP(E40,lookups_s60!$L$4:$L$1000,lookups_s60!$M$4:$M$1000,"",0))</f>
        <v/>
      </c>
      <c r="W40" s="20" t="str" cm="1">
        <f t="array" ref="W40">IFERROR(_xlfn.IFS(OR(E40="Fix Awning (Vertical)",E40="Fix Awning (Vertical)"),   ((J40-_xlfn.XLOOKUP(E40,lookups_s60!$L$4:$L$1000,lookups_s60!$N$4:$N$1000,"",0)-40)/2)+_xlfn.XLOOKUP(E40,lookups_s60!$L$4:$L$1000,lookups_s60!$O$4:$O$1000,"",0), V40&lt;&gt;"", J40-_xlfn.XLOOKUP(E40,lookups_s60!$L$4:$L$1000,lookups_s60!$N$4:$N$1000,"",0)+_xlfn.XLOOKUP(E40,lookups_s60!$L$4:$L$1000,lookups_s60!$O$4:$O$1000,"",0)),"")</f>
        <v/>
      </c>
      <c r="X40" s="20" t="str">
        <f>IF(_xlfn.XLOOKUP(E40,lookups_s60!$L$4:$L$1000,lookups_s60!$R$4:$R$1000,"",0)=0, "", D40*_xlfn.XLOOKUP(E40,lookups_s60!$L$4:$L$1000,lookups_s60!$R$4:$R$1000,"",0))</f>
        <v/>
      </c>
      <c r="Y40" s="22" t="str" cm="1">
        <f t="array" ref="Y40">IFERROR(_xlfn.IFS(OR(E40="Double Awning (Horizontal)", E40="Double Awning (Vertical)", E40="Triple Awning (Horizontal)", E40="Triple Awning (Vertical)", E40="Double Casement"), ((K40-_xlfn.XLOOKUP(E40,lookups_s60!$L$4:$L$1000,lookups_s60!$P$4:$P$1000,"",0)-36)/2)+_xlfn.XLOOKUP(E40,lookups_s60!$L$4:$L$1000,lookups_s60!$Q$4:$Q$1000,"",0), E40="Triple Casement",((K40-_xlfn.XLOOKUP(E40,lookups_s60!$L$4:$L$1000,lookups_s60!$P$4:$P$1000,"",0)-36-36)/3)+_xlfn.XLOOKUP(E40,lookups_s60!$L$4:$L$1000,lookups_s60!$Q$4:$Q$1000,"",0),V40&lt;&gt;"",K40-_xlfn.XLOOKUP(E40,lookups_s60!$L$4:$L$1000,lookups_s60!$P$4:$P$1000,"",0)+_xlfn.XLOOKUP(E40,lookups_s60!$L$4:$L$1000,lookups_s60!$Q$4:$Q$1000,"",0)),"")</f>
        <v/>
      </c>
      <c r="Z40" s="20" t="str">
        <f>IF(_xlfn.XLOOKUP(E40,lookups_s60!$L$4:$L$1000,lookups_s60!$R$4:$R$1000,"",0)=0, "", D40*_xlfn.XLOOKUP(E40,lookups_s60!$L$4:$L$1000,lookups_s60!$R$4:$R$1000,"",0))</f>
        <v/>
      </c>
      <c r="AB40" s="20" t="str" cm="1">
        <f t="array" ref="AB40">IFERROR(_xlfn.IFS(OR(E40="Fix", E40="Double Fix"),J40-_xlfn.XLOOKUP(E40,lookups_s60!$U$4:$U$1000,lookups_s60!$V$4:$V$1000,"",0),OR(E40="Fix Awning (Vertical)", E40="Fix Awning (Horizontal)"),(J40-_xlfn.XLOOKUP(E40,lookups_s60!$U$4:$U$1000,lookups_s60!$V$4:$V$1000,"",0)-40)/2),"")</f>
        <v/>
      </c>
      <c r="AC40" s="20" t="str">
        <f>IF(_xlfn.XLOOKUP(E40,lookups_s60!$U$4:$U$1000,lookups_s60!$X$4:$X$1000,"",0)=0,"",D40*_xlfn.XLOOKUP(E40,lookups_s60!$U$4:$U$1000,lookups_s60!$X$4:$X$1000,"",0))</f>
        <v/>
      </c>
      <c r="AD40" s="20" t="str">
        <f>IF(OR(E40="Fix", E40="Double Fix", E40="Fix Awning (Vertical)", E40="Fix Awning (Horizontal)"), K40-_xlfn.XLOOKUP(E40,lookups_s60!$U$4:$U$1000,lookups_s60!$W$4:$W$1000,"",0), "")</f>
        <v/>
      </c>
      <c r="AE40" s="20" t="str">
        <f>IF(_xlfn.XLOOKUP(E40,lookups_s60!$U$4:$U$1000,lookups_s60!$X$4:$X$1000,"",0)=0,"",D40*_xlfn.XLOOKUP(E40,lookups_s60!$U$4:$U$1000,lookups_s60!$Y$4:$Y$1000,"",0))</f>
        <v/>
      </c>
      <c r="AG40" s="24" t="str">
        <f>IF(W40&lt;&gt;"", W40-_xlfn.XLOOKUP(E40,lookups_s60!$U$4:$U$1000,lookups_s60!$Z$4:$Z$1000,"",0)-IF(E40="Awning", 5,0),"")</f>
        <v/>
      </c>
      <c r="AH40" s="20" t="str">
        <f>IF(_xlfn.XLOOKUP(E40,lookups_s60!$U$4:$U$1000,lookups_s60!$AB$4:$AB$1000,"",0)=0,"",D40*_xlfn.XLOOKUP(E40,lookups_s60!$U$4:$U$1000,lookups_s60!$AB$4:$AB$1000,"",0))</f>
        <v/>
      </c>
      <c r="AI40" s="22" t="str">
        <f>IF(Y40&lt;&gt;"", Y40-_xlfn.XLOOKUP(E40,lookups_s60!$U$4:$U$1000,lookups_s60!$AA$4:$AA$1000,"",0),"")</f>
        <v/>
      </c>
      <c r="AJ40" s="20" t="str">
        <f>IF(_xlfn.XLOOKUP(E40,lookups_s60!$U$4:$U$1000,lookups_s60!$AC$4:$AC$1000,"",0)=0,"",D40*_xlfn.XLOOKUP(E40,lookups_s60!$U$4:$U$1000,lookups_s60!$AC$4:$AC$1000,"",0))</f>
        <v/>
      </c>
      <c r="AL40" s="20" t="str">
        <f>IF(C40&lt;&gt;"", N40-_xlfn.XLOOKUP(E40,lookups_s60!$AF$4:$AF$1000,lookups_s60!$AG$4:$AG$1000,"",0),"")</f>
        <v/>
      </c>
      <c r="AM40" s="20" t="str">
        <f>IF(_xlfn.XLOOKUP(E40,lookups_s60!$AF$4:$AF$1000,lookups_s60!$AH$4:$AH$1000,"",0)=0,"",D40*_xlfn.XLOOKUP(E40,lookups_s60!$AF$4:$AF$1000,lookups_s60!$AH$4:$AH$1000,"",0))</f>
        <v/>
      </c>
      <c r="AN40" s="20" t="str">
        <f>IF(C40&lt;&gt;"", P40-_xlfn.XLOOKUP(E40,lookups_s60!$AF$4:$AF$1000,lookups_s60!$AG$4:$AG$1000,"",0),"")</f>
        <v/>
      </c>
      <c r="AO40" s="20" t="str">
        <f>IFERROR(IF(_xlfn.XLOOKUP(E40,lookups_s60!$AF$4:$AF$1000,lookups_s60!$AI$4:$AI$1000,"",0)=0,"",D40*_xlfn.XLOOKUP(E40,lookups_s60!$AF$4:$AF$1000,lookups_s60!$AI$4:$AI$1000,"",0)),"")</f>
        <v/>
      </c>
      <c r="AQ40" s="20" t="str">
        <f>IF(W40&lt;&gt;"", W40-_xlfn.XLOOKUP(E40,lookups_s60!$AF$4:$AF$1000,lookups_s60!$AJ$4:$AJ$1000,"",0),"")</f>
        <v/>
      </c>
      <c r="AR40" s="20" t="str">
        <f>IFERROR(IF(_xlfn.XLOOKUP(E40,lookups_s60!$AF$4:$AF$1000,lookups_s60!$AK$4:$AK$1000,"",0)=0,"",D40*_xlfn.XLOOKUP(E40,lookups_s60!$AF$4:$AF$1000,lookups_s60!$AK$4:$AK$1000,"",0)),"")</f>
        <v/>
      </c>
      <c r="AS40" s="20" t="str">
        <f>IF(Y40&lt;&gt;"", Y40-_xlfn.XLOOKUP(E40,lookups_s60!$AF$4:$AF$1000,lookups_s60!$AJ$4:$AJ$1000,"",0),"")</f>
        <v/>
      </c>
      <c r="AT40" s="20" t="str">
        <f>IFERROR(IF(_xlfn.XLOOKUP(E40,lookups_s60!$AF$4:$AF$1000,lookups_s60!$AL$4:$AL$1000,"",0)=0,"",D40*_xlfn.XLOOKUP(E40,lookups_s60!$AF$4:$AF$1000,lookups_s60!$AL$4:$AL$1000,"",0)),"")</f>
        <v/>
      </c>
      <c r="AV40" s="20" t="str">
        <f>IF(S40&lt;&gt;"", S40-_xlfn.XLOOKUP(E40,lookups_s60!$AF$4:$AF$1000,lookups_s60!$AM$4:$AM$1000,"",0),"")</f>
        <v/>
      </c>
      <c r="AW40" s="20" t="str">
        <f>IFERROR(IF(_xlfn.XLOOKUP(E40,lookups_s60!$AF$4:$AF$1000,lookups_s60!$AN$4:$AN$1000,"",0)=0,"",D40*_xlfn.XLOOKUP(E40,lookups_s60!$AF$4:$AF$1000,lookups_s60!$AN$4:$AN$1000,"",0)),"")</f>
        <v/>
      </c>
      <c r="AY40" s="20" t="str" cm="1">
        <f t="array" ref="AY40">IFERROR(_xlfn.IFS(E40="Fix", J40-_xlfn.XLOOKUP(E40,lookups_s60!$AQ$4:$AQ$1000,lookups_s60!$AR$4:$AR$1000,"",0)-_xlfn.XLOOKUP(E40,lookups_s60!$AQ$4:$AQ$1000,lookups_s60!$AS$4:$AS$1000,"",0), E40="Double Fix", (J40-_xlfn.XLOOKUP(E40,lookups_s60!$AQ$4:$AQ$1000,lookups_s60!$AR$4:$AR$1000,"",0)-_xlfn.XLOOKUP(E40,lookups_s60!$G$4:$G$1000,lookups_s60!$H$4:$H$1000,"",0))/2-_xlfn.XLOOKUP(E40,lookups_s60!$AQ$4:$AQ$1000,lookups_s60!$AS$4:$AS$1000,"",0), OR(E40="Fix Awning (Vertical)",E40="Fix Awning (Horizontal)"),  (J40-_xlfn.XLOOKUP(E40,lookups_s60!$AQ$4:$AQ$1000,lookups_s60!$AR$4:$AR$1000,"",0)-40)/2-_xlfn.XLOOKUP(E40,lookups_s60!$AQ$4:$AQ$1000,lookups_s60!$AS$4:$AS$1000,"",0)),"")</f>
        <v/>
      </c>
      <c r="AZ40" s="20" t="str">
        <f>IFERROR(IF(C40&lt;&gt;"", K40-_xlfn.XLOOKUP(E40,lookups_s60!$AQ$4:$AQ$1000,lookups_s60!$AT$4:$AT$1000,"",0)-_xlfn.XLOOKUP(E40,lookups_s60!$AQ$4:$AQ$1000,lookups_s60!$AU$4:$AU$1000,"",0),""),"")</f>
        <v/>
      </c>
      <c r="BA40" s="20" t="str">
        <f t="shared" si="2"/>
        <v/>
      </c>
      <c r="BC40" s="20" t="str" cm="1">
        <f t="array" ref="BC40">IFERROR(_xlfn.IFS(E40="Awning",AQ40-_xlfn.XLOOKUP(E40,lookups_s60!$AQ$4:$AQ$1000,lookups_s60!$AV$4:$AV$1000,"",0)-_xlfn.XLOOKUP(E40,lookups_s60!$AQ$4:$AQ$1000,lookups_s60!$AW$4:$AW$1000,"",0),C40&lt;&gt;"",W40-_xlfn.XLOOKUP(E40,lookups_s60!$AQ$4:$AQ$1000,lookups_s60!$AV$4:$AV$1000,"",0)-_xlfn.XLOOKUP(E40,lookups_s60!$AQ$4:$AQ$1000,lookups_s60!$AW$4:$AW$1000,"",0)),"")</f>
        <v/>
      </c>
      <c r="BD40" s="20" t="str" cm="1">
        <f t="array" ref="BD40">IFERROR(_xlfn.IFS(E40="Awning",AS40-_xlfn.XLOOKUP(E40,lookups_s60!$AQ$4:$AQ$1000,lookups_s60!$AX$4:$AX$1000,"",0)-_xlfn.XLOOKUP(E40,lookups_s60!$AQ$4:$AQ$1000,lookups_s60!$AY$4:$AY$1000,"",0),C40&lt;&gt;"",Y40-_xlfn.XLOOKUP(E40,lookups_s60!$AQ$4:$AQ$1000,lookups_s60!$AX$4:$AX$1000,"",0)-_xlfn.XLOOKUP(E40,lookups_s60!$AQ$4:$AQ$1000,lookups_s60!$AY$4:$AY$1000,"",0)),"")</f>
        <v/>
      </c>
      <c r="BE40" s="20" t="str">
        <f>IF(BC40&lt;&gt;"", _xlfn.XLOOKUP(E40,lookups_s60!$AQ$4:$AQ$1000,lookups_s60!$AZ$4:$AZ$1000,"",0)*D40,"")</f>
        <v/>
      </c>
      <c r="BG40" s="20" t="str">
        <f t="shared" si="3"/>
        <v/>
      </c>
      <c r="BH40" s="22" t="str">
        <f t="shared" si="4"/>
        <v/>
      </c>
      <c r="BI40" s="20" t="str">
        <f t="shared" si="5"/>
        <v/>
      </c>
      <c r="BJ40" s="20" t="str">
        <f t="shared" si="6"/>
        <v/>
      </c>
      <c r="BK40" s="20" t="str">
        <f t="shared" si="7"/>
        <v/>
      </c>
    </row>
    <row r="41" spans="3:63" ht="13.5" customHeight="1" x14ac:dyDescent="0.25">
      <c r="C41" s="16"/>
      <c r="D41" s="16"/>
      <c r="E41" s="16"/>
      <c r="F41" s="16"/>
      <c r="G41" s="16"/>
      <c r="H41" s="16"/>
      <c r="I41" s="16"/>
      <c r="J41" s="16"/>
      <c r="K41" s="16"/>
      <c r="M41" s="20" t="str">
        <f t="shared" si="0"/>
        <v/>
      </c>
      <c r="N41" s="20" t="str" cm="1">
        <f t="array" ref="N41">IFERROR(_xlfn.IFS(OR(E41="Fix Awning (Vertical)", E41="Fix Awning (Horizontal)"), J41/2+20,C41&lt;&gt;"", J41+M41),"")</f>
        <v/>
      </c>
      <c r="O41" s="20" t="str">
        <f>IF(D41&lt;&gt;"", D41*_xlfn.XLOOKUP(E41,lookups_s60!$B$4:$B$1000,lookups_s60!$C$4:$C$1000,"",0),"")</f>
        <v/>
      </c>
      <c r="P41" s="20" t="str">
        <f t="shared" si="1"/>
        <v/>
      </c>
      <c r="Q41" s="20" t="str">
        <f>IF(D41&lt;&gt;"", D41*_xlfn.XLOOKUP(E41,lookups_s60!$B$4:$B$1000,lookups_s60!$D$4:$D$1000,"",0),"")</f>
        <v/>
      </c>
      <c r="S41" s="20" t="str" cm="1">
        <f t="array" ref="S41">IFERROR(_xlfn.IFS(E41="Double Fix",K41+_xlfn.XLOOKUP(E41,lookups_s60!$G$4:$G$1000,lookups_s60!$H$4:$H$1000,"",0), OR(E41="Double Awning (Horizontal)", E41="Double Awning (Vertical)",E41="Triple Awning (Horizontal)", E41="Triple Awning (Vertical)"), J41+_xlfn.XLOOKUP(E41,lookups_s60!$G$4:$G$1000,lookups_s60!$H$4:$H$1000,"",0), E41="Double Casement", J41+_xlfn.XLOOKUP(E41,lookups_s60!$G$4:$G$1000,lookups_s60!$H$4:$H$1000,"",0), OR(E41="Fix Awning (Vertical)", E41="Fix Awning (Horizontal)"), K41+_xlfn.XLOOKUP(E41,lookups_s60!$G$4:$G$1000,lookups_s60!$H$4:$H$1000,"",0), E41="Triple Casement", J41+_xlfn.XLOOKUP(E41,lookups_s60!$G$4:$G$1000,lookups_s60!$H$4:$H$1000,"",0)),"")</f>
        <v/>
      </c>
      <c r="T41" s="20" t="str">
        <f>IF(S41&lt;&gt;"",D41*_xlfn.XLOOKUP(E41,lookups_s60!$G$4:$G$1000,lookups_s60!$I$4:$I$1000,"",0),"")</f>
        <v/>
      </c>
      <c r="V41" s="20" t="str">
        <f>IF(_xlfn.XLOOKUP(E41,lookups_s60!$L$4:$L$1000,lookups_s60!$M$4:$M$1000,"",0)=0, "", _xlfn.XLOOKUP(E41,lookups_s60!$L$4:$L$1000,lookups_s60!$M$4:$M$1000,"",0))</f>
        <v/>
      </c>
      <c r="W41" s="20" t="str" cm="1">
        <f t="array" ref="W41">IFERROR(_xlfn.IFS(OR(E41="Fix Awning (Vertical)",E41="Fix Awning (Vertical)"),   ((J41-_xlfn.XLOOKUP(E41,lookups_s60!$L$4:$L$1000,lookups_s60!$N$4:$N$1000,"",0)-40)/2)+_xlfn.XLOOKUP(E41,lookups_s60!$L$4:$L$1000,lookups_s60!$O$4:$O$1000,"",0), V41&lt;&gt;"", J41-_xlfn.XLOOKUP(E41,lookups_s60!$L$4:$L$1000,lookups_s60!$N$4:$N$1000,"",0)+_xlfn.XLOOKUP(E41,lookups_s60!$L$4:$L$1000,lookups_s60!$O$4:$O$1000,"",0)),"")</f>
        <v/>
      </c>
      <c r="X41" s="20" t="str">
        <f>IF(_xlfn.XLOOKUP(E41,lookups_s60!$L$4:$L$1000,lookups_s60!$R$4:$R$1000,"",0)=0, "", D41*_xlfn.XLOOKUP(E41,lookups_s60!$L$4:$L$1000,lookups_s60!$R$4:$R$1000,"",0))</f>
        <v/>
      </c>
      <c r="Y41" s="22" t="str" cm="1">
        <f t="array" ref="Y41">IFERROR(_xlfn.IFS(OR(E41="Double Awning (Horizontal)", E41="Double Awning (Vertical)", E41="Triple Awning (Horizontal)", E41="Triple Awning (Vertical)", E41="Double Casement"), ((K41-_xlfn.XLOOKUP(E41,lookups_s60!$L$4:$L$1000,lookups_s60!$P$4:$P$1000,"",0)-36)/2)+_xlfn.XLOOKUP(E41,lookups_s60!$L$4:$L$1000,lookups_s60!$Q$4:$Q$1000,"",0), E41="Triple Casement",((K41-_xlfn.XLOOKUP(E41,lookups_s60!$L$4:$L$1000,lookups_s60!$P$4:$P$1000,"",0)-36-36)/3)+_xlfn.XLOOKUP(E41,lookups_s60!$L$4:$L$1000,lookups_s60!$Q$4:$Q$1000,"",0),V41&lt;&gt;"",K41-_xlfn.XLOOKUP(E41,lookups_s60!$L$4:$L$1000,lookups_s60!$P$4:$P$1000,"",0)+_xlfn.XLOOKUP(E41,lookups_s60!$L$4:$L$1000,lookups_s60!$Q$4:$Q$1000,"",0)),"")</f>
        <v/>
      </c>
      <c r="Z41" s="20" t="str">
        <f>IF(_xlfn.XLOOKUP(E41,lookups_s60!$L$4:$L$1000,lookups_s60!$R$4:$R$1000,"",0)=0, "", D41*_xlfn.XLOOKUP(E41,lookups_s60!$L$4:$L$1000,lookups_s60!$R$4:$R$1000,"",0))</f>
        <v/>
      </c>
      <c r="AB41" s="20" t="str" cm="1">
        <f t="array" ref="AB41">IFERROR(_xlfn.IFS(OR(E41="Fix", E41="Double Fix"),J41-_xlfn.XLOOKUP(E41,lookups_s60!$U$4:$U$1000,lookups_s60!$V$4:$V$1000,"",0),OR(E41="Fix Awning (Vertical)", E41="Fix Awning (Horizontal)"),(J41-_xlfn.XLOOKUP(E41,lookups_s60!$U$4:$U$1000,lookups_s60!$V$4:$V$1000,"",0)-40)/2),"")</f>
        <v/>
      </c>
      <c r="AC41" s="20" t="str">
        <f>IF(_xlfn.XLOOKUP(E41,lookups_s60!$U$4:$U$1000,lookups_s60!$X$4:$X$1000,"",0)=0,"",D41*_xlfn.XLOOKUP(E41,lookups_s60!$U$4:$U$1000,lookups_s60!$X$4:$X$1000,"",0))</f>
        <v/>
      </c>
      <c r="AD41" s="20" t="str">
        <f>IF(OR(E41="Fix", E41="Double Fix", E41="Fix Awning (Vertical)", E41="Fix Awning (Horizontal)"), K41-_xlfn.XLOOKUP(E41,lookups_s60!$U$4:$U$1000,lookups_s60!$W$4:$W$1000,"",0), "")</f>
        <v/>
      </c>
      <c r="AE41" s="20" t="str">
        <f>IF(_xlfn.XLOOKUP(E41,lookups_s60!$U$4:$U$1000,lookups_s60!$X$4:$X$1000,"",0)=0,"",D41*_xlfn.XLOOKUP(E41,lookups_s60!$U$4:$U$1000,lookups_s60!$Y$4:$Y$1000,"",0))</f>
        <v/>
      </c>
      <c r="AG41" s="24" t="str">
        <f>IF(W41&lt;&gt;"", W41-_xlfn.XLOOKUP(E41,lookups_s60!$U$4:$U$1000,lookups_s60!$Z$4:$Z$1000,"",0)-IF(E41="Awning", 5,0),"")</f>
        <v/>
      </c>
      <c r="AH41" s="20" t="str">
        <f>IF(_xlfn.XLOOKUP(E41,lookups_s60!$U$4:$U$1000,lookups_s60!$AB$4:$AB$1000,"",0)=0,"",D41*_xlfn.XLOOKUP(E41,lookups_s60!$U$4:$U$1000,lookups_s60!$AB$4:$AB$1000,"",0))</f>
        <v/>
      </c>
      <c r="AI41" s="22" t="str">
        <f>IF(Y41&lt;&gt;"", Y41-_xlfn.XLOOKUP(E41,lookups_s60!$U$4:$U$1000,lookups_s60!$AA$4:$AA$1000,"",0),"")</f>
        <v/>
      </c>
      <c r="AJ41" s="20" t="str">
        <f>IF(_xlfn.XLOOKUP(E41,lookups_s60!$U$4:$U$1000,lookups_s60!$AC$4:$AC$1000,"",0)=0,"",D41*_xlfn.XLOOKUP(E41,lookups_s60!$U$4:$U$1000,lookups_s60!$AC$4:$AC$1000,"",0))</f>
        <v/>
      </c>
      <c r="AL41" s="20" t="str">
        <f>IF(C41&lt;&gt;"", N41-_xlfn.XLOOKUP(E41,lookups_s60!$AF$4:$AF$1000,lookups_s60!$AG$4:$AG$1000,"",0),"")</f>
        <v/>
      </c>
      <c r="AM41" s="20" t="str">
        <f>IF(_xlfn.XLOOKUP(E41,lookups_s60!$AF$4:$AF$1000,lookups_s60!$AH$4:$AH$1000,"",0)=0,"",D41*_xlfn.XLOOKUP(E41,lookups_s60!$AF$4:$AF$1000,lookups_s60!$AH$4:$AH$1000,"",0))</f>
        <v/>
      </c>
      <c r="AN41" s="20" t="str">
        <f>IF(C41&lt;&gt;"", P41-_xlfn.XLOOKUP(E41,lookups_s60!$AF$4:$AF$1000,lookups_s60!$AG$4:$AG$1000,"",0),"")</f>
        <v/>
      </c>
      <c r="AO41" s="20" t="str">
        <f>IFERROR(IF(_xlfn.XLOOKUP(E41,lookups_s60!$AF$4:$AF$1000,lookups_s60!$AI$4:$AI$1000,"",0)=0,"",D41*_xlfn.XLOOKUP(E41,lookups_s60!$AF$4:$AF$1000,lookups_s60!$AI$4:$AI$1000,"",0)),"")</f>
        <v/>
      </c>
      <c r="AQ41" s="20" t="str">
        <f>IF(W41&lt;&gt;"", W41-_xlfn.XLOOKUP(E41,lookups_s60!$AF$4:$AF$1000,lookups_s60!$AJ$4:$AJ$1000,"",0),"")</f>
        <v/>
      </c>
      <c r="AR41" s="20" t="str">
        <f>IFERROR(IF(_xlfn.XLOOKUP(E41,lookups_s60!$AF$4:$AF$1000,lookups_s60!$AK$4:$AK$1000,"",0)=0,"",D41*_xlfn.XLOOKUP(E41,lookups_s60!$AF$4:$AF$1000,lookups_s60!$AK$4:$AK$1000,"",0)),"")</f>
        <v/>
      </c>
      <c r="AS41" s="20" t="str">
        <f>IF(Y41&lt;&gt;"", Y41-_xlfn.XLOOKUP(E41,lookups_s60!$AF$4:$AF$1000,lookups_s60!$AJ$4:$AJ$1000,"",0),"")</f>
        <v/>
      </c>
      <c r="AT41" s="20" t="str">
        <f>IFERROR(IF(_xlfn.XLOOKUP(E41,lookups_s60!$AF$4:$AF$1000,lookups_s60!$AL$4:$AL$1000,"",0)=0,"",D41*_xlfn.XLOOKUP(E41,lookups_s60!$AF$4:$AF$1000,lookups_s60!$AL$4:$AL$1000,"",0)),"")</f>
        <v/>
      </c>
      <c r="AV41" s="20" t="str">
        <f>IF(S41&lt;&gt;"", S41-_xlfn.XLOOKUP(E41,lookups_s60!$AF$4:$AF$1000,lookups_s60!$AM$4:$AM$1000,"",0),"")</f>
        <v/>
      </c>
      <c r="AW41" s="20" t="str">
        <f>IFERROR(IF(_xlfn.XLOOKUP(E41,lookups_s60!$AF$4:$AF$1000,lookups_s60!$AN$4:$AN$1000,"",0)=0,"",D41*_xlfn.XLOOKUP(E41,lookups_s60!$AF$4:$AF$1000,lookups_s60!$AN$4:$AN$1000,"",0)),"")</f>
        <v/>
      </c>
      <c r="AY41" s="20" t="str" cm="1">
        <f t="array" ref="AY41">IFERROR(_xlfn.IFS(E41="Fix", J41-_xlfn.XLOOKUP(E41,lookups_s60!$AQ$4:$AQ$1000,lookups_s60!$AR$4:$AR$1000,"",0)-_xlfn.XLOOKUP(E41,lookups_s60!$AQ$4:$AQ$1000,lookups_s60!$AS$4:$AS$1000,"",0), E41="Double Fix", (J41-_xlfn.XLOOKUP(E41,lookups_s60!$AQ$4:$AQ$1000,lookups_s60!$AR$4:$AR$1000,"",0)-_xlfn.XLOOKUP(E41,lookups_s60!$G$4:$G$1000,lookups_s60!$H$4:$H$1000,"",0))/2-_xlfn.XLOOKUP(E41,lookups_s60!$AQ$4:$AQ$1000,lookups_s60!$AS$4:$AS$1000,"",0), OR(E41="Fix Awning (Vertical)",E41="Fix Awning (Horizontal)"),  (J41-_xlfn.XLOOKUP(E41,lookups_s60!$AQ$4:$AQ$1000,lookups_s60!$AR$4:$AR$1000,"",0)-40)/2-_xlfn.XLOOKUP(E41,lookups_s60!$AQ$4:$AQ$1000,lookups_s60!$AS$4:$AS$1000,"",0)),"")</f>
        <v/>
      </c>
      <c r="AZ41" s="20" t="str">
        <f>IFERROR(IF(C41&lt;&gt;"", K41-_xlfn.XLOOKUP(E41,lookups_s60!$AQ$4:$AQ$1000,lookups_s60!$AT$4:$AT$1000,"",0)-_xlfn.XLOOKUP(E41,lookups_s60!$AQ$4:$AQ$1000,lookups_s60!$AU$4:$AU$1000,"",0),""),"")</f>
        <v/>
      </c>
      <c r="BA41" s="20" t="str">
        <f t="shared" si="2"/>
        <v/>
      </c>
      <c r="BC41" s="20" t="str" cm="1">
        <f t="array" ref="BC41">IFERROR(_xlfn.IFS(E41="Awning",AQ41-_xlfn.XLOOKUP(E41,lookups_s60!$AQ$4:$AQ$1000,lookups_s60!$AV$4:$AV$1000,"",0)-_xlfn.XLOOKUP(E41,lookups_s60!$AQ$4:$AQ$1000,lookups_s60!$AW$4:$AW$1000,"",0),C41&lt;&gt;"",W41-_xlfn.XLOOKUP(E41,lookups_s60!$AQ$4:$AQ$1000,lookups_s60!$AV$4:$AV$1000,"",0)-_xlfn.XLOOKUP(E41,lookups_s60!$AQ$4:$AQ$1000,lookups_s60!$AW$4:$AW$1000,"",0)),"")</f>
        <v/>
      </c>
      <c r="BD41" s="20" t="str" cm="1">
        <f t="array" ref="BD41">IFERROR(_xlfn.IFS(E41="Awning",AS41-_xlfn.XLOOKUP(E41,lookups_s60!$AQ$4:$AQ$1000,lookups_s60!$AX$4:$AX$1000,"",0)-_xlfn.XLOOKUP(E41,lookups_s60!$AQ$4:$AQ$1000,lookups_s60!$AY$4:$AY$1000,"",0),C41&lt;&gt;"",Y41-_xlfn.XLOOKUP(E41,lookups_s60!$AQ$4:$AQ$1000,lookups_s60!$AX$4:$AX$1000,"",0)-_xlfn.XLOOKUP(E41,lookups_s60!$AQ$4:$AQ$1000,lookups_s60!$AY$4:$AY$1000,"",0)),"")</f>
        <v/>
      </c>
      <c r="BE41" s="20" t="str">
        <f>IF(BC41&lt;&gt;"", _xlfn.XLOOKUP(E41,lookups_s60!$AQ$4:$AQ$1000,lookups_s60!$AZ$4:$AZ$1000,"",0)*D41,"")</f>
        <v/>
      </c>
      <c r="BG41" s="20" t="str">
        <f t="shared" si="3"/>
        <v/>
      </c>
      <c r="BH41" s="22" t="str">
        <f t="shared" si="4"/>
        <v/>
      </c>
      <c r="BI41" s="20" t="str">
        <f t="shared" si="5"/>
        <v/>
      </c>
      <c r="BJ41" s="20" t="str">
        <f t="shared" si="6"/>
        <v/>
      </c>
      <c r="BK41" s="20" t="str">
        <f t="shared" si="7"/>
        <v/>
      </c>
    </row>
    <row r="42" spans="3:63" ht="13.5" customHeight="1" x14ac:dyDescent="0.25">
      <c r="C42" s="16"/>
      <c r="D42" s="16"/>
      <c r="E42" s="16"/>
      <c r="F42" s="16"/>
      <c r="G42" s="16"/>
      <c r="H42" s="16"/>
      <c r="I42" s="16"/>
      <c r="J42" s="16"/>
      <c r="K42" s="16"/>
      <c r="M42" s="20" t="str">
        <f t="shared" si="0"/>
        <v/>
      </c>
      <c r="N42" s="20" t="str" cm="1">
        <f t="array" ref="N42">IFERROR(_xlfn.IFS(OR(E42="Fix Awning (Vertical)", E42="Fix Awning (Horizontal)"), J42/2+20,C42&lt;&gt;"", J42+M42),"")</f>
        <v/>
      </c>
      <c r="O42" s="20" t="str">
        <f>IF(D42&lt;&gt;"", D42*_xlfn.XLOOKUP(E42,lookups_s60!$B$4:$B$1000,lookups_s60!$C$4:$C$1000,"",0),"")</f>
        <v/>
      </c>
      <c r="P42" s="20" t="str">
        <f t="shared" si="1"/>
        <v/>
      </c>
      <c r="Q42" s="20" t="str">
        <f>IF(D42&lt;&gt;"", D42*_xlfn.XLOOKUP(E42,lookups_s60!$B$4:$B$1000,lookups_s60!$D$4:$D$1000,"",0),"")</f>
        <v/>
      </c>
      <c r="S42" s="20" t="str" cm="1">
        <f t="array" ref="S42">IFERROR(_xlfn.IFS(E42="Double Fix",K42+_xlfn.XLOOKUP(E42,lookups_s60!$G$4:$G$1000,lookups_s60!$H$4:$H$1000,"",0), OR(E42="Double Awning (Horizontal)", E42="Double Awning (Vertical)",E42="Triple Awning (Horizontal)", E42="Triple Awning (Vertical)"), J42+_xlfn.XLOOKUP(E42,lookups_s60!$G$4:$G$1000,lookups_s60!$H$4:$H$1000,"",0), E42="Double Casement", J42+_xlfn.XLOOKUP(E42,lookups_s60!$G$4:$G$1000,lookups_s60!$H$4:$H$1000,"",0), OR(E42="Fix Awning (Vertical)", E42="Fix Awning (Horizontal)"), K42+_xlfn.XLOOKUP(E42,lookups_s60!$G$4:$G$1000,lookups_s60!$H$4:$H$1000,"",0), E42="Triple Casement", J42+_xlfn.XLOOKUP(E42,lookups_s60!$G$4:$G$1000,lookups_s60!$H$4:$H$1000,"",0)),"")</f>
        <v/>
      </c>
      <c r="T42" s="20" t="str">
        <f>IF(S42&lt;&gt;"",D42*_xlfn.XLOOKUP(E42,lookups_s60!$G$4:$G$1000,lookups_s60!$I$4:$I$1000,"",0),"")</f>
        <v/>
      </c>
      <c r="V42" s="20" t="str">
        <f>IF(_xlfn.XLOOKUP(E42,lookups_s60!$L$4:$L$1000,lookups_s60!$M$4:$M$1000,"",0)=0, "", _xlfn.XLOOKUP(E42,lookups_s60!$L$4:$L$1000,lookups_s60!$M$4:$M$1000,"",0))</f>
        <v/>
      </c>
      <c r="W42" s="20" t="str" cm="1">
        <f t="array" ref="W42">IFERROR(_xlfn.IFS(OR(E42="Fix Awning (Vertical)",E42="Fix Awning (Vertical)"),   ((J42-_xlfn.XLOOKUP(E42,lookups_s60!$L$4:$L$1000,lookups_s60!$N$4:$N$1000,"",0)-40)/2)+_xlfn.XLOOKUP(E42,lookups_s60!$L$4:$L$1000,lookups_s60!$O$4:$O$1000,"",0), V42&lt;&gt;"", J42-_xlfn.XLOOKUP(E42,lookups_s60!$L$4:$L$1000,lookups_s60!$N$4:$N$1000,"",0)+_xlfn.XLOOKUP(E42,lookups_s60!$L$4:$L$1000,lookups_s60!$O$4:$O$1000,"",0)),"")</f>
        <v/>
      </c>
      <c r="X42" s="20" t="str">
        <f>IF(_xlfn.XLOOKUP(E42,lookups_s60!$L$4:$L$1000,lookups_s60!$R$4:$R$1000,"",0)=0, "", D42*_xlfn.XLOOKUP(E42,lookups_s60!$L$4:$L$1000,lookups_s60!$R$4:$R$1000,"",0))</f>
        <v/>
      </c>
      <c r="Y42" s="22" t="str" cm="1">
        <f t="array" ref="Y42">IFERROR(_xlfn.IFS(OR(E42="Double Awning (Horizontal)", E42="Double Awning (Vertical)", E42="Triple Awning (Horizontal)", E42="Triple Awning (Vertical)", E42="Double Casement"), ((K42-_xlfn.XLOOKUP(E42,lookups_s60!$L$4:$L$1000,lookups_s60!$P$4:$P$1000,"",0)-36)/2)+_xlfn.XLOOKUP(E42,lookups_s60!$L$4:$L$1000,lookups_s60!$Q$4:$Q$1000,"",0), E42="Triple Casement",((K42-_xlfn.XLOOKUP(E42,lookups_s60!$L$4:$L$1000,lookups_s60!$P$4:$P$1000,"",0)-36-36)/3)+_xlfn.XLOOKUP(E42,lookups_s60!$L$4:$L$1000,lookups_s60!$Q$4:$Q$1000,"",0),V42&lt;&gt;"",K42-_xlfn.XLOOKUP(E42,lookups_s60!$L$4:$L$1000,lookups_s60!$P$4:$P$1000,"",0)+_xlfn.XLOOKUP(E42,lookups_s60!$L$4:$L$1000,lookups_s60!$Q$4:$Q$1000,"",0)),"")</f>
        <v/>
      </c>
      <c r="Z42" s="20" t="str">
        <f>IF(_xlfn.XLOOKUP(E42,lookups_s60!$L$4:$L$1000,lookups_s60!$R$4:$R$1000,"",0)=0, "", D42*_xlfn.XLOOKUP(E42,lookups_s60!$L$4:$L$1000,lookups_s60!$R$4:$R$1000,"",0))</f>
        <v/>
      </c>
      <c r="AB42" s="20" t="str" cm="1">
        <f t="array" ref="AB42">IFERROR(_xlfn.IFS(OR(E42="Fix", E42="Double Fix"),J42-_xlfn.XLOOKUP(E42,lookups_s60!$U$4:$U$1000,lookups_s60!$V$4:$V$1000,"",0),OR(E42="Fix Awning (Vertical)", E42="Fix Awning (Horizontal)"),(J42-_xlfn.XLOOKUP(E42,lookups_s60!$U$4:$U$1000,lookups_s60!$V$4:$V$1000,"",0)-40)/2),"")</f>
        <v/>
      </c>
      <c r="AC42" s="20" t="str">
        <f>IF(_xlfn.XLOOKUP(E42,lookups_s60!$U$4:$U$1000,lookups_s60!$X$4:$X$1000,"",0)=0,"",D42*_xlfn.XLOOKUP(E42,lookups_s60!$U$4:$U$1000,lookups_s60!$X$4:$X$1000,"",0))</f>
        <v/>
      </c>
      <c r="AD42" s="20" t="str">
        <f>IF(OR(E42="Fix", E42="Double Fix", E42="Fix Awning (Vertical)", E42="Fix Awning (Horizontal)"), K42-_xlfn.XLOOKUP(E42,lookups_s60!$U$4:$U$1000,lookups_s60!$W$4:$W$1000,"",0), "")</f>
        <v/>
      </c>
      <c r="AE42" s="20" t="str">
        <f>IF(_xlfn.XLOOKUP(E42,lookups_s60!$U$4:$U$1000,lookups_s60!$X$4:$X$1000,"",0)=0,"",D42*_xlfn.XLOOKUP(E42,lookups_s60!$U$4:$U$1000,lookups_s60!$Y$4:$Y$1000,"",0))</f>
        <v/>
      </c>
      <c r="AG42" s="24" t="str">
        <f>IF(W42&lt;&gt;"", W42-_xlfn.XLOOKUP(E42,lookups_s60!$U$4:$U$1000,lookups_s60!$Z$4:$Z$1000,"",0)-IF(E42="Awning", 5,0),"")</f>
        <v/>
      </c>
      <c r="AH42" s="20" t="str">
        <f>IF(_xlfn.XLOOKUP(E42,lookups_s60!$U$4:$U$1000,lookups_s60!$AB$4:$AB$1000,"",0)=0,"",D42*_xlfn.XLOOKUP(E42,lookups_s60!$U$4:$U$1000,lookups_s60!$AB$4:$AB$1000,"",0))</f>
        <v/>
      </c>
      <c r="AI42" s="22" t="str">
        <f>IF(Y42&lt;&gt;"", Y42-_xlfn.XLOOKUP(E42,lookups_s60!$U$4:$U$1000,lookups_s60!$AA$4:$AA$1000,"",0),"")</f>
        <v/>
      </c>
      <c r="AJ42" s="20" t="str">
        <f>IF(_xlfn.XLOOKUP(E42,lookups_s60!$U$4:$U$1000,lookups_s60!$AC$4:$AC$1000,"",0)=0,"",D42*_xlfn.XLOOKUP(E42,lookups_s60!$U$4:$U$1000,lookups_s60!$AC$4:$AC$1000,"",0))</f>
        <v/>
      </c>
      <c r="AL42" s="20" t="str">
        <f>IF(C42&lt;&gt;"", N42-_xlfn.XLOOKUP(E42,lookups_s60!$AF$4:$AF$1000,lookups_s60!$AG$4:$AG$1000,"",0),"")</f>
        <v/>
      </c>
      <c r="AM42" s="20" t="str">
        <f>IF(_xlfn.XLOOKUP(E42,lookups_s60!$AF$4:$AF$1000,lookups_s60!$AH$4:$AH$1000,"",0)=0,"",D42*_xlfn.XLOOKUP(E42,lookups_s60!$AF$4:$AF$1000,lookups_s60!$AH$4:$AH$1000,"",0))</f>
        <v/>
      </c>
      <c r="AN42" s="20" t="str">
        <f>IF(C42&lt;&gt;"", P42-_xlfn.XLOOKUP(E42,lookups_s60!$AF$4:$AF$1000,lookups_s60!$AG$4:$AG$1000,"",0),"")</f>
        <v/>
      </c>
      <c r="AO42" s="20" t="str">
        <f>IFERROR(IF(_xlfn.XLOOKUP(E42,lookups_s60!$AF$4:$AF$1000,lookups_s60!$AI$4:$AI$1000,"",0)=0,"",D42*_xlfn.XLOOKUP(E42,lookups_s60!$AF$4:$AF$1000,lookups_s60!$AI$4:$AI$1000,"",0)),"")</f>
        <v/>
      </c>
      <c r="AQ42" s="20" t="str">
        <f>IF(W42&lt;&gt;"", W42-_xlfn.XLOOKUP(E42,lookups_s60!$AF$4:$AF$1000,lookups_s60!$AJ$4:$AJ$1000,"",0),"")</f>
        <v/>
      </c>
      <c r="AR42" s="20" t="str">
        <f>IFERROR(IF(_xlfn.XLOOKUP(E42,lookups_s60!$AF$4:$AF$1000,lookups_s60!$AK$4:$AK$1000,"",0)=0,"",D42*_xlfn.XLOOKUP(E42,lookups_s60!$AF$4:$AF$1000,lookups_s60!$AK$4:$AK$1000,"",0)),"")</f>
        <v/>
      </c>
      <c r="AS42" s="20" t="str">
        <f>IF(Y42&lt;&gt;"", Y42-_xlfn.XLOOKUP(E42,lookups_s60!$AF$4:$AF$1000,lookups_s60!$AJ$4:$AJ$1000,"",0),"")</f>
        <v/>
      </c>
      <c r="AT42" s="20" t="str">
        <f>IFERROR(IF(_xlfn.XLOOKUP(E42,lookups_s60!$AF$4:$AF$1000,lookups_s60!$AL$4:$AL$1000,"",0)=0,"",D42*_xlfn.XLOOKUP(E42,lookups_s60!$AF$4:$AF$1000,lookups_s60!$AL$4:$AL$1000,"",0)),"")</f>
        <v/>
      </c>
      <c r="AV42" s="20" t="str">
        <f>IF(S42&lt;&gt;"", S42-_xlfn.XLOOKUP(E42,lookups_s60!$AF$4:$AF$1000,lookups_s60!$AM$4:$AM$1000,"",0),"")</f>
        <v/>
      </c>
      <c r="AW42" s="20" t="str">
        <f>IFERROR(IF(_xlfn.XLOOKUP(E42,lookups_s60!$AF$4:$AF$1000,lookups_s60!$AN$4:$AN$1000,"",0)=0,"",D42*_xlfn.XLOOKUP(E42,lookups_s60!$AF$4:$AF$1000,lookups_s60!$AN$4:$AN$1000,"",0)),"")</f>
        <v/>
      </c>
      <c r="AY42" s="20" t="str" cm="1">
        <f t="array" ref="AY42">IFERROR(_xlfn.IFS(E42="Fix", J42-_xlfn.XLOOKUP(E42,lookups_s60!$AQ$4:$AQ$1000,lookups_s60!$AR$4:$AR$1000,"",0)-_xlfn.XLOOKUP(E42,lookups_s60!$AQ$4:$AQ$1000,lookups_s60!$AS$4:$AS$1000,"",0), E42="Double Fix", (J42-_xlfn.XLOOKUP(E42,lookups_s60!$AQ$4:$AQ$1000,lookups_s60!$AR$4:$AR$1000,"",0)-_xlfn.XLOOKUP(E42,lookups_s60!$G$4:$G$1000,lookups_s60!$H$4:$H$1000,"",0))/2-_xlfn.XLOOKUP(E42,lookups_s60!$AQ$4:$AQ$1000,lookups_s60!$AS$4:$AS$1000,"",0), OR(E42="Fix Awning (Vertical)",E42="Fix Awning (Horizontal)"),  (J42-_xlfn.XLOOKUP(E42,lookups_s60!$AQ$4:$AQ$1000,lookups_s60!$AR$4:$AR$1000,"",0)-40)/2-_xlfn.XLOOKUP(E42,lookups_s60!$AQ$4:$AQ$1000,lookups_s60!$AS$4:$AS$1000,"",0)),"")</f>
        <v/>
      </c>
      <c r="AZ42" s="20" t="str">
        <f>IFERROR(IF(C42&lt;&gt;"", K42-_xlfn.XLOOKUP(E42,lookups_s60!$AQ$4:$AQ$1000,lookups_s60!$AT$4:$AT$1000,"",0)-_xlfn.XLOOKUP(E42,lookups_s60!$AQ$4:$AQ$1000,lookups_s60!$AU$4:$AU$1000,"",0),""),"")</f>
        <v/>
      </c>
      <c r="BA42" s="20" t="str">
        <f t="shared" si="2"/>
        <v/>
      </c>
      <c r="BC42" s="20" t="str" cm="1">
        <f t="array" ref="BC42">IFERROR(_xlfn.IFS(E42="Awning",AQ42-_xlfn.XLOOKUP(E42,lookups_s60!$AQ$4:$AQ$1000,lookups_s60!$AV$4:$AV$1000,"",0)-_xlfn.XLOOKUP(E42,lookups_s60!$AQ$4:$AQ$1000,lookups_s60!$AW$4:$AW$1000,"",0),C42&lt;&gt;"",W42-_xlfn.XLOOKUP(E42,lookups_s60!$AQ$4:$AQ$1000,lookups_s60!$AV$4:$AV$1000,"",0)-_xlfn.XLOOKUP(E42,lookups_s60!$AQ$4:$AQ$1000,lookups_s60!$AW$4:$AW$1000,"",0)),"")</f>
        <v/>
      </c>
      <c r="BD42" s="20" t="str" cm="1">
        <f t="array" ref="BD42">IFERROR(_xlfn.IFS(E42="Awning",AS42-_xlfn.XLOOKUP(E42,lookups_s60!$AQ$4:$AQ$1000,lookups_s60!$AX$4:$AX$1000,"",0)-_xlfn.XLOOKUP(E42,lookups_s60!$AQ$4:$AQ$1000,lookups_s60!$AY$4:$AY$1000,"",0),C42&lt;&gt;"",Y42-_xlfn.XLOOKUP(E42,lookups_s60!$AQ$4:$AQ$1000,lookups_s60!$AX$4:$AX$1000,"",0)-_xlfn.XLOOKUP(E42,lookups_s60!$AQ$4:$AQ$1000,lookups_s60!$AY$4:$AY$1000,"",0)),"")</f>
        <v/>
      </c>
      <c r="BE42" s="20" t="str">
        <f>IF(BC42&lt;&gt;"", _xlfn.XLOOKUP(E42,lookups_s60!$AQ$4:$AQ$1000,lookups_s60!$AZ$4:$AZ$1000,"",0)*D42,"")</f>
        <v/>
      </c>
      <c r="BG42" s="20" t="str">
        <f t="shared" si="3"/>
        <v/>
      </c>
      <c r="BH42" s="22" t="str">
        <f t="shared" si="4"/>
        <v/>
      </c>
      <c r="BI42" s="20" t="str">
        <f t="shared" si="5"/>
        <v/>
      </c>
      <c r="BJ42" s="20" t="str">
        <f t="shared" si="6"/>
        <v/>
      </c>
      <c r="BK42" s="20" t="str">
        <f t="shared" si="7"/>
        <v/>
      </c>
    </row>
    <row r="43" spans="3:63" ht="13.5" customHeight="1" x14ac:dyDescent="0.25">
      <c r="C43" s="16"/>
      <c r="D43" s="16"/>
      <c r="E43" s="16"/>
      <c r="F43" s="16"/>
      <c r="G43" s="16"/>
      <c r="H43" s="16"/>
      <c r="I43" s="16"/>
      <c r="J43" s="16"/>
      <c r="K43" s="16"/>
      <c r="M43" s="20" t="str">
        <f t="shared" si="0"/>
        <v/>
      </c>
      <c r="N43" s="20" t="str" cm="1">
        <f t="array" ref="N43">IFERROR(_xlfn.IFS(OR(E43="Fix Awning (Vertical)", E43="Fix Awning (Horizontal)"), J43/2+20,C43&lt;&gt;"", J43+M43),"")</f>
        <v/>
      </c>
      <c r="O43" s="20" t="str">
        <f>IF(D43&lt;&gt;"", D43*_xlfn.XLOOKUP(E43,lookups_s60!$B$4:$B$1000,lookups_s60!$C$4:$C$1000,"",0),"")</f>
        <v/>
      </c>
      <c r="P43" s="20" t="str">
        <f t="shared" si="1"/>
        <v/>
      </c>
      <c r="Q43" s="20" t="str">
        <f>IF(D43&lt;&gt;"", D43*_xlfn.XLOOKUP(E43,lookups_s60!$B$4:$B$1000,lookups_s60!$D$4:$D$1000,"",0),"")</f>
        <v/>
      </c>
      <c r="S43" s="20" t="str" cm="1">
        <f t="array" ref="S43">IFERROR(_xlfn.IFS(E43="Double Fix",K43+_xlfn.XLOOKUP(E43,lookups_s60!$G$4:$G$1000,lookups_s60!$H$4:$H$1000,"",0), OR(E43="Double Awning (Horizontal)", E43="Double Awning (Vertical)",E43="Triple Awning (Horizontal)", E43="Triple Awning (Vertical)"), J43+_xlfn.XLOOKUP(E43,lookups_s60!$G$4:$G$1000,lookups_s60!$H$4:$H$1000,"",0), E43="Double Casement", J43+_xlfn.XLOOKUP(E43,lookups_s60!$G$4:$G$1000,lookups_s60!$H$4:$H$1000,"",0), OR(E43="Fix Awning (Vertical)", E43="Fix Awning (Horizontal)"), K43+_xlfn.XLOOKUP(E43,lookups_s60!$G$4:$G$1000,lookups_s60!$H$4:$H$1000,"",0), E43="Triple Casement", J43+_xlfn.XLOOKUP(E43,lookups_s60!$G$4:$G$1000,lookups_s60!$H$4:$H$1000,"",0)),"")</f>
        <v/>
      </c>
      <c r="T43" s="20" t="str">
        <f>IF(S43&lt;&gt;"",D43*_xlfn.XLOOKUP(E43,lookups_s60!$G$4:$G$1000,lookups_s60!$I$4:$I$1000,"",0),"")</f>
        <v/>
      </c>
      <c r="V43" s="20" t="str">
        <f>IF(_xlfn.XLOOKUP(E43,lookups_s60!$L$4:$L$1000,lookups_s60!$M$4:$M$1000,"",0)=0, "", _xlfn.XLOOKUP(E43,lookups_s60!$L$4:$L$1000,lookups_s60!$M$4:$M$1000,"",0))</f>
        <v/>
      </c>
      <c r="W43" s="20" t="str" cm="1">
        <f t="array" ref="W43">IFERROR(_xlfn.IFS(OR(E43="Fix Awning (Vertical)",E43="Fix Awning (Vertical)"),   ((J43-_xlfn.XLOOKUP(E43,lookups_s60!$L$4:$L$1000,lookups_s60!$N$4:$N$1000,"",0)-40)/2)+_xlfn.XLOOKUP(E43,lookups_s60!$L$4:$L$1000,lookups_s60!$O$4:$O$1000,"",0), V43&lt;&gt;"", J43-_xlfn.XLOOKUP(E43,lookups_s60!$L$4:$L$1000,lookups_s60!$N$4:$N$1000,"",0)+_xlfn.XLOOKUP(E43,lookups_s60!$L$4:$L$1000,lookups_s60!$O$4:$O$1000,"",0)),"")</f>
        <v/>
      </c>
      <c r="X43" s="20" t="str">
        <f>IF(_xlfn.XLOOKUP(E43,lookups_s60!$L$4:$L$1000,lookups_s60!$R$4:$R$1000,"",0)=0, "", D43*_xlfn.XLOOKUP(E43,lookups_s60!$L$4:$L$1000,lookups_s60!$R$4:$R$1000,"",0))</f>
        <v/>
      </c>
      <c r="Y43" s="22" t="str" cm="1">
        <f t="array" ref="Y43">IFERROR(_xlfn.IFS(OR(E43="Double Awning (Horizontal)", E43="Double Awning (Vertical)", E43="Triple Awning (Horizontal)", E43="Triple Awning (Vertical)", E43="Double Casement"), ((K43-_xlfn.XLOOKUP(E43,lookups_s60!$L$4:$L$1000,lookups_s60!$P$4:$P$1000,"",0)-36)/2)+_xlfn.XLOOKUP(E43,lookups_s60!$L$4:$L$1000,lookups_s60!$Q$4:$Q$1000,"",0), E43="Triple Casement",((K43-_xlfn.XLOOKUP(E43,lookups_s60!$L$4:$L$1000,lookups_s60!$P$4:$P$1000,"",0)-36-36)/3)+_xlfn.XLOOKUP(E43,lookups_s60!$L$4:$L$1000,lookups_s60!$Q$4:$Q$1000,"",0),V43&lt;&gt;"",K43-_xlfn.XLOOKUP(E43,lookups_s60!$L$4:$L$1000,lookups_s60!$P$4:$P$1000,"",0)+_xlfn.XLOOKUP(E43,lookups_s60!$L$4:$L$1000,lookups_s60!$Q$4:$Q$1000,"",0)),"")</f>
        <v/>
      </c>
      <c r="Z43" s="20" t="str">
        <f>IF(_xlfn.XLOOKUP(E43,lookups_s60!$L$4:$L$1000,lookups_s60!$R$4:$R$1000,"",0)=0, "", D43*_xlfn.XLOOKUP(E43,lookups_s60!$L$4:$L$1000,lookups_s60!$R$4:$R$1000,"",0))</f>
        <v/>
      </c>
      <c r="AB43" s="20" t="str" cm="1">
        <f t="array" ref="AB43">IFERROR(_xlfn.IFS(OR(E43="Fix", E43="Double Fix"),J43-_xlfn.XLOOKUP(E43,lookups_s60!$U$4:$U$1000,lookups_s60!$V$4:$V$1000,"",0),OR(E43="Fix Awning (Vertical)", E43="Fix Awning (Horizontal)"),(J43-_xlfn.XLOOKUP(E43,lookups_s60!$U$4:$U$1000,lookups_s60!$V$4:$V$1000,"",0)-40)/2),"")</f>
        <v/>
      </c>
      <c r="AC43" s="20" t="str">
        <f>IF(_xlfn.XLOOKUP(E43,lookups_s60!$U$4:$U$1000,lookups_s60!$X$4:$X$1000,"",0)=0,"",D43*_xlfn.XLOOKUP(E43,lookups_s60!$U$4:$U$1000,lookups_s60!$X$4:$X$1000,"",0))</f>
        <v/>
      </c>
      <c r="AD43" s="20" t="str">
        <f>IF(OR(E43="Fix", E43="Double Fix", E43="Fix Awning (Vertical)", E43="Fix Awning (Horizontal)"), K43-_xlfn.XLOOKUP(E43,lookups_s60!$U$4:$U$1000,lookups_s60!$W$4:$W$1000,"",0), "")</f>
        <v/>
      </c>
      <c r="AE43" s="20" t="str">
        <f>IF(_xlfn.XLOOKUP(E43,lookups_s60!$U$4:$U$1000,lookups_s60!$X$4:$X$1000,"",0)=0,"",D43*_xlfn.XLOOKUP(E43,lookups_s60!$U$4:$U$1000,lookups_s60!$Y$4:$Y$1000,"",0))</f>
        <v/>
      </c>
      <c r="AG43" s="24" t="str">
        <f>IF(W43&lt;&gt;"", W43-_xlfn.XLOOKUP(E43,lookups_s60!$U$4:$U$1000,lookups_s60!$Z$4:$Z$1000,"",0)-IF(E43="Awning", 5,0),"")</f>
        <v/>
      </c>
      <c r="AH43" s="20" t="str">
        <f>IF(_xlfn.XLOOKUP(E43,lookups_s60!$U$4:$U$1000,lookups_s60!$AB$4:$AB$1000,"",0)=0,"",D43*_xlfn.XLOOKUP(E43,lookups_s60!$U$4:$U$1000,lookups_s60!$AB$4:$AB$1000,"",0))</f>
        <v/>
      </c>
      <c r="AI43" s="22" t="str">
        <f>IF(Y43&lt;&gt;"", Y43-_xlfn.XLOOKUP(E43,lookups_s60!$U$4:$U$1000,lookups_s60!$AA$4:$AA$1000,"",0),"")</f>
        <v/>
      </c>
      <c r="AJ43" s="20" t="str">
        <f>IF(_xlfn.XLOOKUP(E43,lookups_s60!$U$4:$U$1000,lookups_s60!$AC$4:$AC$1000,"",0)=0,"",D43*_xlfn.XLOOKUP(E43,lookups_s60!$U$4:$U$1000,lookups_s60!$AC$4:$AC$1000,"",0))</f>
        <v/>
      </c>
      <c r="AL43" s="20" t="str">
        <f>IF(C43&lt;&gt;"", N43-_xlfn.XLOOKUP(E43,lookups_s60!$AF$4:$AF$1000,lookups_s60!$AG$4:$AG$1000,"",0),"")</f>
        <v/>
      </c>
      <c r="AM43" s="20" t="str">
        <f>IF(_xlfn.XLOOKUP(E43,lookups_s60!$AF$4:$AF$1000,lookups_s60!$AH$4:$AH$1000,"",0)=0,"",D43*_xlfn.XLOOKUP(E43,lookups_s60!$AF$4:$AF$1000,lookups_s60!$AH$4:$AH$1000,"",0))</f>
        <v/>
      </c>
      <c r="AN43" s="20" t="str">
        <f>IF(C43&lt;&gt;"", P43-_xlfn.XLOOKUP(E43,lookups_s60!$AF$4:$AF$1000,lookups_s60!$AG$4:$AG$1000,"",0),"")</f>
        <v/>
      </c>
      <c r="AO43" s="20" t="str">
        <f>IFERROR(IF(_xlfn.XLOOKUP(E43,lookups_s60!$AF$4:$AF$1000,lookups_s60!$AI$4:$AI$1000,"",0)=0,"",D43*_xlfn.XLOOKUP(E43,lookups_s60!$AF$4:$AF$1000,lookups_s60!$AI$4:$AI$1000,"",0)),"")</f>
        <v/>
      </c>
      <c r="AQ43" s="20" t="str">
        <f>IF(W43&lt;&gt;"", W43-_xlfn.XLOOKUP(E43,lookups_s60!$AF$4:$AF$1000,lookups_s60!$AJ$4:$AJ$1000,"",0),"")</f>
        <v/>
      </c>
      <c r="AR43" s="20" t="str">
        <f>IFERROR(IF(_xlfn.XLOOKUP(E43,lookups_s60!$AF$4:$AF$1000,lookups_s60!$AK$4:$AK$1000,"",0)=0,"",D43*_xlfn.XLOOKUP(E43,lookups_s60!$AF$4:$AF$1000,lookups_s60!$AK$4:$AK$1000,"",0)),"")</f>
        <v/>
      </c>
      <c r="AS43" s="20" t="str">
        <f>IF(Y43&lt;&gt;"", Y43-_xlfn.XLOOKUP(E43,lookups_s60!$AF$4:$AF$1000,lookups_s60!$AJ$4:$AJ$1000,"",0),"")</f>
        <v/>
      </c>
      <c r="AT43" s="20" t="str">
        <f>IFERROR(IF(_xlfn.XLOOKUP(E43,lookups_s60!$AF$4:$AF$1000,lookups_s60!$AL$4:$AL$1000,"",0)=0,"",D43*_xlfn.XLOOKUP(E43,lookups_s60!$AF$4:$AF$1000,lookups_s60!$AL$4:$AL$1000,"",0)),"")</f>
        <v/>
      </c>
      <c r="AV43" s="20" t="str">
        <f>IF(S43&lt;&gt;"", S43-_xlfn.XLOOKUP(E43,lookups_s60!$AF$4:$AF$1000,lookups_s60!$AM$4:$AM$1000,"",0),"")</f>
        <v/>
      </c>
      <c r="AW43" s="20" t="str">
        <f>IFERROR(IF(_xlfn.XLOOKUP(E43,lookups_s60!$AF$4:$AF$1000,lookups_s60!$AN$4:$AN$1000,"",0)=0,"",D43*_xlfn.XLOOKUP(E43,lookups_s60!$AF$4:$AF$1000,lookups_s60!$AN$4:$AN$1000,"",0)),"")</f>
        <v/>
      </c>
      <c r="AY43" s="20" t="str" cm="1">
        <f t="array" ref="AY43">IFERROR(_xlfn.IFS(E43="Fix", J43-_xlfn.XLOOKUP(E43,lookups_s60!$AQ$4:$AQ$1000,lookups_s60!$AR$4:$AR$1000,"",0)-_xlfn.XLOOKUP(E43,lookups_s60!$AQ$4:$AQ$1000,lookups_s60!$AS$4:$AS$1000,"",0), E43="Double Fix", (J43-_xlfn.XLOOKUP(E43,lookups_s60!$AQ$4:$AQ$1000,lookups_s60!$AR$4:$AR$1000,"",0)-_xlfn.XLOOKUP(E43,lookups_s60!$G$4:$G$1000,lookups_s60!$H$4:$H$1000,"",0))/2-_xlfn.XLOOKUP(E43,lookups_s60!$AQ$4:$AQ$1000,lookups_s60!$AS$4:$AS$1000,"",0), OR(E43="Fix Awning (Vertical)",E43="Fix Awning (Horizontal)"),  (J43-_xlfn.XLOOKUP(E43,lookups_s60!$AQ$4:$AQ$1000,lookups_s60!$AR$4:$AR$1000,"",0)-40)/2-_xlfn.XLOOKUP(E43,lookups_s60!$AQ$4:$AQ$1000,lookups_s60!$AS$4:$AS$1000,"",0)),"")</f>
        <v/>
      </c>
      <c r="AZ43" s="20" t="str">
        <f>IFERROR(IF(C43&lt;&gt;"", K43-_xlfn.XLOOKUP(E43,lookups_s60!$AQ$4:$AQ$1000,lookups_s60!$AT$4:$AT$1000,"",0)-_xlfn.XLOOKUP(E43,lookups_s60!$AQ$4:$AQ$1000,lookups_s60!$AU$4:$AU$1000,"",0),""),"")</f>
        <v/>
      </c>
      <c r="BA43" s="20" t="str">
        <f t="shared" si="2"/>
        <v/>
      </c>
      <c r="BC43" s="20" t="str" cm="1">
        <f t="array" ref="BC43">IFERROR(_xlfn.IFS(E43="Awning",AQ43-_xlfn.XLOOKUP(E43,lookups_s60!$AQ$4:$AQ$1000,lookups_s60!$AV$4:$AV$1000,"",0)-_xlfn.XLOOKUP(E43,lookups_s60!$AQ$4:$AQ$1000,lookups_s60!$AW$4:$AW$1000,"",0),C43&lt;&gt;"",W43-_xlfn.XLOOKUP(E43,lookups_s60!$AQ$4:$AQ$1000,lookups_s60!$AV$4:$AV$1000,"",0)-_xlfn.XLOOKUP(E43,lookups_s60!$AQ$4:$AQ$1000,lookups_s60!$AW$4:$AW$1000,"",0)),"")</f>
        <v/>
      </c>
      <c r="BD43" s="20" t="str" cm="1">
        <f t="array" ref="BD43">IFERROR(_xlfn.IFS(E43="Awning",AS43-_xlfn.XLOOKUP(E43,lookups_s60!$AQ$4:$AQ$1000,lookups_s60!$AX$4:$AX$1000,"",0)-_xlfn.XLOOKUP(E43,lookups_s60!$AQ$4:$AQ$1000,lookups_s60!$AY$4:$AY$1000,"",0),C43&lt;&gt;"",Y43-_xlfn.XLOOKUP(E43,lookups_s60!$AQ$4:$AQ$1000,lookups_s60!$AX$4:$AX$1000,"",0)-_xlfn.XLOOKUP(E43,lookups_s60!$AQ$4:$AQ$1000,lookups_s60!$AY$4:$AY$1000,"",0)),"")</f>
        <v/>
      </c>
      <c r="BE43" s="20" t="str">
        <f>IF(BC43&lt;&gt;"", _xlfn.XLOOKUP(E43,lookups_s60!$AQ$4:$AQ$1000,lookups_s60!$AZ$4:$AZ$1000,"",0)*D43,"")</f>
        <v/>
      </c>
      <c r="BG43" s="20" t="str">
        <f t="shared" si="3"/>
        <v/>
      </c>
      <c r="BH43" s="22" t="str">
        <f t="shared" si="4"/>
        <v/>
      </c>
      <c r="BI43" s="20" t="str">
        <f t="shared" si="5"/>
        <v/>
      </c>
      <c r="BJ43" s="20" t="str">
        <f t="shared" si="6"/>
        <v/>
      </c>
      <c r="BK43" s="20" t="str">
        <f t="shared" si="7"/>
        <v/>
      </c>
    </row>
    <row r="44" spans="3:63" ht="13.5" customHeight="1" x14ac:dyDescent="0.25">
      <c r="C44" s="16"/>
      <c r="D44" s="16"/>
      <c r="E44" s="16"/>
      <c r="F44" s="16"/>
      <c r="G44" s="16"/>
      <c r="H44" s="16"/>
      <c r="I44" s="16"/>
      <c r="J44" s="16"/>
      <c r="K44" s="16"/>
      <c r="M44" s="20" t="str">
        <f t="shared" si="0"/>
        <v/>
      </c>
      <c r="N44" s="20" t="str" cm="1">
        <f t="array" ref="N44">IFERROR(_xlfn.IFS(OR(E44="Fix Awning (Vertical)", E44="Fix Awning (Horizontal)"), J44/2+20,C44&lt;&gt;"", J44+M44),"")</f>
        <v/>
      </c>
      <c r="O44" s="20" t="str">
        <f>IF(D44&lt;&gt;"", D44*_xlfn.XLOOKUP(E44,lookups_s60!$B$4:$B$1000,lookups_s60!$C$4:$C$1000,"",0),"")</f>
        <v/>
      </c>
      <c r="P44" s="20" t="str">
        <f t="shared" si="1"/>
        <v/>
      </c>
      <c r="Q44" s="20" t="str">
        <f>IF(D44&lt;&gt;"", D44*_xlfn.XLOOKUP(E44,lookups_s60!$B$4:$B$1000,lookups_s60!$D$4:$D$1000,"",0),"")</f>
        <v/>
      </c>
      <c r="S44" s="20" t="str" cm="1">
        <f t="array" ref="S44">IFERROR(_xlfn.IFS(E44="Double Fix",K44+_xlfn.XLOOKUP(E44,lookups_s60!$G$4:$G$1000,lookups_s60!$H$4:$H$1000,"",0), OR(E44="Double Awning (Horizontal)", E44="Double Awning (Vertical)",E44="Triple Awning (Horizontal)", E44="Triple Awning (Vertical)"), J44+_xlfn.XLOOKUP(E44,lookups_s60!$G$4:$G$1000,lookups_s60!$H$4:$H$1000,"",0), E44="Double Casement", J44+_xlfn.XLOOKUP(E44,lookups_s60!$G$4:$G$1000,lookups_s60!$H$4:$H$1000,"",0), OR(E44="Fix Awning (Vertical)", E44="Fix Awning (Horizontal)"), K44+_xlfn.XLOOKUP(E44,lookups_s60!$G$4:$G$1000,lookups_s60!$H$4:$H$1000,"",0), E44="Triple Casement", J44+_xlfn.XLOOKUP(E44,lookups_s60!$G$4:$G$1000,lookups_s60!$H$4:$H$1000,"",0)),"")</f>
        <v/>
      </c>
      <c r="T44" s="20" t="str">
        <f>IF(S44&lt;&gt;"",D44*_xlfn.XLOOKUP(E44,lookups_s60!$G$4:$G$1000,lookups_s60!$I$4:$I$1000,"",0),"")</f>
        <v/>
      </c>
      <c r="V44" s="20" t="str">
        <f>IF(_xlfn.XLOOKUP(E44,lookups_s60!$L$4:$L$1000,lookups_s60!$M$4:$M$1000,"",0)=0, "", _xlfn.XLOOKUP(E44,lookups_s60!$L$4:$L$1000,lookups_s60!$M$4:$M$1000,"",0))</f>
        <v/>
      </c>
      <c r="W44" s="20" t="str" cm="1">
        <f t="array" ref="W44">IFERROR(_xlfn.IFS(OR(E44="Fix Awning (Vertical)",E44="Fix Awning (Vertical)"),   ((J44-_xlfn.XLOOKUP(E44,lookups_s60!$L$4:$L$1000,lookups_s60!$N$4:$N$1000,"",0)-40)/2)+_xlfn.XLOOKUP(E44,lookups_s60!$L$4:$L$1000,lookups_s60!$O$4:$O$1000,"",0), V44&lt;&gt;"", J44-_xlfn.XLOOKUP(E44,lookups_s60!$L$4:$L$1000,lookups_s60!$N$4:$N$1000,"",0)+_xlfn.XLOOKUP(E44,lookups_s60!$L$4:$L$1000,lookups_s60!$O$4:$O$1000,"",0)),"")</f>
        <v/>
      </c>
      <c r="X44" s="20" t="str">
        <f>IF(_xlfn.XLOOKUP(E44,lookups_s60!$L$4:$L$1000,lookups_s60!$R$4:$R$1000,"",0)=0, "", D44*_xlfn.XLOOKUP(E44,lookups_s60!$L$4:$L$1000,lookups_s60!$R$4:$R$1000,"",0))</f>
        <v/>
      </c>
      <c r="Y44" s="22" t="str" cm="1">
        <f t="array" ref="Y44">IFERROR(_xlfn.IFS(OR(E44="Double Awning (Horizontal)", E44="Double Awning (Vertical)", E44="Triple Awning (Horizontal)", E44="Triple Awning (Vertical)", E44="Double Casement"), ((K44-_xlfn.XLOOKUP(E44,lookups_s60!$L$4:$L$1000,lookups_s60!$P$4:$P$1000,"",0)-36)/2)+_xlfn.XLOOKUP(E44,lookups_s60!$L$4:$L$1000,lookups_s60!$Q$4:$Q$1000,"",0), E44="Triple Casement",((K44-_xlfn.XLOOKUP(E44,lookups_s60!$L$4:$L$1000,lookups_s60!$P$4:$P$1000,"",0)-36-36)/3)+_xlfn.XLOOKUP(E44,lookups_s60!$L$4:$L$1000,lookups_s60!$Q$4:$Q$1000,"",0),V44&lt;&gt;"",K44-_xlfn.XLOOKUP(E44,lookups_s60!$L$4:$L$1000,lookups_s60!$P$4:$P$1000,"",0)+_xlfn.XLOOKUP(E44,lookups_s60!$L$4:$L$1000,lookups_s60!$Q$4:$Q$1000,"",0)),"")</f>
        <v/>
      </c>
      <c r="Z44" s="20" t="str">
        <f>IF(_xlfn.XLOOKUP(E44,lookups_s60!$L$4:$L$1000,lookups_s60!$R$4:$R$1000,"",0)=0, "", D44*_xlfn.XLOOKUP(E44,lookups_s60!$L$4:$L$1000,lookups_s60!$R$4:$R$1000,"",0))</f>
        <v/>
      </c>
      <c r="AB44" s="20" t="str" cm="1">
        <f t="array" ref="AB44">IFERROR(_xlfn.IFS(OR(E44="Fix", E44="Double Fix"),J44-_xlfn.XLOOKUP(E44,lookups_s60!$U$4:$U$1000,lookups_s60!$V$4:$V$1000,"",0),OR(E44="Fix Awning (Vertical)", E44="Fix Awning (Horizontal)"),(J44-_xlfn.XLOOKUP(E44,lookups_s60!$U$4:$U$1000,lookups_s60!$V$4:$V$1000,"",0)-40)/2),"")</f>
        <v/>
      </c>
      <c r="AC44" s="20" t="str">
        <f>IF(_xlfn.XLOOKUP(E44,lookups_s60!$U$4:$U$1000,lookups_s60!$X$4:$X$1000,"",0)=0,"",D44*_xlfn.XLOOKUP(E44,lookups_s60!$U$4:$U$1000,lookups_s60!$X$4:$X$1000,"",0))</f>
        <v/>
      </c>
      <c r="AD44" s="20" t="str">
        <f>IF(OR(E44="Fix", E44="Double Fix", E44="Fix Awning (Vertical)", E44="Fix Awning (Horizontal)"), K44-_xlfn.XLOOKUP(E44,lookups_s60!$U$4:$U$1000,lookups_s60!$W$4:$W$1000,"",0), "")</f>
        <v/>
      </c>
      <c r="AE44" s="20" t="str">
        <f>IF(_xlfn.XLOOKUP(E44,lookups_s60!$U$4:$U$1000,lookups_s60!$X$4:$X$1000,"",0)=0,"",D44*_xlfn.XLOOKUP(E44,lookups_s60!$U$4:$U$1000,lookups_s60!$Y$4:$Y$1000,"",0))</f>
        <v/>
      </c>
      <c r="AG44" s="24" t="str">
        <f>IF(W44&lt;&gt;"", W44-_xlfn.XLOOKUP(E44,lookups_s60!$U$4:$U$1000,lookups_s60!$Z$4:$Z$1000,"",0)-IF(E44="Awning", 5,0),"")</f>
        <v/>
      </c>
      <c r="AH44" s="20" t="str">
        <f>IF(_xlfn.XLOOKUP(E44,lookups_s60!$U$4:$U$1000,lookups_s60!$AB$4:$AB$1000,"",0)=0,"",D44*_xlfn.XLOOKUP(E44,lookups_s60!$U$4:$U$1000,lookups_s60!$AB$4:$AB$1000,"",0))</f>
        <v/>
      </c>
      <c r="AI44" s="22" t="str">
        <f>IF(Y44&lt;&gt;"", Y44-_xlfn.XLOOKUP(E44,lookups_s60!$U$4:$U$1000,lookups_s60!$AA$4:$AA$1000,"",0),"")</f>
        <v/>
      </c>
      <c r="AJ44" s="20" t="str">
        <f>IF(_xlfn.XLOOKUP(E44,lookups_s60!$U$4:$U$1000,lookups_s60!$AC$4:$AC$1000,"",0)=0,"",D44*_xlfn.XLOOKUP(E44,lookups_s60!$U$4:$U$1000,lookups_s60!$AC$4:$AC$1000,"",0))</f>
        <v/>
      </c>
      <c r="AL44" s="20" t="str">
        <f>IF(C44&lt;&gt;"", N44-_xlfn.XLOOKUP(E44,lookups_s60!$AF$4:$AF$1000,lookups_s60!$AG$4:$AG$1000,"",0),"")</f>
        <v/>
      </c>
      <c r="AM44" s="20" t="str">
        <f>IF(_xlfn.XLOOKUP(E44,lookups_s60!$AF$4:$AF$1000,lookups_s60!$AH$4:$AH$1000,"",0)=0,"",D44*_xlfn.XLOOKUP(E44,lookups_s60!$AF$4:$AF$1000,lookups_s60!$AH$4:$AH$1000,"",0))</f>
        <v/>
      </c>
      <c r="AN44" s="20" t="str">
        <f>IF(C44&lt;&gt;"", P44-_xlfn.XLOOKUP(E44,lookups_s60!$AF$4:$AF$1000,lookups_s60!$AG$4:$AG$1000,"",0),"")</f>
        <v/>
      </c>
      <c r="AO44" s="20" t="str">
        <f>IFERROR(IF(_xlfn.XLOOKUP(E44,lookups_s60!$AF$4:$AF$1000,lookups_s60!$AI$4:$AI$1000,"",0)=0,"",D44*_xlfn.XLOOKUP(E44,lookups_s60!$AF$4:$AF$1000,lookups_s60!$AI$4:$AI$1000,"",0)),"")</f>
        <v/>
      </c>
      <c r="AQ44" s="20" t="str">
        <f>IF(W44&lt;&gt;"", W44-_xlfn.XLOOKUP(E44,lookups_s60!$AF$4:$AF$1000,lookups_s60!$AJ$4:$AJ$1000,"",0),"")</f>
        <v/>
      </c>
      <c r="AR44" s="20" t="str">
        <f>IFERROR(IF(_xlfn.XLOOKUP(E44,lookups_s60!$AF$4:$AF$1000,lookups_s60!$AK$4:$AK$1000,"",0)=0,"",D44*_xlfn.XLOOKUP(E44,lookups_s60!$AF$4:$AF$1000,lookups_s60!$AK$4:$AK$1000,"",0)),"")</f>
        <v/>
      </c>
      <c r="AS44" s="20" t="str">
        <f>IF(Y44&lt;&gt;"", Y44-_xlfn.XLOOKUP(E44,lookups_s60!$AF$4:$AF$1000,lookups_s60!$AJ$4:$AJ$1000,"",0),"")</f>
        <v/>
      </c>
      <c r="AT44" s="20" t="str">
        <f>IFERROR(IF(_xlfn.XLOOKUP(E44,lookups_s60!$AF$4:$AF$1000,lookups_s60!$AL$4:$AL$1000,"",0)=0,"",D44*_xlfn.XLOOKUP(E44,lookups_s60!$AF$4:$AF$1000,lookups_s60!$AL$4:$AL$1000,"",0)),"")</f>
        <v/>
      </c>
      <c r="AV44" s="20" t="str">
        <f>IF(S44&lt;&gt;"", S44-_xlfn.XLOOKUP(E44,lookups_s60!$AF$4:$AF$1000,lookups_s60!$AM$4:$AM$1000,"",0),"")</f>
        <v/>
      </c>
      <c r="AW44" s="20" t="str">
        <f>IFERROR(IF(_xlfn.XLOOKUP(E44,lookups_s60!$AF$4:$AF$1000,lookups_s60!$AN$4:$AN$1000,"",0)=0,"",D44*_xlfn.XLOOKUP(E44,lookups_s60!$AF$4:$AF$1000,lookups_s60!$AN$4:$AN$1000,"",0)),"")</f>
        <v/>
      </c>
      <c r="AY44" s="20" t="str" cm="1">
        <f t="array" ref="AY44">IFERROR(_xlfn.IFS(E44="Fix", J44-_xlfn.XLOOKUP(E44,lookups_s60!$AQ$4:$AQ$1000,lookups_s60!$AR$4:$AR$1000,"",0)-_xlfn.XLOOKUP(E44,lookups_s60!$AQ$4:$AQ$1000,lookups_s60!$AS$4:$AS$1000,"",0), E44="Double Fix", (J44-_xlfn.XLOOKUP(E44,lookups_s60!$AQ$4:$AQ$1000,lookups_s60!$AR$4:$AR$1000,"",0)-_xlfn.XLOOKUP(E44,lookups_s60!$G$4:$G$1000,lookups_s60!$H$4:$H$1000,"",0))/2-_xlfn.XLOOKUP(E44,lookups_s60!$AQ$4:$AQ$1000,lookups_s60!$AS$4:$AS$1000,"",0), OR(E44="Fix Awning (Vertical)",E44="Fix Awning (Horizontal)"),  (J44-_xlfn.XLOOKUP(E44,lookups_s60!$AQ$4:$AQ$1000,lookups_s60!$AR$4:$AR$1000,"",0)-40)/2-_xlfn.XLOOKUP(E44,lookups_s60!$AQ$4:$AQ$1000,lookups_s60!$AS$4:$AS$1000,"",0)),"")</f>
        <v/>
      </c>
      <c r="AZ44" s="20" t="str">
        <f>IFERROR(IF(C44&lt;&gt;"", K44-_xlfn.XLOOKUP(E44,lookups_s60!$AQ$4:$AQ$1000,lookups_s60!$AT$4:$AT$1000,"",0)-_xlfn.XLOOKUP(E44,lookups_s60!$AQ$4:$AQ$1000,lookups_s60!$AU$4:$AU$1000,"",0),""),"")</f>
        <v/>
      </c>
      <c r="BA44" s="20" t="str">
        <f t="shared" si="2"/>
        <v/>
      </c>
      <c r="BC44" s="20" t="str" cm="1">
        <f t="array" ref="BC44">IFERROR(_xlfn.IFS(E44="Awning",AQ44-_xlfn.XLOOKUP(E44,lookups_s60!$AQ$4:$AQ$1000,lookups_s60!$AV$4:$AV$1000,"",0)-_xlfn.XLOOKUP(E44,lookups_s60!$AQ$4:$AQ$1000,lookups_s60!$AW$4:$AW$1000,"",0),C44&lt;&gt;"",W44-_xlfn.XLOOKUP(E44,lookups_s60!$AQ$4:$AQ$1000,lookups_s60!$AV$4:$AV$1000,"",0)-_xlfn.XLOOKUP(E44,lookups_s60!$AQ$4:$AQ$1000,lookups_s60!$AW$4:$AW$1000,"",0)),"")</f>
        <v/>
      </c>
      <c r="BD44" s="20" t="str" cm="1">
        <f t="array" ref="BD44">IFERROR(_xlfn.IFS(E44="Awning",AS44-_xlfn.XLOOKUP(E44,lookups_s60!$AQ$4:$AQ$1000,lookups_s60!$AX$4:$AX$1000,"",0)-_xlfn.XLOOKUP(E44,lookups_s60!$AQ$4:$AQ$1000,lookups_s60!$AY$4:$AY$1000,"",0),C44&lt;&gt;"",Y44-_xlfn.XLOOKUP(E44,lookups_s60!$AQ$4:$AQ$1000,lookups_s60!$AX$4:$AX$1000,"",0)-_xlfn.XLOOKUP(E44,lookups_s60!$AQ$4:$AQ$1000,lookups_s60!$AY$4:$AY$1000,"",0)),"")</f>
        <v/>
      </c>
      <c r="BE44" s="20" t="str">
        <f>IF(BC44&lt;&gt;"", _xlfn.XLOOKUP(E44,lookups_s60!$AQ$4:$AQ$1000,lookups_s60!$AZ$4:$AZ$1000,"",0)*D44,"")</f>
        <v/>
      </c>
      <c r="BG44" s="20" t="str">
        <f t="shared" si="3"/>
        <v/>
      </c>
      <c r="BH44" s="22" t="str">
        <f t="shared" si="4"/>
        <v/>
      </c>
      <c r="BI44" s="20" t="str">
        <f t="shared" si="5"/>
        <v/>
      </c>
      <c r="BJ44" s="20" t="str">
        <f t="shared" si="6"/>
        <v/>
      </c>
      <c r="BK44" s="20" t="str">
        <f t="shared" si="7"/>
        <v/>
      </c>
    </row>
    <row r="45" spans="3:63" ht="13.5" customHeight="1" x14ac:dyDescent="0.25">
      <c r="C45" s="16"/>
      <c r="D45" s="16"/>
      <c r="E45" s="16"/>
      <c r="F45" s="16"/>
      <c r="G45" s="16"/>
      <c r="H45" s="16"/>
      <c r="I45" s="16"/>
      <c r="J45" s="16"/>
      <c r="K45" s="16"/>
      <c r="M45" s="20" t="str">
        <f t="shared" si="0"/>
        <v/>
      </c>
      <c r="N45" s="20" t="str" cm="1">
        <f t="array" ref="N45">IFERROR(_xlfn.IFS(OR(E45="Fix Awning (Vertical)", E45="Fix Awning (Horizontal)"), J45/2+20,C45&lt;&gt;"", J45+M45),"")</f>
        <v/>
      </c>
      <c r="O45" s="20" t="str">
        <f>IF(D45&lt;&gt;"", D45*_xlfn.XLOOKUP(E45,lookups_s60!$B$4:$B$1000,lookups_s60!$C$4:$C$1000,"",0),"")</f>
        <v/>
      </c>
      <c r="P45" s="20" t="str">
        <f t="shared" si="1"/>
        <v/>
      </c>
      <c r="Q45" s="20" t="str">
        <f>IF(D45&lt;&gt;"", D45*_xlfn.XLOOKUP(E45,lookups_s60!$B$4:$B$1000,lookups_s60!$D$4:$D$1000,"",0),"")</f>
        <v/>
      </c>
      <c r="S45" s="20" t="str" cm="1">
        <f t="array" ref="S45">IFERROR(_xlfn.IFS(E45="Double Fix",K45+_xlfn.XLOOKUP(E45,lookups_s60!$G$4:$G$1000,lookups_s60!$H$4:$H$1000,"",0), OR(E45="Double Awning (Horizontal)", E45="Double Awning (Vertical)",E45="Triple Awning (Horizontal)", E45="Triple Awning (Vertical)"), J45+_xlfn.XLOOKUP(E45,lookups_s60!$G$4:$G$1000,lookups_s60!$H$4:$H$1000,"",0), E45="Double Casement", J45+_xlfn.XLOOKUP(E45,lookups_s60!$G$4:$G$1000,lookups_s60!$H$4:$H$1000,"",0), OR(E45="Fix Awning (Vertical)", E45="Fix Awning (Horizontal)"), K45+_xlfn.XLOOKUP(E45,lookups_s60!$G$4:$G$1000,lookups_s60!$H$4:$H$1000,"",0), E45="Triple Casement", J45+_xlfn.XLOOKUP(E45,lookups_s60!$G$4:$G$1000,lookups_s60!$H$4:$H$1000,"",0)),"")</f>
        <v/>
      </c>
      <c r="T45" s="20" t="str">
        <f>IF(S45&lt;&gt;"",D45*_xlfn.XLOOKUP(E45,lookups_s60!$G$4:$G$1000,lookups_s60!$I$4:$I$1000,"",0),"")</f>
        <v/>
      </c>
      <c r="V45" s="20" t="str">
        <f>IF(_xlfn.XLOOKUP(E45,lookups_s60!$L$4:$L$1000,lookups_s60!$M$4:$M$1000,"",0)=0, "", _xlfn.XLOOKUP(E45,lookups_s60!$L$4:$L$1000,lookups_s60!$M$4:$M$1000,"",0))</f>
        <v/>
      </c>
      <c r="W45" s="20" t="str" cm="1">
        <f t="array" ref="W45">IFERROR(_xlfn.IFS(OR(E45="Fix Awning (Vertical)",E45="Fix Awning (Vertical)"),   ((J45-_xlfn.XLOOKUP(E45,lookups_s60!$L$4:$L$1000,lookups_s60!$N$4:$N$1000,"",0)-40)/2)+_xlfn.XLOOKUP(E45,lookups_s60!$L$4:$L$1000,lookups_s60!$O$4:$O$1000,"",0), V45&lt;&gt;"", J45-_xlfn.XLOOKUP(E45,lookups_s60!$L$4:$L$1000,lookups_s60!$N$4:$N$1000,"",0)+_xlfn.XLOOKUP(E45,lookups_s60!$L$4:$L$1000,lookups_s60!$O$4:$O$1000,"",0)),"")</f>
        <v/>
      </c>
      <c r="X45" s="20" t="str">
        <f>IF(_xlfn.XLOOKUP(E45,lookups_s60!$L$4:$L$1000,lookups_s60!$R$4:$R$1000,"",0)=0, "", D45*_xlfn.XLOOKUP(E45,lookups_s60!$L$4:$L$1000,lookups_s60!$R$4:$R$1000,"",0))</f>
        <v/>
      </c>
      <c r="Y45" s="22" t="str" cm="1">
        <f t="array" ref="Y45">IFERROR(_xlfn.IFS(OR(E45="Double Awning (Horizontal)", E45="Double Awning (Vertical)", E45="Triple Awning (Horizontal)", E45="Triple Awning (Vertical)", E45="Double Casement"), ((K45-_xlfn.XLOOKUP(E45,lookups_s60!$L$4:$L$1000,lookups_s60!$P$4:$P$1000,"",0)-36)/2)+_xlfn.XLOOKUP(E45,lookups_s60!$L$4:$L$1000,lookups_s60!$Q$4:$Q$1000,"",0), E45="Triple Casement",((K45-_xlfn.XLOOKUP(E45,lookups_s60!$L$4:$L$1000,lookups_s60!$P$4:$P$1000,"",0)-36-36)/3)+_xlfn.XLOOKUP(E45,lookups_s60!$L$4:$L$1000,lookups_s60!$Q$4:$Q$1000,"",0),V45&lt;&gt;"",K45-_xlfn.XLOOKUP(E45,lookups_s60!$L$4:$L$1000,lookups_s60!$P$4:$P$1000,"",0)+_xlfn.XLOOKUP(E45,lookups_s60!$L$4:$L$1000,lookups_s60!$Q$4:$Q$1000,"",0)),"")</f>
        <v/>
      </c>
      <c r="Z45" s="20" t="str">
        <f>IF(_xlfn.XLOOKUP(E45,lookups_s60!$L$4:$L$1000,lookups_s60!$R$4:$R$1000,"",0)=0, "", D45*_xlfn.XLOOKUP(E45,lookups_s60!$L$4:$L$1000,lookups_s60!$R$4:$R$1000,"",0))</f>
        <v/>
      </c>
      <c r="AB45" s="20" t="str" cm="1">
        <f t="array" ref="AB45">IFERROR(_xlfn.IFS(OR(E45="Fix", E45="Double Fix"),J45-_xlfn.XLOOKUP(E45,lookups_s60!$U$4:$U$1000,lookups_s60!$V$4:$V$1000,"",0),OR(E45="Fix Awning (Vertical)", E45="Fix Awning (Horizontal)"),(J45-_xlfn.XLOOKUP(E45,lookups_s60!$U$4:$U$1000,lookups_s60!$V$4:$V$1000,"",0)-40)/2),"")</f>
        <v/>
      </c>
      <c r="AC45" s="20" t="str">
        <f>IF(_xlfn.XLOOKUP(E45,lookups_s60!$U$4:$U$1000,lookups_s60!$X$4:$X$1000,"",0)=0,"",D45*_xlfn.XLOOKUP(E45,lookups_s60!$U$4:$U$1000,lookups_s60!$X$4:$X$1000,"",0))</f>
        <v/>
      </c>
      <c r="AD45" s="20" t="str">
        <f>IF(OR(E45="Fix", E45="Double Fix", E45="Fix Awning (Vertical)", E45="Fix Awning (Horizontal)"), K45-_xlfn.XLOOKUP(E45,lookups_s60!$U$4:$U$1000,lookups_s60!$W$4:$W$1000,"",0), "")</f>
        <v/>
      </c>
      <c r="AE45" s="20" t="str">
        <f>IF(_xlfn.XLOOKUP(E45,lookups_s60!$U$4:$U$1000,lookups_s60!$X$4:$X$1000,"",0)=0,"",D45*_xlfn.XLOOKUP(E45,lookups_s60!$U$4:$U$1000,lookups_s60!$Y$4:$Y$1000,"",0))</f>
        <v/>
      </c>
      <c r="AG45" s="24" t="str">
        <f>IF(W45&lt;&gt;"", W45-_xlfn.XLOOKUP(E45,lookups_s60!$U$4:$U$1000,lookups_s60!$Z$4:$Z$1000,"",0)-IF(E45="Awning", 5,0),"")</f>
        <v/>
      </c>
      <c r="AH45" s="20" t="str">
        <f>IF(_xlfn.XLOOKUP(E45,lookups_s60!$U$4:$U$1000,lookups_s60!$AB$4:$AB$1000,"",0)=0,"",D45*_xlfn.XLOOKUP(E45,lookups_s60!$U$4:$U$1000,lookups_s60!$AB$4:$AB$1000,"",0))</f>
        <v/>
      </c>
      <c r="AI45" s="22" t="str">
        <f>IF(Y45&lt;&gt;"", Y45-_xlfn.XLOOKUP(E45,lookups_s60!$U$4:$U$1000,lookups_s60!$AA$4:$AA$1000,"",0),"")</f>
        <v/>
      </c>
      <c r="AJ45" s="20" t="str">
        <f>IF(_xlfn.XLOOKUP(E45,lookups_s60!$U$4:$U$1000,lookups_s60!$AC$4:$AC$1000,"",0)=0,"",D45*_xlfn.XLOOKUP(E45,lookups_s60!$U$4:$U$1000,lookups_s60!$AC$4:$AC$1000,"",0))</f>
        <v/>
      </c>
      <c r="AL45" s="20" t="str">
        <f>IF(C45&lt;&gt;"", N45-_xlfn.XLOOKUP(E45,lookups_s60!$AF$4:$AF$1000,lookups_s60!$AG$4:$AG$1000,"",0),"")</f>
        <v/>
      </c>
      <c r="AM45" s="20" t="str">
        <f>IF(_xlfn.XLOOKUP(E45,lookups_s60!$AF$4:$AF$1000,lookups_s60!$AH$4:$AH$1000,"",0)=0,"",D45*_xlfn.XLOOKUP(E45,lookups_s60!$AF$4:$AF$1000,lookups_s60!$AH$4:$AH$1000,"",0))</f>
        <v/>
      </c>
      <c r="AN45" s="20" t="str">
        <f>IF(C45&lt;&gt;"", P45-_xlfn.XLOOKUP(E45,lookups_s60!$AF$4:$AF$1000,lookups_s60!$AG$4:$AG$1000,"",0),"")</f>
        <v/>
      </c>
      <c r="AO45" s="20" t="str">
        <f>IFERROR(IF(_xlfn.XLOOKUP(E45,lookups_s60!$AF$4:$AF$1000,lookups_s60!$AI$4:$AI$1000,"",0)=0,"",D45*_xlfn.XLOOKUP(E45,lookups_s60!$AF$4:$AF$1000,lookups_s60!$AI$4:$AI$1000,"",0)),"")</f>
        <v/>
      </c>
      <c r="AQ45" s="20" t="str">
        <f>IF(W45&lt;&gt;"", W45-_xlfn.XLOOKUP(E45,lookups_s60!$AF$4:$AF$1000,lookups_s60!$AJ$4:$AJ$1000,"",0),"")</f>
        <v/>
      </c>
      <c r="AR45" s="20" t="str">
        <f>IFERROR(IF(_xlfn.XLOOKUP(E45,lookups_s60!$AF$4:$AF$1000,lookups_s60!$AK$4:$AK$1000,"",0)=0,"",D45*_xlfn.XLOOKUP(E45,lookups_s60!$AF$4:$AF$1000,lookups_s60!$AK$4:$AK$1000,"",0)),"")</f>
        <v/>
      </c>
      <c r="AS45" s="20" t="str">
        <f>IF(Y45&lt;&gt;"", Y45-_xlfn.XLOOKUP(E45,lookups_s60!$AF$4:$AF$1000,lookups_s60!$AJ$4:$AJ$1000,"",0),"")</f>
        <v/>
      </c>
      <c r="AT45" s="20" t="str">
        <f>IFERROR(IF(_xlfn.XLOOKUP(E45,lookups_s60!$AF$4:$AF$1000,lookups_s60!$AL$4:$AL$1000,"",0)=0,"",D45*_xlfn.XLOOKUP(E45,lookups_s60!$AF$4:$AF$1000,lookups_s60!$AL$4:$AL$1000,"",0)),"")</f>
        <v/>
      </c>
      <c r="AV45" s="20" t="str">
        <f>IF(S45&lt;&gt;"", S45-_xlfn.XLOOKUP(E45,lookups_s60!$AF$4:$AF$1000,lookups_s60!$AM$4:$AM$1000,"",0),"")</f>
        <v/>
      </c>
      <c r="AW45" s="20" t="str">
        <f>IFERROR(IF(_xlfn.XLOOKUP(E45,lookups_s60!$AF$4:$AF$1000,lookups_s60!$AN$4:$AN$1000,"",0)=0,"",D45*_xlfn.XLOOKUP(E45,lookups_s60!$AF$4:$AF$1000,lookups_s60!$AN$4:$AN$1000,"",0)),"")</f>
        <v/>
      </c>
      <c r="AY45" s="20" t="str" cm="1">
        <f t="array" ref="AY45">IFERROR(_xlfn.IFS(E45="Fix", J45-_xlfn.XLOOKUP(E45,lookups_s60!$AQ$4:$AQ$1000,lookups_s60!$AR$4:$AR$1000,"",0)-_xlfn.XLOOKUP(E45,lookups_s60!$AQ$4:$AQ$1000,lookups_s60!$AS$4:$AS$1000,"",0), E45="Double Fix", (J45-_xlfn.XLOOKUP(E45,lookups_s60!$AQ$4:$AQ$1000,lookups_s60!$AR$4:$AR$1000,"",0)-_xlfn.XLOOKUP(E45,lookups_s60!$G$4:$G$1000,lookups_s60!$H$4:$H$1000,"",0))/2-_xlfn.XLOOKUP(E45,lookups_s60!$AQ$4:$AQ$1000,lookups_s60!$AS$4:$AS$1000,"",0), OR(E45="Fix Awning (Vertical)",E45="Fix Awning (Horizontal)"),  (J45-_xlfn.XLOOKUP(E45,lookups_s60!$AQ$4:$AQ$1000,lookups_s60!$AR$4:$AR$1000,"",0)-40)/2-_xlfn.XLOOKUP(E45,lookups_s60!$AQ$4:$AQ$1000,lookups_s60!$AS$4:$AS$1000,"",0)),"")</f>
        <v/>
      </c>
      <c r="AZ45" s="20" t="str">
        <f>IFERROR(IF(C45&lt;&gt;"", K45-_xlfn.XLOOKUP(E45,lookups_s60!$AQ$4:$AQ$1000,lookups_s60!$AT$4:$AT$1000,"",0)-_xlfn.XLOOKUP(E45,lookups_s60!$AQ$4:$AQ$1000,lookups_s60!$AU$4:$AU$1000,"",0),""),"")</f>
        <v/>
      </c>
      <c r="BA45" s="20" t="str">
        <f t="shared" si="2"/>
        <v/>
      </c>
      <c r="BC45" s="20" t="str" cm="1">
        <f t="array" ref="BC45">IFERROR(_xlfn.IFS(E45="Awning",AQ45-_xlfn.XLOOKUP(E45,lookups_s60!$AQ$4:$AQ$1000,lookups_s60!$AV$4:$AV$1000,"",0)-_xlfn.XLOOKUP(E45,lookups_s60!$AQ$4:$AQ$1000,lookups_s60!$AW$4:$AW$1000,"",0),C45&lt;&gt;"",W45-_xlfn.XLOOKUP(E45,lookups_s60!$AQ$4:$AQ$1000,lookups_s60!$AV$4:$AV$1000,"",0)-_xlfn.XLOOKUP(E45,lookups_s60!$AQ$4:$AQ$1000,lookups_s60!$AW$4:$AW$1000,"",0)),"")</f>
        <v/>
      </c>
      <c r="BD45" s="20" t="str" cm="1">
        <f t="array" ref="BD45">IFERROR(_xlfn.IFS(E45="Awning",AS45-_xlfn.XLOOKUP(E45,lookups_s60!$AQ$4:$AQ$1000,lookups_s60!$AX$4:$AX$1000,"",0)-_xlfn.XLOOKUP(E45,lookups_s60!$AQ$4:$AQ$1000,lookups_s60!$AY$4:$AY$1000,"",0),C45&lt;&gt;"",Y45-_xlfn.XLOOKUP(E45,lookups_s60!$AQ$4:$AQ$1000,lookups_s60!$AX$4:$AX$1000,"",0)-_xlfn.XLOOKUP(E45,lookups_s60!$AQ$4:$AQ$1000,lookups_s60!$AY$4:$AY$1000,"",0)),"")</f>
        <v/>
      </c>
      <c r="BE45" s="20" t="str">
        <f>IF(BC45&lt;&gt;"", _xlfn.XLOOKUP(E45,lookups_s60!$AQ$4:$AQ$1000,lookups_s60!$AZ$4:$AZ$1000,"",0)*D45,"")</f>
        <v/>
      </c>
      <c r="BG45" s="20" t="str">
        <f t="shared" si="3"/>
        <v/>
      </c>
      <c r="BH45" s="22" t="str">
        <f t="shared" si="4"/>
        <v/>
      </c>
      <c r="BI45" s="20" t="str">
        <f t="shared" si="5"/>
        <v/>
      </c>
      <c r="BJ45" s="20" t="str">
        <f t="shared" si="6"/>
        <v/>
      </c>
      <c r="BK45" s="20" t="str">
        <f t="shared" si="7"/>
        <v/>
      </c>
    </row>
    <row r="46" spans="3:63" ht="13.5" customHeight="1" x14ac:dyDescent="0.25">
      <c r="C46" s="16"/>
      <c r="D46" s="16"/>
      <c r="E46" s="16"/>
      <c r="F46" s="16"/>
      <c r="G46" s="16"/>
      <c r="H46" s="16"/>
      <c r="I46" s="16"/>
      <c r="J46" s="16"/>
      <c r="K46" s="16"/>
      <c r="M46" s="20" t="str">
        <f t="shared" si="0"/>
        <v/>
      </c>
      <c r="N46" s="20" t="str" cm="1">
        <f t="array" ref="N46">IFERROR(_xlfn.IFS(OR(E46="Fix Awning (Vertical)", E46="Fix Awning (Horizontal)"), J46/2+20,C46&lt;&gt;"", J46+M46),"")</f>
        <v/>
      </c>
      <c r="O46" s="20" t="str">
        <f>IF(D46&lt;&gt;"", D46*_xlfn.XLOOKUP(E46,lookups_s60!$B$4:$B$1000,lookups_s60!$C$4:$C$1000,"",0),"")</f>
        <v/>
      </c>
      <c r="P46" s="20" t="str">
        <f t="shared" si="1"/>
        <v/>
      </c>
      <c r="Q46" s="20" t="str">
        <f>IF(D46&lt;&gt;"", D46*_xlfn.XLOOKUP(E46,lookups_s60!$B$4:$B$1000,lookups_s60!$D$4:$D$1000,"",0),"")</f>
        <v/>
      </c>
      <c r="S46" s="20" t="str" cm="1">
        <f t="array" ref="S46">IFERROR(_xlfn.IFS(E46="Double Fix",K46+_xlfn.XLOOKUP(E46,lookups_s60!$G$4:$G$1000,lookups_s60!$H$4:$H$1000,"",0), OR(E46="Double Awning (Horizontal)", E46="Double Awning (Vertical)",E46="Triple Awning (Horizontal)", E46="Triple Awning (Vertical)"), J46+_xlfn.XLOOKUP(E46,lookups_s60!$G$4:$G$1000,lookups_s60!$H$4:$H$1000,"",0), E46="Double Casement", J46+_xlfn.XLOOKUP(E46,lookups_s60!$G$4:$G$1000,lookups_s60!$H$4:$H$1000,"",0), OR(E46="Fix Awning (Vertical)", E46="Fix Awning (Horizontal)"), K46+_xlfn.XLOOKUP(E46,lookups_s60!$G$4:$G$1000,lookups_s60!$H$4:$H$1000,"",0), E46="Triple Casement", J46+_xlfn.XLOOKUP(E46,lookups_s60!$G$4:$G$1000,lookups_s60!$H$4:$H$1000,"",0)),"")</f>
        <v/>
      </c>
      <c r="T46" s="20" t="str">
        <f>IF(S46&lt;&gt;"",D46*_xlfn.XLOOKUP(E46,lookups_s60!$G$4:$G$1000,lookups_s60!$I$4:$I$1000,"",0),"")</f>
        <v/>
      </c>
      <c r="V46" s="20" t="str">
        <f>IF(_xlfn.XLOOKUP(E46,lookups_s60!$L$4:$L$1000,lookups_s60!$M$4:$M$1000,"",0)=0, "", _xlfn.XLOOKUP(E46,lookups_s60!$L$4:$L$1000,lookups_s60!$M$4:$M$1000,"",0))</f>
        <v/>
      </c>
      <c r="W46" s="20" t="str" cm="1">
        <f t="array" ref="W46">IFERROR(_xlfn.IFS(OR(E46="Fix Awning (Vertical)",E46="Fix Awning (Vertical)"),   ((J46-_xlfn.XLOOKUP(E46,lookups_s60!$L$4:$L$1000,lookups_s60!$N$4:$N$1000,"",0)-40)/2)+_xlfn.XLOOKUP(E46,lookups_s60!$L$4:$L$1000,lookups_s60!$O$4:$O$1000,"",0), V46&lt;&gt;"", J46-_xlfn.XLOOKUP(E46,lookups_s60!$L$4:$L$1000,lookups_s60!$N$4:$N$1000,"",0)+_xlfn.XLOOKUP(E46,lookups_s60!$L$4:$L$1000,lookups_s60!$O$4:$O$1000,"",0)),"")</f>
        <v/>
      </c>
      <c r="X46" s="20" t="str">
        <f>IF(_xlfn.XLOOKUP(E46,lookups_s60!$L$4:$L$1000,lookups_s60!$R$4:$R$1000,"",0)=0, "", D46*_xlfn.XLOOKUP(E46,lookups_s60!$L$4:$L$1000,lookups_s60!$R$4:$R$1000,"",0))</f>
        <v/>
      </c>
      <c r="Y46" s="22" t="str" cm="1">
        <f t="array" ref="Y46">IFERROR(_xlfn.IFS(OR(E46="Double Awning (Horizontal)", E46="Double Awning (Vertical)", E46="Triple Awning (Horizontal)", E46="Triple Awning (Vertical)", E46="Double Casement"), ((K46-_xlfn.XLOOKUP(E46,lookups_s60!$L$4:$L$1000,lookups_s60!$P$4:$P$1000,"",0)-36)/2)+_xlfn.XLOOKUP(E46,lookups_s60!$L$4:$L$1000,lookups_s60!$Q$4:$Q$1000,"",0), E46="Triple Casement",((K46-_xlfn.XLOOKUP(E46,lookups_s60!$L$4:$L$1000,lookups_s60!$P$4:$P$1000,"",0)-36-36)/3)+_xlfn.XLOOKUP(E46,lookups_s60!$L$4:$L$1000,lookups_s60!$Q$4:$Q$1000,"",0),V46&lt;&gt;"",K46-_xlfn.XLOOKUP(E46,lookups_s60!$L$4:$L$1000,lookups_s60!$P$4:$P$1000,"",0)+_xlfn.XLOOKUP(E46,lookups_s60!$L$4:$L$1000,lookups_s60!$Q$4:$Q$1000,"",0)),"")</f>
        <v/>
      </c>
      <c r="Z46" s="20" t="str">
        <f>IF(_xlfn.XLOOKUP(E46,lookups_s60!$L$4:$L$1000,lookups_s60!$R$4:$R$1000,"",0)=0, "", D46*_xlfn.XLOOKUP(E46,lookups_s60!$L$4:$L$1000,lookups_s60!$R$4:$R$1000,"",0))</f>
        <v/>
      </c>
      <c r="AB46" s="20" t="str" cm="1">
        <f t="array" ref="AB46">IFERROR(_xlfn.IFS(OR(E46="Fix", E46="Double Fix"),J46-_xlfn.XLOOKUP(E46,lookups_s60!$U$4:$U$1000,lookups_s60!$V$4:$V$1000,"",0),OR(E46="Fix Awning (Vertical)", E46="Fix Awning (Horizontal)"),(J46-_xlfn.XLOOKUP(E46,lookups_s60!$U$4:$U$1000,lookups_s60!$V$4:$V$1000,"",0)-40)/2),"")</f>
        <v/>
      </c>
      <c r="AC46" s="20" t="str">
        <f>IF(_xlfn.XLOOKUP(E46,lookups_s60!$U$4:$U$1000,lookups_s60!$X$4:$X$1000,"",0)=0,"",D46*_xlfn.XLOOKUP(E46,lookups_s60!$U$4:$U$1000,lookups_s60!$X$4:$X$1000,"",0))</f>
        <v/>
      </c>
      <c r="AD46" s="20" t="str">
        <f>IF(OR(E46="Fix", E46="Double Fix", E46="Fix Awning (Vertical)", E46="Fix Awning (Horizontal)"), K46-_xlfn.XLOOKUP(E46,lookups_s60!$U$4:$U$1000,lookups_s60!$W$4:$W$1000,"",0), "")</f>
        <v/>
      </c>
      <c r="AE46" s="20" t="str">
        <f>IF(_xlfn.XLOOKUP(E46,lookups_s60!$U$4:$U$1000,lookups_s60!$X$4:$X$1000,"",0)=0,"",D46*_xlfn.XLOOKUP(E46,lookups_s60!$U$4:$U$1000,lookups_s60!$Y$4:$Y$1000,"",0))</f>
        <v/>
      </c>
      <c r="AG46" s="24" t="str">
        <f>IF(W46&lt;&gt;"", W46-_xlfn.XLOOKUP(E46,lookups_s60!$U$4:$U$1000,lookups_s60!$Z$4:$Z$1000,"",0)-IF(E46="Awning", 5,0),"")</f>
        <v/>
      </c>
      <c r="AH46" s="20" t="str">
        <f>IF(_xlfn.XLOOKUP(E46,lookups_s60!$U$4:$U$1000,lookups_s60!$AB$4:$AB$1000,"",0)=0,"",D46*_xlfn.XLOOKUP(E46,lookups_s60!$U$4:$U$1000,lookups_s60!$AB$4:$AB$1000,"",0))</f>
        <v/>
      </c>
      <c r="AI46" s="22" t="str">
        <f>IF(Y46&lt;&gt;"", Y46-_xlfn.XLOOKUP(E46,lookups_s60!$U$4:$U$1000,lookups_s60!$AA$4:$AA$1000,"",0),"")</f>
        <v/>
      </c>
      <c r="AJ46" s="20" t="str">
        <f>IF(_xlfn.XLOOKUP(E46,lookups_s60!$U$4:$U$1000,lookups_s60!$AC$4:$AC$1000,"",0)=0,"",D46*_xlfn.XLOOKUP(E46,lookups_s60!$U$4:$U$1000,lookups_s60!$AC$4:$AC$1000,"",0))</f>
        <v/>
      </c>
      <c r="AL46" s="20" t="str">
        <f>IF(C46&lt;&gt;"", N46-_xlfn.XLOOKUP(E46,lookups_s60!$AF$4:$AF$1000,lookups_s60!$AG$4:$AG$1000,"",0),"")</f>
        <v/>
      </c>
      <c r="AM46" s="20" t="str">
        <f>IF(_xlfn.XLOOKUP(E46,lookups_s60!$AF$4:$AF$1000,lookups_s60!$AH$4:$AH$1000,"",0)=0,"",D46*_xlfn.XLOOKUP(E46,lookups_s60!$AF$4:$AF$1000,lookups_s60!$AH$4:$AH$1000,"",0))</f>
        <v/>
      </c>
      <c r="AN46" s="20" t="str">
        <f>IF(C46&lt;&gt;"", P46-_xlfn.XLOOKUP(E46,lookups_s60!$AF$4:$AF$1000,lookups_s60!$AG$4:$AG$1000,"",0),"")</f>
        <v/>
      </c>
      <c r="AO46" s="20" t="str">
        <f>IFERROR(IF(_xlfn.XLOOKUP(E46,lookups_s60!$AF$4:$AF$1000,lookups_s60!$AI$4:$AI$1000,"",0)=0,"",D46*_xlfn.XLOOKUP(E46,lookups_s60!$AF$4:$AF$1000,lookups_s60!$AI$4:$AI$1000,"",0)),"")</f>
        <v/>
      </c>
      <c r="AQ46" s="20" t="str">
        <f>IF(W46&lt;&gt;"", W46-_xlfn.XLOOKUP(E46,lookups_s60!$AF$4:$AF$1000,lookups_s60!$AJ$4:$AJ$1000,"",0),"")</f>
        <v/>
      </c>
      <c r="AR46" s="20" t="str">
        <f>IFERROR(IF(_xlfn.XLOOKUP(E46,lookups_s60!$AF$4:$AF$1000,lookups_s60!$AK$4:$AK$1000,"",0)=0,"",D46*_xlfn.XLOOKUP(E46,lookups_s60!$AF$4:$AF$1000,lookups_s60!$AK$4:$AK$1000,"",0)),"")</f>
        <v/>
      </c>
      <c r="AS46" s="20" t="str">
        <f>IF(Y46&lt;&gt;"", Y46-_xlfn.XLOOKUP(E46,lookups_s60!$AF$4:$AF$1000,lookups_s60!$AJ$4:$AJ$1000,"",0),"")</f>
        <v/>
      </c>
      <c r="AT46" s="20" t="str">
        <f>IFERROR(IF(_xlfn.XLOOKUP(E46,lookups_s60!$AF$4:$AF$1000,lookups_s60!$AL$4:$AL$1000,"",0)=0,"",D46*_xlfn.XLOOKUP(E46,lookups_s60!$AF$4:$AF$1000,lookups_s60!$AL$4:$AL$1000,"",0)),"")</f>
        <v/>
      </c>
      <c r="AV46" s="20" t="str">
        <f>IF(S46&lt;&gt;"", S46-_xlfn.XLOOKUP(E46,lookups_s60!$AF$4:$AF$1000,lookups_s60!$AM$4:$AM$1000,"",0),"")</f>
        <v/>
      </c>
      <c r="AW46" s="20" t="str">
        <f>IFERROR(IF(_xlfn.XLOOKUP(E46,lookups_s60!$AF$4:$AF$1000,lookups_s60!$AN$4:$AN$1000,"",0)=0,"",D46*_xlfn.XLOOKUP(E46,lookups_s60!$AF$4:$AF$1000,lookups_s60!$AN$4:$AN$1000,"",0)),"")</f>
        <v/>
      </c>
      <c r="AY46" s="20" t="str" cm="1">
        <f t="array" ref="AY46">IFERROR(_xlfn.IFS(E46="Fix", J46-_xlfn.XLOOKUP(E46,lookups_s60!$AQ$4:$AQ$1000,lookups_s60!$AR$4:$AR$1000,"",0)-_xlfn.XLOOKUP(E46,lookups_s60!$AQ$4:$AQ$1000,lookups_s60!$AS$4:$AS$1000,"",0), E46="Double Fix", (J46-_xlfn.XLOOKUP(E46,lookups_s60!$AQ$4:$AQ$1000,lookups_s60!$AR$4:$AR$1000,"",0)-_xlfn.XLOOKUP(E46,lookups_s60!$G$4:$G$1000,lookups_s60!$H$4:$H$1000,"",0))/2-_xlfn.XLOOKUP(E46,lookups_s60!$AQ$4:$AQ$1000,lookups_s60!$AS$4:$AS$1000,"",0), OR(E46="Fix Awning (Vertical)",E46="Fix Awning (Horizontal)"),  (J46-_xlfn.XLOOKUP(E46,lookups_s60!$AQ$4:$AQ$1000,lookups_s60!$AR$4:$AR$1000,"",0)-40)/2-_xlfn.XLOOKUP(E46,lookups_s60!$AQ$4:$AQ$1000,lookups_s60!$AS$4:$AS$1000,"",0)),"")</f>
        <v/>
      </c>
      <c r="AZ46" s="20" t="str">
        <f>IFERROR(IF(C46&lt;&gt;"", K46-_xlfn.XLOOKUP(E46,lookups_s60!$AQ$4:$AQ$1000,lookups_s60!$AT$4:$AT$1000,"",0)-_xlfn.XLOOKUP(E46,lookups_s60!$AQ$4:$AQ$1000,lookups_s60!$AU$4:$AU$1000,"",0),""),"")</f>
        <v/>
      </c>
      <c r="BA46" s="20" t="str">
        <f t="shared" si="2"/>
        <v/>
      </c>
      <c r="BC46" s="20" t="str" cm="1">
        <f t="array" ref="BC46">IFERROR(_xlfn.IFS(E46="Awning",AQ46-_xlfn.XLOOKUP(E46,lookups_s60!$AQ$4:$AQ$1000,lookups_s60!$AV$4:$AV$1000,"",0)-_xlfn.XLOOKUP(E46,lookups_s60!$AQ$4:$AQ$1000,lookups_s60!$AW$4:$AW$1000,"",0),C46&lt;&gt;"",W46-_xlfn.XLOOKUP(E46,lookups_s60!$AQ$4:$AQ$1000,lookups_s60!$AV$4:$AV$1000,"",0)-_xlfn.XLOOKUP(E46,lookups_s60!$AQ$4:$AQ$1000,lookups_s60!$AW$4:$AW$1000,"",0)),"")</f>
        <v/>
      </c>
      <c r="BD46" s="20" t="str" cm="1">
        <f t="array" ref="BD46">IFERROR(_xlfn.IFS(E46="Awning",AS46-_xlfn.XLOOKUP(E46,lookups_s60!$AQ$4:$AQ$1000,lookups_s60!$AX$4:$AX$1000,"",0)-_xlfn.XLOOKUP(E46,lookups_s60!$AQ$4:$AQ$1000,lookups_s60!$AY$4:$AY$1000,"",0),C46&lt;&gt;"",Y46-_xlfn.XLOOKUP(E46,lookups_s60!$AQ$4:$AQ$1000,lookups_s60!$AX$4:$AX$1000,"",0)-_xlfn.XLOOKUP(E46,lookups_s60!$AQ$4:$AQ$1000,lookups_s60!$AY$4:$AY$1000,"",0)),"")</f>
        <v/>
      </c>
      <c r="BE46" s="20" t="str">
        <f>IF(BC46&lt;&gt;"", _xlfn.XLOOKUP(E46,lookups_s60!$AQ$4:$AQ$1000,lookups_s60!$AZ$4:$AZ$1000,"",0)*D46,"")</f>
        <v/>
      </c>
      <c r="BG46" s="20" t="str">
        <f t="shared" si="3"/>
        <v/>
      </c>
      <c r="BH46" s="22" t="str">
        <f t="shared" si="4"/>
        <v/>
      </c>
      <c r="BI46" s="20" t="str">
        <f t="shared" si="5"/>
        <v/>
      </c>
      <c r="BJ46" s="20" t="str">
        <f t="shared" si="6"/>
        <v/>
      </c>
      <c r="BK46" s="20" t="str">
        <f t="shared" si="7"/>
        <v/>
      </c>
    </row>
    <row r="47" spans="3:63" ht="13.5" customHeight="1" x14ac:dyDescent="0.25">
      <c r="C47" s="16"/>
      <c r="D47" s="16"/>
      <c r="E47" s="16"/>
      <c r="F47" s="16"/>
      <c r="G47" s="16"/>
      <c r="H47" s="16"/>
      <c r="I47" s="16"/>
      <c r="J47" s="16"/>
      <c r="K47" s="16"/>
      <c r="M47" s="20" t="str">
        <f t="shared" si="0"/>
        <v/>
      </c>
      <c r="N47" s="20" t="str" cm="1">
        <f t="array" ref="N47">IFERROR(_xlfn.IFS(OR(E47="Fix Awning (Vertical)", E47="Fix Awning (Horizontal)"), J47/2+20,C47&lt;&gt;"", J47+M47),"")</f>
        <v/>
      </c>
      <c r="O47" s="20" t="str">
        <f>IF(D47&lt;&gt;"", D47*_xlfn.XLOOKUP(E47,lookups_s60!$B$4:$B$1000,lookups_s60!$C$4:$C$1000,"",0),"")</f>
        <v/>
      </c>
      <c r="P47" s="20" t="str">
        <f t="shared" si="1"/>
        <v/>
      </c>
      <c r="Q47" s="20" t="str">
        <f>IF(D47&lt;&gt;"", D47*_xlfn.XLOOKUP(E47,lookups_s60!$B$4:$B$1000,lookups_s60!$D$4:$D$1000,"",0),"")</f>
        <v/>
      </c>
      <c r="S47" s="20" t="str" cm="1">
        <f t="array" ref="S47">IFERROR(_xlfn.IFS(E47="Double Fix",K47+_xlfn.XLOOKUP(E47,lookups_s60!$G$4:$G$1000,lookups_s60!$H$4:$H$1000,"",0), OR(E47="Double Awning (Horizontal)", E47="Double Awning (Vertical)",E47="Triple Awning (Horizontal)", E47="Triple Awning (Vertical)"), J47+_xlfn.XLOOKUP(E47,lookups_s60!$G$4:$G$1000,lookups_s60!$H$4:$H$1000,"",0), E47="Double Casement", J47+_xlfn.XLOOKUP(E47,lookups_s60!$G$4:$G$1000,lookups_s60!$H$4:$H$1000,"",0), OR(E47="Fix Awning (Vertical)", E47="Fix Awning (Horizontal)"), K47+_xlfn.XLOOKUP(E47,lookups_s60!$G$4:$G$1000,lookups_s60!$H$4:$H$1000,"",0), E47="Triple Casement", J47+_xlfn.XLOOKUP(E47,lookups_s60!$G$4:$G$1000,lookups_s60!$H$4:$H$1000,"",0)),"")</f>
        <v/>
      </c>
      <c r="T47" s="20" t="str">
        <f>IF(S47&lt;&gt;"",D47*_xlfn.XLOOKUP(E47,lookups_s60!$G$4:$G$1000,lookups_s60!$I$4:$I$1000,"",0),"")</f>
        <v/>
      </c>
      <c r="V47" s="20" t="str">
        <f>IF(_xlfn.XLOOKUP(E47,lookups_s60!$L$4:$L$1000,lookups_s60!$M$4:$M$1000,"",0)=0, "", _xlfn.XLOOKUP(E47,lookups_s60!$L$4:$L$1000,lookups_s60!$M$4:$M$1000,"",0))</f>
        <v/>
      </c>
      <c r="W47" s="20" t="str" cm="1">
        <f t="array" ref="W47">IFERROR(_xlfn.IFS(OR(E47="Fix Awning (Vertical)",E47="Fix Awning (Vertical)"),   ((J47-_xlfn.XLOOKUP(E47,lookups_s60!$L$4:$L$1000,lookups_s60!$N$4:$N$1000,"",0)-40)/2)+_xlfn.XLOOKUP(E47,lookups_s60!$L$4:$L$1000,lookups_s60!$O$4:$O$1000,"",0), V47&lt;&gt;"", J47-_xlfn.XLOOKUP(E47,lookups_s60!$L$4:$L$1000,lookups_s60!$N$4:$N$1000,"",0)+_xlfn.XLOOKUP(E47,lookups_s60!$L$4:$L$1000,lookups_s60!$O$4:$O$1000,"",0)),"")</f>
        <v/>
      </c>
      <c r="X47" s="20" t="str">
        <f>IF(_xlfn.XLOOKUP(E47,lookups_s60!$L$4:$L$1000,lookups_s60!$R$4:$R$1000,"",0)=0, "", D47*_xlfn.XLOOKUP(E47,lookups_s60!$L$4:$L$1000,lookups_s60!$R$4:$R$1000,"",0))</f>
        <v/>
      </c>
      <c r="Y47" s="22" t="str" cm="1">
        <f t="array" ref="Y47">IFERROR(_xlfn.IFS(OR(E47="Double Awning (Horizontal)", E47="Double Awning (Vertical)", E47="Triple Awning (Horizontal)", E47="Triple Awning (Vertical)", E47="Double Casement"), ((K47-_xlfn.XLOOKUP(E47,lookups_s60!$L$4:$L$1000,lookups_s60!$P$4:$P$1000,"",0)-36)/2)+_xlfn.XLOOKUP(E47,lookups_s60!$L$4:$L$1000,lookups_s60!$Q$4:$Q$1000,"",0), E47="Triple Casement",((K47-_xlfn.XLOOKUP(E47,lookups_s60!$L$4:$L$1000,lookups_s60!$P$4:$P$1000,"",0)-36-36)/3)+_xlfn.XLOOKUP(E47,lookups_s60!$L$4:$L$1000,lookups_s60!$Q$4:$Q$1000,"",0),V47&lt;&gt;"",K47-_xlfn.XLOOKUP(E47,lookups_s60!$L$4:$L$1000,lookups_s60!$P$4:$P$1000,"",0)+_xlfn.XLOOKUP(E47,lookups_s60!$L$4:$L$1000,lookups_s60!$Q$4:$Q$1000,"",0)),"")</f>
        <v/>
      </c>
      <c r="Z47" s="20" t="str">
        <f>IF(_xlfn.XLOOKUP(E47,lookups_s60!$L$4:$L$1000,lookups_s60!$R$4:$R$1000,"",0)=0, "", D47*_xlfn.XLOOKUP(E47,lookups_s60!$L$4:$L$1000,lookups_s60!$R$4:$R$1000,"",0))</f>
        <v/>
      </c>
      <c r="AB47" s="20" t="str" cm="1">
        <f t="array" ref="AB47">IFERROR(_xlfn.IFS(OR(E47="Fix", E47="Double Fix"),J47-_xlfn.XLOOKUP(E47,lookups_s60!$U$4:$U$1000,lookups_s60!$V$4:$V$1000,"",0),OR(E47="Fix Awning (Vertical)", E47="Fix Awning (Horizontal)"),(J47-_xlfn.XLOOKUP(E47,lookups_s60!$U$4:$U$1000,lookups_s60!$V$4:$V$1000,"",0)-40)/2),"")</f>
        <v/>
      </c>
      <c r="AC47" s="20" t="str">
        <f>IF(_xlfn.XLOOKUP(E47,lookups_s60!$U$4:$U$1000,lookups_s60!$X$4:$X$1000,"",0)=0,"",D47*_xlfn.XLOOKUP(E47,lookups_s60!$U$4:$U$1000,lookups_s60!$X$4:$X$1000,"",0))</f>
        <v/>
      </c>
      <c r="AD47" s="20" t="str">
        <f>IF(OR(E47="Fix", E47="Double Fix", E47="Fix Awning (Vertical)", E47="Fix Awning (Horizontal)"), K47-_xlfn.XLOOKUP(E47,lookups_s60!$U$4:$U$1000,lookups_s60!$W$4:$W$1000,"",0), "")</f>
        <v/>
      </c>
      <c r="AE47" s="20" t="str">
        <f>IF(_xlfn.XLOOKUP(E47,lookups_s60!$U$4:$U$1000,lookups_s60!$X$4:$X$1000,"",0)=0,"",D47*_xlfn.XLOOKUP(E47,lookups_s60!$U$4:$U$1000,lookups_s60!$Y$4:$Y$1000,"",0))</f>
        <v/>
      </c>
      <c r="AG47" s="24" t="str">
        <f>IF(W47&lt;&gt;"", W47-_xlfn.XLOOKUP(E47,lookups_s60!$U$4:$U$1000,lookups_s60!$Z$4:$Z$1000,"",0)-IF(E47="Awning", 5,0),"")</f>
        <v/>
      </c>
      <c r="AH47" s="20" t="str">
        <f>IF(_xlfn.XLOOKUP(E47,lookups_s60!$U$4:$U$1000,lookups_s60!$AB$4:$AB$1000,"",0)=0,"",D47*_xlfn.XLOOKUP(E47,lookups_s60!$U$4:$U$1000,lookups_s60!$AB$4:$AB$1000,"",0))</f>
        <v/>
      </c>
      <c r="AI47" s="22" t="str">
        <f>IF(Y47&lt;&gt;"", Y47-_xlfn.XLOOKUP(E47,lookups_s60!$U$4:$U$1000,lookups_s60!$AA$4:$AA$1000,"",0),"")</f>
        <v/>
      </c>
      <c r="AJ47" s="20" t="str">
        <f>IF(_xlfn.XLOOKUP(E47,lookups_s60!$U$4:$U$1000,lookups_s60!$AC$4:$AC$1000,"",0)=0,"",D47*_xlfn.XLOOKUP(E47,lookups_s60!$U$4:$U$1000,lookups_s60!$AC$4:$AC$1000,"",0))</f>
        <v/>
      </c>
      <c r="AL47" s="20" t="str">
        <f>IF(C47&lt;&gt;"", N47-_xlfn.XLOOKUP(E47,lookups_s60!$AF$4:$AF$1000,lookups_s60!$AG$4:$AG$1000,"",0),"")</f>
        <v/>
      </c>
      <c r="AM47" s="20" t="str">
        <f>IF(_xlfn.XLOOKUP(E47,lookups_s60!$AF$4:$AF$1000,lookups_s60!$AH$4:$AH$1000,"",0)=0,"",D47*_xlfn.XLOOKUP(E47,lookups_s60!$AF$4:$AF$1000,lookups_s60!$AH$4:$AH$1000,"",0))</f>
        <v/>
      </c>
      <c r="AN47" s="20" t="str">
        <f>IF(C47&lt;&gt;"", P47-_xlfn.XLOOKUP(E47,lookups_s60!$AF$4:$AF$1000,lookups_s60!$AG$4:$AG$1000,"",0),"")</f>
        <v/>
      </c>
      <c r="AO47" s="20" t="str">
        <f>IFERROR(IF(_xlfn.XLOOKUP(E47,lookups_s60!$AF$4:$AF$1000,lookups_s60!$AI$4:$AI$1000,"",0)=0,"",D47*_xlfn.XLOOKUP(E47,lookups_s60!$AF$4:$AF$1000,lookups_s60!$AI$4:$AI$1000,"",0)),"")</f>
        <v/>
      </c>
      <c r="AQ47" s="20" t="str">
        <f>IF(W47&lt;&gt;"", W47-_xlfn.XLOOKUP(E47,lookups_s60!$AF$4:$AF$1000,lookups_s60!$AJ$4:$AJ$1000,"",0),"")</f>
        <v/>
      </c>
      <c r="AR47" s="20" t="str">
        <f>IFERROR(IF(_xlfn.XLOOKUP(E47,lookups_s60!$AF$4:$AF$1000,lookups_s60!$AK$4:$AK$1000,"",0)=0,"",D47*_xlfn.XLOOKUP(E47,lookups_s60!$AF$4:$AF$1000,lookups_s60!$AK$4:$AK$1000,"",0)),"")</f>
        <v/>
      </c>
      <c r="AS47" s="20" t="str">
        <f>IF(Y47&lt;&gt;"", Y47-_xlfn.XLOOKUP(E47,lookups_s60!$AF$4:$AF$1000,lookups_s60!$AJ$4:$AJ$1000,"",0),"")</f>
        <v/>
      </c>
      <c r="AT47" s="20" t="str">
        <f>IFERROR(IF(_xlfn.XLOOKUP(E47,lookups_s60!$AF$4:$AF$1000,lookups_s60!$AL$4:$AL$1000,"",0)=0,"",D47*_xlfn.XLOOKUP(E47,lookups_s60!$AF$4:$AF$1000,lookups_s60!$AL$4:$AL$1000,"",0)),"")</f>
        <v/>
      </c>
      <c r="AV47" s="20" t="str">
        <f>IF(S47&lt;&gt;"", S47-_xlfn.XLOOKUP(E47,lookups_s60!$AF$4:$AF$1000,lookups_s60!$AM$4:$AM$1000,"",0),"")</f>
        <v/>
      </c>
      <c r="AW47" s="20" t="str">
        <f>IFERROR(IF(_xlfn.XLOOKUP(E47,lookups_s60!$AF$4:$AF$1000,lookups_s60!$AN$4:$AN$1000,"",0)=0,"",D47*_xlfn.XLOOKUP(E47,lookups_s60!$AF$4:$AF$1000,lookups_s60!$AN$4:$AN$1000,"",0)),"")</f>
        <v/>
      </c>
      <c r="AY47" s="20" t="str" cm="1">
        <f t="array" ref="AY47">IFERROR(_xlfn.IFS(E47="Fix", J47-_xlfn.XLOOKUP(E47,lookups_s60!$AQ$4:$AQ$1000,lookups_s60!$AR$4:$AR$1000,"",0)-_xlfn.XLOOKUP(E47,lookups_s60!$AQ$4:$AQ$1000,lookups_s60!$AS$4:$AS$1000,"",0), E47="Double Fix", (J47-_xlfn.XLOOKUP(E47,lookups_s60!$AQ$4:$AQ$1000,lookups_s60!$AR$4:$AR$1000,"",0)-_xlfn.XLOOKUP(E47,lookups_s60!$G$4:$G$1000,lookups_s60!$H$4:$H$1000,"",0))/2-_xlfn.XLOOKUP(E47,lookups_s60!$AQ$4:$AQ$1000,lookups_s60!$AS$4:$AS$1000,"",0), OR(E47="Fix Awning (Vertical)",E47="Fix Awning (Horizontal)"),  (J47-_xlfn.XLOOKUP(E47,lookups_s60!$AQ$4:$AQ$1000,lookups_s60!$AR$4:$AR$1000,"",0)-40)/2-_xlfn.XLOOKUP(E47,lookups_s60!$AQ$4:$AQ$1000,lookups_s60!$AS$4:$AS$1000,"",0)),"")</f>
        <v/>
      </c>
      <c r="AZ47" s="20" t="str">
        <f>IFERROR(IF(C47&lt;&gt;"", K47-_xlfn.XLOOKUP(E47,lookups_s60!$AQ$4:$AQ$1000,lookups_s60!$AT$4:$AT$1000,"",0)-_xlfn.XLOOKUP(E47,lookups_s60!$AQ$4:$AQ$1000,lookups_s60!$AU$4:$AU$1000,"",0),""),"")</f>
        <v/>
      </c>
      <c r="BA47" s="20" t="str">
        <f t="shared" ref="BA47:BA65" si="8">IF(AY47&lt;&gt;"",D47,"")</f>
        <v/>
      </c>
      <c r="BC47" s="20" t="str" cm="1">
        <f t="array" ref="BC47">IFERROR(_xlfn.IFS(E47="Awning",AQ47-_xlfn.XLOOKUP(E47,lookups_s60!$AQ$4:$AQ$1000,lookups_s60!$AV$4:$AV$1000,"",0)-_xlfn.XLOOKUP(E47,lookups_s60!$AQ$4:$AQ$1000,lookups_s60!$AW$4:$AW$1000,"",0),C47&lt;&gt;"",W47-_xlfn.XLOOKUP(E47,lookups_s60!$AQ$4:$AQ$1000,lookups_s60!$AV$4:$AV$1000,"",0)-_xlfn.XLOOKUP(E47,lookups_s60!$AQ$4:$AQ$1000,lookups_s60!$AW$4:$AW$1000,"",0)),"")</f>
        <v/>
      </c>
      <c r="BD47" s="20" t="str" cm="1">
        <f t="array" ref="BD47">IFERROR(_xlfn.IFS(E47="Awning",AS47-_xlfn.XLOOKUP(E47,lookups_s60!$AQ$4:$AQ$1000,lookups_s60!$AX$4:$AX$1000,"",0)-_xlfn.XLOOKUP(E47,lookups_s60!$AQ$4:$AQ$1000,lookups_s60!$AY$4:$AY$1000,"",0),C47&lt;&gt;"",Y47-_xlfn.XLOOKUP(E47,lookups_s60!$AQ$4:$AQ$1000,lookups_s60!$AX$4:$AX$1000,"",0)-_xlfn.XLOOKUP(E47,lookups_s60!$AQ$4:$AQ$1000,lookups_s60!$AY$4:$AY$1000,"",0)),"")</f>
        <v/>
      </c>
      <c r="BE47" s="20" t="str">
        <f>IF(BC47&lt;&gt;"", _xlfn.XLOOKUP(E47,lookups_s60!$AQ$4:$AQ$1000,lookups_s60!$AZ$4:$AZ$1000,"",0)*D47,"")</f>
        <v/>
      </c>
      <c r="BG47" s="20" t="str">
        <f t="shared" si="3"/>
        <v/>
      </c>
      <c r="BH47" s="22" t="str">
        <f t="shared" si="4"/>
        <v/>
      </c>
      <c r="BI47" s="20" t="str">
        <f t="shared" si="5"/>
        <v/>
      </c>
      <c r="BJ47" s="20" t="str">
        <f t="shared" si="6"/>
        <v/>
      </c>
      <c r="BK47" s="20" t="str">
        <f t="shared" si="7"/>
        <v/>
      </c>
    </row>
    <row r="48" spans="3:63" ht="13.5" customHeight="1" x14ac:dyDescent="0.25">
      <c r="C48" s="16"/>
      <c r="D48" s="16"/>
      <c r="E48" s="16"/>
      <c r="F48" s="16"/>
      <c r="G48" s="16"/>
      <c r="H48" s="16"/>
      <c r="I48" s="16"/>
      <c r="J48" s="16"/>
      <c r="K48" s="16"/>
      <c r="M48" s="20" t="str">
        <f t="shared" si="0"/>
        <v/>
      </c>
      <c r="N48" s="20" t="str" cm="1">
        <f t="array" ref="N48">IFERROR(_xlfn.IFS(OR(E48="Fix Awning (Vertical)", E48="Fix Awning (Horizontal)"), J48/2+20,C48&lt;&gt;"", J48+M48),"")</f>
        <v/>
      </c>
      <c r="O48" s="20" t="str">
        <f>IF(D48&lt;&gt;"", D48*_xlfn.XLOOKUP(E48,lookups_s60!$B$4:$B$1000,lookups_s60!$C$4:$C$1000,"",0),"")</f>
        <v/>
      </c>
      <c r="P48" s="20" t="str">
        <f t="shared" si="1"/>
        <v/>
      </c>
      <c r="Q48" s="20" t="str">
        <f>IF(D48&lt;&gt;"", D48*_xlfn.XLOOKUP(E48,lookups_s60!$B$4:$B$1000,lookups_s60!$D$4:$D$1000,"",0),"")</f>
        <v/>
      </c>
      <c r="S48" s="20" t="str" cm="1">
        <f t="array" ref="S48">IFERROR(_xlfn.IFS(E48="Double Fix",K48+_xlfn.XLOOKUP(E48,lookups_s60!$G$4:$G$1000,lookups_s60!$H$4:$H$1000,"",0), OR(E48="Double Awning (Horizontal)", E48="Double Awning (Vertical)",E48="Triple Awning (Horizontal)", E48="Triple Awning (Vertical)"), J48+_xlfn.XLOOKUP(E48,lookups_s60!$G$4:$G$1000,lookups_s60!$H$4:$H$1000,"",0), E48="Double Casement", J48+_xlfn.XLOOKUP(E48,lookups_s60!$G$4:$G$1000,lookups_s60!$H$4:$H$1000,"",0), OR(E48="Fix Awning (Vertical)", E48="Fix Awning (Horizontal)"), K48+_xlfn.XLOOKUP(E48,lookups_s60!$G$4:$G$1000,lookups_s60!$H$4:$H$1000,"",0), E48="Triple Casement", J48+_xlfn.XLOOKUP(E48,lookups_s60!$G$4:$G$1000,lookups_s60!$H$4:$H$1000,"",0)),"")</f>
        <v/>
      </c>
      <c r="T48" s="20" t="str">
        <f>IF(S48&lt;&gt;"",D48*_xlfn.XLOOKUP(E48,lookups_s60!$G$4:$G$1000,lookups_s60!$I$4:$I$1000,"",0),"")</f>
        <v/>
      </c>
      <c r="V48" s="20" t="str">
        <f>IF(_xlfn.XLOOKUP(E48,lookups_s60!$L$4:$L$1000,lookups_s60!$M$4:$M$1000,"",0)=0, "", _xlfn.XLOOKUP(E48,lookups_s60!$L$4:$L$1000,lookups_s60!$M$4:$M$1000,"",0))</f>
        <v/>
      </c>
      <c r="W48" s="20" t="str" cm="1">
        <f t="array" ref="W48">IFERROR(_xlfn.IFS(OR(E48="Fix Awning (Vertical)",E48="Fix Awning (Vertical)"),   ((J48-_xlfn.XLOOKUP(E48,lookups_s60!$L$4:$L$1000,lookups_s60!$N$4:$N$1000,"",0)-40)/2)+_xlfn.XLOOKUP(E48,lookups_s60!$L$4:$L$1000,lookups_s60!$O$4:$O$1000,"",0), V48&lt;&gt;"", J48-_xlfn.XLOOKUP(E48,lookups_s60!$L$4:$L$1000,lookups_s60!$N$4:$N$1000,"",0)+_xlfn.XLOOKUP(E48,lookups_s60!$L$4:$L$1000,lookups_s60!$O$4:$O$1000,"",0)),"")</f>
        <v/>
      </c>
      <c r="X48" s="20" t="str">
        <f>IF(_xlfn.XLOOKUP(E48,lookups_s60!$L$4:$L$1000,lookups_s60!$R$4:$R$1000,"",0)=0, "", D48*_xlfn.XLOOKUP(E48,lookups_s60!$L$4:$L$1000,lookups_s60!$R$4:$R$1000,"",0))</f>
        <v/>
      </c>
      <c r="Y48" s="22" t="str" cm="1">
        <f t="array" ref="Y48">IFERROR(_xlfn.IFS(OR(E48="Double Awning (Horizontal)", E48="Double Awning (Vertical)", E48="Triple Awning (Horizontal)", E48="Triple Awning (Vertical)", E48="Double Casement"), ((K48-_xlfn.XLOOKUP(E48,lookups_s60!$L$4:$L$1000,lookups_s60!$P$4:$P$1000,"",0)-36)/2)+_xlfn.XLOOKUP(E48,lookups_s60!$L$4:$L$1000,lookups_s60!$Q$4:$Q$1000,"",0), E48="Triple Casement",((K48-_xlfn.XLOOKUP(E48,lookups_s60!$L$4:$L$1000,lookups_s60!$P$4:$P$1000,"",0)-36-36)/3)+_xlfn.XLOOKUP(E48,lookups_s60!$L$4:$L$1000,lookups_s60!$Q$4:$Q$1000,"",0),V48&lt;&gt;"",K48-_xlfn.XLOOKUP(E48,lookups_s60!$L$4:$L$1000,lookups_s60!$P$4:$P$1000,"",0)+_xlfn.XLOOKUP(E48,lookups_s60!$L$4:$L$1000,lookups_s60!$Q$4:$Q$1000,"",0)),"")</f>
        <v/>
      </c>
      <c r="Z48" s="20" t="str">
        <f>IF(_xlfn.XLOOKUP(E48,lookups_s60!$L$4:$L$1000,lookups_s60!$R$4:$R$1000,"",0)=0, "", D48*_xlfn.XLOOKUP(E48,lookups_s60!$L$4:$L$1000,lookups_s60!$R$4:$R$1000,"",0))</f>
        <v/>
      </c>
      <c r="AB48" s="20" t="str" cm="1">
        <f t="array" ref="AB48">IFERROR(_xlfn.IFS(OR(E48="Fix", E48="Double Fix"),J48-_xlfn.XLOOKUP(E48,lookups_s60!$U$4:$U$1000,lookups_s60!$V$4:$V$1000,"",0),OR(E48="Fix Awning (Vertical)", E48="Fix Awning (Horizontal)"),(J48-_xlfn.XLOOKUP(E48,lookups_s60!$U$4:$U$1000,lookups_s60!$V$4:$V$1000,"",0)-40)/2),"")</f>
        <v/>
      </c>
      <c r="AC48" s="20" t="str">
        <f>IF(_xlfn.XLOOKUP(E48,lookups_s60!$U$4:$U$1000,lookups_s60!$X$4:$X$1000,"",0)=0,"",D48*_xlfn.XLOOKUP(E48,lookups_s60!$U$4:$U$1000,lookups_s60!$X$4:$X$1000,"",0))</f>
        <v/>
      </c>
      <c r="AD48" s="20" t="str">
        <f>IF(OR(E48="Fix", E48="Double Fix", E48="Fix Awning (Vertical)", E48="Fix Awning (Horizontal)"), K48-_xlfn.XLOOKUP(E48,lookups_s60!$U$4:$U$1000,lookups_s60!$W$4:$W$1000,"",0), "")</f>
        <v/>
      </c>
      <c r="AE48" s="20" t="str">
        <f>IF(_xlfn.XLOOKUP(E48,lookups_s60!$U$4:$U$1000,lookups_s60!$X$4:$X$1000,"",0)=0,"",D48*_xlfn.XLOOKUP(E48,lookups_s60!$U$4:$U$1000,lookups_s60!$Y$4:$Y$1000,"",0))</f>
        <v/>
      </c>
      <c r="AG48" s="24" t="str">
        <f>IF(W48&lt;&gt;"", W48-_xlfn.XLOOKUP(E48,lookups_s60!$U$4:$U$1000,lookups_s60!$Z$4:$Z$1000,"",0)-IF(E48="Awning", 5,0),"")</f>
        <v/>
      </c>
      <c r="AH48" s="20" t="str">
        <f>IF(_xlfn.XLOOKUP(E48,lookups_s60!$U$4:$U$1000,lookups_s60!$AB$4:$AB$1000,"",0)=0,"",D48*_xlfn.XLOOKUP(E48,lookups_s60!$U$4:$U$1000,lookups_s60!$AB$4:$AB$1000,"",0))</f>
        <v/>
      </c>
      <c r="AI48" s="22" t="str">
        <f>IF(Y48&lt;&gt;"", Y48-_xlfn.XLOOKUP(E48,lookups_s60!$U$4:$U$1000,lookups_s60!$AA$4:$AA$1000,"",0),"")</f>
        <v/>
      </c>
      <c r="AJ48" s="20" t="str">
        <f>IF(_xlfn.XLOOKUP(E48,lookups_s60!$U$4:$U$1000,lookups_s60!$AC$4:$AC$1000,"",0)=0,"",D48*_xlfn.XLOOKUP(E48,lookups_s60!$U$4:$U$1000,lookups_s60!$AC$4:$AC$1000,"",0))</f>
        <v/>
      </c>
      <c r="AL48" s="20" t="str">
        <f>IF(C48&lt;&gt;"", N48-_xlfn.XLOOKUP(E48,lookups_s60!$AF$4:$AF$1000,lookups_s60!$AG$4:$AG$1000,"",0),"")</f>
        <v/>
      </c>
      <c r="AM48" s="20" t="str">
        <f>IF(_xlfn.XLOOKUP(E48,lookups_s60!$AF$4:$AF$1000,lookups_s60!$AH$4:$AH$1000,"",0)=0,"",D48*_xlfn.XLOOKUP(E48,lookups_s60!$AF$4:$AF$1000,lookups_s60!$AH$4:$AH$1000,"",0))</f>
        <v/>
      </c>
      <c r="AN48" s="20" t="str">
        <f>IF(C48&lt;&gt;"", P48-_xlfn.XLOOKUP(E48,lookups_s60!$AF$4:$AF$1000,lookups_s60!$AG$4:$AG$1000,"",0),"")</f>
        <v/>
      </c>
      <c r="AO48" s="20" t="str">
        <f>IFERROR(IF(_xlfn.XLOOKUP(E48,lookups_s60!$AF$4:$AF$1000,lookups_s60!$AI$4:$AI$1000,"",0)=0,"",D48*_xlfn.XLOOKUP(E48,lookups_s60!$AF$4:$AF$1000,lookups_s60!$AI$4:$AI$1000,"",0)),"")</f>
        <v/>
      </c>
      <c r="AQ48" s="20" t="str">
        <f>IF(W48&lt;&gt;"", W48-_xlfn.XLOOKUP(E48,lookups_s60!$AF$4:$AF$1000,lookups_s60!$AJ$4:$AJ$1000,"",0),"")</f>
        <v/>
      </c>
      <c r="AR48" s="20" t="str">
        <f>IFERROR(IF(_xlfn.XLOOKUP(E48,lookups_s60!$AF$4:$AF$1000,lookups_s60!$AK$4:$AK$1000,"",0)=0,"",D48*_xlfn.XLOOKUP(E48,lookups_s60!$AF$4:$AF$1000,lookups_s60!$AK$4:$AK$1000,"",0)),"")</f>
        <v/>
      </c>
      <c r="AS48" s="20" t="str">
        <f>IF(Y48&lt;&gt;"", Y48-_xlfn.XLOOKUP(E48,lookups_s60!$AF$4:$AF$1000,lookups_s60!$AJ$4:$AJ$1000,"",0),"")</f>
        <v/>
      </c>
      <c r="AT48" s="20" t="str">
        <f>IFERROR(IF(_xlfn.XLOOKUP(E48,lookups_s60!$AF$4:$AF$1000,lookups_s60!$AL$4:$AL$1000,"",0)=0,"",D48*_xlfn.XLOOKUP(E48,lookups_s60!$AF$4:$AF$1000,lookups_s60!$AL$4:$AL$1000,"",0)),"")</f>
        <v/>
      </c>
      <c r="AV48" s="20" t="str">
        <f>IF(S48&lt;&gt;"", S48-_xlfn.XLOOKUP(E48,lookups_s60!$AF$4:$AF$1000,lookups_s60!$AM$4:$AM$1000,"",0),"")</f>
        <v/>
      </c>
      <c r="AW48" s="20" t="str">
        <f>IFERROR(IF(_xlfn.XLOOKUP(E48,lookups_s60!$AF$4:$AF$1000,lookups_s60!$AN$4:$AN$1000,"",0)=0,"",D48*_xlfn.XLOOKUP(E48,lookups_s60!$AF$4:$AF$1000,lookups_s60!$AN$4:$AN$1000,"",0)),"")</f>
        <v/>
      </c>
      <c r="AY48" s="20" t="str" cm="1">
        <f t="array" ref="AY48">IFERROR(_xlfn.IFS(E48="Fix", J48-_xlfn.XLOOKUP(E48,lookups_s60!$AQ$4:$AQ$1000,lookups_s60!$AR$4:$AR$1000,"",0)-_xlfn.XLOOKUP(E48,lookups_s60!$AQ$4:$AQ$1000,lookups_s60!$AS$4:$AS$1000,"",0), E48="Double Fix", (J48-_xlfn.XLOOKUP(E48,lookups_s60!$AQ$4:$AQ$1000,lookups_s60!$AR$4:$AR$1000,"",0)-_xlfn.XLOOKUP(E48,lookups_s60!$G$4:$G$1000,lookups_s60!$H$4:$H$1000,"",0))/2-_xlfn.XLOOKUP(E48,lookups_s60!$AQ$4:$AQ$1000,lookups_s60!$AS$4:$AS$1000,"",0), OR(E48="Fix Awning (Vertical)",E48="Fix Awning (Horizontal)"),  (J48-_xlfn.XLOOKUP(E48,lookups_s60!$AQ$4:$AQ$1000,lookups_s60!$AR$4:$AR$1000,"",0)-40)/2-_xlfn.XLOOKUP(E48,lookups_s60!$AQ$4:$AQ$1000,lookups_s60!$AS$4:$AS$1000,"",0)),"")</f>
        <v/>
      </c>
      <c r="AZ48" s="20" t="str">
        <f>IFERROR(IF(C48&lt;&gt;"", K48-_xlfn.XLOOKUP(E48,lookups_s60!$AQ$4:$AQ$1000,lookups_s60!$AT$4:$AT$1000,"",0)-_xlfn.XLOOKUP(E48,lookups_s60!$AQ$4:$AQ$1000,lookups_s60!$AU$4:$AU$1000,"",0),""),"")</f>
        <v/>
      </c>
      <c r="BA48" s="20" t="str">
        <f t="shared" si="8"/>
        <v/>
      </c>
      <c r="BC48" s="20" t="str" cm="1">
        <f t="array" ref="BC48">IFERROR(_xlfn.IFS(E48="Awning",AQ48-_xlfn.XLOOKUP(E48,lookups_s60!$AQ$4:$AQ$1000,lookups_s60!$AV$4:$AV$1000,"",0)-_xlfn.XLOOKUP(E48,lookups_s60!$AQ$4:$AQ$1000,lookups_s60!$AW$4:$AW$1000,"",0),C48&lt;&gt;"",W48-_xlfn.XLOOKUP(E48,lookups_s60!$AQ$4:$AQ$1000,lookups_s60!$AV$4:$AV$1000,"",0)-_xlfn.XLOOKUP(E48,lookups_s60!$AQ$4:$AQ$1000,lookups_s60!$AW$4:$AW$1000,"",0)),"")</f>
        <v/>
      </c>
      <c r="BD48" s="20" t="str" cm="1">
        <f t="array" ref="BD48">IFERROR(_xlfn.IFS(E48="Awning",AS48-_xlfn.XLOOKUP(E48,lookups_s60!$AQ$4:$AQ$1000,lookups_s60!$AX$4:$AX$1000,"",0)-_xlfn.XLOOKUP(E48,lookups_s60!$AQ$4:$AQ$1000,lookups_s60!$AY$4:$AY$1000,"",0),C48&lt;&gt;"",Y48-_xlfn.XLOOKUP(E48,lookups_s60!$AQ$4:$AQ$1000,lookups_s60!$AX$4:$AX$1000,"",0)-_xlfn.XLOOKUP(E48,lookups_s60!$AQ$4:$AQ$1000,lookups_s60!$AY$4:$AY$1000,"",0)),"")</f>
        <v/>
      </c>
      <c r="BE48" s="20" t="str">
        <f>IF(BC48&lt;&gt;"", _xlfn.XLOOKUP(E48,lookups_s60!$AQ$4:$AQ$1000,lookups_s60!$AZ$4:$AZ$1000,"",0)*D48,"")</f>
        <v/>
      </c>
      <c r="BG48" s="20" t="str">
        <f t="shared" si="3"/>
        <v/>
      </c>
      <c r="BH48" s="22" t="str">
        <f t="shared" si="4"/>
        <v/>
      </c>
      <c r="BI48" s="20" t="str">
        <f t="shared" si="5"/>
        <v/>
      </c>
      <c r="BJ48" s="20" t="str">
        <f t="shared" si="6"/>
        <v/>
      </c>
      <c r="BK48" s="20" t="str">
        <f t="shared" si="7"/>
        <v/>
      </c>
    </row>
    <row r="49" spans="3:63" ht="13.5" customHeight="1" x14ac:dyDescent="0.25">
      <c r="C49" s="16"/>
      <c r="D49" s="16"/>
      <c r="E49" s="16"/>
      <c r="F49" s="16"/>
      <c r="G49" s="16"/>
      <c r="H49" s="16"/>
      <c r="I49" s="16"/>
      <c r="J49" s="16"/>
      <c r="K49" s="16"/>
      <c r="M49" s="20" t="str">
        <f t="shared" si="0"/>
        <v/>
      </c>
      <c r="N49" s="20" t="str" cm="1">
        <f t="array" ref="N49">IFERROR(_xlfn.IFS(OR(E49="Fix Awning (Vertical)", E49="Fix Awning (Horizontal)"), J49/2+20,C49&lt;&gt;"", J49+M49),"")</f>
        <v/>
      </c>
      <c r="O49" s="20" t="str">
        <f>IF(D49&lt;&gt;"", D49*_xlfn.XLOOKUP(E49,lookups_s60!$B$4:$B$1000,lookups_s60!$C$4:$C$1000,"",0),"")</f>
        <v/>
      </c>
      <c r="P49" s="20" t="str">
        <f t="shared" si="1"/>
        <v/>
      </c>
      <c r="Q49" s="20" t="str">
        <f>IF(D49&lt;&gt;"", D49*_xlfn.XLOOKUP(E49,lookups_s60!$B$4:$B$1000,lookups_s60!$D$4:$D$1000,"",0),"")</f>
        <v/>
      </c>
      <c r="S49" s="20" t="str" cm="1">
        <f t="array" ref="S49">IFERROR(_xlfn.IFS(E49="Double Fix",K49+_xlfn.XLOOKUP(E49,lookups_s60!$G$4:$G$1000,lookups_s60!$H$4:$H$1000,"",0), OR(E49="Double Awning (Horizontal)", E49="Double Awning (Vertical)",E49="Triple Awning (Horizontal)", E49="Triple Awning (Vertical)"), J49+_xlfn.XLOOKUP(E49,lookups_s60!$G$4:$G$1000,lookups_s60!$H$4:$H$1000,"",0), E49="Double Casement", J49+_xlfn.XLOOKUP(E49,lookups_s60!$G$4:$G$1000,lookups_s60!$H$4:$H$1000,"",0), OR(E49="Fix Awning (Vertical)", E49="Fix Awning (Horizontal)"), K49+_xlfn.XLOOKUP(E49,lookups_s60!$G$4:$G$1000,lookups_s60!$H$4:$H$1000,"",0), E49="Triple Casement", J49+_xlfn.XLOOKUP(E49,lookups_s60!$G$4:$G$1000,lookups_s60!$H$4:$H$1000,"",0)),"")</f>
        <v/>
      </c>
      <c r="T49" s="20" t="str">
        <f>IF(S49&lt;&gt;"",D49*_xlfn.XLOOKUP(E49,lookups_s60!$G$4:$G$1000,lookups_s60!$I$4:$I$1000,"",0),"")</f>
        <v/>
      </c>
      <c r="V49" s="20" t="str">
        <f>IF(_xlfn.XLOOKUP(E49,lookups_s60!$L$4:$L$1000,lookups_s60!$M$4:$M$1000,"",0)=0, "", _xlfn.XLOOKUP(E49,lookups_s60!$L$4:$L$1000,lookups_s60!$M$4:$M$1000,"",0))</f>
        <v/>
      </c>
      <c r="W49" s="20" t="str" cm="1">
        <f t="array" ref="W49">IFERROR(_xlfn.IFS(OR(E49="Fix Awning (Vertical)",E49="Fix Awning (Vertical)"),   ((J49-_xlfn.XLOOKUP(E49,lookups_s60!$L$4:$L$1000,lookups_s60!$N$4:$N$1000,"",0)-40)/2)+_xlfn.XLOOKUP(E49,lookups_s60!$L$4:$L$1000,lookups_s60!$O$4:$O$1000,"",0), V49&lt;&gt;"", J49-_xlfn.XLOOKUP(E49,lookups_s60!$L$4:$L$1000,lookups_s60!$N$4:$N$1000,"",0)+_xlfn.XLOOKUP(E49,lookups_s60!$L$4:$L$1000,lookups_s60!$O$4:$O$1000,"",0)),"")</f>
        <v/>
      </c>
      <c r="X49" s="20" t="str">
        <f>IF(_xlfn.XLOOKUP(E49,lookups_s60!$L$4:$L$1000,lookups_s60!$R$4:$R$1000,"",0)=0, "", D49*_xlfn.XLOOKUP(E49,lookups_s60!$L$4:$L$1000,lookups_s60!$R$4:$R$1000,"",0))</f>
        <v/>
      </c>
      <c r="Y49" s="22" t="str" cm="1">
        <f t="array" ref="Y49">IFERROR(_xlfn.IFS(OR(E49="Double Awning (Horizontal)", E49="Double Awning (Vertical)", E49="Triple Awning (Horizontal)", E49="Triple Awning (Vertical)", E49="Double Casement"), ((K49-_xlfn.XLOOKUP(E49,lookups_s60!$L$4:$L$1000,lookups_s60!$P$4:$P$1000,"",0)-36)/2)+_xlfn.XLOOKUP(E49,lookups_s60!$L$4:$L$1000,lookups_s60!$Q$4:$Q$1000,"",0), E49="Triple Casement",((K49-_xlfn.XLOOKUP(E49,lookups_s60!$L$4:$L$1000,lookups_s60!$P$4:$P$1000,"",0)-36-36)/3)+_xlfn.XLOOKUP(E49,lookups_s60!$L$4:$L$1000,lookups_s60!$Q$4:$Q$1000,"",0),V49&lt;&gt;"",K49-_xlfn.XLOOKUP(E49,lookups_s60!$L$4:$L$1000,lookups_s60!$P$4:$P$1000,"",0)+_xlfn.XLOOKUP(E49,lookups_s60!$L$4:$L$1000,lookups_s60!$Q$4:$Q$1000,"",0)),"")</f>
        <v/>
      </c>
      <c r="Z49" s="20" t="str">
        <f>IF(_xlfn.XLOOKUP(E49,lookups_s60!$L$4:$L$1000,lookups_s60!$R$4:$R$1000,"",0)=0, "", D49*_xlfn.XLOOKUP(E49,lookups_s60!$L$4:$L$1000,lookups_s60!$R$4:$R$1000,"",0))</f>
        <v/>
      </c>
      <c r="AB49" s="20" t="str" cm="1">
        <f t="array" ref="AB49">IFERROR(_xlfn.IFS(OR(E49="Fix", E49="Double Fix"),J49-_xlfn.XLOOKUP(E49,lookups_s60!$U$4:$U$1000,lookups_s60!$V$4:$V$1000,"",0),OR(E49="Fix Awning (Vertical)", E49="Fix Awning (Horizontal)"),(J49-_xlfn.XLOOKUP(E49,lookups_s60!$U$4:$U$1000,lookups_s60!$V$4:$V$1000,"",0)-40)/2),"")</f>
        <v/>
      </c>
      <c r="AC49" s="20" t="str">
        <f>IF(_xlfn.XLOOKUP(E49,lookups_s60!$U$4:$U$1000,lookups_s60!$X$4:$X$1000,"",0)=0,"",D49*_xlfn.XLOOKUP(E49,lookups_s60!$U$4:$U$1000,lookups_s60!$X$4:$X$1000,"",0))</f>
        <v/>
      </c>
      <c r="AD49" s="20" t="str">
        <f>IF(OR(E49="Fix", E49="Double Fix", E49="Fix Awning (Vertical)", E49="Fix Awning (Horizontal)"), K49-_xlfn.XLOOKUP(E49,lookups_s60!$U$4:$U$1000,lookups_s60!$W$4:$W$1000,"",0), "")</f>
        <v/>
      </c>
      <c r="AE49" s="20" t="str">
        <f>IF(_xlfn.XLOOKUP(E49,lookups_s60!$U$4:$U$1000,lookups_s60!$X$4:$X$1000,"",0)=0,"",D49*_xlfn.XLOOKUP(E49,lookups_s60!$U$4:$U$1000,lookups_s60!$Y$4:$Y$1000,"",0))</f>
        <v/>
      </c>
      <c r="AG49" s="24" t="str">
        <f>IF(W49&lt;&gt;"", W49-_xlfn.XLOOKUP(E49,lookups_s60!$U$4:$U$1000,lookups_s60!$Z$4:$Z$1000,"",0)-IF(E49="Awning", 5,0),"")</f>
        <v/>
      </c>
      <c r="AH49" s="20" t="str">
        <f>IF(_xlfn.XLOOKUP(E49,lookups_s60!$U$4:$U$1000,lookups_s60!$AB$4:$AB$1000,"",0)=0,"",D49*_xlfn.XLOOKUP(E49,lookups_s60!$U$4:$U$1000,lookups_s60!$AB$4:$AB$1000,"",0))</f>
        <v/>
      </c>
      <c r="AI49" s="22" t="str">
        <f>IF(Y49&lt;&gt;"", Y49-_xlfn.XLOOKUP(E49,lookups_s60!$U$4:$U$1000,lookups_s60!$AA$4:$AA$1000,"",0),"")</f>
        <v/>
      </c>
      <c r="AJ49" s="20" t="str">
        <f>IF(_xlfn.XLOOKUP(E49,lookups_s60!$U$4:$U$1000,lookups_s60!$AC$4:$AC$1000,"",0)=0,"",D49*_xlfn.XLOOKUP(E49,lookups_s60!$U$4:$U$1000,lookups_s60!$AC$4:$AC$1000,"",0))</f>
        <v/>
      </c>
      <c r="AL49" s="20" t="str">
        <f>IF(C49&lt;&gt;"", N49-_xlfn.XLOOKUP(E49,lookups_s60!$AF$4:$AF$1000,lookups_s60!$AG$4:$AG$1000,"",0),"")</f>
        <v/>
      </c>
      <c r="AM49" s="20" t="str">
        <f>IF(_xlfn.XLOOKUP(E49,lookups_s60!$AF$4:$AF$1000,lookups_s60!$AH$4:$AH$1000,"",0)=0,"",D49*_xlfn.XLOOKUP(E49,lookups_s60!$AF$4:$AF$1000,lookups_s60!$AH$4:$AH$1000,"",0))</f>
        <v/>
      </c>
      <c r="AN49" s="20" t="str">
        <f>IF(C49&lt;&gt;"", P49-_xlfn.XLOOKUP(E49,lookups_s60!$AF$4:$AF$1000,lookups_s60!$AG$4:$AG$1000,"",0),"")</f>
        <v/>
      </c>
      <c r="AO49" s="20" t="str">
        <f>IFERROR(IF(_xlfn.XLOOKUP(E49,lookups_s60!$AF$4:$AF$1000,lookups_s60!$AI$4:$AI$1000,"",0)=0,"",D49*_xlfn.XLOOKUP(E49,lookups_s60!$AF$4:$AF$1000,lookups_s60!$AI$4:$AI$1000,"",0)),"")</f>
        <v/>
      </c>
      <c r="AQ49" s="20" t="str">
        <f>IF(W49&lt;&gt;"", W49-_xlfn.XLOOKUP(E49,lookups_s60!$AF$4:$AF$1000,lookups_s60!$AJ$4:$AJ$1000,"",0),"")</f>
        <v/>
      </c>
      <c r="AR49" s="20" t="str">
        <f>IFERROR(IF(_xlfn.XLOOKUP(E49,lookups_s60!$AF$4:$AF$1000,lookups_s60!$AK$4:$AK$1000,"",0)=0,"",D49*_xlfn.XLOOKUP(E49,lookups_s60!$AF$4:$AF$1000,lookups_s60!$AK$4:$AK$1000,"",0)),"")</f>
        <v/>
      </c>
      <c r="AS49" s="20" t="str">
        <f>IF(Y49&lt;&gt;"", Y49-_xlfn.XLOOKUP(E49,lookups_s60!$AF$4:$AF$1000,lookups_s60!$AJ$4:$AJ$1000,"",0),"")</f>
        <v/>
      </c>
      <c r="AT49" s="20" t="str">
        <f>IFERROR(IF(_xlfn.XLOOKUP(E49,lookups_s60!$AF$4:$AF$1000,lookups_s60!$AL$4:$AL$1000,"",0)=0,"",D49*_xlfn.XLOOKUP(E49,lookups_s60!$AF$4:$AF$1000,lookups_s60!$AL$4:$AL$1000,"",0)),"")</f>
        <v/>
      </c>
      <c r="AV49" s="20" t="str">
        <f>IF(S49&lt;&gt;"", S49-_xlfn.XLOOKUP(E49,lookups_s60!$AF$4:$AF$1000,lookups_s60!$AM$4:$AM$1000,"",0),"")</f>
        <v/>
      </c>
      <c r="AW49" s="20" t="str">
        <f>IFERROR(IF(_xlfn.XLOOKUP(E49,lookups_s60!$AF$4:$AF$1000,lookups_s60!$AN$4:$AN$1000,"",0)=0,"",D49*_xlfn.XLOOKUP(E49,lookups_s60!$AF$4:$AF$1000,lookups_s60!$AN$4:$AN$1000,"",0)),"")</f>
        <v/>
      </c>
      <c r="AY49" s="20" t="str" cm="1">
        <f t="array" ref="AY49">IFERROR(_xlfn.IFS(E49="Fix", J49-_xlfn.XLOOKUP(E49,lookups_s60!$AQ$4:$AQ$1000,lookups_s60!$AR$4:$AR$1000,"",0)-_xlfn.XLOOKUP(E49,lookups_s60!$AQ$4:$AQ$1000,lookups_s60!$AS$4:$AS$1000,"",0), E49="Double Fix", (J49-_xlfn.XLOOKUP(E49,lookups_s60!$AQ$4:$AQ$1000,lookups_s60!$AR$4:$AR$1000,"",0)-_xlfn.XLOOKUP(E49,lookups_s60!$G$4:$G$1000,lookups_s60!$H$4:$H$1000,"",0))/2-_xlfn.XLOOKUP(E49,lookups_s60!$AQ$4:$AQ$1000,lookups_s60!$AS$4:$AS$1000,"",0), OR(E49="Fix Awning (Vertical)",E49="Fix Awning (Horizontal)"),  (J49-_xlfn.XLOOKUP(E49,lookups_s60!$AQ$4:$AQ$1000,lookups_s60!$AR$4:$AR$1000,"",0)-40)/2-_xlfn.XLOOKUP(E49,lookups_s60!$AQ$4:$AQ$1000,lookups_s60!$AS$4:$AS$1000,"",0)),"")</f>
        <v/>
      </c>
      <c r="AZ49" s="20" t="str">
        <f>IFERROR(IF(C49&lt;&gt;"", K49-_xlfn.XLOOKUP(E49,lookups_s60!$AQ$4:$AQ$1000,lookups_s60!$AT$4:$AT$1000,"",0)-_xlfn.XLOOKUP(E49,lookups_s60!$AQ$4:$AQ$1000,lookups_s60!$AU$4:$AU$1000,"",0),""),"")</f>
        <v/>
      </c>
      <c r="BA49" s="20" t="str">
        <f t="shared" si="8"/>
        <v/>
      </c>
      <c r="BC49" s="20" t="str" cm="1">
        <f t="array" ref="BC49">IFERROR(_xlfn.IFS(E49="Awning",AQ49-_xlfn.XLOOKUP(E49,lookups_s60!$AQ$4:$AQ$1000,lookups_s60!$AV$4:$AV$1000,"",0)-_xlfn.XLOOKUP(E49,lookups_s60!$AQ$4:$AQ$1000,lookups_s60!$AW$4:$AW$1000,"",0),C49&lt;&gt;"",W49-_xlfn.XLOOKUP(E49,lookups_s60!$AQ$4:$AQ$1000,lookups_s60!$AV$4:$AV$1000,"",0)-_xlfn.XLOOKUP(E49,lookups_s60!$AQ$4:$AQ$1000,lookups_s60!$AW$4:$AW$1000,"",0)),"")</f>
        <v/>
      </c>
      <c r="BD49" s="20" t="str" cm="1">
        <f t="array" ref="BD49">IFERROR(_xlfn.IFS(E49="Awning",AS49-_xlfn.XLOOKUP(E49,lookups_s60!$AQ$4:$AQ$1000,lookups_s60!$AX$4:$AX$1000,"",0)-_xlfn.XLOOKUP(E49,lookups_s60!$AQ$4:$AQ$1000,lookups_s60!$AY$4:$AY$1000,"",0),C49&lt;&gt;"",Y49-_xlfn.XLOOKUP(E49,lookups_s60!$AQ$4:$AQ$1000,lookups_s60!$AX$4:$AX$1000,"",0)-_xlfn.XLOOKUP(E49,lookups_s60!$AQ$4:$AQ$1000,lookups_s60!$AY$4:$AY$1000,"",0)),"")</f>
        <v/>
      </c>
      <c r="BE49" s="20" t="str">
        <f>IF(BC49&lt;&gt;"", _xlfn.XLOOKUP(E49,lookups_s60!$AQ$4:$AQ$1000,lookups_s60!$AZ$4:$AZ$1000,"",0)*D49,"")</f>
        <v/>
      </c>
      <c r="BG49" s="20" t="str">
        <f t="shared" si="3"/>
        <v/>
      </c>
      <c r="BH49" s="22" t="str">
        <f t="shared" si="4"/>
        <v/>
      </c>
      <c r="BI49" s="20" t="str">
        <f t="shared" si="5"/>
        <v/>
      </c>
      <c r="BJ49" s="20" t="str">
        <f t="shared" si="6"/>
        <v/>
      </c>
      <c r="BK49" s="20" t="str">
        <f t="shared" si="7"/>
        <v/>
      </c>
    </row>
    <row r="50" spans="3:63" ht="13.5" customHeight="1" x14ac:dyDescent="0.25">
      <c r="C50" s="16"/>
      <c r="D50" s="16"/>
      <c r="E50" s="16"/>
      <c r="F50" s="16"/>
      <c r="G50" s="16"/>
      <c r="H50" s="16"/>
      <c r="I50" s="16"/>
      <c r="J50" s="16"/>
      <c r="K50" s="16"/>
      <c r="M50" s="20" t="str">
        <f t="shared" si="0"/>
        <v/>
      </c>
      <c r="N50" s="20" t="str" cm="1">
        <f t="array" ref="N50">IFERROR(_xlfn.IFS(OR(E50="Fix Awning (Vertical)", E50="Fix Awning (Horizontal)"), J50/2+20,C50&lt;&gt;"", J50+M50),"")</f>
        <v/>
      </c>
      <c r="O50" s="20" t="str">
        <f>IF(D50&lt;&gt;"", D50*_xlfn.XLOOKUP(E50,lookups_s60!$B$4:$B$1000,lookups_s60!$C$4:$C$1000,"",0),"")</f>
        <v/>
      </c>
      <c r="P50" s="20" t="str">
        <f t="shared" si="1"/>
        <v/>
      </c>
      <c r="Q50" s="20" t="str">
        <f>IF(D50&lt;&gt;"", D50*_xlfn.XLOOKUP(E50,lookups_s60!$B$4:$B$1000,lookups_s60!$D$4:$D$1000,"",0),"")</f>
        <v/>
      </c>
      <c r="S50" s="20" t="str" cm="1">
        <f t="array" ref="S50">IFERROR(_xlfn.IFS(E50="Double Fix",K50+_xlfn.XLOOKUP(E50,lookups_s60!$G$4:$G$1000,lookups_s60!$H$4:$H$1000,"",0), OR(E50="Double Awning (Horizontal)", E50="Double Awning (Vertical)",E50="Triple Awning (Horizontal)", E50="Triple Awning (Vertical)"), J50+_xlfn.XLOOKUP(E50,lookups_s60!$G$4:$G$1000,lookups_s60!$H$4:$H$1000,"",0), E50="Double Casement", J50+_xlfn.XLOOKUP(E50,lookups_s60!$G$4:$G$1000,lookups_s60!$H$4:$H$1000,"",0), OR(E50="Fix Awning (Vertical)", E50="Fix Awning (Horizontal)"), K50+_xlfn.XLOOKUP(E50,lookups_s60!$G$4:$G$1000,lookups_s60!$H$4:$H$1000,"",0), E50="Triple Casement", J50+_xlfn.XLOOKUP(E50,lookups_s60!$G$4:$G$1000,lookups_s60!$H$4:$H$1000,"",0)),"")</f>
        <v/>
      </c>
      <c r="T50" s="20" t="str">
        <f>IF(S50&lt;&gt;"",D50*_xlfn.XLOOKUP(E50,lookups_s60!$G$4:$G$1000,lookups_s60!$I$4:$I$1000,"",0),"")</f>
        <v/>
      </c>
      <c r="V50" s="20" t="str">
        <f>IF(_xlfn.XLOOKUP(E50,lookups_s60!$L$4:$L$1000,lookups_s60!$M$4:$M$1000,"",0)=0, "", _xlfn.XLOOKUP(E50,lookups_s60!$L$4:$L$1000,lookups_s60!$M$4:$M$1000,"",0))</f>
        <v/>
      </c>
      <c r="W50" s="20" t="str" cm="1">
        <f t="array" ref="W50">IFERROR(_xlfn.IFS(OR(E50="Fix Awning (Vertical)",E50="Fix Awning (Vertical)"),   ((J50-_xlfn.XLOOKUP(E50,lookups_s60!$L$4:$L$1000,lookups_s60!$N$4:$N$1000,"",0)-40)/2)+_xlfn.XLOOKUP(E50,lookups_s60!$L$4:$L$1000,lookups_s60!$O$4:$O$1000,"",0), V50&lt;&gt;"", J50-_xlfn.XLOOKUP(E50,lookups_s60!$L$4:$L$1000,lookups_s60!$N$4:$N$1000,"",0)+_xlfn.XLOOKUP(E50,lookups_s60!$L$4:$L$1000,lookups_s60!$O$4:$O$1000,"",0)),"")</f>
        <v/>
      </c>
      <c r="X50" s="20" t="str">
        <f>IF(_xlfn.XLOOKUP(E50,lookups_s60!$L$4:$L$1000,lookups_s60!$R$4:$R$1000,"",0)=0, "", D50*_xlfn.XLOOKUP(E50,lookups_s60!$L$4:$L$1000,lookups_s60!$R$4:$R$1000,"",0))</f>
        <v/>
      </c>
      <c r="Y50" s="22" t="str" cm="1">
        <f t="array" ref="Y50">IFERROR(_xlfn.IFS(OR(E50="Double Awning (Horizontal)", E50="Double Awning (Vertical)", E50="Triple Awning (Horizontal)", E50="Triple Awning (Vertical)", E50="Double Casement"), ((K50-_xlfn.XLOOKUP(E50,lookups_s60!$L$4:$L$1000,lookups_s60!$P$4:$P$1000,"",0)-36)/2)+_xlfn.XLOOKUP(E50,lookups_s60!$L$4:$L$1000,lookups_s60!$Q$4:$Q$1000,"",0), E50="Triple Casement",((K50-_xlfn.XLOOKUP(E50,lookups_s60!$L$4:$L$1000,lookups_s60!$P$4:$P$1000,"",0)-36-36)/3)+_xlfn.XLOOKUP(E50,lookups_s60!$L$4:$L$1000,lookups_s60!$Q$4:$Q$1000,"",0),V50&lt;&gt;"",K50-_xlfn.XLOOKUP(E50,lookups_s60!$L$4:$L$1000,lookups_s60!$P$4:$P$1000,"",0)+_xlfn.XLOOKUP(E50,lookups_s60!$L$4:$L$1000,lookups_s60!$Q$4:$Q$1000,"",0)),"")</f>
        <v/>
      </c>
      <c r="Z50" s="20" t="str">
        <f>IF(_xlfn.XLOOKUP(E50,lookups_s60!$L$4:$L$1000,lookups_s60!$R$4:$R$1000,"",0)=0, "", D50*_xlfn.XLOOKUP(E50,lookups_s60!$L$4:$L$1000,lookups_s60!$R$4:$R$1000,"",0))</f>
        <v/>
      </c>
      <c r="AB50" s="20" t="str" cm="1">
        <f t="array" ref="AB50">IFERROR(_xlfn.IFS(OR(E50="Fix", E50="Double Fix"),J50-_xlfn.XLOOKUP(E50,lookups_s60!$U$4:$U$1000,lookups_s60!$V$4:$V$1000,"",0),OR(E50="Fix Awning (Vertical)", E50="Fix Awning (Horizontal)"),(J50-_xlfn.XLOOKUP(E50,lookups_s60!$U$4:$U$1000,lookups_s60!$V$4:$V$1000,"",0)-40)/2),"")</f>
        <v/>
      </c>
      <c r="AC50" s="20" t="str">
        <f>IF(_xlfn.XLOOKUP(E50,lookups_s60!$U$4:$U$1000,lookups_s60!$X$4:$X$1000,"",0)=0,"",D50*_xlfn.XLOOKUP(E50,lookups_s60!$U$4:$U$1000,lookups_s60!$X$4:$X$1000,"",0))</f>
        <v/>
      </c>
      <c r="AD50" s="20" t="str">
        <f>IF(OR(E50="Fix", E50="Double Fix", E50="Fix Awning (Vertical)", E50="Fix Awning (Horizontal)"), K50-_xlfn.XLOOKUP(E50,lookups_s60!$U$4:$U$1000,lookups_s60!$W$4:$W$1000,"",0), "")</f>
        <v/>
      </c>
      <c r="AE50" s="20" t="str">
        <f>IF(_xlfn.XLOOKUP(E50,lookups_s60!$U$4:$U$1000,lookups_s60!$X$4:$X$1000,"",0)=0,"",D50*_xlfn.XLOOKUP(E50,lookups_s60!$U$4:$U$1000,lookups_s60!$Y$4:$Y$1000,"",0))</f>
        <v/>
      </c>
      <c r="AG50" s="24" t="str">
        <f>IF(W50&lt;&gt;"", W50-_xlfn.XLOOKUP(E50,lookups_s60!$U$4:$U$1000,lookups_s60!$Z$4:$Z$1000,"",0)-IF(E50="Awning", 5,0),"")</f>
        <v/>
      </c>
      <c r="AH50" s="20" t="str">
        <f>IF(_xlfn.XLOOKUP(E50,lookups_s60!$U$4:$U$1000,lookups_s60!$AB$4:$AB$1000,"",0)=0,"",D50*_xlfn.XLOOKUP(E50,lookups_s60!$U$4:$U$1000,lookups_s60!$AB$4:$AB$1000,"",0))</f>
        <v/>
      </c>
      <c r="AI50" s="22" t="str">
        <f>IF(Y50&lt;&gt;"", Y50-_xlfn.XLOOKUP(E50,lookups_s60!$U$4:$U$1000,lookups_s60!$AA$4:$AA$1000,"",0),"")</f>
        <v/>
      </c>
      <c r="AJ50" s="20" t="str">
        <f>IF(_xlfn.XLOOKUP(E50,lookups_s60!$U$4:$U$1000,lookups_s60!$AC$4:$AC$1000,"",0)=0,"",D50*_xlfn.XLOOKUP(E50,lookups_s60!$U$4:$U$1000,lookups_s60!$AC$4:$AC$1000,"",0))</f>
        <v/>
      </c>
      <c r="AL50" s="20" t="str">
        <f>IF(C50&lt;&gt;"", N50-_xlfn.XLOOKUP(E50,lookups_s60!$AF$4:$AF$1000,lookups_s60!$AG$4:$AG$1000,"",0),"")</f>
        <v/>
      </c>
      <c r="AM50" s="20" t="str">
        <f>IF(_xlfn.XLOOKUP(E50,lookups_s60!$AF$4:$AF$1000,lookups_s60!$AH$4:$AH$1000,"",0)=0,"",D50*_xlfn.XLOOKUP(E50,lookups_s60!$AF$4:$AF$1000,lookups_s60!$AH$4:$AH$1000,"",0))</f>
        <v/>
      </c>
      <c r="AN50" s="20" t="str">
        <f>IF(C50&lt;&gt;"", P50-_xlfn.XLOOKUP(E50,lookups_s60!$AF$4:$AF$1000,lookups_s60!$AG$4:$AG$1000,"",0),"")</f>
        <v/>
      </c>
      <c r="AO50" s="20" t="str">
        <f>IFERROR(IF(_xlfn.XLOOKUP(E50,lookups_s60!$AF$4:$AF$1000,lookups_s60!$AI$4:$AI$1000,"",0)=0,"",D50*_xlfn.XLOOKUP(E50,lookups_s60!$AF$4:$AF$1000,lookups_s60!$AI$4:$AI$1000,"",0)),"")</f>
        <v/>
      </c>
      <c r="AQ50" s="20" t="str">
        <f>IF(W50&lt;&gt;"", W50-_xlfn.XLOOKUP(E50,lookups_s60!$AF$4:$AF$1000,lookups_s60!$AJ$4:$AJ$1000,"",0),"")</f>
        <v/>
      </c>
      <c r="AR50" s="20" t="str">
        <f>IFERROR(IF(_xlfn.XLOOKUP(E50,lookups_s60!$AF$4:$AF$1000,lookups_s60!$AK$4:$AK$1000,"",0)=0,"",D50*_xlfn.XLOOKUP(E50,lookups_s60!$AF$4:$AF$1000,lookups_s60!$AK$4:$AK$1000,"",0)),"")</f>
        <v/>
      </c>
      <c r="AS50" s="20" t="str">
        <f>IF(Y50&lt;&gt;"", Y50-_xlfn.XLOOKUP(E50,lookups_s60!$AF$4:$AF$1000,lookups_s60!$AJ$4:$AJ$1000,"",0),"")</f>
        <v/>
      </c>
      <c r="AT50" s="20" t="str">
        <f>IFERROR(IF(_xlfn.XLOOKUP(E50,lookups_s60!$AF$4:$AF$1000,lookups_s60!$AL$4:$AL$1000,"",0)=0,"",D50*_xlfn.XLOOKUP(E50,lookups_s60!$AF$4:$AF$1000,lookups_s60!$AL$4:$AL$1000,"",0)),"")</f>
        <v/>
      </c>
      <c r="AV50" s="20" t="str">
        <f>IF(S50&lt;&gt;"", S50-_xlfn.XLOOKUP(E50,lookups_s60!$AF$4:$AF$1000,lookups_s60!$AM$4:$AM$1000,"",0),"")</f>
        <v/>
      </c>
      <c r="AW50" s="20" t="str">
        <f>IFERROR(IF(_xlfn.XLOOKUP(E50,lookups_s60!$AF$4:$AF$1000,lookups_s60!$AN$4:$AN$1000,"",0)=0,"",D50*_xlfn.XLOOKUP(E50,lookups_s60!$AF$4:$AF$1000,lookups_s60!$AN$4:$AN$1000,"",0)),"")</f>
        <v/>
      </c>
      <c r="AY50" s="20" t="str" cm="1">
        <f t="array" ref="AY50">IFERROR(_xlfn.IFS(E50="Fix", J50-_xlfn.XLOOKUP(E50,lookups_s60!$AQ$4:$AQ$1000,lookups_s60!$AR$4:$AR$1000,"",0)-_xlfn.XLOOKUP(E50,lookups_s60!$AQ$4:$AQ$1000,lookups_s60!$AS$4:$AS$1000,"",0), E50="Double Fix", (J50-_xlfn.XLOOKUP(E50,lookups_s60!$AQ$4:$AQ$1000,lookups_s60!$AR$4:$AR$1000,"",0)-_xlfn.XLOOKUP(E50,lookups_s60!$G$4:$G$1000,lookups_s60!$H$4:$H$1000,"",0))/2-_xlfn.XLOOKUP(E50,lookups_s60!$AQ$4:$AQ$1000,lookups_s60!$AS$4:$AS$1000,"",0), OR(E50="Fix Awning (Vertical)",E50="Fix Awning (Horizontal)"),  (J50-_xlfn.XLOOKUP(E50,lookups_s60!$AQ$4:$AQ$1000,lookups_s60!$AR$4:$AR$1000,"",0)-40)/2-_xlfn.XLOOKUP(E50,lookups_s60!$AQ$4:$AQ$1000,lookups_s60!$AS$4:$AS$1000,"",0)),"")</f>
        <v/>
      </c>
      <c r="AZ50" s="20" t="str">
        <f>IFERROR(IF(C50&lt;&gt;"", K50-_xlfn.XLOOKUP(E50,lookups_s60!$AQ$4:$AQ$1000,lookups_s60!$AT$4:$AT$1000,"",0)-_xlfn.XLOOKUP(E50,lookups_s60!$AQ$4:$AQ$1000,lookups_s60!$AU$4:$AU$1000,"",0),""),"")</f>
        <v/>
      </c>
      <c r="BA50" s="20" t="str">
        <f t="shared" si="8"/>
        <v/>
      </c>
      <c r="BC50" s="20" t="str" cm="1">
        <f t="array" ref="BC50">IFERROR(_xlfn.IFS(E50="Awning",AQ50-_xlfn.XLOOKUP(E50,lookups_s60!$AQ$4:$AQ$1000,lookups_s60!$AV$4:$AV$1000,"",0)-_xlfn.XLOOKUP(E50,lookups_s60!$AQ$4:$AQ$1000,lookups_s60!$AW$4:$AW$1000,"",0),C50&lt;&gt;"",W50-_xlfn.XLOOKUP(E50,lookups_s60!$AQ$4:$AQ$1000,lookups_s60!$AV$4:$AV$1000,"",0)-_xlfn.XLOOKUP(E50,lookups_s60!$AQ$4:$AQ$1000,lookups_s60!$AW$4:$AW$1000,"",0)),"")</f>
        <v/>
      </c>
      <c r="BD50" s="20" t="str" cm="1">
        <f t="array" ref="BD50">IFERROR(_xlfn.IFS(E50="Awning",AS50-_xlfn.XLOOKUP(E50,lookups_s60!$AQ$4:$AQ$1000,lookups_s60!$AX$4:$AX$1000,"",0)-_xlfn.XLOOKUP(E50,lookups_s60!$AQ$4:$AQ$1000,lookups_s60!$AY$4:$AY$1000,"",0),C50&lt;&gt;"",Y50-_xlfn.XLOOKUP(E50,lookups_s60!$AQ$4:$AQ$1000,lookups_s60!$AX$4:$AX$1000,"",0)-_xlfn.XLOOKUP(E50,lookups_s60!$AQ$4:$AQ$1000,lookups_s60!$AY$4:$AY$1000,"",0)),"")</f>
        <v/>
      </c>
      <c r="BE50" s="20" t="str">
        <f>IF(BC50&lt;&gt;"", _xlfn.XLOOKUP(E50,lookups_s60!$AQ$4:$AQ$1000,lookups_s60!$AZ$4:$AZ$1000,"",0)*D50,"")</f>
        <v/>
      </c>
      <c r="BG50" s="20" t="str">
        <f t="shared" si="3"/>
        <v/>
      </c>
      <c r="BH50" s="22" t="str">
        <f t="shared" si="4"/>
        <v/>
      </c>
      <c r="BI50" s="20" t="str">
        <f t="shared" si="5"/>
        <v/>
      </c>
      <c r="BJ50" s="20" t="str">
        <f t="shared" si="6"/>
        <v/>
      </c>
      <c r="BK50" s="20" t="str">
        <f t="shared" si="7"/>
        <v/>
      </c>
    </row>
    <row r="51" spans="3:63" ht="13.5" customHeight="1" x14ac:dyDescent="0.25">
      <c r="C51" s="16"/>
      <c r="D51" s="16"/>
      <c r="E51" s="16"/>
      <c r="F51" s="16"/>
      <c r="G51" s="16"/>
      <c r="H51" s="16"/>
      <c r="I51" s="16"/>
      <c r="J51" s="16"/>
      <c r="K51" s="16"/>
      <c r="M51" s="20" t="str">
        <f t="shared" si="0"/>
        <v/>
      </c>
      <c r="N51" s="20" t="str" cm="1">
        <f t="array" ref="N51">IFERROR(_xlfn.IFS(OR(E51="Fix Awning (Vertical)", E51="Fix Awning (Horizontal)"), J51/2+20,C51&lt;&gt;"", J51+M51),"")</f>
        <v/>
      </c>
      <c r="O51" s="20" t="str">
        <f>IF(D51&lt;&gt;"", D51*_xlfn.XLOOKUP(E51,lookups_s60!$B$4:$B$1000,lookups_s60!$C$4:$C$1000,"",0),"")</f>
        <v/>
      </c>
      <c r="P51" s="20" t="str">
        <f t="shared" si="1"/>
        <v/>
      </c>
      <c r="Q51" s="20" t="str">
        <f>IF(D51&lt;&gt;"", D51*_xlfn.XLOOKUP(E51,lookups_s60!$B$4:$B$1000,lookups_s60!$D$4:$D$1000,"",0),"")</f>
        <v/>
      </c>
      <c r="S51" s="20" t="str" cm="1">
        <f t="array" ref="S51">IFERROR(_xlfn.IFS(E51="Double Fix",K51+_xlfn.XLOOKUP(E51,lookups_s60!$G$4:$G$1000,lookups_s60!$H$4:$H$1000,"",0), OR(E51="Double Awning (Horizontal)", E51="Double Awning (Vertical)",E51="Triple Awning (Horizontal)", E51="Triple Awning (Vertical)"), J51+_xlfn.XLOOKUP(E51,lookups_s60!$G$4:$G$1000,lookups_s60!$H$4:$H$1000,"",0), E51="Double Casement", J51+_xlfn.XLOOKUP(E51,lookups_s60!$G$4:$G$1000,lookups_s60!$H$4:$H$1000,"",0), OR(E51="Fix Awning (Vertical)", E51="Fix Awning (Horizontal)"), K51+_xlfn.XLOOKUP(E51,lookups_s60!$G$4:$G$1000,lookups_s60!$H$4:$H$1000,"",0), E51="Triple Casement", J51+_xlfn.XLOOKUP(E51,lookups_s60!$G$4:$G$1000,lookups_s60!$H$4:$H$1000,"",0)),"")</f>
        <v/>
      </c>
      <c r="T51" s="20" t="str">
        <f>IF(S51&lt;&gt;"",D51*_xlfn.XLOOKUP(E51,lookups_s60!$G$4:$G$1000,lookups_s60!$I$4:$I$1000,"",0),"")</f>
        <v/>
      </c>
      <c r="V51" s="20" t="str">
        <f>IF(_xlfn.XLOOKUP(E51,lookups_s60!$L$4:$L$1000,lookups_s60!$M$4:$M$1000,"",0)=0, "", _xlfn.XLOOKUP(E51,lookups_s60!$L$4:$L$1000,lookups_s60!$M$4:$M$1000,"",0))</f>
        <v/>
      </c>
      <c r="W51" s="20" t="str" cm="1">
        <f t="array" ref="W51">IFERROR(_xlfn.IFS(OR(E51="Fix Awning (Vertical)",E51="Fix Awning (Vertical)"),   ((J51-_xlfn.XLOOKUP(E51,lookups_s60!$L$4:$L$1000,lookups_s60!$N$4:$N$1000,"",0)-40)/2)+_xlfn.XLOOKUP(E51,lookups_s60!$L$4:$L$1000,lookups_s60!$O$4:$O$1000,"",0), V51&lt;&gt;"", J51-_xlfn.XLOOKUP(E51,lookups_s60!$L$4:$L$1000,lookups_s60!$N$4:$N$1000,"",0)+_xlfn.XLOOKUP(E51,lookups_s60!$L$4:$L$1000,lookups_s60!$O$4:$O$1000,"",0)),"")</f>
        <v/>
      </c>
      <c r="X51" s="20" t="str">
        <f>IF(_xlfn.XLOOKUP(E51,lookups_s60!$L$4:$L$1000,lookups_s60!$R$4:$R$1000,"",0)=0, "", D51*_xlfn.XLOOKUP(E51,lookups_s60!$L$4:$L$1000,lookups_s60!$R$4:$R$1000,"",0))</f>
        <v/>
      </c>
      <c r="Y51" s="22" t="str" cm="1">
        <f t="array" ref="Y51">IFERROR(_xlfn.IFS(OR(E51="Double Awning (Horizontal)", E51="Double Awning (Vertical)", E51="Triple Awning (Horizontal)", E51="Triple Awning (Vertical)", E51="Double Casement"), ((K51-_xlfn.XLOOKUP(E51,lookups_s60!$L$4:$L$1000,lookups_s60!$P$4:$P$1000,"",0)-36)/2)+_xlfn.XLOOKUP(E51,lookups_s60!$L$4:$L$1000,lookups_s60!$Q$4:$Q$1000,"",0), E51="Triple Casement",((K51-_xlfn.XLOOKUP(E51,lookups_s60!$L$4:$L$1000,lookups_s60!$P$4:$P$1000,"",0)-36-36)/3)+_xlfn.XLOOKUP(E51,lookups_s60!$L$4:$L$1000,lookups_s60!$Q$4:$Q$1000,"",0),V51&lt;&gt;"",K51-_xlfn.XLOOKUP(E51,lookups_s60!$L$4:$L$1000,lookups_s60!$P$4:$P$1000,"",0)+_xlfn.XLOOKUP(E51,lookups_s60!$L$4:$L$1000,lookups_s60!$Q$4:$Q$1000,"",0)),"")</f>
        <v/>
      </c>
      <c r="Z51" s="20" t="str">
        <f>IF(_xlfn.XLOOKUP(E51,lookups_s60!$L$4:$L$1000,lookups_s60!$R$4:$R$1000,"",0)=0, "", D51*_xlfn.XLOOKUP(E51,lookups_s60!$L$4:$L$1000,lookups_s60!$R$4:$R$1000,"",0))</f>
        <v/>
      </c>
      <c r="AB51" s="20" t="str" cm="1">
        <f t="array" ref="AB51">IFERROR(_xlfn.IFS(OR(E51="Fix", E51="Double Fix"),J51-_xlfn.XLOOKUP(E51,lookups_s60!$U$4:$U$1000,lookups_s60!$V$4:$V$1000,"",0),OR(E51="Fix Awning (Vertical)", E51="Fix Awning (Horizontal)"),(J51-_xlfn.XLOOKUP(E51,lookups_s60!$U$4:$U$1000,lookups_s60!$V$4:$V$1000,"",0)-40)/2),"")</f>
        <v/>
      </c>
      <c r="AC51" s="20" t="str">
        <f>IF(_xlfn.XLOOKUP(E51,lookups_s60!$U$4:$U$1000,lookups_s60!$X$4:$X$1000,"",0)=0,"",D51*_xlfn.XLOOKUP(E51,lookups_s60!$U$4:$U$1000,lookups_s60!$X$4:$X$1000,"",0))</f>
        <v/>
      </c>
      <c r="AD51" s="20" t="str">
        <f>IF(OR(E51="Fix", E51="Double Fix", E51="Fix Awning (Vertical)", E51="Fix Awning (Horizontal)"), K51-_xlfn.XLOOKUP(E51,lookups_s60!$U$4:$U$1000,lookups_s60!$W$4:$W$1000,"",0), "")</f>
        <v/>
      </c>
      <c r="AE51" s="20" t="str">
        <f>IF(_xlfn.XLOOKUP(E51,lookups_s60!$U$4:$U$1000,lookups_s60!$X$4:$X$1000,"",0)=0,"",D51*_xlfn.XLOOKUP(E51,lookups_s60!$U$4:$U$1000,lookups_s60!$Y$4:$Y$1000,"",0))</f>
        <v/>
      </c>
      <c r="AG51" s="24" t="str">
        <f>IF(W51&lt;&gt;"", W51-_xlfn.XLOOKUP(E51,lookups_s60!$U$4:$U$1000,lookups_s60!$Z$4:$Z$1000,"",0)-IF(E51="Awning", 5,0),"")</f>
        <v/>
      </c>
      <c r="AH51" s="20" t="str">
        <f>IF(_xlfn.XLOOKUP(E51,lookups_s60!$U$4:$U$1000,lookups_s60!$AB$4:$AB$1000,"",0)=0,"",D51*_xlfn.XLOOKUP(E51,lookups_s60!$U$4:$U$1000,lookups_s60!$AB$4:$AB$1000,"",0))</f>
        <v/>
      </c>
      <c r="AI51" s="22" t="str">
        <f>IF(Y51&lt;&gt;"", Y51-_xlfn.XLOOKUP(E51,lookups_s60!$U$4:$U$1000,lookups_s60!$AA$4:$AA$1000,"",0),"")</f>
        <v/>
      </c>
      <c r="AJ51" s="20" t="str">
        <f>IF(_xlfn.XLOOKUP(E51,lookups_s60!$U$4:$U$1000,lookups_s60!$AC$4:$AC$1000,"",0)=0,"",D51*_xlfn.XLOOKUP(E51,lookups_s60!$U$4:$U$1000,lookups_s60!$AC$4:$AC$1000,"",0))</f>
        <v/>
      </c>
      <c r="AL51" s="20" t="str">
        <f>IF(C51&lt;&gt;"", N51-_xlfn.XLOOKUP(E51,lookups_s60!$AF$4:$AF$1000,lookups_s60!$AG$4:$AG$1000,"",0),"")</f>
        <v/>
      </c>
      <c r="AM51" s="20" t="str">
        <f>IF(_xlfn.XLOOKUP(E51,lookups_s60!$AF$4:$AF$1000,lookups_s60!$AH$4:$AH$1000,"",0)=0,"",D51*_xlfn.XLOOKUP(E51,lookups_s60!$AF$4:$AF$1000,lookups_s60!$AH$4:$AH$1000,"",0))</f>
        <v/>
      </c>
      <c r="AN51" s="20" t="str">
        <f>IF(C51&lt;&gt;"", P51-_xlfn.XLOOKUP(E51,lookups_s60!$AF$4:$AF$1000,lookups_s60!$AG$4:$AG$1000,"",0),"")</f>
        <v/>
      </c>
      <c r="AO51" s="20" t="str">
        <f>IFERROR(IF(_xlfn.XLOOKUP(E51,lookups_s60!$AF$4:$AF$1000,lookups_s60!$AI$4:$AI$1000,"",0)=0,"",D51*_xlfn.XLOOKUP(E51,lookups_s60!$AF$4:$AF$1000,lookups_s60!$AI$4:$AI$1000,"",0)),"")</f>
        <v/>
      </c>
      <c r="AQ51" s="20" t="str">
        <f>IF(W51&lt;&gt;"", W51-_xlfn.XLOOKUP(E51,lookups_s60!$AF$4:$AF$1000,lookups_s60!$AJ$4:$AJ$1000,"",0),"")</f>
        <v/>
      </c>
      <c r="AR51" s="20" t="str">
        <f>IFERROR(IF(_xlfn.XLOOKUP(E51,lookups_s60!$AF$4:$AF$1000,lookups_s60!$AK$4:$AK$1000,"",0)=0,"",D51*_xlfn.XLOOKUP(E51,lookups_s60!$AF$4:$AF$1000,lookups_s60!$AK$4:$AK$1000,"",0)),"")</f>
        <v/>
      </c>
      <c r="AS51" s="20" t="str">
        <f>IF(Y51&lt;&gt;"", Y51-_xlfn.XLOOKUP(E51,lookups_s60!$AF$4:$AF$1000,lookups_s60!$AJ$4:$AJ$1000,"",0),"")</f>
        <v/>
      </c>
      <c r="AT51" s="20" t="str">
        <f>IFERROR(IF(_xlfn.XLOOKUP(E51,lookups_s60!$AF$4:$AF$1000,lookups_s60!$AL$4:$AL$1000,"",0)=0,"",D51*_xlfn.XLOOKUP(E51,lookups_s60!$AF$4:$AF$1000,lookups_s60!$AL$4:$AL$1000,"",0)),"")</f>
        <v/>
      </c>
      <c r="AV51" s="20" t="str">
        <f>IF(S51&lt;&gt;"", S51-_xlfn.XLOOKUP(E51,lookups_s60!$AF$4:$AF$1000,lookups_s60!$AM$4:$AM$1000,"",0),"")</f>
        <v/>
      </c>
      <c r="AW51" s="20" t="str">
        <f>IFERROR(IF(_xlfn.XLOOKUP(E51,lookups_s60!$AF$4:$AF$1000,lookups_s60!$AN$4:$AN$1000,"",0)=0,"",D51*_xlfn.XLOOKUP(E51,lookups_s60!$AF$4:$AF$1000,lookups_s60!$AN$4:$AN$1000,"",0)),"")</f>
        <v/>
      </c>
      <c r="AY51" s="20" t="str" cm="1">
        <f t="array" ref="AY51">IFERROR(_xlfn.IFS(E51="Fix", J51-_xlfn.XLOOKUP(E51,lookups_s60!$AQ$4:$AQ$1000,lookups_s60!$AR$4:$AR$1000,"",0)-_xlfn.XLOOKUP(E51,lookups_s60!$AQ$4:$AQ$1000,lookups_s60!$AS$4:$AS$1000,"",0), E51="Double Fix", (J51-_xlfn.XLOOKUP(E51,lookups_s60!$AQ$4:$AQ$1000,lookups_s60!$AR$4:$AR$1000,"",0)-_xlfn.XLOOKUP(E51,lookups_s60!$G$4:$G$1000,lookups_s60!$H$4:$H$1000,"",0))/2-_xlfn.XLOOKUP(E51,lookups_s60!$AQ$4:$AQ$1000,lookups_s60!$AS$4:$AS$1000,"",0), OR(E51="Fix Awning (Vertical)",E51="Fix Awning (Horizontal)"),  (J51-_xlfn.XLOOKUP(E51,lookups_s60!$AQ$4:$AQ$1000,lookups_s60!$AR$4:$AR$1000,"",0)-40)/2-_xlfn.XLOOKUP(E51,lookups_s60!$AQ$4:$AQ$1000,lookups_s60!$AS$4:$AS$1000,"",0)),"")</f>
        <v/>
      </c>
      <c r="AZ51" s="20" t="str">
        <f>IFERROR(IF(C51&lt;&gt;"", K51-_xlfn.XLOOKUP(E51,lookups_s60!$AQ$4:$AQ$1000,lookups_s60!$AT$4:$AT$1000,"",0)-_xlfn.XLOOKUP(E51,lookups_s60!$AQ$4:$AQ$1000,lookups_s60!$AU$4:$AU$1000,"",0),""),"")</f>
        <v/>
      </c>
      <c r="BA51" s="20" t="str">
        <f t="shared" si="8"/>
        <v/>
      </c>
      <c r="BC51" s="20" t="str" cm="1">
        <f t="array" ref="BC51">IFERROR(_xlfn.IFS(E51="Awning",AQ51-_xlfn.XLOOKUP(E51,lookups_s60!$AQ$4:$AQ$1000,lookups_s60!$AV$4:$AV$1000,"",0)-_xlfn.XLOOKUP(E51,lookups_s60!$AQ$4:$AQ$1000,lookups_s60!$AW$4:$AW$1000,"",0),C51&lt;&gt;"",W51-_xlfn.XLOOKUP(E51,lookups_s60!$AQ$4:$AQ$1000,lookups_s60!$AV$4:$AV$1000,"",0)-_xlfn.XLOOKUP(E51,lookups_s60!$AQ$4:$AQ$1000,lookups_s60!$AW$4:$AW$1000,"",0)),"")</f>
        <v/>
      </c>
      <c r="BD51" s="20" t="str" cm="1">
        <f t="array" ref="BD51">IFERROR(_xlfn.IFS(E51="Awning",AS51-_xlfn.XLOOKUP(E51,lookups_s60!$AQ$4:$AQ$1000,lookups_s60!$AX$4:$AX$1000,"",0)-_xlfn.XLOOKUP(E51,lookups_s60!$AQ$4:$AQ$1000,lookups_s60!$AY$4:$AY$1000,"",0),C51&lt;&gt;"",Y51-_xlfn.XLOOKUP(E51,lookups_s60!$AQ$4:$AQ$1000,lookups_s60!$AX$4:$AX$1000,"",0)-_xlfn.XLOOKUP(E51,lookups_s60!$AQ$4:$AQ$1000,lookups_s60!$AY$4:$AY$1000,"",0)),"")</f>
        <v/>
      </c>
      <c r="BE51" s="20" t="str">
        <f>IF(BC51&lt;&gt;"", _xlfn.XLOOKUP(E51,lookups_s60!$AQ$4:$AQ$1000,lookups_s60!$AZ$4:$AZ$1000,"",0)*D51,"")</f>
        <v/>
      </c>
      <c r="BG51" s="20" t="str">
        <f t="shared" si="3"/>
        <v/>
      </c>
      <c r="BH51" s="22" t="str">
        <f t="shared" si="4"/>
        <v/>
      </c>
      <c r="BI51" s="20" t="str">
        <f t="shared" si="5"/>
        <v/>
      </c>
      <c r="BJ51" s="20" t="str">
        <f t="shared" si="6"/>
        <v/>
      </c>
      <c r="BK51" s="20" t="str">
        <f t="shared" si="7"/>
        <v/>
      </c>
    </row>
    <row r="52" spans="3:63" ht="13.5" customHeight="1" x14ac:dyDescent="0.25">
      <c r="C52" s="16"/>
      <c r="D52" s="16"/>
      <c r="E52" s="16"/>
      <c r="F52" s="16"/>
      <c r="G52" s="16"/>
      <c r="H52" s="16"/>
      <c r="I52" s="16"/>
      <c r="J52" s="16"/>
      <c r="K52" s="16"/>
      <c r="M52" s="20" t="str">
        <f t="shared" si="0"/>
        <v/>
      </c>
      <c r="N52" s="20" t="str" cm="1">
        <f t="array" ref="N52">IFERROR(_xlfn.IFS(OR(E52="Fix Awning (Vertical)", E52="Fix Awning (Horizontal)"), J52/2+20,C52&lt;&gt;"", J52+M52),"")</f>
        <v/>
      </c>
      <c r="O52" s="20" t="str">
        <f>IF(D52&lt;&gt;"", D52*_xlfn.XLOOKUP(E52,lookups_s60!$B$4:$B$1000,lookups_s60!$C$4:$C$1000,"",0),"")</f>
        <v/>
      </c>
      <c r="P52" s="20" t="str">
        <f t="shared" si="1"/>
        <v/>
      </c>
      <c r="Q52" s="20" t="str">
        <f>IF(D52&lt;&gt;"", D52*_xlfn.XLOOKUP(E52,lookups_s60!$B$4:$B$1000,lookups_s60!$D$4:$D$1000,"",0),"")</f>
        <v/>
      </c>
      <c r="S52" s="20" t="str" cm="1">
        <f t="array" ref="S52">IFERROR(_xlfn.IFS(E52="Double Fix",K52+_xlfn.XLOOKUP(E52,lookups_s60!$G$4:$G$1000,lookups_s60!$H$4:$H$1000,"",0), OR(E52="Double Awning (Horizontal)", E52="Double Awning (Vertical)",E52="Triple Awning (Horizontal)", E52="Triple Awning (Vertical)"), J52+_xlfn.XLOOKUP(E52,lookups_s60!$G$4:$G$1000,lookups_s60!$H$4:$H$1000,"",0), E52="Double Casement", J52+_xlfn.XLOOKUP(E52,lookups_s60!$G$4:$G$1000,lookups_s60!$H$4:$H$1000,"",0), OR(E52="Fix Awning (Vertical)", E52="Fix Awning (Horizontal)"), K52+_xlfn.XLOOKUP(E52,lookups_s60!$G$4:$G$1000,lookups_s60!$H$4:$H$1000,"",0), E52="Triple Casement", J52+_xlfn.XLOOKUP(E52,lookups_s60!$G$4:$G$1000,lookups_s60!$H$4:$H$1000,"",0)),"")</f>
        <v/>
      </c>
      <c r="T52" s="20" t="str">
        <f>IF(S52&lt;&gt;"",D52*_xlfn.XLOOKUP(E52,lookups_s60!$G$4:$G$1000,lookups_s60!$I$4:$I$1000,"",0),"")</f>
        <v/>
      </c>
      <c r="V52" s="20" t="str">
        <f>IF(_xlfn.XLOOKUP(E52,lookups_s60!$L$4:$L$1000,lookups_s60!$M$4:$M$1000,"",0)=0, "", _xlfn.XLOOKUP(E52,lookups_s60!$L$4:$L$1000,lookups_s60!$M$4:$M$1000,"",0))</f>
        <v/>
      </c>
      <c r="W52" s="20" t="str" cm="1">
        <f t="array" ref="W52">IFERROR(_xlfn.IFS(OR(E52="Fix Awning (Vertical)",E52="Fix Awning (Vertical)"),   ((J52-_xlfn.XLOOKUP(E52,lookups_s60!$L$4:$L$1000,lookups_s60!$N$4:$N$1000,"",0)-40)/2)+_xlfn.XLOOKUP(E52,lookups_s60!$L$4:$L$1000,lookups_s60!$O$4:$O$1000,"",0), V52&lt;&gt;"", J52-_xlfn.XLOOKUP(E52,lookups_s60!$L$4:$L$1000,lookups_s60!$N$4:$N$1000,"",0)+_xlfn.XLOOKUP(E52,lookups_s60!$L$4:$L$1000,lookups_s60!$O$4:$O$1000,"",0)),"")</f>
        <v/>
      </c>
      <c r="X52" s="20" t="str">
        <f>IF(_xlfn.XLOOKUP(E52,lookups_s60!$L$4:$L$1000,lookups_s60!$R$4:$R$1000,"",0)=0, "", D52*_xlfn.XLOOKUP(E52,lookups_s60!$L$4:$L$1000,lookups_s60!$R$4:$R$1000,"",0))</f>
        <v/>
      </c>
      <c r="Y52" s="22" t="str" cm="1">
        <f t="array" ref="Y52">IFERROR(_xlfn.IFS(OR(E52="Double Awning (Horizontal)", E52="Double Awning (Vertical)", E52="Triple Awning (Horizontal)", E52="Triple Awning (Vertical)", E52="Double Casement"), ((K52-_xlfn.XLOOKUP(E52,lookups_s60!$L$4:$L$1000,lookups_s60!$P$4:$P$1000,"",0)-36)/2)+_xlfn.XLOOKUP(E52,lookups_s60!$L$4:$L$1000,lookups_s60!$Q$4:$Q$1000,"",0), E52="Triple Casement",((K52-_xlfn.XLOOKUP(E52,lookups_s60!$L$4:$L$1000,lookups_s60!$P$4:$P$1000,"",0)-36-36)/3)+_xlfn.XLOOKUP(E52,lookups_s60!$L$4:$L$1000,lookups_s60!$Q$4:$Q$1000,"",0),V52&lt;&gt;"",K52-_xlfn.XLOOKUP(E52,lookups_s60!$L$4:$L$1000,lookups_s60!$P$4:$P$1000,"",0)+_xlfn.XLOOKUP(E52,lookups_s60!$L$4:$L$1000,lookups_s60!$Q$4:$Q$1000,"",0)),"")</f>
        <v/>
      </c>
      <c r="Z52" s="20" t="str">
        <f>IF(_xlfn.XLOOKUP(E52,lookups_s60!$L$4:$L$1000,lookups_s60!$R$4:$R$1000,"",0)=0, "", D52*_xlfn.XLOOKUP(E52,lookups_s60!$L$4:$L$1000,lookups_s60!$R$4:$R$1000,"",0))</f>
        <v/>
      </c>
      <c r="AB52" s="20" t="str" cm="1">
        <f t="array" ref="AB52">IFERROR(_xlfn.IFS(OR(E52="Fix", E52="Double Fix"),J52-_xlfn.XLOOKUP(E52,lookups_s60!$U$4:$U$1000,lookups_s60!$V$4:$V$1000,"",0),OR(E52="Fix Awning (Vertical)", E52="Fix Awning (Horizontal)"),(J52-_xlfn.XLOOKUP(E52,lookups_s60!$U$4:$U$1000,lookups_s60!$V$4:$V$1000,"",0)-40)/2),"")</f>
        <v/>
      </c>
      <c r="AC52" s="20" t="str">
        <f>IF(_xlfn.XLOOKUP(E52,lookups_s60!$U$4:$U$1000,lookups_s60!$X$4:$X$1000,"",0)=0,"",D52*_xlfn.XLOOKUP(E52,lookups_s60!$U$4:$U$1000,lookups_s60!$X$4:$X$1000,"",0))</f>
        <v/>
      </c>
      <c r="AD52" s="20" t="str">
        <f>IF(OR(E52="Fix", E52="Double Fix", E52="Fix Awning (Vertical)", E52="Fix Awning (Horizontal)"), K52-_xlfn.XLOOKUP(E52,lookups_s60!$U$4:$U$1000,lookups_s60!$W$4:$W$1000,"",0), "")</f>
        <v/>
      </c>
      <c r="AE52" s="20" t="str">
        <f>IF(_xlfn.XLOOKUP(E52,lookups_s60!$U$4:$U$1000,lookups_s60!$X$4:$X$1000,"",0)=0,"",D52*_xlfn.XLOOKUP(E52,lookups_s60!$U$4:$U$1000,lookups_s60!$Y$4:$Y$1000,"",0))</f>
        <v/>
      </c>
      <c r="AG52" s="24" t="str">
        <f>IF(W52&lt;&gt;"", W52-_xlfn.XLOOKUP(E52,lookups_s60!$U$4:$U$1000,lookups_s60!$Z$4:$Z$1000,"",0)-IF(E52="Awning", 5,0),"")</f>
        <v/>
      </c>
      <c r="AH52" s="20" t="str">
        <f>IF(_xlfn.XLOOKUP(E52,lookups_s60!$U$4:$U$1000,lookups_s60!$AB$4:$AB$1000,"",0)=0,"",D52*_xlfn.XLOOKUP(E52,lookups_s60!$U$4:$U$1000,lookups_s60!$AB$4:$AB$1000,"",0))</f>
        <v/>
      </c>
      <c r="AI52" s="22" t="str">
        <f>IF(Y52&lt;&gt;"", Y52-_xlfn.XLOOKUP(E52,lookups_s60!$U$4:$U$1000,lookups_s60!$AA$4:$AA$1000,"",0),"")</f>
        <v/>
      </c>
      <c r="AJ52" s="20" t="str">
        <f>IF(_xlfn.XLOOKUP(E52,lookups_s60!$U$4:$U$1000,lookups_s60!$AC$4:$AC$1000,"",0)=0,"",D52*_xlfn.XLOOKUP(E52,lookups_s60!$U$4:$U$1000,lookups_s60!$AC$4:$AC$1000,"",0))</f>
        <v/>
      </c>
      <c r="AL52" s="20" t="str">
        <f>IF(C52&lt;&gt;"", N52-_xlfn.XLOOKUP(E52,lookups_s60!$AF$4:$AF$1000,lookups_s60!$AG$4:$AG$1000,"",0),"")</f>
        <v/>
      </c>
      <c r="AM52" s="20" t="str">
        <f>IF(_xlfn.XLOOKUP(E52,lookups_s60!$AF$4:$AF$1000,lookups_s60!$AH$4:$AH$1000,"",0)=0,"",D52*_xlfn.XLOOKUP(E52,lookups_s60!$AF$4:$AF$1000,lookups_s60!$AH$4:$AH$1000,"",0))</f>
        <v/>
      </c>
      <c r="AN52" s="20" t="str">
        <f>IF(C52&lt;&gt;"", P52-_xlfn.XLOOKUP(E52,lookups_s60!$AF$4:$AF$1000,lookups_s60!$AG$4:$AG$1000,"",0),"")</f>
        <v/>
      </c>
      <c r="AO52" s="20" t="str">
        <f>IFERROR(IF(_xlfn.XLOOKUP(E52,lookups_s60!$AF$4:$AF$1000,lookups_s60!$AI$4:$AI$1000,"",0)=0,"",D52*_xlfn.XLOOKUP(E52,lookups_s60!$AF$4:$AF$1000,lookups_s60!$AI$4:$AI$1000,"",0)),"")</f>
        <v/>
      </c>
      <c r="AQ52" s="20" t="str">
        <f>IF(W52&lt;&gt;"", W52-_xlfn.XLOOKUP(E52,lookups_s60!$AF$4:$AF$1000,lookups_s60!$AJ$4:$AJ$1000,"",0),"")</f>
        <v/>
      </c>
      <c r="AR52" s="20" t="str">
        <f>IFERROR(IF(_xlfn.XLOOKUP(E52,lookups_s60!$AF$4:$AF$1000,lookups_s60!$AK$4:$AK$1000,"",0)=0,"",D52*_xlfn.XLOOKUP(E52,lookups_s60!$AF$4:$AF$1000,lookups_s60!$AK$4:$AK$1000,"",0)),"")</f>
        <v/>
      </c>
      <c r="AS52" s="20" t="str">
        <f>IF(Y52&lt;&gt;"", Y52-_xlfn.XLOOKUP(E52,lookups_s60!$AF$4:$AF$1000,lookups_s60!$AJ$4:$AJ$1000,"",0),"")</f>
        <v/>
      </c>
      <c r="AT52" s="20" t="str">
        <f>IFERROR(IF(_xlfn.XLOOKUP(E52,lookups_s60!$AF$4:$AF$1000,lookups_s60!$AL$4:$AL$1000,"",0)=0,"",D52*_xlfn.XLOOKUP(E52,lookups_s60!$AF$4:$AF$1000,lookups_s60!$AL$4:$AL$1000,"",0)),"")</f>
        <v/>
      </c>
      <c r="AV52" s="20" t="str">
        <f>IF(S52&lt;&gt;"", S52-_xlfn.XLOOKUP(E52,lookups_s60!$AF$4:$AF$1000,lookups_s60!$AM$4:$AM$1000,"",0),"")</f>
        <v/>
      </c>
      <c r="AW52" s="20" t="str">
        <f>IFERROR(IF(_xlfn.XLOOKUP(E52,lookups_s60!$AF$4:$AF$1000,lookups_s60!$AN$4:$AN$1000,"",0)=0,"",D52*_xlfn.XLOOKUP(E52,lookups_s60!$AF$4:$AF$1000,lookups_s60!$AN$4:$AN$1000,"",0)),"")</f>
        <v/>
      </c>
      <c r="AY52" s="20" t="str" cm="1">
        <f t="array" ref="AY52">IFERROR(_xlfn.IFS(E52="Fix", J52-_xlfn.XLOOKUP(E52,lookups_s60!$AQ$4:$AQ$1000,lookups_s60!$AR$4:$AR$1000,"",0)-_xlfn.XLOOKUP(E52,lookups_s60!$AQ$4:$AQ$1000,lookups_s60!$AS$4:$AS$1000,"",0), E52="Double Fix", (J52-_xlfn.XLOOKUP(E52,lookups_s60!$AQ$4:$AQ$1000,lookups_s60!$AR$4:$AR$1000,"",0)-_xlfn.XLOOKUP(E52,lookups_s60!$G$4:$G$1000,lookups_s60!$H$4:$H$1000,"",0))/2-_xlfn.XLOOKUP(E52,lookups_s60!$AQ$4:$AQ$1000,lookups_s60!$AS$4:$AS$1000,"",0), OR(E52="Fix Awning (Vertical)",E52="Fix Awning (Horizontal)"),  (J52-_xlfn.XLOOKUP(E52,lookups_s60!$AQ$4:$AQ$1000,lookups_s60!$AR$4:$AR$1000,"",0)-40)/2-_xlfn.XLOOKUP(E52,lookups_s60!$AQ$4:$AQ$1000,lookups_s60!$AS$4:$AS$1000,"",0)),"")</f>
        <v/>
      </c>
      <c r="AZ52" s="20" t="str">
        <f>IFERROR(IF(C52&lt;&gt;"", K52-_xlfn.XLOOKUP(E52,lookups_s60!$AQ$4:$AQ$1000,lookups_s60!$AT$4:$AT$1000,"",0)-_xlfn.XLOOKUP(E52,lookups_s60!$AQ$4:$AQ$1000,lookups_s60!$AU$4:$AU$1000,"",0),""),"")</f>
        <v/>
      </c>
      <c r="BA52" s="20" t="str">
        <f t="shared" si="8"/>
        <v/>
      </c>
      <c r="BC52" s="20" t="str" cm="1">
        <f t="array" ref="BC52">IFERROR(_xlfn.IFS(E52="Awning",AQ52-_xlfn.XLOOKUP(E52,lookups_s60!$AQ$4:$AQ$1000,lookups_s60!$AV$4:$AV$1000,"",0)-_xlfn.XLOOKUP(E52,lookups_s60!$AQ$4:$AQ$1000,lookups_s60!$AW$4:$AW$1000,"",0),C52&lt;&gt;"",W52-_xlfn.XLOOKUP(E52,lookups_s60!$AQ$4:$AQ$1000,lookups_s60!$AV$4:$AV$1000,"",0)-_xlfn.XLOOKUP(E52,lookups_s60!$AQ$4:$AQ$1000,lookups_s60!$AW$4:$AW$1000,"",0)),"")</f>
        <v/>
      </c>
      <c r="BD52" s="20" t="str" cm="1">
        <f t="array" ref="BD52">IFERROR(_xlfn.IFS(E52="Awning",AS52-_xlfn.XLOOKUP(E52,lookups_s60!$AQ$4:$AQ$1000,lookups_s60!$AX$4:$AX$1000,"",0)-_xlfn.XLOOKUP(E52,lookups_s60!$AQ$4:$AQ$1000,lookups_s60!$AY$4:$AY$1000,"",0),C52&lt;&gt;"",Y52-_xlfn.XLOOKUP(E52,lookups_s60!$AQ$4:$AQ$1000,lookups_s60!$AX$4:$AX$1000,"",0)-_xlfn.XLOOKUP(E52,lookups_s60!$AQ$4:$AQ$1000,lookups_s60!$AY$4:$AY$1000,"",0)),"")</f>
        <v/>
      </c>
      <c r="BE52" s="20" t="str">
        <f>IF(BC52&lt;&gt;"", _xlfn.XLOOKUP(E52,lookups_s60!$AQ$4:$AQ$1000,lookups_s60!$AZ$4:$AZ$1000,"",0)*D52,"")</f>
        <v/>
      </c>
      <c r="BG52" s="20" t="str">
        <f t="shared" si="3"/>
        <v/>
      </c>
      <c r="BH52" s="22" t="str">
        <f t="shared" si="4"/>
        <v/>
      </c>
      <c r="BI52" s="20" t="str">
        <f t="shared" si="5"/>
        <v/>
      </c>
      <c r="BJ52" s="20" t="str">
        <f t="shared" si="6"/>
        <v/>
      </c>
      <c r="BK52" s="20" t="str">
        <f t="shared" si="7"/>
        <v/>
      </c>
    </row>
    <row r="53" spans="3:63" ht="13.5" customHeight="1" x14ac:dyDescent="0.25">
      <c r="C53" s="16"/>
      <c r="D53" s="16"/>
      <c r="E53" s="16"/>
      <c r="F53" s="16"/>
      <c r="G53" s="16"/>
      <c r="H53" s="16"/>
      <c r="I53" s="16"/>
      <c r="J53" s="16"/>
      <c r="K53" s="16"/>
      <c r="M53" s="20" t="str">
        <f t="shared" si="0"/>
        <v/>
      </c>
      <c r="N53" s="20" t="str" cm="1">
        <f t="array" ref="N53">IFERROR(_xlfn.IFS(OR(E53="Fix Awning (Vertical)", E53="Fix Awning (Horizontal)"), J53/2+20,C53&lt;&gt;"", J53+M53),"")</f>
        <v/>
      </c>
      <c r="O53" s="20" t="str">
        <f>IF(D53&lt;&gt;"", D53*_xlfn.XLOOKUP(E53,lookups_s60!$B$4:$B$1000,lookups_s60!$C$4:$C$1000,"",0),"")</f>
        <v/>
      </c>
      <c r="P53" s="20" t="str">
        <f t="shared" si="1"/>
        <v/>
      </c>
      <c r="Q53" s="20" t="str">
        <f>IF(D53&lt;&gt;"", D53*_xlfn.XLOOKUP(E53,lookups_s60!$B$4:$B$1000,lookups_s60!$D$4:$D$1000,"",0),"")</f>
        <v/>
      </c>
      <c r="S53" s="20" t="str" cm="1">
        <f t="array" ref="S53">IFERROR(_xlfn.IFS(E53="Double Fix",K53+_xlfn.XLOOKUP(E53,lookups_s60!$G$4:$G$1000,lookups_s60!$H$4:$H$1000,"",0), OR(E53="Double Awning (Horizontal)", E53="Double Awning (Vertical)",E53="Triple Awning (Horizontal)", E53="Triple Awning (Vertical)"), J53+_xlfn.XLOOKUP(E53,lookups_s60!$G$4:$G$1000,lookups_s60!$H$4:$H$1000,"",0), E53="Double Casement", J53+_xlfn.XLOOKUP(E53,lookups_s60!$G$4:$G$1000,lookups_s60!$H$4:$H$1000,"",0), OR(E53="Fix Awning (Vertical)", E53="Fix Awning (Horizontal)"), K53+_xlfn.XLOOKUP(E53,lookups_s60!$G$4:$G$1000,lookups_s60!$H$4:$H$1000,"",0), E53="Triple Casement", J53+_xlfn.XLOOKUP(E53,lookups_s60!$G$4:$G$1000,lookups_s60!$H$4:$H$1000,"",0)),"")</f>
        <v/>
      </c>
      <c r="T53" s="20" t="str">
        <f>IF(S53&lt;&gt;"",D53*_xlfn.XLOOKUP(E53,lookups_s60!$G$4:$G$1000,lookups_s60!$I$4:$I$1000,"",0),"")</f>
        <v/>
      </c>
      <c r="V53" s="20" t="str">
        <f>IF(_xlfn.XLOOKUP(E53,lookups_s60!$L$4:$L$1000,lookups_s60!$M$4:$M$1000,"",0)=0, "", _xlfn.XLOOKUP(E53,lookups_s60!$L$4:$L$1000,lookups_s60!$M$4:$M$1000,"",0))</f>
        <v/>
      </c>
      <c r="W53" s="20" t="str" cm="1">
        <f t="array" ref="W53">IFERROR(_xlfn.IFS(OR(E53="Fix Awning (Vertical)",E53="Fix Awning (Vertical)"),   ((J53-_xlfn.XLOOKUP(E53,lookups_s60!$L$4:$L$1000,lookups_s60!$N$4:$N$1000,"",0)-40)/2)+_xlfn.XLOOKUP(E53,lookups_s60!$L$4:$L$1000,lookups_s60!$O$4:$O$1000,"",0), V53&lt;&gt;"", J53-_xlfn.XLOOKUP(E53,lookups_s60!$L$4:$L$1000,lookups_s60!$N$4:$N$1000,"",0)+_xlfn.XLOOKUP(E53,lookups_s60!$L$4:$L$1000,lookups_s60!$O$4:$O$1000,"",0)),"")</f>
        <v/>
      </c>
      <c r="X53" s="20" t="str">
        <f>IF(_xlfn.XLOOKUP(E53,lookups_s60!$L$4:$L$1000,lookups_s60!$R$4:$R$1000,"",0)=0, "", D53*_xlfn.XLOOKUP(E53,lookups_s60!$L$4:$L$1000,lookups_s60!$R$4:$R$1000,"",0))</f>
        <v/>
      </c>
      <c r="Y53" s="22" t="str" cm="1">
        <f t="array" ref="Y53">IFERROR(_xlfn.IFS(OR(E53="Double Awning (Horizontal)", E53="Double Awning (Vertical)", E53="Triple Awning (Horizontal)", E53="Triple Awning (Vertical)", E53="Double Casement"), ((K53-_xlfn.XLOOKUP(E53,lookups_s60!$L$4:$L$1000,lookups_s60!$P$4:$P$1000,"",0)-36)/2)+_xlfn.XLOOKUP(E53,lookups_s60!$L$4:$L$1000,lookups_s60!$Q$4:$Q$1000,"",0), E53="Triple Casement",((K53-_xlfn.XLOOKUP(E53,lookups_s60!$L$4:$L$1000,lookups_s60!$P$4:$P$1000,"",0)-36-36)/3)+_xlfn.XLOOKUP(E53,lookups_s60!$L$4:$L$1000,lookups_s60!$Q$4:$Q$1000,"",0),V53&lt;&gt;"",K53-_xlfn.XLOOKUP(E53,lookups_s60!$L$4:$L$1000,lookups_s60!$P$4:$P$1000,"",0)+_xlfn.XLOOKUP(E53,lookups_s60!$L$4:$L$1000,lookups_s60!$Q$4:$Q$1000,"",0)),"")</f>
        <v/>
      </c>
      <c r="Z53" s="20" t="str">
        <f>IF(_xlfn.XLOOKUP(E53,lookups_s60!$L$4:$L$1000,lookups_s60!$R$4:$R$1000,"",0)=0, "", D53*_xlfn.XLOOKUP(E53,lookups_s60!$L$4:$L$1000,lookups_s60!$R$4:$R$1000,"",0))</f>
        <v/>
      </c>
      <c r="AB53" s="20" t="str" cm="1">
        <f t="array" ref="AB53">IFERROR(_xlfn.IFS(OR(E53="Fix", E53="Double Fix"),J53-_xlfn.XLOOKUP(E53,lookups_s60!$U$4:$U$1000,lookups_s60!$V$4:$V$1000,"",0),OR(E53="Fix Awning (Vertical)", E53="Fix Awning (Horizontal)"),(J53-_xlfn.XLOOKUP(E53,lookups_s60!$U$4:$U$1000,lookups_s60!$V$4:$V$1000,"",0)-40)/2),"")</f>
        <v/>
      </c>
      <c r="AC53" s="20" t="str">
        <f>IF(_xlfn.XLOOKUP(E53,lookups_s60!$U$4:$U$1000,lookups_s60!$X$4:$X$1000,"",0)=0,"",D53*_xlfn.XLOOKUP(E53,lookups_s60!$U$4:$U$1000,lookups_s60!$X$4:$X$1000,"",0))</f>
        <v/>
      </c>
      <c r="AD53" s="20" t="str">
        <f>IF(OR(E53="Fix", E53="Double Fix", E53="Fix Awning (Vertical)", E53="Fix Awning (Horizontal)"), K53-_xlfn.XLOOKUP(E53,lookups_s60!$U$4:$U$1000,lookups_s60!$W$4:$W$1000,"",0), "")</f>
        <v/>
      </c>
      <c r="AE53" s="20" t="str">
        <f>IF(_xlfn.XLOOKUP(E53,lookups_s60!$U$4:$U$1000,lookups_s60!$X$4:$X$1000,"",0)=0,"",D53*_xlfn.XLOOKUP(E53,lookups_s60!$U$4:$U$1000,lookups_s60!$Y$4:$Y$1000,"",0))</f>
        <v/>
      </c>
      <c r="AG53" s="24" t="str">
        <f>IF(W53&lt;&gt;"", W53-_xlfn.XLOOKUP(E53,lookups_s60!$U$4:$U$1000,lookups_s60!$Z$4:$Z$1000,"",0)-IF(E53="Awning", 5,0),"")</f>
        <v/>
      </c>
      <c r="AH53" s="20" t="str">
        <f>IF(_xlfn.XLOOKUP(E53,lookups_s60!$U$4:$U$1000,lookups_s60!$AB$4:$AB$1000,"",0)=0,"",D53*_xlfn.XLOOKUP(E53,lookups_s60!$U$4:$U$1000,lookups_s60!$AB$4:$AB$1000,"",0))</f>
        <v/>
      </c>
      <c r="AI53" s="22" t="str">
        <f>IF(Y53&lt;&gt;"", Y53-_xlfn.XLOOKUP(E53,lookups_s60!$U$4:$U$1000,lookups_s60!$AA$4:$AA$1000,"",0),"")</f>
        <v/>
      </c>
      <c r="AJ53" s="20" t="str">
        <f>IF(_xlfn.XLOOKUP(E53,lookups_s60!$U$4:$U$1000,lookups_s60!$AC$4:$AC$1000,"",0)=0,"",D53*_xlfn.XLOOKUP(E53,lookups_s60!$U$4:$U$1000,lookups_s60!$AC$4:$AC$1000,"",0))</f>
        <v/>
      </c>
      <c r="AL53" s="20" t="str">
        <f>IF(C53&lt;&gt;"", N53-_xlfn.XLOOKUP(E53,lookups_s60!$AF$4:$AF$1000,lookups_s60!$AG$4:$AG$1000,"",0),"")</f>
        <v/>
      </c>
      <c r="AM53" s="20" t="str">
        <f>IF(_xlfn.XLOOKUP(E53,lookups_s60!$AF$4:$AF$1000,lookups_s60!$AH$4:$AH$1000,"",0)=0,"",D53*_xlfn.XLOOKUP(E53,lookups_s60!$AF$4:$AF$1000,lookups_s60!$AH$4:$AH$1000,"",0))</f>
        <v/>
      </c>
      <c r="AN53" s="20" t="str">
        <f>IF(C53&lt;&gt;"", P53-_xlfn.XLOOKUP(E53,lookups_s60!$AF$4:$AF$1000,lookups_s60!$AG$4:$AG$1000,"",0),"")</f>
        <v/>
      </c>
      <c r="AO53" s="20" t="str">
        <f>IFERROR(IF(_xlfn.XLOOKUP(E53,lookups_s60!$AF$4:$AF$1000,lookups_s60!$AI$4:$AI$1000,"",0)=0,"",D53*_xlfn.XLOOKUP(E53,lookups_s60!$AF$4:$AF$1000,lookups_s60!$AI$4:$AI$1000,"",0)),"")</f>
        <v/>
      </c>
      <c r="AQ53" s="20" t="str">
        <f>IF(W53&lt;&gt;"", W53-_xlfn.XLOOKUP(E53,lookups_s60!$AF$4:$AF$1000,lookups_s60!$AJ$4:$AJ$1000,"",0),"")</f>
        <v/>
      </c>
      <c r="AR53" s="20" t="str">
        <f>IFERROR(IF(_xlfn.XLOOKUP(E53,lookups_s60!$AF$4:$AF$1000,lookups_s60!$AK$4:$AK$1000,"",0)=0,"",D53*_xlfn.XLOOKUP(E53,lookups_s60!$AF$4:$AF$1000,lookups_s60!$AK$4:$AK$1000,"",0)),"")</f>
        <v/>
      </c>
      <c r="AS53" s="20" t="str">
        <f>IF(Y53&lt;&gt;"", Y53-_xlfn.XLOOKUP(E53,lookups_s60!$AF$4:$AF$1000,lookups_s60!$AJ$4:$AJ$1000,"",0),"")</f>
        <v/>
      </c>
      <c r="AT53" s="20" t="str">
        <f>IFERROR(IF(_xlfn.XLOOKUP(E53,lookups_s60!$AF$4:$AF$1000,lookups_s60!$AL$4:$AL$1000,"",0)=0,"",D53*_xlfn.XLOOKUP(E53,lookups_s60!$AF$4:$AF$1000,lookups_s60!$AL$4:$AL$1000,"",0)),"")</f>
        <v/>
      </c>
      <c r="AV53" s="20" t="str">
        <f>IF(S53&lt;&gt;"", S53-_xlfn.XLOOKUP(E53,lookups_s60!$AF$4:$AF$1000,lookups_s60!$AM$4:$AM$1000,"",0),"")</f>
        <v/>
      </c>
      <c r="AW53" s="20" t="str">
        <f>IFERROR(IF(_xlfn.XLOOKUP(E53,lookups_s60!$AF$4:$AF$1000,lookups_s60!$AN$4:$AN$1000,"",0)=0,"",D53*_xlfn.XLOOKUP(E53,lookups_s60!$AF$4:$AF$1000,lookups_s60!$AN$4:$AN$1000,"",0)),"")</f>
        <v/>
      </c>
      <c r="AY53" s="20" t="str" cm="1">
        <f t="array" ref="AY53">IFERROR(_xlfn.IFS(E53="Fix", J53-_xlfn.XLOOKUP(E53,lookups_s60!$AQ$4:$AQ$1000,lookups_s60!$AR$4:$AR$1000,"",0)-_xlfn.XLOOKUP(E53,lookups_s60!$AQ$4:$AQ$1000,lookups_s60!$AS$4:$AS$1000,"",0), E53="Double Fix", (J53-_xlfn.XLOOKUP(E53,lookups_s60!$AQ$4:$AQ$1000,lookups_s60!$AR$4:$AR$1000,"",0)-_xlfn.XLOOKUP(E53,lookups_s60!$G$4:$G$1000,lookups_s60!$H$4:$H$1000,"",0))/2-_xlfn.XLOOKUP(E53,lookups_s60!$AQ$4:$AQ$1000,lookups_s60!$AS$4:$AS$1000,"",0), OR(E53="Fix Awning (Vertical)",E53="Fix Awning (Horizontal)"),  (J53-_xlfn.XLOOKUP(E53,lookups_s60!$AQ$4:$AQ$1000,lookups_s60!$AR$4:$AR$1000,"",0)-40)/2-_xlfn.XLOOKUP(E53,lookups_s60!$AQ$4:$AQ$1000,lookups_s60!$AS$4:$AS$1000,"",0)),"")</f>
        <v/>
      </c>
      <c r="AZ53" s="20" t="str">
        <f>IFERROR(IF(C53&lt;&gt;"", K53-_xlfn.XLOOKUP(E53,lookups_s60!$AQ$4:$AQ$1000,lookups_s60!$AT$4:$AT$1000,"",0)-_xlfn.XLOOKUP(E53,lookups_s60!$AQ$4:$AQ$1000,lookups_s60!$AU$4:$AU$1000,"",0),""),"")</f>
        <v/>
      </c>
      <c r="BA53" s="20" t="str">
        <f t="shared" si="8"/>
        <v/>
      </c>
      <c r="BC53" s="20" t="str" cm="1">
        <f t="array" ref="BC53">IFERROR(_xlfn.IFS(E53="Awning",AQ53-_xlfn.XLOOKUP(E53,lookups_s60!$AQ$4:$AQ$1000,lookups_s60!$AV$4:$AV$1000,"",0)-_xlfn.XLOOKUP(E53,lookups_s60!$AQ$4:$AQ$1000,lookups_s60!$AW$4:$AW$1000,"",0),C53&lt;&gt;"",W53-_xlfn.XLOOKUP(E53,lookups_s60!$AQ$4:$AQ$1000,lookups_s60!$AV$4:$AV$1000,"",0)-_xlfn.XLOOKUP(E53,lookups_s60!$AQ$4:$AQ$1000,lookups_s60!$AW$4:$AW$1000,"",0)),"")</f>
        <v/>
      </c>
      <c r="BD53" s="20" t="str" cm="1">
        <f t="array" ref="BD53">IFERROR(_xlfn.IFS(E53="Awning",AS53-_xlfn.XLOOKUP(E53,lookups_s60!$AQ$4:$AQ$1000,lookups_s60!$AX$4:$AX$1000,"",0)-_xlfn.XLOOKUP(E53,lookups_s60!$AQ$4:$AQ$1000,lookups_s60!$AY$4:$AY$1000,"",0),C53&lt;&gt;"",Y53-_xlfn.XLOOKUP(E53,lookups_s60!$AQ$4:$AQ$1000,lookups_s60!$AX$4:$AX$1000,"",0)-_xlfn.XLOOKUP(E53,lookups_s60!$AQ$4:$AQ$1000,lookups_s60!$AY$4:$AY$1000,"",0)),"")</f>
        <v/>
      </c>
      <c r="BE53" s="20" t="str">
        <f>IF(BC53&lt;&gt;"", _xlfn.XLOOKUP(E53,lookups_s60!$AQ$4:$AQ$1000,lookups_s60!$AZ$4:$AZ$1000,"",0)*D53,"")</f>
        <v/>
      </c>
      <c r="BG53" s="20" t="str">
        <f t="shared" si="3"/>
        <v/>
      </c>
      <c r="BH53" s="22" t="str">
        <f t="shared" si="4"/>
        <v/>
      </c>
      <c r="BI53" s="20" t="str">
        <f t="shared" si="5"/>
        <v/>
      </c>
      <c r="BJ53" s="20" t="str">
        <f t="shared" si="6"/>
        <v/>
      </c>
      <c r="BK53" s="20" t="str">
        <f t="shared" si="7"/>
        <v/>
      </c>
    </row>
    <row r="54" spans="3:63" ht="13.5" customHeight="1" x14ac:dyDescent="0.25">
      <c r="C54" s="16"/>
      <c r="D54" s="16"/>
      <c r="E54" s="16"/>
      <c r="F54" s="16"/>
      <c r="G54" s="16"/>
      <c r="H54" s="16"/>
      <c r="I54" s="16"/>
      <c r="J54" s="16"/>
      <c r="K54" s="16"/>
      <c r="M54" s="20" t="str">
        <f t="shared" si="0"/>
        <v/>
      </c>
      <c r="N54" s="20" t="str" cm="1">
        <f t="array" ref="N54">IFERROR(_xlfn.IFS(OR(E54="Fix Awning (Vertical)", E54="Fix Awning (Horizontal)"), J54/2+20,C54&lt;&gt;"", J54+M54),"")</f>
        <v/>
      </c>
      <c r="O54" s="20" t="str">
        <f>IF(D54&lt;&gt;"", D54*_xlfn.XLOOKUP(E54,lookups_s60!$B$4:$B$1000,lookups_s60!$C$4:$C$1000,"",0),"")</f>
        <v/>
      </c>
      <c r="P54" s="20" t="str">
        <f t="shared" si="1"/>
        <v/>
      </c>
      <c r="Q54" s="20" t="str">
        <f>IF(D54&lt;&gt;"", D54*_xlfn.XLOOKUP(E54,lookups_s60!$B$4:$B$1000,lookups_s60!$D$4:$D$1000,"",0),"")</f>
        <v/>
      </c>
      <c r="S54" s="20" t="str" cm="1">
        <f t="array" ref="S54">IFERROR(_xlfn.IFS(E54="Double Fix",K54+_xlfn.XLOOKUP(E54,lookups_s60!$G$4:$G$1000,lookups_s60!$H$4:$H$1000,"",0), OR(E54="Double Awning (Horizontal)", E54="Double Awning (Vertical)",E54="Triple Awning (Horizontal)", E54="Triple Awning (Vertical)"), J54+_xlfn.XLOOKUP(E54,lookups_s60!$G$4:$G$1000,lookups_s60!$H$4:$H$1000,"",0), E54="Double Casement", J54+_xlfn.XLOOKUP(E54,lookups_s60!$G$4:$G$1000,lookups_s60!$H$4:$H$1000,"",0), OR(E54="Fix Awning (Vertical)", E54="Fix Awning (Horizontal)"), K54+_xlfn.XLOOKUP(E54,lookups_s60!$G$4:$G$1000,lookups_s60!$H$4:$H$1000,"",0), E54="Triple Casement", J54+_xlfn.XLOOKUP(E54,lookups_s60!$G$4:$G$1000,lookups_s60!$H$4:$H$1000,"",0)),"")</f>
        <v/>
      </c>
      <c r="T54" s="20" t="str">
        <f>IF(S54&lt;&gt;"",D54*_xlfn.XLOOKUP(E54,lookups_s60!$G$4:$G$1000,lookups_s60!$I$4:$I$1000,"",0),"")</f>
        <v/>
      </c>
      <c r="V54" s="20" t="str">
        <f>IF(_xlfn.XLOOKUP(E54,lookups_s60!$L$4:$L$1000,lookups_s60!$M$4:$M$1000,"",0)=0, "", _xlfn.XLOOKUP(E54,lookups_s60!$L$4:$L$1000,lookups_s60!$M$4:$M$1000,"",0))</f>
        <v/>
      </c>
      <c r="W54" s="20" t="str" cm="1">
        <f t="array" ref="W54">IFERROR(_xlfn.IFS(OR(E54="Fix Awning (Vertical)",E54="Fix Awning (Vertical)"),   ((J54-_xlfn.XLOOKUP(E54,lookups_s60!$L$4:$L$1000,lookups_s60!$N$4:$N$1000,"",0)-40)/2)+_xlfn.XLOOKUP(E54,lookups_s60!$L$4:$L$1000,lookups_s60!$O$4:$O$1000,"",0), V54&lt;&gt;"", J54-_xlfn.XLOOKUP(E54,lookups_s60!$L$4:$L$1000,lookups_s60!$N$4:$N$1000,"",0)+_xlfn.XLOOKUP(E54,lookups_s60!$L$4:$L$1000,lookups_s60!$O$4:$O$1000,"",0)),"")</f>
        <v/>
      </c>
      <c r="X54" s="20" t="str">
        <f>IF(_xlfn.XLOOKUP(E54,lookups_s60!$L$4:$L$1000,lookups_s60!$R$4:$R$1000,"",0)=0, "", D54*_xlfn.XLOOKUP(E54,lookups_s60!$L$4:$L$1000,lookups_s60!$R$4:$R$1000,"",0))</f>
        <v/>
      </c>
      <c r="Y54" s="22" t="str" cm="1">
        <f t="array" ref="Y54">IFERROR(_xlfn.IFS(OR(E54="Double Awning (Horizontal)", E54="Double Awning (Vertical)", E54="Triple Awning (Horizontal)", E54="Triple Awning (Vertical)", E54="Double Casement"), ((K54-_xlfn.XLOOKUP(E54,lookups_s60!$L$4:$L$1000,lookups_s60!$P$4:$P$1000,"",0)-36)/2)+_xlfn.XLOOKUP(E54,lookups_s60!$L$4:$L$1000,lookups_s60!$Q$4:$Q$1000,"",0), E54="Triple Casement",((K54-_xlfn.XLOOKUP(E54,lookups_s60!$L$4:$L$1000,lookups_s60!$P$4:$P$1000,"",0)-36-36)/3)+_xlfn.XLOOKUP(E54,lookups_s60!$L$4:$L$1000,lookups_s60!$Q$4:$Q$1000,"",0),V54&lt;&gt;"",K54-_xlfn.XLOOKUP(E54,lookups_s60!$L$4:$L$1000,lookups_s60!$P$4:$P$1000,"",0)+_xlfn.XLOOKUP(E54,lookups_s60!$L$4:$L$1000,lookups_s60!$Q$4:$Q$1000,"",0)),"")</f>
        <v/>
      </c>
      <c r="Z54" s="20" t="str">
        <f>IF(_xlfn.XLOOKUP(E54,lookups_s60!$L$4:$L$1000,lookups_s60!$R$4:$R$1000,"",0)=0, "", D54*_xlfn.XLOOKUP(E54,lookups_s60!$L$4:$L$1000,lookups_s60!$R$4:$R$1000,"",0))</f>
        <v/>
      </c>
      <c r="AB54" s="20" t="str" cm="1">
        <f t="array" ref="AB54">IFERROR(_xlfn.IFS(OR(E54="Fix", E54="Double Fix"),J54-_xlfn.XLOOKUP(E54,lookups_s60!$U$4:$U$1000,lookups_s60!$V$4:$V$1000,"",0),OR(E54="Fix Awning (Vertical)", E54="Fix Awning (Horizontal)"),(J54-_xlfn.XLOOKUP(E54,lookups_s60!$U$4:$U$1000,lookups_s60!$V$4:$V$1000,"",0)-40)/2),"")</f>
        <v/>
      </c>
      <c r="AC54" s="20" t="str">
        <f>IF(_xlfn.XLOOKUP(E54,lookups_s60!$U$4:$U$1000,lookups_s60!$X$4:$X$1000,"",0)=0,"",D54*_xlfn.XLOOKUP(E54,lookups_s60!$U$4:$U$1000,lookups_s60!$X$4:$X$1000,"",0))</f>
        <v/>
      </c>
      <c r="AD54" s="20" t="str">
        <f>IF(OR(E54="Fix", E54="Double Fix", E54="Fix Awning (Vertical)", E54="Fix Awning (Horizontal)"), K54-_xlfn.XLOOKUP(E54,lookups_s60!$U$4:$U$1000,lookups_s60!$W$4:$W$1000,"",0), "")</f>
        <v/>
      </c>
      <c r="AE54" s="20" t="str">
        <f>IF(_xlfn.XLOOKUP(E54,lookups_s60!$U$4:$U$1000,lookups_s60!$X$4:$X$1000,"",0)=0,"",D54*_xlfn.XLOOKUP(E54,lookups_s60!$U$4:$U$1000,lookups_s60!$Y$4:$Y$1000,"",0))</f>
        <v/>
      </c>
      <c r="AG54" s="24" t="str">
        <f>IF(W54&lt;&gt;"", W54-_xlfn.XLOOKUP(E54,lookups_s60!$U$4:$U$1000,lookups_s60!$Z$4:$Z$1000,"",0)-IF(E54="Awning", 5,0),"")</f>
        <v/>
      </c>
      <c r="AH54" s="20" t="str">
        <f>IF(_xlfn.XLOOKUP(E54,lookups_s60!$U$4:$U$1000,lookups_s60!$AB$4:$AB$1000,"",0)=0,"",D54*_xlfn.XLOOKUP(E54,lookups_s60!$U$4:$U$1000,lookups_s60!$AB$4:$AB$1000,"",0))</f>
        <v/>
      </c>
      <c r="AI54" s="22" t="str">
        <f>IF(Y54&lt;&gt;"", Y54-_xlfn.XLOOKUP(E54,lookups_s60!$U$4:$U$1000,lookups_s60!$AA$4:$AA$1000,"",0),"")</f>
        <v/>
      </c>
      <c r="AJ54" s="20" t="str">
        <f>IF(_xlfn.XLOOKUP(E54,lookups_s60!$U$4:$U$1000,lookups_s60!$AC$4:$AC$1000,"",0)=0,"",D54*_xlfn.XLOOKUP(E54,lookups_s60!$U$4:$U$1000,lookups_s60!$AC$4:$AC$1000,"",0))</f>
        <v/>
      </c>
      <c r="AL54" s="20" t="str">
        <f>IF(C54&lt;&gt;"", N54-_xlfn.XLOOKUP(E54,lookups_s60!$AF$4:$AF$1000,lookups_s60!$AG$4:$AG$1000,"",0),"")</f>
        <v/>
      </c>
      <c r="AM54" s="20" t="str">
        <f>IF(_xlfn.XLOOKUP(E54,lookups_s60!$AF$4:$AF$1000,lookups_s60!$AH$4:$AH$1000,"",0)=0,"",D54*_xlfn.XLOOKUP(E54,lookups_s60!$AF$4:$AF$1000,lookups_s60!$AH$4:$AH$1000,"",0))</f>
        <v/>
      </c>
      <c r="AN54" s="20" t="str">
        <f>IF(C54&lt;&gt;"", P54-_xlfn.XLOOKUP(E54,lookups_s60!$AF$4:$AF$1000,lookups_s60!$AG$4:$AG$1000,"",0),"")</f>
        <v/>
      </c>
      <c r="AO54" s="20" t="str">
        <f>IFERROR(IF(_xlfn.XLOOKUP(E54,lookups_s60!$AF$4:$AF$1000,lookups_s60!$AI$4:$AI$1000,"",0)=0,"",D54*_xlfn.XLOOKUP(E54,lookups_s60!$AF$4:$AF$1000,lookups_s60!$AI$4:$AI$1000,"",0)),"")</f>
        <v/>
      </c>
      <c r="AQ54" s="20" t="str">
        <f>IF(W54&lt;&gt;"", W54-_xlfn.XLOOKUP(E54,lookups_s60!$AF$4:$AF$1000,lookups_s60!$AJ$4:$AJ$1000,"",0),"")</f>
        <v/>
      </c>
      <c r="AR54" s="20" t="str">
        <f>IFERROR(IF(_xlfn.XLOOKUP(E54,lookups_s60!$AF$4:$AF$1000,lookups_s60!$AK$4:$AK$1000,"",0)=0,"",D54*_xlfn.XLOOKUP(E54,lookups_s60!$AF$4:$AF$1000,lookups_s60!$AK$4:$AK$1000,"",0)),"")</f>
        <v/>
      </c>
      <c r="AS54" s="20" t="str">
        <f>IF(Y54&lt;&gt;"", Y54-_xlfn.XLOOKUP(E54,lookups_s60!$AF$4:$AF$1000,lookups_s60!$AJ$4:$AJ$1000,"",0),"")</f>
        <v/>
      </c>
      <c r="AT54" s="20" t="str">
        <f>IFERROR(IF(_xlfn.XLOOKUP(E54,lookups_s60!$AF$4:$AF$1000,lookups_s60!$AL$4:$AL$1000,"",0)=0,"",D54*_xlfn.XLOOKUP(E54,lookups_s60!$AF$4:$AF$1000,lookups_s60!$AL$4:$AL$1000,"",0)),"")</f>
        <v/>
      </c>
      <c r="AV54" s="20" t="str">
        <f>IF(S54&lt;&gt;"", S54-_xlfn.XLOOKUP(E54,lookups_s60!$AF$4:$AF$1000,lookups_s60!$AM$4:$AM$1000,"",0),"")</f>
        <v/>
      </c>
      <c r="AW54" s="20" t="str">
        <f>IFERROR(IF(_xlfn.XLOOKUP(E54,lookups_s60!$AF$4:$AF$1000,lookups_s60!$AN$4:$AN$1000,"",0)=0,"",D54*_xlfn.XLOOKUP(E54,lookups_s60!$AF$4:$AF$1000,lookups_s60!$AN$4:$AN$1000,"",0)),"")</f>
        <v/>
      </c>
      <c r="AY54" s="20" t="str" cm="1">
        <f t="array" ref="AY54">IFERROR(_xlfn.IFS(E54="Fix", J54-_xlfn.XLOOKUP(E54,lookups_s60!$AQ$4:$AQ$1000,lookups_s60!$AR$4:$AR$1000,"",0)-_xlfn.XLOOKUP(E54,lookups_s60!$AQ$4:$AQ$1000,lookups_s60!$AS$4:$AS$1000,"",0), E54="Double Fix", (J54-_xlfn.XLOOKUP(E54,lookups_s60!$AQ$4:$AQ$1000,lookups_s60!$AR$4:$AR$1000,"",0)-_xlfn.XLOOKUP(E54,lookups_s60!$G$4:$G$1000,lookups_s60!$H$4:$H$1000,"",0))/2-_xlfn.XLOOKUP(E54,lookups_s60!$AQ$4:$AQ$1000,lookups_s60!$AS$4:$AS$1000,"",0), OR(E54="Fix Awning (Vertical)",E54="Fix Awning (Horizontal)"),  (J54-_xlfn.XLOOKUP(E54,lookups_s60!$AQ$4:$AQ$1000,lookups_s60!$AR$4:$AR$1000,"",0)-40)/2-_xlfn.XLOOKUP(E54,lookups_s60!$AQ$4:$AQ$1000,lookups_s60!$AS$4:$AS$1000,"",0)),"")</f>
        <v/>
      </c>
      <c r="AZ54" s="20" t="str">
        <f>IFERROR(IF(C54&lt;&gt;"", K54-_xlfn.XLOOKUP(E54,lookups_s60!$AQ$4:$AQ$1000,lookups_s60!$AT$4:$AT$1000,"",0)-_xlfn.XLOOKUP(E54,lookups_s60!$AQ$4:$AQ$1000,lookups_s60!$AU$4:$AU$1000,"",0),""),"")</f>
        <v/>
      </c>
      <c r="BA54" s="20" t="str">
        <f t="shared" si="8"/>
        <v/>
      </c>
      <c r="BC54" s="20" t="str" cm="1">
        <f t="array" ref="BC54">IFERROR(_xlfn.IFS(E54="Awning",AQ54-_xlfn.XLOOKUP(E54,lookups_s60!$AQ$4:$AQ$1000,lookups_s60!$AV$4:$AV$1000,"",0)-_xlfn.XLOOKUP(E54,lookups_s60!$AQ$4:$AQ$1000,lookups_s60!$AW$4:$AW$1000,"",0),C54&lt;&gt;"",W54-_xlfn.XLOOKUP(E54,lookups_s60!$AQ$4:$AQ$1000,lookups_s60!$AV$4:$AV$1000,"",0)-_xlfn.XLOOKUP(E54,lookups_s60!$AQ$4:$AQ$1000,lookups_s60!$AW$4:$AW$1000,"",0)),"")</f>
        <v/>
      </c>
      <c r="BD54" s="20" t="str" cm="1">
        <f t="array" ref="BD54">IFERROR(_xlfn.IFS(E54="Awning",AS54-_xlfn.XLOOKUP(E54,lookups_s60!$AQ$4:$AQ$1000,lookups_s60!$AX$4:$AX$1000,"",0)-_xlfn.XLOOKUP(E54,lookups_s60!$AQ$4:$AQ$1000,lookups_s60!$AY$4:$AY$1000,"",0),C54&lt;&gt;"",Y54-_xlfn.XLOOKUP(E54,lookups_s60!$AQ$4:$AQ$1000,lookups_s60!$AX$4:$AX$1000,"",0)-_xlfn.XLOOKUP(E54,lookups_s60!$AQ$4:$AQ$1000,lookups_s60!$AY$4:$AY$1000,"",0)),"")</f>
        <v/>
      </c>
      <c r="BE54" s="20" t="str">
        <f>IF(BC54&lt;&gt;"", _xlfn.XLOOKUP(E54,lookups_s60!$AQ$4:$AQ$1000,lookups_s60!$AZ$4:$AZ$1000,"",0)*D54,"")</f>
        <v/>
      </c>
      <c r="BG54" s="20" t="str">
        <f t="shared" si="3"/>
        <v/>
      </c>
      <c r="BH54" s="22" t="str">
        <f t="shared" si="4"/>
        <v/>
      </c>
      <c r="BI54" s="20" t="str">
        <f t="shared" si="5"/>
        <v/>
      </c>
      <c r="BJ54" s="20" t="str">
        <f t="shared" si="6"/>
        <v/>
      </c>
      <c r="BK54" s="20" t="str">
        <f t="shared" si="7"/>
        <v/>
      </c>
    </row>
    <row r="55" spans="3:63" ht="13.5" customHeight="1" x14ac:dyDescent="0.25">
      <c r="C55" s="16"/>
      <c r="D55" s="16"/>
      <c r="E55" s="16"/>
      <c r="F55" s="16"/>
      <c r="G55" s="16"/>
      <c r="H55" s="16"/>
      <c r="I55" s="16"/>
      <c r="J55" s="16"/>
      <c r="K55" s="16"/>
      <c r="M55" s="20" t="str">
        <f t="shared" si="0"/>
        <v/>
      </c>
      <c r="N55" s="20" t="str" cm="1">
        <f t="array" ref="N55">IFERROR(_xlfn.IFS(OR(E55="Fix Awning (Vertical)", E55="Fix Awning (Horizontal)"), J55/2+20,C55&lt;&gt;"", J55+M55),"")</f>
        <v/>
      </c>
      <c r="O55" s="20" t="str">
        <f>IF(D55&lt;&gt;"", D55*_xlfn.XLOOKUP(E55,lookups_s60!$B$4:$B$1000,lookups_s60!$C$4:$C$1000,"",0),"")</f>
        <v/>
      </c>
      <c r="P55" s="20" t="str">
        <f t="shared" si="1"/>
        <v/>
      </c>
      <c r="Q55" s="20" t="str">
        <f>IF(D55&lt;&gt;"", D55*_xlfn.XLOOKUP(E55,lookups_s60!$B$4:$B$1000,lookups_s60!$D$4:$D$1000,"",0),"")</f>
        <v/>
      </c>
      <c r="S55" s="20" t="str" cm="1">
        <f t="array" ref="S55">IFERROR(_xlfn.IFS(E55="Double Fix",K55+_xlfn.XLOOKUP(E55,lookups_s60!$G$4:$G$1000,lookups_s60!$H$4:$H$1000,"",0), OR(E55="Double Awning (Horizontal)", E55="Double Awning (Vertical)",E55="Triple Awning (Horizontal)", E55="Triple Awning (Vertical)"), J55+_xlfn.XLOOKUP(E55,lookups_s60!$G$4:$G$1000,lookups_s60!$H$4:$H$1000,"",0), E55="Double Casement", J55+_xlfn.XLOOKUP(E55,lookups_s60!$G$4:$G$1000,lookups_s60!$H$4:$H$1000,"",0), OR(E55="Fix Awning (Vertical)", E55="Fix Awning (Horizontal)"), K55+_xlfn.XLOOKUP(E55,lookups_s60!$G$4:$G$1000,lookups_s60!$H$4:$H$1000,"",0), E55="Triple Casement", J55+_xlfn.XLOOKUP(E55,lookups_s60!$G$4:$G$1000,lookups_s60!$H$4:$H$1000,"",0)),"")</f>
        <v/>
      </c>
      <c r="T55" s="20" t="str">
        <f>IF(S55&lt;&gt;"",D55*_xlfn.XLOOKUP(E55,lookups_s60!$G$4:$G$1000,lookups_s60!$I$4:$I$1000,"",0),"")</f>
        <v/>
      </c>
      <c r="V55" s="20" t="str">
        <f>IF(_xlfn.XLOOKUP(E55,lookups_s60!$L$4:$L$1000,lookups_s60!$M$4:$M$1000,"",0)=0, "", _xlfn.XLOOKUP(E55,lookups_s60!$L$4:$L$1000,lookups_s60!$M$4:$M$1000,"",0))</f>
        <v/>
      </c>
      <c r="W55" s="20" t="str" cm="1">
        <f t="array" ref="W55">IFERROR(_xlfn.IFS(OR(E55="Fix Awning (Vertical)",E55="Fix Awning (Vertical)"),   ((J55-_xlfn.XLOOKUP(E55,lookups_s60!$L$4:$L$1000,lookups_s60!$N$4:$N$1000,"",0)-40)/2)+_xlfn.XLOOKUP(E55,lookups_s60!$L$4:$L$1000,lookups_s60!$O$4:$O$1000,"",0), V55&lt;&gt;"", J55-_xlfn.XLOOKUP(E55,lookups_s60!$L$4:$L$1000,lookups_s60!$N$4:$N$1000,"",0)+_xlfn.XLOOKUP(E55,lookups_s60!$L$4:$L$1000,lookups_s60!$O$4:$O$1000,"",0)),"")</f>
        <v/>
      </c>
      <c r="X55" s="20" t="str">
        <f>IF(_xlfn.XLOOKUP(E55,lookups_s60!$L$4:$L$1000,lookups_s60!$R$4:$R$1000,"",0)=0, "", D55*_xlfn.XLOOKUP(E55,lookups_s60!$L$4:$L$1000,lookups_s60!$R$4:$R$1000,"",0))</f>
        <v/>
      </c>
      <c r="Y55" s="22" t="str" cm="1">
        <f t="array" ref="Y55">IFERROR(_xlfn.IFS(OR(E55="Double Awning (Horizontal)", E55="Double Awning (Vertical)", E55="Triple Awning (Horizontal)", E55="Triple Awning (Vertical)", E55="Double Casement"), ((K55-_xlfn.XLOOKUP(E55,lookups_s60!$L$4:$L$1000,lookups_s60!$P$4:$P$1000,"",0)-36)/2)+_xlfn.XLOOKUP(E55,lookups_s60!$L$4:$L$1000,lookups_s60!$Q$4:$Q$1000,"",0), E55="Triple Casement",((K55-_xlfn.XLOOKUP(E55,lookups_s60!$L$4:$L$1000,lookups_s60!$P$4:$P$1000,"",0)-36-36)/3)+_xlfn.XLOOKUP(E55,lookups_s60!$L$4:$L$1000,lookups_s60!$Q$4:$Q$1000,"",0),V55&lt;&gt;"",K55-_xlfn.XLOOKUP(E55,lookups_s60!$L$4:$L$1000,lookups_s60!$P$4:$P$1000,"",0)+_xlfn.XLOOKUP(E55,lookups_s60!$L$4:$L$1000,lookups_s60!$Q$4:$Q$1000,"",0)),"")</f>
        <v/>
      </c>
      <c r="Z55" s="20" t="str">
        <f>IF(_xlfn.XLOOKUP(E55,lookups_s60!$L$4:$L$1000,lookups_s60!$R$4:$R$1000,"",0)=0, "", D55*_xlfn.XLOOKUP(E55,lookups_s60!$L$4:$L$1000,lookups_s60!$R$4:$R$1000,"",0))</f>
        <v/>
      </c>
      <c r="AB55" s="20" t="str" cm="1">
        <f t="array" ref="AB55">IFERROR(_xlfn.IFS(OR(E55="Fix", E55="Double Fix"),J55-_xlfn.XLOOKUP(E55,lookups_s60!$U$4:$U$1000,lookups_s60!$V$4:$V$1000,"",0),OR(E55="Fix Awning (Vertical)", E55="Fix Awning (Horizontal)"),(J55-_xlfn.XLOOKUP(E55,lookups_s60!$U$4:$U$1000,lookups_s60!$V$4:$V$1000,"",0)-40)/2),"")</f>
        <v/>
      </c>
      <c r="AC55" s="20" t="str">
        <f>IF(_xlfn.XLOOKUP(E55,lookups_s60!$U$4:$U$1000,lookups_s60!$X$4:$X$1000,"",0)=0,"",D55*_xlfn.XLOOKUP(E55,lookups_s60!$U$4:$U$1000,lookups_s60!$X$4:$X$1000,"",0))</f>
        <v/>
      </c>
      <c r="AD55" s="20" t="str">
        <f>IF(OR(E55="Fix", E55="Double Fix", E55="Fix Awning (Vertical)", E55="Fix Awning (Horizontal)"), K55-_xlfn.XLOOKUP(E55,lookups_s60!$U$4:$U$1000,lookups_s60!$W$4:$W$1000,"",0), "")</f>
        <v/>
      </c>
      <c r="AE55" s="20" t="str">
        <f>IF(_xlfn.XLOOKUP(E55,lookups_s60!$U$4:$U$1000,lookups_s60!$X$4:$X$1000,"",0)=0,"",D55*_xlfn.XLOOKUP(E55,lookups_s60!$U$4:$U$1000,lookups_s60!$Y$4:$Y$1000,"",0))</f>
        <v/>
      </c>
      <c r="AG55" s="24" t="str">
        <f>IF(W55&lt;&gt;"", W55-_xlfn.XLOOKUP(E55,lookups_s60!$U$4:$U$1000,lookups_s60!$Z$4:$Z$1000,"",0)-IF(E55="Awning", 5,0),"")</f>
        <v/>
      </c>
      <c r="AH55" s="20" t="str">
        <f>IF(_xlfn.XLOOKUP(E55,lookups_s60!$U$4:$U$1000,lookups_s60!$AB$4:$AB$1000,"",0)=0,"",D55*_xlfn.XLOOKUP(E55,lookups_s60!$U$4:$U$1000,lookups_s60!$AB$4:$AB$1000,"",0))</f>
        <v/>
      </c>
      <c r="AI55" s="22" t="str">
        <f>IF(Y55&lt;&gt;"", Y55-_xlfn.XLOOKUP(E55,lookups_s60!$U$4:$U$1000,lookups_s60!$AA$4:$AA$1000,"",0),"")</f>
        <v/>
      </c>
      <c r="AJ55" s="20" t="str">
        <f>IF(_xlfn.XLOOKUP(E55,lookups_s60!$U$4:$U$1000,lookups_s60!$AC$4:$AC$1000,"",0)=0,"",D55*_xlfn.XLOOKUP(E55,lookups_s60!$U$4:$U$1000,lookups_s60!$AC$4:$AC$1000,"",0))</f>
        <v/>
      </c>
      <c r="AL55" s="20" t="str">
        <f>IF(C55&lt;&gt;"", N55-_xlfn.XLOOKUP(E55,lookups_s60!$AF$4:$AF$1000,lookups_s60!$AG$4:$AG$1000,"",0),"")</f>
        <v/>
      </c>
      <c r="AM55" s="20" t="str">
        <f>IF(_xlfn.XLOOKUP(E55,lookups_s60!$AF$4:$AF$1000,lookups_s60!$AH$4:$AH$1000,"",0)=0,"",D55*_xlfn.XLOOKUP(E55,lookups_s60!$AF$4:$AF$1000,lookups_s60!$AH$4:$AH$1000,"",0))</f>
        <v/>
      </c>
      <c r="AN55" s="20" t="str">
        <f>IF(C55&lt;&gt;"", P55-_xlfn.XLOOKUP(E55,lookups_s60!$AF$4:$AF$1000,lookups_s60!$AG$4:$AG$1000,"",0),"")</f>
        <v/>
      </c>
      <c r="AO55" s="20" t="str">
        <f>IFERROR(IF(_xlfn.XLOOKUP(E55,lookups_s60!$AF$4:$AF$1000,lookups_s60!$AI$4:$AI$1000,"",0)=0,"",D55*_xlfn.XLOOKUP(E55,lookups_s60!$AF$4:$AF$1000,lookups_s60!$AI$4:$AI$1000,"",0)),"")</f>
        <v/>
      </c>
      <c r="AQ55" s="20" t="str">
        <f>IF(W55&lt;&gt;"", W55-_xlfn.XLOOKUP(E55,lookups_s60!$AF$4:$AF$1000,lookups_s60!$AJ$4:$AJ$1000,"",0),"")</f>
        <v/>
      </c>
      <c r="AR55" s="20" t="str">
        <f>IFERROR(IF(_xlfn.XLOOKUP(E55,lookups_s60!$AF$4:$AF$1000,lookups_s60!$AK$4:$AK$1000,"",0)=0,"",D55*_xlfn.XLOOKUP(E55,lookups_s60!$AF$4:$AF$1000,lookups_s60!$AK$4:$AK$1000,"",0)),"")</f>
        <v/>
      </c>
      <c r="AS55" s="20" t="str">
        <f>IF(Y55&lt;&gt;"", Y55-_xlfn.XLOOKUP(E55,lookups_s60!$AF$4:$AF$1000,lookups_s60!$AJ$4:$AJ$1000,"",0),"")</f>
        <v/>
      </c>
      <c r="AT55" s="20" t="str">
        <f>IFERROR(IF(_xlfn.XLOOKUP(E55,lookups_s60!$AF$4:$AF$1000,lookups_s60!$AL$4:$AL$1000,"",0)=0,"",D55*_xlfn.XLOOKUP(E55,lookups_s60!$AF$4:$AF$1000,lookups_s60!$AL$4:$AL$1000,"",0)),"")</f>
        <v/>
      </c>
      <c r="AV55" s="20" t="str">
        <f>IF(S55&lt;&gt;"", S55-_xlfn.XLOOKUP(E55,lookups_s60!$AF$4:$AF$1000,lookups_s60!$AM$4:$AM$1000,"",0),"")</f>
        <v/>
      </c>
      <c r="AW55" s="20" t="str">
        <f>IFERROR(IF(_xlfn.XLOOKUP(E55,lookups_s60!$AF$4:$AF$1000,lookups_s60!$AN$4:$AN$1000,"",0)=0,"",D55*_xlfn.XLOOKUP(E55,lookups_s60!$AF$4:$AF$1000,lookups_s60!$AN$4:$AN$1000,"",0)),"")</f>
        <v/>
      </c>
      <c r="AY55" s="20" t="str" cm="1">
        <f t="array" ref="AY55">IFERROR(_xlfn.IFS(E55="Fix", J55-_xlfn.XLOOKUP(E55,lookups_s60!$AQ$4:$AQ$1000,lookups_s60!$AR$4:$AR$1000,"",0)-_xlfn.XLOOKUP(E55,lookups_s60!$AQ$4:$AQ$1000,lookups_s60!$AS$4:$AS$1000,"",0), E55="Double Fix", (J55-_xlfn.XLOOKUP(E55,lookups_s60!$AQ$4:$AQ$1000,lookups_s60!$AR$4:$AR$1000,"",0)-_xlfn.XLOOKUP(E55,lookups_s60!$G$4:$G$1000,lookups_s60!$H$4:$H$1000,"",0))/2-_xlfn.XLOOKUP(E55,lookups_s60!$AQ$4:$AQ$1000,lookups_s60!$AS$4:$AS$1000,"",0), OR(E55="Fix Awning (Vertical)",E55="Fix Awning (Horizontal)"),  (J55-_xlfn.XLOOKUP(E55,lookups_s60!$AQ$4:$AQ$1000,lookups_s60!$AR$4:$AR$1000,"",0)-40)/2-_xlfn.XLOOKUP(E55,lookups_s60!$AQ$4:$AQ$1000,lookups_s60!$AS$4:$AS$1000,"",0)),"")</f>
        <v/>
      </c>
      <c r="AZ55" s="20" t="str">
        <f>IFERROR(IF(C55&lt;&gt;"", K55-_xlfn.XLOOKUP(E55,lookups_s60!$AQ$4:$AQ$1000,lookups_s60!$AT$4:$AT$1000,"",0)-_xlfn.XLOOKUP(E55,lookups_s60!$AQ$4:$AQ$1000,lookups_s60!$AU$4:$AU$1000,"",0),""),"")</f>
        <v/>
      </c>
      <c r="BA55" s="20" t="str">
        <f t="shared" si="8"/>
        <v/>
      </c>
      <c r="BC55" s="20" t="str" cm="1">
        <f t="array" ref="BC55">IFERROR(_xlfn.IFS(E55="Awning",AQ55-_xlfn.XLOOKUP(E55,lookups_s60!$AQ$4:$AQ$1000,lookups_s60!$AV$4:$AV$1000,"",0)-_xlfn.XLOOKUP(E55,lookups_s60!$AQ$4:$AQ$1000,lookups_s60!$AW$4:$AW$1000,"",0),C55&lt;&gt;"",W55-_xlfn.XLOOKUP(E55,lookups_s60!$AQ$4:$AQ$1000,lookups_s60!$AV$4:$AV$1000,"",0)-_xlfn.XLOOKUP(E55,lookups_s60!$AQ$4:$AQ$1000,lookups_s60!$AW$4:$AW$1000,"",0)),"")</f>
        <v/>
      </c>
      <c r="BD55" s="20" t="str" cm="1">
        <f t="array" ref="BD55">IFERROR(_xlfn.IFS(E55="Awning",AS55-_xlfn.XLOOKUP(E55,lookups_s60!$AQ$4:$AQ$1000,lookups_s60!$AX$4:$AX$1000,"",0)-_xlfn.XLOOKUP(E55,lookups_s60!$AQ$4:$AQ$1000,lookups_s60!$AY$4:$AY$1000,"",0),C55&lt;&gt;"",Y55-_xlfn.XLOOKUP(E55,lookups_s60!$AQ$4:$AQ$1000,lookups_s60!$AX$4:$AX$1000,"",0)-_xlfn.XLOOKUP(E55,lookups_s60!$AQ$4:$AQ$1000,lookups_s60!$AY$4:$AY$1000,"",0)),"")</f>
        <v/>
      </c>
      <c r="BE55" s="20" t="str">
        <f>IF(BC55&lt;&gt;"", _xlfn.XLOOKUP(E55,lookups_s60!$AQ$4:$AQ$1000,lookups_s60!$AZ$4:$AZ$1000,"",0)*D55,"")</f>
        <v/>
      </c>
      <c r="BG55" s="20" t="str">
        <f t="shared" si="3"/>
        <v/>
      </c>
      <c r="BH55" s="22" t="str">
        <f t="shared" si="4"/>
        <v/>
      </c>
      <c r="BI55" s="20" t="str">
        <f t="shared" si="5"/>
        <v/>
      </c>
      <c r="BJ55" s="20" t="str">
        <f t="shared" si="6"/>
        <v/>
      </c>
      <c r="BK55" s="20" t="str">
        <f t="shared" si="7"/>
        <v/>
      </c>
    </row>
    <row r="56" spans="3:63" ht="13.5" customHeight="1" x14ac:dyDescent="0.25">
      <c r="C56" s="16"/>
      <c r="D56" s="16"/>
      <c r="E56" s="16"/>
      <c r="F56" s="16"/>
      <c r="G56" s="16"/>
      <c r="H56" s="16"/>
      <c r="I56" s="16"/>
      <c r="J56" s="16"/>
      <c r="K56" s="16"/>
      <c r="M56" s="20" t="str">
        <f t="shared" si="0"/>
        <v/>
      </c>
      <c r="N56" s="20" t="str" cm="1">
        <f t="array" ref="N56">IFERROR(_xlfn.IFS(OR(E56="Fix Awning (Vertical)", E56="Fix Awning (Horizontal)"), J56/2+20,C56&lt;&gt;"", J56+M56),"")</f>
        <v/>
      </c>
      <c r="O56" s="20" t="str">
        <f>IF(D56&lt;&gt;"", D56*_xlfn.XLOOKUP(E56,lookups_s60!$B$4:$B$1000,lookups_s60!$C$4:$C$1000,"",0),"")</f>
        <v/>
      </c>
      <c r="P56" s="20" t="str">
        <f t="shared" si="1"/>
        <v/>
      </c>
      <c r="Q56" s="20" t="str">
        <f>IF(D56&lt;&gt;"", D56*_xlfn.XLOOKUP(E56,lookups_s60!$B$4:$B$1000,lookups_s60!$D$4:$D$1000,"",0),"")</f>
        <v/>
      </c>
      <c r="S56" s="20" t="str" cm="1">
        <f t="array" ref="S56">IFERROR(_xlfn.IFS(E56="Double Fix",K56+_xlfn.XLOOKUP(E56,lookups_s60!$G$4:$G$1000,lookups_s60!$H$4:$H$1000,"",0), OR(E56="Double Awning (Horizontal)", E56="Double Awning (Vertical)",E56="Triple Awning (Horizontal)", E56="Triple Awning (Vertical)"), J56+_xlfn.XLOOKUP(E56,lookups_s60!$G$4:$G$1000,lookups_s60!$H$4:$H$1000,"",0), E56="Double Casement", J56+_xlfn.XLOOKUP(E56,lookups_s60!$G$4:$G$1000,lookups_s60!$H$4:$H$1000,"",0), OR(E56="Fix Awning (Vertical)", E56="Fix Awning (Horizontal)"), K56+_xlfn.XLOOKUP(E56,lookups_s60!$G$4:$G$1000,lookups_s60!$H$4:$H$1000,"",0), E56="Triple Casement", J56+_xlfn.XLOOKUP(E56,lookups_s60!$G$4:$G$1000,lookups_s60!$H$4:$H$1000,"",0)),"")</f>
        <v/>
      </c>
      <c r="T56" s="20" t="str">
        <f>IF(S56&lt;&gt;"",D56*_xlfn.XLOOKUP(E56,lookups_s60!$G$4:$G$1000,lookups_s60!$I$4:$I$1000,"",0),"")</f>
        <v/>
      </c>
      <c r="V56" s="20" t="str">
        <f>IF(_xlfn.XLOOKUP(E56,lookups_s60!$L$4:$L$1000,lookups_s60!$M$4:$M$1000,"",0)=0, "", _xlfn.XLOOKUP(E56,lookups_s60!$L$4:$L$1000,lookups_s60!$M$4:$M$1000,"",0))</f>
        <v/>
      </c>
      <c r="W56" s="20" t="str" cm="1">
        <f t="array" ref="W56">IFERROR(_xlfn.IFS(OR(E56="Fix Awning (Vertical)",E56="Fix Awning (Vertical)"),   ((J56-_xlfn.XLOOKUP(E56,lookups_s60!$L$4:$L$1000,lookups_s60!$N$4:$N$1000,"",0)-40)/2)+_xlfn.XLOOKUP(E56,lookups_s60!$L$4:$L$1000,lookups_s60!$O$4:$O$1000,"",0), V56&lt;&gt;"", J56-_xlfn.XLOOKUP(E56,lookups_s60!$L$4:$L$1000,lookups_s60!$N$4:$N$1000,"",0)+_xlfn.XLOOKUP(E56,lookups_s60!$L$4:$L$1000,lookups_s60!$O$4:$O$1000,"",0)),"")</f>
        <v/>
      </c>
      <c r="X56" s="20" t="str">
        <f>IF(_xlfn.XLOOKUP(E56,lookups_s60!$L$4:$L$1000,lookups_s60!$R$4:$R$1000,"",0)=0, "", D56*_xlfn.XLOOKUP(E56,lookups_s60!$L$4:$L$1000,lookups_s60!$R$4:$R$1000,"",0))</f>
        <v/>
      </c>
      <c r="Y56" s="22" t="str" cm="1">
        <f t="array" ref="Y56">IFERROR(_xlfn.IFS(OR(E56="Double Awning (Horizontal)", E56="Double Awning (Vertical)", E56="Triple Awning (Horizontal)", E56="Triple Awning (Vertical)", E56="Double Casement"), ((K56-_xlfn.XLOOKUP(E56,lookups_s60!$L$4:$L$1000,lookups_s60!$P$4:$P$1000,"",0)-36)/2)+_xlfn.XLOOKUP(E56,lookups_s60!$L$4:$L$1000,lookups_s60!$Q$4:$Q$1000,"",0), E56="Triple Casement",((K56-_xlfn.XLOOKUP(E56,lookups_s60!$L$4:$L$1000,lookups_s60!$P$4:$P$1000,"",0)-36-36)/3)+_xlfn.XLOOKUP(E56,lookups_s60!$L$4:$L$1000,lookups_s60!$Q$4:$Q$1000,"",0),V56&lt;&gt;"",K56-_xlfn.XLOOKUP(E56,lookups_s60!$L$4:$L$1000,lookups_s60!$P$4:$P$1000,"",0)+_xlfn.XLOOKUP(E56,lookups_s60!$L$4:$L$1000,lookups_s60!$Q$4:$Q$1000,"",0)),"")</f>
        <v/>
      </c>
      <c r="Z56" s="20" t="str">
        <f>IF(_xlfn.XLOOKUP(E56,lookups_s60!$L$4:$L$1000,lookups_s60!$R$4:$R$1000,"",0)=0, "", D56*_xlfn.XLOOKUP(E56,lookups_s60!$L$4:$L$1000,lookups_s60!$R$4:$R$1000,"",0))</f>
        <v/>
      </c>
      <c r="AB56" s="20" t="str" cm="1">
        <f t="array" ref="AB56">IFERROR(_xlfn.IFS(OR(E56="Fix", E56="Double Fix"),J56-_xlfn.XLOOKUP(E56,lookups_s60!$U$4:$U$1000,lookups_s60!$V$4:$V$1000,"",0),OR(E56="Fix Awning (Vertical)", E56="Fix Awning (Horizontal)"),(J56-_xlfn.XLOOKUP(E56,lookups_s60!$U$4:$U$1000,lookups_s60!$V$4:$V$1000,"",0)-40)/2),"")</f>
        <v/>
      </c>
      <c r="AC56" s="20" t="str">
        <f>IF(_xlfn.XLOOKUP(E56,lookups_s60!$U$4:$U$1000,lookups_s60!$X$4:$X$1000,"",0)=0,"",D56*_xlfn.XLOOKUP(E56,lookups_s60!$U$4:$U$1000,lookups_s60!$X$4:$X$1000,"",0))</f>
        <v/>
      </c>
      <c r="AD56" s="20" t="str">
        <f>IF(OR(E56="Fix", E56="Double Fix", E56="Fix Awning (Vertical)", E56="Fix Awning (Horizontal)"), K56-_xlfn.XLOOKUP(E56,lookups_s60!$U$4:$U$1000,lookups_s60!$W$4:$W$1000,"",0), "")</f>
        <v/>
      </c>
      <c r="AE56" s="20" t="str">
        <f>IF(_xlfn.XLOOKUP(E56,lookups_s60!$U$4:$U$1000,lookups_s60!$X$4:$X$1000,"",0)=0,"",D56*_xlfn.XLOOKUP(E56,lookups_s60!$U$4:$U$1000,lookups_s60!$Y$4:$Y$1000,"",0))</f>
        <v/>
      </c>
      <c r="AG56" s="24" t="str">
        <f>IF(W56&lt;&gt;"", W56-_xlfn.XLOOKUP(E56,lookups_s60!$U$4:$U$1000,lookups_s60!$Z$4:$Z$1000,"",0)-IF(E56="Awning", 5,0),"")</f>
        <v/>
      </c>
      <c r="AH56" s="20" t="str">
        <f>IF(_xlfn.XLOOKUP(E56,lookups_s60!$U$4:$U$1000,lookups_s60!$AB$4:$AB$1000,"",0)=0,"",D56*_xlfn.XLOOKUP(E56,lookups_s60!$U$4:$U$1000,lookups_s60!$AB$4:$AB$1000,"",0))</f>
        <v/>
      </c>
      <c r="AI56" s="22" t="str">
        <f>IF(Y56&lt;&gt;"", Y56-_xlfn.XLOOKUP(E56,lookups_s60!$U$4:$U$1000,lookups_s60!$AA$4:$AA$1000,"",0),"")</f>
        <v/>
      </c>
      <c r="AJ56" s="20" t="str">
        <f>IF(_xlfn.XLOOKUP(E56,lookups_s60!$U$4:$U$1000,lookups_s60!$AC$4:$AC$1000,"",0)=0,"",D56*_xlfn.XLOOKUP(E56,lookups_s60!$U$4:$U$1000,lookups_s60!$AC$4:$AC$1000,"",0))</f>
        <v/>
      </c>
      <c r="AL56" s="20" t="str">
        <f>IF(C56&lt;&gt;"", N56-_xlfn.XLOOKUP(E56,lookups_s60!$AF$4:$AF$1000,lookups_s60!$AG$4:$AG$1000,"",0),"")</f>
        <v/>
      </c>
      <c r="AM56" s="20" t="str">
        <f>IF(_xlfn.XLOOKUP(E56,lookups_s60!$AF$4:$AF$1000,lookups_s60!$AH$4:$AH$1000,"",0)=0,"",D56*_xlfn.XLOOKUP(E56,lookups_s60!$AF$4:$AF$1000,lookups_s60!$AH$4:$AH$1000,"",0))</f>
        <v/>
      </c>
      <c r="AN56" s="20" t="str">
        <f>IF(C56&lt;&gt;"", P56-_xlfn.XLOOKUP(E56,lookups_s60!$AF$4:$AF$1000,lookups_s60!$AG$4:$AG$1000,"",0),"")</f>
        <v/>
      </c>
      <c r="AO56" s="20" t="str">
        <f>IFERROR(IF(_xlfn.XLOOKUP(E56,lookups_s60!$AF$4:$AF$1000,lookups_s60!$AI$4:$AI$1000,"",0)=0,"",D56*_xlfn.XLOOKUP(E56,lookups_s60!$AF$4:$AF$1000,lookups_s60!$AI$4:$AI$1000,"",0)),"")</f>
        <v/>
      </c>
      <c r="AQ56" s="20" t="str">
        <f>IF(W56&lt;&gt;"", W56-_xlfn.XLOOKUP(E56,lookups_s60!$AF$4:$AF$1000,lookups_s60!$AJ$4:$AJ$1000,"",0),"")</f>
        <v/>
      </c>
      <c r="AR56" s="20" t="str">
        <f>IFERROR(IF(_xlfn.XLOOKUP(E56,lookups_s60!$AF$4:$AF$1000,lookups_s60!$AK$4:$AK$1000,"",0)=0,"",D56*_xlfn.XLOOKUP(E56,lookups_s60!$AF$4:$AF$1000,lookups_s60!$AK$4:$AK$1000,"",0)),"")</f>
        <v/>
      </c>
      <c r="AS56" s="20" t="str">
        <f>IF(Y56&lt;&gt;"", Y56-_xlfn.XLOOKUP(E56,lookups_s60!$AF$4:$AF$1000,lookups_s60!$AJ$4:$AJ$1000,"",0),"")</f>
        <v/>
      </c>
      <c r="AT56" s="20" t="str">
        <f>IFERROR(IF(_xlfn.XLOOKUP(E56,lookups_s60!$AF$4:$AF$1000,lookups_s60!$AL$4:$AL$1000,"",0)=0,"",D56*_xlfn.XLOOKUP(E56,lookups_s60!$AF$4:$AF$1000,lookups_s60!$AL$4:$AL$1000,"",0)),"")</f>
        <v/>
      </c>
      <c r="AV56" s="20" t="str">
        <f>IF(S56&lt;&gt;"", S56-_xlfn.XLOOKUP(E56,lookups_s60!$AF$4:$AF$1000,lookups_s60!$AM$4:$AM$1000,"",0),"")</f>
        <v/>
      </c>
      <c r="AW56" s="20" t="str">
        <f>IFERROR(IF(_xlfn.XLOOKUP(E56,lookups_s60!$AF$4:$AF$1000,lookups_s60!$AN$4:$AN$1000,"",0)=0,"",D56*_xlfn.XLOOKUP(E56,lookups_s60!$AF$4:$AF$1000,lookups_s60!$AN$4:$AN$1000,"",0)),"")</f>
        <v/>
      </c>
      <c r="AY56" s="20" t="str" cm="1">
        <f t="array" ref="AY56">IFERROR(_xlfn.IFS(E56="Fix", J56-_xlfn.XLOOKUP(E56,lookups_s60!$AQ$4:$AQ$1000,lookups_s60!$AR$4:$AR$1000,"",0)-_xlfn.XLOOKUP(E56,lookups_s60!$AQ$4:$AQ$1000,lookups_s60!$AS$4:$AS$1000,"",0), E56="Double Fix", (J56-_xlfn.XLOOKUP(E56,lookups_s60!$AQ$4:$AQ$1000,lookups_s60!$AR$4:$AR$1000,"",0)-_xlfn.XLOOKUP(E56,lookups_s60!$G$4:$G$1000,lookups_s60!$H$4:$H$1000,"",0))/2-_xlfn.XLOOKUP(E56,lookups_s60!$AQ$4:$AQ$1000,lookups_s60!$AS$4:$AS$1000,"",0), OR(E56="Fix Awning (Vertical)",E56="Fix Awning (Horizontal)"),  (J56-_xlfn.XLOOKUP(E56,lookups_s60!$AQ$4:$AQ$1000,lookups_s60!$AR$4:$AR$1000,"",0)-40)/2-_xlfn.XLOOKUP(E56,lookups_s60!$AQ$4:$AQ$1000,lookups_s60!$AS$4:$AS$1000,"",0)),"")</f>
        <v/>
      </c>
      <c r="AZ56" s="20" t="str">
        <f>IFERROR(IF(C56&lt;&gt;"", K56-_xlfn.XLOOKUP(E56,lookups_s60!$AQ$4:$AQ$1000,lookups_s60!$AT$4:$AT$1000,"",0)-_xlfn.XLOOKUP(E56,lookups_s60!$AQ$4:$AQ$1000,lookups_s60!$AU$4:$AU$1000,"",0),""),"")</f>
        <v/>
      </c>
      <c r="BA56" s="20" t="str">
        <f t="shared" si="8"/>
        <v/>
      </c>
      <c r="BC56" s="20" t="str" cm="1">
        <f t="array" ref="BC56">IFERROR(_xlfn.IFS(E56="Awning",AQ56-_xlfn.XLOOKUP(E56,lookups_s60!$AQ$4:$AQ$1000,lookups_s60!$AV$4:$AV$1000,"",0)-_xlfn.XLOOKUP(E56,lookups_s60!$AQ$4:$AQ$1000,lookups_s60!$AW$4:$AW$1000,"",0),C56&lt;&gt;"",W56-_xlfn.XLOOKUP(E56,lookups_s60!$AQ$4:$AQ$1000,lookups_s60!$AV$4:$AV$1000,"",0)-_xlfn.XLOOKUP(E56,lookups_s60!$AQ$4:$AQ$1000,lookups_s60!$AW$4:$AW$1000,"",0)),"")</f>
        <v/>
      </c>
      <c r="BD56" s="20" t="str" cm="1">
        <f t="array" ref="BD56">IFERROR(_xlfn.IFS(E56="Awning",AS56-_xlfn.XLOOKUP(E56,lookups_s60!$AQ$4:$AQ$1000,lookups_s60!$AX$4:$AX$1000,"",0)-_xlfn.XLOOKUP(E56,lookups_s60!$AQ$4:$AQ$1000,lookups_s60!$AY$4:$AY$1000,"",0),C56&lt;&gt;"",Y56-_xlfn.XLOOKUP(E56,lookups_s60!$AQ$4:$AQ$1000,lookups_s60!$AX$4:$AX$1000,"",0)-_xlfn.XLOOKUP(E56,lookups_s60!$AQ$4:$AQ$1000,lookups_s60!$AY$4:$AY$1000,"",0)),"")</f>
        <v/>
      </c>
      <c r="BE56" s="20" t="str">
        <f>IF(BC56&lt;&gt;"", _xlfn.XLOOKUP(E56,lookups_s60!$AQ$4:$AQ$1000,lookups_s60!$AZ$4:$AZ$1000,"",0)*D56,"")</f>
        <v/>
      </c>
      <c r="BG56" s="20" t="str">
        <f t="shared" si="3"/>
        <v/>
      </c>
      <c r="BH56" s="22" t="str">
        <f t="shared" si="4"/>
        <v/>
      </c>
      <c r="BI56" s="20" t="str">
        <f t="shared" si="5"/>
        <v/>
      </c>
      <c r="BJ56" s="20" t="str">
        <f t="shared" si="6"/>
        <v/>
      </c>
      <c r="BK56" s="20" t="str">
        <f t="shared" si="7"/>
        <v/>
      </c>
    </row>
    <row r="57" spans="3:63" ht="13.5" customHeight="1" x14ac:dyDescent="0.25">
      <c r="C57" s="16"/>
      <c r="D57" s="16"/>
      <c r="E57" s="16"/>
      <c r="F57" s="16"/>
      <c r="G57" s="16"/>
      <c r="H57" s="16"/>
      <c r="I57" s="16"/>
      <c r="J57" s="16"/>
      <c r="K57" s="16"/>
      <c r="M57" s="20" t="str">
        <f t="shared" si="0"/>
        <v/>
      </c>
      <c r="N57" s="20" t="str" cm="1">
        <f t="array" ref="N57">IFERROR(_xlfn.IFS(OR(E57="Fix Awning (Vertical)", E57="Fix Awning (Horizontal)"), J57/2+20,C57&lt;&gt;"", J57+M57),"")</f>
        <v/>
      </c>
      <c r="O57" s="20" t="str">
        <f>IF(D57&lt;&gt;"", D57*_xlfn.XLOOKUP(E57,lookups_s60!$B$4:$B$1000,lookups_s60!$C$4:$C$1000,"",0),"")</f>
        <v/>
      </c>
      <c r="P57" s="20" t="str">
        <f t="shared" si="1"/>
        <v/>
      </c>
      <c r="Q57" s="20" t="str">
        <f>IF(D57&lt;&gt;"", D57*_xlfn.XLOOKUP(E57,lookups_s60!$B$4:$B$1000,lookups_s60!$D$4:$D$1000,"",0),"")</f>
        <v/>
      </c>
      <c r="S57" s="20" t="str" cm="1">
        <f t="array" ref="S57">IFERROR(_xlfn.IFS(E57="Double Fix",K57+_xlfn.XLOOKUP(E57,lookups_s60!$G$4:$G$1000,lookups_s60!$H$4:$H$1000,"",0), OR(E57="Double Awning (Horizontal)", E57="Double Awning (Vertical)",E57="Triple Awning (Horizontal)", E57="Triple Awning (Vertical)"), J57+_xlfn.XLOOKUP(E57,lookups_s60!$G$4:$G$1000,lookups_s60!$H$4:$H$1000,"",0), E57="Double Casement", J57+_xlfn.XLOOKUP(E57,lookups_s60!$G$4:$G$1000,lookups_s60!$H$4:$H$1000,"",0), OR(E57="Fix Awning (Vertical)", E57="Fix Awning (Horizontal)"), K57+_xlfn.XLOOKUP(E57,lookups_s60!$G$4:$G$1000,lookups_s60!$H$4:$H$1000,"",0), E57="Triple Casement", J57+_xlfn.XLOOKUP(E57,lookups_s60!$G$4:$G$1000,lookups_s60!$H$4:$H$1000,"",0)),"")</f>
        <v/>
      </c>
      <c r="T57" s="20" t="str">
        <f>IF(S57&lt;&gt;"",D57*_xlfn.XLOOKUP(E57,lookups_s60!$G$4:$G$1000,lookups_s60!$I$4:$I$1000,"",0),"")</f>
        <v/>
      </c>
      <c r="V57" s="20" t="str">
        <f>IF(_xlfn.XLOOKUP(E57,lookups_s60!$L$4:$L$1000,lookups_s60!$M$4:$M$1000,"",0)=0, "", _xlfn.XLOOKUP(E57,lookups_s60!$L$4:$L$1000,lookups_s60!$M$4:$M$1000,"",0))</f>
        <v/>
      </c>
      <c r="W57" s="20" t="str" cm="1">
        <f t="array" ref="W57">IFERROR(_xlfn.IFS(OR(E57="Fix Awning (Vertical)",E57="Fix Awning (Vertical)"),   ((J57-_xlfn.XLOOKUP(E57,lookups_s60!$L$4:$L$1000,lookups_s60!$N$4:$N$1000,"",0)-40)/2)+_xlfn.XLOOKUP(E57,lookups_s60!$L$4:$L$1000,lookups_s60!$O$4:$O$1000,"",0), V57&lt;&gt;"", J57-_xlfn.XLOOKUP(E57,lookups_s60!$L$4:$L$1000,lookups_s60!$N$4:$N$1000,"",0)+_xlfn.XLOOKUP(E57,lookups_s60!$L$4:$L$1000,lookups_s60!$O$4:$O$1000,"",0)),"")</f>
        <v/>
      </c>
      <c r="X57" s="20" t="str">
        <f>IF(_xlfn.XLOOKUP(E57,lookups_s60!$L$4:$L$1000,lookups_s60!$R$4:$R$1000,"",0)=0, "", D57*_xlfn.XLOOKUP(E57,lookups_s60!$L$4:$L$1000,lookups_s60!$R$4:$R$1000,"",0))</f>
        <v/>
      </c>
      <c r="Y57" s="22" t="str" cm="1">
        <f t="array" ref="Y57">IFERROR(_xlfn.IFS(OR(E57="Double Awning (Horizontal)", E57="Double Awning (Vertical)", E57="Triple Awning (Horizontal)", E57="Triple Awning (Vertical)", E57="Double Casement"), ((K57-_xlfn.XLOOKUP(E57,lookups_s60!$L$4:$L$1000,lookups_s60!$P$4:$P$1000,"",0)-36)/2)+_xlfn.XLOOKUP(E57,lookups_s60!$L$4:$L$1000,lookups_s60!$Q$4:$Q$1000,"",0), E57="Triple Casement",((K57-_xlfn.XLOOKUP(E57,lookups_s60!$L$4:$L$1000,lookups_s60!$P$4:$P$1000,"",0)-36-36)/3)+_xlfn.XLOOKUP(E57,lookups_s60!$L$4:$L$1000,lookups_s60!$Q$4:$Q$1000,"",0),V57&lt;&gt;"",K57-_xlfn.XLOOKUP(E57,lookups_s60!$L$4:$L$1000,lookups_s60!$P$4:$P$1000,"",0)+_xlfn.XLOOKUP(E57,lookups_s60!$L$4:$L$1000,lookups_s60!$Q$4:$Q$1000,"",0)),"")</f>
        <v/>
      </c>
      <c r="Z57" s="20" t="str">
        <f>IF(_xlfn.XLOOKUP(E57,lookups_s60!$L$4:$L$1000,lookups_s60!$R$4:$R$1000,"",0)=0, "", D57*_xlfn.XLOOKUP(E57,lookups_s60!$L$4:$L$1000,lookups_s60!$R$4:$R$1000,"",0))</f>
        <v/>
      </c>
      <c r="AB57" s="20" t="str" cm="1">
        <f t="array" ref="AB57">IFERROR(_xlfn.IFS(OR(E57="Fix", E57="Double Fix"),J57-_xlfn.XLOOKUP(E57,lookups_s60!$U$4:$U$1000,lookups_s60!$V$4:$V$1000,"",0),OR(E57="Fix Awning (Vertical)", E57="Fix Awning (Horizontal)"),(J57-_xlfn.XLOOKUP(E57,lookups_s60!$U$4:$U$1000,lookups_s60!$V$4:$V$1000,"",0)-40)/2),"")</f>
        <v/>
      </c>
      <c r="AC57" s="20" t="str">
        <f>IF(_xlfn.XLOOKUP(E57,lookups_s60!$U$4:$U$1000,lookups_s60!$X$4:$X$1000,"",0)=0,"",D57*_xlfn.XLOOKUP(E57,lookups_s60!$U$4:$U$1000,lookups_s60!$X$4:$X$1000,"",0))</f>
        <v/>
      </c>
      <c r="AD57" s="20" t="str">
        <f>IF(OR(E57="Fix", E57="Double Fix", E57="Fix Awning (Vertical)", E57="Fix Awning (Horizontal)"), K57-_xlfn.XLOOKUP(E57,lookups_s60!$U$4:$U$1000,lookups_s60!$W$4:$W$1000,"",0), "")</f>
        <v/>
      </c>
      <c r="AE57" s="20" t="str">
        <f>IF(_xlfn.XLOOKUP(E57,lookups_s60!$U$4:$U$1000,lookups_s60!$X$4:$X$1000,"",0)=0,"",D57*_xlfn.XLOOKUP(E57,lookups_s60!$U$4:$U$1000,lookups_s60!$Y$4:$Y$1000,"",0))</f>
        <v/>
      </c>
      <c r="AG57" s="24" t="str">
        <f>IF(W57&lt;&gt;"", W57-_xlfn.XLOOKUP(E57,lookups_s60!$U$4:$U$1000,lookups_s60!$Z$4:$Z$1000,"",0)-IF(E57="Awning", 5,0),"")</f>
        <v/>
      </c>
      <c r="AH57" s="20" t="str">
        <f>IF(_xlfn.XLOOKUP(E57,lookups_s60!$U$4:$U$1000,lookups_s60!$AB$4:$AB$1000,"",0)=0,"",D57*_xlfn.XLOOKUP(E57,lookups_s60!$U$4:$U$1000,lookups_s60!$AB$4:$AB$1000,"",0))</f>
        <v/>
      </c>
      <c r="AI57" s="22" t="str">
        <f>IF(Y57&lt;&gt;"", Y57-_xlfn.XLOOKUP(E57,lookups_s60!$U$4:$U$1000,lookups_s60!$AA$4:$AA$1000,"",0),"")</f>
        <v/>
      </c>
      <c r="AJ57" s="20" t="str">
        <f>IF(_xlfn.XLOOKUP(E57,lookups_s60!$U$4:$U$1000,lookups_s60!$AC$4:$AC$1000,"",0)=0,"",D57*_xlfn.XLOOKUP(E57,lookups_s60!$U$4:$U$1000,lookups_s60!$AC$4:$AC$1000,"",0))</f>
        <v/>
      </c>
      <c r="AL57" s="20" t="str">
        <f>IF(C57&lt;&gt;"", N57-_xlfn.XLOOKUP(E57,lookups_s60!$AF$4:$AF$1000,lookups_s60!$AG$4:$AG$1000,"",0),"")</f>
        <v/>
      </c>
      <c r="AM57" s="20" t="str">
        <f>IF(_xlfn.XLOOKUP(E57,lookups_s60!$AF$4:$AF$1000,lookups_s60!$AH$4:$AH$1000,"",0)=0,"",D57*_xlfn.XLOOKUP(E57,lookups_s60!$AF$4:$AF$1000,lookups_s60!$AH$4:$AH$1000,"",0))</f>
        <v/>
      </c>
      <c r="AN57" s="20" t="str">
        <f>IF(C57&lt;&gt;"", P57-_xlfn.XLOOKUP(E57,lookups_s60!$AF$4:$AF$1000,lookups_s60!$AG$4:$AG$1000,"",0),"")</f>
        <v/>
      </c>
      <c r="AO57" s="20" t="str">
        <f>IFERROR(IF(_xlfn.XLOOKUP(E57,lookups_s60!$AF$4:$AF$1000,lookups_s60!$AI$4:$AI$1000,"",0)=0,"",D57*_xlfn.XLOOKUP(E57,lookups_s60!$AF$4:$AF$1000,lookups_s60!$AI$4:$AI$1000,"",0)),"")</f>
        <v/>
      </c>
      <c r="AQ57" s="20" t="str">
        <f>IF(W57&lt;&gt;"", W57-_xlfn.XLOOKUP(E57,lookups_s60!$AF$4:$AF$1000,lookups_s60!$AJ$4:$AJ$1000,"",0),"")</f>
        <v/>
      </c>
      <c r="AR57" s="20" t="str">
        <f>IFERROR(IF(_xlfn.XLOOKUP(E57,lookups_s60!$AF$4:$AF$1000,lookups_s60!$AK$4:$AK$1000,"",0)=0,"",D57*_xlfn.XLOOKUP(E57,lookups_s60!$AF$4:$AF$1000,lookups_s60!$AK$4:$AK$1000,"",0)),"")</f>
        <v/>
      </c>
      <c r="AS57" s="20" t="str">
        <f>IF(Y57&lt;&gt;"", Y57-_xlfn.XLOOKUP(E57,lookups_s60!$AF$4:$AF$1000,lookups_s60!$AJ$4:$AJ$1000,"",0),"")</f>
        <v/>
      </c>
      <c r="AT57" s="20" t="str">
        <f>IFERROR(IF(_xlfn.XLOOKUP(E57,lookups_s60!$AF$4:$AF$1000,lookups_s60!$AL$4:$AL$1000,"",0)=0,"",D57*_xlfn.XLOOKUP(E57,lookups_s60!$AF$4:$AF$1000,lookups_s60!$AL$4:$AL$1000,"",0)),"")</f>
        <v/>
      </c>
      <c r="AV57" s="20" t="str">
        <f>IF(S57&lt;&gt;"", S57-_xlfn.XLOOKUP(E57,lookups_s60!$AF$4:$AF$1000,lookups_s60!$AM$4:$AM$1000,"",0),"")</f>
        <v/>
      </c>
      <c r="AW57" s="20" t="str">
        <f>IFERROR(IF(_xlfn.XLOOKUP(E57,lookups_s60!$AF$4:$AF$1000,lookups_s60!$AN$4:$AN$1000,"",0)=0,"",D57*_xlfn.XLOOKUP(E57,lookups_s60!$AF$4:$AF$1000,lookups_s60!$AN$4:$AN$1000,"",0)),"")</f>
        <v/>
      </c>
      <c r="AY57" s="20" t="str" cm="1">
        <f t="array" ref="AY57">IFERROR(_xlfn.IFS(E57="Fix", J57-_xlfn.XLOOKUP(E57,lookups_s60!$AQ$4:$AQ$1000,lookups_s60!$AR$4:$AR$1000,"",0)-_xlfn.XLOOKUP(E57,lookups_s60!$AQ$4:$AQ$1000,lookups_s60!$AS$4:$AS$1000,"",0), E57="Double Fix", (J57-_xlfn.XLOOKUP(E57,lookups_s60!$AQ$4:$AQ$1000,lookups_s60!$AR$4:$AR$1000,"",0)-_xlfn.XLOOKUP(E57,lookups_s60!$G$4:$G$1000,lookups_s60!$H$4:$H$1000,"",0))/2-_xlfn.XLOOKUP(E57,lookups_s60!$AQ$4:$AQ$1000,lookups_s60!$AS$4:$AS$1000,"",0), OR(E57="Fix Awning (Vertical)",E57="Fix Awning (Horizontal)"),  (J57-_xlfn.XLOOKUP(E57,lookups_s60!$AQ$4:$AQ$1000,lookups_s60!$AR$4:$AR$1000,"",0)-40)/2-_xlfn.XLOOKUP(E57,lookups_s60!$AQ$4:$AQ$1000,lookups_s60!$AS$4:$AS$1000,"",0)),"")</f>
        <v/>
      </c>
      <c r="AZ57" s="20" t="str">
        <f>IFERROR(IF(C57&lt;&gt;"", K57-_xlfn.XLOOKUP(E57,lookups_s60!$AQ$4:$AQ$1000,lookups_s60!$AT$4:$AT$1000,"",0)-_xlfn.XLOOKUP(E57,lookups_s60!$AQ$4:$AQ$1000,lookups_s60!$AU$4:$AU$1000,"",0),""),"")</f>
        <v/>
      </c>
      <c r="BA57" s="20" t="str">
        <f t="shared" si="8"/>
        <v/>
      </c>
      <c r="BC57" s="20" t="str" cm="1">
        <f t="array" ref="BC57">IFERROR(_xlfn.IFS(E57="Awning",AQ57-_xlfn.XLOOKUP(E57,lookups_s60!$AQ$4:$AQ$1000,lookups_s60!$AV$4:$AV$1000,"",0)-_xlfn.XLOOKUP(E57,lookups_s60!$AQ$4:$AQ$1000,lookups_s60!$AW$4:$AW$1000,"",0),C57&lt;&gt;"",W57-_xlfn.XLOOKUP(E57,lookups_s60!$AQ$4:$AQ$1000,lookups_s60!$AV$4:$AV$1000,"",0)-_xlfn.XLOOKUP(E57,lookups_s60!$AQ$4:$AQ$1000,lookups_s60!$AW$4:$AW$1000,"",0)),"")</f>
        <v/>
      </c>
      <c r="BD57" s="20" t="str" cm="1">
        <f t="array" ref="BD57">IFERROR(_xlfn.IFS(E57="Awning",AS57-_xlfn.XLOOKUP(E57,lookups_s60!$AQ$4:$AQ$1000,lookups_s60!$AX$4:$AX$1000,"",0)-_xlfn.XLOOKUP(E57,lookups_s60!$AQ$4:$AQ$1000,lookups_s60!$AY$4:$AY$1000,"",0),C57&lt;&gt;"",Y57-_xlfn.XLOOKUP(E57,lookups_s60!$AQ$4:$AQ$1000,lookups_s60!$AX$4:$AX$1000,"",0)-_xlfn.XLOOKUP(E57,lookups_s60!$AQ$4:$AQ$1000,lookups_s60!$AY$4:$AY$1000,"",0)),"")</f>
        <v/>
      </c>
      <c r="BE57" s="20" t="str">
        <f>IF(BC57&lt;&gt;"", _xlfn.XLOOKUP(E57,lookups_s60!$AQ$4:$AQ$1000,lookups_s60!$AZ$4:$AZ$1000,"",0)*D57,"")</f>
        <v/>
      </c>
      <c r="BG57" s="20" t="str">
        <f t="shared" si="3"/>
        <v/>
      </c>
      <c r="BH57" s="22" t="str">
        <f t="shared" si="4"/>
        <v/>
      </c>
      <c r="BI57" s="20" t="str">
        <f t="shared" si="5"/>
        <v/>
      </c>
      <c r="BJ57" s="20" t="str">
        <f t="shared" si="6"/>
        <v/>
      </c>
      <c r="BK57" s="20" t="str">
        <f t="shared" si="7"/>
        <v/>
      </c>
    </row>
    <row r="58" spans="3:63" ht="13.5" customHeight="1" x14ac:dyDescent="0.25">
      <c r="C58" s="16"/>
      <c r="D58" s="16"/>
      <c r="E58" s="16"/>
      <c r="F58" s="16"/>
      <c r="G58" s="16"/>
      <c r="H58" s="16"/>
      <c r="I58" s="16"/>
      <c r="J58" s="16"/>
      <c r="K58" s="16"/>
      <c r="M58" s="20" t="str">
        <f t="shared" si="0"/>
        <v/>
      </c>
      <c r="N58" s="20" t="str" cm="1">
        <f t="array" ref="N58">IFERROR(_xlfn.IFS(OR(E58="Fix Awning (Vertical)", E58="Fix Awning (Horizontal)"), J58/2+20,C58&lt;&gt;"", J58+M58),"")</f>
        <v/>
      </c>
      <c r="O58" s="20" t="str">
        <f>IF(D58&lt;&gt;"", D58*_xlfn.XLOOKUP(E58,lookups_s60!$B$4:$B$1000,lookups_s60!$C$4:$C$1000,"",0),"")</f>
        <v/>
      </c>
      <c r="P58" s="20" t="str">
        <f t="shared" si="1"/>
        <v/>
      </c>
      <c r="Q58" s="20" t="str">
        <f>IF(D58&lt;&gt;"", D58*_xlfn.XLOOKUP(E58,lookups_s60!$B$4:$B$1000,lookups_s60!$D$4:$D$1000,"",0),"")</f>
        <v/>
      </c>
      <c r="S58" s="20" t="str" cm="1">
        <f t="array" ref="S58">IFERROR(_xlfn.IFS(E58="Double Fix",K58+_xlfn.XLOOKUP(E58,lookups_s60!$G$4:$G$1000,lookups_s60!$H$4:$H$1000,"",0), OR(E58="Double Awning (Horizontal)", E58="Double Awning (Vertical)",E58="Triple Awning (Horizontal)", E58="Triple Awning (Vertical)"), J58+_xlfn.XLOOKUP(E58,lookups_s60!$G$4:$G$1000,lookups_s60!$H$4:$H$1000,"",0), E58="Double Casement", J58+_xlfn.XLOOKUP(E58,lookups_s60!$G$4:$G$1000,lookups_s60!$H$4:$H$1000,"",0), OR(E58="Fix Awning (Vertical)", E58="Fix Awning (Horizontal)"), K58+_xlfn.XLOOKUP(E58,lookups_s60!$G$4:$G$1000,lookups_s60!$H$4:$H$1000,"",0), E58="Triple Casement", J58+_xlfn.XLOOKUP(E58,lookups_s60!$G$4:$G$1000,lookups_s60!$H$4:$H$1000,"",0)),"")</f>
        <v/>
      </c>
      <c r="T58" s="20" t="str">
        <f>IF(S58&lt;&gt;"",D58*_xlfn.XLOOKUP(E58,lookups_s60!$G$4:$G$1000,lookups_s60!$I$4:$I$1000,"",0),"")</f>
        <v/>
      </c>
      <c r="V58" s="20" t="str">
        <f>IF(_xlfn.XLOOKUP(E58,lookups_s60!$L$4:$L$1000,lookups_s60!$M$4:$M$1000,"",0)=0, "", _xlfn.XLOOKUP(E58,lookups_s60!$L$4:$L$1000,lookups_s60!$M$4:$M$1000,"",0))</f>
        <v/>
      </c>
      <c r="W58" s="20" t="str" cm="1">
        <f t="array" ref="W58">IFERROR(_xlfn.IFS(OR(E58="Fix Awning (Vertical)",E58="Fix Awning (Vertical)"),   ((J58-_xlfn.XLOOKUP(E58,lookups_s60!$L$4:$L$1000,lookups_s60!$N$4:$N$1000,"",0)-40)/2)+_xlfn.XLOOKUP(E58,lookups_s60!$L$4:$L$1000,lookups_s60!$O$4:$O$1000,"",0), V58&lt;&gt;"", J58-_xlfn.XLOOKUP(E58,lookups_s60!$L$4:$L$1000,lookups_s60!$N$4:$N$1000,"",0)+_xlfn.XLOOKUP(E58,lookups_s60!$L$4:$L$1000,lookups_s60!$O$4:$O$1000,"",0)),"")</f>
        <v/>
      </c>
      <c r="X58" s="20" t="str">
        <f>IF(_xlfn.XLOOKUP(E58,lookups_s60!$L$4:$L$1000,lookups_s60!$R$4:$R$1000,"",0)=0, "", D58*_xlfn.XLOOKUP(E58,lookups_s60!$L$4:$L$1000,lookups_s60!$R$4:$R$1000,"",0))</f>
        <v/>
      </c>
      <c r="Y58" s="22" t="str" cm="1">
        <f t="array" ref="Y58">IFERROR(_xlfn.IFS(OR(E58="Double Awning (Horizontal)", E58="Double Awning (Vertical)", E58="Triple Awning (Horizontal)", E58="Triple Awning (Vertical)", E58="Double Casement"), ((K58-_xlfn.XLOOKUP(E58,lookups_s60!$L$4:$L$1000,lookups_s60!$P$4:$P$1000,"",0)-36)/2)+_xlfn.XLOOKUP(E58,lookups_s60!$L$4:$L$1000,lookups_s60!$Q$4:$Q$1000,"",0), E58="Triple Casement",((K58-_xlfn.XLOOKUP(E58,lookups_s60!$L$4:$L$1000,lookups_s60!$P$4:$P$1000,"",0)-36-36)/3)+_xlfn.XLOOKUP(E58,lookups_s60!$L$4:$L$1000,lookups_s60!$Q$4:$Q$1000,"",0),V58&lt;&gt;"",K58-_xlfn.XLOOKUP(E58,lookups_s60!$L$4:$L$1000,lookups_s60!$P$4:$P$1000,"",0)+_xlfn.XLOOKUP(E58,lookups_s60!$L$4:$L$1000,lookups_s60!$Q$4:$Q$1000,"",0)),"")</f>
        <v/>
      </c>
      <c r="Z58" s="20" t="str">
        <f>IF(_xlfn.XLOOKUP(E58,lookups_s60!$L$4:$L$1000,lookups_s60!$R$4:$R$1000,"",0)=0, "", D58*_xlfn.XLOOKUP(E58,lookups_s60!$L$4:$L$1000,lookups_s60!$R$4:$R$1000,"",0))</f>
        <v/>
      </c>
      <c r="AB58" s="20" t="str" cm="1">
        <f t="array" ref="AB58">IFERROR(_xlfn.IFS(OR(E58="Fix", E58="Double Fix"),J58-_xlfn.XLOOKUP(E58,lookups_s60!$U$4:$U$1000,lookups_s60!$V$4:$V$1000,"",0),OR(E58="Fix Awning (Vertical)", E58="Fix Awning (Horizontal)"),(J58-_xlfn.XLOOKUP(E58,lookups_s60!$U$4:$U$1000,lookups_s60!$V$4:$V$1000,"",0)-40)/2),"")</f>
        <v/>
      </c>
      <c r="AC58" s="20" t="str">
        <f>IF(_xlfn.XLOOKUP(E58,lookups_s60!$U$4:$U$1000,lookups_s60!$X$4:$X$1000,"",0)=0,"",D58*_xlfn.XLOOKUP(E58,lookups_s60!$U$4:$U$1000,lookups_s60!$X$4:$X$1000,"",0))</f>
        <v/>
      </c>
      <c r="AD58" s="20" t="str">
        <f>IF(OR(E58="Fix", E58="Double Fix", E58="Fix Awning (Vertical)", E58="Fix Awning (Horizontal)"), K58-_xlfn.XLOOKUP(E58,lookups_s60!$U$4:$U$1000,lookups_s60!$W$4:$W$1000,"",0), "")</f>
        <v/>
      </c>
      <c r="AE58" s="20" t="str">
        <f>IF(_xlfn.XLOOKUP(E58,lookups_s60!$U$4:$U$1000,lookups_s60!$X$4:$X$1000,"",0)=0,"",D58*_xlfn.XLOOKUP(E58,lookups_s60!$U$4:$U$1000,lookups_s60!$Y$4:$Y$1000,"",0))</f>
        <v/>
      </c>
      <c r="AG58" s="24" t="str">
        <f>IF(W58&lt;&gt;"", W58-_xlfn.XLOOKUP(E58,lookups_s60!$U$4:$U$1000,lookups_s60!$Z$4:$Z$1000,"",0)-IF(E58="Awning", 5,0),"")</f>
        <v/>
      </c>
      <c r="AH58" s="20" t="str">
        <f>IF(_xlfn.XLOOKUP(E58,lookups_s60!$U$4:$U$1000,lookups_s60!$AB$4:$AB$1000,"",0)=0,"",D58*_xlfn.XLOOKUP(E58,lookups_s60!$U$4:$U$1000,lookups_s60!$AB$4:$AB$1000,"",0))</f>
        <v/>
      </c>
      <c r="AI58" s="22" t="str">
        <f>IF(Y58&lt;&gt;"", Y58-_xlfn.XLOOKUP(E58,lookups_s60!$U$4:$U$1000,lookups_s60!$AA$4:$AA$1000,"",0),"")</f>
        <v/>
      </c>
      <c r="AJ58" s="20" t="str">
        <f>IF(_xlfn.XLOOKUP(E58,lookups_s60!$U$4:$U$1000,lookups_s60!$AC$4:$AC$1000,"",0)=0,"",D58*_xlfn.XLOOKUP(E58,lookups_s60!$U$4:$U$1000,lookups_s60!$AC$4:$AC$1000,"",0))</f>
        <v/>
      </c>
      <c r="AL58" s="20" t="str">
        <f>IF(C58&lt;&gt;"", N58-_xlfn.XLOOKUP(E58,lookups_s60!$AF$4:$AF$1000,lookups_s60!$AG$4:$AG$1000,"",0),"")</f>
        <v/>
      </c>
      <c r="AM58" s="20" t="str">
        <f>IF(_xlfn.XLOOKUP(E58,lookups_s60!$AF$4:$AF$1000,lookups_s60!$AH$4:$AH$1000,"",0)=0,"",D58*_xlfn.XLOOKUP(E58,lookups_s60!$AF$4:$AF$1000,lookups_s60!$AH$4:$AH$1000,"",0))</f>
        <v/>
      </c>
      <c r="AN58" s="20" t="str">
        <f>IF(C58&lt;&gt;"", P58-_xlfn.XLOOKUP(E58,lookups_s60!$AF$4:$AF$1000,lookups_s60!$AG$4:$AG$1000,"",0),"")</f>
        <v/>
      </c>
      <c r="AO58" s="20" t="str">
        <f>IFERROR(IF(_xlfn.XLOOKUP(E58,lookups_s60!$AF$4:$AF$1000,lookups_s60!$AI$4:$AI$1000,"",0)=0,"",D58*_xlfn.XLOOKUP(E58,lookups_s60!$AF$4:$AF$1000,lookups_s60!$AI$4:$AI$1000,"",0)),"")</f>
        <v/>
      </c>
      <c r="AQ58" s="20" t="str">
        <f>IF(W58&lt;&gt;"", W58-_xlfn.XLOOKUP(E58,lookups_s60!$AF$4:$AF$1000,lookups_s60!$AJ$4:$AJ$1000,"",0),"")</f>
        <v/>
      </c>
      <c r="AR58" s="20" t="str">
        <f>IFERROR(IF(_xlfn.XLOOKUP(E58,lookups_s60!$AF$4:$AF$1000,lookups_s60!$AK$4:$AK$1000,"",0)=0,"",D58*_xlfn.XLOOKUP(E58,lookups_s60!$AF$4:$AF$1000,lookups_s60!$AK$4:$AK$1000,"",0)),"")</f>
        <v/>
      </c>
      <c r="AS58" s="20" t="str">
        <f>IF(Y58&lt;&gt;"", Y58-_xlfn.XLOOKUP(E58,lookups_s60!$AF$4:$AF$1000,lookups_s60!$AJ$4:$AJ$1000,"",0),"")</f>
        <v/>
      </c>
      <c r="AT58" s="20" t="str">
        <f>IFERROR(IF(_xlfn.XLOOKUP(E58,lookups_s60!$AF$4:$AF$1000,lookups_s60!$AL$4:$AL$1000,"",0)=0,"",D58*_xlfn.XLOOKUP(E58,lookups_s60!$AF$4:$AF$1000,lookups_s60!$AL$4:$AL$1000,"",0)),"")</f>
        <v/>
      </c>
      <c r="AV58" s="20" t="str">
        <f>IF(S58&lt;&gt;"", S58-_xlfn.XLOOKUP(E58,lookups_s60!$AF$4:$AF$1000,lookups_s60!$AM$4:$AM$1000,"",0),"")</f>
        <v/>
      </c>
      <c r="AW58" s="20" t="str">
        <f>IFERROR(IF(_xlfn.XLOOKUP(E58,lookups_s60!$AF$4:$AF$1000,lookups_s60!$AN$4:$AN$1000,"",0)=0,"",D58*_xlfn.XLOOKUP(E58,lookups_s60!$AF$4:$AF$1000,lookups_s60!$AN$4:$AN$1000,"",0)),"")</f>
        <v/>
      </c>
      <c r="AY58" s="20" t="str" cm="1">
        <f t="array" ref="AY58">IFERROR(_xlfn.IFS(E58="Fix", J58-_xlfn.XLOOKUP(E58,lookups_s60!$AQ$4:$AQ$1000,lookups_s60!$AR$4:$AR$1000,"",0)-_xlfn.XLOOKUP(E58,lookups_s60!$AQ$4:$AQ$1000,lookups_s60!$AS$4:$AS$1000,"",0), E58="Double Fix", (J58-_xlfn.XLOOKUP(E58,lookups_s60!$AQ$4:$AQ$1000,lookups_s60!$AR$4:$AR$1000,"",0)-_xlfn.XLOOKUP(E58,lookups_s60!$G$4:$G$1000,lookups_s60!$H$4:$H$1000,"",0))/2-_xlfn.XLOOKUP(E58,lookups_s60!$AQ$4:$AQ$1000,lookups_s60!$AS$4:$AS$1000,"",0), OR(E58="Fix Awning (Vertical)",E58="Fix Awning (Horizontal)"),  (J58-_xlfn.XLOOKUP(E58,lookups_s60!$AQ$4:$AQ$1000,lookups_s60!$AR$4:$AR$1000,"",0)-40)/2-_xlfn.XLOOKUP(E58,lookups_s60!$AQ$4:$AQ$1000,lookups_s60!$AS$4:$AS$1000,"",0)),"")</f>
        <v/>
      </c>
      <c r="AZ58" s="20" t="str">
        <f>IFERROR(IF(C58&lt;&gt;"", K58-_xlfn.XLOOKUP(E58,lookups_s60!$AQ$4:$AQ$1000,lookups_s60!$AT$4:$AT$1000,"",0)-_xlfn.XLOOKUP(E58,lookups_s60!$AQ$4:$AQ$1000,lookups_s60!$AU$4:$AU$1000,"",0),""),"")</f>
        <v/>
      </c>
      <c r="BA58" s="20" t="str">
        <f t="shared" si="8"/>
        <v/>
      </c>
      <c r="BC58" s="20" t="str" cm="1">
        <f t="array" ref="BC58">IFERROR(_xlfn.IFS(E58="Awning",AQ58-_xlfn.XLOOKUP(E58,lookups_s60!$AQ$4:$AQ$1000,lookups_s60!$AV$4:$AV$1000,"",0)-_xlfn.XLOOKUP(E58,lookups_s60!$AQ$4:$AQ$1000,lookups_s60!$AW$4:$AW$1000,"",0),C58&lt;&gt;"",W58-_xlfn.XLOOKUP(E58,lookups_s60!$AQ$4:$AQ$1000,lookups_s60!$AV$4:$AV$1000,"",0)-_xlfn.XLOOKUP(E58,lookups_s60!$AQ$4:$AQ$1000,lookups_s60!$AW$4:$AW$1000,"",0)),"")</f>
        <v/>
      </c>
      <c r="BD58" s="20" t="str" cm="1">
        <f t="array" ref="BD58">IFERROR(_xlfn.IFS(E58="Awning",AS58-_xlfn.XLOOKUP(E58,lookups_s60!$AQ$4:$AQ$1000,lookups_s60!$AX$4:$AX$1000,"",0)-_xlfn.XLOOKUP(E58,lookups_s60!$AQ$4:$AQ$1000,lookups_s60!$AY$4:$AY$1000,"",0),C58&lt;&gt;"",Y58-_xlfn.XLOOKUP(E58,lookups_s60!$AQ$4:$AQ$1000,lookups_s60!$AX$4:$AX$1000,"",0)-_xlfn.XLOOKUP(E58,lookups_s60!$AQ$4:$AQ$1000,lookups_s60!$AY$4:$AY$1000,"",0)),"")</f>
        <v/>
      </c>
      <c r="BE58" s="20" t="str">
        <f>IF(BC58&lt;&gt;"", _xlfn.XLOOKUP(E58,lookups_s60!$AQ$4:$AQ$1000,lookups_s60!$AZ$4:$AZ$1000,"",0)*D58,"")</f>
        <v/>
      </c>
      <c r="BG58" s="20" t="str">
        <f t="shared" si="3"/>
        <v/>
      </c>
      <c r="BH58" s="22" t="str">
        <f t="shared" si="4"/>
        <v/>
      </c>
      <c r="BI58" s="20" t="str">
        <f t="shared" si="5"/>
        <v/>
      </c>
      <c r="BJ58" s="20" t="str">
        <f t="shared" si="6"/>
        <v/>
      </c>
      <c r="BK58" s="20" t="str">
        <f t="shared" si="7"/>
        <v/>
      </c>
    </row>
    <row r="59" spans="3:63" ht="13.5" customHeight="1" x14ac:dyDescent="0.25">
      <c r="C59" s="16"/>
      <c r="D59" s="16"/>
      <c r="E59" s="16"/>
      <c r="F59" s="16"/>
      <c r="G59" s="16"/>
      <c r="H59" s="16"/>
      <c r="I59" s="16"/>
      <c r="J59" s="16"/>
      <c r="K59" s="16"/>
      <c r="M59" s="20" t="str">
        <f t="shared" si="0"/>
        <v/>
      </c>
      <c r="N59" s="20" t="str" cm="1">
        <f t="array" ref="N59">IFERROR(_xlfn.IFS(OR(E59="Fix Awning (Vertical)", E59="Fix Awning (Horizontal)"), J59/2+20,C59&lt;&gt;"", J59+M59),"")</f>
        <v/>
      </c>
      <c r="O59" s="20" t="str">
        <f>IF(D59&lt;&gt;"", D59*_xlfn.XLOOKUP(E59,lookups_s60!$B$4:$B$1000,lookups_s60!$C$4:$C$1000,"",0),"")</f>
        <v/>
      </c>
      <c r="P59" s="20" t="str">
        <f t="shared" si="1"/>
        <v/>
      </c>
      <c r="Q59" s="20" t="str">
        <f>IF(D59&lt;&gt;"", D59*_xlfn.XLOOKUP(E59,lookups_s60!$B$4:$B$1000,lookups_s60!$D$4:$D$1000,"",0),"")</f>
        <v/>
      </c>
      <c r="S59" s="20" t="str" cm="1">
        <f t="array" ref="S59">IFERROR(_xlfn.IFS(E59="Double Fix",K59+_xlfn.XLOOKUP(E59,lookups_s60!$G$4:$G$1000,lookups_s60!$H$4:$H$1000,"",0), OR(E59="Double Awning (Horizontal)", E59="Double Awning (Vertical)",E59="Triple Awning (Horizontal)", E59="Triple Awning (Vertical)"), J59+_xlfn.XLOOKUP(E59,lookups_s60!$G$4:$G$1000,lookups_s60!$H$4:$H$1000,"",0), E59="Double Casement", J59+_xlfn.XLOOKUP(E59,lookups_s60!$G$4:$G$1000,lookups_s60!$H$4:$H$1000,"",0), OR(E59="Fix Awning (Vertical)", E59="Fix Awning (Horizontal)"), K59+_xlfn.XLOOKUP(E59,lookups_s60!$G$4:$G$1000,lookups_s60!$H$4:$H$1000,"",0), E59="Triple Casement", J59+_xlfn.XLOOKUP(E59,lookups_s60!$G$4:$G$1000,lookups_s60!$H$4:$H$1000,"",0)),"")</f>
        <v/>
      </c>
      <c r="T59" s="20" t="str">
        <f>IF(S59&lt;&gt;"",D59*_xlfn.XLOOKUP(E59,lookups_s60!$G$4:$G$1000,lookups_s60!$I$4:$I$1000,"",0),"")</f>
        <v/>
      </c>
      <c r="V59" s="20" t="str">
        <f>IF(_xlfn.XLOOKUP(E59,lookups_s60!$L$4:$L$1000,lookups_s60!$M$4:$M$1000,"",0)=0, "", _xlfn.XLOOKUP(E59,lookups_s60!$L$4:$L$1000,lookups_s60!$M$4:$M$1000,"",0))</f>
        <v/>
      </c>
      <c r="W59" s="20" t="str" cm="1">
        <f t="array" ref="W59">IFERROR(_xlfn.IFS(OR(E59="Fix Awning (Vertical)",E59="Fix Awning (Vertical)"),   ((J59-_xlfn.XLOOKUP(E59,lookups_s60!$L$4:$L$1000,lookups_s60!$N$4:$N$1000,"",0)-40)/2)+_xlfn.XLOOKUP(E59,lookups_s60!$L$4:$L$1000,lookups_s60!$O$4:$O$1000,"",0), V59&lt;&gt;"", J59-_xlfn.XLOOKUP(E59,lookups_s60!$L$4:$L$1000,lookups_s60!$N$4:$N$1000,"",0)+_xlfn.XLOOKUP(E59,lookups_s60!$L$4:$L$1000,lookups_s60!$O$4:$O$1000,"",0)),"")</f>
        <v/>
      </c>
      <c r="X59" s="20" t="str">
        <f>IF(_xlfn.XLOOKUP(E59,lookups_s60!$L$4:$L$1000,lookups_s60!$R$4:$R$1000,"",0)=0, "", D59*_xlfn.XLOOKUP(E59,lookups_s60!$L$4:$L$1000,lookups_s60!$R$4:$R$1000,"",0))</f>
        <v/>
      </c>
      <c r="Y59" s="22" t="str" cm="1">
        <f t="array" ref="Y59">IFERROR(_xlfn.IFS(OR(E59="Double Awning (Horizontal)", E59="Double Awning (Vertical)", E59="Triple Awning (Horizontal)", E59="Triple Awning (Vertical)", E59="Double Casement"), ((K59-_xlfn.XLOOKUP(E59,lookups_s60!$L$4:$L$1000,lookups_s60!$P$4:$P$1000,"",0)-36)/2)+_xlfn.XLOOKUP(E59,lookups_s60!$L$4:$L$1000,lookups_s60!$Q$4:$Q$1000,"",0), E59="Triple Casement",((K59-_xlfn.XLOOKUP(E59,lookups_s60!$L$4:$L$1000,lookups_s60!$P$4:$P$1000,"",0)-36-36)/3)+_xlfn.XLOOKUP(E59,lookups_s60!$L$4:$L$1000,lookups_s60!$Q$4:$Q$1000,"",0),V59&lt;&gt;"",K59-_xlfn.XLOOKUP(E59,lookups_s60!$L$4:$L$1000,lookups_s60!$P$4:$P$1000,"",0)+_xlfn.XLOOKUP(E59,lookups_s60!$L$4:$L$1000,lookups_s60!$Q$4:$Q$1000,"",0)),"")</f>
        <v/>
      </c>
      <c r="Z59" s="20" t="str">
        <f>IF(_xlfn.XLOOKUP(E59,lookups_s60!$L$4:$L$1000,lookups_s60!$R$4:$R$1000,"",0)=0, "", D59*_xlfn.XLOOKUP(E59,lookups_s60!$L$4:$L$1000,lookups_s60!$R$4:$R$1000,"",0))</f>
        <v/>
      </c>
      <c r="AB59" s="20" t="str" cm="1">
        <f t="array" ref="AB59">IFERROR(_xlfn.IFS(OR(E59="Fix", E59="Double Fix"),J59-_xlfn.XLOOKUP(E59,lookups_s60!$U$4:$U$1000,lookups_s60!$V$4:$V$1000,"",0),OR(E59="Fix Awning (Vertical)", E59="Fix Awning (Horizontal)"),(J59-_xlfn.XLOOKUP(E59,lookups_s60!$U$4:$U$1000,lookups_s60!$V$4:$V$1000,"",0)-40)/2),"")</f>
        <v/>
      </c>
      <c r="AC59" s="20" t="str">
        <f>IF(_xlfn.XLOOKUP(E59,lookups_s60!$U$4:$U$1000,lookups_s60!$X$4:$X$1000,"",0)=0,"",D59*_xlfn.XLOOKUP(E59,lookups_s60!$U$4:$U$1000,lookups_s60!$X$4:$X$1000,"",0))</f>
        <v/>
      </c>
      <c r="AD59" s="20" t="str">
        <f>IF(OR(E59="Fix", E59="Double Fix", E59="Fix Awning (Vertical)", E59="Fix Awning (Horizontal)"), K59-_xlfn.XLOOKUP(E59,lookups_s60!$U$4:$U$1000,lookups_s60!$W$4:$W$1000,"",0), "")</f>
        <v/>
      </c>
      <c r="AE59" s="20" t="str">
        <f>IF(_xlfn.XLOOKUP(E59,lookups_s60!$U$4:$U$1000,lookups_s60!$X$4:$X$1000,"",0)=0,"",D59*_xlfn.XLOOKUP(E59,lookups_s60!$U$4:$U$1000,lookups_s60!$Y$4:$Y$1000,"",0))</f>
        <v/>
      </c>
      <c r="AG59" s="24" t="str">
        <f>IF(W59&lt;&gt;"", W59-_xlfn.XLOOKUP(E59,lookups_s60!$U$4:$U$1000,lookups_s60!$Z$4:$Z$1000,"",0)-IF(E59="Awning", 5,0),"")</f>
        <v/>
      </c>
      <c r="AH59" s="20" t="str">
        <f>IF(_xlfn.XLOOKUP(E59,lookups_s60!$U$4:$U$1000,lookups_s60!$AB$4:$AB$1000,"",0)=0,"",D59*_xlfn.XLOOKUP(E59,lookups_s60!$U$4:$U$1000,lookups_s60!$AB$4:$AB$1000,"",0))</f>
        <v/>
      </c>
      <c r="AI59" s="22" t="str">
        <f>IF(Y59&lt;&gt;"", Y59-_xlfn.XLOOKUP(E59,lookups_s60!$U$4:$U$1000,lookups_s60!$AA$4:$AA$1000,"",0),"")</f>
        <v/>
      </c>
      <c r="AJ59" s="20" t="str">
        <f>IF(_xlfn.XLOOKUP(E59,lookups_s60!$U$4:$U$1000,lookups_s60!$AC$4:$AC$1000,"",0)=0,"",D59*_xlfn.XLOOKUP(E59,lookups_s60!$U$4:$U$1000,lookups_s60!$AC$4:$AC$1000,"",0))</f>
        <v/>
      </c>
      <c r="AL59" s="20" t="str">
        <f>IF(C59&lt;&gt;"", N59-_xlfn.XLOOKUP(E59,lookups_s60!$AF$4:$AF$1000,lookups_s60!$AG$4:$AG$1000,"",0),"")</f>
        <v/>
      </c>
      <c r="AM59" s="20" t="str">
        <f>IF(_xlfn.XLOOKUP(E59,lookups_s60!$AF$4:$AF$1000,lookups_s60!$AH$4:$AH$1000,"",0)=0,"",D59*_xlfn.XLOOKUP(E59,lookups_s60!$AF$4:$AF$1000,lookups_s60!$AH$4:$AH$1000,"",0))</f>
        <v/>
      </c>
      <c r="AN59" s="20" t="str">
        <f>IF(C59&lt;&gt;"", P59-_xlfn.XLOOKUP(E59,lookups_s60!$AF$4:$AF$1000,lookups_s60!$AG$4:$AG$1000,"",0),"")</f>
        <v/>
      </c>
      <c r="AO59" s="20" t="str">
        <f>IFERROR(IF(_xlfn.XLOOKUP(E59,lookups_s60!$AF$4:$AF$1000,lookups_s60!$AI$4:$AI$1000,"",0)=0,"",D59*_xlfn.XLOOKUP(E59,lookups_s60!$AF$4:$AF$1000,lookups_s60!$AI$4:$AI$1000,"",0)),"")</f>
        <v/>
      </c>
      <c r="AQ59" s="20" t="str">
        <f>IF(W59&lt;&gt;"", W59-_xlfn.XLOOKUP(E59,lookups_s60!$AF$4:$AF$1000,lookups_s60!$AJ$4:$AJ$1000,"",0),"")</f>
        <v/>
      </c>
      <c r="AR59" s="20" t="str">
        <f>IFERROR(IF(_xlfn.XLOOKUP(E59,lookups_s60!$AF$4:$AF$1000,lookups_s60!$AK$4:$AK$1000,"",0)=0,"",D59*_xlfn.XLOOKUP(E59,lookups_s60!$AF$4:$AF$1000,lookups_s60!$AK$4:$AK$1000,"",0)),"")</f>
        <v/>
      </c>
      <c r="AS59" s="20" t="str">
        <f>IF(Y59&lt;&gt;"", Y59-_xlfn.XLOOKUP(E59,lookups_s60!$AF$4:$AF$1000,lookups_s60!$AJ$4:$AJ$1000,"",0),"")</f>
        <v/>
      </c>
      <c r="AT59" s="20" t="str">
        <f>IFERROR(IF(_xlfn.XLOOKUP(E59,lookups_s60!$AF$4:$AF$1000,lookups_s60!$AL$4:$AL$1000,"",0)=0,"",D59*_xlfn.XLOOKUP(E59,lookups_s60!$AF$4:$AF$1000,lookups_s60!$AL$4:$AL$1000,"",0)),"")</f>
        <v/>
      </c>
      <c r="AV59" s="20" t="str">
        <f>IF(S59&lt;&gt;"", S59-_xlfn.XLOOKUP(E59,lookups_s60!$AF$4:$AF$1000,lookups_s60!$AM$4:$AM$1000,"",0),"")</f>
        <v/>
      </c>
      <c r="AW59" s="20" t="str">
        <f>IFERROR(IF(_xlfn.XLOOKUP(E59,lookups_s60!$AF$4:$AF$1000,lookups_s60!$AN$4:$AN$1000,"",0)=0,"",D59*_xlfn.XLOOKUP(E59,lookups_s60!$AF$4:$AF$1000,lookups_s60!$AN$4:$AN$1000,"",0)),"")</f>
        <v/>
      </c>
      <c r="AY59" s="20" t="str" cm="1">
        <f t="array" ref="AY59">IFERROR(_xlfn.IFS(E59="Fix", J59-_xlfn.XLOOKUP(E59,lookups_s60!$AQ$4:$AQ$1000,lookups_s60!$AR$4:$AR$1000,"",0)-_xlfn.XLOOKUP(E59,lookups_s60!$AQ$4:$AQ$1000,lookups_s60!$AS$4:$AS$1000,"",0), E59="Double Fix", (J59-_xlfn.XLOOKUP(E59,lookups_s60!$AQ$4:$AQ$1000,lookups_s60!$AR$4:$AR$1000,"",0)-_xlfn.XLOOKUP(E59,lookups_s60!$G$4:$G$1000,lookups_s60!$H$4:$H$1000,"",0))/2-_xlfn.XLOOKUP(E59,lookups_s60!$AQ$4:$AQ$1000,lookups_s60!$AS$4:$AS$1000,"",0), OR(E59="Fix Awning (Vertical)",E59="Fix Awning (Horizontal)"),  (J59-_xlfn.XLOOKUP(E59,lookups_s60!$AQ$4:$AQ$1000,lookups_s60!$AR$4:$AR$1000,"",0)-40)/2-_xlfn.XLOOKUP(E59,lookups_s60!$AQ$4:$AQ$1000,lookups_s60!$AS$4:$AS$1000,"",0)),"")</f>
        <v/>
      </c>
      <c r="AZ59" s="20" t="str">
        <f>IFERROR(IF(C59&lt;&gt;"", K59-_xlfn.XLOOKUP(E59,lookups_s60!$AQ$4:$AQ$1000,lookups_s60!$AT$4:$AT$1000,"",0)-_xlfn.XLOOKUP(E59,lookups_s60!$AQ$4:$AQ$1000,lookups_s60!$AU$4:$AU$1000,"",0),""),"")</f>
        <v/>
      </c>
      <c r="BA59" s="20" t="str">
        <f t="shared" si="8"/>
        <v/>
      </c>
      <c r="BC59" s="20" t="str" cm="1">
        <f t="array" ref="BC59">IFERROR(_xlfn.IFS(E59="Awning",AQ59-_xlfn.XLOOKUP(E59,lookups_s60!$AQ$4:$AQ$1000,lookups_s60!$AV$4:$AV$1000,"",0)-_xlfn.XLOOKUP(E59,lookups_s60!$AQ$4:$AQ$1000,lookups_s60!$AW$4:$AW$1000,"",0),C59&lt;&gt;"",W59-_xlfn.XLOOKUP(E59,lookups_s60!$AQ$4:$AQ$1000,lookups_s60!$AV$4:$AV$1000,"",0)-_xlfn.XLOOKUP(E59,lookups_s60!$AQ$4:$AQ$1000,lookups_s60!$AW$4:$AW$1000,"",0)),"")</f>
        <v/>
      </c>
      <c r="BD59" s="20" t="str" cm="1">
        <f t="array" ref="BD59">IFERROR(_xlfn.IFS(E59="Awning",AS59-_xlfn.XLOOKUP(E59,lookups_s60!$AQ$4:$AQ$1000,lookups_s60!$AX$4:$AX$1000,"",0)-_xlfn.XLOOKUP(E59,lookups_s60!$AQ$4:$AQ$1000,lookups_s60!$AY$4:$AY$1000,"",0),C59&lt;&gt;"",Y59-_xlfn.XLOOKUP(E59,lookups_s60!$AQ$4:$AQ$1000,lookups_s60!$AX$4:$AX$1000,"",0)-_xlfn.XLOOKUP(E59,lookups_s60!$AQ$4:$AQ$1000,lookups_s60!$AY$4:$AY$1000,"",0)),"")</f>
        <v/>
      </c>
      <c r="BE59" s="20" t="str">
        <f>IF(BC59&lt;&gt;"", _xlfn.XLOOKUP(E59,lookups_s60!$AQ$4:$AQ$1000,lookups_s60!$AZ$4:$AZ$1000,"",0)*D59,"")</f>
        <v/>
      </c>
      <c r="BG59" s="20" t="str">
        <f t="shared" si="3"/>
        <v/>
      </c>
      <c r="BH59" s="22" t="str">
        <f t="shared" si="4"/>
        <v/>
      </c>
      <c r="BI59" s="20" t="str">
        <f t="shared" si="5"/>
        <v/>
      </c>
      <c r="BJ59" s="20" t="str">
        <f t="shared" si="6"/>
        <v/>
      </c>
      <c r="BK59" s="20" t="str">
        <f t="shared" si="7"/>
        <v/>
      </c>
    </row>
    <row r="60" spans="3:63" ht="13.5" customHeight="1" x14ac:dyDescent="0.25">
      <c r="C60" s="16"/>
      <c r="D60" s="16"/>
      <c r="E60" s="16"/>
      <c r="F60" s="16"/>
      <c r="G60" s="16"/>
      <c r="H60" s="16"/>
      <c r="I60" s="16"/>
      <c r="J60" s="16"/>
      <c r="K60" s="16"/>
      <c r="M60" s="20" t="str">
        <f t="shared" si="0"/>
        <v/>
      </c>
      <c r="N60" s="20" t="str" cm="1">
        <f t="array" ref="N60">IFERROR(_xlfn.IFS(OR(E60="Fix Awning (Vertical)", E60="Fix Awning (Horizontal)"), J60/2+20,C60&lt;&gt;"", J60+M60),"")</f>
        <v/>
      </c>
      <c r="O60" s="20" t="str">
        <f>IF(D60&lt;&gt;"", D60*_xlfn.XLOOKUP(E60,lookups_s60!$B$4:$B$1000,lookups_s60!$C$4:$C$1000,"",0),"")</f>
        <v/>
      </c>
      <c r="P60" s="20" t="str">
        <f t="shared" si="1"/>
        <v/>
      </c>
      <c r="Q60" s="20" t="str">
        <f>IF(D60&lt;&gt;"", D60*_xlfn.XLOOKUP(E60,lookups_s60!$B$4:$B$1000,lookups_s60!$D$4:$D$1000,"",0),"")</f>
        <v/>
      </c>
      <c r="S60" s="20" t="str" cm="1">
        <f t="array" ref="S60">IFERROR(_xlfn.IFS(E60="Double Fix",K60+_xlfn.XLOOKUP(E60,lookups_s60!$G$4:$G$1000,lookups_s60!$H$4:$H$1000,"",0), OR(E60="Double Awning (Horizontal)", E60="Double Awning (Vertical)",E60="Triple Awning (Horizontal)", E60="Triple Awning (Vertical)"), J60+_xlfn.XLOOKUP(E60,lookups_s60!$G$4:$G$1000,lookups_s60!$H$4:$H$1000,"",0), E60="Double Casement", J60+_xlfn.XLOOKUP(E60,lookups_s60!$G$4:$G$1000,lookups_s60!$H$4:$H$1000,"",0), OR(E60="Fix Awning (Vertical)", E60="Fix Awning (Horizontal)"), K60+_xlfn.XLOOKUP(E60,lookups_s60!$G$4:$G$1000,lookups_s60!$H$4:$H$1000,"",0), E60="Triple Casement", J60+_xlfn.XLOOKUP(E60,lookups_s60!$G$4:$G$1000,lookups_s60!$H$4:$H$1000,"",0)),"")</f>
        <v/>
      </c>
      <c r="T60" s="20" t="str">
        <f>IF(S60&lt;&gt;"",D60*_xlfn.XLOOKUP(E60,lookups_s60!$G$4:$G$1000,lookups_s60!$I$4:$I$1000,"",0),"")</f>
        <v/>
      </c>
      <c r="V60" s="20" t="str">
        <f>IF(_xlfn.XLOOKUP(E60,lookups_s60!$L$4:$L$1000,lookups_s60!$M$4:$M$1000,"",0)=0, "", _xlfn.XLOOKUP(E60,lookups_s60!$L$4:$L$1000,lookups_s60!$M$4:$M$1000,"",0))</f>
        <v/>
      </c>
      <c r="W60" s="20" t="str" cm="1">
        <f t="array" ref="W60">IFERROR(_xlfn.IFS(OR(E60="Fix Awning (Vertical)",E60="Fix Awning (Vertical)"),   ((J60-_xlfn.XLOOKUP(E60,lookups_s60!$L$4:$L$1000,lookups_s60!$N$4:$N$1000,"",0)-40)/2)+_xlfn.XLOOKUP(E60,lookups_s60!$L$4:$L$1000,lookups_s60!$O$4:$O$1000,"",0), V60&lt;&gt;"", J60-_xlfn.XLOOKUP(E60,lookups_s60!$L$4:$L$1000,lookups_s60!$N$4:$N$1000,"",0)+_xlfn.XLOOKUP(E60,lookups_s60!$L$4:$L$1000,lookups_s60!$O$4:$O$1000,"",0)),"")</f>
        <v/>
      </c>
      <c r="X60" s="20" t="str">
        <f>IF(_xlfn.XLOOKUP(E60,lookups_s60!$L$4:$L$1000,lookups_s60!$R$4:$R$1000,"",0)=0, "", D60*_xlfn.XLOOKUP(E60,lookups_s60!$L$4:$L$1000,lookups_s60!$R$4:$R$1000,"",0))</f>
        <v/>
      </c>
      <c r="Y60" s="22" t="str" cm="1">
        <f t="array" ref="Y60">IFERROR(_xlfn.IFS(OR(E60="Double Awning (Horizontal)", E60="Double Awning (Vertical)", E60="Triple Awning (Horizontal)", E60="Triple Awning (Vertical)", E60="Double Casement"), ((K60-_xlfn.XLOOKUP(E60,lookups_s60!$L$4:$L$1000,lookups_s60!$P$4:$P$1000,"",0)-36)/2)+_xlfn.XLOOKUP(E60,lookups_s60!$L$4:$L$1000,lookups_s60!$Q$4:$Q$1000,"",0), E60="Triple Casement",((K60-_xlfn.XLOOKUP(E60,lookups_s60!$L$4:$L$1000,lookups_s60!$P$4:$P$1000,"",0)-36-36)/3)+_xlfn.XLOOKUP(E60,lookups_s60!$L$4:$L$1000,lookups_s60!$Q$4:$Q$1000,"",0),V60&lt;&gt;"",K60-_xlfn.XLOOKUP(E60,lookups_s60!$L$4:$L$1000,lookups_s60!$P$4:$P$1000,"",0)+_xlfn.XLOOKUP(E60,lookups_s60!$L$4:$L$1000,lookups_s60!$Q$4:$Q$1000,"",0)),"")</f>
        <v/>
      </c>
      <c r="Z60" s="20" t="str">
        <f>IF(_xlfn.XLOOKUP(E60,lookups_s60!$L$4:$L$1000,lookups_s60!$R$4:$R$1000,"",0)=0, "", D60*_xlfn.XLOOKUP(E60,lookups_s60!$L$4:$L$1000,lookups_s60!$R$4:$R$1000,"",0))</f>
        <v/>
      </c>
      <c r="AB60" s="20" t="str" cm="1">
        <f t="array" ref="AB60">IFERROR(_xlfn.IFS(OR(E60="Fix", E60="Double Fix"),J60-_xlfn.XLOOKUP(E60,lookups_s60!$U$4:$U$1000,lookups_s60!$V$4:$V$1000,"",0),OR(E60="Fix Awning (Vertical)", E60="Fix Awning (Horizontal)"),(J60-_xlfn.XLOOKUP(E60,lookups_s60!$U$4:$U$1000,lookups_s60!$V$4:$V$1000,"",0)-40)/2),"")</f>
        <v/>
      </c>
      <c r="AC60" s="20" t="str">
        <f>IF(_xlfn.XLOOKUP(E60,lookups_s60!$U$4:$U$1000,lookups_s60!$X$4:$X$1000,"",0)=0,"",D60*_xlfn.XLOOKUP(E60,lookups_s60!$U$4:$U$1000,lookups_s60!$X$4:$X$1000,"",0))</f>
        <v/>
      </c>
      <c r="AD60" s="20" t="str">
        <f>IF(OR(E60="Fix", E60="Double Fix", E60="Fix Awning (Vertical)", E60="Fix Awning (Horizontal)"), K60-_xlfn.XLOOKUP(E60,lookups_s60!$U$4:$U$1000,lookups_s60!$W$4:$W$1000,"",0), "")</f>
        <v/>
      </c>
      <c r="AE60" s="20" t="str">
        <f>IF(_xlfn.XLOOKUP(E60,lookups_s60!$U$4:$U$1000,lookups_s60!$X$4:$X$1000,"",0)=0,"",D60*_xlfn.XLOOKUP(E60,lookups_s60!$U$4:$U$1000,lookups_s60!$Y$4:$Y$1000,"",0))</f>
        <v/>
      </c>
      <c r="AG60" s="24" t="str">
        <f>IF(W60&lt;&gt;"", W60-_xlfn.XLOOKUP(E60,lookups_s60!$U$4:$U$1000,lookups_s60!$Z$4:$Z$1000,"",0)-IF(E60="Awning", 5,0),"")</f>
        <v/>
      </c>
      <c r="AH60" s="20" t="str">
        <f>IF(_xlfn.XLOOKUP(E60,lookups_s60!$U$4:$U$1000,lookups_s60!$AB$4:$AB$1000,"",0)=0,"",D60*_xlfn.XLOOKUP(E60,lookups_s60!$U$4:$U$1000,lookups_s60!$AB$4:$AB$1000,"",0))</f>
        <v/>
      </c>
      <c r="AI60" s="22" t="str">
        <f>IF(Y60&lt;&gt;"", Y60-_xlfn.XLOOKUP(E60,lookups_s60!$U$4:$U$1000,lookups_s60!$AA$4:$AA$1000,"",0),"")</f>
        <v/>
      </c>
      <c r="AJ60" s="20" t="str">
        <f>IF(_xlfn.XLOOKUP(E60,lookups_s60!$U$4:$U$1000,lookups_s60!$AC$4:$AC$1000,"",0)=0,"",D60*_xlfn.XLOOKUP(E60,lookups_s60!$U$4:$U$1000,lookups_s60!$AC$4:$AC$1000,"",0))</f>
        <v/>
      </c>
      <c r="AL60" s="20" t="str">
        <f>IF(C60&lt;&gt;"", N60-_xlfn.XLOOKUP(E60,lookups_s60!$AF$4:$AF$1000,lookups_s60!$AG$4:$AG$1000,"",0),"")</f>
        <v/>
      </c>
      <c r="AM60" s="20" t="str">
        <f>IF(_xlfn.XLOOKUP(E60,lookups_s60!$AF$4:$AF$1000,lookups_s60!$AH$4:$AH$1000,"",0)=0,"",D60*_xlfn.XLOOKUP(E60,lookups_s60!$AF$4:$AF$1000,lookups_s60!$AH$4:$AH$1000,"",0))</f>
        <v/>
      </c>
      <c r="AN60" s="20" t="str">
        <f>IF(C60&lt;&gt;"", P60-_xlfn.XLOOKUP(E60,lookups_s60!$AF$4:$AF$1000,lookups_s60!$AG$4:$AG$1000,"",0),"")</f>
        <v/>
      </c>
      <c r="AO60" s="20" t="str">
        <f>IFERROR(IF(_xlfn.XLOOKUP(E60,lookups_s60!$AF$4:$AF$1000,lookups_s60!$AI$4:$AI$1000,"",0)=0,"",D60*_xlfn.XLOOKUP(E60,lookups_s60!$AF$4:$AF$1000,lookups_s60!$AI$4:$AI$1000,"",0)),"")</f>
        <v/>
      </c>
      <c r="AQ60" s="20" t="str">
        <f>IF(W60&lt;&gt;"", W60-_xlfn.XLOOKUP(E60,lookups_s60!$AF$4:$AF$1000,lookups_s60!$AJ$4:$AJ$1000,"",0),"")</f>
        <v/>
      </c>
      <c r="AR60" s="20" t="str">
        <f>IFERROR(IF(_xlfn.XLOOKUP(E60,lookups_s60!$AF$4:$AF$1000,lookups_s60!$AK$4:$AK$1000,"",0)=0,"",D60*_xlfn.XLOOKUP(E60,lookups_s60!$AF$4:$AF$1000,lookups_s60!$AK$4:$AK$1000,"",0)),"")</f>
        <v/>
      </c>
      <c r="AS60" s="20" t="str">
        <f>IF(Y60&lt;&gt;"", Y60-_xlfn.XLOOKUP(E60,lookups_s60!$AF$4:$AF$1000,lookups_s60!$AJ$4:$AJ$1000,"",0),"")</f>
        <v/>
      </c>
      <c r="AT60" s="20" t="str">
        <f>IFERROR(IF(_xlfn.XLOOKUP(E60,lookups_s60!$AF$4:$AF$1000,lookups_s60!$AL$4:$AL$1000,"",0)=0,"",D60*_xlfn.XLOOKUP(E60,lookups_s60!$AF$4:$AF$1000,lookups_s60!$AL$4:$AL$1000,"",0)),"")</f>
        <v/>
      </c>
      <c r="AV60" s="20" t="str">
        <f>IF(S60&lt;&gt;"", S60-_xlfn.XLOOKUP(E60,lookups_s60!$AF$4:$AF$1000,lookups_s60!$AM$4:$AM$1000,"",0),"")</f>
        <v/>
      </c>
      <c r="AW60" s="20" t="str">
        <f>IFERROR(IF(_xlfn.XLOOKUP(E60,lookups_s60!$AF$4:$AF$1000,lookups_s60!$AN$4:$AN$1000,"",0)=0,"",D60*_xlfn.XLOOKUP(E60,lookups_s60!$AF$4:$AF$1000,lookups_s60!$AN$4:$AN$1000,"",0)),"")</f>
        <v/>
      </c>
      <c r="AY60" s="20" t="str" cm="1">
        <f t="array" ref="AY60">IFERROR(_xlfn.IFS(E60="Fix", J60-_xlfn.XLOOKUP(E60,lookups_s60!$AQ$4:$AQ$1000,lookups_s60!$AR$4:$AR$1000,"",0)-_xlfn.XLOOKUP(E60,lookups_s60!$AQ$4:$AQ$1000,lookups_s60!$AS$4:$AS$1000,"",0), E60="Double Fix", (J60-_xlfn.XLOOKUP(E60,lookups_s60!$AQ$4:$AQ$1000,lookups_s60!$AR$4:$AR$1000,"",0)-_xlfn.XLOOKUP(E60,lookups_s60!$G$4:$G$1000,lookups_s60!$H$4:$H$1000,"",0))/2-_xlfn.XLOOKUP(E60,lookups_s60!$AQ$4:$AQ$1000,lookups_s60!$AS$4:$AS$1000,"",0), OR(E60="Fix Awning (Vertical)",E60="Fix Awning (Horizontal)"),  (J60-_xlfn.XLOOKUP(E60,lookups_s60!$AQ$4:$AQ$1000,lookups_s60!$AR$4:$AR$1000,"",0)-40)/2-_xlfn.XLOOKUP(E60,lookups_s60!$AQ$4:$AQ$1000,lookups_s60!$AS$4:$AS$1000,"",0)),"")</f>
        <v/>
      </c>
      <c r="AZ60" s="20" t="str">
        <f>IFERROR(IF(C60&lt;&gt;"", K60-_xlfn.XLOOKUP(E60,lookups_s60!$AQ$4:$AQ$1000,lookups_s60!$AT$4:$AT$1000,"",0)-_xlfn.XLOOKUP(E60,lookups_s60!$AQ$4:$AQ$1000,lookups_s60!$AU$4:$AU$1000,"",0),""),"")</f>
        <v/>
      </c>
      <c r="BA60" s="20" t="str">
        <f t="shared" si="8"/>
        <v/>
      </c>
      <c r="BC60" s="20" t="str" cm="1">
        <f t="array" ref="BC60">IFERROR(_xlfn.IFS(E60="Awning",AQ60-_xlfn.XLOOKUP(E60,lookups_s60!$AQ$4:$AQ$1000,lookups_s60!$AV$4:$AV$1000,"",0)-_xlfn.XLOOKUP(E60,lookups_s60!$AQ$4:$AQ$1000,lookups_s60!$AW$4:$AW$1000,"",0),C60&lt;&gt;"",W60-_xlfn.XLOOKUP(E60,lookups_s60!$AQ$4:$AQ$1000,lookups_s60!$AV$4:$AV$1000,"",0)-_xlfn.XLOOKUP(E60,lookups_s60!$AQ$4:$AQ$1000,lookups_s60!$AW$4:$AW$1000,"",0)),"")</f>
        <v/>
      </c>
      <c r="BD60" s="20" t="str" cm="1">
        <f t="array" ref="BD60">IFERROR(_xlfn.IFS(E60="Awning",AS60-_xlfn.XLOOKUP(E60,lookups_s60!$AQ$4:$AQ$1000,lookups_s60!$AX$4:$AX$1000,"",0)-_xlfn.XLOOKUP(E60,lookups_s60!$AQ$4:$AQ$1000,lookups_s60!$AY$4:$AY$1000,"",0),C60&lt;&gt;"",Y60-_xlfn.XLOOKUP(E60,lookups_s60!$AQ$4:$AQ$1000,lookups_s60!$AX$4:$AX$1000,"",0)-_xlfn.XLOOKUP(E60,lookups_s60!$AQ$4:$AQ$1000,lookups_s60!$AY$4:$AY$1000,"",0)),"")</f>
        <v/>
      </c>
      <c r="BE60" s="20" t="str">
        <f>IF(BC60&lt;&gt;"", _xlfn.XLOOKUP(E60,lookups_s60!$AQ$4:$AQ$1000,lookups_s60!$AZ$4:$AZ$1000,"",0)*D60,"")</f>
        <v/>
      </c>
      <c r="BG60" s="20" t="str">
        <f t="shared" si="3"/>
        <v/>
      </c>
      <c r="BH60" s="22" t="str">
        <f t="shared" si="4"/>
        <v/>
      </c>
      <c r="BI60" s="20" t="str">
        <f t="shared" si="5"/>
        <v/>
      </c>
      <c r="BJ60" s="20" t="str">
        <f t="shared" si="6"/>
        <v/>
      </c>
      <c r="BK60" s="20" t="str">
        <f t="shared" si="7"/>
        <v/>
      </c>
    </row>
    <row r="61" spans="3:63" ht="13.5" customHeight="1" x14ac:dyDescent="0.25">
      <c r="C61" s="16"/>
      <c r="D61" s="16"/>
      <c r="E61" s="16"/>
      <c r="F61" s="16"/>
      <c r="G61" s="16"/>
      <c r="H61" s="16"/>
      <c r="I61" s="16"/>
      <c r="J61" s="16"/>
      <c r="K61" s="16"/>
      <c r="M61" s="20" t="str">
        <f t="shared" si="0"/>
        <v/>
      </c>
      <c r="N61" s="20" t="str" cm="1">
        <f t="array" ref="N61">IFERROR(_xlfn.IFS(OR(E61="Fix Awning (Vertical)", E61="Fix Awning (Horizontal)"), J61/2+20,C61&lt;&gt;"", J61+M61),"")</f>
        <v/>
      </c>
      <c r="O61" s="20" t="str">
        <f>IF(D61&lt;&gt;"", D61*_xlfn.XLOOKUP(E61,lookups_s60!$B$4:$B$1000,lookups_s60!$C$4:$C$1000,"",0),"")</f>
        <v/>
      </c>
      <c r="P61" s="20" t="str">
        <f t="shared" si="1"/>
        <v/>
      </c>
      <c r="Q61" s="20" t="str">
        <f>IF(D61&lt;&gt;"", D61*_xlfn.XLOOKUP(E61,lookups_s60!$B$4:$B$1000,lookups_s60!$D$4:$D$1000,"",0),"")</f>
        <v/>
      </c>
      <c r="S61" s="20" t="str" cm="1">
        <f t="array" ref="S61">IFERROR(_xlfn.IFS(E61="Double Fix",K61+_xlfn.XLOOKUP(E61,lookups_s60!$G$4:$G$1000,lookups_s60!$H$4:$H$1000,"",0), OR(E61="Double Awning (Horizontal)", E61="Double Awning (Vertical)",E61="Triple Awning (Horizontal)", E61="Triple Awning (Vertical)"), J61+_xlfn.XLOOKUP(E61,lookups_s60!$G$4:$G$1000,lookups_s60!$H$4:$H$1000,"",0), E61="Double Casement", J61+_xlfn.XLOOKUP(E61,lookups_s60!$G$4:$G$1000,lookups_s60!$H$4:$H$1000,"",0), OR(E61="Fix Awning (Vertical)", E61="Fix Awning (Horizontal)"), K61+_xlfn.XLOOKUP(E61,lookups_s60!$G$4:$G$1000,lookups_s60!$H$4:$H$1000,"",0), E61="Triple Casement", J61+_xlfn.XLOOKUP(E61,lookups_s60!$G$4:$G$1000,lookups_s60!$H$4:$H$1000,"",0)),"")</f>
        <v/>
      </c>
      <c r="T61" s="20" t="str">
        <f>IF(S61&lt;&gt;"",D61*_xlfn.XLOOKUP(E61,lookups_s60!$G$4:$G$1000,lookups_s60!$I$4:$I$1000,"",0),"")</f>
        <v/>
      </c>
      <c r="V61" s="20" t="str">
        <f>IF(_xlfn.XLOOKUP(E61,lookups_s60!$L$4:$L$1000,lookups_s60!$M$4:$M$1000,"",0)=0, "", _xlfn.XLOOKUP(E61,lookups_s60!$L$4:$L$1000,lookups_s60!$M$4:$M$1000,"",0))</f>
        <v/>
      </c>
      <c r="W61" s="20" t="str" cm="1">
        <f t="array" ref="W61">IFERROR(_xlfn.IFS(OR(E61="Fix Awning (Vertical)",E61="Fix Awning (Vertical)"),   ((J61-_xlfn.XLOOKUP(E61,lookups_s60!$L$4:$L$1000,lookups_s60!$N$4:$N$1000,"",0)-40)/2)+_xlfn.XLOOKUP(E61,lookups_s60!$L$4:$L$1000,lookups_s60!$O$4:$O$1000,"",0), V61&lt;&gt;"", J61-_xlfn.XLOOKUP(E61,lookups_s60!$L$4:$L$1000,lookups_s60!$N$4:$N$1000,"",0)+_xlfn.XLOOKUP(E61,lookups_s60!$L$4:$L$1000,lookups_s60!$O$4:$O$1000,"",0)),"")</f>
        <v/>
      </c>
      <c r="X61" s="20" t="str">
        <f>IF(_xlfn.XLOOKUP(E61,lookups_s60!$L$4:$L$1000,lookups_s60!$R$4:$R$1000,"",0)=0, "", D61*_xlfn.XLOOKUP(E61,lookups_s60!$L$4:$L$1000,lookups_s60!$R$4:$R$1000,"",0))</f>
        <v/>
      </c>
      <c r="Y61" s="22" t="str" cm="1">
        <f t="array" ref="Y61">IFERROR(_xlfn.IFS(OR(E61="Double Awning (Horizontal)", E61="Double Awning (Vertical)", E61="Triple Awning (Horizontal)", E61="Triple Awning (Vertical)", E61="Double Casement"), ((K61-_xlfn.XLOOKUP(E61,lookups_s60!$L$4:$L$1000,lookups_s60!$P$4:$P$1000,"",0)-36)/2)+_xlfn.XLOOKUP(E61,lookups_s60!$L$4:$L$1000,lookups_s60!$Q$4:$Q$1000,"",0), E61="Triple Casement",((K61-_xlfn.XLOOKUP(E61,lookups_s60!$L$4:$L$1000,lookups_s60!$P$4:$P$1000,"",0)-36-36)/3)+_xlfn.XLOOKUP(E61,lookups_s60!$L$4:$L$1000,lookups_s60!$Q$4:$Q$1000,"",0),V61&lt;&gt;"",K61-_xlfn.XLOOKUP(E61,lookups_s60!$L$4:$L$1000,lookups_s60!$P$4:$P$1000,"",0)+_xlfn.XLOOKUP(E61,lookups_s60!$L$4:$L$1000,lookups_s60!$Q$4:$Q$1000,"",0)),"")</f>
        <v/>
      </c>
      <c r="Z61" s="20" t="str">
        <f>IF(_xlfn.XLOOKUP(E61,lookups_s60!$L$4:$L$1000,lookups_s60!$R$4:$R$1000,"",0)=0, "", D61*_xlfn.XLOOKUP(E61,lookups_s60!$L$4:$L$1000,lookups_s60!$R$4:$R$1000,"",0))</f>
        <v/>
      </c>
      <c r="AB61" s="20" t="str" cm="1">
        <f t="array" ref="AB61">IFERROR(_xlfn.IFS(OR(E61="Fix", E61="Double Fix"),J61-_xlfn.XLOOKUP(E61,lookups_s60!$U$4:$U$1000,lookups_s60!$V$4:$V$1000,"",0),OR(E61="Fix Awning (Vertical)", E61="Fix Awning (Horizontal)"),(J61-_xlfn.XLOOKUP(E61,lookups_s60!$U$4:$U$1000,lookups_s60!$V$4:$V$1000,"",0)-40)/2),"")</f>
        <v/>
      </c>
      <c r="AC61" s="20" t="str">
        <f>IF(_xlfn.XLOOKUP(E61,lookups_s60!$U$4:$U$1000,lookups_s60!$X$4:$X$1000,"",0)=0,"",D61*_xlfn.XLOOKUP(E61,lookups_s60!$U$4:$U$1000,lookups_s60!$X$4:$X$1000,"",0))</f>
        <v/>
      </c>
      <c r="AD61" s="20" t="str">
        <f>IF(OR(E61="Fix", E61="Double Fix", E61="Fix Awning (Vertical)", E61="Fix Awning (Horizontal)"), K61-_xlfn.XLOOKUP(E61,lookups_s60!$U$4:$U$1000,lookups_s60!$W$4:$W$1000,"",0), "")</f>
        <v/>
      </c>
      <c r="AE61" s="20" t="str">
        <f>IF(_xlfn.XLOOKUP(E61,lookups_s60!$U$4:$U$1000,lookups_s60!$X$4:$X$1000,"",0)=0,"",D61*_xlfn.XLOOKUP(E61,lookups_s60!$U$4:$U$1000,lookups_s60!$Y$4:$Y$1000,"",0))</f>
        <v/>
      </c>
      <c r="AG61" s="24" t="str">
        <f>IF(W61&lt;&gt;"", W61-_xlfn.XLOOKUP(E61,lookups_s60!$U$4:$U$1000,lookups_s60!$Z$4:$Z$1000,"",0)-IF(E61="Awning", 5,0),"")</f>
        <v/>
      </c>
      <c r="AH61" s="20" t="str">
        <f>IF(_xlfn.XLOOKUP(E61,lookups_s60!$U$4:$U$1000,lookups_s60!$AB$4:$AB$1000,"",0)=0,"",D61*_xlfn.XLOOKUP(E61,lookups_s60!$U$4:$U$1000,lookups_s60!$AB$4:$AB$1000,"",0))</f>
        <v/>
      </c>
      <c r="AI61" s="22" t="str">
        <f>IF(Y61&lt;&gt;"", Y61-_xlfn.XLOOKUP(E61,lookups_s60!$U$4:$U$1000,lookups_s60!$AA$4:$AA$1000,"",0),"")</f>
        <v/>
      </c>
      <c r="AJ61" s="20" t="str">
        <f>IF(_xlfn.XLOOKUP(E61,lookups_s60!$U$4:$U$1000,lookups_s60!$AC$4:$AC$1000,"",0)=0,"",D61*_xlfn.XLOOKUP(E61,lookups_s60!$U$4:$U$1000,lookups_s60!$AC$4:$AC$1000,"",0))</f>
        <v/>
      </c>
      <c r="AL61" s="20" t="str">
        <f>IF(C61&lt;&gt;"", N61-_xlfn.XLOOKUP(E61,lookups_s60!$AF$4:$AF$1000,lookups_s60!$AG$4:$AG$1000,"",0),"")</f>
        <v/>
      </c>
      <c r="AM61" s="20" t="str">
        <f>IF(_xlfn.XLOOKUP(E61,lookups_s60!$AF$4:$AF$1000,lookups_s60!$AH$4:$AH$1000,"",0)=0,"",D61*_xlfn.XLOOKUP(E61,lookups_s60!$AF$4:$AF$1000,lookups_s60!$AH$4:$AH$1000,"",0))</f>
        <v/>
      </c>
      <c r="AN61" s="20" t="str">
        <f>IF(C61&lt;&gt;"", P61-_xlfn.XLOOKUP(E61,lookups_s60!$AF$4:$AF$1000,lookups_s60!$AG$4:$AG$1000,"",0),"")</f>
        <v/>
      </c>
      <c r="AO61" s="20" t="str">
        <f>IFERROR(IF(_xlfn.XLOOKUP(E61,lookups_s60!$AF$4:$AF$1000,lookups_s60!$AI$4:$AI$1000,"",0)=0,"",D61*_xlfn.XLOOKUP(E61,lookups_s60!$AF$4:$AF$1000,lookups_s60!$AI$4:$AI$1000,"",0)),"")</f>
        <v/>
      </c>
      <c r="AQ61" s="20" t="str">
        <f>IF(W61&lt;&gt;"", W61-_xlfn.XLOOKUP(E61,lookups_s60!$AF$4:$AF$1000,lookups_s60!$AJ$4:$AJ$1000,"",0),"")</f>
        <v/>
      </c>
      <c r="AR61" s="20" t="str">
        <f>IFERROR(IF(_xlfn.XLOOKUP(E61,lookups_s60!$AF$4:$AF$1000,lookups_s60!$AK$4:$AK$1000,"",0)=0,"",D61*_xlfn.XLOOKUP(E61,lookups_s60!$AF$4:$AF$1000,lookups_s60!$AK$4:$AK$1000,"",0)),"")</f>
        <v/>
      </c>
      <c r="AS61" s="20" t="str">
        <f>IF(Y61&lt;&gt;"", Y61-_xlfn.XLOOKUP(E61,lookups_s60!$AF$4:$AF$1000,lookups_s60!$AJ$4:$AJ$1000,"",0),"")</f>
        <v/>
      </c>
      <c r="AT61" s="20" t="str">
        <f>IFERROR(IF(_xlfn.XLOOKUP(E61,lookups_s60!$AF$4:$AF$1000,lookups_s60!$AL$4:$AL$1000,"",0)=0,"",D61*_xlfn.XLOOKUP(E61,lookups_s60!$AF$4:$AF$1000,lookups_s60!$AL$4:$AL$1000,"",0)),"")</f>
        <v/>
      </c>
      <c r="AV61" s="20" t="str">
        <f>IF(S61&lt;&gt;"", S61-_xlfn.XLOOKUP(E61,lookups_s60!$AF$4:$AF$1000,lookups_s60!$AM$4:$AM$1000,"",0),"")</f>
        <v/>
      </c>
      <c r="AW61" s="20" t="str">
        <f>IFERROR(IF(_xlfn.XLOOKUP(E61,lookups_s60!$AF$4:$AF$1000,lookups_s60!$AN$4:$AN$1000,"",0)=0,"",D61*_xlfn.XLOOKUP(E61,lookups_s60!$AF$4:$AF$1000,lookups_s60!$AN$4:$AN$1000,"",0)),"")</f>
        <v/>
      </c>
      <c r="AY61" s="20" t="str" cm="1">
        <f t="array" ref="AY61">IFERROR(_xlfn.IFS(E61="Fix", J61-_xlfn.XLOOKUP(E61,lookups_s60!$AQ$4:$AQ$1000,lookups_s60!$AR$4:$AR$1000,"",0)-_xlfn.XLOOKUP(E61,lookups_s60!$AQ$4:$AQ$1000,lookups_s60!$AS$4:$AS$1000,"",0), E61="Double Fix", (J61-_xlfn.XLOOKUP(E61,lookups_s60!$AQ$4:$AQ$1000,lookups_s60!$AR$4:$AR$1000,"",0)-_xlfn.XLOOKUP(E61,lookups_s60!$G$4:$G$1000,lookups_s60!$H$4:$H$1000,"",0))/2-_xlfn.XLOOKUP(E61,lookups_s60!$AQ$4:$AQ$1000,lookups_s60!$AS$4:$AS$1000,"",0), OR(E61="Fix Awning (Vertical)",E61="Fix Awning (Horizontal)"),  (J61-_xlfn.XLOOKUP(E61,lookups_s60!$AQ$4:$AQ$1000,lookups_s60!$AR$4:$AR$1000,"",0)-40)/2-_xlfn.XLOOKUP(E61,lookups_s60!$AQ$4:$AQ$1000,lookups_s60!$AS$4:$AS$1000,"",0)),"")</f>
        <v/>
      </c>
      <c r="AZ61" s="20" t="str">
        <f>IFERROR(IF(C61&lt;&gt;"", K61-_xlfn.XLOOKUP(E61,lookups_s60!$AQ$4:$AQ$1000,lookups_s60!$AT$4:$AT$1000,"",0)-_xlfn.XLOOKUP(E61,lookups_s60!$AQ$4:$AQ$1000,lookups_s60!$AU$4:$AU$1000,"",0),""),"")</f>
        <v/>
      </c>
      <c r="BA61" s="20" t="str">
        <f t="shared" si="8"/>
        <v/>
      </c>
      <c r="BC61" s="20" t="str" cm="1">
        <f t="array" ref="BC61">IFERROR(_xlfn.IFS(E61="Awning",AQ61-_xlfn.XLOOKUP(E61,lookups_s60!$AQ$4:$AQ$1000,lookups_s60!$AV$4:$AV$1000,"",0)-_xlfn.XLOOKUP(E61,lookups_s60!$AQ$4:$AQ$1000,lookups_s60!$AW$4:$AW$1000,"",0),C61&lt;&gt;"",W61-_xlfn.XLOOKUP(E61,lookups_s60!$AQ$4:$AQ$1000,lookups_s60!$AV$4:$AV$1000,"",0)-_xlfn.XLOOKUP(E61,lookups_s60!$AQ$4:$AQ$1000,lookups_s60!$AW$4:$AW$1000,"",0)),"")</f>
        <v/>
      </c>
      <c r="BD61" s="20" t="str" cm="1">
        <f t="array" ref="BD61">IFERROR(_xlfn.IFS(E61="Awning",AS61-_xlfn.XLOOKUP(E61,lookups_s60!$AQ$4:$AQ$1000,lookups_s60!$AX$4:$AX$1000,"",0)-_xlfn.XLOOKUP(E61,lookups_s60!$AQ$4:$AQ$1000,lookups_s60!$AY$4:$AY$1000,"",0),C61&lt;&gt;"",Y61-_xlfn.XLOOKUP(E61,lookups_s60!$AQ$4:$AQ$1000,lookups_s60!$AX$4:$AX$1000,"",0)-_xlfn.XLOOKUP(E61,lookups_s60!$AQ$4:$AQ$1000,lookups_s60!$AY$4:$AY$1000,"",0)),"")</f>
        <v/>
      </c>
      <c r="BE61" s="20" t="str">
        <f>IF(BC61&lt;&gt;"", _xlfn.XLOOKUP(E61,lookups_s60!$AQ$4:$AQ$1000,lookups_s60!$AZ$4:$AZ$1000,"",0)*D61,"")</f>
        <v/>
      </c>
      <c r="BG61" s="20" t="str">
        <f t="shared" si="3"/>
        <v/>
      </c>
      <c r="BH61" s="22" t="str">
        <f t="shared" si="4"/>
        <v/>
      </c>
      <c r="BI61" s="20" t="str">
        <f t="shared" si="5"/>
        <v/>
      </c>
      <c r="BJ61" s="20" t="str">
        <f t="shared" si="6"/>
        <v/>
      </c>
      <c r="BK61" s="20" t="str">
        <f t="shared" si="7"/>
        <v/>
      </c>
    </row>
    <row r="62" spans="3:63" ht="13.5" customHeight="1" x14ac:dyDescent="0.25">
      <c r="C62" s="16"/>
      <c r="D62" s="16"/>
      <c r="E62" s="16"/>
      <c r="F62" s="16"/>
      <c r="G62" s="16"/>
      <c r="H62" s="16"/>
      <c r="I62" s="16"/>
      <c r="J62" s="16"/>
      <c r="K62" s="16"/>
      <c r="M62" s="20" t="str">
        <f t="shared" si="0"/>
        <v/>
      </c>
      <c r="N62" s="20" t="str" cm="1">
        <f t="array" ref="N62">IFERROR(_xlfn.IFS(OR(E62="Fix Awning (Vertical)", E62="Fix Awning (Horizontal)"), J62/2+20,C62&lt;&gt;"", J62+M62),"")</f>
        <v/>
      </c>
      <c r="O62" s="20" t="str">
        <f>IF(D62&lt;&gt;"", D62*_xlfn.XLOOKUP(E62,lookups_s60!$B$4:$B$1000,lookups_s60!$C$4:$C$1000,"",0),"")</f>
        <v/>
      </c>
      <c r="P62" s="20" t="str">
        <f t="shared" si="1"/>
        <v/>
      </c>
      <c r="Q62" s="20" t="str">
        <f>IF(D62&lt;&gt;"", D62*_xlfn.XLOOKUP(E62,lookups_s60!$B$4:$B$1000,lookups_s60!$D$4:$D$1000,"",0),"")</f>
        <v/>
      </c>
      <c r="S62" s="20" t="str" cm="1">
        <f t="array" ref="S62">IFERROR(_xlfn.IFS(E62="Double Fix",K62+_xlfn.XLOOKUP(E62,lookups_s60!$G$4:$G$1000,lookups_s60!$H$4:$H$1000,"",0), OR(E62="Double Awning (Horizontal)", E62="Double Awning (Vertical)",E62="Triple Awning (Horizontal)", E62="Triple Awning (Vertical)"), J62+_xlfn.XLOOKUP(E62,lookups_s60!$G$4:$G$1000,lookups_s60!$H$4:$H$1000,"",0), E62="Double Casement", J62+_xlfn.XLOOKUP(E62,lookups_s60!$G$4:$G$1000,lookups_s60!$H$4:$H$1000,"",0), OR(E62="Fix Awning (Vertical)", E62="Fix Awning (Horizontal)"), K62+_xlfn.XLOOKUP(E62,lookups_s60!$G$4:$G$1000,lookups_s60!$H$4:$H$1000,"",0), E62="Triple Casement", J62+_xlfn.XLOOKUP(E62,lookups_s60!$G$4:$G$1000,lookups_s60!$H$4:$H$1000,"",0)),"")</f>
        <v/>
      </c>
      <c r="T62" s="20" t="str">
        <f>IF(S62&lt;&gt;"",D62*_xlfn.XLOOKUP(E62,lookups_s60!$G$4:$G$1000,lookups_s60!$I$4:$I$1000,"",0),"")</f>
        <v/>
      </c>
      <c r="V62" s="20" t="str">
        <f>IF(_xlfn.XLOOKUP(E62,lookups_s60!$L$4:$L$1000,lookups_s60!$M$4:$M$1000,"",0)=0, "", _xlfn.XLOOKUP(E62,lookups_s60!$L$4:$L$1000,lookups_s60!$M$4:$M$1000,"",0))</f>
        <v/>
      </c>
      <c r="W62" s="20" t="str" cm="1">
        <f t="array" ref="W62">IFERROR(_xlfn.IFS(OR(E62="Fix Awning (Vertical)",E62="Fix Awning (Vertical)"),   ((J62-_xlfn.XLOOKUP(E62,lookups_s60!$L$4:$L$1000,lookups_s60!$N$4:$N$1000,"",0)-40)/2)+_xlfn.XLOOKUP(E62,lookups_s60!$L$4:$L$1000,lookups_s60!$O$4:$O$1000,"",0), V62&lt;&gt;"", J62-_xlfn.XLOOKUP(E62,lookups_s60!$L$4:$L$1000,lookups_s60!$N$4:$N$1000,"",0)+_xlfn.XLOOKUP(E62,lookups_s60!$L$4:$L$1000,lookups_s60!$O$4:$O$1000,"",0)),"")</f>
        <v/>
      </c>
      <c r="X62" s="20" t="str">
        <f>IF(_xlfn.XLOOKUP(E62,lookups_s60!$L$4:$L$1000,lookups_s60!$R$4:$R$1000,"",0)=0, "", D62*_xlfn.XLOOKUP(E62,lookups_s60!$L$4:$L$1000,lookups_s60!$R$4:$R$1000,"",0))</f>
        <v/>
      </c>
      <c r="Y62" s="22" t="str" cm="1">
        <f t="array" ref="Y62">IFERROR(_xlfn.IFS(OR(E62="Double Awning (Horizontal)", E62="Double Awning (Vertical)", E62="Triple Awning (Horizontal)", E62="Triple Awning (Vertical)", E62="Double Casement"), ((K62-_xlfn.XLOOKUP(E62,lookups_s60!$L$4:$L$1000,lookups_s60!$P$4:$P$1000,"",0)-36)/2)+_xlfn.XLOOKUP(E62,lookups_s60!$L$4:$L$1000,lookups_s60!$Q$4:$Q$1000,"",0), E62="Triple Casement",((K62-_xlfn.XLOOKUP(E62,lookups_s60!$L$4:$L$1000,lookups_s60!$P$4:$P$1000,"",0)-36-36)/3)+_xlfn.XLOOKUP(E62,lookups_s60!$L$4:$L$1000,lookups_s60!$Q$4:$Q$1000,"",0),V62&lt;&gt;"",K62-_xlfn.XLOOKUP(E62,lookups_s60!$L$4:$L$1000,lookups_s60!$P$4:$P$1000,"",0)+_xlfn.XLOOKUP(E62,lookups_s60!$L$4:$L$1000,lookups_s60!$Q$4:$Q$1000,"",0)),"")</f>
        <v/>
      </c>
      <c r="Z62" s="20" t="str">
        <f>IF(_xlfn.XLOOKUP(E62,lookups_s60!$L$4:$L$1000,lookups_s60!$R$4:$R$1000,"",0)=0, "", D62*_xlfn.XLOOKUP(E62,lookups_s60!$L$4:$L$1000,lookups_s60!$R$4:$R$1000,"",0))</f>
        <v/>
      </c>
      <c r="AB62" s="20" t="str" cm="1">
        <f t="array" ref="AB62">IFERROR(_xlfn.IFS(OR(E62="Fix", E62="Double Fix"),J62-_xlfn.XLOOKUP(E62,lookups_s60!$U$4:$U$1000,lookups_s60!$V$4:$V$1000,"",0),OR(E62="Fix Awning (Vertical)", E62="Fix Awning (Horizontal)"),(J62-_xlfn.XLOOKUP(E62,lookups_s60!$U$4:$U$1000,lookups_s60!$V$4:$V$1000,"",0)-40)/2),"")</f>
        <v/>
      </c>
      <c r="AC62" s="20" t="str">
        <f>IF(_xlfn.XLOOKUP(E62,lookups_s60!$U$4:$U$1000,lookups_s60!$X$4:$X$1000,"",0)=0,"",D62*_xlfn.XLOOKUP(E62,lookups_s60!$U$4:$U$1000,lookups_s60!$X$4:$X$1000,"",0))</f>
        <v/>
      </c>
      <c r="AD62" s="20" t="str">
        <f>IF(OR(E62="Fix", E62="Double Fix", E62="Fix Awning (Vertical)", E62="Fix Awning (Horizontal)"), K62-_xlfn.XLOOKUP(E62,lookups_s60!$U$4:$U$1000,lookups_s60!$W$4:$W$1000,"",0), "")</f>
        <v/>
      </c>
      <c r="AE62" s="20" t="str">
        <f>IF(_xlfn.XLOOKUP(E62,lookups_s60!$U$4:$U$1000,lookups_s60!$X$4:$X$1000,"",0)=0,"",D62*_xlfn.XLOOKUP(E62,lookups_s60!$U$4:$U$1000,lookups_s60!$Y$4:$Y$1000,"",0))</f>
        <v/>
      </c>
      <c r="AG62" s="24" t="str">
        <f>IF(W62&lt;&gt;"", W62-_xlfn.XLOOKUP(E62,lookups_s60!$U$4:$U$1000,lookups_s60!$Z$4:$Z$1000,"",0)-IF(E62="Awning", 5,0),"")</f>
        <v/>
      </c>
      <c r="AH62" s="20" t="str">
        <f>IF(_xlfn.XLOOKUP(E62,lookups_s60!$U$4:$U$1000,lookups_s60!$AB$4:$AB$1000,"",0)=0,"",D62*_xlfn.XLOOKUP(E62,lookups_s60!$U$4:$U$1000,lookups_s60!$AB$4:$AB$1000,"",0))</f>
        <v/>
      </c>
      <c r="AI62" s="22" t="str">
        <f>IF(Y62&lt;&gt;"", Y62-_xlfn.XLOOKUP(E62,lookups_s60!$U$4:$U$1000,lookups_s60!$AA$4:$AA$1000,"",0),"")</f>
        <v/>
      </c>
      <c r="AJ62" s="20" t="str">
        <f>IF(_xlfn.XLOOKUP(E62,lookups_s60!$U$4:$U$1000,lookups_s60!$AC$4:$AC$1000,"",0)=0,"",D62*_xlfn.XLOOKUP(E62,lookups_s60!$U$4:$U$1000,lookups_s60!$AC$4:$AC$1000,"",0))</f>
        <v/>
      </c>
      <c r="AL62" s="20" t="str">
        <f>IF(C62&lt;&gt;"", N62-_xlfn.XLOOKUP(E62,lookups_s60!$AF$4:$AF$1000,lookups_s60!$AG$4:$AG$1000,"",0),"")</f>
        <v/>
      </c>
      <c r="AM62" s="20" t="str">
        <f>IF(_xlfn.XLOOKUP(E62,lookups_s60!$AF$4:$AF$1000,lookups_s60!$AH$4:$AH$1000,"",0)=0,"",D62*_xlfn.XLOOKUP(E62,lookups_s60!$AF$4:$AF$1000,lookups_s60!$AH$4:$AH$1000,"",0))</f>
        <v/>
      </c>
      <c r="AN62" s="20" t="str">
        <f>IF(C62&lt;&gt;"", P62-_xlfn.XLOOKUP(E62,lookups_s60!$AF$4:$AF$1000,lookups_s60!$AG$4:$AG$1000,"",0),"")</f>
        <v/>
      </c>
      <c r="AO62" s="20" t="str">
        <f>IFERROR(IF(_xlfn.XLOOKUP(E62,lookups_s60!$AF$4:$AF$1000,lookups_s60!$AI$4:$AI$1000,"",0)=0,"",D62*_xlfn.XLOOKUP(E62,lookups_s60!$AF$4:$AF$1000,lookups_s60!$AI$4:$AI$1000,"",0)),"")</f>
        <v/>
      </c>
      <c r="AQ62" s="20" t="str">
        <f>IF(W62&lt;&gt;"", W62-_xlfn.XLOOKUP(E62,lookups_s60!$AF$4:$AF$1000,lookups_s60!$AJ$4:$AJ$1000,"",0),"")</f>
        <v/>
      </c>
      <c r="AR62" s="20" t="str">
        <f>IFERROR(IF(_xlfn.XLOOKUP(E62,lookups_s60!$AF$4:$AF$1000,lookups_s60!$AK$4:$AK$1000,"",0)=0,"",D62*_xlfn.XLOOKUP(E62,lookups_s60!$AF$4:$AF$1000,lookups_s60!$AK$4:$AK$1000,"",0)),"")</f>
        <v/>
      </c>
      <c r="AS62" s="20" t="str">
        <f>IF(Y62&lt;&gt;"", Y62-_xlfn.XLOOKUP(E62,lookups_s60!$AF$4:$AF$1000,lookups_s60!$AJ$4:$AJ$1000,"",0),"")</f>
        <v/>
      </c>
      <c r="AT62" s="20" t="str">
        <f>IFERROR(IF(_xlfn.XLOOKUP(E62,lookups_s60!$AF$4:$AF$1000,lookups_s60!$AL$4:$AL$1000,"",0)=0,"",D62*_xlfn.XLOOKUP(E62,lookups_s60!$AF$4:$AF$1000,lookups_s60!$AL$4:$AL$1000,"",0)),"")</f>
        <v/>
      </c>
      <c r="AV62" s="20" t="str">
        <f>IF(S62&lt;&gt;"", S62-_xlfn.XLOOKUP(E62,lookups_s60!$AF$4:$AF$1000,lookups_s60!$AM$4:$AM$1000,"",0),"")</f>
        <v/>
      </c>
      <c r="AW62" s="20" t="str">
        <f>IFERROR(IF(_xlfn.XLOOKUP(E62,lookups_s60!$AF$4:$AF$1000,lookups_s60!$AN$4:$AN$1000,"",0)=0,"",D62*_xlfn.XLOOKUP(E62,lookups_s60!$AF$4:$AF$1000,lookups_s60!$AN$4:$AN$1000,"",0)),"")</f>
        <v/>
      </c>
      <c r="AY62" s="20" t="str" cm="1">
        <f t="array" ref="AY62">IFERROR(_xlfn.IFS(E62="Fix", J62-_xlfn.XLOOKUP(E62,lookups_s60!$AQ$4:$AQ$1000,lookups_s60!$AR$4:$AR$1000,"",0)-_xlfn.XLOOKUP(E62,lookups_s60!$AQ$4:$AQ$1000,lookups_s60!$AS$4:$AS$1000,"",0), E62="Double Fix", (J62-_xlfn.XLOOKUP(E62,lookups_s60!$AQ$4:$AQ$1000,lookups_s60!$AR$4:$AR$1000,"",0)-_xlfn.XLOOKUP(E62,lookups_s60!$G$4:$G$1000,lookups_s60!$H$4:$H$1000,"",0))/2-_xlfn.XLOOKUP(E62,lookups_s60!$AQ$4:$AQ$1000,lookups_s60!$AS$4:$AS$1000,"",0), OR(E62="Fix Awning (Vertical)",E62="Fix Awning (Horizontal)"),  (J62-_xlfn.XLOOKUP(E62,lookups_s60!$AQ$4:$AQ$1000,lookups_s60!$AR$4:$AR$1000,"",0)-40)/2-_xlfn.XLOOKUP(E62,lookups_s60!$AQ$4:$AQ$1000,lookups_s60!$AS$4:$AS$1000,"",0)),"")</f>
        <v/>
      </c>
      <c r="AZ62" s="20" t="str">
        <f>IFERROR(IF(C62&lt;&gt;"", K62-_xlfn.XLOOKUP(E62,lookups_s60!$AQ$4:$AQ$1000,lookups_s60!$AT$4:$AT$1000,"",0)-_xlfn.XLOOKUP(E62,lookups_s60!$AQ$4:$AQ$1000,lookups_s60!$AU$4:$AU$1000,"",0),""),"")</f>
        <v/>
      </c>
      <c r="BA62" s="20" t="str">
        <f t="shared" si="8"/>
        <v/>
      </c>
      <c r="BC62" s="20" t="str" cm="1">
        <f t="array" ref="BC62">IFERROR(_xlfn.IFS(E62="Awning",AQ62-_xlfn.XLOOKUP(E62,lookups_s60!$AQ$4:$AQ$1000,lookups_s60!$AV$4:$AV$1000,"",0)-_xlfn.XLOOKUP(E62,lookups_s60!$AQ$4:$AQ$1000,lookups_s60!$AW$4:$AW$1000,"",0),C62&lt;&gt;"",W62-_xlfn.XLOOKUP(E62,lookups_s60!$AQ$4:$AQ$1000,lookups_s60!$AV$4:$AV$1000,"",0)-_xlfn.XLOOKUP(E62,lookups_s60!$AQ$4:$AQ$1000,lookups_s60!$AW$4:$AW$1000,"",0)),"")</f>
        <v/>
      </c>
      <c r="BD62" s="20" t="str" cm="1">
        <f t="array" ref="BD62">IFERROR(_xlfn.IFS(E62="Awning",AS62-_xlfn.XLOOKUP(E62,lookups_s60!$AQ$4:$AQ$1000,lookups_s60!$AX$4:$AX$1000,"",0)-_xlfn.XLOOKUP(E62,lookups_s60!$AQ$4:$AQ$1000,lookups_s60!$AY$4:$AY$1000,"",0),C62&lt;&gt;"",Y62-_xlfn.XLOOKUP(E62,lookups_s60!$AQ$4:$AQ$1000,lookups_s60!$AX$4:$AX$1000,"",0)-_xlfn.XLOOKUP(E62,lookups_s60!$AQ$4:$AQ$1000,lookups_s60!$AY$4:$AY$1000,"",0)),"")</f>
        <v/>
      </c>
      <c r="BE62" s="20" t="str">
        <f>IF(BC62&lt;&gt;"", _xlfn.XLOOKUP(E62,lookups_s60!$AQ$4:$AQ$1000,lookups_s60!$AZ$4:$AZ$1000,"",0)*D62,"")</f>
        <v/>
      </c>
      <c r="BG62" s="20" t="str">
        <f t="shared" si="3"/>
        <v/>
      </c>
      <c r="BH62" s="22" t="str">
        <f t="shared" si="4"/>
        <v/>
      </c>
      <c r="BI62" s="20" t="str">
        <f t="shared" si="5"/>
        <v/>
      </c>
      <c r="BJ62" s="20" t="str">
        <f t="shared" si="6"/>
        <v/>
      </c>
      <c r="BK62" s="20" t="str">
        <f t="shared" si="7"/>
        <v/>
      </c>
    </row>
    <row r="63" spans="3:63" ht="13.5" customHeight="1" x14ac:dyDescent="0.25">
      <c r="C63" s="16"/>
      <c r="D63" s="16"/>
      <c r="E63" s="16"/>
      <c r="F63" s="16"/>
      <c r="G63" s="16"/>
      <c r="H63" s="16"/>
      <c r="I63" s="16"/>
      <c r="J63" s="16"/>
      <c r="K63" s="16"/>
      <c r="M63" s="20" t="str">
        <f t="shared" si="0"/>
        <v/>
      </c>
      <c r="N63" s="20" t="str" cm="1">
        <f t="array" ref="N63">IFERROR(_xlfn.IFS(OR(E63="Fix Awning (Vertical)", E63="Fix Awning (Horizontal)"), J63/2+20,C63&lt;&gt;"", J63+M63),"")</f>
        <v/>
      </c>
      <c r="O63" s="20" t="str">
        <f>IF(D63&lt;&gt;"", D63*_xlfn.XLOOKUP(E63,lookups_s60!$B$4:$B$1000,lookups_s60!$C$4:$C$1000,"",0),"")</f>
        <v/>
      </c>
      <c r="P63" s="20" t="str">
        <f t="shared" si="1"/>
        <v/>
      </c>
      <c r="Q63" s="20" t="str">
        <f>IF(D63&lt;&gt;"", D63*_xlfn.XLOOKUP(E63,lookups_s60!$B$4:$B$1000,lookups_s60!$D$4:$D$1000,"",0),"")</f>
        <v/>
      </c>
      <c r="S63" s="20" t="str" cm="1">
        <f t="array" ref="S63">IFERROR(_xlfn.IFS(E63="Double Fix",K63+_xlfn.XLOOKUP(E63,lookups_s60!$G$4:$G$1000,lookups_s60!$H$4:$H$1000,"",0), OR(E63="Double Awning (Horizontal)", E63="Double Awning (Vertical)",E63="Triple Awning (Horizontal)", E63="Triple Awning (Vertical)"), J63+_xlfn.XLOOKUP(E63,lookups_s60!$G$4:$G$1000,lookups_s60!$H$4:$H$1000,"",0), E63="Double Casement", J63+_xlfn.XLOOKUP(E63,lookups_s60!$G$4:$G$1000,lookups_s60!$H$4:$H$1000,"",0), OR(E63="Fix Awning (Vertical)", E63="Fix Awning (Horizontal)"), K63+_xlfn.XLOOKUP(E63,lookups_s60!$G$4:$G$1000,lookups_s60!$H$4:$H$1000,"",0), E63="Triple Casement", J63+_xlfn.XLOOKUP(E63,lookups_s60!$G$4:$G$1000,lookups_s60!$H$4:$H$1000,"",0)),"")</f>
        <v/>
      </c>
      <c r="T63" s="20" t="str">
        <f>IF(S63&lt;&gt;"",D63*_xlfn.XLOOKUP(E63,lookups_s60!$G$4:$G$1000,lookups_s60!$I$4:$I$1000,"",0),"")</f>
        <v/>
      </c>
      <c r="V63" s="20" t="str">
        <f>IF(_xlfn.XLOOKUP(E63,lookups_s60!$L$4:$L$1000,lookups_s60!$M$4:$M$1000,"",0)=0, "", _xlfn.XLOOKUP(E63,lookups_s60!$L$4:$L$1000,lookups_s60!$M$4:$M$1000,"",0))</f>
        <v/>
      </c>
      <c r="W63" s="20" t="str" cm="1">
        <f t="array" ref="W63">IFERROR(_xlfn.IFS(OR(E63="Fix Awning (Vertical)",E63="Fix Awning (Vertical)"),   ((J63-_xlfn.XLOOKUP(E63,lookups_s60!$L$4:$L$1000,lookups_s60!$N$4:$N$1000,"",0)-40)/2)+_xlfn.XLOOKUP(E63,lookups_s60!$L$4:$L$1000,lookups_s60!$O$4:$O$1000,"",0), V63&lt;&gt;"", J63-_xlfn.XLOOKUP(E63,lookups_s60!$L$4:$L$1000,lookups_s60!$N$4:$N$1000,"",0)+_xlfn.XLOOKUP(E63,lookups_s60!$L$4:$L$1000,lookups_s60!$O$4:$O$1000,"",0)),"")</f>
        <v/>
      </c>
      <c r="X63" s="20" t="str">
        <f>IF(_xlfn.XLOOKUP(E63,lookups_s60!$L$4:$L$1000,lookups_s60!$R$4:$R$1000,"",0)=0, "", D63*_xlfn.XLOOKUP(E63,lookups_s60!$L$4:$L$1000,lookups_s60!$R$4:$R$1000,"",0))</f>
        <v/>
      </c>
      <c r="Y63" s="22" t="str" cm="1">
        <f t="array" ref="Y63">IFERROR(_xlfn.IFS(OR(E63="Double Awning (Horizontal)", E63="Double Awning (Vertical)", E63="Triple Awning (Horizontal)", E63="Triple Awning (Vertical)", E63="Double Casement"), ((K63-_xlfn.XLOOKUP(E63,lookups_s60!$L$4:$L$1000,lookups_s60!$P$4:$P$1000,"",0)-36)/2)+_xlfn.XLOOKUP(E63,lookups_s60!$L$4:$L$1000,lookups_s60!$Q$4:$Q$1000,"",0), E63="Triple Casement",((K63-_xlfn.XLOOKUP(E63,lookups_s60!$L$4:$L$1000,lookups_s60!$P$4:$P$1000,"",0)-36-36)/3)+_xlfn.XLOOKUP(E63,lookups_s60!$L$4:$L$1000,lookups_s60!$Q$4:$Q$1000,"",0),V63&lt;&gt;"",K63-_xlfn.XLOOKUP(E63,lookups_s60!$L$4:$L$1000,lookups_s60!$P$4:$P$1000,"",0)+_xlfn.XLOOKUP(E63,lookups_s60!$L$4:$L$1000,lookups_s60!$Q$4:$Q$1000,"",0)),"")</f>
        <v/>
      </c>
      <c r="Z63" s="20" t="str">
        <f>IF(_xlfn.XLOOKUP(E63,lookups_s60!$L$4:$L$1000,lookups_s60!$R$4:$R$1000,"",0)=0, "", D63*_xlfn.XLOOKUP(E63,lookups_s60!$L$4:$L$1000,lookups_s60!$R$4:$R$1000,"",0))</f>
        <v/>
      </c>
      <c r="AB63" s="20" t="str" cm="1">
        <f t="array" ref="AB63">IFERROR(_xlfn.IFS(OR(E63="Fix", E63="Double Fix"),J63-_xlfn.XLOOKUP(E63,lookups_s60!$U$4:$U$1000,lookups_s60!$V$4:$V$1000,"",0),OR(E63="Fix Awning (Vertical)", E63="Fix Awning (Horizontal)"),(J63-_xlfn.XLOOKUP(E63,lookups_s60!$U$4:$U$1000,lookups_s60!$V$4:$V$1000,"",0)-40)/2),"")</f>
        <v/>
      </c>
      <c r="AC63" s="20" t="str">
        <f>IF(_xlfn.XLOOKUP(E63,lookups_s60!$U$4:$U$1000,lookups_s60!$X$4:$X$1000,"",0)=0,"",D63*_xlfn.XLOOKUP(E63,lookups_s60!$U$4:$U$1000,lookups_s60!$X$4:$X$1000,"",0))</f>
        <v/>
      </c>
      <c r="AD63" s="20" t="str">
        <f>IF(OR(E63="Fix", E63="Double Fix", E63="Fix Awning (Vertical)", E63="Fix Awning (Horizontal)"), K63-_xlfn.XLOOKUP(E63,lookups_s60!$U$4:$U$1000,lookups_s60!$W$4:$W$1000,"",0), "")</f>
        <v/>
      </c>
      <c r="AE63" s="20" t="str">
        <f>IF(_xlfn.XLOOKUP(E63,lookups_s60!$U$4:$U$1000,lookups_s60!$X$4:$X$1000,"",0)=0,"",D63*_xlfn.XLOOKUP(E63,lookups_s60!$U$4:$U$1000,lookups_s60!$Y$4:$Y$1000,"",0))</f>
        <v/>
      </c>
      <c r="AG63" s="24" t="str">
        <f>IF(W63&lt;&gt;"", W63-_xlfn.XLOOKUP(E63,lookups_s60!$U$4:$U$1000,lookups_s60!$Z$4:$Z$1000,"",0)-IF(E63="Awning", 5,0),"")</f>
        <v/>
      </c>
      <c r="AH63" s="20" t="str">
        <f>IF(_xlfn.XLOOKUP(E63,lookups_s60!$U$4:$U$1000,lookups_s60!$AB$4:$AB$1000,"",0)=0,"",D63*_xlfn.XLOOKUP(E63,lookups_s60!$U$4:$U$1000,lookups_s60!$AB$4:$AB$1000,"",0))</f>
        <v/>
      </c>
      <c r="AI63" s="22" t="str">
        <f>IF(Y63&lt;&gt;"", Y63-_xlfn.XLOOKUP(E63,lookups_s60!$U$4:$U$1000,lookups_s60!$AA$4:$AA$1000,"",0),"")</f>
        <v/>
      </c>
      <c r="AJ63" s="20" t="str">
        <f>IF(_xlfn.XLOOKUP(E63,lookups_s60!$U$4:$U$1000,lookups_s60!$AC$4:$AC$1000,"",0)=0,"",D63*_xlfn.XLOOKUP(E63,lookups_s60!$U$4:$U$1000,lookups_s60!$AC$4:$AC$1000,"",0))</f>
        <v/>
      </c>
      <c r="AL63" s="20" t="str">
        <f>IF(C63&lt;&gt;"", N63-_xlfn.XLOOKUP(E63,lookups_s60!$AF$4:$AF$1000,lookups_s60!$AG$4:$AG$1000,"",0),"")</f>
        <v/>
      </c>
      <c r="AM63" s="20" t="str">
        <f>IF(_xlfn.XLOOKUP(E63,lookups_s60!$AF$4:$AF$1000,lookups_s60!$AH$4:$AH$1000,"",0)=0,"",D63*_xlfn.XLOOKUP(E63,lookups_s60!$AF$4:$AF$1000,lookups_s60!$AH$4:$AH$1000,"",0))</f>
        <v/>
      </c>
      <c r="AN63" s="20" t="str">
        <f>IF(C63&lt;&gt;"", P63-_xlfn.XLOOKUP(E63,lookups_s60!$AF$4:$AF$1000,lookups_s60!$AG$4:$AG$1000,"",0),"")</f>
        <v/>
      </c>
      <c r="AO63" s="20" t="str">
        <f>IFERROR(IF(_xlfn.XLOOKUP(E63,lookups_s60!$AF$4:$AF$1000,lookups_s60!$AI$4:$AI$1000,"",0)=0,"",D63*_xlfn.XLOOKUP(E63,lookups_s60!$AF$4:$AF$1000,lookups_s60!$AI$4:$AI$1000,"",0)),"")</f>
        <v/>
      </c>
      <c r="AQ63" s="20" t="str">
        <f>IF(W63&lt;&gt;"", W63-_xlfn.XLOOKUP(E63,lookups_s60!$AF$4:$AF$1000,lookups_s60!$AJ$4:$AJ$1000,"",0),"")</f>
        <v/>
      </c>
      <c r="AR63" s="20" t="str">
        <f>IFERROR(IF(_xlfn.XLOOKUP(E63,lookups_s60!$AF$4:$AF$1000,lookups_s60!$AK$4:$AK$1000,"",0)=0,"",D63*_xlfn.XLOOKUP(E63,lookups_s60!$AF$4:$AF$1000,lookups_s60!$AK$4:$AK$1000,"",0)),"")</f>
        <v/>
      </c>
      <c r="AS63" s="20" t="str">
        <f>IF(Y63&lt;&gt;"", Y63-_xlfn.XLOOKUP(E63,lookups_s60!$AF$4:$AF$1000,lookups_s60!$AJ$4:$AJ$1000,"",0),"")</f>
        <v/>
      </c>
      <c r="AT63" s="20" t="str">
        <f>IFERROR(IF(_xlfn.XLOOKUP(E63,lookups_s60!$AF$4:$AF$1000,lookups_s60!$AL$4:$AL$1000,"",0)=0,"",D63*_xlfn.XLOOKUP(E63,lookups_s60!$AF$4:$AF$1000,lookups_s60!$AL$4:$AL$1000,"",0)),"")</f>
        <v/>
      </c>
      <c r="AV63" s="20" t="str">
        <f>IF(S63&lt;&gt;"", S63-_xlfn.XLOOKUP(E63,lookups_s60!$AF$4:$AF$1000,lookups_s60!$AM$4:$AM$1000,"",0),"")</f>
        <v/>
      </c>
      <c r="AW63" s="20" t="str">
        <f>IFERROR(IF(_xlfn.XLOOKUP(E63,lookups_s60!$AF$4:$AF$1000,lookups_s60!$AN$4:$AN$1000,"",0)=0,"",D63*_xlfn.XLOOKUP(E63,lookups_s60!$AF$4:$AF$1000,lookups_s60!$AN$4:$AN$1000,"",0)),"")</f>
        <v/>
      </c>
      <c r="AY63" s="20" t="str" cm="1">
        <f t="array" ref="AY63">IFERROR(_xlfn.IFS(E63="Fix", J63-_xlfn.XLOOKUP(E63,lookups_s60!$AQ$4:$AQ$1000,lookups_s60!$AR$4:$AR$1000,"",0)-_xlfn.XLOOKUP(E63,lookups_s60!$AQ$4:$AQ$1000,lookups_s60!$AS$4:$AS$1000,"",0), E63="Double Fix", (J63-_xlfn.XLOOKUP(E63,lookups_s60!$AQ$4:$AQ$1000,lookups_s60!$AR$4:$AR$1000,"",0)-_xlfn.XLOOKUP(E63,lookups_s60!$G$4:$G$1000,lookups_s60!$H$4:$H$1000,"",0))/2-_xlfn.XLOOKUP(E63,lookups_s60!$AQ$4:$AQ$1000,lookups_s60!$AS$4:$AS$1000,"",0), OR(E63="Fix Awning (Vertical)",E63="Fix Awning (Horizontal)"),  (J63-_xlfn.XLOOKUP(E63,lookups_s60!$AQ$4:$AQ$1000,lookups_s60!$AR$4:$AR$1000,"",0)-40)/2-_xlfn.XLOOKUP(E63,lookups_s60!$AQ$4:$AQ$1000,lookups_s60!$AS$4:$AS$1000,"",0)),"")</f>
        <v/>
      </c>
      <c r="AZ63" s="20" t="str">
        <f>IFERROR(IF(C63&lt;&gt;"", K63-_xlfn.XLOOKUP(E63,lookups_s60!$AQ$4:$AQ$1000,lookups_s60!$AT$4:$AT$1000,"",0)-_xlfn.XLOOKUP(E63,lookups_s60!$AQ$4:$AQ$1000,lookups_s60!$AU$4:$AU$1000,"",0),""),"")</f>
        <v/>
      </c>
      <c r="BA63" s="20" t="str">
        <f t="shared" si="8"/>
        <v/>
      </c>
      <c r="BC63" s="20" t="str" cm="1">
        <f t="array" ref="BC63">IFERROR(_xlfn.IFS(E63="Awning",AQ63-_xlfn.XLOOKUP(E63,lookups_s60!$AQ$4:$AQ$1000,lookups_s60!$AV$4:$AV$1000,"",0)-_xlfn.XLOOKUP(E63,lookups_s60!$AQ$4:$AQ$1000,lookups_s60!$AW$4:$AW$1000,"",0),C63&lt;&gt;"",W63-_xlfn.XLOOKUP(E63,lookups_s60!$AQ$4:$AQ$1000,lookups_s60!$AV$4:$AV$1000,"",0)-_xlfn.XLOOKUP(E63,lookups_s60!$AQ$4:$AQ$1000,lookups_s60!$AW$4:$AW$1000,"",0)),"")</f>
        <v/>
      </c>
      <c r="BD63" s="20" t="str" cm="1">
        <f t="array" ref="BD63">IFERROR(_xlfn.IFS(E63="Awning",AS63-_xlfn.XLOOKUP(E63,lookups_s60!$AQ$4:$AQ$1000,lookups_s60!$AX$4:$AX$1000,"",0)-_xlfn.XLOOKUP(E63,lookups_s60!$AQ$4:$AQ$1000,lookups_s60!$AY$4:$AY$1000,"",0),C63&lt;&gt;"",Y63-_xlfn.XLOOKUP(E63,lookups_s60!$AQ$4:$AQ$1000,lookups_s60!$AX$4:$AX$1000,"",0)-_xlfn.XLOOKUP(E63,lookups_s60!$AQ$4:$AQ$1000,lookups_s60!$AY$4:$AY$1000,"",0)),"")</f>
        <v/>
      </c>
      <c r="BE63" s="20" t="str">
        <f>IF(BC63&lt;&gt;"", _xlfn.XLOOKUP(E63,lookups_s60!$AQ$4:$AQ$1000,lookups_s60!$AZ$4:$AZ$1000,"",0)*D63,"")</f>
        <v/>
      </c>
      <c r="BG63" s="20" t="str">
        <f t="shared" si="3"/>
        <v/>
      </c>
      <c r="BH63" s="22" t="str">
        <f t="shared" si="4"/>
        <v/>
      </c>
      <c r="BI63" s="20" t="str">
        <f t="shared" si="5"/>
        <v/>
      </c>
      <c r="BJ63" s="20" t="str">
        <f t="shared" si="6"/>
        <v/>
      </c>
      <c r="BK63" s="20" t="str">
        <f t="shared" si="7"/>
        <v/>
      </c>
    </row>
    <row r="64" spans="3:63" ht="13.5" customHeight="1" x14ac:dyDescent="0.25">
      <c r="C64" s="16"/>
      <c r="D64" s="16"/>
      <c r="E64" s="16"/>
      <c r="F64" s="16"/>
      <c r="G64" s="16"/>
      <c r="H64" s="16"/>
      <c r="I64" s="16"/>
      <c r="J64" s="16"/>
      <c r="K64" s="16"/>
      <c r="M64" s="20" t="str">
        <f t="shared" si="0"/>
        <v/>
      </c>
      <c r="N64" s="20" t="str" cm="1">
        <f t="array" ref="N64">IFERROR(_xlfn.IFS(OR(E64="Fix Awning (Vertical)", E64="Fix Awning (Horizontal)"), J64/2+20,C64&lt;&gt;"", J64+M64),"")</f>
        <v/>
      </c>
      <c r="O64" s="20" t="str">
        <f>IF(D64&lt;&gt;"", D64*_xlfn.XLOOKUP(E64,lookups_s60!$B$4:$B$1000,lookups_s60!$C$4:$C$1000,"",0),"")</f>
        <v/>
      </c>
      <c r="P64" s="20" t="str">
        <f t="shared" si="1"/>
        <v/>
      </c>
      <c r="Q64" s="20" t="str">
        <f>IF(D64&lt;&gt;"", D64*_xlfn.XLOOKUP(E64,lookups_s60!$B$4:$B$1000,lookups_s60!$D$4:$D$1000,"",0),"")</f>
        <v/>
      </c>
      <c r="S64" s="20" t="str" cm="1">
        <f t="array" ref="S64">IFERROR(_xlfn.IFS(E64="Double Fix",K64+_xlfn.XLOOKUP(E64,lookups_s60!$G$4:$G$1000,lookups_s60!$H$4:$H$1000,"",0), OR(E64="Double Awning (Horizontal)", E64="Double Awning (Vertical)",E64="Triple Awning (Horizontal)", E64="Triple Awning (Vertical)"), J64+_xlfn.XLOOKUP(E64,lookups_s60!$G$4:$G$1000,lookups_s60!$H$4:$H$1000,"",0), E64="Double Casement", J64+_xlfn.XLOOKUP(E64,lookups_s60!$G$4:$G$1000,lookups_s60!$H$4:$H$1000,"",0), OR(E64="Fix Awning (Vertical)", E64="Fix Awning (Horizontal)"), K64+_xlfn.XLOOKUP(E64,lookups_s60!$G$4:$G$1000,lookups_s60!$H$4:$H$1000,"",0), E64="Triple Casement", J64+_xlfn.XLOOKUP(E64,lookups_s60!$G$4:$G$1000,lookups_s60!$H$4:$H$1000,"",0)),"")</f>
        <v/>
      </c>
      <c r="T64" s="20" t="str">
        <f>IF(S64&lt;&gt;"",D64*_xlfn.XLOOKUP(E64,lookups_s60!$G$4:$G$1000,lookups_s60!$I$4:$I$1000,"",0),"")</f>
        <v/>
      </c>
      <c r="V64" s="20" t="str">
        <f>IF(_xlfn.XLOOKUP(E64,lookups_s60!$L$4:$L$1000,lookups_s60!$M$4:$M$1000,"",0)=0, "", _xlfn.XLOOKUP(E64,lookups_s60!$L$4:$L$1000,lookups_s60!$M$4:$M$1000,"",0))</f>
        <v/>
      </c>
      <c r="W64" s="20" t="str" cm="1">
        <f t="array" ref="W64">IFERROR(_xlfn.IFS(OR(E64="Fix Awning (Vertical)",E64="Fix Awning (Vertical)"),   ((J64-_xlfn.XLOOKUP(E64,lookups_s60!$L$4:$L$1000,lookups_s60!$N$4:$N$1000,"",0)-40)/2)+_xlfn.XLOOKUP(E64,lookups_s60!$L$4:$L$1000,lookups_s60!$O$4:$O$1000,"",0), V64&lt;&gt;"", J64-_xlfn.XLOOKUP(E64,lookups_s60!$L$4:$L$1000,lookups_s60!$N$4:$N$1000,"",0)+_xlfn.XLOOKUP(E64,lookups_s60!$L$4:$L$1000,lookups_s60!$O$4:$O$1000,"",0)),"")</f>
        <v/>
      </c>
      <c r="X64" s="20" t="str">
        <f>IF(_xlfn.XLOOKUP(E64,lookups_s60!$L$4:$L$1000,lookups_s60!$R$4:$R$1000,"",0)=0, "", D64*_xlfn.XLOOKUP(E64,lookups_s60!$L$4:$L$1000,lookups_s60!$R$4:$R$1000,"",0))</f>
        <v/>
      </c>
      <c r="Y64" s="22" t="str" cm="1">
        <f t="array" ref="Y64">IFERROR(_xlfn.IFS(OR(E64="Double Awning (Horizontal)", E64="Double Awning (Vertical)", E64="Triple Awning (Horizontal)", E64="Triple Awning (Vertical)", E64="Double Casement"), ((K64-_xlfn.XLOOKUP(E64,lookups_s60!$L$4:$L$1000,lookups_s60!$P$4:$P$1000,"",0)-36)/2)+_xlfn.XLOOKUP(E64,lookups_s60!$L$4:$L$1000,lookups_s60!$Q$4:$Q$1000,"",0), E64="Triple Casement",((K64-_xlfn.XLOOKUP(E64,lookups_s60!$L$4:$L$1000,lookups_s60!$P$4:$P$1000,"",0)-36-36)/3)+_xlfn.XLOOKUP(E64,lookups_s60!$L$4:$L$1000,lookups_s60!$Q$4:$Q$1000,"",0),V64&lt;&gt;"",K64-_xlfn.XLOOKUP(E64,lookups_s60!$L$4:$L$1000,lookups_s60!$P$4:$P$1000,"",0)+_xlfn.XLOOKUP(E64,lookups_s60!$L$4:$L$1000,lookups_s60!$Q$4:$Q$1000,"",0)),"")</f>
        <v/>
      </c>
      <c r="Z64" s="20" t="str">
        <f>IF(_xlfn.XLOOKUP(E64,lookups_s60!$L$4:$L$1000,lookups_s60!$R$4:$R$1000,"",0)=0, "", D64*_xlfn.XLOOKUP(E64,lookups_s60!$L$4:$L$1000,lookups_s60!$R$4:$R$1000,"",0))</f>
        <v/>
      </c>
      <c r="AB64" s="20" t="str" cm="1">
        <f t="array" ref="AB64">IFERROR(_xlfn.IFS(OR(E64="Fix", E64="Double Fix"),J64-_xlfn.XLOOKUP(E64,lookups_s60!$U$4:$U$1000,lookups_s60!$V$4:$V$1000,"",0),OR(E64="Fix Awning (Vertical)", E64="Fix Awning (Horizontal)"),(J64-_xlfn.XLOOKUP(E64,lookups_s60!$U$4:$U$1000,lookups_s60!$V$4:$V$1000,"",0)-40)/2),"")</f>
        <v/>
      </c>
      <c r="AC64" s="20" t="str">
        <f>IF(_xlfn.XLOOKUP(E64,lookups_s60!$U$4:$U$1000,lookups_s60!$X$4:$X$1000,"",0)=0,"",D64*_xlfn.XLOOKUP(E64,lookups_s60!$U$4:$U$1000,lookups_s60!$X$4:$X$1000,"",0))</f>
        <v/>
      </c>
      <c r="AD64" s="20" t="str">
        <f>IF(OR(E64="Fix", E64="Double Fix", E64="Fix Awning (Vertical)", E64="Fix Awning (Horizontal)"), K64-_xlfn.XLOOKUP(E64,lookups_s60!$U$4:$U$1000,lookups_s60!$W$4:$W$1000,"",0), "")</f>
        <v/>
      </c>
      <c r="AE64" s="20" t="str">
        <f>IF(_xlfn.XLOOKUP(E64,lookups_s60!$U$4:$U$1000,lookups_s60!$X$4:$X$1000,"",0)=0,"",D64*_xlfn.XLOOKUP(E64,lookups_s60!$U$4:$U$1000,lookups_s60!$Y$4:$Y$1000,"",0))</f>
        <v/>
      </c>
      <c r="AG64" s="24" t="str">
        <f>IF(W64&lt;&gt;"", W64-_xlfn.XLOOKUP(E64,lookups_s60!$U$4:$U$1000,lookups_s60!$Z$4:$Z$1000,"",0)-IF(E64="Awning", 5,0),"")</f>
        <v/>
      </c>
      <c r="AH64" s="20" t="str">
        <f>IF(_xlfn.XLOOKUP(E64,lookups_s60!$U$4:$U$1000,lookups_s60!$AB$4:$AB$1000,"",0)=0,"",D64*_xlfn.XLOOKUP(E64,lookups_s60!$U$4:$U$1000,lookups_s60!$AB$4:$AB$1000,"",0))</f>
        <v/>
      </c>
      <c r="AI64" s="22" t="str">
        <f>IF(Y64&lt;&gt;"", Y64-_xlfn.XLOOKUP(E64,lookups_s60!$U$4:$U$1000,lookups_s60!$AA$4:$AA$1000,"",0),"")</f>
        <v/>
      </c>
      <c r="AJ64" s="20" t="str">
        <f>IF(_xlfn.XLOOKUP(E64,lookups_s60!$U$4:$U$1000,lookups_s60!$AC$4:$AC$1000,"",0)=0,"",D64*_xlfn.XLOOKUP(E64,lookups_s60!$U$4:$U$1000,lookups_s60!$AC$4:$AC$1000,"",0))</f>
        <v/>
      </c>
      <c r="AL64" s="20" t="str">
        <f>IF(C64&lt;&gt;"", N64-_xlfn.XLOOKUP(E64,lookups_s60!$AF$4:$AF$1000,lookups_s60!$AG$4:$AG$1000,"",0),"")</f>
        <v/>
      </c>
      <c r="AM64" s="20" t="str">
        <f>IF(_xlfn.XLOOKUP(E64,lookups_s60!$AF$4:$AF$1000,lookups_s60!$AH$4:$AH$1000,"",0)=0,"",D64*_xlfn.XLOOKUP(E64,lookups_s60!$AF$4:$AF$1000,lookups_s60!$AH$4:$AH$1000,"",0))</f>
        <v/>
      </c>
      <c r="AN64" s="20" t="str">
        <f>IF(C64&lt;&gt;"", P64-_xlfn.XLOOKUP(E64,lookups_s60!$AF$4:$AF$1000,lookups_s60!$AG$4:$AG$1000,"",0),"")</f>
        <v/>
      </c>
      <c r="AO64" s="20" t="str">
        <f>IFERROR(IF(_xlfn.XLOOKUP(E64,lookups_s60!$AF$4:$AF$1000,lookups_s60!$AI$4:$AI$1000,"",0)=0,"",D64*_xlfn.XLOOKUP(E64,lookups_s60!$AF$4:$AF$1000,lookups_s60!$AI$4:$AI$1000,"",0)),"")</f>
        <v/>
      </c>
      <c r="AQ64" s="20" t="str">
        <f>IF(W64&lt;&gt;"", W64-_xlfn.XLOOKUP(E64,lookups_s60!$AF$4:$AF$1000,lookups_s60!$AJ$4:$AJ$1000,"",0),"")</f>
        <v/>
      </c>
      <c r="AR64" s="20" t="str">
        <f>IFERROR(IF(_xlfn.XLOOKUP(E64,lookups_s60!$AF$4:$AF$1000,lookups_s60!$AK$4:$AK$1000,"",0)=0,"",D64*_xlfn.XLOOKUP(E64,lookups_s60!$AF$4:$AF$1000,lookups_s60!$AK$4:$AK$1000,"",0)),"")</f>
        <v/>
      </c>
      <c r="AS64" s="20" t="str">
        <f>IF(Y64&lt;&gt;"", Y64-_xlfn.XLOOKUP(E64,lookups_s60!$AF$4:$AF$1000,lookups_s60!$AJ$4:$AJ$1000,"",0),"")</f>
        <v/>
      </c>
      <c r="AT64" s="20" t="str">
        <f>IFERROR(IF(_xlfn.XLOOKUP(E64,lookups_s60!$AF$4:$AF$1000,lookups_s60!$AL$4:$AL$1000,"",0)=0,"",D64*_xlfn.XLOOKUP(E64,lookups_s60!$AF$4:$AF$1000,lookups_s60!$AL$4:$AL$1000,"",0)),"")</f>
        <v/>
      </c>
      <c r="AV64" s="20" t="str">
        <f>IF(S64&lt;&gt;"", S64-_xlfn.XLOOKUP(E64,lookups_s60!$AF$4:$AF$1000,lookups_s60!$AM$4:$AM$1000,"",0),"")</f>
        <v/>
      </c>
      <c r="AW64" s="20" t="str">
        <f>IFERROR(IF(_xlfn.XLOOKUP(E64,lookups_s60!$AF$4:$AF$1000,lookups_s60!$AN$4:$AN$1000,"",0)=0,"",D64*_xlfn.XLOOKUP(E64,lookups_s60!$AF$4:$AF$1000,lookups_s60!$AN$4:$AN$1000,"",0)),"")</f>
        <v/>
      </c>
      <c r="AY64" s="20" t="str" cm="1">
        <f t="array" ref="AY64">IFERROR(_xlfn.IFS(E64="Fix", J64-_xlfn.XLOOKUP(E64,lookups_s60!$AQ$4:$AQ$1000,lookups_s60!$AR$4:$AR$1000,"",0)-_xlfn.XLOOKUP(E64,lookups_s60!$AQ$4:$AQ$1000,lookups_s60!$AS$4:$AS$1000,"",0), E64="Double Fix", (J64-_xlfn.XLOOKUP(E64,lookups_s60!$AQ$4:$AQ$1000,lookups_s60!$AR$4:$AR$1000,"",0)-_xlfn.XLOOKUP(E64,lookups_s60!$G$4:$G$1000,lookups_s60!$H$4:$H$1000,"",0))/2-_xlfn.XLOOKUP(E64,lookups_s60!$AQ$4:$AQ$1000,lookups_s60!$AS$4:$AS$1000,"",0), OR(E64="Fix Awning (Vertical)",E64="Fix Awning (Horizontal)"),  (J64-_xlfn.XLOOKUP(E64,lookups_s60!$AQ$4:$AQ$1000,lookups_s60!$AR$4:$AR$1000,"",0)-40)/2-_xlfn.XLOOKUP(E64,lookups_s60!$AQ$4:$AQ$1000,lookups_s60!$AS$4:$AS$1000,"",0)),"")</f>
        <v/>
      </c>
      <c r="AZ64" s="20" t="str">
        <f>IFERROR(IF(C64&lt;&gt;"", K64-_xlfn.XLOOKUP(E64,lookups_s60!$AQ$4:$AQ$1000,lookups_s60!$AT$4:$AT$1000,"",0)-_xlfn.XLOOKUP(E64,lookups_s60!$AQ$4:$AQ$1000,lookups_s60!$AU$4:$AU$1000,"",0),""),"")</f>
        <v/>
      </c>
      <c r="BA64" s="20" t="str">
        <f t="shared" si="8"/>
        <v/>
      </c>
      <c r="BC64" s="20" t="str" cm="1">
        <f t="array" ref="BC64">IFERROR(_xlfn.IFS(E64="Awning",AQ64-_xlfn.XLOOKUP(E64,lookups_s60!$AQ$4:$AQ$1000,lookups_s60!$AV$4:$AV$1000,"",0)-_xlfn.XLOOKUP(E64,lookups_s60!$AQ$4:$AQ$1000,lookups_s60!$AW$4:$AW$1000,"",0),C64&lt;&gt;"",W64-_xlfn.XLOOKUP(E64,lookups_s60!$AQ$4:$AQ$1000,lookups_s60!$AV$4:$AV$1000,"",0)-_xlfn.XLOOKUP(E64,lookups_s60!$AQ$4:$AQ$1000,lookups_s60!$AW$4:$AW$1000,"",0)),"")</f>
        <v/>
      </c>
      <c r="BD64" s="20" t="str" cm="1">
        <f t="array" ref="BD64">IFERROR(_xlfn.IFS(E64="Awning",AS64-_xlfn.XLOOKUP(E64,lookups_s60!$AQ$4:$AQ$1000,lookups_s60!$AX$4:$AX$1000,"",0)-_xlfn.XLOOKUP(E64,lookups_s60!$AQ$4:$AQ$1000,lookups_s60!$AY$4:$AY$1000,"",0),C64&lt;&gt;"",Y64-_xlfn.XLOOKUP(E64,lookups_s60!$AQ$4:$AQ$1000,lookups_s60!$AX$4:$AX$1000,"",0)-_xlfn.XLOOKUP(E64,lookups_s60!$AQ$4:$AQ$1000,lookups_s60!$AY$4:$AY$1000,"",0)),"")</f>
        <v/>
      </c>
      <c r="BE64" s="20" t="str">
        <f>IF(BC64&lt;&gt;"", _xlfn.XLOOKUP(E64,lookups_s60!$AQ$4:$AQ$1000,lookups_s60!$AZ$4:$AZ$1000,"",0)*D64,"")</f>
        <v/>
      </c>
      <c r="BG64" s="20" t="str">
        <f t="shared" si="3"/>
        <v/>
      </c>
      <c r="BH64" s="22" t="str">
        <f t="shared" si="4"/>
        <v/>
      </c>
      <c r="BI64" s="20" t="str">
        <f t="shared" si="5"/>
        <v/>
      </c>
      <c r="BJ64" s="20" t="str">
        <f t="shared" si="6"/>
        <v/>
      </c>
      <c r="BK64" s="20" t="str">
        <f t="shared" si="7"/>
        <v/>
      </c>
    </row>
    <row r="65" spans="3:63" ht="13.5" customHeight="1" x14ac:dyDescent="0.25">
      <c r="C65" s="16"/>
      <c r="D65" s="16"/>
      <c r="E65" s="16"/>
      <c r="F65" s="16"/>
      <c r="G65" s="16"/>
      <c r="H65" s="16"/>
      <c r="I65" s="16"/>
      <c r="J65" s="16"/>
      <c r="K65" s="16"/>
      <c r="M65" s="20" t="str">
        <f t="shared" si="0"/>
        <v/>
      </c>
      <c r="N65" s="20" t="str" cm="1">
        <f t="array" ref="N65">IFERROR(_xlfn.IFS(OR(E65="Fix Awning (Vertical)", E65="Fix Awning (Horizontal)"), J65/2+20,C65&lt;&gt;"", J65+M65),"")</f>
        <v/>
      </c>
      <c r="O65" s="20" t="str">
        <f>IF(D65&lt;&gt;"", D65*_xlfn.XLOOKUP(E65,lookups_s60!$B$4:$B$1000,lookups_s60!$C$4:$C$1000,"",0),"")</f>
        <v/>
      </c>
      <c r="P65" s="20" t="str">
        <f t="shared" si="1"/>
        <v/>
      </c>
      <c r="Q65" s="20" t="str">
        <f>IF(D65&lt;&gt;"", D65*_xlfn.XLOOKUP(E65,lookups_s60!$B$4:$B$1000,lookups_s60!$D$4:$D$1000,"",0),"")</f>
        <v/>
      </c>
      <c r="S65" s="20" t="str" cm="1">
        <f t="array" ref="S65">IFERROR(_xlfn.IFS(E65="Double Fix",K65+_xlfn.XLOOKUP(E65,lookups_s60!$G$4:$G$1000,lookups_s60!$H$4:$H$1000,"",0), OR(E65="Double Awning (Horizontal)", E65="Double Awning (Vertical)",E65="Triple Awning (Horizontal)", E65="Triple Awning (Vertical)"), J65+_xlfn.XLOOKUP(E65,lookups_s60!$G$4:$G$1000,lookups_s60!$H$4:$H$1000,"",0), E65="Double Casement", J65+_xlfn.XLOOKUP(E65,lookups_s60!$G$4:$G$1000,lookups_s60!$H$4:$H$1000,"",0), OR(E65="Fix Awning (Vertical)", E65="Fix Awning (Horizontal)"), K65+_xlfn.XLOOKUP(E65,lookups_s60!$G$4:$G$1000,lookups_s60!$H$4:$H$1000,"",0), E65="Triple Casement", J65+_xlfn.XLOOKUP(E65,lookups_s60!$G$4:$G$1000,lookups_s60!$H$4:$H$1000,"",0)),"")</f>
        <v/>
      </c>
      <c r="T65" s="20" t="str">
        <f>IF(S65&lt;&gt;"",D65*_xlfn.XLOOKUP(E65,lookups_s60!$G$4:$G$1000,lookups_s60!$I$4:$I$1000,"",0),"")</f>
        <v/>
      </c>
      <c r="V65" s="20" t="str">
        <f>IF(_xlfn.XLOOKUP(E65,lookups_s60!$L$4:$L$1000,lookups_s60!$M$4:$M$1000,"",0)=0, "", _xlfn.XLOOKUP(E65,lookups_s60!$L$4:$L$1000,lookups_s60!$M$4:$M$1000,"",0))</f>
        <v/>
      </c>
      <c r="W65" s="20" t="str" cm="1">
        <f t="array" ref="W65">IFERROR(_xlfn.IFS(OR(E65="Fix Awning (Vertical)",E65="Fix Awning (Vertical)"),   ((J65-_xlfn.XLOOKUP(E65,lookups_s60!$L$4:$L$1000,lookups_s60!$N$4:$N$1000,"",0)-40)/2)+_xlfn.XLOOKUP(E65,lookups_s60!$L$4:$L$1000,lookups_s60!$O$4:$O$1000,"",0), V65&lt;&gt;"", J65-_xlfn.XLOOKUP(E65,lookups_s60!$L$4:$L$1000,lookups_s60!$N$4:$N$1000,"",0)+_xlfn.XLOOKUP(E65,lookups_s60!$L$4:$L$1000,lookups_s60!$O$4:$O$1000,"",0)),"")</f>
        <v/>
      </c>
      <c r="X65" s="20" t="str">
        <f>IF(_xlfn.XLOOKUP(E65,lookups_s60!$L$4:$L$1000,lookups_s60!$R$4:$R$1000,"",0)=0, "", D65*_xlfn.XLOOKUP(E65,lookups_s60!$L$4:$L$1000,lookups_s60!$R$4:$R$1000,"",0))</f>
        <v/>
      </c>
      <c r="Y65" s="22" t="str" cm="1">
        <f t="array" ref="Y65">IFERROR(_xlfn.IFS(OR(E65="Double Awning (Horizontal)", E65="Double Awning (Vertical)", E65="Triple Awning (Horizontal)", E65="Triple Awning (Vertical)", E65="Double Casement"), ((K65-_xlfn.XLOOKUP(E65,lookups_s60!$L$4:$L$1000,lookups_s60!$P$4:$P$1000,"",0)-36)/2)+_xlfn.XLOOKUP(E65,lookups_s60!$L$4:$L$1000,lookups_s60!$Q$4:$Q$1000,"",0), E65="Triple Casement",((K65-_xlfn.XLOOKUP(E65,lookups_s60!$L$4:$L$1000,lookups_s60!$P$4:$P$1000,"",0)-36-36)/3)+_xlfn.XLOOKUP(E65,lookups_s60!$L$4:$L$1000,lookups_s60!$Q$4:$Q$1000,"",0),V65&lt;&gt;"",K65-_xlfn.XLOOKUP(E65,lookups_s60!$L$4:$L$1000,lookups_s60!$P$4:$P$1000,"",0)+_xlfn.XLOOKUP(E65,lookups_s60!$L$4:$L$1000,lookups_s60!$Q$4:$Q$1000,"",0)),"")</f>
        <v/>
      </c>
      <c r="Z65" s="20" t="str">
        <f>IF(_xlfn.XLOOKUP(E65,lookups_s60!$L$4:$L$1000,lookups_s60!$R$4:$R$1000,"",0)=0, "", D65*_xlfn.XLOOKUP(E65,lookups_s60!$L$4:$L$1000,lookups_s60!$R$4:$R$1000,"",0))</f>
        <v/>
      </c>
      <c r="AB65" s="20" t="str" cm="1">
        <f t="array" ref="AB65">IFERROR(_xlfn.IFS(OR(E65="Fix", E65="Double Fix"),J65-_xlfn.XLOOKUP(E65,lookups_s60!$U$4:$U$1000,lookups_s60!$V$4:$V$1000,"",0),OR(E65="Fix Awning (Vertical)", E65="Fix Awning (Horizontal)"),(J65-_xlfn.XLOOKUP(E65,lookups_s60!$U$4:$U$1000,lookups_s60!$V$4:$V$1000,"",0)-40)/2),"")</f>
        <v/>
      </c>
      <c r="AC65" s="20" t="str">
        <f>IF(_xlfn.XLOOKUP(E65,lookups_s60!$U$4:$U$1000,lookups_s60!$X$4:$X$1000,"",0)=0,"",D65*_xlfn.XLOOKUP(E65,lookups_s60!$U$4:$U$1000,lookups_s60!$X$4:$X$1000,"",0))</f>
        <v/>
      </c>
      <c r="AD65" s="20" t="str">
        <f>IF(OR(E65="Fix", E65="Double Fix", E65="Fix Awning (Vertical)", E65="Fix Awning (Horizontal)"), K65-_xlfn.XLOOKUP(E65,lookups_s60!$U$4:$U$1000,lookups_s60!$W$4:$W$1000,"",0), "")</f>
        <v/>
      </c>
      <c r="AE65" s="20" t="str">
        <f>IF(_xlfn.XLOOKUP(E65,lookups_s60!$U$4:$U$1000,lookups_s60!$X$4:$X$1000,"",0)=0,"",D65*_xlfn.XLOOKUP(E65,lookups_s60!$U$4:$U$1000,lookups_s60!$Y$4:$Y$1000,"",0))</f>
        <v/>
      </c>
      <c r="AG65" s="24" t="str">
        <f>IF(W65&lt;&gt;"", W65-_xlfn.XLOOKUP(E65,lookups_s60!$U$4:$U$1000,lookups_s60!$Z$4:$Z$1000,"",0)-IF(E65="Awning", 5,0),"")</f>
        <v/>
      </c>
      <c r="AH65" s="20" t="str">
        <f>IF(_xlfn.XLOOKUP(E65,lookups_s60!$U$4:$U$1000,lookups_s60!$AB$4:$AB$1000,"",0)=0,"",D65*_xlfn.XLOOKUP(E65,lookups_s60!$U$4:$U$1000,lookups_s60!$AB$4:$AB$1000,"",0))</f>
        <v/>
      </c>
      <c r="AI65" s="22" t="str">
        <f>IF(Y65&lt;&gt;"", Y65-_xlfn.XLOOKUP(E65,lookups_s60!$U$4:$U$1000,lookups_s60!$AA$4:$AA$1000,"",0),"")</f>
        <v/>
      </c>
      <c r="AJ65" s="20" t="str">
        <f>IF(_xlfn.XLOOKUP(E65,lookups_s60!$U$4:$U$1000,lookups_s60!$AC$4:$AC$1000,"",0)=0,"",D65*_xlfn.XLOOKUP(E65,lookups_s60!$U$4:$U$1000,lookups_s60!$AC$4:$AC$1000,"",0))</f>
        <v/>
      </c>
      <c r="AL65" s="20" t="str">
        <f>IF(C65&lt;&gt;"", N65-_xlfn.XLOOKUP(E65,lookups_s60!$AF$4:$AF$1000,lookups_s60!$AG$4:$AG$1000,"",0),"")</f>
        <v/>
      </c>
      <c r="AM65" s="20" t="str">
        <f>IF(_xlfn.XLOOKUP(E65,lookups_s60!$AF$4:$AF$1000,lookups_s60!$AH$4:$AH$1000,"",0)=0,"",D65*_xlfn.XLOOKUP(E65,lookups_s60!$AF$4:$AF$1000,lookups_s60!$AH$4:$AH$1000,"",0))</f>
        <v/>
      </c>
      <c r="AN65" s="20" t="str">
        <f>IF(C65&lt;&gt;"", P65-_xlfn.XLOOKUP(E65,lookups_s60!$AF$4:$AF$1000,lookups_s60!$AG$4:$AG$1000,"",0),"")</f>
        <v/>
      </c>
      <c r="AO65" s="20" t="str">
        <f>IFERROR(IF(_xlfn.XLOOKUP(E65,lookups_s60!$AF$4:$AF$1000,lookups_s60!$AI$4:$AI$1000,"",0)=0,"",D65*_xlfn.XLOOKUP(E65,lookups_s60!$AF$4:$AF$1000,lookups_s60!$AI$4:$AI$1000,"",0)),"")</f>
        <v/>
      </c>
      <c r="AQ65" s="20" t="str">
        <f>IF(W65&lt;&gt;"", W65-_xlfn.XLOOKUP(E65,lookups_s60!$AF$4:$AF$1000,lookups_s60!$AJ$4:$AJ$1000,"",0),"")</f>
        <v/>
      </c>
      <c r="AR65" s="20" t="str">
        <f>IFERROR(IF(_xlfn.XLOOKUP(E65,lookups_s60!$AF$4:$AF$1000,lookups_s60!$AK$4:$AK$1000,"",0)=0,"",D65*_xlfn.XLOOKUP(E65,lookups_s60!$AF$4:$AF$1000,lookups_s60!$AK$4:$AK$1000,"",0)),"")</f>
        <v/>
      </c>
      <c r="AS65" s="20" t="str">
        <f>IF(Y65&lt;&gt;"", Y65-_xlfn.XLOOKUP(E65,lookups_s60!$AF$4:$AF$1000,lookups_s60!$AJ$4:$AJ$1000,"",0),"")</f>
        <v/>
      </c>
      <c r="AT65" s="20" t="str">
        <f>IFERROR(IF(_xlfn.XLOOKUP(E65,lookups_s60!$AF$4:$AF$1000,lookups_s60!$AL$4:$AL$1000,"",0)=0,"",D65*_xlfn.XLOOKUP(E65,lookups_s60!$AF$4:$AF$1000,lookups_s60!$AL$4:$AL$1000,"",0)),"")</f>
        <v/>
      </c>
      <c r="AV65" s="20" t="str">
        <f>IF(S65&lt;&gt;"", S65-_xlfn.XLOOKUP(E65,lookups_s60!$AF$4:$AF$1000,lookups_s60!$AM$4:$AM$1000,"",0),"")</f>
        <v/>
      </c>
      <c r="AW65" s="20" t="str">
        <f>IFERROR(IF(_xlfn.XLOOKUP(E65,lookups_s60!$AF$4:$AF$1000,lookups_s60!$AN$4:$AN$1000,"",0)=0,"",D65*_xlfn.XLOOKUP(E65,lookups_s60!$AF$4:$AF$1000,lookups_s60!$AN$4:$AN$1000,"",0)),"")</f>
        <v/>
      </c>
      <c r="AY65" s="20" t="str" cm="1">
        <f t="array" ref="AY65">IFERROR(_xlfn.IFS(E65="Fix", J65-_xlfn.XLOOKUP(E65,lookups_s60!$AQ$4:$AQ$1000,lookups_s60!$AR$4:$AR$1000,"",0)-_xlfn.XLOOKUP(E65,lookups_s60!$AQ$4:$AQ$1000,lookups_s60!$AS$4:$AS$1000,"",0), E65="Double Fix", (J65-_xlfn.XLOOKUP(E65,lookups_s60!$AQ$4:$AQ$1000,lookups_s60!$AR$4:$AR$1000,"",0)-_xlfn.XLOOKUP(E65,lookups_s60!$G$4:$G$1000,lookups_s60!$H$4:$H$1000,"",0))/2-_xlfn.XLOOKUP(E65,lookups_s60!$AQ$4:$AQ$1000,lookups_s60!$AS$4:$AS$1000,"",0), OR(E65="Fix Awning (Vertical)",E65="Fix Awning (Horizontal)"),  (J65-_xlfn.XLOOKUP(E65,lookups_s60!$AQ$4:$AQ$1000,lookups_s60!$AR$4:$AR$1000,"",0)-40)/2-_xlfn.XLOOKUP(E65,lookups_s60!$AQ$4:$AQ$1000,lookups_s60!$AS$4:$AS$1000,"",0)),"")</f>
        <v/>
      </c>
      <c r="AZ65" s="20" t="str">
        <f>IFERROR(IF(C65&lt;&gt;"", K65-_xlfn.XLOOKUP(E65,lookups_s60!$AQ$4:$AQ$1000,lookups_s60!$AT$4:$AT$1000,"",0)-_xlfn.XLOOKUP(E65,lookups_s60!$AQ$4:$AQ$1000,lookups_s60!$AU$4:$AU$1000,"",0),""),"")</f>
        <v/>
      </c>
      <c r="BA65" s="20" t="str">
        <f t="shared" si="8"/>
        <v/>
      </c>
      <c r="BC65" s="20" t="str" cm="1">
        <f t="array" ref="BC65">IFERROR(_xlfn.IFS(E65="Awning",AQ65-_xlfn.XLOOKUP(E65,lookups_s60!$AQ$4:$AQ$1000,lookups_s60!$AV$4:$AV$1000,"",0)-_xlfn.XLOOKUP(E65,lookups_s60!$AQ$4:$AQ$1000,lookups_s60!$AW$4:$AW$1000,"",0),C65&lt;&gt;"",W65-_xlfn.XLOOKUP(E65,lookups_s60!$AQ$4:$AQ$1000,lookups_s60!$AV$4:$AV$1000,"",0)-_xlfn.XLOOKUP(E65,lookups_s60!$AQ$4:$AQ$1000,lookups_s60!$AW$4:$AW$1000,"",0)),"")</f>
        <v/>
      </c>
      <c r="BD65" s="20" t="str" cm="1">
        <f t="array" ref="BD65">IFERROR(_xlfn.IFS(E65="Awning",AS65-_xlfn.XLOOKUP(E65,lookups_s60!$AQ$4:$AQ$1000,lookups_s60!$AX$4:$AX$1000,"",0)-_xlfn.XLOOKUP(E65,lookups_s60!$AQ$4:$AQ$1000,lookups_s60!$AY$4:$AY$1000,"",0),C65&lt;&gt;"",Y65-_xlfn.XLOOKUP(E65,lookups_s60!$AQ$4:$AQ$1000,lookups_s60!$AX$4:$AX$1000,"",0)-_xlfn.XLOOKUP(E65,lookups_s60!$AQ$4:$AQ$1000,lookups_s60!$AY$4:$AY$1000,"",0)),"")</f>
        <v/>
      </c>
      <c r="BE65" s="20" t="str">
        <f>IF(BC65&lt;&gt;"", _xlfn.XLOOKUP(E65,lookups_s60!$AQ$4:$AQ$1000,lookups_s60!$AZ$4:$AZ$1000,"",0)*D65,"")</f>
        <v/>
      </c>
      <c r="BG65" s="20" t="str">
        <f t="shared" si="3"/>
        <v/>
      </c>
      <c r="BH65" s="22" t="str">
        <f t="shared" si="4"/>
        <v/>
      </c>
      <c r="BI65" s="20" t="str">
        <f t="shared" si="5"/>
        <v/>
      </c>
      <c r="BJ65" s="20" t="str">
        <f t="shared" si="6"/>
        <v/>
      </c>
      <c r="BK65" s="20" t="str">
        <f t="shared" si="7"/>
        <v/>
      </c>
    </row>
  </sheetData>
  <mergeCells count="22">
    <mergeCell ref="D6:E6"/>
    <mergeCell ref="J6:K6"/>
    <mergeCell ref="D7:E7"/>
    <mergeCell ref="J7:K7"/>
    <mergeCell ref="D8:E8"/>
    <mergeCell ref="J8:K8"/>
    <mergeCell ref="D9:E9"/>
    <mergeCell ref="J9:K9"/>
    <mergeCell ref="D10:E10"/>
    <mergeCell ref="J10:K10"/>
    <mergeCell ref="C13:K13"/>
    <mergeCell ref="AB13:AE13"/>
    <mergeCell ref="AG13:AJ13"/>
    <mergeCell ref="N13:Q13"/>
    <mergeCell ref="S13:T13"/>
    <mergeCell ref="V13:Z13"/>
    <mergeCell ref="BG13:BK13"/>
    <mergeCell ref="AL13:AO13"/>
    <mergeCell ref="AQ13:AT13"/>
    <mergeCell ref="AV13:AW13"/>
    <mergeCell ref="AY13:BA13"/>
    <mergeCell ref="BC13:BE13"/>
  </mergeCells>
  <dataValidations count="1">
    <dataValidation type="list" allowBlank="1" showInputMessage="1" showErrorMessage="1" sqref="H16:I65" xr:uid="{058A9AB4-DBC8-4C6F-96D8-19747457D68F}">
      <formula1>#REF!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4AB4-51E7-4DC0-B17A-9C76D631E2E7}">
  <sheetPr codeName="Sheet23">
    <tabColor theme="0"/>
  </sheetPr>
  <dimension ref="B1:BJ65"/>
  <sheetViews>
    <sheetView workbookViewId="0">
      <pane xSplit="11" ySplit="14" topLeftCell="L15" activePane="bottomRight" state="frozen"/>
      <selection activeCell="E15" sqref="E15"/>
      <selection pane="topRight" activeCell="E15" sqref="E15"/>
      <selection pane="bottomLeft" activeCell="E15" sqref="E15"/>
      <selection pane="bottomRight" activeCell="E15" sqref="E15"/>
    </sheetView>
  </sheetViews>
  <sheetFormatPr defaultColWidth="9.140625" defaultRowHeight="13.5" customHeight="1" x14ac:dyDescent="0.25"/>
  <cols>
    <col min="1" max="1" width="2.7109375" style="1" customWidth="1"/>
    <col min="2" max="2" width="1.7109375" style="1" customWidth="1"/>
    <col min="3" max="3" width="11.85546875" style="1" customWidth="1"/>
    <col min="4" max="4" width="6.85546875" style="1" bestFit="1" customWidth="1"/>
    <col min="5" max="5" width="40.28515625" style="1" customWidth="1"/>
    <col min="6" max="6" width="19.42578125" style="1" customWidth="1"/>
    <col min="7" max="7" width="18" style="1" customWidth="1"/>
    <col min="8" max="9" width="24.28515625" style="1" customWidth="1"/>
    <col min="10" max="11" width="10.7109375" style="1" customWidth="1"/>
    <col min="12" max="12" width="1.7109375" style="1" customWidth="1"/>
    <col min="13" max="13" width="15.140625" style="1" customWidth="1"/>
    <col min="14" max="14" width="1.7109375" style="1" customWidth="1"/>
    <col min="15" max="16" width="10.7109375" style="1" customWidth="1"/>
    <col min="17" max="17" width="1.7109375" style="1" customWidth="1"/>
    <col min="18" max="19" width="10.7109375" style="1" customWidth="1"/>
    <col min="20" max="20" width="1.7109375" style="1" customWidth="1"/>
    <col min="21" max="22" width="10.7109375" style="1" customWidth="1"/>
    <col min="23" max="23" width="1.7109375" style="1" customWidth="1"/>
    <col min="24" max="24" width="10.7109375" style="1" customWidth="1"/>
    <col min="25" max="25" width="15.5703125" style="1" bestFit="1" customWidth="1"/>
    <col min="26" max="26" width="1.7109375" style="1" customWidth="1"/>
    <col min="27" max="27" width="10.7109375" style="1" customWidth="1"/>
    <col min="28" max="28" width="15.5703125" style="1" bestFit="1" customWidth="1"/>
    <col min="29" max="29" width="1.7109375" style="1" customWidth="1"/>
    <col min="30" max="30" width="21" style="1" bestFit="1" customWidth="1"/>
    <col min="31" max="31" width="1.7109375" style="1" customWidth="1"/>
    <col min="32" max="32" width="15.5703125" style="1" bestFit="1" customWidth="1"/>
    <col min="33" max="33" width="1.7109375" style="1" customWidth="1"/>
    <col min="34" max="35" width="10.7109375" style="1" customWidth="1"/>
    <col min="36" max="36" width="1.7109375" style="1" customWidth="1"/>
    <col min="37" max="38" width="10.7109375" style="1" customWidth="1"/>
    <col min="39" max="39" width="1.7109375" style="1" customWidth="1"/>
    <col min="40" max="40" width="10.7109375" style="1" customWidth="1"/>
    <col min="41" max="41" width="12.42578125" style="1" bestFit="1" customWidth="1"/>
    <col min="42" max="42" width="1.7109375" style="1" customWidth="1"/>
    <col min="43" max="43" width="10.7109375" style="1" customWidth="1"/>
    <col min="44" max="44" width="15.5703125" style="1" bestFit="1" customWidth="1"/>
    <col min="45" max="45" width="1.7109375" style="1" customWidth="1"/>
    <col min="46" max="46" width="10.7109375" style="1" customWidth="1"/>
    <col min="47" max="47" width="15.5703125" style="1" bestFit="1" customWidth="1"/>
    <col min="48" max="48" width="1.7109375" style="1" customWidth="1"/>
    <col min="49" max="49" width="10.7109375" style="1" customWidth="1"/>
    <col min="50" max="50" width="19.42578125" style="1" bestFit="1" customWidth="1"/>
    <col min="51" max="51" width="1.7109375" style="1" customWidth="1"/>
    <col min="52" max="52" width="10.7109375" style="1" customWidth="1"/>
    <col min="53" max="53" width="16.5703125" style="1" bestFit="1" customWidth="1"/>
    <col min="54" max="54" width="1.7109375" style="1" customWidth="1"/>
    <col min="55" max="55" width="10.7109375" style="1" customWidth="1"/>
    <col min="56" max="56" width="15.5703125" style="1" bestFit="1" customWidth="1"/>
    <col min="57" max="57" width="1.7109375" style="1" customWidth="1"/>
    <col min="58" max="58" width="22.28515625" style="1" bestFit="1" customWidth="1"/>
    <col min="59" max="59" width="1.7109375" style="1" customWidth="1"/>
    <col min="60" max="60" width="22.28515625" style="1" bestFit="1" customWidth="1"/>
    <col min="61" max="61" width="1.7109375" style="1" customWidth="1"/>
    <col min="62" max="62" width="17.140625" style="1" customWidth="1"/>
    <col min="63" max="16384" width="9.140625" style="1"/>
  </cols>
  <sheetData>
    <row r="1" spans="2:62" x14ac:dyDescent="0.25"/>
    <row r="2" spans="2:62" x14ac:dyDescent="0.25"/>
    <row r="3" spans="2:62" x14ac:dyDescent="0.25"/>
    <row r="4" spans="2:62" x14ac:dyDescent="0.25"/>
    <row r="5" spans="2:62" ht="9.9499999999999993" customHeight="1" x14ac:dyDescent="0.25">
      <c r="B5" s="9"/>
      <c r="C5" s="10"/>
      <c r="D5" s="10"/>
      <c r="E5" s="10"/>
      <c r="F5" s="10"/>
      <c r="G5" s="10"/>
      <c r="H5" s="10"/>
      <c r="I5" s="10"/>
      <c r="J5" s="10"/>
      <c r="K5" s="10"/>
      <c r="L5" s="11"/>
    </row>
    <row r="6" spans="2:62" ht="14.25" x14ac:dyDescent="0.3">
      <c r="B6" s="4"/>
      <c r="C6" s="12" t="s">
        <v>0</v>
      </c>
      <c r="D6" s="114">
        <v>45217</v>
      </c>
      <c r="E6" s="114"/>
      <c r="F6" s="13"/>
      <c r="G6" s="13"/>
      <c r="H6" s="12" t="s">
        <v>90</v>
      </c>
      <c r="I6" s="12"/>
      <c r="J6" s="113"/>
      <c r="K6" s="113"/>
      <c r="L6" s="5"/>
    </row>
    <row r="7" spans="2:62" ht="14.25" x14ac:dyDescent="0.3">
      <c r="B7" s="4"/>
      <c r="C7" s="12" t="s">
        <v>1</v>
      </c>
      <c r="D7" s="112"/>
      <c r="E7" s="112"/>
      <c r="F7" s="13"/>
      <c r="G7" s="13"/>
      <c r="H7" s="12" t="s">
        <v>91</v>
      </c>
      <c r="I7" s="12"/>
      <c r="J7" s="113"/>
      <c r="K7" s="113"/>
      <c r="L7" s="5"/>
    </row>
    <row r="8" spans="2:62" ht="14.25" x14ac:dyDescent="0.3">
      <c r="B8" s="4"/>
      <c r="C8" s="12" t="s">
        <v>2</v>
      </c>
      <c r="D8" s="112"/>
      <c r="E8" s="112"/>
      <c r="F8" s="13"/>
      <c r="G8" s="13"/>
      <c r="H8" s="12" t="s">
        <v>92</v>
      </c>
      <c r="I8" s="12"/>
      <c r="J8" s="113"/>
      <c r="K8" s="113"/>
      <c r="L8" s="5"/>
    </row>
    <row r="9" spans="2:62" ht="14.25" x14ac:dyDescent="0.3">
      <c r="B9" s="4"/>
      <c r="C9" s="12" t="s">
        <v>62</v>
      </c>
      <c r="D9" s="112"/>
      <c r="E9" s="112"/>
      <c r="F9" s="13"/>
      <c r="G9" s="13"/>
      <c r="H9" s="12" t="s">
        <v>93</v>
      </c>
      <c r="I9" s="12"/>
      <c r="J9" s="113"/>
      <c r="K9" s="113"/>
      <c r="L9" s="5"/>
    </row>
    <row r="10" spans="2:62" ht="14.25" x14ac:dyDescent="0.3">
      <c r="B10" s="4"/>
      <c r="C10" s="12" t="s">
        <v>63</v>
      </c>
      <c r="D10" s="112"/>
      <c r="E10" s="112"/>
      <c r="F10" s="13"/>
      <c r="G10" s="13"/>
      <c r="H10" s="12" t="s">
        <v>94</v>
      </c>
      <c r="I10" s="12"/>
      <c r="J10" s="113"/>
      <c r="K10" s="113"/>
      <c r="L10" s="5"/>
    </row>
    <row r="11" spans="2:62" ht="9.9499999999999993" customHeight="1" x14ac:dyDescent="0.25">
      <c r="B11" s="6"/>
      <c r="C11" s="7"/>
      <c r="D11" s="7"/>
      <c r="E11" s="7"/>
      <c r="F11" s="7"/>
      <c r="G11" s="7"/>
      <c r="H11" s="7"/>
      <c r="I11" s="7"/>
      <c r="J11" s="14"/>
      <c r="K11" s="7"/>
      <c r="L11" s="8"/>
    </row>
    <row r="12" spans="2:62" ht="15" customHeight="1" x14ac:dyDescent="0.25">
      <c r="P12" s="118" t="s">
        <v>883</v>
      </c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89"/>
      <c r="AD12" s="89"/>
      <c r="AE12" s="89"/>
      <c r="AF12" s="89"/>
      <c r="AH12" s="117" t="s">
        <v>886</v>
      </c>
      <c r="AI12" s="117"/>
      <c r="AJ12" s="117"/>
      <c r="AK12" s="117"/>
      <c r="AL12" s="117"/>
      <c r="AM12" s="117"/>
      <c r="AN12" s="117"/>
      <c r="AO12" s="117"/>
      <c r="AP12" s="117"/>
      <c r="AQ12" s="117"/>
      <c r="AR12" s="117"/>
      <c r="AS12" s="117"/>
      <c r="AT12" s="117"/>
      <c r="AU12" s="117"/>
      <c r="AV12" s="117"/>
      <c r="AW12" s="117"/>
      <c r="AX12" s="117"/>
      <c r="AY12" s="117"/>
      <c r="AZ12" s="117"/>
      <c r="BA12" s="117"/>
      <c r="BB12" s="117"/>
      <c r="BC12" s="117"/>
      <c r="BD12" s="117"/>
      <c r="BE12" s="117"/>
      <c r="BF12" s="117"/>
      <c r="BG12" s="117"/>
      <c r="BH12" s="117"/>
      <c r="BI12" s="117"/>
      <c r="BJ12" s="117"/>
    </row>
    <row r="13" spans="2:62" s="25" customFormat="1" x14ac:dyDescent="0.25">
      <c r="C13" s="109" t="s">
        <v>892</v>
      </c>
      <c r="D13" s="110"/>
      <c r="E13" s="110"/>
      <c r="F13" s="110"/>
      <c r="G13" s="110"/>
      <c r="H13" s="110"/>
      <c r="I13" s="110"/>
      <c r="J13" s="110"/>
      <c r="K13" s="111"/>
      <c r="O13" s="87"/>
      <c r="P13" s="87" t="s">
        <v>887</v>
      </c>
      <c r="R13" s="87"/>
      <c r="S13" s="87" t="s">
        <v>888</v>
      </c>
      <c r="U13" s="87"/>
      <c r="V13" s="87" t="s">
        <v>889</v>
      </c>
      <c r="X13" s="87"/>
      <c r="Y13" s="87" t="s">
        <v>890</v>
      </c>
      <c r="AA13" s="87"/>
      <c r="AB13" s="87" t="s">
        <v>891</v>
      </c>
      <c r="AD13" s="87" t="s">
        <v>1093</v>
      </c>
      <c r="AF13" s="87" t="s">
        <v>765</v>
      </c>
      <c r="AH13" s="87"/>
      <c r="AI13" s="87" t="s">
        <v>893</v>
      </c>
      <c r="AK13" s="87"/>
      <c r="AL13" s="87" t="s">
        <v>894</v>
      </c>
      <c r="AN13" s="87"/>
      <c r="AO13" s="87" t="s">
        <v>895</v>
      </c>
      <c r="AQ13" s="87"/>
      <c r="AR13" s="87" t="s">
        <v>896</v>
      </c>
      <c r="AT13" s="87"/>
      <c r="AU13" s="87" t="s">
        <v>897</v>
      </c>
      <c r="AW13" s="87"/>
      <c r="AX13" s="87" t="s">
        <v>898</v>
      </c>
      <c r="AZ13" s="87"/>
      <c r="BA13" s="87" t="s">
        <v>899</v>
      </c>
      <c r="BC13" s="87"/>
      <c r="BD13" s="87" t="s">
        <v>900</v>
      </c>
      <c r="BF13" s="87" t="s">
        <v>1074</v>
      </c>
      <c r="BH13" s="87" t="s">
        <v>982</v>
      </c>
      <c r="BJ13" s="87" t="s">
        <v>765</v>
      </c>
    </row>
    <row r="14" spans="2:62" ht="25.5" x14ac:dyDescent="0.25">
      <c r="C14" s="15" t="s">
        <v>3</v>
      </c>
      <c r="D14" s="15" t="s">
        <v>88</v>
      </c>
      <c r="E14" s="15" t="s">
        <v>96</v>
      </c>
      <c r="F14" s="15" t="s">
        <v>2</v>
      </c>
      <c r="G14" s="15" t="s">
        <v>5</v>
      </c>
      <c r="H14" s="15" t="s">
        <v>825</v>
      </c>
      <c r="I14" s="15" t="s">
        <v>826</v>
      </c>
      <c r="J14" s="15" t="s">
        <v>89</v>
      </c>
      <c r="K14" s="15" t="s">
        <v>65</v>
      </c>
      <c r="M14" s="17" t="s">
        <v>98</v>
      </c>
      <c r="O14" s="17" t="s">
        <v>115</v>
      </c>
      <c r="P14" s="17" t="s">
        <v>72</v>
      </c>
      <c r="R14" s="17" t="s">
        <v>115</v>
      </c>
      <c r="S14" s="17" t="s">
        <v>72</v>
      </c>
      <c r="U14" s="17" t="s">
        <v>114</v>
      </c>
      <c r="V14" s="17" t="s">
        <v>72</v>
      </c>
      <c r="X14" s="17" t="s">
        <v>115</v>
      </c>
      <c r="Y14" s="17" t="s">
        <v>72</v>
      </c>
      <c r="AA14" s="17" t="s">
        <v>115</v>
      </c>
      <c r="AB14" s="17" t="s">
        <v>72</v>
      </c>
      <c r="AD14" s="17" t="s">
        <v>72</v>
      </c>
      <c r="AF14" s="17" t="s">
        <v>72</v>
      </c>
      <c r="AH14" s="17" t="s">
        <v>115</v>
      </c>
      <c r="AI14" s="17" t="s">
        <v>72</v>
      </c>
      <c r="AK14" s="17" t="s">
        <v>114</v>
      </c>
      <c r="AL14" s="17" t="s">
        <v>72</v>
      </c>
      <c r="AN14" s="17" t="s">
        <v>114</v>
      </c>
      <c r="AO14" s="17" t="s">
        <v>72</v>
      </c>
      <c r="AQ14" s="17" t="s">
        <v>114</v>
      </c>
      <c r="AR14" s="17" t="s">
        <v>72</v>
      </c>
      <c r="AT14" s="17" t="s">
        <v>114</v>
      </c>
      <c r="AU14" s="17" t="s">
        <v>72</v>
      </c>
      <c r="AW14" s="17" t="s">
        <v>114</v>
      </c>
      <c r="AX14" s="17" t="s">
        <v>72</v>
      </c>
      <c r="AZ14" s="17" t="s">
        <v>114</v>
      </c>
      <c r="BA14" s="17" t="s">
        <v>72</v>
      </c>
      <c r="BC14" s="17" t="s">
        <v>114</v>
      </c>
      <c r="BD14" s="17" t="s">
        <v>72</v>
      </c>
      <c r="BF14" s="17" t="s">
        <v>72</v>
      </c>
      <c r="BH14" s="17" t="s">
        <v>72</v>
      </c>
      <c r="BJ14" s="17" t="s">
        <v>72</v>
      </c>
    </row>
    <row r="15" spans="2:62" x14ac:dyDescent="0.25">
      <c r="C15" s="16" t="str" cm="1">
        <f t="array" ref="C15">IFERROR(IF(_xlfn._xlws.FILTER('Project Details'!C17:C103, ISNUMBER(MATCH('Project Details'!$E$17:$E$103, dd_design_raw!$A$2:$A$3, 0)))=0, "", _xlfn._xlws.FILTER('Project Details'!C17:C103, ISNUMBER(MATCH('Project Details'!$E$17:$E$103, dd_design_raw!$A$2:$A$3, 0)))),"")</f>
        <v/>
      </c>
      <c r="D15" s="16" t="str" cm="1">
        <f t="array" ref="D15">IFERROR(IF(_xlfn._xlws.FILTER('Project Details'!D17:D103, ISNUMBER(MATCH('Project Details'!$E$17:$E$103, dd_design_raw!$A$2:$A$3, 0)))=0, "", _xlfn._xlws.FILTER('Project Details'!D17:D103, ISNUMBER(MATCH('Project Details'!$E$17:$E$103, dd_design_raw!$A$2:$A$3, 0)))),"")</f>
        <v/>
      </c>
      <c r="E15" s="16" t="str" cm="1">
        <f t="array" ref="E15">IFERROR(IF(_xlfn._xlws.FILTER('Project Details'!E17:E103, ISNUMBER(MATCH('Project Details'!$E$17:$E$103, dd_design_raw!$A$2:$A$3, 0)))=0, "", _xlfn._xlws.FILTER('Project Details'!E17:E103, ISNUMBER(MATCH('Project Details'!$E$17:$E$103, dd_design_raw!$A$2:$A$3, 0)))),"")</f>
        <v/>
      </c>
      <c r="F15" s="16" t="str" cm="1">
        <f t="array" ref="F15">IFERROR(IF(_xlfn._xlws.FILTER('Project Details'!F17:F103, ISNUMBER(MATCH('Project Details'!$E$17:$E$103, dd_design_raw!$A$2:$A$3, 0)))=0, "", _xlfn._xlws.FILTER('Project Details'!F17:F103, ISNUMBER(MATCH('Project Details'!$E$17:$E$103, dd_design_raw!$A$2:$A$3, 0)))),"")</f>
        <v/>
      </c>
      <c r="G15" s="16" t="str" cm="1">
        <f t="array" ref="G15">IFERROR(IF(_xlfn._xlws.FILTER('Project Details'!H17:H103, ISNUMBER(MATCH('Project Details'!$E$17:$E$103, dd_design_raw!$A$2:$A$3, 0)))=0, "", _xlfn._xlws.FILTER('Project Details'!H17:H103, ISNUMBER(MATCH('Project Details'!$E$17:$E$103, dd_design_raw!$A$2:$A$3, 0)))),"")</f>
        <v/>
      </c>
      <c r="H15" s="16" t="str" cm="1">
        <f t="array" ref="H15">IFERROR(IF(_xlfn._xlws.FILTER('Project Details'!I17:I103, ISNUMBER(MATCH('Project Details'!$E$17:$E$103, dd_design_raw!$A$2:$A$3, 0)))=0, "", _xlfn._xlws.FILTER('Project Details'!I17:I103, ISNUMBER(MATCH('Project Details'!$E$17:$E$103, dd_design_raw!$A$2:$A$3, 0)))),"")</f>
        <v/>
      </c>
      <c r="I15" s="16" t="str" cm="1">
        <f t="array" ref="I15">IFERROR(IF(_xlfn._xlws.FILTER('Project Details'!J17:J103, ISNUMBER(MATCH('Project Details'!$E$17:$E$103, dd_design_raw!$A$2:$A$3, 0)))=0, "", _xlfn._xlws.FILTER('Project Details'!J17:J103, ISNUMBER(MATCH('Project Details'!$E$17:$E$103, dd_design_raw!$A$2:$A$3, 0)))),"")</f>
        <v/>
      </c>
      <c r="J15" s="16" t="str" cm="1">
        <f t="array" ref="J15">IFERROR(IF(_xlfn._xlws.FILTER('Project Details'!K17:K103, ISNUMBER(MATCH('Project Details'!$E$17:$E$103, dd_design_raw!$A$2:$A$3, 0)))=0, "", _xlfn._xlws.FILTER('Project Details'!K17:K103, ISNUMBER(MATCH('Project Details'!$E$17:$E$103, dd_design_raw!$A$2:$A$3, 0)))),"")</f>
        <v/>
      </c>
      <c r="K15" s="16" t="str" cm="1">
        <f t="array" ref="K15">IFERROR(IF(_xlfn._xlws.FILTER('Project Details'!L17:L103, ISNUMBER(MATCH('Project Details'!$E$17:$E$103, dd_design_raw!$A$2:$A$3, 0)))=0, "", _xlfn._xlws.FILTER('Project Details'!L17:L103, ISNUMBER(MATCH('Project Details'!$E$17:$E$103, dd_design_raw!$A$2:$A$3, 0)))),"")</f>
        <v/>
      </c>
      <c r="M15" s="20" t="str">
        <f>IF(C15&lt;&gt;"", IF(OR(G15="Classic White", G15="Conch Brown"), 6, 5),"")</f>
        <v/>
      </c>
      <c r="O15" s="20" t="str">
        <f>IF(D15&lt;&gt;"",IF(E15="Roll-up Screen",K15, ""),"")</f>
        <v/>
      </c>
      <c r="P15" s="20" t="str">
        <f>IF(D15&lt;&gt;"",IF(E15="Roll-up Screen", D15*1, ""),"")</f>
        <v/>
      </c>
      <c r="R15" s="20" t="str">
        <f>IF(D15&lt;&gt;"",IF(E15="Roll-up Screen",K15, ""),"")</f>
        <v/>
      </c>
      <c r="S15" s="20" t="str">
        <f>IF(D15&lt;&gt;"",IF(E15="Roll-up Screen", D15*1, ""),"")</f>
        <v/>
      </c>
      <c r="U15" s="20" t="str">
        <f>IF(D15&lt;&gt;"",IF(E15="Roll-up Screen",J15, ""),"")</f>
        <v/>
      </c>
      <c r="V15" s="20" t="str">
        <f>IF(D15&lt;&gt;"",IF(E15="Roll-up Screen", D15*2, ""),"")</f>
        <v/>
      </c>
      <c r="X15" s="20" t="str">
        <f>IF(D15&lt;&gt;"",IF(E15="Roll-up Screen",K15, ""),"")</f>
        <v/>
      </c>
      <c r="Y15" s="20" t="str">
        <f>IF(D15&lt;&gt;"",IF(E15="Roll-up Screen", D15*1, ""),"")</f>
        <v/>
      </c>
      <c r="AA15" s="20" t="str">
        <f>IF(D15&lt;&gt;"",IF(E15="Roll-up Screen",K15, ""),"")</f>
        <v/>
      </c>
      <c r="AB15" s="20" t="str">
        <f>IF(D15&lt;&gt;"",IF(E15="Roll-up Screen", D15*1, ""),"")</f>
        <v/>
      </c>
      <c r="AD15" s="20" t="str">
        <f>IF(D15&lt;&gt;"",IF(E15="Roll-up Screen", (J15+K15)/1000, ""),"")</f>
        <v/>
      </c>
      <c r="AF15" s="20" t="str">
        <f>IF(D15&lt;&gt;"",IF(E15="Roll-up Screen", (J15+K15)/1000, ""),"")</f>
        <v/>
      </c>
      <c r="AH15" s="20" t="str">
        <f t="shared" ref="AH15:AH46" si="0">IF(D15&lt;&gt;"",IF(E15="Accordion Screen", K15-35, ""),"")</f>
        <v/>
      </c>
      <c r="AI15" s="20" t="str">
        <f t="shared" ref="AI15:AI46" si="1">IF(D15&lt;&gt;"",IF(E15="Accordion Screen", D15*1, ""),"")</f>
        <v/>
      </c>
      <c r="AK15" s="20" t="str">
        <f t="shared" ref="AK15:AK46" si="2">IF(D15&lt;&gt;"",IF(E15="Accordion Screen", J15-88, ""),"")</f>
        <v/>
      </c>
      <c r="AL15" s="20" t="str">
        <f t="shared" ref="AL15:AL46" si="3">IF(D15&lt;&gt;"",IF(E15="Accordion Screen", D15*2, ""),"")</f>
        <v/>
      </c>
      <c r="AN15" s="20" t="str">
        <f t="shared" ref="AN15:AN46" si="4">IF(D15&lt;&gt;"",IF(E15="Accordion Screen", J15-118, ""),"")</f>
        <v/>
      </c>
      <c r="AO15" s="20" t="str">
        <f t="shared" ref="AO15:AO46" si="5">IF(D15&lt;&gt;"",IF(E15="Accordion Screen", D15*2, ""),"")</f>
        <v/>
      </c>
      <c r="AQ15" s="20" t="str">
        <f t="shared" ref="AQ15:AQ46" si="6">IF(D15&lt;&gt;"",IF(E15="Accordion Screen", J15-12, ""),"")</f>
        <v/>
      </c>
      <c r="AR15" s="20" t="str">
        <f t="shared" ref="AR15:AR46" si="7">IF(D15&lt;&gt;"",IF(E15="Accordion Screen", D15*2, ""),"")</f>
        <v/>
      </c>
      <c r="AT15" s="20" t="str">
        <f t="shared" ref="AT15:AT46" si="8">IF(D15&lt;&gt;"",IF(E15="Accordion Screen", AN15, ""),"")</f>
        <v/>
      </c>
      <c r="AU15" s="20" t="str">
        <f>IF(D15&lt;&gt;"",IF(E15="Accordion Screen", D15*2, ""),"")</f>
        <v/>
      </c>
      <c r="AW15" s="20" t="str">
        <f>IF(D15&lt;&gt;"",IF(E15="Accordion Screen", J15-70, ""),"")</f>
        <v/>
      </c>
      <c r="AX15" s="20" t="str">
        <f>IF(D15&lt;&gt;"",IF(E15="Accordion Screen", D15*1, ""),"")</f>
        <v/>
      </c>
      <c r="AZ15" s="20" t="str">
        <f>IF(D15&lt;&gt;"",IF(E15="Accordion Screen", K15-32, ""),"")</f>
        <v/>
      </c>
      <c r="BA15" s="20" t="str">
        <f>IF(D15&lt;&gt;"",IF(E15="Accordion Screen", D15*1, ""),"")</f>
        <v/>
      </c>
      <c r="BC15" s="20" t="str">
        <f>IF(D15&lt;&gt;"",IF(E15="Accordion Screen", J15, ""),"")</f>
        <v/>
      </c>
      <c r="BD15" s="20" t="str">
        <f>IF(D15&lt;&gt;"",IF(E15="Accordion Screen", D15*1, ""),"")</f>
        <v/>
      </c>
      <c r="BF15" s="20" t="str">
        <f>IF(D15&lt;&gt;"",IF(E15="Accordion Screen", ((K15-50)/(4*1000))*45*8, ""),"")</f>
        <v/>
      </c>
      <c r="BH15" s="20" t="str">
        <f>IF(D15&lt;&gt;"",IF(E15="Accordion Screen", (J15+K15)/2000, ""),"")</f>
        <v/>
      </c>
      <c r="BJ15" s="20" t="str">
        <f>IF(D15&lt;&gt;"",IF(E15="Accordion Screen", (J15+K15)/2000, ""),"")</f>
        <v/>
      </c>
    </row>
    <row r="16" spans="2:62" x14ac:dyDescent="0.25">
      <c r="C16" s="16"/>
      <c r="D16" s="16"/>
      <c r="E16" s="16"/>
      <c r="F16" s="16"/>
      <c r="G16" s="16"/>
      <c r="H16" s="16"/>
      <c r="I16" s="16"/>
      <c r="J16" s="16"/>
      <c r="K16" s="16"/>
      <c r="M16" s="20" t="str">
        <f t="shared" ref="M16:M65" si="9">IF(C16&lt;&gt;"", IF(OR(G16="Classic White", G16="Conch Brown"), 6, 5),"")</f>
        <v/>
      </c>
      <c r="O16" s="20" t="str">
        <f t="shared" ref="O16:O65" si="10">IF(D16&lt;&gt;"",IF(E16="Roll-up Screen",K16, ""),"")</f>
        <v/>
      </c>
      <c r="P16" s="20" t="str">
        <f t="shared" ref="P16:P46" si="11">IF(D16&lt;&gt;"",IF(E16="Roll-up Screen", D16*1, ""),"")</f>
        <v/>
      </c>
      <c r="R16" s="20" t="str">
        <f t="shared" ref="R16:R65" si="12">IF(D16&lt;&gt;"",IF(E16="Roll-up Screen",K16, ""),"")</f>
        <v/>
      </c>
      <c r="S16" s="20" t="str">
        <f t="shared" ref="S16:S65" si="13">IF(D16&lt;&gt;"",IF(E16="Roll-up Screen", D16*1, ""),"")</f>
        <v/>
      </c>
      <c r="U16" s="20" t="str">
        <f t="shared" ref="U16:U65" si="14">IF(D16&lt;&gt;"",IF(E16="Roll-up Screen",J16, ""),"")</f>
        <v/>
      </c>
      <c r="V16" s="20" t="str">
        <f t="shared" ref="V16:V65" si="15">IF(D16&lt;&gt;"",IF(E16="Roll-up Screen", D16*2, ""),"")</f>
        <v/>
      </c>
      <c r="X16" s="20" t="str">
        <f t="shared" ref="X16:X65" si="16">IF(D16&lt;&gt;"",IF(E16="Roll-up Screen",K16, ""),"")</f>
        <v/>
      </c>
      <c r="Y16" s="20" t="str">
        <f>IF(D16&lt;&gt;"",IF(E16="Roll-up Screen", D16*1, ""),"")</f>
        <v/>
      </c>
      <c r="AA16" s="20" t="str">
        <f t="shared" ref="AA16:AA65" si="17">IF(D16&lt;&gt;"",IF(E16="Roll-up Screen",K16, ""),"")</f>
        <v/>
      </c>
      <c r="AB16" s="20" t="str">
        <f t="shared" ref="AB16:AB65" si="18">IF(D16&lt;&gt;"",IF(E16="Roll-up Screen", D16*1, ""),"")</f>
        <v/>
      </c>
      <c r="AD16" s="20" t="str">
        <f t="shared" ref="AD16:AD65" si="19">IF(D16&lt;&gt;"",IF(E16="Roll-up Screen", (J16+K16)/1000, ""),"")</f>
        <v/>
      </c>
      <c r="AF16" s="20" t="str">
        <f t="shared" ref="AF16:AF65" si="20">IF(D16&lt;&gt;"",IF(E16="Roll-up Screen", (J16+K16)/1000, ""),"")</f>
        <v/>
      </c>
      <c r="AH16" s="20" t="str">
        <f t="shared" si="0"/>
        <v/>
      </c>
      <c r="AI16" s="20" t="str">
        <f t="shared" si="1"/>
        <v/>
      </c>
      <c r="AK16" s="20" t="str">
        <f t="shared" si="2"/>
        <v/>
      </c>
      <c r="AL16" s="20" t="str">
        <f t="shared" si="3"/>
        <v/>
      </c>
      <c r="AN16" s="20" t="str">
        <f t="shared" si="4"/>
        <v/>
      </c>
      <c r="AO16" s="20" t="str">
        <f t="shared" si="5"/>
        <v/>
      </c>
      <c r="AQ16" s="20" t="str">
        <f t="shared" si="6"/>
        <v/>
      </c>
      <c r="AR16" s="20" t="str">
        <f t="shared" si="7"/>
        <v/>
      </c>
      <c r="AT16" s="20" t="str">
        <f t="shared" si="8"/>
        <v/>
      </c>
      <c r="AU16" s="20" t="str">
        <f t="shared" ref="AU16:AU65" si="21">IF(D16&lt;&gt;"",IF(E16="Accordion Screen", D16*2, ""),"")</f>
        <v/>
      </c>
      <c r="AW16" s="20" t="str">
        <f t="shared" ref="AW16:AW65" si="22">IF(D16&lt;&gt;"",IF(E16="Accordion Screen", J16-70, ""),"")</f>
        <v/>
      </c>
      <c r="AX16" s="20" t="str">
        <f t="shared" ref="AX16:AX65" si="23">IF(D16&lt;&gt;"",IF(E16="Accordion Screen", D16*1, ""),"")</f>
        <v/>
      </c>
      <c r="AZ16" s="20" t="str">
        <f t="shared" ref="AZ16:AZ65" si="24">IF(D16&lt;&gt;"",IF(E16="Accordion Screen", K16-32, ""),"")</f>
        <v/>
      </c>
      <c r="BA16" s="20" t="str">
        <f t="shared" ref="BA16:BA65" si="25">IF(D16&lt;&gt;"",IF(E16="Accordion Screen", D16*1, ""),"")</f>
        <v/>
      </c>
      <c r="BC16" s="20" t="str">
        <f t="shared" ref="BC16:BC65" si="26">IF(D16&lt;&gt;"",IF(E16="Accordion Screen", J16, ""),"")</f>
        <v/>
      </c>
      <c r="BD16" s="20" t="str">
        <f t="shared" ref="BD16:BD65" si="27">IF(D16&lt;&gt;"",IF(E16="Accordion Screen", D16*1, ""),"")</f>
        <v/>
      </c>
      <c r="BF16" s="20" t="str">
        <f t="shared" ref="BF16:BF65" si="28">IF(D16&lt;&gt;"",IF(E16="Accordion Screen", ((K16-50)/(4*1000))*45*8, ""),"")</f>
        <v/>
      </c>
      <c r="BH16" s="20" t="str">
        <f t="shared" ref="BH16:BH65" si="29">IF(D16&lt;&gt;"",IF(E16="Accordion Screen", (J16+K16)/2000, ""),"")</f>
        <v/>
      </c>
      <c r="BJ16" s="20" t="str">
        <f t="shared" ref="BJ16:BJ65" si="30">IF(D16&lt;&gt;"",IF(E16="Accordion Screen", (J16+K16)/2000, ""),"")</f>
        <v/>
      </c>
    </row>
    <row r="17" spans="3:62" x14ac:dyDescent="0.25">
      <c r="C17" s="16"/>
      <c r="D17" s="16"/>
      <c r="E17" s="16"/>
      <c r="F17" s="16"/>
      <c r="G17" s="16"/>
      <c r="H17" s="16"/>
      <c r="I17" s="16"/>
      <c r="J17" s="16"/>
      <c r="K17" s="16"/>
      <c r="M17" s="20" t="str">
        <f t="shared" si="9"/>
        <v/>
      </c>
      <c r="O17" s="20" t="str">
        <f t="shared" si="10"/>
        <v/>
      </c>
      <c r="P17" s="20" t="str">
        <f t="shared" si="11"/>
        <v/>
      </c>
      <c r="R17" s="20" t="str">
        <f t="shared" si="12"/>
        <v/>
      </c>
      <c r="S17" s="20" t="str">
        <f t="shared" si="13"/>
        <v/>
      </c>
      <c r="U17" s="20" t="str">
        <f t="shared" si="14"/>
        <v/>
      </c>
      <c r="V17" s="20" t="str">
        <f t="shared" si="15"/>
        <v/>
      </c>
      <c r="X17" s="20" t="str">
        <f t="shared" si="16"/>
        <v/>
      </c>
      <c r="Y17" s="20" t="str">
        <f t="shared" ref="Y17:Y65" si="31">IF(D17&lt;&gt;"",IF(E17="Roll-up Screen", D17*1, ""),"")</f>
        <v/>
      </c>
      <c r="AA17" s="20" t="str">
        <f t="shared" si="17"/>
        <v/>
      </c>
      <c r="AB17" s="20" t="str">
        <f t="shared" si="18"/>
        <v/>
      </c>
      <c r="AD17" s="20" t="str">
        <f t="shared" si="19"/>
        <v/>
      </c>
      <c r="AF17" s="20" t="str">
        <f t="shared" si="20"/>
        <v/>
      </c>
      <c r="AH17" s="20" t="str">
        <f t="shared" si="0"/>
        <v/>
      </c>
      <c r="AI17" s="20" t="str">
        <f t="shared" si="1"/>
        <v/>
      </c>
      <c r="AK17" s="20" t="str">
        <f t="shared" si="2"/>
        <v/>
      </c>
      <c r="AL17" s="20" t="str">
        <f t="shared" si="3"/>
        <v/>
      </c>
      <c r="AN17" s="20" t="str">
        <f t="shared" si="4"/>
        <v/>
      </c>
      <c r="AO17" s="20" t="str">
        <f t="shared" si="5"/>
        <v/>
      </c>
      <c r="AQ17" s="20" t="str">
        <f t="shared" si="6"/>
        <v/>
      </c>
      <c r="AR17" s="20" t="str">
        <f t="shared" si="7"/>
        <v/>
      </c>
      <c r="AT17" s="20" t="str">
        <f t="shared" si="8"/>
        <v/>
      </c>
      <c r="AU17" s="20" t="str">
        <f t="shared" si="21"/>
        <v/>
      </c>
      <c r="AW17" s="20" t="str">
        <f t="shared" si="22"/>
        <v/>
      </c>
      <c r="AX17" s="20" t="str">
        <f t="shared" si="23"/>
        <v/>
      </c>
      <c r="AZ17" s="20" t="str">
        <f t="shared" si="24"/>
        <v/>
      </c>
      <c r="BA17" s="20" t="str">
        <f t="shared" si="25"/>
        <v/>
      </c>
      <c r="BC17" s="20" t="str">
        <f t="shared" si="26"/>
        <v/>
      </c>
      <c r="BD17" s="20" t="str">
        <f t="shared" si="27"/>
        <v/>
      </c>
      <c r="BF17" s="20" t="str">
        <f t="shared" si="28"/>
        <v/>
      </c>
      <c r="BH17" s="20" t="str">
        <f t="shared" si="29"/>
        <v/>
      </c>
      <c r="BJ17" s="20" t="str">
        <f t="shared" si="30"/>
        <v/>
      </c>
    </row>
    <row r="18" spans="3:62" x14ac:dyDescent="0.25">
      <c r="C18" s="16"/>
      <c r="D18" s="16"/>
      <c r="E18" s="16"/>
      <c r="F18" s="16"/>
      <c r="G18" s="16"/>
      <c r="H18" s="16"/>
      <c r="I18" s="16"/>
      <c r="J18" s="16"/>
      <c r="K18" s="16"/>
      <c r="M18" s="20" t="str">
        <f t="shared" si="9"/>
        <v/>
      </c>
      <c r="O18" s="20" t="str">
        <f t="shared" si="10"/>
        <v/>
      </c>
      <c r="P18" s="20" t="str">
        <f t="shared" si="11"/>
        <v/>
      </c>
      <c r="R18" s="20" t="str">
        <f t="shared" si="12"/>
        <v/>
      </c>
      <c r="S18" s="20" t="str">
        <f t="shared" si="13"/>
        <v/>
      </c>
      <c r="U18" s="20" t="str">
        <f t="shared" si="14"/>
        <v/>
      </c>
      <c r="V18" s="20" t="str">
        <f t="shared" si="15"/>
        <v/>
      </c>
      <c r="X18" s="20" t="str">
        <f t="shared" si="16"/>
        <v/>
      </c>
      <c r="Y18" s="20" t="str">
        <f t="shared" si="31"/>
        <v/>
      </c>
      <c r="AA18" s="20" t="str">
        <f t="shared" si="17"/>
        <v/>
      </c>
      <c r="AB18" s="20" t="str">
        <f t="shared" si="18"/>
        <v/>
      </c>
      <c r="AD18" s="20" t="str">
        <f t="shared" si="19"/>
        <v/>
      </c>
      <c r="AF18" s="20" t="str">
        <f t="shared" si="20"/>
        <v/>
      </c>
      <c r="AH18" s="20" t="str">
        <f t="shared" si="0"/>
        <v/>
      </c>
      <c r="AI18" s="20" t="str">
        <f t="shared" si="1"/>
        <v/>
      </c>
      <c r="AK18" s="20" t="str">
        <f t="shared" si="2"/>
        <v/>
      </c>
      <c r="AL18" s="20" t="str">
        <f t="shared" si="3"/>
        <v/>
      </c>
      <c r="AN18" s="20" t="str">
        <f t="shared" si="4"/>
        <v/>
      </c>
      <c r="AO18" s="20" t="str">
        <f t="shared" si="5"/>
        <v/>
      </c>
      <c r="AQ18" s="20" t="str">
        <f t="shared" si="6"/>
        <v/>
      </c>
      <c r="AR18" s="20" t="str">
        <f t="shared" si="7"/>
        <v/>
      </c>
      <c r="AT18" s="20" t="str">
        <f t="shared" si="8"/>
        <v/>
      </c>
      <c r="AU18" s="20" t="str">
        <f t="shared" si="21"/>
        <v/>
      </c>
      <c r="AW18" s="20" t="str">
        <f t="shared" si="22"/>
        <v/>
      </c>
      <c r="AX18" s="20" t="str">
        <f t="shared" si="23"/>
        <v/>
      </c>
      <c r="AZ18" s="20" t="str">
        <f t="shared" si="24"/>
        <v/>
      </c>
      <c r="BA18" s="20" t="str">
        <f t="shared" si="25"/>
        <v/>
      </c>
      <c r="BC18" s="20" t="str">
        <f t="shared" si="26"/>
        <v/>
      </c>
      <c r="BD18" s="20" t="str">
        <f t="shared" si="27"/>
        <v/>
      </c>
      <c r="BF18" s="20" t="str">
        <f t="shared" si="28"/>
        <v/>
      </c>
      <c r="BH18" s="20" t="str">
        <f t="shared" si="29"/>
        <v/>
      </c>
      <c r="BJ18" s="20" t="str">
        <f t="shared" si="30"/>
        <v/>
      </c>
    </row>
    <row r="19" spans="3:62" x14ac:dyDescent="0.25">
      <c r="C19" s="16"/>
      <c r="D19" s="16"/>
      <c r="E19" s="16"/>
      <c r="F19" s="16"/>
      <c r="G19" s="16"/>
      <c r="H19" s="16"/>
      <c r="I19" s="16"/>
      <c r="J19" s="16"/>
      <c r="K19" s="16"/>
      <c r="M19" s="20" t="str">
        <f t="shared" si="9"/>
        <v/>
      </c>
      <c r="O19" s="20" t="str">
        <f t="shared" si="10"/>
        <v/>
      </c>
      <c r="P19" s="20" t="str">
        <f t="shared" si="11"/>
        <v/>
      </c>
      <c r="R19" s="20" t="str">
        <f t="shared" si="12"/>
        <v/>
      </c>
      <c r="S19" s="20" t="str">
        <f t="shared" si="13"/>
        <v/>
      </c>
      <c r="U19" s="20" t="str">
        <f t="shared" si="14"/>
        <v/>
      </c>
      <c r="V19" s="20" t="str">
        <f t="shared" si="15"/>
        <v/>
      </c>
      <c r="X19" s="20" t="str">
        <f t="shared" si="16"/>
        <v/>
      </c>
      <c r="Y19" s="20" t="str">
        <f t="shared" si="31"/>
        <v/>
      </c>
      <c r="AA19" s="20" t="str">
        <f t="shared" si="17"/>
        <v/>
      </c>
      <c r="AB19" s="20" t="str">
        <f t="shared" si="18"/>
        <v/>
      </c>
      <c r="AD19" s="20" t="str">
        <f t="shared" si="19"/>
        <v/>
      </c>
      <c r="AF19" s="20" t="str">
        <f t="shared" si="20"/>
        <v/>
      </c>
      <c r="AH19" s="20" t="str">
        <f t="shared" si="0"/>
        <v/>
      </c>
      <c r="AI19" s="20" t="str">
        <f t="shared" si="1"/>
        <v/>
      </c>
      <c r="AK19" s="20" t="str">
        <f t="shared" si="2"/>
        <v/>
      </c>
      <c r="AL19" s="20" t="str">
        <f t="shared" si="3"/>
        <v/>
      </c>
      <c r="AN19" s="20" t="str">
        <f t="shared" si="4"/>
        <v/>
      </c>
      <c r="AO19" s="20" t="str">
        <f t="shared" si="5"/>
        <v/>
      </c>
      <c r="AQ19" s="20" t="str">
        <f t="shared" si="6"/>
        <v/>
      </c>
      <c r="AR19" s="20" t="str">
        <f t="shared" si="7"/>
        <v/>
      </c>
      <c r="AT19" s="20" t="str">
        <f t="shared" si="8"/>
        <v/>
      </c>
      <c r="AU19" s="20" t="str">
        <f t="shared" si="21"/>
        <v/>
      </c>
      <c r="AW19" s="20" t="str">
        <f t="shared" si="22"/>
        <v/>
      </c>
      <c r="AX19" s="20" t="str">
        <f t="shared" si="23"/>
        <v/>
      </c>
      <c r="AZ19" s="20" t="str">
        <f t="shared" si="24"/>
        <v/>
      </c>
      <c r="BA19" s="20" t="str">
        <f t="shared" si="25"/>
        <v/>
      </c>
      <c r="BC19" s="20" t="str">
        <f t="shared" si="26"/>
        <v/>
      </c>
      <c r="BD19" s="20" t="str">
        <f t="shared" si="27"/>
        <v/>
      </c>
      <c r="BF19" s="20" t="str">
        <f t="shared" si="28"/>
        <v/>
      </c>
      <c r="BH19" s="20" t="str">
        <f t="shared" si="29"/>
        <v/>
      </c>
      <c r="BJ19" s="20" t="str">
        <f t="shared" si="30"/>
        <v/>
      </c>
    </row>
    <row r="20" spans="3:62" x14ac:dyDescent="0.25">
      <c r="C20" s="16"/>
      <c r="D20" s="16"/>
      <c r="E20" s="16"/>
      <c r="F20" s="16"/>
      <c r="G20" s="16"/>
      <c r="H20" s="16"/>
      <c r="I20" s="16"/>
      <c r="J20" s="16"/>
      <c r="K20" s="16"/>
      <c r="M20" s="20" t="str">
        <f t="shared" si="9"/>
        <v/>
      </c>
      <c r="O20" s="20" t="str">
        <f t="shared" si="10"/>
        <v/>
      </c>
      <c r="P20" s="20" t="str">
        <f t="shared" si="11"/>
        <v/>
      </c>
      <c r="R20" s="20" t="str">
        <f t="shared" si="12"/>
        <v/>
      </c>
      <c r="S20" s="20" t="str">
        <f t="shared" si="13"/>
        <v/>
      </c>
      <c r="U20" s="20" t="str">
        <f t="shared" si="14"/>
        <v/>
      </c>
      <c r="V20" s="20" t="str">
        <f t="shared" si="15"/>
        <v/>
      </c>
      <c r="X20" s="20" t="str">
        <f t="shared" si="16"/>
        <v/>
      </c>
      <c r="Y20" s="20" t="str">
        <f t="shared" si="31"/>
        <v/>
      </c>
      <c r="AA20" s="20" t="str">
        <f t="shared" si="17"/>
        <v/>
      </c>
      <c r="AB20" s="20" t="str">
        <f t="shared" si="18"/>
        <v/>
      </c>
      <c r="AD20" s="20" t="str">
        <f t="shared" si="19"/>
        <v/>
      </c>
      <c r="AF20" s="20" t="str">
        <f t="shared" si="20"/>
        <v/>
      </c>
      <c r="AH20" s="20" t="str">
        <f t="shared" si="0"/>
        <v/>
      </c>
      <c r="AI20" s="20" t="str">
        <f t="shared" si="1"/>
        <v/>
      </c>
      <c r="AK20" s="20" t="str">
        <f t="shared" si="2"/>
        <v/>
      </c>
      <c r="AL20" s="20" t="str">
        <f t="shared" si="3"/>
        <v/>
      </c>
      <c r="AN20" s="20" t="str">
        <f t="shared" si="4"/>
        <v/>
      </c>
      <c r="AO20" s="20" t="str">
        <f t="shared" si="5"/>
        <v/>
      </c>
      <c r="AQ20" s="20" t="str">
        <f t="shared" si="6"/>
        <v/>
      </c>
      <c r="AR20" s="20" t="str">
        <f t="shared" si="7"/>
        <v/>
      </c>
      <c r="AT20" s="20" t="str">
        <f t="shared" si="8"/>
        <v/>
      </c>
      <c r="AU20" s="20" t="str">
        <f t="shared" si="21"/>
        <v/>
      </c>
      <c r="AW20" s="20" t="str">
        <f t="shared" si="22"/>
        <v/>
      </c>
      <c r="AX20" s="20" t="str">
        <f t="shared" si="23"/>
        <v/>
      </c>
      <c r="AZ20" s="20" t="str">
        <f t="shared" si="24"/>
        <v/>
      </c>
      <c r="BA20" s="20" t="str">
        <f t="shared" si="25"/>
        <v/>
      </c>
      <c r="BC20" s="20" t="str">
        <f t="shared" si="26"/>
        <v/>
      </c>
      <c r="BD20" s="20" t="str">
        <f t="shared" si="27"/>
        <v/>
      </c>
      <c r="BF20" s="20" t="str">
        <f t="shared" si="28"/>
        <v/>
      </c>
      <c r="BH20" s="20" t="str">
        <f t="shared" si="29"/>
        <v/>
      </c>
      <c r="BJ20" s="20" t="str">
        <f t="shared" si="30"/>
        <v/>
      </c>
    </row>
    <row r="21" spans="3:62" x14ac:dyDescent="0.25">
      <c r="C21" s="16"/>
      <c r="D21" s="16"/>
      <c r="E21" s="16"/>
      <c r="F21" s="16"/>
      <c r="G21" s="16"/>
      <c r="H21" s="16"/>
      <c r="I21" s="16"/>
      <c r="J21" s="16"/>
      <c r="K21" s="16"/>
      <c r="M21" s="20" t="str">
        <f t="shared" si="9"/>
        <v/>
      </c>
      <c r="O21" s="20" t="str">
        <f t="shared" si="10"/>
        <v/>
      </c>
      <c r="P21" s="20" t="str">
        <f t="shared" si="11"/>
        <v/>
      </c>
      <c r="R21" s="20" t="str">
        <f t="shared" si="12"/>
        <v/>
      </c>
      <c r="S21" s="20" t="str">
        <f t="shared" si="13"/>
        <v/>
      </c>
      <c r="U21" s="20" t="str">
        <f t="shared" si="14"/>
        <v/>
      </c>
      <c r="V21" s="20" t="str">
        <f t="shared" si="15"/>
        <v/>
      </c>
      <c r="X21" s="20" t="str">
        <f t="shared" si="16"/>
        <v/>
      </c>
      <c r="Y21" s="20" t="str">
        <f t="shared" si="31"/>
        <v/>
      </c>
      <c r="AA21" s="20" t="str">
        <f t="shared" si="17"/>
        <v/>
      </c>
      <c r="AB21" s="20" t="str">
        <f t="shared" si="18"/>
        <v/>
      </c>
      <c r="AD21" s="20" t="str">
        <f t="shared" si="19"/>
        <v/>
      </c>
      <c r="AF21" s="20" t="str">
        <f t="shared" si="20"/>
        <v/>
      </c>
      <c r="AH21" s="20" t="str">
        <f t="shared" si="0"/>
        <v/>
      </c>
      <c r="AI21" s="20" t="str">
        <f t="shared" si="1"/>
        <v/>
      </c>
      <c r="AK21" s="20" t="str">
        <f t="shared" si="2"/>
        <v/>
      </c>
      <c r="AL21" s="20" t="str">
        <f t="shared" si="3"/>
        <v/>
      </c>
      <c r="AN21" s="20" t="str">
        <f t="shared" si="4"/>
        <v/>
      </c>
      <c r="AO21" s="20" t="str">
        <f t="shared" si="5"/>
        <v/>
      </c>
      <c r="AQ21" s="20" t="str">
        <f t="shared" si="6"/>
        <v/>
      </c>
      <c r="AR21" s="20" t="str">
        <f t="shared" si="7"/>
        <v/>
      </c>
      <c r="AT21" s="20" t="str">
        <f t="shared" si="8"/>
        <v/>
      </c>
      <c r="AU21" s="20" t="str">
        <f t="shared" si="21"/>
        <v/>
      </c>
      <c r="AW21" s="20" t="str">
        <f t="shared" si="22"/>
        <v/>
      </c>
      <c r="AX21" s="20" t="str">
        <f t="shared" si="23"/>
        <v/>
      </c>
      <c r="AZ21" s="20" t="str">
        <f t="shared" si="24"/>
        <v/>
      </c>
      <c r="BA21" s="20" t="str">
        <f t="shared" si="25"/>
        <v/>
      </c>
      <c r="BC21" s="20" t="str">
        <f t="shared" si="26"/>
        <v/>
      </c>
      <c r="BD21" s="20" t="str">
        <f t="shared" si="27"/>
        <v/>
      </c>
      <c r="BF21" s="20" t="str">
        <f t="shared" si="28"/>
        <v/>
      </c>
      <c r="BH21" s="20" t="str">
        <f t="shared" si="29"/>
        <v/>
      </c>
      <c r="BJ21" s="20" t="str">
        <f t="shared" si="30"/>
        <v/>
      </c>
    </row>
    <row r="22" spans="3:62" x14ac:dyDescent="0.25">
      <c r="C22" s="16"/>
      <c r="D22" s="16"/>
      <c r="E22" s="16"/>
      <c r="F22" s="16"/>
      <c r="G22" s="16"/>
      <c r="H22" s="16"/>
      <c r="I22" s="16"/>
      <c r="J22" s="16"/>
      <c r="K22" s="16"/>
      <c r="M22" s="20" t="str">
        <f t="shared" si="9"/>
        <v/>
      </c>
      <c r="O22" s="20" t="str">
        <f t="shared" si="10"/>
        <v/>
      </c>
      <c r="P22" s="20" t="str">
        <f t="shared" si="11"/>
        <v/>
      </c>
      <c r="R22" s="20" t="str">
        <f t="shared" si="12"/>
        <v/>
      </c>
      <c r="S22" s="20" t="str">
        <f t="shared" si="13"/>
        <v/>
      </c>
      <c r="U22" s="20" t="str">
        <f t="shared" si="14"/>
        <v/>
      </c>
      <c r="V22" s="20" t="str">
        <f t="shared" si="15"/>
        <v/>
      </c>
      <c r="X22" s="20" t="str">
        <f t="shared" si="16"/>
        <v/>
      </c>
      <c r="Y22" s="20" t="str">
        <f t="shared" si="31"/>
        <v/>
      </c>
      <c r="AA22" s="20" t="str">
        <f t="shared" si="17"/>
        <v/>
      </c>
      <c r="AB22" s="20" t="str">
        <f t="shared" si="18"/>
        <v/>
      </c>
      <c r="AD22" s="20" t="str">
        <f t="shared" si="19"/>
        <v/>
      </c>
      <c r="AF22" s="20" t="str">
        <f t="shared" si="20"/>
        <v/>
      </c>
      <c r="AH22" s="20" t="str">
        <f t="shared" si="0"/>
        <v/>
      </c>
      <c r="AI22" s="20" t="str">
        <f t="shared" si="1"/>
        <v/>
      </c>
      <c r="AK22" s="20" t="str">
        <f t="shared" si="2"/>
        <v/>
      </c>
      <c r="AL22" s="20" t="str">
        <f t="shared" si="3"/>
        <v/>
      </c>
      <c r="AN22" s="20" t="str">
        <f t="shared" si="4"/>
        <v/>
      </c>
      <c r="AO22" s="20" t="str">
        <f t="shared" si="5"/>
        <v/>
      </c>
      <c r="AQ22" s="20" t="str">
        <f t="shared" si="6"/>
        <v/>
      </c>
      <c r="AR22" s="20" t="str">
        <f t="shared" si="7"/>
        <v/>
      </c>
      <c r="AT22" s="20" t="str">
        <f t="shared" si="8"/>
        <v/>
      </c>
      <c r="AU22" s="20" t="str">
        <f t="shared" si="21"/>
        <v/>
      </c>
      <c r="AW22" s="20" t="str">
        <f t="shared" si="22"/>
        <v/>
      </c>
      <c r="AX22" s="20" t="str">
        <f t="shared" si="23"/>
        <v/>
      </c>
      <c r="AZ22" s="20" t="str">
        <f t="shared" si="24"/>
        <v/>
      </c>
      <c r="BA22" s="20" t="str">
        <f t="shared" si="25"/>
        <v/>
      </c>
      <c r="BC22" s="20" t="str">
        <f t="shared" si="26"/>
        <v/>
      </c>
      <c r="BD22" s="20" t="str">
        <f t="shared" si="27"/>
        <v/>
      </c>
      <c r="BF22" s="20" t="str">
        <f t="shared" si="28"/>
        <v/>
      </c>
      <c r="BH22" s="20" t="str">
        <f t="shared" si="29"/>
        <v/>
      </c>
      <c r="BJ22" s="20" t="str">
        <f t="shared" si="30"/>
        <v/>
      </c>
    </row>
    <row r="23" spans="3:62" x14ac:dyDescent="0.25">
      <c r="C23" s="16"/>
      <c r="D23" s="16"/>
      <c r="E23" s="16"/>
      <c r="F23" s="16"/>
      <c r="G23" s="16"/>
      <c r="H23" s="16"/>
      <c r="I23" s="16"/>
      <c r="J23" s="16"/>
      <c r="K23" s="16"/>
      <c r="M23" s="20" t="str">
        <f t="shared" si="9"/>
        <v/>
      </c>
      <c r="O23" s="20" t="str">
        <f t="shared" si="10"/>
        <v/>
      </c>
      <c r="P23" s="20" t="str">
        <f t="shared" si="11"/>
        <v/>
      </c>
      <c r="R23" s="20" t="str">
        <f t="shared" si="12"/>
        <v/>
      </c>
      <c r="S23" s="20" t="str">
        <f t="shared" si="13"/>
        <v/>
      </c>
      <c r="U23" s="20" t="str">
        <f t="shared" si="14"/>
        <v/>
      </c>
      <c r="V23" s="20" t="str">
        <f t="shared" si="15"/>
        <v/>
      </c>
      <c r="X23" s="20" t="str">
        <f t="shared" si="16"/>
        <v/>
      </c>
      <c r="Y23" s="20" t="str">
        <f t="shared" si="31"/>
        <v/>
      </c>
      <c r="AA23" s="20" t="str">
        <f t="shared" si="17"/>
        <v/>
      </c>
      <c r="AB23" s="20" t="str">
        <f t="shared" si="18"/>
        <v/>
      </c>
      <c r="AD23" s="20" t="str">
        <f t="shared" si="19"/>
        <v/>
      </c>
      <c r="AF23" s="20" t="str">
        <f t="shared" si="20"/>
        <v/>
      </c>
      <c r="AH23" s="20" t="str">
        <f t="shared" si="0"/>
        <v/>
      </c>
      <c r="AI23" s="20" t="str">
        <f t="shared" si="1"/>
        <v/>
      </c>
      <c r="AK23" s="20" t="str">
        <f t="shared" si="2"/>
        <v/>
      </c>
      <c r="AL23" s="20" t="str">
        <f t="shared" si="3"/>
        <v/>
      </c>
      <c r="AN23" s="20" t="str">
        <f t="shared" si="4"/>
        <v/>
      </c>
      <c r="AO23" s="20" t="str">
        <f t="shared" si="5"/>
        <v/>
      </c>
      <c r="AQ23" s="20" t="str">
        <f t="shared" si="6"/>
        <v/>
      </c>
      <c r="AR23" s="20" t="str">
        <f t="shared" si="7"/>
        <v/>
      </c>
      <c r="AT23" s="20" t="str">
        <f t="shared" si="8"/>
        <v/>
      </c>
      <c r="AU23" s="20" t="str">
        <f t="shared" si="21"/>
        <v/>
      </c>
      <c r="AW23" s="20" t="str">
        <f t="shared" si="22"/>
        <v/>
      </c>
      <c r="AX23" s="20" t="str">
        <f t="shared" si="23"/>
        <v/>
      </c>
      <c r="AZ23" s="20" t="str">
        <f t="shared" si="24"/>
        <v/>
      </c>
      <c r="BA23" s="20" t="str">
        <f t="shared" si="25"/>
        <v/>
      </c>
      <c r="BC23" s="20" t="str">
        <f t="shared" si="26"/>
        <v/>
      </c>
      <c r="BD23" s="20" t="str">
        <f t="shared" si="27"/>
        <v/>
      </c>
      <c r="BF23" s="20" t="str">
        <f t="shared" si="28"/>
        <v/>
      </c>
      <c r="BH23" s="20" t="str">
        <f t="shared" si="29"/>
        <v/>
      </c>
      <c r="BJ23" s="20" t="str">
        <f t="shared" si="30"/>
        <v/>
      </c>
    </row>
    <row r="24" spans="3:62" x14ac:dyDescent="0.25">
      <c r="C24" s="16"/>
      <c r="D24" s="16"/>
      <c r="E24" s="16"/>
      <c r="F24" s="16"/>
      <c r="G24" s="16"/>
      <c r="H24" s="16"/>
      <c r="I24" s="16"/>
      <c r="J24" s="16"/>
      <c r="K24" s="16"/>
      <c r="M24" s="20" t="str">
        <f t="shared" si="9"/>
        <v/>
      </c>
      <c r="O24" s="20" t="str">
        <f t="shared" si="10"/>
        <v/>
      </c>
      <c r="P24" s="20" t="str">
        <f t="shared" si="11"/>
        <v/>
      </c>
      <c r="R24" s="20" t="str">
        <f t="shared" si="12"/>
        <v/>
      </c>
      <c r="S24" s="20" t="str">
        <f t="shared" si="13"/>
        <v/>
      </c>
      <c r="U24" s="20" t="str">
        <f t="shared" si="14"/>
        <v/>
      </c>
      <c r="V24" s="20" t="str">
        <f t="shared" si="15"/>
        <v/>
      </c>
      <c r="X24" s="20" t="str">
        <f t="shared" si="16"/>
        <v/>
      </c>
      <c r="Y24" s="20" t="str">
        <f t="shared" si="31"/>
        <v/>
      </c>
      <c r="AA24" s="20" t="str">
        <f t="shared" si="17"/>
        <v/>
      </c>
      <c r="AB24" s="20" t="str">
        <f t="shared" si="18"/>
        <v/>
      </c>
      <c r="AD24" s="20" t="str">
        <f t="shared" si="19"/>
        <v/>
      </c>
      <c r="AF24" s="20" t="str">
        <f t="shared" si="20"/>
        <v/>
      </c>
      <c r="AH24" s="20" t="str">
        <f t="shared" si="0"/>
        <v/>
      </c>
      <c r="AI24" s="20" t="str">
        <f t="shared" si="1"/>
        <v/>
      </c>
      <c r="AK24" s="20" t="str">
        <f t="shared" si="2"/>
        <v/>
      </c>
      <c r="AL24" s="20" t="str">
        <f t="shared" si="3"/>
        <v/>
      </c>
      <c r="AN24" s="20" t="str">
        <f t="shared" si="4"/>
        <v/>
      </c>
      <c r="AO24" s="20" t="str">
        <f t="shared" si="5"/>
        <v/>
      </c>
      <c r="AQ24" s="20" t="str">
        <f t="shared" si="6"/>
        <v/>
      </c>
      <c r="AR24" s="20" t="str">
        <f t="shared" si="7"/>
        <v/>
      </c>
      <c r="AT24" s="20" t="str">
        <f t="shared" si="8"/>
        <v/>
      </c>
      <c r="AU24" s="20" t="str">
        <f t="shared" si="21"/>
        <v/>
      </c>
      <c r="AW24" s="20" t="str">
        <f t="shared" si="22"/>
        <v/>
      </c>
      <c r="AX24" s="20" t="str">
        <f t="shared" si="23"/>
        <v/>
      </c>
      <c r="AZ24" s="20" t="str">
        <f t="shared" si="24"/>
        <v/>
      </c>
      <c r="BA24" s="20" t="str">
        <f t="shared" si="25"/>
        <v/>
      </c>
      <c r="BC24" s="20" t="str">
        <f t="shared" si="26"/>
        <v/>
      </c>
      <c r="BD24" s="20" t="str">
        <f t="shared" si="27"/>
        <v/>
      </c>
      <c r="BF24" s="20" t="str">
        <f t="shared" si="28"/>
        <v/>
      </c>
      <c r="BH24" s="20" t="str">
        <f t="shared" si="29"/>
        <v/>
      </c>
      <c r="BJ24" s="20" t="str">
        <f t="shared" si="30"/>
        <v/>
      </c>
    </row>
    <row r="25" spans="3:62" x14ac:dyDescent="0.25">
      <c r="C25" s="16"/>
      <c r="D25" s="16"/>
      <c r="E25" s="16"/>
      <c r="F25" s="16"/>
      <c r="G25" s="16"/>
      <c r="H25" s="16"/>
      <c r="I25" s="16"/>
      <c r="J25" s="16"/>
      <c r="K25" s="16"/>
      <c r="M25" s="20" t="str">
        <f t="shared" si="9"/>
        <v/>
      </c>
      <c r="O25" s="20" t="str">
        <f t="shared" si="10"/>
        <v/>
      </c>
      <c r="P25" s="20" t="str">
        <f t="shared" si="11"/>
        <v/>
      </c>
      <c r="R25" s="20" t="str">
        <f t="shared" si="12"/>
        <v/>
      </c>
      <c r="S25" s="20" t="str">
        <f t="shared" si="13"/>
        <v/>
      </c>
      <c r="U25" s="20" t="str">
        <f t="shared" si="14"/>
        <v/>
      </c>
      <c r="V25" s="20" t="str">
        <f t="shared" si="15"/>
        <v/>
      </c>
      <c r="X25" s="20" t="str">
        <f t="shared" si="16"/>
        <v/>
      </c>
      <c r="Y25" s="20" t="str">
        <f t="shared" si="31"/>
        <v/>
      </c>
      <c r="AA25" s="20" t="str">
        <f t="shared" si="17"/>
        <v/>
      </c>
      <c r="AB25" s="20" t="str">
        <f t="shared" si="18"/>
        <v/>
      </c>
      <c r="AD25" s="20" t="str">
        <f t="shared" si="19"/>
        <v/>
      </c>
      <c r="AF25" s="20" t="str">
        <f t="shared" si="20"/>
        <v/>
      </c>
      <c r="AH25" s="20" t="str">
        <f t="shared" si="0"/>
        <v/>
      </c>
      <c r="AI25" s="20" t="str">
        <f t="shared" si="1"/>
        <v/>
      </c>
      <c r="AK25" s="20" t="str">
        <f t="shared" si="2"/>
        <v/>
      </c>
      <c r="AL25" s="20" t="str">
        <f t="shared" si="3"/>
        <v/>
      </c>
      <c r="AN25" s="20" t="str">
        <f t="shared" si="4"/>
        <v/>
      </c>
      <c r="AO25" s="20" t="str">
        <f t="shared" si="5"/>
        <v/>
      </c>
      <c r="AQ25" s="20" t="str">
        <f t="shared" si="6"/>
        <v/>
      </c>
      <c r="AR25" s="20" t="str">
        <f t="shared" si="7"/>
        <v/>
      </c>
      <c r="AT25" s="20" t="str">
        <f t="shared" si="8"/>
        <v/>
      </c>
      <c r="AU25" s="20" t="str">
        <f t="shared" si="21"/>
        <v/>
      </c>
      <c r="AW25" s="20" t="str">
        <f t="shared" si="22"/>
        <v/>
      </c>
      <c r="AX25" s="20" t="str">
        <f t="shared" si="23"/>
        <v/>
      </c>
      <c r="AZ25" s="20" t="str">
        <f t="shared" si="24"/>
        <v/>
      </c>
      <c r="BA25" s="20" t="str">
        <f t="shared" si="25"/>
        <v/>
      </c>
      <c r="BC25" s="20" t="str">
        <f t="shared" si="26"/>
        <v/>
      </c>
      <c r="BD25" s="20" t="str">
        <f t="shared" si="27"/>
        <v/>
      </c>
      <c r="BF25" s="20" t="str">
        <f t="shared" si="28"/>
        <v/>
      </c>
      <c r="BH25" s="20" t="str">
        <f t="shared" si="29"/>
        <v/>
      </c>
      <c r="BJ25" s="20" t="str">
        <f t="shared" si="30"/>
        <v/>
      </c>
    </row>
    <row r="26" spans="3:62" x14ac:dyDescent="0.25">
      <c r="C26" s="16"/>
      <c r="D26" s="16"/>
      <c r="E26" s="16"/>
      <c r="F26" s="16"/>
      <c r="G26" s="16"/>
      <c r="H26" s="16"/>
      <c r="I26" s="16"/>
      <c r="J26" s="16"/>
      <c r="K26" s="16"/>
      <c r="M26" s="20" t="str">
        <f t="shared" si="9"/>
        <v/>
      </c>
      <c r="O26" s="20" t="str">
        <f t="shared" si="10"/>
        <v/>
      </c>
      <c r="P26" s="20" t="str">
        <f t="shared" si="11"/>
        <v/>
      </c>
      <c r="R26" s="20" t="str">
        <f t="shared" si="12"/>
        <v/>
      </c>
      <c r="S26" s="20" t="str">
        <f t="shared" si="13"/>
        <v/>
      </c>
      <c r="U26" s="20" t="str">
        <f t="shared" si="14"/>
        <v/>
      </c>
      <c r="V26" s="20" t="str">
        <f t="shared" si="15"/>
        <v/>
      </c>
      <c r="X26" s="20" t="str">
        <f t="shared" si="16"/>
        <v/>
      </c>
      <c r="Y26" s="20" t="str">
        <f t="shared" si="31"/>
        <v/>
      </c>
      <c r="AA26" s="20" t="str">
        <f t="shared" si="17"/>
        <v/>
      </c>
      <c r="AB26" s="20" t="str">
        <f t="shared" si="18"/>
        <v/>
      </c>
      <c r="AD26" s="20" t="str">
        <f t="shared" si="19"/>
        <v/>
      </c>
      <c r="AF26" s="20" t="str">
        <f t="shared" si="20"/>
        <v/>
      </c>
      <c r="AH26" s="20" t="str">
        <f t="shared" si="0"/>
        <v/>
      </c>
      <c r="AI26" s="20" t="str">
        <f t="shared" si="1"/>
        <v/>
      </c>
      <c r="AK26" s="20" t="str">
        <f t="shared" si="2"/>
        <v/>
      </c>
      <c r="AL26" s="20" t="str">
        <f t="shared" si="3"/>
        <v/>
      </c>
      <c r="AN26" s="20" t="str">
        <f t="shared" si="4"/>
        <v/>
      </c>
      <c r="AO26" s="20" t="str">
        <f t="shared" si="5"/>
        <v/>
      </c>
      <c r="AQ26" s="20" t="str">
        <f t="shared" si="6"/>
        <v/>
      </c>
      <c r="AR26" s="20" t="str">
        <f t="shared" si="7"/>
        <v/>
      </c>
      <c r="AT26" s="20" t="str">
        <f t="shared" si="8"/>
        <v/>
      </c>
      <c r="AU26" s="20" t="str">
        <f t="shared" si="21"/>
        <v/>
      </c>
      <c r="AW26" s="20" t="str">
        <f t="shared" si="22"/>
        <v/>
      </c>
      <c r="AX26" s="20" t="str">
        <f t="shared" si="23"/>
        <v/>
      </c>
      <c r="AZ26" s="20" t="str">
        <f t="shared" si="24"/>
        <v/>
      </c>
      <c r="BA26" s="20" t="str">
        <f t="shared" si="25"/>
        <v/>
      </c>
      <c r="BC26" s="20" t="str">
        <f t="shared" si="26"/>
        <v/>
      </c>
      <c r="BD26" s="20" t="str">
        <f t="shared" si="27"/>
        <v/>
      </c>
      <c r="BF26" s="20" t="str">
        <f t="shared" si="28"/>
        <v/>
      </c>
      <c r="BH26" s="20" t="str">
        <f t="shared" si="29"/>
        <v/>
      </c>
      <c r="BJ26" s="20" t="str">
        <f t="shared" si="30"/>
        <v/>
      </c>
    </row>
    <row r="27" spans="3:62" x14ac:dyDescent="0.25">
      <c r="C27" s="16"/>
      <c r="D27" s="16"/>
      <c r="E27" s="16"/>
      <c r="F27" s="16"/>
      <c r="G27" s="16"/>
      <c r="H27" s="16"/>
      <c r="I27" s="16"/>
      <c r="J27" s="16"/>
      <c r="K27" s="16"/>
      <c r="M27" s="20" t="str">
        <f t="shared" si="9"/>
        <v/>
      </c>
      <c r="O27" s="20" t="str">
        <f t="shared" si="10"/>
        <v/>
      </c>
      <c r="P27" s="20" t="str">
        <f t="shared" si="11"/>
        <v/>
      </c>
      <c r="R27" s="20" t="str">
        <f t="shared" si="12"/>
        <v/>
      </c>
      <c r="S27" s="20" t="str">
        <f t="shared" si="13"/>
        <v/>
      </c>
      <c r="U27" s="20" t="str">
        <f t="shared" si="14"/>
        <v/>
      </c>
      <c r="V27" s="20" t="str">
        <f t="shared" si="15"/>
        <v/>
      </c>
      <c r="X27" s="20" t="str">
        <f t="shared" si="16"/>
        <v/>
      </c>
      <c r="Y27" s="20" t="str">
        <f t="shared" si="31"/>
        <v/>
      </c>
      <c r="AA27" s="20" t="str">
        <f t="shared" si="17"/>
        <v/>
      </c>
      <c r="AB27" s="20" t="str">
        <f t="shared" si="18"/>
        <v/>
      </c>
      <c r="AD27" s="20" t="str">
        <f t="shared" si="19"/>
        <v/>
      </c>
      <c r="AF27" s="20" t="str">
        <f t="shared" si="20"/>
        <v/>
      </c>
      <c r="AH27" s="20" t="str">
        <f t="shared" si="0"/>
        <v/>
      </c>
      <c r="AI27" s="20" t="str">
        <f t="shared" si="1"/>
        <v/>
      </c>
      <c r="AK27" s="20" t="str">
        <f t="shared" si="2"/>
        <v/>
      </c>
      <c r="AL27" s="20" t="str">
        <f t="shared" si="3"/>
        <v/>
      </c>
      <c r="AN27" s="20" t="str">
        <f t="shared" si="4"/>
        <v/>
      </c>
      <c r="AO27" s="20" t="str">
        <f t="shared" si="5"/>
        <v/>
      </c>
      <c r="AQ27" s="20" t="str">
        <f t="shared" si="6"/>
        <v/>
      </c>
      <c r="AR27" s="20" t="str">
        <f t="shared" si="7"/>
        <v/>
      </c>
      <c r="AT27" s="20" t="str">
        <f t="shared" si="8"/>
        <v/>
      </c>
      <c r="AU27" s="20" t="str">
        <f t="shared" si="21"/>
        <v/>
      </c>
      <c r="AW27" s="20" t="str">
        <f t="shared" si="22"/>
        <v/>
      </c>
      <c r="AX27" s="20" t="str">
        <f t="shared" si="23"/>
        <v/>
      </c>
      <c r="AZ27" s="20" t="str">
        <f t="shared" si="24"/>
        <v/>
      </c>
      <c r="BA27" s="20" t="str">
        <f t="shared" si="25"/>
        <v/>
      </c>
      <c r="BC27" s="20" t="str">
        <f t="shared" si="26"/>
        <v/>
      </c>
      <c r="BD27" s="20" t="str">
        <f t="shared" si="27"/>
        <v/>
      </c>
      <c r="BF27" s="20" t="str">
        <f t="shared" si="28"/>
        <v/>
      </c>
      <c r="BH27" s="20" t="str">
        <f t="shared" si="29"/>
        <v/>
      </c>
      <c r="BJ27" s="20" t="str">
        <f t="shared" si="30"/>
        <v/>
      </c>
    </row>
    <row r="28" spans="3:62" x14ac:dyDescent="0.25">
      <c r="C28" s="16"/>
      <c r="D28" s="16"/>
      <c r="E28" s="16"/>
      <c r="F28" s="16"/>
      <c r="G28" s="16"/>
      <c r="H28" s="16"/>
      <c r="I28" s="16"/>
      <c r="J28" s="16"/>
      <c r="K28" s="16"/>
      <c r="M28" s="20" t="str">
        <f t="shared" si="9"/>
        <v/>
      </c>
      <c r="O28" s="20" t="str">
        <f t="shared" si="10"/>
        <v/>
      </c>
      <c r="P28" s="20" t="str">
        <f t="shared" si="11"/>
        <v/>
      </c>
      <c r="R28" s="20" t="str">
        <f t="shared" si="12"/>
        <v/>
      </c>
      <c r="S28" s="20" t="str">
        <f t="shared" si="13"/>
        <v/>
      </c>
      <c r="U28" s="20" t="str">
        <f t="shared" si="14"/>
        <v/>
      </c>
      <c r="V28" s="20" t="str">
        <f t="shared" si="15"/>
        <v/>
      </c>
      <c r="X28" s="20" t="str">
        <f t="shared" si="16"/>
        <v/>
      </c>
      <c r="Y28" s="20" t="str">
        <f t="shared" si="31"/>
        <v/>
      </c>
      <c r="AA28" s="20" t="str">
        <f t="shared" si="17"/>
        <v/>
      </c>
      <c r="AB28" s="20" t="str">
        <f t="shared" si="18"/>
        <v/>
      </c>
      <c r="AD28" s="20" t="str">
        <f t="shared" si="19"/>
        <v/>
      </c>
      <c r="AF28" s="20" t="str">
        <f t="shared" si="20"/>
        <v/>
      </c>
      <c r="AH28" s="20" t="str">
        <f t="shared" si="0"/>
        <v/>
      </c>
      <c r="AI28" s="20" t="str">
        <f t="shared" si="1"/>
        <v/>
      </c>
      <c r="AK28" s="20" t="str">
        <f t="shared" si="2"/>
        <v/>
      </c>
      <c r="AL28" s="20" t="str">
        <f t="shared" si="3"/>
        <v/>
      </c>
      <c r="AN28" s="20" t="str">
        <f t="shared" si="4"/>
        <v/>
      </c>
      <c r="AO28" s="20" t="str">
        <f t="shared" si="5"/>
        <v/>
      </c>
      <c r="AQ28" s="20" t="str">
        <f t="shared" si="6"/>
        <v/>
      </c>
      <c r="AR28" s="20" t="str">
        <f t="shared" si="7"/>
        <v/>
      </c>
      <c r="AT28" s="20" t="str">
        <f t="shared" si="8"/>
        <v/>
      </c>
      <c r="AU28" s="20" t="str">
        <f t="shared" si="21"/>
        <v/>
      </c>
      <c r="AW28" s="20" t="str">
        <f t="shared" si="22"/>
        <v/>
      </c>
      <c r="AX28" s="20" t="str">
        <f t="shared" si="23"/>
        <v/>
      </c>
      <c r="AZ28" s="20" t="str">
        <f t="shared" si="24"/>
        <v/>
      </c>
      <c r="BA28" s="20" t="str">
        <f t="shared" si="25"/>
        <v/>
      </c>
      <c r="BC28" s="20" t="str">
        <f t="shared" si="26"/>
        <v/>
      </c>
      <c r="BD28" s="20" t="str">
        <f t="shared" si="27"/>
        <v/>
      </c>
      <c r="BF28" s="20" t="str">
        <f t="shared" si="28"/>
        <v/>
      </c>
      <c r="BH28" s="20" t="str">
        <f t="shared" si="29"/>
        <v/>
      </c>
      <c r="BJ28" s="20" t="str">
        <f t="shared" si="30"/>
        <v/>
      </c>
    </row>
    <row r="29" spans="3:62" x14ac:dyDescent="0.25">
      <c r="C29" s="16"/>
      <c r="D29" s="16"/>
      <c r="E29" s="16"/>
      <c r="F29" s="16"/>
      <c r="G29" s="16"/>
      <c r="H29" s="16"/>
      <c r="I29" s="16"/>
      <c r="J29" s="16"/>
      <c r="K29" s="16"/>
      <c r="M29" s="20" t="str">
        <f t="shared" si="9"/>
        <v/>
      </c>
      <c r="O29" s="20" t="str">
        <f t="shared" si="10"/>
        <v/>
      </c>
      <c r="P29" s="20" t="str">
        <f t="shared" si="11"/>
        <v/>
      </c>
      <c r="R29" s="20" t="str">
        <f t="shared" si="12"/>
        <v/>
      </c>
      <c r="S29" s="20" t="str">
        <f t="shared" si="13"/>
        <v/>
      </c>
      <c r="U29" s="20" t="str">
        <f t="shared" si="14"/>
        <v/>
      </c>
      <c r="V29" s="20" t="str">
        <f t="shared" si="15"/>
        <v/>
      </c>
      <c r="X29" s="20" t="str">
        <f t="shared" si="16"/>
        <v/>
      </c>
      <c r="Y29" s="20" t="str">
        <f t="shared" si="31"/>
        <v/>
      </c>
      <c r="AA29" s="20" t="str">
        <f t="shared" si="17"/>
        <v/>
      </c>
      <c r="AB29" s="20" t="str">
        <f t="shared" si="18"/>
        <v/>
      </c>
      <c r="AD29" s="20" t="str">
        <f t="shared" si="19"/>
        <v/>
      </c>
      <c r="AF29" s="20" t="str">
        <f t="shared" si="20"/>
        <v/>
      </c>
      <c r="AH29" s="20" t="str">
        <f t="shared" si="0"/>
        <v/>
      </c>
      <c r="AI29" s="20" t="str">
        <f t="shared" si="1"/>
        <v/>
      </c>
      <c r="AK29" s="20" t="str">
        <f t="shared" si="2"/>
        <v/>
      </c>
      <c r="AL29" s="20" t="str">
        <f t="shared" si="3"/>
        <v/>
      </c>
      <c r="AN29" s="20" t="str">
        <f t="shared" si="4"/>
        <v/>
      </c>
      <c r="AO29" s="20" t="str">
        <f t="shared" si="5"/>
        <v/>
      </c>
      <c r="AQ29" s="20" t="str">
        <f t="shared" si="6"/>
        <v/>
      </c>
      <c r="AR29" s="20" t="str">
        <f t="shared" si="7"/>
        <v/>
      </c>
      <c r="AT29" s="20" t="str">
        <f t="shared" si="8"/>
        <v/>
      </c>
      <c r="AU29" s="20" t="str">
        <f t="shared" si="21"/>
        <v/>
      </c>
      <c r="AW29" s="20" t="str">
        <f t="shared" si="22"/>
        <v/>
      </c>
      <c r="AX29" s="20" t="str">
        <f t="shared" si="23"/>
        <v/>
      </c>
      <c r="AZ29" s="20" t="str">
        <f t="shared" si="24"/>
        <v/>
      </c>
      <c r="BA29" s="20" t="str">
        <f t="shared" si="25"/>
        <v/>
      </c>
      <c r="BC29" s="20" t="str">
        <f t="shared" si="26"/>
        <v/>
      </c>
      <c r="BD29" s="20" t="str">
        <f t="shared" si="27"/>
        <v/>
      </c>
      <c r="BF29" s="20" t="str">
        <f t="shared" si="28"/>
        <v/>
      </c>
      <c r="BH29" s="20" t="str">
        <f t="shared" si="29"/>
        <v/>
      </c>
      <c r="BJ29" s="20" t="str">
        <f t="shared" si="30"/>
        <v/>
      </c>
    </row>
    <row r="30" spans="3:62" x14ac:dyDescent="0.25">
      <c r="C30" s="16"/>
      <c r="D30" s="16"/>
      <c r="E30" s="16"/>
      <c r="F30" s="16"/>
      <c r="G30" s="16"/>
      <c r="H30" s="16"/>
      <c r="I30" s="16"/>
      <c r="J30" s="16"/>
      <c r="K30" s="16"/>
      <c r="M30" s="20" t="str">
        <f t="shared" si="9"/>
        <v/>
      </c>
      <c r="O30" s="20" t="str">
        <f t="shared" si="10"/>
        <v/>
      </c>
      <c r="P30" s="20" t="str">
        <f t="shared" si="11"/>
        <v/>
      </c>
      <c r="R30" s="20" t="str">
        <f t="shared" si="12"/>
        <v/>
      </c>
      <c r="S30" s="20" t="str">
        <f t="shared" si="13"/>
        <v/>
      </c>
      <c r="U30" s="20" t="str">
        <f t="shared" si="14"/>
        <v/>
      </c>
      <c r="V30" s="20" t="str">
        <f t="shared" si="15"/>
        <v/>
      </c>
      <c r="X30" s="20" t="str">
        <f t="shared" si="16"/>
        <v/>
      </c>
      <c r="Y30" s="20" t="str">
        <f t="shared" si="31"/>
        <v/>
      </c>
      <c r="AA30" s="20" t="str">
        <f t="shared" si="17"/>
        <v/>
      </c>
      <c r="AB30" s="20" t="str">
        <f t="shared" si="18"/>
        <v/>
      </c>
      <c r="AD30" s="20" t="str">
        <f t="shared" si="19"/>
        <v/>
      </c>
      <c r="AF30" s="20" t="str">
        <f t="shared" si="20"/>
        <v/>
      </c>
      <c r="AH30" s="20" t="str">
        <f t="shared" si="0"/>
        <v/>
      </c>
      <c r="AI30" s="20" t="str">
        <f t="shared" si="1"/>
        <v/>
      </c>
      <c r="AK30" s="20" t="str">
        <f t="shared" si="2"/>
        <v/>
      </c>
      <c r="AL30" s="20" t="str">
        <f t="shared" si="3"/>
        <v/>
      </c>
      <c r="AN30" s="20" t="str">
        <f t="shared" si="4"/>
        <v/>
      </c>
      <c r="AO30" s="20" t="str">
        <f t="shared" si="5"/>
        <v/>
      </c>
      <c r="AQ30" s="20" t="str">
        <f t="shared" si="6"/>
        <v/>
      </c>
      <c r="AR30" s="20" t="str">
        <f t="shared" si="7"/>
        <v/>
      </c>
      <c r="AT30" s="20" t="str">
        <f t="shared" si="8"/>
        <v/>
      </c>
      <c r="AU30" s="20" t="str">
        <f t="shared" si="21"/>
        <v/>
      </c>
      <c r="AW30" s="20" t="str">
        <f t="shared" si="22"/>
        <v/>
      </c>
      <c r="AX30" s="20" t="str">
        <f t="shared" si="23"/>
        <v/>
      </c>
      <c r="AZ30" s="20" t="str">
        <f t="shared" si="24"/>
        <v/>
      </c>
      <c r="BA30" s="20" t="str">
        <f t="shared" si="25"/>
        <v/>
      </c>
      <c r="BC30" s="20" t="str">
        <f t="shared" si="26"/>
        <v/>
      </c>
      <c r="BD30" s="20" t="str">
        <f t="shared" si="27"/>
        <v/>
      </c>
      <c r="BF30" s="20" t="str">
        <f t="shared" si="28"/>
        <v/>
      </c>
      <c r="BH30" s="20" t="str">
        <f t="shared" si="29"/>
        <v/>
      </c>
      <c r="BJ30" s="20" t="str">
        <f t="shared" si="30"/>
        <v/>
      </c>
    </row>
    <row r="31" spans="3:62" x14ac:dyDescent="0.25">
      <c r="C31" s="16"/>
      <c r="D31" s="16"/>
      <c r="E31" s="16"/>
      <c r="F31" s="16"/>
      <c r="G31" s="16"/>
      <c r="H31" s="16"/>
      <c r="I31" s="16"/>
      <c r="J31" s="16"/>
      <c r="K31" s="16"/>
      <c r="M31" s="20" t="str">
        <f t="shared" si="9"/>
        <v/>
      </c>
      <c r="O31" s="20" t="str">
        <f t="shared" si="10"/>
        <v/>
      </c>
      <c r="P31" s="20" t="str">
        <f t="shared" si="11"/>
        <v/>
      </c>
      <c r="R31" s="20" t="str">
        <f t="shared" si="12"/>
        <v/>
      </c>
      <c r="S31" s="20" t="str">
        <f t="shared" si="13"/>
        <v/>
      </c>
      <c r="U31" s="20" t="str">
        <f t="shared" si="14"/>
        <v/>
      </c>
      <c r="V31" s="20" t="str">
        <f t="shared" si="15"/>
        <v/>
      </c>
      <c r="X31" s="20" t="str">
        <f t="shared" si="16"/>
        <v/>
      </c>
      <c r="Y31" s="20" t="str">
        <f t="shared" si="31"/>
        <v/>
      </c>
      <c r="AA31" s="20" t="str">
        <f t="shared" si="17"/>
        <v/>
      </c>
      <c r="AB31" s="20" t="str">
        <f t="shared" si="18"/>
        <v/>
      </c>
      <c r="AD31" s="20" t="str">
        <f t="shared" si="19"/>
        <v/>
      </c>
      <c r="AF31" s="20" t="str">
        <f t="shared" si="20"/>
        <v/>
      </c>
      <c r="AH31" s="20" t="str">
        <f t="shared" si="0"/>
        <v/>
      </c>
      <c r="AI31" s="20" t="str">
        <f t="shared" si="1"/>
        <v/>
      </c>
      <c r="AK31" s="20" t="str">
        <f t="shared" si="2"/>
        <v/>
      </c>
      <c r="AL31" s="20" t="str">
        <f t="shared" si="3"/>
        <v/>
      </c>
      <c r="AN31" s="20" t="str">
        <f t="shared" si="4"/>
        <v/>
      </c>
      <c r="AO31" s="20" t="str">
        <f t="shared" si="5"/>
        <v/>
      </c>
      <c r="AQ31" s="20" t="str">
        <f t="shared" si="6"/>
        <v/>
      </c>
      <c r="AR31" s="20" t="str">
        <f t="shared" si="7"/>
        <v/>
      </c>
      <c r="AT31" s="20" t="str">
        <f t="shared" si="8"/>
        <v/>
      </c>
      <c r="AU31" s="20" t="str">
        <f t="shared" si="21"/>
        <v/>
      </c>
      <c r="AW31" s="20" t="str">
        <f t="shared" si="22"/>
        <v/>
      </c>
      <c r="AX31" s="20" t="str">
        <f t="shared" si="23"/>
        <v/>
      </c>
      <c r="AZ31" s="20" t="str">
        <f t="shared" si="24"/>
        <v/>
      </c>
      <c r="BA31" s="20" t="str">
        <f t="shared" si="25"/>
        <v/>
      </c>
      <c r="BC31" s="20" t="str">
        <f t="shared" si="26"/>
        <v/>
      </c>
      <c r="BD31" s="20" t="str">
        <f t="shared" si="27"/>
        <v/>
      </c>
      <c r="BF31" s="20" t="str">
        <f t="shared" si="28"/>
        <v/>
      </c>
      <c r="BH31" s="20" t="str">
        <f t="shared" si="29"/>
        <v/>
      </c>
      <c r="BJ31" s="20" t="str">
        <f t="shared" si="30"/>
        <v/>
      </c>
    </row>
    <row r="32" spans="3:62" x14ac:dyDescent="0.25">
      <c r="C32" s="16"/>
      <c r="D32" s="16"/>
      <c r="E32" s="16"/>
      <c r="F32" s="16"/>
      <c r="G32" s="16"/>
      <c r="H32" s="16"/>
      <c r="I32" s="16"/>
      <c r="J32" s="16"/>
      <c r="K32" s="16"/>
      <c r="M32" s="20" t="str">
        <f t="shared" si="9"/>
        <v/>
      </c>
      <c r="O32" s="20" t="str">
        <f t="shared" si="10"/>
        <v/>
      </c>
      <c r="P32" s="20" t="str">
        <f t="shared" si="11"/>
        <v/>
      </c>
      <c r="R32" s="20" t="str">
        <f t="shared" si="12"/>
        <v/>
      </c>
      <c r="S32" s="20" t="str">
        <f t="shared" si="13"/>
        <v/>
      </c>
      <c r="U32" s="20" t="str">
        <f t="shared" si="14"/>
        <v/>
      </c>
      <c r="V32" s="20" t="str">
        <f t="shared" si="15"/>
        <v/>
      </c>
      <c r="X32" s="20" t="str">
        <f t="shared" si="16"/>
        <v/>
      </c>
      <c r="Y32" s="20" t="str">
        <f t="shared" si="31"/>
        <v/>
      </c>
      <c r="AA32" s="20" t="str">
        <f t="shared" si="17"/>
        <v/>
      </c>
      <c r="AB32" s="20" t="str">
        <f t="shared" si="18"/>
        <v/>
      </c>
      <c r="AD32" s="20" t="str">
        <f t="shared" si="19"/>
        <v/>
      </c>
      <c r="AF32" s="20" t="str">
        <f t="shared" si="20"/>
        <v/>
      </c>
      <c r="AH32" s="20" t="str">
        <f t="shared" si="0"/>
        <v/>
      </c>
      <c r="AI32" s="20" t="str">
        <f t="shared" si="1"/>
        <v/>
      </c>
      <c r="AK32" s="20" t="str">
        <f t="shared" si="2"/>
        <v/>
      </c>
      <c r="AL32" s="20" t="str">
        <f t="shared" si="3"/>
        <v/>
      </c>
      <c r="AN32" s="20" t="str">
        <f t="shared" si="4"/>
        <v/>
      </c>
      <c r="AO32" s="20" t="str">
        <f t="shared" si="5"/>
        <v/>
      </c>
      <c r="AQ32" s="20" t="str">
        <f t="shared" si="6"/>
        <v/>
      </c>
      <c r="AR32" s="20" t="str">
        <f t="shared" si="7"/>
        <v/>
      </c>
      <c r="AT32" s="20" t="str">
        <f t="shared" si="8"/>
        <v/>
      </c>
      <c r="AU32" s="20" t="str">
        <f t="shared" si="21"/>
        <v/>
      </c>
      <c r="AW32" s="20" t="str">
        <f t="shared" si="22"/>
        <v/>
      </c>
      <c r="AX32" s="20" t="str">
        <f t="shared" si="23"/>
        <v/>
      </c>
      <c r="AZ32" s="20" t="str">
        <f t="shared" si="24"/>
        <v/>
      </c>
      <c r="BA32" s="20" t="str">
        <f t="shared" si="25"/>
        <v/>
      </c>
      <c r="BC32" s="20" t="str">
        <f t="shared" si="26"/>
        <v/>
      </c>
      <c r="BD32" s="20" t="str">
        <f t="shared" si="27"/>
        <v/>
      </c>
      <c r="BF32" s="20" t="str">
        <f t="shared" si="28"/>
        <v/>
      </c>
      <c r="BH32" s="20" t="str">
        <f t="shared" si="29"/>
        <v/>
      </c>
      <c r="BJ32" s="20" t="str">
        <f t="shared" si="30"/>
        <v/>
      </c>
    </row>
    <row r="33" spans="3:62" x14ac:dyDescent="0.25">
      <c r="C33" s="16"/>
      <c r="D33" s="16"/>
      <c r="E33" s="16"/>
      <c r="F33" s="16"/>
      <c r="G33" s="16"/>
      <c r="H33" s="16"/>
      <c r="I33" s="16"/>
      <c r="J33" s="16"/>
      <c r="K33" s="16"/>
      <c r="M33" s="20" t="str">
        <f t="shared" si="9"/>
        <v/>
      </c>
      <c r="O33" s="20" t="str">
        <f t="shared" si="10"/>
        <v/>
      </c>
      <c r="P33" s="20" t="str">
        <f t="shared" si="11"/>
        <v/>
      </c>
      <c r="R33" s="20" t="str">
        <f t="shared" si="12"/>
        <v/>
      </c>
      <c r="S33" s="20" t="str">
        <f t="shared" si="13"/>
        <v/>
      </c>
      <c r="U33" s="20" t="str">
        <f t="shared" si="14"/>
        <v/>
      </c>
      <c r="V33" s="20" t="str">
        <f t="shared" si="15"/>
        <v/>
      </c>
      <c r="X33" s="20" t="str">
        <f t="shared" si="16"/>
        <v/>
      </c>
      <c r="Y33" s="20" t="str">
        <f t="shared" si="31"/>
        <v/>
      </c>
      <c r="AA33" s="20" t="str">
        <f t="shared" si="17"/>
        <v/>
      </c>
      <c r="AB33" s="20" t="str">
        <f t="shared" si="18"/>
        <v/>
      </c>
      <c r="AD33" s="20" t="str">
        <f t="shared" si="19"/>
        <v/>
      </c>
      <c r="AF33" s="20" t="str">
        <f t="shared" si="20"/>
        <v/>
      </c>
      <c r="AH33" s="20" t="str">
        <f t="shared" si="0"/>
        <v/>
      </c>
      <c r="AI33" s="20" t="str">
        <f t="shared" si="1"/>
        <v/>
      </c>
      <c r="AK33" s="20" t="str">
        <f t="shared" si="2"/>
        <v/>
      </c>
      <c r="AL33" s="20" t="str">
        <f t="shared" si="3"/>
        <v/>
      </c>
      <c r="AN33" s="20" t="str">
        <f t="shared" si="4"/>
        <v/>
      </c>
      <c r="AO33" s="20" t="str">
        <f t="shared" si="5"/>
        <v/>
      </c>
      <c r="AQ33" s="20" t="str">
        <f t="shared" si="6"/>
        <v/>
      </c>
      <c r="AR33" s="20" t="str">
        <f t="shared" si="7"/>
        <v/>
      </c>
      <c r="AT33" s="20" t="str">
        <f t="shared" si="8"/>
        <v/>
      </c>
      <c r="AU33" s="20" t="str">
        <f t="shared" si="21"/>
        <v/>
      </c>
      <c r="AW33" s="20" t="str">
        <f t="shared" si="22"/>
        <v/>
      </c>
      <c r="AX33" s="20" t="str">
        <f t="shared" si="23"/>
        <v/>
      </c>
      <c r="AZ33" s="20" t="str">
        <f t="shared" si="24"/>
        <v/>
      </c>
      <c r="BA33" s="20" t="str">
        <f t="shared" si="25"/>
        <v/>
      </c>
      <c r="BC33" s="20" t="str">
        <f t="shared" si="26"/>
        <v/>
      </c>
      <c r="BD33" s="20" t="str">
        <f t="shared" si="27"/>
        <v/>
      </c>
      <c r="BF33" s="20" t="str">
        <f t="shared" si="28"/>
        <v/>
      </c>
      <c r="BH33" s="20" t="str">
        <f t="shared" si="29"/>
        <v/>
      </c>
      <c r="BJ33" s="20" t="str">
        <f t="shared" si="30"/>
        <v/>
      </c>
    </row>
    <row r="34" spans="3:62" ht="13.5" customHeight="1" x14ac:dyDescent="0.25">
      <c r="C34" s="16"/>
      <c r="D34" s="16"/>
      <c r="E34" s="16"/>
      <c r="F34" s="16"/>
      <c r="G34" s="16"/>
      <c r="H34" s="16"/>
      <c r="I34" s="16"/>
      <c r="J34" s="16"/>
      <c r="K34" s="16"/>
      <c r="M34" s="20" t="str">
        <f t="shared" si="9"/>
        <v/>
      </c>
      <c r="O34" s="20" t="str">
        <f t="shared" si="10"/>
        <v/>
      </c>
      <c r="P34" s="20" t="str">
        <f t="shared" si="11"/>
        <v/>
      </c>
      <c r="R34" s="20" t="str">
        <f t="shared" si="12"/>
        <v/>
      </c>
      <c r="S34" s="20" t="str">
        <f t="shared" si="13"/>
        <v/>
      </c>
      <c r="U34" s="20" t="str">
        <f t="shared" si="14"/>
        <v/>
      </c>
      <c r="V34" s="20" t="str">
        <f t="shared" si="15"/>
        <v/>
      </c>
      <c r="X34" s="20" t="str">
        <f t="shared" si="16"/>
        <v/>
      </c>
      <c r="Y34" s="20" t="str">
        <f t="shared" si="31"/>
        <v/>
      </c>
      <c r="AA34" s="20" t="str">
        <f t="shared" si="17"/>
        <v/>
      </c>
      <c r="AB34" s="20" t="str">
        <f t="shared" si="18"/>
        <v/>
      </c>
      <c r="AD34" s="20" t="str">
        <f t="shared" si="19"/>
        <v/>
      </c>
      <c r="AF34" s="20" t="str">
        <f t="shared" si="20"/>
        <v/>
      </c>
      <c r="AH34" s="20" t="str">
        <f t="shared" si="0"/>
        <v/>
      </c>
      <c r="AI34" s="20" t="str">
        <f t="shared" si="1"/>
        <v/>
      </c>
      <c r="AK34" s="20" t="str">
        <f t="shared" si="2"/>
        <v/>
      </c>
      <c r="AL34" s="20" t="str">
        <f t="shared" si="3"/>
        <v/>
      </c>
      <c r="AN34" s="20" t="str">
        <f t="shared" si="4"/>
        <v/>
      </c>
      <c r="AO34" s="20" t="str">
        <f t="shared" si="5"/>
        <v/>
      </c>
      <c r="AQ34" s="20" t="str">
        <f t="shared" si="6"/>
        <v/>
      </c>
      <c r="AR34" s="20" t="str">
        <f t="shared" si="7"/>
        <v/>
      </c>
      <c r="AT34" s="20" t="str">
        <f t="shared" si="8"/>
        <v/>
      </c>
      <c r="AU34" s="20" t="str">
        <f t="shared" si="21"/>
        <v/>
      </c>
      <c r="AW34" s="20" t="str">
        <f t="shared" si="22"/>
        <v/>
      </c>
      <c r="AX34" s="20" t="str">
        <f t="shared" si="23"/>
        <v/>
      </c>
      <c r="AZ34" s="20" t="str">
        <f t="shared" si="24"/>
        <v/>
      </c>
      <c r="BA34" s="20" t="str">
        <f t="shared" si="25"/>
        <v/>
      </c>
      <c r="BC34" s="20" t="str">
        <f t="shared" si="26"/>
        <v/>
      </c>
      <c r="BD34" s="20" t="str">
        <f t="shared" si="27"/>
        <v/>
      </c>
      <c r="BF34" s="20" t="str">
        <f t="shared" si="28"/>
        <v/>
      </c>
      <c r="BH34" s="20" t="str">
        <f t="shared" si="29"/>
        <v/>
      </c>
      <c r="BJ34" s="20" t="str">
        <f t="shared" si="30"/>
        <v/>
      </c>
    </row>
    <row r="35" spans="3:62" ht="13.5" customHeight="1" x14ac:dyDescent="0.25">
      <c r="C35" s="16"/>
      <c r="D35" s="16"/>
      <c r="E35" s="16"/>
      <c r="F35" s="16"/>
      <c r="G35" s="16"/>
      <c r="H35" s="16"/>
      <c r="I35" s="16"/>
      <c r="J35" s="16"/>
      <c r="K35" s="16"/>
      <c r="M35" s="20" t="str">
        <f t="shared" si="9"/>
        <v/>
      </c>
      <c r="O35" s="20" t="str">
        <f t="shared" si="10"/>
        <v/>
      </c>
      <c r="P35" s="20" t="str">
        <f t="shared" si="11"/>
        <v/>
      </c>
      <c r="R35" s="20" t="str">
        <f t="shared" si="12"/>
        <v/>
      </c>
      <c r="S35" s="20" t="str">
        <f t="shared" si="13"/>
        <v/>
      </c>
      <c r="U35" s="20" t="str">
        <f t="shared" si="14"/>
        <v/>
      </c>
      <c r="V35" s="20" t="str">
        <f t="shared" si="15"/>
        <v/>
      </c>
      <c r="X35" s="20" t="str">
        <f t="shared" si="16"/>
        <v/>
      </c>
      <c r="Y35" s="20" t="str">
        <f t="shared" si="31"/>
        <v/>
      </c>
      <c r="AA35" s="20" t="str">
        <f t="shared" si="17"/>
        <v/>
      </c>
      <c r="AB35" s="20" t="str">
        <f t="shared" si="18"/>
        <v/>
      </c>
      <c r="AD35" s="20" t="str">
        <f t="shared" si="19"/>
        <v/>
      </c>
      <c r="AF35" s="20" t="str">
        <f t="shared" si="20"/>
        <v/>
      </c>
      <c r="AH35" s="20" t="str">
        <f t="shared" si="0"/>
        <v/>
      </c>
      <c r="AI35" s="20" t="str">
        <f t="shared" si="1"/>
        <v/>
      </c>
      <c r="AK35" s="20" t="str">
        <f t="shared" si="2"/>
        <v/>
      </c>
      <c r="AL35" s="20" t="str">
        <f t="shared" si="3"/>
        <v/>
      </c>
      <c r="AN35" s="20" t="str">
        <f t="shared" si="4"/>
        <v/>
      </c>
      <c r="AO35" s="20" t="str">
        <f t="shared" si="5"/>
        <v/>
      </c>
      <c r="AQ35" s="20" t="str">
        <f t="shared" si="6"/>
        <v/>
      </c>
      <c r="AR35" s="20" t="str">
        <f t="shared" si="7"/>
        <v/>
      </c>
      <c r="AT35" s="20" t="str">
        <f t="shared" si="8"/>
        <v/>
      </c>
      <c r="AU35" s="20" t="str">
        <f t="shared" si="21"/>
        <v/>
      </c>
      <c r="AW35" s="20" t="str">
        <f t="shared" si="22"/>
        <v/>
      </c>
      <c r="AX35" s="20" t="str">
        <f t="shared" si="23"/>
        <v/>
      </c>
      <c r="AZ35" s="20" t="str">
        <f t="shared" si="24"/>
        <v/>
      </c>
      <c r="BA35" s="20" t="str">
        <f t="shared" si="25"/>
        <v/>
      </c>
      <c r="BC35" s="20" t="str">
        <f t="shared" si="26"/>
        <v/>
      </c>
      <c r="BD35" s="20" t="str">
        <f t="shared" si="27"/>
        <v/>
      </c>
      <c r="BF35" s="20" t="str">
        <f t="shared" si="28"/>
        <v/>
      </c>
      <c r="BH35" s="20" t="str">
        <f t="shared" si="29"/>
        <v/>
      </c>
      <c r="BJ35" s="20" t="str">
        <f t="shared" si="30"/>
        <v/>
      </c>
    </row>
    <row r="36" spans="3:62" ht="13.5" customHeight="1" x14ac:dyDescent="0.25">
      <c r="C36" s="16"/>
      <c r="D36" s="16"/>
      <c r="E36" s="16"/>
      <c r="F36" s="16"/>
      <c r="G36" s="16"/>
      <c r="H36" s="16"/>
      <c r="I36" s="16"/>
      <c r="J36" s="16"/>
      <c r="K36" s="16"/>
      <c r="M36" s="20" t="str">
        <f t="shared" si="9"/>
        <v/>
      </c>
      <c r="O36" s="20" t="str">
        <f t="shared" si="10"/>
        <v/>
      </c>
      <c r="P36" s="20" t="str">
        <f t="shared" si="11"/>
        <v/>
      </c>
      <c r="R36" s="20" t="str">
        <f t="shared" si="12"/>
        <v/>
      </c>
      <c r="S36" s="20" t="str">
        <f t="shared" si="13"/>
        <v/>
      </c>
      <c r="U36" s="20" t="str">
        <f t="shared" si="14"/>
        <v/>
      </c>
      <c r="V36" s="20" t="str">
        <f t="shared" si="15"/>
        <v/>
      </c>
      <c r="X36" s="20" t="str">
        <f t="shared" si="16"/>
        <v/>
      </c>
      <c r="Y36" s="20" t="str">
        <f t="shared" si="31"/>
        <v/>
      </c>
      <c r="AA36" s="20" t="str">
        <f t="shared" si="17"/>
        <v/>
      </c>
      <c r="AB36" s="20" t="str">
        <f t="shared" si="18"/>
        <v/>
      </c>
      <c r="AD36" s="20" t="str">
        <f t="shared" si="19"/>
        <v/>
      </c>
      <c r="AF36" s="20" t="str">
        <f t="shared" si="20"/>
        <v/>
      </c>
      <c r="AH36" s="20" t="str">
        <f t="shared" si="0"/>
        <v/>
      </c>
      <c r="AI36" s="20" t="str">
        <f t="shared" si="1"/>
        <v/>
      </c>
      <c r="AK36" s="20" t="str">
        <f t="shared" si="2"/>
        <v/>
      </c>
      <c r="AL36" s="20" t="str">
        <f t="shared" si="3"/>
        <v/>
      </c>
      <c r="AN36" s="20" t="str">
        <f t="shared" si="4"/>
        <v/>
      </c>
      <c r="AO36" s="20" t="str">
        <f t="shared" si="5"/>
        <v/>
      </c>
      <c r="AQ36" s="20" t="str">
        <f t="shared" si="6"/>
        <v/>
      </c>
      <c r="AR36" s="20" t="str">
        <f t="shared" si="7"/>
        <v/>
      </c>
      <c r="AT36" s="20" t="str">
        <f t="shared" si="8"/>
        <v/>
      </c>
      <c r="AU36" s="20" t="str">
        <f t="shared" si="21"/>
        <v/>
      </c>
      <c r="AW36" s="20" t="str">
        <f t="shared" si="22"/>
        <v/>
      </c>
      <c r="AX36" s="20" t="str">
        <f t="shared" si="23"/>
        <v/>
      </c>
      <c r="AZ36" s="20" t="str">
        <f t="shared" si="24"/>
        <v/>
      </c>
      <c r="BA36" s="20" t="str">
        <f t="shared" si="25"/>
        <v/>
      </c>
      <c r="BC36" s="20" t="str">
        <f t="shared" si="26"/>
        <v/>
      </c>
      <c r="BD36" s="20" t="str">
        <f t="shared" si="27"/>
        <v/>
      </c>
      <c r="BF36" s="20" t="str">
        <f t="shared" si="28"/>
        <v/>
      </c>
      <c r="BH36" s="20" t="str">
        <f t="shared" si="29"/>
        <v/>
      </c>
      <c r="BJ36" s="20" t="str">
        <f t="shared" si="30"/>
        <v/>
      </c>
    </row>
    <row r="37" spans="3:62" ht="13.5" customHeight="1" x14ac:dyDescent="0.25">
      <c r="C37" s="16"/>
      <c r="D37" s="16"/>
      <c r="E37" s="16"/>
      <c r="F37" s="16"/>
      <c r="G37" s="16"/>
      <c r="H37" s="16"/>
      <c r="I37" s="16"/>
      <c r="J37" s="16"/>
      <c r="K37" s="16"/>
      <c r="M37" s="20" t="str">
        <f t="shared" si="9"/>
        <v/>
      </c>
      <c r="O37" s="20" t="str">
        <f t="shared" si="10"/>
        <v/>
      </c>
      <c r="P37" s="20" t="str">
        <f t="shared" si="11"/>
        <v/>
      </c>
      <c r="R37" s="20" t="str">
        <f t="shared" si="12"/>
        <v/>
      </c>
      <c r="S37" s="20" t="str">
        <f t="shared" si="13"/>
        <v/>
      </c>
      <c r="U37" s="20" t="str">
        <f t="shared" si="14"/>
        <v/>
      </c>
      <c r="V37" s="20" t="str">
        <f t="shared" si="15"/>
        <v/>
      </c>
      <c r="X37" s="20" t="str">
        <f t="shared" si="16"/>
        <v/>
      </c>
      <c r="Y37" s="20" t="str">
        <f t="shared" si="31"/>
        <v/>
      </c>
      <c r="AA37" s="20" t="str">
        <f t="shared" si="17"/>
        <v/>
      </c>
      <c r="AB37" s="20" t="str">
        <f t="shared" si="18"/>
        <v/>
      </c>
      <c r="AD37" s="20" t="str">
        <f t="shared" si="19"/>
        <v/>
      </c>
      <c r="AF37" s="20" t="str">
        <f t="shared" si="20"/>
        <v/>
      </c>
      <c r="AH37" s="20" t="str">
        <f t="shared" si="0"/>
        <v/>
      </c>
      <c r="AI37" s="20" t="str">
        <f t="shared" si="1"/>
        <v/>
      </c>
      <c r="AK37" s="20" t="str">
        <f t="shared" si="2"/>
        <v/>
      </c>
      <c r="AL37" s="20" t="str">
        <f t="shared" si="3"/>
        <v/>
      </c>
      <c r="AN37" s="20" t="str">
        <f t="shared" si="4"/>
        <v/>
      </c>
      <c r="AO37" s="20" t="str">
        <f t="shared" si="5"/>
        <v/>
      </c>
      <c r="AQ37" s="20" t="str">
        <f t="shared" si="6"/>
        <v/>
      </c>
      <c r="AR37" s="20" t="str">
        <f t="shared" si="7"/>
        <v/>
      </c>
      <c r="AT37" s="20" t="str">
        <f t="shared" si="8"/>
        <v/>
      </c>
      <c r="AU37" s="20" t="str">
        <f t="shared" si="21"/>
        <v/>
      </c>
      <c r="AW37" s="20" t="str">
        <f t="shared" si="22"/>
        <v/>
      </c>
      <c r="AX37" s="20" t="str">
        <f t="shared" si="23"/>
        <v/>
      </c>
      <c r="AZ37" s="20" t="str">
        <f t="shared" si="24"/>
        <v/>
      </c>
      <c r="BA37" s="20" t="str">
        <f t="shared" si="25"/>
        <v/>
      </c>
      <c r="BC37" s="20" t="str">
        <f t="shared" si="26"/>
        <v/>
      </c>
      <c r="BD37" s="20" t="str">
        <f t="shared" si="27"/>
        <v/>
      </c>
      <c r="BF37" s="20" t="str">
        <f t="shared" si="28"/>
        <v/>
      </c>
      <c r="BH37" s="20" t="str">
        <f t="shared" si="29"/>
        <v/>
      </c>
      <c r="BJ37" s="20" t="str">
        <f t="shared" si="30"/>
        <v/>
      </c>
    </row>
    <row r="38" spans="3:62" ht="13.5" customHeight="1" x14ac:dyDescent="0.25">
      <c r="C38" s="16"/>
      <c r="D38" s="16"/>
      <c r="E38" s="16"/>
      <c r="F38" s="16"/>
      <c r="G38" s="16"/>
      <c r="H38" s="16"/>
      <c r="I38" s="16"/>
      <c r="J38" s="16"/>
      <c r="K38" s="16"/>
      <c r="M38" s="20" t="str">
        <f t="shared" si="9"/>
        <v/>
      </c>
      <c r="O38" s="20" t="str">
        <f t="shared" si="10"/>
        <v/>
      </c>
      <c r="P38" s="20" t="str">
        <f t="shared" si="11"/>
        <v/>
      </c>
      <c r="R38" s="20" t="str">
        <f t="shared" si="12"/>
        <v/>
      </c>
      <c r="S38" s="20" t="str">
        <f t="shared" si="13"/>
        <v/>
      </c>
      <c r="U38" s="20" t="str">
        <f t="shared" si="14"/>
        <v/>
      </c>
      <c r="V38" s="20" t="str">
        <f t="shared" si="15"/>
        <v/>
      </c>
      <c r="X38" s="20" t="str">
        <f t="shared" si="16"/>
        <v/>
      </c>
      <c r="Y38" s="20" t="str">
        <f t="shared" si="31"/>
        <v/>
      </c>
      <c r="AA38" s="20" t="str">
        <f t="shared" si="17"/>
        <v/>
      </c>
      <c r="AB38" s="20" t="str">
        <f t="shared" si="18"/>
        <v/>
      </c>
      <c r="AD38" s="20" t="str">
        <f t="shared" si="19"/>
        <v/>
      </c>
      <c r="AF38" s="20" t="str">
        <f t="shared" si="20"/>
        <v/>
      </c>
      <c r="AH38" s="20" t="str">
        <f t="shared" si="0"/>
        <v/>
      </c>
      <c r="AI38" s="20" t="str">
        <f t="shared" si="1"/>
        <v/>
      </c>
      <c r="AK38" s="20" t="str">
        <f t="shared" si="2"/>
        <v/>
      </c>
      <c r="AL38" s="20" t="str">
        <f t="shared" si="3"/>
        <v/>
      </c>
      <c r="AN38" s="20" t="str">
        <f t="shared" si="4"/>
        <v/>
      </c>
      <c r="AO38" s="20" t="str">
        <f t="shared" si="5"/>
        <v/>
      </c>
      <c r="AQ38" s="20" t="str">
        <f t="shared" si="6"/>
        <v/>
      </c>
      <c r="AR38" s="20" t="str">
        <f t="shared" si="7"/>
        <v/>
      </c>
      <c r="AT38" s="20" t="str">
        <f t="shared" si="8"/>
        <v/>
      </c>
      <c r="AU38" s="20" t="str">
        <f t="shared" si="21"/>
        <v/>
      </c>
      <c r="AW38" s="20" t="str">
        <f t="shared" si="22"/>
        <v/>
      </c>
      <c r="AX38" s="20" t="str">
        <f t="shared" si="23"/>
        <v/>
      </c>
      <c r="AZ38" s="20" t="str">
        <f t="shared" si="24"/>
        <v/>
      </c>
      <c r="BA38" s="20" t="str">
        <f t="shared" si="25"/>
        <v/>
      </c>
      <c r="BC38" s="20" t="str">
        <f t="shared" si="26"/>
        <v/>
      </c>
      <c r="BD38" s="20" t="str">
        <f t="shared" si="27"/>
        <v/>
      </c>
      <c r="BF38" s="20" t="str">
        <f t="shared" si="28"/>
        <v/>
      </c>
      <c r="BH38" s="20" t="str">
        <f t="shared" si="29"/>
        <v/>
      </c>
      <c r="BJ38" s="20" t="str">
        <f t="shared" si="30"/>
        <v/>
      </c>
    </row>
    <row r="39" spans="3:62" ht="13.5" customHeight="1" x14ac:dyDescent="0.25">
      <c r="C39" s="16"/>
      <c r="D39" s="16"/>
      <c r="E39" s="16"/>
      <c r="F39" s="16"/>
      <c r="G39" s="16"/>
      <c r="H39" s="16"/>
      <c r="I39" s="16"/>
      <c r="J39" s="16"/>
      <c r="K39" s="16"/>
      <c r="M39" s="20" t="str">
        <f t="shared" si="9"/>
        <v/>
      </c>
      <c r="O39" s="20" t="str">
        <f t="shared" si="10"/>
        <v/>
      </c>
      <c r="P39" s="20" t="str">
        <f t="shared" si="11"/>
        <v/>
      </c>
      <c r="R39" s="20" t="str">
        <f t="shared" si="12"/>
        <v/>
      </c>
      <c r="S39" s="20" t="str">
        <f t="shared" si="13"/>
        <v/>
      </c>
      <c r="U39" s="20" t="str">
        <f t="shared" si="14"/>
        <v/>
      </c>
      <c r="V39" s="20" t="str">
        <f t="shared" si="15"/>
        <v/>
      </c>
      <c r="X39" s="20" t="str">
        <f t="shared" si="16"/>
        <v/>
      </c>
      <c r="Y39" s="20" t="str">
        <f t="shared" si="31"/>
        <v/>
      </c>
      <c r="AA39" s="20" t="str">
        <f t="shared" si="17"/>
        <v/>
      </c>
      <c r="AB39" s="20" t="str">
        <f t="shared" si="18"/>
        <v/>
      </c>
      <c r="AD39" s="20" t="str">
        <f t="shared" si="19"/>
        <v/>
      </c>
      <c r="AF39" s="20" t="str">
        <f t="shared" si="20"/>
        <v/>
      </c>
      <c r="AH39" s="20" t="str">
        <f t="shared" si="0"/>
        <v/>
      </c>
      <c r="AI39" s="20" t="str">
        <f t="shared" si="1"/>
        <v/>
      </c>
      <c r="AK39" s="20" t="str">
        <f t="shared" si="2"/>
        <v/>
      </c>
      <c r="AL39" s="20" t="str">
        <f t="shared" si="3"/>
        <v/>
      </c>
      <c r="AN39" s="20" t="str">
        <f t="shared" si="4"/>
        <v/>
      </c>
      <c r="AO39" s="20" t="str">
        <f t="shared" si="5"/>
        <v/>
      </c>
      <c r="AQ39" s="20" t="str">
        <f t="shared" si="6"/>
        <v/>
      </c>
      <c r="AR39" s="20" t="str">
        <f t="shared" si="7"/>
        <v/>
      </c>
      <c r="AT39" s="20" t="str">
        <f t="shared" si="8"/>
        <v/>
      </c>
      <c r="AU39" s="20" t="str">
        <f t="shared" si="21"/>
        <v/>
      </c>
      <c r="AW39" s="20" t="str">
        <f t="shared" si="22"/>
        <v/>
      </c>
      <c r="AX39" s="20" t="str">
        <f t="shared" si="23"/>
        <v/>
      </c>
      <c r="AZ39" s="20" t="str">
        <f t="shared" si="24"/>
        <v/>
      </c>
      <c r="BA39" s="20" t="str">
        <f t="shared" si="25"/>
        <v/>
      </c>
      <c r="BC39" s="20" t="str">
        <f t="shared" si="26"/>
        <v/>
      </c>
      <c r="BD39" s="20" t="str">
        <f t="shared" si="27"/>
        <v/>
      </c>
      <c r="BF39" s="20" t="str">
        <f t="shared" si="28"/>
        <v/>
      </c>
      <c r="BH39" s="20" t="str">
        <f t="shared" si="29"/>
        <v/>
      </c>
      <c r="BJ39" s="20" t="str">
        <f t="shared" si="30"/>
        <v/>
      </c>
    </row>
    <row r="40" spans="3:62" ht="13.5" customHeight="1" x14ac:dyDescent="0.25">
      <c r="C40" s="16"/>
      <c r="D40" s="16"/>
      <c r="E40" s="16"/>
      <c r="F40" s="16"/>
      <c r="G40" s="16"/>
      <c r="H40" s="16"/>
      <c r="I40" s="16"/>
      <c r="J40" s="16"/>
      <c r="K40" s="16"/>
      <c r="M40" s="20" t="str">
        <f t="shared" si="9"/>
        <v/>
      </c>
      <c r="O40" s="20" t="str">
        <f t="shared" si="10"/>
        <v/>
      </c>
      <c r="P40" s="20" t="str">
        <f t="shared" si="11"/>
        <v/>
      </c>
      <c r="R40" s="20" t="str">
        <f t="shared" si="12"/>
        <v/>
      </c>
      <c r="S40" s="20" t="str">
        <f t="shared" si="13"/>
        <v/>
      </c>
      <c r="U40" s="20" t="str">
        <f t="shared" si="14"/>
        <v/>
      </c>
      <c r="V40" s="20" t="str">
        <f t="shared" si="15"/>
        <v/>
      </c>
      <c r="X40" s="20" t="str">
        <f t="shared" si="16"/>
        <v/>
      </c>
      <c r="Y40" s="20" t="str">
        <f t="shared" si="31"/>
        <v/>
      </c>
      <c r="AA40" s="20" t="str">
        <f t="shared" si="17"/>
        <v/>
      </c>
      <c r="AB40" s="20" t="str">
        <f t="shared" si="18"/>
        <v/>
      </c>
      <c r="AD40" s="20" t="str">
        <f t="shared" si="19"/>
        <v/>
      </c>
      <c r="AF40" s="20" t="str">
        <f t="shared" si="20"/>
        <v/>
      </c>
      <c r="AH40" s="20" t="str">
        <f t="shared" si="0"/>
        <v/>
      </c>
      <c r="AI40" s="20" t="str">
        <f t="shared" si="1"/>
        <v/>
      </c>
      <c r="AK40" s="20" t="str">
        <f t="shared" si="2"/>
        <v/>
      </c>
      <c r="AL40" s="20" t="str">
        <f t="shared" si="3"/>
        <v/>
      </c>
      <c r="AN40" s="20" t="str">
        <f t="shared" si="4"/>
        <v/>
      </c>
      <c r="AO40" s="20" t="str">
        <f t="shared" si="5"/>
        <v/>
      </c>
      <c r="AQ40" s="20" t="str">
        <f t="shared" si="6"/>
        <v/>
      </c>
      <c r="AR40" s="20" t="str">
        <f t="shared" si="7"/>
        <v/>
      </c>
      <c r="AT40" s="20" t="str">
        <f t="shared" si="8"/>
        <v/>
      </c>
      <c r="AU40" s="20" t="str">
        <f t="shared" si="21"/>
        <v/>
      </c>
      <c r="AW40" s="20" t="str">
        <f t="shared" si="22"/>
        <v/>
      </c>
      <c r="AX40" s="20" t="str">
        <f t="shared" si="23"/>
        <v/>
      </c>
      <c r="AZ40" s="20" t="str">
        <f t="shared" si="24"/>
        <v/>
      </c>
      <c r="BA40" s="20" t="str">
        <f t="shared" si="25"/>
        <v/>
      </c>
      <c r="BC40" s="20" t="str">
        <f t="shared" si="26"/>
        <v/>
      </c>
      <c r="BD40" s="20" t="str">
        <f t="shared" si="27"/>
        <v/>
      </c>
      <c r="BF40" s="20" t="str">
        <f t="shared" si="28"/>
        <v/>
      </c>
      <c r="BH40" s="20" t="str">
        <f t="shared" si="29"/>
        <v/>
      </c>
      <c r="BJ40" s="20" t="str">
        <f t="shared" si="30"/>
        <v/>
      </c>
    </row>
    <row r="41" spans="3:62" ht="13.5" customHeight="1" x14ac:dyDescent="0.25">
      <c r="C41" s="16"/>
      <c r="D41" s="16"/>
      <c r="E41" s="16"/>
      <c r="F41" s="16"/>
      <c r="G41" s="16"/>
      <c r="H41" s="16"/>
      <c r="I41" s="16"/>
      <c r="J41" s="16"/>
      <c r="K41" s="16"/>
      <c r="M41" s="20" t="str">
        <f t="shared" si="9"/>
        <v/>
      </c>
      <c r="O41" s="20" t="str">
        <f t="shared" si="10"/>
        <v/>
      </c>
      <c r="P41" s="20" t="str">
        <f t="shared" si="11"/>
        <v/>
      </c>
      <c r="R41" s="20" t="str">
        <f t="shared" si="12"/>
        <v/>
      </c>
      <c r="S41" s="20" t="str">
        <f t="shared" si="13"/>
        <v/>
      </c>
      <c r="U41" s="20" t="str">
        <f t="shared" si="14"/>
        <v/>
      </c>
      <c r="V41" s="20" t="str">
        <f t="shared" si="15"/>
        <v/>
      </c>
      <c r="X41" s="20" t="str">
        <f t="shared" si="16"/>
        <v/>
      </c>
      <c r="Y41" s="20" t="str">
        <f t="shared" si="31"/>
        <v/>
      </c>
      <c r="AA41" s="20" t="str">
        <f t="shared" si="17"/>
        <v/>
      </c>
      <c r="AB41" s="20" t="str">
        <f t="shared" si="18"/>
        <v/>
      </c>
      <c r="AD41" s="20" t="str">
        <f t="shared" si="19"/>
        <v/>
      </c>
      <c r="AF41" s="20" t="str">
        <f t="shared" si="20"/>
        <v/>
      </c>
      <c r="AH41" s="20" t="str">
        <f t="shared" si="0"/>
        <v/>
      </c>
      <c r="AI41" s="20" t="str">
        <f t="shared" si="1"/>
        <v/>
      </c>
      <c r="AK41" s="20" t="str">
        <f t="shared" si="2"/>
        <v/>
      </c>
      <c r="AL41" s="20" t="str">
        <f t="shared" si="3"/>
        <v/>
      </c>
      <c r="AN41" s="20" t="str">
        <f t="shared" si="4"/>
        <v/>
      </c>
      <c r="AO41" s="20" t="str">
        <f t="shared" si="5"/>
        <v/>
      </c>
      <c r="AQ41" s="20" t="str">
        <f t="shared" si="6"/>
        <v/>
      </c>
      <c r="AR41" s="20" t="str">
        <f t="shared" si="7"/>
        <v/>
      </c>
      <c r="AT41" s="20" t="str">
        <f t="shared" si="8"/>
        <v/>
      </c>
      <c r="AU41" s="20" t="str">
        <f t="shared" si="21"/>
        <v/>
      </c>
      <c r="AW41" s="20" t="str">
        <f t="shared" si="22"/>
        <v/>
      </c>
      <c r="AX41" s="20" t="str">
        <f t="shared" si="23"/>
        <v/>
      </c>
      <c r="AZ41" s="20" t="str">
        <f t="shared" si="24"/>
        <v/>
      </c>
      <c r="BA41" s="20" t="str">
        <f t="shared" si="25"/>
        <v/>
      </c>
      <c r="BC41" s="20" t="str">
        <f t="shared" si="26"/>
        <v/>
      </c>
      <c r="BD41" s="20" t="str">
        <f t="shared" si="27"/>
        <v/>
      </c>
      <c r="BF41" s="20" t="str">
        <f t="shared" si="28"/>
        <v/>
      </c>
      <c r="BH41" s="20" t="str">
        <f t="shared" si="29"/>
        <v/>
      </c>
      <c r="BJ41" s="20" t="str">
        <f t="shared" si="30"/>
        <v/>
      </c>
    </row>
    <row r="42" spans="3:62" ht="13.5" customHeight="1" x14ac:dyDescent="0.25">
      <c r="C42" s="16"/>
      <c r="D42" s="16"/>
      <c r="E42" s="16"/>
      <c r="F42" s="16"/>
      <c r="G42" s="16"/>
      <c r="H42" s="16"/>
      <c r="I42" s="16"/>
      <c r="J42" s="16"/>
      <c r="K42" s="16"/>
      <c r="M42" s="20" t="str">
        <f t="shared" si="9"/>
        <v/>
      </c>
      <c r="O42" s="20" t="str">
        <f t="shared" si="10"/>
        <v/>
      </c>
      <c r="P42" s="20" t="str">
        <f t="shared" si="11"/>
        <v/>
      </c>
      <c r="R42" s="20" t="str">
        <f t="shared" si="12"/>
        <v/>
      </c>
      <c r="S42" s="20" t="str">
        <f t="shared" si="13"/>
        <v/>
      </c>
      <c r="U42" s="20" t="str">
        <f t="shared" si="14"/>
        <v/>
      </c>
      <c r="V42" s="20" t="str">
        <f t="shared" si="15"/>
        <v/>
      </c>
      <c r="X42" s="20" t="str">
        <f t="shared" si="16"/>
        <v/>
      </c>
      <c r="Y42" s="20" t="str">
        <f t="shared" si="31"/>
        <v/>
      </c>
      <c r="AA42" s="20" t="str">
        <f t="shared" si="17"/>
        <v/>
      </c>
      <c r="AB42" s="20" t="str">
        <f t="shared" si="18"/>
        <v/>
      </c>
      <c r="AD42" s="20" t="str">
        <f t="shared" si="19"/>
        <v/>
      </c>
      <c r="AF42" s="20" t="str">
        <f t="shared" si="20"/>
        <v/>
      </c>
      <c r="AH42" s="20" t="str">
        <f t="shared" si="0"/>
        <v/>
      </c>
      <c r="AI42" s="20" t="str">
        <f t="shared" si="1"/>
        <v/>
      </c>
      <c r="AK42" s="20" t="str">
        <f t="shared" si="2"/>
        <v/>
      </c>
      <c r="AL42" s="20" t="str">
        <f t="shared" si="3"/>
        <v/>
      </c>
      <c r="AN42" s="20" t="str">
        <f t="shared" si="4"/>
        <v/>
      </c>
      <c r="AO42" s="20" t="str">
        <f t="shared" si="5"/>
        <v/>
      </c>
      <c r="AQ42" s="20" t="str">
        <f t="shared" si="6"/>
        <v/>
      </c>
      <c r="AR42" s="20" t="str">
        <f t="shared" si="7"/>
        <v/>
      </c>
      <c r="AT42" s="20" t="str">
        <f t="shared" si="8"/>
        <v/>
      </c>
      <c r="AU42" s="20" t="str">
        <f t="shared" si="21"/>
        <v/>
      </c>
      <c r="AW42" s="20" t="str">
        <f t="shared" si="22"/>
        <v/>
      </c>
      <c r="AX42" s="20" t="str">
        <f t="shared" si="23"/>
        <v/>
      </c>
      <c r="AZ42" s="20" t="str">
        <f t="shared" si="24"/>
        <v/>
      </c>
      <c r="BA42" s="20" t="str">
        <f t="shared" si="25"/>
        <v/>
      </c>
      <c r="BC42" s="20" t="str">
        <f t="shared" si="26"/>
        <v/>
      </c>
      <c r="BD42" s="20" t="str">
        <f t="shared" si="27"/>
        <v/>
      </c>
      <c r="BF42" s="20" t="str">
        <f t="shared" si="28"/>
        <v/>
      </c>
      <c r="BH42" s="20" t="str">
        <f t="shared" si="29"/>
        <v/>
      </c>
      <c r="BJ42" s="20" t="str">
        <f t="shared" si="30"/>
        <v/>
      </c>
    </row>
    <row r="43" spans="3:62" ht="13.5" customHeight="1" x14ac:dyDescent="0.25">
      <c r="C43" s="16"/>
      <c r="D43" s="16"/>
      <c r="E43" s="16"/>
      <c r="F43" s="16"/>
      <c r="G43" s="16"/>
      <c r="H43" s="16"/>
      <c r="I43" s="16"/>
      <c r="J43" s="16"/>
      <c r="K43" s="16"/>
      <c r="M43" s="20" t="str">
        <f t="shared" si="9"/>
        <v/>
      </c>
      <c r="O43" s="20" t="str">
        <f t="shared" si="10"/>
        <v/>
      </c>
      <c r="P43" s="20" t="str">
        <f t="shared" si="11"/>
        <v/>
      </c>
      <c r="R43" s="20" t="str">
        <f t="shared" si="12"/>
        <v/>
      </c>
      <c r="S43" s="20" t="str">
        <f t="shared" si="13"/>
        <v/>
      </c>
      <c r="U43" s="20" t="str">
        <f t="shared" si="14"/>
        <v/>
      </c>
      <c r="V43" s="20" t="str">
        <f t="shared" si="15"/>
        <v/>
      </c>
      <c r="X43" s="20" t="str">
        <f t="shared" si="16"/>
        <v/>
      </c>
      <c r="Y43" s="20" t="str">
        <f t="shared" si="31"/>
        <v/>
      </c>
      <c r="AA43" s="20" t="str">
        <f t="shared" si="17"/>
        <v/>
      </c>
      <c r="AB43" s="20" t="str">
        <f t="shared" si="18"/>
        <v/>
      </c>
      <c r="AD43" s="20" t="str">
        <f t="shared" si="19"/>
        <v/>
      </c>
      <c r="AF43" s="20" t="str">
        <f t="shared" si="20"/>
        <v/>
      </c>
      <c r="AH43" s="20" t="str">
        <f t="shared" si="0"/>
        <v/>
      </c>
      <c r="AI43" s="20" t="str">
        <f t="shared" si="1"/>
        <v/>
      </c>
      <c r="AK43" s="20" t="str">
        <f t="shared" si="2"/>
        <v/>
      </c>
      <c r="AL43" s="20" t="str">
        <f t="shared" si="3"/>
        <v/>
      </c>
      <c r="AN43" s="20" t="str">
        <f t="shared" si="4"/>
        <v/>
      </c>
      <c r="AO43" s="20" t="str">
        <f t="shared" si="5"/>
        <v/>
      </c>
      <c r="AQ43" s="20" t="str">
        <f t="shared" si="6"/>
        <v/>
      </c>
      <c r="AR43" s="20" t="str">
        <f t="shared" si="7"/>
        <v/>
      </c>
      <c r="AT43" s="20" t="str">
        <f t="shared" si="8"/>
        <v/>
      </c>
      <c r="AU43" s="20" t="str">
        <f t="shared" si="21"/>
        <v/>
      </c>
      <c r="AW43" s="20" t="str">
        <f t="shared" si="22"/>
        <v/>
      </c>
      <c r="AX43" s="20" t="str">
        <f t="shared" si="23"/>
        <v/>
      </c>
      <c r="AZ43" s="20" t="str">
        <f t="shared" si="24"/>
        <v/>
      </c>
      <c r="BA43" s="20" t="str">
        <f t="shared" si="25"/>
        <v/>
      </c>
      <c r="BC43" s="20" t="str">
        <f t="shared" si="26"/>
        <v/>
      </c>
      <c r="BD43" s="20" t="str">
        <f t="shared" si="27"/>
        <v/>
      </c>
      <c r="BF43" s="20" t="str">
        <f t="shared" si="28"/>
        <v/>
      </c>
      <c r="BH43" s="20" t="str">
        <f t="shared" si="29"/>
        <v/>
      </c>
      <c r="BJ43" s="20" t="str">
        <f t="shared" si="30"/>
        <v/>
      </c>
    </row>
    <row r="44" spans="3:62" ht="13.5" customHeight="1" x14ac:dyDescent="0.25">
      <c r="C44" s="16"/>
      <c r="D44" s="16"/>
      <c r="E44" s="16"/>
      <c r="F44" s="16"/>
      <c r="G44" s="16"/>
      <c r="H44" s="16"/>
      <c r="I44" s="16"/>
      <c r="J44" s="16"/>
      <c r="K44" s="16"/>
      <c r="M44" s="20" t="str">
        <f t="shared" si="9"/>
        <v/>
      </c>
      <c r="O44" s="20" t="str">
        <f t="shared" si="10"/>
        <v/>
      </c>
      <c r="P44" s="20" t="str">
        <f t="shared" si="11"/>
        <v/>
      </c>
      <c r="R44" s="20" t="str">
        <f t="shared" si="12"/>
        <v/>
      </c>
      <c r="S44" s="20" t="str">
        <f t="shared" si="13"/>
        <v/>
      </c>
      <c r="U44" s="20" t="str">
        <f t="shared" si="14"/>
        <v/>
      </c>
      <c r="V44" s="20" t="str">
        <f t="shared" si="15"/>
        <v/>
      </c>
      <c r="X44" s="20" t="str">
        <f t="shared" si="16"/>
        <v/>
      </c>
      <c r="Y44" s="20" t="str">
        <f t="shared" si="31"/>
        <v/>
      </c>
      <c r="AA44" s="20" t="str">
        <f t="shared" si="17"/>
        <v/>
      </c>
      <c r="AB44" s="20" t="str">
        <f t="shared" si="18"/>
        <v/>
      </c>
      <c r="AD44" s="20" t="str">
        <f t="shared" si="19"/>
        <v/>
      </c>
      <c r="AF44" s="20" t="str">
        <f t="shared" si="20"/>
        <v/>
      </c>
      <c r="AH44" s="20" t="str">
        <f t="shared" si="0"/>
        <v/>
      </c>
      <c r="AI44" s="20" t="str">
        <f t="shared" si="1"/>
        <v/>
      </c>
      <c r="AK44" s="20" t="str">
        <f t="shared" si="2"/>
        <v/>
      </c>
      <c r="AL44" s="20" t="str">
        <f t="shared" si="3"/>
        <v/>
      </c>
      <c r="AN44" s="20" t="str">
        <f t="shared" si="4"/>
        <v/>
      </c>
      <c r="AO44" s="20" t="str">
        <f t="shared" si="5"/>
        <v/>
      </c>
      <c r="AQ44" s="20" t="str">
        <f t="shared" si="6"/>
        <v/>
      </c>
      <c r="AR44" s="20" t="str">
        <f t="shared" si="7"/>
        <v/>
      </c>
      <c r="AT44" s="20" t="str">
        <f t="shared" si="8"/>
        <v/>
      </c>
      <c r="AU44" s="20" t="str">
        <f t="shared" si="21"/>
        <v/>
      </c>
      <c r="AW44" s="20" t="str">
        <f t="shared" si="22"/>
        <v/>
      </c>
      <c r="AX44" s="20" t="str">
        <f t="shared" si="23"/>
        <v/>
      </c>
      <c r="AZ44" s="20" t="str">
        <f t="shared" si="24"/>
        <v/>
      </c>
      <c r="BA44" s="20" t="str">
        <f t="shared" si="25"/>
        <v/>
      </c>
      <c r="BC44" s="20" t="str">
        <f t="shared" si="26"/>
        <v/>
      </c>
      <c r="BD44" s="20" t="str">
        <f t="shared" si="27"/>
        <v/>
      </c>
      <c r="BF44" s="20" t="str">
        <f t="shared" si="28"/>
        <v/>
      </c>
      <c r="BH44" s="20" t="str">
        <f t="shared" si="29"/>
        <v/>
      </c>
      <c r="BJ44" s="20" t="str">
        <f t="shared" si="30"/>
        <v/>
      </c>
    </row>
    <row r="45" spans="3:62" ht="13.5" customHeight="1" x14ac:dyDescent="0.25">
      <c r="C45" s="16"/>
      <c r="D45" s="16"/>
      <c r="E45" s="16"/>
      <c r="F45" s="16"/>
      <c r="G45" s="16"/>
      <c r="H45" s="16"/>
      <c r="I45" s="16"/>
      <c r="J45" s="16"/>
      <c r="K45" s="16"/>
      <c r="M45" s="20" t="str">
        <f t="shared" si="9"/>
        <v/>
      </c>
      <c r="O45" s="20" t="str">
        <f t="shared" si="10"/>
        <v/>
      </c>
      <c r="P45" s="20" t="str">
        <f t="shared" si="11"/>
        <v/>
      </c>
      <c r="R45" s="20" t="str">
        <f t="shared" si="12"/>
        <v/>
      </c>
      <c r="S45" s="20" t="str">
        <f t="shared" si="13"/>
        <v/>
      </c>
      <c r="U45" s="20" t="str">
        <f t="shared" si="14"/>
        <v/>
      </c>
      <c r="V45" s="20" t="str">
        <f t="shared" si="15"/>
        <v/>
      </c>
      <c r="X45" s="20" t="str">
        <f t="shared" si="16"/>
        <v/>
      </c>
      <c r="Y45" s="20" t="str">
        <f t="shared" si="31"/>
        <v/>
      </c>
      <c r="AA45" s="20" t="str">
        <f t="shared" si="17"/>
        <v/>
      </c>
      <c r="AB45" s="20" t="str">
        <f t="shared" si="18"/>
        <v/>
      </c>
      <c r="AD45" s="20" t="str">
        <f t="shared" si="19"/>
        <v/>
      </c>
      <c r="AF45" s="20" t="str">
        <f t="shared" si="20"/>
        <v/>
      </c>
      <c r="AH45" s="20" t="str">
        <f t="shared" si="0"/>
        <v/>
      </c>
      <c r="AI45" s="20" t="str">
        <f t="shared" si="1"/>
        <v/>
      </c>
      <c r="AK45" s="20" t="str">
        <f t="shared" si="2"/>
        <v/>
      </c>
      <c r="AL45" s="20" t="str">
        <f t="shared" si="3"/>
        <v/>
      </c>
      <c r="AN45" s="20" t="str">
        <f t="shared" si="4"/>
        <v/>
      </c>
      <c r="AO45" s="20" t="str">
        <f t="shared" si="5"/>
        <v/>
      </c>
      <c r="AQ45" s="20" t="str">
        <f t="shared" si="6"/>
        <v/>
      </c>
      <c r="AR45" s="20" t="str">
        <f t="shared" si="7"/>
        <v/>
      </c>
      <c r="AT45" s="20" t="str">
        <f t="shared" si="8"/>
        <v/>
      </c>
      <c r="AU45" s="20" t="str">
        <f t="shared" si="21"/>
        <v/>
      </c>
      <c r="AW45" s="20" t="str">
        <f t="shared" si="22"/>
        <v/>
      </c>
      <c r="AX45" s="20" t="str">
        <f t="shared" si="23"/>
        <v/>
      </c>
      <c r="AZ45" s="20" t="str">
        <f t="shared" si="24"/>
        <v/>
      </c>
      <c r="BA45" s="20" t="str">
        <f t="shared" si="25"/>
        <v/>
      </c>
      <c r="BC45" s="20" t="str">
        <f t="shared" si="26"/>
        <v/>
      </c>
      <c r="BD45" s="20" t="str">
        <f t="shared" si="27"/>
        <v/>
      </c>
      <c r="BF45" s="20" t="str">
        <f t="shared" si="28"/>
        <v/>
      </c>
      <c r="BH45" s="20" t="str">
        <f t="shared" si="29"/>
        <v/>
      </c>
      <c r="BJ45" s="20" t="str">
        <f t="shared" si="30"/>
        <v/>
      </c>
    </row>
    <row r="46" spans="3:62" ht="13.5" customHeight="1" x14ac:dyDescent="0.25">
      <c r="C46" s="16"/>
      <c r="D46" s="16"/>
      <c r="E46" s="16"/>
      <c r="F46" s="16"/>
      <c r="G46" s="16"/>
      <c r="H46" s="16"/>
      <c r="I46" s="16"/>
      <c r="J46" s="16"/>
      <c r="K46" s="16"/>
      <c r="M46" s="20" t="str">
        <f t="shared" si="9"/>
        <v/>
      </c>
      <c r="O46" s="20" t="str">
        <f t="shared" si="10"/>
        <v/>
      </c>
      <c r="P46" s="20" t="str">
        <f t="shared" si="11"/>
        <v/>
      </c>
      <c r="R46" s="20" t="str">
        <f t="shared" si="12"/>
        <v/>
      </c>
      <c r="S46" s="20" t="str">
        <f t="shared" si="13"/>
        <v/>
      </c>
      <c r="U46" s="20" t="str">
        <f t="shared" si="14"/>
        <v/>
      </c>
      <c r="V46" s="20" t="str">
        <f t="shared" si="15"/>
        <v/>
      </c>
      <c r="X46" s="20" t="str">
        <f t="shared" si="16"/>
        <v/>
      </c>
      <c r="Y46" s="20" t="str">
        <f t="shared" si="31"/>
        <v/>
      </c>
      <c r="AA46" s="20" t="str">
        <f t="shared" si="17"/>
        <v/>
      </c>
      <c r="AB46" s="20" t="str">
        <f t="shared" si="18"/>
        <v/>
      </c>
      <c r="AD46" s="20" t="str">
        <f t="shared" si="19"/>
        <v/>
      </c>
      <c r="AF46" s="20" t="str">
        <f t="shared" si="20"/>
        <v/>
      </c>
      <c r="AH46" s="20" t="str">
        <f t="shared" si="0"/>
        <v/>
      </c>
      <c r="AI46" s="20" t="str">
        <f t="shared" si="1"/>
        <v/>
      </c>
      <c r="AK46" s="20" t="str">
        <f t="shared" si="2"/>
        <v/>
      </c>
      <c r="AL46" s="20" t="str">
        <f t="shared" si="3"/>
        <v/>
      </c>
      <c r="AN46" s="20" t="str">
        <f t="shared" si="4"/>
        <v/>
      </c>
      <c r="AO46" s="20" t="str">
        <f t="shared" si="5"/>
        <v/>
      </c>
      <c r="AQ46" s="20" t="str">
        <f t="shared" si="6"/>
        <v/>
      </c>
      <c r="AR46" s="20" t="str">
        <f t="shared" si="7"/>
        <v/>
      </c>
      <c r="AT46" s="20" t="str">
        <f t="shared" si="8"/>
        <v/>
      </c>
      <c r="AU46" s="20" t="str">
        <f t="shared" si="21"/>
        <v/>
      </c>
      <c r="AW46" s="20" t="str">
        <f t="shared" si="22"/>
        <v/>
      </c>
      <c r="AX46" s="20" t="str">
        <f t="shared" si="23"/>
        <v/>
      </c>
      <c r="AZ46" s="20" t="str">
        <f t="shared" si="24"/>
        <v/>
      </c>
      <c r="BA46" s="20" t="str">
        <f t="shared" si="25"/>
        <v/>
      </c>
      <c r="BC46" s="20" t="str">
        <f t="shared" si="26"/>
        <v/>
      </c>
      <c r="BD46" s="20" t="str">
        <f t="shared" si="27"/>
        <v/>
      </c>
      <c r="BF46" s="20" t="str">
        <f t="shared" si="28"/>
        <v/>
      </c>
      <c r="BH46" s="20" t="str">
        <f t="shared" si="29"/>
        <v/>
      </c>
      <c r="BJ46" s="20" t="str">
        <f t="shared" si="30"/>
        <v/>
      </c>
    </row>
    <row r="47" spans="3:62" ht="13.5" customHeight="1" x14ac:dyDescent="0.25">
      <c r="C47" s="16"/>
      <c r="D47" s="16"/>
      <c r="E47" s="16"/>
      <c r="F47" s="16"/>
      <c r="G47" s="16"/>
      <c r="H47" s="16"/>
      <c r="I47" s="16"/>
      <c r="J47" s="16"/>
      <c r="K47" s="16"/>
      <c r="M47" s="20" t="str">
        <f t="shared" si="9"/>
        <v/>
      </c>
      <c r="O47" s="20" t="str">
        <f t="shared" si="10"/>
        <v/>
      </c>
      <c r="P47" s="20" t="str">
        <f t="shared" ref="P47:P65" si="32">IF(D47&lt;&gt;"",IF(E47="Roll-up Screen", D47*1, ""),"")</f>
        <v/>
      </c>
      <c r="R47" s="20" t="str">
        <f t="shared" si="12"/>
        <v/>
      </c>
      <c r="S47" s="20" t="str">
        <f t="shared" si="13"/>
        <v/>
      </c>
      <c r="U47" s="20" t="str">
        <f t="shared" si="14"/>
        <v/>
      </c>
      <c r="V47" s="20" t="str">
        <f t="shared" si="15"/>
        <v/>
      </c>
      <c r="X47" s="20" t="str">
        <f t="shared" si="16"/>
        <v/>
      </c>
      <c r="Y47" s="20" t="str">
        <f t="shared" si="31"/>
        <v/>
      </c>
      <c r="AA47" s="20" t="str">
        <f t="shared" si="17"/>
        <v/>
      </c>
      <c r="AB47" s="20" t="str">
        <f t="shared" si="18"/>
        <v/>
      </c>
      <c r="AD47" s="20" t="str">
        <f t="shared" si="19"/>
        <v/>
      </c>
      <c r="AF47" s="20" t="str">
        <f t="shared" si="20"/>
        <v/>
      </c>
      <c r="AH47" s="20" t="str">
        <f t="shared" ref="AH47:AH65" si="33">IF(D47&lt;&gt;"",IF(E47="Accordion Screen", K47-35, ""),"")</f>
        <v/>
      </c>
      <c r="AI47" s="20" t="str">
        <f t="shared" ref="AI47:AI65" si="34">IF(D47&lt;&gt;"",IF(E47="Accordion Screen", D47*1, ""),"")</f>
        <v/>
      </c>
      <c r="AK47" s="20" t="str">
        <f t="shared" ref="AK47:AK65" si="35">IF(D47&lt;&gt;"",IF(E47="Accordion Screen", J47-88, ""),"")</f>
        <v/>
      </c>
      <c r="AL47" s="20" t="str">
        <f t="shared" ref="AL47:AL65" si="36">IF(D47&lt;&gt;"",IF(E47="Accordion Screen", D47*2, ""),"")</f>
        <v/>
      </c>
      <c r="AN47" s="20" t="str">
        <f t="shared" ref="AN47:AN65" si="37">IF(D47&lt;&gt;"",IF(E47="Accordion Screen", J47-118, ""),"")</f>
        <v/>
      </c>
      <c r="AO47" s="20" t="str">
        <f t="shared" ref="AO47:AO65" si="38">IF(D47&lt;&gt;"",IF(E47="Accordion Screen", D47*2, ""),"")</f>
        <v/>
      </c>
      <c r="AQ47" s="20" t="str">
        <f t="shared" ref="AQ47:AQ65" si="39">IF(D47&lt;&gt;"",IF(E47="Accordion Screen", J47-12, ""),"")</f>
        <v/>
      </c>
      <c r="AR47" s="20" t="str">
        <f t="shared" ref="AR47:AR65" si="40">IF(D47&lt;&gt;"",IF(E47="Accordion Screen", D47*2, ""),"")</f>
        <v/>
      </c>
      <c r="AT47" s="20" t="str">
        <f t="shared" ref="AT47:AT65" si="41">IF(D47&lt;&gt;"",IF(E47="Accordion Screen", AN47, ""),"")</f>
        <v/>
      </c>
      <c r="AU47" s="20" t="str">
        <f t="shared" si="21"/>
        <v/>
      </c>
      <c r="AW47" s="20" t="str">
        <f t="shared" si="22"/>
        <v/>
      </c>
      <c r="AX47" s="20" t="str">
        <f t="shared" si="23"/>
        <v/>
      </c>
      <c r="AZ47" s="20" t="str">
        <f t="shared" si="24"/>
        <v/>
      </c>
      <c r="BA47" s="20" t="str">
        <f t="shared" si="25"/>
        <v/>
      </c>
      <c r="BC47" s="20" t="str">
        <f t="shared" si="26"/>
        <v/>
      </c>
      <c r="BD47" s="20" t="str">
        <f t="shared" si="27"/>
        <v/>
      </c>
      <c r="BF47" s="20" t="str">
        <f t="shared" si="28"/>
        <v/>
      </c>
      <c r="BH47" s="20" t="str">
        <f t="shared" si="29"/>
        <v/>
      </c>
      <c r="BJ47" s="20" t="str">
        <f t="shared" si="30"/>
        <v/>
      </c>
    </row>
    <row r="48" spans="3:62" ht="13.5" customHeight="1" x14ac:dyDescent="0.25">
      <c r="C48" s="16"/>
      <c r="D48" s="16"/>
      <c r="E48" s="16"/>
      <c r="F48" s="16"/>
      <c r="G48" s="16"/>
      <c r="H48" s="16"/>
      <c r="I48" s="16"/>
      <c r="J48" s="16"/>
      <c r="K48" s="16"/>
      <c r="M48" s="20" t="str">
        <f t="shared" si="9"/>
        <v/>
      </c>
      <c r="O48" s="20" t="str">
        <f t="shared" si="10"/>
        <v/>
      </c>
      <c r="P48" s="20" t="str">
        <f t="shared" si="32"/>
        <v/>
      </c>
      <c r="R48" s="20" t="str">
        <f t="shared" si="12"/>
        <v/>
      </c>
      <c r="S48" s="20" t="str">
        <f t="shared" si="13"/>
        <v/>
      </c>
      <c r="U48" s="20" t="str">
        <f t="shared" si="14"/>
        <v/>
      </c>
      <c r="V48" s="20" t="str">
        <f t="shared" si="15"/>
        <v/>
      </c>
      <c r="X48" s="20" t="str">
        <f t="shared" si="16"/>
        <v/>
      </c>
      <c r="Y48" s="20" t="str">
        <f t="shared" si="31"/>
        <v/>
      </c>
      <c r="AA48" s="20" t="str">
        <f t="shared" si="17"/>
        <v/>
      </c>
      <c r="AB48" s="20" t="str">
        <f t="shared" si="18"/>
        <v/>
      </c>
      <c r="AD48" s="20" t="str">
        <f t="shared" si="19"/>
        <v/>
      </c>
      <c r="AF48" s="20" t="str">
        <f t="shared" si="20"/>
        <v/>
      </c>
      <c r="AH48" s="20" t="str">
        <f t="shared" si="33"/>
        <v/>
      </c>
      <c r="AI48" s="20" t="str">
        <f t="shared" si="34"/>
        <v/>
      </c>
      <c r="AK48" s="20" t="str">
        <f t="shared" si="35"/>
        <v/>
      </c>
      <c r="AL48" s="20" t="str">
        <f t="shared" si="36"/>
        <v/>
      </c>
      <c r="AN48" s="20" t="str">
        <f t="shared" si="37"/>
        <v/>
      </c>
      <c r="AO48" s="20" t="str">
        <f t="shared" si="38"/>
        <v/>
      </c>
      <c r="AQ48" s="20" t="str">
        <f t="shared" si="39"/>
        <v/>
      </c>
      <c r="AR48" s="20" t="str">
        <f t="shared" si="40"/>
        <v/>
      </c>
      <c r="AT48" s="20" t="str">
        <f t="shared" si="41"/>
        <v/>
      </c>
      <c r="AU48" s="20" t="str">
        <f t="shared" si="21"/>
        <v/>
      </c>
      <c r="AW48" s="20" t="str">
        <f t="shared" si="22"/>
        <v/>
      </c>
      <c r="AX48" s="20" t="str">
        <f t="shared" si="23"/>
        <v/>
      </c>
      <c r="AZ48" s="20" t="str">
        <f t="shared" si="24"/>
        <v/>
      </c>
      <c r="BA48" s="20" t="str">
        <f t="shared" si="25"/>
        <v/>
      </c>
      <c r="BC48" s="20" t="str">
        <f t="shared" si="26"/>
        <v/>
      </c>
      <c r="BD48" s="20" t="str">
        <f t="shared" si="27"/>
        <v/>
      </c>
      <c r="BF48" s="20" t="str">
        <f t="shared" si="28"/>
        <v/>
      </c>
      <c r="BH48" s="20" t="str">
        <f t="shared" si="29"/>
        <v/>
      </c>
      <c r="BJ48" s="20" t="str">
        <f t="shared" si="30"/>
        <v/>
      </c>
    </row>
    <row r="49" spans="3:62" ht="13.5" customHeight="1" x14ac:dyDescent="0.25">
      <c r="C49" s="16"/>
      <c r="D49" s="16"/>
      <c r="E49" s="16"/>
      <c r="F49" s="16"/>
      <c r="G49" s="16"/>
      <c r="H49" s="16"/>
      <c r="I49" s="16"/>
      <c r="J49" s="16"/>
      <c r="K49" s="16"/>
      <c r="M49" s="20" t="str">
        <f t="shared" si="9"/>
        <v/>
      </c>
      <c r="O49" s="20" t="str">
        <f t="shared" si="10"/>
        <v/>
      </c>
      <c r="P49" s="20" t="str">
        <f t="shared" si="32"/>
        <v/>
      </c>
      <c r="R49" s="20" t="str">
        <f t="shared" si="12"/>
        <v/>
      </c>
      <c r="S49" s="20" t="str">
        <f t="shared" si="13"/>
        <v/>
      </c>
      <c r="U49" s="20" t="str">
        <f t="shared" si="14"/>
        <v/>
      </c>
      <c r="V49" s="20" t="str">
        <f t="shared" si="15"/>
        <v/>
      </c>
      <c r="X49" s="20" t="str">
        <f t="shared" si="16"/>
        <v/>
      </c>
      <c r="Y49" s="20" t="str">
        <f t="shared" si="31"/>
        <v/>
      </c>
      <c r="AA49" s="20" t="str">
        <f t="shared" si="17"/>
        <v/>
      </c>
      <c r="AB49" s="20" t="str">
        <f t="shared" si="18"/>
        <v/>
      </c>
      <c r="AD49" s="20" t="str">
        <f t="shared" si="19"/>
        <v/>
      </c>
      <c r="AF49" s="20" t="str">
        <f t="shared" si="20"/>
        <v/>
      </c>
      <c r="AH49" s="20" t="str">
        <f t="shared" si="33"/>
        <v/>
      </c>
      <c r="AI49" s="20" t="str">
        <f t="shared" si="34"/>
        <v/>
      </c>
      <c r="AK49" s="20" t="str">
        <f t="shared" si="35"/>
        <v/>
      </c>
      <c r="AL49" s="20" t="str">
        <f t="shared" si="36"/>
        <v/>
      </c>
      <c r="AN49" s="20" t="str">
        <f t="shared" si="37"/>
        <v/>
      </c>
      <c r="AO49" s="20" t="str">
        <f t="shared" si="38"/>
        <v/>
      </c>
      <c r="AQ49" s="20" t="str">
        <f t="shared" si="39"/>
        <v/>
      </c>
      <c r="AR49" s="20" t="str">
        <f t="shared" si="40"/>
        <v/>
      </c>
      <c r="AT49" s="20" t="str">
        <f t="shared" si="41"/>
        <v/>
      </c>
      <c r="AU49" s="20" t="str">
        <f t="shared" si="21"/>
        <v/>
      </c>
      <c r="AW49" s="20" t="str">
        <f t="shared" si="22"/>
        <v/>
      </c>
      <c r="AX49" s="20" t="str">
        <f t="shared" si="23"/>
        <v/>
      </c>
      <c r="AZ49" s="20" t="str">
        <f t="shared" si="24"/>
        <v/>
      </c>
      <c r="BA49" s="20" t="str">
        <f t="shared" si="25"/>
        <v/>
      </c>
      <c r="BC49" s="20" t="str">
        <f t="shared" si="26"/>
        <v/>
      </c>
      <c r="BD49" s="20" t="str">
        <f t="shared" si="27"/>
        <v/>
      </c>
      <c r="BF49" s="20" t="str">
        <f t="shared" si="28"/>
        <v/>
      </c>
      <c r="BH49" s="20" t="str">
        <f t="shared" si="29"/>
        <v/>
      </c>
      <c r="BJ49" s="20" t="str">
        <f t="shared" si="30"/>
        <v/>
      </c>
    </row>
    <row r="50" spans="3:62" ht="13.5" customHeight="1" x14ac:dyDescent="0.25">
      <c r="C50" s="16"/>
      <c r="D50" s="16"/>
      <c r="E50" s="16"/>
      <c r="F50" s="16"/>
      <c r="G50" s="16"/>
      <c r="H50" s="16"/>
      <c r="I50" s="16"/>
      <c r="J50" s="16"/>
      <c r="K50" s="16"/>
      <c r="M50" s="20" t="str">
        <f t="shared" si="9"/>
        <v/>
      </c>
      <c r="O50" s="20" t="str">
        <f t="shared" si="10"/>
        <v/>
      </c>
      <c r="P50" s="20" t="str">
        <f t="shared" si="32"/>
        <v/>
      </c>
      <c r="R50" s="20" t="str">
        <f t="shared" si="12"/>
        <v/>
      </c>
      <c r="S50" s="20" t="str">
        <f t="shared" si="13"/>
        <v/>
      </c>
      <c r="U50" s="20" t="str">
        <f t="shared" si="14"/>
        <v/>
      </c>
      <c r="V50" s="20" t="str">
        <f t="shared" si="15"/>
        <v/>
      </c>
      <c r="X50" s="20" t="str">
        <f t="shared" si="16"/>
        <v/>
      </c>
      <c r="Y50" s="20" t="str">
        <f t="shared" si="31"/>
        <v/>
      </c>
      <c r="AA50" s="20" t="str">
        <f t="shared" si="17"/>
        <v/>
      </c>
      <c r="AB50" s="20" t="str">
        <f t="shared" si="18"/>
        <v/>
      </c>
      <c r="AD50" s="20" t="str">
        <f t="shared" si="19"/>
        <v/>
      </c>
      <c r="AF50" s="20" t="str">
        <f t="shared" si="20"/>
        <v/>
      </c>
      <c r="AH50" s="20" t="str">
        <f t="shared" si="33"/>
        <v/>
      </c>
      <c r="AI50" s="20" t="str">
        <f t="shared" si="34"/>
        <v/>
      </c>
      <c r="AK50" s="20" t="str">
        <f t="shared" si="35"/>
        <v/>
      </c>
      <c r="AL50" s="20" t="str">
        <f t="shared" si="36"/>
        <v/>
      </c>
      <c r="AN50" s="20" t="str">
        <f t="shared" si="37"/>
        <v/>
      </c>
      <c r="AO50" s="20" t="str">
        <f t="shared" si="38"/>
        <v/>
      </c>
      <c r="AQ50" s="20" t="str">
        <f t="shared" si="39"/>
        <v/>
      </c>
      <c r="AR50" s="20" t="str">
        <f t="shared" si="40"/>
        <v/>
      </c>
      <c r="AT50" s="20" t="str">
        <f t="shared" si="41"/>
        <v/>
      </c>
      <c r="AU50" s="20" t="str">
        <f t="shared" si="21"/>
        <v/>
      </c>
      <c r="AW50" s="20" t="str">
        <f t="shared" si="22"/>
        <v/>
      </c>
      <c r="AX50" s="20" t="str">
        <f t="shared" si="23"/>
        <v/>
      </c>
      <c r="AZ50" s="20" t="str">
        <f t="shared" si="24"/>
        <v/>
      </c>
      <c r="BA50" s="20" t="str">
        <f t="shared" si="25"/>
        <v/>
      </c>
      <c r="BC50" s="20" t="str">
        <f t="shared" si="26"/>
        <v/>
      </c>
      <c r="BD50" s="20" t="str">
        <f t="shared" si="27"/>
        <v/>
      </c>
      <c r="BF50" s="20" t="str">
        <f t="shared" si="28"/>
        <v/>
      </c>
      <c r="BH50" s="20" t="str">
        <f t="shared" si="29"/>
        <v/>
      </c>
      <c r="BJ50" s="20" t="str">
        <f t="shared" si="30"/>
        <v/>
      </c>
    </row>
    <row r="51" spans="3:62" ht="13.5" customHeight="1" x14ac:dyDescent="0.25">
      <c r="C51" s="16"/>
      <c r="D51" s="16"/>
      <c r="E51" s="16"/>
      <c r="F51" s="16"/>
      <c r="G51" s="16"/>
      <c r="H51" s="16"/>
      <c r="I51" s="16"/>
      <c r="J51" s="16"/>
      <c r="K51" s="16"/>
      <c r="M51" s="20" t="str">
        <f t="shared" si="9"/>
        <v/>
      </c>
      <c r="O51" s="20" t="str">
        <f t="shared" si="10"/>
        <v/>
      </c>
      <c r="P51" s="20" t="str">
        <f t="shared" si="32"/>
        <v/>
      </c>
      <c r="R51" s="20" t="str">
        <f t="shared" si="12"/>
        <v/>
      </c>
      <c r="S51" s="20" t="str">
        <f t="shared" si="13"/>
        <v/>
      </c>
      <c r="U51" s="20" t="str">
        <f t="shared" si="14"/>
        <v/>
      </c>
      <c r="V51" s="20" t="str">
        <f t="shared" si="15"/>
        <v/>
      </c>
      <c r="X51" s="20" t="str">
        <f t="shared" si="16"/>
        <v/>
      </c>
      <c r="Y51" s="20" t="str">
        <f t="shared" si="31"/>
        <v/>
      </c>
      <c r="AA51" s="20" t="str">
        <f t="shared" si="17"/>
        <v/>
      </c>
      <c r="AB51" s="20" t="str">
        <f t="shared" si="18"/>
        <v/>
      </c>
      <c r="AD51" s="20" t="str">
        <f t="shared" si="19"/>
        <v/>
      </c>
      <c r="AF51" s="20" t="str">
        <f t="shared" si="20"/>
        <v/>
      </c>
      <c r="AH51" s="20" t="str">
        <f t="shared" si="33"/>
        <v/>
      </c>
      <c r="AI51" s="20" t="str">
        <f t="shared" si="34"/>
        <v/>
      </c>
      <c r="AK51" s="20" t="str">
        <f t="shared" si="35"/>
        <v/>
      </c>
      <c r="AL51" s="20" t="str">
        <f t="shared" si="36"/>
        <v/>
      </c>
      <c r="AN51" s="20" t="str">
        <f t="shared" si="37"/>
        <v/>
      </c>
      <c r="AO51" s="20" t="str">
        <f t="shared" si="38"/>
        <v/>
      </c>
      <c r="AQ51" s="20" t="str">
        <f t="shared" si="39"/>
        <v/>
      </c>
      <c r="AR51" s="20" t="str">
        <f t="shared" si="40"/>
        <v/>
      </c>
      <c r="AT51" s="20" t="str">
        <f t="shared" si="41"/>
        <v/>
      </c>
      <c r="AU51" s="20" t="str">
        <f t="shared" si="21"/>
        <v/>
      </c>
      <c r="AW51" s="20" t="str">
        <f t="shared" si="22"/>
        <v/>
      </c>
      <c r="AX51" s="20" t="str">
        <f t="shared" si="23"/>
        <v/>
      </c>
      <c r="AZ51" s="20" t="str">
        <f t="shared" si="24"/>
        <v/>
      </c>
      <c r="BA51" s="20" t="str">
        <f t="shared" si="25"/>
        <v/>
      </c>
      <c r="BC51" s="20" t="str">
        <f t="shared" si="26"/>
        <v/>
      </c>
      <c r="BD51" s="20" t="str">
        <f t="shared" si="27"/>
        <v/>
      </c>
      <c r="BF51" s="20" t="str">
        <f t="shared" si="28"/>
        <v/>
      </c>
      <c r="BH51" s="20" t="str">
        <f t="shared" si="29"/>
        <v/>
      </c>
      <c r="BJ51" s="20" t="str">
        <f t="shared" si="30"/>
        <v/>
      </c>
    </row>
    <row r="52" spans="3:62" ht="13.5" customHeight="1" x14ac:dyDescent="0.25">
      <c r="C52" s="16"/>
      <c r="D52" s="16"/>
      <c r="E52" s="16"/>
      <c r="F52" s="16"/>
      <c r="G52" s="16"/>
      <c r="H52" s="16"/>
      <c r="I52" s="16"/>
      <c r="J52" s="16"/>
      <c r="K52" s="16"/>
      <c r="M52" s="20" t="str">
        <f t="shared" si="9"/>
        <v/>
      </c>
      <c r="O52" s="20" t="str">
        <f t="shared" si="10"/>
        <v/>
      </c>
      <c r="P52" s="20" t="str">
        <f t="shared" si="32"/>
        <v/>
      </c>
      <c r="R52" s="20" t="str">
        <f t="shared" si="12"/>
        <v/>
      </c>
      <c r="S52" s="20" t="str">
        <f t="shared" si="13"/>
        <v/>
      </c>
      <c r="U52" s="20" t="str">
        <f t="shared" si="14"/>
        <v/>
      </c>
      <c r="V52" s="20" t="str">
        <f t="shared" si="15"/>
        <v/>
      </c>
      <c r="X52" s="20" t="str">
        <f t="shared" si="16"/>
        <v/>
      </c>
      <c r="Y52" s="20" t="str">
        <f t="shared" si="31"/>
        <v/>
      </c>
      <c r="AA52" s="20" t="str">
        <f t="shared" si="17"/>
        <v/>
      </c>
      <c r="AB52" s="20" t="str">
        <f t="shared" si="18"/>
        <v/>
      </c>
      <c r="AD52" s="20" t="str">
        <f t="shared" si="19"/>
        <v/>
      </c>
      <c r="AF52" s="20" t="str">
        <f t="shared" si="20"/>
        <v/>
      </c>
      <c r="AH52" s="20" t="str">
        <f t="shared" si="33"/>
        <v/>
      </c>
      <c r="AI52" s="20" t="str">
        <f t="shared" si="34"/>
        <v/>
      </c>
      <c r="AK52" s="20" t="str">
        <f t="shared" si="35"/>
        <v/>
      </c>
      <c r="AL52" s="20" t="str">
        <f t="shared" si="36"/>
        <v/>
      </c>
      <c r="AN52" s="20" t="str">
        <f t="shared" si="37"/>
        <v/>
      </c>
      <c r="AO52" s="20" t="str">
        <f t="shared" si="38"/>
        <v/>
      </c>
      <c r="AQ52" s="20" t="str">
        <f t="shared" si="39"/>
        <v/>
      </c>
      <c r="AR52" s="20" t="str">
        <f t="shared" si="40"/>
        <v/>
      </c>
      <c r="AT52" s="20" t="str">
        <f t="shared" si="41"/>
        <v/>
      </c>
      <c r="AU52" s="20" t="str">
        <f t="shared" si="21"/>
        <v/>
      </c>
      <c r="AW52" s="20" t="str">
        <f t="shared" si="22"/>
        <v/>
      </c>
      <c r="AX52" s="20" t="str">
        <f t="shared" si="23"/>
        <v/>
      </c>
      <c r="AZ52" s="20" t="str">
        <f t="shared" si="24"/>
        <v/>
      </c>
      <c r="BA52" s="20" t="str">
        <f t="shared" si="25"/>
        <v/>
      </c>
      <c r="BC52" s="20" t="str">
        <f t="shared" si="26"/>
        <v/>
      </c>
      <c r="BD52" s="20" t="str">
        <f t="shared" si="27"/>
        <v/>
      </c>
      <c r="BF52" s="20" t="str">
        <f t="shared" si="28"/>
        <v/>
      </c>
      <c r="BH52" s="20" t="str">
        <f t="shared" si="29"/>
        <v/>
      </c>
      <c r="BJ52" s="20" t="str">
        <f t="shared" si="30"/>
        <v/>
      </c>
    </row>
    <row r="53" spans="3:62" ht="13.5" customHeight="1" x14ac:dyDescent="0.25">
      <c r="C53" s="16"/>
      <c r="D53" s="16"/>
      <c r="E53" s="16"/>
      <c r="F53" s="16"/>
      <c r="G53" s="16"/>
      <c r="H53" s="16"/>
      <c r="I53" s="16"/>
      <c r="J53" s="16"/>
      <c r="K53" s="16"/>
      <c r="M53" s="20" t="str">
        <f t="shared" si="9"/>
        <v/>
      </c>
      <c r="O53" s="20" t="str">
        <f t="shared" si="10"/>
        <v/>
      </c>
      <c r="P53" s="20" t="str">
        <f t="shared" si="32"/>
        <v/>
      </c>
      <c r="R53" s="20" t="str">
        <f t="shared" si="12"/>
        <v/>
      </c>
      <c r="S53" s="20" t="str">
        <f t="shared" si="13"/>
        <v/>
      </c>
      <c r="U53" s="20" t="str">
        <f t="shared" si="14"/>
        <v/>
      </c>
      <c r="V53" s="20" t="str">
        <f t="shared" si="15"/>
        <v/>
      </c>
      <c r="X53" s="20" t="str">
        <f t="shared" si="16"/>
        <v/>
      </c>
      <c r="Y53" s="20" t="str">
        <f t="shared" si="31"/>
        <v/>
      </c>
      <c r="AA53" s="20" t="str">
        <f t="shared" si="17"/>
        <v/>
      </c>
      <c r="AB53" s="20" t="str">
        <f t="shared" si="18"/>
        <v/>
      </c>
      <c r="AD53" s="20" t="str">
        <f t="shared" si="19"/>
        <v/>
      </c>
      <c r="AF53" s="20" t="str">
        <f t="shared" si="20"/>
        <v/>
      </c>
      <c r="AH53" s="20" t="str">
        <f t="shared" si="33"/>
        <v/>
      </c>
      <c r="AI53" s="20" t="str">
        <f t="shared" si="34"/>
        <v/>
      </c>
      <c r="AK53" s="20" t="str">
        <f t="shared" si="35"/>
        <v/>
      </c>
      <c r="AL53" s="20" t="str">
        <f t="shared" si="36"/>
        <v/>
      </c>
      <c r="AN53" s="20" t="str">
        <f t="shared" si="37"/>
        <v/>
      </c>
      <c r="AO53" s="20" t="str">
        <f t="shared" si="38"/>
        <v/>
      </c>
      <c r="AQ53" s="20" t="str">
        <f t="shared" si="39"/>
        <v/>
      </c>
      <c r="AR53" s="20" t="str">
        <f t="shared" si="40"/>
        <v/>
      </c>
      <c r="AT53" s="20" t="str">
        <f t="shared" si="41"/>
        <v/>
      </c>
      <c r="AU53" s="20" t="str">
        <f t="shared" si="21"/>
        <v/>
      </c>
      <c r="AW53" s="20" t="str">
        <f t="shared" si="22"/>
        <v/>
      </c>
      <c r="AX53" s="20" t="str">
        <f t="shared" si="23"/>
        <v/>
      </c>
      <c r="AZ53" s="20" t="str">
        <f t="shared" si="24"/>
        <v/>
      </c>
      <c r="BA53" s="20" t="str">
        <f t="shared" si="25"/>
        <v/>
      </c>
      <c r="BC53" s="20" t="str">
        <f t="shared" si="26"/>
        <v/>
      </c>
      <c r="BD53" s="20" t="str">
        <f t="shared" si="27"/>
        <v/>
      </c>
      <c r="BF53" s="20" t="str">
        <f t="shared" si="28"/>
        <v/>
      </c>
      <c r="BH53" s="20" t="str">
        <f t="shared" si="29"/>
        <v/>
      </c>
      <c r="BJ53" s="20" t="str">
        <f t="shared" si="30"/>
        <v/>
      </c>
    </row>
    <row r="54" spans="3:62" ht="13.5" customHeight="1" x14ac:dyDescent="0.25">
      <c r="C54" s="16"/>
      <c r="D54" s="16"/>
      <c r="E54" s="16"/>
      <c r="F54" s="16"/>
      <c r="G54" s="16"/>
      <c r="H54" s="16"/>
      <c r="I54" s="16"/>
      <c r="J54" s="16"/>
      <c r="K54" s="16"/>
      <c r="M54" s="20" t="str">
        <f t="shared" si="9"/>
        <v/>
      </c>
      <c r="O54" s="20" t="str">
        <f t="shared" si="10"/>
        <v/>
      </c>
      <c r="P54" s="20" t="str">
        <f t="shared" si="32"/>
        <v/>
      </c>
      <c r="R54" s="20" t="str">
        <f t="shared" si="12"/>
        <v/>
      </c>
      <c r="S54" s="20" t="str">
        <f t="shared" si="13"/>
        <v/>
      </c>
      <c r="U54" s="20" t="str">
        <f t="shared" si="14"/>
        <v/>
      </c>
      <c r="V54" s="20" t="str">
        <f t="shared" si="15"/>
        <v/>
      </c>
      <c r="X54" s="20" t="str">
        <f t="shared" si="16"/>
        <v/>
      </c>
      <c r="Y54" s="20" t="str">
        <f t="shared" si="31"/>
        <v/>
      </c>
      <c r="AA54" s="20" t="str">
        <f t="shared" si="17"/>
        <v/>
      </c>
      <c r="AB54" s="20" t="str">
        <f t="shared" si="18"/>
        <v/>
      </c>
      <c r="AD54" s="20" t="str">
        <f t="shared" si="19"/>
        <v/>
      </c>
      <c r="AF54" s="20" t="str">
        <f t="shared" si="20"/>
        <v/>
      </c>
      <c r="AH54" s="20" t="str">
        <f t="shared" si="33"/>
        <v/>
      </c>
      <c r="AI54" s="20" t="str">
        <f t="shared" si="34"/>
        <v/>
      </c>
      <c r="AK54" s="20" t="str">
        <f t="shared" si="35"/>
        <v/>
      </c>
      <c r="AL54" s="20" t="str">
        <f t="shared" si="36"/>
        <v/>
      </c>
      <c r="AN54" s="20" t="str">
        <f t="shared" si="37"/>
        <v/>
      </c>
      <c r="AO54" s="20" t="str">
        <f t="shared" si="38"/>
        <v/>
      </c>
      <c r="AQ54" s="20" t="str">
        <f t="shared" si="39"/>
        <v/>
      </c>
      <c r="AR54" s="20" t="str">
        <f t="shared" si="40"/>
        <v/>
      </c>
      <c r="AT54" s="20" t="str">
        <f t="shared" si="41"/>
        <v/>
      </c>
      <c r="AU54" s="20" t="str">
        <f t="shared" si="21"/>
        <v/>
      </c>
      <c r="AW54" s="20" t="str">
        <f t="shared" si="22"/>
        <v/>
      </c>
      <c r="AX54" s="20" t="str">
        <f t="shared" si="23"/>
        <v/>
      </c>
      <c r="AZ54" s="20" t="str">
        <f t="shared" si="24"/>
        <v/>
      </c>
      <c r="BA54" s="20" t="str">
        <f t="shared" si="25"/>
        <v/>
      </c>
      <c r="BC54" s="20" t="str">
        <f t="shared" si="26"/>
        <v/>
      </c>
      <c r="BD54" s="20" t="str">
        <f t="shared" si="27"/>
        <v/>
      </c>
      <c r="BF54" s="20" t="str">
        <f t="shared" si="28"/>
        <v/>
      </c>
      <c r="BH54" s="20" t="str">
        <f t="shared" si="29"/>
        <v/>
      </c>
      <c r="BJ54" s="20" t="str">
        <f t="shared" si="30"/>
        <v/>
      </c>
    </row>
    <row r="55" spans="3:62" ht="13.5" customHeight="1" x14ac:dyDescent="0.25">
      <c r="C55" s="16"/>
      <c r="D55" s="16"/>
      <c r="E55" s="16"/>
      <c r="F55" s="16"/>
      <c r="G55" s="16"/>
      <c r="H55" s="16"/>
      <c r="I55" s="16"/>
      <c r="J55" s="16"/>
      <c r="K55" s="16"/>
      <c r="M55" s="20" t="str">
        <f t="shared" si="9"/>
        <v/>
      </c>
      <c r="O55" s="20" t="str">
        <f t="shared" si="10"/>
        <v/>
      </c>
      <c r="P55" s="20" t="str">
        <f t="shared" si="32"/>
        <v/>
      </c>
      <c r="R55" s="20" t="str">
        <f t="shared" si="12"/>
        <v/>
      </c>
      <c r="S55" s="20" t="str">
        <f t="shared" si="13"/>
        <v/>
      </c>
      <c r="U55" s="20" t="str">
        <f t="shared" si="14"/>
        <v/>
      </c>
      <c r="V55" s="20" t="str">
        <f t="shared" si="15"/>
        <v/>
      </c>
      <c r="X55" s="20" t="str">
        <f t="shared" si="16"/>
        <v/>
      </c>
      <c r="Y55" s="20" t="str">
        <f t="shared" si="31"/>
        <v/>
      </c>
      <c r="AA55" s="20" t="str">
        <f t="shared" si="17"/>
        <v/>
      </c>
      <c r="AB55" s="20" t="str">
        <f t="shared" si="18"/>
        <v/>
      </c>
      <c r="AD55" s="20" t="str">
        <f t="shared" si="19"/>
        <v/>
      </c>
      <c r="AF55" s="20" t="str">
        <f t="shared" si="20"/>
        <v/>
      </c>
      <c r="AH55" s="20" t="str">
        <f t="shared" si="33"/>
        <v/>
      </c>
      <c r="AI55" s="20" t="str">
        <f t="shared" si="34"/>
        <v/>
      </c>
      <c r="AK55" s="20" t="str">
        <f t="shared" si="35"/>
        <v/>
      </c>
      <c r="AL55" s="20" t="str">
        <f t="shared" si="36"/>
        <v/>
      </c>
      <c r="AN55" s="20" t="str">
        <f t="shared" si="37"/>
        <v/>
      </c>
      <c r="AO55" s="20" t="str">
        <f t="shared" si="38"/>
        <v/>
      </c>
      <c r="AQ55" s="20" t="str">
        <f t="shared" si="39"/>
        <v/>
      </c>
      <c r="AR55" s="20" t="str">
        <f t="shared" si="40"/>
        <v/>
      </c>
      <c r="AT55" s="20" t="str">
        <f t="shared" si="41"/>
        <v/>
      </c>
      <c r="AU55" s="20" t="str">
        <f t="shared" si="21"/>
        <v/>
      </c>
      <c r="AW55" s="20" t="str">
        <f t="shared" si="22"/>
        <v/>
      </c>
      <c r="AX55" s="20" t="str">
        <f t="shared" si="23"/>
        <v/>
      </c>
      <c r="AZ55" s="20" t="str">
        <f t="shared" si="24"/>
        <v/>
      </c>
      <c r="BA55" s="20" t="str">
        <f t="shared" si="25"/>
        <v/>
      </c>
      <c r="BC55" s="20" t="str">
        <f t="shared" si="26"/>
        <v/>
      </c>
      <c r="BD55" s="20" t="str">
        <f t="shared" si="27"/>
        <v/>
      </c>
      <c r="BF55" s="20" t="str">
        <f t="shared" si="28"/>
        <v/>
      </c>
      <c r="BH55" s="20" t="str">
        <f t="shared" si="29"/>
        <v/>
      </c>
      <c r="BJ55" s="20" t="str">
        <f t="shared" si="30"/>
        <v/>
      </c>
    </row>
    <row r="56" spans="3:62" ht="13.5" customHeight="1" x14ac:dyDescent="0.25">
      <c r="C56" s="16"/>
      <c r="D56" s="16"/>
      <c r="E56" s="16"/>
      <c r="F56" s="16"/>
      <c r="G56" s="16"/>
      <c r="H56" s="16"/>
      <c r="I56" s="16"/>
      <c r="J56" s="16"/>
      <c r="K56" s="16"/>
      <c r="M56" s="20" t="str">
        <f t="shared" si="9"/>
        <v/>
      </c>
      <c r="O56" s="20" t="str">
        <f t="shared" si="10"/>
        <v/>
      </c>
      <c r="P56" s="20" t="str">
        <f t="shared" si="32"/>
        <v/>
      </c>
      <c r="R56" s="20" t="str">
        <f t="shared" si="12"/>
        <v/>
      </c>
      <c r="S56" s="20" t="str">
        <f t="shared" si="13"/>
        <v/>
      </c>
      <c r="U56" s="20" t="str">
        <f t="shared" si="14"/>
        <v/>
      </c>
      <c r="V56" s="20" t="str">
        <f t="shared" si="15"/>
        <v/>
      </c>
      <c r="X56" s="20" t="str">
        <f t="shared" si="16"/>
        <v/>
      </c>
      <c r="Y56" s="20" t="str">
        <f t="shared" si="31"/>
        <v/>
      </c>
      <c r="AA56" s="20" t="str">
        <f t="shared" si="17"/>
        <v/>
      </c>
      <c r="AB56" s="20" t="str">
        <f t="shared" si="18"/>
        <v/>
      </c>
      <c r="AD56" s="20" t="str">
        <f t="shared" si="19"/>
        <v/>
      </c>
      <c r="AF56" s="20" t="str">
        <f t="shared" si="20"/>
        <v/>
      </c>
      <c r="AH56" s="20" t="str">
        <f t="shared" si="33"/>
        <v/>
      </c>
      <c r="AI56" s="20" t="str">
        <f t="shared" si="34"/>
        <v/>
      </c>
      <c r="AK56" s="20" t="str">
        <f t="shared" si="35"/>
        <v/>
      </c>
      <c r="AL56" s="20" t="str">
        <f t="shared" si="36"/>
        <v/>
      </c>
      <c r="AN56" s="20" t="str">
        <f t="shared" si="37"/>
        <v/>
      </c>
      <c r="AO56" s="20" t="str">
        <f t="shared" si="38"/>
        <v/>
      </c>
      <c r="AQ56" s="20" t="str">
        <f t="shared" si="39"/>
        <v/>
      </c>
      <c r="AR56" s="20" t="str">
        <f t="shared" si="40"/>
        <v/>
      </c>
      <c r="AT56" s="20" t="str">
        <f t="shared" si="41"/>
        <v/>
      </c>
      <c r="AU56" s="20" t="str">
        <f t="shared" si="21"/>
        <v/>
      </c>
      <c r="AW56" s="20" t="str">
        <f t="shared" si="22"/>
        <v/>
      </c>
      <c r="AX56" s="20" t="str">
        <f t="shared" si="23"/>
        <v/>
      </c>
      <c r="AZ56" s="20" t="str">
        <f t="shared" si="24"/>
        <v/>
      </c>
      <c r="BA56" s="20" t="str">
        <f t="shared" si="25"/>
        <v/>
      </c>
      <c r="BC56" s="20" t="str">
        <f t="shared" si="26"/>
        <v/>
      </c>
      <c r="BD56" s="20" t="str">
        <f t="shared" si="27"/>
        <v/>
      </c>
      <c r="BF56" s="20" t="str">
        <f t="shared" si="28"/>
        <v/>
      </c>
      <c r="BH56" s="20" t="str">
        <f t="shared" si="29"/>
        <v/>
      </c>
      <c r="BJ56" s="20" t="str">
        <f t="shared" si="30"/>
        <v/>
      </c>
    </row>
    <row r="57" spans="3:62" ht="13.5" customHeight="1" x14ac:dyDescent="0.25">
      <c r="C57" s="16"/>
      <c r="D57" s="16"/>
      <c r="E57" s="16"/>
      <c r="F57" s="16"/>
      <c r="G57" s="16"/>
      <c r="H57" s="16"/>
      <c r="I57" s="16"/>
      <c r="J57" s="16"/>
      <c r="K57" s="16"/>
      <c r="M57" s="20" t="str">
        <f t="shared" si="9"/>
        <v/>
      </c>
      <c r="O57" s="20" t="str">
        <f t="shared" si="10"/>
        <v/>
      </c>
      <c r="P57" s="20" t="str">
        <f t="shared" si="32"/>
        <v/>
      </c>
      <c r="R57" s="20" t="str">
        <f t="shared" si="12"/>
        <v/>
      </c>
      <c r="S57" s="20" t="str">
        <f t="shared" si="13"/>
        <v/>
      </c>
      <c r="U57" s="20" t="str">
        <f t="shared" si="14"/>
        <v/>
      </c>
      <c r="V57" s="20" t="str">
        <f t="shared" si="15"/>
        <v/>
      </c>
      <c r="X57" s="20" t="str">
        <f t="shared" si="16"/>
        <v/>
      </c>
      <c r="Y57" s="20" t="str">
        <f t="shared" si="31"/>
        <v/>
      </c>
      <c r="AA57" s="20" t="str">
        <f t="shared" si="17"/>
        <v/>
      </c>
      <c r="AB57" s="20" t="str">
        <f t="shared" si="18"/>
        <v/>
      </c>
      <c r="AD57" s="20" t="str">
        <f t="shared" si="19"/>
        <v/>
      </c>
      <c r="AF57" s="20" t="str">
        <f t="shared" si="20"/>
        <v/>
      </c>
      <c r="AH57" s="20" t="str">
        <f t="shared" si="33"/>
        <v/>
      </c>
      <c r="AI57" s="20" t="str">
        <f t="shared" si="34"/>
        <v/>
      </c>
      <c r="AK57" s="20" t="str">
        <f t="shared" si="35"/>
        <v/>
      </c>
      <c r="AL57" s="20" t="str">
        <f t="shared" si="36"/>
        <v/>
      </c>
      <c r="AN57" s="20" t="str">
        <f t="shared" si="37"/>
        <v/>
      </c>
      <c r="AO57" s="20" t="str">
        <f t="shared" si="38"/>
        <v/>
      </c>
      <c r="AQ57" s="20" t="str">
        <f t="shared" si="39"/>
        <v/>
      </c>
      <c r="AR57" s="20" t="str">
        <f t="shared" si="40"/>
        <v/>
      </c>
      <c r="AT57" s="20" t="str">
        <f t="shared" si="41"/>
        <v/>
      </c>
      <c r="AU57" s="20" t="str">
        <f t="shared" si="21"/>
        <v/>
      </c>
      <c r="AW57" s="20" t="str">
        <f t="shared" si="22"/>
        <v/>
      </c>
      <c r="AX57" s="20" t="str">
        <f t="shared" si="23"/>
        <v/>
      </c>
      <c r="AZ57" s="20" t="str">
        <f t="shared" si="24"/>
        <v/>
      </c>
      <c r="BA57" s="20" t="str">
        <f t="shared" si="25"/>
        <v/>
      </c>
      <c r="BC57" s="20" t="str">
        <f t="shared" si="26"/>
        <v/>
      </c>
      <c r="BD57" s="20" t="str">
        <f t="shared" si="27"/>
        <v/>
      </c>
      <c r="BF57" s="20" t="str">
        <f t="shared" si="28"/>
        <v/>
      </c>
      <c r="BH57" s="20" t="str">
        <f t="shared" si="29"/>
        <v/>
      </c>
      <c r="BJ57" s="20" t="str">
        <f t="shared" si="30"/>
        <v/>
      </c>
    </row>
    <row r="58" spans="3:62" ht="13.5" customHeight="1" x14ac:dyDescent="0.25">
      <c r="C58" s="16"/>
      <c r="D58" s="16"/>
      <c r="E58" s="16"/>
      <c r="F58" s="16"/>
      <c r="G58" s="16"/>
      <c r="H58" s="16"/>
      <c r="I58" s="16"/>
      <c r="J58" s="16"/>
      <c r="K58" s="16"/>
      <c r="M58" s="20" t="str">
        <f t="shared" si="9"/>
        <v/>
      </c>
      <c r="O58" s="20" t="str">
        <f t="shared" si="10"/>
        <v/>
      </c>
      <c r="P58" s="20" t="str">
        <f t="shared" si="32"/>
        <v/>
      </c>
      <c r="R58" s="20" t="str">
        <f t="shared" si="12"/>
        <v/>
      </c>
      <c r="S58" s="20" t="str">
        <f t="shared" si="13"/>
        <v/>
      </c>
      <c r="U58" s="20" t="str">
        <f t="shared" si="14"/>
        <v/>
      </c>
      <c r="V58" s="20" t="str">
        <f t="shared" si="15"/>
        <v/>
      </c>
      <c r="X58" s="20" t="str">
        <f t="shared" si="16"/>
        <v/>
      </c>
      <c r="Y58" s="20" t="str">
        <f t="shared" si="31"/>
        <v/>
      </c>
      <c r="AA58" s="20" t="str">
        <f t="shared" si="17"/>
        <v/>
      </c>
      <c r="AB58" s="20" t="str">
        <f t="shared" si="18"/>
        <v/>
      </c>
      <c r="AD58" s="20" t="str">
        <f t="shared" si="19"/>
        <v/>
      </c>
      <c r="AF58" s="20" t="str">
        <f t="shared" si="20"/>
        <v/>
      </c>
      <c r="AH58" s="20" t="str">
        <f t="shared" si="33"/>
        <v/>
      </c>
      <c r="AI58" s="20" t="str">
        <f t="shared" si="34"/>
        <v/>
      </c>
      <c r="AK58" s="20" t="str">
        <f t="shared" si="35"/>
        <v/>
      </c>
      <c r="AL58" s="20" t="str">
        <f t="shared" si="36"/>
        <v/>
      </c>
      <c r="AN58" s="20" t="str">
        <f t="shared" si="37"/>
        <v/>
      </c>
      <c r="AO58" s="20" t="str">
        <f t="shared" si="38"/>
        <v/>
      </c>
      <c r="AQ58" s="20" t="str">
        <f t="shared" si="39"/>
        <v/>
      </c>
      <c r="AR58" s="20" t="str">
        <f t="shared" si="40"/>
        <v/>
      </c>
      <c r="AT58" s="20" t="str">
        <f t="shared" si="41"/>
        <v/>
      </c>
      <c r="AU58" s="20" t="str">
        <f t="shared" si="21"/>
        <v/>
      </c>
      <c r="AW58" s="20" t="str">
        <f t="shared" si="22"/>
        <v/>
      </c>
      <c r="AX58" s="20" t="str">
        <f t="shared" si="23"/>
        <v/>
      </c>
      <c r="AZ58" s="20" t="str">
        <f t="shared" si="24"/>
        <v/>
      </c>
      <c r="BA58" s="20" t="str">
        <f t="shared" si="25"/>
        <v/>
      </c>
      <c r="BC58" s="20" t="str">
        <f t="shared" si="26"/>
        <v/>
      </c>
      <c r="BD58" s="20" t="str">
        <f t="shared" si="27"/>
        <v/>
      </c>
      <c r="BF58" s="20" t="str">
        <f t="shared" si="28"/>
        <v/>
      </c>
      <c r="BH58" s="20" t="str">
        <f t="shared" si="29"/>
        <v/>
      </c>
      <c r="BJ58" s="20" t="str">
        <f t="shared" si="30"/>
        <v/>
      </c>
    </row>
    <row r="59" spans="3:62" ht="13.5" customHeight="1" x14ac:dyDescent="0.25">
      <c r="C59" s="16"/>
      <c r="D59" s="16"/>
      <c r="E59" s="16"/>
      <c r="F59" s="16"/>
      <c r="G59" s="16"/>
      <c r="H59" s="16"/>
      <c r="I59" s="16"/>
      <c r="J59" s="16"/>
      <c r="K59" s="16"/>
      <c r="M59" s="20" t="str">
        <f t="shared" si="9"/>
        <v/>
      </c>
      <c r="O59" s="20" t="str">
        <f t="shared" si="10"/>
        <v/>
      </c>
      <c r="P59" s="20" t="str">
        <f t="shared" si="32"/>
        <v/>
      </c>
      <c r="R59" s="20" t="str">
        <f t="shared" si="12"/>
        <v/>
      </c>
      <c r="S59" s="20" t="str">
        <f t="shared" si="13"/>
        <v/>
      </c>
      <c r="U59" s="20" t="str">
        <f t="shared" si="14"/>
        <v/>
      </c>
      <c r="V59" s="20" t="str">
        <f t="shared" si="15"/>
        <v/>
      </c>
      <c r="X59" s="20" t="str">
        <f t="shared" si="16"/>
        <v/>
      </c>
      <c r="Y59" s="20" t="str">
        <f t="shared" si="31"/>
        <v/>
      </c>
      <c r="AA59" s="20" t="str">
        <f t="shared" si="17"/>
        <v/>
      </c>
      <c r="AB59" s="20" t="str">
        <f t="shared" si="18"/>
        <v/>
      </c>
      <c r="AD59" s="20" t="str">
        <f t="shared" si="19"/>
        <v/>
      </c>
      <c r="AF59" s="20" t="str">
        <f t="shared" si="20"/>
        <v/>
      </c>
      <c r="AH59" s="20" t="str">
        <f t="shared" si="33"/>
        <v/>
      </c>
      <c r="AI59" s="20" t="str">
        <f t="shared" si="34"/>
        <v/>
      </c>
      <c r="AK59" s="20" t="str">
        <f t="shared" si="35"/>
        <v/>
      </c>
      <c r="AL59" s="20" t="str">
        <f t="shared" si="36"/>
        <v/>
      </c>
      <c r="AN59" s="20" t="str">
        <f t="shared" si="37"/>
        <v/>
      </c>
      <c r="AO59" s="20" t="str">
        <f t="shared" si="38"/>
        <v/>
      </c>
      <c r="AQ59" s="20" t="str">
        <f t="shared" si="39"/>
        <v/>
      </c>
      <c r="AR59" s="20" t="str">
        <f t="shared" si="40"/>
        <v/>
      </c>
      <c r="AT59" s="20" t="str">
        <f t="shared" si="41"/>
        <v/>
      </c>
      <c r="AU59" s="20" t="str">
        <f t="shared" si="21"/>
        <v/>
      </c>
      <c r="AW59" s="20" t="str">
        <f t="shared" si="22"/>
        <v/>
      </c>
      <c r="AX59" s="20" t="str">
        <f t="shared" si="23"/>
        <v/>
      </c>
      <c r="AZ59" s="20" t="str">
        <f t="shared" si="24"/>
        <v/>
      </c>
      <c r="BA59" s="20" t="str">
        <f t="shared" si="25"/>
        <v/>
      </c>
      <c r="BC59" s="20" t="str">
        <f t="shared" si="26"/>
        <v/>
      </c>
      <c r="BD59" s="20" t="str">
        <f t="shared" si="27"/>
        <v/>
      </c>
      <c r="BF59" s="20" t="str">
        <f t="shared" si="28"/>
        <v/>
      </c>
      <c r="BH59" s="20" t="str">
        <f t="shared" si="29"/>
        <v/>
      </c>
      <c r="BJ59" s="20" t="str">
        <f t="shared" si="30"/>
        <v/>
      </c>
    </row>
    <row r="60" spans="3:62" ht="13.5" customHeight="1" x14ac:dyDescent="0.25">
      <c r="C60" s="16"/>
      <c r="D60" s="16"/>
      <c r="E60" s="16"/>
      <c r="F60" s="16"/>
      <c r="G60" s="16"/>
      <c r="H60" s="16"/>
      <c r="I60" s="16"/>
      <c r="J60" s="16"/>
      <c r="K60" s="16"/>
      <c r="M60" s="20" t="str">
        <f t="shared" si="9"/>
        <v/>
      </c>
      <c r="O60" s="20" t="str">
        <f t="shared" si="10"/>
        <v/>
      </c>
      <c r="P60" s="20" t="str">
        <f t="shared" si="32"/>
        <v/>
      </c>
      <c r="R60" s="20" t="str">
        <f t="shared" si="12"/>
        <v/>
      </c>
      <c r="S60" s="20" t="str">
        <f t="shared" si="13"/>
        <v/>
      </c>
      <c r="U60" s="20" t="str">
        <f t="shared" si="14"/>
        <v/>
      </c>
      <c r="V60" s="20" t="str">
        <f t="shared" si="15"/>
        <v/>
      </c>
      <c r="X60" s="20" t="str">
        <f t="shared" si="16"/>
        <v/>
      </c>
      <c r="Y60" s="20" t="str">
        <f t="shared" si="31"/>
        <v/>
      </c>
      <c r="AA60" s="20" t="str">
        <f t="shared" si="17"/>
        <v/>
      </c>
      <c r="AB60" s="20" t="str">
        <f t="shared" si="18"/>
        <v/>
      </c>
      <c r="AD60" s="20" t="str">
        <f t="shared" si="19"/>
        <v/>
      </c>
      <c r="AF60" s="20" t="str">
        <f t="shared" si="20"/>
        <v/>
      </c>
      <c r="AH60" s="20" t="str">
        <f t="shared" si="33"/>
        <v/>
      </c>
      <c r="AI60" s="20" t="str">
        <f t="shared" si="34"/>
        <v/>
      </c>
      <c r="AK60" s="20" t="str">
        <f t="shared" si="35"/>
        <v/>
      </c>
      <c r="AL60" s="20" t="str">
        <f t="shared" si="36"/>
        <v/>
      </c>
      <c r="AN60" s="20" t="str">
        <f t="shared" si="37"/>
        <v/>
      </c>
      <c r="AO60" s="20" t="str">
        <f t="shared" si="38"/>
        <v/>
      </c>
      <c r="AQ60" s="20" t="str">
        <f t="shared" si="39"/>
        <v/>
      </c>
      <c r="AR60" s="20" t="str">
        <f t="shared" si="40"/>
        <v/>
      </c>
      <c r="AT60" s="20" t="str">
        <f t="shared" si="41"/>
        <v/>
      </c>
      <c r="AU60" s="20" t="str">
        <f t="shared" si="21"/>
        <v/>
      </c>
      <c r="AW60" s="20" t="str">
        <f t="shared" si="22"/>
        <v/>
      </c>
      <c r="AX60" s="20" t="str">
        <f t="shared" si="23"/>
        <v/>
      </c>
      <c r="AZ60" s="20" t="str">
        <f t="shared" si="24"/>
        <v/>
      </c>
      <c r="BA60" s="20" t="str">
        <f t="shared" si="25"/>
        <v/>
      </c>
      <c r="BC60" s="20" t="str">
        <f t="shared" si="26"/>
        <v/>
      </c>
      <c r="BD60" s="20" t="str">
        <f t="shared" si="27"/>
        <v/>
      </c>
      <c r="BF60" s="20" t="str">
        <f t="shared" si="28"/>
        <v/>
      </c>
      <c r="BH60" s="20" t="str">
        <f t="shared" si="29"/>
        <v/>
      </c>
      <c r="BJ60" s="20" t="str">
        <f t="shared" si="30"/>
        <v/>
      </c>
    </row>
    <row r="61" spans="3:62" ht="13.5" customHeight="1" x14ac:dyDescent="0.25">
      <c r="C61" s="16"/>
      <c r="D61" s="16"/>
      <c r="E61" s="16"/>
      <c r="F61" s="16"/>
      <c r="G61" s="16"/>
      <c r="H61" s="16"/>
      <c r="I61" s="16"/>
      <c r="J61" s="16"/>
      <c r="K61" s="16"/>
      <c r="M61" s="20" t="str">
        <f t="shared" si="9"/>
        <v/>
      </c>
      <c r="O61" s="20" t="str">
        <f t="shared" si="10"/>
        <v/>
      </c>
      <c r="P61" s="20" t="str">
        <f t="shared" si="32"/>
        <v/>
      </c>
      <c r="R61" s="20" t="str">
        <f t="shared" si="12"/>
        <v/>
      </c>
      <c r="S61" s="20" t="str">
        <f t="shared" si="13"/>
        <v/>
      </c>
      <c r="U61" s="20" t="str">
        <f t="shared" si="14"/>
        <v/>
      </c>
      <c r="V61" s="20" t="str">
        <f t="shared" si="15"/>
        <v/>
      </c>
      <c r="X61" s="20" t="str">
        <f t="shared" si="16"/>
        <v/>
      </c>
      <c r="Y61" s="20" t="str">
        <f t="shared" si="31"/>
        <v/>
      </c>
      <c r="AA61" s="20" t="str">
        <f t="shared" si="17"/>
        <v/>
      </c>
      <c r="AB61" s="20" t="str">
        <f t="shared" si="18"/>
        <v/>
      </c>
      <c r="AD61" s="20" t="str">
        <f t="shared" si="19"/>
        <v/>
      </c>
      <c r="AF61" s="20" t="str">
        <f t="shared" si="20"/>
        <v/>
      </c>
      <c r="AH61" s="20" t="str">
        <f t="shared" si="33"/>
        <v/>
      </c>
      <c r="AI61" s="20" t="str">
        <f t="shared" si="34"/>
        <v/>
      </c>
      <c r="AK61" s="20" t="str">
        <f t="shared" si="35"/>
        <v/>
      </c>
      <c r="AL61" s="20" t="str">
        <f t="shared" si="36"/>
        <v/>
      </c>
      <c r="AN61" s="20" t="str">
        <f t="shared" si="37"/>
        <v/>
      </c>
      <c r="AO61" s="20" t="str">
        <f t="shared" si="38"/>
        <v/>
      </c>
      <c r="AQ61" s="20" t="str">
        <f t="shared" si="39"/>
        <v/>
      </c>
      <c r="AR61" s="20" t="str">
        <f t="shared" si="40"/>
        <v/>
      </c>
      <c r="AT61" s="20" t="str">
        <f t="shared" si="41"/>
        <v/>
      </c>
      <c r="AU61" s="20" t="str">
        <f t="shared" si="21"/>
        <v/>
      </c>
      <c r="AW61" s="20" t="str">
        <f t="shared" si="22"/>
        <v/>
      </c>
      <c r="AX61" s="20" t="str">
        <f t="shared" si="23"/>
        <v/>
      </c>
      <c r="AZ61" s="20" t="str">
        <f t="shared" si="24"/>
        <v/>
      </c>
      <c r="BA61" s="20" t="str">
        <f t="shared" si="25"/>
        <v/>
      </c>
      <c r="BC61" s="20" t="str">
        <f t="shared" si="26"/>
        <v/>
      </c>
      <c r="BD61" s="20" t="str">
        <f t="shared" si="27"/>
        <v/>
      </c>
      <c r="BF61" s="20" t="str">
        <f t="shared" si="28"/>
        <v/>
      </c>
      <c r="BH61" s="20" t="str">
        <f t="shared" si="29"/>
        <v/>
      </c>
      <c r="BJ61" s="20" t="str">
        <f t="shared" si="30"/>
        <v/>
      </c>
    </row>
    <row r="62" spans="3:62" ht="13.5" customHeight="1" x14ac:dyDescent="0.25">
      <c r="C62" s="16"/>
      <c r="D62" s="16"/>
      <c r="E62" s="16"/>
      <c r="F62" s="16"/>
      <c r="G62" s="16"/>
      <c r="H62" s="16"/>
      <c r="I62" s="16"/>
      <c r="J62" s="16"/>
      <c r="K62" s="16"/>
      <c r="M62" s="20" t="str">
        <f t="shared" si="9"/>
        <v/>
      </c>
      <c r="O62" s="20" t="str">
        <f t="shared" si="10"/>
        <v/>
      </c>
      <c r="P62" s="20" t="str">
        <f t="shared" si="32"/>
        <v/>
      </c>
      <c r="R62" s="20" t="str">
        <f t="shared" si="12"/>
        <v/>
      </c>
      <c r="S62" s="20" t="str">
        <f t="shared" si="13"/>
        <v/>
      </c>
      <c r="U62" s="20" t="str">
        <f t="shared" si="14"/>
        <v/>
      </c>
      <c r="V62" s="20" t="str">
        <f t="shared" si="15"/>
        <v/>
      </c>
      <c r="X62" s="20" t="str">
        <f t="shared" si="16"/>
        <v/>
      </c>
      <c r="Y62" s="20" t="str">
        <f t="shared" si="31"/>
        <v/>
      </c>
      <c r="AA62" s="20" t="str">
        <f t="shared" si="17"/>
        <v/>
      </c>
      <c r="AB62" s="20" t="str">
        <f t="shared" si="18"/>
        <v/>
      </c>
      <c r="AD62" s="20" t="str">
        <f t="shared" si="19"/>
        <v/>
      </c>
      <c r="AF62" s="20" t="str">
        <f t="shared" si="20"/>
        <v/>
      </c>
      <c r="AH62" s="20" t="str">
        <f t="shared" si="33"/>
        <v/>
      </c>
      <c r="AI62" s="20" t="str">
        <f t="shared" si="34"/>
        <v/>
      </c>
      <c r="AK62" s="20" t="str">
        <f t="shared" si="35"/>
        <v/>
      </c>
      <c r="AL62" s="20" t="str">
        <f t="shared" si="36"/>
        <v/>
      </c>
      <c r="AN62" s="20" t="str">
        <f t="shared" si="37"/>
        <v/>
      </c>
      <c r="AO62" s="20" t="str">
        <f t="shared" si="38"/>
        <v/>
      </c>
      <c r="AQ62" s="20" t="str">
        <f t="shared" si="39"/>
        <v/>
      </c>
      <c r="AR62" s="20" t="str">
        <f t="shared" si="40"/>
        <v/>
      </c>
      <c r="AT62" s="20" t="str">
        <f t="shared" si="41"/>
        <v/>
      </c>
      <c r="AU62" s="20" t="str">
        <f t="shared" si="21"/>
        <v/>
      </c>
      <c r="AW62" s="20" t="str">
        <f t="shared" si="22"/>
        <v/>
      </c>
      <c r="AX62" s="20" t="str">
        <f t="shared" si="23"/>
        <v/>
      </c>
      <c r="AZ62" s="20" t="str">
        <f t="shared" si="24"/>
        <v/>
      </c>
      <c r="BA62" s="20" t="str">
        <f t="shared" si="25"/>
        <v/>
      </c>
      <c r="BC62" s="20" t="str">
        <f t="shared" si="26"/>
        <v/>
      </c>
      <c r="BD62" s="20" t="str">
        <f t="shared" si="27"/>
        <v/>
      </c>
      <c r="BF62" s="20" t="str">
        <f t="shared" si="28"/>
        <v/>
      </c>
      <c r="BH62" s="20" t="str">
        <f t="shared" si="29"/>
        <v/>
      </c>
      <c r="BJ62" s="20" t="str">
        <f t="shared" si="30"/>
        <v/>
      </c>
    </row>
    <row r="63" spans="3:62" ht="13.5" customHeight="1" x14ac:dyDescent="0.25">
      <c r="C63" s="16"/>
      <c r="D63" s="16"/>
      <c r="E63" s="16"/>
      <c r="F63" s="16"/>
      <c r="G63" s="16"/>
      <c r="H63" s="16"/>
      <c r="I63" s="16"/>
      <c r="J63" s="16"/>
      <c r="K63" s="16"/>
      <c r="M63" s="20" t="str">
        <f t="shared" si="9"/>
        <v/>
      </c>
      <c r="O63" s="20" t="str">
        <f t="shared" si="10"/>
        <v/>
      </c>
      <c r="P63" s="20" t="str">
        <f t="shared" si="32"/>
        <v/>
      </c>
      <c r="R63" s="20" t="str">
        <f t="shared" si="12"/>
        <v/>
      </c>
      <c r="S63" s="20" t="str">
        <f t="shared" si="13"/>
        <v/>
      </c>
      <c r="U63" s="20" t="str">
        <f t="shared" si="14"/>
        <v/>
      </c>
      <c r="V63" s="20" t="str">
        <f t="shared" si="15"/>
        <v/>
      </c>
      <c r="X63" s="20" t="str">
        <f t="shared" si="16"/>
        <v/>
      </c>
      <c r="Y63" s="20" t="str">
        <f t="shared" si="31"/>
        <v/>
      </c>
      <c r="AA63" s="20" t="str">
        <f t="shared" si="17"/>
        <v/>
      </c>
      <c r="AB63" s="20" t="str">
        <f t="shared" si="18"/>
        <v/>
      </c>
      <c r="AD63" s="20" t="str">
        <f t="shared" si="19"/>
        <v/>
      </c>
      <c r="AF63" s="20" t="str">
        <f t="shared" si="20"/>
        <v/>
      </c>
      <c r="AH63" s="20" t="str">
        <f t="shared" si="33"/>
        <v/>
      </c>
      <c r="AI63" s="20" t="str">
        <f t="shared" si="34"/>
        <v/>
      </c>
      <c r="AK63" s="20" t="str">
        <f t="shared" si="35"/>
        <v/>
      </c>
      <c r="AL63" s="20" t="str">
        <f t="shared" si="36"/>
        <v/>
      </c>
      <c r="AN63" s="20" t="str">
        <f t="shared" si="37"/>
        <v/>
      </c>
      <c r="AO63" s="20" t="str">
        <f t="shared" si="38"/>
        <v/>
      </c>
      <c r="AQ63" s="20" t="str">
        <f t="shared" si="39"/>
        <v/>
      </c>
      <c r="AR63" s="20" t="str">
        <f t="shared" si="40"/>
        <v/>
      </c>
      <c r="AT63" s="20" t="str">
        <f t="shared" si="41"/>
        <v/>
      </c>
      <c r="AU63" s="20" t="str">
        <f t="shared" si="21"/>
        <v/>
      </c>
      <c r="AW63" s="20" t="str">
        <f t="shared" si="22"/>
        <v/>
      </c>
      <c r="AX63" s="20" t="str">
        <f t="shared" si="23"/>
        <v/>
      </c>
      <c r="AZ63" s="20" t="str">
        <f t="shared" si="24"/>
        <v/>
      </c>
      <c r="BA63" s="20" t="str">
        <f t="shared" si="25"/>
        <v/>
      </c>
      <c r="BC63" s="20" t="str">
        <f t="shared" si="26"/>
        <v/>
      </c>
      <c r="BD63" s="20" t="str">
        <f t="shared" si="27"/>
        <v/>
      </c>
      <c r="BF63" s="20" t="str">
        <f t="shared" si="28"/>
        <v/>
      </c>
      <c r="BH63" s="20" t="str">
        <f t="shared" si="29"/>
        <v/>
      </c>
      <c r="BJ63" s="20" t="str">
        <f t="shared" si="30"/>
        <v/>
      </c>
    </row>
    <row r="64" spans="3:62" ht="13.5" customHeight="1" x14ac:dyDescent="0.25">
      <c r="C64" s="16"/>
      <c r="D64" s="16"/>
      <c r="E64" s="16"/>
      <c r="F64" s="16"/>
      <c r="G64" s="16"/>
      <c r="H64" s="16"/>
      <c r="I64" s="16"/>
      <c r="J64" s="16"/>
      <c r="K64" s="16"/>
      <c r="M64" s="20" t="str">
        <f t="shared" si="9"/>
        <v/>
      </c>
      <c r="O64" s="20" t="str">
        <f t="shared" si="10"/>
        <v/>
      </c>
      <c r="P64" s="20" t="str">
        <f t="shared" si="32"/>
        <v/>
      </c>
      <c r="R64" s="20" t="str">
        <f t="shared" si="12"/>
        <v/>
      </c>
      <c r="S64" s="20" t="str">
        <f t="shared" si="13"/>
        <v/>
      </c>
      <c r="U64" s="20" t="str">
        <f t="shared" si="14"/>
        <v/>
      </c>
      <c r="V64" s="20" t="str">
        <f t="shared" si="15"/>
        <v/>
      </c>
      <c r="X64" s="20" t="str">
        <f t="shared" si="16"/>
        <v/>
      </c>
      <c r="Y64" s="20" t="str">
        <f t="shared" si="31"/>
        <v/>
      </c>
      <c r="AA64" s="20" t="str">
        <f t="shared" si="17"/>
        <v/>
      </c>
      <c r="AB64" s="20" t="str">
        <f t="shared" si="18"/>
        <v/>
      </c>
      <c r="AD64" s="20" t="str">
        <f t="shared" si="19"/>
        <v/>
      </c>
      <c r="AF64" s="20" t="str">
        <f t="shared" si="20"/>
        <v/>
      </c>
      <c r="AH64" s="20" t="str">
        <f t="shared" si="33"/>
        <v/>
      </c>
      <c r="AI64" s="20" t="str">
        <f t="shared" si="34"/>
        <v/>
      </c>
      <c r="AK64" s="20" t="str">
        <f t="shared" si="35"/>
        <v/>
      </c>
      <c r="AL64" s="20" t="str">
        <f t="shared" si="36"/>
        <v/>
      </c>
      <c r="AN64" s="20" t="str">
        <f t="shared" si="37"/>
        <v/>
      </c>
      <c r="AO64" s="20" t="str">
        <f t="shared" si="38"/>
        <v/>
      </c>
      <c r="AQ64" s="20" t="str">
        <f t="shared" si="39"/>
        <v/>
      </c>
      <c r="AR64" s="20" t="str">
        <f t="shared" si="40"/>
        <v/>
      </c>
      <c r="AT64" s="20" t="str">
        <f t="shared" si="41"/>
        <v/>
      </c>
      <c r="AU64" s="20" t="str">
        <f t="shared" si="21"/>
        <v/>
      </c>
      <c r="AW64" s="20" t="str">
        <f t="shared" si="22"/>
        <v/>
      </c>
      <c r="AX64" s="20" t="str">
        <f t="shared" si="23"/>
        <v/>
      </c>
      <c r="AZ64" s="20" t="str">
        <f t="shared" si="24"/>
        <v/>
      </c>
      <c r="BA64" s="20" t="str">
        <f t="shared" si="25"/>
        <v/>
      </c>
      <c r="BC64" s="20" t="str">
        <f t="shared" si="26"/>
        <v/>
      </c>
      <c r="BD64" s="20" t="str">
        <f t="shared" si="27"/>
        <v/>
      </c>
      <c r="BF64" s="20" t="str">
        <f t="shared" si="28"/>
        <v/>
      </c>
      <c r="BH64" s="20" t="str">
        <f t="shared" si="29"/>
        <v/>
      </c>
      <c r="BJ64" s="20" t="str">
        <f t="shared" si="30"/>
        <v/>
      </c>
    </row>
    <row r="65" spans="3:62" ht="13.5" customHeight="1" x14ac:dyDescent="0.25">
      <c r="C65" s="16"/>
      <c r="D65" s="16"/>
      <c r="E65" s="16"/>
      <c r="F65" s="16"/>
      <c r="G65" s="16"/>
      <c r="H65" s="16"/>
      <c r="I65" s="16"/>
      <c r="J65" s="16"/>
      <c r="K65" s="16"/>
      <c r="M65" s="20" t="str">
        <f t="shared" si="9"/>
        <v/>
      </c>
      <c r="O65" s="20" t="str">
        <f t="shared" si="10"/>
        <v/>
      </c>
      <c r="P65" s="20" t="str">
        <f t="shared" si="32"/>
        <v/>
      </c>
      <c r="R65" s="20" t="str">
        <f t="shared" si="12"/>
        <v/>
      </c>
      <c r="S65" s="20" t="str">
        <f t="shared" si="13"/>
        <v/>
      </c>
      <c r="U65" s="20" t="str">
        <f t="shared" si="14"/>
        <v/>
      </c>
      <c r="V65" s="20" t="str">
        <f t="shared" si="15"/>
        <v/>
      </c>
      <c r="X65" s="20" t="str">
        <f t="shared" si="16"/>
        <v/>
      </c>
      <c r="Y65" s="20" t="str">
        <f t="shared" si="31"/>
        <v/>
      </c>
      <c r="AA65" s="20" t="str">
        <f t="shared" si="17"/>
        <v/>
      </c>
      <c r="AB65" s="20" t="str">
        <f t="shared" si="18"/>
        <v/>
      </c>
      <c r="AD65" s="20" t="str">
        <f t="shared" si="19"/>
        <v/>
      </c>
      <c r="AF65" s="20" t="str">
        <f t="shared" si="20"/>
        <v/>
      </c>
      <c r="AH65" s="20" t="str">
        <f t="shared" si="33"/>
        <v/>
      </c>
      <c r="AI65" s="20" t="str">
        <f t="shared" si="34"/>
        <v/>
      </c>
      <c r="AK65" s="20" t="str">
        <f t="shared" si="35"/>
        <v/>
      </c>
      <c r="AL65" s="20" t="str">
        <f t="shared" si="36"/>
        <v/>
      </c>
      <c r="AN65" s="20" t="str">
        <f t="shared" si="37"/>
        <v/>
      </c>
      <c r="AO65" s="20" t="str">
        <f t="shared" si="38"/>
        <v/>
      </c>
      <c r="AQ65" s="20" t="str">
        <f t="shared" si="39"/>
        <v/>
      </c>
      <c r="AR65" s="20" t="str">
        <f t="shared" si="40"/>
        <v/>
      </c>
      <c r="AT65" s="20" t="str">
        <f t="shared" si="41"/>
        <v/>
      </c>
      <c r="AU65" s="20" t="str">
        <f t="shared" si="21"/>
        <v/>
      </c>
      <c r="AW65" s="20" t="str">
        <f t="shared" si="22"/>
        <v/>
      </c>
      <c r="AX65" s="20" t="str">
        <f t="shared" si="23"/>
        <v/>
      </c>
      <c r="AZ65" s="20" t="str">
        <f t="shared" si="24"/>
        <v/>
      </c>
      <c r="BA65" s="20" t="str">
        <f t="shared" si="25"/>
        <v/>
      </c>
      <c r="BC65" s="20" t="str">
        <f t="shared" si="26"/>
        <v/>
      </c>
      <c r="BD65" s="20" t="str">
        <f t="shared" si="27"/>
        <v/>
      </c>
      <c r="BF65" s="20" t="str">
        <f t="shared" si="28"/>
        <v/>
      </c>
      <c r="BH65" s="20" t="str">
        <f t="shared" si="29"/>
        <v/>
      </c>
      <c r="BJ65" s="20" t="str">
        <f t="shared" si="30"/>
        <v/>
      </c>
    </row>
  </sheetData>
  <mergeCells count="13">
    <mergeCell ref="AH12:BJ12"/>
    <mergeCell ref="C13:K13"/>
    <mergeCell ref="D6:E6"/>
    <mergeCell ref="J6:K6"/>
    <mergeCell ref="D7:E7"/>
    <mergeCell ref="J7:K7"/>
    <mergeCell ref="D8:E8"/>
    <mergeCell ref="J8:K8"/>
    <mergeCell ref="P12:AB12"/>
    <mergeCell ref="D9:E9"/>
    <mergeCell ref="J9:K9"/>
    <mergeCell ref="D10:E10"/>
    <mergeCell ref="J10:K10"/>
  </mergeCells>
  <dataValidations count="1">
    <dataValidation type="list" allowBlank="1" showInputMessage="1" showErrorMessage="1" sqref="H16:I65" xr:uid="{8BB0CDB7-BD00-4BAA-B66B-B6D673AE1F05}">
      <formula1>#REF!</formula1>
    </dataValidation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6D4AE-B1BD-4B56-96D5-7981A6F7AB3F}">
  <sheetPr codeName="Sheet17">
    <tabColor theme="0"/>
  </sheetPr>
  <dimension ref="B1:CP65"/>
  <sheetViews>
    <sheetView workbookViewId="0">
      <pane xSplit="8" ySplit="14" topLeftCell="CC15" activePane="bottomRight" state="frozen"/>
      <selection activeCell="BJ15" sqref="BJ15"/>
      <selection pane="topRight" activeCell="BJ15" sqref="BJ15"/>
      <selection pane="bottomLeft" activeCell="BJ15" sqref="BJ15"/>
      <selection pane="bottomRight" activeCell="BJ15" sqref="BJ15"/>
    </sheetView>
  </sheetViews>
  <sheetFormatPr defaultColWidth="9.140625" defaultRowHeight="13.5" customHeight="1" x14ac:dyDescent="0.25"/>
  <cols>
    <col min="1" max="1" width="2.7109375" style="1" customWidth="1"/>
    <col min="2" max="2" width="1.7109375" style="1" customWidth="1"/>
    <col min="3" max="3" width="11.85546875" style="1" customWidth="1"/>
    <col min="4" max="4" width="6.85546875" style="1" bestFit="1" customWidth="1"/>
    <col min="5" max="5" width="40.28515625" style="1" customWidth="1"/>
    <col min="6" max="6" width="19.42578125" style="1" customWidth="1"/>
    <col min="7" max="7" width="18" style="1" customWidth="1"/>
    <col min="8" max="9" width="24.28515625" style="1" customWidth="1"/>
    <col min="10" max="11" width="10.7109375" style="1" customWidth="1"/>
    <col min="12" max="12" width="1.7109375" style="1" customWidth="1"/>
    <col min="13" max="13" width="15.140625" style="1" customWidth="1"/>
    <col min="14" max="14" width="8.28515625" style="1" bestFit="1" customWidth="1"/>
    <col min="15" max="15" width="5.42578125" style="1" customWidth="1"/>
    <col min="16" max="16" width="8.28515625" style="1" bestFit="1" customWidth="1"/>
    <col min="17" max="17" width="5.42578125" style="1" customWidth="1"/>
    <col min="18" max="18" width="1.7109375" style="1" customWidth="1"/>
    <col min="19" max="23" width="9.140625" style="1"/>
    <col min="24" max="24" width="9.42578125" style="1" bestFit="1" customWidth="1"/>
    <col min="25" max="25" width="9.140625" style="1"/>
    <col min="26" max="26" width="1.7109375" style="1" customWidth="1"/>
    <col min="27" max="29" width="9.140625" style="1"/>
    <col min="30" max="30" width="9.42578125" style="1" bestFit="1" customWidth="1"/>
    <col min="31" max="31" width="9.140625" style="1"/>
    <col min="32" max="32" width="1.7109375" style="1" customWidth="1"/>
    <col min="33" max="34" width="9.140625" style="1"/>
    <col min="35" max="35" width="9.42578125" style="1" bestFit="1" customWidth="1"/>
    <col min="36" max="36" width="9.140625" style="1"/>
    <col min="37" max="37" width="1.7109375" style="1" customWidth="1"/>
    <col min="38" max="39" width="9.140625" style="1"/>
    <col min="40" max="40" width="1.7109375" style="1" customWidth="1"/>
    <col min="41" max="44" width="9.140625" style="1"/>
    <col min="45" max="45" width="1.7109375" style="1" customWidth="1"/>
    <col min="46" max="47" width="9.140625" style="1"/>
    <col min="48" max="48" width="1.7109375" style="1" customWidth="1"/>
    <col min="49" max="52" width="9.140625" style="1"/>
    <col min="53" max="53" width="9.42578125" style="1" bestFit="1" customWidth="1"/>
    <col min="54" max="54" width="9.140625" style="1"/>
    <col min="55" max="55" width="1.7109375" style="1" customWidth="1"/>
    <col min="56" max="59" width="9.140625" style="1"/>
    <col min="60" max="60" width="1.7109375" style="1" customWidth="1"/>
    <col min="61" max="66" width="9.140625" style="1"/>
    <col min="67" max="67" width="1.7109375" style="1" customWidth="1"/>
    <col min="68" max="71" width="9.140625" style="1"/>
    <col min="72" max="72" width="1.7109375" style="1" customWidth="1"/>
    <col min="73" max="76" width="9.140625" style="1"/>
    <col min="77" max="77" width="1.7109375" style="1" customWidth="1"/>
    <col min="78" max="79" width="12.85546875" style="1" customWidth="1"/>
    <col min="80" max="80" width="1.7109375" style="1" customWidth="1"/>
    <col min="81" max="86" width="9.140625" style="27"/>
    <col min="87" max="87" width="1.7109375" style="1" customWidth="1"/>
    <col min="88" max="88" width="13.7109375" style="1" customWidth="1"/>
    <col min="89" max="89" width="1.7109375" style="1" customWidth="1"/>
    <col min="90" max="90" width="13.7109375" style="1" customWidth="1"/>
    <col min="91" max="16384" width="9.140625" style="1"/>
  </cols>
  <sheetData>
    <row r="1" spans="2:94" x14ac:dyDescent="0.25"/>
    <row r="2" spans="2:94" x14ac:dyDescent="0.25"/>
    <row r="3" spans="2:94" x14ac:dyDescent="0.25"/>
    <row r="4" spans="2:94" x14ac:dyDescent="0.25"/>
    <row r="5" spans="2:94" ht="9.9499999999999993" customHeight="1" x14ac:dyDescent="0.25">
      <c r="B5" s="9"/>
      <c r="C5" s="10"/>
      <c r="D5" s="10"/>
      <c r="E5" s="10"/>
      <c r="F5" s="10"/>
      <c r="G5" s="10"/>
      <c r="H5" s="10"/>
      <c r="I5" s="10"/>
      <c r="J5" s="10"/>
      <c r="K5" s="10"/>
      <c r="L5" s="11"/>
    </row>
    <row r="6" spans="2:94" ht="14.25" x14ac:dyDescent="0.3">
      <c r="B6" s="4"/>
      <c r="C6" s="12" t="s">
        <v>0</v>
      </c>
      <c r="D6" s="114">
        <v>45217</v>
      </c>
      <c r="E6" s="114"/>
      <c r="F6" s="13"/>
      <c r="G6" s="13"/>
      <c r="H6" s="12" t="s">
        <v>90</v>
      </c>
      <c r="I6" s="12"/>
      <c r="J6" s="113"/>
      <c r="K6" s="113"/>
      <c r="L6" s="5"/>
    </row>
    <row r="7" spans="2:94" ht="14.25" x14ac:dyDescent="0.3">
      <c r="B7" s="4"/>
      <c r="C7" s="12" t="s">
        <v>1</v>
      </c>
      <c r="D7" s="112"/>
      <c r="E7" s="112"/>
      <c r="F7" s="13"/>
      <c r="G7" s="13"/>
      <c r="H7" s="12" t="s">
        <v>91</v>
      </c>
      <c r="I7" s="12"/>
      <c r="J7" s="113"/>
      <c r="K7" s="113"/>
      <c r="L7" s="5"/>
    </row>
    <row r="8" spans="2:94" ht="14.25" x14ac:dyDescent="0.3">
      <c r="B8" s="4"/>
      <c r="C8" s="12" t="s">
        <v>2</v>
      </c>
      <c r="D8" s="112"/>
      <c r="E8" s="112"/>
      <c r="F8" s="13"/>
      <c r="G8" s="13"/>
      <c r="H8" s="12" t="s">
        <v>92</v>
      </c>
      <c r="I8" s="12"/>
      <c r="J8" s="113"/>
      <c r="K8" s="113"/>
      <c r="L8" s="5"/>
    </row>
    <row r="9" spans="2:94" ht="14.25" x14ac:dyDescent="0.3">
      <c r="B9" s="4"/>
      <c r="C9" s="12" t="s">
        <v>62</v>
      </c>
      <c r="D9" s="112"/>
      <c r="E9" s="112"/>
      <c r="F9" s="13"/>
      <c r="G9" s="13"/>
      <c r="H9" s="12" t="s">
        <v>93</v>
      </c>
      <c r="I9" s="12"/>
      <c r="J9" s="113"/>
      <c r="K9" s="113"/>
      <c r="L9" s="5"/>
    </row>
    <row r="10" spans="2:94" ht="14.25" x14ac:dyDescent="0.3">
      <c r="B10" s="4"/>
      <c r="C10" s="12" t="s">
        <v>63</v>
      </c>
      <c r="D10" s="112"/>
      <c r="E10" s="112"/>
      <c r="F10" s="13"/>
      <c r="G10" s="13"/>
      <c r="H10" s="12" t="s">
        <v>94</v>
      </c>
      <c r="I10" s="12"/>
      <c r="J10" s="113"/>
      <c r="K10" s="113"/>
      <c r="L10" s="5"/>
    </row>
    <row r="11" spans="2:94" ht="9.9499999999999993" customHeight="1" x14ac:dyDescent="0.25">
      <c r="B11" s="6"/>
      <c r="C11" s="7"/>
      <c r="D11" s="7"/>
      <c r="E11" s="7"/>
      <c r="F11" s="7"/>
      <c r="G11" s="7"/>
      <c r="H11" s="7"/>
      <c r="I11" s="7"/>
      <c r="J11" s="14"/>
      <c r="K11" s="7"/>
      <c r="L11" s="8"/>
    </row>
    <row r="12" spans="2:94" x14ac:dyDescent="0.25"/>
    <row r="13" spans="2:94" s="25" customFormat="1" ht="25.5" x14ac:dyDescent="0.25">
      <c r="C13" s="109" t="s">
        <v>881</v>
      </c>
      <c r="D13" s="110"/>
      <c r="E13" s="110"/>
      <c r="F13" s="110"/>
      <c r="G13" s="110"/>
      <c r="H13" s="110"/>
      <c r="I13" s="110"/>
      <c r="J13" s="110"/>
      <c r="K13" s="111"/>
      <c r="N13" s="116" t="s">
        <v>149</v>
      </c>
      <c r="O13" s="116"/>
      <c r="P13" s="116"/>
      <c r="Q13" s="116"/>
      <c r="S13" s="116" t="s">
        <v>150</v>
      </c>
      <c r="T13" s="116"/>
      <c r="U13" s="116"/>
      <c r="V13" s="116"/>
      <c r="W13" s="116"/>
      <c r="X13" s="116"/>
      <c r="Y13" s="116"/>
      <c r="AA13" s="116" t="s">
        <v>169</v>
      </c>
      <c r="AB13" s="116"/>
      <c r="AC13" s="116"/>
      <c r="AD13" s="116"/>
      <c r="AE13" s="116"/>
      <c r="AG13" s="116" t="s">
        <v>172</v>
      </c>
      <c r="AH13" s="116"/>
      <c r="AI13" s="116"/>
      <c r="AJ13" s="116"/>
      <c r="AL13" s="116" t="s">
        <v>120</v>
      </c>
      <c r="AM13" s="116"/>
      <c r="AO13" s="116" t="s">
        <v>174</v>
      </c>
      <c r="AP13" s="116"/>
      <c r="AQ13" s="116"/>
      <c r="AR13" s="116"/>
      <c r="AT13" s="116" t="s">
        <v>86</v>
      </c>
      <c r="AU13" s="116"/>
      <c r="AW13" s="116" t="s">
        <v>132</v>
      </c>
      <c r="AX13" s="116"/>
      <c r="AY13" s="116"/>
      <c r="AZ13" s="116"/>
      <c r="BA13" s="116"/>
      <c r="BB13" s="116"/>
      <c r="BD13" s="116" t="s">
        <v>137</v>
      </c>
      <c r="BE13" s="116"/>
      <c r="BF13" s="116"/>
      <c r="BG13" s="116"/>
      <c r="BI13" s="116" t="s">
        <v>177</v>
      </c>
      <c r="BJ13" s="116"/>
      <c r="BK13" s="116"/>
      <c r="BL13" s="116"/>
      <c r="BM13" s="116"/>
      <c r="BN13" s="116"/>
      <c r="BP13" s="116" t="s">
        <v>176</v>
      </c>
      <c r="BQ13" s="116"/>
      <c r="BR13" s="116"/>
      <c r="BS13" s="116"/>
      <c r="BU13" s="115" t="s">
        <v>178</v>
      </c>
      <c r="BV13" s="115"/>
      <c r="BW13" s="115"/>
      <c r="BX13" s="115"/>
      <c r="BZ13" s="115" t="s">
        <v>139</v>
      </c>
      <c r="CA13" s="115"/>
      <c r="CC13" s="115" t="s">
        <v>146</v>
      </c>
      <c r="CD13" s="115"/>
      <c r="CE13" s="115"/>
      <c r="CF13" s="115"/>
      <c r="CG13" s="115"/>
      <c r="CH13" s="115"/>
      <c r="CJ13" s="54" t="s">
        <v>293</v>
      </c>
      <c r="CL13" s="115" t="s">
        <v>369</v>
      </c>
      <c r="CM13" s="115"/>
      <c r="CN13" s="115"/>
      <c r="CO13" s="115"/>
      <c r="CP13" s="115"/>
    </row>
    <row r="14" spans="2:94" ht="25.5" x14ac:dyDescent="0.25">
      <c r="C14" s="15" t="s">
        <v>3</v>
      </c>
      <c r="D14" s="15" t="s">
        <v>88</v>
      </c>
      <c r="E14" s="15" t="s">
        <v>96</v>
      </c>
      <c r="F14" s="15" t="s">
        <v>2</v>
      </c>
      <c r="G14" s="15" t="s">
        <v>5</v>
      </c>
      <c r="H14" s="15" t="s">
        <v>825</v>
      </c>
      <c r="I14" s="15" t="s">
        <v>826</v>
      </c>
      <c r="J14" s="15" t="s">
        <v>89</v>
      </c>
      <c r="K14" s="15" t="s">
        <v>65</v>
      </c>
      <c r="M14" s="17" t="s">
        <v>98</v>
      </c>
      <c r="N14" s="17" t="s">
        <v>114</v>
      </c>
      <c r="O14" s="17" t="s">
        <v>72</v>
      </c>
      <c r="P14" s="17" t="s">
        <v>115</v>
      </c>
      <c r="Q14" s="17" t="s">
        <v>72</v>
      </c>
      <c r="S14" s="18" t="s">
        <v>124</v>
      </c>
      <c r="T14" s="17" t="s">
        <v>167</v>
      </c>
      <c r="U14" s="17" t="s">
        <v>82</v>
      </c>
      <c r="V14" s="17" t="s">
        <v>168</v>
      </c>
      <c r="W14" s="17" t="s">
        <v>166</v>
      </c>
      <c r="X14" s="17" t="s">
        <v>115</v>
      </c>
      <c r="Y14" s="17" t="s">
        <v>83</v>
      </c>
      <c r="AA14" s="18" t="s">
        <v>124</v>
      </c>
      <c r="AB14" s="17" t="s">
        <v>167</v>
      </c>
      <c r="AC14" s="17" t="s">
        <v>82</v>
      </c>
      <c r="AD14" s="17" t="s">
        <v>115</v>
      </c>
      <c r="AE14" s="17" t="s">
        <v>83</v>
      </c>
      <c r="AG14" s="17" t="s">
        <v>167</v>
      </c>
      <c r="AH14" s="17" t="s">
        <v>82</v>
      </c>
      <c r="AI14" s="17" t="s">
        <v>115</v>
      </c>
      <c r="AJ14" s="17" t="s">
        <v>83</v>
      </c>
      <c r="AL14" s="17" t="s">
        <v>121</v>
      </c>
      <c r="AM14" s="17" t="s">
        <v>72</v>
      </c>
      <c r="AO14" s="17" t="s">
        <v>167</v>
      </c>
      <c r="AP14" s="17" t="s">
        <v>82</v>
      </c>
      <c r="AQ14" s="17" t="s">
        <v>168</v>
      </c>
      <c r="AR14" s="17" t="s">
        <v>166</v>
      </c>
      <c r="AT14" s="17" t="s">
        <v>167</v>
      </c>
      <c r="AU14" s="17" t="s">
        <v>72</v>
      </c>
      <c r="AW14" s="17" t="s">
        <v>167</v>
      </c>
      <c r="AX14" s="17" t="s">
        <v>175</v>
      </c>
      <c r="AY14" s="17" t="s">
        <v>168</v>
      </c>
      <c r="AZ14" s="17" t="s">
        <v>166</v>
      </c>
      <c r="BA14" s="17" t="s">
        <v>115</v>
      </c>
      <c r="BB14" s="17" t="s">
        <v>83</v>
      </c>
      <c r="BD14" s="17" t="s">
        <v>114</v>
      </c>
      <c r="BE14" s="17" t="s">
        <v>81</v>
      </c>
      <c r="BF14" s="17" t="s">
        <v>115</v>
      </c>
      <c r="BG14" s="17" t="s">
        <v>83</v>
      </c>
      <c r="BI14" s="17" t="s">
        <v>167</v>
      </c>
      <c r="BJ14" s="17" t="s">
        <v>82</v>
      </c>
      <c r="BK14" s="17" t="s">
        <v>168</v>
      </c>
      <c r="BL14" s="17" t="s">
        <v>166</v>
      </c>
      <c r="BM14" s="17" t="s">
        <v>115</v>
      </c>
      <c r="BN14" s="17" t="s">
        <v>83</v>
      </c>
      <c r="BP14" s="17" t="s">
        <v>167</v>
      </c>
      <c r="BQ14" s="17" t="s">
        <v>82</v>
      </c>
      <c r="BR14" s="17" t="s">
        <v>115</v>
      </c>
      <c r="BS14" s="17" t="s">
        <v>83</v>
      </c>
      <c r="BU14" s="17" t="s">
        <v>167</v>
      </c>
      <c r="BV14" s="17" t="s">
        <v>82</v>
      </c>
      <c r="BW14" s="17" t="s">
        <v>115</v>
      </c>
      <c r="BX14" s="17" t="s">
        <v>83</v>
      </c>
      <c r="BZ14" s="17" t="s">
        <v>121</v>
      </c>
      <c r="CA14" s="17" t="s">
        <v>72</v>
      </c>
      <c r="CC14" s="17" t="s">
        <v>167</v>
      </c>
      <c r="CD14" s="17" t="s">
        <v>179</v>
      </c>
      <c r="CE14" s="17" t="s">
        <v>87</v>
      </c>
      <c r="CF14" s="17" t="s">
        <v>168</v>
      </c>
      <c r="CG14" s="17" t="s">
        <v>180</v>
      </c>
      <c r="CH14" s="17" t="s">
        <v>181</v>
      </c>
      <c r="CJ14" s="17" t="s">
        <v>777</v>
      </c>
      <c r="CL14" s="17" t="s">
        <v>778</v>
      </c>
      <c r="CM14" s="17" t="s">
        <v>779</v>
      </c>
      <c r="CN14" s="17" t="s">
        <v>737</v>
      </c>
      <c r="CO14" s="17" t="s">
        <v>739</v>
      </c>
      <c r="CP14" s="17" t="s">
        <v>765</v>
      </c>
    </row>
    <row r="15" spans="2:94" x14ac:dyDescent="0.25">
      <c r="C15" s="16" t="str" cm="1">
        <f t="array" ref="C15">IFERROR(IF(_xlfn._xlws.FILTER('Project Details'!C17:C103, ISNUMBER(MATCH('Project Details'!$E$17:$E$103, dd_design_raw!$A$18:$A$47, 0)))=0, "", _xlfn._xlws.FILTER('Project Details'!C17:C103, ISNUMBER(MATCH('Project Details'!$E$17:$E$103, dd_design_raw!$A$18:$A$47, 0)))),"")</f>
        <v/>
      </c>
      <c r="D15" s="16" t="str" cm="1">
        <f t="array" ref="D15">IFERROR(IF(_xlfn._xlws.FILTER('Project Details'!D17:D103, ISNUMBER(MATCH('Project Details'!$E$17:$E$103, dd_design_raw!$A$18:$A$47, 0)))=0, "", _xlfn._xlws.FILTER('Project Details'!D17:D103, ISNUMBER(MATCH('Project Details'!$E$17:$E$103, dd_design_raw!$A$18:$A$47, 0)))),"")</f>
        <v/>
      </c>
      <c r="E15" s="16" t="str" cm="1">
        <f t="array" ref="E15">IFERROR(IF(_xlfn._xlws.FILTER('Project Details'!E17:E103, ISNUMBER(MATCH('Project Details'!$E$17:$E$103, dd_design_raw!$A$18:$A$47, 0)))=0, "", _xlfn._xlws.FILTER('Project Details'!E17:E103, ISNUMBER(MATCH('Project Details'!$E$17:$E$103, dd_design_raw!$A$18:$A$47, 0)))),"")</f>
        <v/>
      </c>
      <c r="F15" s="16" t="str" cm="1">
        <f t="array" ref="F15">IFERROR(IF(_xlfn._xlws.FILTER('Project Details'!F17:F103, ISNUMBER(MATCH('Project Details'!$E$17:$E$103, dd_design_raw!$A$18:$A$47, 0)))=0, "", _xlfn._xlws.FILTER('Project Details'!F17:F103, ISNUMBER(MATCH('Project Details'!$E$17:$E$103, dd_design_raw!$A$18:$A$47, 0)))),"")</f>
        <v/>
      </c>
      <c r="G15" s="16" t="str" cm="1">
        <f t="array" ref="G15">IFERROR(IF(_xlfn._xlws.FILTER('Project Details'!H17:H103, ISNUMBER(MATCH('Project Details'!$E$17:$E$103, dd_design_raw!$A$18:$A$47, 0)))=0, "", _xlfn._xlws.FILTER('Project Details'!H17:H103, ISNUMBER(MATCH('Project Details'!$E$17:$E$103, dd_design_raw!$A$18:$A$47, 0)))),"")</f>
        <v/>
      </c>
      <c r="H15" s="16" t="str" cm="1">
        <f t="array" ref="H15">IFERROR(IF(_xlfn._xlws.FILTER('Project Details'!I17:I103, ISNUMBER(MATCH('Project Details'!$E$17:$E$103, dd_design_raw!$A$18:$A$47, 0)))=0, "", _xlfn._xlws.FILTER('Project Details'!I17:I103, ISNUMBER(MATCH('Project Details'!$E$17:$E$103, dd_design_raw!$A$18:$A$47, 0)))),"")</f>
        <v/>
      </c>
      <c r="I15" s="16" t="str" cm="1">
        <f t="array" ref="I15">IFERROR(IF(_xlfn._xlws.FILTER('Project Details'!J17:J103, ISNUMBER(MATCH('Project Details'!$E$17:$E$103, dd_design_raw!$A$18:$A$47, 0)))=0, "", _xlfn._xlws.FILTER('Project Details'!J17:J103, ISNUMBER(MATCH('Project Details'!$E$17:$E$103, dd_design_raw!$A$18:$A$47, 0)))),"")</f>
        <v/>
      </c>
      <c r="J15" s="16" t="str" cm="1">
        <f t="array" ref="J15">IFERROR(IF(_xlfn._xlws.FILTER('Project Details'!K17:K103, ISNUMBER(MATCH('Project Details'!$E$17:$E$103, dd_design_raw!$A$18:$A$47, 0)))=0, "", _xlfn._xlws.FILTER('Project Details'!K17:K103, ISNUMBER(MATCH('Project Details'!$E$17:$E$103, dd_design_raw!$A$18:$A$47, 0)))),"")</f>
        <v/>
      </c>
      <c r="K15" s="16" t="str" cm="1">
        <f t="array" ref="K15">IFERROR(IF(_xlfn._xlws.FILTER('Project Details'!L17:L103, ISNUMBER(MATCH('Project Details'!$E$17:$E$103, dd_design_raw!$A$18:$A$47, 0)))=0, "", _xlfn._xlws.FILTER('Project Details'!L17:L103, ISNUMBER(MATCH('Project Details'!$E$17:$E$103, dd_design_raw!$A$18:$A$47, 0)))),"")</f>
        <v/>
      </c>
      <c r="M15" s="20" t="str">
        <f>IF(C15&lt;&gt;"", IF(OR(G15="Classic White", G15="Conch Brown"), 6, 5),"")</f>
        <v/>
      </c>
      <c r="N15" s="20" t="str" cm="1">
        <f t="array" ref="N15">IFERROR(_xlfn.IFS(OR(E15="Fix Awning (Vertical)", E15="Fix Awning (Horizontal)"), J15/2+20,C15&lt;&gt;"", J15+M15),"")</f>
        <v/>
      </c>
      <c r="O15" s="20" t="str">
        <f>IF(D15&lt;&gt;"",D15*2,"")</f>
        <v/>
      </c>
      <c r="P15" s="20" t="str">
        <f>IFERROR(K15+M15,"")</f>
        <v/>
      </c>
      <c r="Q15" s="20" t="str">
        <f>IF(D15&lt;&gt;"",D15*2,"")</f>
        <v/>
      </c>
      <c r="S15" s="20" t="str">
        <f>IF(C15&lt;&gt;"", _xlfn.XLOOKUP(E15,lookups90!$B$4:$B$999,lookups90!$C$4:$C$999,"",0),"")</f>
        <v/>
      </c>
      <c r="T15" s="20" t="str">
        <f>IF(C15&lt;&gt;"", J15-_xlfn.XLOOKUP(E15,lookups90!$B$4:$B$999,lookups90!$D$4:$D$999, "",0),"")</f>
        <v/>
      </c>
      <c r="U15" s="20" t="str">
        <f>IF(T15&lt;&gt;"",D15*_xlfn.XLOOKUP(E15,lookups90!$B$4:$B$999,lookups90!$J$4:$J$999, "",0),"")</f>
        <v/>
      </c>
      <c r="V15" s="20" t="str">
        <f>IF(AND(C15&lt;&gt;"", E15&lt;&gt;"Slide Slide Window", E15&lt;&gt;"Slide Slide Door", E15&lt;&gt;"Slide Slide Door - with Screen"), J15-_xlfn.XLOOKUP(E15,lookups90!$B$4:$B$999,lookups90!$E$4:$E$999, "",0),"")</f>
        <v/>
      </c>
      <c r="W15" s="20" t="str">
        <f>IF(V15&lt;&gt;"",D15*_xlfn.XLOOKUP(E15,lookups90!$B$4:$B$999,lookups90!$K$4:$K$999, "",0),"")</f>
        <v/>
      </c>
      <c r="X15" s="20" t="str" cm="1">
        <f t="array" ref="X15">IFERROR(_xlfn.IFS(OR(E15="Fix Slide Window", E15="Slide Slide Window", E15="Fix Slide Door", E15="Slide Slide Door", E15="Fix Slide Door - with Screen", E15="Slide Slide Door - with Screen"), (K15-_xlfn.XLOOKUP(E15,lookups90!$B$4:$B$999,lookups90!$F$4:$F$999, "",0)-_xlfn.XLOOKUP(E15,lookups90!$B$4:$B$999,lookups90!$G$4:$G$999, "",0)+_xlfn.XLOOKUP(E15,lookups90!$B$4:$B$999,lookups90!$H$4:$H$999, "",0))/2+_xlfn.XLOOKUP(E15,lookups90!$B$4:$B$999,lookups90!$I$4:$I$999, "",0), OR(E15="Fix Slide Slide Fix Window", E15="Fix Slide Slide Fix Door - with Screen", E15="Fix Slide Slide Fix Door"),  (K15-_xlfn.XLOOKUP(E15,lookups90!$B$4:$B$999,lookups90!$F$4:$F$999, "",0)-_xlfn.XLOOKUP(E15,lookups90!$B$4:$B$999,lookups90!$G$4:$G$999, "",0)+_xlfn.XLOOKUP(E15,lookups90!$B$4:$B$999,lookups90!$H$4:$H$999, "",0)+_xlfn.XLOOKUP(E15,lookups90!$B$4:$B$999,lookups90!$H$4:$H$999, "",0))/4+_xlfn.XLOOKUP(E15,lookups90!$B$4:$B$999,lookups90!$I$4:$I$999, "",0), E15="Fix Slide Slide Door", (K15-_xlfn.XLOOKUP(E15,lookups90!$B$4:$B$999,lookups90!$F$4:$F$999, "",0)-_xlfn.XLOOKUP(E15,lookups90!$B$4:$B$999,lookups90!$G$4:$G$999, "",0)+_xlfn.XLOOKUP(E15,lookups90!$B$4:$B$999,lookups90!$H$4:$H$999, "",0)+_xlfn.XLOOKUP(E15,lookups90!$B$4:$B$999,lookups90!$H$4:$H$999, "",0))/3+_xlfn.XLOOKUP(E15,lookups90!$B$4:$B$999,lookups90!$I$4:$I$999, "",0),E15="Fix Slide Slide Slide Slide Fix Dr",  (K15-_xlfn.XLOOKUP(E15,lookups90!$B$4:$B$999,lookups90!$F$4:$F$999, "",0)-_xlfn.XLOOKUP(E15,lookups90!$B$4:$B$999,lookups90!$G$4:$G$999, "",0)+_xlfn.XLOOKUP(E15,lookups90!$B$4:$B$999,lookups90!$H$4:$H$999, "",0)+_xlfn.XLOOKUP(E15,lookups90!$B$4:$B$999,lookups90!$H$4:$H$999, "",0)+_xlfn.XLOOKUP(E15,lookups90!$B$4:$B$999,lookups90!$H$4:$H$999, "",0)+_xlfn.XLOOKUP(E15,lookups90!$B$4:$B$999,lookups90!$H$4:$H$999, "",0))/6+_xlfn.XLOOKUP(E15,lookups90!$B$4:$B$999,lookups90!$I$4:$I$999, "",0), E15="Fix Slide Slide Slide Slide Slide Slide Fix Dr",  (K15-_xlfn.XLOOKUP(E15,lookups90!$B$4:$B$999,lookups90!$F$4:$F$999, "",0)-_xlfn.XLOOKUP(E15,lookups90!$B$4:$B$999,lookups90!$G$4:$G$999, "",0)+_xlfn.XLOOKUP(E15,lookups90!$B$4:$B$999,lookups90!$H$4:$H$999, "",0)+_xlfn.XLOOKUP(E15,lookups90!$B$4:$B$999,lookups90!$H$4:$H$999, "",0)+_xlfn.XLOOKUP(E15,lookups90!$B$4:$B$999,lookups90!$H$4:$H$999, "",0)+_xlfn.XLOOKUP(E15,lookups90!$B$4:$B$999,lookups90!$H$4:$H$999, "",0)+_xlfn.XLOOKUP(E15,lookups90!$B$4:$B$999,lookups90!$H$4:$H$999, "",0)+_xlfn.XLOOKUP(E15,lookups90!$B$4:$B$999,lookups90!$H$4:$H$999, "",0))/8+_xlfn.XLOOKUP(E15,lookups90!$B$4:$B$999,lookups90!$I$4:$I$999, "",0)),"")</f>
        <v/>
      </c>
      <c r="Y15" s="20" t="str">
        <f>IF(X15&lt;&gt;"",D15*_xlfn.XLOOKUP(E15,lookups90!$B$4:$B$999,lookups90!$L$4:$L$999, "",0),"")</f>
        <v/>
      </c>
      <c r="AA15" s="20" t="str">
        <f>IF(C15&lt;&gt;"", IF(_xlfn.XLOOKUP(E15,lookups90!$B$4:$B$999,lookups90!$P$4:$P$999,"",0)=0,"",_xlfn.XLOOKUP(E15,lookups90!$B$4:$B$999,lookups90!$P$4:$P$999,"",0)),"")</f>
        <v/>
      </c>
      <c r="AB15" s="20" t="str">
        <f>IF(AA15&lt;&gt;"", J15-_xlfn.XLOOKUP(E15,lookups90!$B$4:$B$999,lookups90!$D$4:$D$999, "",0),"")</f>
        <v/>
      </c>
      <c r="AC15" s="20" t="str">
        <f>IF(AA15&lt;&gt;"",D15*_xlfn.XLOOKUP(E15,lookups90!$B$4:$B$999,lookups90!$Q$4:$Q$999, "",0),"")</f>
        <v/>
      </c>
      <c r="AD15" s="20" t="str" cm="1">
        <f t="array" ref="AD15">IF(AA15&lt;&gt;"", _xlfn.IFS(OR(E15="Fix Slide Window", E15="Slide Slide Window", E15="Fix Slide Door", E15="Slide Slide Door", E15="Fix Slide Door - with Screen", E15="Slide Slide Door - with Screen"), (K15-_xlfn.XLOOKUP(E15,lookups90!$B$4:$B$999,lookups90!$F$4:$F$999, "",0)-_xlfn.XLOOKUP(E15,lookups90!$B$4:$B$999,lookups90!$G$4:$G$999, "",0)+_xlfn.XLOOKUP(E15,lookups90!$B$4:$B$999,lookups90!$H$4:$H$999, "",0))/2+_xlfn.XLOOKUP(E15,lookups90!$B$4:$B$999,lookups90!$I$4:$I$999, "",0), OR(E15="Fix Slide Slide Fix Window", E15="Fix Slide Slide Fix Door - with Screen", E15="Fix Slide Slide Fix Door"),  (K15-_xlfn.XLOOKUP(E15,lookups90!$B$4:$B$999,lookups90!$F$4:$F$999, "",0)-_xlfn.XLOOKUP(E15,lookups90!$B$4:$B$999,lookups90!$G$4:$G$999, "",0)+_xlfn.XLOOKUP(E15,lookups90!$B$4:$B$999,lookups90!$H$4:$H$999, "",0)+_xlfn.XLOOKUP(E15,lookups90!$B$4:$B$999,lookups90!$H$4:$H$999, "",0))/4+_xlfn.XLOOKUP(E15,lookups90!$B$4:$B$999,lookups90!$I$4:$I$999, "",0), E15="Fix Slide Slide Door", (K15-_xlfn.XLOOKUP(E15,lookups90!$B$4:$B$999,lookups90!$F$4:$F$999, "",0)-_xlfn.XLOOKUP(E15,lookups90!$B$4:$B$999,lookups90!$G$4:$G$999, "",0)+_xlfn.XLOOKUP(E15,lookups90!$B$4:$B$999,lookups90!$H$4:$H$999, "",0)+_xlfn.XLOOKUP(E15,lookups90!$B$4:$B$999,lookups90!$H$4:$H$999, "",0))/3+_xlfn.XLOOKUP(E15,lookups90!$B$4:$B$999,lookups90!$I$4:$I$999, "",0) ),"")</f>
        <v/>
      </c>
      <c r="AE15" s="20" t="str">
        <f>IF(AA15&lt;&gt;"",D15*_xlfn.XLOOKUP(E15,lookups90!$B$4:$B$999,lookups90!$R$4:$R$999, "",0),"")</f>
        <v/>
      </c>
      <c r="AG15" s="20" t="e">
        <f>IF(AH15&lt;&gt;"", J15-_xlfn.XLOOKUP(E15,lookups90!$B$4:$B$999,lookups90!$D$4:$D$999, "",0),"")</f>
        <v>#VALUE!</v>
      </c>
      <c r="AH15" s="20" t="e">
        <f>IF(_xlfn.XLOOKUP(E15,lookups90!$B$4:$B$999,lookups90!$V$4:$V$999,"",0)=0,"",D15*_xlfn.XLOOKUP(E15,lookups90!$B$4:$B$999,lookups90!$V$4:$V$999,"",0))</f>
        <v>#VALUE!</v>
      </c>
      <c r="AI15" s="20" t="e" cm="1">
        <f t="array" ref="AI15">IF(AH15&lt;&gt;"", _xlfn.IFS(OR(E15="Fix Slide Window", E15="Slide Slide Window"), (K15-_xlfn.XLOOKUP(E15,lookups90!$B$4:$B$999,lookups90!$F$4:$F$999, "",0)-_xlfn.XLOOKUP(E15,lookups90!$B$4:$B$999,lookups90!$G$4:$G$999, "",0)+_xlfn.XLOOKUP(E15,lookups90!$B$4:$B$999,lookups90!$H$4:$H$999, "",0))/2+_xlfn.XLOOKUP(E15,lookups90!$B$4:$B$999,lookups90!$I$4:$I$999, "",0), OR(E15="Fix Slide Slide Fix Window"),  (K15-_xlfn.XLOOKUP(E15,lookups90!$B$4:$B$999,lookups90!$F$4:$F$999, "",0)+_xlfn.XLOOKUP(E15,lookups90!$B$4:$B$999,lookups90!$H$4:$H$999, "",0)+_xlfn.XLOOKUP(E15,lookups90!$B$4:$B$999,lookups90!$H$4:$H$999, "",0))/4+_xlfn.XLOOKUP(E15,lookups90!$B$4:$B$999,lookups90!$I$4:$I$999, "",0)),"")</f>
        <v>#VALUE!</v>
      </c>
      <c r="AJ15" s="20" t="e">
        <f>IF(_xlfn.XLOOKUP(E15,lookups90!$B$4:$B$999,lookups90!$V$4:$V$999,"",0)=0,"",D15*_xlfn.XLOOKUP(E15,lookups90!$B$4:$B$999,lookups90!$W$4:$W$999,"",0))</f>
        <v>#VALUE!</v>
      </c>
      <c r="AL15" s="20" t="e" cm="1">
        <f t="array" ref="AL15">IF(AM15&lt;&gt;"", _xlfn.IFS(OR(E15="Fix Slide Door - with Screen", E15="Slide Slide Door - with Screen"), (K15-_xlfn.XLOOKUP(E15,lookups90!$B$4:$B$999,lookups90!$F$4:$F$999, "",0)-_xlfn.XLOOKUP(E15,lookups90!$B$4:$B$999,lookups90!$G$4:$G$999, "",0)+_xlfn.XLOOKUP(E15,lookups90!$B$4:$B$999,lookups90!$H$4:$H$999, "",0))/2+_xlfn.XLOOKUP(E15,lookups90!$B$4:$B$999,lookups90!$I$4:$I$999, "",0), OR( E15="Fix Slide Slide Fix Door - with Screen",  E15="Fix Slide Slide Door"),  (K15-_xlfn.XLOOKUP(E15,lookups90!$B$4:$B$999,lookups90!$F$4:$F$999, "",0)-_xlfn.XLOOKUP(E15,lookups90!$B$4:$B$999,lookups90!$G$4:$G$999, "",0)+_xlfn.XLOOKUP(E15,lookups90!$B$4:$B$999,lookups90!$H$4:$H$999, "",0)+_xlfn.XLOOKUP(E15,lookups90!$B$4:$B$999,lookups90!$H$4:$H$999, "",0))/4+_xlfn.XLOOKUP(E15,lookups90!$B$4:$B$999,lookups90!$I$4:$I$999, "",0)),"")</f>
        <v>#VALUE!</v>
      </c>
      <c r="AM15" s="20" t="e">
        <f>IF(_xlfn.XLOOKUP(E15,lookups90!$B$4:$B$999,lookups90!$AA$4:$AA$999,"",0)=0,"",D15*_xlfn.XLOOKUP(E15,lookups90!$B$4:$B$999,lookups90!$AA$4:$AA$999,"",0))</f>
        <v>#VALUE!</v>
      </c>
      <c r="AO15" s="20" t="str">
        <f>IFERROR(IF(C15&lt;&gt;"", T15-_xlfn.XLOOKUP(E15,lookups90!$B$4:$B$999,lookups90!$AE$4:$AE$999, "",0),""),"")</f>
        <v/>
      </c>
      <c r="AP15" s="20" t="e">
        <f>IF(_xlfn.XLOOKUP(E15,lookups90!$B$4:$B$999,lookups90!$AG$4:$AG$999,"",0)=0,"",D15*_xlfn.XLOOKUP(E15,lookups90!$B$4:$B$999,lookups90!$AG$4:$AG$999,"",0))</f>
        <v>#VALUE!</v>
      </c>
      <c r="AQ15" s="20" t="str">
        <f>IF(V15&lt;&gt;"", T15-_xlfn.XLOOKUP(E15,lookups90!$B$4:$B$999,lookups90!$AE$4:$AE$999, "",0)+_xlfn.XLOOKUP(E15,lookups90!$B$4:$B$999,lookups90!$AF$4:$AF$999, "",0),"")</f>
        <v/>
      </c>
      <c r="AR15" s="20" t="str">
        <f>IFERROR(IF(_xlfn.XLOOKUP(E15,lookups90!$B$4:$B$999,lookups90!$AH$4:$AH$999,"",0)=0,"",D15*_xlfn.XLOOKUP(E15,lookups90!$B$4:$B$999,lookups90!$AH$4:$AH$999,"",0)),"")</f>
        <v/>
      </c>
      <c r="AT15" s="20" t="str">
        <f>IF(OR(E15="Fix Slide Slide Fix Window", E15="Fix Slide Slide Fix Door", E15="Fix Slide Slide Fix Door - with Screen", E15="Fix Slide Slide Door",  E15="Fix Slide Slide Slide Slide Fix Dr",  E15="Fix Slide Slide Slide Slide Slide Slide Fix Dr"), T15-_xlfn.XLOOKUP(E15,lookups90!$B$4:$B$999,lookups90!$AE$4:$AE$999,"",0),"")</f>
        <v/>
      </c>
      <c r="AU15" s="20" t="str">
        <f>IFERROR(IF(_xlfn.XLOOKUP(E15,lookups90!$B$4:$B$999,lookups90!$AL$4:$AL$999,"",0)=0,"",D15*_xlfn.XLOOKUP(E15,lookups90!$B$4:$B$999,lookups90!$AL$4:$AL$999,"",0)),"")</f>
        <v/>
      </c>
      <c r="AW15" s="20" t="str">
        <f>IF(C15&lt;&gt;"", T15-_xlfn.XLOOKUP(E15,lookups90!$B$4:$B$999,lookups90!$AP$4:$AP$999,"",0),"")</f>
        <v/>
      </c>
      <c r="AX15" s="20" t="str">
        <f>IFERROR(IF(_xlfn.XLOOKUP(E15,lookups90!$B$4:$B$999,lookups90!$AR$4:$AR$999,"",0)=0,"",D15*_xlfn.XLOOKUP(E15,lookups90!$B$4:$B$999,lookups90!$AR$4:$AR$999,"",0)),"")</f>
        <v/>
      </c>
      <c r="AY15" s="24" t="str">
        <f>IF(V15&lt;&gt;"", V15-_xlfn.XLOOKUP(E15,lookups90!$B$4:$B$999,lookups90!$AP$4:$AP$999,"",0),"")</f>
        <v/>
      </c>
      <c r="AZ15" s="20" t="str">
        <f>IFERROR(IF(_xlfn.XLOOKUP(E15,lookups90!$B$4:$B$999,lookups90!$AS$4:$AS$999,"",0)=0,"",D15*_xlfn.XLOOKUP(E15,lookups90!$B$4:$B$999,lookups90!$AS$4:$AS$999,"",0)),"")</f>
        <v/>
      </c>
      <c r="BA15" s="20" t="str">
        <f>IF(X15&lt;&gt;"", X15-_xlfn.XLOOKUP(E15,lookups90!$B$4:$B$999,lookups90!$AQ$4:$AQ$999,"",0),"")</f>
        <v/>
      </c>
      <c r="BB15" s="20" t="str">
        <f>IFERROR(IF(_xlfn.XLOOKUP(E15,lookups90!$B$4:$B$999,lookups90!$AT$4:$AT$999,"",0)=0,"",D15*_xlfn.XLOOKUP(E15,lookups90!$B$4:$B$999,lookups90!$AT$4:$AT$999,"",0)),"")</f>
        <v/>
      </c>
      <c r="BD15" s="20" t="str">
        <f>IF(C15&lt;&gt;"", N15-_xlfn.XLOOKUP(E15,lookups90!$B$4:$B$999,lookups90!$AX$4:$AX$999,"",0)+M15,"")</f>
        <v/>
      </c>
      <c r="BE15" s="20" t="str">
        <f>IFERROR(IF(_xlfn.XLOOKUP(E15,lookups90!$B$4:$B$999,lookups90!$AY$4:$AY$999,"",0)=0,"",D15*_xlfn.XLOOKUP(E15,lookups90!$B$4:$B$999,lookups90!$AY$4:$AY$999,"",0)),"")</f>
        <v/>
      </c>
      <c r="BF15" s="20" t="str">
        <f>IF(C15&lt;&gt;"", P15-_xlfn.XLOOKUP(E15,lookups90!$B$4:$B$999,lookups90!$AX$4:$AX$999,"",0)+M15,"")</f>
        <v/>
      </c>
      <c r="BG15" s="20" t="str">
        <f>IFERROR(IF(_xlfn.XLOOKUP(E15,lookups90!$B$4:$B$999,lookups90!$AZ$4:$AZ$999,"",0)=0,"",D15*_xlfn.XLOOKUP(E15,lookups90!$B$4:$B$999,lookups90!$AZ$4:$AZ$999,"",0)),"")</f>
        <v/>
      </c>
      <c r="BI15" s="20" t="str">
        <f>IF(C15&lt;&gt;"", T15-_xlfn.XLOOKUP(E15,lookups90!$B$4:$B$999,lookups90!$BA$4:$BA$999,"",0),"")</f>
        <v/>
      </c>
      <c r="BJ15" s="20" t="str">
        <f>IFERROR(IF(_xlfn.XLOOKUP(E15,lookups90!$B$4:$B$999,lookups90!$BB$4:$BB$999,"",0)=0,"",D15*_xlfn.XLOOKUP(E15,lookups90!$B$4:$B$999,lookups90!$BB$4:$BB$999,"",0)),"")</f>
        <v/>
      </c>
      <c r="BK15" s="20" t="str">
        <f>IF(V15&lt;&gt;"", V15-_xlfn.XLOOKUP(E15,lookups90!$B$4:$B$999,lookups90!$BA$4:$BA$999,"",0),"")</f>
        <v/>
      </c>
      <c r="BL15" s="20" t="str">
        <f>IFERROR(IF(_xlfn.XLOOKUP(E15,lookups90!$B$4:$B$999,lookups90!$BC$4:$BC$999,"",0)=0,"",D15*_xlfn.XLOOKUP(E15,lookups90!$B$4:$B$999,lookups90!$BC$4:$BC$999,"",0)),"")</f>
        <v/>
      </c>
      <c r="BM15" s="20" t="str">
        <f>IF(C15&lt;&gt;"", X15-_xlfn.XLOOKUP(E15,lookups90!$B$4:$B$999,lookups90!$BA$4:$BA$999,"",0),"")</f>
        <v/>
      </c>
      <c r="BN15" s="20" t="str">
        <f>IFERROR(IF(_xlfn.XLOOKUP(E15,lookups90!$B$4:$B$999,lookups90!$BD$4:$BD$999,"",0)=0,"",D15*_xlfn.XLOOKUP(E15,lookups90!$B$4:$B$999,lookups90!$BD$4:$BD$999,"",0)),"")</f>
        <v/>
      </c>
      <c r="BP15" s="20" t="str">
        <f>IF(AB15&lt;&gt;"", AB15-_xlfn.XLOOKUP(E15,lookups90!$B$4:$B$999,lookups90!$BE$4:$BE$999,"",0),"")</f>
        <v/>
      </c>
      <c r="BQ15" s="20" t="str">
        <f>IFERROR(IF(_xlfn.XLOOKUP(E15,lookups90!$B$4:$B$999,lookups90!$BF$4:$BF$999,"",0)=0,"",D15*_xlfn.XLOOKUP(E15,lookups90!$B$4:$B$999,lookups90!$BF$4:$BF$999,"",0)),"")</f>
        <v/>
      </c>
      <c r="BR15" s="20" t="str" cm="1">
        <f t="array" ref="BR15">_xlfn.IFS(BP15="","",OR(E15="Fix Slide Door - with Screen",E15="Slide Slide Door - with Screen"),(K15-_xlfn.XLOOKUP(E15,lookups90!$B$4:$B$999,lookups90!$F$4:$F$999,"",0)-_xlfn.XLOOKUP(E15,lookups90!$B$4:$B$999,lookups90!$G$4:$G$999,"",0)+_xlfn.XLOOKUP(E15,lookups90!$B$4:$B$999,lookups90!$H$4:$H$999,"",0))/2+_xlfn.XLOOKUP(E15,lookups90!$B$4:$B$999,lookups90!$I$4:$I$999,"",0)-_xlfn.XLOOKUP(E15,lookups90!$B$4:$B$999,lookups90!$BE$4:$BE$999,"",0), E15="Fix Slide Slide Fix Door - with Screen",(K15-_xlfn.XLOOKUP(E15,lookups90!$B$4:$B$999,lookups90!$F$4:$F$999,"",0)-_xlfn.XLOOKUP(E15,lookups90!$B$4:$B$999,lookups90!$G$4:$G$999,"",0)+_xlfn.XLOOKUP(E15,lookups90!$B$4:$B$999,lookups90!$H$4:$H$999,"",0)+_xlfn.XLOOKUP(E15,lookups90!$B$4:$B$999,lookups90!$H$4:$H$999,"",0))/4+_xlfn.XLOOKUP(E15,lookups90!$B$4:$B$999,lookups90!$I$4:$I$999,"",0)-_xlfn.XLOOKUP(E15,lookups90!$B$4:$B$999,lookups90!$BE$4:$BE$999,"",0))</f>
        <v/>
      </c>
      <c r="BS15" s="20" t="str">
        <f>IFERROR(IF(_xlfn.XLOOKUP(E15,lookups90!$B$4:$B$999,lookups90!$BG$4:$BG$999,"",0)=0,"",D15*_xlfn.XLOOKUP(E15,lookups90!$B$4:$B$999,lookups90!$BG$4:$BG$999,"",0)),"")</f>
        <v/>
      </c>
      <c r="BU15" s="20" t="e">
        <f>IF(AG15&lt;&gt;"",AG15-_xlfn.XLOOKUP(E15,lookups90!$B$4:$B$999,lookups90!$BA$4:$BA$999,"",0),"")</f>
        <v>#VALUE!</v>
      </c>
      <c r="BV15" s="20" t="str">
        <f>IFERROR(IF(_xlfn.XLOOKUP(E15,lookups90!$B$4:$B$999,lookups90!$BH$4:$BH$999,"",0)=0,"",D15*_xlfn.XLOOKUP(E15,lookups90!$B$4:$B$999,lookups90!$BH$4:$BH$999,"",0)),"")</f>
        <v/>
      </c>
      <c r="BW15" s="20" t="e" cm="1">
        <f t="array" ref="BW15">_xlfn.IFS(BU15="","",OR(E15="Fix Slide Window",E15="Slide Slide Window"),(K15-_xlfn.XLOOKUP(E15,lookups90!$B$4:$B$999,lookups90!$F$4:$F$999,"",0)-_xlfn.XLOOKUP(E15,lookups90!$B$4:$B$999,lookups90!$G$4:$G$999,"",0)+_xlfn.XLOOKUP(E15,lookups90!$B$4:$B$999,lookups90!$H$4:$H$999,"",0))/2+_xlfn.XLOOKUP(E15,lookups90!$B$4:$B$999,lookups90!$I$4:$I$999,"",0)-_xlfn.XLOOKUP(E15,lookups90!$B$4:$B$999,lookups90!$BA$4:$BA$999,"",0), E15="Fix Slide Slide Fix Window",(K15-_xlfn.XLOOKUP(E15,lookups90!$B$4:$B$999,lookups90!$F$4:$F$999,"",0)-_xlfn.XLOOKUP(E15,lookups90!$B$4:$B$999,lookups90!$G$4:$G$999,"",0)+_xlfn.XLOOKUP(E15,lookups90!$B$4:$B$999,lookups90!$H$4:$H$999,"",0)+_xlfn.XLOOKUP(E15,lookups90!$B$4:$B$999,lookups90!$H$4:$H$999,"",0))/4+_xlfn.XLOOKUP(E15,lookups90!$B$4:$B$999,lookups90!$I$4:$I$999,"",0)-_xlfn.XLOOKUP(E15,lookups90!$B$4:$B$999,lookups90!$BA$4:$BA$999,"",0))</f>
        <v>#VALUE!</v>
      </c>
      <c r="BX15" s="20" t="str">
        <f>IFERROR(IF(_xlfn.XLOOKUP(E15,lookups90!$B$4:$B$999,lookups90!$BI$4:$BI$999,"",0)=0,"",D15*_xlfn.XLOOKUP(E15,lookups90!$B$4:$B$999,lookups90!$BI$4:$BI$999,"",0)),"")</f>
        <v/>
      </c>
      <c r="BZ15" s="20" t="e">
        <f>IF(AL15&lt;&gt;"", AL15-_xlfn.XLOOKUP(E15,lookups90!$B$4:$B$999,lookups90!$BJ$4:$BJ$999,"",0),"")</f>
        <v>#VALUE!</v>
      </c>
      <c r="CA15" s="20" t="str">
        <f>IFERROR(IF(_xlfn.XLOOKUP(E15,lookups90!$B$4:$B$999,lookups90!$BK$4:$BK$999,"",0)=0,"",D15*_xlfn.XLOOKUP(E15,lookups90!$B$4:$B$999,lookups90!$BK$4:$BK$999,"",0)),"")</f>
        <v/>
      </c>
      <c r="CC15" s="20" t="str">
        <f>IF(C15&lt;&gt;"", T15-_xlfn.XLOOKUP(E15,lookups90!$B$4:$B$999,lookups90!$BO$4:$BO$999,"",0)-_xlfn.XLOOKUP(E15,lookups90!$B$4:$B$999,lookups90!$BP$4:$BP$999,"",0),"")</f>
        <v/>
      </c>
      <c r="CD15" s="20" t="str">
        <f>IF(C15&lt;&gt;"", X15-_xlfn.XLOOKUP(E15,lookups90!$B$4:$B$999,lookups90!$BQ$4:$BQ$999,"",0)-_xlfn.XLOOKUP(E15,lookups90!$B$4:$B$999,lookups90!$BR$4:$BR$999,"",0),"")</f>
        <v/>
      </c>
      <c r="CE15" s="20" t="str">
        <f>IFERROR(IF(_xlfn.XLOOKUP(E15,lookups90!$B$4:$B$999,lookups90!$BS$4:$BS$999,"",0)=0,"",D15*_xlfn.XLOOKUP(E15,lookups90!$B$4:$B$999,lookups90!$BS$4:$BS$999,"",0)),"")</f>
        <v/>
      </c>
      <c r="CF15" s="20" t="str">
        <f>IF(V15&lt;&gt;"", V15-_xlfn.XLOOKUP(E15,lookups90!$B$4:$B$999,lookups90!$BO$4:$BO$999,"",0)-_xlfn.XLOOKUP(E15,lookups90!$B$4:$B$999,lookups90!$BP$4:$BP$999,"",0),"")</f>
        <v/>
      </c>
      <c r="CG15" s="20" t="str">
        <f>IF(CF15&lt;&gt;"", X15-_xlfn.XLOOKUP(E15,lookups90!$B$4:$B$999,lookups90!$BQ$4:$BQ$999,"",0)-_xlfn.XLOOKUP(E15,lookups90!$B$4:$B$999,lookups90!$BR$4:$BR$999,"",0),"")</f>
        <v/>
      </c>
      <c r="CH15" s="20" t="str">
        <f>IFERROR(IF(_xlfn.XLOOKUP(E15,lookups90!$B$4:$B$999,lookups90!$BT$4:$BT$999,"",0)=0,"",D15*_xlfn.XLOOKUP(E15,lookups90!$B$4:$B$999,lookups90!$BT$4:$BT$999,"",0)),"")</f>
        <v/>
      </c>
      <c r="CJ15" s="22" t="str">
        <f>IF(D15&lt;&gt;"",K15*D15/1000,"")</f>
        <v/>
      </c>
      <c r="CL15" s="22" t="str" cm="1">
        <f t="array" ref="CL15">IF(D15&lt;&gt;"",((((J15+K15)*2)/500)+(2*_xlfn.IFS(OR(E15="Fix Slide Window", E15="Slide Slide Window", E15="Fix Slide Slide Fix Window"), 2, E15="Slide Slide Door - with Screen", 8, E15&lt;&gt;"",4)))*D15,"")</f>
        <v/>
      </c>
      <c r="CM15" s="22" t="str">
        <f>IF(D15&lt;&gt;"",(((((J15+K15)*2)/500)*2)/100)*D15,"")</f>
        <v/>
      </c>
      <c r="CN15" s="22" t="str">
        <f>IF(D15&lt;&gt;"",(((J15+K15)*2)/500)*D15,"")</f>
        <v/>
      </c>
      <c r="CO15" s="22" t="str">
        <f>IF(D15&lt;&gt;"",2+(K15/1800)*D15,"")</f>
        <v/>
      </c>
      <c r="CP15" s="22" t="str">
        <f t="shared" ref="CP15:CP46" si="0">IF(D15&lt;&gt;"",(J15+K15)*2/1500,"")</f>
        <v/>
      </c>
    </row>
    <row r="16" spans="2:94" x14ac:dyDescent="0.25">
      <c r="C16" s="16"/>
      <c r="D16" s="16"/>
      <c r="E16" s="16"/>
      <c r="F16" s="16"/>
      <c r="G16" s="16"/>
      <c r="H16" s="16"/>
      <c r="I16" s="16"/>
      <c r="J16" s="16"/>
      <c r="K16" s="16"/>
      <c r="M16" s="20" t="str">
        <f t="shared" ref="M16:M65" si="1">IF(C16&lt;&gt;"", IF(OR(G16="Classic White", G16="Conch Brown"), 6, 5),"")</f>
        <v/>
      </c>
      <c r="N16" s="20" t="str" cm="1">
        <f t="array" ref="N16">IFERROR(_xlfn.IFS(OR(E16="Fix Awning (Vertical)", E16="Fix Awning (Horizontal)"), J16/2+20,C16&lt;&gt;"", J16+M16),"")</f>
        <v/>
      </c>
      <c r="O16" s="20" t="str">
        <f t="shared" ref="O16:O65" si="2">IF(D16&lt;&gt;"",D16*2,"")</f>
        <v/>
      </c>
      <c r="P16" s="20" t="str">
        <f t="shared" ref="P16:P65" si="3">IFERROR(K16+M16,"")</f>
        <v/>
      </c>
      <c r="Q16" s="20" t="str">
        <f t="shared" ref="Q16:Q65" si="4">IF(D16&lt;&gt;"",D16*2,"")</f>
        <v/>
      </c>
      <c r="S16" s="20" t="str">
        <f>IF(C16&lt;&gt;"", _xlfn.XLOOKUP(E16,lookups90!$B$4:$B$999,lookups90!$C$4:$C$999,"",0),"")</f>
        <v/>
      </c>
      <c r="T16" s="20" t="str">
        <f>IF(C16&lt;&gt;"", J16-_xlfn.XLOOKUP(E16,lookups90!$B$4:$B$999,lookups90!$D$4:$D$999, "",0),"")</f>
        <v/>
      </c>
      <c r="U16" s="20" t="str">
        <f>IF(T16&lt;&gt;"",D16*_xlfn.XLOOKUP(E16,lookups90!$B$4:$B$999,lookups90!$J$4:$J$999, "",0),"")</f>
        <v/>
      </c>
      <c r="V16" s="20" t="str">
        <f>IF(AND(C16&lt;&gt;"", E16&lt;&gt;"Slide Slide Window", E16&lt;&gt;"Slide Slide Door", E16&lt;&gt;"Slide Slide Door - with Screen"), J16-_xlfn.XLOOKUP(E16,lookups90!$B$4:$B$999,lookups90!$E$4:$E$999, "",0),"")</f>
        <v/>
      </c>
      <c r="W16" s="20" t="str">
        <f>IF(V16&lt;&gt;"",D16*_xlfn.XLOOKUP(E16,lookups90!$B$4:$B$999,lookups90!$K$4:$K$999, "",0),"")</f>
        <v/>
      </c>
      <c r="X16" s="20" t="str" cm="1">
        <f t="array" ref="X16">IFERROR(_xlfn.IFS(OR(E16="Fix Slide Window", E16="Slide Slide Window", E16="Fix Slide Door", E16="Slide Slide Door", E16="Fix Slide Door - with Screen", E16="Slide Slide Door - with Screen"), (K16-_xlfn.XLOOKUP(E16,lookups90!$B$4:$B$999,lookups90!$F$4:$F$999, "",0)-_xlfn.XLOOKUP(E16,lookups90!$B$4:$B$999,lookups90!$G$4:$G$999, "",0)+_xlfn.XLOOKUP(E16,lookups90!$B$4:$B$999,lookups90!$H$4:$H$999, "",0))/2+_xlfn.XLOOKUP(E16,lookups90!$B$4:$B$999,lookups90!$I$4:$I$999, "",0), OR(E16="Fix Slide Slide Fix Window", E16="Fix Slide Slide Fix Door - with Screen", E16="Fix Slide Slide Fix Door"),  (K16-_xlfn.XLOOKUP(E16,lookups90!$B$4:$B$999,lookups90!$F$4:$F$999, "",0)-_xlfn.XLOOKUP(E16,lookups90!$B$4:$B$999,lookups90!$G$4:$G$999, "",0)+_xlfn.XLOOKUP(E16,lookups90!$B$4:$B$999,lookups90!$H$4:$H$999, "",0)+_xlfn.XLOOKUP(E16,lookups90!$B$4:$B$999,lookups90!$H$4:$H$999, "",0))/4+_xlfn.XLOOKUP(E16,lookups90!$B$4:$B$999,lookups90!$I$4:$I$999, "",0), E16="Fix Slide Slide Door", (K16-_xlfn.XLOOKUP(E16,lookups90!$B$4:$B$999,lookups90!$F$4:$F$999, "",0)-_xlfn.XLOOKUP(E16,lookups90!$B$4:$B$999,lookups90!$G$4:$G$999, "",0)+_xlfn.XLOOKUP(E16,lookups90!$B$4:$B$999,lookups90!$H$4:$H$999, "",0)+_xlfn.XLOOKUP(E16,lookups90!$B$4:$B$999,lookups90!$H$4:$H$999, "",0))/3+_xlfn.XLOOKUP(E16,lookups90!$B$4:$B$999,lookups90!$I$4:$I$999, "",0),E16="Fix Slide Slide Slide Slide Fix Dr",  (K16-_xlfn.XLOOKUP(E16,lookups90!$B$4:$B$999,lookups90!$F$4:$F$999, "",0)-_xlfn.XLOOKUP(E16,lookups90!$B$4:$B$999,lookups90!$G$4:$G$999, "",0)+_xlfn.XLOOKUP(E16,lookups90!$B$4:$B$999,lookups90!$H$4:$H$999, "",0)+_xlfn.XLOOKUP(E16,lookups90!$B$4:$B$999,lookups90!$H$4:$H$999, "",0)+_xlfn.XLOOKUP(E16,lookups90!$B$4:$B$999,lookups90!$H$4:$H$999, "",0)+_xlfn.XLOOKUP(E16,lookups90!$B$4:$B$999,lookups90!$H$4:$H$999, "",0))/6+_xlfn.XLOOKUP(E16,lookups90!$B$4:$B$999,lookups90!$I$4:$I$999, "",0), E16="Fix Slide Slide Slide Slide Slide Slide Fix Dr",  (K16-_xlfn.XLOOKUP(E16,lookups90!$B$4:$B$999,lookups90!$F$4:$F$999, "",0)-_xlfn.XLOOKUP(E16,lookups90!$B$4:$B$999,lookups90!$G$4:$G$999, "",0)+_xlfn.XLOOKUP(E16,lookups90!$B$4:$B$999,lookups90!$H$4:$H$999, "",0)+_xlfn.XLOOKUP(E16,lookups90!$B$4:$B$999,lookups90!$H$4:$H$999, "",0)+_xlfn.XLOOKUP(E16,lookups90!$B$4:$B$999,lookups90!$H$4:$H$999, "",0)+_xlfn.XLOOKUP(E16,lookups90!$B$4:$B$999,lookups90!$H$4:$H$999, "",0)+_xlfn.XLOOKUP(E16,lookups90!$B$4:$B$999,lookups90!$H$4:$H$999, "",0)+_xlfn.XLOOKUP(E16,lookups90!$B$4:$B$999,lookups90!$H$4:$H$999, "",0))/8+_xlfn.XLOOKUP(E16,lookups90!$B$4:$B$999,lookups90!$I$4:$I$999, "",0)),"")</f>
        <v/>
      </c>
      <c r="Y16" s="20" t="str">
        <f>IF(X16&lt;&gt;"",D16*_xlfn.XLOOKUP(E16,lookups90!$B$4:$B$999,lookups90!$L$4:$L$999, "",0),"")</f>
        <v/>
      </c>
      <c r="AA16" s="20" t="str">
        <f>IF(C16&lt;&gt;"", IF(_xlfn.XLOOKUP(E16,lookups90!$B$4:$B$999,lookups90!$P$4:$P$999,"",0)=0,"",_xlfn.XLOOKUP(E16,lookups90!$B$4:$B$999,lookups90!$P$4:$P$999,"",0)),"")</f>
        <v/>
      </c>
      <c r="AB16" s="20" t="str">
        <f>IF(AA16&lt;&gt;"", J16-_xlfn.XLOOKUP(E16,lookups90!$B$4:$B$999,lookups90!$D$4:$D$999, "",0),"")</f>
        <v/>
      </c>
      <c r="AC16" s="20" t="str">
        <f>IF(AA16&lt;&gt;"",D16*_xlfn.XLOOKUP(E16,lookups90!$B$4:$B$999,lookups90!$Q$4:$Q$999, "",0),"")</f>
        <v/>
      </c>
      <c r="AD16" s="20" t="str" cm="1">
        <f t="array" ref="AD16">IF(AA16&lt;&gt;"", _xlfn.IFS(OR(E16="Fix Slide Window", E16="Slide Slide Window", E16="Fix Slide Door", E16="Slide Slide Door", E16="Fix Slide Door - with Screen", E16="Slide Slide Door - with Screen"), (K16-_xlfn.XLOOKUP(E16,lookups90!$B$4:$B$999,lookups90!$F$4:$F$999, "",0)-_xlfn.XLOOKUP(E16,lookups90!$B$4:$B$999,lookups90!$G$4:$G$999, "",0)+_xlfn.XLOOKUP(E16,lookups90!$B$4:$B$999,lookups90!$H$4:$H$999, "",0))/2+_xlfn.XLOOKUP(E16,lookups90!$B$4:$B$999,lookups90!$I$4:$I$999, "",0), OR(E16="Fix Slide Slide Fix Window", E16="Fix Slide Slide Fix Door - with Screen", E16="Fix Slide Slide Fix Door"),  (K16-_xlfn.XLOOKUP(E16,lookups90!$B$4:$B$999,lookups90!$F$4:$F$999, "",0)-_xlfn.XLOOKUP(E16,lookups90!$B$4:$B$999,lookups90!$G$4:$G$999, "",0)+_xlfn.XLOOKUP(E16,lookups90!$B$4:$B$999,lookups90!$H$4:$H$999, "",0)+_xlfn.XLOOKUP(E16,lookups90!$B$4:$B$999,lookups90!$H$4:$H$999, "",0))/4+_xlfn.XLOOKUP(E16,lookups90!$B$4:$B$999,lookups90!$I$4:$I$999, "",0), E16="Fix Slide Slide Door", (K16-_xlfn.XLOOKUP(E16,lookups90!$B$4:$B$999,lookups90!$F$4:$F$999, "",0)-_xlfn.XLOOKUP(E16,lookups90!$B$4:$B$999,lookups90!$G$4:$G$999, "",0)+_xlfn.XLOOKUP(E16,lookups90!$B$4:$B$999,lookups90!$H$4:$H$999, "",0)+_xlfn.XLOOKUP(E16,lookups90!$B$4:$B$999,lookups90!$H$4:$H$999, "",0))/3+_xlfn.XLOOKUP(E16,lookups90!$B$4:$B$999,lookups90!$I$4:$I$999, "",0) ),"")</f>
        <v/>
      </c>
      <c r="AE16" s="20" t="str">
        <f>IF(AA16&lt;&gt;"",D16*_xlfn.XLOOKUP(E16,lookups90!$B$4:$B$999,lookups90!$R$4:$R$999, "",0),"")</f>
        <v/>
      </c>
      <c r="AG16" s="20" t="str">
        <f>IF(AH16&lt;&gt;"", J16-_xlfn.XLOOKUP(E16,lookups90!$B$4:$B$999,lookups90!$D$4:$D$999, "",0),"")</f>
        <v/>
      </c>
      <c r="AH16" s="20" t="str">
        <f>IF(_xlfn.XLOOKUP(E16,lookups90!$B$4:$B$999,lookups90!$V$4:$V$999,"",0)=0,"",D16*_xlfn.XLOOKUP(E16,lookups90!$B$4:$B$999,lookups90!$V$4:$V$999,"",0))</f>
        <v/>
      </c>
      <c r="AI16" s="20" t="str" cm="1">
        <f t="array" ref="AI16">IF(AH16&lt;&gt;"", _xlfn.IFS(OR(E16="Fix Slide Window", E16="Slide Slide Window"), (K16-_xlfn.XLOOKUP(E16,lookups90!$B$4:$B$999,lookups90!$F$4:$F$999, "",0)-_xlfn.XLOOKUP(E16,lookups90!$B$4:$B$999,lookups90!$G$4:$G$999, "",0)+_xlfn.XLOOKUP(E16,lookups90!$B$4:$B$999,lookups90!$H$4:$H$999, "",0))/2+_xlfn.XLOOKUP(E16,lookups90!$B$4:$B$999,lookups90!$I$4:$I$999, "",0), OR(E16="Fix Slide Slide Fix Window"),  (K16-_xlfn.XLOOKUP(E16,lookups90!$B$4:$B$999,lookups90!$F$4:$F$999, "",0)+_xlfn.XLOOKUP(E16,lookups90!$B$4:$B$999,lookups90!$H$4:$H$999, "",0)+_xlfn.XLOOKUP(E16,lookups90!$B$4:$B$999,lookups90!$H$4:$H$999, "",0))/4+_xlfn.XLOOKUP(E16,lookups90!$B$4:$B$999,lookups90!$I$4:$I$999, "",0)),"")</f>
        <v/>
      </c>
      <c r="AJ16" s="20" t="str">
        <f>IF(_xlfn.XLOOKUP(E16,lookups90!$B$4:$B$999,lookups90!$V$4:$V$999,"",0)=0,"",D16*_xlfn.XLOOKUP(E16,lookups90!$B$4:$B$999,lookups90!$W$4:$W$999,"",0))</f>
        <v/>
      </c>
      <c r="AL16" s="20" t="str" cm="1">
        <f t="array" ref="AL16">IF(AM16&lt;&gt;"", _xlfn.IFS(OR(E16="Fix Slide Door - with Screen", E16="Slide Slide Door - with Screen"), (K16-_xlfn.XLOOKUP(E16,lookups90!$B$4:$B$999,lookups90!$F$4:$F$999, "",0)-_xlfn.XLOOKUP(E16,lookups90!$B$4:$B$999,lookups90!$G$4:$G$999, "",0)+_xlfn.XLOOKUP(E16,lookups90!$B$4:$B$999,lookups90!$H$4:$H$999, "",0))/2+_xlfn.XLOOKUP(E16,lookups90!$B$4:$B$999,lookups90!$I$4:$I$999, "",0), OR( E16="Fix Slide Slide Fix Door - with Screen",  E16="Fix Slide Slide Door"),  (K16-_xlfn.XLOOKUP(E16,lookups90!$B$4:$B$999,lookups90!$F$4:$F$999, "",0)-_xlfn.XLOOKUP(E16,lookups90!$B$4:$B$999,lookups90!$G$4:$G$999, "",0)+_xlfn.XLOOKUP(E16,lookups90!$B$4:$B$999,lookups90!$H$4:$H$999, "",0)+_xlfn.XLOOKUP(E16,lookups90!$B$4:$B$999,lookups90!$H$4:$H$999, "",0))/4+_xlfn.XLOOKUP(E16,lookups90!$B$4:$B$999,lookups90!$I$4:$I$999, "",0)),"")</f>
        <v/>
      </c>
      <c r="AM16" s="20" t="str">
        <f>IF(_xlfn.XLOOKUP(E16,lookups90!$B$4:$B$999,lookups90!$AA$4:$AA$999,"",0)=0,"",D16*_xlfn.XLOOKUP(E16,lookups90!$B$4:$B$999,lookups90!$AA$4:$AA$999,"",0))</f>
        <v/>
      </c>
      <c r="AO16" s="20" t="str">
        <f>IFERROR(IF(C16&lt;&gt;"", T16-_xlfn.XLOOKUP(E16,lookups90!$B$4:$B$999,lookups90!$AE$4:$AE$999, "",0),""),"")</f>
        <v/>
      </c>
      <c r="AP16" s="20" t="str">
        <f>IF(_xlfn.XLOOKUP(E16,lookups90!$B$4:$B$999,lookups90!$AG$4:$AG$999,"",0)=0,"",D16*_xlfn.XLOOKUP(E16,lookups90!$B$4:$B$999,lookups90!$AG$4:$AG$999,"",0))</f>
        <v/>
      </c>
      <c r="AQ16" s="20" t="str">
        <f>IF(V16&lt;&gt;"", T16-_xlfn.XLOOKUP(E16,lookups90!$B$4:$B$999,lookups90!$AE$4:$AE$999, "",0)+_xlfn.XLOOKUP(E16,lookups90!$B$4:$B$999,lookups90!$AF$4:$AF$999, "",0),"")</f>
        <v/>
      </c>
      <c r="AR16" s="20" t="str">
        <f>IFERROR(IF(_xlfn.XLOOKUP(E16,lookups90!$B$4:$B$999,lookups90!$AH$4:$AH$999,"",0)=0,"",D16*_xlfn.XLOOKUP(E16,lookups90!$B$4:$B$999,lookups90!$AH$4:$AH$999,"",0)),"")</f>
        <v/>
      </c>
      <c r="AT16" s="20" t="str">
        <f>IF(OR(E16="Fix Slide Slide Fix Window", E16="Fix Slide Slide Fix Door", E16="Fix Slide Slide Fix Door - with Screen", E16="Fix Slide Slide Door"), T16-_xlfn.XLOOKUP(E16,lookups90!$B$4:$B$999,lookups90!$AE$4:$AE$999,"",0),"")</f>
        <v/>
      </c>
      <c r="AU16" s="20" t="str">
        <f>IFERROR(IF(_xlfn.XLOOKUP(E16,lookups90!$B$4:$B$999,lookups90!$AL$4:$AL$999,"",0)=0,"",D16*_xlfn.XLOOKUP(E16,lookups90!$B$4:$B$999,lookups90!$AL$4:$AL$999,"",0)),"")</f>
        <v/>
      </c>
      <c r="AW16" s="20" t="str">
        <f>IF(C16&lt;&gt;"", T16-_xlfn.XLOOKUP(E16,lookups90!$B$4:$B$999,lookups90!$AP$4:$AP$999,"",0),"")</f>
        <v/>
      </c>
      <c r="AX16" s="20" t="str">
        <f>IFERROR(IF(_xlfn.XLOOKUP(E16,lookups90!$B$4:$B$999,lookups90!$AR$4:$AR$999,"",0)=0,"",D16*_xlfn.XLOOKUP(E16,lookups90!$B$4:$B$999,lookups90!$AR$4:$AR$999,"",0)),"")</f>
        <v/>
      </c>
      <c r="AY16" s="24" t="str">
        <f>IF(V16&lt;&gt;"", V16-_xlfn.XLOOKUP(E16,lookups90!$B$4:$B$999,lookups90!$AP$4:$AP$999,"",0),"")</f>
        <v/>
      </c>
      <c r="AZ16" s="20" t="str">
        <f>IFERROR(IF(_xlfn.XLOOKUP(E16,lookups90!$B$4:$B$999,lookups90!$AS$4:$AS$999,"",0)=0,"",D16*_xlfn.XLOOKUP(E16,lookups90!$B$4:$B$999,lookups90!$AS$4:$AS$999,"",0)),"")</f>
        <v/>
      </c>
      <c r="BA16" s="20" t="str">
        <f>IF(X16&lt;&gt;"", X16-_xlfn.XLOOKUP(E16,lookups90!$B$4:$B$999,lookups90!$AQ$4:$AQ$999,"",0),"")</f>
        <v/>
      </c>
      <c r="BB16" s="20" t="str">
        <f>IFERROR(IF(_xlfn.XLOOKUP(E16,lookups90!$B$4:$B$999,lookups90!$AT$4:$AT$999,"",0)=0,"",D16*_xlfn.XLOOKUP(E16,lookups90!$B$4:$B$999,lookups90!$AT$4:$AT$999,"",0)),"")</f>
        <v/>
      </c>
      <c r="BD16" s="20" t="str">
        <f>IF(C16&lt;&gt;"", N16-_xlfn.XLOOKUP(E16,lookups90!$B$4:$B$999,lookups90!$AX$4:$AX$999,"",0)+M16,"")</f>
        <v/>
      </c>
      <c r="BE16" s="20" t="str">
        <f>IFERROR(IF(_xlfn.XLOOKUP(E16,lookups90!$B$4:$B$999,lookups90!$AY$4:$AY$999,"",0)=0,"",D16*_xlfn.XLOOKUP(E16,lookups90!$B$4:$B$999,lookups90!$AY$4:$AY$999,"",0)),"")</f>
        <v/>
      </c>
      <c r="BF16" s="20" t="str">
        <f>IF(C16&lt;&gt;"", P16-_xlfn.XLOOKUP(E16,lookups90!$B$4:$B$999,lookups90!$AX$4:$AX$999,"",0)+M16,"")</f>
        <v/>
      </c>
      <c r="BG16" s="20" t="str">
        <f>IFERROR(IF(_xlfn.XLOOKUP(E16,lookups90!$B$4:$B$999,lookups90!$AZ$4:$AZ$999,"",0)=0,"",D16*_xlfn.XLOOKUP(E16,lookups90!$B$4:$B$999,lookups90!$AZ$4:$AZ$999,"",0)),"")</f>
        <v/>
      </c>
      <c r="BI16" s="20" t="str">
        <f>IF(C16&lt;&gt;"", T16-_xlfn.XLOOKUP(E16,lookups90!$B$4:$B$999,lookups90!$BA$4:$BA$999,"",0),"")</f>
        <v/>
      </c>
      <c r="BJ16" s="20" t="str">
        <f>IFERROR(IF(_xlfn.XLOOKUP(E16,lookups90!$B$4:$B$999,lookups90!$BB$4:$BB$999,"",0)=0,"",D16*_xlfn.XLOOKUP(E16,lookups90!$B$4:$B$999,lookups90!$BB$4:$BB$999,"",0)),"")</f>
        <v/>
      </c>
      <c r="BK16" s="20" t="str">
        <f>IF(V16&lt;&gt;"", V16-_xlfn.XLOOKUP(E16,lookups90!$B$4:$B$999,lookups90!$BA$4:$BA$999,"",0),"")</f>
        <v/>
      </c>
      <c r="BL16" s="20" t="str">
        <f>IFERROR(IF(_xlfn.XLOOKUP(E16,lookups90!$B$4:$B$999,lookups90!$BC$4:$BC$999,"",0)=0,"",D16*_xlfn.XLOOKUP(E16,lookups90!$B$4:$B$999,lookups90!$BC$4:$BC$999,"",0)),"")</f>
        <v/>
      </c>
      <c r="BM16" s="20" t="str">
        <f>IF(C16&lt;&gt;"", X16-_xlfn.XLOOKUP(E16,lookups90!$B$4:$B$999,lookups90!$BA$4:$BA$999,"",0),"")</f>
        <v/>
      </c>
      <c r="BN16" s="20" t="str">
        <f>IFERROR(IF(_xlfn.XLOOKUP(E16,lookups90!$B$4:$B$999,lookups90!$BD$4:$BD$999,"",0)=0,"",D16*_xlfn.XLOOKUP(E16,lookups90!$B$4:$B$999,lookups90!$BD$4:$BD$999,"",0)),"")</f>
        <v/>
      </c>
      <c r="BP16" s="20" t="str">
        <f>IF(AB16&lt;&gt;"", AB16-_xlfn.XLOOKUP(E16,lookups90!$B$4:$B$999,lookups90!$BE$4:$BE$999,"",0),"")</f>
        <v/>
      </c>
      <c r="BQ16" s="20" t="str">
        <f>IFERROR(IF(_xlfn.XLOOKUP(E16,lookups90!$B$4:$B$999,lookups90!$BF$4:$BF$999,"",0)=0,"",D16*_xlfn.XLOOKUP(E16,lookups90!$B$4:$B$999,lookups90!$BF$4:$BF$999,"",0)),"")</f>
        <v/>
      </c>
      <c r="BR16" s="20" t="str" cm="1">
        <f t="array" ref="BR16">_xlfn.IFS(BP16="","",OR(E16="Fix Slide Door - with Screen",E16="Slide Slide Door - with Screen"),(K16-_xlfn.XLOOKUP(E16,lookups90!$B$4:$B$999,lookups90!$F$4:$F$999,"",0)-_xlfn.XLOOKUP(E16,lookups90!$B$4:$B$999,lookups90!$G$4:$G$999,"",0)+_xlfn.XLOOKUP(E16,lookups90!$B$4:$B$999,lookups90!$H$4:$H$999,"",0))/2+_xlfn.XLOOKUP(E16,lookups90!$B$4:$B$999,lookups90!$I$4:$I$999,"",0)-_xlfn.XLOOKUP(E16,lookups90!$B$4:$B$999,lookups90!$BE$4:$BE$999,"",0), E16="Fix Slide Slide Fix Door - with Screen",(K16-_xlfn.XLOOKUP(E16,lookups90!$B$4:$B$999,lookups90!$F$4:$F$999,"",0)-_xlfn.XLOOKUP(E16,lookups90!$B$4:$B$999,lookups90!$G$4:$G$999,"",0)+_xlfn.XLOOKUP(E16,lookups90!$B$4:$B$999,lookups90!$H$4:$H$999,"",0)+_xlfn.XLOOKUP(E16,lookups90!$B$4:$B$999,lookups90!$H$4:$H$999,"",0))/4+_xlfn.XLOOKUP(E16,lookups90!$B$4:$B$999,lookups90!$I$4:$I$999,"",0)-_xlfn.XLOOKUP(E16,lookups90!$B$4:$B$999,lookups90!$BE$4:$BE$999,"",0))</f>
        <v/>
      </c>
      <c r="BS16" s="20" t="str">
        <f>IFERROR(IF(_xlfn.XLOOKUP(E16,lookups90!$B$4:$B$999,lookups90!$BG$4:$BG$999,"",0)=0,"",D16*_xlfn.XLOOKUP(E16,lookups90!$B$4:$B$999,lookups90!$BG$4:$BG$999,"",0)),"")</f>
        <v/>
      </c>
      <c r="BU16" s="20" t="str">
        <f>IF(AG16&lt;&gt;"",AG16-_xlfn.XLOOKUP(E16,lookups90!$B$4:$B$999,lookups90!$BA$4:$BA$999,"",0),"")</f>
        <v/>
      </c>
      <c r="BV16" s="20" t="str">
        <f>IFERROR(IF(_xlfn.XLOOKUP(E16,lookups90!$B$4:$B$999,lookups90!$BH$4:$BH$999,"",0)=0,"",D16*_xlfn.XLOOKUP(E16,lookups90!$B$4:$B$999,lookups90!$BH$4:$BH$999,"",0)),"")</f>
        <v/>
      </c>
      <c r="BW16" s="20" t="str" cm="1">
        <f t="array" ref="BW16">_xlfn.IFS(BU16="","",OR(E16="Fix Slide Window",E16="Slide Slide Window"),(K16-_xlfn.XLOOKUP(E16,lookups90!$B$4:$B$999,lookups90!$F$4:$F$999,"",0)-_xlfn.XLOOKUP(E16,lookups90!$B$4:$B$999,lookups90!$G$4:$G$999,"",0)+_xlfn.XLOOKUP(E16,lookups90!$B$4:$B$999,lookups90!$H$4:$H$999,"",0))/2+_xlfn.XLOOKUP(E16,lookups90!$B$4:$B$999,lookups90!$I$4:$I$999,"",0)-_xlfn.XLOOKUP(E16,lookups90!$B$4:$B$999,lookups90!$BA$4:$BA$999,"",0), E16="Fix Slide Slide Fix Window",(K16-_xlfn.XLOOKUP(E16,lookups90!$B$4:$B$999,lookups90!$F$4:$F$999,"",0)-_xlfn.XLOOKUP(E16,lookups90!$B$4:$B$999,lookups90!$G$4:$G$999,"",0)+_xlfn.XLOOKUP(E16,lookups90!$B$4:$B$999,lookups90!$H$4:$H$999,"",0)+_xlfn.XLOOKUP(E16,lookups90!$B$4:$B$999,lookups90!$H$4:$H$999,"",0))/4+_xlfn.XLOOKUP(E16,lookups90!$B$4:$B$999,lookups90!$I$4:$I$999,"",0)-_xlfn.XLOOKUP(E16,lookups90!$B$4:$B$999,lookups90!$BA$4:$BA$999,"",0))</f>
        <v/>
      </c>
      <c r="BX16" s="20" t="str">
        <f>IFERROR(IF(_xlfn.XLOOKUP(E16,lookups90!$B$4:$B$999,lookups90!$BI$4:$BI$999,"",0)=0,"",D16*_xlfn.XLOOKUP(E16,lookups90!$B$4:$B$999,lookups90!$BI$4:$BI$999,"",0)),"")</f>
        <v/>
      </c>
      <c r="BZ16" s="20" t="str">
        <f>IF(AL16&lt;&gt;"", AL16-_xlfn.XLOOKUP(E16,lookups90!$B$4:$B$999,lookups90!$BJ$4:$BJ$999,"",0),"")</f>
        <v/>
      </c>
      <c r="CA16" s="20" t="str">
        <f>IFERROR(IF(_xlfn.XLOOKUP(E16,lookups90!$B$4:$B$999,lookups90!$BK$4:$BK$999,"",0)=0,"",D16*_xlfn.XLOOKUP(E16,lookups90!$B$4:$B$999,lookups90!$BK$4:$BK$999,"",0)),"")</f>
        <v/>
      </c>
      <c r="CC16" s="20" t="str">
        <f>IF(C16&lt;&gt;"", T16-_xlfn.XLOOKUP(E16,lookups90!$B$4:$B$999,lookups90!$BO$4:$BO$999,"",0)-_xlfn.XLOOKUP(E16,lookups90!$B$4:$B$999,lookups90!$BP$4:$BP$999,"",0),"")</f>
        <v/>
      </c>
      <c r="CD16" s="20" t="str">
        <f>IF(C16&lt;&gt;"", X16-_xlfn.XLOOKUP(E16,lookups90!$B$4:$B$999,lookups90!$BQ$4:$BQ$999,"",0)-_xlfn.XLOOKUP(E16,lookups90!$B$4:$B$999,lookups90!$BR$4:$BR$999,"",0),"")</f>
        <v/>
      </c>
      <c r="CE16" s="20" t="str">
        <f>IFERROR(IF(_xlfn.XLOOKUP(E16,lookups90!$B$4:$B$999,lookups90!$BS$4:$BS$999,"",0)=0,"",D16*_xlfn.XLOOKUP(E16,lookups90!$B$4:$B$999,lookups90!$BS$4:$BS$999,"",0)),"")</f>
        <v/>
      </c>
      <c r="CF16" s="20" t="str">
        <f>IF(V16&lt;&gt;"", V16-_xlfn.XLOOKUP(E16,lookups90!$B$4:$B$999,lookups90!$BO$4:$BO$999,"",0)-_xlfn.XLOOKUP(E16,lookups90!$B$4:$B$999,lookups90!$BP$4:$BP$999,"",0),"")</f>
        <v/>
      </c>
      <c r="CG16" s="20" t="str">
        <f>IF(CF16&lt;&gt;"", X16-_xlfn.XLOOKUP(E16,lookups90!$B$4:$B$999,lookups90!$BQ$4:$BQ$999,"",0)-_xlfn.XLOOKUP(E16,lookups90!$B$4:$B$999,lookups90!$BR$4:$BR$999,"",0),"")</f>
        <v/>
      </c>
      <c r="CH16" s="20" t="str">
        <f>IFERROR(IF(_xlfn.XLOOKUP(E16,lookups90!$B$4:$B$999,lookups90!$BT$4:$BT$999,"",0)=0,"",D16*_xlfn.XLOOKUP(E16,lookups90!$B$4:$B$999,lookups90!$BT$4:$BT$999,"",0)),"")</f>
        <v/>
      </c>
      <c r="CJ16" s="22" t="str">
        <f t="shared" ref="CJ16:CJ65" si="5">IF(D16&lt;&gt;"",K16*D16/1000,"")</f>
        <v/>
      </c>
      <c r="CL16" s="22" t="str" cm="1">
        <f t="array" ref="CL16">IF(D16&lt;&gt;"",((((J16+K16)*2)/500)+(2*_xlfn.IFS(OR(E16="Fix Slide Window", E16="Slide Slide Window", E16="Fix Slide Slide Fix Window"), 2, E16="Slide Slide Door - with Screen", 8, E16&lt;&gt;"",4)))*D16,"")</f>
        <v/>
      </c>
      <c r="CM16" s="22" t="str">
        <f t="shared" ref="CM16:CM29" si="6">IF(D16&lt;&gt;"",(((((J16+K16)*2)/500)*2)/100)*D16,"")</f>
        <v/>
      </c>
      <c r="CN16" s="22" t="str">
        <f t="shared" ref="CN16:CN29" si="7">IF(D16&lt;&gt;"",(((J16+K16)*2)/500)*D16,"")</f>
        <v/>
      </c>
      <c r="CO16" s="22" t="str">
        <f t="shared" ref="CO16:CO65" si="8">IF(D16&lt;&gt;"",2+(K16/1800)*D16,"")</f>
        <v/>
      </c>
      <c r="CP16" s="22" t="str">
        <f t="shared" si="0"/>
        <v/>
      </c>
    </row>
    <row r="17" spans="3:94" x14ac:dyDescent="0.25">
      <c r="C17" s="16"/>
      <c r="D17" s="16"/>
      <c r="E17" s="16"/>
      <c r="F17" s="16"/>
      <c r="G17" s="16"/>
      <c r="H17" s="16"/>
      <c r="I17" s="16"/>
      <c r="J17" s="16"/>
      <c r="K17" s="16"/>
      <c r="M17" s="20" t="str">
        <f t="shared" si="1"/>
        <v/>
      </c>
      <c r="N17" s="20" t="str" cm="1">
        <f t="array" ref="N17">IFERROR(_xlfn.IFS(OR(E17="Fix Awning (Vertical)", E17="Fix Awning (Horizontal)"), J17/2+20,C17&lt;&gt;"", J17+M17),"")</f>
        <v/>
      </c>
      <c r="O17" s="20" t="str">
        <f t="shared" si="2"/>
        <v/>
      </c>
      <c r="P17" s="20" t="str">
        <f t="shared" si="3"/>
        <v/>
      </c>
      <c r="Q17" s="20" t="str">
        <f t="shared" si="4"/>
        <v/>
      </c>
      <c r="S17" s="20" t="str">
        <f>IF(C17&lt;&gt;"", _xlfn.XLOOKUP(E17,lookups90!$B$4:$B$999,lookups90!$C$4:$C$999,"",0),"")</f>
        <v/>
      </c>
      <c r="T17" s="20" t="str">
        <f>IF(C17&lt;&gt;"", J17-_xlfn.XLOOKUP(E17,lookups90!$B$4:$B$999,lookups90!$D$4:$D$999, "",0),"")</f>
        <v/>
      </c>
      <c r="U17" s="20" t="str">
        <f>IF(T17&lt;&gt;"",D17*_xlfn.XLOOKUP(E17,lookups90!$B$4:$B$999,lookups90!$J$4:$J$999, "",0),"")</f>
        <v/>
      </c>
      <c r="V17" s="20" t="str">
        <f>IF(AND(C17&lt;&gt;"", E17&lt;&gt;"Slide Slide Window", E17&lt;&gt;"Slide Slide Door", E17&lt;&gt;"Slide Slide Door - with Screen"), J17-_xlfn.XLOOKUP(E17,lookups90!$B$4:$B$999,lookups90!$E$4:$E$999, "",0),"")</f>
        <v/>
      </c>
      <c r="W17" s="20" t="str">
        <f>IF(V17&lt;&gt;"",D17*_xlfn.XLOOKUP(E17,lookups90!$B$4:$B$999,lookups90!$K$4:$K$999, "",0),"")</f>
        <v/>
      </c>
      <c r="X17" s="20" t="str" cm="1">
        <f t="array" ref="X17">IFERROR(_xlfn.IFS(OR(E17="Fix Slide Window", E17="Slide Slide Window", E17="Fix Slide Door", E17="Slide Slide Door", E17="Fix Slide Door - with Screen", E17="Slide Slide Door - with Screen"), (K17-_xlfn.XLOOKUP(E17,lookups90!$B$4:$B$999,lookups90!$F$4:$F$999, "",0)-_xlfn.XLOOKUP(E17,lookups90!$B$4:$B$999,lookups90!$G$4:$G$999, "",0)+_xlfn.XLOOKUP(E17,lookups90!$B$4:$B$999,lookups90!$H$4:$H$999, "",0))/2+_xlfn.XLOOKUP(E17,lookups90!$B$4:$B$999,lookups90!$I$4:$I$999, "",0), OR(E17="Fix Slide Slide Fix Window", E17="Fix Slide Slide Fix Door - with Screen", E17="Fix Slide Slide Fix Door"),  (K17-_xlfn.XLOOKUP(E17,lookups90!$B$4:$B$999,lookups90!$F$4:$F$999, "",0)-_xlfn.XLOOKUP(E17,lookups90!$B$4:$B$999,lookups90!$G$4:$G$999, "",0)+_xlfn.XLOOKUP(E17,lookups90!$B$4:$B$999,lookups90!$H$4:$H$999, "",0)+_xlfn.XLOOKUP(E17,lookups90!$B$4:$B$999,lookups90!$H$4:$H$999, "",0))/4+_xlfn.XLOOKUP(E17,lookups90!$B$4:$B$999,lookups90!$I$4:$I$999, "",0), E17="Fix Slide Slide Door", (K17-_xlfn.XLOOKUP(E17,lookups90!$B$4:$B$999,lookups90!$F$4:$F$999, "",0)-_xlfn.XLOOKUP(E17,lookups90!$B$4:$B$999,lookups90!$G$4:$G$999, "",0)+_xlfn.XLOOKUP(E17,lookups90!$B$4:$B$999,lookups90!$H$4:$H$999, "",0)+_xlfn.XLOOKUP(E17,lookups90!$B$4:$B$999,lookups90!$H$4:$H$999, "",0))/3+_xlfn.XLOOKUP(E17,lookups90!$B$4:$B$999,lookups90!$I$4:$I$999, "",0),E17="Fix Slide Slide Slide Slide Fix Dr",  (K17-_xlfn.XLOOKUP(E17,lookups90!$B$4:$B$999,lookups90!$F$4:$F$999, "",0)-_xlfn.XLOOKUP(E17,lookups90!$B$4:$B$999,lookups90!$G$4:$G$999, "",0)+_xlfn.XLOOKUP(E17,lookups90!$B$4:$B$999,lookups90!$H$4:$H$999, "",0)+_xlfn.XLOOKUP(E17,lookups90!$B$4:$B$999,lookups90!$H$4:$H$999, "",0)+_xlfn.XLOOKUP(E17,lookups90!$B$4:$B$999,lookups90!$H$4:$H$999, "",0)+_xlfn.XLOOKUP(E17,lookups90!$B$4:$B$999,lookups90!$H$4:$H$999, "",0))/6+_xlfn.XLOOKUP(E17,lookups90!$B$4:$B$999,lookups90!$I$4:$I$999, "",0), E17="Fix Slide Slide Slide Slide Slide Slide Fix Dr",  (K17-_xlfn.XLOOKUP(E17,lookups90!$B$4:$B$999,lookups90!$F$4:$F$999, "",0)-_xlfn.XLOOKUP(E17,lookups90!$B$4:$B$999,lookups90!$G$4:$G$999, "",0)+_xlfn.XLOOKUP(E17,lookups90!$B$4:$B$999,lookups90!$H$4:$H$999, "",0)+_xlfn.XLOOKUP(E17,lookups90!$B$4:$B$999,lookups90!$H$4:$H$999, "",0)+_xlfn.XLOOKUP(E17,lookups90!$B$4:$B$999,lookups90!$H$4:$H$999, "",0)+_xlfn.XLOOKUP(E17,lookups90!$B$4:$B$999,lookups90!$H$4:$H$999, "",0)+_xlfn.XLOOKUP(E17,lookups90!$B$4:$B$999,lookups90!$H$4:$H$999, "",0)+_xlfn.XLOOKUP(E17,lookups90!$B$4:$B$999,lookups90!$H$4:$H$999, "",0))/8+_xlfn.XLOOKUP(E17,lookups90!$B$4:$B$999,lookups90!$I$4:$I$999, "",0)),"")</f>
        <v/>
      </c>
      <c r="Y17" s="20" t="str">
        <f>IF(X17&lt;&gt;"",D17*_xlfn.XLOOKUP(E17,lookups90!$B$4:$B$999,lookups90!$L$4:$L$999, "",0),"")</f>
        <v/>
      </c>
      <c r="AA17" s="20" t="str">
        <f>IF(C17&lt;&gt;"", IF(_xlfn.XLOOKUP(E17,lookups90!$B$4:$B$999,lookups90!$P$4:$P$999,"",0)=0,"",_xlfn.XLOOKUP(E17,lookups90!$B$4:$B$999,lookups90!$P$4:$P$999,"",0)),"")</f>
        <v/>
      </c>
      <c r="AB17" s="20" t="str">
        <f>IF(AA17&lt;&gt;"", J17-_xlfn.XLOOKUP(E17,lookups90!$B$4:$B$999,lookups90!$D$4:$D$999, "",0),"")</f>
        <v/>
      </c>
      <c r="AC17" s="20" t="str">
        <f>IF(AA17&lt;&gt;"",D17*_xlfn.XLOOKUP(E17,lookups90!$B$4:$B$999,lookups90!$Q$4:$Q$999, "",0),"")</f>
        <v/>
      </c>
      <c r="AD17" s="20" t="str" cm="1">
        <f t="array" ref="AD17">IF(AA17&lt;&gt;"", _xlfn.IFS(OR(E17="Fix Slide Window", E17="Slide Slide Window", E17="Fix Slide Door", E17="Slide Slide Door", E17="Fix Slide Door - with Screen", E17="Slide Slide Door - with Screen"), (K17-_xlfn.XLOOKUP(E17,lookups90!$B$4:$B$999,lookups90!$F$4:$F$999, "",0)-_xlfn.XLOOKUP(E17,lookups90!$B$4:$B$999,lookups90!$G$4:$G$999, "",0)+_xlfn.XLOOKUP(E17,lookups90!$B$4:$B$999,lookups90!$H$4:$H$999, "",0))/2+_xlfn.XLOOKUP(E17,lookups90!$B$4:$B$999,lookups90!$I$4:$I$999, "",0), OR(E17="Fix Slide Slide Fix Window", E17="Fix Slide Slide Fix Door - with Screen", E17="Fix Slide Slide Fix Door"),  (K17-_xlfn.XLOOKUP(E17,lookups90!$B$4:$B$999,lookups90!$F$4:$F$999, "",0)-_xlfn.XLOOKUP(E17,lookups90!$B$4:$B$999,lookups90!$G$4:$G$999, "",0)+_xlfn.XLOOKUP(E17,lookups90!$B$4:$B$999,lookups90!$H$4:$H$999, "",0)+_xlfn.XLOOKUP(E17,lookups90!$B$4:$B$999,lookups90!$H$4:$H$999, "",0))/4+_xlfn.XLOOKUP(E17,lookups90!$B$4:$B$999,lookups90!$I$4:$I$999, "",0), E17="Fix Slide Slide Door", (K17-_xlfn.XLOOKUP(E17,lookups90!$B$4:$B$999,lookups90!$F$4:$F$999, "",0)-_xlfn.XLOOKUP(E17,lookups90!$B$4:$B$999,lookups90!$G$4:$G$999, "",0)+_xlfn.XLOOKUP(E17,lookups90!$B$4:$B$999,lookups90!$H$4:$H$999, "",0)+_xlfn.XLOOKUP(E17,lookups90!$B$4:$B$999,lookups90!$H$4:$H$999, "",0))/3+_xlfn.XLOOKUP(E17,lookups90!$B$4:$B$999,lookups90!$I$4:$I$999, "",0) ),"")</f>
        <v/>
      </c>
      <c r="AE17" s="20" t="str">
        <f>IF(AA17&lt;&gt;"",D17*_xlfn.XLOOKUP(E17,lookups90!$B$4:$B$999,lookups90!$R$4:$R$999, "",0),"")</f>
        <v/>
      </c>
      <c r="AG17" s="20" t="str">
        <f>IF(AH17&lt;&gt;"", J17-_xlfn.XLOOKUP(E17,lookups90!$B$4:$B$999,lookups90!$D$4:$D$999, "",0),"")</f>
        <v/>
      </c>
      <c r="AH17" s="20" t="str">
        <f>IF(_xlfn.XLOOKUP(E17,lookups90!$B$4:$B$999,lookups90!$V$4:$V$999,"",0)=0,"",D17*_xlfn.XLOOKUP(E17,lookups90!$B$4:$B$999,lookups90!$V$4:$V$999,"",0))</f>
        <v/>
      </c>
      <c r="AI17" s="20" t="str" cm="1">
        <f t="array" ref="AI17">IF(AH17&lt;&gt;"", _xlfn.IFS(OR(E17="Fix Slide Window", E17="Slide Slide Window"), (K17-_xlfn.XLOOKUP(E17,lookups90!$B$4:$B$999,lookups90!$F$4:$F$999, "",0)-_xlfn.XLOOKUP(E17,lookups90!$B$4:$B$999,lookups90!$G$4:$G$999, "",0)+_xlfn.XLOOKUP(E17,lookups90!$B$4:$B$999,lookups90!$H$4:$H$999, "",0))/2+_xlfn.XLOOKUP(E17,lookups90!$B$4:$B$999,lookups90!$I$4:$I$999, "",0), OR(E17="Fix Slide Slide Fix Window"),  (K17-_xlfn.XLOOKUP(E17,lookups90!$B$4:$B$999,lookups90!$F$4:$F$999, "",0)+_xlfn.XLOOKUP(E17,lookups90!$B$4:$B$999,lookups90!$H$4:$H$999, "",0)+_xlfn.XLOOKUP(E17,lookups90!$B$4:$B$999,lookups90!$H$4:$H$999, "",0))/4+_xlfn.XLOOKUP(E17,lookups90!$B$4:$B$999,lookups90!$I$4:$I$999, "",0)),"")</f>
        <v/>
      </c>
      <c r="AJ17" s="20" t="str">
        <f>IF(_xlfn.XLOOKUP(E17,lookups90!$B$4:$B$999,lookups90!$V$4:$V$999,"",0)=0,"",D17*_xlfn.XLOOKUP(E17,lookups90!$B$4:$B$999,lookups90!$W$4:$W$999,"",0))</f>
        <v/>
      </c>
      <c r="AL17" s="20" t="str" cm="1">
        <f t="array" ref="AL17">IF(AM17&lt;&gt;"", _xlfn.IFS(OR(E17="Fix Slide Door - with Screen", E17="Slide Slide Door - with Screen"), (K17-_xlfn.XLOOKUP(E17,lookups90!$B$4:$B$999,lookups90!$F$4:$F$999, "",0)-_xlfn.XLOOKUP(E17,lookups90!$B$4:$B$999,lookups90!$G$4:$G$999, "",0)+_xlfn.XLOOKUP(E17,lookups90!$B$4:$B$999,lookups90!$H$4:$H$999, "",0))/2+_xlfn.XLOOKUP(E17,lookups90!$B$4:$B$999,lookups90!$I$4:$I$999, "",0), OR( E17="Fix Slide Slide Fix Door - with Screen",  E17="Fix Slide Slide Door"),  (K17-_xlfn.XLOOKUP(E17,lookups90!$B$4:$B$999,lookups90!$F$4:$F$999, "",0)-_xlfn.XLOOKUP(E17,lookups90!$B$4:$B$999,lookups90!$G$4:$G$999, "",0)+_xlfn.XLOOKUP(E17,lookups90!$B$4:$B$999,lookups90!$H$4:$H$999, "",0)+_xlfn.XLOOKUP(E17,lookups90!$B$4:$B$999,lookups90!$H$4:$H$999, "",0))/4+_xlfn.XLOOKUP(E17,lookups90!$B$4:$B$999,lookups90!$I$4:$I$999, "",0)),"")</f>
        <v/>
      </c>
      <c r="AM17" s="20" t="str">
        <f>IF(_xlfn.XLOOKUP(E17,lookups90!$B$4:$B$999,lookups90!$AA$4:$AA$999,"",0)=0,"",D17*_xlfn.XLOOKUP(E17,lookups90!$B$4:$B$999,lookups90!$AA$4:$AA$999,"",0))</f>
        <v/>
      </c>
      <c r="AO17" s="20" t="str">
        <f>IFERROR(IF(C17&lt;&gt;"", T17-_xlfn.XLOOKUP(E17,lookups90!$B$4:$B$999,lookups90!$AE$4:$AE$999, "",0),""),"")</f>
        <v/>
      </c>
      <c r="AP17" s="20" t="str">
        <f>IF(_xlfn.XLOOKUP(E17,lookups90!$B$4:$B$999,lookups90!$AG$4:$AG$999,"",0)=0,"",D17*_xlfn.XLOOKUP(E17,lookups90!$B$4:$B$999,lookups90!$AG$4:$AG$999,"",0))</f>
        <v/>
      </c>
      <c r="AQ17" s="20" t="str">
        <f>IF(V17&lt;&gt;"", T17-_xlfn.XLOOKUP(E17,lookups90!$B$4:$B$999,lookups90!$AE$4:$AE$999, "",0)+_xlfn.XLOOKUP(E17,lookups90!$B$4:$B$999,lookups90!$AF$4:$AF$999, "",0),"")</f>
        <v/>
      </c>
      <c r="AR17" s="20" t="str">
        <f>IFERROR(IF(_xlfn.XLOOKUP(E17,lookups90!$B$4:$B$999,lookups90!$AH$4:$AH$999,"",0)=0,"",D17*_xlfn.XLOOKUP(E17,lookups90!$B$4:$B$999,lookups90!$AH$4:$AH$999,"",0)),"")</f>
        <v/>
      </c>
      <c r="AT17" s="20" t="str">
        <f>IF(OR(E17="Fix Slide Slide Fix Window", E17="Fix Slide Slide Fix Door", E17="Fix Slide Slide Fix Door - with Screen", E17="Fix Slide Slide Door"), T17-_xlfn.XLOOKUP(E17,lookups90!$B$4:$B$999,lookups90!$AE$4:$AE$999,"",0),"")</f>
        <v/>
      </c>
      <c r="AU17" s="20" t="str">
        <f>IFERROR(IF(_xlfn.XLOOKUP(E17,lookups90!$B$4:$B$999,lookups90!$AL$4:$AL$999,"",0)=0,"",D17*_xlfn.XLOOKUP(E17,lookups90!$B$4:$B$999,lookups90!$AL$4:$AL$999,"",0)),"")</f>
        <v/>
      </c>
      <c r="AW17" s="20" t="str">
        <f>IF(C17&lt;&gt;"", T17-_xlfn.XLOOKUP(E17,lookups90!$B$4:$B$999,lookups90!$AP$4:$AP$999,"",0),"")</f>
        <v/>
      </c>
      <c r="AX17" s="20" t="str">
        <f>IFERROR(IF(_xlfn.XLOOKUP(E17,lookups90!$B$4:$B$999,lookups90!$AR$4:$AR$999,"",0)=0,"",D17*_xlfn.XLOOKUP(E17,lookups90!$B$4:$B$999,lookups90!$AR$4:$AR$999,"",0)),"")</f>
        <v/>
      </c>
      <c r="AY17" s="24" t="str">
        <f>IF(V17&lt;&gt;"", V17-_xlfn.XLOOKUP(E17,lookups90!$B$4:$B$999,lookups90!$AP$4:$AP$999,"",0),"")</f>
        <v/>
      </c>
      <c r="AZ17" s="20" t="str">
        <f>IFERROR(IF(_xlfn.XLOOKUP(E17,lookups90!$B$4:$B$999,lookups90!$AS$4:$AS$999,"",0)=0,"",D17*_xlfn.XLOOKUP(E17,lookups90!$B$4:$B$999,lookups90!$AS$4:$AS$999,"",0)),"")</f>
        <v/>
      </c>
      <c r="BA17" s="20" t="str">
        <f>IF(X17&lt;&gt;"", X17-_xlfn.XLOOKUP(E17,lookups90!$B$4:$B$999,lookups90!$AQ$4:$AQ$999,"",0),"")</f>
        <v/>
      </c>
      <c r="BB17" s="20" t="str">
        <f>IFERROR(IF(_xlfn.XLOOKUP(E17,lookups90!$B$4:$B$999,lookups90!$AT$4:$AT$999,"",0)=0,"",D17*_xlfn.XLOOKUP(E17,lookups90!$B$4:$B$999,lookups90!$AT$4:$AT$999,"",0)),"")</f>
        <v/>
      </c>
      <c r="BD17" s="20" t="str">
        <f>IF(C17&lt;&gt;"", N17-_xlfn.XLOOKUP(E17,lookups90!$B$4:$B$999,lookups90!$AX$4:$AX$999,"",0)+M17,"")</f>
        <v/>
      </c>
      <c r="BE17" s="20" t="str">
        <f>IFERROR(IF(_xlfn.XLOOKUP(E17,lookups90!$B$4:$B$999,lookups90!$AY$4:$AY$999,"",0)=0,"",D17*_xlfn.XLOOKUP(E17,lookups90!$B$4:$B$999,lookups90!$AY$4:$AY$999,"",0)),"")</f>
        <v/>
      </c>
      <c r="BF17" s="20" t="str">
        <f>IF(C17&lt;&gt;"", P17-_xlfn.XLOOKUP(E17,lookups90!$B$4:$B$999,lookups90!$AX$4:$AX$999,"",0)+M17,"")</f>
        <v/>
      </c>
      <c r="BG17" s="20" t="str">
        <f>IFERROR(IF(_xlfn.XLOOKUP(E17,lookups90!$B$4:$B$999,lookups90!$AZ$4:$AZ$999,"",0)=0,"",D17*_xlfn.XLOOKUP(E17,lookups90!$B$4:$B$999,lookups90!$AZ$4:$AZ$999,"",0)),"")</f>
        <v/>
      </c>
      <c r="BI17" s="20" t="str">
        <f>IF(C17&lt;&gt;"", T17-_xlfn.XLOOKUP(E17,lookups90!$B$4:$B$999,lookups90!$BA$4:$BA$999,"",0),"")</f>
        <v/>
      </c>
      <c r="BJ17" s="20" t="str">
        <f>IFERROR(IF(_xlfn.XLOOKUP(E17,lookups90!$B$4:$B$999,lookups90!$BB$4:$BB$999,"",0)=0,"",D17*_xlfn.XLOOKUP(E17,lookups90!$B$4:$B$999,lookups90!$BB$4:$BB$999,"",0)),"")</f>
        <v/>
      </c>
      <c r="BK17" s="20" t="str">
        <f>IF(V17&lt;&gt;"", V17-_xlfn.XLOOKUP(E17,lookups90!$B$4:$B$999,lookups90!$BA$4:$BA$999,"",0),"")</f>
        <v/>
      </c>
      <c r="BL17" s="20" t="str">
        <f>IFERROR(IF(_xlfn.XLOOKUP(E17,lookups90!$B$4:$B$999,lookups90!$BC$4:$BC$999,"",0)=0,"",D17*_xlfn.XLOOKUP(E17,lookups90!$B$4:$B$999,lookups90!$BC$4:$BC$999,"",0)),"")</f>
        <v/>
      </c>
      <c r="BM17" s="20" t="str">
        <f>IF(C17&lt;&gt;"", X17-_xlfn.XLOOKUP(E17,lookups90!$B$4:$B$999,lookups90!$BA$4:$BA$999,"",0),"")</f>
        <v/>
      </c>
      <c r="BN17" s="20" t="str">
        <f>IFERROR(IF(_xlfn.XLOOKUP(E17,lookups90!$B$4:$B$999,lookups90!$BD$4:$BD$999,"",0)=0,"",D17*_xlfn.XLOOKUP(E17,lookups90!$B$4:$B$999,lookups90!$BD$4:$BD$999,"",0)),"")</f>
        <v/>
      </c>
      <c r="BP17" s="20" t="str">
        <f>IF(AB17&lt;&gt;"", AB17-_xlfn.XLOOKUP(E17,lookups90!$B$4:$B$999,lookups90!$BE$4:$BE$999,"",0),"")</f>
        <v/>
      </c>
      <c r="BQ17" s="20" t="str">
        <f>IFERROR(IF(_xlfn.XLOOKUP(E17,lookups90!$B$4:$B$999,lookups90!$BF$4:$BF$999,"",0)=0,"",D17*_xlfn.XLOOKUP(E17,lookups90!$B$4:$B$999,lookups90!$BF$4:$BF$999,"",0)),"")</f>
        <v/>
      </c>
      <c r="BR17" s="20" t="str" cm="1">
        <f t="array" ref="BR17">_xlfn.IFS(BP17="","",OR(E17="Fix Slide Door - with Screen",E17="Slide Slide Door - with Screen"),(K17-_xlfn.XLOOKUP(E17,lookups90!$B$4:$B$999,lookups90!$F$4:$F$999,"",0)-_xlfn.XLOOKUP(E17,lookups90!$B$4:$B$999,lookups90!$G$4:$G$999,"",0)+_xlfn.XLOOKUP(E17,lookups90!$B$4:$B$999,lookups90!$H$4:$H$999,"",0))/2+_xlfn.XLOOKUP(E17,lookups90!$B$4:$B$999,lookups90!$I$4:$I$999,"",0)-_xlfn.XLOOKUP(E17,lookups90!$B$4:$B$999,lookups90!$BE$4:$BE$999,"",0), E17="Fix Slide Slide Fix Door - with Screen",(K17-_xlfn.XLOOKUP(E17,lookups90!$B$4:$B$999,lookups90!$F$4:$F$999,"",0)-_xlfn.XLOOKUP(E17,lookups90!$B$4:$B$999,lookups90!$G$4:$G$999,"",0)+_xlfn.XLOOKUP(E17,lookups90!$B$4:$B$999,lookups90!$H$4:$H$999,"",0)+_xlfn.XLOOKUP(E17,lookups90!$B$4:$B$999,lookups90!$H$4:$H$999,"",0))/4+_xlfn.XLOOKUP(E17,lookups90!$B$4:$B$999,lookups90!$I$4:$I$999,"",0)-_xlfn.XLOOKUP(E17,lookups90!$B$4:$B$999,lookups90!$BE$4:$BE$999,"",0))</f>
        <v/>
      </c>
      <c r="BS17" s="20" t="str">
        <f>IFERROR(IF(_xlfn.XLOOKUP(E17,lookups90!$B$4:$B$999,lookups90!$BG$4:$BG$999,"",0)=0,"",D17*_xlfn.XLOOKUP(E17,lookups90!$B$4:$B$999,lookups90!$BG$4:$BG$999,"",0)),"")</f>
        <v/>
      </c>
      <c r="BU17" s="20" t="str">
        <f>IF(AG17&lt;&gt;"",AG17-_xlfn.XLOOKUP(E17,lookups90!$B$4:$B$999,lookups90!$BA$4:$BA$999,"",0),"")</f>
        <v/>
      </c>
      <c r="BV17" s="20" t="str">
        <f>IFERROR(IF(_xlfn.XLOOKUP(E17,lookups90!$B$4:$B$999,lookups90!$BH$4:$BH$999,"",0)=0,"",D17*_xlfn.XLOOKUP(E17,lookups90!$B$4:$B$999,lookups90!$BH$4:$BH$999,"",0)),"")</f>
        <v/>
      </c>
      <c r="BW17" s="20" t="str" cm="1">
        <f t="array" ref="BW17">_xlfn.IFS(BU17="","",OR(E17="Fix Slide Window",E17="Slide Slide Window"),(K17-_xlfn.XLOOKUP(E17,lookups90!$B$4:$B$999,lookups90!$F$4:$F$999,"",0)-_xlfn.XLOOKUP(E17,lookups90!$B$4:$B$999,lookups90!$G$4:$G$999,"",0)+_xlfn.XLOOKUP(E17,lookups90!$B$4:$B$999,lookups90!$H$4:$H$999,"",0))/2+_xlfn.XLOOKUP(E17,lookups90!$B$4:$B$999,lookups90!$I$4:$I$999,"",0)-_xlfn.XLOOKUP(E17,lookups90!$B$4:$B$999,lookups90!$BA$4:$BA$999,"",0), E17="Fix Slide Slide Fix Window",(K17-_xlfn.XLOOKUP(E17,lookups90!$B$4:$B$999,lookups90!$F$4:$F$999,"",0)-_xlfn.XLOOKUP(E17,lookups90!$B$4:$B$999,lookups90!$G$4:$G$999,"",0)+_xlfn.XLOOKUP(E17,lookups90!$B$4:$B$999,lookups90!$H$4:$H$999,"",0)+_xlfn.XLOOKUP(E17,lookups90!$B$4:$B$999,lookups90!$H$4:$H$999,"",0))/4+_xlfn.XLOOKUP(E17,lookups90!$B$4:$B$999,lookups90!$I$4:$I$999,"",0)-_xlfn.XLOOKUP(E17,lookups90!$B$4:$B$999,lookups90!$BA$4:$BA$999,"",0))</f>
        <v/>
      </c>
      <c r="BX17" s="20" t="str">
        <f>IFERROR(IF(_xlfn.XLOOKUP(E17,lookups90!$B$4:$B$999,lookups90!$BI$4:$BI$999,"",0)=0,"",D17*_xlfn.XLOOKUP(E17,lookups90!$B$4:$B$999,lookups90!$BI$4:$BI$999,"",0)),"")</f>
        <v/>
      </c>
      <c r="BZ17" s="20" t="str">
        <f>IF(AL17&lt;&gt;"", AL17-_xlfn.XLOOKUP(E17,lookups90!$B$4:$B$999,lookups90!$BJ$4:$BJ$999,"",0),"")</f>
        <v/>
      </c>
      <c r="CA17" s="20" t="str">
        <f>IFERROR(IF(_xlfn.XLOOKUP(E17,lookups90!$B$4:$B$999,lookups90!$BK$4:$BK$999,"",0)=0,"",D17*_xlfn.XLOOKUP(E17,lookups90!$B$4:$B$999,lookups90!$BK$4:$BK$999,"",0)),"")</f>
        <v/>
      </c>
      <c r="CC17" s="20" t="str">
        <f>IF(C17&lt;&gt;"", T17-_xlfn.XLOOKUP(E17,lookups90!$B$4:$B$999,lookups90!$BO$4:$BO$999,"",0)-_xlfn.XLOOKUP(E17,lookups90!$B$4:$B$999,lookups90!$BP$4:$BP$999,"",0),"")</f>
        <v/>
      </c>
      <c r="CD17" s="20" t="str">
        <f>IF(C17&lt;&gt;"", X17-_xlfn.XLOOKUP(E17,lookups90!$B$4:$B$999,lookups90!$BQ$4:$BQ$999,"",0)-_xlfn.XLOOKUP(E17,lookups90!$B$4:$B$999,lookups90!$BR$4:$BR$999,"",0),"")</f>
        <v/>
      </c>
      <c r="CE17" s="20" t="str">
        <f>IFERROR(IF(_xlfn.XLOOKUP(E17,lookups90!$B$4:$B$999,lookups90!$BS$4:$BS$999,"",0)=0,"",D17*_xlfn.XLOOKUP(E17,lookups90!$B$4:$B$999,lookups90!$BS$4:$BS$999,"",0)),"")</f>
        <v/>
      </c>
      <c r="CF17" s="20" t="str">
        <f>IF(V17&lt;&gt;"", V17-_xlfn.XLOOKUP(E17,lookups90!$B$4:$B$999,lookups90!$BO$4:$BO$999,"",0)-_xlfn.XLOOKUP(E17,lookups90!$B$4:$B$999,lookups90!$BP$4:$BP$999,"",0),"")</f>
        <v/>
      </c>
      <c r="CG17" s="20" t="str">
        <f>IF(CF17&lt;&gt;"", X17-_xlfn.XLOOKUP(E17,lookups90!$B$4:$B$999,lookups90!$BQ$4:$BQ$999,"",0)-_xlfn.XLOOKUP(E17,lookups90!$B$4:$B$999,lookups90!$BR$4:$BR$999,"",0),"")</f>
        <v/>
      </c>
      <c r="CH17" s="20" t="str">
        <f>IFERROR(IF(_xlfn.XLOOKUP(E17,lookups90!$B$4:$B$999,lookups90!$BT$4:$BT$999,"",0)=0,"",D17*_xlfn.XLOOKUP(E17,lookups90!$B$4:$B$999,lookups90!$BT$4:$BT$999,"",0)),"")</f>
        <v/>
      </c>
      <c r="CJ17" s="22" t="str">
        <f t="shared" si="5"/>
        <v/>
      </c>
      <c r="CL17" s="22" t="str" cm="1">
        <f t="array" ref="CL17">IF(D17&lt;&gt;"",((((J17+K17)*2)/500)+(2*_xlfn.IFS(OR(E17="Fix Slide Window", E17="Slide Slide Window", E17="Fix Slide Slide Fix Window"), 2, E17="Slide Slide Door - with Screen", 8, E17&lt;&gt;"",4)))*D17,"")</f>
        <v/>
      </c>
      <c r="CM17" s="22" t="str">
        <f t="shared" si="6"/>
        <v/>
      </c>
      <c r="CN17" s="22" t="str">
        <f t="shared" si="7"/>
        <v/>
      </c>
      <c r="CO17" s="22" t="str">
        <f t="shared" si="8"/>
        <v/>
      </c>
      <c r="CP17" s="22" t="str">
        <f t="shared" si="0"/>
        <v/>
      </c>
    </row>
    <row r="18" spans="3:94" x14ac:dyDescent="0.25">
      <c r="C18" s="16"/>
      <c r="D18" s="16"/>
      <c r="E18" s="16"/>
      <c r="F18" s="16"/>
      <c r="G18" s="16"/>
      <c r="H18" s="16"/>
      <c r="I18" s="16"/>
      <c r="J18" s="16"/>
      <c r="K18" s="16"/>
      <c r="M18" s="20" t="str">
        <f t="shared" si="1"/>
        <v/>
      </c>
      <c r="N18" s="20" t="str" cm="1">
        <f t="array" ref="N18">IFERROR(_xlfn.IFS(OR(E18="Fix Awning (Vertical)", E18="Fix Awning (Horizontal)"), J18/2+20,C18&lt;&gt;"", J18+M18),"")</f>
        <v/>
      </c>
      <c r="O18" s="20" t="str">
        <f t="shared" si="2"/>
        <v/>
      </c>
      <c r="P18" s="20" t="str">
        <f t="shared" si="3"/>
        <v/>
      </c>
      <c r="Q18" s="20" t="str">
        <f t="shared" si="4"/>
        <v/>
      </c>
      <c r="S18" s="20" t="str">
        <f>IF(C18&lt;&gt;"", _xlfn.XLOOKUP(E18,lookups90!$B$4:$B$999,lookups90!$C$4:$C$999,"",0),"")</f>
        <v/>
      </c>
      <c r="T18" s="20" t="str">
        <f>IF(C18&lt;&gt;"", J18-_xlfn.XLOOKUP(E18,lookups90!$B$4:$B$999,lookups90!$D$4:$D$999, "",0),"")</f>
        <v/>
      </c>
      <c r="U18" s="20" t="str">
        <f>IF(T18&lt;&gt;"",D18*_xlfn.XLOOKUP(E18,lookups90!$B$4:$B$999,lookups90!$J$4:$J$999, "",0),"")</f>
        <v/>
      </c>
      <c r="V18" s="20" t="str">
        <f>IF(AND(C18&lt;&gt;"", E18&lt;&gt;"Slide Slide Window", E18&lt;&gt;"Slide Slide Door", E18&lt;&gt;"Slide Slide Door - with Screen"), J18-_xlfn.XLOOKUP(E18,lookups90!$B$4:$B$999,lookups90!$E$4:$E$999, "",0),"")</f>
        <v/>
      </c>
      <c r="W18" s="20" t="str">
        <f>IF(V18&lt;&gt;"",D18*_xlfn.XLOOKUP(E18,lookups90!$B$4:$B$999,lookups90!$K$4:$K$999, "",0),"")</f>
        <v/>
      </c>
      <c r="X18" s="20" t="str" cm="1">
        <f t="array" ref="X18">IFERROR(_xlfn.IFS(OR(E18="Fix Slide Window", E18="Slide Slide Window", E18="Fix Slide Door", E18="Slide Slide Door", E18="Fix Slide Door - with Screen", E18="Slide Slide Door - with Screen"), (K18-_xlfn.XLOOKUP(E18,lookups90!$B$4:$B$999,lookups90!$F$4:$F$999, "",0)-_xlfn.XLOOKUP(E18,lookups90!$B$4:$B$999,lookups90!$G$4:$G$999, "",0)+_xlfn.XLOOKUP(E18,lookups90!$B$4:$B$999,lookups90!$H$4:$H$999, "",0))/2+_xlfn.XLOOKUP(E18,lookups90!$B$4:$B$999,lookups90!$I$4:$I$999, "",0), OR(E18="Fix Slide Slide Fix Window", E18="Fix Slide Slide Fix Door - with Screen", E18="Fix Slide Slide Fix Door"),  (K18-_xlfn.XLOOKUP(E18,lookups90!$B$4:$B$999,lookups90!$F$4:$F$999, "",0)-_xlfn.XLOOKUP(E18,lookups90!$B$4:$B$999,lookups90!$G$4:$G$999, "",0)+_xlfn.XLOOKUP(E18,lookups90!$B$4:$B$999,lookups90!$H$4:$H$999, "",0)+_xlfn.XLOOKUP(E18,lookups90!$B$4:$B$999,lookups90!$H$4:$H$999, "",0))/4+_xlfn.XLOOKUP(E18,lookups90!$B$4:$B$999,lookups90!$I$4:$I$999, "",0), E18="Fix Slide Slide Door", (K18-_xlfn.XLOOKUP(E18,lookups90!$B$4:$B$999,lookups90!$F$4:$F$999, "",0)-_xlfn.XLOOKUP(E18,lookups90!$B$4:$B$999,lookups90!$G$4:$G$999, "",0)+_xlfn.XLOOKUP(E18,lookups90!$B$4:$B$999,lookups90!$H$4:$H$999, "",0)+_xlfn.XLOOKUP(E18,lookups90!$B$4:$B$999,lookups90!$H$4:$H$999, "",0))/3+_xlfn.XLOOKUP(E18,lookups90!$B$4:$B$999,lookups90!$I$4:$I$999, "",0),E18="Fix Slide Slide Slide Slide Fix Dr",  (K18-_xlfn.XLOOKUP(E18,lookups90!$B$4:$B$999,lookups90!$F$4:$F$999, "",0)-_xlfn.XLOOKUP(E18,lookups90!$B$4:$B$999,lookups90!$G$4:$G$999, "",0)+_xlfn.XLOOKUP(E18,lookups90!$B$4:$B$999,lookups90!$H$4:$H$999, "",0)+_xlfn.XLOOKUP(E18,lookups90!$B$4:$B$999,lookups90!$H$4:$H$999, "",0)+_xlfn.XLOOKUP(E18,lookups90!$B$4:$B$999,lookups90!$H$4:$H$999, "",0)+_xlfn.XLOOKUP(E18,lookups90!$B$4:$B$999,lookups90!$H$4:$H$999, "",0))/6+_xlfn.XLOOKUP(E18,lookups90!$B$4:$B$999,lookups90!$I$4:$I$999, "",0), E18="Fix Slide Slide Slide Slide Slide Slide Fix Dr",  (K18-_xlfn.XLOOKUP(E18,lookups90!$B$4:$B$999,lookups90!$F$4:$F$999, "",0)-_xlfn.XLOOKUP(E18,lookups90!$B$4:$B$999,lookups90!$G$4:$G$999, "",0)+_xlfn.XLOOKUP(E18,lookups90!$B$4:$B$999,lookups90!$H$4:$H$999, "",0)+_xlfn.XLOOKUP(E18,lookups90!$B$4:$B$999,lookups90!$H$4:$H$999, "",0)+_xlfn.XLOOKUP(E18,lookups90!$B$4:$B$999,lookups90!$H$4:$H$999, "",0)+_xlfn.XLOOKUP(E18,lookups90!$B$4:$B$999,lookups90!$H$4:$H$999, "",0)+_xlfn.XLOOKUP(E18,lookups90!$B$4:$B$999,lookups90!$H$4:$H$999, "",0)+_xlfn.XLOOKUP(E18,lookups90!$B$4:$B$999,lookups90!$H$4:$H$999, "",0))/8+_xlfn.XLOOKUP(E18,lookups90!$B$4:$B$999,lookups90!$I$4:$I$999, "",0)),"")</f>
        <v/>
      </c>
      <c r="Y18" s="20" t="str">
        <f>IF(X18&lt;&gt;"",D18*_xlfn.XLOOKUP(E18,lookups90!$B$4:$B$999,lookups90!$L$4:$L$999, "",0),"")</f>
        <v/>
      </c>
      <c r="AA18" s="20" t="str">
        <f>IF(C18&lt;&gt;"", IF(_xlfn.XLOOKUP(E18,lookups90!$B$4:$B$999,lookups90!$P$4:$P$999,"",0)=0,"",_xlfn.XLOOKUP(E18,lookups90!$B$4:$B$999,lookups90!$P$4:$P$999,"",0)),"")</f>
        <v/>
      </c>
      <c r="AB18" s="20" t="str">
        <f>IF(AA18&lt;&gt;"", J18-_xlfn.XLOOKUP(E18,lookups90!$B$4:$B$999,lookups90!$D$4:$D$999, "",0),"")</f>
        <v/>
      </c>
      <c r="AC18" s="20" t="str">
        <f>IF(AA18&lt;&gt;"",D18*_xlfn.XLOOKUP(E18,lookups90!$B$4:$B$999,lookups90!$Q$4:$Q$999, "",0),"")</f>
        <v/>
      </c>
      <c r="AD18" s="20" t="str" cm="1">
        <f t="array" ref="AD18">IF(AA18&lt;&gt;"", _xlfn.IFS(OR(E18="Fix Slide Window", E18="Slide Slide Window", E18="Fix Slide Door", E18="Slide Slide Door", E18="Fix Slide Door - with Screen", E18="Slide Slide Door - with Screen"), (K18-_xlfn.XLOOKUP(E18,lookups90!$B$4:$B$999,lookups90!$F$4:$F$999, "",0)-_xlfn.XLOOKUP(E18,lookups90!$B$4:$B$999,lookups90!$G$4:$G$999, "",0)+_xlfn.XLOOKUP(E18,lookups90!$B$4:$B$999,lookups90!$H$4:$H$999, "",0))/2+_xlfn.XLOOKUP(E18,lookups90!$B$4:$B$999,lookups90!$I$4:$I$999, "",0), OR(E18="Fix Slide Slide Fix Window", E18="Fix Slide Slide Fix Door - with Screen", E18="Fix Slide Slide Fix Door"),  (K18-_xlfn.XLOOKUP(E18,lookups90!$B$4:$B$999,lookups90!$F$4:$F$999, "",0)-_xlfn.XLOOKUP(E18,lookups90!$B$4:$B$999,lookups90!$G$4:$G$999, "",0)+_xlfn.XLOOKUP(E18,lookups90!$B$4:$B$999,lookups90!$H$4:$H$999, "",0)+_xlfn.XLOOKUP(E18,lookups90!$B$4:$B$999,lookups90!$H$4:$H$999, "",0))/4+_xlfn.XLOOKUP(E18,lookups90!$B$4:$B$999,lookups90!$I$4:$I$999, "",0), E18="Fix Slide Slide Door", (K18-_xlfn.XLOOKUP(E18,lookups90!$B$4:$B$999,lookups90!$F$4:$F$999, "",0)-_xlfn.XLOOKUP(E18,lookups90!$B$4:$B$999,lookups90!$G$4:$G$999, "",0)+_xlfn.XLOOKUP(E18,lookups90!$B$4:$B$999,lookups90!$H$4:$H$999, "",0)+_xlfn.XLOOKUP(E18,lookups90!$B$4:$B$999,lookups90!$H$4:$H$999, "",0))/3+_xlfn.XLOOKUP(E18,lookups90!$B$4:$B$999,lookups90!$I$4:$I$999, "",0) ),"")</f>
        <v/>
      </c>
      <c r="AE18" s="20" t="str">
        <f>IF(AA18&lt;&gt;"",D18*_xlfn.XLOOKUP(E18,lookups90!$B$4:$B$999,lookups90!$R$4:$R$999, "",0),"")</f>
        <v/>
      </c>
      <c r="AG18" s="20" t="str">
        <f>IF(AH18&lt;&gt;"", J18-_xlfn.XLOOKUP(E18,lookups90!$B$4:$B$999,lookups90!$D$4:$D$999, "",0),"")</f>
        <v/>
      </c>
      <c r="AH18" s="20" t="str">
        <f>IF(_xlfn.XLOOKUP(E18,lookups90!$B$4:$B$999,lookups90!$V$4:$V$999,"",0)=0,"",D18*_xlfn.XLOOKUP(E18,lookups90!$B$4:$B$999,lookups90!$V$4:$V$999,"",0))</f>
        <v/>
      </c>
      <c r="AI18" s="20" t="str" cm="1">
        <f t="array" ref="AI18">IF(AH18&lt;&gt;"", _xlfn.IFS(OR(E18="Fix Slide Window", E18="Slide Slide Window"), (K18-_xlfn.XLOOKUP(E18,lookups90!$B$4:$B$999,lookups90!$F$4:$F$999, "",0)-_xlfn.XLOOKUP(E18,lookups90!$B$4:$B$999,lookups90!$G$4:$G$999, "",0)+_xlfn.XLOOKUP(E18,lookups90!$B$4:$B$999,lookups90!$H$4:$H$999, "",0))/2+_xlfn.XLOOKUP(E18,lookups90!$B$4:$B$999,lookups90!$I$4:$I$999, "",0), OR(E18="Fix Slide Slide Fix Window"),  (K18-_xlfn.XLOOKUP(E18,lookups90!$B$4:$B$999,lookups90!$F$4:$F$999, "",0)+_xlfn.XLOOKUP(E18,lookups90!$B$4:$B$999,lookups90!$H$4:$H$999, "",0)+_xlfn.XLOOKUP(E18,lookups90!$B$4:$B$999,lookups90!$H$4:$H$999, "",0))/4+_xlfn.XLOOKUP(E18,lookups90!$B$4:$B$999,lookups90!$I$4:$I$999, "",0)),"")</f>
        <v/>
      </c>
      <c r="AJ18" s="20" t="str">
        <f>IF(_xlfn.XLOOKUP(E18,lookups90!$B$4:$B$999,lookups90!$V$4:$V$999,"",0)=0,"",D18*_xlfn.XLOOKUP(E18,lookups90!$B$4:$B$999,lookups90!$W$4:$W$999,"",0))</f>
        <v/>
      </c>
      <c r="AL18" s="20" t="str" cm="1">
        <f t="array" ref="AL18">IF(AM18&lt;&gt;"", _xlfn.IFS(OR(E18="Fix Slide Door - with Screen", E18="Slide Slide Door - with Screen"), (K18-_xlfn.XLOOKUP(E18,lookups90!$B$4:$B$999,lookups90!$F$4:$F$999, "",0)-_xlfn.XLOOKUP(E18,lookups90!$B$4:$B$999,lookups90!$G$4:$G$999, "",0)+_xlfn.XLOOKUP(E18,lookups90!$B$4:$B$999,lookups90!$H$4:$H$999, "",0))/2+_xlfn.XLOOKUP(E18,lookups90!$B$4:$B$999,lookups90!$I$4:$I$999, "",0), OR( E18="Fix Slide Slide Fix Door - with Screen",  E18="Fix Slide Slide Door"),  (K18-_xlfn.XLOOKUP(E18,lookups90!$B$4:$B$999,lookups90!$F$4:$F$999, "",0)-_xlfn.XLOOKUP(E18,lookups90!$B$4:$B$999,lookups90!$G$4:$G$999, "",0)+_xlfn.XLOOKUP(E18,lookups90!$B$4:$B$999,lookups90!$H$4:$H$999, "",0)+_xlfn.XLOOKUP(E18,lookups90!$B$4:$B$999,lookups90!$H$4:$H$999, "",0))/4+_xlfn.XLOOKUP(E18,lookups90!$B$4:$B$999,lookups90!$I$4:$I$999, "",0)),"")</f>
        <v/>
      </c>
      <c r="AM18" s="20" t="str">
        <f>IF(_xlfn.XLOOKUP(E18,lookups90!$B$4:$B$999,lookups90!$AA$4:$AA$999,"",0)=0,"",D18*_xlfn.XLOOKUP(E18,lookups90!$B$4:$B$999,lookups90!$AA$4:$AA$999,"",0))</f>
        <v/>
      </c>
      <c r="AO18" s="20" t="str">
        <f>IFERROR(IF(C18&lt;&gt;"", T18-_xlfn.XLOOKUP(E18,lookups90!$B$4:$B$999,lookups90!$AE$4:$AE$999, "",0),""),"")</f>
        <v/>
      </c>
      <c r="AP18" s="20" t="str">
        <f>IF(_xlfn.XLOOKUP(E18,lookups90!$B$4:$B$999,lookups90!$AG$4:$AG$999,"",0)=0,"",D18*_xlfn.XLOOKUP(E18,lookups90!$B$4:$B$999,lookups90!$AG$4:$AG$999,"",0))</f>
        <v/>
      </c>
      <c r="AQ18" s="20" t="str">
        <f>IF(V18&lt;&gt;"", T18-_xlfn.XLOOKUP(E18,lookups90!$B$4:$B$999,lookups90!$AE$4:$AE$999, "",0)+_xlfn.XLOOKUP(E18,lookups90!$B$4:$B$999,lookups90!$AF$4:$AF$999, "",0),"")</f>
        <v/>
      </c>
      <c r="AR18" s="20" t="str">
        <f>IFERROR(IF(_xlfn.XLOOKUP(E18,lookups90!$B$4:$B$999,lookups90!$AH$4:$AH$999,"",0)=0,"",D18*_xlfn.XLOOKUP(E18,lookups90!$B$4:$B$999,lookups90!$AH$4:$AH$999,"",0)),"")</f>
        <v/>
      </c>
      <c r="AT18" s="20" t="str">
        <f>IF(OR(E18="Fix Slide Slide Fix Window", E18="Fix Slide Slide Fix Door", E18="Fix Slide Slide Fix Door - with Screen", E18="Fix Slide Slide Door"), T18-_xlfn.XLOOKUP(E18,lookups90!$B$4:$B$999,lookups90!$AE$4:$AE$999,"",0),"")</f>
        <v/>
      </c>
      <c r="AU18" s="20" t="str">
        <f>IFERROR(IF(_xlfn.XLOOKUP(E18,lookups90!$B$4:$B$999,lookups90!$AL$4:$AL$999,"",0)=0,"",D18*_xlfn.XLOOKUP(E18,lookups90!$B$4:$B$999,lookups90!$AL$4:$AL$999,"",0)),"")</f>
        <v/>
      </c>
      <c r="AW18" s="20" t="str">
        <f>IF(C18&lt;&gt;"", T18-_xlfn.XLOOKUP(E18,lookups90!$B$4:$B$999,lookups90!$AP$4:$AP$999,"",0),"")</f>
        <v/>
      </c>
      <c r="AX18" s="20" t="str">
        <f>IFERROR(IF(_xlfn.XLOOKUP(E18,lookups90!$B$4:$B$999,lookups90!$AR$4:$AR$999,"",0)=0,"",D18*_xlfn.XLOOKUP(E18,lookups90!$B$4:$B$999,lookups90!$AR$4:$AR$999,"",0)),"")</f>
        <v/>
      </c>
      <c r="AY18" s="24" t="str">
        <f>IF(V18&lt;&gt;"", V18-_xlfn.XLOOKUP(E18,lookups90!$B$4:$B$999,lookups90!$AP$4:$AP$999,"",0),"")</f>
        <v/>
      </c>
      <c r="AZ18" s="20" t="str">
        <f>IFERROR(IF(_xlfn.XLOOKUP(E18,lookups90!$B$4:$B$999,lookups90!$AS$4:$AS$999,"",0)=0,"",D18*_xlfn.XLOOKUP(E18,lookups90!$B$4:$B$999,lookups90!$AS$4:$AS$999,"",0)),"")</f>
        <v/>
      </c>
      <c r="BA18" s="20" t="str">
        <f>IF(X18&lt;&gt;"", X18-_xlfn.XLOOKUP(E18,lookups90!$B$4:$B$999,lookups90!$AQ$4:$AQ$999,"",0),"")</f>
        <v/>
      </c>
      <c r="BB18" s="20" t="str">
        <f>IFERROR(IF(_xlfn.XLOOKUP(E18,lookups90!$B$4:$B$999,lookups90!$AT$4:$AT$999,"",0)=0,"",D18*_xlfn.XLOOKUP(E18,lookups90!$B$4:$B$999,lookups90!$AT$4:$AT$999,"",0)),"")</f>
        <v/>
      </c>
      <c r="BD18" s="20" t="str">
        <f>IF(C18&lt;&gt;"", N18-_xlfn.XLOOKUP(E18,lookups90!$B$4:$B$999,lookups90!$AX$4:$AX$999,"",0)+M18,"")</f>
        <v/>
      </c>
      <c r="BE18" s="20" t="str">
        <f>IFERROR(IF(_xlfn.XLOOKUP(E18,lookups90!$B$4:$B$999,lookups90!$AY$4:$AY$999,"",0)=0,"",D18*_xlfn.XLOOKUP(E18,lookups90!$B$4:$B$999,lookups90!$AY$4:$AY$999,"",0)),"")</f>
        <v/>
      </c>
      <c r="BF18" s="20" t="str">
        <f>IF(C18&lt;&gt;"", P18-_xlfn.XLOOKUP(E18,lookups90!$B$4:$B$999,lookups90!$AX$4:$AX$999,"",0)+M18,"")</f>
        <v/>
      </c>
      <c r="BG18" s="20" t="str">
        <f>IFERROR(IF(_xlfn.XLOOKUP(E18,lookups90!$B$4:$B$999,lookups90!$AZ$4:$AZ$999,"",0)=0,"",D18*_xlfn.XLOOKUP(E18,lookups90!$B$4:$B$999,lookups90!$AZ$4:$AZ$999,"",0)),"")</f>
        <v/>
      </c>
      <c r="BI18" s="20" t="str">
        <f>IF(C18&lt;&gt;"", T18-_xlfn.XLOOKUP(E18,lookups90!$B$4:$B$999,lookups90!$BA$4:$BA$999,"",0),"")</f>
        <v/>
      </c>
      <c r="BJ18" s="20" t="str">
        <f>IFERROR(IF(_xlfn.XLOOKUP(E18,lookups90!$B$4:$B$999,lookups90!$BB$4:$BB$999,"",0)=0,"",D18*_xlfn.XLOOKUP(E18,lookups90!$B$4:$B$999,lookups90!$BB$4:$BB$999,"",0)),"")</f>
        <v/>
      </c>
      <c r="BK18" s="20" t="str">
        <f>IF(V18&lt;&gt;"", V18-_xlfn.XLOOKUP(E18,lookups90!$B$4:$B$999,lookups90!$BA$4:$BA$999,"",0),"")</f>
        <v/>
      </c>
      <c r="BL18" s="20" t="str">
        <f>IFERROR(IF(_xlfn.XLOOKUP(E18,lookups90!$B$4:$B$999,lookups90!$BC$4:$BC$999,"",0)=0,"",D18*_xlfn.XLOOKUP(E18,lookups90!$B$4:$B$999,lookups90!$BC$4:$BC$999,"",0)),"")</f>
        <v/>
      </c>
      <c r="BM18" s="20" t="str">
        <f>IF(C18&lt;&gt;"", X18-_xlfn.XLOOKUP(E18,lookups90!$B$4:$B$999,lookups90!$BA$4:$BA$999,"",0),"")</f>
        <v/>
      </c>
      <c r="BN18" s="20" t="str">
        <f>IFERROR(IF(_xlfn.XLOOKUP(E18,lookups90!$B$4:$B$999,lookups90!$BD$4:$BD$999,"",0)=0,"",D18*_xlfn.XLOOKUP(E18,lookups90!$B$4:$B$999,lookups90!$BD$4:$BD$999,"",0)),"")</f>
        <v/>
      </c>
      <c r="BP18" s="20" t="str">
        <f>IF(AB18&lt;&gt;"", AB18-_xlfn.XLOOKUP(E18,lookups90!$B$4:$B$999,lookups90!$BE$4:$BE$999,"",0),"")</f>
        <v/>
      </c>
      <c r="BQ18" s="20" t="str">
        <f>IFERROR(IF(_xlfn.XLOOKUP(E18,lookups90!$B$4:$B$999,lookups90!$BF$4:$BF$999,"",0)=0,"",D18*_xlfn.XLOOKUP(E18,lookups90!$B$4:$B$999,lookups90!$BF$4:$BF$999,"",0)),"")</f>
        <v/>
      </c>
      <c r="BR18" s="20" t="str" cm="1">
        <f t="array" ref="BR18">_xlfn.IFS(BP18="","",OR(E18="Fix Slide Door - with Screen",E18="Slide Slide Door - with Screen"),(K18-_xlfn.XLOOKUP(E18,lookups90!$B$4:$B$999,lookups90!$F$4:$F$999,"",0)-_xlfn.XLOOKUP(E18,lookups90!$B$4:$B$999,lookups90!$G$4:$G$999,"",0)+_xlfn.XLOOKUP(E18,lookups90!$B$4:$B$999,lookups90!$H$4:$H$999,"",0))/2+_xlfn.XLOOKUP(E18,lookups90!$B$4:$B$999,lookups90!$I$4:$I$999,"",0)-_xlfn.XLOOKUP(E18,lookups90!$B$4:$B$999,lookups90!$BE$4:$BE$999,"",0), E18="Fix Slide Slide Fix Door - with Screen",(K18-_xlfn.XLOOKUP(E18,lookups90!$B$4:$B$999,lookups90!$F$4:$F$999,"",0)-_xlfn.XLOOKUP(E18,lookups90!$B$4:$B$999,lookups90!$G$4:$G$999,"",0)+_xlfn.XLOOKUP(E18,lookups90!$B$4:$B$999,lookups90!$H$4:$H$999,"",0)+_xlfn.XLOOKUP(E18,lookups90!$B$4:$B$999,lookups90!$H$4:$H$999,"",0))/4+_xlfn.XLOOKUP(E18,lookups90!$B$4:$B$999,lookups90!$I$4:$I$999,"",0)-_xlfn.XLOOKUP(E18,lookups90!$B$4:$B$999,lookups90!$BE$4:$BE$999,"",0))</f>
        <v/>
      </c>
      <c r="BS18" s="20" t="str">
        <f>IFERROR(IF(_xlfn.XLOOKUP(E18,lookups90!$B$4:$B$999,lookups90!$BG$4:$BG$999,"",0)=0,"",D18*_xlfn.XLOOKUP(E18,lookups90!$B$4:$B$999,lookups90!$BG$4:$BG$999,"",0)),"")</f>
        <v/>
      </c>
      <c r="BU18" s="20" t="str">
        <f>IF(AG18&lt;&gt;"",AG18-_xlfn.XLOOKUP(E18,lookups90!$B$4:$B$999,lookups90!$BA$4:$BA$999,"",0),"")</f>
        <v/>
      </c>
      <c r="BV18" s="20" t="str">
        <f>IFERROR(IF(_xlfn.XLOOKUP(E18,lookups90!$B$4:$B$999,lookups90!$BH$4:$BH$999,"",0)=0,"",D18*_xlfn.XLOOKUP(E18,lookups90!$B$4:$B$999,lookups90!$BH$4:$BH$999,"",0)),"")</f>
        <v/>
      </c>
      <c r="BW18" s="20" t="str" cm="1">
        <f t="array" ref="BW18">_xlfn.IFS(BU18="","",OR(E18="Fix Slide Window",E18="Slide Slide Window"),(K18-_xlfn.XLOOKUP(E18,lookups90!$B$4:$B$999,lookups90!$F$4:$F$999,"",0)-_xlfn.XLOOKUP(E18,lookups90!$B$4:$B$999,lookups90!$G$4:$G$999,"",0)+_xlfn.XLOOKUP(E18,lookups90!$B$4:$B$999,lookups90!$H$4:$H$999,"",0))/2+_xlfn.XLOOKUP(E18,lookups90!$B$4:$B$999,lookups90!$I$4:$I$999,"",0)-_xlfn.XLOOKUP(E18,lookups90!$B$4:$B$999,lookups90!$BA$4:$BA$999,"",0), E18="Fix Slide Slide Fix Window",(K18-_xlfn.XLOOKUP(E18,lookups90!$B$4:$B$999,lookups90!$F$4:$F$999,"",0)-_xlfn.XLOOKUP(E18,lookups90!$B$4:$B$999,lookups90!$G$4:$G$999,"",0)+_xlfn.XLOOKUP(E18,lookups90!$B$4:$B$999,lookups90!$H$4:$H$999,"",0)+_xlfn.XLOOKUP(E18,lookups90!$B$4:$B$999,lookups90!$H$4:$H$999,"",0))/4+_xlfn.XLOOKUP(E18,lookups90!$B$4:$B$999,lookups90!$I$4:$I$999,"",0)-_xlfn.XLOOKUP(E18,lookups90!$B$4:$B$999,lookups90!$BA$4:$BA$999,"",0))</f>
        <v/>
      </c>
      <c r="BX18" s="20" t="str">
        <f>IFERROR(IF(_xlfn.XLOOKUP(E18,lookups90!$B$4:$B$999,lookups90!$BI$4:$BI$999,"",0)=0,"",D18*_xlfn.XLOOKUP(E18,lookups90!$B$4:$B$999,lookups90!$BI$4:$BI$999,"",0)),"")</f>
        <v/>
      </c>
      <c r="BZ18" s="20" t="str">
        <f>IF(AL18&lt;&gt;"", AL18-_xlfn.XLOOKUP(E18,lookups90!$B$4:$B$999,lookups90!$BJ$4:$BJ$999,"",0),"")</f>
        <v/>
      </c>
      <c r="CA18" s="20" t="str">
        <f>IFERROR(IF(_xlfn.XLOOKUP(E18,lookups90!$B$4:$B$999,lookups90!$BK$4:$BK$999,"",0)=0,"",D18*_xlfn.XLOOKUP(E18,lookups90!$B$4:$B$999,lookups90!$BK$4:$BK$999,"",0)),"")</f>
        <v/>
      </c>
      <c r="CC18" s="20" t="str">
        <f>IF(C18&lt;&gt;"", T18-_xlfn.XLOOKUP(E18,lookups90!$B$4:$B$999,lookups90!$BO$4:$BO$999,"",0)-_xlfn.XLOOKUP(E18,lookups90!$B$4:$B$999,lookups90!$BP$4:$BP$999,"",0),"")</f>
        <v/>
      </c>
      <c r="CD18" s="20" t="str">
        <f>IF(C18&lt;&gt;"", X18-_xlfn.XLOOKUP(E18,lookups90!$B$4:$B$999,lookups90!$BQ$4:$BQ$999,"",0)-_xlfn.XLOOKUP(E18,lookups90!$B$4:$B$999,lookups90!$BR$4:$BR$999,"",0),"")</f>
        <v/>
      </c>
      <c r="CE18" s="20" t="str">
        <f>IFERROR(IF(_xlfn.XLOOKUP(E18,lookups90!$B$4:$B$999,lookups90!$BS$4:$BS$999,"",0)=0,"",D18*_xlfn.XLOOKUP(E18,lookups90!$B$4:$B$999,lookups90!$BS$4:$BS$999,"",0)),"")</f>
        <v/>
      </c>
      <c r="CF18" s="20" t="str">
        <f>IF(V18&lt;&gt;"", V18-_xlfn.XLOOKUP(E18,lookups90!$B$4:$B$999,lookups90!$BO$4:$BO$999,"",0)-_xlfn.XLOOKUP(E18,lookups90!$B$4:$B$999,lookups90!$BP$4:$BP$999,"",0),"")</f>
        <v/>
      </c>
      <c r="CG18" s="20" t="str">
        <f>IF(CF18&lt;&gt;"", X18-_xlfn.XLOOKUP(E18,lookups90!$B$4:$B$999,lookups90!$BQ$4:$BQ$999,"",0)-_xlfn.XLOOKUP(E18,lookups90!$B$4:$B$999,lookups90!$BR$4:$BR$999,"",0),"")</f>
        <v/>
      </c>
      <c r="CH18" s="20" t="str">
        <f>IFERROR(IF(_xlfn.XLOOKUP(E18,lookups90!$B$4:$B$999,lookups90!$BT$4:$BT$999,"",0)=0,"",D18*_xlfn.XLOOKUP(E18,lookups90!$B$4:$B$999,lookups90!$BT$4:$BT$999,"",0)),"")</f>
        <v/>
      </c>
      <c r="CJ18" s="22" t="str">
        <f t="shared" si="5"/>
        <v/>
      </c>
      <c r="CL18" s="22" t="str" cm="1">
        <f t="array" ref="CL18">IF(D18&lt;&gt;"",((((J18+K18)*2)/500)+(2*_xlfn.IFS(OR(E18="Fix Slide Window", E18="Slide Slide Window", E18="Fix Slide Slide Fix Window"), 2, E18="Slide Slide Door - with Screen", 8, E18&lt;&gt;"",4)))*D18,"")</f>
        <v/>
      </c>
      <c r="CM18" s="22" t="str">
        <f t="shared" si="6"/>
        <v/>
      </c>
      <c r="CN18" s="22" t="str">
        <f t="shared" si="7"/>
        <v/>
      </c>
      <c r="CO18" s="22" t="str">
        <f t="shared" si="8"/>
        <v/>
      </c>
      <c r="CP18" s="22" t="str">
        <f t="shared" si="0"/>
        <v/>
      </c>
    </row>
    <row r="19" spans="3:94" x14ac:dyDescent="0.25">
      <c r="C19" s="16"/>
      <c r="D19" s="16"/>
      <c r="E19" s="16"/>
      <c r="F19" s="16"/>
      <c r="G19" s="16"/>
      <c r="H19" s="16"/>
      <c r="I19" s="16"/>
      <c r="J19" s="16"/>
      <c r="K19" s="16"/>
      <c r="M19" s="20" t="str">
        <f t="shared" si="1"/>
        <v/>
      </c>
      <c r="N19" s="20" t="str" cm="1">
        <f t="array" ref="N19">IFERROR(_xlfn.IFS(OR(E19="Fix Awning (Vertical)", E19="Fix Awning (Horizontal)"), J19/2+20,C19&lt;&gt;"", J19+M19),"")</f>
        <v/>
      </c>
      <c r="O19" s="20" t="str">
        <f t="shared" si="2"/>
        <v/>
      </c>
      <c r="P19" s="20" t="str">
        <f t="shared" si="3"/>
        <v/>
      </c>
      <c r="Q19" s="20" t="str">
        <f t="shared" si="4"/>
        <v/>
      </c>
      <c r="S19" s="20" t="str">
        <f>IF(C19&lt;&gt;"", _xlfn.XLOOKUP(E19,lookups90!$B$4:$B$999,lookups90!$C$4:$C$999,"",0),"")</f>
        <v/>
      </c>
      <c r="T19" s="20" t="str">
        <f>IF(C19&lt;&gt;"", J19-_xlfn.XLOOKUP(E19,lookups90!$B$4:$B$999,lookups90!$D$4:$D$999, "",0),"")</f>
        <v/>
      </c>
      <c r="U19" s="20" t="str">
        <f>IF(T19&lt;&gt;"",D19*_xlfn.XLOOKUP(E19,lookups90!$B$4:$B$999,lookups90!$J$4:$J$999, "",0),"")</f>
        <v/>
      </c>
      <c r="V19" s="20" t="str">
        <f>IF(AND(C19&lt;&gt;"", E19&lt;&gt;"Slide Slide Window", E19&lt;&gt;"Slide Slide Door", E19&lt;&gt;"Slide Slide Door - with Screen"), J19-_xlfn.XLOOKUP(E19,lookups90!$B$4:$B$999,lookups90!$E$4:$E$999, "",0),"")</f>
        <v/>
      </c>
      <c r="W19" s="20" t="str">
        <f>IF(V19&lt;&gt;"",D19*_xlfn.XLOOKUP(E19,lookups90!$B$4:$B$999,lookups90!$K$4:$K$999, "",0),"")</f>
        <v/>
      </c>
      <c r="X19" s="20" t="str" cm="1">
        <f t="array" ref="X19">IFERROR(_xlfn.IFS(OR(E19="Fix Slide Window", E19="Slide Slide Window", E19="Fix Slide Door", E19="Slide Slide Door", E19="Fix Slide Door - with Screen", E19="Slide Slide Door - with Screen"), (K19-_xlfn.XLOOKUP(E19,lookups90!$B$4:$B$999,lookups90!$F$4:$F$999, "",0)-_xlfn.XLOOKUP(E19,lookups90!$B$4:$B$999,lookups90!$G$4:$G$999, "",0)+_xlfn.XLOOKUP(E19,lookups90!$B$4:$B$999,lookups90!$H$4:$H$999, "",0))/2+_xlfn.XLOOKUP(E19,lookups90!$B$4:$B$999,lookups90!$I$4:$I$999, "",0), OR(E19="Fix Slide Slide Fix Window", E19="Fix Slide Slide Fix Door - with Screen", E19="Fix Slide Slide Fix Door"),  (K19-_xlfn.XLOOKUP(E19,lookups90!$B$4:$B$999,lookups90!$F$4:$F$999, "",0)-_xlfn.XLOOKUP(E19,lookups90!$B$4:$B$999,lookups90!$G$4:$G$999, "",0)+_xlfn.XLOOKUP(E19,lookups90!$B$4:$B$999,lookups90!$H$4:$H$999, "",0)+_xlfn.XLOOKUP(E19,lookups90!$B$4:$B$999,lookups90!$H$4:$H$999, "",0))/4+_xlfn.XLOOKUP(E19,lookups90!$B$4:$B$999,lookups90!$I$4:$I$999, "",0), E19="Fix Slide Slide Door", (K19-_xlfn.XLOOKUP(E19,lookups90!$B$4:$B$999,lookups90!$F$4:$F$999, "",0)-_xlfn.XLOOKUP(E19,lookups90!$B$4:$B$999,lookups90!$G$4:$G$999, "",0)+_xlfn.XLOOKUP(E19,lookups90!$B$4:$B$999,lookups90!$H$4:$H$999, "",0)+_xlfn.XLOOKUP(E19,lookups90!$B$4:$B$999,lookups90!$H$4:$H$999, "",0))/3+_xlfn.XLOOKUP(E19,lookups90!$B$4:$B$999,lookups90!$I$4:$I$999, "",0),E19="Fix Slide Slide Slide Slide Fix Dr",  (K19-_xlfn.XLOOKUP(E19,lookups90!$B$4:$B$999,lookups90!$F$4:$F$999, "",0)-_xlfn.XLOOKUP(E19,lookups90!$B$4:$B$999,lookups90!$G$4:$G$999, "",0)+_xlfn.XLOOKUP(E19,lookups90!$B$4:$B$999,lookups90!$H$4:$H$999, "",0)+_xlfn.XLOOKUP(E19,lookups90!$B$4:$B$999,lookups90!$H$4:$H$999, "",0)+_xlfn.XLOOKUP(E19,lookups90!$B$4:$B$999,lookups90!$H$4:$H$999, "",0)+_xlfn.XLOOKUP(E19,lookups90!$B$4:$B$999,lookups90!$H$4:$H$999, "",0))/6+_xlfn.XLOOKUP(E19,lookups90!$B$4:$B$999,lookups90!$I$4:$I$999, "",0), E19="Fix Slide Slide Slide Slide Slide Slide Fix Dr",  (K19-_xlfn.XLOOKUP(E19,lookups90!$B$4:$B$999,lookups90!$F$4:$F$999, "",0)-_xlfn.XLOOKUP(E19,lookups90!$B$4:$B$999,lookups90!$G$4:$G$999, "",0)+_xlfn.XLOOKUP(E19,lookups90!$B$4:$B$999,lookups90!$H$4:$H$999, "",0)+_xlfn.XLOOKUP(E19,lookups90!$B$4:$B$999,lookups90!$H$4:$H$999, "",0)+_xlfn.XLOOKUP(E19,lookups90!$B$4:$B$999,lookups90!$H$4:$H$999, "",0)+_xlfn.XLOOKUP(E19,lookups90!$B$4:$B$999,lookups90!$H$4:$H$999, "",0)+_xlfn.XLOOKUP(E19,lookups90!$B$4:$B$999,lookups90!$H$4:$H$999, "",0)+_xlfn.XLOOKUP(E19,lookups90!$B$4:$B$999,lookups90!$H$4:$H$999, "",0))/8+_xlfn.XLOOKUP(E19,lookups90!$B$4:$B$999,lookups90!$I$4:$I$999, "",0)),"")</f>
        <v/>
      </c>
      <c r="Y19" s="20" t="str">
        <f>IF(X19&lt;&gt;"",D19*_xlfn.XLOOKUP(E19,lookups90!$B$4:$B$999,lookups90!$L$4:$L$999, "",0),"")</f>
        <v/>
      </c>
      <c r="AA19" s="20" t="str">
        <f>IF(C19&lt;&gt;"", IF(_xlfn.XLOOKUP(E19,lookups90!$B$4:$B$999,lookups90!$P$4:$P$999,"",0)=0,"",_xlfn.XLOOKUP(E19,lookups90!$B$4:$B$999,lookups90!$P$4:$P$999,"",0)),"")</f>
        <v/>
      </c>
      <c r="AB19" s="20" t="str">
        <f>IF(AA19&lt;&gt;"", J19-_xlfn.XLOOKUP(E19,lookups90!$B$4:$B$999,lookups90!$D$4:$D$999, "",0),"")</f>
        <v/>
      </c>
      <c r="AC19" s="20" t="str">
        <f>IF(AA19&lt;&gt;"",D19*_xlfn.XLOOKUP(E19,lookups90!$B$4:$B$999,lookups90!$Q$4:$Q$999, "",0),"")</f>
        <v/>
      </c>
      <c r="AD19" s="20" t="str" cm="1">
        <f t="array" ref="AD19">IF(AA19&lt;&gt;"", _xlfn.IFS(OR(E19="Fix Slide Window", E19="Slide Slide Window", E19="Fix Slide Door", E19="Slide Slide Door", E19="Fix Slide Door - with Screen", E19="Slide Slide Door - with Screen"), (K19-_xlfn.XLOOKUP(E19,lookups90!$B$4:$B$999,lookups90!$F$4:$F$999, "",0)-_xlfn.XLOOKUP(E19,lookups90!$B$4:$B$999,lookups90!$G$4:$G$999, "",0)+_xlfn.XLOOKUP(E19,lookups90!$B$4:$B$999,lookups90!$H$4:$H$999, "",0))/2+_xlfn.XLOOKUP(E19,lookups90!$B$4:$B$999,lookups90!$I$4:$I$999, "",0), OR(E19="Fix Slide Slide Fix Window", E19="Fix Slide Slide Fix Door - with Screen", E19="Fix Slide Slide Fix Door"),  (K19-_xlfn.XLOOKUP(E19,lookups90!$B$4:$B$999,lookups90!$F$4:$F$999, "",0)-_xlfn.XLOOKUP(E19,lookups90!$B$4:$B$999,lookups90!$G$4:$G$999, "",0)+_xlfn.XLOOKUP(E19,lookups90!$B$4:$B$999,lookups90!$H$4:$H$999, "",0)+_xlfn.XLOOKUP(E19,lookups90!$B$4:$B$999,lookups90!$H$4:$H$999, "",0))/4+_xlfn.XLOOKUP(E19,lookups90!$B$4:$B$999,lookups90!$I$4:$I$999, "",0), E19="Fix Slide Slide Door", (K19-_xlfn.XLOOKUP(E19,lookups90!$B$4:$B$999,lookups90!$F$4:$F$999, "",0)-_xlfn.XLOOKUP(E19,lookups90!$B$4:$B$999,lookups90!$G$4:$G$999, "",0)+_xlfn.XLOOKUP(E19,lookups90!$B$4:$B$999,lookups90!$H$4:$H$999, "",0)+_xlfn.XLOOKUP(E19,lookups90!$B$4:$B$999,lookups90!$H$4:$H$999, "",0))/3+_xlfn.XLOOKUP(E19,lookups90!$B$4:$B$999,lookups90!$I$4:$I$999, "",0) ),"")</f>
        <v/>
      </c>
      <c r="AE19" s="20" t="str">
        <f>IF(AA19&lt;&gt;"",D19*_xlfn.XLOOKUP(E19,lookups90!$B$4:$B$999,lookups90!$R$4:$R$999, "",0),"")</f>
        <v/>
      </c>
      <c r="AG19" s="20" t="str">
        <f>IF(AH19&lt;&gt;"", J19-_xlfn.XLOOKUP(E19,lookups90!$B$4:$B$999,lookups90!$D$4:$D$999, "",0),"")</f>
        <v/>
      </c>
      <c r="AH19" s="20" t="str">
        <f>IF(_xlfn.XLOOKUP(E19,lookups90!$B$4:$B$999,lookups90!$V$4:$V$999,"",0)=0,"",D19*_xlfn.XLOOKUP(E19,lookups90!$B$4:$B$999,lookups90!$V$4:$V$999,"",0))</f>
        <v/>
      </c>
      <c r="AI19" s="20" t="str" cm="1">
        <f t="array" ref="AI19">IF(AH19&lt;&gt;"", _xlfn.IFS(OR(E19="Fix Slide Window", E19="Slide Slide Window"), (K19-_xlfn.XLOOKUP(E19,lookups90!$B$4:$B$999,lookups90!$F$4:$F$999, "",0)-_xlfn.XLOOKUP(E19,lookups90!$B$4:$B$999,lookups90!$G$4:$G$999, "",0)+_xlfn.XLOOKUP(E19,lookups90!$B$4:$B$999,lookups90!$H$4:$H$999, "",0))/2+_xlfn.XLOOKUP(E19,lookups90!$B$4:$B$999,lookups90!$I$4:$I$999, "",0), OR(E19="Fix Slide Slide Fix Window"),  (K19-_xlfn.XLOOKUP(E19,lookups90!$B$4:$B$999,lookups90!$F$4:$F$999, "",0)+_xlfn.XLOOKUP(E19,lookups90!$B$4:$B$999,lookups90!$H$4:$H$999, "",0)+_xlfn.XLOOKUP(E19,lookups90!$B$4:$B$999,lookups90!$H$4:$H$999, "",0))/4+_xlfn.XLOOKUP(E19,lookups90!$B$4:$B$999,lookups90!$I$4:$I$999, "",0)),"")</f>
        <v/>
      </c>
      <c r="AJ19" s="20" t="str">
        <f>IF(_xlfn.XLOOKUP(E19,lookups90!$B$4:$B$999,lookups90!$V$4:$V$999,"",0)=0,"",D19*_xlfn.XLOOKUP(E19,lookups90!$B$4:$B$999,lookups90!$W$4:$W$999,"",0))</f>
        <v/>
      </c>
      <c r="AL19" s="20" t="str" cm="1">
        <f t="array" ref="AL19">IF(AM19&lt;&gt;"", _xlfn.IFS(OR(E19="Fix Slide Door - with Screen", E19="Slide Slide Door - with Screen"), (K19-_xlfn.XLOOKUP(E19,lookups90!$B$4:$B$999,lookups90!$F$4:$F$999, "",0)-_xlfn.XLOOKUP(E19,lookups90!$B$4:$B$999,lookups90!$G$4:$G$999, "",0)+_xlfn.XLOOKUP(E19,lookups90!$B$4:$B$999,lookups90!$H$4:$H$999, "",0))/2+_xlfn.XLOOKUP(E19,lookups90!$B$4:$B$999,lookups90!$I$4:$I$999, "",0), OR( E19="Fix Slide Slide Fix Door - with Screen",  E19="Fix Slide Slide Door"),  (K19-_xlfn.XLOOKUP(E19,lookups90!$B$4:$B$999,lookups90!$F$4:$F$999, "",0)-_xlfn.XLOOKUP(E19,lookups90!$B$4:$B$999,lookups90!$G$4:$G$999, "",0)+_xlfn.XLOOKUP(E19,lookups90!$B$4:$B$999,lookups90!$H$4:$H$999, "",0)+_xlfn.XLOOKUP(E19,lookups90!$B$4:$B$999,lookups90!$H$4:$H$999, "",0))/4+_xlfn.XLOOKUP(E19,lookups90!$B$4:$B$999,lookups90!$I$4:$I$999, "",0)),"")</f>
        <v/>
      </c>
      <c r="AM19" s="20" t="str">
        <f>IF(_xlfn.XLOOKUP(E19,lookups90!$B$4:$B$999,lookups90!$AA$4:$AA$999,"",0)=0,"",D19*_xlfn.XLOOKUP(E19,lookups90!$B$4:$B$999,lookups90!$AA$4:$AA$999,"",0))</f>
        <v/>
      </c>
      <c r="AO19" s="20" t="str">
        <f>IFERROR(IF(C19&lt;&gt;"", T19-_xlfn.XLOOKUP(E19,lookups90!$B$4:$B$999,lookups90!$AE$4:$AE$999, "",0),""),"")</f>
        <v/>
      </c>
      <c r="AP19" s="20" t="str">
        <f>IF(_xlfn.XLOOKUP(E19,lookups90!$B$4:$B$999,lookups90!$AG$4:$AG$999,"",0)=0,"",D19*_xlfn.XLOOKUP(E19,lookups90!$B$4:$B$999,lookups90!$AG$4:$AG$999,"",0))</f>
        <v/>
      </c>
      <c r="AQ19" s="20" t="str">
        <f>IF(V19&lt;&gt;"", T19-_xlfn.XLOOKUP(E19,lookups90!$B$4:$B$999,lookups90!$AE$4:$AE$999, "",0)+_xlfn.XLOOKUP(E19,lookups90!$B$4:$B$999,lookups90!$AF$4:$AF$999, "",0),"")</f>
        <v/>
      </c>
      <c r="AR19" s="20" t="str">
        <f>IFERROR(IF(_xlfn.XLOOKUP(E19,lookups90!$B$4:$B$999,lookups90!$AH$4:$AH$999,"",0)=0,"",D19*_xlfn.XLOOKUP(E19,lookups90!$B$4:$B$999,lookups90!$AH$4:$AH$999,"",0)),"")</f>
        <v/>
      </c>
      <c r="AT19" s="20" t="str">
        <f>IF(OR(E19="Fix Slide Slide Fix Window", E19="Fix Slide Slide Fix Door", E19="Fix Slide Slide Fix Door - with Screen", E19="Fix Slide Slide Door"), T19-_xlfn.XLOOKUP(E19,lookups90!$B$4:$B$999,lookups90!$AE$4:$AE$999,"",0),"")</f>
        <v/>
      </c>
      <c r="AU19" s="20" t="str">
        <f>IFERROR(IF(_xlfn.XLOOKUP(E19,lookups90!$B$4:$B$999,lookups90!$AL$4:$AL$999,"",0)=0,"",D19*_xlfn.XLOOKUP(E19,lookups90!$B$4:$B$999,lookups90!$AL$4:$AL$999,"",0)),"")</f>
        <v/>
      </c>
      <c r="AW19" s="20" t="str">
        <f>IF(C19&lt;&gt;"", T19-_xlfn.XLOOKUP(E19,lookups90!$B$4:$B$999,lookups90!$AP$4:$AP$999,"",0),"")</f>
        <v/>
      </c>
      <c r="AX19" s="20" t="str">
        <f>IFERROR(IF(_xlfn.XLOOKUP(E19,lookups90!$B$4:$B$999,lookups90!$AR$4:$AR$999,"",0)=0,"",D19*_xlfn.XLOOKUP(E19,lookups90!$B$4:$B$999,lookups90!$AR$4:$AR$999,"",0)),"")</f>
        <v/>
      </c>
      <c r="AY19" s="24" t="str">
        <f>IF(V19&lt;&gt;"", V19-_xlfn.XLOOKUP(E19,lookups90!$B$4:$B$999,lookups90!$AP$4:$AP$999,"",0),"")</f>
        <v/>
      </c>
      <c r="AZ19" s="20" t="str">
        <f>IFERROR(IF(_xlfn.XLOOKUP(E19,lookups90!$B$4:$B$999,lookups90!$AS$4:$AS$999,"",0)=0,"",D19*_xlfn.XLOOKUP(E19,lookups90!$B$4:$B$999,lookups90!$AS$4:$AS$999,"",0)),"")</f>
        <v/>
      </c>
      <c r="BA19" s="20" t="str">
        <f>IF(X19&lt;&gt;"", X19-_xlfn.XLOOKUP(E19,lookups90!$B$4:$B$999,lookups90!$AQ$4:$AQ$999,"",0),"")</f>
        <v/>
      </c>
      <c r="BB19" s="20" t="str">
        <f>IFERROR(IF(_xlfn.XLOOKUP(E19,lookups90!$B$4:$B$999,lookups90!$AT$4:$AT$999,"",0)=0,"",D19*_xlfn.XLOOKUP(E19,lookups90!$B$4:$B$999,lookups90!$AT$4:$AT$999,"",0)),"")</f>
        <v/>
      </c>
      <c r="BD19" s="20" t="str">
        <f>IF(C19&lt;&gt;"", N19-_xlfn.XLOOKUP(E19,lookups90!$B$4:$B$999,lookups90!$AX$4:$AX$999,"",0)+M19,"")</f>
        <v/>
      </c>
      <c r="BE19" s="20" t="str">
        <f>IFERROR(IF(_xlfn.XLOOKUP(E19,lookups90!$B$4:$B$999,lookups90!$AY$4:$AY$999,"",0)=0,"",D19*_xlfn.XLOOKUP(E19,lookups90!$B$4:$B$999,lookups90!$AY$4:$AY$999,"",0)),"")</f>
        <v/>
      </c>
      <c r="BF19" s="20" t="str">
        <f>IF(C19&lt;&gt;"", P19-_xlfn.XLOOKUP(E19,lookups90!$B$4:$B$999,lookups90!$AX$4:$AX$999,"",0)+M19,"")</f>
        <v/>
      </c>
      <c r="BG19" s="20" t="str">
        <f>IFERROR(IF(_xlfn.XLOOKUP(E19,lookups90!$B$4:$B$999,lookups90!$AZ$4:$AZ$999,"",0)=0,"",D19*_xlfn.XLOOKUP(E19,lookups90!$B$4:$B$999,lookups90!$AZ$4:$AZ$999,"",0)),"")</f>
        <v/>
      </c>
      <c r="BI19" s="20" t="str">
        <f>IF(C19&lt;&gt;"", T19-_xlfn.XLOOKUP(E19,lookups90!$B$4:$B$999,lookups90!$BA$4:$BA$999,"",0),"")</f>
        <v/>
      </c>
      <c r="BJ19" s="20" t="str">
        <f>IFERROR(IF(_xlfn.XLOOKUP(E19,lookups90!$B$4:$B$999,lookups90!$BB$4:$BB$999,"",0)=0,"",D19*_xlfn.XLOOKUP(E19,lookups90!$B$4:$B$999,lookups90!$BB$4:$BB$999,"",0)),"")</f>
        <v/>
      </c>
      <c r="BK19" s="20" t="str">
        <f>IF(V19&lt;&gt;"", V19-_xlfn.XLOOKUP(E19,lookups90!$B$4:$B$999,lookups90!$BA$4:$BA$999,"",0),"")</f>
        <v/>
      </c>
      <c r="BL19" s="20" t="str">
        <f>IFERROR(IF(_xlfn.XLOOKUP(E19,lookups90!$B$4:$B$999,lookups90!$BC$4:$BC$999,"",0)=0,"",D19*_xlfn.XLOOKUP(E19,lookups90!$B$4:$B$999,lookups90!$BC$4:$BC$999,"",0)),"")</f>
        <v/>
      </c>
      <c r="BM19" s="20" t="str">
        <f>IF(C19&lt;&gt;"", X19-_xlfn.XLOOKUP(E19,lookups90!$B$4:$B$999,lookups90!$BA$4:$BA$999,"",0),"")</f>
        <v/>
      </c>
      <c r="BN19" s="20" t="str">
        <f>IFERROR(IF(_xlfn.XLOOKUP(E19,lookups90!$B$4:$B$999,lookups90!$BD$4:$BD$999,"",0)=0,"",D19*_xlfn.XLOOKUP(E19,lookups90!$B$4:$B$999,lookups90!$BD$4:$BD$999,"",0)),"")</f>
        <v/>
      </c>
      <c r="BP19" s="20" t="str">
        <f>IF(AB19&lt;&gt;"", AB19-_xlfn.XLOOKUP(E19,lookups90!$B$4:$B$999,lookups90!$BE$4:$BE$999,"",0),"")</f>
        <v/>
      </c>
      <c r="BQ19" s="20" t="str">
        <f>IFERROR(IF(_xlfn.XLOOKUP(E19,lookups90!$B$4:$B$999,lookups90!$BF$4:$BF$999,"",0)=0,"",D19*_xlfn.XLOOKUP(E19,lookups90!$B$4:$B$999,lookups90!$BF$4:$BF$999,"",0)),"")</f>
        <v/>
      </c>
      <c r="BR19" s="20" t="str" cm="1">
        <f t="array" ref="BR19">_xlfn.IFS(BP19="","",OR(E19="Fix Slide Door - with Screen",E19="Slide Slide Door - with Screen"),(K19-_xlfn.XLOOKUP(E19,lookups90!$B$4:$B$999,lookups90!$F$4:$F$999,"",0)-_xlfn.XLOOKUP(E19,lookups90!$B$4:$B$999,lookups90!$G$4:$G$999,"",0)+_xlfn.XLOOKUP(E19,lookups90!$B$4:$B$999,lookups90!$H$4:$H$999,"",0))/2+_xlfn.XLOOKUP(E19,lookups90!$B$4:$B$999,lookups90!$I$4:$I$999,"",0)-_xlfn.XLOOKUP(E19,lookups90!$B$4:$B$999,lookups90!$BE$4:$BE$999,"",0), E19="Fix Slide Slide Fix Door - with Screen",(K19-_xlfn.XLOOKUP(E19,lookups90!$B$4:$B$999,lookups90!$F$4:$F$999,"",0)-_xlfn.XLOOKUP(E19,lookups90!$B$4:$B$999,lookups90!$G$4:$G$999,"",0)+_xlfn.XLOOKUP(E19,lookups90!$B$4:$B$999,lookups90!$H$4:$H$999,"",0)+_xlfn.XLOOKUP(E19,lookups90!$B$4:$B$999,lookups90!$H$4:$H$999,"",0))/4+_xlfn.XLOOKUP(E19,lookups90!$B$4:$B$999,lookups90!$I$4:$I$999,"",0)-_xlfn.XLOOKUP(E19,lookups90!$B$4:$B$999,lookups90!$BE$4:$BE$999,"",0))</f>
        <v/>
      </c>
      <c r="BS19" s="20" t="str">
        <f>IFERROR(IF(_xlfn.XLOOKUP(E19,lookups90!$B$4:$B$999,lookups90!$BG$4:$BG$999,"",0)=0,"",D19*_xlfn.XLOOKUP(E19,lookups90!$B$4:$B$999,lookups90!$BG$4:$BG$999,"",0)),"")</f>
        <v/>
      </c>
      <c r="BU19" s="20" t="str">
        <f>IF(AG19&lt;&gt;"",AG19-_xlfn.XLOOKUP(E19,lookups90!$B$4:$B$999,lookups90!$BA$4:$BA$999,"",0),"")</f>
        <v/>
      </c>
      <c r="BV19" s="20" t="str">
        <f>IFERROR(IF(_xlfn.XLOOKUP(E19,lookups90!$B$4:$B$999,lookups90!$BH$4:$BH$999,"",0)=0,"",D19*_xlfn.XLOOKUP(E19,lookups90!$B$4:$B$999,lookups90!$BH$4:$BH$999,"",0)),"")</f>
        <v/>
      </c>
      <c r="BW19" s="20" t="str" cm="1">
        <f t="array" ref="BW19">_xlfn.IFS(BU19="","",OR(E19="Fix Slide Window",E19="Slide Slide Window"),(K19-_xlfn.XLOOKUP(E19,lookups90!$B$4:$B$999,lookups90!$F$4:$F$999,"",0)-_xlfn.XLOOKUP(E19,lookups90!$B$4:$B$999,lookups90!$G$4:$G$999,"",0)+_xlfn.XLOOKUP(E19,lookups90!$B$4:$B$999,lookups90!$H$4:$H$999,"",0))/2+_xlfn.XLOOKUP(E19,lookups90!$B$4:$B$999,lookups90!$I$4:$I$999,"",0)-_xlfn.XLOOKUP(E19,lookups90!$B$4:$B$999,lookups90!$BA$4:$BA$999,"",0), E19="Fix Slide Slide Fix Window",(K19-_xlfn.XLOOKUP(E19,lookups90!$B$4:$B$999,lookups90!$F$4:$F$999,"",0)-_xlfn.XLOOKUP(E19,lookups90!$B$4:$B$999,lookups90!$G$4:$G$999,"",0)+_xlfn.XLOOKUP(E19,lookups90!$B$4:$B$999,lookups90!$H$4:$H$999,"",0)+_xlfn.XLOOKUP(E19,lookups90!$B$4:$B$999,lookups90!$H$4:$H$999,"",0))/4+_xlfn.XLOOKUP(E19,lookups90!$B$4:$B$999,lookups90!$I$4:$I$999,"",0)-_xlfn.XLOOKUP(E19,lookups90!$B$4:$B$999,lookups90!$BA$4:$BA$999,"",0))</f>
        <v/>
      </c>
      <c r="BX19" s="20" t="str">
        <f>IFERROR(IF(_xlfn.XLOOKUP(E19,lookups90!$B$4:$B$999,lookups90!$BI$4:$BI$999,"",0)=0,"",D19*_xlfn.XLOOKUP(E19,lookups90!$B$4:$B$999,lookups90!$BI$4:$BI$999,"",0)),"")</f>
        <v/>
      </c>
      <c r="BZ19" s="20" t="str">
        <f>IF(AL19&lt;&gt;"", AL19-_xlfn.XLOOKUP(E19,lookups90!$B$4:$B$999,lookups90!$BJ$4:$BJ$999,"",0),"")</f>
        <v/>
      </c>
      <c r="CA19" s="20" t="str">
        <f>IFERROR(IF(_xlfn.XLOOKUP(E19,lookups90!$B$4:$B$999,lookups90!$BK$4:$BK$999,"",0)=0,"",D19*_xlfn.XLOOKUP(E19,lookups90!$B$4:$B$999,lookups90!$BK$4:$BK$999,"",0)),"")</f>
        <v/>
      </c>
      <c r="CC19" s="20" t="str">
        <f>IF(C19&lt;&gt;"", T19-_xlfn.XLOOKUP(E19,lookups90!$B$4:$B$999,lookups90!$BO$4:$BO$999,"",0)-_xlfn.XLOOKUP(E19,lookups90!$B$4:$B$999,lookups90!$BP$4:$BP$999,"",0),"")</f>
        <v/>
      </c>
      <c r="CD19" s="20" t="str">
        <f>IF(C19&lt;&gt;"", X19-_xlfn.XLOOKUP(E19,lookups90!$B$4:$B$999,lookups90!$BQ$4:$BQ$999,"",0)-_xlfn.XLOOKUP(E19,lookups90!$B$4:$B$999,lookups90!$BR$4:$BR$999,"",0),"")</f>
        <v/>
      </c>
      <c r="CE19" s="20" t="str">
        <f>IFERROR(IF(_xlfn.XLOOKUP(E19,lookups90!$B$4:$B$999,lookups90!$BS$4:$BS$999,"",0)=0,"",D19*_xlfn.XLOOKUP(E19,lookups90!$B$4:$B$999,lookups90!$BS$4:$BS$999,"",0)),"")</f>
        <v/>
      </c>
      <c r="CF19" s="20" t="str">
        <f>IF(V19&lt;&gt;"", V19-_xlfn.XLOOKUP(E19,lookups90!$B$4:$B$999,lookups90!$BO$4:$BO$999,"",0)-_xlfn.XLOOKUP(E19,lookups90!$B$4:$B$999,lookups90!$BP$4:$BP$999,"",0),"")</f>
        <v/>
      </c>
      <c r="CG19" s="20" t="str">
        <f>IF(CF19&lt;&gt;"", X19-_xlfn.XLOOKUP(E19,lookups90!$B$4:$B$999,lookups90!$BQ$4:$BQ$999,"",0)-_xlfn.XLOOKUP(E19,lookups90!$B$4:$B$999,lookups90!$BR$4:$BR$999,"",0),"")</f>
        <v/>
      </c>
      <c r="CH19" s="20" t="str">
        <f>IFERROR(IF(_xlfn.XLOOKUP(E19,lookups90!$B$4:$B$999,lookups90!$BT$4:$BT$999,"",0)=0,"",D19*_xlfn.XLOOKUP(E19,lookups90!$B$4:$B$999,lookups90!$BT$4:$BT$999,"",0)),"")</f>
        <v/>
      </c>
      <c r="CJ19" s="22" t="str">
        <f t="shared" si="5"/>
        <v/>
      </c>
      <c r="CL19" s="22" t="str" cm="1">
        <f t="array" ref="CL19">IF(D19&lt;&gt;"",((((J19+K19)*2)/500)+(2*_xlfn.IFS(OR(E19="Fix Slide Window", E19="Slide Slide Window", E19="Fix Slide Slide Fix Window"), 2, E19="Slide Slide Door - with Screen", 8, E19&lt;&gt;"",4)))*D19,"")</f>
        <v/>
      </c>
      <c r="CM19" s="22" t="str">
        <f t="shared" si="6"/>
        <v/>
      </c>
      <c r="CN19" s="22" t="str">
        <f t="shared" si="7"/>
        <v/>
      </c>
      <c r="CO19" s="22" t="str">
        <f t="shared" si="8"/>
        <v/>
      </c>
      <c r="CP19" s="22" t="str">
        <f t="shared" si="0"/>
        <v/>
      </c>
    </row>
    <row r="20" spans="3:94" x14ac:dyDescent="0.25">
      <c r="C20" s="16"/>
      <c r="D20" s="16"/>
      <c r="E20" s="16"/>
      <c r="F20" s="16"/>
      <c r="G20" s="16"/>
      <c r="H20" s="16"/>
      <c r="I20" s="16"/>
      <c r="J20" s="16"/>
      <c r="K20" s="16"/>
      <c r="M20" s="20" t="str">
        <f t="shared" si="1"/>
        <v/>
      </c>
      <c r="N20" s="20" t="str" cm="1">
        <f t="array" ref="N20">IFERROR(_xlfn.IFS(OR(E20="Fix Awning (Vertical)", E20="Fix Awning (Horizontal)"), J20/2+20,C20&lt;&gt;"", J20+M20),"")</f>
        <v/>
      </c>
      <c r="O20" s="20" t="str">
        <f t="shared" si="2"/>
        <v/>
      </c>
      <c r="P20" s="20" t="str">
        <f t="shared" si="3"/>
        <v/>
      </c>
      <c r="Q20" s="20" t="str">
        <f t="shared" si="4"/>
        <v/>
      </c>
      <c r="S20" s="20" t="str">
        <f>IF(C20&lt;&gt;"", _xlfn.XLOOKUP(E20,lookups90!$B$4:$B$999,lookups90!$C$4:$C$999,"",0),"")</f>
        <v/>
      </c>
      <c r="T20" s="20" t="str">
        <f>IF(C20&lt;&gt;"", J20-_xlfn.XLOOKUP(E20,lookups90!$B$4:$B$999,lookups90!$D$4:$D$999, "",0),"")</f>
        <v/>
      </c>
      <c r="U20" s="20" t="str">
        <f>IF(T20&lt;&gt;"",D20*_xlfn.XLOOKUP(E20,lookups90!$B$4:$B$999,lookups90!$J$4:$J$999, "",0),"")</f>
        <v/>
      </c>
      <c r="V20" s="20" t="str">
        <f>IF(AND(C20&lt;&gt;"", E20&lt;&gt;"Slide Slide Window", E20&lt;&gt;"Slide Slide Door", E20&lt;&gt;"Slide Slide Door - with Screen"), J20-_xlfn.XLOOKUP(E20,lookups90!$B$4:$B$999,lookups90!$E$4:$E$999, "",0),"")</f>
        <v/>
      </c>
      <c r="W20" s="20" t="str">
        <f>IF(V20&lt;&gt;"",D20*_xlfn.XLOOKUP(E20,lookups90!$B$4:$B$999,lookups90!$K$4:$K$999, "",0),"")</f>
        <v/>
      </c>
      <c r="X20" s="20" t="str" cm="1">
        <f t="array" ref="X20">IFERROR(_xlfn.IFS(OR(E20="Fix Slide Window", E20="Slide Slide Window", E20="Fix Slide Door", E20="Slide Slide Door", E20="Fix Slide Door - with Screen", E20="Slide Slide Door - with Screen"), (K20-_xlfn.XLOOKUP(E20,lookups90!$B$4:$B$999,lookups90!$F$4:$F$999, "",0)-_xlfn.XLOOKUP(E20,lookups90!$B$4:$B$999,lookups90!$G$4:$G$999, "",0)+_xlfn.XLOOKUP(E20,lookups90!$B$4:$B$999,lookups90!$H$4:$H$999, "",0))/2+_xlfn.XLOOKUP(E20,lookups90!$B$4:$B$999,lookups90!$I$4:$I$999, "",0), OR(E20="Fix Slide Slide Fix Window", E20="Fix Slide Slide Fix Door - with Screen", E20="Fix Slide Slide Fix Door"),  (K20-_xlfn.XLOOKUP(E20,lookups90!$B$4:$B$999,lookups90!$F$4:$F$999, "",0)-_xlfn.XLOOKUP(E20,lookups90!$B$4:$B$999,lookups90!$G$4:$G$999, "",0)+_xlfn.XLOOKUP(E20,lookups90!$B$4:$B$999,lookups90!$H$4:$H$999, "",0)+_xlfn.XLOOKUP(E20,lookups90!$B$4:$B$999,lookups90!$H$4:$H$999, "",0))/4+_xlfn.XLOOKUP(E20,lookups90!$B$4:$B$999,lookups90!$I$4:$I$999, "",0), E20="Fix Slide Slide Door", (K20-_xlfn.XLOOKUP(E20,lookups90!$B$4:$B$999,lookups90!$F$4:$F$999, "",0)-_xlfn.XLOOKUP(E20,lookups90!$B$4:$B$999,lookups90!$G$4:$G$999, "",0)+_xlfn.XLOOKUP(E20,lookups90!$B$4:$B$999,lookups90!$H$4:$H$999, "",0)+_xlfn.XLOOKUP(E20,lookups90!$B$4:$B$999,lookups90!$H$4:$H$999, "",0))/3+_xlfn.XLOOKUP(E20,lookups90!$B$4:$B$999,lookups90!$I$4:$I$999, "",0),E20="Fix Slide Slide Slide Slide Fix Dr",  (K20-_xlfn.XLOOKUP(E20,lookups90!$B$4:$B$999,lookups90!$F$4:$F$999, "",0)-_xlfn.XLOOKUP(E20,lookups90!$B$4:$B$999,lookups90!$G$4:$G$999, "",0)+_xlfn.XLOOKUP(E20,lookups90!$B$4:$B$999,lookups90!$H$4:$H$999, "",0)+_xlfn.XLOOKUP(E20,lookups90!$B$4:$B$999,lookups90!$H$4:$H$999, "",0)+_xlfn.XLOOKUP(E20,lookups90!$B$4:$B$999,lookups90!$H$4:$H$999, "",0)+_xlfn.XLOOKUP(E20,lookups90!$B$4:$B$999,lookups90!$H$4:$H$999, "",0))/6+_xlfn.XLOOKUP(E20,lookups90!$B$4:$B$999,lookups90!$I$4:$I$999, "",0), E20="Fix Slide Slide Slide Slide Slide Slide Fix Dr",  (K20-_xlfn.XLOOKUP(E20,lookups90!$B$4:$B$999,lookups90!$F$4:$F$999, "",0)-_xlfn.XLOOKUP(E20,lookups90!$B$4:$B$999,lookups90!$G$4:$G$999, "",0)+_xlfn.XLOOKUP(E20,lookups90!$B$4:$B$999,lookups90!$H$4:$H$999, "",0)+_xlfn.XLOOKUP(E20,lookups90!$B$4:$B$999,lookups90!$H$4:$H$999, "",0)+_xlfn.XLOOKUP(E20,lookups90!$B$4:$B$999,lookups90!$H$4:$H$999, "",0)+_xlfn.XLOOKUP(E20,lookups90!$B$4:$B$999,lookups90!$H$4:$H$999, "",0)+_xlfn.XLOOKUP(E20,lookups90!$B$4:$B$999,lookups90!$H$4:$H$999, "",0)+_xlfn.XLOOKUP(E20,lookups90!$B$4:$B$999,lookups90!$H$4:$H$999, "",0))/8+_xlfn.XLOOKUP(E20,lookups90!$B$4:$B$999,lookups90!$I$4:$I$999, "",0)),"")</f>
        <v/>
      </c>
      <c r="Y20" s="20" t="str">
        <f>IF(X20&lt;&gt;"",D20*_xlfn.XLOOKUP(E20,lookups90!$B$4:$B$999,lookups90!$L$4:$L$999, "",0),"")</f>
        <v/>
      </c>
      <c r="AA20" s="20" t="str">
        <f>IF(C20&lt;&gt;"", IF(_xlfn.XLOOKUP(E20,lookups90!$B$4:$B$999,lookups90!$P$4:$P$999,"",0)=0,"",_xlfn.XLOOKUP(E20,lookups90!$B$4:$B$999,lookups90!$P$4:$P$999,"",0)),"")</f>
        <v/>
      </c>
      <c r="AB20" s="20" t="str">
        <f>IF(AA20&lt;&gt;"", J20-_xlfn.XLOOKUP(E20,lookups90!$B$4:$B$999,lookups90!$D$4:$D$999, "",0),"")</f>
        <v/>
      </c>
      <c r="AC20" s="20" t="str">
        <f>IF(AA20&lt;&gt;"",D20*_xlfn.XLOOKUP(E20,lookups90!$B$4:$B$999,lookups90!$Q$4:$Q$999, "",0),"")</f>
        <v/>
      </c>
      <c r="AD20" s="20" t="str" cm="1">
        <f t="array" ref="AD20">IF(AA20&lt;&gt;"", _xlfn.IFS(OR(E20="Fix Slide Window", E20="Slide Slide Window", E20="Fix Slide Door", E20="Slide Slide Door", E20="Fix Slide Door - with Screen", E20="Slide Slide Door - with Screen"), (K20-_xlfn.XLOOKUP(E20,lookups90!$B$4:$B$999,lookups90!$F$4:$F$999, "",0)-_xlfn.XLOOKUP(E20,lookups90!$B$4:$B$999,lookups90!$G$4:$G$999, "",0)+_xlfn.XLOOKUP(E20,lookups90!$B$4:$B$999,lookups90!$H$4:$H$999, "",0))/2+_xlfn.XLOOKUP(E20,lookups90!$B$4:$B$999,lookups90!$I$4:$I$999, "",0), OR(E20="Fix Slide Slide Fix Window", E20="Fix Slide Slide Fix Door - with Screen", E20="Fix Slide Slide Fix Door"),  (K20-_xlfn.XLOOKUP(E20,lookups90!$B$4:$B$999,lookups90!$F$4:$F$999, "",0)-_xlfn.XLOOKUP(E20,lookups90!$B$4:$B$999,lookups90!$G$4:$G$999, "",0)+_xlfn.XLOOKUP(E20,lookups90!$B$4:$B$999,lookups90!$H$4:$H$999, "",0)+_xlfn.XLOOKUP(E20,lookups90!$B$4:$B$999,lookups90!$H$4:$H$999, "",0))/4+_xlfn.XLOOKUP(E20,lookups90!$B$4:$B$999,lookups90!$I$4:$I$999, "",0), E20="Fix Slide Slide Door", (K20-_xlfn.XLOOKUP(E20,lookups90!$B$4:$B$999,lookups90!$F$4:$F$999, "",0)-_xlfn.XLOOKUP(E20,lookups90!$B$4:$B$999,lookups90!$G$4:$G$999, "",0)+_xlfn.XLOOKUP(E20,lookups90!$B$4:$B$999,lookups90!$H$4:$H$999, "",0)+_xlfn.XLOOKUP(E20,lookups90!$B$4:$B$999,lookups90!$H$4:$H$999, "",0))/3+_xlfn.XLOOKUP(E20,lookups90!$B$4:$B$999,lookups90!$I$4:$I$999, "",0) ),"")</f>
        <v/>
      </c>
      <c r="AE20" s="20" t="str">
        <f>IF(AA20&lt;&gt;"",D20*_xlfn.XLOOKUP(E20,lookups90!$B$4:$B$999,lookups90!$R$4:$R$999, "",0),"")</f>
        <v/>
      </c>
      <c r="AG20" s="20" t="str">
        <f>IF(AH20&lt;&gt;"", J20-_xlfn.XLOOKUP(E20,lookups90!$B$4:$B$999,lookups90!$D$4:$D$999, "",0),"")</f>
        <v/>
      </c>
      <c r="AH20" s="20" t="str">
        <f>IF(_xlfn.XLOOKUP(E20,lookups90!$B$4:$B$999,lookups90!$V$4:$V$999,"",0)=0,"",D20*_xlfn.XLOOKUP(E20,lookups90!$B$4:$B$999,lookups90!$V$4:$V$999,"",0))</f>
        <v/>
      </c>
      <c r="AI20" s="20" t="str" cm="1">
        <f t="array" ref="AI20">IF(AH20&lt;&gt;"", _xlfn.IFS(OR(E20="Fix Slide Window", E20="Slide Slide Window"), (K20-_xlfn.XLOOKUP(E20,lookups90!$B$4:$B$999,lookups90!$F$4:$F$999, "",0)-_xlfn.XLOOKUP(E20,lookups90!$B$4:$B$999,lookups90!$G$4:$G$999, "",0)+_xlfn.XLOOKUP(E20,lookups90!$B$4:$B$999,lookups90!$H$4:$H$999, "",0))/2+_xlfn.XLOOKUP(E20,lookups90!$B$4:$B$999,lookups90!$I$4:$I$999, "",0), OR(E20="Fix Slide Slide Fix Window"),  (K20-_xlfn.XLOOKUP(E20,lookups90!$B$4:$B$999,lookups90!$F$4:$F$999, "",0)+_xlfn.XLOOKUP(E20,lookups90!$B$4:$B$999,lookups90!$H$4:$H$999, "",0)+_xlfn.XLOOKUP(E20,lookups90!$B$4:$B$999,lookups90!$H$4:$H$999, "",0))/4+_xlfn.XLOOKUP(E20,lookups90!$B$4:$B$999,lookups90!$I$4:$I$999, "",0)),"")</f>
        <v/>
      </c>
      <c r="AJ20" s="20" t="str">
        <f>IF(_xlfn.XLOOKUP(E20,lookups90!$B$4:$B$999,lookups90!$V$4:$V$999,"",0)=0,"",D20*_xlfn.XLOOKUP(E20,lookups90!$B$4:$B$999,lookups90!$W$4:$W$999,"",0))</f>
        <v/>
      </c>
      <c r="AL20" s="20" t="str" cm="1">
        <f t="array" ref="AL20">IF(AM20&lt;&gt;"", _xlfn.IFS(OR(E20="Fix Slide Door - with Screen", E20="Slide Slide Door - with Screen"), (K20-_xlfn.XLOOKUP(E20,lookups90!$B$4:$B$999,lookups90!$F$4:$F$999, "",0)-_xlfn.XLOOKUP(E20,lookups90!$B$4:$B$999,lookups90!$G$4:$G$999, "",0)+_xlfn.XLOOKUP(E20,lookups90!$B$4:$B$999,lookups90!$H$4:$H$999, "",0))/2+_xlfn.XLOOKUP(E20,lookups90!$B$4:$B$999,lookups90!$I$4:$I$999, "",0), OR( E20="Fix Slide Slide Fix Door - with Screen",  E20="Fix Slide Slide Door"),  (K20-_xlfn.XLOOKUP(E20,lookups90!$B$4:$B$999,lookups90!$F$4:$F$999, "",0)-_xlfn.XLOOKUP(E20,lookups90!$B$4:$B$999,lookups90!$G$4:$G$999, "",0)+_xlfn.XLOOKUP(E20,lookups90!$B$4:$B$999,lookups90!$H$4:$H$999, "",0)+_xlfn.XLOOKUP(E20,lookups90!$B$4:$B$999,lookups90!$H$4:$H$999, "",0))/4+_xlfn.XLOOKUP(E20,lookups90!$B$4:$B$999,lookups90!$I$4:$I$999, "",0)),"")</f>
        <v/>
      </c>
      <c r="AM20" s="20" t="str">
        <f>IF(_xlfn.XLOOKUP(E20,lookups90!$B$4:$B$999,lookups90!$AA$4:$AA$999,"",0)=0,"",D20*_xlfn.XLOOKUP(E20,lookups90!$B$4:$B$999,lookups90!$AA$4:$AA$999,"",0))</f>
        <v/>
      </c>
      <c r="AO20" s="20" t="str">
        <f>IFERROR(IF(C20&lt;&gt;"", T20-_xlfn.XLOOKUP(E20,lookups90!$B$4:$B$999,lookups90!$AE$4:$AE$999, "",0),""),"")</f>
        <v/>
      </c>
      <c r="AP20" s="20" t="str">
        <f>IF(_xlfn.XLOOKUP(E20,lookups90!$B$4:$B$999,lookups90!$AG$4:$AG$999,"",0)=0,"",D20*_xlfn.XLOOKUP(E20,lookups90!$B$4:$B$999,lookups90!$AG$4:$AG$999,"",0))</f>
        <v/>
      </c>
      <c r="AQ20" s="20" t="str">
        <f>IF(V20&lt;&gt;"", T20-_xlfn.XLOOKUP(E20,lookups90!$B$4:$B$999,lookups90!$AE$4:$AE$999, "",0)+_xlfn.XLOOKUP(E20,lookups90!$B$4:$B$999,lookups90!$AF$4:$AF$999, "",0),"")</f>
        <v/>
      </c>
      <c r="AR20" s="20" t="str">
        <f>IFERROR(IF(_xlfn.XLOOKUP(E20,lookups90!$B$4:$B$999,lookups90!$AH$4:$AH$999,"",0)=0,"",D20*_xlfn.XLOOKUP(E20,lookups90!$B$4:$B$999,lookups90!$AH$4:$AH$999,"",0)),"")</f>
        <v/>
      </c>
      <c r="AT20" s="20" t="str">
        <f>IF(OR(E20="Fix Slide Slide Fix Window", E20="Fix Slide Slide Fix Door", E20="Fix Slide Slide Fix Door - with Screen", E20="Fix Slide Slide Door"), T20-_xlfn.XLOOKUP(E20,lookups90!$B$4:$B$999,lookups90!$AE$4:$AE$999,"",0),"")</f>
        <v/>
      </c>
      <c r="AU20" s="20" t="str">
        <f>IFERROR(IF(_xlfn.XLOOKUP(E20,lookups90!$B$4:$B$999,lookups90!$AL$4:$AL$999,"",0)=0,"",D20*_xlfn.XLOOKUP(E20,lookups90!$B$4:$B$999,lookups90!$AL$4:$AL$999,"",0)),"")</f>
        <v/>
      </c>
      <c r="AW20" s="20" t="str">
        <f>IF(C20&lt;&gt;"", T20-_xlfn.XLOOKUP(E20,lookups90!$B$4:$B$999,lookups90!$AP$4:$AP$999,"",0),"")</f>
        <v/>
      </c>
      <c r="AX20" s="20" t="str">
        <f>IFERROR(IF(_xlfn.XLOOKUP(E20,lookups90!$B$4:$B$999,lookups90!$AR$4:$AR$999,"",0)=0,"",D20*_xlfn.XLOOKUP(E20,lookups90!$B$4:$B$999,lookups90!$AR$4:$AR$999,"",0)),"")</f>
        <v/>
      </c>
      <c r="AY20" s="24" t="str">
        <f>IF(V20&lt;&gt;"", V20-_xlfn.XLOOKUP(E20,lookups90!$B$4:$B$999,lookups90!$AP$4:$AP$999,"",0),"")</f>
        <v/>
      </c>
      <c r="AZ20" s="20" t="str">
        <f>IFERROR(IF(_xlfn.XLOOKUP(E20,lookups90!$B$4:$B$999,lookups90!$AS$4:$AS$999,"",0)=0,"",D20*_xlfn.XLOOKUP(E20,lookups90!$B$4:$B$999,lookups90!$AS$4:$AS$999,"",0)),"")</f>
        <v/>
      </c>
      <c r="BA20" s="20" t="str">
        <f>IF(X20&lt;&gt;"", X20-_xlfn.XLOOKUP(E20,lookups90!$B$4:$B$999,lookups90!$AQ$4:$AQ$999,"",0),"")</f>
        <v/>
      </c>
      <c r="BB20" s="20" t="str">
        <f>IFERROR(IF(_xlfn.XLOOKUP(E20,lookups90!$B$4:$B$999,lookups90!$AT$4:$AT$999,"",0)=0,"",D20*_xlfn.XLOOKUP(E20,lookups90!$B$4:$B$999,lookups90!$AT$4:$AT$999,"",0)),"")</f>
        <v/>
      </c>
      <c r="BD20" s="20" t="str">
        <f>IF(C20&lt;&gt;"", N20-_xlfn.XLOOKUP(E20,lookups90!$B$4:$B$999,lookups90!$AX$4:$AX$999,"",0)+M20,"")</f>
        <v/>
      </c>
      <c r="BE20" s="20" t="str">
        <f>IFERROR(IF(_xlfn.XLOOKUP(E20,lookups90!$B$4:$B$999,lookups90!$AY$4:$AY$999,"",0)=0,"",D20*_xlfn.XLOOKUP(E20,lookups90!$B$4:$B$999,lookups90!$AY$4:$AY$999,"",0)),"")</f>
        <v/>
      </c>
      <c r="BF20" s="20" t="str">
        <f>IF(C20&lt;&gt;"", P20-_xlfn.XLOOKUP(E20,lookups90!$B$4:$B$999,lookups90!$AX$4:$AX$999,"",0)+M20,"")</f>
        <v/>
      </c>
      <c r="BG20" s="20" t="str">
        <f>IFERROR(IF(_xlfn.XLOOKUP(E20,lookups90!$B$4:$B$999,lookups90!$AZ$4:$AZ$999,"",0)=0,"",D20*_xlfn.XLOOKUP(E20,lookups90!$B$4:$B$999,lookups90!$AZ$4:$AZ$999,"",0)),"")</f>
        <v/>
      </c>
      <c r="BI20" s="20" t="str">
        <f>IF(C20&lt;&gt;"", T20-_xlfn.XLOOKUP(E20,lookups90!$B$4:$B$999,lookups90!$BA$4:$BA$999,"",0),"")</f>
        <v/>
      </c>
      <c r="BJ20" s="20" t="str">
        <f>IFERROR(IF(_xlfn.XLOOKUP(E20,lookups90!$B$4:$B$999,lookups90!$BB$4:$BB$999,"",0)=0,"",D20*_xlfn.XLOOKUP(E20,lookups90!$B$4:$B$999,lookups90!$BB$4:$BB$999,"",0)),"")</f>
        <v/>
      </c>
      <c r="BK20" s="20" t="str">
        <f>IF(V20&lt;&gt;"", V20-_xlfn.XLOOKUP(E20,lookups90!$B$4:$B$999,lookups90!$BA$4:$BA$999,"",0),"")</f>
        <v/>
      </c>
      <c r="BL20" s="20" t="str">
        <f>IFERROR(IF(_xlfn.XLOOKUP(E20,lookups90!$B$4:$B$999,lookups90!$BC$4:$BC$999,"",0)=0,"",D20*_xlfn.XLOOKUP(E20,lookups90!$B$4:$B$999,lookups90!$BC$4:$BC$999,"",0)),"")</f>
        <v/>
      </c>
      <c r="BM20" s="20" t="str">
        <f>IF(C20&lt;&gt;"", X20-_xlfn.XLOOKUP(E20,lookups90!$B$4:$B$999,lookups90!$BA$4:$BA$999,"",0),"")</f>
        <v/>
      </c>
      <c r="BN20" s="20" t="str">
        <f>IFERROR(IF(_xlfn.XLOOKUP(E20,lookups90!$B$4:$B$999,lookups90!$BD$4:$BD$999,"",0)=0,"",D20*_xlfn.XLOOKUP(E20,lookups90!$B$4:$B$999,lookups90!$BD$4:$BD$999,"",0)),"")</f>
        <v/>
      </c>
      <c r="BP20" s="20" t="str">
        <f>IF(AB20&lt;&gt;"", AB20-_xlfn.XLOOKUP(E20,lookups90!$B$4:$B$999,lookups90!$BE$4:$BE$999,"",0),"")</f>
        <v/>
      </c>
      <c r="BQ20" s="20" t="str">
        <f>IFERROR(IF(_xlfn.XLOOKUP(E20,lookups90!$B$4:$B$999,lookups90!$BF$4:$BF$999,"",0)=0,"",D20*_xlfn.XLOOKUP(E20,lookups90!$B$4:$B$999,lookups90!$BF$4:$BF$999,"",0)),"")</f>
        <v/>
      </c>
      <c r="BR20" s="20" t="str" cm="1">
        <f t="array" ref="BR20">_xlfn.IFS(BP20="","",OR(E20="Fix Slide Door - with Screen",E20="Slide Slide Door - with Screen"),(K20-_xlfn.XLOOKUP(E20,lookups90!$B$4:$B$999,lookups90!$F$4:$F$999,"",0)-_xlfn.XLOOKUP(E20,lookups90!$B$4:$B$999,lookups90!$G$4:$G$999,"",0)+_xlfn.XLOOKUP(E20,lookups90!$B$4:$B$999,lookups90!$H$4:$H$999,"",0))/2+_xlfn.XLOOKUP(E20,lookups90!$B$4:$B$999,lookups90!$I$4:$I$999,"",0)-_xlfn.XLOOKUP(E20,lookups90!$B$4:$B$999,lookups90!$BE$4:$BE$999,"",0), E20="Fix Slide Slide Fix Door - with Screen",(K20-_xlfn.XLOOKUP(E20,lookups90!$B$4:$B$999,lookups90!$F$4:$F$999,"",0)-_xlfn.XLOOKUP(E20,lookups90!$B$4:$B$999,lookups90!$G$4:$G$999,"",0)+_xlfn.XLOOKUP(E20,lookups90!$B$4:$B$999,lookups90!$H$4:$H$999,"",0)+_xlfn.XLOOKUP(E20,lookups90!$B$4:$B$999,lookups90!$H$4:$H$999,"",0))/4+_xlfn.XLOOKUP(E20,lookups90!$B$4:$B$999,lookups90!$I$4:$I$999,"",0)-_xlfn.XLOOKUP(E20,lookups90!$B$4:$B$999,lookups90!$BE$4:$BE$999,"",0))</f>
        <v/>
      </c>
      <c r="BS20" s="20" t="str">
        <f>IFERROR(IF(_xlfn.XLOOKUP(E20,lookups90!$B$4:$B$999,lookups90!$BG$4:$BG$999,"",0)=0,"",D20*_xlfn.XLOOKUP(E20,lookups90!$B$4:$B$999,lookups90!$BG$4:$BG$999,"",0)),"")</f>
        <v/>
      </c>
      <c r="BU20" s="20" t="str">
        <f>IF(AG20&lt;&gt;"",AG20-_xlfn.XLOOKUP(E20,lookups90!$B$4:$B$999,lookups90!$BA$4:$BA$999,"",0),"")</f>
        <v/>
      </c>
      <c r="BV20" s="20" t="str">
        <f>IFERROR(IF(_xlfn.XLOOKUP(E20,lookups90!$B$4:$B$999,lookups90!$BH$4:$BH$999,"",0)=0,"",D20*_xlfn.XLOOKUP(E20,lookups90!$B$4:$B$999,lookups90!$BH$4:$BH$999,"",0)),"")</f>
        <v/>
      </c>
      <c r="BW20" s="20" t="str" cm="1">
        <f t="array" ref="BW20">_xlfn.IFS(BU20="","",OR(E20="Fix Slide Window",E20="Slide Slide Window"),(K20-_xlfn.XLOOKUP(E20,lookups90!$B$4:$B$999,lookups90!$F$4:$F$999,"",0)-_xlfn.XLOOKUP(E20,lookups90!$B$4:$B$999,lookups90!$G$4:$G$999,"",0)+_xlfn.XLOOKUP(E20,lookups90!$B$4:$B$999,lookups90!$H$4:$H$999,"",0))/2+_xlfn.XLOOKUP(E20,lookups90!$B$4:$B$999,lookups90!$I$4:$I$999,"",0)-_xlfn.XLOOKUP(E20,lookups90!$B$4:$B$999,lookups90!$BA$4:$BA$999,"",0), E20="Fix Slide Slide Fix Window",(K20-_xlfn.XLOOKUP(E20,lookups90!$B$4:$B$999,lookups90!$F$4:$F$999,"",0)-_xlfn.XLOOKUP(E20,lookups90!$B$4:$B$999,lookups90!$G$4:$G$999,"",0)+_xlfn.XLOOKUP(E20,lookups90!$B$4:$B$999,lookups90!$H$4:$H$999,"",0)+_xlfn.XLOOKUP(E20,lookups90!$B$4:$B$999,lookups90!$H$4:$H$999,"",0))/4+_xlfn.XLOOKUP(E20,lookups90!$B$4:$B$999,lookups90!$I$4:$I$999,"",0)-_xlfn.XLOOKUP(E20,lookups90!$B$4:$B$999,lookups90!$BA$4:$BA$999,"",0))</f>
        <v/>
      </c>
      <c r="BX20" s="20" t="str">
        <f>IFERROR(IF(_xlfn.XLOOKUP(E20,lookups90!$B$4:$B$999,lookups90!$BI$4:$BI$999,"",0)=0,"",D20*_xlfn.XLOOKUP(E20,lookups90!$B$4:$B$999,lookups90!$BI$4:$BI$999,"",0)),"")</f>
        <v/>
      </c>
      <c r="BZ20" s="20" t="str">
        <f>IF(AL20&lt;&gt;"", AL20-_xlfn.XLOOKUP(E20,lookups90!$B$4:$B$999,lookups90!$BJ$4:$BJ$999,"",0),"")</f>
        <v/>
      </c>
      <c r="CA20" s="20" t="str">
        <f>IFERROR(IF(_xlfn.XLOOKUP(E20,lookups90!$B$4:$B$999,lookups90!$BK$4:$BK$999,"",0)=0,"",D20*_xlfn.XLOOKUP(E20,lookups90!$B$4:$B$999,lookups90!$BK$4:$BK$999,"",0)),"")</f>
        <v/>
      </c>
      <c r="CC20" s="20" t="str">
        <f>IF(C20&lt;&gt;"", T20-_xlfn.XLOOKUP(E20,lookups90!$B$4:$B$999,lookups90!$BO$4:$BO$999,"",0)-_xlfn.XLOOKUP(E20,lookups90!$B$4:$B$999,lookups90!$BP$4:$BP$999,"",0),"")</f>
        <v/>
      </c>
      <c r="CD20" s="20" t="str">
        <f>IF(C20&lt;&gt;"", X20-_xlfn.XLOOKUP(E20,lookups90!$B$4:$B$999,lookups90!$BQ$4:$BQ$999,"",0)-_xlfn.XLOOKUP(E20,lookups90!$B$4:$B$999,lookups90!$BR$4:$BR$999,"",0),"")</f>
        <v/>
      </c>
      <c r="CE20" s="20" t="str">
        <f>IFERROR(IF(_xlfn.XLOOKUP(E20,lookups90!$B$4:$B$999,lookups90!$BS$4:$BS$999,"",0)=0,"",D20*_xlfn.XLOOKUP(E20,lookups90!$B$4:$B$999,lookups90!$BS$4:$BS$999,"",0)),"")</f>
        <v/>
      </c>
      <c r="CF20" s="20" t="str">
        <f>IF(V20&lt;&gt;"", V20-_xlfn.XLOOKUP(E20,lookups90!$B$4:$B$999,lookups90!$BO$4:$BO$999,"",0)-_xlfn.XLOOKUP(E20,lookups90!$B$4:$B$999,lookups90!$BP$4:$BP$999,"",0),"")</f>
        <v/>
      </c>
      <c r="CG20" s="20" t="str">
        <f>IF(CF20&lt;&gt;"", X20-_xlfn.XLOOKUP(E20,lookups90!$B$4:$B$999,lookups90!$BQ$4:$BQ$999,"",0)-_xlfn.XLOOKUP(E20,lookups90!$B$4:$B$999,lookups90!$BR$4:$BR$999,"",0),"")</f>
        <v/>
      </c>
      <c r="CH20" s="20" t="str">
        <f>IFERROR(IF(_xlfn.XLOOKUP(E20,lookups90!$B$4:$B$999,lookups90!$BT$4:$BT$999,"",0)=0,"",D20*_xlfn.XLOOKUP(E20,lookups90!$B$4:$B$999,lookups90!$BT$4:$BT$999,"",0)),"")</f>
        <v/>
      </c>
      <c r="CJ20" s="22" t="str">
        <f t="shared" si="5"/>
        <v/>
      </c>
      <c r="CL20" s="22" t="str" cm="1">
        <f t="array" ref="CL20">IF(D20&lt;&gt;"",((((J20+K20)*2)/500)+(2*_xlfn.IFS(OR(E20="Fix Slide Window", E20="Slide Slide Window", E20="Fix Slide Slide Fix Window"), 2, E20="Slide Slide Door - with Screen", 8, E20&lt;&gt;"",4)))*D20,"")</f>
        <v/>
      </c>
      <c r="CM20" s="22" t="str">
        <f t="shared" si="6"/>
        <v/>
      </c>
      <c r="CN20" s="22" t="str">
        <f t="shared" si="7"/>
        <v/>
      </c>
      <c r="CO20" s="22" t="str">
        <f t="shared" si="8"/>
        <v/>
      </c>
      <c r="CP20" s="22" t="str">
        <f t="shared" si="0"/>
        <v/>
      </c>
    </row>
    <row r="21" spans="3:94" x14ac:dyDescent="0.25">
      <c r="C21" s="16"/>
      <c r="D21" s="16"/>
      <c r="E21" s="16"/>
      <c r="F21" s="16"/>
      <c r="G21" s="16"/>
      <c r="H21" s="16"/>
      <c r="I21" s="16"/>
      <c r="J21" s="16"/>
      <c r="K21" s="16"/>
      <c r="M21" s="20" t="str">
        <f t="shared" si="1"/>
        <v/>
      </c>
      <c r="N21" s="20" t="str" cm="1">
        <f t="array" ref="N21">IFERROR(_xlfn.IFS(OR(E21="Fix Awning (Vertical)", E21="Fix Awning (Horizontal)"), J21/2+20,C21&lt;&gt;"", J21+M21),"")</f>
        <v/>
      </c>
      <c r="O21" s="20" t="str">
        <f t="shared" si="2"/>
        <v/>
      </c>
      <c r="P21" s="20" t="str">
        <f t="shared" si="3"/>
        <v/>
      </c>
      <c r="Q21" s="20" t="str">
        <f t="shared" si="4"/>
        <v/>
      </c>
      <c r="S21" s="20" t="str">
        <f>IF(C21&lt;&gt;"", _xlfn.XLOOKUP(E21,lookups90!$B$4:$B$999,lookups90!$C$4:$C$999,"",0),"")</f>
        <v/>
      </c>
      <c r="T21" s="20" t="str">
        <f>IF(C21&lt;&gt;"", J21-_xlfn.XLOOKUP(E21,lookups90!$B$4:$B$999,lookups90!$D$4:$D$999, "",0),"")</f>
        <v/>
      </c>
      <c r="U21" s="20" t="str">
        <f>IF(T21&lt;&gt;"",D21*_xlfn.XLOOKUP(E21,lookups90!$B$4:$B$999,lookups90!$J$4:$J$999, "",0),"")</f>
        <v/>
      </c>
      <c r="V21" s="20" t="str">
        <f>IF(AND(C21&lt;&gt;"", E21&lt;&gt;"Slide Slide Window", E21&lt;&gt;"Slide Slide Door", E21&lt;&gt;"Slide Slide Door - with Screen"), J21-_xlfn.XLOOKUP(E21,lookups90!$B$4:$B$999,lookups90!$E$4:$E$999, "",0),"")</f>
        <v/>
      </c>
      <c r="W21" s="20" t="str">
        <f>IF(V21&lt;&gt;"",D21*_xlfn.XLOOKUP(E21,lookups90!$B$4:$B$999,lookups90!$K$4:$K$999, "",0),"")</f>
        <v/>
      </c>
      <c r="X21" s="20" t="str" cm="1">
        <f t="array" ref="X21">IFERROR(_xlfn.IFS(OR(E21="Fix Slide Window", E21="Slide Slide Window", E21="Fix Slide Door", E21="Slide Slide Door", E21="Fix Slide Door - with Screen", E21="Slide Slide Door - with Screen"), (K21-_xlfn.XLOOKUP(E21,lookups90!$B$4:$B$999,lookups90!$F$4:$F$999, "",0)-_xlfn.XLOOKUP(E21,lookups90!$B$4:$B$999,lookups90!$G$4:$G$999, "",0)+_xlfn.XLOOKUP(E21,lookups90!$B$4:$B$999,lookups90!$H$4:$H$999, "",0))/2+_xlfn.XLOOKUP(E21,lookups90!$B$4:$B$999,lookups90!$I$4:$I$999, "",0), OR(E21="Fix Slide Slide Fix Window", E21="Fix Slide Slide Fix Door - with Screen", E21="Fix Slide Slide Fix Door"),  (K21-_xlfn.XLOOKUP(E21,lookups90!$B$4:$B$999,lookups90!$F$4:$F$999, "",0)-_xlfn.XLOOKUP(E21,lookups90!$B$4:$B$999,lookups90!$G$4:$G$999, "",0)+_xlfn.XLOOKUP(E21,lookups90!$B$4:$B$999,lookups90!$H$4:$H$999, "",0)+_xlfn.XLOOKUP(E21,lookups90!$B$4:$B$999,lookups90!$H$4:$H$999, "",0))/4+_xlfn.XLOOKUP(E21,lookups90!$B$4:$B$999,lookups90!$I$4:$I$999, "",0), E21="Fix Slide Slide Door", (K21-_xlfn.XLOOKUP(E21,lookups90!$B$4:$B$999,lookups90!$F$4:$F$999, "",0)-_xlfn.XLOOKUP(E21,lookups90!$B$4:$B$999,lookups90!$G$4:$G$999, "",0)+_xlfn.XLOOKUP(E21,lookups90!$B$4:$B$999,lookups90!$H$4:$H$999, "",0)+_xlfn.XLOOKUP(E21,lookups90!$B$4:$B$999,lookups90!$H$4:$H$999, "",0))/3+_xlfn.XLOOKUP(E21,lookups90!$B$4:$B$999,lookups90!$I$4:$I$999, "",0),E21="Fix Slide Slide Slide Slide Fix Dr",  (K21-_xlfn.XLOOKUP(E21,lookups90!$B$4:$B$999,lookups90!$F$4:$F$999, "",0)-_xlfn.XLOOKUP(E21,lookups90!$B$4:$B$999,lookups90!$G$4:$G$999, "",0)+_xlfn.XLOOKUP(E21,lookups90!$B$4:$B$999,lookups90!$H$4:$H$999, "",0)+_xlfn.XLOOKUP(E21,lookups90!$B$4:$B$999,lookups90!$H$4:$H$999, "",0)+_xlfn.XLOOKUP(E21,lookups90!$B$4:$B$999,lookups90!$H$4:$H$999, "",0)+_xlfn.XLOOKUP(E21,lookups90!$B$4:$B$999,lookups90!$H$4:$H$999, "",0))/6+_xlfn.XLOOKUP(E21,lookups90!$B$4:$B$999,lookups90!$I$4:$I$999, "",0), E21="Fix Slide Slide Slide Slide Slide Slide Fix Dr",  (K21-_xlfn.XLOOKUP(E21,lookups90!$B$4:$B$999,lookups90!$F$4:$F$999, "",0)-_xlfn.XLOOKUP(E21,lookups90!$B$4:$B$999,lookups90!$G$4:$G$999, "",0)+_xlfn.XLOOKUP(E21,lookups90!$B$4:$B$999,lookups90!$H$4:$H$999, "",0)+_xlfn.XLOOKUP(E21,lookups90!$B$4:$B$999,lookups90!$H$4:$H$999, "",0)+_xlfn.XLOOKUP(E21,lookups90!$B$4:$B$999,lookups90!$H$4:$H$999, "",0)+_xlfn.XLOOKUP(E21,lookups90!$B$4:$B$999,lookups90!$H$4:$H$999, "",0)+_xlfn.XLOOKUP(E21,lookups90!$B$4:$B$999,lookups90!$H$4:$H$999, "",0)+_xlfn.XLOOKUP(E21,lookups90!$B$4:$B$999,lookups90!$H$4:$H$999, "",0))/8+_xlfn.XLOOKUP(E21,lookups90!$B$4:$B$999,lookups90!$I$4:$I$999, "",0)),"")</f>
        <v/>
      </c>
      <c r="Y21" s="20" t="str">
        <f>IF(X21&lt;&gt;"",D21*_xlfn.XLOOKUP(E21,lookups90!$B$4:$B$999,lookups90!$L$4:$L$999, "",0),"")</f>
        <v/>
      </c>
      <c r="AA21" s="20" t="str">
        <f>IF(C21&lt;&gt;"", IF(_xlfn.XLOOKUP(E21,lookups90!$B$4:$B$999,lookups90!$P$4:$P$999,"",0)=0,"",_xlfn.XLOOKUP(E21,lookups90!$B$4:$B$999,lookups90!$P$4:$P$999,"",0)),"")</f>
        <v/>
      </c>
      <c r="AB21" s="20" t="str">
        <f>IF(AA21&lt;&gt;"", J21-_xlfn.XLOOKUP(E21,lookups90!$B$4:$B$999,lookups90!$D$4:$D$999, "",0),"")</f>
        <v/>
      </c>
      <c r="AC21" s="20" t="str">
        <f>IF(AA21&lt;&gt;"",D21*_xlfn.XLOOKUP(E21,lookups90!$B$4:$B$999,lookups90!$Q$4:$Q$999, "",0),"")</f>
        <v/>
      </c>
      <c r="AD21" s="20" t="str" cm="1">
        <f t="array" ref="AD21">IF(AA21&lt;&gt;"", _xlfn.IFS(OR(E21="Fix Slide Window", E21="Slide Slide Window", E21="Fix Slide Door", E21="Slide Slide Door", E21="Fix Slide Door - with Screen", E21="Slide Slide Door - with Screen"), (K21-_xlfn.XLOOKUP(E21,lookups90!$B$4:$B$999,lookups90!$F$4:$F$999, "",0)-_xlfn.XLOOKUP(E21,lookups90!$B$4:$B$999,lookups90!$G$4:$G$999, "",0)+_xlfn.XLOOKUP(E21,lookups90!$B$4:$B$999,lookups90!$H$4:$H$999, "",0))/2+_xlfn.XLOOKUP(E21,lookups90!$B$4:$B$999,lookups90!$I$4:$I$999, "",0), OR(E21="Fix Slide Slide Fix Window", E21="Fix Slide Slide Fix Door - with Screen", E21="Fix Slide Slide Fix Door"),  (K21-_xlfn.XLOOKUP(E21,lookups90!$B$4:$B$999,lookups90!$F$4:$F$999, "",0)-_xlfn.XLOOKUP(E21,lookups90!$B$4:$B$999,lookups90!$G$4:$G$999, "",0)+_xlfn.XLOOKUP(E21,lookups90!$B$4:$B$999,lookups90!$H$4:$H$999, "",0)+_xlfn.XLOOKUP(E21,lookups90!$B$4:$B$999,lookups90!$H$4:$H$999, "",0))/4+_xlfn.XLOOKUP(E21,lookups90!$B$4:$B$999,lookups90!$I$4:$I$999, "",0), E21="Fix Slide Slide Door", (K21-_xlfn.XLOOKUP(E21,lookups90!$B$4:$B$999,lookups90!$F$4:$F$999, "",0)-_xlfn.XLOOKUP(E21,lookups90!$B$4:$B$999,lookups90!$G$4:$G$999, "",0)+_xlfn.XLOOKUP(E21,lookups90!$B$4:$B$999,lookups90!$H$4:$H$999, "",0)+_xlfn.XLOOKUP(E21,lookups90!$B$4:$B$999,lookups90!$H$4:$H$999, "",0))/3+_xlfn.XLOOKUP(E21,lookups90!$B$4:$B$999,lookups90!$I$4:$I$999, "",0) ),"")</f>
        <v/>
      </c>
      <c r="AE21" s="20" t="str">
        <f>IF(AA21&lt;&gt;"",D21*_xlfn.XLOOKUP(E21,lookups90!$B$4:$B$999,lookups90!$R$4:$R$999, "",0),"")</f>
        <v/>
      </c>
      <c r="AG21" s="20" t="str">
        <f>IF(AH21&lt;&gt;"", J21-_xlfn.XLOOKUP(E21,lookups90!$B$4:$B$999,lookups90!$D$4:$D$999, "",0),"")</f>
        <v/>
      </c>
      <c r="AH21" s="20" t="str">
        <f>IF(_xlfn.XLOOKUP(E21,lookups90!$B$4:$B$999,lookups90!$V$4:$V$999,"",0)=0,"",D21*_xlfn.XLOOKUP(E21,lookups90!$B$4:$B$999,lookups90!$V$4:$V$999,"",0))</f>
        <v/>
      </c>
      <c r="AI21" s="20" t="str" cm="1">
        <f t="array" ref="AI21">IF(AH21&lt;&gt;"", _xlfn.IFS(OR(E21="Fix Slide Window", E21="Slide Slide Window"), (K21-_xlfn.XLOOKUP(E21,lookups90!$B$4:$B$999,lookups90!$F$4:$F$999, "",0)-_xlfn.XLOOKUP(E21,lookups90!$B$4:$B$999,lookups90!$G$4:$G$999, "",0)+_xlfn.XLOOKUP(E21,lookups90!$B$4:$B$999,lookups90!$H$4:$H$999, "",0))/2+_xlfn.XLOOKUP(E21,lookups90!$B$4:$B$999,lookups90!$I$4:$I$999, "",0), OR(E21="Fix Slide Slide Fix Window"),  (K21-_xlfn.XLOOKUP(E21,lookups90!$B$4:$B$999,lookups90!$F$4:$F$999, "",0)+_xlfn.XLOOKUP(E21,lookups90!$B$4:$B$999,lookups90!$H$4:$H$999, "",0)+_xlfn.XLOOKUP(E21,lookups90!$B$4:$B$999,lookups90!$H$4:$H$999, "",0))/4+_xlfn.XLOOKUP(E21,lookups90!$B$4:$B$999,lookups90!$I$4:$I$999, "",0)),"")</f>
        <v/>
      </c>
      <c r="AJ21" s="20" t="str">
        <f>IF(_xlfn.XLOOKUP(E21,lookups90!$B$4:$B$999,lookups90!$V$4:$V$999,"",0)=0,"",D21*_xlfn.XLOOKUP(E21,lookups90!$B$4:$B$999,lookups90!$W$4:$W$999,"",0))</f>
        <v/>
      </c>
      <c r="AL21" s="20" t="str" cm="1">
        <f t="array" ref="AL21">IF(AM21&lt;&gt;"", _xlfn.IFS(OR(E21="Fix Slide Door - with Screen", E21="Slide Slide Door - with Screen"), (K21-_xlfn.XLOOKUP(E21,lookups90!$B$4:$B$999,lookups90!$F$4:$F$999, "",0)-_xlfn.XLOOKUP(E21,lookups90!$B$4:$B$999,lookups90!$G$4:$G$999, "",0)+_xlfn.XLOOKUP(E21,lookups90!$B$4:$B$999,lookups90!$H$4:$H$999, "",0))/2+_xlfn.XLOOKUP(E21,lookups90!$B$4:$B$999,lookups90!$I$4:$I$999, "",0), OR( E21="Fix Slide Slide Fix Door - with Screen",  E21="Fix Slide Slide Door"),  (K21-_xlfn.XLOOKUP(E21,lookups90!$B$4:$B$999,lookups90!$F$4:$F$999, "",0)-_xlfn.XLOOKUP(E21,lookups90!$B$4:$B$999,lookups90!$G$4:$G$999, "",0)+_xlfn.XLOOKUP(E21,lookups90!$B$4:$B$999,lookups90!$H$4:$H$999, "",0)+_xlfn.XLOOKUP(E21,lookups90!$B$4:$B$999,lookups90!$H$4:$H$999, "",0))/4+_xlfn.XLOOKUP(E21,lookups90!$B$4:$B$999,lookups90!$I$4:$I$999, "",0)),"")</f>
        <v/>
      </c>
      <c r="AM21" s="20" t="str">
        <f>IF(_xlfn.XLOOKUP(E21,lookups90!$B$4:$B$999,lookups90!$AA$4:$AA$999,"",0)=0,"",D21*_xlfn.XLOOKUP(E21,lookups90!$B$4:$B$999,lookups90!$AA$4:$AA$999,"",0))</f>
        <v/>
      </c>
      <c r="AO21" s="20" t="str">
        <f>IFERROR(IF(C21&lt;&gt;"", T21-_xlfn.XLOOKUP(E21,lookups90!$B$4:$B$999,lookups90!$AE$4:$AE$999, "",0),""),"")</f>
        <v/>
      </c>
      <c r="AP21" s="20" t="str">
        <f>IF(_xlfn.XLOOKUP(E21,lookups90!$B$4:$B$999,lookups90!$AG$4:$AG$999,"",0)=0,"",D21*_xlfn.XLOOKUP(E21,lookups90!$B$4:$B$999,lookups90!$AG$4:$AG$999,"",0))</f>
        <v/>
      </c>
      <c r="AQ21" s="20" t="str">
        <f>IF(V21&lt;&gt;"", T21-_xlfn.XLOOKUP(E21,lookups90!$B$4:$B$999,lookups90!$AE$4:$AE$999, "",0)+_xlfn.XLOOKUP(E21,lookups90!$B$4:$B$999,lookups90!$AF$4:$AF$999, "",0),"")</f>
        <v/>
      </c>
      <c r="AR21" s="20" t="str">
        <f>IFERROR(IF(_xlfn.XLOOKUP(E21,lookups90!$B$4:$B$999,lookups90!$AH$4:$AH$999,"",0)=0,"",D21*_xlfn.XLOOKUP(E21,lookups90!$B$4:$B$999,lookups90!$AH$4:$AH$999,"",0)),"")</f>
        <v/>
      </c>
      <c r="AT21" s="20" t="str">
        <f>IF(OR(E21="Fix Slide Slide Fix Window", E21="Fix Slide Slide Fix Door", E21="Fix Slide Slide Fix Door - with Screen", E21="Fix Slide Slide Door"), T21-_xlfn.XLOOKUP(E21,lookups90!$B$4:$B$999,lookups90!$AE$4:$AE$999,"",0),"")</f>
        <v/>
      </c>
      <c r="AU21" s="20" t="str">
        <f>IFERROR(IF(_xlfn.XLOOKUP(E21,lookups90!$B$4:$B$999,lookups90!$AL$4:$AL$999,"",0)=0,"",D21*_xlfn.XLOOKUP(E21,lookups90!$B$4:$B$999,lookups90!$AL$4:$AL$999,"",0)),"")</f>
        <v/>
      </c>
      <c r="AW21" s="20" t="str">
        <f>IF(C21&lt;&gt;"", T21-_xlfn.XLOOKUP(E21,lookups90!$B$4:$B$999,lookups90!$AP$4:$AP$999,"",0),"")</f>
        <v/>
      </c>
      <c r="AX21" s="20" t="str">
        <f>IFERROR(IF(_xlfn.XLOOKUP(E21,lookups90!$B$4:$B$999,lookups90!$AR$4:$AR$999,"",0)=0,"",D21*_xlfn.XLOOKUP(E21,lookups90!$B$4:$B$999,lookups90!$AR$4:$AR$999,"",0)),"")</f>
        <v/>
      </c>
      <c r="AY21" s="24" t="str">
        <f>IF(V21&lt;&gt;"", V21-_xlfn.XLOOKUP(E21,lookups90!$B$4:$B$999,lookups90!$AP$4:$AP$999,"",0),"")</f>
        <v/>
      </c>
      <c r="AZ21" s="20" t="str">
        <f>IFERROR(IF(_xlfn.XLOOKUP(E21,lookups90!$B$4:$B$999,lookups90!$AS$4:$AS$999,"",0)=0,"",D21*_xlfn.XLOOKUP(E21,lookups90!$B$4:$B$999,lookups90!$AS$4:$AS$999,"",0)),"")</f>
        <v/>
      </c>
      <c r="BA21" s="20" t="str">
        <f>IF(X21&lt;&gt;"", X21-_xlfn.XLOOKUP(E21,lookups90!$B$4:$B$999,lookups90!$AQ$4:$AQ$999,"",0),"")</f>
        <v/>
      </c>
      <c r="BB21" s="20" t="str">
        <f>IFERROR(IF(_xlfn.XLOOKUP(E21,lookups90!$B$4:$B$999,lookups90!$AT$4:$AT$999,"",0)=0,"",D21*_xlfn.XLOOKUP(E21,lookups90!$B$4:$B$999,lookups90!$AT$4:$AT$999,"",0)),"")</f>
        <v/>
      </c>
      <c r="BD21" s="20" t="str">
        <f>IF(C21&lt;&gt;"", N21-_xlfn.XLOOKUP(E21,lookups90!$B$4:$B$999,lookups90!$AX$4:$AX$999,"",0)+M21,"")</f>
        <v/>
      </c>
      <c r="BE21" s="20" t="str">
        <f>IFERROR(IF(_xlfn.XLOOKUP(E21,lookups90!$B$4:$B$999,lookups90!$AY$4:$AY$999,"",0)=0,"",D21*_xlfn.XLOOKUP(E21,lookups90!$B$4:$B$999,lookups90!$AY$4:$AY$999,"",0)),"")</f>
        <v/>
      </c>
      <c r="BF21" s="20" t="str">
        <f>IF(C21&lt;&gt;"", P21-_xlfn.XLOOKUP(E21,lookups90!$B$4:$B$999,lookups90!$AX$4:$AX$999,"",0)+M21,"")</f>
        <v/>
      </c>
      <c r="BG21" s="20" t="str">
        <f>IFERROR(IF(_xlfn.XLOOKUP(E21,lookups90!$B$4:$B$999,lookups90!$AZ$4:$AZ$999,"",0)=0,"",D21*_xlfn.XLOOKUP(E21,lookups90!$B$4:$B$999,lookups90!$AZ$4:$AZ$999,"",0)),"")</f>
        <v/>
      </c>
      <c r="BI21" s="20" t="str">
        <f>IF(C21&lt;&gt;"", T21-_xlfn.XLOOKUP(E21,lookups90!$B$4:$B$999,lookups90!$BA$4:$BA$999,"",0),"")</f>
        <v/>
      </c>
      <c r="BJ21" s="20" t="str">
        <f>IFERROR(IF(_xlfn.XLOOKUP(E21,lookups90!$B$4:$B$999,lookups90!$BB$4:$BB$999,"",0)=0,"",D21*_xlfn.XLOOKUP(E21,lookups90!$B$4:$B$999,lookups90!$BB$4:$BB$999,"",0)),"")</f>
        <v/>
      </c>
      <c r="BK21" s="20" t="str">
        <f>IF(V21&lt;&gt;"", V21-_xlfn.XLOOKUP(E21,lookups90!$B$4:$B$999,lookups90!$BA$4:$BA$999,"",0),"")</f>
        <v/>
      </c>
      <c r="BL21" s="20" t="str">
        <f>IFERROR(IF(_xlfn.XLOOKUP(E21,lookups90!$B$4:$B$999,lookups90!$BC$4:$BC$999,"",0)=0,"",D21*_xlfn.XLOOKUP(E21,lookups90!$B$4:$B$999,lookups90!$BC$4:$BC$999,"",0)),"")</f>
        <v/>
      </c>
      <c r="BM21" s="20" t="str">
        <f>IF(C21&lt;&gt;"", X21-_xlfn.XLOOKUP(E21,lookups90!$B$4:$B$999,lookups90!$BA$4:$BA$999,"",0),"")</f>
        <v/>
      </c>
      <c r="BN21" s="20" t="str">
        <f>IFERROR(IF(_xlfn.XLOOKUP(E21,lookups90!$B$4:$B$999,lookups90!$BD$4:$BD$999,"",0)=0,"",D21*_xlfn.XLOOKUP(E21,lookups90!$B$4:$B$999,lookups90!$BD$4:$BD$999,"",0)),"")</f>
        <v/>
      </c>
      <c r="BP21" s="20" t="str">
        <f>IF(AB21&lt;&gt;"", AB21-_xlfn.XLOOKUP(E21,lookups90!$B$4:$B$999,lookups90!$BE$4:$BE$999,"",0),"")</f>
        <v/>
      </c>
      <c r="BQ21" s="20" t="str">
        <f>IFERROR(IF(_xlfn.XLOOKUP(E21,lookups90!$B$4:$B$999,lookups90!$BF$4:$BF$999,"",0)=0,"",D21*_xlfn.XLOOKUP(E21,lookups90!$B$4:$B$999,lookups90!$BF$4:$BF$999,"",0)),"")</f>
        <v/>
      </c>
      <c r="BR21" s="20" t="str" cm="1">
        <f t="array" ref="BR21">_xlfn.IFS(BP21="","",OR(E21="Fix Slide Door - with Screen",E21="Slide Slide Door - with Screen"),(K21-_xlfn.XLOOKUP(E21,lookups90!$B$4:$B$999,lookups90!$F$4:$F$999,"",0)-_xlfn.XLOOKUP(E21,lookups90!$B$4:$B$999,lookups90!$G$4:$G$999,"",0)+_xlfn.XLOOKUP(E21,lookups90!$B$4:$B$999,lookups90!$H$4:$H$999,"",0))/2+_xlfn.XLOOKUP(E21,lookups90!$B$4:$B$999,lookups90!$I$4:$I$999,"",0)-_xlfn.XLOOKUP(E21,lookups90!$B$4:$B$999,lookups90!$BE$4:$BE$999,"",0), E21="Fix Slide Slide Fix Door - with Screen",(K21-_xlfn.XLOOKUP(E21,lookups90!$B$4:$B$999,lookups90!$F$4:$F$999,"",0)-_xlfn.XLOOKUP(E21,lookups90!$B$4:$B$999,lookups90!$G$4:$G$999,"",0)+_xlfn.XLOOKUP(E21,lookups90!$B$4:$B$999,lookups90!$H$4:$H$999,"",0)+_xlfn.XLOOKUP(E21,lookups90!$B$4:$B$999,lookups90!$H$4:$H$999,"",0))/4+_xlfn.XLOOKUP(E21,lookups90!$B$4:$B$999,lookups90!$I$4:$I$999,"",0)-_xlfn.XLOOKUP(E21,lookups90!$B$4:$B$999,lookups90!$BE$4:$BE$999,"",0))</f>
        <v/>
      </c>
      <c r="BS21" s="20" t="str">
        <f>IFERROR(IF(_xlfn.XLOOKUP(E21,lookups90!$B$4:$B$999,lookups90!$BG$4:$BG$999,"",0)=0,"",D21*_xlfn.XLOOKUP(E21,lookups90!$B$4:$B$999,lookups90!$BG$4:$BG$999,"",0)),"")</f>
        <v/>
      </c>
      <c r="BU21" s="20" t="str">
        <f>IF(AG21&lt;&gt;"",AG21-_xlfn.XLOOKUP(E21,lookups90!$B$4:$B$999,lookups90!$BA$4:$BA$999,"",0),"")</f>
        <v/>
      </c>
      <c r="BV21" s="20" t="str">
        <f>IFERROR(IF(_xlfn.XLOOKUP(E21,lookups90!$B$4:$B$999,lookups90!$BH$4:$BH$999,"",0)=0,"",D21*_xlfn.XLOOKUP(E21,lookups90!$B$4:$B$999,lookups90!$BH$4:$BH$999,"",0)),"")</f>
        <v/>
      </c>
      <c r="BW21" s="20" t="str" cm="1">
        <f t="array" ref="BW21">_xlfn.IFS(BU21="","",OR(E21="Fix Slide Window",E21="Slide Slide Window"),(K21-_xlfn.XLOOKUP(E21,lookups90!$B$4:$B$999,lookups90!$F$4:$F$999,"",0)-_xlfn.XLOOKUP(E21,lookups90!$B$4:$B$999,lookups90!$G$4:$G$999,"",0)+_xlfn.XLOOKUP(E21,lookups90!$B$4:$B$999,lookups90!$H$4:$H$999,"",0))/2+_xlfn.XLOOKUP(E21,lookups90!$B$4:$B$999,lookups90!$I$4:$I$999,"",0)-_xlfn.XLOOKUP(E21,lookups90!$B$4:$B$999,lookups90!$BA$4:$BA$999,"",0), E21="Fix Slide Slide Fix Window",(K21-_xlfn.XLOOKUP(E21,lookups90!$B$4:$B$999,lookups90!$F$4:$F$999,"",0)-_xlfn.XLOOKUP(E21,lookups90!$B$4:$B$999,lookups90!$G$4:$G$999,"",0)+_xlfn.XLOOKUP(E21,lookups90!$B$4:$B$999,lookups90!$H$4:$H$999,"",0)+_xlfn.XLOOKUP(E21,lookups90!$B$4:$B$999,lookups90!$H$4:$H$999,"",0))/4+_xlfn.XLOOKUP(E21,lookups90!$B$4:$B$999,lookups90!$I$4:$I$999,"",0)-_xlfn.XLOOKUP(E21,lookups90!$B$4:$B$999,lookups90!$BA$4:$BA$999,"",0))</f>
        <v/>
      </c>
      <c r="BX21" s="20" t="str">
        <f>IFERROR(IF(_xlfn.XLOOKUP(E21,lookups90!$B$4:$B$999,lookups90!$BI$4:$BI$999,"",0)=0,"",D21*_xlfn.XLOOKUP(E21,lookups90!$B$4:$B$999,lookups90!$BI$4:$BI$999,"",0)),"")</f>
        <v/>
      </c>
      <c r="BZ21" s="20" t="str">
        <f>IF(AL21&lt;&gt;"", AL21-_xlfn.XLOOKUP(E21,lookups90!$B$4:$B$999,lookups90!$BJ$4:$BJ$999,"",0),"")</f>
        <v/>
      </c>
      <c r="CA21" s="20" t="str">
        <f>IFERROR(IF(_xlfn.XLOOKUP(E21,lookups90!$B$4:$B$999,lookups90!$BK$4:$BK$999,"",0)=0,"",D21*_xlfn.XLOOKUP(E21,lookups90!$B$4:$B$999,lookups90!$BK$4:$BK$999,"",0)),"")</f>
        <v/>
      </c>
      <c r="CC21" s="20" t="str">
        <f>IF(C21&lt;&gt;"", T21-_xlfn.XLOOKUP(E21,lookups90!$B$4:$B$999,lookups90!$BO$4:$BO$999,"",0)-_xlfn.XLOOKUP(E21,lookups90!$B$4:$B$999,lookups90!$BP$4:$BP$999,"",0),"")</f>
        <v/>
      </c>
      <c r="CD21" s="20" t="str">
        <f>IF(C21&lt;&gt;"", X21-_xlfn.XLOOKUP(E21,lookups90!$B$4:$B$999,lookups90!$BQ$4:$BQ$999,"",0)-_xlfn.XLOOKUP(E21,lookups90!$B$4:$B$999,lookups90!$BR$4:$BR$999,"",0),"")</f>
        <v/>
      </c>
      <c r="CE21" s="20" t="str">
        <f>IFERROR(IF(_xlfn.XLOOKUP(E21,lookups90!$B$4:$B$999,lookups90!$BS$4:$BS$999,"",0)=0,"",D21*_xlfn.XLOOKUP(E21,lookups90!$B$4:$B$999,lookups90!$BS$4:$BS$999,"",0)),"")</f>
        <v/>
      </c>
      <c r="CF21" s="20" t="str">
        <f>IF(V21&lt;&gt;"", V21-_xlfn.XLOOKUP(E21,lookups90!$B$4:$B$999,lookups90!$BO$4:$BO$999,"",0)-_xlfn.XLOOKUP(E21,lookups90!$B$4:$B$999,lookups90!$BP$4:$BP$999,"",0),"")</f>
        <v/>
      </c>
      <c r="CG21" s="20" t="str">
        <f>IF(CF21&lt;&gt;"", X21-_xlfn.XLOOKUP(E21,lookups90!$B$4:$B$999,lookups90!$BQ$4:$BQ$999,"",0)-_xlfn.XLOOKUP(E21,lookups90!$B$4:$B$999,lookups90!$BR$4:$BR$999,"",0),"")</f>
        <v/>
      </c>
      <c r="CH21" s="20" t="str">
        <f>IFERROR(IF(_xlfn.XLOOKUP(E21,lookups90!$B$4:$B$999,lookups90!$BT$4:$BT$999,"",0)=0,"",D21*_xlfn.XLOOKUP(E21,lookups90!$B$4:$B$999,lookups90!$BT$4:$BT$999,"",0)),"")</f>
        <v/>
      </c>
      <c r="CJ21" s="22" t="str">
        <f t="shared" si="5"/>
        <v/>
      </c>
      <c r="CL21" s="22" t="str" cm="1">
        <f t="array" ref="CL21">IF(D21&lt;&gt;"",((((J21+K21)*2)/500)+(2*_xlfn.IFS(OR(E21="Fix Slide Window", E21="Slide Slide Window", E21="Fix Slide Slide Fix Window"), 2, E21="Slide Slide Door - with Screen", 8, E21&lt;&gt;"",4)))*D21,"")</f>
        <v/>
      </c>
      <c r="CM21" s="22" t="str">
        <f t="shared" si="6"/>
        <v/>
      </c>
      <c r="CN21" s="22" t="str">
        <f t="shared" si="7"/>
        <v/>
      </c>
      <c r="CO21" s="22" t="str">
        <f t="shared" si="8"/>
        <v/>
      </c>
      <c r="CP21" s="22" t="str">
        <f t="shared" si="0"/>
        <v/>
      </c>
    </row>
    <row r="22" spans="3:94" x14ac:dyDescent="0.25">
      <c r="C22" s="16"/>
      <c r="D22" s="16"/>
      <c r="E22" s="16"/>
      <c r="F22" s="16"/>
      <c r="G22" s="16"/>
      <c r="H22" s="16"/>
      <c r="I22" s="16"/>
      <c r="J22" s="16"/>
      <c r="K22" s="16"/>
      <c r="M22" s="20" t="str">
        <f t="shared" si="1"/>
        <v/>
      </c>
      <c r="N22" s="20" t="str" cm="1">
        <f t="array" ref="N22">IFERROR(_xlfn.IFS(OR(E22="Fix Awning (Vertical)", E22="Fix Awning (Horizontal)"), J22/2+20,C22&lt;&gt;"", J22+M22),"")</f>
        <v/>
      </c>
      <c r="O22" s="20" t="str">
        <f t="shared" si="2"/>
        <v/>
      </c>
      <c r="P22" s="20" t="str">
        <f t="shared" si="3"/>
        <v/>
      </c>
      <c r="Q22" s="20" t="str">
        <f t="shared" si="4"/>
        <v/>
      </c>
      <c r="S22" s="20" t="str">
        <f>IF(C22&lt;&gt;"", _xlfn.XLOOKUP(E22,lookups90!$B$4:$B$999,lookups90!$C$4:$C$999,"",0),"")</f>
        <v/>
      </c>
      <c r="T22" s="20" t="str">
        <f>IF(C22&lt;&gt;"", J22-_xlfn.XLOOKUP(E22,lookups90!$B$4:$B$999,lookups90!$D$4:$D$999, "",0),"")</f>
        <v/>
      </c>
      <c r="U22" s="20" t="str">
        <f>IF(T22&lt;&gt;"",D22*_xlfn.XLOOKUP(E22,lookups90!$B$4:$B$999,lookups90!$J$4:$J$999, "",0),"")</f>
        <v/>
      </c>
      <c r="V22" s="20" t="str">
        <f>IF(AND(C22&lt;&gt;"", E22&lt;&gt;"Slide Slide Window", E22&lt;&gt;"Slide Slide Door", E22&lt;&gt;"Slide Slide Door - with Screen"), J22-_xlfn.XLOOKUP(E22,lookups90!$B$4:$B$999,lookups90!$E$4:$E$999, "",0),"")</f>
        <v/>
      </c>
      <c r="W22" s="20" t="str">
        <f>IF(V22&lt;&gt;"",D22*_xlfn.XLOOKUP(E22,lookups90!$B$4:$B$999,lookups90!$K$4:$K$999, "",0),"")</f>
        <v/>
      </c>
      <c r="X22" s="20" t="str" cm="1">
        <f t="array" ref="X22">IFERROR(_xlfn.IFS(OR(E22="Fix Slide Window", E22="Slide Slide Window", E22="Fix Slide Door", E22="Slide Slide Door", E22="Fix Slide Door - with Screen", E22="Slide Slide Door - with Screen"), (K22-_xlfn.XLOOKUP(E22,lookups90!$B$4:$B$999,lookups90!$F$4:$F$999, "",0)-_xlfn.XLOOKUP(E22,lookups90!$B$4:$B$999,lookups90!$G$4:$G$999, "",0)+_xlfn.XLOOKUP(E22,lookups90!$B$4:$B$999,lookups90!$H$4:$H$999, "",0))/2+_xlfn.XLOOKUP(E22,lookups90!$B$4:$B$999,lookups90!$I$4:$I$999, "",0), OR(E22="Fix Slide Slide Fix Window", E22="Fix Slide Slide Fix Door - with Screen", E22="Fix Slide Slide Fix Door"),  (K22-_xlfn.XLOOKUP(E22,lookups90!$B$4:$B$999,lookups90!$F$4:$F$999, "",0)-_xlfn.XLOOKUP(E22,lookups90!$B$4:$B$999,lookups90!$G$4:$G$999, "",0)+_xlfn.XLOOKUP(E22,lookups90!$B$4:$B$999,lookups90!$H$4:$H$999, "",0)+_xlfn.XLOOKUP(E22,lookups90!$B$4:$B$999,lookups90!$H$4:$H$999, "",0))/4+_xlfn.XLOOKUP(E22,lookups90!$B$4:$B$999,lookups90!$I$4:$I$999, "",0), E22="Fix Slide Slide Door", (K22-_xlfn.XLOOKUP(E22,lookups90!$B$4:$B$999,lookups90!$F$4:$F$999, "",0)-_xlfn.XLOOKUP(E22,lookups90!$B$4:$B$999,lookups90!$G$4:$G$999, "",0)+_xlfn.XLOOKUP(E22,lookups90!$B$4:$B$999,lookups90!$H$4:$H$999, "",0)+_xlfn.XLOOKUP(E22,lookups90!$B$4:$B$999,lookups90!$H$4:$H$999, "",0))/3+_xlfn.XLOOKUP(E22,lookups90!$B$4:$B$999,lookups90!$I$4:$I$999, "",0),E22="Fix Slide Slide Slide Slide Fix Dr",  (K22-_xlfn.XLOOKUP(E22,lookups90!$B$4:$B$999,lookups90!$F$4:$F$999, "",0)-_xlfn.XLOOKUP(E22,lookups90!$B$4:$B$999,lookups90!$G$4:$G$999, "",0)+_xlfn.XLOOKUP(E22,lookups90!$B$4:$B$999,lookups90!$H$4:$H$999, "",0)+_xlfn.XLOOKUP(E22,lookups90!$B$4:$B$999,lookups90!$H$4:$H$999, "",0)+_xlfn.XLOOKUP(E22,lookups90!$B$4:$B$999,lookups90!$H$4:$H$999, "",0)+_xlfn.XLOOKUP(E22,lookups90!$B$4:$B$999,lookups90!$H$4:$H$999, "",0))/6+_xlfn.XLOOKUP(E22,lookups90!$B$4:$B$999,lookups90!$I$4:$I$999, "",0), E22="Fix Slide Slide Slide Slide Slide Slide Fix Dr",  (K22-_xlfn.XLOOKUP(E22,lookups90!$B$4:$B$999,lookups90!$F$4:$F$999, "",0)-_xlfn.XLOOKUP(E22,lookups90!$B$4:$B$999,lookups90!$G$4:$G$999, "",0)+_xlfn.XLOOKUP(E22,lookups90!$B$4:$B$999,lookups90!$H$4:$H$999, "",0)+_xlfn.XLOOKUP(E22,lookups90!$B$4:$B$999,lookups90!$H$4:$H$999, "",0)+_xlfn.XLOOKUP(E22,lookups90!$B$4:$B$999,lookups90!$H$4:$H$999, "",0)+_xlfn.XLOOKUP(E22,lookups90!$B$4:$B$999,lookups90!$H$4:$H$999, "",0)+_xlfn.XLOOKUP(E22,lookups90!$B$4:$B$999,lookups90!$H$4:$H$999, "",0)+_xlfn.XLOOKUP(E22,lookups90!$B$4:$B$999,lookups90!$H$4:$H$999, "",0))/8+_xlfn.XLOOKUP(E22,lookups90!$B$4:$B$999,lookups90!$I$4:$I$999, "",0)),"")</f>
        <v/>
      </c>
      <c r="Y22" s="20" t="str">
        <f>IF(X22&lt;&gt;"",D22*_xlfn.XLOOKUP(E22,lookups90!$B$4:$B$999,lookups90!$L$4:$L$999, "",0),"")</f>
        <v/>
      </c>
      <c r="AA22" s="20" t="str">
        <f>IF(C22&lt;&gt;"", IF(_xlfn.XLOOKUP(E22,lookups90!$B$4:$B$999,lookups90!$P$4:$P$999,"",0)=0,"",_xlfn.XLOOKUP(E22,lookups90!$B$4:$B$999,lookups90!$P$4:$P$999,"",0)),"")</f>
        <v/>
      </c>
      <c r="AB22" s="20" t="str">
        <f>IF(AA22&lt;&gt;"", J22-_xlfn.XLOOKUP(E22,lookups90!$B$4:$B$999,lookups90!$D$4:$D$999, "",0),"")</f>
        <v/>
      </c>
      <c r="AC22" s="20" t="str">
        <f>IF(AA22&lt;&gt;"",D22*_xlfn.XLOOKUP(E22,lookups90!$B$4:$B$999,lookups90!$Q$4:$Q$999, "",0),"")</f>
        <v/>
      </c>
      <c r="AD22" s="20" t="str" cm="1">
        <f t="array" ref="AD22">IF(AA22&lt;&gt;"", _xlfn.IFS(OR(E22="Fix Slide Window", E22="Slide Slide Window", E22="Fix Slide Door", E22="Slide Slide Door", E22="Fix Slide Door - with Screen", E22="Slide Slide Door - with Screen"), (K22-_xlfn.XLOOKUP(E22,lookups90!$B$4:$B$999,lookups90!$F$4:$F$999, "",0)-_xlfn.XLOOKUP(E22,lookups90!$B$4:$B$999,lookups90!$G$4:$G$999, "",0)+_xlfn.XLOOKUP(E22,lookups90!$B$4:$B$999,lookups90!$H$4:$H$999, "",0))/2+_xlfn.XLOOKUP(E22,lookups90!$B$4:$B$999,lookups90!$I$4:$I$999, "",0), OR(E22="Fix Slide Slide Fix Window", E22="Fix Slide Slide Fix Door - with Screen", E22="Fix Slide Slide Fix Door"),  (K22-_xlfn.XLOOKUP(E22,lookups90!$B$4:$B$999,lookups90!$F$4:$F$999, "",0)-_xlfn.XLOOKUP(E22,lookups90!$B$4:$B$999,lookups90!$G$4:$G$999, "",0)+_xlfn.XLOOKUP(E22,lookups90!$B$4:$B$999,lookups90!$H$4:$H$999, "",0)+_xlfn.XLOOKUP(E22,lookups90!$B$4:$B$999,lookups90!$H$4:$H$999, "",0))/4+_xlfn.XLOOKUP(E22,lookups90!$B$4:$B$999,lookups90!$I$4:$I$999, "",0), E22="Fix Slide Slide Door", (K22-_xlfn.XLOOKUP(E22,lookups90!$B$4:$B$999,lookups90!$F$4:$F$999, "",0)-_xlfn.XLOOKUP(E22,lookups90!$B$4:$B$999,lookups90!$G$4:$G$999, "",0)+_xlfn.XLOOKUP(E22,lookups90!$B$4:$B$999,lookups90!$H$4:$H$999, "",0)+_xlfn.XLOOKUP(E22,lookups90!$B$4:$B$999,lookups90!$H$4:$H$999, "",0))/3+_xlfn.XLOOKUP(E22,lookups90!$B$4:$B$999,lookups90!$I$4:$I$999, "",0) ),"")</f>
        <v/>
      </c>
      <c r="AE22" s="20" t="str">
        <f>IF(AA22&lt;&gt;"",D22*_xlfn.XLOOKUP(E22,lookups90!$B$4:$B$999,lookups90!$R$4:$R$999, "",0),"")</f>
        <v/>
      </c>
      <c r="AG22" s="20" t="str">
        <f>IF(AH22&lt;&gt;"", J22-_xlfn.XLOOKUP(E22,lookups90!$B$4:$B$999,lookups90!$D$4:$D$999, "",0),"")</f>
        <v/>
      </c>
      <c r="AH22" s="20" t="str">
        <f>IF(_xlfn.XLOOKUP(E22,lookups90!$B$4:$B$999,lookups90!$V$4:$V$999,"",0)=0,"",D22*_xlfn.XLOOKUP(E22,lookups90!$B$4:$B$999,lookups90!$V$4:$V$999,"",0))</f>
        <v/>
      </c>
      <c r="AI22" s="20" t="str" cm="1">
        <f t="array" ref="AI22">IF(AH22&lt;&gt;"", _xlfn.IFS(OR(E22="Fix Slide Window", E22="Slide Slide Window"), (K22-_xlfn.XLOOKUP(E22,lookups90!$B$4:$B$999,lookups90!$F$4:$F$999, "",0)-_xlfn.XLOOKUP(E22,lookups90!$B$4:$B$999,lookups90!$G$4:$G$999, "",0)+_xlfn.XLOOKUP(E22,lookups90!$B$4:$B$999,lookups90!$H$4:$H$999, "",0))/2+_xlfn.XLOOKUP(E22,lookups90!$B$4:$B$999,lookups90!$I$4:$I$999, "",0), OR(E22="Fix Slide Slide Fix Window"),  (K22-_xlfn.XLOOKUP(E22,lookups90!$B$4:$B$999,lookups90!$F$4:$F$999, "",0)+_xlfn.XLOOKUP(E22,lookups90!$B$4:$B$999,lookups90!$H$4:$H$999, "",0)+_xlfn.XLOOKUP(E22,lookups90!$B$4:$B$999,lookups90!$H$4:$H$999, "",0))/4+_xlfn.XLOOKUP(E22,lookups90!$B$4:$B$999,lookups90!$I$4:$I$999, "",0)),"")</f>
        <v/>
      </c>
      <c r="AJ22" s="20" t="str">
        <f>IF(_xlfn.XLOOKUP(E22,lookups90!$B$4:$B$999,lookups90!$V$4:$V$999,"",0)=0,"",D22*_xlfn.XLOOKUP(E22,lookups90!$B$4:$B$999,lookups90!$W$4:$W$999,"",0))</f>
        <v/>
      </c>
      <c r="AL22" s="20" t="str" cm="1">
        <f t="array" ref="AL22">IF(AM22&lt;&gt;"", _xlfn.IFS(OR(E22="Fix Slide Door - with Screen", E22="Slide Slide Door - with Screen"), (K22-_xlfn.XLOOKUP(E22,lookups90!$B$4:$B$999,lookups90!$F$4:$F$999, "",0)-_xlfn.XLOOKUP(E22,lookups90!$B$4:$B$999,lookups90!$G$4:$G$999, "",0)+_xlfn.XLOOKUP(E22,lookups90!$B$4:$B$999,lookups90!$H$4:$H$999, "",0))/2+_xlfn.XLOOKUP(E22,lookups90!$B$4:$B$999,lookups90!$I$4:$I$999, "",0), OR( E22="Fix Slide Slide Fix Door - with Screen",  E22="Fix Slide Slide Door"),  (K22-_xlfn.XLOOKUP(E22,lookups90!$B$4:$B$999,lookups90!$F$4:$F$999, "",0)-_xlfn.XLOOKUP(E22,lookups90!$B$4:$B$999,lookups90!$G$4:$G$999, "",0)+_xlfn.XLOOKUP(E22,lookups90!$B$4:$B$999,lookups90!$H$4:$H$999, "",0)+_xlfn.XLOOKUP(E22,lookups90!$B$4:$B$999,lookups90!$H$4:$H$999, "",0))/4+_xlfn.XLOOKUP(E22,lookups90!$B$4:$B$999,lookups90!$I$4:$I$999, "",0)),"")</f>
        <v/>
      </c>
      <c r="AM22" s="20" t="str">
        <f>IF(_xlfn.XLOOKUP(E22,lookups90!$B$4:$B$999,lookups90!$AA$4:$AA$999,"",0)=0,"",D22*_xlfn.XLOOKUP(E22,lookups90!$B$4:$B$999,lookups90!$AA$4:$AA$999,"",0))</f>
        <v/>
      </c>
      <c r="AO22" s="20" t="str">
        <f>IFERROR(IF(C22&lt;&gt;"", T22-_xlfn.XLOOKUP(E22,lookups90!$B$4:$B$999,lookups90!$AE$4:$AE$999, "",0),""),"")</f>
        <v/>
      </c>
      <c r="AP22" s="20" t="str">
        <f>IF(_xlfn.XLOOKUP(E22,lookups90!$B$4:$B$999,lookups90!$AG$4:$AG$999,"",0)=0,"",D22*_xlfn.XLOOKUP(E22,lookups90!$B$4:$B$999,lookups90!$AG$4:$AG$999,"",0))</f>
        <v/>
      </c>
      <c r="AQ22" s="20" t="str">
        <f>IF(V22&lt;&gt;"", T22-_xlfn.XLOOKUP(E22,lookups90!$B$4:$B$999,lookups90!$AE$4:$AE$999, "",0)+_xlfn.XLOOKUP(E22,lookups90!$B$4:$B$999,lookups90!$AF$4:$AF$999, "",0),"")</f>
        <v/>
      </c>
      <c r="AR22" s="20" t="str">
        <f>IFERROR(IF(_xlfn.XLOOKUP(E22,lookups90!$B$4:$B$999,lookups90!$AH$4:$AH$999,"",0)=0,"",D22*_xlfn.XLOOKUP(E22,lookups90!$B$4:$B$999,lookups90!$AH$4:$AH$999,"",0)),"")</f>
        <v/>
      </c>
      <c r="AT22" s="20" t="str">
        <f>IF(OR(E22="Fix Slide Slide Fix Window", E22="Fix Slide Slide Fix Door", E22="Fix Slide Slide Fix Door - with Screen", E22="Fix Slide Slide Door"), T22-_xlfn.XLOOKUP(E22,lookups90!$B$4:$B$999,lookups90!$AE$4:$AE$999,"",0),"")</f>
        <v/>
      </c>
      <c r="AU22" s="20" t="str">
        <f>IFERROR(IF(_xlfn.XLOOKUP(E22,lookups90!$B$4:$B$999,lookups90!$AL$4:$AL$999,"",0)=0,"",D22*_xlfn.XLOOKUP(E22,lookups90!$B$4:$B$999,lookups90!$AL$4:$AL$999,"",0)),"")</f>
        <v/>
      </c>
      <c r="AW22" s="20" t="str">
        <f>IF(C22&lt;&gt;"", T22-_xlfn.XLOOKUP(E22,lookups90!$B$4:$B$999,lookups90!$AP$4:$AP$999,"",0),"")</f>
        <v/>
      </c>
      <c r="AX22" s="20" t="str">
        <f>IFERROR(IF(_xlfn.XLOOKUP(E22,lookups90!$B$4:$B$999,lookups90!$AR$4:$AR$999,"",0)=0,"",D22*_xlfn.XLOOKUP(E22,lookups90!$B$4:$B$999,lookups90!$AR$4:$AR$999,"",0)),"")</f>
        <v/>
      </c>
      <c r="AY22" s="24" t="str">
        <f>IF(V22&lt;&gt;"", V22-_xlfn.XLOOKUP(E22,lookups90!$B$4:$B$999,lookups90!$AP$4:$AP$999,"",0),"")</f>
        <v/>
      </c>
      <c r="AZ22" s="20" t="str">
        <f>IFERROR(IF(_xlfn.XLOOKUP(E22,lookups90!$B$4:$B$999,lookups90!$AS$4:$AS$999,"",0)=0,"",D22*_xlfn.XLOOKUP(E22,lookups90!$B$4:$B$999,lookups90!$AS$4:$AS$999,"",0)),"")</f>
        <v/>
      </c>
      <c r="BA22" s="20" t="str">
        <f>IF(X22&lt;&gt;"", X22-_xlfn.XLOOKUP(E22,lookups90!$B$4:$B$999,lookups90!$AQ$4:$AQ$999,"",0),"")</f>
        <v/>
      </c>
      <c r="BB22" s="20" t="str">
        <f>IFERROR(IF(_xlfn.XLOOKUP(E22,lookups90!$B$4:$B$999,lookups90!$AT$4:$AT$999,"",0)=0,"",D22*_xlfn.XLOOKUP(E22,lookups90!$B$4:$B$999,lookups90!$AT$4:$AT$999,"",0)),"")</f>
        <v/>
      </c>
      <c r="BD22" s="20" t="str">
        <f>IF(C22&lt;&gt;"", N22-_xlfn.XLOOKUP(E22,lookups90!$B$4:$B$999,lookups90!$AX$4:$AX$999,"",0)+M22,"")</f>
        <v/>
      </c>
      <c r="BE22" s="20" t="str">
        <f>IFERROR(IF(_xlfn.XLOOKUP(E22,lookups90!$B$4:$B$999,lookups90!$AY$4:$AY$999,"",0)=0,"",D22*_xlfn.XLOOKUP(E22,lookups90!$B$4:$B$999,lookups90!$AY$4:$AY$999,"",0)),"")</f>
        <v/>
      </c>
      <c r="BF22" s="20" t="str">
        <f>IF(C22&lt;&gt;"", P22-_xlfn.XLOOKUP(E22,lookups90!$B$4:$B$999,lookups90!$AX$4:$AX$999,"",0)+M22,"")</f>
        <v/>
      </c>
      <c r="BG22" s="20" t="str">
        <f>IFERROR(IF(_xlfn.XLOOKUP(E22,lookups90!$B$4:$B$999,lookups90!$AZ$4:$AZ$999,"",0)=0,"",D22*_xlfn.XLOOKUP(E22,lookups90!$B$4:$B$999,lookups90!$AZ$4:$AZ$999,"",0)),"")</f>
        <v/>
      </c>
      <c r="BI22" s="20" t="str">
        <f>IF(C22&lt;&gt;"", T22-_xlfn.XLOOKUP(E22,lookups90!$B$4:$B$999,lookups90!$BA$4:$BA$999,"",0),"")</f>
        <v/>
      </c>
      <c r="BJ22" s="20" t="str">
        <f>IFERROR(IF(_xlfn.XLOOKUP(E22,lookups90!$B$4:$B$999,lookups90!$BB$4:$BB$999,"",0)=0,"",D22*_xlfn.XLOOKUP(E22,lookups90!$B$4:$B$999,lookups90!$BB$4:$BB$999,"",0)),"")</f>
        <v/>
      </c>
      <c r="BK22" s="20" t="str">
        <f>IF(V22&lt;&gt;"", V22-_xlfn.XLOOKUP(E22,lookups90!$B$4:$B$999,lookups90!$BA$4:$BA$999,"",0),"")</f>
        <v/>
      </c>
      <c r="BL22" s="20" t="str">
        <f>IFERROR(IF(_xlfn.XLOOKUP(E22,lookups90!$B$4:$B$999,lookups90!$BC$4:$BC$999,"",0)=0,"",D22*_xlfn.XLOOKUP(E22,lookups90!$B$4:$B$999,lookups90!$BC$4:$BC$999,"",0)),"")</f>
        <v/>
      </c>
      <c r="BM22" s="20" t="str">
        <f>IF(C22&lt;&gt;"", X22-_xlfn.XLOOKUP(E22,lookups90!$B$4:$B$999,lookups90!$BA$4:$BA$999,"",0),"")</f>
        <v/>
      </c>
      <c r="BN22" s="20" t="str">
        <f>IFERROR(IF(_xlfn.XLOOKUP(E22,lookups90!$B$4:$B$999,lookups90!$BD$4:$BD$999,"",0)=0,"",D22*_xlfn.XLOOKUP(E22,lookups90!$B$4:$B$999,lookups90!$BD$4:$BD$999,"",0)),"")</f>
        <v/>
      </c>
      <c r="BP22" s="20" t="str">
        <f>IF(AB22&lt;&gt;"", AB22-_xlfn.XLOOKUP(E22,lookups90!$B$4:$B$999,lookups90!$BE$4:$BE$999,"",0),"")</f>
        <v/>
      </c>
      <c r="BQ22" s="20" t="str">
        <f>IFERROR(IF(_xlfn.XLOOKUP(E22,lookups90!$B$4:$B$999,lookups90!$BF$4:$BF$999,"",0)=0,"",D22*_xlfn.XLOOKUP(E22,lookups90!$B$4:$B$999,lookups90!$BF$4:$BF$999,"",0)),"")</f>
        <v/>
      </c>
      <c r="BR22" s="20" t="str" cm="1">
        <f t="array" ref="BR22">_xlfn.IFS(BP22="","",OR(E22="Fix Slide Door - with Screen",E22="Slide Slide Door - with Screen"),(K22-_xlfn.XLOOKUP(E22,lookups90!$B$4:$B$999,lookups90!$F$4:$F$999,"",0)-_xlfn.XLOOKUP(E22,lookups90!$B$4:$B$999,lookups90!$G$4:$G$999,"",0)+_xlfn.XLOOKUP(E22,lookups90!$B$4:$B$999,lookups90!$H$4:$H$999,"",0))/2+_xlfn.XLOOKUP(E22,lookups90!$B$4:$B$999,lookups90!$I$4:$I$999,"",0)-_xlfn.XLOOKUP(E22,lookups90!$B$4:$B$999,lookups90!$BE$4:$BE$999,"",0), E22="Fix Slide Slide Fix Door - with Screen",(K22-_xlfn.XLOOKUP(E22,lookups90!$B$4:$B$999,lookups90!$F$4:$F$999,"",0)-_xlfn.XLOOKUP(E22,lookups90!$B$4:$B$999,lookups90!$G$4:$G$999,"",0)+_xlfn.XLOOKUP(E22,lookups90!$B$4:$B$999,lookups90!$H$4:$H$999,"",0)+_xlfn.XLOOKUP(E22,lookups90!$B$4:$B$999,lookups90!$H$4:$H$999,"",0))/4+_xlfn.XLOOKUP(E22,lookups90!$B$4:$B$999,lookups90!$I$4:$I$999,"",0)-_xlfn.XLOOKUP(E22,lookups90!$B$4:$B$999,lookups90!$BE$4:$BE$999,"",0))</f>
        <v/>
      </c>
      <c r="BS22" s="20" t="str">
        <f>IFERROR(IF(_xlfn.XLOOKUP(E22,lookups90!$B$4:$B$999,lookups90!$BG$4:$BG$999,"",0)=0,"",D22*_xlfn.XLOOKUP(E22,lookups90!$B$4:$B$999,lookups90!$BG$4:$BG$999,"",0)),"")</f>
        <v/>
      </c>
      <c r="BU22" s="20" t="str">
        <f>IF(AG22&lt;&gt;"",AG22-_xlfn.XLOOKUP(E22,lookups90!$B$4:$B$999,lookups90!$BA$4:$BA$999,"",0),"")</f>
        <v/>
      </c>
      <c r="BV22" s="20" t="str">
        <f>IFERROR(IF(_xlfn.XLOOKUP(E22,lookups90!$B$4:$B$999,lookups90!$BH$4:$BH$999,"",0)=0,"",D22*_xlfn.XLOOKUP(E22,lookups90!$B$4:$B$999,lookups90!$BH$4:$BH$999,"",0)),"")</f>
        <v/>
      </c>
      <c r="BW22" s="20" t="str" cm="1">
        <f t="array" ref="BW22">_xlfn.IFS(BU22="","",OR(E22="Fix Slide Window",E22="Slide Slide Window"),(K22-_xlfn.XLOOKUP(E22,lookups90!$B$4:$B$999,lookups90!$F$4:$F$999,"",0)-_xlfn.XLOOKUP(E22,lookups90!$B$4:$B$999,lookups90!$G$4:$G$999,"",0)+_xlfn.XLOOKUP(E22,lookups90!$B$4:$B$999,lookups90!$H$4:$H$999,"",0))/2+_xlfn.XLOOKUP(E22,lookups90!$B$4:$B$999,lookups90!$I$4:$I$999,"",0)-_xlfn.XLOOKUP(E22,lookups90!$B$4:$B$999,lookups90!$BA$4:$BA$999,"",0), E22="Fix Slide Slide Fix Window",(K22-_xlfn.XLOOKUP(E22,lookups90!$B$4:$B$999,lookups90!$F$4:$F$999,"",0)-_xlfn.XLOOKUP(E22,lookups90!$B$4:$B$999,lookups90!$G$4:$G$999,"",0)+_xlfn.XLOOKUP(E22,lookups90!$B$4:$B$999,lookups90!$H$4:$H$999,"",0)+_xlfn.XLOOKUP(E22,lookups90!$B$4:$B$999,lookups90!$H$4:$H$999,"",0))/4+_xlfn.XLOOKUP(E22,lookups90!$B$4:$B$999,lookups90!$I$4:$I$999,"",0)-_xlfn.XLOOKUP(E22,lookups90!$B$4:$B$999,lookups90!$BA$4:$BA$999,"",0))</f>
        <v/>
      </c>
      <c r="BX22" s="20" t="str">
        <f>IFERROR(IF(_xlfn.XLOOKUP(E22,lookups90!$B$4:$B$999,lookups90!$BI$4:$BI$999,"",0)=0,"",D22*_xlfn.XLOOKUP(E22,lookups90!$B$4:$B$999,lookups90!$BI$4:$BI$999,"",0)),"")</f>
        <v/>
      </c>
      <c r="BZ22" s="20" t="str">
        <f>IF(AL22&lt;&gt;"", AL22-_xlfn.XLOOKUP(E22,lookups90!$B$4:$B$999,lookups90!$BJ$4:$BJ$999,"",0),"")</f>
        <v/>
      </c>
      <c r="CA22" s="20" t="str">
        <f>IFERROR(IF(_xlfn.XLOOKUP(E22,lookups90!$B$4:$B$999,lookups90!$BK$4:$BK$999,"",0)=0,"",D22*_xlfn.XLOOKUP(E22,lookups90!$B$4:$B$999,lookups90!$BK$4:$BK$999,"",0)),"")</f>
        <v/>
      </c>
      <c r="CC22" s="20" t="str">
        <f>IF(C22&lt;&gt;"", T22-_xlfn.XLOOKUP(E22,lookups90!$B$4:$B$999,lookups90!$BO$4:$BO$999,"",0)-_xlfn.XLOOKUP(E22,lookups90!$B$4:$B$999,lookups90!$BP$4:$BP$999,"",0),"")</f>
        <v/>
      </c>
      <c r="CD22" s="20" t="str">
        <f>IF(C22&lt;&gt;"", X22-_xlfn.XLOOKUP(E22,lookups90!$B$4:$B$999,lookups90!$BQ$4:$BQ$999,"",0)-_xlfn.XLOOKUP(E22,lookups90!$B$4:$B$999,lookups90!$BR$4:$BR$999,"",0),"")</f>
        <v/>
      </c>
      <c r="CE22" s="20" t="str">
        <f>IFERROR(IF(_xlfn.XLOOKUP(E22,lookups90!$B$4:$B$999,lookups90!$BS$4:$BS$999,"",0)=0,"",D22*_xlfn.XLOOKUP(E22,lookups90!$B$4:$B$999,lookups90!$BS$4:$BS$999,"",0)),"")</f>
        <v/>
      </c>
      <c r="CF22" s="20" t="str">
        <f>IF(V22&lt;&gt;"", V22-_xlfn.XLOOKUP(E22,lookups90!$B$4:$B$999,lookups90!$BO$4:$BO$999,"",0)-_xlfn.XLOOKUP(E22,lookups90!$B$4:$B$999,lookups90!$BP$4:$BP$999,"",0),"")</f>
        <v/>
      </c>
      <c r="CG22" s="20" t="str">
        <f>IF(CF22&lt;&gt;"", X22-_xlfn.XLOOKUP(E22,lookups90!$B$4:$B$999,lookups90!$BQ$4:$BQ$999,"",0)-_xlfn.XLOOKUP(E22,lookups90!$B$4:$B$999,lookups90!$BR$4:$BR$999,"",0),"")</f>
        <v/>
      </c>
      <c r="CH22" s="20" t="str">
        <f>IFERROR(IF(_xlfn.XLOOKUP(E22,lookups90!$B$4:$B$999,lookups90!$BT$4:$BT$999,"",0)=0,"",D22*_xlfn.XLOOKUP(E22,lookups90!$B$4:$B$999,lookups90!$BT$4:$BT$999,"",0)),"")</f>
        <v/>
      </c>
      <c r="CJ22" s="22" t="str">
        <f t="shared" si="5"/>
        <v/>
      </c>
      <c r="CL22" s="22" t="str" cm="1">
        <f t="array" ref="CL22">IF(D22&lt;&gt;"",((((J22+K22)*2)/500)+(2*_xlfn.IFS(OR(E22="Fix Slide Window", E22="Slide Slide Window", E22="Fix Slide Slide Fix Window"), 2, E22="Slide Slide Door - with Screen", 8, E22&lt;&gt;"",4)))*D22,"")</f>
        <v/>
      </c>
      <c r="CM22" s="22" t="str">
        <f t="shared" si="6"/>
        <v/>
      </c>
      <c r="CN22" s="22" t="str">
        <f t="shared" si="7"/>
        <v/>
      </c>
      <c r="CO22" s="22" t="str">
        <f t="shared" si="8"/>
        <v/>
      </c>
      <c r="CP22" s="22" t="str">
        <f t="shared" si="0"/>
        <v/>
      </c>
    </row>
    <row r="23" spans="3:94" x14ac:dyDescent="0.25">
      <c r="C23" s="16"/>
      <c r="D23" s="16"/>
      <c r="E23" s="16"/>
      <c r="F23" s="16"/>
      <c r="G23" s="16"/>
      <c r="H23" s="16"/>
      <c r="I23" s="16"/>
      <c r="J23" s="16"/>
      <c r="K23" s="16"/>
      <c r="M23" s="20" t="str">
        <f t="shared" si="1"/>
        <v/>
      </c>
      <c r="N23" s="20" t="str" cm="1">
        <f t="array" ref="N23">IFERROR(_xlfn.IFS(OR(E23="Fix Awning (Vertical)", E23="Fix Awning (Horizontal)"), J23/2+20,C23&lt;&gt;"", J23+M23),"")</f>
        <v/>
      </c>
      <c r="O23" s="20" t="str">
        <f t="shared" si="2"/>
        <v/>
      </c>
      <c r="P23" s="20" t="str">
        <f t="shared" si="3"/>
        <v/>
      </c>
      <c r="Q23" s="20" t="str">
        <f t="shared" si="4"/>
        <v/>
      </c>
      <c r="S23" s="20" t="str">
        <f>IF(C23&lt;&gt;"", _xlfn.XLOOKUP(E23,lookups90!$B$4:$B$999,lookups90!$C$4:$C$999,"",0),"")</f>
        <v/>
      </c>
      <c r="T23" s="20" t="str">
        <f>IF(C23&lt;&gt;"", J23-_xlfn.XLOOKUP(E23,lookups90!$B$4:$B$999,lookups90!$D$4:$D$999, "",0),"")</f>
        <v/>
      </c>
      <c r="U23" s="20" t="str">
        <f>IF(T23&lt;&gt;"",D23*_xlfn.XLOOKUP(E23,lookups90!$B$4:$B$999,lookups90!$J$4:$J$999, "",0),"")</f>
        <v/>
      </c>
      <c r="V23" s="20" t="str">
        <f>IF(AND(C23&lt;&gt;"", E23&lt;&gt;"Slide Slide Window", E23&lt;&gt;"Slide Slide Door", E23&lt;&gt;"Slide Slide Door - with Screen"), J23-_xlfn.XLOOKUP(E23,lookups90!$B$4:$B$999,lookups90!$E$4:$E$999, "",0),"")</f>
        <v/>
      </c>
      <c r="W23" s="20" t="str">
        <f>IF(V23&lt;&gt;"",D23*_xlfn.XLOOKUP(E23,lookups90!$B$4:$B$999,lookups90!$K$4:$K$999, "",0),"")</f>
        <v/>
      </c>
      <c r="X23" s="20" t="str" cm="1">
        <f t="array" ref="X23">IFERROR(_xlfn.IFS(OR(E23="Fix Slide Window", E23="Slide Slide Window", E23="Fix Slide Door", E23="Slide Slide Door", E23="Fix Slide Door - with Screen", E23="Slide Slide Door - with Screen"), (K23-_xlfn.XLOOKUP(E23,lookups90!$B$4:$B$999,lookups90!$F$4:$F$999, "",0)-_xlfn.XLOOKUP(E23,lookups90!$B$4:$B$999,lookups90!$G$4:$G$999, "",0)+_xlfn.XLOOKUP(E23,lookups90!$B$4:$B$999,lookups90!$H$4:$H$999, "",0))/2+_xlfn.XLOOKUP(E23,lookups90!$B$4:$B$999,lookups90!$I$4:$I$999, "",0), OR(E23="Fix Slide Slide Fix Window", E23="Fix Slide Slide Fix Door - with Screen", E23="Fix Slide Slide Fix Door"),  (K23-_xlfn.XLOOKUP(E23,lookups90!$B$4:$B$999,lookups90!$F$4:$F$999, "",0)-_xlfn.XLOOKUP(E23,lookups90!$B$4:$B$999,lookups90!$G$4:$G$999, "",0)+_xlfn.XLOOKUP(E23,lookups90!$B$4:$B$999,lookups90!$H$4:$H$999, "",0)+_xlfn.XLOOKUP(E23,lookups90!$B$4:$B$999,lookups90!$H$4:$H$999, "",0))/4+_xlfn.XLOOKUP(E23,lookups90!$B$4:$B$999,lookups90!$I$4:$I$999, "",0), E23="Fix Slide Slide Door", (K23-_xlfn.XLOOKUP(E23,lookups90!$B$4:$B$999,lookups90!$F$4:$F$999, "",0)-_xlfn.XLOOKUP(E23,lookups90!$B$4:$B$999,lookups90!$G$4:$G$999, "",0)+_xlfn.XLOOKUP(E23,lookups90!$B$4:$B$999,lookups90!$H$4:$H$999, "",0)+_xlfn.XLOOKUP(E23,lookups90!$B$4:$B$999,lookups90!$H$4:$H$999, "",0))/3+_xlfn.XLOOKUP(E23,lookups90!$B$4:$B$999,lookups90!$I$4:$I$999, "",0),E23="Fix Slide Slide Slide Slide Fix Dr",  (K23-_xlfn.XLOOKUP(E23,lookups90!$B$4:$B$999,lookups90!$F$4:$F$999, "",0)-_xlfn.XLOOKUP(E23,lookups90!$B$4:$B$999,lookups90!$G$4:$G$999, "",0)+_xlfn.XLOOKUP(E23,lookups90!$B$4:$B$999,lookups90!$H$4:$H$999, "",0)+_xlfn.XLOOKUP(E23,lookups90!$B$4:$B$999,lookups90!$H$4:$H$999, "",0)+_xlfn.XLOOKUP(E23,lookups90!$B$4:$B$999,lookups90!$H$4:$H$999, "",0)+_xlfn.XLOOKUP(E23,lookups90!$B$4:$B$999,lookups90!$H$4:$H$999, "",0))/6+_xlfn.XLOOKUP(E23,lookups90!$B$4:$B$999,lookups90!$I$4:$I$999, "",0), E23="Fix Slide Slide Slide Slide Slide Slide Fix Dr",  (K23-_xlfn.XLOOKUP(E23,lookups90!$B$4:$B$999,lookups90!$F$4:$F$999, "",0)-_xlfn.XLOOKUP(E23,lookups90!$B$4:$B$999,lookups90!$G$4:$G$999, "",0)+_xlfn.XLOOKUP(E23,lookups90!$B$4:$B$999,lookups90!$H$4:$H$999, "",0)+_xlfn.XLOOKUP(E23,lookups90!$B$4:$B$999,lookups90!$H$4:$H$999, "",0)+_xlfn.XLOOKUP(E23,lookups90!$B$4:$B$999,lookups90!$H$4:$H$999, "",0)+_xlfn.XLOOKUP(E23,lookups90!$B$4:$B$999,lookups90!$H$4:$H$999, "",0)+_xlfn.XLOOKUP(E23,lookups90!$B$4:$B$999,lookups90!$H$4:$H$999, "",0)+_xlfn.XLOOKUP(E23,lookups90!$B$4:$B$999,lookups90!$H$4:$H$999, "",0))/8+_xlfn.XLOOKUP(E23,lookups90!$B$4:$B$999,lookups90!$I$4:$I$999, "",0)),"")</f>
        <v/>
      </c>
      <c r="Y23" s="20" t="str">
        <f>IF(X23&lt;&gt;"",D23*_xlfn.XLOOKUP(E23,lookups90!$B$4:$B$999,lookups90!$L$4:$L$999, "",0),"")</f>
        <v/>
      </c>
      <c r="AA23" s="20" t="str">
        <f>IF(C23&lt;&gt;"", IF(_xlfn.XLOOKUP(E23,lookups90!$B$4:$B$999,lookups90!$P$4:$P$999,"",0)=0,"",_xlfn.XLOOKUP(E23,lookups90!$B$4:$B$999,lookups90!$P$4:$P$999,"",0)),"")</f>
        <v/>
      </c>
      <c r="AB23" s="20" t="str">
        <f>IF(AA23&lt;&gt;"", J23-_xlfn.XLOOKUP(E23,lookups90!$B$4:$B$999,lookups90!$D$4:$D$999, "",0),"")</f>
        <v/>
      </c>
      <c r="AC23" s="20" t="str">
        <f>IF(AA23&lt;&gt;"",D23*_xlfn.XLOOKUP(E23,lookups90!$B$4:$B$999,lookups90!$Q$4:$Q$999, "",0),"")</f>
        <v/>
      </c>
      <c r="AD23" s="20" t="str" cm="1">
        <f t="array" ref="AD23">IF(AA23&lt;&gt;"", _xlfn.IFS(OR(E23="Fix Slide Window", E23="Slide Slide Window", E23="Fix Slide Door", E23="Slide Slide Door", E23="Fix Slide Door - with Screen", E23="Slide Slide Door - with Screen"), (K23-_xlfn.XLOOKUP(E23,lookups90!$B$4:$B$999,lookups90!$F$4:$F$999, "",0)-_xlfn.XLOOKUP(E23,lookups90!$B$4:$B$999,lookups90!$G$4:$G$999, "",0)+_xlfn.XLOOKUP(E23,lookups90!$B$4:$B$999,lookups90!$H$4:$H$999, "",0))/2+_xlfn.XLOOKUP(E23,lookups90!$B$4:$B$999,lookups90!$I$4:$I$999, "",0), OR(E23="Fix Slide Slide Fix Window", E23="Fix Slide Slide Fix Door - with Screen", E23="Fix Slide Slide Fix Door"),  (K23-_xlfn.XLOOKUP(E23,lookups90!$B$4:$B$999,lookups90!$F$4:$F$999, "",0)-_xlfn.XLOOKUP(E23,lookups90!$B$4:$B$999,lookups90!$G$4:$G$999, "",0)+_xlfn.XLOOKUP(E23,lookups90!$B$4:$B$999,lookups90!$H$4:$H$999, "",0)+_xlfn.XLOOKUP(E23,lookups90!$B$4:$B$999,lookups90!$H$4:$H$999, "",0))/4+_xlfn.XLOOKUP(E23,lookups90!$B$4:$B$999,lookups90!$I$4:$I$999, "",0), E23="Fix Slide Slide Door", (K23-_xlfn.XLOOKUP(E23,lookups90!$B$4:$B$999,lookups90!$F$4:$F$999, "",0)-_xlfn.XLOOKUP(E23,lookups90!$B$4:$B$999,lookups90!$G$4:$G$999, "",0)+_xlfn.XLOOKUP(E23,lookups90!$B$4:$B$999,lookups90!$H$4:$H$999, "",0)+_xlfn.XLOOKUP(E23,lookups90!$B$4:$B$999,lookups90!$H$4:$H$999, "",0))/3+_xlfn.XLOOKUP(E23,lookups90!$B$4:$B$999,lookups90!$I$4:$I$999, "",0) ),"")</f>
        <v/>
      </c>
      <c r="AE23" s="20" t="str">
        <f>IF(AA23&lt;&gt;"",D23*_xlfn.XLOOKUP(E23,lookups90!$B$4:$B$999,lookups90!$R$4:$R$999, "",0),"")</f>
        <v/>
      </c>
      <c r="AG23" s="20" t="str">
        <f>IF(AH23&lt;&gt;"", J23-_xlfn.XLOOKUP(E23,lookups90!$B$4:$B$999,lookups90!$D$4:$D$999, "",0),"")</f>
        <v/>
      </c>
      <c r="AH23" s="20" t="str">
        <f>IF(_xlfn.XLOOKUP(E23,lookups90!$B$4:$B$999,lookups90!$V$4:$V$999,"",0)=0,"",D23*_xlfn.XLOOKUP(E23,lookups90!$B$4:$B$999,lookups90!$V$4:$V$999,"",0))</f>
        <v/>
      </c>
      <c r="AI23" s="20" t="str" cm="1">
        <f t="array" ref="AI23">IF(AH23&lt;&gt;"", _xlfn.IFS(OR(E23="Fix Slide Window", E23="Slide Slide Window"), (K23-_xlfn.XLOOKUP(E23,lookups90!$B$4:$B$999,lookups90!$F$4:$F$999, "",0)-_xlfn.XLOOKUP(E23,lookups90!$B$4:$B$999,lookups90!$G$4:$G$999, "",0)+_xlfn.XLOOKUP(E23,lookups90!$B$4:$B$999,lookups90!$H$4:$H$999, "",0))/2+_xlfn.XLOOKUP(E23,lookups90!$B$4:$B$999,lookups90!$I$4:$I$999, "",0), OR(E23="Fix Slide Slide Fix Window"),  (K23-_xlfn.XLOOKUP(E23,lookups90!$B$4:$B$999,lookups90!$F$4:$F$999, "",0)+_xlfn.XLOOKUP(E23,lookups90!$B$4:$B$999,lookups90!$H$4:$H$999, "",0)+_xlfn.XLOOKUP(E23,lookups90!$B$4:$B$999,lookups90!$H$4:$H$999, "",0))/4+_xlfn.XLOOKUP(E23,lookups90!$B$4:$B$999,lookups90!$I$4:$I$999, "",0)),"")</f>
        <v/>
      </c>
      <c r="AJ23" s="20" t="str">
        <f>IF(_xlfn.XLOOKUP(E23,lookups90!$B$4:$B$999,lookups90!$V$4:$V$999,"",0)=0,"",D23*_xlfn.XLOOKUP(E23,lookups90!$B$4:$B$999,lookups90!$W$4:$W$999,"",0))</f>
        <v/>
      </c>
      <c r="AL23" s="20" t="str" cm="1">
        <f t="array" ref="AL23">IF(AM23&lt;&gt;"", _xlfn.IFS(OR(E23="Fix Slide Door - with Screen", E23="Slide Slide Door - with Screen"), (K23-_xlfn.XLOOKUP(E23,lookups90!$B$4:$B$999,lookups90!$F$4:$F$999, "",0)-_xlfn.XLOOKUP(E23,lookups90!$B$4:$B$999,lookups90!$G$4:$G$999, "",0)+_xlfn.XLOOKUP(E23,lookups90!$B$4:$B$999,lookups90!$H$4:$H$999, "",0))/2+_xlfn.XLOOKUP(E23,lookups90!$B$4:$B$999,lookups90!$I$4:$I$999, "",0), OR( E23="Fix Slide Slide Fix Door - with Screen",  E23="Fix Slide Slide Door"),  (K23-_xlfn.XLOOKUP(E23,lookups90!$B$4:$B$999,lookups90!$F$4:$F$999, "",0)-_xlfn.XLOOKUP(E23,lookups90!$B$4:$B$999,lookups90!$G$4:$G$999, "",0)+_xlfn.XLOOKUP(E23,lookups90!$B$4:$B$999,lookups90!$H$4:$H$999, "",0)+_xlfn.XLOOKUP(E23,lookups90!$B$4:$B$999,lookups90!$H$4:$H$999, "",0))/4+_xlfn.XLOOKUP(E23,lookups90!$B$4:$B$999,lookups90!$I$4:$I$999, "",0)),"")</f>
        <v/>
      </c>
      <c r="AM23" s="20" t="str">
        <f>IF(_xlfn.XLOOKUP(E23,lookups90!$B$4:$B$999,lookups90!$AA$4:$AA$999,"",0)=0,"",D23*_xlfn.XLOOKUP(E23,lookups90!$B$4:$B$999,lookups90!$AA$4:$AA$999,"",0))</f>
        <v/>
      </c>
      <c r="AO23" s="20" t="str">
        <f>IFERROR(IF(C23&lt;&gt;"", T23-_xlfn.XLOOKUP(E23,lookups90!$B$4:$B$999,lookups90!$AE$4:$AE$999, "",0),""),"")</f>
        <v/>
      </c>
      <c r="AP23" s="20" t="str">
        <f>IF(_xlfn.XLOOKUP(E23,lookups90!$B$4:$B$999,lookups90!$AG$4:$AG$999,"",0)=0,"",D23*_xlfn.XLOOKUP(E23,lookups90!$B$4:$B$999,lookups90!$AG$4:$AG$999,"",0))</f>
        <v/>
      </c>
      <c r="AQ23" s="20" t="str">
        <f>IF(V23&lt;&gt;"", T23-_xlfn.XLOOKUP(E23,lookups90!$B$4:$B$999,lookups90!$AE$4:$AE$999, "",0)+_xlfn.XLOOKUP(E23,lookups90!$B$4:$B$999,lookups90!$AF$4:$AF$999, "",0),"")</f>
        <v/>
      </c>
      <c r="AR23" s="20" t="str">
        <f>IFERROR(IF(_xlfn.XLOOKUP(E23,lookups90!$B$4:$B$999,lookups90!$AH$4:$AH$999,"",0)=0,"",D23*_xlfn.XLOOKUP(E23,lookups90!$B$4:$B$999,lookups90!$AH$4:$AH$999,"",0)),"")</f>
        <v/>
      </c>
      <c r="AT23" s="20" t="str">
        <f>IF(OR(E23="Fix Slide Slide Fix Window", E23="Fix Slide Slide Fix Door", E23="Fix Slide Slide Fix Door - with Screen", E23="Fix Slide Slide Door"), T23-_xlfn.XLOOKUP(E23,lookups90!$B$4:$B$999,lookups90!$AE$4:$AE$999,"",0),"")</f>
        <v/>
      </c>
      <c r="AU23" s="20" t="str">
        <f>IFERROR(IF(_xlfn.XLOOKUP(E23,lookups90!$B$4:$B$999,lookups90!$AL$4:$AL$999,"",0)=0,"",D23*_xlfn.XLOOKUP(E23,lookups90!$B$4:$B$999,lookups90!$AL$4:$AL$999,"",0)),"")</f>
        <v/>
      </c>
      <c r="AW23" s="20" t="str">
        <f>IF(C23&lt;&gt;"", T23-_xlfn.XLOOKUP(E23,lookups90!$B$4:$B$999,lookups90!$AP$4:$AP$999,"",0),"")</f>
        <v/>
      </c>
      <c r="AX23" s="20" t="str">
        <f>IFERROR(IF(_xlfn.XLOOKUP(E23,lookups90!$B$4:$B$999,lookups90!$AR$4:$AR$999,"",0)=0,"",D23*_xlfn.XLOOKUP(E23,lookups90!$B$4:$B$999,lookups90!$AR$4:$AR$999,"",0)),"")</f>
        <v/>
      </c>
      <c r="AY23" s="24" t="str">
        <f>IF(V23&lt;&gt;"", V23-_xlfn.XLOOKUP(E23,lookups90!$B$4:$B$999,lookups90!$AP$4:$AP$999,"",0),"")</f>
        <v/>
      </c>
      <c r="AZ23" s="20" t="str">
        <f>IFERROR(IF(_xlfn.XLOOKUP(E23,lookups90!$B$4:$B$999,lookups90!$AS$4:$AS$999,"",0)=0,"",D23*_xlfn.XLOOKUP(E23,lookups90!$B$4:$B$999,lookups90!$AS$4:$AS$999,"",0)),"")</f>
        <v/>
      </c>
      <c r="BA23" s="20" t="str">
        <f>IF(X23&lt;&gt;"", X23-_xlfn.XLOOKUP(E23,lookups90!$B$4:$B$999,lookups90!$AQ$4:$AQ$999,"",0),"")</f>
        <v/>
      </c>
      <c r="BB23" s="20" t="str">
        <f>IFERROR(IF(_xlfn.XLOOKUP(E23,lookups90!$B$4:$B$999,lookups90!$AT$4:$AT$999,"",0)=0,"",D23*_xlfn.XLOOKUP(E23,lookups90!$B$4:$B$999,lookups90!$AT$4:$AT$999,"",0)),"")</f>
        <v/>
      </c>
      <c r="BD23" s="20" t="str">
        <f>IF(C23&lt;&gt;"", N23-_xlfn.XLOOKUP(E23,lookups90!$B$4:$B$999,lookups90!$AX$4:$AX$999,"",0)+M23,"")</f>
        <v/>
      </c>
      <c r="BE23" s="20" t="str">
        <f>IFERROR(IF(_xlfn.XLOOKUP(E23,lookups90!$B$4:$B$999,lookups90!$AY$4:$AY$999,"",0)=0,"",D23*_xlfn.XLOOKUP(E23,lookups90!$B$4:$B$999,lookups90!$AY$4:$AY$999,"",0)),"")</f>
        <v/>
      </c>
      <c r="BF23" s="20" t="str">
        <f>IF(C23&lt;&gt;"", P23-_xlfn.XLOOKUP(E23,lookups90!$B$4:$B$999,lookups90!$AX$4:$AX$999,"",0)+M23,"")</f>
        <v/>
      </c>
      <c r="BG23" s="20" t="str">
        <f>IFERROR(IF(_xlfn.XLOOKUP(E23,lookups90!$B$4:$B$999,lookups90!$AZ$4:$AZ$999,"",0)=0,"",D23*_xlfn.XLOOKUP(E23,lookups90!$B$4:$B$999,lookups90!$AZ$4:$AZ$999,"",0)),"")</f>
        <v/>
      </c>
      <c r="BI23" s="20" t="str">
        <f>IF(C23&lt;&gt;"", T23-_xlfn.XLOOKUP(E23,lookups90!$B$4:$B$999,lookups90!$BA$4:$BA$999,"",0),"")</f>
        <v/>
      </c>
      <c r="BJ23" s="20" t="str">
        <f>IFERROR(IF(_xlfn.XLOOKUP(E23,lookups90!$B$4:$B$999,lookups90!$BB$4:$BB$999,"",0)=0,"",D23*_xlfn.XLOOKUP(E23,lookups90!$B$4:$B$999,lookups90!$BB$4:$BB$999,"",0)),"")</f>
        <v/>
      </c>
      <c r="BK23" s="20" t="str">
        <f>IF(V23&lt;&gt;"", V23-_xlfn.XLOOKUP(E23,lookups90!$B$4:$B$999,lookups90!$BA$4:$BA$999,"",0),"")</f>
        <v/>
      </c>
      <c r="BL23" s="20" t="str">
        <f>IFERROR(IF(_xlfn.XLOOKUP(E23,lookups90!$B$4:$B$999,lookups90!$BC$4:$BC$999,"",0)=0,"",D23*_xlfn.XLOOKUP(E23,lookups90!$B$4:$B$999,lookups90!$BC$4:$BC$999,"",0)),"")</f>
        <v/>
      </c>
      <c r="BM23" s="20" t="str">
        <f>IF(C23&lt;&gt;"", X23-_xlfn.XLOOKUP(E23,lookups90!$B$4:$B$999,lookups90!$BA$4:$BA$999,"",0),"")</f>
        <v/>
      </c>
      <c r="BN23" s="20" t="str">
        <f>IFERROR(IF(_xlfn.XLOOKUP(E23,lookups90!$B$4:$B$999,lookups90!$BD$4:$BD$999,"",0)=0,"",D23*_xlfn.XLOOKUP(E23,lookups90!$B$4:$B$999,lookups90!$BD$4:$BD$999,"",0)),"")</f>
        <v/>
      </c>
      <c r="BP23" s="20" t="str">
        <f>IF(AB23&lt;&gt;"", AB23-_xlfn.XLOOKUP(E23,lookups90!$B$4:$B$999,lookups90!$BE$4:$BE$999,"",0),"")</f>
        <v/>
      </c>
      <c r="BQ23" s="20" t="str">
        <f>IFERROR(IF(_xlfn.XLOOKUP(E23,lookups90!$B$4:$B$999,lookups90!$BF$4:$BF$999,"",0)=0,"",D23*_xlfn.XLOOKUP(E23,lookups90!$B$4:$B$999,lookups90!$BF$4:$BF$999,"",0)),"")</f>
        <v/>
      </c>
      <c r="BR23" s="20" t="str" cm="1">
        <f t="array" ref="BR23">_xlfn.IFS(BP23="","",OR(E23="Fix Slide Door - with Screen",E23="Slide Slide Door - with Screen"),(K23-_xlfn.XLOOKUP(E23,lookups90!$B$4:$B$999,lookups90!$F$4:$F$999,"",0)-_xlfn.XLOOKUP(E23,lookups90!$B$4:$B$999,lookups90!$G$4:$G$999,"",0)+_xlfn.XLOOKUP(E23,lookups90!$B$4:$B$999,lookups90!$H$4:$H$999,"",0))/2+_xlfn.XLOOKUP(E23,lookups90!$B$4:$B$999,lookups90!$I$4:$I$999,"",0)-_xlfn.XLOOKUP(E23,lookups90!$B$4:$B$999,lookups90!$BE$4:$BE$999,"",0), E23="Fix Slide Slide Fix Door - with Screen",(K23-_xlfn.XLOOKUP(E23,lookups90!$B$4:$B$999,lookups90!$F$4:$F$999,"",0)-_xlfn.XLOOKUP(E23,lookups90!$B$4:$B$999,lookups90!$G$4:$G$999,"",0)+_xlfn.XLOOKUP(E23,lookups90!$B$4:$B$999,lookups90!$H$4:$H$999,"",0)+_xlfn.XLOOKUP(E23,lookups90!$B$4:$B$999,lookups90!$H$4:$H$999,"",0))/4+_xlfn.XLOOKUP(E23,lookups90!$B$4:$B$999,lookups90!$I$4:$I$999,"",0)-_xlfn.XLOOKUP(E23,lookups90!$B$4:$B$999,lookups90!$BE$4:$BE$999,"",0))</f>
        <v/>
      </c>
      <c r="BS23" s="20" t="str">
        <f>IFERROR(IF(_xlfn.XLOOKUP(E23,lookups90!$B$4:$B$999,lookups90!$BG$4:$BG$999,"",0)=0,"",D23*_xlfn.XLOOKUP(E23,lookups90!$B$4:$B$999,lookups90!$BG$4:$BG$999,"",0)),"")</f>
        <v/>
      </c>
      <c r="BU23" s="20" t="str">
        <f>IF(AG23&lt;&gt;"",AG23-_xlfn.XLOOKUP(E23,lookups90!$B$4:$B$999,lookups90!$BA$4:$BA$999,"",0),"")</f>
        <v/>
      </c>
      <c r="BV23" s="20" t="str">
        <f>IFERROR(IF(_xlfn.XLOOKUP(E23,lookups90!$B$4:$B$999,lookups90!$BH$4:$BH$999,"",0)=0,"",D23*_xlfn.XLOOKUP(E23,lookups90!$B$4:$B$999,lookups90!$BH$4:$BH$999,"",0)),"")</f>
        <v/>
      </c>
      <c r="BW23" s="20" t="str" cm="1">
        <f t="array" ref="BW23">_xlfn.IFS(BU23="","",OR(E23="Fix Slide Window",E23="Slide Slide Window"),(K23-_xlfn.XLOOKUP(E23,lookups90!$B$4:$B$999,lookups90!$F$4:$F$999,"",0)-_xlfn.XLOOKUP(E23,lookups90!$B$4:$B$999,lookups90!$G$4:$G$999,"",0)+_xlfn.XLOOKUP(E23,lookups90!$B$4:$B$999,lookups90!$H$4:$H$999,"",0))/2+_xlfn.XLOOKUP(E23,lookups90!$B$4:$B$999,lookups90!$I$4:$I$999,"",0)-_xlfn.XLOOKUP(E23,lookups90!$B$4:$B$999,lookups90!$BA$4:$BA$999,"",0), E23="Fix Slide Slide Fix Window",(K23-_xlfn.XLOOKUP(E23,lookups90!$B$4:$B$999,lookups90!$F$4:$F$999,"",0)-_xlfn.XLOOKUP(E23,lookups90!$B$4:$B$999,lookups90!$G$4:$G$999,"",0)+_xlfn.XLOOKUP(E23,lookups90!$B$4:$B$999,lookups90!$H$4:$H$999,"",0)+_xlfn.XLOOKUP(E23,lookups90!$B$4:$B$999,lookups90!$H$4:$H$999,"",0))/4+_xlfn.XLOOKUP(E23,lookups90!$B$4:$B$999,lookups90!$I$4:$I$999,"",0)-_xlfn.XLOOKUP(E23,lookups90!$B$4:$B$999,lookups90!$BA$4:$BA$999,"",0))</f>
        <v/>
      </c>
      <c r="BX23" s="20" t="str">
        <f>IFERROR(IF(_xlfn.XLOOKUP(E23,lookups90!$B$4:$B$999,lookups90!$BI$4:$BI$999,"",0)=0,"",D23*_xlfn.XLOOKUP(E23,lookups90!$B$4:$B$999,lookups90!$BI$4:$BI$999,"",0)),"")</f>
        <v/>
      </c>
      <c r="BZ23" s="20" t="str">
        <f>IF(AL23&lt;&gt;"", AL23-_xlfn.XLOOKUP(E23,lookups90!$B$4:$B$999,lookups90!$BJ$4:$BJ$999,"",0),"")</f>
        <v/>
      </c>
      <c r="CA23" s="20" t="str">
        <f>IFERROR(IF(_xlfn.XLOOKUP(E23,lookups90!$B$4:$B$999,lookups90!$BK$4:$BK$999,"",0)=0,"",D23*_xlfn.XLOOKUP(E23,lookups90!$B$4:$B$999,lookups90!$BK$4:$BK$999,"",0)),"")</f>
        <v/>
      </c>
      <c r="CC23" s="20" t="str">
        <f>IF(C23&lt;&gt;"", T23-_xlfn.XLOOKUP(E23,lookups90!$B$4:$B$999,lookups90!$BO$4:$BO$999,"",0)-_xlfn.XLOOKUP(E23,lookups90!$B$4:$B$999,lookups90!$BP$4:$BP$999,"",0),"")</f>
        <v/>
      </c>
      <c r="CD23" s="20" t="str">
        <f>IF(C23&lt;&gt;"", X23-_xlfn.XLOOKUP(E23,lookups90!$B$4:$B$999,lookups90!$BQ$4:$BQ$999,"",0)-_xlfn.XLOOKUP(E23,lookups90!$B$4:$B$999,lookups90!$BR$4:$BR$999,"",0),"")</f>
        <v/>
      </c>
      <c r="CE23" s="20" t="str">
        <f>IFERROR(IF(_xlfn.XLOOKUP(E23,lookups90!$B$4:$B$999,lookups90!$BS$4:$BS$999,"",0)=0,"",D23*_xlfn.XLOOKUP(E23,lookups90!$B$4:$B$999,lookups90!$BS$4:$BS$999,"",0)),"")</f>
        <v/>
      </c>
      <c r="CF23" s="20" t="str">
        <f>IF(V23&lt;&gt;"", V23-_xlfn.XLOOKUP(E23,lookups90!$B$4:$B$999,lookups90!$BO$4:$BO$999,"",0)-_xlfn.XLOOKUP(E23,lookups90!$B$4:$B$999,lookups90!$BP$4:$BP$999,"",0),"")</f>
        <v/>
      </c>
      <c r="CG23" s="20" t="str">
        <f>IF(CF23&lt;&gt;"", X23-_xlfn.XLOOKUP(E23,lookups90!$B$4:$B$999,lookups90!$BQ$4:$BQ$999,"",0)-_xlfn.XLOOKUP(E23,lookups90!$B$4:$B$999,lookups90!$BR$4:$BR$999,"",0),"")</f>
        <v/>
      </c>
      <c r="CH23" s="20" t="str">
        <f>IFERROR(IF(_xlfn.XLOOKUP(E23,lookups90!$B$4:$B$999,lookups90!$BT$4:$BT$999,"",0)=0,"",D23*_xlfn.XLOOKUP(E23,lookups90!$B$4:$B$999,lookups90!$BT$4:$BT$999,"",0)),"")</f>
        <v/>
      </c>
      <c r="CJ23" s="22" t="str">
        <f t="shared" si="5"/>
        <v/>
      </c>
      <c r="CL23" s="22" t="str" cm="1">
        <f t="array" ref="CL23">IF(D23&lt;&gt;"",((((J23+K23)*2)/500)+(2*_xlfn.IFS(OR(E23="Fix Slide Window", E23="Slide Slide Window", E23="Fix Slide Slide Fix Window"), 2, E23="Slide Slide Door - with Screen", 8, E23&lt;&gt;"",4)))*D23,"")</f>
        <v/>
      </c>
      <c r="CM23" s="22" t="str">
        <f t="shared" si="6"/>
        <v/>
      </c>
      <c r="CN23" s="22" t="str">
        <f t="shared" si="7"/>
        <v/>
      </c>
      <c r="CO23" s="22" t="str">
        <f t="shared" si="8"/>
        <v/>
      </c>
      <c r="CP23" s="22" t="str">
        <f t="shared" si="0"/>
        <v/>
      </c>
    </row>
    <row r="24" spans="3:94" x14ac:dyDescent="0.25">
      <c r="C24" s="16"/>
      <c r="D24" s="16"/>
      <c r="E24" s="16"/>
      <c r="F24" s="16"/>
      <c r="G24" s="16"/>
      <c r="H24" s="16"/>
      <c r="I24" s="16"/>
      <c r="J24" s="16"/>
      <c r="K24" s="16"/>
      <c r="M24" s="20" t="str">
        <f t="shared" si="1"/>
        <v/>
      </c>
      <c r="N24" s="20" t="str" cm="1">
        <f t="array" ref="N24">IFERROR(_xlfn.IFS(OR(E24="Fix Awning (Vertical)", E24="Fix Awning (Horizontal)"), J24/2+20,C24&lt;&gt;"", J24+M24),"")</f>
        <v/>
      </c>
      <c r="O24" s="20" t="str">
        <f t="shared" si="2"/>
        <v/>
      </c>
      <c r="P24" s="20" t="str">
        <f t="shared" si="3"/>
        <v/>
      </c>
      <c r="Q24" s="20" t="str">
        <f t="shared" si="4"/>
        <v/>
      </c>
      <c r="S24" s="20" t="str">
        <f>IF(C24&lt;&gt;"", _xlfn.XLOOKUP(E24,lookups90!$B$4:$B$999,lookups90!$C$4:$C$999,"",0),"")</f>
        <v/>
      </c>
      <c r="T24" s="20" t="str">
        <f>IF(C24&lt;&gt;"", J24-_xlfn.XLOOKUP(E24,lookups90!$B$4:$B$999,lookups90!$D$4:$D$999, "",0),"")</f>
        <v/>
      </c>
      <c r="U24" s="20" t="str">
        <f>IF(T24&lt;&gt;"",D24*_xlfn.XLOOKUP(E24,lookups90!$B$4:$B$999,lookups90!$J$4:$J$999, "",0),"")</f>
        <v/>
      </c>
      <c r="V24" s="20" t="str">
        <f>IF(AND(C24&lt;&gt;"", E24&lt;&gt;"Slide Slide Window", E24&lt;&gt;"Slide Slide Door", E24&lt;&gt;"Slide Slide Door - with Screen"), J24-_xlfn.XLOOKUP(E24,lookups90!$B$4:$B$999,lookups90!$E$4:$E$999, "",0),"")</f>
        <v/>
      </c>
      <c r="W24" s="20" t="str">
        <f>IF(V24&lt;&gt;"",D24*_xlfn.XLOOKUP(E24,lookups90!$B$4:$B$999,lookups90!$K$4:$K$999, "",0),"")</f>
        <v/>
      </c>
      <c r="X24" s="20" t="str" cm="1">
        <f t="array" ref="X24">IFERROR(_xlfn.IFS(OR(E24="Fix Slide Window", E24="Slide Slide Window", E24="Fix Slide Door", E24="Slide Slide Door", E24="Fix Slide Door - with Screen", E24="Slide Slide Door - with Screen"), (K24-_xlfn.XLOOKUP(E24,lookups90!$B$4:$B$999,lookups90!$F$4:$F$999, "",0)-_xlfn.XLOOKUP(E24,lookups90!$B$4:$B$999,lookups90!$G$4:$G$999, "",0)+_xlfn.XLOOKUP(E24,lookups90!$B$4:$B$999,lookups90!$H$4:$H$999, "",0))/2+_xlfn.XLOOKUP(E24,lookups90!$B$4:$B$999,lookups90!$I$4:$I$999, "",0), OR(E24="Fix Slide Slide Fix Window", E24="Fix Slide Slide Fix Door - with Screen", E24="Fix Slide Slide Fix Door"),  (K24-_xlfn.XLOOKUP(E24,lookups90!$B$4:$B$999,lookups90!$F$4:$F$999, "",0)-_xlfn.XLOOKUP(E24,lookups90!$B$4:$B$999,lookups90!$G$4:$G$999, "",0)+_xlfn.XLOOKUP(E24,lookups90!$B$4:$B$999,lookups90!$H$4:$H$999, "",0)+_xlfn.XLOOKUP(E24,lookups90!$B$4:$B$999,lookups90!$H$4:$H$999, "",0))/4+_xlfn.XLOOKUP(E24,lookups90!$B$4:$B$999,lookups90!$I$4:$I$999, "",0), E24="Fix Slide Slide Door", (K24-_xlfn.XLOOKUP(E24,lookups90!$B$4:$B$999,lookups90!$F$4:$F$999, "",0)-_xlfn.XLOOKUP(E24,lookups90!$B$4:$B$999,lookups90!$G$4:$G$999, "",0)+_xlfn.XLOOKUP(E24,lookups90!$B$4:$B$999,lookups90!$H$4:$H$999, "",0)+_xlfn.XLOOKUP(E24,lookups90!$B$4:$B$999,lookups90!$H$4:$H$999, "",0))/3+_xlfn.XLOOKUP(E24,lookups90!$B$4:$B$999,lookups90!$I$4:$I$999, "",0),E24="Fix Slide Slide Slide Slide Fix Dr",  (K24-_xlfn.XLOOKUP(E24,lookups90!$B$4:$B$999,lookups90!$F$4:$F$999, "",0)-_xlfn.XLOOKUP(E24,lookups90!$B$4:$B$999,lookups90!$G$4:$G$999, "",0)+_xlfn.XLOOKUP(E24,lookups90!$B$4:$B$999,lookups90!$H$4:$H$999, "",0)+_xlfn.XLOOKUP(E24,lookups90!$B$4:$B$999,lookups90!$H$4:$H$999, "",0)+_xlfn.XLOOKUP(E24,lookups90!$B$4:$B$999,lookups90!$H$4:$H$999, "",0)+_xlfn.XLOOKUP(E24,lookups90!$B$4:$B$999,lookups90!$H$4:$H$999, "",0))/6+_xlfn.XLOOKUP(E24,lookups90!$B$4:$B$999,lookups90!$I$4:$I$999, "",0), E24="Fix Slide Slide Slide Slide Slide Slide Fix Dr",  (K24-_xlfn.XLOOKUP(E24,lookups90!$B$4:$B$999,lookups90!$F$4:$F$999, "",0)-_xlfn.XLOOKUP(E24,lookups90!$B$4:$B$999,lookups90!$G$4:$G$999, "",0)+_xlfn.XLOOKUP(E24,lookups90!$B$4:$B$999,lookups90!$H$4:$H$999, "",0)+_xlfn.XLOOKUP(E24,lookups90!$B$4:$B$999,lookups90!$H$4:$H$999, "",0)+_xlfn.XLOOKUP(E24,lookups90!$B$4:$B$999,lookups90!$H$4:$H$999, "",0)+_xlfn.XLOOKUP(E24,lookups90!$B$4:$B$999,lookups90!$H$4:$H$999, "",0)+_xlfn.XLOOKUP(E24,lookups90!$B$4:$B$999,lookups90!$H$4:$H$999, "",0)+_xlfn.XLOOKUP(E24,lookups90!$B$4:$B$999,lookups90!$H$4:$H$999, "",0))/8+_xlfn.XLOOKUP(E24,lookups90!$B$4:$B$999,lookups90!$I$4:$I$999, "",0)),"")</f>
        <v/>
      </c>
      <c r="Y24" s="20" t="str">
        <f>IF(X24&lt;&gt;"",D24*_xlfn.XLOOKUP(E24,lookups90!$B$4:$B$999,lookups90!$L$4:$L$999, "",0),"")</f>
        <v/>
      </c>
      <c r="AA24" s="20" t="str">
        <f>IF(C24&lt;&gt;"", IF(_xlfn.XLOOKUP(E24,lookups90!$B$4:$B$999,lookups90!$P$4:$P$999,"",0)=0,"",_xlfn.XLOOKUP(E24,lookups90!$B$4:$B$999,lookups90!$P$4:$P$999,"",0)),"")</f>
        <v/>
      </c>
      <c r="AB24" s="20" t="str">
        <f>IF(AA24&lt;&gt;"", J24-_xlfn.XLOOKUP(E24,lookups90!$B$4:$B$999,lookups90!$D$4:$D$999, "",0),"")</f>
        <v/>
      </c>
      <c r="AC24" s="20" t="str">
        <f>IF(AA24&lt;&gt;"",D24*_xlfn.XLOOKUP(E24,lookups90!$B$4:$B$999,lookups90!$Q$4:$Q$999, "",0),"")</f>
        <v/>
      </c>
      <c r="AD24" s="20" t="str" cm="1">
        <f t="array" ref="AD24">IF(AA24&lt;&gt;"", _xlfn.IFS(OR(E24="Fix Slide Window", E24="Slide Slide Window", E24="Fix Slide Door", E24="Slide Slide Door", E24="Fix Slide Door - with Screen", E24="Slide Slide Door - with Screen"), (K24-_xlfn.XLOOKUP(E24,lookups90!$B$4:$B$999,lookups90!$F$4:$F$999, "",0)-_xlfn.XLOOKUP(E24,lookups90!$B$4:$B$999,lookups90!$G$4:$G$999, "",0)+_xlfn.XLOOKUP(E24,lookups90!$B$4:$B$999,lookups90!$H$4:$H$999, "",0))/2+_xlfn.XLOOKUP(E24,lookups90!$B$4:$B$999,lookups90!$I$4:$I$999, "",0), OR(E24="Fix Slide Slide Fix Window", E24="Fix Slide Slide Fix Door - with Screen", E24="Fix Slide Slide Fix Door"),  (K24-_xlfn.XLOOKUP(E24,lookups90!$B$4:$B$999,lookups90!$F$4:$F$999, "",0)-_xlfn.XLOOKUP(E24,lookups90!$B$4:$B$999,lookups90!$G$4:$G$999, "",0)+_xlfn.XLOOKUP(E24,lookups90!$B$4:$B$999,lookups90!$H$4:$H$999, "",0)+_xlfn.XLOOKUP(E24,lookups90!$B$4:$B$999,lookups90!$H$4:$H$999, "",0))/4+_xlfn.XLOOKUP(E24,lookups90!$B$4:$B$999,lookups90!$I$4:$I$999, "",0), E24="Fix Slide Slide Door", (K24-_xlfn.XLOOKUP(E24,lookups90!$B$4:$B$999,lookups90!$F$4:$F$999, "",0)-_xlfn.XLOOKUP(E24,lookups90!$B$4:$B$999,lookups90!$G$4:$G$999, "",0)+_xlfn.XLOOKUP(E24,lookups90!$B$4:$B$999,lookups90!$H$4:$H$999, "",0)+_xlfn.XLOOKUP(E24,lookups90!$B$4:$B$999,lookups90!$H$4:$H$999, "",0))/3+_xlfn.XLOOKUP(E24,lookups90!$B$4:$B$999,lookups90!$I$4:$I$999, "",0) ),"")</f>
        <v/>
      </c>
      <c r="AE24" s="20" t="str">
        <f>IF(AA24&lt;&gt;"",D24*_xlfn.XLOOKUP(E24,lookups90!$B$4:$B$999,lookups90!$R$4:$R$999, "",0),"")</f>
        <v/>
      </c>
      <c r="AG24" s="20" t="str">
        <f>IF(AH24&lt;&gt;"", J24-_xlfn.XLOOKUP(E24,lookups90!$B$4:$B$999,lookups90!$D$4:$D$999, "",0),"")</f>
        <v/>
      </c>
      <c r="AH24" s="20" t="str">
        <f>IF(_xlfn.XLOOKUP(E24,lookups90!$B$4:$B$999,lookups90!$V$4:$V$999,"",0)=0,"",D24*_xlfn.XLOOKUP(E24,lookups90!$B$4:$B$999,lookups90!$V$4:$V$999,"",0))</f>
        <v/>
      </c>
      <c r="AI24" s="20" t="str" cm="1">
        <f t="array" ref="AI24">IF(AH24&lt;&gt;"", _xlfn.IFS(OR(E24="Fix Slide Window", E24="Slide Slide Window"), (K24-_xlfn.XLOOKUP(E24,lookups90!$B$4:$B$999,lookups90!$F$4:$F$999, "",0)-_xlfn.XLOOKUP(E24,lookups90!$B$4:$B$999,lookups90!$G$4:$G$999, "",0)+_xlfn.XLOOKUP(E24,lookups90!$B$4:$B$999,lookups90!$H$4:$H$999, "",0))/2+_xlfn.XLOOKUP(E24,lookups90!$B$4:$B$999,lookups90!$I$4:$I$999, "",0), OR(E24="Fix Slide Slide Fix Window"),  (K24-_xlfn.XLOOKUP(E24,lookups90!$B$4:$B$999,lookups90!$F$4:$F$999, "",0)+_xlfn.XLOOKUP(E24,lookups90!$B$4:$B$999,lookups90!$H$4:$H$999, "",0)+_xlfn.XLOOKUP(E24,lookups90!$B$4:$B$999,lookups90!$H$4:$H$999, "",0))/4+_xlfn.XLOOKUP(E24,lookups90!$B$4:$B$999,lookups90!$I$4:$I$999, "",0)),"")</f>
        <v/>
      </c>
      <c r="AJ24" s="20" t="str">
        <f>IF(_xlfn.XLOOKUP(E24,lookups90!$B$4:$B$999,lookups90!$V$4:$V$999,"",0)=0,"",D24*_xlfn.XLOOKUP(E24,lookups90!$B$4:$B$999,lookups90!$W$4:$W$999,"",0))</f>
        <v/>
      </c>
      <c r="AL24" s="20" t="str" cm="1">
        <f t="array" ref="AL24">IF(AM24&lt;&gt;"", _xlfn.IFS(OR(E24="Fix Slide Door - with Screen", E24="Slide Slide Door - with Screen"), (K24-_xlfn.XLOOKUP(E24,lookups90!$B$4:$B$999,lookups90!$F$4:$F$999, "",0)-_xlfn.XLOOKUP(E24,lookups90!$B$4:$B$999,lookups90!$G$4:$G$999, "",0)+_xlfn.XLOOKUP(E24,lookups90!$B$4:$B$999,lookups90!$H$4:$H$999, "",0))/2+_xlfn.XLOOKUP(E24,lookups90!$B$4:$B$999,lookups90!$I$4:$I$999, "",0), OR( E24="Fix Slide Slide Fix Door - with Screen",  E24="Fix Slide Slide Door"),  (K24-_xlfn.XLOOKUP(E24,lookups90!$B$4:$B$999,lookups90!$F$4:$F$999, "",0)-_xlfn.XLOOKUP(E24,lookups90!$B$4:$B$999,lookups90!$G$4:$G$999, "",0)+_xlfn.XLOOKUP(E24,lookups90!$B$4:$B$999,lookups90!$H$4:$H$999, "",0)+_xlfn.XLOOKUP(E24,lookups90!$B$4:$B$999,lookups90!$H$4:$H$999, "",0))/4+_xlfn.XLOOKUP(E24,lookups90!$B$4:$B$999,lookups90!$I$4:$I$999, "",0)),"")</f>
        <v/>
      </c>
      <c r="AM24" s="20" t="str">
        <f>IF(_xlfn.XLOOKUP(E24,lookups90!$B$4:$B$999,lookups90!$AA$4:$AA$999,"",0)=0,"",D24*_xlfn.XLOOKUP(E24,lookups90!$B$4:$B$999,lookups90!$AA$4:$AA$999,"",0))</f>
        <v/>
      </c>
      <c r="AO24" s="20" t="str">
        <f>IFERROR(IF(C24&lt;&gt;"", T24-_xlfn.XLOOKUP(E24,lookups90!$B$4:$B$999,lookups90!$AE$4:$AE$999, "",0),""),"")</f>
        <v/>
      </c>
      <c r="AP24" s="20" t="str">
        <f>IF(_xlfn.XLOOKUP(E24,lookups90!$B$4:$B$999,lookups90!$AG$4:$AG$999,"",0)=0,"",D24*_xlfn.XLOOKUP(E24,lookups90!$B$4:$B$999,lookups90!$AG$4:$AG$999,"",0))</f>
        <v/>
      </c>
      <c r="AQ24" s="20" t="str">
        <f>IF(V24&lt;&gt;"", T24-_xlfn.XLOOKUP(E24,lookups90!$B$4:$B$999,lookups90!$AE$4:$AE$999, "",0)+_xlfn.XLOOKUP(E24,lookups90!$B$4:$B$999,lookups90!$AF$4:$AF$999, "",0),"")</f>
        <v/>
      </c>
      <c r="AR24" s="20" t="str">
        <f>IFERROR(IF(_xlfn.XLOOKUP(E24,lookups90!$B$4:$B$999,lookups90!$AH$4:$AH$999,"",0)=0,"",D24*_xlfn.XLOOKUP(E24,lookups90!$B$4:$B$999,lookups90!$AH$4:$AH$999,"",0)),"")</f>
        <v/>
      </c>
      <c r="AT24" s="20" t="str">
        <f>IF(OR(E24="Fix Slide Slide Fix Window", E24="Fix Slide Slide Fix Door", E24="Fix Slide Slide Fix Door - with Screen", E24="Fix Slide Slide Door"), T24-_xlfn.XLOOKUP(E24,lookups90!$B$4:$B$999,lookups90!$AE$4:$AE$999,"",0),"")</f>
        <v/>
      </c>
      <c r="AU24" s="20" t="str">
        <f>IFERROR(IF(_xlfn.XLOOKUP(E24,lookups90!$B$4:$B$999,lookups90!$AL$4:$AL$999,"",0)=0,"",D24*_xlfn.XLOOKUP(E24,lookups90!$B$4:$B$999,lookups90!$AL$4:$AL$999,"",0)),"")</f>
        <v/>
      </c>
      <c r="AW24" s="20" t="str">
        <f>IF(C24&lt;&gt;"", T24-_xlfn.XLOOKUP(E24,lookups90!$B$4:$B$999,lookups90!$AP$4:$AP$999,"",0),"")</f>
        <v/>
      </c>
      <c r="AX24" s="20" t="str">
        <f>IFERROR(IF(_xlfn.XLOOKUP(E24,lookups90!$B$4:$B$999,lookups90!$AR$4:$AR$999,"",0)=0,"",D24*_xlfn.XLOOKUP(E24,lookups90!$B$4:$B$999,lookups90!$AR$4:$AR$999,"",0)),"")</f>
        <v/>
      </c>
      <c r="AY24" s="24" t="str">
        <f>IF(V24&lt;&gt;"", V24-_xlfn.XLOOKUP(E24,lookups90!$B$4:$B$999,lookups90!$AP$4:$AP$999,"",0),"")</f>
        <v/>
      </c>
      <c r="AZ24" s="20" t="str">
        <f>IFERROR(IF(_xlfn.XLOOKUP(E24,lookups90!$B$4:$B$999,lookups90!$AS$4:$AS$999,"",0)=0,"",D24*_xlfn.XLOOKUP(E24,lookups90!$B$4:$B$999,lookups90!$AS$4:$AS$999,"",0)),"")</f>
        <v/>
      </c>
      <c r="BA24" s="20" t="str">
        <f>IF(X24&lt;&gt;"", X24-_xlfn.XLOOKUP(E24,lookups90!$B$4:$B$999,lookups90!$AQ$4:$AQ$999,"",0),"")</f>
        <v/>
      </c>
      <c r="BB24" s="20" t="str">
        <f>IFERROR(IF(_xlfn.XLOOKUP(E24,lookups90!$B$4:$B$999,lookups90!$AT$4:$AT$999,"",0)=0,"",D24*_xlfn.XLOOKUP(E24,lookups90!$B$4:$B$999,lookups90!$AT$4:$AT$999,"",0)),"")</f>
        <v/>
      </c>
      <c r="BD24" s="20" t="str">
        <f>IF(C24&lt;&gt;"", N24-_xlfn.XLOOKUP(E24,lookups90!$B$4:$B$999,lookups90!$AX$4:$AX$999,"",0)+M24,"")</f>
        <v/>
      </c>
      <c r="BE24" s="20" t="str">
        <f>IFERROR(IF(_xlfn.XLOOKUP(E24,lookups90!$B$4:$B$999,lookups90!$AY$4:$AY$999,"",0)=0,"",D24*_xlfn.XLOOKUP(E24,lookups90!$B$4:$B$999,lookups90!$AY$4:$AY$999,"",0)),"")</f>
        <v/>
      </c>
      <c r="BF24" s="20" t="str">
        <f>IF(C24&lt;&gt;"", P24-_xlfn.XLOOKUP(E24,lookups90!$B$4:$B$999,lookups90!$AX$4:$AX$999,"",0)+M24,"")</f>
        <v/>
      </c>
      <c r="BG24" s="20" t="str">
        <f>IFERROR(IF(_xlfn.XLOOKUP(E24,lookups90!$B$4:$B$999,lookups90!$AZ$4:$AZ$999,"",0)=0,"",D24*_xlfn.XLOOKUP(E24,lookups90!$B$4:$B$999,lookups90!$AZ$4:$AZ$999,"",0)),"")</f>
        <v/>
      </c>
      <c r="BI24" s="20" t="str">
        <f>IF(C24&lt;&gt;"", T24-_xlfn.XLOOKUP(E24,lookups90!$B$4:$B$999,lookups90!$BA$4:$BA$999,"",0),"")</f>
        <v/>
      </c>
      <c r="BJ24" s="20" t="str">
        <f>IFERROR(IF(_xlfn.XLOOKUP(E24,lookups90!$B$4:$B$999,lookups90!$BB$4:$BB$999,"",0)=0,"",D24*_xlfn.XLOOKUP(E24,lookups90!$B$4:$B$999,lookups90!$BB$4:$BB$999,"",0)),"")</f>
        <v/>
      </c>
      <c r="BK24" s="20" t="str">
        <f>IF(V24&lt;&gt;"", V24-_xlfn.XLOOKUP(E24,lookups90!$B$4:$B$999,lookups90!$BA$4:$BA$999,"",0),"")</f>
        <v/>
      </c>
      <c r="BL24" s="20" t="str">
        <f>IFERROR(IF(_xlfn.XLOOKUP(E24,lookups90!$B$4:$B$999,lookups90!$BC$4:$BC$999,"",0)=0,"",D24*_xlfn.XLOOKUP(E24,lookups90!$B$4:$B$999,lookups90!$BC$4:$BC$999,"",0)),"")</f>
        <v/>
      </c>
      <c r="BM24" s="20" t="str">
        <f>IF(C24&lt;&gt;"", X24-_xlfn.XLOOKUP(E24,lookups90!$B$4:$B$999,lookups90!$BA$4:$BA$999,"",0),"")</f>
        <v/>
      </c>
      <c r="BN24" s="20" t="str">
        <f>IFERROR(IF(_xlfn.XLOOKUP(E24,lookups90!$B$4:$B$999,lookups90!$BD$4:$BD$999,"",0)=0,"",D24*_xlfn.XLOOKUP(E24,lookups90!$B$4:$B$999,lookups90!$BD$4:$BD$999,"",0)),"")</f>
        <v/>
      </c>
      <c r="BP24" s="20" t="str">
        <f>IF(AB24&lt;&gt;"", AB24-_xlfn.XLOOKUP(E24,lookups90!$B$4:$B$999,lookups90!$BE$4:$BE$999,"",0),"")</f>
        <v/>
      </c>
      <c r="BQ24" s="20" t="str">
        <f>IFERROR(IF(_xlfn.XLOOKUP(E24,lookups90!$B$4:$B$999,lookups90!$BF$4:$BF$999,"",0)=0,"",D24*_xlfn.XLOOKUP(E24,lookups90!$B$4:$B$999,lookups90!$BF$4:$BF$999,"",0)),"")</f>
        <v/>
      </c>
      <c r="BR24" s="20" t="str" cm="1">
        <f t="array" ref="BR24">_xlfn.IFS(BP24="","",OR(E24="Fix Slide Door - with Screen",E24="Slide Slide Door - with Screen"),(K24-_xlfn.XLOOKUP(E24,lookups90!$B$4:$B$999,lookups90!$F$4:$F$999,"",0)-_xlfn.XLOOKUP(E24,lookups90!$B$4:$B$999,lookups90!$G$4:$G$999,"",0)+_xlfn.XLOOKUP(E24,lookups90!$B$4:$B$999,lookups90!$H$4:$H$999,"",0))/2+_xlfn.XLOOKUP(E24,lookups90!$B$4:$B$999,lookups90!$I$4:$I$999,"",0)-_xlfn.XLOOKUP(E24,lookups90!$B$4:$B$999,lookups90!$BE$4:$BE$999,"",0), E24="Fix Slide Slide Fix Door - with Screen",(K24-_xlfn.XLOOKUP(E24,lookups90!$B$4:$B$999,lookups90!$F$4:$F$999,"",0)-_xlfn.XLOOKUP(E24,lookups90!$B$4:$B$999,lookups90!$G$4:$G$999,"",0)+_xlfn.XLOOKUP(E24,lookups90!$B$4:$B$999,lookups90!$H$4:$H$999,"",0)+_xlfn.XLOOKUP(E24,lookups90!$B$4:$B$999,lookups90!$H$4:$H$999,"",0))/4+_xlfn.XLOOKUP(E24,lookups90!$B$4:$B$999,lookups90!$I$4:$I$999,"",0)-_xlfn.XLOOKUP(E24,lookups90!$B$4:$B$999,lookups90!$BE$4:$BE$999,"",0))</f>
        <v/>
      </c>
      <c r="BS24" s="20" t="str">
        <f>IFERROR(IF(_xlfn.XLOOKUP(E24,lookups90!$B$4:$B$999,lookups90!$BG$4:$BG$999,"",0)=0,"",D24*_xlfn.XLOOKUP(E24,lookups90!$B$4:$B$999,lookups90!$BG$4:$BG$999,"",0)),"")</f>
        <v/>
      </c>
      <c r="BU24" s="20" t="str">
        <f>IF(AG24&lt;&gt;"",AG24-_xlfn.XLOOKUP(E24,lookups90!$B$4:$B$999,lookups90!$BA$4:$BA$999,"",0),"")</f>
        <v/>
      </c>
      <c r="BV24" s="20" t="str">
        <f>IFERROR(IF(_xlfn.XLOOKUP(E24,lookups90!$B$4:$B$999,lookups90!$BH$4:$BH$999,"",0)=0,"",D24*_xlfn.XLOOKUP(E24,lookups90!$B$4:$B$999,lookups90!$BH$4:$BH$999,"",0)),"")</f>
        <v/>
      </c>
      <c r="BW24" s="20" t="str" cm="1">
        <f t="array" ref="BW24">_xlfn.IFS(BU24="","",OR(E24="Fix Slide Window",E24="Slide Slide Window"),(K24-_xlfn.XLOOKUP(E24,lookups90!$B$4:$B$999,lookups90!$F$4:$F$999,"",0)-_xlfn.XLOOKUP(E24,lookups90!$B$4:$B$999,lookups90!$G$4:$G$999,"",0)+_xlfn.XLOOKUP(E24,lookups90!$B$4:$B$999,lookups90!$H$4:$H$999,"",0))/2+_xlfn.XLOOKUP(E24,lookups90!$B$4:$B$999,lookups90!$I$4:$I$999,"",0)-_xlfn.XLOOKUP(E24,lookups90!$B$4:$B$999,lookups90!$BA$4:$BA$999,"",0), E24="Fix Slide Slide Fix Window",(K24-_xlfn.XLOOKUP(E24,lookups90!$B$4:$B$999,lookups90!$F$4:$F$999,"",0)-_xlfn.XLOOKUP(E24,lookups90!$B$4:$B$999,lookups90!$G$4:$G$999,"",0)+_xlfn.XLOOKUP(E24,lookups90!$B$4:$B$999,lookups90!$H$4:$H$999,"",0)+_xlfn.XLOOKUP(E24,lookups90!$B$4:$B$999,lookups90!$H$4:$H$999,"",0))/4+_xlfn.XLOOKUP(E24,lookups90!$B$4:$B$999,lookups90!$I$4:$I$999,"",0)-_xlfn.XLOOKUP(E24,lookups90!$B$4:$B$999,lookups90!$BA$4:$BA$999,"",0))</f>
        <v/>
      </c>
      <c r="BX24" s="20" t="str">
        <f>IFERROR(IF(_xlfn.XLOOKUP(E24,lookups90!$B$4:$B$999,lookups90!$BI$4:$BI$999,"",0)=0,"",D24*_xlfn.XLOOKUP(E24,lookups90!$B$4:$B$999,lookups90!$BI$4:$BI$999,"",0)),"")</f>
        <v/>
      </c>
      <c r="BZ24" s="20" t="str">
        <f>IF(AL24&lt;&gt;"", AL24-_xlfn.XLOOKUP(E24,lookups90!$B$4:$B$999,lookups90!$BJ$4:$BJ$999,"",0),"")</f>
        <v/>
      </c>
      <c r="CA24" s="20" t="str">
        <f>IFERROR(IF(_xlfn.XLOOKUP(E24,lookups90!$B$4:$B$999,lookups90!$BK$4:$BK$999,"",0)=0,"",D24*_xlfn.XLOOKUP(E24,lookups90!$B$4:$B$999,lookups90!$BK$4:$BK$999,"",0)),"")</f>
        <v/>
      </c>
      <c r="CC24" s="20" t="str">
        <f>IF(C24&lt;&gt;"", T24-_xlfn.XLOOKUP(E24,lookups90!$B$4:$B$999,lookups90!$BO$4:$BO$999,"",0)-_xlfn.XLOOKUP(E24,lookups90!$B$4:$B$999,lookups90!$BP$4:$BP$999,"",0),"")</f>
        <v/>
      </c>
      <c r="CD24" s="20" t="str">
        <f>IF(C24&lt;&gt;"", X24-_xlfn.XLOOKUP(E24,lookups90!$B$4:$B$999,lookups90!$BQ$4:$BQ$999,"",0)-_xlfn.XLOOKUP(E24,lookups90!$B$4:$B$999,lookups90!$BR$4:$BR$999,"",0),"")</f>
        <v/>
      </c>
      <c r="CE24" s="20" t="str">
        <f>IFERROR(IF(_xlfn.XLOOKUP(E24,lookups90!$B$4:$B$999,lookups90!$BS$4:$BS$999,"",0)=0,"",D24*_xlfn.XLOOKUP(E24,lookups90!$B$4:$B$999,lookups90!$BS$4:$BS$999,"",0)),"")</f>
        <v/>
      </c>
      <c r="CF24" s="20" t="str">
        <f>IF(V24&lt;&gt;"", V24-_xlfn.XLOOKUP(E24,lookups90!$B$4:$B$999,lookups90!$BO$4:$BO$999,"",0)-_xlfn.XLOOKUP(E24,lookups90!$B$4:$B$999,lookups90!$BP$4:$BP$999,"",0),"")</f>
        <v/>
      </c>
      <c r="CG24" s="20" t="str">
        <f>IF(CF24&lt;&gt;"", X24-_xlfn.XLOOKUP(E24,lookups90!$B$4:$B$999,lookups90!$BQ$4:$BQ$999,"",0)-_xlfn.XLOOKUP(E24,lookups90!$B$4:$B$999,lookups90!$BR$4:$BR$999,"",0),"")</f>
        <v/>
      </c>
      <c r="CH24" s="20" t="str">
        <f>IFERROR(IF(_xlfn.XLOOKUP(E24,lookups90!$B$4:$B$999,lookups90!$BT$4:$BT$999,"",0)=0,"",D24*_xlfn.XLOOKUP(E24,lookups90!$B$4:$B$999,lookups90!$BT$4:$BT$999,"",0)),"")</f>
        <v/>
      </c>
      <c r="CJ24" s="22" t="str">
        <f t="shared" si="5"/>
        <v/>
      </c>
      <c r="CL24" s="22" t="str" cm="1">
        <f t="array" ref="CL24">IF(D24&lt;&gt;"",((((J24+K24)*2)/500)+(2*_xlfn.IFS(OR(E24="Fix Slide Window", E24="Slide Slide Window", E24="Fix Slide Slide Fix Window"), 2, E24="Slide Slide Door - with Screen", 8, E24&lt;&gt;"",4)))*D24,"")</f>
        <v/>
      </c>
      <c r="CM24" s="22" t="str">
        <f t="shared" si="6"/>
        <v/>
      </c>
      <c r="CN24" s="22" t="str">
        <f t="shared" si="7"/>
        <v/>
      </c>
      <c r="CO24" s="22" t="str">
        <f t="shared" si="8"/>
        <v/>
      </c>
      <c r="CP24" s="22" t="str">
        <f t="shared" si="0"/>
        <v/>
      </c>
    </row>
    <row r="25" spans="3:94" x14ac:dyDescent="0.25">
      <c r="C25" s="16"/>
      <c r="D25" s="16"/>
      <c r="E25" s="16"/>
      <c r="F25" s="16"/>
      <c r="G25" s="16"/>
      <c r="H25" s="16"/>
      <c r="I25" s="16"/>
      <c r="J25" s="16"/>
      <c r="K25" s="16"/>
      <c r="M25" s="20" t="str">
        <f t="shared" si="1"/>
        <v/>
      </c>
      <c r="N25" s="20" t="str" cm="1">
        <f t="array" ref="N25">IFERROR(_xlfn.IFS(OR(E25="Fix Awning (Vertical)", E25="Fix Awning (Horizontal)"), J25/2+20,C25&lt;&gt;"", J25+M25),"")</f>
        <v/>
      </c>
      <c r="O25" s="20" t="str">
        <f t="shared" si="2"/>
        <v/>
      </c>
      <c r="P25" s="20" t="str">
        <f t="shared" si="3"/>
        <v/>
      </c>
      <c r="Q25" s="20" t="str">
        <f t="shared" si="4"/>
        <v/>
      </c>
      <c r="S25" s="20" t="str">
        <f>IF(C25&lt;&gt;"", _xlfn.XLOOKUP(E25,lookups90!$B$4:$B$999,lookups90!$C$4:$C$999,"",0),"")</f>
        <v/>
      </c>
      <c r="T25" s="20" t="str">
        <f>IF(C25&lt;&gt;"", J25-_xlfn.XLOOKUP(E25,lookups90!$B$4:$B$999,lookups90!$D$4:$D$999, "",0),"")</f>
        <v/>
      </c>
      <c r="U25" s="20" t="str">
        <f>IF(T25&lt;&gt;"",D25*_xlfn.XLOOKUP(E25,lookups90!$B$4:$B$999,lookups90!$J$4:$J$999, "",0),"")</f>
        <v/>
      </c>
      <c r="V25" s="20" t="str">
        <f>IF(AND(C25&lt;&gt;"", E25&lt;&gt;"Slide Slide Window", E25&lt;&gt;"Slide Slide Door", E25&lt;&gt;"Slide Slide Door - with Screen"), J25-_xlfn.XLOOKUP(E25,lookups90!$B$4:$B$999,lookups90!$E$4:$E$999, "",0),"")</f>
        <v/>
      </c>
      <c r="W25" s="20" t="str">
        <f>IF(V25&lt;&gt;"",D25*_xlfn.XLOOKUP(E25,lookups90!$B$4:$B$999,lookups90!$K$4:$K$999, "",0),"")</f>
        <v/>
      </c>
      <c r="X25" s="20" t="str" cm="1">
        <f t="array" ref="X25">IFERROR(_xlfn.IFS(OR(E25="Fix Slide Window", E25="Slide Slide Window", E25="Fix Slide Door", E25="Slide Slide Door", E25="Fix Slide Door - with Screen", E25="Slide Slide Door - with Screen"), (K25-_xlfn.XLOOKUP(E25,lookups90!$B$4:$B$999,lookups90!$F$4:$F$999, "",0)-_xlfn.XLOOKUP(E25,lookups90!$B$4:$B$999,lookups90!$G$4:$G$999, "",0)+_xlfn.XLOOKUP(E25,lookups90!$B$4:$B$999,lookups90!$H$4:$H$999, "",0))/2+_xlfn.XLOOKUP(E25,lookups90!$B$4:$B$999,lookups90!$I$4:$I$999, "",0), OR(E25="Fix Slide Slide Fix Window", E25="Fix Slide Slide Fix Door - with Screen", E25="Fix Slide Slide Fix Door"),  (K25-_xlfn.XLOOKUP(E25,lookups90!$B$4:$B$999,lookups90!$F$4:$F$999, "",0)-_xlfn.XLOOKUP(E25,lookups90!$B$4:$B$999,lookups90!$G$4:$G$999, "",0)+_xlfn.XLOOKUP(E25,lookups90!$B$4:$B$999,lookups90!$H$4:$H$999, "",0)+_xlfn.XLOOKUP(E25,lookups90!$B$4:$B$999,lookups90!$H$4:$H$999, "",0))/4+_xlfn.XLOOKUP(E25,lookups90!$B$4:$B$999,lookups90!$I$4:$I$999, "",0), E25="Fix Slide Slide Door", (K25-_xlfn.XLOOKUP(E25,lookups90!$B$4:$B$999,lookups90!$F$4:$F$999, "",0)-_xlfn.XLOOKUP(E25,lookups90!$B$4:$B$999,lookups90!$G$4:$G$999, "",0)+_xlfn.XLOOKUP(E25,lookups90!$B$4:$B$999,lookups90!$H$4:$H$999, "",0)+_xlfn.XLOOKUP(E25,lookups90!$B$4:$B$999,lookups90!$H$4:$H$999, "",0))/3+_xlfn.XLOOKUP(E25,lookups90!$B$4:$B$999,lookups90!$I$4:$I$999, "",0),E25="Fix Slide Slide Slide Slide Fix Dr",  (K25-_xlfn.XLOOKUP(E25,lookups90!$B$4:$B$999,lookups90!$F$4:$F$999, "",0)-_xlfn.XLOOKUP(E25,lookups90!$B$4:$B$999,lookups90!$G$4:$G$999, "",0)+_xlfn.XLOOKUP(E25,lookups90!$B$4:$B$999,lookups90!$H$4:$H$999, "",0)+_xlfn.XLOOKUP(E25,lookups90!$B$4:$B$999,lookups90!$H$4:$H$999, "",0)+_xlfn.XLOOKUP(E25,lookups90!$B$4:$B$999,lookups90!$H$4:$H$999, "",0)+_xlfn.XLOOKUP(E25,lookups90!$B$4:$B$999,lookups90!$H$4:$H$999, "",0))/6+_xlfn.XLOOKUP(E25,lookups90!$B$4:$B$999,lookups90!$I$4:$I$999, "",0), E25="Fix Slide Slide Slide Slide Slide Slide Fix Dr",  (K25-_xlfn.XLOOKUP(E25,lookups90!$B$4:$B$999,lookups90!$F$4:$F$999, "",0)-_xlfn.XLOOKUP(E25,lookups90!$B$4:$B$999,lookups90!$G$4:$G$999, "",0)+_xlfn.XLOOKUP(E25,lookups90!$B$4:$B$999,lookups90!$H$4:$H$999, "",0)+_xlfn.XLOOKUP(E25,lookups90!$B$4:$B$999,lookups90!$H$4:$H$999, "",0)+_xlfn.XLOOKUP(E25,lookups90!$B$4:$B$999,lookups90!$H$4:$H$999, "",0)+_xlfn.XLOOKUP(E25,lookups90!$B$4:$B$999,lookups90!$H$4:$H$999, "",0)+_xlfn.XLOOKUP(E25,lookups90!$B$4:$B$999,lookups90!$H$4:$H$999, "",0)+_xlfn.XLOOKUP(E25,lookups90!$B$4:$B$999,lookups90!$H$4:$H$999, "",0))/8+_xlfn.XLOOKUP(E25,lookups90!$B$4:$B$999,lookups90!$I$4:$I$999, "",0)),"")</f>
        <v/>
      </c>
      <c r="Y25" s="20" t="str">
        <f>IF(X25&lt;&gt;"",D25*_xlfn.XLOOKUP(E25,lookups90!$B$4:$B$999,lookups90!$L$4:$L$999, "",0),"")</f>
        <v/>
      </c>
      <c r="AA25" s="20" t="str">
        <f>IF(C25&lt;&gt;"", IF(_xlfn.XLOOKUP(E25,lookups90!$B$4:$B$999,lookups90!$P$4:$P$999,"",0)=0,"",_xlfn.XLOOKUP(E25,lookups90!$B$4:$B$999,lookups90!$P$4:$P$999,"",0)),"")</f>
        <v/>
      </c>
      <c r="AB25" s="20" t="str">
        <f>IF(AA25&lt;&gt;"", J25-_xlfn.XLOOKUP(E25,lookups90!$B$4:$B$999,lookups90!$D$4:$D$999, "",0),"")</f>
        <v/>
      </c>
      <c r="AC25" s="20" t="str">
        <f>IF(AA25&lt;&gt;"",D25*_xlfn.XLOOKUP(E25,lookups90!$B$4:$B$999,lookups90!$Q$4:$Q$999, "",0),"")</f>
        <v/>
      </c>
      <c r="AD25" s="20" t="str" cm="1">
        <f t="array" ref="AD25">IF(AA25&lt;&gt;"", _xlfn.IFS(OR(E25="Fix Slide Window", E25="Slide Slide Window", E25="Fix Slide Door", E25="Slide Slide Door", E25="Fix Slide Door - with Screen", E25="Slide Slide Door - with Screen"), (K25-_xlfn.XLOOKUP(E25,lookups90!$B$4:$B$999,lookups90!$F$4:$F$999, "",0)-_xlfn.XLOOKUP(E25,lookups90!$B$4:$B$999,lookups90!$G$4:$G$999, "",0)+_xlfn.XLOOKUP(E25,lookups90!$B$4:$B$999,lookups90!$H$4:$H$999, "",0))/2+_xlfn.XLOOKUP(E25,lookups90!$B$4:$B$999,lookups90!$I$4:$I$999, "",0), OR(E25="Fix Slide Slide Fix Window", E25="Fix Slide Slide Fix Door - with Screen", E25="Fix Slide Slide Fix Door"),  (K25-_xlfn.XLOOKUP(E25,lookups90!$B$4:$B$999,lookups90!$F$4:$F$999, "",0)-_xlfn.XLOOKUP(E25,lookups90!$B$4:$B$999,lookups90!$G$4:$G$999, "",0)+_xlfn.XLOOKUP(E25,lookups90!$B$4:$B$999,lookups90!$H$4:$H$999, "",0)+_xlfn.XLOOKUP(E25,lookups90!$B$4:$B$999,lookups90!$H$4:$H$999, "",0))/4+_xlfn.XLOOKUP(E25,lookups90!$B$4:$B$999,lookups90!$I$4:$I$999, "",0), E25="Fix Slide Slide Door", (K25-_xlfn.XLOOKUP(E25,lookups90!$B$4:$B$999,lookups90!$F$4:$F$999, "",0)-_xlfn.XLOOKUP(E25,lookups90!$B$4:$B$999,lookups90!$G$4:$G$999, "",0)+_xlfn.XLOOKUP(E25,lookups90!$B$4:$B$999,lookups90!$H$4:$H$999, "",0)+_xlfn.XLOOKUP(E25,lookups90!$B$4:$B$999,lookups90!$H$4:$H$999, "",0))/3+_xlfn.XLOOKUP(E25,lookups90!$B$4:$B$999,lookups90!$I$4:$I$999, "",0) ),"")</f>
        <v/>
      </c>
      <c r="AE25" s="20" t="str">
        <f>IF(AA25&lt;&gt;"",D25*_xlfn.XLOOKUP(E25,lookups90!$B$4:$B$999,lookups90!$R$4:$R$999, "",0),"")</f>
        <v/>
      </c>
      <c r="AG25" s="20" t="str">
        <f>IF(AH25&lt;&gt;"", J25-_xlfn.XLOOKUP(E25,lookups90!$B$4:$B$999,lookups90!$D$4:$D$999, "",0),"")</f>
        <v/>
      </c>
      <c r="AH25" s="20" t="str">
        <f>IF(_xlfn.XLOOKUP(E25,lookups90!$B$4:$B$999,lookups90!$V$4:$V$999,"",0)=0,"",D25*_xlfn.XLOOKUP(E25,lookups90!$B$4:$B$999,lookups90!$V$4:$V$999,"",0))</f>
        <v/>
      </c>
      <c r="AI25" s="20" t="str" cm="1">
        <f t="array" ref="AI25">IF(AH25&lt;&gt;"", _xlfn.IFS(OR(E25="Fix Slide Window", E25="Slide Slide Window"), (K25-_xlfn.XLOOKUP(E25,lookups90!$B$4:$B$999,lookups90!$F$4:$F$999, "",0)-_xlfn.XLOOKUP(E25,lookups90!$B$4:$B$999,lookups90!$G$4:$G$999, "",0)+_xlfn.XLOOKUP(E25,lookups90!$B$4:$B$999,lookups90!$H$4:$H$999, "",0))/2+_xlfn.XLOOKUP(E25,lookups90!$B$4:$B$999,lookups90!$I$4:$I$999, "",0), OR(E25="Fix Slide Slide Fix Window"),  (K25-_xlfn.XLOOKUP(E25,lookups90!$B$4:$B$999,lookups90!$F$4:$F$999, "",0)+_xlfn.XLOOKUP(E25,lookups90!$B$4:$B$999,lookups90!$H$4:$H$999, "",0)+_xlfn.XLOOKUP(E25,lookups90!$B$4:$B$999,lookups90!$H$4:$H$999, "",0))/4+_xlfn.XLOOKUP(E25,lookups90!$B$4:$B$999,lookups90!$I$4:$I$999, "",0)),"")</f>
        <v/>
      </c>
      <c r="AJ25" s="20" t="str">
        <f>IF(_xlfn.XLOOKUP(E25,lookups90!$B$4:$B$999,lookups90!$V$4:$V$999,"",0)=0,"",D25*_xlfn.XLOOKUP(E25,lookups90!$B$4:$B$999,lookups90!$W$4:$W$999,"",0))</f>
        <v/>
      </c>
      <c r="AL25" s="20" t="str" cm="1">
        <f t="array" ref="AL25">IF(AM25&lt;&gt;"", _xlfn.IFS(OR(E25="Fix Slide Door - with Screen", E25="Slide Slide Door - with Screen"), (K25-_xlfn.XLOOKUP(E25,lookups90!$B$4:$B$999,lookups90!$F$4:$F$999, "",0)-_xlfn.XLOOKUP(E25,lookups90!$B$4:$B$999,lookups90!$G$4:$G$999, "",0)+_xlfn.XLOOKUP(E25,lookups90!$B$4:$B$999,lookups90!$H$4:$H$999, "",0))/2+_xlfn.XLOOKUP(E25,lookups90!$B$4:$B$999,lookups90!$I$4:$I$999, "",0), OR( E25="Fix Slide Slide Fix Door - with Screen",  E25="Fix Slide Slide Door"),  (K25-_xlfn.XLOOKUP(E25,lookups90!$B$4:$B$999,lookups90!$F$4:$F$999, "",0)-_xlfn.XLOOKUP(E25,lookups90!$B$4:$B$999,lookups90!$G$4:$G$999, "",0)+_xlfn.XLOOKUP(E25,lookups90!$B$4:$B$999,lookups90!$H$4:$H$999, "",0)+_xlfn.XLOOKUP(E25,lookups90!$B$4:$B$999,lookups90!$H$4:$H$999, "",0))/4+_xlfn.XLOOKUP(E25,lookups90!$B$4:$B$999,lookups90!$I$4:$I$999, "",0)),"")</f>
        <v/>
      </c>
      <c r="AM25" s="20" t="str">
        <f>IF(_xlfn.XLOOKUP(E25,lookups90!$B$4:$B$999,lookups90!$AA$4:$AA$999,"",0)=0,"",D25*_xlfn.XLOOKUP(E25,lookups90!$B$4:$B$999,lookups90!$AA$4:$AA$999,"",0))</f>
        <v/>
      </c>
      <c r="AO25" s="20" t="str">
        <f>IFERROR(IF(C25&lt;&gt;"", T25-_xlfn.XLOOKUP(E25,lookups90!$B$4:$B$999,lookups90!$AE$4:$AE$999, "",0),""),"")</f>
        <v/>
      </c>
      <c r="AP25" s="20" t="str">
        <f>IF(_xlfn.XLOOKUP(E25,lookups90!$B$4:$B$999,lookups90!$AG$4:$AG$999,"",0)=0,"",D25*_xlfn.XLOOKUP(E25,lookups90!$B$4:$B$999,lookups90!$AG$4:$AG$999,"",0))</f>
        <v/>
      </c>
      <c r="AQ25" s="20" t="str">
        <f>IF(V25&lt;&gt;"", T25-_xlfn.XLOOKUP(E25,lookups90!$B$4:$B$999,lookups90!$AE$4:$AE$999, "",0)+_xlfn.XLOOKUP(E25,lookups90!$B$4:$B$999,lookups90!$AF$4:$AF$999, "",0),"")</f>
        <v/>
      </c>
      <c r="AR25" s="20" t="str">
        <f>IFERROR(IF(_xlfn.XLOOKUP(E25,lookups90!$B$4:$B$999,lookups90!$AH$4:$AH$999,"",0)=0,"",D25*_xlfn.XLOOKUP(E25,lookups90!$B$4:$B$999,lookups90!$AH$4:$AH$999,"",0)),"")</f>
        <v/>
      </c>
      <c r="AT25" s="20" t="str">
        <f>IF(OR(E25="Fix Slide Slide Fix Window", E25="Fix Slide Slide Fix Door", E25="Fix Slide Slide Fix Door - with Screen", E25="Fix Slide Slide Door"), T25-_xlfn.XLOOKUP(E25,lookups90!$B$4:$B$999,lookups90!$AE$4:$AE$999,"",0),"")</f>
        <v/>
      </c>
      <c r="AU25" s="20" t="str">
        <f>IFERROR(IF(_xlfn.XLOOKUP(E25,lookups90!$B$4:$B$999,lookups90!$AL$4:$AL$999,"",0)=0,"",D25*_xlfn.XLOOKUP(E25,lookups90!$B$4:$B$999,lookups90!$AL$4:$AL$999,"",0)),"")</f>
        <v/>
      </c>
      <c r="AW25" s="20" t="str">
        <f>IF(C25&lt;&gt;"", T25-_xlfn.XLOOKUP(E25,lookups90!$B$4:$B$999,lookups90!$AP$4:$AP$999,"",0),"")</f>
        <v/>
      </c>
      <c r="AX25" s="20" t="str">
        <f>IFERROR(IF(_xlfn.XLOOKUP(E25,lookups90!$B$4:$B$999,lookups90!$AR$4:$AR$999,"",0)=0,"",D25*_xlfn.XLOOKUP(E25,lookups90!$B$4:$B$999,lookups90!$AR$4:$AR$999,"",0)),"")</f>
        <v/>
      </c>
      <c r="AY25" s="24" t="str">
        <f>IF(V25&lt;&gt;"", V25-_xlfn.XLOOKUP(E25,lookups90!$B$4:$B$999,lookups90!$AP$4:$AP$999,"",0),"")</f>
        <v/>
      </c>
      <c r="AZ25" s="20" t="str">
        <f>IFERROR(IF(_xlfn.XLOOKUP(E25,lookups90!$B$4:$B$999,lookups90!$AS$4:$AS$999,"",0)=0,"",D25*_xlfn.XLOOKUP(E25,lookups90!$B$4:$B$999,lookups90!$AS$4:$AS$999,"",0)),"")</f>
        <v/>
      </c>
      <c r="BA25" s="20" t="str">
        <f>IF(X25&lt;&gt;"", X25-_xlfn.XLOOKUP(E25,lookups90!$B$4:$B$999,lookups90!$AQ$4:$AQ$999,"",0),"")</f>
        <v/>
      </c>
      <c r="BB25" s="20" t="str">
        <f>IFERROR(IF(_xlfn.XLOOKUP(E25,lookups90!$B$4:$B$999,lookups90!$AT$4:$AT$999,"",0)=0,"",D25*_xlfn.XLOOKUP(E25,lookups90!$B$4:$B$999,lookups90!$AT$4:$AT$999,"",0)),"")</f>
        <v/>
      </c>
      <c r="BD25" s="20" t="str">
        <f>IF(C25&lt;&gt;"", N25-_xlfn.XLOOKUP(E25,lookups90!$B$4:$B$999,lookups90!$AX$4:$AX$999,"",0)+M25,"")</f>
        <v/>
      </c>
      <c r="BE25" s="20" t="str">
        <f>IFERROR(IF(_xlfn.XLOOKUP(E25,lookups90!$B$4:$B$999,lookups90!$AY$4:$AY$999,"",0)=0,"",D25*_xlfn.XLOOKUP(E25,lookups90!$B$4:$B$999,lookups90!$AY$4:$AY$999,"",0)),"")</f>
        <v/>
      </c>
      <c r="BF25" s="20" t="str">
        <f>IF(C25&lt;&gt;"", P25-_xlfn.XLOOKUP(E25,lookups90!$B$4:$B$999,lookups90!$AX$4:$AX$999,"",0)+M25,"")</f>
        <v/>
      </c>
      <c r="BG25" s="20" t="str">
        <f>IFERROR(IF(_xlfn.XLOOKUP(E25,lookups90!$B$4:$B$999,lookups90!$AZ$4:$AZ$999,"",0)=0,"",D25*_xlfn.XLOOKUP(E25,lookups90!$B$4:$B$999,lookups90!$AZ$4:$AZ$999,"",0)),"")</f>
        <v/>
      </c>
      <c r="BI25" s="20" t="str">
        <f>IF(C25&lt;&gt;"", T25-_xlfn.XLOOKUP(E25,lookups90!$B$4:$B$999,lookups90!$BA$4:$BA$999,"",0),"")</f>
        <v/>
      </c>
      <c r="BJ25" s="20" t="str">
        <f>IFERROR(IF(_xlfn.XLOOKUP(E25,lookups90!$B$4:$B$999,lookups90!$BB$4:$BB$999,"",0)=0,"",D25*_xlfn.XLOOKUP(E25,lookups90!$B$4:$B$999,lookups90!$BB$4:$BB$999,"",0)),"")</f>
        <v/>
      </c>
      <c r="BK25" s="20" t="str">
        <f>IF(V25&lt;&gt;"", V25-_xlfn.XLOOKUP(E25,lookups90!$B$4:$B$999,lookups90!$BA$4:$BA$999,"",0),"")</f>
        <v/>
      </c>
      <c r="BL25" s="20" t="str">
        <f>IFERROR(IF(_xlfn.XLOOKUP(E25,lookups90!$B$4:$B$999,lookups90!$BC$4:$BC$999,"",0)=0,"",D25*_xlfn.XLOOKUP(E25,lookups90!$B$4:$B$999,lookups90!$BC$4:$BC$999,"",0)),"")</f>
        <v/>
      </c>
      <c r="BM25" s="20" t="str">
        <f>IF(C25&lt;&gt;"", X25-_xlfn.XLOOKUP(E25,lookups90!$B$4:$B$999,lookups90!$BA$4:$BA$999,"",0),"")</f>
        <v/>
      </c>
      <c r="BN25" s="20" t="str">
        <f>IFERROR(IF(_xlfn.XLOOKUP(E25,lookups90!$B$4:$B$999,lookups90!$BD$4:$BD$999,"",0)=0,"",D25*_xlfn.XLOOKUP(E25,lookups90!$B$4:$B$999,lookups90!$BD$4:$BD$999,"",0)),"")</f>
        <v/>
      </c>
      <c r="BP25" s="20" t="str">
        <f>IF(AB25&lt;&gt;"", AB25-_xlfn.XLOOKUP(E25,lookups90!$B$4:$B$999,lookups90!$BE$4:$BE$999,"",0),"")</f>
        <v/>
      </c>
      <c r="BQ25" s="20" t="str">
        <f>IFERROR(IF(_xlfn.XLOOKUP(E25,lookups90!$B$4:$B$999,lookups90!$BF$4:$BF$999,"",0)=0,"",D25*_xlfn.XLOOKUP(E25,lookups90!$B$4:$B$999,lookups90!$BF$4:$BF$999,"",0)),"")</f>
        <v/>
      </c>
      <c r="BR25" s="20" t="str" cm="1">
        <f t="array" ref="BR25">_xlfn.IFS(BP25="","",OR(E25="Fix Slide Door - with Screen",E25="Slide Slide Door - with Screen"),(K25-_xlfn.XLOOKUP(E25,lookups90!$B$4:$B$999,lookups90!$F$4:$F$999,"",0)-_xlfn.XLOOKUP(E25,lookups90!$B$4:$B$999,lookups90!$G$4:$G$999,"",0)+_xlfn.XLOOKUP(E25,lookups90!$B$4:$B$999,lookups90!$H$4:$H$999,"",0))/2+_xlfn.XLOOKUP(E25,lookups90!$B$4:$B$999,lookups90!$I$4:$I$999,"",0)-_xlfn.XLOOKUP(E25,lookups90!$B$4:$B$999,lookups90!$BE$4:$BE$999,"",0), E25="Fix Slide Slide Fix Door - with Screen",(K25-_xlfn.XLOOKUP(E25,lookups90!$B$4:$B$999,lookups90!$F$4:$F$999,"",0)-_xlfn.XLOOKUP(E25,lookups90!$B$4:$B$999,lookups90!$G$4:$G$999,"",0)+_xlfn.XLOOKUP(E25,lookups90!$B$4:$B$999,lookups90!$H$4:$H$999,"",0)+_xlfn.XLOOKUP(E25,lookups90!$B$4:$B$999,lookups90!$H$4:$H$999,"",0))/4+_xlfn.XLOOKUP(E25,lookups90!$B$4:$B$999,lookups90!$I$4:$I$999,"",0)-_xlfn.XLOOKUP(E25,lookups90!$B$4:$B$999,lookups90!$BE$4:$BE$999,"",0))</f>
        <v/>
      </c>
      <c r="BS25" s="20" t="str">
        <f>IFERROR(IF(_xlfn.XLOOKUP(E25,lookups90!$B$4:$B$999,lookups90!$BG$4:$BG$999,"",0)=0,"",D25*_xlfn.XLOOKUP(E25,lookups90!$B$4:$B$999,lookups90!$BG$4:$BG$999,"",0)),"")</f>
        <v/>
      </c>
      <c r="BU25" s="20" t="str">
        <f>IF(AG25&lt;&gt;"",AG25-_xlfn.XLOOKUP(E25,lookups90!$B$4:$B$999,lookups90!$BA$4:$BA$999,"",0),"")</f>
        <v/>
      </c>
      <c r="BV25" s="20" t="str">
        <f>IFERROR(IF(_xlfn.XLOOKUP(E25,lookups90!$B$4:$B$999,lookups90!$BH$4:$BH$999,"",0)=0,"",D25*_xlfn.XLOOKUP(E25,lookups90!$B$4:$B$999,lookups90!$BH$4:$BH$999,"",0)),"")</f>
        <v/>
      </c>
      <c r="BW25" s="20" t="str" cm="1">
        <f t="array" ref="BW25">_xlfn.IFS(BU25="","",OR(E25="Fix Slide Window",E25="Slide Slide Window"),(K25-_xlfn.XLOOKUP(E25,lookups90!$B$4:$B$999,lookups90!$F$4:$F$999,"",0)-_xlfn.XLOOKUP(E25,lookups90!$B$4:$B$999,lookups90!$G$4:$G$999,"",0)+_xlfn.XLOOKUP(E25,lookups90!$B$4:$B$999,lookups90!$H$4:$H$999,"",0))/2+_xlfn.XLOOKUP(E25,lookups90!$B$4:$B$999,lookups90!$I$4:$I$999,"",0)-_xlfn.XLOOKUP(E25,lookups90!$B$4:$B$999,lookups90!$BA$4:$BA$999,"",0), E25="Fix Slide Slide Fix Window",(K25-_xlfn.XLOOKUP(E25,lookups90!$B$4:$B$999,lookups90!$F$4:$F$999,"",0)-_xlfn.XLOOKUP(E25,lookups90!$B$4:$B$999,lookups90!$G$4:$G$999,"",0)+_xlfn.XLOOKUP(E25,lookups90!$B$4:$B$999,lookups90!$H$4:$H$999,"",0)+_xlfn.XLOOKUP(E25,lookups90!$B$4:$B$999,lookups90!$H$4:$H$999,"",0))/4+_xlfn.XLOOKUP(E25,lookups90!$B$4:$B$999,lookups90!$I$4:$I$999,"",0)-_xlfn.XLOOKUP(E25,lookups90!$B$4:$B$999,lookups90!$BA$4:$BA$999,"",0))</f>
        <v/>
      </c>
      <c r="BX25" s="20" t="str">
        <f>IFERROR(IF(_xlfn.XLOOKUP(E25,lookups90!$B$4:$B$999,lookups90!$BI$4:$BI$999,"",0)=0,"",D25*_xlfn.XLOOKUP(E25,lookups90!$B$4:$B$999,lookups90!$BI$4:$BI$999,"",0)),"")</f>
        <v/>
      </c>
      <c r="BZ25" s="20" t="str">
        <f>IF(AL25&lt;&gt;"", AL25-_xlfn.XLOOKUP(E25,lookups90!$B$4:$B$999,lookups90!$BJ$4:$BJ$999,"",0),"")</f>
        <v/>
      </c>
      <c r="CA25" s="20" t="str">
        <f>IFERROR(IF(_xlfn.XLOOKUP(E25,lookups90!$B$4:$B$999,lookups90!$BK$4:$BK$999,"",0)=0,"",D25*_xlfn.XLOOKUP(E25,lookups90!$B$4:$B$999,lookups90!$BK$4:$BK$999,"",0)),"")</f>
        <v/>
      </c>
      <c r="CC25" s="20" t="str">
        <f>IF(C25&lt;&gt;"", T25-_xlfn.XLOOKUP(E25,lookups90!$B$4:$B$999,lookups90!$BO$4:$BO$999,"",0)-_xlfn.XLOOKUP(E25,lookups90!$B$4:$B$999,lookups90!$BP$4:$BP$999,"",0),"")</f>
        <v/>
      </c>
      <c r="CD25" s="20" t="str">
        <f>IF(C25&lt;&gt;"", X25-_xlfn.XLOOKUP(E25,lookups90!$B$4:$B$999,lookups90!$BQ$4:$BQ$999,"",0)-_xlfn.XLOOKUP(E25,lookups90!$B$4:$B$999,lookups90!$BR$4:$BR$999,"",0),"")</f>
        <v/>
      </c>
      <c r="CE25" s="20" t="str">
        <f>IFERROR(IF(_xlfn.XLOOKUP(E25,lookups90!$B$4:$B$999,lookups90!$BS$4:$BS$999,"",0)=0,"",D25*_xlfn.XLOOKUP(E25,lookups90!$B$4:$B$999,lookups90!$BS$4:$BS$999,"",0)),"")</f>
        <v/>
      </c>
      <c r="CF25" s="20" t="str">
        <f>IF(V25&lt;&gt;"", V25-_xlfn.XLOOKUP(E25,lookups90!$B$4:$B$999,lookups90!$BO$4:$BO$999,"",0)-_xlfn.XLOOKUP(E25,lookups90!$B$4:$B$999,lookups90!$BP$4:$BP$999,"",0),"")</f>
        <v/>
      </c>
      <c r="CG25" s="20" t="str">
        <f>IF(CF25&lt;&gt;"", X25-_xlfn.XLOOKUP(E25,lookups90!$B$4:$B$999,lookups90!$BQ$4:$BQ$999,"",0)-_xlfn.XLOOKUP(E25,lookups90!$B$4:$B$999,lookups90!$BR$4:$BR$999,"",0),"")</f>
        <v/>
      </c>
      <c r="CH25" s="20" t="str">
        <f>IFERROR(IF(_xlfn.XLOOKUP(E25,lookups90!$B$4:$B$999,lookups90!$BT$4:$BT$999,"",0)=0,"",D25*_xlfn.XLOOKUP(E25,lookups90!$B$4:$B$999,lookups90!$BT$4:$BT$999,"",0)),"")</f>
        <v/>
      </c>
      <c r="CJ25" s="22" t="str">
        <f t="shared" si="5"/>
        <v/>
      </c>
      <c r="CL25" s="22" t="str" cm="1">
        <f t="array" ref="CL25">IF(D25&lt;&gt;"",((((J25+K25)*2)/500)+(2*_xlfn.IFS(OR(E25="Fix Slide Window", E25="Slide Slide Window", E25="Fix Slide Slide Fix Window"), 2, E25="Slide Slide Door - with Screen", 8, E25&lt;&gt;"",4)))*D25,"")</f>
        <v/>
      </c>
      <c r="CM25" s="22" t="str">
        <f t="shared" si="6"/>
        <v/>
      </c>
      <c r="CN25" s="22" t="str">
        <f t="shared" si="7"/>
        <v/>
      </c>
      <c r="CO25" s="22" t="str">
        <f t="shared" si="8"/>
        <v/>
      </c>
      <c r="CP25" s="22" t="str">
        <f t="shared" si="0"/>
        <v/>
      </c>
    </row>
    <row r="26" spans="3:94" x14ac:dyDescent="0.25">
      <c r="C26" s="16"/>
      <c r="D26" s="16"/>
      <c r="E26" s="16"/>
      <c r="F26" s="16"/>
      <c r="G26" s="16"/>
      <c r="H26" s="16"/>
      <c r="I26" s="16"/>
      <c r="J26" s="16"/>
      <c r="K26" s="16"/>
      <c r="M26" s="20" t="str">
        <f t="shared" si="1"/>
        <v/>
      </c>
      <c r="N26" s="20" t="str" cm="1">
        <f t="array" ref="N26">IFERROR(_xlfn.IFS(OR(E26="Fix Awning (Vertical)", E26="Fix Awning (Horizontal)"), J26/2+20,C26&lt;&gt;"", J26+M26),"")</f>
        <v/>
      </c>
      <c r="O26" s="20" t="str">
        <f t="shared" si="2"/>
        <v/>
      </c>
      <c r="P26" s="20" t="str">
        <f t="shared" si="3"/>
        <v/>
      </c>
      <c r="Q26" s="20" t="str">
        <f t="shared" si="4"/>
        <v/>
      </c>
      <c r="S26" s="20" t="str">
        <f>IF(C26&lt;&gt;"", _xlfn.XLOOKUP(E26,lookups90!$B$4:$B$999,lookups90!$C$4:$C$999,"",0),"")</f>
        <v/>
      </c>
      <c r="T26" s="20" t="str">
        <f>IF(C26&lt;&gt;"", J26-_xlfn.XLOOKUP(E26,lookups90!$B$4:$B$999,lookups90!$D$4:$D$999, "",0),"")</f>
        <v/>
      </c>
      <c r="U26" s="20" t="str">
        <f>IF(T26&lt;&gt;"",D26*_xlfn.XLOOKUP(E26,lookups90!$B$4:$B$999,lookups90!$J$4:$J$999, "",0),"")</f>
        <v/>
      </c>
      <c r="V26" s="20" t="str">
        <f>IF(AND(C26&lt;&gt;"", E26&lt;&gt;"Slide Slide Window", E26&lt;&gt;"Slide Slide Door", E26&lt;&gt;"Slide Slide Door - with Screen"), J26-_xlfn.XLOOKUP(E26,lookups90!$B$4:$B$999,lookups90!$E$4:$E$999, "",0),"")</f>
        <v/>
      </c>
      <c r="W26" s="20" t="str">
        <f>IF(V26&lt;&gt;"",D26*_xlfn.XLOOKUP(E26,lookups90!$B$4:$B$999,lookups90!$K$4:$K$999, "",0),"")</f>
        <v/>
      </c>
      <c r="X26" s="20" t="str" cm="1">
        <f t="array" ref="X26">IFERROR(_xlfn.IFS(OR(E26="Fix Slide Window", E26="Slide Slide Window", E26="Fix Slide Door", E26="Slide Slide Door", E26="Fix Slide Door - with Screen", E26="Slide Slide Door - with Screen"), (K26-_xlfn.XLOOKUP(E26,lookups90!$B$4:$B$999,lookups90!$F$4:$F$999, "",0)-_xlfn.XLOOKUP(E26,lookups90!$B$4:$B$999,lookups90!$G$4:$G$999, "",0)+_xlfn.XLOOKUP(E26,lookups90!$B$4:$B$999,lookups90!$H$4:$H$999, "",0))/2+_xlfn.XLOOKUP(E26,lookups90!$B$4:$B$999,lookups90!$I$4:$I$999, "",0), OR(E26="Fix Slide Slide Fix Window", E26="Fix Slide Slide Fix Door - with Screen", E26="Fix Slide Slide Fix Door"),  (K26-_xlfn.XLOOKUP(E26,lookups90!$B$4:$B$999,lookups90!$F$4:$F$999, "",0)-_xlfn.XLOOKUP(E26,lookups90!$B$4:$B$999,lookups90!$G$4:$G$999, "",0)+_xlfn.XLOOKUP(E26,lookups90!$B$4:$B$999,lookups90!$H$4:$H$999, "",0)+_xlfn.XLOOKUP(E26,lookups90!$B$4:$B$999,lookups90!$H$4:$H$999, "",0))/4+_xlfn.XLOOKUP(E26,lookups90!$B$4:$B$999,lookups90!$I$4:$I$999, "",0), E26="Fix Slide Slide Door", (K26-_xlfn.XLOOKUP(E26,lookups90!$B$4:$B$999,lookups90!$F$4:$F$999, "",0)-_xlfn.XLOOKUP(E26,lookups90!$B$4:$B$999,lookups90!$G$4:$G$999, "",0)+_xlfn.XLOOKUP(E26,lookups90!$B$4:$B$999,lookups90!$H$4:$H$999, "",0)+_xlfn.XLOOKUP(E26,lookups90!$B$4:$B$999,lookups90!$H$4:$H$999, "",0))/3+_xlfn.XLOOKUP(E26,lookups90!$B$4:$B$999,lookups90!$I$4:$I$999, "",0),E26="Fix Slide Slide Slide Slide Fix Dr",  (K26-_xlfn.XLOOKUP(E26,lookups90!$B$4:$B$999,lookups90!$F$4:$F$999, "",0)-_xlfn.XLOOKUP(E26,lookups90!$B$4:$B$999,lookups90!$G$4:$G$999, "",0)+_xlfn.XLOOKUP(E26,lookups90!$B$4:$B$999,lookups90!$H$4:$H$999, "",0)+_xlfn.XLOOKUP(E26,lookups90!$B$4:$B$999,lookups90!$H$4:$H$999, "",0)+_xlfn.XLOOKUP(E26,lookups90!$B$4:$B$999,lookups90!$H$4:$H$999, "",0)+_xlfn.XLOOKUP(E26,lookups90!$B$4:$B$999,lookups90!$H$4:$H$999, "",0))/6+_xlfn.XLOOKUP(E26,lookups90!$B$4:$B$999,lookups90!$I$4:$I$999, "",0), E26="Fix Slide Slide Slide Slide Slide Slide Fix Dr",  (K26-_xlfn.XLOOKUP(E26,lookups90!$B$4:$B$999,lookups90!$F$4:$F$999, "",0)-_xlfn.XLOOKUP(E26,lookups90!$B$4:$B$999,lookups90!$G$4:$G$999, "",0)+_xlfn.XLOOKUP(E26,lookups90!$B$4:$B$999,lookups90!$H$4:$H$999, "",0)+_xlfn.XLOOKUP(E26,lookups90!$B$4:$B$999,lookups90!$H$4:$H$999, "",0)+_xlfn.XLOOKUP(E26,lookups90!$B$4:$B$999,lookups90!$H$4:$H$999, "",0)+_xlfn.XLOOKUP(E26,lookups90!$B$4:$B$999,lookups90!$H$4:$H$999, "",0)+_xlfn.XLOOKUP(E26,lookups90!$B$4:$B$999,lookups90!$H$4:$H$999, "",0)+_xlfn.XLOOKUP(E26,lookups90!$B$4:$B$999,lookups90!$H$4:$H$999, "",0))/8+_xlfn.XLOOKUP(E26,lookups90!$B$4:$B$999,lookups90!$I$4:$I$999, "",0)),"")</f>
        <v/>
      </c>
      <c r="Y26" s="20" t="str">
        <f>IF(X26&lt;&gt;"",D26*_xlfn.XLOOKUP(E26,lookups90!$B$4:$B$999,lookups90!$L$4:$L$999, "",0),"")</f>
        <v/>
      </c>
      <c r="AA26" s="20" t="str">
        <f>IF(C26&lt;&gt;"", IF(_xlfn.XLOOKUP(E26,lookups90!$B$4:$B$999,lookups90!$P$4:$P$999,"",0)=0,"",_xlfn.XLOOKUP(E26,lookups90!$B$4:$B$999,lookups90!$P$4:$P$999,"",0)),"")</f>
        <v/>
      </c>
      <c r="AB26" s="20" t="str">
        <f>IF(AA26&lt;&gt;"", J26-_xlfn.XLOOKUP(E26,lookups90!$B$4:$B$999,lookups90!$D$4:$D$999, "",0),"")</f>
        <v/>
      </c>
      <c r="AC26" s="20" t="str">
        <f>IF(AA26&lt;&gt;"",D26*_xlfn.XLOOKUP(E26,lookups90!$B$4:$B$999,lookups90!$Q$4:$Q$999, "",0),"")</f>
        <v/>
      </c>
      <c r="AD26" s="20" t="str" cm="1">
        <f t="array" ref="AD26">IF(AA26&lt;&gt;"", _xlfn.IFS(OR(E26="Fix Slide Window", E26="Slide Slide Window", E26="Fix Slide Door", E26="Slide Slide Door", E26="Fix Slide Door - with Screen", E26="Slide Slide Door - with Screen"), (K26-_xlfn.XLOOKUP(E26,lookups90!$B$4:$B$999,lookups90!$F$4:$F$999, "",0)-_xlfn.XLOOKUP(E26,lookups90!$B$4:$B$999,lookups90!$G$4:$G$999, "",0)+_xlfn.XLOOKUP(E26,lookups90!$B$4:$B$999,lookups90!$H$4:$H$999, "",0))/2+_xlfn.XLOOKUP(E26,lookups90!$B$4:$B$999,lookups90!$I$4:$I$999, "",0), OR(E26="Fix Slide Slide Fix Window", E26="Fix Slide Slide Fix Door - with Screen", E26="Fix Slide Slide Fix Door"),  (K26-_xlfn.XLOOKUP(E26,lookups90!$B$4:$B$999,lookups90!$F$4:$F$999, "",0)-_xlfn.XLOOKUP(E26,lookups90!$B$4:$B$999,lookups90!$G$4:$G$999, "",0)+_xlfn.XLOOKUP(E26,lookups90!$B$4:$B$999,lookups90!$H$4:$H$999, "",0)+_xlfn.XLOOKUP(E26,lookups90!$B$4:$B$999,lookups90!$H$4:$H$999, "",0))/4+_xlfn.XLOOKUP(E26,lookups90!$B$4:$B$999,lookups90!$I$4:$I$999, "",0), E26="Fix Slide Slide Door", (K26-_xlfn.XLOOKUP(E26,lookups90!$B$4:$B$999,lookups90!$F$4:$F$999, "",0)-_xlfn.XLOOKUP(E26,lookups90!$B$4:$B$999,lookups90!$G$4:$G$999, "",0)+_xlfn.XLOOKUP(E26,lookups90!$B$4:$B$999,lookups90!$H$4:$H$999, "",0)+_xlfn.XLOOKUP(E26,lookups90!$B$4:$B$999,lookups90!$H$4:$H$999, "",0))/3+_xlfn.XLOOKUP(E26,lookups90!$B$4:$B$999,lookups90!$I$4:$I$999, "",0) ),"")</f>
        <v/>
      </c>
      <c r="AE26" s="20" t="str">
        <f>IF(AA26&lt;&gt;"",D26*_xlfn.XLOOKUP(E26,lookups90!$B$4:$B$999,lookups90!$R$4:$R$999, "",0),"")</f>
        <v/>
      </c>
      <c r="AG26" s="20" t="str">
        <f>IF(AH26&lt;&gt;"", J26-_xlfn.XLOOKUP(E26,lookups90!$B$4:$B$999,lookups90!$D$4:$D$999, "",0),"")</f>
        <v/>
      </c>
      <c r="AH26" s="20" t="str">
        <f>IF(_xlfn.XLOOKUP(E26,lookups90!$B$4:$B$999,lookups90!$V$4:$V$999,"",0)=0,"",D26*_xlfn.XLOOKUP(E26,lookups90!$B$4:$B$999,lookups90!$V$4:$V$999,"",0))</f>
        <v/>
      </c>
      <c r="AI26" s="20" t="str" cm="1">
        <f t="array" ref="AI26">IF(AH26&lt;&gt;"", _xlfn.IFS(OR(E26="Fix Slide Window", E26="Slide Slide Window"), (K26-_xlfn.XLOOKUP(E26,lookups90!$B$4:$B$999,lookups90!$F$4:$F$999, "",0)-_xlfn.XLOOKUP(E26,lookups90!$B$4:$B$999,lookups90!$G$4:$G$999, "",0)+_xlfn.XLOOKUP(E26,lookups90!$B$4:$B$999,lookups90!$H$4:$H$999, "",0))/2+_xlfn.XLOOKUP(E26,lookups90!$B$4:$B$999,lookups90!$I$4:$I$999, "",0), OR(E26="Fix Slide Slide Fix Window"),  (K26-_xlfn.XLOOKUP(E26,lookups90!$B$4:$B$999,lookups90!$F$4:$F$999, "",0)+_xlfn.XLOOKUP(E26,lookups90!$B$4:$B$999,lookups90!$H$4:$H$999, "",0)+_xlfn.XLOOKUP(E26,lookups90!$B$4:$B$999,lookups90!$H$4:$H$999, "",0))/4+_xlfn.XLOOKUP(E26,lookups90!$B$4:$B$999,lookups90!$I$4:$I$999, "",0)),"")</f>
        <v/>
      </c>
      <c r="AJ26" s="20" t="str">
        <f>IF(_xlfn.XLOOKUP(E26,lookups90!$B$4:$B$999,lookups90!$V$4:$V$999,"",0)=0,"",D26*_xlfn.XLOOKUP(E26,lookups90!$B$4:$B$999,lookups90!$W$4:$W$999,"",0))</f>
        <v/>
      </c>
      <c r="AL26" s="20" t="str" cm="1">
        <f t="array" ref="AL26">IF(AM26&lt;&gt;"", _xlfn.IFS(OR(E26="Fix Slide Door - with Screen", E26="Slide Slide Door - with Screen"), (K26-_xlfn.XLOOKUP(E26,lookups90!$B$4:$B$999,lookups90!$F$4:$F$999, "",0)-_xlfn.XLOOKUP(E26,lookups90!$B$4:$B$999,lookups90!$G$4:$G$999, "",0)+_xlfn.XLOOKUP(E26,lookups90!$B$4:$B$999,lookups90!$H$4:$H$999, "",0))/2+_xlfn.XLOOKUP(E26,lookups90!$B$4:$B$999,lookups90!$I$4:$I$999, "",0), OR( E26="Fix Slide Slide Fix Door - with Screen",  E26="Fix Slide Slide Door"),  (K26-_xlfn.XLOOKUP(E26,lookups90!$B$4:$B$999,lookups90!$F$4:$F$999, "",0)-_xlfn.XLOOKUP(E26,lookups90!$B$4:$B$999,lookups90!$G$4:$G$999, "",0)+_xlfn.XLOOKUP(E26,lookups90!$B$4:$B$999,lookups90!$H$4:$H$999, "",0)+_xlfn.XLOOKUP(E26,lookups90!$B$4:$B$999,lookups90!$H$4:$H$999, "",0))/4+_xlfn.XLOOKUP(E26,lookups90!$B$4:$B$999,lookups90!$I$4:$I$999, "",0)),"")</f>
        <v/>
      </c>
      <c r="AM26" s="20" t="str">
        <f>IF(_xlfn.XLOOKUP(E26,lookups90!$B$4:$B$999,lookups90!$AA$4:$AA$999,"",0)=0,"",D26*_xlfn.XLOOKUP(E26,lookups90!$B$4:$B$999,lookups90!$AA$4:$AA$999,"",0))</f>
        <v/>
      </c>
      <c r="AO26" s="20" t="str">
        <f>IFERROR(IF(C26&lt;&gt;"", T26-_xlfn.XLOOKUP(E26,lookups90!$B$4:$B$999,lookups90!$AE$4:$AE$999, "",0),""),"")</f>
        <v/>
      </c>
      <c r="AP26" s="20" t="str">
        <f>IF(_xlfn.XLOOKUP(E26,lookups90!$B$4:$B$999,lookups90!$AG$4:$AG$999,"",0)=0,"",D26*_xlfn.XLOOKUP(E26,lookups90!$B$4:$B$999,lookups90!$AG$4:$AG$999,"",0))</f>
        <v/>
      </c>
      <c r="AQ26" s="20" t="str">
        <f>IF(V26&lt;&gt;"", T26-_xlfn.XLOOKUP(E26,lookups90!$B$4:$B$999,lookups90!$AE$4:$AE$999, "",0)+_xlfn.XLOOKUP(E26,lookups90!$B$4:$B$999,lookups90!$AF$4:$AF$999, "",0),"")</f>
        <v/>
      </c>
      <c r="AR26" s="20" t="str">
        <f>IFERROR(IF(_xlfn.XLOOKUP(E26,lookups90!$B$4:$B$999,lookups90!$AH$4:$AH$999,"",0)=0,"",D26*_xlfn.XLOOKUP(E26,lookups90!$B$4:$B$999,lookups90!$AH$4:$AH$999,"",0)),"")</f>
        <v/>
      </c>
      <c r="AT26" s="20" t="str">
        <f>IF(OR(E26="Fix Slide Slide Fix Window", E26="Fix Slide Slide Fix Door", E26="Fix Slide Slide Fix Door - with Screen", E26="Fix Slide Slide Door"), T26-_xlfn.XLOOKUP(E26,lookups90!$B$4:$B$999,lookups90!$AE$4:$AE$999,"",0),"")</f>
        <v/>
      </c>
      <c r="AU26" s="20" t="str">
        <f>IFERROR(IF(_xlfn.XLOOKUP(E26,lookups90!$B$4:$B$999,lookups90!$AL$4:$AL$999,"",0)=0,"",D26*_xlfn.XLOOKUP(E26,lookups90!$B$4:$B$999,lookups90!$AL$4:$AL$999,"",0)),"")</f>
        <v/>
      </c>
      <c r="AW26" s="20" t="str">
        <f>IF(C26&lt;&gt;"", T26-_xlfn.XLOOKUP(E26,lookups90!$B$4:$B$999,lookups90!$AP$4:$AP$999,"",0),"")</f>
        <v/>
      </c>
      <c r="AX26" s="20" t="str">
        <f>IFERROR(IF(_xlfn.XLOOKUP(E26,lookups90!$B$4:$B$999,lookups90!$AR$4:$AR$999,"",0)=0,"",D26*_xlfn.XLOOKUP(E26,lookups90!$B$4:$B$999,lookups90!$AR$4:$AR$999,"",0)),"")</f>
        <v/>
      </c>
      <c r="AY26" s="24" t="str">
        <f>IF(V26&lt;&gt;"", V26-_xlfn.XLOOKUP(E26,lookups90!$B$4:$B$999,lookups90!$AP$4:$AP$999,"",0),"")</f>
        <v/>
      </c>
      <c r="AZ26" s="20" t="str">
        <f>IFERROR(IF(_xlfn.XLOOKUP(E26,lookups90!$B$4:$B$999,lookups90!$AS$4:$AS$999,"",0)=0,"",D26*_xlfn.XLOOKUP(E26,lookups90!$B$4:$B$999,lookups90!$AS$4:$AS$999,"",0)),"")</f>
        <v/>
      </c>
      <c r="BA26" s="20" t="str">
        <f>IF(X26&lt;&gt;"", X26-_xlfn.XLOOKUP(E26,lookups90!$B$4:$B$999,lookups90!$AQ$4:$AQ$999,"",0),"")</f>
        <v/>
      </c>
      <c r="BB26" s="20" t="str">
        <f>IFERROR(IF(_xlfn.XLOOKUP(E26,lookups90!$B$4:$B$999,lookups90!$AT$4:$AT$999,"",0)=0,"",D26*_xlfn.XLOOKUP(E26,lookups90!$B$4:$B$999,lookups90!$AT$4:$AT$999,"",0)),"")</f>
        <v/>
      </c>
      <c r="BD26" s="20" t="str">
        <f>IF(C26&lt;&gt;"", N26-_xlfn.XLOOKUP(E26,lookups90!$B$4:$B$999,lookups90!$AX$4:$AX$999,"",0)+M26,"")</f>
        <v/>
      </c>
      <c r="BE26" s="20" t="str">
        <f>IFERROR(IF(_xlfn.XLOOKUP(E26,lookups90!$B$4:$B$999,lookups90!$AY$4:$AY$999,"",0)=0,"",D26*_xlfn.XLOOKUP(E26,lookups90!$B$4:$B$999,lookups90!$AY$4:$AY$999,"",0)),"")</f>
        <v/>
      </c>
      <c r="BF26" s="20" t="str">
        <f>IF(C26&lt;&gt;"", P26-_xlfn.XLOOKUP(E26,lookups90!$B$4:$B$999,lookups90!$AX$4:$AX$999,"",0)+M26,"")</f>
        <v/>
      </c>
      <c r="BG26" s="20" t="str">
        <f>IFERROR(IF(_xlfn.XLOOKUP(E26,lookups90!$B$4:$B$999,lookups90!$AZ$4:$AZ$999,"",0)=0,"",D26*_xlfn.XLOOKUP(E26,lookups90!$B$4:$B$999,lookups90!$AZ$4:$AZ$999,"",0)),"")</f>
        <v/>
      </c>
      <c r="BI26" s="20" t="str">
        <f>IF(C26&lt;&gt;"", T26-_xlfn.XLOOKUP(E26,lookups90!$B$4:$B$999,lookups90!$BA$4:$BA$999,"",0),"")</f>
        <v/>
      </c>
      <c r="BJ26" s="20" t="str">
        <f>IFERROR(IF(_xlfn.XLOOKUP(E26,lookups90!$B$4:$B$999,lookups90!$BB$4:$BB$999,"",0)=0,"",D26*_xlfn.XLOOKUP(E26,lookups90!$B$4:$B$999,lookups90!$BB$4:$BB$999,"",0)),"")</f>
        <v/>
      </c>
      <c r="BK26" s="20" t="str">
        <f>IF(V26&lt;&gt;"", V26-_xlfn.XLOOKUP(E26,lookups90!$B$4:$B$999,lookups90!$BA$4:$BA$999,"",0),"")</f>
        <v/>
      </c>
      <c r="BL26" s="20" t="str">
        <f>IFERROR(IF(_xlfn.XLOOKUP(E26,lookups90!$B$4:$B$999,lookups90!$BC$4:$BC$999,"",0)=0,"",D26*_xlfn.XLOOKUP(E26,lookups90!$B$4:$B$999,lookups90!$BC$4:$BC$999,"",0)),"")</f>
        <v/>
      </c>
      <c r="BM26" s="20" t="str">
        <f>IF(C26&lt;&gt;"", X26-_xlfn.XLOOKUP(E26,lookups90!$B$4:$B$999,lookups90!$BA$4:$BA$999,"",0),"")</f>
        <v/>
      </c>
      <c r="BN26" s="20" t="str">
        <f>IFERROR(IF(_xlfn.XLOOKUP(E26,lookups90!$B$4:$B$999,lookups90!$BD$4:$BD$999,"",0)=0,"",D26*_xlfn.XLOOKUP(E26,lookups90!$B$4:$B$999,lookups90!$BD$4:$BD$999,"",0)),"")</f>
        <v/>
      </c>
      <c r="BP26" s="20" t="str">
        <f>IF(AB26&lt;&gt;"", AB26-_xlfn.XLOOKUP(E26,lookups90!$B$4:$B$999,lookups90!$BE$4:$BE$999,"",0),"")</f>
        <v/>
      </c>
      <c r="BQ26" s="20" t="str">
        <f>IFERROR(IF(_xlfn.XLOOKUP(E26,lookups90!$B$4:$B$999,lookups90!$BF$4:$BF$999,"",0)=0,"",D26*_xlfn.XLOOKUP(E26,lookups90!$B$4:$B$999,lookups90!$BF$4:$BF$999,"",0)),"")</f>
        <v/>
      </c>
      <c r="BR26" s="20" t="str" cm="1">
        <f t="array" ref="BR26">_xlfn.IFS(BP26="","",OR(E26="Fix Slide Door - with Screen",E26="Slide Slide Door - with Screen"),(K26-_xlfn.XLOOKUP(E26,lookups90!$B$4:$B$999,lookups90!$F$4:$F$999,"",0)-_xlfn.XLOOKUP(E26,lookups90!$B$4:$B$999,lookups90!$G$4:$G$999,"",0)+_xlfn.XLOOKUP(E26,lookups90!$B$4:$B$999,lookups90!$H$4:$H$999,"",0))/2+_xlfn.XLOOKUP(E26,lookups90!$B$4:$B$999,lookups90!$I$4:$I$999,"",0)-_xlfn.XLOOKUP(E26,lookups90!$B$4:$B$999,lookups90!$BE$4:$BE$999,"",0), E26="Fix Slide Slide Fix Door - with Screen",(K26-_xlfn.XLOOKUP(E26,lookups90!$B$4:$B$999,lookups90!$F$4:$F$999,"",0)-_xlfn.XLOOKUP(E26,lookups90!$B$4:$B$999,lookups90!$G$4:$G$999,"",0)+_xlfn.XLOOKUP(E26,lookups90!$B$4:$B$999,lookups90!$H$4:$H$999,"",0)+_xlfn.XLOOKUP(E26,lookups90!$B$4:$B$999,lookups90!$H$4:$H$999,"",0))/4+_xlfn.XLOOKUP(E26,lookups90!$B$4:$B$999,lookups90!$I$4:$I$999,"",0)-_xlfn.XLOOKUP(E26,lookups90!$B$4:$B$999,lookups90!$BE$4:$BE$999,"",0))</f>
        <v/>
      </c>
      <c r="BS26" s="20" t="str">
        <f>IFERROR(IF(_xlfn.XLOOKUP(E26,lookups90!$B$4:$B$999,lookups90!$BG$4:$BG$999,"",0)=0,"",D26*_xlfn.XLOOKUP(E26,lookups90!$B$4:$B$999,lookups90!$BG$4:$BG$999,"",0)),"")</f>
        <v/>
      </c>
      <c r="BU26" s="20" t="str">
        <f>IF(AG26&lt;&gt;"",AG26-_xlfn.XLOOKUP(E26,lookups90!$B$4:$B$999,lookups90!$BA$4:$BA$999,"",0),"")</f>
        <v/>
      </c>
      <c r="BV26" s="20" t="str">
        <f>IFERROR(IF(_xlfn.XLOOKUP(E26,lookups90!$B$4:$B$999,lookups90!$BH$4:$BH$999,"",0)=0,"",D26*_xlfn.XLOOKUP(E26,lookups90!$B$4:$B$999,lookups90!$BH$4:$BH$999,"",0)),"")</f>
        <v/>
      </c>
      <c r="BW26" s="20" t="str" cm="1">
        <f t="array" ref="BW26">_xlfn.IFS(BU26="","",OR(E26="Fix Slide Window",E26="Slide Slide Window"),(K26-_xlfn.XLOOKUP(E26,lookups90!$B$4:$B$999,lookups90!$F$4:$F$999,"",0)-_xlfn.XLOOKUP(E26,lookups90!$B$4:$B$999,lookups90!$G$4:$G$999,"",0)+_xlfn.XLOOKUP(E26,lookups90!$B$4:$B$999,lookups90!$H$4:$H$999,"",0))/2+_xlfn.XLOOKUP(E26,lookups90!$B$4:$B$999,lookups90!$I$4:$I$999,"",0)-_xlfn.XLOOKUP(E26,lookups90!$B$4:$B$999,lookups90!$BA$4:$BA$999,"",0), E26="Fix Slide Slide Fix Window",(K26-_xlfn.XLOOKUP(E26,lookups90!$B$4:$B$999,lookups90!$F$4:$F$999,"",0)-_xlfn.XLOOKUP(E26,lookups90!$B$4:$B$999,lookups90!$G$4:$G$999,"",0)+_xlfn.XLOOKUP(E26,lookups90!$B$4:$B$999,lookups90!$H$4:$H$999,"",0)+_xlfn.XLOOKUP(E26,lookups90!$B$4:$B$999,lookups90!$H$4:$H$999,"",0))/4+_xlfn.XLOOKUP(E26,lookups90!$B$4:$B$999,lookups90!$I$4:$I$999,"",0)-_xlfn.XLOOKUP(E26,lookups90!$B$4:$B$999,lookups90!$BA$4:$BA$999,"",0))</f>
        <v/>
      </c>
      <c r="BX26" s="20" t="str">
        <f>IFERROR(IF(_xlfn.XLOOKUP(E26,lookups90!$B$4:$B$999,lookups90!$BI$4:$BI$999,"",0)=0,"",D26*_xlfn.XLOOKUP(E26,lookups90!$B$4:$B$999,lookups90!$BI$4:$BI$999,"",0)),"")</f>
        <v/>
      </c>
      <c r="BZ26" s="20" t="str">
        <f>IF(AL26&lt;&gt;"", AL26-_xlfn.XLOOKUP(E26,lookups90!$B$4:$B$999,lookups90!$BJ$4:$BJ$999,"",0),"")</f>
        <v/>
      </c>
      <c r="CA26" s="20" t="str">
        <f>IFERROR(IF(_xlfn.XLOOKUP(E26,lookups90!$B$4:$B$999,lookups90!$BK$4:$BK$999,"",0)=0,"",D26*_xlfn.XLOOKUP(E26,lookups90!$B$4:$B$999,lookups90!$BK$4:$BK$999,"",0)),"")</f>
        <v/>
      </c>
      <c r="CC26" s="20" t="str">
        <f>IF(C26&lt;&gt;"", T26-_xlfn.XLOOKUP(E26,lookups90!$B$4:$B$999,lookups90!$BO$4:$BO$999,"",0)-_xlfn.XLOOKUP(E26,lookups90!$B$4:$B$999,lookups90!$BP$4:$BP$999,"",0),"")</f>
        <v/>
      </c>
      <c r="CD26" s="20" t="str">
        <f>IF(C26&lt;&gt;"", X26-_xlfn.XLOOKUP(E26,lookups90!$B$4:$B$999,lookups90!$BQ$4:$BQ$999,"",0)-_xlfn.XLOOKUP(E26,lookups90!$B$4:$B$999,lookups90!$BR$4:$BR$999,"",0),"")</f>
        <v/>
      </c>
      <c r="CE26" s="20" t="str">
        <f>IFERROR(IF(_xlfn.XLOOKUP(E26,lookups90!$B$4:$B$999,lookups90!$BS$4:$BS$999,"",0)=0,"",D26*_xlfn.XLOOKUP(E26,lookups90!$B$4:$B$999,lookups90!$BS$4:$BS$999,"",0)),"")</f>
        <v/>
      </c>
      <c r="CF26" s="20" t="str">
        <f>IF(V26&lt;&gt;"", V26-_xlfn.XLOOKUP(E26,lookups90!$B$4:$B$999,lookups90!$BO$4:$BO$999,"",0)-_xlfn.XLOOKUP(E26,lookups90!$B$4:$B$999,lookups90!$BP$4:$BP$999,"",0),"")</f>
        <v/>
      </c>
      <c r="CG26" s="20" t="str">
        <f>IF(CF26&lt;&gt;"", X26-_xlfn.XLOOKUP(E26,lookups90!$B$4:$B$999,lookups90!$BQ$4:$BQ$999,"",0)-_xlfn.XLOOKUP(E26,lookups90!$B$4:$B$999,lookups90!$BR$4:$BR$999,"",0),"")</f>
        <v/>
      </c>
      <c r="CH26" s="20" t="str">
        <f>IFERROR(IF(_xlfn.XLOOKUP(E26,lookups90!$B$4:$B$999,lookups90!$BT$4:$BT$999,"",0)=0,"",D26*_xlfn.XLOOKUP(E26,lookups90!$B$4:$B$999,lookups90!$BT$4:$BT$999,"",0)),"")</f>
        <v/>
      </c>
      <c r="CJ26" s="22" t="str">
        <f t="shared" si="5"/>
        <v/>
      </c>
      <c r="CL26" s="22" t="str" cm="1">
        <f t="array" ref="CL26">IF(D26&lt;&gt;"",((((J26+K26)*2)/500)+(2*_xlfn.IFS(OR(E26="Fix Slide Window", E26="Slide Slide Window", E26="Fix Slide Slide Fix Window"), 2, E26="Slide Slide Door - with Screen", 8, E26&lt;&gt;"",4)))*D26,"")</f>
        <v/>
      </c>
      <c r="CM26" s="22" t="str">
        <f t="shared" si="6"/>
        <v/>
      </c>
      <c r="CN26" s="22" t="str">
        <f t="shared" si="7"/>
        <v/>
      </c>
      <c r="CO26" s="22" t="str">
        <f t="shared" si="8"/>
        <v/>
      </c>
      <c r="CP26" s="22" t="str">
        <f t="shared" si="0"/>
        <v/>
      </c>
    </row>
    <row r="27" spans="3:94" x14ac:dyDescent="0.25">
      <c r="C27" s="16"/>
      <c r="D27" s="16"/>
      <c r="E27" s="16"/>
      <c r="F27" s="16"/>
      <c r="G27" s="16"/>
      <c r="H27" s="16"/>
      <c r="I27" s="16"/>
      <c r="J27" s="16"/>
      <c r="K27" s="16"/>
      <c r="M27" s="20" t="str">
        <f t="shared" si="1"/>
        <v/>
      </c>
      <c r="N27" s="20" t="str" cm="1">
        <f t="array" ref="N27">IFERROR(_xlfn.IFS(OR(E27="Fix Awning (Vertical)", E27="Fix Awning (Horizontal)"), J27/2+20,C27&lt;&gt;"", J27+M27),"")</f>
        <v/>
      </c>
      <c r="O27" s="20" t="str">
        <f t="shared" si="2"/>
        <v/>
      </c>
      <c r="P27" s="20" t="str">
        <f t="shared" si="3"/>
        <v/>
      </c>
      <c r="Q27" s="20" t="str">
        <f t="shared" si="4"/>
        <v/>
      </c>
      <c r="S27" s="20" t="str">
        <f>IF(C27&lt;&gt;"", _xlfn.XLOOKUP(E27,lookups90!$B$4:$B$999,lookups90!$C$4:$C$999,"",0),"")</f>
        <v/>
      </c>
      <c r="T27" s="20" t="str">
        <f>IF(C27&lt;&gt;"", J27-_xlfn.XLOOKUP(E27,lookups90!$B$4:$B$999,lookups90!$D$4:$D$999, "",0),"")</f>
        <v/>
      </c>
      <c r="U27" s="20" t="str">
        <f>IF(T27&lt;&gt;"",D27*_xlfn.XLOOKUP(E27,lookups90!$B$4:$B$999,lookups90!$J$4:$J$999, "",0),"")</f>
        <v/>
      </c>
      <c r="V27" s="20" t="str">
        <f>IF(AND(C27&lt;&gt;"", E27&lt;&gt;"Slide Slide Window", E27&lt;&gt;"Slide Slide Door", E27&lt;&gt;"Slide Slide Door - with Screen"), J27-_xlfn.XLOOKUP(E27,lookups90!$B$4:$B$999,lookups90!$E$4:$E$999, "",0),"")</f>
        <v/>
      </c>
      <c r="W27" s="20" t="str">
        <f>IF(V27&lt;&gt;"",D27*_xlfn.XLOOKUP(E27,lookups90!$B$4:$B$999,lookups90!$K$4:$K$999, "",0),"")</f>
        <v/>
      </c>
      <c r="X27" s="20" t="str" cm="1">
        <f t="array" ref="X27">IFERROR(_xlfn.IFS(OR(E27="Fix Slide Window", E27="Slide Slide Window", E27="Fix Slide Door", E27="Slide Slide Door", E27="Fix Slide Door - with Screen", E27="Slide Slide Door - with Screen"), (K27-_xlfn.XLOOKUP(E27,lookups90!$B$4:$B$999,lookups90!$F$4:$F$999, "",0)-_xlfn.XLOOKUP(E27,lookups90!$B$4:$B$999,lookups90!$G$4:$G$999, "",0)+_xlfn.XLOOKUP(E27,lookups90!$B$4:$B$999,lookups90!$H$4:$H$999, "",0))/2+_xlfn.XLOOKUP(E27,lookups90!$B$4:$B$999,lookups90!$I$4:$I$999, "",0), OR(E27="Fix Slide Slide Fix Window", E27="Fix Slide Slide Fix Door - with Screen", E27="Fix Slide Slide Fix Door"),  (K27-_xlfn.XLOOKUP(E27,lookups90!$B$4:$B$999,lookups90!$F$4:$F$999, "",0)-_xlfn.XLOOKUP(E27,lookups90!$B$4:$B$999,lookups90!$G$4:$G$999, "",0)+_xlfn.XLOOKUP(E27,lookups90!$B$4:$B$999,lookups90!$H$4:$H$999, "",0)+_xlfn.XLOOKUP(E27,lookups90!$B$4:$B$999,lookups90!$H$4:$H$999, "",0))/4+_xlfn.XLOOKUP(E27,lookups90!$B$4:$B$999,lookups90!$I$4:$I$999, "",0), E27="Fix Slide Slide Door", (K27-_xlfn.XLOOKUP(E27,lookups90!$B$4:$B$999,lookups90!$F$4:$F$999, "",0)-_xlfn.XLOOKUP(E27,lookups90!$B$4:$B$999,lookups90!$G$4:$G$999, "",0)+_xlfn.XLOOKUP(E27,lookups90!$B$4:$B$999,lookups90!$H$4:$H$999, "",0)+_xlfn.XLOOKUP(E27,lookups90!$B$4:$B$999,lookups90!$H$4:$H$999, "",0))/3+_xlfn.XLOOKUP(E27,lookups90!$B$4:$B$999,lookups90!$I$4:$I$999, "",0),E27="Fix Slide Slide Slide Slide Fix Dr",  (K27-_xlfn.XLOOKUP(E27,lookups90!$B$4:$B$999,lookups90!$F$4:$F$999, "",0)-_xlfn.XLOOKUP(E27,lookups90!$B$4:$B$999,lookups90!$G$4:$G$999, "",0)+_xlfn.XLOOKUP(E27,lookups90!$B$4:$B$999,lookups90!$H$4:$H$999, "",0)+_xlfn.XLOOKUP(E27,lookups90!$B$4:$B$999,lookups90!$H$4:$H$999, "",0)+_xlfn.XLOOKUP(E27,lookups90!$B$4:$B$999,lookups90!$H$4:$H$999, "",0)+_xlfn.XLOOKUP(E27,lookups90!$B$4:$B$999,lookups90!$H$4:$H$999, "",0))/6+_xlfn.XLOOKUP(E27,lookups90!$B$4:$B$999,lookups90!$I$4:$I$999, "",0), E27="Fix Slide Slide Slide Slide Slide Slide Fix Dr",  (K27-_xlfn.XLOOKUP(E27,lookups90!$B$4:$B$999,lookups90!$F$4:$F$999, "",0)-_xlfn.XLOOKUP(E27,lookups90!$B$4:$B$999,lookups90!$G$4:$G$999, "",0)+_xlfn.XLOOKUP(E27,lookups90!$B$4:$B$999,lookups90!$H$4:$H$999, "",0)+_xlfn.XLOOKUP(E27,lookups90!$B$4:$B$999,lookups90!$H$4:$H$999, "",0)+_xlfn.XLOOKUP(E27,lookups90!$B$4:$B$999,lookups90!$H$4:$H$999, "",0)+_xlfn.XLOOKUP(E27,lookups90!$B$4:$B$999,lookups90!$H$4:$H$999, "",0)+_xlfn.XLOOKUP(E27,lookups90!$B$4:$B$999,lookups90!$H$4:$H$999, "",0)+_xlfn.XLOOKUP(E27,lookups90!$B$4:$B$999,lookups90!$H$4:$H$999, "",0))/8+_xlfn.XLOOKUP(E27,lookups90!$B$4:$B$999,lookups90!$I$4:$I$999, "",0)),"")</f>
        <v/>
      </c>
      <c r="Y27" s="20" t="str">
        <f>IF(X27&lt;&gt;"",D27*_xlfn.XLOOKUP(E27,lookups90!$B$4:$B$999,lookups90!$L$4:$L$999, "",0),"")</f>
        <v/>
      </c>
      <c r="AA27" s="20" t="str">
        <f>IF(C27&lt;&gt;"", IF(_xlfn.XLOOKUP(E27,lookups90!$B$4:$B$999,lookups90!$P$4:$P$999,"",0)=0,"",_xlfn.XLOOKUP(E27,lookups90!$B$4:$B$999,lookups90!$P$4:$P$999,"",0)),"")</f>
        <v/>
      </c>
      <c r="AB27" s="20" t="str">
        <f>IF(AA27&lt;&gt;"", J27-_xlfn.XLOOKUP(E27,lookups90!$B$4:$B$999,lookups90!$D$4:$D$999, "",0),"")</f>
        <v/>
      </c>
      <c r="AC27" s="20" t="str">
        <f>IF(AA27&lt;&gt;"",D27*_xlfn.XLOOKUP(E27,lookups90!$B$4:$B$999,lookups90!$Q$4:$Q$999, "",0),"")</f>
        <v/>
      </c>
      <c r="AD27" s="20" t="str" cm="1">
        <f t="array" ref="AD27">IF(AA27&lt;&gt;"", _xlfn.IFS(OR(E27="Fix Slide Window", E27="Slide Slide Window", E27="Fix Slide Door", E27="Slide Slide Door", E27="Fix Slide Door - with Screen", E27="Slide Slide Door - with Screen"), (K27-_xlfn.XLOOKUP(E27,lookups90!$B$4:$B$999,lookups90!$F$4:$F$999, "",0)-_xlfn.XLOOKUP(E27,lookups90!$B$4:$B$999,lookups90!$G$4:$G$999, "",0)+_xlfn.XLOOKUP(E27,lookups90!$B$4:$B$999,lookups90!$H$4:$H$999, "",0))/2+_xlfn.XLOOKUP(E27,lookups90!$B$4:$B$999,lookups90!$I$4:$I$999, "",0), OR(E27="Fix Slide Slide Fix Window", E27="Fix Slide Slide Fix Door - with Screen", E27="Fix Slide Slide Fix Door"),  (K27-_xlfn.XLOOKUP(E27,lookups90!$B$4:$B$999,lookups90!$F$4:$F$999, "",0)-_xlfn.XLOOKUP(E27,lookups90!$B$4:$B$999,lookups90!$G$4:$G$999, "",0)+_xlfn.XLOOKUP(E27,lookups90!$B$4:$B$999,lookups90!$H$4:$H$999, "",0)+_xlfn.XLOOKUP(E27,lookups90!$B$4:$B$999,lookups90!$H$4:$H$999, "",0))/4+_xlfn.XLOOKUP(E27,lookups90!$B$4:$B$999,lookups90!$I$4:$I$999, "",0), E27="Fix Slide Slide Door", (K27-_xlfn.XLOOKUP(E27,lookups90!$B$4:$B$999,lookups90!$F$4:$F$999, "",0)-_xlfn.XLOOKUP(E27,lookups90!$B$4:$B$999,lookups90!$G$4:$G$999, "",0)+_xlfn.XLOOKUP(E27,lookups90!$B$4:$B$999,lookups90!$H$4:$H$999, "",0)+_xlfn.XLOOKUP(E27,lookups90!$B$4:$B$999,lookups90!$H$4:$H$999, "",0))/3+_xlfn.XLOOKUP(E27,lookups90!$B$4:$B$999,lookups90!$I$4:$I$999, "",0) ),"")</f>
        <v/>
      </c>
      <c r="AE27" s="20" t="str">
        <f>IF(AA27&lt;&gt;"",D27*_xlfn.XLOOKUP(E27,lookups90!$B$4:$B$999,lookups90!$R$4:$R$999, "",0),"")</f>
        <v/>
      </c>
      <c r="AG27" s="20" t="str">
        <f>IF(AH27&lt;&gt;"", J27-_xlfn.XLOOKUP(E27,lookups90!$B$4:$B$999,lookups90!$D$4:$D$999, "",0),"")</f>
        <v/>
      </c>
      <c r="AH27" s="20" t="str">
        <f>IF(_xlfn.XLOOKUP(E27,lookups90!$B$4:$B$999,lookups90!$V$4:$V$999,"",0)=0,"",D27*_xlfn.XLOOKUP(E27,lookups90!$B$4:$B$999,lookups90!$V$4:$V$999,"",0))</f>
        <v/>
      </c>
      <c r="AI27" s="20" t="str" cm="1">
        <f t="array" ref="AI27">IF(AH27&lt;&gt;"", _xlfn.IFS(OR(E27="Fix Slide Window", E27="Slide Slide Window"), (K27-_xlfn.XLOOKUP(E27,lookups90!$B$4:$B$999,lookups90!$F$4:$F$999, "",0)-_xlfn.XLOOKUP(E27,lookups90!$B$4:$B$999,lookups90!$G$4:$G$999, "",0)+_xlfn.XLOOKUP(E27,lookups90!$B$4:$B$999,lookups90!$H$4:$H$999, "",0))/2+_xlfn.XLOOKUP(E27,lookups90!$B$4:$B$999,lookups90!$I$4:$I$999, "",0), OR(E27="Fix Slide Slide Fix Window"),  (K27-_xlfn.XLOOKUP(E27,lookups90!$B$4:$B$999,lookups90!$F$4:$F$999, "",0)+_xlfn.XLOOKUP(E27,lookups90!$B$4:$B$999,lookups90!$H$4:$H$999, "",0)+_xlfn.XLOOKUP(E27,lookups90!$B$4:$B$999,lookups90!$H$4:$H$999, "",0))/4+_xlfn.XLOOKUP(E27,lookups90!$B$4:$B$999,lookups90!$I$4:$I$999, "",0)),"")</f>
        <v/>
      </c>
      <c r="AJ27" s="20" t="str">
        <f>IF(_xlfn.XLOOKUP(E27,lookups90!$B$4:$B$999,lookups90!$V$4:$V$999,"",0)=0,"",D27*_xlfn.XLOOKUP(E27,lookups90!$B$4:$B$999,lookups90!$W$4:$W$999,"",0))</f>
        <v/>
      </c>
      <c r="AL27" s="20" t="str" cm="1">
        <f t="array" ref="AL27">IF(AM27&lt;&gt;"", _xlfn.IFS(OR(E27="Fix Slide Door - with Screen", E27="Slide Slide Door - with Screen"), (K27-_xlfn.XLOOKUP(E27,lookups90!$B$4:$B$999,lookups90!$F$4:$F$999, "",0)-_xlfn.XLOOKUP(E27,lookups90!$B$4:$B$999,lookups90!$G$4:$G$999, "",0)+_xlfn.XLOOKUP(E27,lookups90!$B$4:$B$999,lookups90!$H$4:$H$999, "",0))/2+_xlfn.XLOOKUP(E27,lookups90!$B$4:$B$999,lookups90!$I$4:$I$999, "",0), OR( E27="Fix Slide Slide Fix Door - with Screen",  E27="Fix Slide Slide Door"),  (K27-_xlfn.XLOOKUP(E27,lookups90!$B$4:$B$999,lookups90!$F$4:$F$999, "",0)-_xlfn.XLOOKUP(E27,lookups90!$B$4:$B$999,lookups90!$G$4:$G$999, "",0)+_xlfn.XLOOKUP(E27,lookups90!$B$4:$B$999,lookups90!$H$4:$H$999, "",0)+_xlfn.XLOOKUP(E27,lookups90!$B$4:$B$999,lookups90!$H$4:$H$999, "",0))/4+_xlfn.XLOOKUP(E27,lookups90!$B$4:$B$999,lookups90!$I$4:$I$999, "",0)),"")</f>
        <v/>
      </c>
      <c r="AM27" s="20" t="str">
        <f>IF(_xlfn.XLOOKUP(E27,lookups90!$B$4:$B$999,lookups90!$AA$4:$AA$999,"",0)=0,"",D27*_xlfn.XLOOKUP(E27,lookups90!$B$4:$B$999,lookups90!$AA$4:$AA$999,"",0))</f>
        <v/>
      </c>
      <c r="AO27" s="20" t="str">
        <f>IFERROR(IF(C27&lt;&gt;"", T27-_xlfn.XLOOKUP(E27,lookups90!$B$4:$B$999,lookups90!$AE$4:$AE$999, "",0),""),"")</f>
        <v/>
      </c>
      <c r="AP27" s="20" t="str">
        <f>IF(_xlfn.XLOOKUP(E27,lookups90!$B$4:$B$999,lookups90!$AG$4:$AG$999,"",0)=0,"",D27*_xlfn.XLOOKUP(E27,lookups90!$B$4:$B$999,lookups90!$AG$4:$AG$999,"",0))</f>
        <v/>
      </c>
      <c r="AQ27" s="20" t="str">
        <f>IF(V27&lt;&gt;"", T27-_xlfn.XLOOKUP(E27,lookups90!$B$4:$B$999,lookups90!$AE$4:$AE$999, "",0)+_xlfn.XLOOKUP(E27,lookups90!$B$4:$B$999,lookups90!$AF$4:$AF$999, "",0),"")</f>
        <v/>
      </c>
      <c r="AR27" s="20" t="str">
        <f>IFERROR(IF(_xlfn.XLOOKUP(E27,lookups90!$B$4:$B$999,lookups90!$AH$4:$AH$999,"",0)=0,"",D27*_xlfn.XLOOKUP(E27,lookups90!$B$4:$B$999,lookups90!$AH$4:$AH$999,"",0)),"")</f>
        <v/>
      </c>
      <c r="AT27" s="20" t="str">
        <f>IF(OR(E27="Fix Slide Slide Fix Window", E27="Fix Slide Slide Fix Door", E27="Fix Slide Slide Fix Door - with Screen", E27="Fix Slide Slide Door"), T27-_xlfn.XLOOKUP(E27,lookups90!$B$4:$B$999,lookups90!$AE$4:$AE$999,"",0),"")</f>
        <v/>
      </c>
      <c r="AU27" s="20" t="str">
        <f>IFERROR(IF(_xlfn.XLOOKUP(E27,lookups90!$B$4:$B$999,lookups90!$AL$4:$AL$999,"",0)=0,"",D27*_xlfn.XLOOKUP(E27,lookups90!$B$4:$B$999,lookups90!$AL$4:$AL$999,"",0)),"")</f>
        <v/>
      </c>
      <c r="AW27" s="20" t="str">
        <f>IF(C27&lt;&gt;"", T27-_xlfn.XLOOKUP(E27,lookups90!$B$4:$B$999,lookups90!$AP$4:$AP$999,"",0),"")</f>
        <v/>
      </c>
      <c r="AX27" s="20" t="str">
        <f>IFERROR(IF(_xlfn.XLOOKUP(E27,lookups90!$B$4:$B$999,lookups90!$AR$4:$AR$999,"",0)=0,"",D27*_xlfn.XLOOKUP(E27,lookups90!$B$4:$B$999,lookups90!$AR$4:$AR$999,"",0)),"")</f>
        <v/>
      </c>
      <c r="AY27" s="24" t="str">
        <f>IF(V27&lt;&gt;"", V27-_xlfn.XLOOKUP(E27,lookups90!$B$4:$B$999,lookups90!$AP$4:$AP$999,"",0),"")</f>
        <v/>
      </c>
      <c r="AZ27" s="20" t="str">
        <f>IFERROR(IF(_xlfn.XLOOKUP(E27,lookups90!$B$4:$B$999,lookups90!$AS$4:$AS$999,"",0)=0,"",D27*_xlfn.XLOOKUP(E27,lookups90!$B$4:$B$999,lookups90!$AS$4:$AS$999,"",0)),"")</f>
        <v/>
      </c>
      <c r="BA27" s="20" t="str">
        <f>IF(X27&lt;&gt;"", X27-_xlfn.XLOOKUP(E27,lookups90!$B$4:$B$999,lookups90!$AQ$4:$AQ$999,"",0),"")</f>
        <v/>
      </c>
      <c r="BB27" s="20" t="str">
        <f>IFERROR(IF(_xlfn.XLOOKUP(E27,lookups90!$B$4:$B$999,lookups90!$AT$4:$AT$999,"",0)=0,"",D27*_xlfn.XLOOKUP(E27,lookups90!$B$4:$B$999,lookups90!$AT$4:$AT$999,"",0)),"")</f>
        <v/>
      </c>
      <c r="BD27" s="20" t="str">
        <f>IF(C27&lt;&gt;"", N27-_xlfn.XLOOKUP(E27,lookups90!$B$4:$B$999,lookups90!$AX$4:$AX$999,"",0)+M27,"")</f>
        <v/>
      </c>
      <c r="BE27" s="20" t="str">
        <f>IFERROR(IF(_xlfn.XLOOKUP(E27,lookups90!$B$4:$B$999,lookups90!$AY$4:$AY$999,"",0)=0,"",D27*_xlfn.XLOOKUP(E27,lookups90!$B$4:$B$999,lookups90!$AY$4:$AY$999,"",0)),"")</f>
        <v/>
      </c>
      <c r="BF27" s="20" t="str">
        <f>IF(C27&lt;&gt;"", P27-_xlfn.XLOOKUP(E27,lookups90!$B$4:$B$999,lookups90!$AX$4:$AX$999,"",0)+M27,"")</f>
        <v/>
      </c>
      <c r="BG27" s="20" t="str">
        <f>IFERROR(IF(_xlfn.XLOOKUP(E27,lookups90!$B$4:$B$999,lookups90!$AZ$4:$AZ$999,"",0)=0,"",D27*_xlfn.XLOOKUP(E27,lookups90!$B$4:$B$999,lookups90!$AZ$4:$AZ$999,"",0)),"")</f>
        <v/>
      </c>
      <c r="BI27" s="20" t="str">
        <f>IF(C27&lt;&gt;"", T27-_xlfn.XLOOKUP(E27,lookups90!$B$4:$B$999,lookups90!$BA$4:$BA$999,"",0),"")</f>
        <v/>
      </c>
      <c r="BJ27" s="20" t="str">
        <f>IFERROR(IF(_xlfn.XLOOKUP(E27,lookups90!$B$4:$B$999,lookups90!$BB$4:$BB$999,"",0)=0,"",D27*_xlfn.XLOOKUP(E27,lookups90!$B$4:$B$999,lookups90!$BB$4:$BB$999,"",0)),"")</f>
        <v/>
      </c>
      <c r="BK27" s="20" t="str">
        <f>IF(V27&lt;&gt;"", V27-_xlfn.XLOOKUP(E27,lookups90!$B$4:$B$999,lookups90!$BA$4:$BA$999,"",0),"")</f>
        <v/>
      </c>
      <c r="BL27" s="20" t="str">
        <f>IFERROR(IF(_xlfn.XLOOKUP(E27,lookups90!$B$4:$B$999,lookups90!$BC$4:$BC$999,"",0)=0,"",D27*_xlfn.XLOOKUP(E27,lookups90!$B$4:$B$999,lookups90!$BC$4:$BC$999,"",0)),"")</f>
        <v/>
      </c>
      <c r="BM27" s="20" t="str">
        <f>IF(C27&lt;&gt;"", X27-_xlfn.XLOOKUP(E27,lookups90!$B$4:$B$999,lookups90!$BA$4:$BA$999,"",0),"")</f>
        <v/>
      </c>
      <c r="BN27" s="20" t="str">
        <f>IFERROR(IF(_xlfn.XLOOKUP(E27,lookups90!$B$4:$B$999,lookups90!$BD$4:$BD$999,"",0)=0,"",D27*_xlfn.XLOOKUP(E27,lookups90!$B$4:$B$999,lookups90!$BD$4:$BD$999,"",0)),"")</f>
        <v/>
      </c>
      <c r="BP27" s="20" t="str">
        <f>IF(AB27&lt;&gt;"", AB27-_xlfn.XLOOKUP(E27,lookups90!$B$4:$B$999,lookups90!$BE$4:$BE$999,"",0),"")</f>
        <v/>
      </c>
      <c r="BQ27" s="20" t="str">
        <f>IFERROR(IF(_xlfn.XLOOKUP(E27,lookups90!$B$4:$B$999,lookups90!$BF$4:$BF$999,"",0)=0,"",D27*_xlfn.XLOOKUP(E27,lookups90!$B$4:$B$999,lookups90!$BF$4:$BF$999,"",0)),"")</f>
        <v/>
      </c>
      <c r="BR27" s="20" t="str" cm="1">
        <f t="array" ref="BR27">_xlfn.IFS(BP27="","",OR(E27="Fix Slide Door - with Screen",E27="Slide Slide Door - with Screen"),(K27-_xlfn.XLOOKUP(E27,lookups90!$B$4:$B$999,lookups90!$F$4:$F$999,"",0)-_xlfn.XLOOKUP(E27,lookups90!$B$4:$B$999,lookups90!$G$4:$G$999,"",0)+_xlfn.XLOOKUP(E27,lookups90!$B$4:$B$999,lookups90!$H$4:$H$999,"",0))/2+_xlfn.XLOOKUP(E27,lookups90!$B$4:$B$999,lookups90!$I$4:$I$999,"",0)-_xlfn.XLOOKUP(E27,lookups90!$B$4:$B$999,lookups90!$BE$4:$BE$999,"",0), E27="Fix Slide Slide Fix Door - with Screen",(K27-_xlfn.XLOOKUP(E27,lookups90!$B$4:$B$999,lookups90!$F$4:$F$999,"",0)-_xlfn.XLOOKUP(E27,lookups90!$B$4:$B$999,lookups90!$G$4:$G$999,"",0)+_xlfn.XLOOKUP(E27,lookups90!$B$4:$B$999,lookups90!$H$4:$H$999,"",0)+_xlfn.XLOOKUP(E27,lookups90!$B$4:$B$999,lookups90!$H$4:$H$999,"",0))/4+_xlfn.XLOOKUP(E27,lookups90!$B$4:$B$999,lookups90!$I$4:$I$999,"",0)-_xlfn.XLOOKUP(E27,lookups90!$B$4:$B$999,lookups90!$BE$4:$BE$999,"",0))</f>
        <v/>
      </c>
      <c r="BS27" s="20" t="str">
        <f>IFERROR(IF(_xlfn.XLOOKUP(E27,lookups90!$B$4:$B$999,lookups90!$BG$4:$BG$999,"",0)=0,"",D27*_xlfn.XLOOKUP(E27,lookups90!$B$4:$B$999,lookups90!$BG$4:$BG$999,"",0)),"")</f>
        <v/>
      </c>
      <c r="BU27" s="20" t="str">
        <f>IF(AG27&lt;&gt;"",AG27-_xlfn.XLOOKUP(E27,lookups90!$B$4:$B$999,lookups90!$BA$4:$BA$999,"",0),"")</f>
        <v/>
      </c>
      <c r="BV27" s="20" t="str">
        <f>IFERROR(IF(_xlfn.XLOOKUP(E27,lookups90!$B$4:$B$999,lookups90!$BH$4:$BH$999,"",0)=0,"",D27*_xlfn.XLOOKUP(E27,lookups90!$B$4:$B$999,lookups90!$BH$4:$BH$999,"",0)),"")</f>
        <v/>
      </c>
      <c r="BW27" s="20" t="str" cm="1">
        <f t="array" ref="BW27">_xlfn.IFS(BU27="","",OR(E27="Fix Slide Window",E27="Slide Slide Window"),(K27-_xlfn.XLOOKUP(E27,lookups90!$B$4:$B$999,lookups90!$F$4:$F$999,"",0)-_xlfn.XLOOKUP(E27,lookups90!$B$4:$B$999,lookups90!$G$4:$G$999,"",0)+_xlfn.XLOOKUP(E27,lookups90!$B$4:$B$999,lookups90!$H$4:$H$999,"",0))/2+_xlfn.XLOOKUP(E27,lookups90!$B$4:$B$999,lookups90!$I$4:$I$999,"",0)-_xlfn.XLOOKUP(E27,lookups90!$B$4:$B$999,lookups90!$BA$4:$BA$999,"",0), E27="Fix Slide Slide Fix Window",(K27-_xlfn.XLOOKUP(E27,lookups90!$B$4:$B$999,lookups90!$F$4:$F$999,"",0)-_xlfn.XLOOKUP(E27,lookups90!$B$4:$B$999,lookups90!$G$4:$G$999,"",0)+_xlfn.XLOOKUP(E27,lookups90!$B$4:$B$999,lookups90!$H$4:$H$999,"",0)+_xlfn.XLOOKUP(E27,lookups90!$B$4:$B$999,lookups90!$H$4:$H$999,"",0))/4+_xlfn.XLOOKUP(E27,lookups90!$B$4:$B$999,lookups90!$I$4:$I$999,"",0)-_xlfn.XLOOKUP(E27,lookups90!$B$4:$B$999,lookups90!$BA$4:$BA$999,"",0))</f>
        <v/>
      </c>
      <c r="BX27" s="20" t="str">
        <f>IFERROR(IF(_xlfn.XLOOKUP(E27,lookups90!$B$4:$B$999,lookups90!$BI$4:$BI$999,"",0)=0,"",D27*_xlfn.XLOOKUP(E27,lookups90!$B$4:$B$999,lookups90!$BI$4:$BI$999,"",0)),"")</f>
        <v/>
      </c>
      <c r="BZ27" s="20" t="str">
        <f>IF(AL27&lt;&gt;"", AL27-_xlfn.XLOOKUP(E27,lookups90!$B$4:$B$999,lookups90!$BJ$4:$BJ$999,"",0),"")</f>
        <v/>
      </c>
      <c r="CA27" s="20" t="str">
        <f>IFERROR(IF(_xlfn.XLOOKUP(E27,lookups90!$B$4:$B$999,lookups90!$BK$4:$BK$999,"",0)=0,"",D27*_xlfn.XLOOKUP(E27,lookups90!$B$4:$B$999,lookups90!$BK$4:$BK$999,"",0)),"")</f>
        <v/>
      </c>
      <c r="CC27" s="20" t="str">
        <f>IF(C27&lt;&gt;"", T27-_xlfn.XLOOKUP(E27,lookups90!$B$4:$B$999,lookups90!$BO$4:$BO$999,"",0)-_xlfn.XLOOKUP(E27,lookups90!$B$4:$B$999,lookups90!$BP$4:$BP$999,"",0),"")</f>
        <v/>
      </c>
      <c r="CD27" s="20" t="str">
        <f>IF(C27&lt;&gt;"", X27-_xlfn.XLOOKUP(E27,lookups90!$B$4:$B$999,lookups90!$BQ$4:$BQ$999,"",0)-_xlfn.XLOOKUP(E27,lookups90!$B$4:$B$999,lookups90!$BR$4:$BR$999,"",0),"")</f>
        <v/>
      </c>
      <c r="CE27" s="20" t="str">
        <f>IFERROR(IF(_xlfn.XLOOKUP(E27,lookups90!$B$4:$B$999,lookups90!$BS$4:$BS$999,"",0)=0,"",D27*_xlfn.XLOOKUP(E27,lookups90!$B$4:$B$999,lookups90!$BS$4:$BS$999,"",0)),"")</f>
        <v/>
      </c>
      <c r="CF27" s="20" t="str">
        <f>IF(V27&lt;&gt;"", V27-_xlfn.XLOOKUP(E27,lookups90!$B$4:$B$999,lookups90!$BO$4:$BO$999,"",0)-_xlfn.XLOOKUP(E27,lookups90!$B$4:$B$999,lookups90!$BP$4:$BP$999,"",0),"")</f>
        <v/>
      </c>
      <c r="CG27" s="20" t="str">
        <f>IF(CF27&lt;&gt;"", X27-_xlfn.XLOOKUP(E27,lookups90!$B$4:$B$999,lookups90!$BQ$4:$BQ$999,"",0)-_xlfn.XLOOKUP(E27,lookups90!$B$4:$B$999,lookups90!$BR$4:$BR$999,"",0),"")</f>
        <v/>
      </c>
      <c r="CH27" s="20" t="str">
        <f>IFERROR(IF(_xlfn.XLOOKUP(E27,lookups90!$B$4:$B$999,lookups90!$BT$4:$BT$999,"",0)=0,"",D27*_xlfn.XLOOKUP(E27,lookups90!$B$4:$B$999,lookups90!$BT$4:$BT$999,"",0)),"")</f>
        <v/>
      </c>
      <c r="CJ27" s="22" t="str">
        <f t="shared" si="5"/>
        <v/>
      </c>
      <c r="CL27" s="22" t="str" cm="1">
        <f t="array" ref="CL27">IF(D27&lt;&gt;"",((((J27+K27)*2)/500)+(2*_xlfn.IFS(OR(E27="Fix Slide Window", E27="Slide Slide Window", E27="Fix Slide Slide Fix Window"), 2, E27="Slide Slide Door - with Screen", 8, E27&lt;&gt;"",4)))*D27,"")</f>
        <v/>
      </c>
      <c r="CM27" s="22" t="str">
        <f t="shared" si="6"/>
        <v/>
      </c>
      <c r="CN27" s="22" t="str">
        <f t="shared" si="7"/>
        <v/>
      </c>
      <c r="CO27" s="22" t="str">
        <f t="shared" si="8"/>
        <v/>
      </c>
      <c r="CP27" s="22" t="str">
        <f t="shared" si="0"/>
        <v/>
      </c>
    </row>
    <row r="28" spans="3:94" x14ac:dyDescent="0.25">
      <c r="C28" s="16"/>
      <c r="D28" s="16"/>
      <c r="E28" s="16"/>
      <c r="F28" s="16"/>
      <c r="G28" s="16"/>
      <c r="H28" s="16"/>
      <c r="I28" s="16"/>
      <c r="J28" s="16"/>
      <c r="K28" s="16"/>
      <c r="M28" s="20" t="str">
        <f t="shared" si="1"/>
        <v/>
      </c>
      <c r="N28" s="20" t="str" cm="1">
        <f t="array" ref="N28">IFERROR(_xlfn.IFS(OR(E28="Fix Awning (Vertical)", E28="Fix Awning (Horizontal)"), J28/2+20,C28&lt;&gt;"", J28+M28),"")</f>
        <v/>
      </c>
      <c r="O28" s="20" t="str">
        <f t="shared" si="2"/>
        <v/>
      </c>
      <c r="P28" s="20" t="str">
        <f t="shared" si="3"/>
        <v/>
      </c>
      <c r="Q28" s="20" t="str">
        <f t="shared" si="4"/>
        <v/>
      </c>
      <c r="S28" s="20" t="str">
        <f>IF(C28&lt;&gt;"", _xlfn.XLOOKUP(E28,lookups90!$B$4:$B$999,lookups90!$C$4:$C$999,"",0),"")</f>
        <v/>
      </c>
      <c r="T28" s="20" t="str">
        <f>IF(C28&lt;&gt;"", J28-_xlfn.XLOOKUP(E28,lookups90!$B$4:$B$999,lookups90!$D$4:$D$999, "",0),"")</f>
        <v/>
      </c>
      <c r="U28" s="20" t="str">
        <f>IF(T28&lt;&gt;"",D28*_xlfn.XLOOKUP(E28,lookups90!$B$4:$B$999,lookups90!$J$4:$J$999, "",0),"")</f>
        <v/>
      </c>
      <c r="V28" s="20" t="str">
        <f>IF(AND(C28&lt;&gt;"", E28&lt;&gt;"Slide Slide Window", E28&lt;&gt;"Slide Slide Door", E28&lt;&gt;"Slide Slide Door - with Screen"), J28-_xlfn.XLOOKUP(E28,lookups90!$B$4:$B$999,lookups90!$E$4:$E$999, "",0),"")</f>
        <v/>
      </c>
      <c r="W28" s="20" t="str">
        <f>IF(V28&lt;&gt;"",D28*_xlfn.XLOOKUP(E28,lookups90!$B$4:$B$999,lookups90!$K$4:$K$999, "",0),"")</f>
        <v/>
      </c>
      <c r="X28" s="20" t="str" cm="1">
        <f t="array" ref="X28">IFERROR(_xlfn.IFS(OR(E28="Fix Slide Window", E28="Slide Slide Window", E28="Fix Slide Door", E28="Slide Slide Door", E28="Fix Slide Door - with Screen", E28="Slide Slide Door - with Screen"), (K28-_xlfn.XLOOKUP(E28,lookups90!$B$4:$B$999,lookups90!$F$4:$F$999, "",0)-_xlfn.XLOOKUP(E28,lookups90!$B$4:$B$999,lookups90!$G$4:$G$999, "",0)+_xlfn.XLOOKUP(E28,lookups90!$B$4:$B$999,lookups90!$H$4:$H$999, "",0))/2+_xlfn.XLOOKUP(E28,lookups90!$B$4:$B$999,lookups90!$I$4:$I$999, "",0), OR(E28="Fix Slide Slide Fix Window", E28="Fix Slide Slide Fix Door - with Screen", E28="Fix Slide Slide Fix Door"),  (K28-_xlfn.XLOOKUP(E28,lookups90!$B$4:$B$999,lookups90!$F$4:$F$999, "",0)-_xlfn.XLOOKUP(E28,lookups90!$B$4:$B$999,lookups90!$G$4:$G$999, "",0)+_xlfn.XLOOKUP(E28,lookups90!$B$4:$B$999,lookups90!$H$4:$H$999, "",0)+_xlfn.XLOOKUP(E28,lookups90!$B$4:$B$999,lookups90!$H$4:$H$999, "",0))/4+_xlfn.XLOOKUP(E28,lookups90!$B$4:$B$999,lookups90!$I$4:$I$999, "",0), E28="Fix Slide Slide Door", (K28-_xlfn.XLOOKUP(E28,lookups90!$B$4:$B$999,lookups90!$F$4:$F$999, "",0)-_xlfn.XLOOKUP(E28,lookups90!$B$4:$B$999,lookups90!$G$4:$G$999, "",0)+_xlfn.XLOOKUP(E28,lookups90!$B$4:$B$999,lookups90!$H$4:$H$999, "",0)+_xlfn.XLOOKUP(E28,lookups90!$B$4:$B$999,lookups90!$H$4:$H$999, "",0))/3+_xlfn.XLOOKUP(E28,lookups90!$B$4:$B$999,lookups90!$I$4:$I$999, "",0),E28="Fix Slide Slide Slide Slide Fix Dr",  (K28-_xlfn.XLOOKUP(E28,lookups90!$B$4:$B$999,lookups90!$F$4:$F$999, "",0)-_xlfn.XLOOKUP(E28,lookups90!$B$4:$B$999,lookups90!$G$4:$G$999, "",0)+_xlfn.XLOOKUP(E28,lookups90!$B$4:$B$999,lookups90!$H$4:$H$999, "",0)+_xlfn.XLOOKUP(E28,lookups90!$B$4:$B$999,lookups90!$H$4:$H$999, "",0)+_xlfn.XLOOKUP(E28,lookups90!$B$4:$B$999,lookups90!$H$4:$H$999, "",0)+_xlfn.XLOOKUP(E28,lookups90!$B$4:$B$999,lookups90!$H$4:$H$999, "",0))/6+_xlfn.XLOOKUP(E28,lookups90!$B$4:$B$999,lookups90!$I$4:$I$999, "",0), E28="Fix Slide Slide Slide Slide Slide Slide Fix Dr",  (K28-_xlfn.XLOOKUP(E28,lookups90!$B$4:$B$999,lookups90!$F$4:$F$999, "",0)-_xlfn.XLOOKUP(E28,lookups90!$B$4:$B$999,lookups90!$G$4:$G$999, "",0)+_xlfn.XLOOKUP(E28,lookups90!$B$4:$B$999,lookups90!$H$4:$H$999, "",0)+_xlfn.XLOOKUP(E28,lookups90!$B$4:$B$999,lookups90!$H$4:$H$999, "",0)+_xlfn.XLOOKUP(E28,lookups90!$B$4:$B$999,lookups90!$H$4:$H$999, "",0)+_xlfn.XLOOKUP(E28,lookups90!$B$4:$B$999,lookups90!$H$4:$H$999, "",0)+_xlfn.XLOOKUP(E28,lookups90!$B$4:$B$999,lookups90!$H$4:$H$999, "",0)+_xlfn.XLOOKUP(E28,lookups90!$B$4:$B$999,lookups90!$H$4:$H$999, "",0))/8+_xlfn.XLOOKUP(E28,lookups90!$B$4:$B$999,lookups90!$I$4:$I$999, "",0)),"")</f>
        <v/>
      </c>
      <c r="Y28" s="20" t="str">
        <f>IF(X28&lt;&gt;"",D28*_xlfn.XLOOKUP(E28,lookups90!$B$4:$B$999,lookups90!$L$4:$L$999, "",0),"")</f>
        <v/>
      </c>
      <c r="AA28" s="20" t="str">
        <f>IF(C28&lt;&gt;"", IF(_xlfn.XLOOKUP(E28,lookups90!$B$4:$B$999,lookups90!$P$4:$P$999,"",0)=0,"",_xlfn.XLOOKUP(E28,lookups90!$B$4:$B$999,lookups90!$P$4:$P$999,"",0)),"")</f>
        <v/>
      </c>
      <c r="AB28" s="20" t="str">
        <f>IF(AA28&lt;&gt;"", J28-_xlfn.XLOOKUP(E28,lookups90!$B$4:$B$999,lookups90!$D$4:$D$999, "",0),"")</f>
        <v/>
      </c>
      <c r="AC28" s="20" t="str">
        <f>IF(AA28&lt;&gt;"",D28*_xlfn.XLOOKUP(E28,lookups90!$B$4:$B$999,lookups90!$Q$4:$Q$999, "",0),"")</f>
        <v/>
      </c>
      <c r="AD28" s="20" t="str" cm="1">
        <f t="array" ref="AD28">IF(AA28&lt;&gt;"", _xlfn.IFS(OR(E28="Fix Slide Window", E28="Slide Slide Window", E28="Fix Slide Door", E28="Slide Slide Door", E28="Fix Slide Door - with Screen", E28="Slide Slide Door - with Screen"), (K28-_xlfn.XLOOKUP(E28,lookups90!$B$4:$B$999,lookups90!$F$4:$F$999, "",0)-_xlfn.XLOOKUP(E28,lookups90!$B$4:$B$999,lookups90!$G$4:$G$999, "",0)+_xlfn.XLOOKUP(E28,lookups90!$B$4:$B$999,lookups90!$H$4:$H$999, "",0))/2+_xlfn.XLOOKUP(E28,lookups90!$B$4:$B$999,lookups90!$I$4:$I$999, "",0), OR(E28="Fix Slide Slide Fix Window", E28="Fix Slide Slide Fix Door - with Screen", E28="Fix Slide Slide Fix Door"),  (K28-_xlfn.XLOOKUP(E28,lookups90!$B$4:$B$999,lookups90!$F$4:$F$999, "",0)-_xlfn.XLOOKUP(E28,lookups90!$B$4:$B$999,lookups90!$G$4:$G$999, "",0)+_xlfn.XLOOKUP(E28,lookups90!$B$4:$B$999,lookups90!$H$4:$H$999, "",0)+_xlfn.XLOOKUP(E28,lookups90!$B$4:$B$999,lookups90!$H$4:$H$999, "",0))/4+_xlfn.XLOOKUP(E28,lookups90!$B$4:$B$999,lookups90!$I$4:$I$999, "",0), E28="Fix Slide Slide Door", (K28-_xlfn.XLOOKUP(E28,lookups90!$B$4:$B$999,lookups90!$F$4:$F$999, "",0)-_xlfn.XLOOKUP(E28,lookups90!$B$4:$B$999,lookups90!$G$4:$G$999, "",0)+_xlfn.XLOOKUP(E28,lookups90!$B$4:$B$999,lookups90!$H$4:$H$999, "",0)+_xlfn.XLOOKUP(E28,lookups90!$B$4:$B$999,lookups90!$H$4:$H$999, "",0))/3+_xlfn.XLOOKUP(E28,lookups90!$B$4:$B$999,lookups90!$I$4:$I$999, "",0) ),"")</f>
        <v/>
      </c>
      <c r="AE28" s="20" t="str">
        <f>IF(AA28&lt;&gt;"",D28*_xlfn.XLOOKUP(E28,lookups90!$B$4:$B$999,lookups90!$R$4:$R$999, "",0),"")</f>
        <v/>
      </c>
      <c r="AG28" s="20" t="str">
        <f>IF(AH28&lt;&gt;"", J28-_xlfn.XLOOKUP(E28,lookups90!$B$4:$B$999,lookups90!$D$4:$D$999, "",0),"")</f>
        <v/>
      </c>
      <c r="AH28" s="20" t="str">
        <f>IF(_xlfn.XLOOKUP(E28,lookups90!$B$4:$B$999,lookups90!$V$4:$V$999,"",0)=0,"",D28*_xlfn.XLOOKUP(E28,lookups90!$B$4:$B$999,lookups90!$V$4:$V$999,"",0))</f>
        <v/>
      </c>
      <c r="AI28" s="20" t="str" cm="1">
        <f t="array" ref="AI28">IF(AH28&lt;&gt;"", _xlfn.IFS(OR(E28="Fix Slide Window", E28="Slide Slide Window"), (K28-_xlfn.XLOOKUP(E28,lookups90!$B$4:$B$999,lookups90!$F$4:$F$999, "",0)-_xlfn.XLOOKUP(E28,lookups90!$B$4:$B$999,lookups90!$G$4:$G$999, "",0)+_xlfn.XLOOKUP(E28,lookups90!$B$4:$B$999,lookups90!$H$4:$H$999, "",0))/2+_xlfn.XLOOKUP(E28,lookups90!$B$4:$B$999,lookups90!$I$4:$I$999, "",0), OR(E28="Fix Slide Slide Fix Window"),  (K28-_xlfn.XLOOKUP(E28,lookups90!$B$4:$B$999,lookups90!$F$4:$F$999, "",0)+_xlfn.XLOOKUP(E28,lookups90!$B$4:$B$999,lookups90!$H$4:$H$999, "",0)+_xlfn.XLOOKUP(E28,lookups90!$B$4:$B$999,lookups90!$H$4:$H$999, "",0))/4+_xlfn.XLOOKUP(E28,lookups90!$B$4:$B$999,lookups90!$I$4:$I$999, "",0)),"")</f>
        <v/>
      </c>
      <c r="AJ28" s="20" t="str">
        <f>IF(_xlfn.XLOOKUP(E28,lookups90!$B$4:$B$999,lookups90!$V$4:$V$999,"",0)=0,"",D28*_xlfn.XLOOKUP(E28,lookups90!$B$4:$B$999,lookups90!$W$4:$W$999,"",0))</f>
        <v/>
      </c>
      <c r="AL28" s="20" t="str" cm="1">
        <f t="array" ref="AL28">IF(AM28&lt;&gt;"", _xlfn.IFS(OR(E28="Fix Slide Door - with Screen", E28="Slide Slide Door - with Screen"), (K28-_xlfn.XLOOKUP(E28,lookups90!$B$4:$B$999,lookups90!$F$4:$F$999, "",0)-_xlfn.XLOOKUP(E28,lookups90!$B$4:$B$999,lookups90!$G$4:$G$999, "",0)+_xlfn.XLOOKUP(E28,lookups90!$B$4:$B$999,lookups90!$H$4:$H$999, "",0))/2+_xlfn.XLOOKUP(E28,lookups90!$B$4:$B$999,lookups90!$I$4:$I$999, "",0), OR( E28="Fix Slide Slide Fix Door - with Screen",  E28="Fix Slide Slide Door"),  (K28-_xlfn.XLOOKUP(E28,lookups90!$B$4:$B$999,lookups90!$F$4:$F$999, "",0)-_xlfn.XLOOKUP(E28,lookups90!$B$4:$B$999,lookups90!$G$4:$G$999, "",0)+_xlfn.XLOOKUP(E28,lookups90!$B$4:$B$999,lookups90!$H$4:$H$999, "",0)+_xlfn.XLOOKUP(E28,lookups90!$B$4:$B$999,lookups90!$H$4:$H$999, "",0))/4+_xlfn.XLOOKUP(E28,lookups90!$B$4:$B$999,lookups90!$I$4:$I$999, "",0)),"")</f>
        <v/>
      </c>
      <c r="AM28" s="20" t="str">
        <f>IF(_xlfn.XLOOKUP(E28,lookups90!$B$4:$B$999,lookups90!$AA$4:$AA$999,"",0)=0,"",D28*_xlfn.XLOOKUP(E28,lookups90!$B$4:$B$999,lookups90!$AA$4:$AA$999,"",0))</f>
        <v/>
      </c>
      <c r="AO28" s="20" t="str">
        <f>IFERROR(IF(C28&lt;&gt;"", T28-_xlfn.XLOOKUP(E28,lookups90!$B$4:$B$999,lookups90!$AE$4:$AE$999, "",0),""),"")</f>
        <v/>
      </c>
      <c r="AP28" s="20" t="str">
        <f>IF(_xlfn.XLOOKUP(E28,lookups90!$B$4:$B$999,lookups90!$AG$4:$AG$999,"",0)=0,"",D28*_xlfn.XLOOKUP(E28,lookups90!$B$4:$B$999,lookups90!$AG$4:$AG$999,"",0))</f>
        <v/>
      </c>
      <c r="AQ28" s="20" t="str">
        <f>IF(V28&lt;&gt;"", T28-_xlfn.XLOOKUP(E28,lookups90!$B$4:$B$999,lookups90!$AE$4:$AE$999, "",0)+_xlfn.XLOOKUP(E28,lookups90!$B$4:$B$999,lookups90!$AF$4:$AF$999, "",0),"")</f>
        <v/>
      </c>
      <c r="AR28" s="20" t="str">
        <f>IFERROR(IF(_xlfn.XLOOKUP(E28,lookups90!$B$4:$B$999,lookups90!$AH$4:$AH$999,"",0)=0,"",D28*_xlfn.XLOOKUP(E28,lookups90!$B$4:$B$999,lookups90!$AH$4:$AH$999,"",0)),"")</f>
        <v/>
      </c>
      <c r="AT28" s="20" t="str">
        <f>IF(OR(E28="Fix Slide Slide Fix Window", E28="Fix Slide Slide Fix Door", E28="Fix Slide Slide Fix Door - with Screen", E28="Fix Slide Slide Door"), T28-_xlfn.XLOOKUP(E28,lookups90!$B$4:$B$999,lookups90!$AE$4:$AE$999,"",0),"")</f>
        <v/>
      </c>
      <c r="AU28" s="20" t="str">
        <f>IFERROR(IF(_xlfn.XLOOKUP(E28,lookups90!$B$4:$B$999,lookups90!$AL$4:$AL$999,"",0)=0,"",D28*_xlfn.XLOOKUP(E28,lookups90!$B$4:$B$999,lookups90!$AL$4:$AL$999,"",0)),"")</f>
        <v/>
      </c>
      <c r="AW28" s="20" t="str">
        <f>IF(C28&lt;&gt;"", T28-_xlfn.XLOOKUP(E28,lookups90!$B$4:$B$999,lookups90!$AP$4:$AP$999,"",0),"")</f>
        <v/>
      </c>
      <c r="AX28" s="20" t="str">
        <f>IFERROR(IF(_xlfn.XLOOKUP(E28,lookups90!$B$4:$B$999,lookups90!$AR$4:$AR$999,"",0)=0,"",D28*_xlfn.XLOOKUP(E28,lookups90!$B$4:$B$999,lookups90!$AR$4:$AR$999,"",0)),"")</f>
        <v/>
      </c>
      <c r="AY28" s="24" t="str">
        <f>IF(V28&lt;&gt;"", V28-_xlfn.XLOOKUP(E28,lookups90!$B$4:$B$999,lookups90!$AP$4:$AP$999,"",0),"")</f>
        <v/>
      </c>
      <c r="AZ28" s="20" t="str">
        <f>IFERROR(IF(_xlfn.XLOOKUP(E28,lookups90!$B$4:$B$999,lookups90!$AS$4:$AS$999,"",0)=0,"",D28*_xlfn.XLOOKUP(E28,lookups90!$B$4:$B$999,lookups90!$AS$4:$AS$999,"",0)),"")</f>
        <v/>
      </c>
      <c r="BA28" s="20" t="str">
        <f>IF(X28&lt;&gt;"", X28-_xlfn.XLOOKUP(E28,lookups90!$B$4:$B$999,lookups90!$AQ$4:$AQ$999,"",0),"")</f>
        <v/>
      </c>
      <c r="BB28" s="20" t="str">
        <f>IFERROR(IF(_xlfn.XLOOKUP(E28,lookups90!$B$4:$B$999,lookups90!$AT$4:$AT$999,"",0)=0,"",D28*_xlfn.XLOOKUP(E28,lookups90!$B$4:$B$999,lookups90!$AT$4:$AT$999,"",0)),"")</f>
        <v/>
      </c>
      <c r="BD28" s="20" t="str">
        <f>IF(C28&lt;&gt;"", N28-_xlfn.XLOOKUP(E28,lookups90!$B$4:$B$999,lookups90!$AX$4:$AX$999,"",0)+M28,"")</f>
        <v/>
      </c>
      <c r="BE28" s="20" t="str">
        <f>IFERROR(IF(_xlfn.XLOOKUP(E28,lookups90!$B$4:$B$999,lookups90!$AY$4:$AY$999,"",0)=0,"",D28*_xlfn.XLOOKUP(E28,lookups90!$B$4:$B$999,lookups90!$AY$4:$AY$999,"",0)),"")</f>
        <v/>
      </c>
      <c r="BF28" s="20" t="str">
        <f>IF(C28&lt;&gt;"", P28-_xlfn.XLOOKUP(E28,lookups90!$B$4:$B$999,lookups90!$AX$4:$AX$999,"",0)+M28,"")</f>
        <v/>
      </c>
      <c r="BG28" s="20" t="str">
        <f>IFERROR(IF(_xlfn.XLOOKUP(E28,lookups90!$B$4:$B$999,lookups90!$AZ$4:$AZ$999,"",0)=0,"",D28*_xlfn.XLOOKUP(E28,lookups90!$B$4:$B$999,lookups90!$AZ$4:$AZ$999,"",0)),"")</f>
        <v/>
      </c>
      <c r="BI28" s="20" t="str">
        <f>IF(C28&lt;&gt;"", T28-_xlfn.XLOOKUP(E28,lookups90!$B$4:$B$999,lookups90!$BA$4:$BA$999,"",0),"")</f>
        <v/>
      </c>
      <c r="BJ28" s="20" t="str">
        <f>IFERROR(IF(_xlfn.XLOOKUP(E28,lookups90!$B$4:$B$999,lookups90!$BB$4:$BB$999,"",0)=0,"",D28*_xlfn.XLOOKUP(E28,lookups90!$B$4:$B$999,lookups90!$BB$4:$BB$999,"",0)),"")</f>
        <v/>
      </c>
      <c r="BK28" s="20" t="str">
        <f>IF(V28&lt;&gt;"", V28-_xlfn.XLOOKUP(E28,lookups90!$B$4:$B$999,lookups90!$BA$4:$BA$999,"",0),"")</f>
        <v/>
      </c>
      <c r="BL28" s="20" t="str">
        <f>IFERROR(IF(_xlfn.XLOOKUP(E28,lookups90!$B$4:$B$999,lookups90!$BC$4:$BC$999,"",0)=0,"",D28*_xlfn.XLOOKUP(E28,lookups90!$B$4:$B$999,lookups90!$BC$4:$BC$999,"",0)),"")</f>
        <v/>
      </c>
      <c r="BM28" s="20" t="str">
        <f>IF(C28&lt;&gt;"", X28-_xlfn.XLOOKUP(E28,lookups90!$B$4:$B$999,lookups90!$BA$4:$BA$999,"",0),"")</f>
        <v/>
      </c>
      <c r="BN28" s="20" t="str">
        <f>IFERROR(IF(_xlfn.XLOOKUP(E28,lookups90!$B$4:$B$999,lookups90!$BD$4:$BD$999,"",0)=0,"",D28*_xlfn.XLOOKUP(E28,lookups90!$B$4:$B$999,lookups90!$BD$4:$BD$999,"",0)),"")</f>
        <v/>
      </c>
      <c r="BP28" s="20" t="str">
        <f>IF(AB28&lt;&gt;"", AB28-_xlfn.XLOOKUP(E28,lookups90!$B$4:$B$999,lookups90!$BE$4:$BE$999,"",0),"")</f>
        <v/>
      </c>
      <c r="BQ28" s="20" t="str">
        <f>IFERROR(IF(_xlfn.XLOOKUP(E28,lookups90!$B$4:$B$999,lookups90!$BF$4:$BF$999,"",0)=0,"",D28*_xlfn.XLOOKUP(E28,lookups90!$B$4:$B$999,lookups90!$BF$4:$BF$999,"",0)),"")</f>
        <v/>
      </c>
      <c r="BR28" s="20" t="str" cm="1">
        <f t="array" ref="BR28">_xlfn.IFS(BP28="","",OR(E28="Fix Slide Door - with Screen",E28="Slide Slide Door - with Screen"),(K28-_xlfn.XLOOKUP(E28,lookups90!$B$4:$B$999,lookups90!$F$4:$F$999,"",0)-_xlfn.XLOOKUP(E28,lookups90!$B$4:$B$999,lookups90!$G$4:$G$999,"",0)+_xlfn.XLOOKUP(E28,lookups90!$B$4:$B$999,lookups90!$H$4:$H$999,"",0))/2+_xlfn.XLOOKUP(E28,lookups90!$B$4:$B$999,lookups90!$I$4:$I$999,"",0)-_xlfn.XLOOKUP(E28,lookups90!$B$4:$B$999,lookups90!$BE$4:$BE$999,"",0), E28="Fix Slide Slide Fix Door - with Screen",(K28-_xlfn.XLOOKUP(E28,lookups90!$B$4:$B$999,lookups90!$F$4:$F$999,"",0)-_xlfn.XLOOKUP(E28,lookups90!$B$4:$B$999,lookups90!$G$4:$G$999,"",0)+_xlfn.XLOOKUP(E28,lookups90!$B$4:$B$999,lookups90!$H$4:$H$999,"",0)+_xlfn.XLOOKUP(E28,lookups90!$B$4:$B$999,lookups90!$H$4:$H$999,"",0))/4+_xlfn.XLOOKUP(E28,lookups90!$B$4:$B$999,lookups90!$I$4:$I$999,"",0)-_xlfn.XLOOKUP(E28,lookups90!$B$4:$B$999,lookups90!$BE$4:$BE$999,"",0))</f>
        <v/>
      </c>
      <c r="BS28" s="20" t="str">
        <f>IFERROR(IF(_xlfn.XLOOKUP(E28,lookups90!$B$4:$B$999,lookups90!$BG$4:$BG$999,"",0)=0,"",D28*_xlfn.XLOOKUP(E28,lookups90!$B$4:$B$999,lookups90!$BG$4:$BG$999,"",0)),"")</f>
        <v/>
      </c>
      <c r="BU28" s="20" t="str">
        <f>IF(AG28&lt;&gt;"",AG28-_xlfn.XLOOKUP(E28,lookups90!$B$4:$B$999,lookups90!$BA$4:$BA$999,"",0),"")</f>
        <v/>
      </c>
      <c r="BV28" s="20" t="str">
        <f>IFERROR(IF(_xlfn.XLOOKUP(E28,lookups90!$B$4:$B$999,lookups90!$BH$4:$BH$999,"",0)=0,"",D28*_xlfn.XLOOKUP(E28,lookups90!$B$4:$B$999,lookups90!$BH$4:$BH$999,"",0)),"")</f>
        <v/>
      </c>
      <c r="BW28" s="20" t="str" cm="1">
        <f t="array" ref="BW28">_xlfn.IFS(BU28="","",OR(E28="Fix Slide Window",E28="Slide Slide Window"),(K28-_xlfn.XLOOKUP(E28,lookups90!$B$4:$B$999,lookups90!$F$4:$F$999,"",0)-_xlfn.XLOOKUP(E28,lookups90!$B$4:$B$999,lookups90!$G$4:$G$999,"",0)+_xlfn.XLOOKUP(E28,lookups90!$B$4:$B$999,lookups90!$H$4:$H$999,"",0))/2+_xlfn.XLOOKUP(E28,lookups90!$B$4:$B$999,lookups90!$I$4:$I$999,"",0)-_xlfn.XLOOKUP(E28,lookups90!$B$4:$B$999,lookups90!$BA$4:$BA$999,"",0), E28="Fix Slide Slide Fix Window",(K28-_xlfn.XLOOKUP(E28,lookups90!$B$4:$B$999,lookups90!$F$4:$F$999,"",0)-_xlfn.XLOOKUP(E28,lookups90!$B$4:$B$999,lookups90!$G$4:$G$999,"",0)+_xlfn.XLOOKUP(E28,lookups90!$B$4:$B$999,lookups90!$H$4:$H$999,"",0)+_xlfn.XLOOKUP(E28,lookups90!$B$4:$B$999,lookups90!$H$4:$H$999,"",0))/4+_xlfn.XLOOKUP(E28,lookups90!$B$4:$B$999,lookups90!$I$4:$I$999,"",0)-_xlfn.XLOOKUP(E28,lookups90!$B$4:$B$999,lookups90!$BA$4:$BA$999,"",0))</f>
        <v/>
      </c>
      <c r="BX28" s="20" t="str">
        <f>IFERROR(IF(_xlfn.XLOOKUP(E28,lookups90!$B$4:$B$999,lookups90!$BI$4:$BI$999,"",0)=0,"",D28*_xlfn.XLOOKUP(E28,lookups90!$B$4:$B$999,lookups90!$BI$4:$BI$999,"",0)),"")</f>
        <v/>
      </c>
      <c r="BZ28" s="20" t="str">
        <f>IF(AL28&lt;&gt;"", AL28-_xlfn.XLOOKUP(E28,lookups90!$B$4:$B$999,lookups90!$BJ$4:$BJ$999,"",0),"")</f>
        <v/>
      </c>
      <c r="CA28" s="20" t="str">
        <f>IFERROR(IF(_xlfn.XLOOKUP(E28,lookups90!$B$4:$B$999,lookups90!$BK$4:$BK$999,"",0)=0,"",D28*_xlfn.XLOOKUP(E28,lookups90!$B$4:$B$999,lookups90!$BK$4:$BK$999,"",0)),"")</f>
        <v/>
      </c>
      <c r="CC28" s="20" t="str">
        <f>IF(C28&lt;&gt;"", T28-_xlfn.XLOOKUP(E28,lookups90!$B$4:$B$999,lookups90!$BO$4:$BO$999,"",0)-_xlfn.XLOOKUP(E28,lookups90!$B$4:$B$999,lookups90!$BP$4:$BP$999,"",0),"")</f>
        <v/>
      </c>
      <c r="CD28" s="20" t="str">
        <f>IF(C28&lt;&gt;"", X28-_xlfn.XLOOKUP(E28,lookups90!$B$4:$B$999,lookups90!$BQ$4:$BQ$999,"",0)-_xlfn.XLOOKUP(E28,lookups90!$B$4:$B$999,lookups90!$BR$4:$BR$999,"",0),"")</f>
        <v/>
      </c>
      <c r="CE28" s="20" t="str">
        <f>IFERROR(IF(_xlfn.XLOOKUP(E28,lookups90!$B$4:$B$999,lookups90!$BS$4:$BS$999,"",0)=0,"",D28*_xlfn.XLOOKUP(E28,lookups90!$B$4:$B$999,lookups90!$BS$4:$BS$999,"",0)),"")</f>
        <v/>
      </c>
      <c r="CF28" s="20" t="str">
        <f>IF(V28&lt;&gt;"", V28-_xlfn.XLOOKUP(E28,lookups90!$B$4:$B$999,lookups90!$BO$4:$BO$999,"",0)-_xlfn.XLOOKUP(E28,lookups90!$B$4:$B$999,lookups90!$BP$4:$BP$999,"",0),"")</f>
        <v/>
      </c>
      <c r="CG28" s="20" t="str">
        <f>IF(CF28&lt;&gt;"", X28-_xlfn.XLOOKUP(E28,lookups90!$B$4:$B$999,lookups90!$BQ$4:$BQ$999,"",0)-_xlfn.XLOOKUP(E28,lookups90!$B$4:$B$999,lookups90!$BR$4:$BR$999,"",0),"")</f>
        <v/>
      </c>
      <c r="CH28" s="20" t="str">
        <f>IFERROR(IF(_xlfn.XLOOKUP(E28,lookups90!$B$4:$B$999,lookups90!$BT$4:$BT$999,"",0)=0,"",D28*_xlfn.XLOOKUP(E28,lookups90!$B$4:$B$999,lookups90!$BT$4:$BT$999,"",0)),"")</f>
        <v/>
      </c>
      <c r="CJ28" s="22" t="str">
        <f t="shared" si="5"/>
        <v/>
      </c>
      <c r="CL28" s="22" t="str" cm="1">
        <f t="array" ref="CL28">IF(D28&lt;&gt;"",((((J28+K28)*2)/500)+(2*_xlfn.IFS(OR(E28="Fix Slide Window", E28="Slide Slide Window", E28="Fix Slide Slide Fix Window"), 2, E28="Slide Slide Door - with Screen", 8, E28&lt;&gt;"",4)))*D28,"")</f>
        <v/>
      </c>
      <c r="CM28" s="22" t="str">
        <f t="shared" si="6"/>
        <v/>
      </c>
      <c r="CN28" s="22" t="str">
        <f t="shared" si="7"/>
        <v/>
      </c>
      <c r="CO28" s="22" t="str">
        <f t="shared" si="8"/>
        <v/>
      </c>
      <c r="CP28" s="22" t="str">
        <f t="shared" si="0"/>
        <v/>
      </c>
    </row>
    <row r="29" spans="3:94" x14ac:dyDescent="0.25">
      <c r="C29" s="16"/>
      <c r="D29" s="16"/>
      <c r="E29" s="16"/>
      <c r="F29" s="16"/>
      <c r="G29" s="16"/>
      <c r="H29" s="16"/>
      <c r="I29" s="16"/>
      <c r="J29" s="16"/>
      <c r="K29" s="16"/>
      <c r="M29" s="20" t="str">
        <f t="shared" si="1"/>
        <v/>
      </c>
      <c r="N29" s="20" t="str" cm="1">
        <f t="array" ref="N29">IFERROR(_xlfn.IFS(OR(E29="Fix Awning (Vertical)", E29="Fix Awning (Horizontal)"), J29/2+20,C29&lt;&gt;"", J29+M29),"")</f>
        <v/>
      </c>
      <c r="O29" s="20" t="str">
        <f t="shared" si="2"/>
        <v/>
      </c>
      <c r="P29" s="20" t="str">
        <f t="shared" si="3"/>
        <v/>
      </c>
      <c r="Q29" s="20" t="str">
        <f t="shared" si="4"/>
        <v/>
      </c>
      <c r="S29" s="20" t="str">
        <f>IF(C29&lt;&gt;"", _xlfn.XLOOKUP(E29,lookups90!$B$4:$B$999,lookups90!$C$4:$C$999,"",0),"")</f>
        <v/>
      </c>
      <c r="T29" s="20" t="str">
        <f>IF(C29&lt;&gt;"", J29-_xlfn.XLOOKUP(E29,lookups90!$B$4:$B$999,lookups90!$D$4:$D$999, "",0),"")</f>
        <v/>
      </c>
      <c r="U29" s="20" t="str">
        <f>IF(T29&lt;&gt;"",D29*_xlfn.XLOOKUP(E29,lookups90!$B$4:$B$999,lookups90!$J$4:$J$999, "",0),"")</f>
        <v/>
      </c>
      <c r="V29" s="20" t="str">
        <f>IF(AND(C29&lt;&gt;"", E29&lt;&gt;"Slide Slide Window", E29&lt;&gt;"Slide Slide Door", E29&lt;&gt;"Slide Slide Door - with Screen"), J29-_xlfn.XLOOKUP(E29,lookups90!$B$4:$B$999,lookups90!$E$4:$E$999, "",0),"")</f>
        <v/>
      </c>
      <c r="W29" s="20" t="str">
        <f>IF(V29&lt;&gt;"",D29*_xlfn.XLOOKUP(E29,lookups90!$B$4:$B$999,lookups90!$K$4:$K$999, "",0),"")</f>
        <v/>
      </c>
      <c r="X29" s="20" t="str" cm="1">
        <f t="array" ref="X29">IFERROR(_xlfn.IFS(OR(E29="Fix Slide Window", E29="Slide Slide Window", E29="Fix Slide Door", E29="Slide Slide Door", E29="Fix Slide Door - with Screen", E29="Slide Slide Door - with Screen"), (K29-_xlfn.XLOOKUP(E29,lookups90!$B$4:$B$999,lookups90!$F$4:$F$999, "",0)-_xlfn.XLOOKUP(E29,lookups90!$B$4:$B$999,lookups90!$G$4:$G$999, "",0)+_xlfn.XLOOKUP(E29,lookups90!$B$4:$B$999,lookups90!$H$4:$H$999, "",0))/2+_xlfn.XLOOKUP(E29,lookups90!$B$4:$B$999,lookups90!$I$4:$I$999, "",0), OR(E29="Fix Slide Slide Fix Window", E29="Fix Slide Slide Fix Door - with Screen", E29="Fix Slide Slide Fix Door"),  (K29-_xlfn.XLOOKUP(E29,lookups90!$B$4:$B$999,lookups90!$F$4:$F$999, "",0)-_xlfn.XLOOKUP(E29,lookups90!$B$4:$B$999,lookups90!$G$4:$G$999, "",0)+_xlfn.XLOOKUP(E29,lookups90!$B$4:$B$999,lookups90!$H$4:$H$999, "",0)+_xlfn.XLOOKUP(E29,lookups90!$B$4:$B$999,lookups90!$H$4:$H$999, "",0))/4+_xlfn.XLOOKUP(E29,lookups90!$B$4:$B$999,lookups90!$I$4:$I$999, "",0), E29="Fix Slide Slide Door", (K29-_xlfn.XLOOKUP(E29,lookups90!$B$4:$B$999,lookups90!$F$4:$F$999, "",0)-_xlfn.XLOOKUP(E29,lookups90!$B$4:$B$999,lookups90!$G$4:$G$999, "",0)+_xlfn.XLOOKUP(E29,lookups90!$B$4:$B$999,lookups90!$H$4:$H$999, "",0)+_xlfn.XLOOKUP(E29,lookups90!$B$4:$B$999,lookups90!$H$4:$H$999, "",0))/3+_xlfn.XLOOKUP(E29,lookups90!$B$4:$B$999,lookups90!$I$4:$I$999, "",0),E29="Fix Slide Slide Slide Slide Fix Dr",  (K29-_xlfn.XLOOKUP(E29,lookups90!$B$4:$B$999,lookups90!$F$4:$F$999, "",0)-_xlfn.XLOOKUP(E29,lookups90!$B$4:$B$999,lookups90!$G$4:$G$999, "",0)+_xlfn.XLOOKUP(E29,lookups90!$B$4:$B$999,lookups90!$H$4:$H$999, "",0)+_xlfn.XLOOKUP(E29,lookups90!$B$4:$B$999,lookups90!$H$4:$H$999, "",0)+_xlfn.XLOOKUP(E29,lookups90!$B$4:$B$999,lookups90!$H$4:$H$999, "",0)+_xlfn.XLOOKUP(E29,lookups90!$B$4:$B$999,lookups90!$H$4:$H$999, "",0))/6+_xlfn.XLOOKUP(E29,lookups90!$B$4:$B$999,lookups90!$I$4:$I$999, "",0), E29="Fix Slide Slide Slide Slide Slide Slide Fix Dr",  (K29-_xlfn.XLOOKUP(E29,lookups90!$B$4:$B$999,lookups90!$F$4:$F$999, "",0)-_xlfn.XLOOKUP(E29,lookups90!$B$4:$B$999,lookups90!$G$4:$G$999, "",0)+_xlfn.XLOOKUP(E29,lookups90!$B$4:$B$999,lookups90!$H$4:$H$999, "",0)+_xlfn.XLOOKUP(E29,lookups90!$B$4:$B$999,lookups90!$H$4:$H$999, "",0)+_xlfn.XLOOKUP(E29,lookups90!$B$4:$B$999,lookups90!$H$4:$H$999, "",0)+_xlfn.XLOOKUP(E29,lookups90!$B$4:$B$999,lookups90!$H$4:$H$999, "",0)+_xlfn.XLOOKUP(E29,lookups90!$B$4:$B$999,lookups90!$H$4:$H$999, "",0)+_xlfn.XLOOKUP(E29,lookups90!$B$4:$B$999,lookups90!$H$4:$H$999, "",0))/8+_xlfn.XLOOKUP(E29,lookups90!$B$4:$B$999,lookups90!$I$4:$I$999, "",0)),"")</f>
        <v/>
      </c>
      <c r="Y29" s="20" t="str">
        <f>IF(X29&lt;&gt;"",D29*_xlfn.XLOOKUP(E29,lookups90!$B$4:$B$999,lookups90!$L$4:$L$999, "",0),"")</f>
        <v/>
      </c>
      <c r="AA29" s="20" t="str">
        <f>IF(C29&lt;&gt;"", IF(_xlfn.XLOOKUP(E29,lookups90!$B$4:$B$999,lookups90!$P$4:$P$999,"",0)=0,"",_xlfn.XLOOKUP(E29,lookups90!$B$4:$B$999,lookups90!$P$4:$P$999,"",0)),"")</f>
        <v/>
      </c>
      <c r="AB29" s="20" t="str">
        <f>IF(AA29&lt;&gt;"", J29-_xlfn.XLOOKUP(E29,lookups90!$B$4:$B$999,lookups90!$D$4:$D$999, "",0),"")</f>
        <v/>
      </c>
      <c r="AC29" s="20" t="str">
        <f>IF(AA29&lt;&gt;"",D29*_xlfn.XLOOKUP(E29,lookups90!$B$4:$B$999,lookups90!$Q$4:$Q$999, "",0),"")</f>
        <v/>
      </c>
      <c r="AD29" s="20" t="str" cm="1">
        <f t="array" ref="AD29">IF(AA29&lt;&gt;"", _xlfn.IFS(OR(E29="Fix Slide Window", E29="Slide Slide Window", E29="Fix Slide Door", E29="Slide Slide Door", E29="Fix Slide Door - with Screen", E29="Slide Slide Door - with Screen"), (K29-_xlfn.XLOOKUP(E29,lookups90!$B$4:$B$999,lookups90!$F$4:$F$999, "",0)-_xlfn.XLOOKUP(E29,lookups90!$B$4:$B$999,lookups90!$G$4:$G$999, "",0)+_xlfn.XLOOKUP(E29,lookups90!$B$4:$B$999,lookups90!$H$4:$H$999, "",0))/2+_xlfn.XLOOKUP(E29,lookups90!$B$4:$B$999,lookups90!$I$4:$I$999, "",0), OR(E29="Fix Slide Slide Fix Window", E29="Fix Slide Slide Fix Door - with Screen", E29="Fix Slide Slide Fix Door"),  (K29-_xlfn.XLOOKUP(E29,lookups90!$B$4:$B$999,lookups90!$F$4:$F$999, "",0)-_xlfn.XLOOKUP(E29,lookups90!$B$4:$B$999,lookups90!$G$4:$G$999, "",0)+_xlfn.XLOOKUP(E29,lookups90!$B$4:$B$999,lookups90!$H$4:$H$999, "",0)+_xlfn.XLOOKUP(E29,lookups90!$B$4:$B$999,lookups90!$H$4:$H$999, "",0))/4+_xlfn.XLOOKUP(E29,lookups90!$B$4:$B$999,lookups90!$I$4:$I$999, "",0), E29="Fix Slide Slide Door", (K29-_xlfn.XLOOKUP(E29,lookups90!$B$4:$B$999,lookups90!$F$4:$F$999, "",0)-_xlfn.XLOOKUP(E29,lookups90!$B$4:$B$999,lookups90!$G$4:$G$999, "",0)+_xlfn.XLOOKUP(E29,lookups90!$B$4:$B$999,lookups90!$H$4:$H$999, "",0)+_xlfn.XLOOKUP(E29,lookups90!$B$4:$B$999,lookups90!$H$4:$H$999, "",0))/3+_xlfn.XLOOKUP(E29,lookups90!$B$4:$B$999,lookups90!$I$4:$I$999, "",0) ),"")</f>
        <v/>
      </c>
      <c r="AE29" s="20" t="str">
        <f>IF(AA29&lt;&gt;"",D29*_xlfn.XLOOKUP(E29,lookups90!$B$4:$B$999,lookups90!$R$4:$R$999, "",0),"")</f>
        <v/>
      </c>
      <c r="AG29" s="20" t="str">
        <f>IF(AH29&lt;&gt;"", J29-_xlfn.XLOOKUP(E29,lookups90!$B$4:$B$999,lookups90!$D$4:$D$999, "",0),"")</f>
        <v/>
      </c>
      <c r="AH29" s="20" t="str">
        <f>IF(_xlfn.XLOOKUP(E29,lookups90!$B$4:$B$999,lookups90!$V$4:$V$999,"",0)=0,"",D29*_xlfn.XLOOKUP(E29,lookups90!$B$4:$B$999,lookups90!$V$4:$V$999,"",0))</f>
        <v/>
      </c>
      <c r="AI29" s="20" t="str" cm="1">
        <f t="array" ref="AI29">IF(AH29&lt;&gt;"", _xlfn.IFS(OR(E29="Fix Slide Window", E29="Slide Slide Window"), (K29-_xlfn.XLOOKUP(E29,lookups90!$B$4:$B$999,lookups90!$F$4:$F$999, "",0)-_xlfn.XLOOKUP(E29,lookups90!$B$4:$B$999,lookups90!$G$4:$G$999, "",0)+_xlfn.XLOOKUP(E29,lookups90!$B$4:$B$999,lookups90!$H$4:$H$999, "",0))/2+_xlfn.XLOOKUP(E29,lookups90!$B$4:$B$999,lookups90!$I$4:$I$999, "",0), OR(E29="Fix Slide Slide Fix Window"),  (K29-_xlfn.XLOOKUP(E29,lookups90!$B$4:$B$999,lookups90!$F$4:$F$999, "",0)+_xlfn.XLOOKUP(E29,lookups90!$B$4:$B$999,lookups90!$H$4:$H$999, "",0)+_xlfn.XLOOKUP(E29,lookups90!$B$4:$B$999,lookups90!$H$4:$H$999, "",0))/4+_xlfn.XLOOKUP(E29,lookups90!$B$4:$B$999,lookups90!$I$4:$I$999, "",0)),"")</f>
        <v/>
      </c>
      <c r="AJ29" s="20" t="str">
        <f>IF(_xlfn.XLOOKUP(E29,lookups90!$B$4:$B$999,lookups90!$V$4:$V$999,"",0)=0,"",D29*_xlfn.XLOOKUP(E29,lookups90!$B$4:$B$999,lookups90!$W$4:$W$999,"",0))</f>
        <v/>
      </c>
      <c r="AL29" s="20" t="str" cm="1">
        <f t="array" ref="AL29">IF(AM29&lt;&gt;"", _xlfn.IFS(OR(E29="Fix Slide Door - with Screen", E29="Slide Slide Door - with Screen"), (K29-_xlfn.XLOOKUP(E29,lookups90!$B$4:$B$999,lookups90!$F$4:$F$999, "",0)-_xlfn.XLOOKUP(E29,lookups90!$B$4:$B$999,lookups90!$G$4:$G$999, "",0)+_xlfn.XLOOKUP(E29,lookups90!$B$4:$B$999,lookups90!$H$4:$H$999, "",0))/2+_xlfn.XLOOKUP(E29,lookups90!$B$4:$B$999,lookups90!$I$4:$I$999, "",0), OR( E29="Fix Slide Slide Fix Door - with Screen",  E29="Fix Slide Slide Door"),  (K29-_xlfn.XLOOKUP(E29,lookups90!$B$4:$B$999,lookups90!$F$4:$F$999, "",0)-_xlfn.XLOOKUP(E29,lookups90!$B$4:$B$999,lookups90!$G$4:$G$999, "",0)+_xlfn.XLOOKUP(E29,lookups90!$B$4:$B$999,lookups90!$H$4:$H$999, "",0)+_xlfn.XLOOKUP(E29,lookups90!$B$4:$B$999,lookups90!$H$4:$H$999, "",0))/4+_xlfn.XLOOKUP(E29,lookups90!$B$4:$B$999,lookups90!$I$4:$I$999, "",0)),"")</f>
        <v/>
      </c>
      <c r="AM29" s="20" t="str">
        <f>IF(_xlfn.XLOOKUP(E29,lookups90!$B$4:$B$999,lookups90!$AA$4:$AA$999,"",0)=0,"",D29*_xlfn.XLOOKUP(E29,lookups90!$B$4:$B$999,lookups90!$AA$4:$AA$999,"",0))</f>
        <v/>
      </c>
      <c r="AO29" s="20" t="str">
        <f>IFERROR(IF(C29&lt;&gt;"", T29-_xlfn.XLOOKUP(E29,lookups90!$B$4:$B$999,lookups90!$AE$4:$AE$999, "",0),""),"")</f>
        <v/>
      </c>
      <c r="AP29" s="20" t="str">
        <f>IF(_xlfn.XLOOKUP(E29,lookups90!$B$4:$B$999,lookups90!$AG$4:$AG$999,"",0)=0,"",D29*_xlfn.XLOOKUP(E29,lookups90!$B$4:$B$999,lookups90!$AG$4:$AG$999,"",0))</f>
        <v/>
      </c>
      <c r="AQ29" s="20" t="str">
        <f>IF(V29&lt;&gt;"", T29-_xlfn.XLOOKUP(E29,lookups90!$B$4:$B$999,lookups90!$AE$4:$AE$999, "",0)+_xlfn.XLOOKUP(E29,lookups90!$B$4:$B$999,lookups90!$AF$4:$AF$999, "",0),"")</f>
        <v/>
      </c>
      <c r="AR29" s="20" t="str">
        <f>IFERROR(IF(_xlfn.XLOOKUP(E29,lookups90!$B$4:$B$999,lookups90!$AH$4:$AH$999,"",0)=0,"",D29*_xlfn.XLOOKUP(E29,lookups90!$B$4:$B$999,lookups90!$AH$4:$AH$999,"",0)),"")</f>
        <v/>
      </c>
      <c r="AT29" s="20" t="str">
        <f>IF(OR(E29="Fix Slide Slide Fix Window", E29="Fix Slide Slide Fix Door", E29="Fix Slide Slide Fix Door - with Screen", E29="Fix Slide Slide Door"), T29-_xlfn.XLOOKUP(E29,lookups90!$B$4:$B$999,lookups90!$AE$4:$AE$999,"",0),"")</f>
        <v/>
      </c>
      <c r="AU29" s="20" t="str">
        <f>IFERROR(IF(_xlfn.XLOOKUP(E29,lookups90!$B$4:$B$999,lookups90!$AL$4:$AL$999,"",0)=0,"",D29*_xlfn.XLOOKUP(E29,lookups90!$B$4:$B$999,lookups90!$AL$4:$AL$999,"",0)),"")</f>
        <v/>
      </c>
      <c r="AW29" s="20" t="str">
        <f>IF(C29&lt;&gt;"", T29-_xlfn.XLOOKUP(E29,lookups90!$B$4:$B$999,lookups90!$AP$4:$AP$999,"",0),"")</f>
        <v/>
      </c>
      <c r="AX29" s="20" t="str">
        <f>IFERROR(IF(_xlfn.XLOOKUP(E29,lookups90!$B$4:$B$999,lookups90!$AR$4:$AR$999,"",0)=0,"",D29*_xlfn.XLOOKUP(E29,lookups90!$B$4:$B$999,lookups90!$AR$4:$AR$999,"",0)),"")</f>
        <v/>
      </c>
      <c r="AY29" s="24" t="str">
        <f>IF(V29&lt;&gt;"", V29-_xlfn.XLOOKUP(E29,lookups90!$B$4:$B$999,lookups90!$AP$4:$AP$999,"",0),"")</f>
        <v/>
      </c>
      <c r="AZ29" s="20" t="str">
        <f>IFERROR(IF(_xlfn.XLOOKUP(E29,lookups90!$B$4:$B$999,lookups90!$AS$4:$AS$999,"",0)=0,"",D29*_xlfn.XLOOKUP(E29,lookups90!$B$4:$B$999,lookups90!$AS$4:$AS$999,"",0)),"")</f>
        <v/>
      </c>
      <c r="BA29" s="20" t="str">
        <f>IF(X29&lt;&gt;"", X29-_xlfn.XLOOKUP(E29,lookups90!$B$4:$B$999,lookups90!$AQ$4:$AQ$999,"",0),"")</f>
        <v/>
      </c>
      <c r="BB29" s="20" t="str">
        <f>IFERROR(IF(_xlfn.XLOOKUP(E29,lookups90!$B$4:$B$999,lookups90!$AT$4:$AT$999,"",0)=0,"",D29*_xlfn.XLOOKUP(E29,lookups90!$B$4:$B$999,lookups90!$AT$4:$AT$999,"",0)),"")</f>
        <v/>
      </c>
      <c r="BD29" s="20" t="str">
        <f>IF(C29&lt;&gt;"", N29-_xlfn.XLOOKUP(E29,lookups90!$B$4:$B$999,lookups90!$AX$4:$AX$999,"",0)+M29,"")</f>
        <v/>
      </c>
      <c r="BE29" s="20" t="str">
        <f>IFERROR(IF(_xlfn.XLOOKUP(E29,lookups90!$B$4:$B$999,lookups90!$AY$4:$AY$999,"",0)=0,"",D29*_xlfn.XLOOKUP(E29,lookups90!$B$4:$B$999,lookups90!$AY$4:$AY$999,"",0)),"")</f>
        <v/>
      </c>
      <c r="BF29" s="20" t="str">
        <f>IF(C29&lt;&gt;"", P29-_xlfn.XLOOKUP(E29,lookups90!$B$4:$B$999,lookups90!$AX$4:$AX$999,"",0)+M29,"")</f>
        <v/>
      </c>
      <c r="BG29" s="20" t="str">
        <f>IFERROR(IF(_xlfn.XLOOKUP(E29,lookups90!$B$4:$B$999,lookups90!$AZ$4:$AZ$999,"",0)=0,"",D29*_xlfn.XLOOKUP(E29,lookups90!$B$4:$B$999,lookups90!$AZ$4:$AZ$999,"",0)),"")</f>
        <v/>
      </c>
      <c r="BI29" s="20" t="str">
        <f>IF(C29&lt;&gt;"", T29-_xlfn.XLOOKUP(E29,lookups90!$B$4:$B$999,lookups90!$BA$4:$BA$999,"",0),"")</f>
        <v/>
      </c>
      <c r="BJ29" s="20" t="str">
        <f>IFERROR(IF(_xlfn.XLOOKUP(E29,lookups90!$B$4:$B$999,lookups90!$BB$4:$BB$999,"",0)=0,"",D29*_xlfn.XLOOKUP(E29,lookups90!$B$4:$B$999,lookups90!$BB$4:$BB$999,"",0)),"")</f>
        <v/>
      </c>
      <c r="BK29" s="20" t="str">
        <f>IF(V29&lt;&gt;"", V29-_xlfn.XLOOKUP(E29,lookups90!$B$4:$B$999,lookups90!$BA$4:$BA$999,"",0),"")</f>
        <v/>
      </c>
      <c r="BL29" s="20" t="str">
        <f>IFERROR(IF(_xlfn.XLOOKUP(E29,lookups90!$B$4:$B$999,lookups90!$BC$4:$BC$999,"",0)=0,"",D29*_xlfn.XLOOKUP(E29,lookups90!$B$4:$B$999,lookups90!$BC$4:$BC$999,"",0)),"")</f>
        <v/>
      </c>
      <c r="BM29" s="20" t="str">
        <f>IF(C29&lt;&gt;"", X29-_xlfn.XLOOKUP(E29,lookups90!$B$4:$B$999,lookups90!$BA$4:$BA$999,"",0),"")</f>
        <v/>
      </c>
      <c r="BN29" s="20" t="str">
        <f>IFERROR(IF(_xlfn.XLOOKUP(E29,lookups90!$B$4:$B$999,lookups90!$BD$4:$BD$999,"",0)=0,"",D29*_xlfn.XLOOKUP(E29,lookups90!$B$4:$B$999,lookups90!$BD$4:$BD$999,"",0)),"")</f>
        <v/>
      </c>
      <c r="BP29" s="20" t="str">
        <f>IF(AB29&lt;&gt;"", AB29-_xlfn.XLOOKUP(E29,lookups90!$B$4:$B$999,lookups90!$BE$4:$BE$999,"",0),"")</f>
        <v/>
      </c>
      <c r="BQ29" s="20" t="str">
        <f>IFERROR(IF(_xlfn.XLOOKUP(E29,lookups90!$B$4:$B$999,lookups90!$BF$4:$BF$999,"",0)=0,"",D29*_xlfn.XLOOKUP(E29,lookups90!$B$4:$B$999,lookups90!$BF$4:$BF$999,"",0)),"")</f>
        <v/>
      </c>
      <c r="BR29" s="20" t="str" cm="1">
        <f t="array" ref="BR29">_xlfn.IFS(BP29="","",OR(E29="Fix Slide Door - with Screen",E29="Slide Slide Door - with Screen"),(K29-_xlfn.XLOOKUP(E29,lookups90!$B$4:$B$999,lookups90!$F$4:$F$999,"",0)-_xlfn.XLOOKUP(E29,lookups90!$B$4:$B$999,lookups90!$G$4:$G$999,"",0)+_xlfn.XLOOKUP(E29,lookups90!$B$4:$B$999,lookups90!$H$4:$H$999,"",0))/2+_xlfn.XLOOKUP(E29,lookups90!$B$4:$B$999,lookups90!$I$4:$I$999,"",0)-_xlfn.XLOOKUP(E29,lookups90!$B$4:$B$999,lookups90!$BE$4:$BE$999,"",0), E29="Fix Slide Slide Fix Door - with Screen",(K29-_xlfn.XLOOKUP(E29,lookups90!$B$4:$B$999,lookups90!$F$4:$F$999,"",0)-_xlfn.XLOOKUP(E29,lookups90!$B$4:$B$999,lookups90!$G$4:$G$999,"",0)+_xlfn.XLOOKUP(E29,lookups90!$B$4:$B$999,lookups90!$H$4:$H$999,"",0)+_xlfn.XLOOKUP(E29,lookups90!$B$4:$B$999,lookups90!$H$4:$H$999,"",0))/4+_xlfn.XLOOKUP(E29,lookups90!$B$4:$B$999,lookups90!$I$4:$I$999,"",0)-_xlfn.XLOOKUP(E29,lookups90!$B$4:$B$999,lookups90!$BE$4:$BE$999,"",0))</f>
        <v/>
      </c>
      <c r="BS29" s="20" t="str">
        <f>IFERROR(IF(_xlfn.XLOOKUP(E29,lookups90!$B$4:$B$999,lookups90!$BG$4:$BG$999,"",0)=0,"",D29*_xlfn.XLOOKUP(E29,lookups90!$B$4:$B$999,lookups90!$BG$4:$BG$999,"",0)),"")</f>
        <v/>
      </c>
      <c r="BU29" s="20" t="str">
        <f>IF(AG29&lt;&gt;"",AG29-_xlfn.XLOOKUP(E29,lookups90!$B$4:$B$999,lookups90!$BA$4:$BA$999,"",0),"")</f>
        <v/>
      </c>
      <c r="BV29" s="20" t="str">
        <f>IFERROR(IF(_xlfn.XLOOKUP(E29,lookups90!$B$4:$B$999,lookups90!$BH$4:$BH$999,"",0)=0,"",D29*_xlfn.XLOOKUP(E29,lookups90!$B$4:$B$999,lookups90!$BH$4:$BH$999,"",0)),"")</f>
        <v/>
      </c>
      <c r="BW29" s="20" t="str" cm="1">
        <f t="array" ref="BW29">_xlfn.IFS(BU29="","",OR(E29="Fix Slide Window",E29="Slide Slide Window"),(K29-_xlfn.XLOOKUP(E29,lookups90!$B$4:$B$999,lookups90!$F$4:$F$999,"",0)-_xlfn.XLOOKUP(E29,lookups90!$B$4:$B$999,lookups90!$G$4:$G$999,"",0)+_xlfn.XLOOKUP(E29,lookups90!$B$4:$B$999,lookups90!$H$4:$H$999,"",0))/2+_xlfn.XLOOKUP(E29,lookups90!$B$4:$B$999,lookups90!$I$4:$I$999,"",0)-_xlfn.XLOOKUP(E29,lookups90!$B$4:$B$999,lookups90!$BA$4:$BA$999,"",0), E29="Fix Slide Slide Fix Window",(K29-_xlfn.XLOOKUP(E29,lookups90!$B$4:$B$999,lookups90!$F$4:$F$999,"",0)-_xlfn.XLOOKUP(E29,lookups90!$B$4:$B$999,lookups90!$G$4:$G$999,"",0)+_xlfn.XLOOKUP(E29,lookups90!$B$4:$B$999,lookups90!$H$4:$H$999,"",0)+_xlfn.XLOOKUP(E29,lookups90!$B$4:$B$999,lookups90!$H$4:$H$999,"",0))/4+_xlfn.XLOOKUP(E29,lookups90!$B$4:$B$999,lookups90!$I$4:$I$999,"",0)-_xlfn.XLOOKUP(E29,lookups90!$B$4:$B$999,lookups90!$BA$4:$BA$999,"",0))</f>
        <v/>
      </c>
      <c r="BX29" s="20" t="str">
        <f>IFERROR(IF(_xlfn.XLOOKUP(E29,lookups90!$B$4:$B$999,lookups90!$BI$4:$BI$999,"",0)=0,"",D29*_xlfn.XLOOKUP(E29,lookups90!$B$4:$B$999,lookups90!$BI$4:$BI$999,"",0)),"")</f>
        <v/>
      </c>
      <c r="BZ29" s="20" t="str">
        <f>IF(AL29&lt;&gt;"", AL29-_xlfn.XLOOKUP(E29,lookups90!$B$4:$B$999,lookups90!$BJ$4:$BJ$999,"",0),"")</f>
        <v/>
      </c>
      <c r="CA29" s="20" t="str">
        <f>IFERROR(IF(_xlfn.XLOOKUP(E29,lookups90!$B$4:$B$999,lookups90!$BK$4:$BK$999,"",0)=0,"",D29*_xlfn.XLOOKUP(E29,lookups90!$B$4:$B$999,lookups90!$BK$4:$BK$999,"",0)),"")</f>
        <v/>
      </c>
      <c r="CC29" s="20" t="str">
        <f>IF(C29&lt;&gt;"", T29-_xlfn.XLOOKUP(E29,lookups90!$B$4:$B$999,lookups90!$BO$4:$BO$999,"",0)-_xlfn.XLOOKUP(E29,lookups90!$B$4:$B$999,lookups90!$BP$4:$BP$999,"",0),"")</f>
        <v/>
      </c>
      <c r="CD29" s="20" t="str">
        <f>IF(C29&lt;&gt;"", X29-_xlfn.XLOOKUP(E29,lookups90!$B$4:$B$999,lookups90!$BQ$4:$BQ$999,"",0)-_xlfn.XLOOKUP(E29,lookups90!$B$4:$B$999,lookups90!$BR$4:$BR$999,"",0),"")</f>
        <v/>
      </c>
      <c r="CE29" s="20" t="str">
        <f>IFERROR(IF(_xlfn.XLOOKUP(E29,lookups90!$B$4:$B$999,lookups90!$BS$4:$BS$999,"",0)=0,"",D29*_xlfn.XLOOKUP(E29,lookups90!$B$4:$B$999,lookups90!$BS$4:$BS$999,"",0)),"")</f>
        <v/>
      </c>
      <c r="CF29" s="20" t="str">
        <f>IF(V29&lt;&gt;"", V29-_xlfn.XLOOKUP(E29,lookups90!$B$4:$B$999,lookups90!$BO$4:$BO$999,"",0)-_xlfn.XLOOKUP(E29,lookups90!$B$4:$B$999,lookups90!$BP$4:$BP$999,"",0),"")</f>
        <v/>
      </c>
      <c r="CG29" s="20" t="str">
        <f>IF(CF29&lt;&gt;"", X29-_xlfn.XLOOKUP(E29,lookups90!$B$4:$B$999,lookups90!$BQ$4:$BQ$999,"",0)-_xlfn.XLOOKUP(E29,lookups90!$B$4:$B$999,lookups90!$BR$4:$BR$999,"",0),"")</f>
        <v/>
      </c>
      <c r="CH29" s="20" t="str">
        <f>IFERROR(IF(_xlfn.XLOOKUP(E29,lookups90!$B$4:$B$999,lookups90!$BT$4:$BT$999,"",0)=0,"",D29*_xlfn.XLOOKUP(E29,lookups90!$B$4:$B$999,lookups90!$BT$4:$BT$999,"",0)),"")</f>
        <v/>
      </c>
      <c r="CJ29" s="22" t="str">
        <f t="shared" si="5"/>
        <v/>
      </c>
      <c r="CL29" s="22" t="str" cm="1">
        <f t="array" ref="CL29">IF(D29&lt;&gt;"",((((J29+K29)*2)/500)+(2*_xlfn.IFS(OR(E29="Fix Slide Window", E29="Slide Slide Window", E29="Fix Slide Slide Fix Window"), 2, E29="Slide Slide Door - with Screen", 8, E29&lt;&gt;"",4)))*D29,"")</f>
        <v/>
      </c>
      <c r="CM29" s="22" t="str">
        <f t="shared" si="6"/>
        <v/>
      </c>
      <c r="CN29" s="22" t="str">
        <f t="shared" si="7"/>
        <v/>
      </c>
      <c r="CO29" s="22" t="str">
        <f t="shared" si="8"/>
        <v/>
      </c>
      <c r="CP29" s="22" t="str">
        <f t="shared" si="0"/>
        <v/>
      </c>
    </row>
    <row r="30" spans="3:94" x14ac:dyDescent="0.25">
      <c r="C30" s="16"/>
      <c r="D30" s="16"/>
      <c r="E30" s="16"/>
      <c r="F30" s="16"/>
      <c r="G30" s="16"/>
      <c r="H30" s="16"/>
      <c r="I30" s="16"/>
      <c r="J30" s="16"/>
      <c r="K30" s="16"/>
      <c r="M30" s="20" t="str">
        <f t="shared" si="1"/>
        <v/>
      </c>
      <c r="N30" s="20" t="str" cm="1">
        <f t="array" ref="N30">IFERROR(_xlfn.IFS(OR(E30="Fix Awning (Vertical)", E30="Fix Awning (Horizontal)"), J30/2+20,C30&lt;&gt;"", J30+M30),"")</f>
        <v/>
      </c>
      <c r="O30" s="20" t="str">
        <f t="shared" si="2"/>
        <v/>
      </c>
      <c r="P30" s="20" t="str">
        <f t="shared" si="3"/>
        <v/>
      </c>
      <c r="Q30" s="20" t="str">
        <f t="shared" si="4"/>
        <v/>
      </c>
      <c r="S30" s="20" t="str">
        <f>IF(C30&lt;&gt;"", _xlfn.XLOOKUP(E30,lookups90!$B$4:$B$999,lookups90!$C$4:$C$999,"",0),"")</f>
        <v/>
      </c>
      <c r="T30" s="20" t="str">
        <f>IF(C30&lt;&gt;"", J30-_xlfn.XLOOKUP(E30,lookups90!$B$4:$B$999,lookups90!$D$4:$D$999, "",0),"")</f>
        <v/>
      </c>
      <c r="U30" s="20" t="str">
        <f>IF(T30&lt;&gt;"",D30*_xlfn.XLOOKUP(E30,lookups90!$B$4:$B$999,lookups90!$J$4:$J$999, "",0),"")</f>
        <v/>
      </c>
      <c r="V30" s="20" t="str">
        <f>IF(AND(C30&lt;&gt;"", E30&lt;&gt;"Slide Slide Window", E30&lt;&gt;"Slide Slide Door", E30&lt;&gt;"Slide Slide Door - with Screen"), J30-_xlfn.XLOOKUP(E30,lookups90!$B$4:$B$999,lookups90!$E$4:$E$999, "",0),"")</f>
        <v/>
      </c>
      <c r="W30" s="20" t="str">
        <f>IF(V30&lt;&gt;"",D30*_xlfn.XLOOKUP(E30,lookups90!$B$4:$B$999,lookups90!$K$4:$K$999, "",0),"")</f>
        <v/>
      </c>
      <c r="X30" s="20" t="str" cm="1">
        <f t="array" ref="X30">IFERROR(_xlfn.IFS(OR(E30="Fix Slide Window", E30="Slide Slide Window", E30="Fix Slide Door", E30="Slide Slide Door", E30="Fix Slide Door - with Screen", E30="Slide Slide Door - with Screen"), (K30-_xlfn.XLOOKUP(E30,lookups90!$B$4:$B$999,lookups90!$F$4:$F$999, "",0)-_xlfn.XLOOKUP(E30,lookups90!$B$4:$B$999,lookups90!$G$4:$G$999, "",0)+_xlfn.XLOOKUP(E30,lookups90!$B$4:$B$999,lookups90!$H$4:$H$999, "",0))/2+_xlfn.XLOOKUP(E30,lookups90!$B$4:$B$999,lookups90!$I$4:$I$999, "",0), OR(E30="Fix Slide Slide Fix Window", E30="Fix Slide Slide Fix Door - with Screen", E30="Fix Slide Slide Fix Door"),  (K30-_xlfn.XLOOKUP(E30,lookups90!$B$4:$B$999,lookups90!$F$4:$F$999, "",0)-_xlfn.XLOOKUP(E30,lookups90!$B$4:$B$999,lookups90!$G$4:$G$999, "",0)+_xlfn.XLOOKUP(E30,lookups90!$B$4:$B$999,lookups90!$H$4:$H$999, "",0)+_xlfn.XLOOKUP(E30,lookups90!$B$4:$B$999,lookups90!$H$4:$H$999, "",0))/4+_xlfn.XLOOKUP(E30,lookups90!$B$4:$B$999,lookups90!$I$4:$I$999, "",0), E30="Fix Slide Slide Door", (K30-_xlfn.XLOOKUP(E30,lookups90!$B$4:$B$999,lookups90!$F$4:$F$999, "",0)-_xlfn.XLOOKUP(E30,lookups90!$B$4:$B$999,lookups90!$G$4:$G$999, "",0)+_xlfn.XLOOKUP(E30,lookups90!$B$4:$B$999,lookups90!$H$4:$H$999, "",0)+_xlfn.XLOOKUP(E30,lookups90!$B$4:$B$999,lookups90!$H$4:$H$999, "",0))/3+_xlfn.XLOOKUP(E30,lookups90!$B$4:$B$999,lookups90!$I$4:$I$999, "",0),E30="Fix Slide Slide Slide Slide Fix Dr",  (K30-_xlfn.XLOOKUP(E30,lookups90!$B$4:$B$999,lookups90!$F$4:$F$999, "",0)-_xlfn.XLOOKUP(E30,lookups90!$B$4:$B$999,lookups90!$G$4:$G$999, "",0)+_xlfn.XLOOKUP(E30,lookups90!$B$4:$B$999,lookups90!$H$4:$H$999, "",0)+_xlfn.XLOOKUP(E30,lookups90!$B$4:$B$999,lookups90!$H$4:$H$999, "",0)+_xlfn.XLOOKUP(E30,lookups90!$B$4:$B$999,lookups90!$H$4:$H$999, "",0)+_xlfn.XLOOKUP(E30,lookups90!$B$4:$B$999,lookups90!$H$4:$H$999, "",0))/6+_xlfn.XLOOKUP(E30,lookups90!$B$4:$B$999,lookups90!$I$4:$I$999, "",0), E30="Fix Slide Slide Slide Slide Slide Slide Fix Dr",  (K30-_xlfn.XLOOKUP(E30,lookups90!$B$4:$B$999,lookups90!$F$4:$F$999, "",0)-_xlfn.XLOOKUP(E30,lookups90!$B$4:$B$999,lookups90!$G$4:$G$999, "",0)+_xlfn.XLOOKUP(E30,lookups90!$B$4:$B$999,lookups90!$H$4:$H$999, "",0)+_xlfn.XLOOKUP(E30,lookups90!$B$4:$B$999,lookups90!$H$4:$H$999, "",0)+_xlfn.XLOOKUP(E30,lookups90!$B$4:$B$999,lookups90!$H$4:$H$999, "",0)+_xlfn.XLOOKUP(E30,lookups90!$B$4:$B$999,lookups90!$H$4:$H$999, "",0)+_xlfn.XLOOKUP(E30,lookups90!$B$4:$B$999,lookups90!$H$4:$H$999, "",0)+_xlfn.XLOOKUP(E30,lookups90!$B$4:$B$999,lookups90!$H$4:$H$999, "",0))/8+_xlfn.XLOOKUP(E30,lookups90!$B$4:$B$999,lookups90!$I$4:$I$999, "",0)),"")</f>
        <v/>
      </c>
      <c r="Y30" s="20" t="str">
        <f>IF(X30&lt;&gt;"",D30*_xlfn.XLOOKUP(E30,lookups90!$B$4:$B$999,lookups90!$L$4:$L$999, "",0),"")</f>
        <v/>
      </c>
      <c r="AA30" s="20" t="str">
        <f>IF(C30&lt;&gt;"", IF(_xlfn.XLOOKUP(E30,lookups90!$B$4:$B$999,lookups90!$P$4:$P$999,"",0)=0,"",_xlfn.XLOOKUP(E30,lookups90!$B$4:$B$999,lookups90!$P$4:$P$999,"",0)),"")</f>
        <v/>
      </c>
      <c r="AB30" s="20" t="str">
        <f>IF(AA30&lt;&gt;"", J30-_xlfn.XLOOKUP(E30,lookups90!$B$4:$B$999,lookups90!$D$4:$D$999, "",0),"")</f>
        <v/>
      </c>
      <c r="AC30" s="20" t="str">
        <f>IF(AA30&lt;&gt;"",D30*_xlfn.XLOOKUP(E30,lookups90!$B$4:$B$999,lookups90!$Q$4:$Q$999, "",0),"")</f>
        <v/>
      </c>
      <c r="AD30" s="20" t="str" cm="1">
        <f t="array" ref="AD30">IF(AA30&lt;&gt;"", _xlfn.IFS(OR(E30="Fix Slide Window", E30="Slide Slide Window", E30="Fix Slide Door", E30="Slide Slide Door", E30="Fix Slide Door - with Screen", E30="Slide Slide Door - with Screen"), (K30-_xlfn.XLOOKUP(E30,lookups90!$B$4:$B$999,lookups90!$F$4:$F$999, "",0)-_xlfn.XLOOKUP(E30,lookups90!$B$4:$B$999,lookups90!$G$4:$G$999, "",0)+_xlfn.XLOOKUP(E30,lookups90!$B$4:$B$999,lookups90!$H$4:$H$999, "",0))/2+_xlfn.XLOOKUP(E30,lookups90!$B$4:$B$999,lookups90!$I$4:$I$999, "",0), OR(E30="Fix Slide Slide Fix Window", E30="Fix Slide Slide Fix Door - with Screen", E30="Fix Slide Slide Fix Door"),  (K30-_xlfn.XLOOKUP(E30,lookups90!$B$4:$B$999,lookups90!$F$4:$F$999, "",0)-_xlfn.XLOOKUP(E30,lookups90!$B$4:$B$999,lookups90!$G$4:$G$999, "",0)+_xlfn.XLOOKUP(E30,lookups90!$B$4:$B$999,lookups90!$H$4:$H$999, "",0)+_xlfn.XLOOKUP(E30,lookups90!$B$4:$B$999,lookups90!$H$4:$H$999, "",0))/4+_xlfn.XLOOKUP(E30,lookups90!$B$4:$B$999,lookups90!$I$4:$I$999, "",0), E30="Fix Slide Slide Door", (K30-_xlfn.XLOOKUP(E30,lookups90!$B$4:$B$999,lookups90!$F$4:$F$999, "",0)-_xlfn.XLOOKUP(E30,lookups90!$B$4:$B$999,lookups90!$G$4:$G$999, "",0)+_xlfn.XLOOKUP(E30,lookups90!$B$4:$B$999,lookups90!$H$4:$H$999, "",0)+_xlfn.XLOOKUP(E30,lookups90!$B$4:$B$999,lookups90!$H$4:$H$999, "",0))/3+_xlfn.XLOOKUP(E30,lookups90!$B$4:$B$999,lookups90!$I$4:$I$999, "",0) ),"")</f>
        <v/>
      </c>
      <c r="AE30" s="20" t="str">
        <f>IF(AA30&lt;&gt;"",D30*_xlfn.XLOOKUP(E30,lookups90!$B$4:$B$999,lookups90!$R$4:$R$999, "",0),"")</f>
        <v/>
      </c>
      <c r="AG30" s="20" t="str">
        <f>IF(AH30&lt;&gt;"", J30-_xlfn.XLOOKUP(E30,lookups90!$B$4:$B$999,lookups90!$D$4:$D$999, "",0),"")</f>
        <v/>
      </c>
      <c r="AH30" s="20" t="str">
        <f>IF(_xlfn.XLOOKUP(E30,lookups90!$B$4:$B$999,lookups90!$V$4:$V$999,"",0)=0,"",D30*_xlfn.XLOOKUP(E30,lookups90!$B$4:$B$999,lookups90!$V$4:$V$999,"",0))</f>
        <v/>
      </c>
      <c r="AI30" s="20" t="str" cm="1">
        <f t="array" ref="AI30">IF(AH30&lt;&gt;"", _xlfn.IFS(OR(E30="Fix Slide Window", E30="Slide Slide Window"), (K30-_xlfn.XLOOKUP(E30,lookups90!$B$4:$B$999,lookups90!$F$4:$F$999, "",0)-_xlfn.XLOOKUP(E30,lookups90!$B$4:$B$999,lookups90!$G$4:$G$999, "",0)+_xlfn.XLOOKUP(E30,lookups90!$B$4:$B$999,lookups90!$H$4:$H$999, "",0))/2+_xlfn.XLOOKUP(E30,lookups90!$B$4:$B$999,lookups90!$I$4:$I$999, "",0), OR(E30="Fix Slide Slide Fix Window"),  (K30-_xlfn.XLOOKUP(E30,lookups90!$B$4:$B$999,lookups90!$F$4:$F$999, "",0)+_xlfn.XLOOKUP(E30,lookups90!$B$4:$B$999,lookups90!$H$4:$H$999, "",0)+_xlfn.XLOOKUP(E30,lookups90!$B$4:$B$999,lookups90!$H$4:$H$999, "",0))/4+_xlfn.XLOOKUP(E30,lookups90!$B$4:$B$999,lookups90!$I$4:$I$999, "",0)),"")</f>
        <v/>
      </c>
      <c r="AJ30" s="20" t="str">
        <f>IF(_xlfn.XLOOKUP(E30,lookups90!$B$4:$B$999,lookups90!$V$4:$V$999,"",0)=0,"",D30*_xlfn.XLOOKUP(E30,lookups90!$B$4:$B$999,lookups90!$W$4:$W$999,"",0))</f>
        <v/>
      </c>
      <c r="AL30" s="20" t="str" cm="1">
        <f t="array" ref="AL30">IF(AM30&lt;&gt;"", _xlfn.IFS(OR(E30="Fix Slide Door - with Screen", E30="Slide Slide Door - with Screen"), (K30-_xlfn.XLOOKUP(E30,lookups90!$B$4:$B$999,lookups90!$F$4:$F$999, "",0)-_xlfn.XLOOKUP(E30,lookups90!$B$4:$B$999,lookups90!$G$4:$G$999, "",0)+_xlfn.XLOOKUP(E30,lookups90!$B$4:$B$999,lookups90!$H$4:$H$999, "",0))/2+_xlfn.XLOOKUP(E30,lookups90!$B$4:$B$999,lookups90!$I$4:$I$999, "",0), OR( E30="Fix Slide Slide Fix Door - with Screen",  E30="Fix Slide Slide Door"),  (K30-_xlfn.XLOOKUP(E30,lookups90!$B$4:$B$999,lookups90!$F$4:$F$999, "",0)-_xlfn.XLOOKUP(E30,lookups90!$B$4:$B$999,lookups90!$G$4:$G$999, "",0)+_xlfn.XLOOKUP(E30,lookups90!$B$4:$B$999,lookups90!$H$4:$H$999, "",0)+_xlfn.XLOOKUP(E30,lookups90!$B$4:$B$999,lookups90!$H$4:$H$999, "",0))/4+_xlfn.XLOOKUP(E30,lookups90!$B$4:$B$999,lookups90!$I$4:$I$999, "",0)),"")</f>
        <v/>
      </c>
      <c r="AM30" s="20" t="str">
        <f>IF(_xlfn.XLOOKUP(E30,lookups90!$B$4:$B$999,lookups90!$AA$4:$AA$999,"",0)=0,"",D30*_xlfn.XLOOKUP(E30,lookups90!$B$4:$B$999,lookups90!$AA$4:$AA$999,"",0))</f>
        <v/>
      </c>
      <c r="AO30" s="20" t="str">
        <f>IFERROR(IF(C30&lt;&gt;"", T30-_xlfn.XLOOKUP(E30,lookups90!$B$4:$B$999,lookups90!$AE$4:$AE$999, "",0),""),"")</f>
        <v/>
      </c>
      <c r="AP30" s="20" t="str">
        <f>IF(_xlfn.XLOOKUP(E30,lookups90!$B$4:$B$999,lookups90!$AG$4:$AG$999,"",0)=0,"",D30*_xlfn.XLOOKUP(E30,lookups90!$B$4:$B$999,lookups90!$AG$4:$AG$999,"",0))</f>
        <v/>
      </c>
      <c r="AQ30" s="20" t="str">
        <f>IF(V30&lt;&gt;"", T30-_xlfn.XLOOKUP(E30,lookups90!$B$4:$B$999,lookups90!$AE$4:$AE$999, "",0)+_xlfn.XLOOKUP(E30,lookups90!$B$4:$B$999,lookups90!$AF$4:$AF$999, "",0),"")</f>
        <v/>
      </c>
      <c r="AR30" s="20" t="str">
        <f>IFERROR(IF(_xlfn.XLOOKUP(E30,lookups90!$B$4:$B$999,lookups90!$AH$4:$AH$999,"",0)=0,"",D30*_xlfn.XLOOKUP(E30,lookups90!$B$4:$B$999,lookups90!$AH$4:$AH$999,"",0)),"")</f>
        <v/>
      </c>
      <c r="AT30" s="20" t="str">
        <f>IF(OR(E30="Fix Slide Slide Fix Window", E30="Fix Slide Slide Fix Door", E30="Fix Slide Slide Fix Door - with Screen", E30="Fix Slide Slide Door"), T30-_xlfn.XLOOKUP(E30,lookups90!$B$4:$B$999,lookups90!$AE$4:$AE$999,"",0),"")</f>
        <v/>
      </c>
      <c r="AU30" s="20" t="str">
        <f>IFERROR(IF(_xlfn.XLOOKUP(E30,lookups90!$B$4:$B$999,lookups90!$AL$4:$AL$999,"",0)=0,"",D30*_xlfn.XLOOKUP(E30,lookups90!$B$4:$B$999,lookups90!$AL$4:$AL$999,"",0)),"")</f>
        <v/>
      </c>
      <c r="AW30" s="20" t="str">
        <f>IF(C30&lt;&gt;"", T30-_xlfn.XLOOKUP(E30,lookups90!$B$4:$B$999,lookups90!$AP$4:$AP$999,"",0),"")</f>
        <v/>
      </c>
      <c r="AX30" s="20" t="str">
        <f>IFERROR(IF(_xlfn.XLOOKUP(E30,lookups90!$B$4:$B$999,lookups90!$AR$4:$AR$999,"",0)=0,"",D30*_xlfn.XLOOKUP(E30,lookups90!$B$4:$B$999,lookups90!$AR$4:$AR$999,"",0)),"")</f>
        <v/>
      </c>
      <c r="AY30" s="24" t="str">
        <f>IF(V30&lt;&gt;"", V30-_xlfn.XLOOKUP(E30,lookups90!$B$4:$B$999,lookups90!$AP$4:$AP$999,"",0),"")</f>
        <v/>
      </c>
      <c r="AZ30" s="20" t="str">
        <f>IFERROR(IF(_xlfn.XLOOKUP(E30,lookups90!$B$4:$B$999,lookups90!$AS$4:$AS$999,"",0)=0,"",D30*_xlfn.XLOOKUP(E30,lookups90!$B$4:$B$999,lookups90!$AS$4:$AS$999,"",0)),"")</f>
        <v/>
      </c>
      <c r="BA30" s="20" t="str">
        <f>IF(X30&lt;&gt;"", X30-_xlfn.XLOOKUP(E30,lookups90!$B$4:$B$999,lookups90!$AQ$4:$AQ$999,"",0),"")</f>
        <v/>
      </c>
      <c r="BB30" s="20" t="str">
        <f>IFERROR(IF(_xlfn.XLOOKUP(E30,lookups90!$B$4:$B$999,lookups90!$AT$4:$AT$999,"",0)=0,"",D30*_xlfn.XLOOKUP(E30,lookups90!$B$4:$B$999,lookups90!$AT$4:$AT$999,"",0)),"")</f>
        <v/>
      </c>
      <c r="BD30" s="20" t="str">
        <f>IF(C30&lt;&gt;"", N30-_xlfn.XLOOKUP(E30,lookups90!$B$4:$B$999,lookups90!$AX$4:$AX$999,"",0)+M30,"")</f>
        <v/>
      </c>
      <c r="BE30" s="20" t="str">
        <f>IFERROR(IF(_xlfn.XLOOKUP(E30,lookups90!$B$4:$B$999,lookups90!$AY$4:$AY$999,"",0)=0,"",D30*_xlfn.XLOOKUP(E30,lookups90!$B$4:$B$999,lookups90!$AY$4:$AY$999,"",0)),"")</f>
        <v/>
      </c>
      <c r="BF30" s="20" t="str">
        <f>IF(C30&lt;&gt;"", P30-_xlfn.XLOOKUP(E30,lookups90!$B$4:$B$999,lookups90!$AX$4:$AX$999,"",0)+M30,"")</f>
        <v/>
      </c>
      <c r="BG30" s="20" t="str">
        <f>IFERROR(IF(_xlfn.XLOOKUP(E30,lookups90!$B$4:$B$999,lookups90!$AZ$4:$AZ$999,"",0)=0,"",D30*_xlfn.XLOOKUP(E30,lookups90!$B$4:$B$999,lookups90!$AZ$4:$AZ$999,"",0)),"")</f>
        <v/>
      </c>
      <c r="BI30" s="20" t="str">
        <f>IF(C30&lt;&gt;"", T30-_xlfn.XLOOKUP(E30,lookups90!$B$4:$B$999,lookups90!$BA$4:$BA$999,"",0),"")</f>
        <v/>
      </c>
      <c r="BJ30" s="20" t="str">
        <f>IFERROR(IF(_xlfn.XLOOKUP(E30,lookups90!$B$4:$B$999,lookups90!$BB$4:$BB$999,"",0)=0,"",D30*_xlfn.XLOOKUP(E30,lookups90!$B$4:$B$999,lookups90!$BB$4:$BB$999,"",0)),"")</f>
        <v/>
      </c>
      <c r="BK30" s="20" t="str">
        <f>IF(V30&lt;&gt;"", V30-_xlfn.XLOOKUP(E30,lookups90!$B$4:$B$999,lookups90!$BA$4:$BA$999,"",0),"")</f>
        <v/>
      </c>
      <c r="BL30" s="20" t="str">
        <f>IFERROR(IF(_xlfn.XLOOKUP(E30,lookups90!$B$4:$B$999,lookups90!$BC$4:$BC$999,"",0)=0,"",D30*_xlfn.XLOOKUP(E30,lookups90!$B$4:$B$999,lookups90!$BC$4:$BC$999,"",0)),"")</f>
        <v/>
      </c>
      <c r="BM30" s="20" t="str">
        <f>IF(C30&lt;&gt;"", X30-_xlfn.XLOOKUP(E30,lookups90!$B$4:$B$999,lookups90!$BA$4:$BA$999,"",0),"")</f>
        <v/>
      </c>
      <c r="BN30" s="20" t="str">
        <f>IFERROR(IF(_xlfn.XLOOKUP(E30,lookups90!$B$4:$B$999,lookups90!$BD$4:$BD$999,"",0)=0,"",D30*_xlfn.XLOOKUP(E30,lookups90!$B$4:$B$999,lookups90!$BD$4:$BD$999,"",0)),"")</f>
        <v/>
      </c>
      <c r="BP30" s="20" t="str">
        <f>IF(AB30&lt;&gt;"", AB30-_xlfn.XLOOKUP(E30,lookups90!$B$4:$B$999,lookups90!$BE$4:$BE$999,"",0),"")</f>
        <v/>
      </c>
      <c r="BQ30" s="20" t="str">
        <f>IFERROR(IF(_xlfn.XLOOKUP(E30,lookups90!$B$4:$B$999,lookups90!$BF$4:$BF$999,"",0)=0,"",D30*_xlfn.XLOOKUP(E30,lookups90!$B$4:$B$999,lookups90!$BF$4:$BF$999,"",0)),"")</f>
        <v/>
      </c>
      <c r="BR30" s="20" t="str" cm="1">
        <f t="array" ref="BR30">_xlfn.IFS(BP30="","",OR(E30="Fix Slide Door - with Screen",E30="Slide Slide Door - with Screen"),(K30-_xlfn.XLOOKUP(E30,lookups90!$B$4:$B$999,lookups90!$F$4:$F$999,"",0)-_xlfn.XLOOKUP(E30,lookups90!$B$4:$B$999,lookups90!$G$4:$G$999,"",0)+_xlfn.XLOOKUP(E30,lookups90!$B$4:$B$999,lookups90!$H$4:$H$999,"",0))/2+_xlfn.XLOOKUP(E30,lookups90!$B$4:$B$999,lookups90!$I$4:$I$999,"",0)-_xlfn.XLOOKUP(E30,lookups90!$B$4:$B$999,lookups90!$BE$4:$BE$999,"",0), E30="Fix Slide Slide Fix Door - with Screen",(K30-_xlfn.XLOOKUP(E30,lookups90!$B$4:$B$999,lookups90!$F$4:$F$999,"",0)-_xlfn.XLOOKUP(E30,lookups90!$B$4:$B$999,lookups90!$G$4:$G$999,"",0)+_xlfn.XLOOKUP(E30,lookups90!$B$4:$B$999,lookups90!$H$4:$H$999,"",0)+_xlfn.XLOOKUP(E30,lookups90!$B$4:$B$999,lookups90!$H$4:$H$999,"",0))/4+_xlfn.XLOOKUP(E30,lookups90!$B$4:$B$999,lookups90!$I$4:$I$999,"",0)-_xlfn.XLOOKUP(E30,lookups90!$B$4:$B$999,lookups90!$BE$4:$BE$999,"",0))</f>
        <v/>
      </c>
      <c r="BS30" s="20" t="str">
        <f>IFERROR(IF(_xlfn.XLOOKUP(E30,lookups90!$B$4:$B$999,lookups90!$BG$4:$BG$999,"",0)=0,"",D30*_xlfn.XLOOKUP(E30,lookups90!$B$4:$B$999,lookups90!$BG$4:$BG$999,"",0)),"")</f>
        <v/>
      </c>
      <c r="BU30" s="20" t="str">
        <f>IF(AG30&lt;&gt;"",AG30-_xlfn.XLOOKUP(E30,lookups90!$B$4:$B$999,lookups90!$BA$4:$BA$999,"",0),"")</f>
        <v/>
      </c>
      <c r="BV30" s="20" t="str">
        <f>IFERROR(IF(_xlfn.XLOOKUP(E30,lookups90!$B$4:$B$999,lookups90!$BH$4:$BH$999,"",0)=0,"",D30*_xlfn.XLOOKUP(E30,lookups90!$B$4:$B$999,lookups90!$BH$4:$BH$999,"",0)),"")</f>
        <v/>
      </c>
      <c r="BW30" s="20" t="str" cm="1">
        <f t="array" ref="BW30">_xlfn.IFS(BU30="","",OR(E30="Fix Slide Window",E30="Slide Slide Window"),(K30-_xlfn.XLOOKUP(E30,lookups90!$B$4:$B$999,lookups90!$F$4:$F$999,"",0)-_xlfn.XLOOKUP(E30,lookups90!$B$4:$B$999,lookups90!$G$4:$G$999,"",0)+_xlfn.XLOOKUP(E30,lookups90!$B$4:$B$999,lookups90!$H$4:$H$999,"",0))/2+_xlfn.XLOOKUP(E30,lookups90!$B$4:$B$999,lookups90!$I$4:$I$999,"",0)-_xlfn.XLOOKUP(E30,lookups90!$B$4:$B$999,lookups90!$BA$4:$BA$999,"",0), E30="Fix Slide Slide Fix Window",(K30-_xlfn.XLOOKUP(E30,lookups90!$B$4:$B$999,lookups90!$F$4:$F$999,"",0)-_xlfn.XLOOKUP(E30,lookups90!$B$4:$B$999,lookups90!$G$4:$G$999,"",0)+_xlfn.XLOOKUP(E30,lookups90!$B$4:$B$999,lookups90!$H$4:$H$999,"",0)+_xlfn.XLOOKUP(E30,lookups90!$B$4:$B$999,lookups90!$H$4:$H$999,"",0))/4+_xlfn.XLOOKUP(E30,lookups90!$B$4:$B$999,lookups90!$I$4:$I$999,"",0)-_xlfn.XLOOKUP(E30,lookups90!$B$4:$B$999,lookups90!$BA$4:$BA$999,"",0))</f>
        <v/>
      </c>
      <c r="BX30" s="20" t="str">
        <f>IFERROR(IF(_xlfn.XLOOKUP(E30,lookups90!$B$4:$B$999,lookups90!$BI$4:$BI$999,"",0)=0,"",D30*_xlfn.XLOOKUP(E30,lookups90!$B$4:$B$999,lookups90!$BI$4:$BI$999,"",0)),"")</f>
        <v/>
      </c>
      <c r="BZ30" s="20" t="str">
        <f>IF(AL30&lt;&gt;"", AL30-_xlfn.XLOOKUP(E30,lookups90!$B$4:$B$999,lookups90!$BJ$4:$BJ$999,"",0),"")</f>
        <v/>
      </c>
      <c r="CA30" s="20" t="str">
        <f>IFERROR(IF(_xlfn.XLOOKUP(E30,lookups90!$B$4:$B$999,lookups90!$BK$4:$BK$999,"",0)=0,"",D30*_xlfn.XLOOKUP(E30,lookups90!$B$4:$B$999,lookups90!$BK$4:$BK$999,"",0)),"")</f>
        <v/>
      </c>
      <c r="CC30" s="20" t="str">
        <f>IF(C30&lt;&gt;"", T30-_xlfn.XLOOKUP(E30,lookups90!$B$4:$B$999,lookups90!$BO$4:$BO$999,"",0)-_xlfn.XLOOKUP(E30,lookups90!$B$4:$B$999,lookups90!$BP$4:$BP$999,"",0),"")</f>
        <v/>
      </c>
      <c r="CD30" s="20" t="str">
        <f>IF(C30&lt;&gt;"", X30-_xlfn.XLOOKUP(E30,lookups90!$B$4:$B$999,lookups90!$BQ$4:$BQ$999,"",0)-_xlfn.XLOOKUP(E30,lookups90!$B$4:$B$999,lookups90!$BR$4:$BR$999,"",0),"")</f>
        <v/>
      </c>
      <c r="CE30" s="20" t="str">
        <f>IFERROR(IF(_xlfn.XLOOKUP(E30,lookups90!$B$4:$B$999,lookups90!$BS$4:$BS$999,"",0)=0,"",D30*_xlfn.XLOOKUP(E30,lookups90!$B$4:$B$999,lookups90!$BS$4:$BS$999,"",0)),"")</f>
        <v/>
      </c>
      <c r="CF30" s="20" t="str">
        <f>IF(V30&lt;&gt;"", V30-_xlfn.XLOOKUP(E30,lookups90!$B$4:$B$999,lookups90!$BO$4:$BO$999,"",0)-_xlfn.XLOOKUP(E30,lookups90!$B$4:$B$999,lookups90!$BP$4:$BP$999,"",0),"")</f>
        <v/>
      </c>
      <c r="CG30" s="20" t="str">
        <f>IF(CF30&lt;&gt;"", X30-_xlfn.XLOOKUP(E30,lookups90!$B$4:$B$999,lookups90!$BQ$4:$BQ$999,"",0)-_xlfn.XLOOKUP(E30,lookups90!$B$4:$B$999,lookups90!$BR$4:$BR$999,"",0),"")</f>
        <v/>
      </c>
      <c r="CH30" s="20" t="str">
        <f>IFERROR(IF(_xlfn.XLOOKUP(E30,lookups90!$B$4:$B$999,lookups90!$BT$4:$BT$999,"",0)=0,"",D30*_xlfn.XLOOKUP(E30,lookups90!$B$4:$B$999,lookups90!$BT$4:$BT$999,"",0)),"")</f>
        <v/>
      </c>
      <c r="CJ30" s="22" t="str">
        <f t="shared" si="5"/>
        <v/>
      </c>
      <c r="CL30" s="22" t="str" cm="1">
        <f t="array" ref="CL30">IF(D30&lt;&gt;"",((((J30+K30)*2)/500)+(2*_xlfn.IFS(OR(E30="Fix Slide Window", E30="Slide Slide Window", E30="Fix Slide Slide Fix Window"), 2, E30="Slide Slide Door - with Screen", 8, E30&lt;&gt;"",4)))*D30,"")</f>
        <v/>
      </c>
      <c r="CM30" s="22" t="str">
        <f t="shared" ref="CM30:CM65" si="9">IF(D30&lt;&gt;"",(((((J30+K30)*2)/500)*2)/100)*D30,"")</f>
        <v/>
      </c>
      <c r="CN30" s="22" t="str">
        <f t="shared" ref="CN30:CN65" si="10">IF(D30&lt;&gt;"",(((J30+K30)*2)/500)*D30,"")</f>
        <v/>
      </c>
      <c r="CO30" s="22" t="str">
        <f t="shared" si="8"/>
        <v/>
      </c>
      <c r="CP30" s="22" t="str">
        <f t="shared" si="0"/>
        <v/>
      </c>
    </row>
    <row r="31" spans="3:94" x14ac:dyDescent="0.25">
      <c r="C31" s="16"/>
      <c r="D31" s="16"/>
      <c r="E31" s="16"/>
      <c r="F31" s="16"/>
      <c r="G31" s="16"/>
      <c r="H31" s="16"/>
      <c r="I31" s="16"/>
      <c r="J31" s="16"/>
      <c r="K31" s="16"/>
      <c r="M31" s="20" t="str">
        <f t="shared" si="1"/>
        <v/>
      </c>
      <c r="N31" s="20" t="str" cm="1">
        <f t="array" ref="N31">IFERROR(_xlfn.IFS(OR(E31="Fix Awning (Vertical)", E31="Fix Awning (Horizontal)"), J31/2+20,C31&lt;&gt;"", J31+M31),"")</f>
        <v/>
      </c>
      <c r="O31" s="20" t="str">
        <f t="shared" si="2"/>
        <v/>
      </c>
      <c r="P31" s="20" t="str">
        <f t="shared" si="3"/>
        <v/>
      </c>
      <c r="Q31" s="20" t="str">
        <f t="shared" si="4"/>
        <v/>
      </c>
      <c r="S31" s="20" t="str">
        <f>IF(C31&lt;&gt;"", _xlfn.XLOOKUP(E31,lookups90!$B$4:$B$999,lookups90!$C$4:$C$999,"",0),"")</f>
        <v/>
      </c>
      <c r="T31" s="20" t="str">
        <f>IF(C31&lt;&gt;"", J31-_xlfn.XLOOKUP(E31,lookups90!$B$4:$B$999,lookups90!$D$4:$D$999, "",0),"")</f>
        <v/>
      </c>
      <c r="U31" s="20" t="str">
        <f>IF(T31&lt;&gt;"",D31*_xlfn.XLOOKUP(E31,lookups90!$B$4:$B$999,lookups90!$J$4:$J$999, "",0),"")</f>
        <v/>
      </c>
      <c r="V31" s="20" t="str">
        <f>IF(AND(C31&lt;&gt;"", E31&lt;&gt;"Slide Slide Window", E31&lt;&gt;"Slide Slide Door", E31&lt;&gt;"Slide Slide Door - with Screen"), J31-_xlfn.XLOOKUP(E31,lookups90!$B$4:$B$999,lookups90!$E$4:$E$999, "",0),"")</f>
        <v/>
      </c>
      <c r="W31" s="20" t="str">
        <f>IF(V31&lt;&gt;"",D31*_xlfn.XLOOKUP(E31,lookups90!$B$4:$B$999,lookups90!$K$4:$K$999, "",0),"")</f>
        <v/>
      </c>
      <c r="X31" s="20" t="str" cm="1">
        <f t="array" ref="X31">IFERROR(_xlfn.IFS(OR(E31="Fix Slide Window", E31="Slide Slide Window", E31="Fix Slide Door", E31="Slide Slide Door", E31="Fix Slide Door - with Screen", E31="Slide Slide Door - with Screen"), (K31-_xlfn.XLOOKUP(E31,lookups90!$B$4:$B$999,lookups90!$F$4:$F$999, "",0)-_xlfn.XLOOKUP(E31,lookups90!$B$4:$B$999,lookups90!$G$4:$G$999, "",0)+_xlfn.XLOOKUP(E31,lookups90!$B$4:$B$999,lookups90!$H$4:$H$999, "",0))/2+_xlfn.XLOOKUP(E31,lookups90!$B$4:$B$999,lookups90!$I$4:$I$999, "",0), OR(E31="Fix Slide Slide Fix Window", E31="Fix Slide Slide Fix Door - with Screen", E31="Fix Slide Slide Fix Door"),  (K31-_xlfn.XLOOKUP(E31,lookups90!$B$4:$B$999,lookups90!$F$4:$F$999, "",0)-_xlfn.XLOOKUP(E31,lookups90!$B$4:$B$999,lookups90!$G$4:$G$999, "",0)+_xlfn.XLOOKUP(E31,lookups90!$B$4:$B$999,lookups90!$H$4:$H$999, "",0)+_xlfn.XLOOKUP(E31,lookups90!$B$4:$B$999,lookups90!$H$4:$H$999, "",0))/4+_xlfn.XLOOKUP(E31,lookups90!$B$4:$B$999,lookups90!$I$4:$I$999, "",0), E31="Fix Slide Slide Door", (K31-_xlfn.XLOOKUP(E31,lookups90!$B$4:$B$999,lookups90!$F$4:$F$999, "",0)-_xlfn.XLOOKUP(E31,lookups90!$B$4:$B$999,lookups90!$G$4:$G$999, "",0)+_xlfn.XLOOKUP(E31,lookups90!$B$4:$B$999,lookups90!$H$4:$H$999, "",0)+_xlfn.XLOOKUP(E31,lookups90!$B$4:$B$999,lookups90!$H$4:$H$999, "",0))/3+_xlfn.XLOOKUP(E31,lookups90!$B$4:$B$999,lookups90!$I$4:$I$999, "",0),E31="Fix Slide Slide Slide Slide Fix Dr",  (K31-_xlfn.XLOOKUP(E31,lookups90!$B$4:$B$999,lookups90!$F$4:$F$999, "",0)-_xlfn.XLOOKUP(E31,lookups90!$B$4:$B$999,lookups90!$G$4:$G$999, "",0)+_xlfn.XLOOKUP(E31,lookups90!$B$4:$B$999,lookups90!$H$4:$H$999, "",0)+_xlfn.XLOOKUP(E31,lookups90!$B$4:$B$999,lookups90!$H$4:$H$999, "",0)+_xlfn.XLOOKUP(E31,lookups90!$B$4:$B$999,lookups90!$H$4:$H$999, "",0)+_xlfn.XLOOKUP(E31,lookups90!$B$4:$B$999,lookups90!$H$4:$H$999, "",0))/6+_xlfn.XLOOKUP(E31,lookups90!$B$4:$B$999,lookups90!$I$4:$I$999, "",0), E31="Fix Slide Slide Slide Slide Slide Slide Fix Dr",  (K31-_xlfn.XLOOKUP(E31,lookups90!$B$4:$B$999,lookups90!$F$4:$F$999, "",0)-_xlfn.XLOOKUP(E31,lookups90!$B$4:$B$999,lookups90!$G$4:$G$999, "",0)+_xlfn.XLOOKUP(E31,lookups90!$B$4:$B$999,lookups90!$H$4:$H$999, "",0)+_xlfn.XLOOKUP(E31,lookups90!$B$4:$B$999,lookups90!$H$4:$H$999, "",0)+_xlfn.XLOOKUP(E31,lookups90!$B$4:$B$999,lookups90!$H$4:$H$999, "",0)+_xlfn.XLOOKUP(E31,lookups90!$B$4:$B$999,lookups90!$H$4:$H$999, "",0)+_xlfn.XLOOKUP(E31,lookups90!$B$4:$B$999,lookups90!$H$4:$H$999, "",0)+_xlfn.XLOOKUP(E31,lookups90!$B$4:$B$999,lookups90!$H$4:$H$999, "",0))/8+_xlfn.XLOOKUP(E31,lookups90!$B$4:$B$999,lookups90!$I$4:$I$999, "",0)),"")</f>
        <v/>
      </c>
      <c r="Y31" s="20" t="str">
        <f>IF(X31&lt;&gt;"",D31*_xlfn.XLOOKUP(E31,lookups90!$B$4:$B$999,lookups90!$L$4:$L$999, "",0),"")</f>
        <v/>
      </c>
      <c r="AA31" s="20" t="str">
        <f>IF(C31&lt;&gt;"", IF(_xlfn.XLOOKUP(E31,lookups90!$B$4:$B$999,lookups90!$P$4:$P$999,"",0)=0,"",_xlfn.XLOOKUP(E31,lookups90!$B$4:$B$999,lookups90!$P$4:$P$999,"",0)),"")</f>
        <v/>
      </c>
      <c r="AB31" s="20" t="str">
        <f>IF(AA31&lt;&gt;"", J31-_xlfn.XLOOKUP(E31,lookups90!$B$4:$B$999,lookups90!$D$4:$D$999, "",0),"")</f>
        <v/>
      </c>
      <c r="AC31" s="20" t="str">
        <f>IF(AA31&lt;&gt;"",D31*_xlfn.XLOOKUP(E31,lookups90!$B$4:$B$999,lookups90!$Q$4:$Q$999, "",0),"")</f>
        <v/>
      </c>
      <c r="AD31" s="20" t="str" cm="1">
        <f t="array" ref="AD31">IF(AA31&lt;&gt;"", _xlfn.IFS(OR(E31="Fix Slide Window", E31="Slide Slide Window", E31="Fix Slide Door", E31="Slide Slide Door", E31="Fix Slide Door - with Screen", E31="Slide Slide Door - with Screen"), (K31-_xlfn.XLOOKUP(E31,lookups90!$B$4:$B$999,lookups90!$F$4:$F$999, "",0)-_xlfn.XLOOKUP(E31,lookups90!$B$4:$B$999,lookups90!$G$4:$G$999, "",0)+_xlfn.XLOOKUP(E31,lookups90!$B$4:$B$999,lookups90!$H$4:$H$999, "",0))/2+_xlfn.XLOOKUP(E31,lookups90!$B$4:$B$999,lookups90!$I$4:$I$999, "",0), OR(E31="Fix Slide Slide Fix Window", E31="Fix Slide Slide Fix Door - with Screen", E31="Fix Slide Slide Fix Door"),  (K31-_xlfn.XLOOKUP(E31,lookups90!$B$4:$B$999,lookups90!$F$4:$F$999, "",0)-_xlfn.XLOOKUP(E31,lookups90!$B$4:$B$999,lookups90!$G$4:$G$999, "",0)+_xlfn.XLOOKUP(E31,lookups90!$B$4:$B$999,lookups90!$H$4:$H$999, "",0)+_xlfn.XLOOKUP(E31,lookups90!$B$4:$B$999,lookups90!$H$4:$H$999, "",0))/4+_xlfn.XLOOKUP(E31,lookups90!$B$4:$B$999,lookups90!$I$4:$I$999, "",0), E31="Fix Slide Slide Door", (K31-_xlfn.XLOOKUP(E31,lookups90!$B$4:$B$999,lookups90!$F$4:$F$999, "",0)-_xlfn.XLOOKUP(E31,lookups90!$B$4:$B$999,lookups90!$G$4:$G$999, "",0)+_xlfn.XLOOKUP(E31,lookups90!$B$4:$B$999,lookups90!$H$4:$H$999, "",0)+_xlfn.XLOOKUP(E31,lookups90!$B$4:$B$999,lookups90!$H$4:$H$999, "",0))/3+_xlfn.XLOOKUP(E31,lookups90!$B$4:$B$999,lookups90!$I$4:$I$999, "",0) ),"")</f>
        <v/>
      </c>
      <c r="AE31" s="20" t="str">
        <f>IF(AA31&lt;&gt;"",D31*_xlfn.XLOOKUP(E31,lookups90!$B$4:$B$999,lookups90!$R$4:$R$999, "",0),"")</f>
        <v/>
      </c>
      <c r="AG31" s="20" t="str">
        <f>IF(AH31&lt;&gt;"", J31-_xlfn.XLOOKUP(E31,lookups90!$B$4:$B$999,lookups90!$D$4:$D$999, "",0),"")</f>
        <v/>
      </c>
      <c r="AH31" s="20" t="str">
        <f>IF(_xlfn.XLOOKUP(E31,lookups90!$B$4:$B$999,lookups90!$V$4:$V$999,"",0)=0,"",D31*_xlfn.XLOOKUP(E31,lookups90!$B$4:$B$999,lookups90!$V$4:$V$999,"",0))</f>
        <v/>
      </c>
      <c r="AI31" s="20" t="str" cm="1">
        <f t="array" ref="AI31">IF(AH31&lt;&gt;"", _xlfn.IFS(OR(E31="Fix Slide Window", E31="Slide Slide Window"), (K31-_xlfn.XLOOKUP(E31,lookups90!$B$4:$B$999,lookups90!$F$4:$F$999, "",0)-_xlfn.XLOOKUP(E31,lookups90!$B$4:$B$999,lookups90!$G$4:$G$999, "",0)+_xlfn.XLOOKUP(E31,lookups90!$B$4:$B$999,lookups90!$H$4:$H$999, "",0))/2+_xlfn.XLOOKUP(E31,lookups90!$B$4:$B$999,lookups90!$I$4:$I$999, "",0), OR(E31="Fix Slide Slide Fix Window"),  (K31-_xlfn.XLOOKUP(E31,lookups90!$B$4:$B$999,lookups90!$F$4:$F$999, "",0)+_xlfn.XLOOKUP(E31,lookups90!$B$4:$B$999,lookups90!$H$4:$H$999, "",0)+_xlfn.XLOOKUP(E31,lookups90!$B$4:$B$999,lookups90!$H$4:$H$999, "",0))/4+_xlfn.XLOOKUP(E31,lookups90!$B$4:$B$999,lookups90!$I$4:$I$999, "",0)),"")</f>
        <v/>
      </c>
      <c r="AJ31" s="20" t="str">
        <f>IF(_xlfn.XLOOKUP(E31,lookups90!$B$4:$B$999,lookups90!$V$4:$V$999,"",0)=0,"",D31*_xlfn.XLOOKUP(E31,lookups90!$B$4:$B$999,lookups90!$W$4:$W$999,"",0))</f>
        <v/>
      </c>
      <c r="AL31" s="20" t="str" cm="1">
        <f t="array" ref="AL31">IF(AM31&lt;&gt;"", _xlfn.IFS(OR(E31="Fix Slide Door - with Screen", E31="Slide Slide Door - with Screen"), (K31-_xlfn.XLOOKUP(E31,lookups90!$B$4:$B$999,lookups90!$F$4:$F$999, "",0)-_xlfn.XLOOKUP(E31,lookups90!$B$4:$B$999,lookups90!$G$4:$G$999, "",0)+_xlfn.XLOOKUP(E31,lookups90!$B$4:$B$999,lookups90!$H$4:$H$999, "",0))/2+_xlfn.XLOOKUP(E31,lookups90!$B$4:$B$999,lookups90!$I$4:$I$999, "",0), OR( E31="Fix Slide Slide Fix Door - with Screen",  E31="Fix Slide Slide Door"),  (K31-_xlfn.XLOOKUP(E31,lookups90!$B$4:$B$999,lookups90!$F$4:$F$999, "",0)-_xlfn.XLOOKUP(E31,lookups90!$B$4:$B$999,lookups90!$G$4:$G$999, "",0)+_xlfn.XLOOKUP(E31,lookups90!$B$4:$B$999,lookups90!$H$4:$H$999, "",0)+_xlfn.XLOOKUP(E31,lookups90!$B$4:$B$999,lookups90!$H$4:$H$999, "",0))/4+_xlfn.XLOOKUP(E31,lookups90!$B$4:$B$999,lookups90!$I$4:$I$999, "",0)),"")</f>
        <v/>
      </c>
      <c r="AM31" s="20" t="str">
        <f>IF(_xlfn.XLOOKUP(E31,lookups90!$B$4:$B$999,lookups90!$AA$4:$AA$999,"",0)=0,"",D31*_xlfn.XLOOKUP(E31,lookups90!$B$4:$B$999,lookups90!$AA$4:$AA$999,"",0))</f>
        <v/>
      </c>
      <c r="AO31" s="20" t="str">
        <f>IFERROR(IF(C31&lt;&gt;"", T31-_xlfn.XLOOKUP(E31,lookups90!$B$4:$B$999,lookups90!$AE$4:$AE$999, "",0),""),"")</f>
        <v/>
      </c>
      <c r="AP31" s="20" t="str">
        <f>IF(_xlfn.XLOOKUP(E31,lookups90!$B$4:$B$999,lookups90!$AG$4:$AG$999,"",0)=0,"",D31*_xlfn.XLOOKUP(E31,lookups90!$B$4:$B$999,lookups90!$AG$4:$AG$999,"",0))</f>
        <v/>
      </c>
      <c r="AQ31" s="20" t="str">
        <f>IF(V31&lt;&gt;"", T31-_xlfn.XLOOKUP(E31,lookups90!$B$4:$B$999,lookups90!$AE$4:$AE$999, "",0)+_xlfn.XLOOKUP(E31,lookups90!$B$4:$B$999,lookups90!$AF$4:$AF$999, "",0),"")</f>
        <v/>
      </c>
      <c r="AR31" s="20" t="str">
        <f>IFERROR(IF(_xlfn.XLOOKUP(E31,lookups90!$B$4:$B$999,lookups90!$AH$4:$AH$999,"",0)=0,"",D31*_xlfn.XLOOKUP(E31,lookups90!$B$4:$B$999,lookups90!$AH$4:$AH$999,"",0)),"")</f>
        <v/>
      </c>
      <c r="AT31" s="20" t="str">
        <f>IF(OR(E31="Fix Slide Slide Fix Window", E31="Fix Slide Slide Fix Door", E31="Fix Slide Slide Fix Door - with Screen", E31="Fix Slide Slide Door"), T31-_xlfn.XLOOKUP(E31,lookups90!$B$4:$B$999,lookups90!$AE$4:$AE$999,"",0),"")</f>
        <v/>
      </c>
      <c r="AU31" s="20" t="str">
        <f>IFERROR(IF(_xlfn.XLOOKUP(E31,lookups90!$B$4:$B$999,lookups90!$AL$4:$AL$999,"",0)=0,"",D31*_xlfn.XLOOKUP(E31,lookups90!$B$4:$B$999,lookups90!$AL$4:$AL$999,"",0)),"")</f>
        <v/>
      </c>
      <c r="AW31" s="20" t="str">
        <f>IF(C31&lt;&gt;"", T31-_xlfn.XLOOKUP(E31,lookups90!$B$4:$B$999,lookups90!$AP$4:$AP$999,"",0),"")</f>
        <v/>
      </c>
      <c r="AX31" s="20" t="str">
        <f>IFERROR(IF(_xlfn.XLOOKUP(E31,lookups90!$B$4:$B$999,lookups90!$AR$4:$AR$999,"",0)=0,"",D31*_xlfn.XLOOKUP(E31,lookups90!$B$4:$B$999,lookups90!$AR$4:$AR$999,"",0)),"")</f>
        <v/>
      </c>
      <c r="AY31" s="24" t="str">
        <f>IF(V31&lt;&gt;"", V31-_xlfn.XLOOKUP(E31,lookups90!$B$4:$B$999,lookups90!$AP$4:$AP$999,"",0),"")</f>
        <v/>
      </c>
      <c r="AZ31" s="20" t="str">
        <f>IFERROR(IF(_xlfn.XLOOKUP(E31,lookups90!$B$4:$B$999,lookups90!$AS$4:$AS$999,"",0)=0,"",D31*_xlfn.XLOOKUP(E31,lookups90!$B$4:$B$999,lookups90!$AS$4:$AS$999,"",0)),"")</f>
        <v/>
      </c>
      <c r="BA31" s="20" t="str">
        <f>IF(X31&lt;&gt;"", X31-_xlfn.XLOOKUP(E31,lookups90!$B$4:$B$999,lookups90!$AQ$4:$AQ$999,"",0),"")</f>
        <v/>
      </c>
      <c r="BB31" s="20" t="str">
        <f>IFERROR(IF(_xlfn.XLOOKUP(E31,lookups90!$B$4:$B$999,lookups90!$AT$4:$AT$999,"",0)=0,"",D31*_xlfn.XLOOKUP(E31,lookups90!$B$4:$B$999,lookups90!$AT$4:$AT$999,"",0)),"")</f>
        <v/>
      </c>
      <c r="BD31" s="20" t="str">
        <f>IF(C31&lt;&gt;"", N31-_xlfn.XLOOKUP(E31,lookups90!$B$4:$B$999,lookups90!$AX$4:$AX$999,"",0)+M31,"")</f>
        <v/>
      </c>
      <c r="BE31" s="20" t="str">
        <f>IFERROR(IF(_xlfn.XLOOKUP(E31,lookups90!$B$4:$B$999,lookups90!$AY$4:$AY$999,"",0)=0,"",D31*_xlfn.XLOOKUP(E31,lookups90!$B$4:$B$999,lookups90!$AY$4:$AY$999,"",0)),"")</f>
        <v/>
      </c>
      <c r="BF31" s="20" t="str">
        <f>IF(C31&lt;&gt;"", P31-_xlfn.XLOOKUP(E31,lookups90!$B$4:$B$999,lookups90!$AX$4:$AX$999,"",0)+M31,"")</f>
        <v/>
      </c>
      <c r="BG31" s="20" t="str">
        <f>IFERROR(IF(_xlfn.XLOOKUP(E31,lookups90!$B$4:$B$999,lookups90!$AZ$4:$AZ$999,"",0)=0,"",D31*_xlfn.XLOOKUP(E31,lookups90!$B$4:$B$999,lookups90!$AZ$4:$AZ$999,"",0)),"")</f>
        <v/>
      </c>
      <c r="BI31" s="20" t="str">
        <f>IF(C31&lt;&gt;"", T31-_xlfn.XLOOKUP(E31,lookups90!$B$4:$B$999,lookups90!$BA$4:$BA$999,"",0),"")</f>
        <v/>
      </c>
      <c r="BJ31" s="20" t="str">
        <f>IFERROR(IF(_xlfn.XLOOKUP(E31,lookups90!$B$4:$B$999,lookups90!$BB$4:$BB$999,"",0)=0,"",D31*_xlfn.XLOOKUP(E31,lookups90!$B$4:$B$999,lookups90!$BB$4:$BB$999,"",0)),"")</f>
        <v/>
      </c>
      <c r="BK31" s="20" t="str">
        <f>IF(V31&lt;&gt;"", V31-_xlfn.XLOOKUP(E31,lookups90!$B$4:$B$999,lookups90!$BA$4:$BA$999,"",0),"")</f>
        <v/>
      </c>
      <c r="BL31" s="20" t="str">
        <f>IFERROR(IF(_xlfn.XLOOKUP(E31,lookups90!$B$4:$B$999,lookups90!$BC$4:$BC$999,"",0)=0,"",D31*_xlfn.XLOOKUP(E31,lookups90!$B$4:$B$999,lookups90!$BC$4:$BC$999,"",0)),"")</f>
        <v/>
      </c>
      <c r="BM31" s="20" t="str">
        <f>IF(C31&lt;&gt;"", X31-_xlfn.XLOOKUP(E31,lookups90!$B$4:$B$999,lookups90!$BA$4:$BA$999,"",0),"")</f>
        <v/>
      </c>
      <c r="BN31" s="20" t="str">
        <f>IFERROR(IF(_xlfn.XLOOKUP(E31,lookups90!$B$4:$B$999,lookups90!$BD$4:$BD$999,"",0)=0,"",D31*_xlfn.XLOOKUP(E31,lookups90!$B$4:$B$999,lookups90!$BD$4:$BD$999,"",0)),"")</f>
        <v/>
      </c>
      <c r="BP31" s="20" t="str">
        <f>IF(AB31&lt;&gt;"", AB31-_xlfn.XLOOKUP(E31,lookups90!$B$4:$B$999,lookups90!$BE$4:$BE$999,"",0),"")</f>
        <v/>
      </c>
      <c r="BQ31" s="20" t="str">
        <f>IFERROR(IF(_xlfn.XLOOKUP(E31,lookups90!$B$4:$B$999,lookups90!$BF$4:$BF$999,"",0)=0,"",D31*_xlfn.XLOOKUP(E31,lookups90!$B$4:$B$999,lookups90!$BF$4:$BF$999,"",0)),"")</f>
        <v/>
      </c>
      <c r="BR31" s="20" t="str" cm="1">
        <f t="array" ref="BR31">_xlfn.IFS(BP31="","",OR(E31="Fix Slide Door - with Screen",E31="Slide Slide Door - with Screen"),(K31-_xlfn.XLOOKUP(E31,lookups90!$B$4:$B$999,lookups90!$F$4:$F$999,"",0)-_xlfn.XLOOKUP(E31,lookups90!$B$4:$B$999,lookups90!$G$4:$G$999,"",0)+_xlfn.XLOOKUP(E31,lookups90!$B$4:$B$999,lookups90!$H$4:$H$999,"",0))/2+_xlfn.XLOOKUP(E31,lookups90!$B$4:$B$999,lookups90!$I$4:$I$999,"",0)-_xlfn.XLOOKUP(E31,lookups90!$B$4:$B$999,lookups90!$BE$4:$BE$999,"",0), E31="Fix Slide Slide Fix Door - with Screen",(K31-_xlfn.XLOOKUP(E31,lookups90!$B$4:$B$999,lookups90!$F$4:$F$999,"",0)-_xlfn.XLOOKUP(E31,lookups90!$B$4:$B$999,lookups90!$G$4:$G$999,"",0)+_xlfn.XLOOKUP(E31,lookups90!$B$4:$B$999,lookups90!$H$4:$H$999,"",0)+_xlfn.XLOOKUP(E31,lookups90!$B$4:$B$999,lookups90!$H$4:$H$999,"",0))/4+_xlfn.XLOOKUP(E31,lookups90!$B$4:$B$999,lookups90!$I$4:$I$999,"",0)-_xlfn.XLOOKUP(E31,lookups90!$B$4:$B$999,lookups90!$BE$4:$BE$999,"",0))</f>
        <v/>
      </c>
      <c r="BS31" s="20" t="str">
        <f>IFERROR(IF(_xlfn.XLOOKUP(E31,lookups90!$B$4:$B$999,lookups90!$BG$4:$BG$999,"",0)=0,"",D31*_xlfn.XLOOKUP(E31,lookups90!$B$4:$B$999,lookups90!$BG$4:$BG$999,"",0)),"")</f>
        <v/>
      </c>
      <c r="BU31" s="20" t="str">
        <f>IF(AG31&lt;&gt;"",AG31-_xlfn.XLOOKUP(E31,lookups90!$B$4:$B$999,lookups90!$BA$4:$BA$999,"",0),"")</f>
        <v/>
      </c>
      <c r="BV31" s="20" t="str">
        <f>IFERROR(IF(_xlfn.XLOOKUP(E31,lookups90!$B$4:$B$999,lookups90!$BH$4:$BH$999,"",0)=0,"",D31*_xlfn.XLOOKUP(E31,lookups90!$B$4:$B$999,lookups90!$BH$4:$BH$999,"",0)),"")</f>
        <v/>
      </c>
      <c r="BW31" s="20" t="str" cm="1">
        <f t="array" ref="BW31">_xlfn.IFS(BU31="","",OR(E31="Fix Slide Window",E31="Slide Slide Window"),(K31-_xlfn.XLOOKUP(E31,lookups90!$B$4:$B$999,lookups90!$F$4:$F$999,"",0)-_xlfn.XLOOKUP(E31,lookups90!$B$4:$B$999,lookups90!$G$4:$G$999,"",0)+_xlfn.XLOOKUP(E31,lookups90!$B$4:$B$999,lookups90!$H$4:$H$999,"",0))/2+_xlfn.XLOOKUP(E31,lookups90!$B$4:$B$999,lookups90!$I$4:$I$999,"",0)-_xlfn.XLOOKUP(E31,lookups90!$B$4:$B$999,lookups90!$BA$4:$BA$999,"",0), E31="Fix Slide Slide Fix Window",(K31-_xlfn.XLOOKUP(E31,lookups90!$B$4:$B$999,lookups90!$F$4:$F$999,"",0)-_xlfn.XLOOKUP(E31,lookups90!$B$4:$B$999,lookups90!$G$4:$G$999,"",0)+_xlfn.XLOOKUP(E31,lookups90!$B$4:$B$999,lookups90!$H$4:$H$999,"",0)+_xlfn.XLOOKUP(E31,lookups90!$B$4:$B$999,lookups90!$H$4:$H$999,"",0))/4+_xlfn.XLOOKUP(E31,lookups90!$B$4:$B$999,lookups90!$I$4:$I$999,"",0)-_xlfn.XLOOKUP(E31,lookups90!$B$4:$B$999,lookups90!$BA$4:$BA$999,"",0))</f>
        <v/>
      </c>
      <c r="BX31" s="20" t="str">
        <f>IFERROR(IF(_xlfn.XLOOKUP(E31,lookups90!$B$4:$B$999,lookups90!$BI$4:$BI$999,"",0)=0,"",D31*_xlfn.XLOOKUP(E31,lookups90!$B$4:$B$999,lookups90!$BI$4:$BI$999,"",0)),"")</f>
        <v/>
      </c>
      <c r="BZ31" s="20" t="str">
        <f>IF(AL31&lt;&gt;"", AL31-_xlfn.XLOOKUP(E31,lookups90!$B$4:$B$999,lookups90!$BJ$4:$BJ$999,"",0),"")</f>
        <v/>
      </c>
      <c r="CA31" s="20" t="str">
        <f>IFERROR(IF(_xlfn.XLOOKUP(E31,lookups90!$B$4:$B$999,lookups90!$BK$4:$BK$999,"",0)=0,"",D31*_xlfn.XLOOKUP(E31,lookups90!$B$4:$B$999,lookups90!$BK$4:$BK$999,"",0)),"")</f>
        <v/>
      </c>
      <c r="CC31" s="20" t="str">
        <f>IF(C31&lt;&gt;"", T31-_xlfn.XLOOKUP(E31,lookups90!$B$4:$B$999,lookups90!$BO$4:$BO$999,"",0)-_xlfn.XLOOKUP(E31,lookups90!$B$4:$B$999,lookups90!$BP$4:$BP$999,"",0),"")</f>
        <v/>
      </c>
      <c r="CD31" s="20" t="str">
        <f>IF(C31&lt;&gt;"", X31-_xlfn.XLOOKUP(E31,lookups90!$B$4:$B$999,lookups90!$BQ$4:$BQ$999,"",0)-_xlfn.XLOOKUP(E31,lookups90!$B$4:$B$999,lookups90!$BR$4:$BR$999,"",0),"")</f>
        <v/>
      </c>
      <c r="CE31" s="20" t="str">
        <f>IFERROR(IF(_xlfn.XLOOKUP(E31,lookups90!$B$4:$B$999,lookups90!$BS$4:$BS$999,"",0)=0,"",D31*_xlfn.XLOOKUP(E31,lookups90!$B$4:$B$999,lookups90!$BS$4:$BS$999,"",0)),"")</f>
        <v/>
      </c>
      <c r="CF31" s="20" t="str">
        <f>IF(V31&lt;&gt;"", V31-_xlfn.XLOOKUP(E31,lookups90!$B$4:$B$999,lookups90!$BO$4:$BO$999,"",0)-_xlfn.XLOOKUP(E31,lookups90!$B$4:$B$999,lookups90!$BP$4:$BP$999,"",0),"")</f>
        <v/>
      </c>
      <c r="CG31" s="20" t="str">
        <f>IF(CF31&lt;&gt;"", X31-_xlfn.XLOOKUP(E31,lookups90!$B$4:$B$999,lookups90!$BQ$4:$BQ$999,"",0)-_xlfn.XLOOKUP(E31,lookups90!$B$4:$B$999,lookups90!$BR$4:$BR$999,"",0),"")</f>
        <v/>
      </c>
      <c r="CH31" s="20" t="str">
        <f>IFERROR(IF(_xlfn.XLOOKUP(E31,lookups90!$B$4:$B$999,lookups90!$BT$4:$BT$999,"",0)=0,"",D31*_xlfn.XLOOKUP(E31,lookups90!$B$4:$B$999,lookups90!$BT$4:$BT$999,"",0)),"")</f>
        <v/>
      </c>
      <c r="CJ31" s="22" t="str">
        <f t="shared" si="5"/>
        <v/>
      </c>
      <c r="CL31" s="22" t="str" cm="1">
        <f t="array" ref="CL31">IF(D31&lt;&gt;"",((((J31+K31)*2)/500)+(2*_xlfn.IFS(OR(E31="Fix Slide Window", E31="Slide Slide Window", E31="Fix Slide Slide Fix Window"), 2, E31="Slide Slide Door - with Screen", 8, E31&lt;&gt;"",4)))*D31,"")</f>
        <v/>
      </c>
      <c r="CM31" s="22" t="str">
        <f t="shared" si="9"/>
        <v/>
      </c>
      <c r="CN31" s="22" t="str">
        <f t="shared" si="10"/>
        <v/>
      </c>
      <c r="CO31" s="22" t="str">
        <f t="shared" si="8"/>
        <v/>
      </c>
      <c r="CP31" s="22" t="str">
        <f t="shared" si="0"/>
        <v/>
      </c>
    </row>
    <row r="32" spans="3:94" x14ac:dyDescent="0.25">
      <c r="C32" s="16"/>
      <c r="D32" s="16"/>
      <c r="E32" s="16"/>
      <c r="F32" s="16"/>
      <c r="G32" s="16"/>
      <c r="H32" s="16"/>
      <c r="I32" s="16"/>
      <c r="J32" s="16"/>
      <c r="K32" s="16"/>
      <c r="M32" s="20" t="str">
        <f t="shared" si="1"/>
        <v/>
      </c>
      <c r="N32" s="20" t="str" cm="1">
        <f t="array" ref="N32">IFERROR(_xlfn.IFS(OR(E32="Fix Awning (Vertical)", E32="Fix Awning (Horizontal)"), J32/2+20,C32&lt;&gt;"", J32+M32),"")</f>
        <v/>
      </c>
      <c r="O32" s="20" t="str">
        <f t="shared" si="2"/>
        <v/>
      </c>
      <c r="P32" s="20" t="str">
        <f t="shared" si="3"/>
        <v/>
      </c>
      <c r="Q32" s="20" t="str">
        <f t="shared" si="4"/>
        <v/>
      </c>
      <c r="S32" s="20" t="str">
        <f>IF(C32&lt;&gt;"", _xlfn.XLOOKUP(E32,lookups90!$B$4:$B$999,lookups90!$C$4:$C$999,"",0),"")</f>
        <v/>
      </c>
      <c r="T32" s="20" t="str">
        <f>IF(C32&lt;&gt;"", J32-_xlfn.XLOOKUP(E32,lookups90!$B$4:$B$999,lookups90!$D$4:$D$999, "",0),"")</f>
        <v/>
      </c>
      <c r="U32" s="20" t="str">
        <f>IF(T32&lt;&gt;"",D32*_xlfn.XLOOKUP(E32,lookups90!$B$4:$B$999,lookups90!$J$4:$J$999, "",0),"")</f>
        <v/>
      </c>
      <c r="V32" s="20" t="str">
        <f>IF(AND(C32&lt;&gt;"", E32&lt;&gt;"Slide Slide Window", E32&lt;&gt;"Slide Slide Door", E32&lt;&gt;"Slide Slide Door - with Screen"), J32-_xlfn.XLOOKUP(E32,lookups90!$B$4:$B$999,lookups90!$E$4:$E$999, "",0),"")</f>
        <v/>
      </c>
      <c r="W32" s="20" t="str">
        <f>IF(V32&lt;&gt;"",D32*_xlfn.XLOOKUP(E32,lookups90!$B$4:$B$999,lookups90!$K$4:$K$999, "",0),"")</f>
        <v/>
      </c>
      <c r="X32" s="20" t="str" cm="1">
        <f t="array" ref="X32">IFERROR(_xlfn.IFS(OR(E32="Fix Slide Window", E32="Slide Slide Window", E32="Fix Slide Door", E32="Slide Slide Door", E32="Fix Slide Door - with Screen", E32="Slide Slide Door - with Screen"), (K32-_xlfn.XLOOKUP(E32,lookups90!$B$4:$B$999,lookups90!$F$4:$F$999, "",0)-_xlfn.XLOOKUP(E32,lookups90!$B$4:$B$999,lookups90!$G$4:$G$999, "",0)+_xlfn.XLOOKUP(E32,lookups90!$B$4:$B$999,lookups90!$H$4:$H$999, "",0))/2+_xlfn.XLOOKUP(E32,lookups90!$B$4:$B$999,lookups90!$I$4:$I$999, "",0), OR(E32="Fix Slide Slide Fix Window", E32="Fix Slide Slide Fix Door - with Screen", E32="Fix Slide Slide Fix Door"),  (K32-_xlfn.XLOOKUP(E32,lookups90!$B$4:$B$999,lookups90!$F$4:$F$999, "",0)-_xlfn.XLOOKUP(E32,lookups90!$B$4:$B$999,lookups90!$G$4:$G$999, "",0)+_xlfn.XLOOKUP(E32,lookups90!$B$4:$B$999,lookups90!$H$4:$H$999, "",0)+_xlfn.XLOOKUP(E32,lookups90!$B$4:$B$999,lookups90!$H$4:$H$999, "",0))/4+_xlfn.XLOOKUP(E32,lookups90!$B$4:$B$999,lookups90!$I$4:$I$999, "",0), E32="Fix Slide Slide Door", (K32-_xlfn.XLOOKUP(E32,lookups90!$B$4:$B$999,lookups90!$F$4:$F$999, "",0)-_xlfn.XLOOKUP(E32,lookups90!$B$4:$B$999,lookups90!$G$4:$G$999, "",0)+_xlfn.XLOOKUP(E32,lookups90!$B$4:$B$999,lookups90!$H$4:$H$999, "",0)+_xlfn.XLOOKUP(E32,lookups90!$B$4:$B$999,lookups90!$H$4:$H$999, "",0))/3+_xlfn.XLOOKUP(E32,lookups90!$B$4:$B$999,lookups90!$I$4:$I$999, "",0),E32="Fix Slide Slide Slide Slide Fix Dr",  (K32-_xlfn.XLOOKUP(E32,lookups90!$B$4:$B$999,lookups90!$F$4:$F$999, "",0)-_xlfn.XLOOKUP(E32,lookups90!$B$4:$B$999,lookups90!$G$4:$G$999, "",0)+_xlfn.XLOOKUP(E32,lookups90!$B$4:$B$999,lookups90!$H$4:$H$999, "",0)+_xlfn.XLOOKUP(E32,lookups90!$B$4:$B$999,lookups90!$H$4:$H$999, "",0)+_xlfn.XLOOKUP(E32,lookups90!$B$4:$B$999,lookups90!$H$4:$H$999, "",0)+_xlfn.XLOOKUP(E32,lookups90!$B$4:$B$999,lookups90!$H$4:$H$999, "",0))/6+_xlfn.XLOOKUP(E32,lookups90!$B$4:$B$999,lookups90!$I$4:$I$999, "",0), E32="Fix Slide Slide Slide Slide Slide Slide Fix Dr",  (K32-_xlfn.XLOOKUP(E32,lookups90!$B$4:$B$999,lookups90!$F$4:$F$999, "",0)-_xlfn.XLOOKUP(E32,lookups90!$B$4:$B$999,lookups90!$G$4:$G$999, "",0)+_xlfn.XLOOKUP(E32,lookups90!$B$4:$B$999,lookups90!$H$4:$H$999, "",0)+_xlfn.XLOOKUP(E32,lookups90!$B$4:$B$999,lookups90!$H$4:$H$999, "",0)+_xlfn.XLOOKUP(E32,lookups90!$B$4:$B$999,lookups90!$H$4:$H$999, "",0)+_xlfn.XLOOKUP(E32,lookups90!$B$4:$B$999,lookups90!$H$4:$H$999, "",0)+_xlfn.XLOOKUP(E32,lookups90!$B$4:$B$999,lookups90!$H$4:$H$999, "",0)+_xlfn.XLOOKUP(E32,lookups90!$B$4:$B$999,lookups90!$H$4:$H$999, "",0))/8+_xlfn.XLOOKUP(E32,lookups90!$B$4:$B$999,lookups90!$I$4:$I$999, "",0)),"")</f>
        <v/>
      </c>
      <c r="Y32" s="20" t="str">
        <f>IF(X32&lt;&gt;"",D32*_xlfn.XLOOKUP(E32,lookups90!$B$4:$B$999,lookups90!$L$4:$L$999, "",0),"")</f>
        <v/>
      </c>
      <c r="AA32" s="20" t="str">
        <f>IF(C32&lt;&gt;"", IF(_xlfn.XLOOKUP(E32,lookups90!$B$4:$B$999,lookups90!$P$4:$P$999,"",0)=0,"",_xlfn.XLOOKUP(E32,lookups90!$B$4:$B$999,lookups90!$P$4:$P$999,"",0)),"")</f>
        <v/>
      </c>
      <c r="AB32" s="20" t="str">
        <f>IF(AA32&lt;&gt;"", J32-_xlfn.XLOOKUP(E32,lookups90!$B$4:$B$999,lookups90!$D$4:$D$999, "",0),"")</f>
        <v/>
      </c>
      <c r="AC32" s="20" t="str">
        <f>IF(AA32&lt;&gt;"",D32*_xlfn.XLOOKUP(E32,lookups90!$B$4:$B$999,lookups90!$Q$4:$Q$999, "",0),"")</f>
        <v/>
      </c>
      <c r="AD32" s="20" t="str" cm="1">
        <f t="array" ref="AD32">IF(AA32&lt;&gt;"", _xlfn.IFS(OR(E32="Fix Slide Window", E32="Slide Slide Window", E32="Fix Slide Door", E32="Slide Slide Door", E32="Fix Slide Door - with Screen", E32="Slide Slide Door - with Screen"), (K32-_xlfn.XLOOKUP(E32,lookups90!$B$4:$B$999,lookups90!$F$4:$F$999, "",0)-_xlfn.XLOOKUP(E32,lookups90!$B$4:$B$999,lookups90!$G$4:$G$999, "",0)+_xlfn.XLOOKUP(E32,lookups90!$B$4:$B$999,lookups90!$H$4:$H$999, "",0))/2+_xlfn.XLOOKUP(E32,lookups90!$B$4:$B$999,lookups90!$I$4:$I$999, "",0), OR(E32="Fix Slide Slide Fix Window", E32="Fix Slide Slide Fix Door - with Screen", E32="Fix Slide Slide Fix Door"),  (K32-_xlfn.XLOOKUP(E32,lookups90!$B$4:$B$999,lookups90!$F$4:$F$999, "",0)-_xlfn.XLOOKUP(E32,lookups90!$B$4:$B$999,lookups90!$G$4:$G$999, "",0)+_xlfn.XLOOKUP(E32,lookups90!$B$4:$B$999,lookups90!$H$4:$H$999, "",0)+_xlfn.XLOOKUP(E32,lookups90!$B$4:$B$999,lookups90!$H$4:$H$999, "",0))/4+_xlfn.XLOOKUP(E32,lookups90!$B$4:$B$999,lookups90!$I$4:$I$999, "",0), E32="Fix Slide Slide Door", (K32-_xlfn.XLOOKUP(E32,lookups90!$B$4:$B$999,lookups90!$F$4:$F$999, "",0)-_xlfn.XLOOKUP(E32,lookups90!$B$4:$B$999,lookups90!$G$4:$G$999, "",0)+_xlfn.XLOOKUP(E32,lookups90!$B$4:$B$999,lookups90!$H$4:$H$999, "",0)+_xlfn.XLOOKUP(E32,lookups90!$B$4:$B$999,lookups90!$H$4:$H$999, "",0))/3+_xlfn.XLOOKUP(E32,lookups90!$B$4:$B$999,lookups90!$I$4:$I$999, "",0) ),"")</f>
        <v/>
      </c>
      <c r="AE32" s="20" t="str">
        <f>IF(AA32&lt;&gt;"",D32*_xlfn.XLOOKUP(E32,lookups90!$B$4:$B$999,lookups90!$R$4:$R$999, "",0),"")</f>
        <v/>
      </c>
      <c r="AG32" s="20" t="str">
        <f>IF(AH32&lt;&gt;"", J32-_xlfn.XLOOKUP(E32,lookups90!$B$4:$B$999,lookups90!$D$4:$D$999, "",0),"")</f>
        <v/>
      </c>
      <c r="AH32" s="20" t="str">
        <f>IF(_xlfn.XLOOKUP(E32,lookups90!$B$4:$B$999,lookups90!$V$4:$V$999,"",0)=0,"",D32*_xlfn.XLOOKUP(E32,lookups90!$B$4:$B$999,lookups90!$V$4:$V$999,"",0))</f>
        <v/>
      </c>
      <c r="AI32" s="20" t="str" cm="1">
        <f t="array" ref="AI32">IF(AH32&lt;&gt;"", _xlfn.IFS(OR(E32="Fix Slide Window", E32="Slide Slide Window"), (K32-_xlfn.XLOOKUP(E32,lookups90!$B$4:$B$999,lookups90!$F$4:$F$999, "",0)-_xlfn.XLOOKUP(E32,lookups90!$B$4:$B$999,lookups90!$G$4:$G$999, "",0)+_xlfn.XLOOKUP(E32,lookups90!$B$4:$B$999,lookups90!$H$4:$H$999, "",0))/2+_xlfn.XLOOKUP(E32,lookups90!$B$4:$B$999,lookups90!$I$4:$I$999, "",0), OR(E32="Fix Slide Slide Fix Window"),  (K32-_xlfn.XLOOKUP(E32,lookups90!$B$4:$B$999,lookups90!$F$4:$F$999, "",0)+_xlfn.XLOOKUP(E32,lookups90!$B$4:$B$999,lookups90!$H$4:$H$999, "",0)+_xlfn.XLOOKUP(E32,lookups90!$B$4:$B$999,lookups90!$H$4:$H$999, "",0))/4+_xlfn.XLOOKUP(E32,lookups90!$B$4:$B$999,lookups90!$I$4:$I$999, "",0)),"")</f>
        <v/>
      </c>
      <c r="AJ32" s="20" t="str">
        <f>IF(_xlfn.XLOOKUP(E32,lookups90!$B$4:$B$999,lookups90!$V$4:$V$999,"",0)=0,"",D32*_xlfn.XLOOKUP(E32,lookups90!$B$4:$B$999,lookups90!$W$4:$W$999,"",0))</f>
        <v/>
      </c>
      <c r="AL32" s="20" t="str" cm="1">
        <f t="array" ref="AL32">IF(AM32&lt;&gt;"", _xlfn.IFS(OR(E32="Fix Slide Door - with Screen", E32="Slide Slide Door - with Screen"), (K32-_xlfn.XLOOKUP(E32,lookups90!$B$4:$B$999,lookups90!$F$4:$F$999, "",0)-_xlfn.XLOOKUP(E32,lookups90!$B$4:$B$999,lookups90!$G$4:$G$999, "",0)+_xlfn.XLOOKUP(E32,lookups90!$B$4:$B$999,lookups90!$H$4:$H$999, "",0))/2+_xlfn.XLOOKUP(E32,lookups90!$B$4:$B$999,lookups90!$I$4:$I$999, "",0), OR( E32="Fix Slide Slide Fix Door - with Screen",  E32="Fix Slide Slide Door"),  (K32-_xlfn.XLOOKUP(E32,lookups90!$B$4:$B$999,lookups90!$F$4:$F$999, "",0)-_xlfn.XLOOKUP(E32,lookups90!$B$4:$B$999,lookups90!$G$4:$G$999, "",0)+_xlfn.XLOOKUP(E32,lookups90!$B$4:$B$999,lookups90!$H$4:$H$999, "",0)+_xlfn.XLOOKUP(E32,lookups90!$B$4:$B$999,lookups90!$H$4:$H$999, "",0))/4+_xlfn.XLOOKUP(E32,lookups90!$B$4:$B$999,lookups90!$I$4:$I$999, "",0)),"")</f>
        <v/>
      </c>
      <c r="AM32" s="20" t="str">
        <f>IF(_xlfn.XLOOKUP(E32,lookups90!$B$4:$B$999,lookups90!$AA$4:$AA$999,"",0)=0,"",D32*_xlfn.XLOOKUP(E32,lookups90!$B$4:$B$999,lookups90!$AA$4:$AA$999,"",0))</f>
        <v/>
      </c>
      <c r="AO32" s="20" t="str">
        <f>IFERROR(IF(C32&lt;&gt;"", T32-_xlfn.XLOOKUP(E32,lookups90!$B$4:$B$999,lookups90!$AE$4:$AE$999, "",0),""),"")</f>
        <v/>
      </c>
      <c r="AP32" s="20" t="str">
        <f>IF(_xlfn.XLOOKUP(E32,lookups90!$B$4:$B$999,lookups90!$AG$4:$AG$999,"",0)=0,"",D32*_xlfn.XLOOKUP(E32,lookups90!$B$4:$B$999,lookups90!$AG$4:$AG$999,"",0))</f>
        <v/>
      </c>
      <c r="AQ32" s="20" t="str">
        <f>IF(V32&lt;&gt;"", T32-_xlfn.XLOOKUP(E32,lookups90!$B$4:$B$999,lookups90!$AE$4:$AE$999, "",0)+_xlfn.XLOOKUP(E32,lookups90!$B$4:$B$999,lookups90!$AF$4:$AF$999, "",0),"")</f>
        <v/>
      </c>
      <c r="AR32" s="20" t="str">
        <f>IFERROR(IF(_xlfn.XLOOKUP(E32,lookups90!$B$4:$B$999,lookups90!$AH$4:$AH$999,"",0)=0,"",D32*_xlfn.XLOOKUP(E32,lookups90!$B$4:$B$999,lookups90!$AH$4:$AH$999,"",0)),"")</f>
        <v/>
      </c>
      <c r="AT32" s="20" t="str">
        <f>IF(OR(E32="Fix Slide Slide Fix Window", E32="Fix Slide Slide Fix Door", E32="Fix Slide Slide Fix Door - with Screen", E32="Fix Slide Slide Door"), T32-_xlfn.XLOOKUP(E32,lookups90!$B$4:$B$999,lookups90!$AE$4:$AE$999,"",0),"")</f>
        <v/>
      </c>
      <c r="AU32" s="20" t="str">
        <f>IFERROR(IF(_xlfn.XLOOKUP(E32,lookups90!$B$4:$B$999,lookups90!$AL$4:$AL$999,"",0)=0,"",D32*_xlfn.XLOOKUP(E32,lookups90!$B$4:$B$999,lookups90!$AL$4:$AL$999,"",0)),"")</f>
        <v/>
      </c>
      <c r="AW32" s="20" t="str">
        <f>IF(C32&lt;&gt;"", T32-_xlfn.XLOOKUP(E32,lookups90!$B$4:$B$999,lookups90!$AP$4:$AP$999,"",0),"")</f>
        <v/>
      </c>
      <c r="AX32" s="20" t="str">
        <f>IFERROR(IF(_xlfn.XLOOKUP(E32,lookups90!$B$4:$B$999,lookups90!$AR$4:$AR$999,"",0)=0,"",D32*_xlfn.XLOOKUP(E32,lookups90!$B$4:$B$999,lookups90!$AR$4:$AR$999,"",0)),"")</f>
        <v/>
      </c>
      <c r="AY32" s="24" t="str">
        <f>IF(V32&lt;&gt;"", V32-_xlfn.XLOOKUP(E32,lookups90!$B$4:$B$999,lookups90!$AP$4:$AP$999,"",0),"")</f>
        <v/>
      </c>
      <c r="AZ32" s="20" t="str">
        <f>IFERROR(IF(_xlfn.XLOOKUP(E32,lookups90!$B$4:$B$999,lookups90!$AS$4:$AS$999,"",0)=0,"",D32*_xlfn.XLOOKUP(E32,lookups90!$B$4:$B$999,lookups90!$AS$4:$AS$999,"",0)),"")</f>
        <v/>
      </c>
      <c r="BA32" s="20" t="str">
        <f>IF(X32&lt;&gt;"", X32-_xlfn.XLOOKUP(E32,lookups90!$B$4:$B$999,lookups90!$AQ$4:$AQ$999,"",0),"")</f>
        <v/>
      </c>
      <c r="BB32" s="20" t="str">
        <f>IFERROR(IF(_xlfn.XLOOKUP(E32,lookups90!$B$4:$B$999,lookups90!$AT$4:$AT$999,"",0)=0,"",D32*_xlfn.XLOOKUP(E32,lookups90!$B$4:$B$999,lookups90!$AT$4:$AT$999,"",0)),"")</f>
        <v/>
      </c>
      <c r="BD32" s="20" t="str">
        <f>IF(C32&lt;&gt;"", N32-_xlfn.XLOOKUP(E32,lookups90!$B$4:$B$999,lookups90!$AX$4:$AX$999,"",0)+M32,"")</f>
        <v/>
      </c>
      <c r="BE32" s="20" t="str">
        <f>IFERROR(IF(_xlfn.XLOOKUP(E32,lookups90!$B$4:$B$999,lookups90!$AY$4:$AY$999,"",0)=0,"",D32*_xlfn.XLOOKUP(E32,lookups90!$B$4:$B$999,lookups90!$AY$4:$AY$999,"",0)),"")</f>
        <v/>
      </c>
      <c r="BF32" s="20" t="str">
        <f>IF(C32&lt;&gt;"", P32-_xlfn.XLOOKUP(E32,lookups90!$B$4:$B$999,lookups90!$AX$4:$AX$999,"",0)+M32,"")</f>
        <v/>
      </c>
      <c r="BG32" s="20" t="str">
        <f>IFERROR(IF(_xlfn.XLOOKUP(E32,lookups90!$B$4:$B$999,lookups90!$AZ$4:$AZ$999,"",0)=0,"",D32*_xlfn.XLOOKUP(E32,lookups90!$B$4:$B$999,lookups90!$AZ$4:$AZ$999,"",0)),"")</f>
        <v/>
      </c>
      <c r="BI32" s="20" t="str">
        <f>IF(C32&lt;&gt;"", T32-_xlfn.XLOOKUP(E32,lookups90!$B$4:$B$999,lookups90!$BA$4:$BA$999,"",0),"")</f>
        <v/>
      </c>
      <c r="BJ32" s="20" t="str">
        <f>IFERROR(IF(_xlfn.XLOOKUP(E32,lookups90!$B$4:$B$999,lookups90!$BB$4:$BB$999,"",0)=0,"",D32*_xlfn.XLOOKUP(E32,lookups90!$B$4:$B$999,lookups90!$BB$4:$BB$999,"",0)),"")</f>
        <v/>
      </c>
      <c r="BK32" s="20" t="str">
        <f>IF(V32&lt;&gt;"", V32-_xlfn.XLOOKUP(E32,lookups90!$B$4:$B$999,lookups90!$BA$4:$BA$999,"",0),"")</f>
        <v/>
      </c>
      <c r="BL32" s="20" t="str">
        <f>IFERROR(IF(_xlfn.XLOOKUP(E32,lookups90!$B$4:$B$999,lookups90!$BC$4:$BC$999,"",0)=0,"",D32*_xlfn.XLOOKUP(E32,lookups90!$B$4:$B$999,lookups90!$BC$4:$BC$999,"",0)),"")</f>
        <v/>
      </c>
      <c r="BM32" s="20" t="str">
        <f>IF(C32&lt;&gt;"", X32-_xlfn.XLOOKUP(E32,lookups90!$B$4:$B$999,lookups90!$BA$4:$BA$999,"",0),"")</f>
        <v/>
      </c>
      <c r="BN32" s="20" t="str">
        <f>IFERROR(IF(_xlfn.XLOOKUP(E32,lookups90!$B$4:$B$999,lookups90!$BD$4:$BD$999,"",0)=0,"",D32*_xlfn.XLOOKUP(E32,lookups90!$B$4:$B$999,lookups90!$BD$4:$BD$999,"",0)),"")</f>
        <v/>
      </c>
      <c r="BP32" s="20" t="str">
        <f>IF(AB32&lt;&gt;"", AB32-_xlfn.XLOOKUP(E32,lookups90!$B$4:$B$999,lookups90!$BE$4:$BE$999,"",0),"")</f>
        <v/>
      </c>
      <c r="BQ32" s="20" t="str">
        <f>IFERROR(IF(_xlfn.XLOOKUP(E32,lookups90!$B$4:$B$999,lookups90!$BF$4:$BF$999,"",0)=0,"",D32*_xlfn.XLOOKUP(E32,lookups90!$B$4:$B$999,lookups90!$BF$4:$BF$999,"",0)),"")</f>
        <v/>
      </c>
      <c r="BR32" s="20" t="str" cm="1">
        <f t="array" ref="BR32">_xlfn.IFS(BP32="","",OR(E32="Fix Slide Door - with Screen",E32="Slide Slide Door - with Screen"),(K32-_xlfn.XLOOKUP(E32,lookups90!$B$4:$B$999,lookups90!$F$4:$F$999,"",0)-_xlfn.XLOOKUP(E32,lookups90!$B$4:$B$999,lookups90!$G$4:$G$999,"",0)+_xlfn.XLOOKUP(E32,lookups90!$B$4:$B$999,lookups90!$H$4:$H$999,"",0))/2+_xlfn.XLOOKUP(E32,lookups90!$B$4:$B$999,lookups90!$I$4:$I$999,"",0)-_xlfn.XLOOKUP(E32,lookups90!$B$4:$B$999,lookups90!$BE$4:$BE$999,"",0), E32="Fix Slide Slide Fix Door - with Screen",(K32-_xlfn.XLOOKUP(E32,lookups90!$B$4:$B$999,lookups90!$F$4:$F$999,"",0)-_xlfn.XLOOKUP(E32,lookups90!$B$4:$B$999,lookups90!$G$4:$G$999,"",0)+_xlfn.XLOOKUP(E32,lookups90!$B$4:$B$999,lookups90!$H$4:$H$999,"",0)+_xlfn.XLOOKUP(E32,lookups90!$B$4:$B$999,lookups90!$H$4:$H$999,"",0))/4+_xlfn.XLOOKUP(E32,lookups90!$B$4:$B$999,lookups90!$I$4:$I$999,"",0)-_xlfn.XLOOKUP(E32,lookups90!$B$4:$B$999,lookups90!$BE$4:$BE$999,"",0))</f>
        <v/>
      </c>
      <c r="BS32" s="20" t="str">
        <f>IFERROR(IF(_xlfn.XLOOKUP(E32,lookups90!$B$4:$B$999,lookups90!$BG$4:$BG$999,"",0)=0,"",D32*_xlfn.XLOOKUP(E32,lookups90!$B$4:$B$999,lookups90!$BG$4:$BG$999,"",0)),"")</f>
        <v/>
      </c>
      <c r="BU32" s="20" t="str">
        <f>IF(AG32&lt;&gt;"",AG32-_xlfn.XLOOKUP(E32,lookups90!$B$4:$B$999,lookups90!$BA$4:$BA$999,"",0),"")</f>
        <v/>
      </c>
      <c r="BV32" s="20" t="str">
        <f>IFERROR(IF(_xlfn.XLOOKUP(E32,lookups90!$B$4:$B$999,lookups90!$BH$4:$BH$999,"",0)=0,"",D32*_xlfn.XLOOKUP(E32,lookups90!$B$4:$B$999,lookups90!$BH$4:$BH$999,"",0)),"")</f>
        <v/>
      </c>
      <c r="BW32" s="20" t="str" cm="1">
        <f t="array" ref="BW32">_xlfn.IFS(BU32="","",OR(E32="Fix Slide Window",E32="Slide Slide Window"),(K32-_xlfn.XLOOKUP(E32,lookups90!$B$4:$B$999,lookups90!$F$4:$F$999,"",0)-_xlfn.XLOOKUP(E32,lookups90!$B$4:$B$999,lookups90!$G$4:$G$999,"",0)+_xlfn.XLOOKUP(E32,lookups90!$B$4:$B$999,lookups90!$H$4:$H$999,"",0))/2+_xlfn.XLOOKUP(E32,lookups90!$B$4:$B$999,lookups90!$I$4:$I$999,"",0)-_xlfn.XLOOKUP(E32,lookups90!$B$4:$B$999,lookups90!$BA$4:$BA$999,"",0), E32="Fix Slide Slide Fix Window",(K32-_xlfn.XLOOKUP(E32,lookups90!$B$4:$B$999,lookups90!$F$4:$F$999,"",0)-_xlfn.XLOOKUP(E32,lookups90!$B$4:$B$999,lookups90!$G$4:$G$999,"",0)+_xlfn.XLOOKUP(E32,lookups90!$B$4:$B$999,lookups90!$H$4:$H$999,"",0)+_xlfn.XLOOKUP(E32,lookups90!$B$4:$B$999,lookups90!$H$4:$H$999,"",0))/4+_xlfn.XLOOKUP(E32,lookups90!$B$4:$B$999,lookups90!$I$4:$I$999,"",0)-_xlfn.XLOOKUP(E32,lookups90!$B$4:$B$999,lookups90!$BA$4:$BA$999,"",0))</f>
        <v/>
      </c>
      <c r="BX32" s="20" t="str">
        <f>IFERROR(IF(_xlfn.XLOOKUP(E32,lookups90!$B$4:$B$999,lookups90!$BI$4:$BI$999,"",0)=0,"",D32*_xlfn.XLOOKUP(E32,lookups90!$B$4:$B$999,lookups90!$BI$4:$BI$999,"",0)),"")</f>
        <v/>
      </c>
      <c r="BZ32" s="20" t="str">
        <f>IF(AL32&lt;&gt;"", AL32-_xlfn.XLOOKUP(E32,lookups90!$B$4:$B$999,lookups90!$BJ$4:$BJ$999,"",0),"")</f>
        <v/>
      </c>
      <c r="CA32" s="20" t="str">
        <f>IFERROR(IF(_xlfn.XLOOKUP(E32,lookups90!$B$4:$B$999,lookups90!$BK$4:$BK$999,"",0)=0,"",D32*_xlfn.XLOOKUP(E32,lookups90!$B$4:$B$999,lookups90!$BK$4:$BK$999,"",0)),"")</f>
        <v/>
      </c>
      <c r="CC32" s="20" t="str">
        <f>IF(C32&lt;&gt;"", T32-_xlfn.XLOOKUP(E32,lookups90!$B$4:$B$999,lookups90!$BO$4:$BO$999,"",0)-_xlfn.XLOOKUP(E32,lookups90!$B$4:$B$999,lookups90!$BP$4:$BP$999,"",0),"")</f>
        <v/>
      </c>
      <c r="CD32" s="20" t="str">
        <f>IF(C32&lt;&gt;"", X32-_xlfn.XLOOKUP(E32,lookups90!$B$4:$B$999,lookups90!$BQ$4:$BQ$999,"",0)-_xlfn.XLOOKUP(E32,lookups90!$B$4:$B$999,lookups90!$BR$4:$BR$999,"",0),"")</f>
        <v/>
      </c>
      <c r="CE32" s="20" t="str">
        <f>IFERROR(IF(_xlfn.XLOOKUP(E32,lookups90!$B$4:$B$999,lookups90!$BS$4:$BS$999,"",0)=0,"",D32*_xlfn.XLOOKUP(E32,lookups90!$B$4:$B$999,lookups90!$BS$4:$BS$999,"",0)),"")</f>
        <v/>
      </c>
      <c r="CF32" s="20" t="str">
        <f>IF(V32&lt;&gt;"", V32-_xlfn.XLOOKUP(E32,lookups90!$B$4:$B$999,lookups90!$BO$4:$BO$999,"",0)-_xlfn.XLOOKUP(E32,lookups90!$B$4:$B$999,lookups90!$BP$4:$BP$999,"",0),"")</f>
        <v/>
      </c>
      <c r="CG32" s="20" t="str">
        <f>IF(CF32&lt;&gt;"", X32-_xlfn.XLOOKUP(E32,lookups90!$B$4:$B$999,lookups90!$BQ$4:$BQ$999,"",0)-_xlfn.XLOOKUP(E32,lookups90!$B$4:$B$999,lookups90!$BR$4:$BR$999,"",0),"")</f>
        <v/>
      </c>
      <c r="CH32" s="20" t="str">
        <f>IFERROR(IF(_xlfn.XLOOKUP(E32,lookups90!$B$4:$B$999,lookups90!$BT$4:$BT$999,"",0)=0,"",D32*_xlfn.XLOOKUP(E32,lookups90!$B$4:$B$999,lookups90!$BT$4:$BT$999,"",0)),"")</f>
        <v/>
      </c>
      <c r="CJ32" s="22" t="str">
        <f t="shared" si="5"/>
        <v/>
      </c>
      <c r="CL32" s="22" t="str" cm="1">
        <f t="array" ref="CL32">IF(D32&lt;&gt;"",((((J32+K32)*2)/500)+(2*_xlfn.IFS(OR(E32="Fix Slide Window", E32="Slide Slide Window", E32="Fix Slide Slide Fix Window"), 2, E32="Slide Slide Door - with Screen", 8, E32&lt;&gt;"",4)))*D32,"")</f>
        <v/>
      </c>
      <c r="CM32" s="22" t="str">
        <f t="shared" si="9"/>
        <v/>
      </c>
      <c r="CN32" s="22" t="str">
        <f t="shared" si="10"/>
        <v/>
      </c>
      <c r="CO32" s="22" t="str">
        <f t="shared" si="8"/>
        <v/>
      </c>
      <c r="CP32" s="22" t="str">
        <f t="shared" si="0"/>
        <v/>
      </c>
    </row>
    <row r="33" spans="3:94" x14ac:dyDescent="0.25">
      <c r="C33" s="16"/>
      <c r="D33" s="16"/>
      <c r="E33" s="16"/>
      <c r="F33" s="16"/>
      <c r="G33" s="16"/>
      <c r="H33" s="16"/>
      <c r="I33" s="16"/>
      <c r="J33" s="16"/>
      <c r="K33" s="16"/>
      <c r="M33" s="20" t="str">
        <f t="shared" si="1"/>
        <v/>
      </c>
      <c r="N33" s="20" t="str" cm="1">
        <f t="array" ref="N33">IFERROR(_xlfn.IFS(OR(E33="Fix Awning (Vertical)", E33="Fix Awning (Horizontal)"), J33/2+20,C33&lt;&gt;"", J33+M33),"")</f>
        <v/>
      </c>
      <c r="O33" s="20" t="str">
        <f t="shared" si="2"/>
        <v/>
      </c>
      <c r="P33" s="20" t="str">
        <f t="shared" si="3"/>
        <v/>
      </c>
      <c r="Q33" s="20" t="str">
        <f t="shared" si="4"/>
        <v/>
      </c>
      <c r="S33" s="20" t="str">
        <f>IF(C33&lt;&gt;"", _xlfn.XLOOKUP(E33,lookups90!$B$4:$B$999,lookups90!$C$4:$C$999,"",0),"")</f>
        <v/>
      </c>
      <c r="T33" s="20" t="str">
        <f>IF(C33&lt;&gt;"", J33-_xlfn.XLOOKUP(E33,lookups90!$B$4:$B$999,lookups90!$D$4:$D$999, "",0),"")</f>
        <v/>
      </c>
      <c r="U33" s="20" t="str">
        <f>IF(T33&lt;&gt;"",D33*_xlfn.XLOOKUP(E33,lookups90!$B$4:$B$999,lookups90!$J$4:$J$999, "",0),"")</f>
        <v/>
      </c>
      <c r="V33" s="20" t="str">
        <f>IF(AND(C33&lt;&gt;"", E33&lt;&gt;"Slide Slide Window", E33&lt;&gt;"Slide Slide Door", E33&lt;&gt;"Slide Slide Door - with Screen"), J33-_xlfn.XLOOKUP(E33,lookups90!$B$4:$B$999,lookups90!$E$4:$E$999, "",0),"")</f>
        <v/>
      </c>
      <c r="W33" s="20" t="str">
        <f>IF(V33&lt;&gt;"",D33*_xlfn.XLOOKUP(E33,lookups90!$B$4:$B$999,lookups90!$K$4:$K$999, "",0),"")</f>
        <v/>
      </c>
      <c r="X33" s="20" t="str" cm="1">
        <f t="array" ref="X33">IFERROR(_xlfn.IFS(OR(E33="Fix Slide Window", E33="Slide Slide Window", E33="Fix Slide Door", E33="Slide Slide Door", E33="Fix Slide Door - with Screen", E33="Slide Slide Door - with Screen"), (K33-_xlfn.XLOOKUP(E33,lookups90!$B$4:$B$999,lookups90!$F$4:$F$999, "",0)-_xlfn.XLOOKUP(E33,lookups90!$B$4:$B$999,lookups90!$G$4:$G$999, "",0)+_xlfn.XLOOKUP(E33,lookups90!$B$4:$B$999,lookups90!$H$4:$H$999, "",0))/2+_xlfn.XLOOKUP(E33,lookups90!$B$4:$B$999,lookups90!$I$4:$I$999, "",0), OR(E33="Fix Slide Slide Fix Window", E33="Fix Slide Slide Fix Door - with Screen", E33="Fix Slide Slide Fix Door"),  (K33-_xlfn.XLOOKUP(E33,lookups90!$B$4:$B$999,lookups90!$F$4:$F$999, "",0)-_xlfn.XLOOKUP(E33,lookups90!$B$4:$B$999,lookups90!$G$4:$G$999, "",0)+_xlfn.XLOOKUP(E33,lookups90!$B$4:$B$999,lookups90!$H$4:$H$999, "",0)+_xlfn.XLOOKUP(E33,lookups90!$B$4:$B$999,lookups90!$H$4:$H$999, "",0))/4+_xlfn.XLOOKUP(E33,lookups90!$B$4:$B$999,lookups90!$I$4:$I$999, "",0), E33="Fix Slide Slide Door", (K33-_xlfn.XLOOKUP(E33,lookups90!$B$4:$B$999,lookups90!$F$4:$F$999, "",0)-_xlfn.XLOOKUP(E33,lookups90!$B$4:$B$999,lookups90!$G$4:$G$999, "",0)+_xlfn.XLOOKUP(E33,lookups90!$B$4:$B$999,lookups90!$H$4:$H$999, "",0)+_xlfn.XLOOKUP(E33,lookups90!$B$4:$B$999,lookups90!$H$4:$H$999, "",0))/3+_xlfn.XLOOKUP(E33,lookups90!$B$4:$B$999,lookups90!$I$4:$I$999, "",0),E33="Fix Slide Slide Slide Slide Fix Dr",  (K33-_xlfn.XLOOKUP(E33,lookups90!$B$4:$B$999,lookups90!$F$4:$F$999, "",0)-_xlfn.XLOOKUP(E33,lookups90!$B$4:$B$999,lookups90!$G$4:$G$999, "",0)+_xlfn.XLOOKUP(E33,lookups90!$B$4:$B$999,lookups90!$H$4:$H$999, "",0)+_xlfn.XLOOKUP(E33,lookups90!$B$4:$B$999,lookups90!$H$4:$H$999, "",0)+_xlfn.XLOOKUP(E33,lookups90!$B$4:$B$999,lookups90!$H$4:$H$999, "",0)+_xlfn.XLOOKUP(E33,lookups90!$B$4:$B$999,lookups90!$H$4:$H$999, "",0))/6+_xlfn.XLOOKUP(E33,lookups90!$B$4:$B$999,lookups90!$I$4:$I$999, "",0), E33="Fix Slide Slide Slide Slide Slide Slide Fix Dr",  (K33-_xlfn.XLOOKUP(E33,lookups90!$B$4:$B$999,lookups90!$F$4:$F$999, "",0)-_xlfn.XLOOKUP(E33,lookups90!$B$4:$B$999,lookups90!$G$4:$G$999, "",0)+_xlfn.XLOOKUP(E33,lookups90!$B$4:$B$999,lookups90!$H$4:$H$999, "",0)+_xlfn.XLOOKUP(E33,lookups90!$B$4:$B$999,lookups90!$H$4:$H$999, "",0)+_xlfn.XLOOKUP(E33,lookups90!$B$4:$B$999,lookups90!$H$4:$H$999, "",0)+_xlfn.XLOOKUP(E33,lookups90!$B$4:$B$999,lookups90!$H$4:$H$999, "",0)+_xlfn.XLOOKUP(E33,lookups90!$B$4:$B$999,lookups90!$H$4:$H$999, "",0)+_xlfn.XLOOKUP(E33,lookups90!$B$4:$B$999,lookups90!$H$4:$H$999, "",0))/8+_xlfn.XLOOKUP(E33,lookups90!$B$4:$B$999,lookups90!$I$4:$I$999, "",0)),"")</f>
        <v/>
      </c>
      <c r="Y33" s="20" t="str">
        <f>IF(X33&lt;&gt;"",D33*_xlfn.XLOOKUP(E33,lookups90!$B$4:$B$999,lookups90!$L$4:$L$999, "",0),"")</f>
        <v/>
      </c>
      <c r="AA33" s="20" t="str">
        <f>IF(C33&lt;&gt;"", IF(_xlfn.XLOOKUP(E33,lookups90!$B$4:$B$999,lookups90!$P$4:$P$999,"",0)=0,"",_xlfn.XLOOKUP(E33,lookups90!$B$4:$B$999,lookups90!$P$4:$P$999,"",0)),"")</f>
        <v/>
      </c>
      <c r="AB33" s="20" t="str">
        <f>IF(AA33&lt;&gt;"", J33-_xlfn.XLOOKUP(E33,lookups90!$B$4:$B$999,lookups90!$D$4:$D$999, "",0),"")</f>
        <v/>
      </c>
      <c r="AC33" s="20" t="str">
        <f>IF(AA33&lt;&gt;"",D33*_xlfn.XLOOKUP(E33,lookups90!$B$4:$B$999,lookups90!$Q$4:$Q$999, "",0),"")</f>
        <v/>
      </c>
      <c r="AD33" s="20" t="str" cm="1">
        <f t="array" ref="AD33">IF(AA33&lt;&gt;"", _xlfn.IFS(OR(E33="Fix Slide Window", E33="Slide Slide Window", E33="Fix Slide Door", E33="Slide Slide Door", E33="Fix Slide Door - with Screen", E33="Slide Slide Door - with Screen"), (K33-_xlfn.XLOOKUP(E33,lookups90!$B$4:$B$999,lookups90!$F$4:$F$999, "",0)-_xlfn.XLOOKUP(E33,lookups90!$B$4:$B$999,lookups90!$G$4:$G$999, "",0)+_xlfn.XLOOKUP(E33,lookups90!$B$4:$B$999,lookups90!$H$4:$H$999, "",0))/2+_xlfn.XLOOKUP(E33,lookups90!$B$4:$B$999,lookups90!$I$4:$I$999, "",0), OR(E33="Fix Slide Slide Fix Window", E33="Fix Slide Slide Fix Door - with Screen", E33="Fix Slide Slide Fix Door"),  (K33-_xlfn.XLOOKUP(E33,lookups90!$B$4:$B$999,lookups90!$F$4:$F$999, "",0)-_xlfn.XLOOKUP(E33,lookups90!$B$4:$B$999,lookups90!$G$4:$G$999, "",0)+_xlfn.XLOOKUP(E33,lookups90!$B$4:$B$999,lookups90!$H$4:$H$999, "",0)+_xlfn.XLOOKUP(E33,lookups90!$B$4:$B$999,lookups90!$H$4:$H$999, "",0))/4+_xlfn.XLOOKUP(E33,lookups90!$B$4:$B$999,lookups90!$I$4:$I$999, "",0), E33="Fix Slide Slide Door", (K33-_xlfn.XLOOKUP(E33,lookups90!$B$4:$B$999,lookups90!$F$4:$F$999, "",0)-_xlfn.XLOOKUP(E33,lookups90!$B$4:$B$999,lookups90!$G$4:$G$999, "",0)+_xlfn.XLOOKUP(E33,lookups90!$B$4:$B$999,lookups90!$H$4:$H$999, "",0)+_xlfn.XLOOKUP(E33,lookups90!$B$4:$B$999,lookups90!$H$4:$H$999, "",0))/3+_xlfn.XLOOKUP(E33,lookups90!$B$4:$B$999,lookups90!$I$4:$I$999, "",0) ),"")</f>
        <v/>
      </c>
      <c r="AE33" s="20" t="str">
        <f>IF(AA33&lt;&gt;"",D33*_xlfn.XLOOKUP(E33,lookups90!$B$4:$B$999,lookups90!$R$4:$R$999, "",0),"")</f>
        <v/>
      </c>
      <c r="AG33" s="20" t="str">
        <f>IF(AH33&lt;&gt;"", J33-_xlfn.XLOOKUP(E33,lookups90!$B$4:$B$999,lookups90!$D$4:$D$999, "",0),"")</f>
        <v/>
      </c>
      <c r="AH33" s="20" t="str">
        <f>IF(_xlfn.XLOOKUP(E33,lookups90!$B$4:$B$999,lookups90!$V$4:$V$999,"",0)=0,"",D33*_xlfn.XLOOKUP(E33,lookups90!$B$4:$B$999,lookups90!$V$4:$V$999,"",0))</f>
        <v/>
      </c>
      <c r="AI33" s="20" t="str" cm="1">
        <f t="array" ref="AI33">IF(AH33&lt;&gt;"", _xlfn.IFS(OR(E33="Fix Slide Window", E33="Slide Slide Window"), (K33-_xlfn.XLOOKUP(E33,lookups90!$B$4:$B$999,lookups90!$F$4:$F$999, "",0)-_xlfn.XLOOKUP(E33,lookups90!$B$4:$B$999,lookups90!$G$4:$G$999, "",0)+_xlfn.XLOOKUP(E33,lookups90!$B$4:$B$999,lookups90!$H$4:$H$999, "",0))/2+_xlfn.XLOOKUP(E33,lookups90!$B$4:$B$999,lookups90!$I$4:$I$999, "",0), OR(E33="Fix Slide Slide Fix Window"),  (K33-_xlfn.XLOOKUP(E33,lookups90!$B$4:$B$999,lookups90!$F$4:$F$999, "",0)+_xlfn.XLOOKUP(E33,lookups90!$B$4:$B$999,lookups90!$H$4:$H$999, "",0)+_xlfn.XLOOKUP(E33,lookups90!$B$4:$B$999,lookups90!$H$4:$H$999, "",0))/4+_xlfn.XLOOKUP(E33,lookups90!$B$4:$B$999,lookups90!$I$4:$I$999, "",0)),"")</f>
        <v/>
      </c>
      <c r="AJ33" s="20" t="str">
        <f>IF(_xlfn.XLOOKUP(E33,lookups90!$B$4:$B$999,lookups90!$V$4:$V$999,"",0)=0,"",D33*_xlfn.XLOOKUP(E33,lookups90!$B$4:$B$999,lookups90!$W$4:$W$999,"",0))</f>
        <v/>
      </c>
      <c r="AL33" s="20" t="str" cm="1">
        <f t="array" ref="AL33">IF(AM33&lt;&gt;"", _xlfn.IFS(OR(E33="Fix Slide Door - with Screen", E33="Slide Slide Door - with Screen"), (K33-_xlfn.XLOOKUP(E33,lookups90!$B$4:$B$999,lookups90!$F$4:$F$999, "",0)-_xlfn.XLOOKUP(E33,lookups90!$B$4:$B$999,lookups90!$G$4:$G$999, "",0)+_xlfn.XLOOKUP(E33,lookups90!$B$4:$B$999,lookups90!$H$4:$H$999, "",0))/2+_xlfn.XLOOKUP(E33,lookups90!$B$4:$B$999,lookups90!$I$4:$I$999, "",0), OR( E33="Fix Slide Slide Fix Door - with Screen",  E33="Fix Slide Slide Door"),  (K33-_xlfn.XLOOKUP(E33,lookups90!$B$4:$B$999,lookups90!$F$4:$F$999, "",0)-_xlfn.XLOOKUP(E33,lookups90!$B$4:$B$999,lookups90!$G$4:$G$999, "",0)+_xlfn.XLOOKUP(E33,lookups90!$B$4:$B$999,lookups90!$H$4:$H$999, "",0)+_xlfn.XLOOKUP(E33,lookups90!$B$4:$B$999,lookups90!$H$4:$H$999, "",0))/4+_xlfn.XLOOKUP(E33,lookups90!$B$4:$B$999,lookups90!$I$4:$I$999, "",0)),"")</f>
        <v/>
      </c>
      <c r="AM33" s="20" t="str">
        <f>IF(_xlfn.XLOOKUP(E33,lookups90!$B$4:$B$999,lookups90!$AA$4:$AA$999,"",0)=0,"",D33*_xlfn.XLOOKUP(E33,lookups90!$B$4:$B$999,lookups90!$AA$4:$AA$999,"",0))</f>
        <v/>
      </c>
      <c r="AO33" s="20" t="str">
        <f>IFERROR(IF(C33&lt;&gt;"", T33-_xlfn.XLOOKUP(E33,lookups90!$B$4:$B$999,lookups90!$AE$4:$AE$999, "",0),""),"")</f>
        <v/>
      </c>
      <c r="AP33" s="20" t="str">
        <f>IF(_xlfn.XLOOKUP(E33,lookups90!$B$4:$B$999,lookups90!$AG$4:$AG$999,"",0)=0,"",D33*_xlfn.XLOOKUP(E33,lookups90!$B$4:$B$999,lookups90!$AG$4:$AG$999,"",0))</f>
        <v/>
      </c>
      <c r="AQ33" s="20" t="str">
        <f>IF(V33&lt;&gt;"", T33-_xlfn.XLOOKUP(E33,lookups90!$B$4:$B$999,lookups90!$AE$4:$AE$999, "",0)+_xlfn.XLOOKUP(E33,lookups90!$B$4:$B$999,lookups90!$AF$4:$AF$999, "",0),"")</f>
        <v/>
      </c>
      <c r="AR33" s="20" t="str">
        <f>IFERROR(IF(_xlfn.XLOOKUP(E33,lookups90!$B$4:$B$999,lookups90!$AH$4:$AH$999,"",0)=0,"",D33*_xlfn.XLOOKUP(E33,lookups90!$B$4:$B$999,lookups90!$AH$4:$AH$999,"",0)),"")</f>
        <v/>
      </c>
      <c r="AT33" s="20" t="str">
        <f>IF(OR(E33="Fix Slide Slide Fix Window", E33="Fix Slide Slide Fix Door", E33="Fix Slide Slide Fix Door - with Screen", E33="Fix Slide Slide Door"), T33-_xlfn.XLOOKUP(E33,lookups90!$B$4:$B$999,lookups90!$AE$4:$AE$999,"",0),"")</f>
        <v/>
      </c>
      <c r="AU33" s="20" t="str">
        <f>IFERROR(IF(_xlfn.XLOOKUP(E33,lookups90!$B$4:$B$999,lookups90!$AL$4:$AL$999,"",0)=0,"",D33*_xlfn.XLOOKUP(E33,lookups90!$B$4:$B$999,lookups90!$AL$4:$AL$999,"",0)),"")</f>
        <v/>
      </c>
      <c r="AW33" s="20" t="str">
        <f>IF(C33&lt;&gt;"", T33-_xlfn.XLOOKUP(E33,lookups90!$B$4:$B$999,lookups90!$AP$4:$AP$999,"",0),"")</f>
        <v/>
      </c>
      <c r="AX33" s="20" t="str">
        <f>IFERROR(IF(_xlfn.XLOOKUP(E33,lookups90!$B$4:$B$999,lookups90!$AR$4:$AR$999,"",0)=0,"",D33*_xlfn.XLOOKUP(E33,lookups90!$B$4:$B$999,lookups90!$AR$4:$AR$999,"",0)),"")</f>
        <v/>
      </c>
      <c r="AY33" s="24" t="str">
        <f>IF(V33&lt;&gt;"", V33-_xlfn.XLOOKUP(E33,lookups90!$B$4:$B$999,lookups90!$AP$4:$AP$999,"",0),"")</f>
        <v/>
      </c>
      <c r="AZ33" s="20" t="str">
        <f>IFERROR(IF(_xlfn.XLOOKUP(E33,lookups90!$B$4:$B$999,lookups90!$AS$4:$AS$999,"",0)=0,"",D33*_xlfn.XLOOKUP(E33,lookups90!$B$4:$B$999,lookups90!$AS$4:$AS$999,"",0)),"")</f>
        <v/>
      </c>
      <c r="BA33" s="20" t="str">
        <f>IF(X33&lt;&gt;"", X33-_xlfn.XLOOKUP(E33,lookups90!$B$4:$B$999,lookups90!$AQ$4:$AQ$999,"",0),"")</f>
        <v/>
      </c>
      <c r="BB33" s="20" t="str">
        <f>IFERROR(IF(_xlfn.XLOOKUP(E33,lookups90!$B$4:$B$999,lookups90!$AT$4:$AT$999,"",0)=0,"",D33*_xlfn.XLOOKUP(E33,lookups90!$B$4:$B$999,lookups90!$AT$4:$AT$999,"",0)),"")</f>
        <v/>
      </c>
      <c r="BD33" s="20" t="str">
        <f>IF(C33&lt;&gt;"", N33-_xlfn.XLOOKUP(E33,lookups90!$B$4:$B$999,lookups90!$AX$4:$AX$999,"",0)+M33,"")</f>
        <v/>
      </c>
      <c r="BE33" s="20" t="str">
        <f>IFERROR(IF(_xlfn.XLOOKUP(E33,lookups90!$B$4:$B$999,lookups90!$AY$4:$AY$999,"",0)=0,"",D33*_xlfn.XLOOKUP(E33,lookups90!$B$4:$B$999,lookups90!$AY$4:$AY$999,"",0)),"")</f>
        <v/>
      </c>
      <c r="BF33" s="20" t="str">
        <f>IF(C33&lt;&gt;"", P33-_xlfn.XLOOKUP(E33,lookups90!$B$4:$B$999,lookups90!$AX$4:$AX$999,"",0)+M33,"")</f>
        <v/>
      </c>
      <c r="BG33" s="20" t="str">
        <f>IFERROR(IF(_xlfn.XLOOKUP(E33,lookups90!$B$4:$B$999,lookups90!$AZ$4:$AZ$999,"",0)=0,"",D33*_xlfn.XLOOKUP(E33,lookups90!$B$4:$B$999,lookups90!$AZ$4:$AZ$999,"",0)),"")</f>
        <v/>
      </c>
      <c r="BI33" s="20" t="str">
        <f>IF(C33&lt;&gt;"", T33-_xlfn.XLOOKUP(E33,lookups90!$B$4:$B$999,lookups90!$BA$4:$BA$999,"",0),"")</f>
        <v/>
      </c>
      <c r="BJ33" s="20" t="str">
        <f>IFERROR(IF(_xlfn.XLOOKUP(E33,lookups90!$B$4:$B$999,lookups90!$BB$4:$BB$999,"",0)=0,"",D33*_xlfn.XLOOKUP(E33,lookups90!$B$4:$B$999,lookups90!$BB$4:$BB$999,"",0)),"")</f>
        <v/>
      </c>
      <c r="BK33" s="20" t="str">
        <f>IF(V33&lt;&gt;"", V33-_xlfn.XLOOKUP(E33,lookups90!$B$4:$B$999,lookups90!$BA$4:$BA$999,"",0),"")</f>
        <v/>
      </c>
      <c r="BL33" s="20" t="str">
        <f>IFERROR(IF(_xlfn.XLOOKUP(E33,lookups90!$B$4:$B$999,lookups90!$BC$4:$BC$999,"",0)=0,"",D33*_xlfn.XLOOKUP(E33,lookups90!$B$4:$B$999,lookups90!$BC$4:$BC$999,"",0)),"")</f>
        <v/>
      </c>
      <c r="BM33" s="20" t="str">
        <f>IF(C33&lt;&gt;"", X33-_xlfn.XLOOKUP(E33,lookups90!$B$4:$B$999,lookups90!$BA$4:$BA$999,"",0),"")</f>
        <v/>
      </c>
      <c r="BN33" s="20" t="str">
        <f>IFERROR(IF(_xlfn.XLOOKUP(E33,lookups90!$B$4:$B$999,lookups90!$BD$4:$BD$999,"",0)=0,"",D33*_xlfn.XLOOKUP(E33,lookups90!$B$4:$B$999,lookups90!$BD$4:$BD$999,"",0)),"")</f>
        <v/>
      </c>
      <c r="BP33" s="20" t="str">
        <f>IF(AB33&lt;&gt;"", AB33-_xlfn.XLOOKUP(E33,lookups90!$B$4:$B$999,lookups90!$BE$4:$BE$999,"",0),"")</f>
        <v/>
      </c>
      <c r="BQ33" s="20" t="str">
        <f>IFERROR(IF(_xlfn.XLOOKUP(E33,lookups90!$B$4:$B$999,lookups90!$BF$4:$BF$999,"",0)=0,"",D33*_xlfn.XLOOKUP(E33,lookups90!$B$4:$B$999,lookups90!$BF$4:$BF$999,"",0)),"")</f>
        <v/>
      </c>
      <c r="BR33" s="20" t="str" cm="1">
        <f t="array" ref="BR33">_xlfn.IFS(BP33="","",OR(E33="Fix Slide Door - with Screen",E33="Slide Slide Door - with Screen"),(K33-_xlfn.XLOOKUP(E33,lookups90!$B$4:$B$999,lookups90!$F$4:$F$999,"",0)-_xlfn.XLOOKUP(E33,lookups90!$B$4:$B$999,lookups90!$G$4:$G$999,"",0)+_xlfn.XLOOKUP(E33,lookups90!$B$4:$B$999,lookups90!$H$4:$H$999,"",0))/2+_xlfn.XLOOKUP(E33,lookups90!$B$4:$B$999,lookups90!$I$4:$I$999,"",0)-_xlfn.XLOOKUP(E33,lookups90!$B$4:$B$999,lookups90!$BE$4:$BE$999,"",0), E33="Fix Slide Slide Fix Door - with Screen",(K33-_xlfn.XLOOKUP(E33,lookups90!$B$4:$B$999,lookups90!$F$4:$F$999,"",0)-_xlfn.XLOOKUP(E33,lookups90!$B$4:$B$999,lookups90!$G$4:$G$999,"",0)+_xlfn.XLOOKUP(E33,lookups90!$B$4:$B$999,lookups90!$H$4:$H$999,"",0)+_xlfn.XLOOKUP(E33,lookups90!$B$4:$B$999,lookups90!$H$4:$H$999,"",0))/4+_xlfn.XLOOKUP(E33,lookups90!$B$4:$B$999,lookups90!$I$4:$I$999,"",0)-_xlfn.XLOOKUP(E33,lookups90!$B$4:$B$999,lookups90!$BE$4:$BE$999,"",0))</f>
        <v/>
      </c>
      <c r="BS33" s="20" t="str">
        <f>IFERROR(IF(_xlfn.XLOOKUP(E33,lookups90!$B$4:$B$999,lookups90!$BG$4:$BG$999,"",0)=0,"",D33*_xlfn.XLOOKUP(E33,lookups90!$B$4:$B$999,lookups90!$BG$4:$BG$999,"",0)),"")</f>
        <v/>
      </c>
      <c r="BU33" s="20" t="str">
        <f>IF(AG33&lt;&gt;"",AG33-_xlfn.XLOOKUP(E33,lookups90!$B$4:$B$999,lookups90!$BA$4:$BA$999,"",0),"")</f>
        <v/>
      </c>
      <c r="BV33" s="20" t="str">
        <f>IFERROR(IF(_xlfn.XLOOKUP(E33,lookups90!$B$4:$B$999,lookups90!$BH$4:$BH$999,"",0)=0,"",D33*_xlfn.XLOOKUP(E33,lookups90!$B$4:$B$999,lookups90!$BH$4:$BH$999,"",0)),"")</f>
        <v/>
      </c>
      <c r="BW33" s="20" t="str" cm="1">
        <f t="array" ref="BW33">_xlfn.IFS(BU33="","",OR(E33="Fix Slide Window",E33="Slide Slide Window"),(K33-_xlfn.XLOOKUP(E33,lookups90!$B$4:$B$999,lookups90!$F$4:$F$999,"",0)-_xlfn.XLOOKUP(E33,lookups90!$B$4:$B$999,lookups90!$G$4:$G$999,"",0)+_xlfn.XLOOKUP(E33,lookups90!$B$4:$B$999,lookups90!$H$4:$H$999,"",0))/2+_xlfn.XLOOKUP(E33,lookups90!$B$4:$B$999,lookups90!$I$4:$I$999,"",0)-_xlfn.XLOOKUP(E33,lookups90!$B$4:$B$999,lookups90!$BA$4:$BA$999,"",0), E33="Fix Slide Slide Fix Window",(K33-_xlfn.XLOOKUP(E33,lookups90!$B$4:$B$999,lookups90!$F$4:$F$999,"",0)-_xlfn.XLOOKUP(E33,lookups90!$B$4:$B$999,lookups90!$G$4:$G$999,"",0)+_xlfn.XLOOKUP(E33,lookups90!$B$4:$B$999,lookups90!$H$4:$H$999,"",0)+_xlfn.XLOOKUP(E33,lookups90!$B$4:$B$999,lookups90!$H$4:$H$999,"",0))/4+_xlfn.XLOOKUP(E33,lookups90!$B$4:$B$999,lookups90!$I$4:$I$999,"",0)-_xlfn.XLOOKUP(E33,lookups90!$B$4:$B$999,lookups90!$BA$4:$BA$999,"",0))</f>
        <v/>
      </c>
      <c r="BX33" s="20" t="str">
        <f>IFERROR(IF(_xlfn.XLOOKUP(E33,lookups90!$B$4:$B$999,lookups90!$BI$4:$BI$999,"",0)=0,"",D33*_xlfn.XLOOKUP(E33,lookups90!$B$4:$B$999,lookups90!$BI$4:$BI$999,"",0)),"")</f>
        <v/>
      </c>
      <c r="BZ33" s="20" t="str">
        <f>IF(AL33&lt;&gt;"", AL33-_xlfn.XLOOKUP(E33,lookups90!$B$4:$B$999,lookups90!$BJ$4:$BJ$999,"",0),"")</f>
        <v/>
      </c>
      <c r="CA33" s="20" t="str">
        <f>IFERROR(IF(_xlfn.XLOOKUP(E33,lookups90!$B$4:$B$999,lookups90!$BK$4:$BK$999,"",0)=0,"",D33*_xlfn.XLOOKUP(E33,lookups90!$B$4:$B$999,lookups90!$BK$4:$BK$999,"",0)),"")</f>
        <v/>
      </c>
      <c r="CC33" s="20" t="str">
        <f>IF(C33&lt;&gt;"", T33-_xlfn.XLOOKUP(E33,lookups90!$B$4:$B$999,lookups90!$BO$4:$BO$999,"",0)-_xlfn.XLOOKUP(E33,lookups90!$B$4:$B$999,lookups90!$BP$4:$BP$999,"",0),"")</f>
        <v/>
      </c>
      <c r="CD33" s="20" t="str">
        <f>IF(C33&lt;&gt;"", X33-_xlfn.XLOOKUP(E33,lookups90!$B$4:$B$999,lookups90!$BQ$4:$BQ$999,"",0)-_xlfn.XLOOKUP(E33,lookups90!$B$4:$B$999,lookups90!$BR$4:$BR$999,"",0),"")</f>
        <v/>
      </c>
      <c r="CE33" s="20" t="str">
        <f>IFERROR(IF(_xlfn.XLOOKUP(E33,lookups90!$B$4:$B$999,lookups90!$BS$4:$BS$999,"",0)=0,"",D33*_xlfn.XLOOKUP(E33,lookups90!$B$4:$B$999,lookups90!$BS$4:$BS$999,"",0)),"")</f>
        <v/>
      </c>
      <c r="CF33" s="20" t="str">
        <f>IF(V33&lt;&gt;"", V33-_xlfn.XLOOKUP(E33,lookups90!$B$4:$B$999,lookups90!$BO$4:$BO$999,"",0)-_xlfn.XLOOKUP(E33,lookups90!$B$4:$B$999,lookups90!$BP$4:$BP$999,"",0),"")</f>
        <v/>
      </c>
      <c r="CG33" s="20" t="str">
        <f>IF(CF33&lt;&gt;"", X33-_xlfn.XLOOKUP(E33,lookups90!$B$4:$B$999,lookups90!$BQ$4:$BQ$999,"",0)-_xlfn.XLOOKUP(E33,lookups90!$B$4:$B$999,lookups90!$BR$4:$BR$999,"",0),"")</f>
        <v/>
      </c>
      <c r="CH33" s="20" t="str">
        <f>IFERROR(IF(_xlfn.XLOOKUP(E33,lookups90!$B$4:$B$999,lookups90!$BT$4:$BT$999,"",0)=0,"",D33*_xlfn.XLOOKUP(E33,lookups90!$B$4:$B$999,lookups90!$BT$4:$BT$999,"",0)),"")</f>
        <v/>
      </c>
      <c r="CJ33" s="22" t="str">
        <f t="shared" si="5"/>
        <v/>
      </c>
      <c r="CL33" s="22" t="str" cm="1">
        <f t="array" ref="CL33">IF(D33&lt;&gt;"",((((J33+K33)*2)/500)+(2*_xlfn.IFS(OR(E33="Fix Slide Window", E33="Slide Slide Window", E33="Fix Slide Slide Fix Window"), 2, E33="Slide Slide Door - with Screen", 8, E33&lt;&gt;"",4)))*D33,"")</f>
        <v/>
      </c>
      <c r="CM33" s="22" t="str">
        <f t="shared" si="9"/>
        <v/>
      </c>
      <c r="CN33" s="22" t="str">
        <f t="shared" si="10"/>
        <v/>
      </c>
      <c r="CO33" s="22" t="str">
        <f t="shared" si="8"/>
        <v/>
      </c>
      <c r="CP33" s="22" t="str">
        <f t="shared" si="0"/>
        <v/>
      </c>
    </row>
    <row r="34" spans="3:94" ht="13.5" customHeight="1" x14ac:dyDescent="0.25">
      <c r="C34" s="16"/>
      <c r="D34" s="16"/>
      <c r="E34" s="16"/>
      <c r="F34" s="16"/>
      <c r="G34" s="16"/>
      <c r="H34" s="16"/>
      <c r="I34" s="16"/>
      <c r="J34" s="16"/>
      <c r="K34" s="16"/>
      <c r="M34" s="20" t="str">
        <f t="shared" si="1"/>
        <v/>
      </c>
      <c r="N34" s="20" t="str" cm="1">
        <f t="array" ref="N34">IFERROR(_xlfn.IFS(OR(E34="Fix Awning (Vertical)", E34="Fix Awning (Horizontal)"), J34/2+20,C34&lt;&gt;"", J34+M34),"")</f>
        <v/>
      </c>
      <c r="O34" s="20" t="str">
        <f t="shared" si="2"/>
        <v/>
      </c>
      <c r="P34" s="20" t="str">
        <f t="shared" si="3"/>
        <v/>
      </c>
      <c r="Q34" s="20" t="str">
        <f t="shared" si="4"/>
        <v/>
      </c>
      <c r="S34" s="20" t="str">
        <f>IF(C34&lt;&gt;"", _xlfn.XLOOKUP(E34,lookups90!$B$4:$B$999,lookups90!$C$4:$C$999,"",0),"")</f>
        <v/>
      </c>
      <c r="T34" s="20" t="str">
        <f>IF(C34&lt;&gt;"", J34-_xlfn.XLOOKUP(E34,lookups90!$B$4:$B$999,lookups90!$D$4:$D$999, "",0),"")</f>
        <v/>
      </c>
      <c r="U34" s="20" t="str">
        <f>IF(T34&lt;&gt;"",D34*_xlfn.XLOOKUP(E34,lookups90!$B$4:$B$999,lookups90!$J$4:$J$999, "",0),"")</f>
        <v/>
      </c>
      <c r="V34" s="20" t="str">
        <f>IF(AND(C34&lt;&gt;"", E34&lt;&gt;"Slide Slide Window", E34&lt;&gt;"Slide Slide Door", E34&lt;&gt;"Slide Slide Door - with Screen"), J34-_xlfn.XLOOKUP(E34,lookups90!$B$4:$B$999,lookups90!$E$4:$E$999, "",0),"")</f>
        <v/>
      </c>
      <c r="W34" s="20" t="str">
        <f>IF(V34&lt;&gt;"",D34*_xlfn.XLOOKUP(E34,lookups90!$B$4:$B$999,lookups90!$K$4:$K$999, "",0),"")</f>
        <v/>
      </c>
      <c r="X34" s="20" t="str" cm="1">
        <f t="array" ref="X34">IFERROR(_xlfn.IFS(OR(E34="Fix Slide Window", E34="Slide Slide Window", E34="Fix Slide Door", E34="Slide Slide Door", E34="Fix Slide Door - with Screen", E34="Slide Slide Door - with Screen"), (K34-_xlfn.XLOOKUP(E34,lookups90!$B$4:$B$999,lookups90!$F$4:$F$999, "",0)-_xlfn.XLOOKUP(E34,lookups90!$B$4:$B$999,lookups90!$G$4:$G$999, "",0)+_xlfn.XLOOKUP(E34,lookups90!$B$4:$B$999,lookups90!$H$4:$H$999, "",0))/2+_xlfn.XLOOKUP(E34,lookups90!$B$4:$B$999,lookups90!$I$4:$I$999, "",0), OR(E34="Fix Slide Slide Fix Window", E34="Fix Slide Slide Fix Door - with Screen", E34="Fix Slide Slide Fix Door"),  (K34-_xlfn.XLOOKUP(E34,lookups90!$B$4:$B$999,lookups90!$F$4:$F$999, "",0)-_xlfn.XLOOKUP(E34,lookups90!$B$4:$B$999,lookups90!$G$4:$G$999, "",0)+_xlfn.XLOOKUP(E34,lookups90!$B$4:$B$999,lookups90!$H$4:$H$999, "",0)+_xlfn.XLOOKUP(E34,lookups90!$B$4:$B$999,lookups90!$H$4:$H$999, "",0))/4+_xlfn.XLOOKUP(E34,lookups90!$B$4:$B$999,lookups90!$I$4:$I$999, "",0), E34="Fix Slide Slide Door", (K34-_xlfn.XLOOKUP(E34,lookups90!$B$4:$B$999,lookups90!$F$4:$F$999, "",0)-_xlfn.XLOOKUP(E34,lookups90!$B$4:$B$999,lookups90!$G$4:$G$999, "",0)+_xlfn.XLOOKUP(E34,lookups90!$B$4:$B$999,lookups90!$H$4:$H$999, "",0)+_xlfn.XLOOKUP(E34,lookups90!$B$4:$B$999,lookups90!$H$4:$H$999, "",0))/3+_xlfn.XLOOKUP(E34,lookups90!$B$4:$B$999,lookups90!$I$4:$I$999, "",0),E34="Fix Slide Slide Slide Slide Fix Dr",  (K34-_xlfn.XLOOKUP(E34,lookups90!$B$4:$B$999,lookups90!$F$4:$F$999, "",0)-_xlfn.XLOOKUP(E34,lookups90!$B$4:$B$999,lookups90!$G$4:$G$999, "",0)+_xlfn.XLOOKUP(E34,lookups90!$B$4:$B$999,lookups90!$H$4:$H$999, "",0)+_xlfn.XLOOKUP(E34,lookups90!$B$4:$B$999,lookups90!$H$4:$H$999, "",0)+_xlfn.XLOOKUP(E34,lookups90!$B$4:$B$999,lookups90!$H$4:$H$999, "",0)+_xlfn.XLOOKUP(E34,lookups90!$B$4:$B$999,lookups90!$H$4:$H$999, "",0))/6+_xlfn.XLOOKUP(E34,lookups90!$B$4:$B$999,lookups90!$I$4:$I$999, "",0), E34="Fix Slide Slide Slide Slide Slide Slide Fix Dr",  (K34-_xlfn.XLOOKUP(E34,lookups90!$B$4:$B$999,lookups90!$F$4:$F$999, "",0)-_xlfn.XLOOKUP(E34,lookups90!$B$4:$B$999,lookups90!$G$4:$G$999, "",0)+_xlfn.XLOOKUP(E34,lookups90!$B$4:$B$999,lookups90!$H$4:$H$999, "",0)+_xlfn.XLOOKUP(E34,lookups90!$B$4:$B$999,lookups90!$H$4:$H$999, "",0)+_xlfn.XLOOKUP(E34,lookups90!$B$4:$B$999,lookups90!$H$4:$H$999, "",0)+_xlfn.XLOOKUP(E34,lookups90!$B$4:$B$999,lookups90!$H$4:$H$999, "",0)+_xlfn.XLOOKUP(E34,lookups90!$B$4:$B$999,lookups90!$H$4:$H$999, "",0)+_xlfn.XLOOKUP(E34,lookups90!$B$4:$B$999,lookups90!$H$4:$H$999, "",0))/8+_xlfn.XLOOKUP(E34,lookups90!$B$4:$B$999,lookups90!$I$4:$I$999, "",0)),"")</f>
        <v/>
      </c>
      <c r="Y34" s="20" t="str">
        <f>IF(X34&lt;&gt;"",D34*_xlfn.XLOOKUP(E34,lookups90!$B$4:$B$999,lookups90!$L$4:$L$999, "",0),"")</f>
        <v/>
      </c>
      <c r="AA34" s="20" t="str">
        <f>IF(C34&lt;&gt;"", IF(_xlfn.XLOOKUP(E34,lookups90!$B$4:$B$999,lookups90!$P$4:$P$999,"",0)=0,"",_xlfn.XLOOKUP(E34,lookups90!$B$4:$B$999,lookups90!$P$4:$P$999,"",0)),"")</f>
        <v/>
      </c>
      <c r="AB34" s="20" t="str">
        <f>IF(AA34&lt;&gt;"", J34-_xlfn.XLOOKUP(E34,lookups90!$B$4:$B$999,lookups90!$D$4:$D$999, "",0),"")</f>
        <v/>
      </c>
      <c r="AC34" s="20" t="str">
        <f>IF(AA34&lt;&gt;"",D34*_xlfn.XLOOKUP(E34,lookups90!$B$4:$B$999,lookups90!$Q$4:$Q$999, "",0),"")</f>
        <v/>
      </c>
      <c r="AD34" s="20" t="str" cm="1">
        <f t="array" ref="AD34">IF(AA34&lt;&gt;"", _xlfn.IFS(OR(E34="Fix Slide Window", E34="Slide Slide Window", E34="Fix Slide Door", E34="Slide Slide Door", E34="Fix Slide Door - with Screen", E34="Slide Slide Door - with Screen"), (K34-_xlfn.XLOOKUP(E34,lookups90!$B$4:$B$999,lookups90!$F$4:$F$999, "",0)-_xlfn.XLOOKUP(E34,lookups90!$B$4:$B$999,lookups90!$G$4:$G$999, "",0)+_xlfn.XLOOKUP(E34,lookups90!$B$4:$B$999,lookups90!$H$4:$H$999, "",0))/2+_xlfn.XLOOKUP(E34,lookups90!$B$4:$B$999,lookups90!$I$4:$I$999, "",0), OR(E34="Fix Slide Slide Fix Window", E34="Fix Slide Slide Fix Door - with Screen", E34="Fix Slide Slide Fix Door"),  (K34-_xlfn.XLOOKUP(E34,lookups90!$B$4:$B$999,lookups90!$F$4:$F$999, "",0)-_xlfn.XLOOKUP(E34,lookups90!$B$4:$B$999,lookups90!$G$4:$G$999, "",0)+_xlfn.XLOOKUP(E34,lookups90!$B$4:$B$999,lookups90!$H$4:$H$999, "",0)+_xlfn.XLOOKUP(E34,lookups90!$B$4:$B$999,lookups90!$H$4:$H$999, "",0))/4+_xlfn.XLOOKUP(E34,lookups90!$B$4:$B$999,lookups90!$I$4:$I$999, "",0), E34="Fix Slide Slide Door", (K34-_xlfn.XLOOKUP(E34,lookups90!$B$4:$B$999,lookups90!$F$4:$F$999, "",0)-_xlfn.XLOOKUP(E34,lookups90!$B$4:$B$999,lookups90!$G$4:$G$999, "",0)+_xlfn.XLOOKUP(E34,lookups90!$B$4:$B$999,lookups90!$H$4:$H$999, "",0)+_xlfn.XLOOKUP(E34,lookups90!$B$4:$B$999,lookups90!$H$4:$H$999, "",0))/3+_xlfn.XLOOKUP(E34,lookups90!$B$4:$B$999,lookups90!$I$4:$I$999, "",0) ),"")</f>
        <v/>
      </c>
      <c r="AE34" s="20" t="str">
        <f>IF(AA34&lt;&gt;"",D34*_xlfn.XLOOKUP(E34,lookups90!$B$4:$B$999,lookups90!$R$4:$R$999, "",0),"")</f>
        <v/>
      </c>
      <c r="AG34" s="20" t="str">
        <f>IF(AH34&lt;&gt;"", J34-_xlfn.XLOOKUP(E34,lookups90!$B$4:$B$999,lookups90!$D$4:$D$999, "",0),"")</f>
        <v/>
      </c>
      <c r="AH34" s="20" t="str">
        <f>IF(_xlfn.XLOOKUP(E34,lookups90!$B$4:$B$999,lookups90!$V$4:$V$999,"",0)=0,"",D34*_xlfn.XLOOKUP(E34,lookups90!$B$4:$B$999,lookups90!$V$4:$V$999,"",0))</f>
        <v/>
      </c>
      <c r="AI34" s="20" t="str" cm="1">
        <f t="array" ref="AI34">IF(AH34&lt;&gt;"", _xlfn.IFS(OR(E34="Fix Slide Window", E34="Slide Slide Window"), (K34-_xlfn.XLOOKUP(E34,lookups90!$B$4:$B$999,lookups90!$F$4:$F$999, "",0)-_xlfn.XLOOKUP(E34,lookups90!$B$4:$B$999,lookups90!$G$4:$G$999, "",0)+_xlfn.XLOOKUP(E34,lookups90!$B$4:$B$999,lookups90!$H$4:$H$999, "",0))/2+_xlfn.XLOOKUP(E34,lookups90!$B$4:$B$999,lookups90!$I$4:$I$999, "",0), OR(E34="Fix Slide Slide Fix Window"),  (K34-_xlfn.XLOOKUP(E34,lookups90!$B$4:$B$999,lookups90!$F$4:$F$999, "",0)+_xlfn.XLOOKUP(E34,lookups90!$B$4:$B$999,lookups90!$H$4:$H$999, "",0)+_xlfn.XLOOKUP(E34,lookups90!$B$4:$B$999,lookups90!$H$4:$H$999, "",0))/4+_xlfn.XLOOKUP(E34,lookups90!$B$4:$B$999,lookups90!$I$4:$I$999, "",0)),"")</f>
        <v/>
      </c>
      <c r="AJ34" s="20" t="str">
        <f>IF(_xlfn.XLOOKUP(E34,lookups90!$B$4:$B$999,lookups90!$V$4:$V$999,"",0)=0,"",D34*_xlfn.XLOOKUP(E34,lookups90!$B$4:$B$999,lookups90!$W$4:$W$999,"",0))</f>
        <v/>
      </c>
      <c r="AL34" s="20" t="str" cm="1">
        <f t="array" ref="AL34">IF(AM34&lt;&gt;"", _xlfn.IFS(OR(E34="Fix Slide Door - with Screen", E34="Slide Slide Door - with Screen"), (K34-_xlfn.XLOOKUP(E34,lookups90!$B$4:$B$999,lookups90!$F$4:$F$999, "",0)-_xlfn.XLOOKUP(E34,lookups90!$B$4:$B$999,lookups90!$G$4:$G$999, "",0)+_xlfn.XLOOKUP(E34,lookups90!$B$4:$B$999,lookups90!$H$4:$H$999, "",0))/2+_xlfn.XLOOKUP(E34,lookups90!$B$4:$B$999,lookups90!$I$4:$I$999, "",0), OR( E34="Fix Slide Slide Fix Door - with Screen",  E34="Fix Slide Slide Door"),  (K34-_xlfn.XLOOKUP(E34,lookups90!$B$4:$B$999,lookups90!$F$4:$F$999, "",0)-_xlfn.XLOOKUP(E34,lookups90!$B$4:$B$999,lookups90!$G$4:$G$999, "",0)+_xlfn.XLOOKUP(E34,lookups90!$B$4:$B$999,lookups90!$H$4:$H$999, "",0)+_xlfn.XLOOKUP(E34,lookups90!$B$4:$B$999,lookups90!$H$4:$H$999, "",0))/4+_xlfn.XLOOKUP(E34,lookups90!$B$4:$B$999,lookups90!$I$4:$I$999, "",0)),"")</f>
        <v/>
      </c>
      <c r="AM34" s="20" t="str">
        <f>IF(_xlfn.XLOOKUP(E34,lookups90!$B$4:$B$999,lookups90!$AA$4:$AA$999,"",0)=0,"",D34*_xlfn.XLOOKUP(E34,lookups90!$B$4:$B$999,lookups90!$AA$4:$AA$999,"",0))</f>
        <v/>
      </c>
      <c r="AO34" s="20" t="str">
        <f>IFERROR(IF(C34&lt;&gt;"", T34-_xlfn.XLOOKUP(E34,lookups90!$B$4:$B$999,lookups90!$AE$4:$AE$999, "",0),""),"")</f>
        <v/>
      </c>
      <c r="AP34" s="20" t="str">
        <f>IF(_xlfn.XLOOKUP(E34,lookups90!$B$4:$B$999,lookups90!$AG$4:$AG$999,"",0)=0,"",D34*_xlfn.XLOOKUP(E34,lookups90!$B$4:$B$999,lookups90!$AG$4:$AG$999,"",0))</f>
        <v/>
      </c>
      <c r="AQ34" s="20" t="str">
        <f>IF(V34&lt;&gt;"", T34-_xlfn.XLOOKUP(E34,lookups90!$B$4:$B$999,lookups90!$AE$4:$AE$999, "",0)+_xlfn.XLOOKUP(E34,lookups90!$B$4:$B$999,lookups90!$AF$4:$AF$999, "",0),"")</f>
        <v/>
      </c>
      <c r="AR34" s="20" t="str">
        <f>IFERROR(IF(_xlfn.XLOOKUP(E34,lookups90!$B$4:$B$999,lookups90!$AH$4:$AH$999,"",0)=0,"",D34*_xlfn.XLOOKUP(E34,lookups90!$B$4:$B$999,lookups90!$AH$4:$AH$999,"",0)),"")</f>
        <v/>
      </c>
      <c r="AT34" s="20" t="str">
        <f>IF(OR(E34="Fix Slide Slide Fix Window", E34="Fix Slide Slide Fix Door", E34="Fix Slide Slide Fix Door - with Screen", E34="Fix Slide Slide Door"), T34-_xlfn.XLOOKUP(E34,lookups90!$B$4:$B$999,lookups90!$AE$4:$AE$999,"",0),"")</f>
        <v/>
      </c>
      <c r="AU34" s="20" t="str">
        <f>IFERROR(IF(_xlfn.XLOOKUP(E34,lookups90!$B$4:$B$999,lookups90!$AL$4:$AL$999,"",0)=0,"",D34*_xlfn.XLOOKUP(E34,lookups90!$B$4:$B$999,lookups90!$AL$4:$AL$999,"",0)),"")</f>
        <v/>
      </c>
      <c r="AW34" s="20" t="str">
        <f>IF(C34&lt;&gt;"", T34-_xlfn.XLOOKUP(E34,lookups90!$B$4:$B$999,lookups90!$AP$4:$AP$999,"",0),"")</f>
        <v/>
      </c>
      <c r="AX34" s="20" t="str">
        <f>IFERROR(IF(_xlfn.XLOOKUP(E34,lookups90!$B$4:$B$999,lookups90!$AR$4:$AR$999,"",0)=0,"",D34*_xlfn.XLOOKUP(E34,lookups90!$B$4:$B$999,lookups90!$AR$4:$AR$999,"",0)),"")</f>
        <v/>
      </c>
      <c r="AY34" s="24" t="str">
        <f>IF(V34&lt;&gt;"", V34-_xlfn.XLOOKUP(E34,lookups90!$B$4:$B$999,lookups90!$AP$4:$AP$999,"",0),"")</f>
        <v/>
      </c>
      <c r="AZ34" s="20" t="str">
        <f>IFERROR(IF(_xlfn.XLOOKUP(E34,lookups90!$B$4:$B$999,lookups90!$AS$4:$AS$999,"",0)=0,"",D34*_xlfn.XLOOKUP(E34,lookups90!$B$4:$B$999,lookups90!$AS$4:$AS$999,"",0)),"")</f>
        <v/>
      </c>
      <c r="BA34" s="20" t="str">
        <f>IF(X34&lt;&gt;"", X34-_xlfn.XLOOKUP(E34,lookups90!$B$4:$B$999,lookups90!$AQ$4:$AQ$999,"",0),"")</f>
        <v/>
      </c>
      <c r="BB34" s="20" t="str">
        <f>IFERROR(IF(_xlfn.XLOOKUP(E34,lookups90!$B$4:$B$999,lookups90!$AT$4:$AT$999,"",0)=0,"",D34*_xlfn.XLOOKUP(E34,lookups90!$B$4:$B$999,lookups90!$AT$4:$AT$999,"",0)),"")</f>
        <v/>
      </c>
      <c r="BD34" s="20" t="str">
        <f>IF(C34&lt;&gt;"", N34-_xlfn.XLOOKUP(E34,lookups90!$B$4:$B$999,lookups90!$AX$4:$AX$999,"",0)+M34,"")</f>
        <v/>
      </c>
      <c r="BE34" s="20" t="str">
        <f>IFERROR(IF(_xlfn.XLOOKUP(E34,lookups90!$B$4:$B$999,lookups90!$AY$4:$AY$999,"",0)=0,"",D34*_xlfn.XLOOKUP(E34,lookups90!$B$4:$B$999,lookups90!$AY$4:$AY$999,"",0)),"")</f>
        <v/>
      </c>
      <c r="BF34" s="20" t="str">
        <f>IF(C34&lt;&gt;"", P34-_xlfn.XLOOKUP(E34,lookups90!$B$4:$B$999,lookups90!$AX$4:$AX$999,"",0)+M34,"")</f>
        <v/>
      </c>
      <c r="BG34" s="20" t="str">
        <f>IFERROR(IF(_xlfn.XLOOKUP(E34,lookups90!$B$4:$B$999,lookups90!$AZ$4:$AZ$999,"",0)=0,"",D34*_xlfn.XLOOKUP(E34,lookups90!$B$4:$B$999,lookups90!$AZ$4:$AZ$999,"",0)),"")</f>
        <v/>
      </c>
      <c r="BI34" s="20" t="str">
        <f>IF(C34&lt;&gt;"", T34-_xlfn.XLOOKUP(E34,lookups90!$B$4:$B$999,lookups90!$BA$4:$BA$999,"",0),"")</f>
        <v/>
      </c>
      <c r="BJ34" s="20" t="str">
        <f>IFERROR(IF(_xlfn.XLOOKUP(E34,lookups90!$B$4:$B$999,lookups90!$BB$4:$BB$999,"",0)=0,"",D34*_xlfn.XLOOKUP(E34,lookups90!$B$4:$B$999,lookups90!$BB$4:$BB$999,"",0)),"")</f>
        <v/>
      </c>
      <c r="BK34" s="20" t="str">
        <f>IF(V34&lt;&gt;"", V34-_xlfn.XLOOKUP(E34,lookups90!$B$4:$B$999,lookups90!$BA$4:$BA$999,"",0),"")</f>
        <v/>
      </c>
      <c r="BL34" s="20" t="str">
        <f>IFERROR(IF(_xlfn.XLOOKUP(E34,lookups90!$B$4:$B$999,lookups90!$BC$4:$BC$999,"",0)=0,"",D34*_xlfn.XLOOKUP(E34,lookups90!$B$4:$B$999,lookups90!$BC$4:$BC$999,"",0)),"")</f>
        <v/>
      </c>
      <c r="BM34" s="20" t="str">
        <f>IF(C34&lt;&gt;"", X34-_xlfn.XLOOKUP(E34,lookups90!$B$4:$B$999,lookups90!$BA$4:$BA$999,"",0),"")</f>
        <v/>
      </c>
      <c r="BN34" s="20" t="str">
        <f>IFERROR(IF(_xlfn.XLOOKUP(E34,lookups90!$B$4:$B$999,lookups90!$BD$4:$BD$999,"",0)=0,"",D34*_xlfn.XLOOKUP(E34,lookups90!$B$4:$B$999,lookups90!$BD$4:$BD$999,"",0)),"")</f>
        <v/>
      </c>
      <c r="BP34" s="20" t="str">
        <f>IF(AB34&lt;&gt;"", AB34-_xlfn.XLOOKUP(E34,lookups90!$B$4:$B$999,lookups90!$BE$4:$BE$999,"",0),"")</f>
        <v/>
      </c>
      <c r="BQ34" s="20" t="str">
        <f>IFERROR(IF(_xlfn.XLOOKUP(E34,lookups90!$B$4:$B$999,lookups90!$BF$4:$BF$999,"",0)=0,"",D34*_xlfn.XLOOKUP(E34,lookups90!$B$4:$B$999,lookups90!$BF$4:$BF$999,"",0)),"")</f>
        <v/>
      </c>
      <c r="BR34" s="20" t="str" cm="1">
        <f t="array" ref="BR34">_xlfn.IFS(BP34="","",OR(E34="Fix Slide Door - with Screen",E34="Slide Slide Door - with Screen"),(K34-_xlfn.XLOOKUP(E34,lookups90!$B$4:$B$999,lookups90!$F$4:$F$999,"",0)-_xlfn.XLOOKUP(E34,lookups90!$B$4:$B$999,lookups90!$G$4:$G$999,"",0)+_xlfn.XLOOKUP(E34,lookups90!$B$4:$B$999,lookups90!$H$4:$H$999,"",0))/2+_xlfn.XLOOKUP(E34,lookups90!$B$4:$B$999,lookups90!$I$4:$I$999,"",0)-_xlfn.XLOOKUP(E34,lookups90!$B$4:$B$999,lookups90!$BE$4:$BE$999,"",0), E34="Fix Slide Slide Fix Door - with Screen",(K34-_xlfn.XLOOKUP(E34,lookups90!$B$4:$B$999,lookups90!$F$4:$F$999,"",0)-_xlfn.XLOOKUP(E34,lookups90!$B$4:$B$999,lookups90!$G$4:$G$999,"",0)+_xlfn.XLOOKUP(E34,lookups90!$B$4:$B$999,lookups90!$H$4:$H$999,"",0)+_xlfn.XLOOKUP(E34,lookups90!$B$4:$B$999,lookups90!$H$4:$H$999,"",0))/4+_xlfn.XLOOKUP(E34,lookups90!$B$4:$B$999,lookups90!$I$4:$I$999,"",0)-_xlfn.XLOOKUP(E34,lookups90!$B$4:$B$999,lookups90!$BE$4:$BE$999,"",0))</f>
        <v/>
      </c>
      <c r="BS34" s="20" t="str">
        <f>IFERROR(IF(_xlfn.XLOOKUP(E34,lookups90!$B$4:$B$999,lookups90!$BG$4:$BG$999,"",0)=0,"",D34*_xlfn.XLOOKUP(E34,lookups90!$B$4:$B$999,lookups90!$BG$4:$BG$999,"",0)),"")</f>
        <v/>
      </c>
      <c r="BU34" s="20" t="str">
        <f>IF(AG34&lt;&gt;"",AG34-_xlfn.XLOOKUP(E34,lookups90!$B$4:$B$999,lookups90!$BA$4:$BA$999,"",0),"")</f>
        <v/>
      </c>
      <c r="BV34" s="20" t="str">
        <f>IFERROR(IF(_xlfn.XLOOKUP(E34,lookups90!$B$4:$B$999,lookups90!$BH$4:$BH$999,"",0)=0,"",D34*_xlfn.XLOOKUP(E34,lookups90!$B$4:$B$999,lookups90!$BH$4:$BH$999,"",0)),"")</f>
        <v/>
      </c>
      <c r="BW34" s="20" t="str" cm="1">
        <f t="array" ref="BW34">_xlfn.IFS(BU34="","",OR(E34="Fix Slide Window",E34="Slide Slide Window"),(K34-_xlfn.XLOOKUP(E34,lookups90!$B$4:$B$999,lookups90!$F$4:$F$999,"",0)-_xlfn.XLOOKUP(E34,lookups90!$B$4:$B$999,lookups90!$G$4:$G$999,"",0)+_xlfn.XLOOKUP(E34,lookups90!$B$4:$B$999,lookups90!$H$4:$H$999,"",0))/2+_xlfn.XLOOKUP(E34,lookups90!$B$4:$B$999,lookups90!$I$4:$I$999,"",0)-_xlfn.XLOOKUP(E34,lookups90!$B$4:$B$999,lookups90!$BA$4:$BA$999,"",0), E34="Fix Slide Slide Fix Window",(K34-_xlfn.XLOOKUP(E34,lookups90!$B$4:$B$999,lookups90!$F$4:$F$999,"",0)-_xlfn.XLOOKUP(E34,lookups90!$B$4:$B$999,lookups90!$G$4:$G$999,"",0)+_xlfn.XLOOKUP(E34,lookups90!$B$4:$B$999,lookups90!$H$4:$H$999,"",0)+_xlfn.XLOOKUP(E34,lookups90!$B$4:$B$999,lookups90!$H$4:$H$999,"",0))/4+_xlfn.XLOOKUP(E34,lookups90!$B$4:$B$999,lookups90!$I$4:$I$999,"",0)-_xlfn.XLOOKUP(E34,lookups90!$B$4:$B$999,lookups90!$BA$4:$BA$999,"",0))</f>
        <v/>
      </c>
      <c r="BX34" s="20" t="str">
        <f>IFERROR(IF(_xlfn.XLOOKUP(E34,lookups90!$B$4:$B$999,lookups90!$BI$4:$BI$999,"",0)=0,"",D34*_xlfn.XLOOKUP(E34,lookups90!$B$4:$B$999,lookups90!$BI$4:$BI$999,"",0)),"")</f>
        <v/>
      </c>
      <c r="BZ34" s="20" t="str">
        <f>IF(AL34&lt;&gt;"", AL34-_xlfn.XLOOKUP(E34,lookups90!$B$4:$B$999,lookups90!$BJ$4:$BJ$999,"",0),"")</f>
        <v/>
      </c>
      <c r="CA34" s="20" t="str">
        <f>IFERROR(IF(_xlfn.XLOOKUP(E34,lookups90!$B$4:$B$999,lookups90!$BK$4:$BK$999,"",0)=0,"",D34*_xlfn.XLOOKUP(E34,lookups90!$B$4:$B$999,lookups90!$BK$4:$BK$999,"",0)),"")</f>
        <v/>
      </c>
      <c r="CC34" s="20" t="str">
        <f>IF(C34&lt;&gt;"", T34-_xlfn.XLOOKUP(E34,lookups90!$B$4:$B$999,lookups90!$BO$4:$BO$999,"",0)-_xlfn.XLOOKUP(E34,lookups90!$B$4:$B$999,lookups90!$BP$4:$BP$999,"",0),"")</f>
        <v/>
      </c>
      <c r="CD34" s="20" t="str">
        <f>IF(C34&lt;&gt;"", X34-_xlfn.XLOOKUP(E34,lookups90!$B$4:$B$999,lookups90!$BQ$4:$BQ$999,"",0)-_xlfn.XLOOKUP(E34,lookups90!$B$4:$B$999,lookups90!$BR$4:$BR$999,"",0),"")</f>
        <v/>
      </c>
      <c r="CE34" s="20" t="str">
        <f>IFERROR(IF(_xlfn.XLOOKUP(E34,lookups90!$B$4:$B$999,lookups90!$BS$4:$BS$999,"",0)=0,"",D34*_xlfn.XLOOKUP(E34,lookups90!$B$4:$B$999,lookups90!$BS$4:$BS$999,"",0)),"")</f>
        <v/>
      </c>
      <c r="CF34" s="20" t="str">
        <f>IF(V34&lt;&gt;"", V34-_xlfn.XLOOKUP(E34,lookups90!$B$4:$B$999,lookups90!$BO$4:$BO$999,"",0)-_xlfn.XLOOKUP(E34,lookups90!$B$4:$B$999,lookups90!$BP$4:$BP$999,"",0),"")</f>
        <v/>
      </c>
      <c r="CG34" s="20" t="str">
        <f>IF(CF34&lt;&gt;"", X34-_xlfn.XLOOKUP(E34,lookups90!$B$4:$B$999,lookups90!$BQ$4:$BQ$999,"",0)-_xlfn.XLOOKUP(E34,lookups90!$B$4:$B$999,lookups90!$BR$4:$BR$999,"",0),"")</f>
        <v/>
      </c>
      <c r="CH34" s="20" t="str">
        <f>IFERROR(IF(_xlfn.XLOOKUP(E34,lookups90!$B$4:$B$999,lookups90!$BT$4:$BT$999,"",0)=0,"",D34*_xlfn.XLOOKUP(E34,lookups90!$B$4:$B$999,lookups90!$BT$4:$BT$999,"",0)),"")</f>
        <v/>
      </c>
      <c r="CJ34" s="22" t="str">
        <f t="shared" si="5"/>
        <v/>
      </c>
      <c r="CL34" s="22" t="str" cm="1">
        <f t="array" ref="CL34">IF(D34&lt;&gt;"",((((J34+K34)*2)/500)+(2*_xlfn.IFS(OR(E34="Fix Slide Window", E34="Slide Slide Window", E34="Fix Slide Slide Fix Window"), 2, E34="Slide Slide Door - with Screen", 8, E34&lt;&gt;"",4)))*D34,"")</f>
        <v/>
      </c>
      <c r="CM34" s="22" t="str">
        <f t="shared" si="9"/>
        <v/>
      </c>
      <c r="CN34" s="22" t="str">
        <f t="shared" si="10"/>
        <v/>
      </c>
      <c r="CO34" s="22" t="str">
        <f t="shared" si="8"/>
        <v/>
      </c>
      <c r="CP34" s="22" t="str">
        <f t="shared" si="0"/>
        <v/>
      </c>
    </row>
    <row r="35" spans="3:94" ht="13.5" customHeight="1" x14ac:dyDescent="0.25">
      <c r="C35" s="16"/>
      <c r="D35" s="16"/>
      <c r="E35" s="16"/>
      <c r="F35" s="16"/>
      <c r="G35" s="16"/>
      <c r="H35" s="16"/>
      <c r="I35" s="16"/>
      <c r="J35" s="16"/>
      <c r="K35" s="16"/>
      <c r="M35" s="20" t="str">
        <f t="shared" si="1"/>
        <v/>
      </c>
      <c r="N35" s="20" t="str" cm="1">
        <f t="array" ref="N35">IFERROR(_xlfn.IFS(OR(E35="Fix Awning (Vertical)", E35="Fix Awning (Horizontal)"), J35/2+20,C35&lt;&gt;"", J35+M35),"")</f>
        <v/>
      </c>
      <c r="O35" s="20" t="str">
        <f t="shared" si="2"/>
        <v/>
      </c>
      <c r="P35" s="20" t="str">
        <f t="shared" si="3"/>
        <v/>
      </c>
      <c r="Q35" s="20" t="str">
        <f t="shared" si="4"/>
        <v/>
      </c>
      <c r="S35" s="20" t="str">
        <f>IF(C35&lt;&gt;"", _xlfn.XLOOKUP(E35,lookups90!$B$4:$B$999,lookups90!$C$4:$C$999,"",0),"")</f>
        <v/>
      </c>
      <c r="T35" s="20" t="str">
        <f>IF(C35&lt;&gt;"", J35-_xlfn.XLOOKUP(E35,lookups90!$B$4:$B$999,lookups90!$D$4:$D$999, "",0),"")</f>
        <v/>
      </c>
      <c r="U35" s="20" t="str">
        <f>IF(T35&lt;&gt;"",D35*_xlfn.XLOOKUP(E35,lookups90!$B$4:$B$999,lookups90!$J$4:$J$999, "",0),"")</f>
        <v/>
      </c>
      <c r="V35" s="20" t="str">
        <f>IF(AND(C35&lt;&gt;"", E35&lt;&gt;"Slide Slide Window", E35&lt;&gt;"Slide Slide Door", E35&lt;&gt;"Slide Slide Door - with Screen"), J35-_xlfn.XLOOKUP(E35,lookups90!$B$4:$B$999,lookups90!$E$4:$E$999, "",0),"")</f>
        <v/>
      </c>
      <c r="W35" s="20" t="str">
        <f>IF(V35&lt;&gt;"",D35*_xlfn.XLOOKUP(E35,lookups90!$B$4:$B$999,lookups90!$K$4:$K$999, "",0),"")</f>
        <v/>
      </c>
      <c r="X35" s="20" t="str" cm="1">
        <f t="array" ref="X35">IFERROR(_xlfn.IFS(OR(E35="Fix Slide Window", E35="Slide Slide Window", E35="Fix Slide Door", E35="Slide Slide Door", E35="Fix Slide Door - with Screen", E35="Slide Slide Door - with Screen"), (K35-_xlfn.XLOOKUP(E35,lookups90!$B$4:$B$999,lookups90!$F$4:$F$999, "",0)-_xlfn.XLOOKUP(E35,lookups90!$B$4:$B$999,lookups90!$G$4:$G$999, "",0)+_xlfn.XLOOKUP(E35,lookups90!$B$4:$B$999,lookups90!$H$4:$H$999, "",0))/2+_xlfn.XLOOKUP(E35,lookups90!$B$4:$B$999,lookups90!$I$4:$I$999, "",0), OR(E35="Fix Slide Slide Fix Window", E35="Fix Slide Slide Fix Door - with Screen", E35="Fix Slide Slide Fix Door"),  (K35-_xlfn.XLOOKUP(E35,lookups90!$B$4:$B$999,lookups90!$F$4:$F$999, "",0)-_xlfn.XLOOKUP(E35,lookups90!$B$4:$B$999,lookups90!$G$4:$G$999, "",0)+_xlfn.XLOOKUP(E35,lookups90!$B$4:$B$999,lookups90!$H$4:$H$999, "",0)+_xlfn.XLOOKUP(E35,lookups90!$B$4:$B$999,lookups90!$H$4:$H$999, "",0))/4+_xlfn.XLOOKUP(E35,lookups90!$B$4:$B$999,lookups90!$I$4:$I$999, "",0), E35="Fix Slide Slide Door", (K35-_xlfn.XLOOKUP(E35,lookups90!$B$4:$B$999,lookups90!$F$4:$F$999, "",0)-_xlfn.XLOOKUP(E35,lookups90!$B$4:$B$999,lookups90!$G$4:$G$999, "",0)+_xlfn.XLOOKUP(E35,lookups90!$B$4:$B$999,lookups90!$H$4:$H$999, "",0)+_xlfn.XLOOKUP(E35,lookups90!$B$4:$B$999,lookups90!$H$4:$H$999, "",0))/3+_xlfn.XLOOKUP(E35,lookups90!$B$4:$B$999,lookups90!$I$4:$I$999, "",0),E35="Fix Slide Slide Slide Slide Fix Dr",  (K35-_xlfn.XLOOKUP(E35,lookups90!$B$4:$B$999,lookups90!$F$4:$F$999, "",0)-_xlfn.XLOOKUP(E35,lookups90!$B$4:$B$999,lookups90!$G$4:$G$999, "",0)+_xlfn.XLOOKUP(E35,lookups90!$B$4:$B$999,lookups90!$H$4:$H$999, "",0)+_xlfn.XLOOKUP(E35,lookups90!$B$4:$B$999,lookups90!$H$4:$H$999, "",0)+_xlfn.XLOOKUP(E35,lookups90!$B$4:$B$999,lookups90!$H$4:$H$999, "",0)+_xlfn.XLOOKUP(E35,lookups90!$B$4:$B$999,lookups90!$H$4:$H$999, "",0))/6+_xlfn.XLOOKUP(E35,lookups90!$B$4:$B$999,lookups90!$I$4:$I$999, "",0), E35="Fix Slide Slide Slide Slide Slide Slide Fix Dr",  (K35-_xlfn.XLOOKUP(E35,lookups90!$B$4:$B$999,lookups90!$F$4:$F$999, "",0)-_xlfn.XLOOKUP(E35,lookups90!$B$4:$B$999,lookups90!$G$4:$G$999, "",0)+_xlfn.XLOOKUP(E35,lookups90!$B$4:$B$999,lookups90!$H$4:$H$999, "",0)+_xlfn.XLOOKUP(E35,lookups90!$B$4:$B$999,lookups90!$H$4:$H$999, "",0)+_xlfn.XLOOKUP(E35,lookups90!$B$4:$B$999,lookups90!$H$4:$H$999, "",0)+_xlfn.XLOOKUP(E35,lookups90!$B$4:$B$999,lookups90!$H$4:$H$999, "",0)+_xlfn.XLOOKUP(E35,lookups90!$B$4:$B$999,lookups90!$H$4:$H$999, "",0)+_xlfn.XLOOKUP(E35,lookups90!$B$4:$B$999,lookups90!$H$4:$H$999, "",0))/8+_xlfn.XLOOKUP(E35,lookups90!$B$4:$B$999,lookups90!$I$4:$I$999, "",0)),"")</f>
        <v/>
      </c>
      <c r="Y35" s="20" t="str">
        <f>IF(X35&lt;&gt;"",D35*_xlfn.XLOOKUP(E35,lookups90!$B$4:$B$999,lookups90!$L$4:$L$999, "",0),"")</f>
        <v/>
      </c>
      <c r="AA35" s="20" t="str">
        <f>IF(C35&lt;&gt;"", IF(_xlfn.XLOOKUP(E35,lookups90!$B$4:$B$999,lookups90!$P$4:$P$999,"",0)=0,"",_xlfn.XLOOKUP(E35,lookups90!$B$4:$B$999,lookups90!$P$4:$P$999,"",0)),"")</f>
        <v/>
      </c>
      <c r="AB35" s="20" t="str">
        <f>IF(AA35&lt;&gt;"", J35-_xlfn.XLOOKUP(E35,lookups90!$B$4:$B$999,lookups90!$D$4:$D$999, "",0),"")</f>
        <v/>
      </c>
      <c r="AC35" s="20" t="str">
        <f>IF(AA35&lt;&gt;"",D35*_xlfn.XLOOKUP(E35,lookups90!$B$4:$B$999,lookups90!$Q$4:$Q$999, "",0),"")</f>
        <v/>
      </c>
      <c r="AD35" s="20" t="str" cm="1">
        <f t="array" ref="AD35">IF(AA35&lt;&gt;"", _xlfn.IFS(OR(E35="Fix Slide Window", E35="Slide Slide Window", E35="Fix Slide Door", E35="Slide Slide Door", E35="Fix Slide Door - with Screen", E35="Slide Slide Door - with Screen"), (K35-_xlfn.XLOOKUP(E35,lookups90!$B$4:$B$999,lookups90!$F$4:$F$999, "",0)-_xlfn.XLOOKUP(E35,lookups90!$B$4:$B$999,lookups90!$G$4:$G$999, "",0)+_xlfn.XLOOKUP(E35,lookups90!$B$4:$B$999,lookups90!$H$4:$H$999, "",0))/2+_xlfn.XLOOKUP(E35,lookups90!$B$4:$B$999,lookups90!$I$4:$I$999, "",0), OR(E35="Fix Slide Slide Fix Window", E35="Fix Slide Slide Fix Door - with Screen", E35="Fix Slide Slide Fix Door"),  (K35-_xlfn.XLOOKUP(E35,lookups90!$B$4:$B$999,lookups90!$F$4:$F$999, "",0)-_xlfn.XLOOKUP(E35,lookups90!$B$4:$B$999,lookups90!$G$4:$G$999, "",0)+_xlfn.XLOOKUP(E35,lookups90!$B$4:$B$999,lookups90!$H$4:$H$999, "",0)+_xlfn.XLOOKUP(E35,lookups90!$B$4:$B$999,lookups90!$H$4:$H$999, "",0))/4+_xlfn.XLOOKUP(E35,lookups90!$B$4:$B$999,lookups90!$I$4:$I$999, "",0), E35="Fix Slide Slide Door", (K35-_xlfn.XLOOKUP(E35,lookups90!$B$4:$B$999,lookups90!$F$4:$F$999, "",0)-_xlfn.XLOOKUP(E35,lookups90!$B$4:$B$999,lookups90!$G$4:$G$999, "",0)+_xlfn.XLOOKUP(E35,lookups90!$B$4:$B$999,lookups90!$H$4:$H$999, "",0)+_xlfn.XLOOKUP(E35,lookups90!$B$4:$B$999,lookups90!$H$4:$H$999, "",0))/3+_xlfn.XLOOKUP(E35,lookups90!$B$4:$B$999,lookups90!$I$4:$I$999, "",0) ),"")</f>
        <v/>
      </c>
      <c r="AE35" s="20" t="str">
        <f>IF(AA35&lt;&gt;"",D35*_xlfn.XLOOKUP(E35,lookups90!$B$4:$B$999,lookups90!$R$4:$R$999, "",0),"")</f>
        <v/>
      </c>
      <c r="AG35" s="20" t="str">
        <f>IF(AH35&lt;&gt;"", J35-_xlfn.XLOOKUP(E35,lookups90!$B$4:$B$999,lookups90!$D$4:$D$999, "",0),"")</f>
        <v/>
      </c>
      <c r="AH35" s="20" t="str">
        <f>IF(_xlfn.XLOOKUP(E35,lookups90!$B$4:$B$999,lookups90!$V$4:$V$999,"",0)=0,"",D35*_xlfn.XLOOKUP(E35,lookups90!$B$4:$B$999,lookups90!$V$4:$V$999,"",0))</f>
        <v/>
      </c>
      <c r="AI35" s="20" t="str" cm="1">
        <f t="array" ref="AI35">IF(AH35&lt;&gt;"", _xlfn.IFS(OR(E35="Fix Slide Window", E35="Slide Slide Window"), (K35-_xlfn.XLOOKUP(E35,lookups90!$B$4:$B$999,lookups90!$F$4:$F$999, "",0)-_xlfn.XLOOKUP(E35,lookups90!$B$4:$B$999,lookups90!$G$4:$G$999, "",0)+_xlfn.XLOOKUP(E35,lookups90!$B$4:$B$999,lookups90!$H$4:$H$999, "",0))/2+_xlfn.XLOOKUP(E35,lookups90!$B$4:$B$999,lookups90!$I$4:$I$999, "",0), OR(E35="Fix Slide Slide Fix Window"),  (K35-_xlfn.XLOOKUP(E35,lookups90!$B$4:$B$999,lookups90!$F$4:$F$999, "",0)+_xlfn.XLOOKUP(E35,lookups90!$B$4:$B$999,lookups90!$H$4:$H$999, "",0)+_xlfn.XLOOKUP(E35,lookups90!$B$4:$B$999,lookups90!$H$4:$H$999, "",0))/4+_xlfn.XLOOKUP(E35,lookups90!$B$4:$B$999,lookups90!$I$4:$I$999, "",0)),"")</f>
        <v/>
      </c>
      <c r="AJ35" s="20" t="str">
        <f>IF(_xlfn.XLOOKUP(E35,lookups90!$B$4:$B$999,lookups90!$V$4:$V$999,"",0)=0,"",D35*_xlfn.XLOOKUP(E35,lookups90!$B$4:$B$999,lookups90!$W$4:$W$999,"",0))</f>
        <v/>
      </c>
      <c r="AL35" s="20" t="str" cm="1">
        <f t="array" ref="AL35">IF(AM35&lt;&gt;"", _xlfn.IFS(OR(E35="Fix Slide Door - with Screen", E35="Slide Slide Door - with Screen"), (K35-_xlfn.XLOOKUP(E35,lookups90!$B$4:$B$999,lookups90!$F$4:$F$999, "",0)-_xlfn.XLOOKUP(E35,lookups90!$B$4:$B$999,lookups90!$G$4:$G$999, "",0)+_xlfn.XLOOKUP(E35,lookups90!$B$4:$B$999,lookups90!$H$4:$H$999, "",0))/2+_xlfn.XLOOKUP(E35,lookups90!$B$4:$B$999,lookups90!$I$4:$I$999, "",0), OR( E35="Fix Slide Slide Fix Door - with Screen",  E35="Fix Slide Slide Door"),  (K35-_xlfn.XLOOKUP(E35,lookups90!$B$4:$B$999,lookups90!$F$4:$F$999, "",0)-_xlfn.XLOOKUP(E35,lookups90!$B$4:$B$999,lookups90!$G$4:$G$999, "",0)+_xlfn.XLOOKUP(E35,lookups90!$B$4:$B$999,lookups90!$H$4:$H$999, "",0)+_xlfn.XLOOKUP(E35,lookups90!$B$4:$B$999,lookups90!$H$4:$H$999, "",0))/4+_xlfn.XLOOKUP(E35,lookups90!$B$4:$B$999,lookups90!$I$4:$I$999, "",0)),"")</f>
        <v/>
      </c>
      <c r="AM35" s="20" t="str">
        <f>IF(_xlfn.XLOOKUP(E35,lookups90!$B$4:$B$999,lookups90!$AA$4:$AA$999,"",0)=0,"",D35*_xlfn.XLOOKUP(E35,lookups90!$B$4:$B$999,lookups90!$AA$4:$AA$999,"",0))</f>
        <v/>
      </c>
      <c r="AO35" s="20" t="str">
        <f>IFERROR(IF(C35&lt;&gt;"", T35-_xlfn.XLOOKUP(E35,lookups90!$B$4:$B$999,lookups90!$AE$4:$AE$999, "",0),""),"")</f>
        <v/>
      </c>
      <c r="AP35" s="20" t="str">
        <f>IF(_xlfn.XLOOKUP(E35,lookups90!$B$4:$B$999,lookups90!$AG$4:$AG$999,"",0)=0,"",D35*_xlfn.XLOOKUP(E35,lookups90!$B$4:$B$999,lookups90!$AG$4:$AG$999,"",0))</f>
        <v/>
      </c>
      <c r="AQ35" s="20" t="str">
        <f>IF(V35&lt;&gt;"", T35-_xlfn.XLOOKUP(E35,lookups90!$B$4:$B$999,lookups90!$AE$4:$AE$999, "",0)+_xlfn.XLOOKUP(E35,lookups90!$B$4:$B$999,lookups90!$AF$4:$AF$999, "",0),"")</f>
        <v/>
      </c>
      <c r="AR35" s="20" t="str">
        <f>IFERROR(IF(_xlfn.XLOOKUP(E35,lookups90!$B$4:$B$999,lookups90!$AH$4:$AH$999,"",0)=0,"",D35*_xlfn.XLOOKUP(E35,lookups90!$B$4:$B$999,lookups90!$AH$4:$AH$999,"",0)),"")</f>
        <v/>
      </c>
      <c r="AT35" s="20" t="str">
        <f>IF(OR(E35="Fix Slide Slide Fix Window", E35="Fix Slide Slide Fix Door", E35="Fix Slide Slide Fix Door - with Screen", E35="Fix Slide Slide Door"), T35-_xlfn.XLOOKUP(E35,lookups90!$B$4:$B$999,lookups90!$AE$4:$AE$999,"",0),"")</f>
        <v/>
      </c>
      <c r="AU35" s="20" t="str">
        <f>IFERROR(IF(_xlfn.XLOOKUP(E35,lookups90!$B$4:$B$999,lookups90!$AL$4:$AL$999,"",0)=0,"",D35*_xlfn.XLOOKUP(E35,lookups90!$B$4:$B$999,lookups90!$AL$4:$AL$999,"",0)),"")</f>
        <v/>
      </c>
      <c r="AW35" s="20" t="str">
        <f>IF(C35&lt;&gt;"", T35-_xlfn.XLOOKUP(E35,lookups90!$B$4:$B$999,lookups90!$AP$4:$AP$999,"",0),"")</f>
        <v/>
      </c>
      <c r="AX35" s="20" t="str">
        <f>IFERROR(IF(_xlfn.XLOOKUP(E35,lookups90!$B$4:$B$999,lookups90!$AR$4:$AR$999,"",0)=0,"",D35*_xlfn.XLOOKUP(E35,lookups90!$B$4:$B$999,lookups90!$AR$4:$AR$999,"",0)),"")</f>
        <v/>
      </c>
      <c r="AY35" s="24" t="str">
        <f>IF(V35&lt;&gt;"", V35-_xlfn.XLOOKUP(E35,lookups90!$B$4:$B$999,lookups90!$AP$4:$AP$999,"",0),"")</f>
        <v/>
      </c>
      <c r="AZ35" s="20" t="str">
        <f>IFERROR(IF(_xlfn.XLOOKUP(E35,lookups90!$B$4:$B$999,lookups90!$AS$4:$AS$999,"",0)=0,"",D35*_xlfn.XLOOKUP(E35,lookups90!$B$4:$B$999,lookups90!$AS$4:$AS$999,"",0)),"")</f>
        <v/>
      </c>
      <c r="BA35" s="20" t="str">
        <f>IF(X35&lt;&gt;"", X35-_xlfn.XLOOKUP(E35,lookups90!$B$4:$B$999,lookups90!$AQ$4:$AQ$999,"",0),"")</f>
        <v/>
      </c>
      <c r="BB35" s="20" t="str">
        <f>IFERROR(IF(_xlfn.XLOOKUP(E35,lookups90!$B$4:$B$999,lookups90!$AT$4:$AT$999,"",0)=0,"",D35*_xlfn.XLOOKUP(E35,lookups90!$B$4:$B$999,lookups90!$AT$4:$AT$999,"",0)),"")</f>
        <v/>
      </c>
      <c r="BD35" s="20" t="str">
        <f>IF(C35&lt;&gt;"", N35-_xlfn.XLOOKUP(E35,lookups90!$B$4:$B$999,lookups90!$AX$4:$AX$999,"",0)+M35,"")</f>
        <v/>
      </c>
      <c r="BE35" s="20" t="str">
        <f>IFERROR(IF(_xlfn.XLOOKUP(E35,lookups90!$B$4:$B$999,lookups90!$AY$4:$AY$999,"",0)=0,"",D35*_xlfn.XLOOKUP(E35,lookups90!$B$4:$B$999,lookups90!$AY$4:$AY$999,"",0)),"")</f>
        <v/>
      </c>
      <c r="BF35" s="20" t="str">
        <f>IF(C35&lt;&gt;"", P35-_xlfn.XLOOKUP(E35,lookups90!$B$4:$B$999,lookups90!$AX$4:$AX$999,"",0)+M35,"")</f>
        <v/>
      </c>
      <c r="BG35" s="20" t="str">
        <f>IFERROR(IF(_xlfn.XLOOKUP(E35,lookups90!$B$4:$B$999,lookups90!$AZ$4:$AZ$999,"",0)=0,"",D35*_xlfn.XLOOKUP(E35,lookups90!$B$4:$B$999,lookups90!$AZ$4:$AZ$999,"",0)),"")</f>
        <v/>
      </c>
      <c r="BI35" s="20" t="str">
        <f>IF(C35&lt;&gt;"", T35-_xlfn.XLOOKUP(E35,lookups90!$B$4:$B$999,lookups90!$BA$4:$BA$999,"",0),"")</f>
        <v/>
      </c>
      <c r="BJ35" s="20" t="str">
        <f>IFERROR(IF(_xlfn.XLOOKUP(E35,lookups90!$B$4:$B$999,lookups90!$BB$4:$BB$999,"",0)=0,"",D35*_xlfn.XLOOKUP(E35,lookups90!$B$4:$B$999,lookups90!$BB$4:$BB$999,"",0)),"")</f>
        <v/>
      </c>
      <c r="BK35" s="20" t="str">
        <f>IF(V35&lt;&gt;"", V35-_xlfn.XLOOKUP(E35,lookups90!$B$4:$B$999,lookups90!$BA$4:$BA$999,"",0),"")</f>
        <v/>
      </c>
      <c r="BL35" s="20" t="str">
        <f>IFERROR(IF(_xlfn.XLOOKUP(E35,lookups90!$B$4:$B$999,lookups90!$BC$4:$BC$999,"",0)=0,"",D35*_xlfn.XLOOKUP(E35,lookups90!$B$4:$B$999,lookups90!$BC$4:$BC$999,"",0)),"")</f>
        <v/>
      </c>
      <c r="BM35" s="20" t="str">
        <f>IF(C35&lt;&gt;"", X35-_xlfn.XLOOKUP(E35,lookups90!$B$4:$B$999,lookups90!$BA$4:$BA$999,"",0),"")</f>
        <v/>
      </c>
      <c r="BN35" s="20" t="str">
        <f>IFERROR(IF(_xlfn.XLOOKUP(E35,lookups90!$B$4:$B$999,lookups90!$BD$4:$BD$999,"",0)=0,"",D35*_xlfn.XLOOKUP(E35,lookups90!$B$4:$B$999,lookups90!$BD$4:$BD$999,"",0)),"")</f>
        <v/>
      </c>
      <c r="BP35" s="20" t="str">
        <f>IF(AB35&lt;&gt;"", AB35-_xlfn.XLOOKUP(E35,lookups90!$B$4:$B$999,lookups90!$BE$4:$BE$999,"",0),"")</f>
        <v/>
      </c>
      <c r="BQ35" s="20" t="str">
        <f>IFERROR(IF(_xlfn.XLOOKUP(E35,lookups90!$B$4:$B$999,lookups90!$BF$4:$BF$999,"",0)=0,"",D35*_xlfn.XLOOKUP(E35,lookups90!$B$4:$B$999,lookups90!$BF$4:$BF$999,"",0)),"")</f>
        <v/>
      </c>
      <c r="BR35" s="20" t="str" cm="1">
        <f t="array" ref="BR35">_xlfn.IFS(BP35="","",OR(E35="Fix Slide Door - with Screen",E35="Slide Slide Door - with Screen"),(K35-_xlfn.XLOOKUP(E35,lookups90!$B$4:$B$999,lookups90!$F$4:$F$999,"",0)-_xlfn.XLOOKUP(E35,lookups90!$B$4:$B$999,lookups90!$G$4:$G$999,"",0)+_xlfn.XLOOKUP(E35,lookups90!$B$4:$B$999,lookups90!$H$4:$H$999,"",0))/2+_xlfn.XLOOKUP(E35,lookups90!$B$4:$B$999,lookups90!$I$4:$I$999,"",0)-_xlfn.XLOOKUP(E35,lookups90!$B$4:$B$999,lookups90!$BE$4:$BE$999,"",0), E35="Fix Slide Slide Fix Door - with Screen",(K35-_xlfn.XLOOKUP(E35,lookups90!$B$4:$B$999,lookups90!$F$4:$F$999,"",0)-_xlfn.XLOOKUP(E35,lookups90!$B$4:$B$999,lookups90!$G$4:$G$999,"",0)+_xlfn.XLOOKUP(E35,lookups90!$B$4:$B$999,lookups90!$H$4:$H$999,"",0)+_xlfn.XLOOKUP(E35,lookups90!$B$4:$B$999,lookups90!$H$4:$H$999,"",0))/4+_xlfn.XLOOKUP(E35,lookups90!$B$4:$B$999,lookups90!$I$4:$I$999,"",0)-_xlfn.XLOOKUP(E35,lookups90!$B$4:$B$999,lookups90!$BE$4:$BE$999,"",0))</f>
        <v/>
      </c>
      <c r="BS35" s="20" t="str">
        <f>IFERROR(IF(_xlfn.XLOOKUP(E35,lookups90!$B$4:$B$999,lookups90!$BG$4:$BG$999,"",0)=0,"",D35*_xlfn.XLOOKUP(E35,lookups90!$B$4:$B$999,lookups90!$BG$4:$BG$999,"",0)),"")</f>
        <v/>
      </c>
      <c r="BU35" s="20" t="str">
        <f>IF(AG35&lt;&gt;"",AG35-_xlfn.XLOOKUP(E35,lookups90!$B$4:$B$999,lookups90!$BA$4:$BA$999,"",0),"")</f>
        <v/>
      </c>
      <c r="BV35" s="20" t="str">
        <f>IFERROR(IF(_xlfn.XLOOKUP(E35,lookups90!$B$4:$B$999,lookups90!$BH$4:$BH$999,"",0)=0,"",D35*_xlfn.XLOOKUP(E35,lookups90!$B$4:$B$999,lookups90!$BH$4:$BH$999,"",0)),"")</f>
        <v/>
      </c>
      <c r="BW35" s="20" t="str" cm="1">
        <f t="array" ref="BW35">_xlfn.IFS(BU35="","",OR(E35="Fix Slide Window",E35="Slide Slide Window"),(K35-_xlfn.XLOOKUP(E35,lookups90!$B$4:$B$999,lookups90!$F$4:$F$999,"",0)-_xlfn.XLOOKUP(E35,lookups90!$B$4:$B$999,lookups90!$G$4:$G$999,"",0)+_xlfn.XLOOKUP(E35,lookups90!$B$4:$B$999,lookups90!$H$4:$H$999,"",0))/2+_xlfn.XLOOKUP(E35,lookups90!$B$4:$B$999,lookups90!$I$4:$I$999,"",0)-_xlfn.XLOOKUP(E35,lookups90!$B$4:$B$999,lookups90!$BA$4:$BA$999,"",0), E35="Fix Slide Slide Fix Window",(K35-_xlfn.XLOOKUP(E35,lookups90!$B$4:$B$999,lookups90!$F$4:$F$999,"",0)-_xlfn.XLOOKUP(E35,lookups90!$B$4:$B$999,lookups90!$G$4:$G$999,"",0)+_xlfn.XLOOKUP(E35,lookups90!$B$4:$B$999,lookups90!$H$4:$H$999,"",0)+_xlfn.XLOOKUP(E35,lookups90!$B$4:$B$999,lookups90!$H$4:$H$999,"",0))/4+_xlfn.XLOOKUP(E35,lookups90!$B$4:$B$999,lookups90!$I$4:$I$999,"",0)-_xlfn.XLOOKUP(E35,lookups90!$B$4:$B$999,lookups90!$BA$4:$BA$999,"",0))</f>
        <v/>
      </c>
      <c r="BX35" s="20" t="str">
        <f>IFERROR(IF(_xlfn.XLOOKUP(E35,lookups90!$B$4:$B$999,lookups90!$BI$4:$BI$999,"",0)=0,"",D35*_xlfn.XLOOKUP(E35,lookups90!$B$4:$B$999,lookups90!$BI$4:$BI$999,"",0)),"")</f>
        <v/>
      </c>
      <c r="BZ35" s="20" t="str">
        <f>IF(AL35&lt;&gt;"", AL35-_xlfn.XLOOKUP(E35,lookups90!$B$4:$B$999,lookups90!$BJ$4:$BJ$999,"",0),"")</f>
        <v/>
      </c>
      <c r="CA35" s="20" t="str">
        <f>IFERROR(IF(_xlfn.XLOOKUP(E35,lookups90!$B$4:$B$999,lookups90!$BK$4:$BK$999,"",0)=0,"",D35*_xlfn.XLOOKUP(E35,lookups90!$B$4:$B$999,lookups90!$BK$4:$BK$999,"",0)),"")</f>
        <v/>
      </c>
      <c r="CC35" s="20" t="str">
        <f>IF(C35&lt;&gt;"", T35-_xlfn.XLOOKUP(E35,lookups90!$B$4:$B$999,lookups90!$BO$4:$BO$999,"",0)-_xlfn.XLOOKUP(E35,lookups90!$B$4:$B$999,lookups90!$BP$4:$BP$999,"",0),"")</f>
        <v/>
      </c>
      <c r="CD35" s="20" t="str">
        <f>IF(C35&lt;&gt;"", X35-_xlfn.XLOOKUP(E35,lookups90!$B$4:$B$999,lookups90!$BQ$4:$BQ$999,"",0)-_xlfn.XLOOKUP(E35,lookups90!$B$4:$B$999,lookups90!$BR$4:$BR$999,"",0),"")</f>
        <v/>
      </c>
      <c r="CE35" s="20" t="str">
        <f>IFERROR(IF(_xlfn.XLOOKUP(E35,lookups90!$B$4:$B$999,lookups90!$BS$4:$BS$999,"",0)=0,"",D35*_xlfn.XLOOKUP(E35,lookups90!$B$4:$B$999,lookups90!$BS$4:$BS$999,"",0)),"")</f>
        <v/>
      </c>
      <c r="CF35" s="20" t="str">
        <f>IF(V35&lt;&gt;"", V35-_xlfn.XLOOKUP(E35,lookups90!$B$4:$B$999,lookups90!$BO$4:$BO$999,"",0)-_xlfn.XLOOKUP(E35,lookups90!$B$4:$B$999,lookups90!$BP$4:$BP$999,"",0),"")</f>
        <v/>
      </c>
      <c r="CG35" s="20" t="str">
        <f>IF(CF35&lt;&gt;"", X35-_xlfn.XLOOKUP(E35,lookups90!$B$4:$B$999,lookups90!$BQ$4:$BQ$999,"",0)-_xlfn.XLOOKUP(E35,lookups90!$B$4:$B$999,lookups90!$BR$4:$BR$999,"",0),"")</f>
        <v/>
      </c>
      <c r="CH35" s="20" t="str">
        <f>IFERROR(IF(_xlfn.XLOOKUP(E35,lookups90!$B$4:$B$999,lookups90!$BT$4:$BT$999,"",0)=0,"",D35*_xlfn.XLOOKUP(E35,lookups90!$B$4:$B$999,lookups90!$BT$4:$BT$999,"",0)),"")</f>
        <v/>
      </c>
      <c r="CJ35" s="22" t="str">
        <f t="shared" si="5"/>
        <v/>
      </c>
      <c r="CL35" s="22" t="str" cm="1">
        <f t="array" ref="CL35">IF(D35&lt;&gt;"",((((J35+K35)*2)/500)+(2*_xlfn.IFS(OR(E35="Fix Slide Window", E35="Slide Slide Window", E35="Fix Slide Slide Fix Window"), 2, E35="Slide Slide Door - with Screen", 8, E35&lt;&gt;"",4)))*D35,"")</f>
        <v/>
      </c>
      <c r="CM35" s="22" t="str">
        <f t="shared" si="9"/>
        <v/>
      </c>
      <c r="CN35" s="22" t="str">
        <f t="shared" si="10"/>
        <v/>
      </c>
      <c r="CO35" s="22" t="str">
        <f t="shared" si="8"/>
        <v/>
      </c>
      <c r="CP35" s="22" t="str">
        <f t="shared" si="0"/>
        <v/>
      </c>
    </row>
    <row r="36" spans="3:94" ht="13.5" customHeight="1" x14ac:dyDescent="0.25">
      <c r="C36" s="16"/>
      <c r="D36" s="16"/>
      <c r="E36" s="16"/>
      <c r="F36" s="16"/>
      <c r="G36" s="16"/>
      <c r="H36" s="16"/>
      <c r="I36" s="16"/>
      <c r="J36" s="16"/>
      <c r="K36" s="16"/>
      <c r="M36" s="20" t="str">
        <f t="shared" si="1"/>
        <v/>
      </c>
      <c r="N36" s="20" t="str" cm="1">
        <f t="array" ref="N36">IFERROR(_xlfn.IFS(OR(E36="Fix Awning (Vertical)", E36="Fix Awning (Horizontal)"), J36/2+20,C36&lt;&gt;"", J36+M36),"")</f>
        <v/>
      </c>
      <c r="O36" s="20" t="str">
        <f t="shared" si="2"/>
        <v/>
      </c>
      <c r="P36" s="20" t="str">
        <f t="shared" si="3"/>
        <v/>
      </c>
      <c r="Q36" s="20" t="str">
        <f t="shared" si="4"/>
        <v/>
      </c>
      <c r="S36" s="20" t="str">
        <f>IF(C36&lt;&gt;"", _xlfn.XLOOKUP(E36,lookups90!$B$4:$B$999,lookups90!$C$4:$C$999,"",0),"")</f>
        <v/>
      </c>
      <c r="T36" s="20" t="str">
        <f>IF(C36&lt;&gt;"", J36-_xlfn.XLOOKUP(E36,lookups90!$B$4:$B$999,lookups90!$D$4:$D$999, "",0),"")</f>
        <v/>
      </c>
      <c r="U36" s="20" t="str">
        <f>IF(T36&lt;&gt;"",D36*_xlfn.XLOOKUP(E36,lookups90!$B$4:$B$999,lookups90!$J$4:$J$999, "",0),"")</f>
        <v/>
      </c>
      <c r="V36" s="20" t="str">
        <f>IF(AND(C36&lt;&gt;"", E36&lt;&gt;"Slide Slide Window", E36&lt;&gt;"Slide Slide Door", E36&lt;&gt;"Slide Slide Door - with Screen"), J36-_xlfn.XLOOKUP(E36,lookups90!$B$4:$B$999,lookups90!$E$4:$E$999, "",0),"")</f>
        <v/>
      </c>
      <c r="W36" s="20" t="str">
        <f>IF(V36&lt;&gt;"",D36*_xlfn.XLOOKUP(E36,lookups90!$B$4:$B$999,lookups90!$K$4:$K$999, "",0),"")</f>
        <v/>
      </c>
      <c r="X36" s="20" t="str" cm="1">
        <f t="array" ref="X36">IFERROR(_xlfn.IFS(OR(E36="Fix Slide Window", E36="Slide Slide Window", E36="Fix Slide Door", E36="Slide Slide Door", E36="Fix Slide Door - with Screen", E36="Slide Slide Door - with Screen"), (K36-_xlfn.XLOOKUP(E36,lookups90!$B$4:$B$999,lookups90!$F$4:$F$999, "",0)-_xlfn.XLOOKUP(E36,lookups90!$B$4:$B$999,lookups90!$G$4:$G$999, "",0)+_xlfn.XLOOKUP(E36,lookups90!$B$4:$B$999,lookups90!$H$4:$H$999, "",0))/2+_xlfn.XLOOKUP(E36,lookups90!$B$4:$B$999,lookups90!$I$4:$I$999, "",0), OR(E36="Fix Slide Slide Fix Window", E36="Fix Slide Slide Fix Door - with Screen", E36="Fix Slide Slide Fix Door"),  (K36-_xlfn.XLOOKUP(E36,lookups90!$B$4:$B$999,lookups90!$F$4:$F$999, "",0)-_xlfn.XLOOKUP(E36,lookups90!$B$4:$B$999,lookups90!$G$4:$G$999, "",0)+_xlfn.XLOOKUP(E36,lookups90!$B$4:$B$999,lookups90!$H$4:$H$999, "",0)+_xlfn.XLOOKUP(E36,lookups90!$B$4:$B$999,lookups90!$H$4:$H$999, "",0))/4+_xlfn.XLOOKUP(E36,lookups90!$B$4:$B$999,lookups90!$I$4:$I$999, "",0), E36="Fix Slide Slide Door", (K36-_xlfn.XLOOKUP(E36,lookups90!$B$4:$B$999,lookups90!$F$4:$F$999, "",0)-_xlfn.XLOOKUP(E36,lookups90!$B$4:$B$999,lookups90!$G$4:$G$999, "",0)+_xlfn.XLOOKUP(E36,lookups90!$B$4:$B$999,lookups90!$H$4:$H$999, "",0)+_xlfn.XLOOKUP(E36,lookups90!$B$4:$B$999,lookups90!$H$4:$H$999, "",0))/3+_xlfn.XLOOKUP(E36,lookups90!$B$4:$B$999,lookups90!$I$4:$I$999, "",0),E36="Fix Slide Slide Slide Slide Fix Dr",  (K36-_xlfn.XLOOKUP(E36,lookups90!$B$4:$B$999,lookups90!$F$4:$F$999, "",0)-_xlfn.XLOOKUP(E36,lookups90!$B$4:$B$999,lookups90!$G$4:$G$999, "",0)+_xlfn.XLOOKUP(E36,lookups90!$B$4:$B$999,lookups90!$H$4:$H$999, "",0)+_xlfn.XLOOKUP(E36,lookups90!$B$4:$B$999,lookups90!$H$4:$H$999, "",0)+_xlfn.XLOOKUP(E36,lookups90!$B$4:$B$999,lookups90!$H$4:$H$999, "",0)+_xlfn.XLOOKUP(E36,lookups90!$B$4:$B$999,lookups90!$H$4:$H$999, "",0))/6+_xlfn.XLOOKUP(E36,lookups90!$B$4:$B$999,lookups90!$I$4:$I$999, "",0), E36="Fix Slide Slide Slide Slide Slide Slide Fix Dr",  (K36-_xlfn.XLOOKUP(E36,lookups90!$B$4:$B$999,lookups90!$F$4:$F$999, "",0)-_xlfn.XLOOKUP(E36,lookups90!$B$4:$B$999,lookups90!$G$4:$G$999, "",0)+_xlfn.XLOOKUP(E36,lookups90!$B$4:$B$999,lookups90!$H$4:$H$999, "",0)+_xlfn.XLOOKUP(E36,lookups90!$B$4:$B$999,lookups90!$H$4:$H$999, "",0)+_xlfn.XLOOKUP(E36,lookups90!$B$4:$B$999,lookups90!$H$4:$H$999, "",0)+_xlfn.XLOOKUP(E36,lookups90!$B$4:$B$999,lookups90!$H$4:$H$999, "",0)+_xlfn.XLOOKUP(E36,lookups90!$B$4:$B$999,lookups90!$H$4:$H$999, "",0)+_xlfn.XLOOKUP(E36,lookups90!$B$4:$B$999,lookups90!$H$4:$H$999, "",0))/8+_xlfn.XLOOKUP(E36,lookups90!$B$4:$B$999,lookups90!$I$4:$I$999, "",0)),"")</f>
        <v/>
      </c>
      <c r="Y36" s="20" t="str">
        <f>IF(X36&lt;&gt;"",D36*_xlfn.XLOOKUP(E36,lookups90!$B$4:$B$999,lookups90!$L$4:$L$999, "",0),"")</f>
        <v/>
      </c>
      <c r="AA36" s="20" t="str">
        <f>IF(C36&lt;&gt;"", IF(_xlfn.XLOOKUP(E36,lookups90!$B$4:$B$999,lookups90!$P$4:$P$999,"",0)=0,"",_xlfn.XLOOKUP(E36,lookups90!$B$4:$B$999,lookups90!$P$4:$P$999,"",0)),"")</f>
        <v/>
      </c>
      <c r="AB36" s="20" t="str">
        <f>IF(AA36&lt;&gt;"", J36-_xlfn.XLOOKUP(E36,lookups90!$B$4:$B$999,lookups90!$D$4:$D$999, "",0),"")</f>
        <v/>
      </c>
      <c r="AC36" s="20" t="str">
        <f>IF(AA36&lt;&gt;"",D36*_xlfn.XLOOKUP(E36,lookups90!$B$4:$B$999,lookups90!$Q$4:$Q$999, "",0),"")</f>
        <v/>
      </c>
      <c r="AD36" s="20" t="str" cm="1">
        <f t="array" ref="AD36">IF(AA36&lt;&gt;"", _xlfn.IFS(OR(E36="Fix Slide Window", E36="Slide Slide Window", E36="Fix Slide Door", E36="Slide Slide Door", E36="Fix Slide Door - with Screen", E36="Slide Slide Door - with Screen"), (K36-_xlfn.XLOOKUP(E36,lookups90!$B$4:$B$999,lookups90!$F$4:$F$999, "",0)-_xlfn.XLOOKUP(E36,lookups90!$B$4:$B$999,lookups90!$G$4:$G$999, "",0)+_xlfn.XLOOKUP(E36,lookups90!$B$4:$B$999,lookups90!$H$4:$H$999, "",0))/2+_xlfn.XLOOKUP(E36,lookups90!$B$4:$B$999,lookups90!$I$4:$I$999, "",0), OR(E36="Fix Slide Slide Fix Window", E36="Fix Slide Slide Fix Door - with Screen", E36="Fix Slide Slide Fix Door"),  (K36-_xlfn.XLOOKUP(E36,lookups90!$B$4:$B$999,lookups90!$F$4:$F$999, "",0)-_xlfn.XLOOKUP(E36,lookups90!$B$4:$B$999,lookups90!$G$4:$G$999, "",0)+_xlfn.XLOOKUP(E36,lookups90!$B$4:$B$999,lookups90!$H$4:$H$999, "",0)+_xlfn.XLOOKUP(E36,lookups90!$B$4:$B$999,lookups90!$H$4:$H$999, "",0))/4+_xlfn.XLOOKUP(E36,lookups90!$B$4:$B$999,lookups90!$I$4:$I$999, "",0), E36="Fix Slide Slide Door", (K36-_xlfn.XLOOKUP(E36,lookups90!$B$4:$B$999,lookups90!$F$4:$F$999, "",0)-_xlfn.XLOOKUP(E36,lookups90!$B$4:$B$999,lookups90!$G$4:$G$999, "",0)+_xlfn.XLOOKUP(E36,lookups90!$B$4:$B$999,lookups90!$H$4:$H$999, "",0)+_xlfn.XLOOKUP(E36,lookups90!$B$4:$B$999,lookups90!$H$4:$H$999, "",0))/3+_xlfn.XLOOKUP(E36,lookups90!$B$4:$B$999,lookups90!$I$4:$I$999, "",0) ),"")</f>
        <v/>
      </c>
      <c r="AE36" s="20" t="str">
        <f>IF(AA36&lt;&gt;"",D36*_xlfn.XLOOKUP(E36,lookups90!$B$4:$B$999,lookups90!$R$4:$R$999, "",0),"")</f>
        <v/>
      </c>
      <c r="AG36" s="20" t="str">
        <f>IF(AH36&lt;&gt;"", J36-_xlfn.XLOOKUP(E36,lookups90!$B$4:$B$999,lookups90!$D$4:$D$999, "",0),"")</f>
        <v/>
      </c>
      <c r="AH36" s="20" t="str">
        <f>IF(_xlfn.XLOOKUP(E36,lookups90!$B$4:$B$999,lookups90!$V$4:$V$999,"",0)=0,"",D36*_xlfn.XLOOKUP(E36,lookups90!$B$4:$B$999,lookups90!$V$4:$V$999,"",0))</f>
        <v/>
      </c>
      <c r="AI36" s="20" t="str" cm="1">
        <f t="array" ref="AI36">IF(AH36&lt;&gt;"", _xlfn.IFS(OR(E36="Fix Slide Window", E36="Slide Slide Window"), (K36-_xlfn.XLOOKUP(E36,lookups90!$B$4:$B$999,lookups90!$F$4:$F$999, "",0)-_xlfn.XLOOKUP(E36,lookups90!$B$4:$B$999,lookups90!$G$4:$G$999, "",0)+_xlfn.XLOOKUP(E36,lookups90!$B$4:$B$999,lookups90!$H$4:$H$999, "",0))/2+_xlfn.XLOOKUP(E36,lookups90!$B$4:$B$999,lookups90!$I$4:$I$999, "",0), OR(E36="Fix Slide Slide Fix Window"),  (K36-_xlfn.XLOOKUP(E36,lookups90!$B$4:$B$999,lookups90!$F$4:$F$999, "",0)+_xlfn.XLOOKUP(E36,lookups90!$B$4:$B$999,lookups90!$H$4:$H$999, "",0)+_xlfn.XLOOKUP(E36,lookups90!$B$4:$B$999,lookups90!$H$4:$H$999, "",0))/4+_xlfn.XLOOKUP(E36,lookups90!$B$4:$B$999,lookups90!$I$4:$I$999, "",0)),"")</f>
        <v/>
      </c>
      <c r="AJ36" s="20" t="str">
        <f>IF(_xlfn.XLOOKUP(E36,lookups90!$B$4:$B$999,lookups90!$V$4:$V$999,"",0)=0,"",D36*_xlfn.XLOOKUP(E36,lookups90!$B$4:$B$999,lookups90!$W$4:$W$999,"",0))</f>
        <v/>
      </c>
      <c r="AL36" s="20" t="str" cm="1">
        <f t="array" ref="AL36">IF(AM36&lt;&gt;"", _xlfn.IFS(OR(E36="Fix Slide Door - with Screen", E36="Slide Slide Door - with Screen"), (K36-_xlfn.XLOOKUP(E36,lookups90!$B$4:$B$999,lookups90!$F$4:$F$999, "",0)-_xlfn.XLOOKUP(E36,lookups90!$B$4:$B$999,lookups90!$G$4:$G$999, "",0)+_xlfn.XLOOKUP(E36,lookups90!$B$4:$B$999,lookups90!$H$4:$H$999, "",0))/2+_xlfn.XLOOKUP(E36,lookups90!$B$4:$B$999,lookups90!$I$4:$I$999, "",0), OR( E36="Fix Slide Slide Fix Door - with Screen",  E36="Fix Slide Slide Door"),  (K36-_xlfn.XLOOKUP(E36,lookups90!$B$4:$B$999,lookups90!$F$4:$F$999, "",0)-_xlfn.XLOOKUP(E36,lookups90!$B$4:$B$999,lookups90!$G$4:$G$999, "",0)+_xlfn.XLOOKUP(E36,lookups90!$B$4:$B$999,lookups90!$H$4:$H$999, "",0)+_xlfn.XLOOKUP(E36,lookups90!$B$4:$B$999,lookups90!$H$4:$H$999, "",0))/4+_xlfn.XLOOKUP(E36,lookups90!$B$4:$B$999,lookups90!$I$4:$I$999, "",0)),"")</f>
        <v/>
      </c>
      <c r="AM36" s="20" t="str">
        <f>IF(_xlfn.XLOOKUP(E36,lookups90!$B$4:$B$999,lookups90!$AA$4:$AA$999,"",0)=0,"",D36*_xlfn.XLOOKUP(E36,lookups90!$B$4:$B$999,lookups90!$AA$4:$AA$999,"",0))</f>
        <v/>
      </c>
      <c r="AO36" s="20" t="str">
        <f>IFERROR(IF(C36&lt;&gt;"", T36-_xlfn.XLOOKUP(E36,lookups90!$B$4:$B$999,lookups90!$AE$4:$AE$999, "",0),""),"")</f>
        <v/>
      </c>
      <c r="AP36" s="20" t="str">
        <f>IF(_xlfn.XLOOKUP(E36,lookups90!$B$4:$B$999,lookups90!$AG$4:$AG$999,"",0)=0,"",D36*_xlfn.XLOOKUP(E36,lookups90!$B$4:$B$999,lookups90!$AG$4:$AG$999,"",0))</f>
        <v/>
      </c>
      <c r="AQ36" s="20" t="str">
        <f>IF(V36&lt;&gt;"", T36-_xlfn.XLOOKUP(E36,lookups90!$B$4:$B$999,lookups90!$AE$4:$AE$999, "",0)+_xlfn.XLOOKUP(E36,lookups90!$B$4:$B$999,lookups90!$AF$4:$AF$999, "",0),"")</f>
        <v/>
      </c>
      <c r="AR36" s="20" t="str">
        <f>IFERROR(IF(_xlfn.XLOOKUP(E36,lookups90!$B$4:$B$999,lookups90!$AH$4:$AH$999,"",0)=0,"",D36*_xlfn.XLOOKUP(E36,lookups90!$B$4:$B$999,lookups90!$AH$4:$AH$999,"",0)),"")</f>
        <v/>
      </c>
      <c r="AT36" s="20" t="str">
        <f>IF(OR(E36="Fix Slide Slide Fix Window", E36="Fix Slide Slide Fix Door", E36="Fix Slide Slide Fix Door - with Screen", E36="Fix Slide Slide Door"), T36-_xlfn.XLOOKUP(E36,lookups90!$B$4:$B$999,lookups90!$AE$4:$AE$999,"",0),"")</f>
        <v/>
      </c>
      <c r="AU36" s="20" t="str">
        <f>IFERROR(IF(_xlfn.XLOOKUP(E36,lookups90!$B$4:$B$999,lookups90!$AL$4:$AL$999,"",0)=0,"",D36*_xlfn.XLOOKUP(E36,lookups90!$B$4:$B$999,lookups90!$AL$4:$AL$999,"",0)),"")</f>
        <v/>
      </c>
      <c r="AW36" s="20" t="str">
        <f>IF(C36&lt;&gt;"", T36-_xlfn.XLOOKUP(E36,lookups90!$B$4:$B$999,lookups90!$AP$4:$AP$999,"",0),"")</f>
        <v/>
      </c>
      <c r="AX36" s="20" t="str">
        <f>IFERROR(IF(_xlfn.XLOOKUP(E36,lookups90!$B$4:$B$999,lookups90!$AR$4:$AR$999,"",0)=0,"",D36*_xlfn.XLOOKUP(E36,lookups90!$B$4:$B$999,lookups90!$AR$4:$AR$999,"",0)),"")</f>
        <v/>
      </c>
      <c r="AY36" s="24" t="str">
        <f>IF(V36&lt;&gt;"", V36-_xlfn.XLOOKUP(E36,lookups90!$B$4:$B$999,lookups90!$AP$4:$AP$999,"",0),"")</f>
        <v/>
      </c>
      <c r="AZ36" s="20" t="str">
        <f>IFERROR(IF(_xlfn.XLOOKUP(E36,lookups90!$B$4:$B$999,lookups90!$AS$4:$AS$999,"",0)=0,"",D36*_xlfn.XLOOKUP(E36,lookups90!$B$4:$B$999,lookups90!$AS$4:$AS$999,"",0)),"")</f>
        <v/>
      </c>
      <c r="BA36" s="20" t="str">
        <f>IF(X36&lt;&gt;"", X36-_xlfn.XLOOKUP(E36,lookups90!$B$4:$B$999,lookups90!$AQ$4:$AQ$999,"",0),"")</f>
        <v/>
      </c>
      <c r="BB36" s="20" t="str">
        <f>IFERROR(IF(_xlfn.XLOOKUP(E36,lookups90!$B$4:$B$999,lookups90!$AT$4:$AT$999,"",0)=0,"",D36*_xlfn.XLOOKUP(E36,lookups90!$B$4:$B$999,lookups90!$AT$4:$AT$999,"",0)),"")</f>
        <v/>
      </c>
      <c r="BD36" s="20" t="str">
        <f>IF(C36&lt;&gt;"", N36-_xlfn.XLOOKUP(E36,lookups90!$B$4:$B$999,lookups90!$AX$4:$AX$999,"",0)+M36,"")</f>
        <v/>
      </c>
      <c r="BE36" s="20" t="str">
        <f>IFERROR(IF(_xlfn.XLOOKUP(E36,lookups90!$B$4:$B$999,lookups90!$AY$4:$AY$999,"",0)=0,"",D36*_xlfn.XLOOKUP(E36,lookups90!$B$4:$B$999,lookups90!$AY$4:$AY$999,"",0)),"")</f>
        <v/>
      </c>
      <c r="BF36" s="20" t="str">
        <f>IF(C36&lt;&gt;"", P36-_xlfn.XLOOKUP(E36,lookups90!$B$4:$B$999,lookups90!$AX$4:$AX$999,"",0)+M36,"")</f>
        <v/>
      </c>
      <c r="BG36" s="20" t="str">
        <f>IFERROR(IF(_xlfn.XLOOKUP(E36,lookups90!$B$4:$B$999,lookups90!$AZ$4:$AZ$999,"",0)=0,"",D36*_xlfn.XLOOKUP(E36,lookups90!$B$4:$B$999,lookups90!$AZ$4:$AZ$999,"",0)),"")</f>
        <v/>
      </c>
      <c r="BI36" s="20" t="str">
        <f>IF(C36&lt;&gt;"", T36-_xlfn.XLOOKUP(E36,lookups90!$B$4:$B$999,lookups90!$BA$4:$BA$999,"",0),"")</f>
        <v/>
      </c>
      <c r="BJ36" s="20" t="str">
        <f>IFERROR(IF(_xlfn.XLOOKUP(E36,lookups90!$B$4:$B$999,lookups90!$BB$4:$BB$999,"",0)=0,"",D36*_xlfn.XLOOKUP(E36,lookups90!$B$4:$B$999,lookups90!$BB$4:$BB$999,"",0)),"")</f>
        <v/>
      </c>
      <c r="BK36" s="20" t="str">
        <f>IF(V36&lt;&gt;"", V36-_xlfn.XLOOKUP(E36,lookups90!$B$4:$B$999,lookups90!$BA$4:$BA$999,"",0),"")</f>
        <v/>
      </c>
      <c r="BL36" s="20" t="str">
        <f>IFERROR(IF(_xlfn.XLOOKUP(E36,lookups90!$B$4:$B$999,lookups90!$BC$4:$BC$999,"",0)=0,"",D36*_xlfn.XLOOKUP(E36,lookups90!$B$4:$B$999,lookups90!$BC$4:$BC$999,"",0)),"")</f>
        <v/>
      </c>
      <c r="BM36" s="20" t="str">
        <f>IF(C36&lt;&gt;"", X36-_xlfn.XLOOKUP(E36,lookups90!$B$4:$B$999,lookups90!$BA$4:$BA$999,"",0),"")</f>
        <v/>
      </c>
      <c r="BN36" s="20" t="str">
        <f>IFERROR(IF(_xlfn.XLOOKUP(E36,lookups90!$B$4:$B$999,lookups90!$BD$4:$BD$999,"",0)=0,"",D36*_xlfn.XLOOKUP(E36,lookups90!$B$4:$B$999,lookups90!$BD$4:$BD$999,"",0)),"")</f>
        <v/>
      </c>
      <c r="BP36" s="20" t="str">
        <f>IF(AB36&lt;&gt;"", AB36-_xlfn.XLOOKUP(E36,lookups90!$B$4:$B$999,lookups90!$BE$4:$BE$999,"",0),"")</f>
        <v/>
      </c>
      <c r="BQ36" s="20" t="str">
        <f>IFERROR(IF(_xlfn.XLOOKUP(E36,lookups90!$B$4:$B$999,lookups90!$BF$4:$BF$999,"",0)=0,"",D36*_xlfn.XLOOKUP(E36,lookups90!$B$4:$B$999,lookups90!$BF$4:$BF$999,"",0)),"")</f>
        <v/>
      </c>
      <c r="BR36" s="20" t="str" cm="1">
        <f t="array" ref="BR36">_xlfn.IFS(BP36="","",OR(E36="Fix Slide Door - with Screen",E36="Slide Slide Door - with Screen"),(K36-_xlfn.XLOOKUP(E36,lookups90!$B$4:$B$999,lookups90!$F$4:$F$999,"",0)-_xlfn.XLOOKUP(E36,lookups90!$B$4:$B$999,lookups90!$G$4:$G$999,"",0)+_xlfn.XLOOKUP(E36,lookups90!$B$4:$B$999,lookups90!$H$4:$H$999,"",0))/2+_xlfn.XLOOKUP(E36,lookups90!$B$4:$B$999,lookups90!$I$4:$I$999,"",0)-_xlfn.XLOOKUP(E36,lookups90!$B$4:$B$999,lookups90!$BE$4:$BE$999,"",0), E36="Fix Slide Slide Fix Door - with Screen",(K36-_xlfn.XLOOKUP(E36,lookups90!$B$4:$B$999,lookups90!$F$4:$F$999,"",0)-_xlfn.XLOOKUP(E36,lookups90!$B$4:$B$999,lookups90!$G$4:$G$999,"",0)+_xlfn.XLOOKUP(E36,lookups90!$B$4:$B$999,lookups90!$H$4:$H$999,"",0)+_xlfn.XLOOKUP(E36,lookups90!$B$4:$B$999,lookups90!$H$4:$H$999,"",0))/4+_xlfn.XLOOKUP(E36,lookups90!$B$4:$B$999,lookups90!$I$4:$I$999,"",0)-_xlfn.XLOOKUP(E36,lookups90!$B$4:$B$999,lookups90!$BE$4:$BE$999,"",0))</f>
        <v/>
      </c>
      <c r="BS36" s="20" t="str">
        <f>IFERROR(IF(_xlfn.XLOOKUP(E36,lookups90!$B$4:$B$999,lookups90!$BG$4:$BG$999,"",0)=0,"",D36*_xlfn.XLOOKUP(E36,lookups90!$B$4:$B$999,lookups90!$BG$4:$BG$999,"",0)),"")</f>
        <v/>
      </c>
      <c r="BU36" s="20" t="str">
        <f>IF(AG36&lt;&gt;"",AG36-_xlfn.XLOOKUP(E36,lookups90!$B$4:$B$999,lookups90!$BA$4:$BA$999,"",0),"")</f>
        <v/>
      </c>
      <c r="BV36" s="20" t="str">
        <f>IFERROR(IF(_xlfn.XLOOKUP(E36,lookups90!$B$4:$B$999,lookups90!$BH$4:$BH$999,"",0)=0,"",D36*_xlfn.XLOOKUP(E36,lookups90!$B$4:$B$999,lookups90!$BH$4:$BH$999,"",0)),"")</f>
        <v/>
      </c>
      <c r="BW36" s="20" t="str" cm="1">
        <f t="array" ref="BW36">_xlfn.IFS(BU36="","",OR(E36="Fix Slide Window",E36="Slide Slide Window"),(K36-_xlfn.XLOOKUP(E36,lookups90!$B$4:$B$999,lookups90!$F$4:$F$999,"",0)-_xlfn.XLOOKUP(E36,lookups90!$B$4:$B$999,lookups90!$G$4:$G$999,"",0)+_xlfn.XLOOKUP(E36,lookups90!$B$4:$B$999,lookups90!$H$4:$H$999,"",0))/2+_xlfn.XLOOKUP(E36,lookups90!$B$4:$B$999,lookups90!$I$4:$I$999,"",0)-_xlfn.XLOOKUP(E36,lookups90!$B$4:$B$999,lookups90!$BA$4:$BA$999,"",0), E36="Fix Slide Slide Fix Window",(K36-_xlfn.XLOOKUP(E36,lookups90!$B$4:$B$999,lookups90!$F$4:$F$999,"",0)-_xlfn.XLOOKUP(E36,lookups90!$B$4:$B$999,lookups90!$G$4:$G$999,"",0)+_xlfn.XLOOKUP(E36,lookups90!$B$4:$B$999,lookups90!$H$4:$H$999,"",0)+_xlfn.XLOOKUP(E36,lookups90!$B$4:$B$999,lookups90!$H$4:$H$999,"",0))/4+_xlfn.XLOOKUP(E36,lookups90!$B$4:$B$999,lookups90!$I$4:$I$999,"",0)-_xlfn.XLOOKUP(E36,lookups90!$B$4:$B$999,lookups90!$BA$4:$BA$999,"",0))</f>
        <v/>
      </c>
      <c r="BX36" s="20" t="str">
        <f>IFERROR(IF(_xlfn.XLOOKUP(E36,lookups90!$B$4:$B$999,lookups90!$BI$4:$BI$999,"",0)=0,"",D36*_xlfn.XLOOKUP(E36,lookups90!$B$4:$B$999,lookups90!$BI$4:$BI$999,"",0)),"")</f>
        <v/>
      </c>
      <c r="BZ36" s="20" t="str">
        <f>IF(AL36&lt;&gt;"", AL36-_xlfn.XLOOKUP(E36,lookups90!$B$4:$B$999,lookups90!$BJ$4:$BJ$999,"",0),"")</f>
        <v/>
      </c>
      <c r="CA36" s="20" t="str">
        <f>IFERROR(IF(_xlfn.XLOOKUP(E36,lookups90!$B$4:$B$999,lookups90!$BK$4:$BK$999,"",0)=0,"",D36*_xlfn.XLOOKUP(E36,lookups90!$B$4:$B$999,lookups90!$BK$4:$BK$999,"",0)),"")</f>
        <v/>
      </c>
      <c r="CC36" s="20" t="str">
        <f>IF(C36&lt;&gt;"", T36-_xlfn.XLOOKUP(E36,lookups90!$B$4:$B$999,lookups90!$BO$4:$BO$999,"",0)-_xlfn.XLOOKUP(E36,lookups90!$B$4:$B$999,lookups90!$BP$4:$BP$999,"",0),"")</f>
        <v/>
      </c>
      <c r="CD36" s="20" t="str">
        <f>IF(C36&lt;&gt;"", X36-_xlfn.XLOOKUP(E36,lookups90!$B$4:$B$999,lookups90!$BQ$4:$BQ$999,"",0)-_xlfn.XLOOKUP(E36,lookups90!$B$4:$B$999,lookups90!$BR$4:$BR$999,"",0),"")</f>
        <v/>
      </c>
      <c r="CE36" s="20" t="str">
        <f>IFERROR(IF(_xlfn.XLOOKUP(E36,lookups90!$B$4:$B$999,lookups90!$BS$4:$BS$999,"",0)=0,"",D36*_xlfn.XLOOKUP(E36,lookups90!$B$4:$B$999,lookups90!$BS$4:$BS$999,"",0)),"")</f>
        <v/>
      </c>
      <c r="CF36" s="20" t="str">
        <f>IF(V36&lt;&gt;"", V36-_xlfn.XLOOKUP(E36,lookups90!$B$4:$B$999,lookups90!$BO$4:$BO$999,"",0)-_xlfn.XLOOKUP(E36,lookups90!$B$4:$B$999,lookups90!$BP$4:$BP$999,"",0),"")</f>
        <v/>
      </c>
      <c r="CG36" s="20" t="str">
        <f>IF(CF36&lt;&gt;"", X36-_xlfn.XLOOKUP(E36,lookups90!$B$4:$B$999,lookups90!$BQ$4:$BQ$999,"",0)-_xlfn.XLOOKUP(E36,lookups90!$B$4:$B$999,lookups90!$BR$4:$BR$999,"",0),"")</f>
        <v/>
      </c>
      <c r="CH36" s="20" t="str">
        <f>IFERROR(IF(_xlfn.XLOOKUP(E36,lookups90!$B$4:$B$999,lookups90!$BT$4:$BT$999,"",0)=0,"",D36*_xlfn.XLOOKUP(E36,lookups90!$B$4:$B$999,lookups90!$BT$4:$BT$999,"",0)),"")</f>
        <v/>
      </c>
      <c r="CJ36" s="22" t="str">
        <f t="shared" si="5"/>
        <v/>
      </c>
      <c r="CL36" s="22" t="str" cm="1">
        <f t="array" ref="CL36">IF(D36&lt;&gt;"",((((J36+K36)*2)/500)+(2*_xlfn.IFS(OR(E36="Fix Slide Window", E36="Slide Slide Window", E36="Fix Slide Slide Fix Window"), 2, E36="Slide Slide Door - with Screen", 8, E36&lt;&gt;"",4)))*D36,"")</f>
        <v/>
      </c>
      <c r="CM36" s="22" t="str">
        <f t="shared" si="9"/>
        <v/>
      </c>
      <c r="CN36" s="22" t="str">
        <f t="shared" si="10"/>
        <v/>
      </c>
      <c r="CO36" s="22" t="str">
        <f t="shared" si="8"/>
        <v/>
      </c>
      <c r="CP36" s="22" t="str">
        <f t="shared" si="0"/>
        <v/>
      </c>
    </row>
    <row r="37" spans="3:94" ht="13.5" customHeight="1" x14ac:dyDescent="0.25">
      <c r="C37" s="16"/>
      <c r="D37" s="16"/>
      <c r="E37" s="16"/>
      <c r="F37" s="16"/>
      <c r="G37" s="16"/>
      <c r="H37" s="16"/>
      <c r="I37" s="16"/>
      <c r="J37" s="16"/>
      <c r="K37" s="16"/>
      <c r="M37" s="20" t="str">
        <f t="shared" si="1"/>
        <v/>
      </c>
      <c r="N37" s="20" t="str" cm="1">
        <f t="array" ref="N37">IFERROR(_xlfn.IFS(OR(E37="Fix Awning (Vertical)", E37="Fix Awning (Horizontal)"), J37/2+20,C37&lt;&gt;"", J37+M37),"")</f>
        <v/>
      </c>
      <c r="O37" s="20" t="str">
        <f t="shared" si="2"/>
        <v/>
      </c>
      <c r="P37" s="20" t="str">
        <f t="shared" si="3"/>
        <v/>
      </c>
      <c r="Q37" s="20" t="str">
        <f t="shared" si="4"/>
        <v/>
      </c>
      <c r="S37" s="20" t="str">
        <f>IF(C37&lt;&gt;"", _xlfn.XLOOKUP(E37,lookups90!$B$4:$B$999,lookups90!$C$4:$C$999,"",0),"")</f>
        <v/>
      </c>
      <c r="T37" s="20" t="str">
        <f>IF(C37&lt;&gt;"", J37-_xlfn.XLOOKUP(E37,lookups90!$B$4:$B$999,lookups90!$D$4:$D$999, "",0),"")</f>
        <v/>
      </c>
      <c r="U37" s="20" t="str">
        <f>IF(T37&lt;&gt;"",D37*_xlfn.XLOOKUP(E37,lookups90!$B$4:$B$999,lookups90!$J$4:$J$999, "",0),"")</f>
        <v/>
      </c>
      <c r="V37" s="20" t="str">
        <f>IF(AND(C37&lt;&gt;"", E37&lt;&gt;"Slide Slide Window", E37&lt;&gt;"Slide Slide Door", E37&lt;&gt;"Slide Slide Door - with Screen"), J37-_xlfn.XLOOKUP(E37,lookups90!$B$4:$B$999,lookups90!$E$4:$E$999, "",0),"")</f>
        <v/>
      </c>
      <c r="W37" s="20" t="str">
        <f>IF(V37&lt;&gt;"",D37*_xlfn.XLOOKUP(E37,lookups90!$B$4:$B$999,lookups90!$K$4:$K$999, "",0),"")</f>
        <v/>
      </c>
      <c r="X37" s="20" t="str" cm="1">
        <f t="array" ref="X37">IFERROR(_xlfn.IFS(OR(E37="Fix Slide Window", E37="Slide Slide Window", E37="Fix Slide Door", E37="Slide Slide Door", E37="Fix Slide Door - with Screen", E37="Slide Slide Door - with Screen"), (K37-_xlfn.XLOOKUP(E37,lookups90!$B$4:$B$999,lookups90!$F$4:$F$999, "",0)-_xlfn.XLOOKUP(E37,lookups90!$B$4:$B$999,lookups90!$G$4:$G$999, "",0)+_xlfn.XLOOKUP(E37,lookups90!$B$4:$B$999,lookups90!$H$4:$H$999, "",0))/2+_xlfn.XLOOKUP(E37,lookups90!$B$4:$B$999,lookups90!$I$4:$I$999, "",0), OR(E37="Fix Slide Slide Fix Window", E37="Fix Slide Slide Fix Door - with Screen", E37="Fix Slide Slide Fix Door"),  (K37-_xlfn.XLOOKUP(E37,lookups90!$B$4:$B$999,lookups90!$F$4:$F$999, "",0)-_xlfn.XLOOKUP(E37,lookups90!$B$4:$B$999,lookups90!$G$4:$G$999, "",0)+_xlfn.XLOOKUP(E37,lookups90!$B$4:$B$999,lookups90!$H$4:$H$999, "",0)+_xlfn.XLOOKUP(E37,lookups90!$B$4:$B$999,lookups90!$H$4:$H$999, "",0))/4+_xlfn.XLOOKUP(E37,lookups90!$B$4:$B$999,lookups90!$I$4:$I$999, "",0), E37="Fix Slide Slide Door", (K37-_xlfn.XLOOKUP(E37,lookups90!$B$4:$B$999,lookups90!$F$4:$F$999, "",0)-_xlfn.XLOOKUP(E37,lookups90!$B$4:$B$999,lookups90!$G$4:$G$999, "",0)+_xlfn.XLOOKUP(E37,lookups90!$B$4:$B$999,lookups90!$H$4:$H$999, "",0)+_xlfn.XLOOKUP(E37,lookups90!$B$4:$B$999,lookups90!$H$4:$H$999, "",0))/3+_xlfn.XLOOKUP(E37,lookups90!$B$4:$B$999,lookups90!$I$4:$I$999, "",0),E37="Fix Slide Slide Slide Slide Fix Dr",  (K37-_xlfn.XLOOKUP(E37,lookups90!$B$4:$B$999,lookups90!$F$4:$F$999, "",0)-_xlfn.XLOOKUP(E37,lookups90!$B$4:$B$999,lookups90!$G$4:$G$999, "",0)+_xlfn.XLOOKUP(E37,lookups90!$B$4:$B$999,lookups90!$H$4:$H$999, "",0)+_xlfn.XLOOKUP(E37,lookups90!$B$4:$B$999,lookups90!$H$4:$H$999, "",0)+_xlfn.XLOOKUP(E37,lookups90!$B$4:$B$999,lookups90!$H$4:$H$999, "",0)+_xlfn.XLOOKUP(E37,lookups90!$B$4:$B$999,lookups90!$H$4:$H$999, "",0))/6+_xlfn.XLOOKUP(E37,lookups90!$B$4:$B$999,lookups90!$I$4:$I$999, "",0), E37="Fix Slide Slide Slide Slide Slide Slide Fix Dr",  (K37-_xlfn.XLOOKUP(E37,lookups90!$B$4:$B$999,lookups90!$F$4:$F$999, "",0)-_xlfn.XLOOKUP(E37,lookups90!$B$4:$B$999,lookups90!$G$4:$G$999, "",0)+_xlfn.XLOOKUP(E37,lookups90!$B$4:$B$999,lookups90!$H$4:$H$999, "",0)+_xlfn.XLOOKUP(E37,lookups90!$B$4:$B$999,lookups90!$H$4:$H$999, "",0)+_xlfn.XLOOKUP(E37,lookups90!$B$4:$B$999,lookups90!$H$4:$H$999, "",0)+_xlfn.XLOOKUP(E37,lookups90!$B$4:$B$999,lookups90!$H$4:$H$999, "",0)+_xlfn.XLOOKUP(E37,lookups90!$B$4:$B$999,lookups90!$H$4:$H$999, "",0)+_xlfn.XLOOKUP(E37,lookups90!$B$4:$B$999,lookups90!$H$4:$H$999, "",0))/8+_xlfn.XLOOKUP(E37,lookups90!$B$4:$B$999,lookups90!$I$4:$I$999, "",0)),"")</f>
        <v/>
      </c>
      <c r="Y37" s="20" t="str">
        <f>IF(X37&lt;&gt;"",D37*_xlfn.XLOOKUP(E37,lookups90!$B$4:$B$999,lookups90!$L$4:$L$999, "",0),"")</f>
        <v/>
      </c>
      <c r="AA37" s="20" t="str">
        <f>IF(C37&lt;&gt;"", IF(_xlfn.XLOOKUP(E37,lookups90!$B$4:$B$999,lookups90!$P$4:$P$999,"",0)=0,"",_xlfn.XLOOKUP(E37,lookups90!$B$4:$B$999,lookups90!$P$4:$P$999,"",0)),"")</f>
        <v/>
      </c>
      <c r="AB37" s="20" t="str">
        <f>IF(AA37&lt;&gt;"", J37-_xlfn.XLOOKUP(E37,lookups90!$B$4:$B$999,lookups90!$D$4:$D$999, "",0),"")</f>
        <v/>
      </c>
      <c r="AC37" s="20" t="str">
        <f>IF(AA37&lt;&gt;"",D37*_xlfn.XLOOKUP(E37,lookups90!$B$4:$B$999,lookups90!$Q$4:$Q$999, "",0),"")</f>
        <v/>
      </c>
      <c r="AD37" s="20" t="str" cm="1">
        <f t="array" ref="AD37">IF(AA37&lt;&gt;"", _xlfn.IFS(OR(E37="Fix Slide Window", E37="Slide Slide Window", E37="Fix Slide Door", E37="Slide Slide Door", E37="Fix Slide Door - with Screen", E37="Slide Slide Door - with Screen"), (K37-_xlfn.XLOOKUP(E37,lookups90!$B$4:$B$999,lookups90!$F$4:$F$999, "",0)-_xlfn.XLOOKUP(E37,lookups90!$B$4:$B$999,lookups90!$G$4:$G$999, "",0)+_xlfn.XLOOKUP(E37,lookups90!$B$4:$B$999,lookups90!$H$4:$H$999, "",0))/2+_xlfn.XLOOKUP(E37,lookups90!$B$4:$B$999,lookups90!$I$4:$I$999, "",0), OR(E37="Fix Slide Slide Fix Window", E37="Fix Slide Slide Fix Door - with Screen", E37="Fix Slide Slide Fix Door"),  (K37-_xlfn.XLOOKUP(E37,lookups90!$B$4:$B$999,lookups90!$F$4:$F$999, "",0)-_xlfn.XLOOKUP(E37,lookups90!$B$4:$B$999,lookups90!$G$4:$G$999, "",0)+_xlfn.XLOOKUP(E37,lookups90!$B$4:$B$999,lookups90!$H$4:$H$999, "",0)+_xlfn.XLOOKUP(E37,lookups90!$B$4:$B$999,lookups90!$H$4:$H$999, "",0))/4+_xlfn.XLOOKUP(E37,lookups90!$B$4:$B$999,lookups90!$I$4:$I$999, "",0), E37="Fix Slide Slide Door", (K37-_xlfn.XLOOKUP(E37,lookups90!$B$4:$B$999,lookups90!$F$4:$F$999, "",0)-_xlfn.XLOOKUP(E37,lookups90!$B$4:$B$999,lookups90!$G$4:$G$999, "",0)+_xlfn.XLOOKUP(E37,lookups90!$B$4:$B$999,lookups90!$H$4:$H$999, "",0)+_xlfn.XLOOKUP(E37,lookups90!$B$4:$B$999,lookups90!$H$4:$H$999, "",0))/3+_xlfn.XLOOKUP(E37,lookups90!$B$4:$B$999,lookups90!$I$4:$I$999, "",0) ),"")</f>
        <v/>
      </c>
      <c r="AE37" s="20" t="str">
        <f>IF(AA37&lt;&gt;"",D37*_xlfn.XLOOKUP(E37,lookups90!$B$4:$B$999,lookups90!$R$4:$R$999, "",0),"")</f>
        <v/>
      </c>
      <c r="AG37" s="20" t="str">
        <f>IF(AH37&lt;&gt;"", J37-_xlfn.XLOOKUP(E37,lookups90!$B$4:$B$999,lookups90!$D$4:$D$999, "",0),"")</f>
        <v/>
      </c>
      <c r="AH37" s="20" t="str">
        <f>IF(_xlfn.XLOOKUP(E37,lookups90!$B$4:$B$999,lookups90!$V$4:$V$999,"",0)=0,"",D37*_xlfn.XLOOKUP(E37,lookups90!$B$4:$B$999,lookups90!$V$4:$V$999,"",0))</f>
        <v/>
      </c>
      <c r="AI37" s="20" t="str" cm="1">
        <f t="array" ref="AI37">IF(AH37&lt;&gt;"", _xlfn.IFS(OR(E37="Fix Slide Window", E37="Slide Slide Window"), (K37-_xlfn.XLOOKUP(E37,lookups90!$B$4:$B$999,lookups90!$F$4:$F$999, "",0)-_xlfn.XLOOKUP(E37,lookups90!$B$4:$B$999,lookups90!$G$4:$G$999, "",0)+_xlfn.XLOOKUP(E37,lookups90!$B$4:$B$999,lookups90!$H$4:$H$999, "",0))/2+_xlfn.XLOOKUP(E37,lookups90!$B$4:$B$999,lookups90!$I$4:$I$999, "",0), OR(E37="Fix Slide Slide Fix Window"),  (K37-_xlfn.XLOOKUP(E37,lookups90!$B$4:$B$999,lookups90!$F$4:$F$999, "",0)+_xlfn.XLOOKUP(E37,lookups90!$B$4:$B$999,lookups90!$H$4:$H$999, "",0)+_xlfn.XLOOKUP(E37,lookups90!$B$4:$B$999,lookups90!$H$4:$H$999, "",0))/4+_xlfn.XLOOKUP(E37,lookups90!$B$4:$B$999,lookups90!$I$4:$I$999, "",0)),"")</f>
        <v/>
      </c>
      <c r="AJ37" s="20" t="str">
        <f>IF(_xlfn.XLOOKUP(E37,lookups90!$B$4:$B$999,lookups90!$V$4:$V$999,"",0)=0,"",D37*_xlfn.XLOOKUP(E37,lookups90!$B$4:$B$999,lookups90!$W$4:$W$999,"",0))</f>
        <v/>
      </c>
      <c r="AL37" s="20" t="str" cm="1">
        <f t="array" ref="AL37">IF(AM37&lt;&gt;"", _xlfn.IFS(OR(E37="Fix Slide Door - with Screen", E37="Slide Slide Door - with Screen"), (K37-_xlfn.XLOOKUP(E37,lookups90!$B$4:$B$999,lookups90!$F$4:$F$999, "",0)-_xlfn.XLOOKUP(E37,lookups90!$B$4:$B$999,lookups90!$G$4:$G$999, "",0)+_xlfn.XLOOKUP(E37,lookups90!$B$4:$B$999,lookups90!$H$4:$H$999, "",0))/2+_xlfn.XLOOKUP(E37,lookups90!$B$4:$B$999,lookups90!$I$4:$I$999, "",0), OR( E37="Fix Slide Slide Fix Door - with Screen",  E37="Fix Slide Slide Door"),  (K37-_xlfn.XLOOKUP(E37,lookups90!$B$4:$B$999,lookups90!$F$4:$F$999, "",0)-_xlfn.XLOOKUP(E37,lookups90!$B$4:$B$999,lookups90!$G$4:$G$999, "",0)+_xlfn.XLOOKUP(E37,lookups90!$B$4:$B$999,lookups90!$H$4:$H$999, "",0)+_xlfn.XLOOKUP(E37,lookups90!$B$4:$B$999,lookups90!$H$4:$H$999, "",0))/4+_xlfn.XLOOKUP(E37,lookups90!$B$4:$B$999,lookups90!$I$4:$I$999, "",0)),"")</f>
        <v/>
      </c>
      <c r="AM37" s="20" t="str">
        <f>IF(_xlfn.XLOOKUP(E37,lookups90!$B$4:$B$999,lookups90!$AA$4:$AA$999,"",0)=0,"",D37*_xlfn.XLOOKUP(E37,lookups90!$B$4:$B$999,lookups90!$AA$4:$AA$999,"",0))</f>
        <v/>
      </c>
      <c r="AO37" s="20" t="str">
        <f>IFERROR(IF(C37&lt;&gt;"", T37-_xlfn.XLOOKUP(E37,lookups90!$B$4:$B$999,lookups90!$AE$4:$AE$999, "",0),""),"")</f>
        <v/>
      </c>
      <c r="AP37" s="20" t="str">
        <f>IF(_xlfn.XLOOKUP(E37,lookups90!$B$4:$B$999,lookups90!$AG$4:$AG$999,"",0)=0,"",D37*_xlfn.XLOOKUP(E37,lookups90!$B$4:$B$999,lookups90!$AG$4:$AG$999,"",0))</f>
        <v/>
      </c>
      <c r="AQ37" s="20" t="str">
        <f>IF(V37&lt;&gt;"", T37-_xlfn.XLOOKUP(E37,lookups90!$B$4:$B$999,lookups90!$AE$4:$AE$999, "",0)+_xlfn.XLOOKUP(E37,lookups90!$B$4:$B$999,lookups90!$AF$4:$AF$999, "",0),"")</f>
        <v/>
      </c>
      <c r="AR37" s="20" t="str">
        <f>IFERROR(IF(_xlfn.XLOOKUP(E37,lookups90!$B$4:$B$999,lookups90!$AH$4:$AH$999,"",0)=0,"",D37*_xlfn.XLOOKUP(E37,lookups90!$B$4:$B$999,lookups90!$AH$4:$AH$999,"",0)),"")</f>
        <v/>
      </c>
      <c r="AT37" s="20" t="str">
        <f>IF(OR(E37="Fix Slide Slide Fix Window", E37="Fix Slide Slide Fix Door", E37="Fix Slide Slide Fix Door - with Screen", E37="Fix Slide Slide Door"), T37-_xlfn.XLOOKUP(E37,lookups90!$B$4:$B$999,lookups90!$AE$4:$AE$999,"",0),"")</f>
        <v/>
      </c>
      <c r="AU37" s="20" t="str">
        <f>IFERROR(IF(_xlfn.XLOOKUP(E37,lookups90!$B$4:$B$999,lookups90!$AL$4:$AL$999,"",0)=0,"",D37*_xlfn.XLOOKUP(E37,lookups90!$B$4:$B$999,lookups90!$AL$4:$AL$999,"",0)),"")</f>
        <v/>
      </c>
      <c r="AW37" s="20" t="str">
        <f>IF(C37&lt;&gt;"", T37-_xlfn.XLOOKUP(E37,lookups90!$B$4:$B$999,lookups90!$AP$4:$AP$999,"",0),"")</f>
        <v/>
      </c>
      <c r="AX37" s="20" t="str">
        <f>IFERROR(IF(_xlfn.XLOOKUP(E37,lookups90!$B$4:$B$999,lookups90!$AR$4:$AR$999,"",0)=0,"",D37*_xlfn.XLOOKUP(E37,lookups90!$B$4:$B$999,lookups90!$AR$4:$AR$999,"",0)),"")</f>
        <v/>
      </c>
      <c r="AY37" s="24" t="str">
        <f>IF(V37&lt;&gt;"", V37-_xlfn.XLOOKUP(E37,lookups90!$B$4:$B$999,lookups90!$AP$4:$AP$999,"",0),"")</f>
        <v/>
      </c>
      <c r="AZ37" s="20" t="str">
        <f>IFERROR(IF(_xlfn.XLOOKUP(E37,lookups90!$B$4:$B$999,lookups90!$AS$4:$AS$999,"",0)=0,"",D37*_xlfn.XLOOKUP(E37,lookups90!$B$4:$B$999,lookups90!$AS$4:$AS$999,"",0)),"")</f>
        <v/>
      </c>
      <c r="BA37" s="20" t="str">
        <f>IF(X37&lt;&gt;"", X37-_xlfn.XLOOKUP(E37,lookups90!$B$4:$B$999,lookups90!$AQ$4:$AQ$999,"",0),"")</f>
        <v/>
      </c>
      <c r="BB37" s="20" t="str">
        <f>IFERROR(IF(_xlfn.XLOOKUP(E37,lookups90!$B$4:$B$999,lookups90!$AT$4:$AT$999,"",0)=0,"",D37*_xlfn.XLOOKUP(E37,lookups90!$B$4:$B$999,lookups90!$AT$4:$AT$999,"",0)),"")</f>
        <v/>
      </c>
      <c r="BD37" s="20" t="str">
        <f>IF(C37&lt;&gt;"", N37-_xlfn.XLOOKUP(E37,lookups90!$B$4:$B$999,lookups90!$AX$4:$AX$999,"",0)+M37,"")</f>
        <v/>
      </c>
      <c r="BE37" s="20" t="str">
        <f>IFERROR(IF(_xlfn.XLOOKUP(E37,lookups90!$B$4:$B$999,lookups90!$AY$4:$AY$999,"",0)=0,"",D37*_xlfn.XLOOKUP(E37,lookups90!$B$4:$B$999,lookups90!$AY$4:$AY$999,"",0)),"")</f>
        <v/>
      </c>
      <c r="BF37" s="20" t="str">
        <f>IF(C37&lt;&gt;"", P37-_xlfn.XLOOKUP(E37,lookups90!$B$4:$B$999,lookups90!$AX$4:$AX$999,"",0)+M37,"")</f>
        <v/>
      </c>
      <c r="BG37" s="20" t="str">
        <f>IFERROR(IF(_xlfn.XLOOKUP(E37,lookups90!$B$4:$B$999,lookups90!$AZ$4:$AZ$999,"",0)=0,"",D37*_xlfn.XLOOKUP(E37,lookups90!$B$4:$B$999,lookups90!$AZ$4:$AZ$999,"",0)),"")</f>
        <v/>
      </c>
      <c r="BI37" s="20" t="str">
        <f>IF(C37&lt;&gt;"", T37-_xlfn.XLOOKUP(E37,lookups90!$B$4:$B$999,lookups90!$BA$4:$BA$999,"",0),"")</f>
        <v/>
      </c>
      <c r="BJ37" s="20" t="str">
        <f>IFERROR(IF(_xlfn.XLOOKUP(E37,lookups90!$B$4:$B$999,lookups90!$BB$4:$BB$999,"",0)=0,"",D37*_xlfn.XLOOKUP(E37,lookups90!$B$4:$B$999,lookups90!$BB$4:$BB$999,"",0)),"")</f>
        <v/>
      </c>
      <c r="BK37" s="20" t="str">
        <f>IF(V37&lt;&gt;"", V37-_xlfn.XLOOKUP(E37,lookups90!$B$4:$B$999,lookups90!$BA$4:$BA$999,"",0),"")</f>
        <v/>
      </c>
      <c r="BL37" s="20" t="str">
        <f>IFERROR(IF(_xlfn.XLOOKUP(E37,lookups90!$B$4:$B$999,lookups90!$BC$4:$BC$999,"",0)=0,"",D37*_xlfn.XLOOKUP(E37,lookups90!$B$4:$B$999,lookups90!$BC$4:$BC$999,"",0)),"")</f>
        <v/>
      </c>
      <c r="BM37" s="20" t="str">
        <f>IF(C37&lt;&gt;"", X37-_xlfn.XLOOKUP(E37,lookups90!$B$4:$B$999,lookups90!$BA$4:$BA$999,"",0),"")</f>
        <v/>
      </c>
      <c r="BN37" s="20" t="str">
        <f>IFERROR(IF(_xlfn.XLOOKUP(E37,lookups90!$B$4:$B$999,lookups90!$BD$4:$BD$999,"",0)=0,"",D37*_xlfn.XLOOKUP(E37,lookups90!$B$4:$B$999,lookups90!$BD$4:$BD$999,"",0)),"")</f>
        <v/>
      </c>
      <c r="BP37" s="20" t="str">
        <f>IF(AB37&lt;&gt;"", AB37-_xlfn.XLOOKUP(E37,lookups90!$B$4:$B$999,lookups90!$BE$4:$BE$999,"",0),"")</f>
        <v/>
      </c>
      <c r="BQ37" s="20" t="str">
        <f>IFERROR(IF(_xlfn.XLOOKUP(E37,lookups90!$B$4:$B$999,lookups90!$BF$4:$BF$999,"",0)=0,"",D37*_xlfn.XLOOKUP(E37,lookups90!$B$4:$B$999,lookups90!$BF$4:$BF$999,"",0)),"")</f>
        <v/>
      </c>
      <c r="BR37" s="20" t="str" cm="1">
        <f t="array" ref="BR37">_xlfn.IFS(BP37="","",OR(E37="Fix Slide Door - with Screen",E37="Slide Slide Door - with Screen"),(K37-_xlfn.XLOOKUP(E37,lookups90!$B$4:$B$999,lookups90!$F$4:$F$999,"",0)-_xlfn.XLOOKUP(E37,lookups90!$B$4:$B$999,lookups90!$G$4:$G$999,"",0)+_xlfn.XLOOKUP(E37,lookups90!$B$4:$B$999,lookups90!$H$4:$H$999,"",0))/2+_xlfn.XLOOKUP(E37,lookups90!$B$4:$B$999,lookups90!$I$4:$I$999,"",0)-_xlfn.XLOOKUP(E37,lookups90!$B$4:$B$999,lookups90!$BE$4:$BE$999,"",0), E37="Fix Slide Slide Fix Door - with Screen",(K37-_xlfn.XLOOKUP(E37,lookups90!$B$4:$B$999,lookups90!$F$4:$F$999,"",0)-_xlfn.XLOOKUP(E37,lookups90!$B$4:$B$999,lookups90!$G$4:$G$999,"",0)+_xlfn.XLOOKUP(E37,lookups90!$B$4:$B$999,lookups90!$H$4:$H$999,"",0)+_xlfn.XLOOKUP(E37,lookups90!$B$4:$B$999,lookups90!$H$4:$H$999,"",0))/4+_xlfn.XLOOKUP(E37,lookups90!$B$4:$B$999,lookups90!$I$4:$I$999,"",0)-_xlfn.XLOOKUP(E37,lookups90!$B$4:$B$999,lookups90!$BE$4:$BE$999,"",0))</f>
        <v/>
      </c>
      <c r="BS37" s="20" t="str">
        <f>IFERROR(IF(_xlfn.XLOOKUP(E37,lookups90!$B$4:$B$999,lookups90!$BG$4:$BG$999,"",0)=0,"",D37*_xlfn.XLOOKUP(E37,lookups90!$B$4:$B$999,lookups90!$BG$4:$BG$999,"",0)),"")</f>
        <v/>
      </c>
      <c r="BU37" s="20" t="str">
        <f>IF(AG37&lt;&gt;"",AG37-_xlfn.XLOOKUP(E37,lookups90!$B$4:$B$999,lookups90!$BA$4:$BA$999,"",0),"")</f>
        <v/>
      </c>
      <c r="BV37" s="20" t="str">
        <f>IFERROR(IF(_xlfn.XLOOKUP(E37,lookups90!$B$4:$B$999,lookups90!$BH$4:$BH$999,"",0)=0,"",D37*_xlfn.XLOOKUP(E37,lookups90!$B$4:$B$999,lookups90!$BH$4:$BH$999,"",0)),"")</f>
        <v/>
      </c>
      <c r="BW37" s="20" t="str" cm="1">
        <f t="array" ref="BW37">_xlfn.IFS(BU37="","",OR(E37="Fix Slide Window",E37="Slide Slide Window"),(K37-_xlfn.XLOOKUP(E37,lookups90!$B$4:$B$999,lookups90!$F$4:$F$999,"",0)-_xlfn.XLOOKUP(E37,lookups90!$B$4:$B$999,lookups90!$G$4:$G$999,"",0)+_xlfn.XLOOKUP(E37,lookups90!$B$4:$B$999,lookups90!$H$4:$H$999,"",0))/2+_xlfn.XLOOKUP(E37,lookups90!$B$4:$B$999,lookups90!$I$4:$I$999,"",0)-_xlfn.XLOOKUP(E37,lookups90!$B$4:$B$999,lookups90!$BA$4:$BA$999,"",0), E37="Fix Slide Slide Fix Window",(K37-_xlfn.XLOOKUP(E37,lookups90!$B$4:$B$999,lookups90!$F$4:$F$999,"",0)-_xlfn.XLOOKUP(E37,lookups90!$B$4:$B$999,lookups90!$G$4:$G$999,"",0)+_xlfn.XLOOKUP(E37,lookups90!$B$4:$B$999,lookups90!$H$4:$H$999,"",0)+_xlfn.XLOOKUP(E37,lookups90!$B$4:$B$999,lookups90!$H$4:$H$999,"",0))/4+_xlfn.XLOOKUP(E37,lookups90!$B$4:$B$999,lookups90!$I$4:$I$999,"",0)-_xlfn.XLOOKUP(E37,lookups90!$B$4:$B$999,lookups90!$BA$4:$BA$999,"",0))</f>
        <v/>
      </c>
      <c r="BX37" s="20" t="str">
        <f>IFERROR(IF(_xlfn.XLOOKUP(E37,lookups90!$B$4:$B$999,lookups90!$BI$4:$BI$999,"",0)=0,"",D37*_xlfn.XLOOKUP(E37,lookups90!$B$4:$B$999,lookups90!$BI$4:$BI$999,"",0)),"")</f>
        <v/>
      </c>
      <c r="BZ37" s="20" t="str">
        <f>IF(AL37&lt;&gt;"", AL37-_xlfn.XLOOKUP(E37,lookups90!$B$4:$B$999,lookups90!$BJ$4:$BJ$999,"",0),"")</f>
        <v/>
      </c>
      <c r="CA37" s="20" t="str">
        <f>IFERROR(IF(_xlfn.XLOOKUP(E37,lookups90!$B$4:$B$999,lookups90!$BK$4:$BK$999,"",0)=0,"",D37*_xlfn.XLOOKUP(E37,lookups90!$B$4:$B$999,lookups90!$BK$4:$BK$999,"",0)),"")</f>
        <v/>
      </c>
      <c r="CC37" s="20" t="str">
        <f>IF(C37&lt;&gt;"", T37-_xlfn.XLOOKUP(E37,lookups90!$B$4:$B$999,lookups90!$BO$4:$BO$999,"",0)-_xlfn.XLOOKUP(E37,lookups90!$B$4:$B$999,lookups90!$BP$4:$BP$999,"",0),"")</f>
        <v/>
      </c>
      <c r="CD37" s="20" t="str">
        <f>IF(C37&lt;&gt;"", X37-_xlfn.XLOOKUP(E37,lookups90!$B$4:$B$999,lookups90!$BQ$4:$BQ$999,"",0)-_xlfn.XLOOKUP(E37,lookups90!$B$4:$B$999,lookups90!$BR$4:$BR$999,"",0),"")</f>
        <v/>
      </c>
      <c r="CE37" s="20" t="str">
        <f>IFERROR(IF(_xlfn.XLOOKUP(E37,lookups90!$B$4:$B$999,lookups90!$BS$4:$BS$999,"",0)=0,"",D37*_xlfn.XLOOKUP(E37,lookups90!$B$4:$B$999,lookups90!$BS$4:$BS$999,"",0)),"")</f>
        <v/>
      </c>
      <c r="CF37" s="20" t="str">
        <f>IF(V37&lt;&gt;"", V37-_xlfn.XLOOKUP(E37,lookups90!$B$4:$B$999,lookups90!$BO$4:$BO$999,"",0)-_xlfn.XLOOKUP(E37,lookups90!$B$4:$B$999,lookups90!$BP$4:$BP$999,"",0),"")</f>
        <v/>
      </c>
      <c r="CG37" s="20" t="str">
        <f>IF(CF37&lt;&gt;"", X37-_xlfn.XLOOKUP(E37,lookups90!$B$4:$B$999,lookups90!$BQ$4:$BQ$999,"",0)-_xlfn.XLOOKUP(E37,lookups90!$B$4:$B$999,lookups90!$BR$4:$BR$999,"",0),"")</f>
        <v/>
      </c>
      <c r="CH37" s="20" t="str">
        <f>IFERROR(IF(_xlfn.XLOOKUP(E37,lookups90!$B$4:$B$999,lookups90!$BT$4:$BT$999,"",0)=0,"",D37*_xlfn.XLOOKUP(E37,lookups90!$B$4:$B$999,lookups90!$BT$4:$BT$999,"",0)),"")</f>
        <v/>
      </c>
      <c r="CJ37" s="22" t="str">
        <f t="shared" si="5"/>
        <v/>
      </c>
      <c r="CL37" s="22" t="str" cm="1">
        <f t="array" ref="CL37">IF(D37&lt;&gt;"",((((J37+K37)*2)/500)+(2*_xlfn.IFS(OR(E37="Fix Slide Window", E37="Slide Slide Window", E37="Fix Slide Slide Fix Window"), 2, E37="Slide Slide Door - with Screen", 8, E37&lt;&gt;"",4)))*D37,"")</f>
        <v/>
      </c>
      <c r="CM37" s="22" t="str">
        <f t="shared" si="9"/>
        <v/>
      </c>
      <c r="CN37" s="22" t="str">
        <f t="shared" si="10"/>
        <v/>
      </c>
      <c r="CO37" s="22" t="str">
        <f t="shared" si="8"/>
        <v/>
      </c>
      <c r="CP37" s="22" t="str">
        <f t="shared" si="0"/>
        <v/>
      </c>
    </row>
    <row r="38" spans="3:94" ht="13.5" customHeight="1" x14ac:dyDescent="0.25">
      <c r="C38" s="16"/>
      <c r="D38" s="16"/>
      <c r="E38" s="16"/>
      <c r="F38" s="16"/>
      <c r="G38" s="16"/>
      <c r="H38" s="16"/>
      <c r="I38" s="16"/>
      <c r="J38" s="16"/>
      <c r="K38" s="16"/>
      <c r="M38" s="20" t="str">
        <f t="shared" si="1"/>
        <v/>
      </c>
      <c r="N38" s="20" t="str" cm="1">
        <f t="array" ref="N38">IFERROR(_xlfn.IFS(OR(E38="Fix Awning (Vertical)", E38="Fix Awning (Horizontal)"), J38/2+20,C38&lt;&gt;"", J38+M38),"")</f>
        <v/>
      </c>
      <c r="O38" s="20" t="str">
        <f t="shared" si="2"/>
        <v/>
      </c>
      <c r="P38" s="20" t="str">
        <f t="shared" si="3"/>
        <v/>
      </c>
      <c r="Q38" s="20" t="str">
        <f t="shared" si="4"/>
        <v/>
      </c>
      <c r="S38" s="20" t="str">
        <f>IF(C38&lt;&gt;"", _xlfn.XLOOKUP(E38,lookups90!$B$4:$B$999,lookups90!$C$4:$C$999,"",0),"")</f>
        <v/>
      </c>
      <c r="T38" s="20" t="str">
        <f>IF(C38&lt;&gt;"", J38-_xlfn.XLOOKUP(E38,lookups90!$B$4:$B$999,lookups90!$D$4:$D$999, "",0),"")</f>
        <v/>
      </c>
      <c r="U38" s="20" t="str">
        <f>IF(T38&lt;&gt;"",D38*_xlfn.XLOOKUP(E38,lookups90!$B$4:$B$999,lookups90!$J$4:$J$999, "",0),"")</f>
        <v/>
      </c>
      <c r="V38" s="20" t="str">
        <f>IF(AND(C38&lt;&gt;"", E38&lt;&gt;"Slide Slide Window", E38&lt;&gt;"Slide Slide Door", E38&lt;&gt;"Slide Slide Door - with Screen"), J38-_xlfn.XLOOKUP(E38,lookups90!$B$4:$B$999,lookups90!$E$4:$E$999, "",0),"")</f>
        <v/>
      </c>
      <c r="W38" s="20" t="str">
        <f>IF(V38&lt;&gt;"",D38*_xlfn.XLOOKUP(E38,lookups90!$B$4:$B$999,lookups90!$K$4:$K$999, "",0),"")</f>
        <v/>
      </c>
      <c r="X38" s="20" t="str" cm="1">
        <f t="array" ref="X38">IFERROR(_xlfn.IFS(OR(E38="Fix Slide Window", E38="Slide Slide Window", E38="Fix Slide Door", E38="Slide Slide Door", E38="Fix Slide Door - with Screen", E38="Slide Slide Door - with Screen"), (K38-_xlfn.XLOOKUP(E38,lookups90!$B$4:$B$999,lookups90!$F$4:$F$999, "",0)-_xlfn.XLOOKUP(E38,lookups90!$B$4:$B$999,lookups90!$G$4:$G$999, "",0)+_xlfn.XLOOKUP(E38,lookups90!$B$4:$B$999,lookups90!$H$4:$H$999, "",0))/2+_xlfn.XLOOKUP(E38,lookups90!$B$4:$B$999,lookups90!$I$4:$I$999, "",0), OR(E38="Fix Slide Slide Fix Window", E38="Fix Slide Slide Fix Door - with Screen", E38="Fix Slide Slide Fix Door"),  (K38-_xlfn.XLOOKUP(E38,lookups90!$B$4:$B$999,lookups90!$F$4:$F$999, "",0)-_xlfn.XLOOKUP(E38,lookups90!$B$4:$B$999,lookups90!$G$4:$G$999, "",0)+_xlfn.XLOOKUP(E38,lookups90!$B$4:$B$999,lookups90!$H$4:$H$999, "",0)+_xlfn.XLOOKUP(E38,lookups90!$B$4:$B$999,lookups90!$H$4:$H$999, "",0))/4+_xlfn.XLOOKUP(E38,lookups90!$B$4:$B$999,lookups90!$I$4:$I$999, "",0), E38="Fix Slide Slide Door", (K38-_xlfn.XLOOKUP(E38,lookups90!$B$4:$B$999,lookups90!$F$4:$F$999, "",0)-_xlfn.XLOOKUP(E38,lookups90!$B$4:$B$999,lookups90!$G$4:$G$999, "",0)+_xlfn.XLOOKUP(E38,lookups90!$B$4:$B$999,lookups90!$H$4:$H$999, "",0)+_xlfn.XLOOKUP(E38,lookups90!$B$4:$B$999,lookups90!$H$4:$H$999, "",0))/3+_xlfn.XLOOKUP(E38,lookups90!$B$4:$B$999,lookups90!$I$4:$I$999, "",0),E38="Fix Slide Slide Slide Slide Fix Dr",  (K38-_xlfn.XLOOKUP(E38,lookups90!$B$4:$B$999,lookups90!$F$4:$F$999, "",0)-_xlfn.XLOOKUP(E38,lookups90!$B$4:$B$999,lookups90!$G$4:$G$999, "",0)+_xlfn.XLOOKUP(E38,lookups90!$B$4:$B$999,lookups90!$H$4:$H$999, "",0)+_xlfn.XLOOKUP(E38,lookups90!$B$4:$B$999,lookups90!$H$4:$H$999, "",0)+_xlfn.XLOOKUP(E38,lookups90!$B$4:$B$999,lookups90!$H$4:$H$999, "",0)+_xlfn.XLOOKUP(E38,lookups90!$B$4:$B$999,lookups90!$H$4:$H$999, "",0))/6+_xlfn.XLOOKUP(E38,lookups90!$B$4:$B$999,lookups90!$I$4:$I$999, "",0), E38="Fix Slide Slide Slide Slide Slide Slide Fix Dr",  (K38-_xlfn.XLOOKUP(E38,lookups90!$B$4:$B$999,lookups90!$F$4:$F$999, "",0)-_xlfn.XLOOKUP(E38,lookups90!$B$4:$B$999,lookups90!$G$4:$G$999, "",0)+_xlfn.XLOOKUP(E38,lookups90!$B$4:$B$999,lookups90!$H$4:$H$999, "",0)+_xlfn.XLOOKUP(E38,lookups90!$B$4:$B$999,lookups90!$H$4:$H$999, "",0)+_xlfn.XLOOKUP(E38,lookups90!$B$4:$B$999,lookups90!$H$4:$H$999, "",0)+_xlfn.XLOOKUP(E38,lookups90!$B$4:$B$999,lookups90!$H$4:$H$999, "",0)+_xlfn.XLOOKUP(E38,lookups90!$B$4:$B$999,lookups90!$H$4:$H$999, "",0)+_xlfn.XLOOKUP(E38,lookups90!$B$4:$B$999,lookups90!$H$4:$H$999, "",0))/8+_xlfn.XLOOKUP(E38,lookups90!$B$4:$B$999,lookups90!$I$4:$I$999, "",0)),"")</f>
        <v/>
      </c>
      <c r="Y38" s="20" t="str">
        <f>IF(X38&lt;&gt;"",D38*_xlfn.XLOOKUP(E38,lookups90!$B$4:$B$999,lookups90!$L$4:$L$999, "",0),"")</f>
        <v/>
      </c>
      <c r="AA38" s="20" t="str">
        <f>IF(C38&lt;&gt;"", IF(_xlfn.XLOOKUP(E38,lookups90!$B$4:$B$999,lookups90!$P$4:$P$999,"",0)=0,"",_xlfn.XLOOKUP(E38,lookups90!$B$4:$B$999,lookups90!$P$4:$P$999,"",0)),"")</f>
        <v/>
      </c>
      <c r="AB38" s="20" t="str">
        <f>IF(AA38&lt;&gt;"", J38-_xlfn.XLOOKUP(E38,lookups90!$B$4:$B$999,lookups90!$D$4:$D$999, "",0),"")</f>
        <v/>
      </c>
      <c r="AC38" s="20" t="str">
        <f>IF(AA38&lt;&gt;"",D38*_xlfn.XLOOKUP(E38,lookups90!$B$4:$B$999,lookups90!$Q$4:$Q$999, "",0),"")</f>
        <v/>
      </c>
      <c r="AD38" s="20" t="str" cm="1">
        <f t="array" ref="AD38">IF(AA38&lt;&gt;"", _xlfn.IFS(OR(E38="Fix Slide Window", E38="Slide Slide Window", E38="Fix Slide Door", E38="Slide Slide Door", E38="Fix Slide Door - with Screen", E38="Slide Slide Door - with Screen"), (K38-_xlfn.XLOOKUP(E38,lookups90!$B$4:$B$999,lookups90!$F$4:$F$999, "",0)-_xlfn.XLOOKUP(E38,lookups90!$B$4:$B$999,lookups90!$G$4:$G$999, "",0)+_xlfn.XLOOKUP(E38,lookups90!$B$4:$B$999,lookups90!$H$4:$H$999, "",0))/2+_xlfn.XLOOKUP(E38,lookups90!$B$4:$B$999,lookups90!$I$4:$I$999, "",0), OR(E38="Fix Slide Slide Fix Window", E38="Fix Slide Slide Fix Door - with Screen", E38="Fix Slide Slide Fix Door"),  (K38-_xlfn.XLOOKUP(E38,lookups90!$B$4:$B$999,lookups90!$F$4:$F$999, "",0)-_xlfn.XLOOKUP(E38,lookups90!$B$4:$B$999,lookups90!$G$4:$G$999, "",0)+_xlfn.XLOOKUP(E38,lookups90!$B$4:$B$999,lookups90!$H$4:$H$999, "",0)+_xlfn.XLOOKUP(E38,lookups90!$B$4:$B$999,lookups90!$H$4:$H$999, "",0))/4+_xlfn.XLOOKUP(E38,lookups90!$B$4:$B$999,lookups90!$I$4:$I$999, "",0), E38="Fix Slide Slide Door", (K38-_xlfn.XLOOKUP(E38,lookups90!$B$4:$B$999,lookups90!$F$4:$F$999, "",0)-_xlfn.XLOOKUP(E38,lookups90!$B$4:$B$999,lookups90!$G$4:$G$999, "",0)+_xlfn.XLOOKUP(E38,lookups90!$B$4:$B$999,lookups90!$H$4:$H$999, "",0)+_xlfn.XLOOKUP(E38,lookups90!$B$4:$B$999,lookups90!$H$4:$H$999, "",0))/3+_xlfn.XLOOKUP(E38,lookups90!$B$4:$B$999,lookups90!$I$4:$I$999, "",0) ),"")</f>
        <v/>
      </c>
      <c r="AE38" s="20" t="str">
        <f>IF(AA38&lt;&gt;"",D38*_xlfn.XLOOKUP(E38,lookups90!$B$4:$B$999,lookups90!$R$4:$R$999, "",0),"")</f>
        <v/>
      </c>
      <c r="AG38" s="20" t="str">
        <f>IF(AH38&lt;&gt;"", J38-_xlfn.XLOOKUP(E38,lookups90!$B$4:$B$999,lookups90!$D$4:$D$999, "",0),"")</f>
        <v/>
      </c>
      <c r="AH38" s="20" t="str">
        <f>IF(_xlfn.XLOOKUP(E38,lookups90!$B$4:$B$999,lookups90!$V$4:$V$999,"",0)=0,"",D38*_xlfn.XLOOKUP(E38,lookups90!$B$4:$B$999,lookups90!$V$4:$V$999,"",0))</f>
        <v/>
      </c>
      <c r="AI38" s="20" t="str" cm="1">
        <f t="array" ref="AI38">IF(AH38&lt;&gt;"", _xlfn.IFS(OR(E38="Fix Slide Window", E38="Slide Slide Window"), (K38-_xlfn.XLOOKUP(E38,lookups90!$B$4:$B$999,lookups90!$F$4:$F$999, "",0)-_xlfn.XLOOKUP(E38,lookups90!$B$4:$B$999,lookups90!$G$4:$G$999, "",0)+_xlfn.XLOOKUP(E38,lookups90!$B$4:$B$999,lookups90!$H$4:$H$999, "",0))/2+_xlfn.XLOOKUP(E38,lookups90!$B$4:$B$999,lookups90!$I$4:$I$999, "",0), OR(E38="Fix Slide Slide Fix Window"),  (K38-_xlfn.XLOOKUP(E38,lookups90!$B$4:$B$999,lookups90!$F$4:$F$999, "",0)+_xlfn.XLOOKUP(E38,lookups90!$B$4:$B$999,lookups90!$H$4:$H$999, "",0)+_xlfn.XLOOKUP(E38,lookups90!$B$4:$B$999,lookups90!$H$4:$H$999, "",0))/4+_xlfn.XLOOKUP(E38,lookups90!$B$4:$B$999,lookups90!$I$4:$I$999, "",0)),"")</f>
        <v/>
      </c>
      <c r="AJ38" s="20" t="str">
        <f>IF(_xlfn.XLOOKUP(E38,lookups90!$B$4:$B$999,lookups90!$V$4:$V$999,"",0)=0,"",D38*_xlfn.XLOOKUP(E38,lookups90!$B$4:$B$999,lookups90!$W$4:$W$999,"",0))</f>
        <v/>
      </c>
      <c r="AL38" s="20" t="str" cm="1">
        <f t="array" ref="AL38">IF(AM38&lt;&gt;"", _xlfn.IFS(OR(E38="Fix Slide Door - with Screen", E38="Slide Slide Door - with Screen"), (K38-_xlfn.XLOOKUP(E38,lookups90!$B$4:$B$999,lookups90!$F$4:$F$999, "",0)-_xlfn.XLOOKUP(E38,lookups90!$B$4:$B$999,lookups90!$G$4:$G$999, "",0)+_xlfn.XLOOKUP(E38,lookups90!$B$4:$B$999,lookups90!$H$4:$H$999, "",0))/2+_xlfn.XLOOKUP(E38,lookups90!$B$4:$B$999,lookups90!$I$4:$I$999, "",0), OR( E38="Fix Slide Slide Fix Door - with Screen",  E38="Fix Slide Slide Door"),  (K38-_xlfn.XLOOKUP(E38,lookups90!$B$4:$B$999,lookups90!$F$4:$F$999, "",0)-_xlfn.XLOOKUP(E38,lookups90!$B$4:$B$999,lookups90!$G$4:$G$999, "",0)+_xlfn.XLOOKUP(E38,lookups90!$B$4:$B$999,lookups90!$H$4:$H$999, "",0)+_xlfn.XLOOKUP(E38,lookups90!$B$4:$B$999,lookups90!$H$4:$H$999, "",0))/4+_xlfn.XLOOKUP(E38,lookups90!$B$4:$B$999,lookups90!$I$4:$I$999, "",0)),"")</f>
        <v/>
      </c>
      <c r="AM38" s="20" t="str">
        <f>IF(_xlfn.XLOOKUP(E38,lookups90!$B$4:$B$999,lookups90!$AA$4:$AA$999,"",0)=0,"",D38*_xlfn.XLOOKUP(E38,lookups90!$B$4:$B$999,lookups90!$AA$4:$AA$999,"",0))</f>
        <v/>
      </c>
      <c r="AO38" s="20" t="str">
        <f>IFERROR(IF(C38&lt;&gt;"", T38-_xlfn.XLOOKUP(E38,lookups90!$B$4:$B$999,lookups90!$AE$4:$AE$999, "",0),""),"")</f>
        <v/>
      </c>
      <c r="AP38" s="20" t="str">
        <f>IF(_xlfn.XLOOKUP(E38,lookups90!$B$4:$B$999,lookups90!$AG$4:$AG$999,"",0)=0,"",D38*_xlfn.XLOOKUP(E38,lookups90!$B$4:$B$999,lookups90!$AG$4:$AG$999,"",0))</f>
        <v/>
      </c>
      <c r="AQ38" s="20" t="str">
        <f>IF(V38&lt;&gt;"", T38-_xlfn.XLOOKUP(E38,lookups90!$B$4:$B$999,lookups90!$AE$4:$AE$999, "",0)+_xlfn.XLOOKUP(E38,lookups90!$B$4:$B$999,lookups90!$AF$4:$AF$999, "",0),"")</f>
        <v/>
      </c>
      <c r="AR38" s="20" t="str">
        <f>IFERROR(IF(_xlfn.XLOOKUP(E38,lookups90!$B$4:$B$999,lookups90!$AH$4:$AH$999,"",0)=0,"",D38*_xlfn.XLOOKUP(E38,lookups90!$B$4:$B$999,lookups90!$AH$4:$AH$999,"",0)),"")</f>
        <v/>
      </c>
      <c r="AT38" s="20" t="str">
        <f>IF(OR(E38="Fix Slide Slide Fix Window", E38="Fix Slide Slide Fix Door", E38="Fix Slide Slide Fix Door - with Screen", E38="Fix Slide Slide Door"), T38-_xlfn.XLOOKUP(E38,lookups90!$B$4:$B$999,lookups90!$AE$4:$AE$999,"",0),"")</f>
        <v/>
      </c>
      <c r="AU38" s="20" t="str">
        <f>IFERROR(IF(_xlfn.XLOOKUP(E38,lookups90!$B$4:$B$999,lookups90!$AL$4:$AL$999,"",0)=0,"",D38*_xlfn.XLOOKUP(E38,lookups90!$B$4:$B$999,lookups90!$AL$4:$AL$999,"",0)),"")</f>
        <v/>
      </c>
      <c r="AW38" s="20" t="str">
        <f>IF(C38&lt;&gt;"", T38-_xlfn.XLOOKUP(E38,lookups90!$B$4:$B$999,lookups90!$AP$4:$AP$999,"",0),"")</f>
        <v/>
      </c>
      <c r="AX38" s="20" t="str">
        <f>IFERROR(IF(_xlfn.XLOOKUP(E38,lookups90!$B$4:$B$999,lookups90!$AR$4:$AR$999,"",0)=0,"",D38*_xlfn.XLOOKUP(E38,lookups90!$B$4:$B$999,lookups90!$AR$4:$AR$999,"",0)),"")</f>
        <v/>
      </c>
      <c r="AY38" s="24" t="str">
        <f>IF(V38&lt;&gt;"", V38-_xlfn.XLOOKUP(E38,lookups90!$B$4:$B$999,lookups90!$AP$4:$AP$999,"",0),"")</f>
        <v/>
      </c>
      <c r="AZ38" s="20" t="str">
        <f>IFERROR(IF(_xlfn.XLOOKUP(E38,lookups90!$B$4:$B$999,lookups90!$AS$4:$AS$999,"",0)=0,"",D38*_xlfn.XLOOKUP(E38,lookups90!$B$4:$B$999,lookups90!$AS$4:$AS$999,"",0)),"")</f>
        <v/>
      </c>
      <c r="BA38" s="20" t="str">
        <f>IF(X38&lt;&gt;"", X38-_xlfn.XLOOKUP(E38,lookups90!$B$4:$B$999,lookups90!$AQ$4:$AQ$999,"",0),"")</f>
        <v/>
      </c>
      <c r="BB38" s="20" t="str">
        <f>IFERROR(IF(_xlfn.XLOOKUP(E38,lookups90!$B$4:$B$999,lookups90!$AT$4:$AT$999,"",0)=0,"",D38*_xlfn.XLOOKUP(E38,lookups90!$B$4:$B$999,lookups90!$AT$4:$AT$999,"",0)),"")</f>
        <v/>
      </c>
      <c r="BD38" s="20" t="str">
        <f>IF(C38&lt;&gt;"", N38-_xlfn.XLOOKUP(E38,lookups90!$B$4:$B$999,lookups90!$AX$4:$AX$999,"",0)+M38,"")</f>
        <v/>
      </c>
      <c r="BE38" s="20" t="str">
        <f>IFERROR(IF(_xlfn.XLOOKUP(E38,lookups90!$B$4:$B$999,lookups90!$AY$4:$AY$999,"",0)=0,"",D38*_xlfn.XLOOKUP(E38,lookups90!$B$4:$B$999,lookups90!$AY$4:$AY$999,"",0)),"")</f>
        <v/>
      </c>
      <c r="BF38" s="20" t="str">
        <f>IF(C38&lt;&gt;"", P38-_xlfn.XLOOKUP(E38,lookups90!$B$4:$B$999,lookups90!$AX$4:$AX$999,"",0)+M38,"")</f>
        <v/>
      </c>
      <c r="BG38" s="20" t="str">
        <f>IFERROR(IF(_xlfn.XLOOKUP(E38,lookups90!$B$4:$B$999,lookups90!$AZ$4:$AZ$999,"",0)=0,"",D38*_xlfn.XLOOKUP(E38,lookups90!$B$4:$B$999,lookups90!$AZ$4:$AZ$999,"",0)),"")</f>
        <v/>
      </c>
      <c r="BI38" s="20" t="str">
        <f>IF(C38&lt;&gt;"", T38-_xlfn.XLOOKUP(E38,lookups90!$B$4:$B$999,lookups90!$BA$4:$BA$999,"",0),"")</f>
        <v/>
      </c>
      <c r="BJ38" s="20" t="str">
        <f>IFERROR(IF(_xlfn.XLOOKUP(E38,lookups90!$B$4:$B$999,lookups90!$BB$4:$BB$999,"",0)=0,"",D38*_xlfn.XLOOKUP(E38,lookups90!$B$4:$B$999,lookups90!$BB$4:$BB$999,"",0)),"")</f>
        <v/>
      </c>
      <c r="BK38" s="20" t="str">
        <f>IF(V38&lt;&gt;"", V38-_xlfn.XLOOKUP(E38,lookups90!$B$4:$B$999,lookups90!$BA$4:$BA$999,"",0),"")</f>
        <v/>
      </c>
      <c r="BL38" s="20" t="str">
        <f>IFERROR(IF(_xlfn.XLOOKUP(E38,lookups90!$B$4:$B$999,lookups90!$BC$4:$BC$999,"",0)=0,"",D38*_xlfn.XLOOKUP(E38,lookups90!$B$4:$B$999,lookups90!$BC$4:$BC$999,"",0)),"")</f>
        <v/>
      </c>
      <c r="BM38" s="20" t="str">
        <f>IF(C38&lt;&gt;"", X38-_xlfn.XLOOKUP(E38,lookups90!$B$4:$B$999,lookups90!$BA$4:$BA$999,"",0),"")</f>
        <v/>
      </c>
      <c r="BN38" s="20" t="str">
        <f>IFERROR(IF(_xlfn.XLOOKUP(E38,lookups90!$B$4:$B$999,lookups90!$BD$4:$BD$999,"",0)=0,"",D38*_xlfn.XLOOKUP(E38,lookups90!$B$4:$B$999,lookups90!$BD$4:$BD$999,"",0)),"")</f>
        <v/>
      </c>
      <c r="BP38" s="20" t="str">
        <f>IF(AB38&lt;&gt;"", AB38-_xlfn.XLOOKUP(E38,lookups90!$B$4:$B$999,lookups90!$BE$4:$BE$999,"",0),"")</f>
        <v/>
      </c>
      <c r="BQ38" s="20" t="str">
        <f>IFERROR(IF(_xlfn.XLOOKUP(E38,lookups90!$B$4:$B$999,lookups90!$BF$4:$BF$999,"",0)=0,"",D38*_xlfn.XLOOKUP(E38,lookups90!$B$4:$B$999,lookups90!$BF$4:$BF$999,"",0)),"")</f>
        <v/>
      </c>
      <c r="BR38" s="20" t="str" cm="1">
        <f t="array" ref="BR38">_xlfn.IFS(BP38="","",OR(E38="Fix Slide Door - with Screen",E38="Slide Slide Door - with Screen"),(K38-_xlfn.XLOOKUP(E38,lookups90!$B$4:$B$999,lookups90!$F$4:$F$999,"",0)-_xlfn.XLOOKUP(E38,lookups90!$B$4:$B$999,lookups90!$G$4:$G$999,"",0)+_xlfn.XLOOKUP(E38,lookups90!$B$4:$B$999,lookups90!$H$4:$H$999,"",0))/2+_xlfn.XLOOKUP(E38,lookups90!$B$4:$B$999,lookups90!$I$4:$I$999,"",0)-_xlfn.XLOOKUP(E38,lookups90!$B$4:$B$999,lookups90!$BE$4:$BE$999,"",0), E38="Fix Slide Slide Fix Door - with Screen",(K38-_xlfn.XLOOKUP(E38,lookups90!$B$4:$B$999,lookups90!$F$4:$F$999,"",0)-_xlfn.XLOOKUP(E38,lookups90!$B$4:$B$999,lookups90!$G$4:$G$999,"",0)+_xlfn.XLOOKUP(E38,lookups90!$B$4:$B$999,lookups90!$H$4:$H$999,"",0)+_xlfn.XLOOKUP(E38,lookups90!$B$4:$B$999,lookups90!$H$4:$H$999,"",0))/4+_xlfn.XLOOKUP(E38,lookups90!$B$4:$B$999,lookups90!$I$4:$I$999,"",0)-_xlfn.XLOOKUP(E38,lookups90!$B$4:$B$999,lookups90!$BE$4:$BE$999,"",0))</f>
        <v/>
      </c>
      <c r="BS38" s="20" t="str">
        <f>IFERROR(IF(_xlfn.XLOOKUP(E38,lookups90!$B$4:$B$999,lookups90!$BG$4:$BG$999,"",0)=0,"",D38*_xlfn.XLOOKUP(E38,lookups90!$B$4:$B$999,lookups90!$BG$4:$BG$999,"",0)),"")</f>
        <v/>
      </c>
      <c r="BU38" s="20" t="str">
        <f>IF(AG38&lt;&gt;"",AG38-_xlfn.XLOOKUP(E38,lookups90!$B$4:$B$999,lookups90!$BA$4:$BA$999,"",0),"")</f>
        <v/>
      </c>
      <c r="BV38" s="20" t="str">
        <f>IFERROR(IF(_xlfn.XLOOKUP(E38,lookups90!$B$4:$B$999,lookups90!$BH$4:$BH$999,"",0)=0,"",D38*_xlfn.XLOOKUP(E38,lookups90!$B$4:$B$999,lookups90!$BH$4:$BH$999,"",0)),"")</f>
        <v/>
      </c>
      <c r="BW38" s="20" t="str" cm="1">
        <f t="array" ref="BW38">_xlfn.IFS(BU38="","",OR(E38="Fix Slide Window",E38="Slide Slide Window"),(K38-_xlfn.XLOOKUP(E38,lookups90!$B$4:$B$999,lookups90!$F$4:$F$999,"",0)-_xlfn.XLOOKUP(E38,lookups90!$B$4:$B$999,lookups90!$G$4:$G$999,"",0)+_xlfn.XLOOKUP(E38,lookups90!$B$4:$B$999,lookups90!$H$4:$H$999,"",0))/2+_xlfn.XLOOKUP(E38,lookups90!$B$4:$B$999,lookups90!$I$4:$I$999,"",0)-_xlfn.XLOOKUP(E38,lookups90!$B$4:$B$999,lookups90!$BA$4:$BA$999,"",0), E38="Fix Slide Slide Fix Window",(K38-_xlfn.XLOOKUP(E38,lookups90!$B$4:$B$999,lookups90!$F$4:$F$999,"",0)-_xlfn.XLOOKUP(E38,lookups90!$B$4:$B$999,lookups90!$G$4:$G$999,"",0)+_xlfn.XLOOKUP(E38,lookups90!$B$4:$B$999,lookups90!$H$4:$H$999,"",0)+_xlfn.XLOOKUP(E38,lookups90!$B$4:$B$999,lookups90!$H$4:$H$999,"",0))/4+_xlfn.XLOOKUP(E38,lookups90!$B$4:$B$999,lookups90!$I$4:$I$999,"",0)-_xlfn.XLOOKUP(E38,lookups90!$B$4:$B$999,lookups90!$BA$4:$BA$999,"",0))</f>
        <v/>
      </c>
      <c r="BX38" s="20" t="str">
        <f>IFERROR(IF(_xlfn.XLOOKUP(E38,lookups90!$B$4:$B$999,lookups90!$BI$4:$BI$999,"",0)=0,"",D38*_xlfn.XLOOKUP(E38,lookups90!$B$4:$B$999,lookups90!$BI$4:$BI$999,"",0)),"")</f>
        <v/>
      </c>
      <c r="BZ38" s="20" t="str">
        <f>IF(AL38&lt;&gt;"", AL38-_xlfn.XLOOKUP(E38,lookups90!$B$4:$B$999,lookups90!$BJ$4:$BJ$999,"",0),"")</f>
        <v/>
      </c>
      <c r="CA38" s="20" t="str">
        <f>IFERROR(IF(_xlfn.XLOOKUP(E38,lookups90!$B$4:$B$999,lookups90!$BK$4:$BK$999,"",0)=0,"",D38*_xlfn.XLOOKUP(E38,lookups90!$B$4:$B$999,lookups90!$BK$4:$BK$999,"",0)),"")</f>
        <v/>
      </c>
      <c r="CC38" s="20" t="str">
        <f>IF(C38&lt;&gt;"", T38-_xlfn.XLOOKUP(E38,lookups90!$B$4:$B$999,lookups90!$BO$4:$BO$999,"",0)-_xlfn.XLOOKUP(E38,lookups90!$B$4:$B$999,lookups90!$BP$4:$BP$999,"",0),"")</f>
        <v/>
      </c>
      <c r="CD38" s="20" t="str">
        <f>IF(C38&lt;&gt;"", X38-_xlfn.XLOOKUP(E38,lookups90!$B$4:$B$999,lookups90!$BQ$4:$BQ$999,"",0)-_xlfn.XLOOKUP(E38,lookups90!$B$4:$B$999,lookups90!$BR$4:$BR$999,"",0),"")</f>
        <v/>
      </c>
      <c r="CE38" s="20" t="str">
        <f>IFERROR(IF(_xlfn.XLOOKUP(E38,lookups90!$B$4:$B$999,lookups90!$BS$4:$BS$999,"",0)=0,"",D38*_xlfn.XLOOKUP(E38,lookups90!$B$4:$B$999,lookups90!$BS$4:$BS$999,"",0)),"")</f>
        <v/>
      </c>
      <c r="CF38" s="20" t="str">
        <f>IF(V38&lt;&gt;"", V38-_xlfn.XLOOKUP(E38,lookups90!$B$4:$B$999,lookups90!$BO$4:$BO$999,"",0)-_xlfn.XLOOKUP(E38,lookups90!$B$4:$B$999,lookups90!$BP$4:$BP$999,"",0),"")</f>
        <v/>
      </c>
      <c r="CG38" s="20" t="str">
        <f>IF(CF38&lt;&gt;"", X38-_xlfn.XLOOKUP(E38,lookups90!$B$4:$B$999,lookups90!$BQ$4:$BQ$999,"",0)-_xlfn.XLOOKUP(E38,lookups90!$B$4:$B$999,lookups90!$BR$4:$BR$999,"",0),"")</f>
        <v/>
      </c>
      <c r="CH38" s="20" t="str">
        <f>IFERROR(IF(_xlfn.XLOOKUP(E38,lookups90!$B$4:$B$999,lookups90!$BT$4:$BT$999,"",0)=0,"",D38*_xlfn.XLOOKUP(E38,lookups90!$B$4:$B$999,lookups90!$BT$4:$BT$999,"",0)),"")</f>
        <v/>
      </c>
      <c r="CJ38" s="22" t="str">
        <f t="shared" si="5"/>
        <v/>
      </c>
      <c r="CL38" s="22" t="str" cm="1">
        <f t="array" ref="CL38">IF(D38&lt;&gt;"",((((J38+K38)*2)/500)+(2*_xlfn.IFS(OR(E38="Fix Slide Window", E38="Slide Slide Window", E38="Fix Slide Slide Fix Window"), 2, E38="Slide Slide Door - with Screen", 8, E38&lt;&gt;"",4)))*D38,"")</f>
        <v/>
      </c>
      <c r="CM38" s="22" t="str">
        <f t="shared" si="9"/>
        <v/>
      </c>
      <c r="CN38" s="22" t="str">
        <f t="shared" si="10"/>
        <v/>
      </c>
      <c r="CO38" s="22" t="str">
        <f t="shared" si="8"/>
        <v/>
      </c>
      <c r="CP38" s="22" t="str">
        <f t="shared" si="0"/>
        <v/>
      </c>
    </row>
    <row r="39" spans="3:94" ht="13.5" customHeight="1" x14ac:dyDescent="0.25">
      <c r="C39" s="16"/>
      <c r="D39" s="16"/>
      <c r="E39" s="16"/>
      <c r="F39" s="16"/>
      <c r="G39" s="16"/>
      <c r="H39" s="16"/>
      <c r="I39" s="16"/>
      <c r="J39" s="16"/>
      <c r="K39" s="16"/>
      <c r="M39" s="20" t="str">
        <f t="shared" si="1"/>
        <v/>
      </c>
      <c r="N39" s="20" t="str" cm="1">
        <f t="array" ref="N39">IFERROR(_xlfn.IFS(OR(E39="Fix Awning (Vertical)", E39="Fix Awning (Horizontal)"), J39/2+20,C39&lt;&gt;"", J39+M39),"")</f>
        <v/>
      </c>
      <c r="O39" s="20" t="str">
        <f t="shared" si="2"/>
        <v/>
      </c>
      <c r="P39" s="20" t="str">
        <f t="shared" si="3"/>
        <v/>
      </c>
      <c r="Q39" s="20" t="str">
        <f t="shared" si="4"/>
        <v/>
      </c>
      <c r="S39" s="20" t="str">
        <f>IF(C39&lt;&gt;"", _xlfn.XLOOKUP(E39,lookups90!$B$4:$B$999,lookups90!$C$4:$C$999,"",0),"")</f>
        <v/>
      </c>
      <c r="T39" s="20" t="str">
        <f>IF(C39&lt;&gt;"", J39-_xlfn.XLOOKUP(E39,lookups90!$B$4:$B$999,lookups90!$D$4:$D$999, "",0),"")</f>
        <v/>
      </c>
      <c r="U39" s="20" t="str">
        <f>IF(T39&lt;&gt;"",D39*_xlfn.XLOOKUP(E39,lookups90!$B$4:$B$999,lookups90!$J$4:$J$999, "",0),"")</f>
        <v/>
      </c>
      <c r="V39" s="20" t="str">
        <f>IF(AND(C39&lt;&gt;"", E39&lt;&gt;"Slide Slide Window", E39&lt;&gt;"Slide Slide Door", E39&lt;&gt;"Slide Slide Door - with Screen"), J39-_xlfn.XLOOKUP(E39,lookups90!$B$4:$B$999,lookups90!$E$4:$E$999, "",0),"")</f>
        <v/>
      </c>
      <c r="W39" s="20" t="str">
        <f>IF(V39&lt;&gt;"",D39*_xlfn.XLOOKUP(E39,lookups90!$B$4:$B$999,lookups90!$K$4:$K$999, "",0),"")</f>
        <v/>
      </c>
      <c r="X39" s="20" t="str" cm="1">
        <f t="array" ref="X39">IFERROR(_xlfn.IFS(OR(E39="Fix Slide Window", E39="Slide Slide Window", E39="Fix Slide Door", E39="Slide Slide Door", E39="Fix Slide Door - with Screen", E39="Slide Slide Door - with Screen"), (K39-_xlfn.XLOOKUP(E39,lookups90!$B$4:$B$999,lookups90!$F$4:$F$999, "",0)-_xlfn.XLOOKUP(E39,lookups90!$B$4:$B$999,lookups90!$G$4:$G$999, "",0)+_xlfn.XLOOKUP(E39,lookups90!$B$4:$B$999,lookups90!$H$4:$H$999, "",0))/2+_xlfn.XLOOKUP(E39,lookups90!$B$4:$B$999,lookups90!$I$4:$I$999, "",0), OR(E39="Fix Slide Slide Fix Window", E39="Fix Slide Slide Fix Door - with Screen", E39="Fix Slide Slide Fix Door"),  (K39-_xlfn.XLOOKUP(E39,lookups90!$B$4:$B$999,lookups90!$F$4:$F$999, "",0)-_xlfn.XLOOKUP(E39,lookups90!$B$4:$B$999,lookups90!$G$4:$G$999, "",0)+_xlfn.XLOOKUP(E39,lookups90!$B$4:$B$999,lookups90!$H$4:$H$999, "",0)+_xlfn.XLOOKUP(E39,lookups90!$B$4:$B$999,lookups90!$H$4:$H$999, "",0))/4+_xlfn.XLOOKUP(E39,lookups90!$B$4:$B$999,lookups90!$I$4:$I$999, "",0), E39="Fix Slide Slide Door", (K39-_xlfn.XLOOKUP(E39,lookups90!$B$4:$B$999,lookups90!$F$4:$F$999, "",0)-_xlfn.XLOOKUP(E39,lookups90!$B$4:$B$999,lookups90!$G$4:$G$999, "",0)+_xlfn.XLOOKUP(E39,lookups90!$B$4:$B$999,lookups90!$H$4:$H$999, "",0)+_xlfn.XLOOKUP(E39,lookups90!$B$4:$B$999,lookups90!$H$4:$H$999, "",0))/3+_xlfn.XLOOKUP(E39,lookups90!$B$4:$B$999,lookups90!$I$4:$I$999, "",0),E39="Fix Slide Slide Slide Slide Fix Dr",  (K39-_xlfn.XLOOKUP(E39,lookups90!$B$4:$B$999,lookups90!$F$4:$F$999, "",0)-_xlfn.XLOOKUP(E39,lookups90!$B$4:$B$999,lookups90!$G$4:$G$999, "",0)+_xlfn.XLOOKUP(E39,lookups90!$B$4:$B$999,lookups90!$H$4:$H$999, "",0)+_xlfn.XLOOKUP(E39,lookups90!$B$4:$B$999,lookups90!$H$4:$H$999, "",0)+_xlfn.XLOOKUP(E39,lookups90!$B$4:$B$999,lookups90!$H$4:$H$999, "",0)+_xlfn.XLOOKUP(E39,lookups90!$B$4:$B$999,lookups90!$H$4:$H$999, "",0))/6+_xlfn.XLOOKUP(E39,lookups90!$B$4:$B$999,lookups90!$I$4:$I$999, "",0), E39="Fix Slide Slide Slide Slide Slide Slide Fix Dr",  (K39-_xlfn.XLOOKUP(E39,lookups90!$B$4:$B$999,lookups90!$F$4:$F$999, "",0)-_xlfn.XLOOKUP(E39,lookups90!$B$4:$B$999,lookups90!$G$4:$G$999, "",0)+_xlfn.XLOOKUP(E39,lookups90!$B$4:$B$999,lookups90!$H$4:$H$999, "",0)+_xlfn.XLOOKUP(E39,lookups90!$B$4:$B$999,lookups90!$H$4:$H$999, "",0)+_xlfn.XLOOKUP(E39,lookups90!$B$4:$B$999,lookups90!$H$4:$H$999, "",0)+_xlfn.XLOOKUP(E39,lookups90!$B$4:$B$999,lookups90!$H$4:$H$999, "",0)+_xlfn.XLOOKUP(E39,lookups90!$B$4:$B$999,lookups90!$H$4:$H$999, "",0)+_xlfn.XLOOKUP(E39,lookups90!$B$4:$B$999,lookups90!$H$4:$H$999, "",0))/8+_xlfn.XLOOKUP(E39,lookups90!$B$4:$B$999,lookups90!$I$4:$I$999, "",0)),"")</f>
        <v/>
      </c>
      <c r="Y39" s="20" t="str">
        <f>IF(X39&lt;&gt;"",D39*_xlfn.XLOOKUP(E39,lookups90!$B$4:$B$999,lookups90!$L$4:$L$999, "",0),"")</f>
        <v/>
      </c>
      <c r="AA39" s="20" t="str">
        <f>IF(C39&lt;&gt;"", IF(_xlfn.XLOOKUP(E39,lookups90!$B$4:$B$999,lookups90!$P$4:$P$999,"",0)=0,"",_xlfn.XLOOKUP(E39,lookups90!$B$4:$B$999,lookups90!$P$4:$P$999,"",0)),"")</f>
        <v/>
      </c>
      <c r="AB39" s="20" t="str">
        <f>IF(AA39&lt;&gt;"", J39-_xlfn.XLOOKUP(E39,lookups90!$B$4:$B$999,lookups90!$D$4:$D$999, "",0),"")</f>
        <v/>
      </c>
      <c r="AC39" s="20" t="str">
        <f>IF(AA39&lt;&gt;"",D39*_xlfn.XLOOKUP(E39,lookups90!$B$4:$B$999,lookups90!$Q$4:$Q$999, "",0),"")</f>
        <v/>
      </c>
      <c r="AD39" s="20" t="str" cm="1">
        <f t="array" ref="AD39">IF(AA39&lt;&gt;"", _xlfn.IFS(OR(E39="Fix Slide Window", E39="Slide Slide Window", E39="Fix Slide Door", E39="Slide Slide Door", E39="Fix Slide Door - with Screen", E39="Slide Slide Door - with Screen"), (K39-_xlfn.XLOOKUP(E39,lookups90!$B$4:$B$999,lookups90!$F$4:$F$999, "",0)-_xlfn.XLOOKUP(E39,lookups90!$B$4:$B$999,lookups90!$G$4:$G$999, "",0)+_xlfn.XLOOKUP(E39,lookups90!$B$4:$B$999,lookups90!$H$4:$H$999, "",0))/2+_xlfn.XLOOKUP(E39,lookups90!$B$4:$B$999,lookups90!$I$4:$I$999, "",0), OR(E39="Fix Slide Slide Fix Window", E39="Fix Slide Slide Fix Door - with Screen", E39="Fix Slide Slide Fix Door"),  (K39-_xlfn.XLOOKUP(E39,lookups90!$B$4:$B$999,lookups90!$F$4:$F$999, "",0)-_xlfn.XLOOKUP(E39,lookups90!$B$4:$B$999,lookups90!$G$4:$G$999, "",0)+_xlfn.XLOOKUP(E39,lookups90!$B$4:$B$999,lookups90!$H$4:$H$999, "",0)+_xlfn.XLOOKUP(E39,lookups90!$B$4:$B$999,lookups90!$H$4:$H$999, "",0))/4+_xlfn.XLOOKUP(E39,lookups90!$B$4:$B$999,lookups90!$I$4:$I$999, "",0), E39="Fix Slide Slide Door", (K39-_xlfn.XLOOKUP(E39,lookups90!$B$4:$B$999,lookups90!$F$4:$F$999, "",0)-_xlfn.XLOOKUP(E39,lookups90!$B$4:$B$999,lookups90!$G$4:$G$999, "",0)+_xlfn.XLOOKUP(E39,lookups90!$B$4:$B$999,lookups90!$H$4:$H$999, "",0)+_xlfn.XLOOKUP(E39,lookups90!$B$4:$B$999,lookups90!$H$4:$H$999, "",0))/3+_xlfn.XLOOKUP(E39,lookups90!$B$4:$B$999,lookups90!$I$4:$I$999, "",0) ),"")</f>
        <v/>
      </c>
      <c r="AE39" s="20" t="str">
        <f>IF(AA39&lt;&gt;"",D39*_xlfn.XLOOKUP(E39,lookups90!$B$4:$B$999,lookups90!$R$4:$R$999, "",0),"")</f>
        <v/>
      </c>
      <c r="AG39" s="20" t="str">
        <f>IF(AH39&lt;&gt;"", J39-_xlfn.XLOOKUP(E39,lookups90!$B$4:$B$999,lookups90!$D$4:$D$999, "",0),"")</f>
        <v/>
      </c>
      <c r="AH39" s="20" t="str">
        <f>IF(_xlfn.XLOOKUP(E39,lookups90!$B$4:$B$999,lookups90!$V$4:$V$999,"",0)=0,"",D39*_xlfn.XLOOKUP(E39,lookups90!$B$4:$B$999,lookups90!$V$4:$V$999,"",0))</f>
        <v/>
      </c>
      <c r="AI39" s="20" t="str" cm="1">
        <f t="array" ref="AI39">IF(AH39&lt;&gt;"", _xlfn.IFS(OR(E39="Fix Slide Window", E39="Slide Slide Window"), (K39-_xlfn.XLOOKUP(E39,lookups90!$B$4:$B$999,lookups90!$F$4:$F$999, "",0)-_xlfn.XLOOKUP(E39,lookups90!$B$4:$B$999,lookups90!$G$4:$G$999, "",0)+_xlfn.XLOOKUP(E39,lookups90!$B$4:$B$999,lookups90!$H$4:$H$999, "",0))/2+_xlfn.XLOOKUP(E39,lookups90!$B$4:$B$999,lookups90!$I$4:$I$999, "",0), OR(E39="Fix Slide Slide Fix Window"),  (K39-_xlfn.XLOOKUP(E39,lookups90!$B$4:$B$999,lookups90!$F$4:$F$999, "",0)+_xlfn.XLOOKUP(E39,lookups90!$B$4:$B$999,lookups90!$H$4:$H$999, "",0)+_xlfn.XLOOKUP(E39,lookups90!$B$4:$B$999,lookups90!$H$4:$H$999, "",0))/4+_xlfn.XLOOKUP(E39,lookups90!$B$4:$B$999,lookups90!$I$4:$I$999, "",0)),"")</f>
        <v/>
      </c>
      <c r="AJ39" s="20" t="str">
        <f>IF(_xlfn.XLOOKUP(E39,lookups90!$B$4:$B$999,lookups90!$V$4:$V$999,"",0)=0,"",D39*_xlfn.XLOOKUP(E39,lookups90!$B$4:$B$999,lookups90!$W$4:$W$999,"",0))</f>
        <v/>
      </c>
      <c r="AL39" s="20" t="str" cm="1">
        <f t="array" ref="AL39">IF(AM39&lt;&gt;"", _xlfn.IFS(OR(E39="Fix Slide Door - with Screen", E39="Slide Slide Door - with Screen"), (K39-_xlfn.XLOOKUP(E39,lookups90!$B$4:$B$999,lookups90!$F$4:$F$999, "",0)-_xlfn.XLOOKUP(E39,lookups90!$B$4:$B$999,lookups90!$G$4:$G$999, "",0)+_xlfn.XLOOKUP(E39,lookups90!$B$4:$B$999,lookups90!$H$4:$H$999, "",0))/2+_xlfn.XLOOKUP(E39,lookups90!$B$4:$B$999,lookups90!$I$4:$I$999, "",0), OR( E39="Fix Slide Slide Fix Door - with Screen",  E39="Fix Slide Slide Door"),  (K39-_xlfn.XLOOKUP(E39,lookups90!$B$4:$B$999,lookups90!$F$4:$F$999, "",0)-_xlfn.XLOOKUP(E39,lookups90!$B$4:$B$999,lookups90!$G$4:$G$999, "",0)+_xlfn.XLOOKUP(E39,lookups90!$B$4:$B$999,lookups90!$H$4:$H$999, "",0)+_xlfn.XLOOKUP(E39,lookups90!$B$4:$B$999,lookups90!$H$4:$H$999, "",0))/4+_xlfn.XLOOKUP(E39,lookups90!$B$4:$B$999,lookups90!$I$4:$I$999, "",0)),"")</f>
        <v/>
      </c>
      <c r="AM39" s="20" t="str">
        <f>IF(_xlfn.XLOOKUP(E39,lookups90!$B$4:$B$999,lookups90!$AA$4:$AA$999,"",0)=0,"",D39*_xlfn.XLOOKUP(E39,lookups90!$B$4:$B$999,lookups90!$AA$4:$AA$999,"",0))</f>
        <v/>
      </c>
      <c r="AO39" s="20" t="str">
        <f>IFERROR(IF(C39&lt;&gt;"", T39-_xlfn.XLOOKUP(E39,lookups90!$B$4:$B$999,lookups90!$AE$4:$AE$999, "",0),""),"")</f>
        <v/>
      </c>
      <c r="AP39" s="20" t="str">
        <f>IF(_xlfn.XLOOKUP(E39,lookups90!$B$4:$B$999,lookups90!$AG$4:$AG$999,"",0)=0,"",D39*_xlfn.XLOOKUP(E39,lookups90!$B$4:$B$999,lookups90!$AG$4:$AG$999,"",0))</f>
        <v/>
      </c>
      <c r="AQ39" s="20" t="str">
        <f>IF(V39&lt;&gt;"", T39-_xlfn.XLOOKUP(E39,lookups90!$B$4:$B$999,lookups90!$AE$4:$AE$999, "",0)+_xlfn.XLOOKUP(E39,lookups90!$B$4:$B$999,lookups90!$AF$4:$AF$999, "",0),"")</f>
        <v/>
      </c>
      <c r="AR39" s="20" t="str">
        <f>IFERROR(IF(_xlfn.XLOOKUP(E39,lookups90!$B$4:$B$999,lookups90!$AH$4:$AH$999,"",0)=0,"",D39*_xlfn.XLOOKUP(E39,lookups90!$B$4:$B$999,lookups90!$AH$4:$AH$999,"",0)),"")</f>
        <v/>
      </c>
      <c r="AT39" s="20" t="str">
        <f>IF(OR(E39="Fix Slide Slide Fix Window", E39="Fix Slide Slide Fix Door", E39="Fix Slide Slide Fix Door - with Screen", E39="Fix Slide Slide Door"), T39-_xlfn.XLOOKUP(E39,lookups90!$B$4:$B$999,lookups90!$AE$4:$AE$999,"",0),"")</f>
        <v/>
      </c>
      <c r="AU39" s="20" t="str">
        <f>IFERROR(IF(_xlfn.XLOOKUP(E39,lookups90!$B$4:$B$999,lookups90!$AL$4:$AL$999,"",0)=0,"",D39*_xlfn.XLOOKUP(E39,lookups90!$B$4:$B$999,lookups90!$AL$4:$AL$999,"",0)),"")</f>
        <v/>
      </c>
      <c r="AW39" s="20" t="str">
        <f>IF(C39&lt;&gt;"", T39-_xlfn.XLOOKUP(E39,lookups90!$B$4:$B$999,lookups90!$AP$4:$AP$999,"",0),"")</f>
        <v/>
      </c>
      <c r="AX39" s="20" t="str">
        <f>IFERROR(IF(_xlfn.XLOOKUP(E39,lookups90!$B$4:$B$999,lookups90!$AR$4:$AR$999,"",0)=0,"",D39*_xlfn.XLOOKUP(E39,lookups90!$B$4:$B$999,lookups90!$AR$4:$AR$999,"",0)),"")</f>
        <v/>
      </c>
      <c r="AY39" s="24" t="str">
        <f>IF(V39&lt;&gt;"", V39-_xlfn.XLOOKUP(E39,lookups90!$B$4:$B$999,lookups90!$AP$4:$AP$999,"",0),"")</f>
        <v/>
      </c>
      <c r="AZ39" s="20" t="str">
        <f>IFERROR(IF(_xlfn.XLOOKUP(E39,lookups90!$B$4:$B$999,lookups90!$AS$4:$AS$999,"",0)=0,"",D39*_xlfn.XLOOKUP(E39,lookups90!$B$4:$B$999,lookups90!$AS$4:$AS$999,"",0)),"")</f>
        <v/>
      </c>
      <c r="BA39" s="20" t="str">
        <f>IF(X39&lt;&gt;"", X39-_xlfn.XLOOKUP(E39,lookups90!$B$4:$B$999,lookups90!$AQ$4:$AQ$999,"",0),"")</f>
        <v/>
      </c>
      <c r="BB39" s="20" t="str">
        <f>IFERROR(IF(_xlfn.XLOOKUP(E39,lookups90!$B$4:$B$999,lookups90!$AT$4:$AT$999,"",0)=0,"",D39*_xlfn.XLOOKUP(E39,lookups90!$B$4:$B$999,lookups90!$AT$4:$AT$999,"",0)),"")</f>
        <v/>
      </c>
      <c r="BD39" s="20" t="str">
        <f>IF(C39&lt;&gt;"", N39-_xlfn.XLOOKUP(E39,lookups90!$B$4:$B$999,lookups90!$AX$4:$AX$999,"",0)+M39,"")</f>
        <v/>
      </c>
      <c r="BE39" s="20" t="str">
        <f>IFERROR(IF(_xlfn.XLOOKUP(E39,lookups90!$B$4:$B$999,lookups90!$AY$4:$AY$999,"",0)=0,"",D39*_xlfn.XLOOKUP(E39,lookups90!$B$4:$B$999,lookups90!$AY$4:$AY$999,"",0)),"")</f>
        <v/>
      </c>
      <c r="BF39" s="20" t="str">
        <f>IF(C39&lt;&gt;"", P39-_xlfn.XLOOKUP(E39,lookups90!$B$4:$B$999,lookups90!$AX$4:$AX$999,"",0)+M39,"")</f>
        <v/>
      </c>
      <c r="BG39" s="20" t="str">
        <f>IFERROR(IF(_xlfn.XLOOKUP(E39,lookups90!$B$4:$B$999,lookups90!$AZ$4:$AZ$999,"",0)=0,"",D39*_xlfn.XLOOKUP(E39,lookups90!$B$4:$B$999,lookups90!$AZ$4:$AZ$999,"",0)),"")</f>
        <v/>
      </c>
      <c r="BI39" s="20" t="str">
        <f>IF(C39&lt;&gt;"", T39-_xlfn.XLOOKUP(E39,lookups90!$B$4:$B$999,lookups90!$BA$4:$BA$999,"",0),"")</f>
        <v/>
      </c>
      <c r="BJ39" s="20" t="str">
        <f>IFERROR(IF(_xlfn.XLOOKUP(E39,lookups90!$B$4:$B$999,lookups90!$BB$4:$BB$999,"",0)=0,"",D39*_xlfn.XLOOKUP(E39,lookups90!$B$4:$B$999,lookups90!$BB$4:$BB$999,"",0)),"")</f>
        <v/>
      </c>
      <c r="BK39" s="20" t="str">
        <f>IF(V39&lt;&gt;"", V39-_xlfn.XLOOKUP(E39,lookups90!$B$4:$B$999,lookups90!$BA$4:$BA$999,"",0),"")</f>
        <v/>
      </c>
      <c r="BL39" s="20" t="str">
        <f>IFERROR(IF(_xlfn.XLOOKUP(E39,lookups90!$B$4:$B$999,lookups90!$BC$4:$BC$999,"",0)=0,"",D39*_xlfn.XLOOKUP(E39,lookups90!$B$4:$B$999,lookups90!$BC$4:$BC$999,"",0)),"")</f>
        <v/>
      </c>
      <c r="BM39" s="20" t="str">
        <f>IF(C39&lt;&gt;"", X39-_xlfn.XLOOKUP(E39,lookups90!$B$4:$B$999,lookups90!$BA$4:$BA$999,"",0),"")</f>
        <v/>
      </c>
      <c r="BN39" s="20" t="str">
        <f>IFERROR(IF(_xlfn.XLOOKUP(E39,lookups90!$B$4:$B$999,lookups90!$BD$4:$BD$999,"",0)=0,"",D39*_xlfn.XLOOKUP(E39,lookups90!$B$4:$B$999,lookups90!$BD$4:$BD$999,"",0)),"")</f>
        <v/>
      </c>
      <c r="BP39" s="20" t="str">
        <f>IF(AB39&lt;&gt;"", AB39-_xlfn.XLOOKUP(E39,lookups90!$B$4:$B$999,lookups90!$BE$4:$BE$999,"",0),"")</f>
        <v/>
      </c>
      <c r="BQ39" s="20" t="str">
        <f>IFERROR(IF(_xlfn.XLOOKUP(E39,lookups90!$B$4:$B$999,lookups90!$BF$4:$BF$999,"",0)=0,"",D39*_xlfn.XLOOKUP(E39,lookups90!$B$4:$B$999,lookups90!$BF$4:$BF$999,"",0)),"")</f>
        <v/>
      </c>
      <c r="BR39" s="20" t="str" cm="1">
        <f t="array" ref="BR39">_xlfn.IFS(BP39="","",OR(E39="Fix Slide Door - with Screen",E39="Slide Slide Door - with Screen"),(K39-_xlfn.XLOOKUP(E39,lookups90!$B$4:$B$999,lookups90!$F$4:$F$999,"",0)-_xlfn.XLOOKUP(E39,lookups90!$B$4:$B$999,lookups90!$G$4:$G$999,"",0)+_xlfn.XLOOKUP(E39,lookups90!$B$4:$B$999,lookups90!$H$4:$H$999,"",0))/2+_xlfn.XLOOKUP(E39,lookups90!$B$4:$B$999,lookups90!$I$4:$I$999,"",0)-_xlfn.XLOOKUP(E39,lookups90!$B$4:$B$999,lookups90!$BE$4:$BE$999,"",0), E39="Fix Slide Slide Fix Door - with Screen",(K39-_xlfn.XLOOKUP(E39,lookups90!$B$4:$B$999,lookups90!$F$4:$F$999,"",0)-_xlfn.XLOOKUP(E39,lookups90!$B$4:$B$999,lookups90!$G$4:$G$999,"",0)+_xlfn.XLOOKUP(E39,lookups90!$B$4:$B$999,lookups90!$H$4:$H$999,"",0)+_xlfn.XLOOKUP(E39,lookups90!$B$4:$B$999,lookups90!$H$4:$H$999,"",0))/4+_xlfn.XLOOKUP(E39,lookups90!$B$4:$B$999,lookups90!$I$4:$I$999,"",0)-_xlfn.XLOOKUP(E39,lookups90!$B$4:$B$999,lookups90!$BE$4:$BE$999,"",0))</f>
        <v/>
      </c>
      <c r="BS39" s="20" t="str">
        <f>IFERROR(IF(_xlfn.XLOOKUP(E39,lookups90!$B$4:$B$999,lookups90!$BG$4:$BG$999,"",0)=0,"",D39*_xlfn.XLOOKUP(E39,lookups90!$B$4:$B$999,lookups90!$BG$4:$BG$999,"",0)),"")</f>
        <v/>
      </c>
      <c r="BU39" s="20" t="str">
        <f>IF(AG39&lt;&gt;"",AG39-_xlfn.XLOOKUP(E39,lookups90!$B$4:$B$999,lookups90!$BA$4:$BA$999,"",0),"")</f>
        <v/>
      </c>
      <c r="BV39" s="20" t="str">
        <f>IFERROR(IF(_xlfn.XLOOKUP(E39,lookups90!$B$4:$B$999,lookups90!$BH$4:$BH$999,"",0)=0,"",D39*_xlfn.XLOOKUP(E39,lookups90!$B$4:$B$999,lookups90!$BH$4:$BH$999,"",0)),"")</f>
        <v/>
      </c>
      <c r="BW39" s="20" t="str" cm="1">
        <f t="array" ref="BW39">_xlfn.IFS(BU39="","",OR(E39="Fix Slide Window",E39="Slide Slide Window"),(K39-_xlfn.XLOOKUP(E39,lookups90!$B$4:$B$999,lookups90!$F$4:$F$999,"",0)-_xlfn.XLOOKUP(E39,lookups90!$B$4:$B$999,lookups90!$G$4:$G$999,"",0)+_xlfn.XLOOKUP(E39,lookups90!$B$4:$B$999,lookups90!$H$4:$H$999,"",0))/2+_xlfn.XLOOKUP(E39,lookups90!$B$4:$B$999,lookups90!$I$4:$I$999,"",0)-_xlfn.XLOOKUP(E39,lookups90!$B$4:$B$999,lookups90!$BA$4:$BA$999,"",0), E39="Fix Slide Slide Fix Window",(K39-_xlfn.XLOOKUP(E39,lookups90!$B$4:$B$999,lookups90!$F$4:$F$999,"",0)-_xlfn.XLOOKUP(E39,lookups90!$B$4:$B$999,lookups90!$G$4:$G$999,"",0)+_xlfn.XLOOKUP(E39,lookups90!$B$4:$B$999,lookups90!$H$4:$H$999,"",0)+_xlfn.XLOOKUP(E39,lookups90!$B$4:$B$999,lookups90!$H$4:$H$999,"",0))/4+_xlfn.XLOOKUP(E39,lookups90!$B$4:$B$999,lookups90!$I$4:$I$999,"",0)-_xlfn.XLOOKUP(E39,lookups90!$B$4:$B$999,lookups90!$BA$4:$BA$999,"",0))</f>
        <v/>
      </c>
      <c r="BX39" s="20" t="str">
        <f>IFERROR(IF(_xlfn.XLOOKUP(E39,lookups90!$B$4:$B$999,lookups90!$BI$4:$BI$999,"",0)=0,"",D39*_xlfn.XLOOKUP(E39,lookups90!$B$4:$B$999,lookups90!$BI$4:$BI$999,"",0)),"")</f>
        <v/>
      </c>
      <c r="BZ39" s="20" t="str">
        <f>IF(AL39&lt;&gt;"", AL39-_xlfn.XLOOKUP(E39,lookups90!$B$4:$B$999,lookups90!$BJ$4:$BJ$999,"",0),"")</f>
        <v/>
      </c>
      <c r="CA39" s="20" t="str">
        <f>IFERROR(IF(_xlfn.XLOOKUP(E39,lookups90!$B$4:$B$999,lookups90!$BK$4:$BK$999,"",0)=0,"",D39*_xlfn.XLOOKUP(E39,lookups90!$B$4:$B$999,lookups90!$BK$4:$BK$999,"",0)),"")</f>
        <v/>
      </c>
      <c r="CC39" s="20" t="str">
        <f>IF(C39&lt;&gt;"", T39-_xlfn.XLOOKUP(E39,lookups90!$B$4:$B$999,lookups90!$BO$4:$BO$999,"",0)-_xlfn.XLOOKUP(E39,lookups90!$B$4:$B$999,lookups90!$BP$4:$BP$999,"",0),"")</f>
        <v/>
      </c>
      <c r="CD39" s="20" t="str">
        <f>IF(C39&lt;&gt;"", X39-_xlfn.XLOOKUP(E39,lookups90!$B$4:$B$999,lookups90!$BQ$4:$BQ$999,"",0)-_xlfn.XLOOKUP(E39,lookups90!$B$4:$B$999,lookups90!$BR$4:$BR$999,"",0),"")</f>
        <v/>
      </c>
      <c r="CE39" s="20" t="str">
        <f>IFERROR(IF(_xlfn.XLOOKUP(E39,lookups90!$B$4:$B$999,lookups90!$BS$4:$BS$999,"",0)=0,"",D39*_xlfn.XLOOKUP(E39,lookups90!$B$4:$B$999,lookups90!$BS$4:$BS$999,"",0)),"")</f>
        <v/>
      </c>
      <c r="CF39" s="20" t="str">
        <f>IF(V39&lt;&gt;"", V39-_xlfn.XLOOKUP(E39,lookups90!$B$4:$B$999,lookups90!$BO$4:$BO$999,"",0)-_xlfn.XLOOKUP(E39,lookups90!$B$4:$B$999,lookups90!$BP$4:$BP$999,"",0),"")</f>
        <v/>
      </c>
      <c r="CG39" s="20" t="str">
        <f>IF(CF39&lt;&gt;"", X39-_xlfn.XLOOKUP(E39,lookups90!$B$4:$B$999,lookups90!$BQ$4:$BQ$999,"",0)-_xlfn.XLOOKUP(E39,lookups90!$B$4:$B$999,lookups90!$BR$4:$BR$999,"",0),"")</f>
        <v/>
      </c>
      <c r="CH39" s="20" t="str">
        <f>IFERROR(IF(_xlfn.XLOOKUP(E39,lookups90!$B$4:$B$999,lookups90!$BT$4:$BT$999,"",0)=0,"",D39*_xlfn.XLOOKUP(E39,lookups90!$B$4:$B$999,lookups90!$BT$4:$BT$999,"",0)),"")</f>
        <v/>
      </c>
      <c r="CJ39" s="22" t="str">
        <f t="shared" si="5"/>
        <v/>
      </c>
      <c r="CL39" s="22" t="str" cm="1">
        <f t="array" ref="CL39">IF(D39&lt;&gt;"",((((J39+K39)*2)/500)+(2*_xlfn.IFS(OR(E39="Fix Slide Window", E39="Slide Slide Window", E39="Fix Slide Slide Fix Window"), 2, E39="Slide Slide Door - with Screen", 8, E39&lt;&gt;"",4)))*D39,"")</f>
        <v/>
      </c>
      <c r="CM39" s="22" t="str">
        <f t="shared" si="9"/>
        <v/>
      </c>
      <c r="CN39" s="22" t="str">
        <f t="shared" si="10"/>
        <v/>
      </c>
      <c r="CO39" s="22" t="str">
        <f t="shared" si="8"/>
        <v/>
      </c>
      <c r="CP39" s="22" t="str">
        <f t="shared" si="0"/>
        <v/>
      </c>
    </row>
    <row r="40" spans="3:94" ht="13.5" customHeight="1" x14ac:dyDescent="0.25">
      <c r="C40" s="16"/>
      <c r="D40" s="16"/>
      <c r="E40" s="16"/>
      <c r="F40" s="16"/>
      <c r="G40" s="16"/>
      <c r="H40" s="16"/>
      <c r="I40" s="16"/>
      <c r="J40" s="16"/>
      <c r="K40" s="16"/>
      <c r="M40" s="20" t="str">
        <f t="shared" si="1"/>
        <v/>
      </c>
      <c r="N40" s="20" t="str" cm="1">
        <f t="array" ref="N40">IFERROR(_xlfn.IFS(OR(E40="Fix Awning (Vertical)", E40="Fix Awning (Horizontal)"), J40/2+20,C40&lt;&gt;"", J40+M40),"")</f>
        <v/>
      </c>
      <c r="O40" s="20" t="str">
        <f t="shared" si="2"/>
        <v/>
      </c>
      <c r="P40" s="20" t="str">
        <f t="shared" si="3"/>
        <v/>
      </c>
      <c r="Q40" s="20" t="str">
        <f t="shared" si="4"/>
        <v/>
      </c>
      <c r="S40" s="20" t="str">
        <f>IF(C40&lt;&gt;"", _xlfn.XLOOKUP(E40,lookups90!$B$4:$B$999,lookups90!$C$4:$C$999,"",0),"")</f>
        <v/>
      </c>
      <c r="T40" s="20" t="str">
        <f>IF(C40&lt;&gt;"", J40-_xlfn.XLOOKUP(E40,lookups90!$B$4:$B$999,lookups90!$D$4:$D$999, "",0),"")</f>
        <v/>
      </c>
      <c r="U40" s="20" t="str">
        <f>IF(T40&lt;&gt;"",D40*_xlfn.XLOOKUP(E40,lookups90!$B$4:$B$999,lookups90!$J$4:$J$999, "",0),"")</f>
        <v/>
      </c>
      <c r="V40" s="20" t="str">
        <f>IF(AND(C40&lt;&gt;"", E40&lt;&gt;"Slide Slide Window", E40&lt;&gt;"Slide Slide Door", E40&lt;&gt;"Slide Slide Door - with Screen"), J40-_xlfn.XLOOKUP(E40,lookups90!$B$4:$B$999,lookups90!$E$4:$E$999, "",0),"")</f>
        <v/>
      </c>
      <c r="W40" s="20" t="str">
        <f>IF(V40&lt;&gt;"",D40*_xlfn.XLOOKUP(E40,lookups90!$B$4:$B$999,lookups90!$K$4:$K$999, "",0),"")</f>
        <v/>
      </c>
      <c r="X40" s="20" t="str" cm="1">
        <f t="array" ref="X40">IFERROR(_xlfn.IFS(OR(E40="Fix Slide Window", E40="Slide Slide Window", E40="Fix Slide Door", E40="Slide Slide Door", E40="Fix Slide Door - with Screen", E40="Slide Slide Door - with Screen"), (K40-_xlfn.XLOOKUP(E40,lookups90!$B$4:$B$999,lookups90!$F$4:$F$999, "",0)-_xlfn.XLOOKUP(E40,lookups90!$B$4:$B$999,lookups90!$G$4:$G$999, "",0)+_xlfn.XLOOKUP(E40,lookups90!$B$4:$B$999,lookups90!$H$4:$H$999, "",0))/2+_xlfn.XLOOKUP(E40,lookups90!$B$4:$B$999,lookups90!$I$4:$I$999, "",0), OR(E40="Fix Slide Slide Fix Window", E40="Fix Slide Slide Fix Door - with Screen", E40="Fix Slide Slide Fix Door"),  (K40-_xlfn.XLOOKUP(E40,lookups90!$B$4:$B$999,lookups90!$F$4:$F$999, "",0)-_xlfn.XLOOKUP(E40,lookups90!$B$4:$B$999,lookups90!$G$4:$G$999, "",0)+_xlfn.XLOOKUP(E40,lookups90!$B$4:$B$999,lookups90!$H$4:$H$999, "",0)+_xlfn.XLOOKUP(E40,lookups90!$B$4:$B$999,lookups90!$H$4:$H$999, "",0))/4+_xlfn.XLOOKUP(E40,lookups90!$B$4:$B$999,lookups90!$I$4:$I$999, "",0), E40="Fix Slide Slide Door", (K40-_xlfn.XLOOKUP(E40,lookups90!$B$4:$B$999,lookups90!$F$4:$F$999, "",0)-_xlfn.XLOOKUP(E40,lookups90!$B$4:$B$999,lookups90!$G$4:$G$999, "",0)+_xlfn.XLOOKUP(E40,lookups90!$B$4:$B$999,lookups90!$H$4:$H$999, "",0)+_xlfn.XLOOKUP(E40,lookups90!$B$4:$B$999,lookups90!$H$4:$H$999, "",0))/3+_xlfn.XLOOKUP(E40,lookups90!$B$4:$B$999,lookups90!$I$4:$I$999, "",0),E40="Fix Slide Slide Slide Slide Fix Dr",  (K40-_xlfn.XLOOKUP(E40,lookups90!$B$4:$B$999,lookups90!$F$4:$F$999, "",0)-_xlfn.XLOOKUP(E40,lookups90!$B$4:$B$999,lookups90!$G$4:$G$999, "",0)+_xlfn.XLOOKUP(E40,lookups90!$B$4:$B$999,lookups90!$H$4:$H$999, "",0)+_xlfn.XLOOKUP(E40,lookups90!$B$4:$B$999,lookups90!$H$4:$H$999, "",0)+_xlfn.XLOOKUP(E40,lookups90!$B$4:$B$999,lookups90!$H$4:$H$999, "",0)+_xlfn.XLOOKUP(E40,lookups90!$B$4:$B$999,lookups90!$H$4:$H$999, "",0))/6+_xlfn.XLOOKUP(E40,lookups90!$B$4:$B$999,lookups90!$I$4:$I$999, "",0), E40="Fix Slide Slide Slide Slide Slide Slide Fix Dr",  (K40-_xlfn.XLOOKUP(E40,lookups90!$B$4:$B$999,lookups90!$F$4:$F$999, "",0)-_xlfn.XLOOKUP(E40,lookups90!$B$4:$B$999,lookups90!$G$4:$G$999, "",0)+_xlfn.XLOOKUP(E40,lookups90!$B$4:$B$999,lookups90!$H$4:$H$999, "",0)+_xlfn.XLOOKUP(E40,lookups90!$B$4:$B$999,lookups90!$H$4:$H$999, "",0)+_xlfn.XLOOKUP(E40,lookups90!$B$4:$B$999,lookups90!$H$4:$H$999, "",0)+_xlfn.XLOOKUP(E40,lookups90!$B$4:$B$999,lookups90!$H$4:$H$999, "",0)+_xlfn.XLOOKUP(E40,lookups90!$B$4:$B$999,lookups90!$H$4:$H$999, "",0)+_xlfn.XLOOKUP(E40,lookups90!$B$4:$B$999,lookups90!$H$4:$H$999, "",0))/8+_xlfn.XLOOKUP(E40,lookups90!$B$4:$B$999,lookups90!$I$4:$I$999, "",0)),"")</f>
        <v/>
      </c>
      <c r="Y40" s="20" t="str">
        <f>IF(X40&lt;&gt;"",D40*_xlfn.XLOOKUP(E40,lookups90!$B$4:$B$999,lookups90!$L$4:$L$999, "",0),"")</f>
        <v/>
      </c>
      <c r="AA40" s="20" t="str">
        <f>IF(C40&lt;&gt;"", IF(_xlfn.XLOOKUP(E40,lookups90!$B$4:$B$999,lookups90!$P$4:$P$999,"",0)=0,"",_xlfn.XLOOKUP(E40,lookups90!$B$4:$B$999,lookups90!$P$4:$P$999,"",0)),"")</f>
        <v/>
      </c>
      <c r="AB40" s="20" t="str">
        <f>IF(AA40&lt;&gt;"", J40-_xlfn.XLOOKUP(E40,lookups90!$B$4:$B$999,lookups90!$D$4:$D$999, "",0),"")</f>
        <v/>
      </c>
      <c r="AC40" s="20" t="str">
        <f>IF(AA40&lt;&gt;"",D40*_xlfn.XLOOKUP(E40,lookups90!$B$4:$B$999,lookups90!$Q$4:$Q$999, "",0),"")</f>
        <v/>
      </c>
      <c r="AD40" s="20" t="str" cm="1">
        <f t="array" ref="AD40">IF(AA40&lt;&gt;"", _xlfn.IFS(OR(E40="Fix Slide Window", E40="Slide Slide Window", E40="Fix Slide Door", E40="Slide Slide Door", E40="Fix Slide Door - with Screen", E40="Slide Slide Door - with Screen"), (K40-_xlfn.XLOOKUP(E40,lookups90!$B$4:$B$999,lookups90!$F$4:$F$999, "",0)-_xlfn.XLOOKUP(E40,lookups90!$B$4:$B$999,lookups90!$G$4:$G$999, "",0)+_xlfn.XLOOKUP(E40,lookups90!$B$4:$B$999,lookups90!$H$4:$H$999, "",0))/2+_xlfn.XLOOKUP(E40,lookups90!$B$4:$B$999,lookups90!$I$4:$I$999, "",0), OR(E40="Fix Slide Slide Fix Window", E40="Fix Slide Slide Fix Door - with Screen", E40="Fix Slide Slide Fix Door"),  (K40-_xlfn.XLOOKUP(E40,lookups90!$B$4:$B$999,lookups90!$F$4:$F$999, "",0)-_xlfn.XLOOKUP(E40,lookups90!$B$4:$B$999,lookups90!$G$4:$G$999, "",0)+_xlfn.XLOOKUP(E40,lookups90!$B$4:$B$999,lookups90!$H$4:$H$999, "",0)+_xlfn.XLOOKUP(E40,lookups90!$B$4:$B$999,lookups90!$H$4:$H$999, "",0))/4+_xlfn.XLOOKUP(E40,lookups90!$B$4:$B$999,lookups90!$I$4:$I$999, "",0), E40="Fix Slide Slide Door", (K40-_xlfn.XLOOKUP(E40,lookups90!$B$4:$B$999,lookups90!$F$4:$F$999, "",0)-_xlfn.XLOOKUP(E40,lookups90!$B$4:$B$999,lookups90!$G$4:$G$999, "",0)+_xlfn.XLOOKUP(E40,lookups90!$B$4:$B$999,lookups90!$H$4:$H$999, "",0)+_xlfn.XLOOKUP(E40,lookups90!$B$4:$B$999,lookups90!$H$4:$H$999, "",0))/3+_xlfn.XLOOKUP(E40,lookups90!$B$4:$B$999,lookups90!$I$4:$I$999, "",0) ),"")</f>
        <v/>
      </c>
      <c r="AE40" s="20" t="str">
        <f>IF(AA40&lt;&gt;"",D40*_xlfn.XLOOKUP(E40,lookups90!$B$4:$B$999,lookups90!$R$4:$R$999, "",0),"")</f>
        <v/>
      </c>
      <c r="AG40" s="20" t="str">
        <f>IF(AH40&lt;&gt;"", J40-_xlfn.XLOOKUP(E40,lookups90!$B$4:$B$999,lookups90!$D$4:$D$999, "",0),"")</f>
        <v/>
      </c>
      <c r="AH40" s="20" t="str">
        <f>IF(_xlfn.XLOOKUP(E40,lookups90!$B$4:$B$999,lookups90!$V$4:$V$999,"",0)=0,"",D40*_xlfn.XLOOKUP(E40,lookups90!$B$4:$B$999,lookups90!$V$4:$V$999,"",0))</f>
        <v/>
      </c>
      <c r="AI40" s="20" t="str" cm="1">
        <f t="array" ref="AI40">IF(AH40&lt;&gt;"", _xlfn.IFS(OR(E40="Fix Slide Window", E40="Slide Slide Window"), (K40-_xlfn.XLOOKUP(E40,lookups90!$B$4:$B$999,lookups90!$F$4:$F$999, "",0)-_xlfn.XLOOKUP(E40,lookups90!$B$4:$B$999,lookups90!$G$4:$G$999, "",0)+_xlfn.XLOOKUP(E40,lookups90!$B$4:$B$999,lookups90!$H$4:$H$999, "",0))/2+_xlfn.XLOOKUP(E40,lookups90!$B$4:$B$999,lookups90!$I$4:$I$999, "",0), OR(E40="Fix Slide Slide Fix Window"),  (K40-_xlfn.XLOOKUP(E40,lookups90!$B$4:$B$999,lookups90!$F$4:$F$999, "",0)+_xlfn.XLOOKUP(E40,lookups90!$B$4:$B$999,lookups90!$H$4:$H$999, "",0)+_xlfn.XLOOKUP(E40,lookups90!$B$4:$B$999,lookups90!$H$4:$H$999, "",0))/4+_xlfn.XLOOKUP(E40,lookups90!$B$4:$B$999,lookups90!$I$4:$I$999, "",0)),"")</f>
        <v/>
      </c>
      <c r="AJ40" s="20" t="str">
        <f>IF(_xlfn.XLOOKUP(E40,lookups90!$B$4:$B$999,lookups90!$V$4:$V$999,"",0)=0,"",D40*_xlfn.XLOOKUP(E40,lookups90!$B$4:$B$999,lookups90!$W$4:$W$999,"",0))</f>
        <v/>
      </c>
      <c r="AL40" s="20" t="str" cm="1">
        <f t="array" ref="AL40">IF(AM40&lt;&gt;"", _xlfn.IFS(OR(E40="Fix Slide Door - with Screen", E40="Slide Slide Door - with Screen"), (K40-_xlfn.XLOOKUP(E40,lookups90!$B$4:$B$999,lookups90!$F$4:$F$999, "",0)-_xlfn.XLOOKUP(E40,lookups90!$B$4:$B$999,lookups90!$G$4:$G$999, "",0)+_xlfn.XLOOKUP(E40,lookups90!$B$4:$B$999,lookups90!$H$4:$H$999, "",0))/2+_xlfn.XLOOKUP(E40,lookups90!$B$4:$B$999,lookups90!$I$4:$I$999, "",0), OR( E40="Fix Slide Slide Fix Door - with Screen",  E40="Fix Slide Slide Door"),  (K40-_xlfn.XLOOKUP(E40,lookups90!$B$4:$B$999,lookups90!$F$4:$F$999, "",0)-_xlfn.XLOOKUP(E40,lookups90!$B$4:$B$999,lookups90!$G$4:$G$999, "",0)+_xlfn.XLOOKUP(E40,lookups90!$B$4:$B$999,lookups90!$H$4:$H$999, "",0)+_xlfn.XLOOKUP(E40,lookups90!$B$4:$B$999,lookups90!$H$4:$H$999, "",0))/4+_xlfn.XLOOKUP(E40,lookups90!$B$4:$B$999,lookups90!$I$4:$I$999, "",0)),"")</f>
        <v/>
      </c>
      <c r="AM40" s="20" t="str">
        <f>IF(_xlfn.XLOOKUP(E40,lookups90!$B$4:$B$999,lookups90!$AA$4:$AA$999,"",0)=0,"",D40*_xlfn.XLOOKUP(E40,lookups90!$B$4:$B$999,lookups90!$AA$4:$AA$999,"",0))</f>
        <v/>
      </c>
      <c r="AO40" s="20" t="str">
        <f>IFERROR(IF(C40&lt;&gt;"", T40-_xlfn.XLOOKUP(E40,lookups90!$B$4:$B$999,lookups90!$AE$4:$AE$999, "",0),""),"")</f>
        <v/>
      </c>
      <c r="AP40" s="20" t="str">
        <f>IF(_xlfn.XLOOKUP(E40,lookups90!$B$4:$B$999,lookups90!$AG$4:$AG$999,"",0)=0,"",D40*_xlfn.XLOOKUP(E40,lookups90!$B$4:$B$999,lookups90!$AG$4:$AG$999,"",0))</f>
        <v/>
      </c>
      <c r="AQ40" s="20" t="str">
        <f>IF(V40&lt;&gt;"", T40-_xlfn.XLOOKUP(E40,lookups90!$B$4:$B$999,lookups90!$AE$4:$AE$999, "",0)+_xlfn.XLOOKUP(E40,lookups90!$B$4:$B$999,lookups90!$AF$4:$AF$999, "",0),"")</f>
        <v/>
      </c>
      <c r="AR40" s="20" t="str">
        <f>IFERROR(IF(_xlfn.XLOOKUP(E40,lookups90!$B$4:$B$999,lookups90!$AH$4:$AH$999,"",0)=0,"",D40*_xlfn.XLOOKUP(E40,lookups90!$B$4:$B$999,lookups90!$AH$4:$AH$999,"",0)),"")</f>
        <v/>
      </c>
      <c r="AT40" s="20" t="str">
        <f>IF(OR(E40="Fix Slide Slide Fix Window", E40="Fix Slide Slide Fix Door", E40="Fix Slide Slide Fix Door - with Screen", E40="Fix Slide Slide Door"), T40-_xlfn.XLOOKUP(E40,lookups90!$B$4:$B$999,lookups90!$AE$4:$AE$999,"",0),"")</f>
        <v/>
      </c>
      <c r="AU40" s="20" t="str">
        <f>IFERROR(IF(_xlfn.XLOOKUP(E40,lookups90!$B$4:$B$999,lookups90!$AL$4:$AL$999,"",0)=0,"",D40*_xlfn.XLOOKUP(E40,lookups90!$B$4:$B$999,lookups90!$AL$4:$AL$999,"",0)),"")</f>
        <v/>
      </c>
      <c r="AW40" s="20" t="str">
        <f>IF(C40&lt;&gt;"", T40-_xlfn.XLOOKUP(E40,lookups90!$B$4:$B$999,lookups90!$AP$4:$AP$999,"",0),"")</f>
        <v/>
      </c>
      <c r="AX40" s="20" t="str">
        <f>IFERROR(IF(_xlfn.XLOOKUP(E40,lookups90!$B$4:$B$999,lookups90!$AR$4:$AR$999,"",0)=0,"",D40*_xlfn.XLOOKUP(E40,lookups90!$B$4:$B$999,lookups90!$AR$4:$AR$999,"",0)),"")</f>
        <v/>
      </c>
      <c r="AY40" s="24" t="str">
        <f>IF(V40&lt;&gt;"", V40-_xlfn.XLOOKUP(E40,lookups90!$B$4:$B$999,lookups90!$AP$4:$AP$999,"",0),"")</f>
        <v/>
      </c>
      <c r="AZ40" s="20" t="str">
        <f>IFERROR(IF(_xlfn.XLOOKUP(E40,lookups90!$B$4:$B$999,lookups90!$AS$4:$AS$999,"",0)=0,"",D40*_xlfn.XLOOKUP(E40,lookups90!$B$4:$B$999,lookups90!$AS$4:$AS$999,"",0)),"")</f>
        <v/>
      </c>
      <c r="BA40" s="20" t="str">
        <f>IF(X40&lt;&gt;"", X40-_xlfn.XLOOKUP(E40,lookups90!$B$4:$B$999,lookups90!$AQ$4:$AQ$999,"",0),"")</f>
        <v/>
      </c>
      <c r="BB40" s="20" t="str">
        <f>IFERROR(IF(_xlfn.XLOOKUP(E40,lookups90!$B$4:$B$999,lookups90!$AT$4:$AT$999,"",0)=0,"",D40*_xlfn.XLOOKUP(E40,lookups90!$B$4:$B$999,lookups90!$AT$4:$AT$999,"",0)),"")</f>
        <v/>
      </c>
      <c r="BD40" s="20" t="str">
        <f>IF(C40&lt;&gt;"", N40-_xlfn.XLOOKUP(E40,lookups90!$B$4:$B$999,lookups90!$AX$4:$AX$999,"",0)+M40,"")</f>
        <v/>
      </c>
      <c r="BE40" s="20" t="str">
        <f>IFERROR(IF(_xlfn.XLOOKUP(E40,lookups90!$B$4:$B$999,lookups90!$AY$4:$AY$999,"",0)=0,"",D40*_xlfn.XLOOKUP(E40,lookups90!$B$4:$B$999,lookups90!$AY$4:$AY$999,"",0)),"")</f>
        <v/>
      </c>
      <c r="BF40" s="20" t="str">
        <f>IF(C40&lt;&gt;"", P40-_xlfn.XLOOKUP(E40,lookups90!$B$4:$B$999,lookups90!$AX$4:$AX$999,"",0)+M40,"")</f>
        <v/>
      </c>
      <c r="BG40" s="20" t="str">
        <f>IFERROR(IF(_xlfn.XLOOKUP(E40,lookups90!$B$4:$B$999,lookups90!$AZ$4:$AZ$999,"",0)=0,"",D40*_xlfn.XLOOKUP(E40,lookups90!$B$4:$B$999,lookups90!$AZ$4:$AZ$999,"",0)),"")</f>
        <v/>
      </c>
      <c r="BI40" s="20" t="str">
        <f>IF(C40&lt;&gt;"", T40-_xlfn.XLOOKUP(E40,lookups90!$B$4:$B$999,lookups90!$BA$4:$BA$999,"",0),"")</f>
        <v/>
      </c>
      <c r="BJ40" s="20" t="str">
        <f>IFERROR(IF(_xlfn.XLOOKUP(E40,lookups90!$B$4:$B$999,lookups90!$BB$4:$BB$999,"",0)=0,"",D40*_xlfn.XLOOKUP(E40,lookups90!$B$4:$B$999,lookups90!$BB$4:$BB$999,"",0)),"")</f>
        <v/>
      </c>
      <c r="BK40" s="20" t="str">
        <f>IF(V40&lt;&gt;"", V40-_xlfn.XLOOKUP(E40,lookups90!$B$4:$B$999,lookups90!$BA$4:$BA$999,"",0),"")</f>
        <v/>
      </c>
      <c r="BL40" s="20" t="str">
        <f>IFERROR(IF(_xlfn.XLOOKUP(E40,lookups90!$B$4:$B$999,lookups90!$BC$4:$BC$999,"",0)=0,"",D40*_xlfn.XLOOKUP(E40,lookups90!$B$4:$B$999,lookups90!$BC$4:$BC$999,"",0)),"")</f>
        <v/>
      </c>
      <c r="BM40" s="20" t="str">
        <f>IF(C40&lt;&gt;"", X40-_xlfn.XLOOKUP(E40,lookups90!$B$4:$B$999,lookups90!$BA$4:$BA$999,"",0),"")</f>
        <v/>
      </c>
      <c r="BN40" s="20" t="str">
        <f>IFERROR(IF(_xlfn.XLOOKUP(E40,lookups90!$B$4:$B$999,lookups90!$BD$4:$BD$999,"",0)=0,"",D40*_xlfn.XLOOKUP(E40,lookups90!$B$4:$B$999,lookups90!$BD$4:$BD$999,"",0)),"")</f>
        <v/>
      </c>
      <c r="BP40" s="20" t="str">
        <f>IF(AB40&lt;&gt;"", AB40-_xlfn.XLOOKUP(E40,lookups90!$B$4:$B$999,lookups90!$BE$4:$BE$999,"",0),"")</f>
        <v/>
      </c>
      <c r="BQ40" s="20" t="str">
        <f>IFERROR(IF(_xlfn.XLOOKUP(E40,lookups90!$B$4:$B$999,lookups90!$BF$4:$BF$999,"",0)=0,"",D40*_xlfn.XLOOKUP(E40,lookups90!$B$4:$B$999,lookups90!$BF$4:$BF$999,"",0)),"")</f>
        <v/>
      </c>
      <c r="BR40" s="20" t="str" cm="1">
        <f t="array" ref="BR40">_xlfn.IFS(BP40="","",OR(E40="Fix Slide Door - with Screen",E40="Slide Slide Door - with Screen"),(K40-_xlfn.XLOOKUP(E40,lookups90!$B$4:$B$999,lookups90!$F$4:$F$999,"",0)-_xlfn.XLOOKUP(E40,lookups90!$B$4:$B$999,lookups90!$G$4:$G$999,"",0)+_xlfn.XLOOKUP(E40,lookups90!$B$4:$B$999,lookups90!$H$4:$H$999,"",0))/2+_xlfn.XLOOKUP(E40,lookups90!$B$4:$B$999,lookups90!$I$4:$I$999,"",0)-_xlfn.XLOOKUP(E40,lookups90!$B$4:$B$999,lookups90!$BE$4:$BE$999,"",0), E40="Fix Slide Slide Fix Door - with Screen",(K40-_xlfn.XLOOKUP(E40,lookups90!$B$4:$B$999,lookups90!$F$4:$F$999,"",0)-_xlfn.XLOOKUP(E40,lookups90!$B$4:$B$999,lookups90!$G$4:$G$999,"",0)+_xlfn.XLOOKUP(E40,lookups90!$B$4:$B$999,lookups90!$H$4:$H$999,"",0)+_xlfn.XLOOKUP(E40,lookups90!$B$4:$B$999,lookups90!$H$4:$H$999,"",0))/4+_xlfn.XLOOKUP(E40,lookups90!$B$4:$B$999,lookups90!$I$4:$I$999,"",0)-_xlfn.XLOOKUP(E40,lookups90!$B$4:$B$999,lookups90!$BE$4:$BE$999,"",0))</f>
        <v/>
      </c>
      <c r="BS40" s="20" t="str">
        <f>IFERROR(IF(_xlfn.XLOOKUP(E40,lookups90!$B$4:$B$999,lookups90!$BG$4:$BG$999,"",0)=0,"",D40*_xlfn.XLOOKUP(E40,lookups90!$B$4:$B$999,lookups90!$BG$4:$BG$999,"",0)),"")</f>
        <v/>
      </c>
      <c r="BU40" s="20" t="str">
        <f>IF(AG40&lt;&gt;"",AG40-_xlfn.XLOOKUP(E40,lookups90!$B$4:$B$999,lookups90!$BA$4:$BA$999,"",0),"")</f>
        <v/>
      </c>
      <c r="BV40" s="20" t="str">
        <f>IFERROR(IF(_xlfn.XLOOKUP(E40,lookups90!$B$4:$B$999,lookups90!$BH$4:$BH$999,"",0)=0,"",D40*_xlfn.XLOOKUP(E40,lookups90!$B$4:$B$999,lookups90!$BH$4:$BH$999,"",0)),"")</f>
        <v/>
      </c>
      <c r="BW40" s="20" t="str" cm="1">
        <f t="array" ref="BW40">_xlfn.IFS(BU40="","",OR(E40="Fix Slide Window",E40="Slide Slide Window"),(K40-_xlfn.XLOOKUP(E40,lookups90!$B$4:$B$999,lookups90!$F$4:$F$999,"",0)-_xlfn.XLOOKUP(E40,lookups90!$B$4:$B$999,lookups90!$G$4:$G$999,"",0)+_xlfn.XLOOKUP(E40,lookups90!$B$4:$B$999,lookups90!$H$4:$H$999,"",0))/2+_xlfn.XLOOKUP(E40,lookups90!$B$4:$B$999,lookups90!$I$4:$I$999,"",0)-_xlfn.XLOOKUP(E40,lookups90!$B$4:$B$999,lookups90!$BA$4:$BA$999,"",0), E40="Fix Slide Slide Fix Window",(K40-_xlfn.XLOOKUP(E40,lookups90!$B$4:$B$999,lookups90!$F$4:$F$999,"",0)-_xlfn.XLOOKUP(E40,lookups90!$B$4:$B$999,lookups90!$G$4:$G$999,"",0)+_xlfn.XLOOKUP(E40,lookups90!$B$4:$B$999,lookups90!$H$4:$H$999,"",0)+_xlfn.XLOOKUP(E40,lookups90!$B$4:$B$999,lookups90!$H$4:$H$999,"",0))/4+_xlfn.XLOOKUP(E40,lookups90!$B$4:$B$999,lookups90!$I$4:$I$999,"",0)-_xlfn.XLOOKUP(E40,lookups90!$B$4:$B$999,lookups90!$BA$4:$BA$999,"",0))</f>
        <v/>
      </c>
      <c r="BX40" s="20" t="str">
        <f>IFERROR(IF(_xlfn.XLOOKUP(E40,lookups90!$B$4:$B$999,lookups90!$BI$4:$BI$999,"",0)=0,"",D40*_xlfn.XLOOKUP(E40,lookups90!$B$4:$B$999,lookups90!$BI$4:$BI$999,"",0)),"")</f>
        <v/>
      </c>
      <c r="BZ40" s="20" t="str">
        <f>IF(AL40&lt;&gt;"", AL40-_xlfn.XLOOKUP(E40,lookups90!$B$4:$B$999,lookups90!$BJ$4:$BJ$999,"",0),"")</f>
        <v/>
      </c>
      <c r="CA40" s="20" t="str">
        <f>IFERROR(IF(_xlfn.XLOOKUP(E40,lookups90!$B$4:$B$999,lookups90!$BK$4:$BK$999,"",0)=0,"",D40*_xlfn.XLOOKUP(E40,lookups90!$B$4:$B$999,lookups90!$BK$4:$BK$999,"",0)),"")</f>
        <v/>
      </c>
      <c r="CC40" s="20" t="str">
        <f>IF(C40&lt;&gt;"", T40-_xlfn.XLOOKUP(E40,lookups90!$B$4:$B$999,lookups90!$BO$4:$BO$999,"",0)-_xlfn.XLOOKUP(E40,lookups90!$B$4:$B$999,lookups90!$BP$4:$BP$999,"",0),"")</f>
        <v/>
      </c>
      <c r="CD40" s="20" t="str">
        <f>IF(C40&lt;&gt;"", X40-_xlfn.XLOOKUP(E40,lookups90!$B$4:$B$999,lookups90!$BQ$4:$BQ$999,"",0)-_xlfn.XLOOKUP(E40,lookups90!$B$4:$B$999,lookups90!$BR$4:$BR$999,"",0),"")</f>
        <v/>
      </c>
      <c r="CE40" s="20" t="str">
        <f>IFERROR(IF(_xlfn.XLOOKUP(E40,lookups90!$B$4:$B$999,lookups90!$BS$4:$BS$999,"",0)=0,"",D40*_xlfn.XLOOKUP(E40,lookups90!$B$4:$B$999,lookups90!$BS$4:$BS$999,"",0)),"")</f>
        <v/>
      </c>
      <c r="CF40" s="20" t="str">
        <f>IF(V40&lt;&gt;"", V40-_xlfn.XLOOKUP(E40,lookups90!$B$4:$B$999,lookups90!$BO$4:$BO$999,"",0)-_xlfn.XLOOKUP(E40,lookups90!$B$4:$B$999,lookups90!$BP$4:$BP$999,"",0),"")</f>
        <v/>
      </c>
      <c r="CG40" s="20" t="str">
        <f>IF(CF40&lt;&gt;"", X40-_xlfn.XLOOKUP(E40,lookups90!$B$4:$B$999,lookups90!$BQ$4:$BQ$999,"",0)-_xlfn.XLOOKUP(E40,lookups90!$B$4:$B$999,lookups90!$BR$4:$BR$999,"",0),"")</f>
        <v/>
      </c>
      <c r="CH40" s="20" t="str">
        <f>IFERROR(IF(_xlfn.XLOOKUP(E40,lookups90!$B$4:$B$999,lookups90!$BT$4:$BT$999,"",0)=0,"",D40*_xlfn.XLOOKUP(E40,lookups90!$B$4:$B$999,lookups90!$BT$4:$BT$999,"",0)),"")</f>
        <v/>
      </c>
      <c r="CJ40" s="22" t="str">
        <f t="shared" si="5"/>
        <v/>
      </c>
      <c r="CL40" s="22" t="str" cm="1">
        <f t="array" ref="CL40">IF(D40&lt;&gt;"",((((J40+K40)*2)/500)+(2*_xlfn.IFS(OR(E40="Fix Slide Window", E40="Slide Slide Window", E40="Fix Slide Slide Fix Window"), 2, E40="Slide Slide Door - with Screen", 8, E40&lt;&gt;"",4)))*D40,"")</f>
        <v/>
      </c>
      <c r="CM40" s="22" t="str">
        <f t="shared" si="9"/>
        <v/>
      </c>
      <c r="CN40" s="22" t="str">
        <f t="shared" si="10"/>
        <v/>
      </c>
      <c r="CO40" s="22" t="str">
        <f t="shared" si="8"/>
        <v/>
      </c>
      <c r="CP40" s="22" t="str">
        <f t="shared" si="0"/>
        <v/>
      </c>
    </row>
    <row r="41" spans="3:94" ht="13.5" customHeight="1" x14ac:dyDescent="0.25">
      <c r="C41" s="16"/>
      <c r="D41" s="16"/>
      <c r="E41" s="16"/>
      <c r="F41" s="16"/>
      <c r="G41" s="16"/>
      <c r="H41" s="16"/>
      <c r="I41" s="16"/>
      <c r="J41" s="16"/>
      <c r="K41" s="16"/>
      <c r="M41" s="20" t="str">
        <f t="shared" si="1"/>
        <v/>
      </c>
      <c r="N41" s="20" t="str" cm="1">
        <f t="array" ref="N41">IFERROR(_xlfn.IFS(OR(E41="Fix Awning (Vertical)", E41="Fix Awning (Horizontal)"), J41/2+20,C41&lt;&gt;"", J41+M41),"")</f>
        <v/>
      </c>
      <c r="O41" s="20" t="str">
        <f t="shared" si="2"/>
        <v/>
      </c>
      <c r="P41" s="20" t="str">
        <f t="shared" si="3"/>
        <v/>
      </c>
      <c r="Q41" s="20" t="str">
        <f t="shared" si="4"/>
        <v/>
      </c>
      <c r="S41" s="20" t="str">
        <f>IF(C41&lt;&gt;"", _xlfn.XLOOKUP(E41,lookups90!$B$4:$B$999,lookups90!$C$4:$C$999,"",0),"")</f>
        <v/>
      </c>
      <c r="T41" s="20" t="str">
        <f>IF(C41&lt;&gt;"", J41-_xlfn.XLOOKUP(E41,lookups90!$B$4:$B$999,lookups90!$D$4:$D$999, "",0),"")</f>
        <v/>
      </c>
      <c r="U41" s="20" t="str">
        <f>IF(T41&lt;&gt;"",D41*_xlfn.XLOOKUP(E41,lookups90!$B$4:$B$999,lookups90!$J$4:$J$999, "",0),"")</f>
        <v/>
      </c>
      <c r="V41" s="20" t="str">
        <f>IF(AND(C41&lt;&gt;"", E41&lt;&gt;"Slide Slide Window", E41&lt;&gt;"Slide Slide Door", E41&lt;&gt;"Slide Slide Door - with Screen"), J41-_xlfn.XLOOKUP(E41,lookups90!$B$4:$B$999,lookups90!$E$4:$E$999, "",0),"")</f>
        <v/>
      </c>
      <c r="W41" s="20" t="str">
        <f>IF(V41&lt;&gt;"",D41*_xlfn.XLOOKUP(E41,lookups90!$B$4:$B$999,lookups90!$K$4:$K$999, "",0),"")</f>
        <v/>
      </c>
      <c r="X41" s="20" t="str" cm="1">
        <f t="array" ref="X41">IFERROR(_xlfn.IFS(OR(E41="Fix Slide Window", E41="Slide Slide Window", E41="Fix Slide Door", E41="Slide Slide Door", E41="Fix Slide Door - with Screen", E41="Slide Slide Door - with Screen"), (K41-_xlfn.XLOOKUP(E41,lookups90!$B$4:$B$999,lookups90!$F$4:$F$999, "",0)-_xlfn.XLOOKUP(E41,lookups90!$B$4:$B$999,lookups90!$G$4:$G$999, "",0)+_xlfn.XLOOKUP(E41,lookups90!$B$4:$B$999,lookups90!$H$4:$H$999, "",0))/2+_xlfn.XLOOKUP(E41,lookups90!$B$4:$B$999,lookups90!$I$4:$I$999, "",0), OR(E41="Fix Slide Slide Fix Window", E41="Fix Slide Slide Fix Door - with Screen", E41="Fix Slide Slide Fix Door"),  (K41-_xlfn.XLOOKUP(E41,lookups90!$B$4:$B$999,lookups90!$F$4:$F$999, "",0)-_xlfn.XLOOKUP(E41,lookups90!$B$4:$B$999,lookups90!$G$4:$G$999, "",0)+_xlfn.XLOOKUP(E41,lookups90!$B$4:$B$999,lookups90!$H$4:$H$999, "",0)+_xlfn.XLOOKUP(E41,lookups90!$B$4:$B$999,lookups90!$H$4:$H$999, "",0))/4+_xlfn.XLOOKUP(E41,lookups90!$B$4:$B$999,lookups90!$I$4:$I$999, "",0), E41="Fix Slide Slide Door", (K41-_xlfn.XLOOKUP(E41,lookups90!$B$4:$B$999,lookups90!$F$4:$F$999, "",0)-_xlfn.XLOOKUP(E41,lookups90!$B$4:$B$999,lookups90!$G$4:$G$999, "",0)+_xlfn.XLOOKUP(E41,lookups90!$B$4:$B$999,lookups90!$H$4:$H$999, "",0)+_xlfn.XLOOKUP(E41,lookups90!$B$4:$B$999,lookups90!$H$4:$H$999, "",0))/3+_xlfn.XLOOKUP(E41,lookups90!$B$4:$B$999,lookups90!$I$4:$I$999, "",0),E41="Fix Slide Slide Slide Slide Fix Dr",  (K41-_xlfn.XLOOKUP(E41,lookups90!$B$4:$B$999,lookups90!$F$4:$F$999, "",0)-_xlfn.XLOOKUP(E41,lookups90!$B$4:$B$999,lookups90!$G$4:$G$999, "",0)+_xlfn.XLOOKUP(E41,lookups90!$B$4:$B$999,lookups90!$H$4:$H$999, "",0)+_xlfn.XLOOKUP(E41,lookups90!$B$4:$B$999,lookups90!$H$4:$H$999, "",0)+_xlfn.XLOOKUP(E41,lookups90!$B$4:$B$999,lookups90!$H$4:$H$999, "",0)+_xlfn.XLOOKUP(E41,lookups90!$B$4:$B$999,lookups90!$H$4:$H$999, "",0))/6+_xlfn.XLOOKUP(E41,lookups90!$B$4:$B$999,lookups90!$I$4:$I$999, "",0), E41="Fix Slide Slide Slide Slide Slide Slide Fix Dr",  (K41-_xlfn.XLOOKUP(E41,lookups90!$B$4:$B$999,lookups90!$F$4:$F$999, "",0)-_xlfn.XLOOKUP(E41,lookups90!$B$4:$B$999,lookups90!$G$4:$G$999, "",0)+_xlfn.XLOOKUP(E41,lookups90!$B$4:$B$999,lookups90!$H$4:$H$999, "",0)+_xlfn.XLOOKUP(E41,lookups90!$B$4:$B$999,lookups90!$H$4:$H$999, "",0)+_xlfn.XLOOKUP(E41,lookups90!$B$4:$B$999,lookups90!$H$4:$H$999, "",0)+_xlfn.XLOOKUP(E41,lookups90!$B$4:$B$999,lookups90!$H$4:$H$999, "",0)+_xlfn.XLOOKUP(E41,lookups90!$B$4:$B$999,lookups90!$H$4:$H$999, "",0)+_xlfn.XLOOKUP(E41,lookups90!$B$4:$B$999,lookups90!$H$4:$H$999, "",0))/8+_xlfn.XLOOKUP(E41,lookups90!$B$4:$B$999,lookups90!$I$4:$I$999, "",0)),"")</f>
        <v/>
      </c>
      <c r="Y41" s="20" t="str">
        <f>IF(X41&lt;&gt;"",D41*_xlfn.XLOOKUP(E41,lookups90!$B$4:$B$999,lookups90!$L$4:$L$999, "",0),"")</f>
        <v/>
      </c>
      <c r="AA41" s="20" t="str">
        <f>IF(C41&lt;&gt;"", IF(_xlfn.XLOOKUP(E41,lookups90!$B$4:$B$999,lookups90!$P$4:$P$999,"",0)=0,"",_xlfn.XLOOKUP(E41,lookups90!$B$4:$B$999,lookups90!$P$4:$P$999,"",0)),"")</f>
        <v/>
      </c>
      <c r="AB41" s="20" t="str">
        <f>IF(AA41&lt;&gt;"", J41-_xlfn.XLOOKUP(E41,lookups90!$B$4:$B$999,lookups90!$D$4:$D$999, "",0),"")</f>
        <v/>
      </c>
      <c r="AC41" s="20" t="str">
        <f>IF(AA41&lt;&gt;"",D41*_xlfn.XLOOKUP(E41,lookups90!$B$4:$B$999,lookups90!$Q$4:$Q$999, "",0),"")</f>
        <v/>
      </c>
      <c r="AD41" s="20" t="str" cm="1">
        <f t="array" ref="AD41">IF(AA41&lt;&gt;"", _xlfn.IFS(OR(E41="Fix Slide Window", E41="Slide Slide Window", E41="Fix Slide Door", E41="Slide Slide Door", E41="Fix Slide Door - with Screen", E41="Slide Slide Door - with Screen"), (K41-_xlfn.XLOOKUP(E41,lookups90!$B$4:$B$999,lookups90!$F$4:$F$999, "",0)-_xlfn.XLOOKUP(E41,lookups90!$B$4:$B$999,lookups90!$G$4:$G$999, "",0)+_xlfn.XLOOKUP(E41,lookups90!$B$4:$B$999,lookups90!$H$4:$H$999, "",0))/2+_xlfn.XLOOKUP(E41,lookups90!$B$4:$B$999,lookups90!$I$4:$I$999, "",0), OR(E41="Fix Slide Slide Fix Window", E41="Fix Slide Slide Fix Door - with Screen", E41="Fix Slide Slide Fix Door"),  (K41-_xlfn.XLOOKUP(E41,lookups90!$B$4:$B$999,lookups90!$F$4:$F$999, "",0)-_xlfn.XLOOKUP(E41,lookups90!$B$4:$B$999,lookups90!$G$4:$G$999, "",0)+_xlfn.XLOOKUP(E41,lookups90!$B$4:$B$999,lookups90!$H$4:$H$999, "",0)+_xlfn.XLOOKUP(E41,lookups90!$B$4:$B$999,lookups90!$H$4:$H$999, "",0))/4+_xlfn.XLOOKUP(E41,lookups90!$B$4:$B$999,lookups90!$I$4:$I$999, "",0), E41="Fix Slide Slide Door", (K41-_xlfn.XLOOKUP(E41,lookups90!$B$4:$B$999,lookups90!$F$4:$F$999, "",0)-_xlfn.XLOOKUP(E41,lookups90!$B$4:$B$999,lookups90!$G$4:$G$999, "",0)+_xlfn.XLOOKUP(E41,lookups90!$B$4:$B$999,lookups90!$H$4:$H$999, "",0)+_xlfn.XLOOKUP(E41,lookups90!$B$4:$B$999,lookups90!$H$4:$H$999, "",0))/3+_xlfn.XLOOKUP(E41,lookups90!$B$4:$B$999,lookups90!$I$4:$I$999, "",0) ),"")</f>
        <v/>
      </c>
      <c r="AE41" s="20" t="str">
        <f>IF(AA41&lt;&gt;"",D41*_xlfn.XLOOKUP(E41,lookups90!$B$4:$B$999,lookups90!$R$4:$R$999, "",0),"")</f>
        <v/>
      </c>
      <c r="AG41" s="20" t="str">
        <f>IF(AH41&lt;&gt;"", J41-_xlfn.XLOOKUP(E41,lookups90!$B$4:$B$999,lookups90!$D$4:$D$999, "",0),"")</f>
        <v/>
      </c>
      <c r="AH41" s="20" t="str">
        <f>IF(_xlfn.XLOOKUP(E41,lookups90!$B$4:$B$999,lookups90!$V$4:$V$999,"",0)=0,"",D41*_xlfn.XLOOKUP(E41,lookups90!$B$4:$B$999,lookups90!$V$4:$V$999,"",0))</f>
        <v/>
      </c>
      <c r="AI41" s="20" t="str" cm="1">
        <f t="array" ref="AI41">IF(AH41&lt;&gt;"", _xlfn.IFS(OR(E41="Fix Slide Window", E41="Slide Slide Window"), (K41-_xlfn.XLOOKUP(E41,lookups90!$B$4:$B$999,lookups90!$F$4:$F$999, "",0)-_xlfn.XLOOKUP(E41,lookups90!$B$4:$B$999,lookups90!$G$4:$G$999, "",0)+_xlfn.XLOOKUP(E41,lookups90!$B$4:$B$999,lookups90!$H$4:$H$999, "",0))/2+_xlfn.XLOOKUP(E41,lookups90!$B$4:$B$999,lookups90!$I$4:$I$999, "",0), OR(E41="Fix Slide Slide Fix Window"),  (K41-_xlfn.XLOOKUP(E41,lookups90!$B$4:$B$999,lookups90!$F$4:$F$999, "",0)+_xlfn.XLOOKUP(E41,lookups90!$B$4:$B$999,lookups90!$H$4:$H$999, "",0)+_xlfn.XLOOKUP(E41,lookups90!$B$4:$B$999,lookups90!$H$4:$H$999, "",0))/4+_xlfn.XLOOKUP(E41,lookups90!$B$4:$B$999,lookups90!$I$4:$I$999, "",0)),"")</f>
        <v/>
      </c>
      <c r="AJ41" s="20" t="str">
        <f>IF(_xlfn.XLOOKUP(E41,lookups90!$B$4:$B$999,lookups90!$V$4:$V$999,"",0)=0,"",D41*_xlfn.XLOOKUP(E41,lookups90!$B$4:$B$999,lookups90!$W$4:$W$999,"",0))</f>
        <v/>
      </c>
      <c r="AL41" s="20" t="str" cm="1">
        <f t="array" ref="AL41">IF(AM41&lt;&gt;"", _xlfn.IFS(OR(E41="Fix Slide Door - with Screen", E41="Slide Slide Door - with Screen"), (K41-_xlfn.XLOOKUP(E41,lookups90!$B$4:$B$999,lookups90!$F$4:$F$999, "",0)-_xlfn.XLOOKUP(E41,lookups90!$B$4:$B$999,lookups90!$G$4:$G$999, "",0)+_xlfn.XLOOKUP(E41,lookups90!$B$4:$B$999,lookups90!$H$4:$H$999, "",0))/2+_xlfn.XLOOKUP(E41,lookups90!$B$4:$B$999,lookups90!$I$4:$I$999, "",0), OR( E41="Fix Slide Slide Fix Door - with Screen",  E41="Fix Slide Slide Door"),  (K41-_xlfn.XLOOKUP(E41,lookups90!$B$4:$B$999,lookups90!$F$4:$F$999, "",0)-_xlfn.XLOOKUP(E41,lookups90!$B$4:$B$999,lookups90!$G$4:$G$999, "",0)+_xlfn.XLOOKUP(E41,lookups90!$B$4:$B$999,lookups90!$H$4:$H$999, "",0)+_xlfn.XLOOKUP(E41,lookups90!$B$4:$B$999,lookups90!$H$4:$H$999, "",0))/4+_xlfn.XLOOKUP(E41,lookups90!$B$4:$B$999,lookups90!$I$4:$I$999, "",0)),"")</f>
        <v/>
      </c>
      <c r="AM41" s="20" t="str">
        <f>IF(_xlfn.XLOOKUP(E41,lookups90!$B$4:$B$999,lookups90!$AA$4:$AA$999,"",0)=0,"",D41*_xlfn.XLOOKUP(E41,lookups90!$B$4:$B$999,lookups90!$AA$4:$AA$999,"",0))</f>
        <v/>
      </c>
      <c r="AO41" s="20" t="str">
        <f>IFERROR(IF(C41&lt;&gt;"", T41-_xlfn.XLOOKUP(E41,lookups90!$B$4:$B$999,lookups90!$AE$4:$AE$999, "",0),""),"")</f>
        <v/>
      </c>
      <c r="AP41" s="20" t="str">
        <f>IF(_xlfn.XLOOKUP(E41,lookups90!$B$4:$B$999,lookups90!$AG$4:$AG$999,"",0)=0,"",D41*_xlfn.XLOOKUP(E41,lookups90!$B$4:$B$999,lookups90!$AG$4:$AG$999,"",0))</f>
        <v/>
      </c>
      <c r="AQ41" s="20" t="str">
        <f>IF(V41&lt;&gt;"", T41-_xlfn.XLOOKUP(E41,lookups90!$B$4:$B$999,lookups90!$AE$4:$AE$999, "",0)+_xlfn.XLOOKUP(E41,lookups90!$B$4:$B$999,lookups90!$AF$4:$AF$999, "",0),"")</f>
        <v/>
      </c>
      <c r="AR41" s="20" t="str">
        <f>IFERROR(IF(_xlfn.XLOOKUP(E41,lookups90!$B$4:$B$999,lookups90!$AH$4:$AH$999,"",0)=0,"",D41*_xlfn.XLOOKUP(E41,lookups90!$B$4:$B$999,lookups90!$AH$4:$AH$999,"",0)),"")</f>
        <v/>
      </c>
      <c r="AT41" s="20" t="str">
        <f>IF(OR(E41="Fix Slide Slide Fix Window", E41="Fix Slide Slide Fix Door", E41="Fix Slide Slide Fix Door - with Screen", E41="Fix Slide Slide Door"), T41-_xlfn.XLOOKUP(E41,lookups90!$B$4:$B$999,lookups90!$AE$4:$AE$999,"",0),"")</f>
        <v/>
      </c>
      <c r="AU41" s="20" t="str">
        <f>IFERROR(IF(_xlfn.XLOOKUP(E41,lookups90!$B$4:$B$999,lookups90!$AL$4:$AL$999,"",0)=0,"",D41*_xlfn.XLOOKUP(E41,lookups90!$B$4:$B$999,lookups90!$AL$4:$AL$999,"",0)),"")</f>
        <v/>
      </c>
      <c r="AW41" s="20" t="str">
        <f>IF(C41&lt;&gt;"", T41-_xlfn.XLOOKUP(E41,lookups90!$B$4:$B$999,lookups90!$AP$4:$AP$999,"",0),"")</f>
        <v/>
      </c>
      <c r="AX41" s="20" t="str">
        <f>IFERROR(IF(_xlfn.XLOOKUP(E41,lookups90!$B$4:$B$999,lookups90!$AR$4:$AR$999,"",0)=0,"",D41*_xlfn.XLOOKUP(E41,lookups90!$B$4:$B$999,lookups90!$AR$4:$AR$999,"",0)),"")</f>
        <v/>
      </c>
      <c r="AY41" s="24" t="str">
        <f>IF(V41&lt;&gt;"", V41-_xlfn.XLOOKUP(E41,lookups90!$B$4:$B$999,lookups90!$AP$4:$AP$999,"",0),"")</f>
        <v/>
      </c>
      <c r="AZ41" s="20" t="str">
        <f>IFERROR(IF(_xlfn.XLOOKUP(E41,lookups90!$B$4:$B$999,lookups90!$AS$4:$AS$999,"",0)=0,"",D41*_xlfn.XLOOKUP(E41,lookups90!$B$4:$B$999,lookups90!$AS$4:$AS$999,"",0)),"")</f>
        <v/>
      </c>
      <c r="BA41" s="20" t="str">
        <f>IF(X41&lt;&gt;"", X41-_xlfn.XLOOKUP(E41,lookups90!$B$4:$B$999,lookups90!$AQ$4:$AQ$999,"",0),"")</f>
        <v/>
      </c>
      <c r="BB41" s="20" t="str">
        <f>IFERROR(IF(_xlfn.XLOOKUP(E41,lookups90!$B$4:$B$999,lookups90!$AT$4:$AT$999,"",0)=0,"",D41*_xlfn.XLOOKUP(E41,lookups90!$B$4:$B$999,lookups90!$AT$4:$AT$999,"",0)),"")</f>
        <v/>
      </c>
      <c r="BD41" s="20" t="str">
        <f>IF(C41&lt;&gt;"", N41-_xlfn.XLOOKUP(E41,lookups90!$B$4:$B$999,lookups90!$AX$4:$AX$999,"",0)+M41,"")</f>
        <v/>
      </c>
      <c r="BE41" s="20" t="str">
        <f>IFERROR(IF(_xlfn.XLOOKUP(E41,lookups90!$B$4:$B$999,lookups90!$AY$4:$AY$999,"",0)=0,"",D41*_xlfn.XLOOKUP(E41,lookups90!$B$4:$B$999,lookups90!$AY$4:$AY$999,"",0)),"")</f>
        <v/>
      </c>
      <c r="BF41" s="20" t="str">
        <f>IF(C41&lt;&gt;"", P41-_xlfn.XLOOKUP(E41,lookups90!$B$4:$B$999,lookups90!$AX$4:$AX$999,"",0)+M41,"")</f>
        <v/>
      </c>
      <c r="BG41" s="20" t="str">
        <f>IFERROR(IF(_xlfn.XLOOKUP(E41,lookups90!$B$4:$B$999,lookups90!$AZ$4:$AZ$999,"",0)=0,"",D41*_xlfn.XLOOKUP(E41,lookups90!$B$4:$B$999,lookups90!$AZ$4:$AZ$999,"",0)),"")</f>
        <v/>
      </c>
      <c r="BI41" s="20" t="str">
        <f>IF(C41&lt;&gt;"", T41-_xlfn.XLOOKUP(E41,lookups90!$B$4:$B$999,lookups90!$BA$4:$BA$999,"",0),"")</f>
        <v/>
      </c>
      <c r="BJ41" s="20" t="str">
        <f>IFERROR(IF(_xlfn.XLOOKUP(E41,lookups90!$B$4:$B$999,lookups90!$BB$4:$BB$999,"",0)=0,"",D41*_xlfn.XLOOKUP(E41,lookups90!$B$4:$B$999,lookups90!$BB$4:$BB$999,"",0)),"")</f>
        <v/>
      </c>
      <c r="BK41" s="20" t="str">
        <f>IF(V41&lt;&gt;"", V41-_xlfn.XLOOKUP(E41,lookups90!$B$4:$B$999,lookups90!$BA$4:$BA$999,"",0),"")</f>
        <v/>
      </c>
      <c r="BL41" s="20" t="str">
        <f>IFERROR(IF(_xlfn.XLOOKUP(E41,lookups90!$B$4:$B$999,lookups90!$BC$4:$BC$999,"",0)=0,"",D41*_xlfn.XLOOKUP(E41,lookups90!$B$4:$B$999,lookups90!$BC$4:$BC$999,"",0)),"")</f>
        <v/>
      </c>
      <c r="BM41" s="20" t="str">
        <f>IF(C41&lt;&gt;"", X41-_xlfn.XLOOKUP(E41,lookups90!$B$4:$B$999,lookups90!$BA$4:$BA$999,"",0),"")</f>
        <v/>
      </c>
      <c r="BN41" s="20" t="str">
        <f>IFERROR(IF(_xlfn.XLOOKUP(E41,lookups90!$B$4:$B$999,lookups90!$BD$4:$BD$999,"",0)=0,"",D41*_xlfn.XLOOKUP(E41,lookups90!$B$4:$B$999,lookups90!$BD$4:$BD$999,"",0)),"")</f>
        <v/>
      </c>
      <c r="BP41" s="20" t="str">
        <f>IF(AB41&lt;&gt;"", AB41-_xlfn.XLOOKUP(E41,lookups90!$B$4:$B$999,lookups90!$BE$4:$BE$999,"",0),"")</f>
        <v/>
      </c>
      <c r="BQ41" s="20" t="str">
        <f>IFERROR(IF(_xlfn.XLOOKUP(E41,lookups90!$B$4:$B$999,lookups90!$BF$4:$BF$999,"",0)=0,"",D41*_xlfn.XLOOKUP(E41,lookups90!$B$4:$B$999,lookups90!$BF$4:$BF$999,"",0)),"")</f>
        <v/>
      </c>
      <c r="BR41" s="20" t="str" cm="1">
        <f t="array" ref="BR41">_xlfn.IFS(BP41="","",OR(E41="Fix Slide Door - with Screen",E41="Slide Slide Door - with Screen"),(K41-_xlfn.XLOOKUP(E41,lookups90!$B$4:$B$999,lookups90!$F$4:$F$999,"",0)-_xlfn.XLOOKUP(E41,lookups90!$B$4:$B$999,lookups90!$G$4:$G$999,"",0)+_xlfn.XLOOKUP(E41,lookups90!$B$4:$B$999,lookups90!$H$4:$H$999,"",0))/2+_xlfn.XLOOKUP(E41,lookups90!$B$4:$B$999,lookups90!$I$4:$I$999,"",0)-_xlfn.XLOOKUP(E41,lookups90!$B$4:$B$999,lookups90!$BE$4:$BE$999,"",0), E41="Fix Slide Slide Fix Door - with Screen",(K41-_xlfn.XLOOKUP(E41,lookups90!$B$4:$B$999,lookups90!$F$4:$F$999,"",0)-_xlfn.XLOOKUP(E41,lookups90!$B$4:$B$999,lookups90!$G$4:$G$999,"",0)+_xlfn.XLOOKUP(E41,lookups90!$B$4:$B$999,lookups90!$H$4:$H$999,"",0)+_xlfn.XLOOKUP(E41,lookups90!$B$4:$B$999,lookups90!$H$4:$H$999,"",0))/4+_xlfn.XLOOKUP(E41,lookups90!$B$4:$B$999,lookups90!$I$4:$I$999,"",0)-_xlfn.XLOOKUP(E41,lookups90!$B$4:$B$999,lookups90!$BE$4:$BE$999,"",0))</f>
        <v/>
      </c>
      <c r="BS41" s="20" t="str">
        <f>IFERROR(IF(_xlfn.XLOOKUP(E41,lookups90!$B$4:$B$999,lookups90!$BG$4:$BG$999,"",0)=0,"",D41*_xlfn.XLOOKUP(E41,lookups90!$B$4:$B$999,lookups90!$BG$4:$BG$999,"",0)),"")</f>
        <v/>
      </c>
      <c r="BU41" s="20" t="str">
        <f>IF(AG41&lt;&gt;"",AG41-_xlfn.XLOOKUP(E41,lookups90!$B$4:$B$999,lookups90!$BA$4:$BA$999,"",0),"")</f>
        <v/>
      </c>
      <c r="BV41" s="20" t="str">
        <f>IFERROR(IF(_xlfn.XLOOKUP(E41,lookups90!$B$4:$B$999,lookups90!$BH$4:$BH$999,"",0)=0,"",D41*_xlfn.XLOOKUP(E41,lookups90!$B$4:$B$999,lookups90!$BH$4:$BH$999,"",0)),"")</f>
        <v/>
      </c>
      <c r="BW41" s="20" t="str" cm="1">
        <f t="array" ref="BW41">_xlfn.IFS(BU41="","",OR(E41="Fix Slide Window",E41="Slide Slide Window"),(K41-_xlfn.XLOOKUP(E41,lookups90!$B$4:$B$999,lookups90!$F$4:$F$999,"",0)-_xlfn.XLOOKUP(E41,lookups90!$B$4:$B$999,lookups90!$G$4:$G$999,"",0)+_xlfn.XLOOKUP(E41,lookups90!$B$4:$B$999,lookups90!$H$4:$H$999,"",0))/2+_xlfn.XLOOKUP(E41,lookups90!$B$4:$B$999,lookups90!$I$4:$I$999,"",0)-_xlfn.XLOOKUP(E41,lookups90!$B$4:$B$999,lookups90!$BA$4:$BA$999,"",0), E41="Fix Slide Slide Fix Window",(K41-_xlfn.XLOOKUP(E41,lookups90!$B$4:$B$999,lookups90!$F$4:$F$999,"",0)-_xlfn.XLOOKUP(E41,lookups90!$B$4:$B$999,lookups90!$G$4:$G$999,"",0)+_xlfn.XLOOKUP(E41,lookups90!$B$4:$B$999,lookups90!$H$4:$H$999,"",0)+_xlfn.XLOOKUP(E41,lookups90!$B$4:$B$999,lookups90!$H$4:$H$999,"",0))/4+_xlfn.XLOOKUP(E41,lookups90!$B$4:$B$999,lookups90!$I$4:$I$999,"",0)-_xlfn.XLOOKUP(E41,lookups90!$B$4:$B$999,lookups90!$BA$4:$BA$999,"",0))</f>
        <v/>
      </c>
      <c r="BX41" s="20" t="str">
        <f>IFERROR(IF(_xlfn.XLOOKUP(E41,lookups90!$B$4:$B$999,lookups90!$BI$4:$BI$999,"",0)=0,"",D41*_xlfn.XLOOKUP(E41,lookups90!$B$4:$B$999,lookups90!$BI$4:$BI$999,"",0)),"")</f>
        <v/>
      </c>
      <c r="BZ41" s="20" t="str">
        <f>IF(AL41&lt;&gt;"", AL41-_xlfn.XLOOKUP(E41,lookups90!$B$4:$B$999,lookups90!$BJ$4:$BJ$999,"",0),"")</f>
        <v/>
      </c>
      <c r="CA41" s="20" t="str">
        <f>IFERROR(IF(_xlfn.XLOOKUP(E41,lookups90!$B$4:$B$999,lookups90!$BK$4:$BK$999,"",0)=0,"",D41*_xlfn.XLOOKUP(E41,lookups90!$B$4:$B$999,lookups90!$BK$4:$BK$999,"",0)),"")</f>
        <v/>
      </c>
      <c r="CC41" s="20" t="str">
        <f>IF(C41&lt;&gt;"", T41-_xlfn.XLOOKUP(E41,lookups90!$B$4:$B$999,lookups90!$BO$4:$BO$999,"",0)-_xlfn.XLOOKUP(E41,lookups90!$B$4:$B$999,lookups90!$BP$4:$BP$999,"",0),"")</f>
        <v/>
      </c>
      <c r="CD41" s="20" t="str">
        <f>IF(C41&lt;&gt;"", X41-_xlfn.XLOOKUP(E41,lookups90!$B$4:$B$999,lookups90!$BQ$4:$BQ$999,"",0)-_xlfn.XLOOKUP(E41,lookups90!$B$4:$B$999,lookups90!$BR$4:$BR$999,"",0),"")</f>
        <v/>
      </c>
      <c r="CE41" s="20" t="str">
        <f>IFERROR(IF(_xlfn.XLOOKUP(E41,lookups90!$B$4:$B$999,lookups90!$BS$4:$BS$999,"",0)=0,"",D41*_xlfn.XLOOKUP(E41,lookups90!$B$4:$B$999,lookups90!$BS$4:$BS$999,"",0)),"")</f>
        <v/>
      </c>
      <c r="CF41" s="20" t="str">
        <f>IF(V41&lt;&gt;"", V41-_xlfn.XLOOKUP(E41,lookups90!$B$4:$B$999,lookups90!$BO$4:$BO$999,"",0)-_xlfn.XLOOKUP(E41,lookups90!$B$4:$B$999,lookups90!$BP$4:$BP$999,"",0),"")</f>
        <v/>
      </c>
      <c r="CG41" s="20" t="str">
        <f>IF(CF41&lt;&gt;"", X41-_xlfn.XLOOKUP(E41,lookups90!$B$4:$B$999,lookups90!$BQ$4:$BQ$999,"",0)-_xlfn.XLOOKUP(E41,lookups90!$B$4:$B$999,lookups90!$BR$4:$BR$999,"",0),"")</f>
        <v/>
      </c>
      <c r="CH41" s="20" t="str">
        <f>IFERROR(IF(_xlfn.XLOOKUP(E41,lookups90!$B$4:$B$999,lookups90!$BT$4:$BT$999,"",0)=0,"",D41*_xlfn.XLOOKUP(E41,lookups90!$B$4:$B$999,lookups90!$BT$4:$BT$999,"",0)),"")</f>
        <v/>
      </c>
      <c r="CJ41" s="22" t="str">
        <f t="shared" si="5"/>
        <v/>
      </c>
      <c r="CL41" s="22" t="str" cm="1">
        <f t="array" ref="CL41">IF(D41&lt;&gt;"",((((J41+K41)*2)/500)+(2*_xlfn.IFS(OR(E41="Fix Slide Window", E41="Slide Slide Window", E41="Fix Slide Slide Fix Window"), 2, E41="Slide Slide Door - with Screen", 8, E41&lt;&gt;"",4)))*D41,"")</f>
        <v/>
      </c>
      <c r="CM41" s="22" t="str">
        <f t="shared" si="9"/>
        <v/>
      </c>
      <c r="CN41" s="22" t="str">
        <f t="shared" si="10"/>
        <v/>
      </c>
      <c r="CO41" s="22" t="str">
        <f t="shared" si="8"/>
        <v/>
      </c>
      <c r="CP41" s="22" t="str">
        <f t="shared" si="0"/>
        <v/>
      </c>
    </row>
    <row r="42" spans="3:94" ht="13.5" customHeight="1" x14ac:dyDescent="0.25">
      <c r="C42" s="16"/>
      <c r="D42" s="16"/>
      <c r="E42" s="16"/>
      <c r="F42" s="16"/>
      <c r="G42" s="16"/>
      <c r="H42" s="16"/>
      <c r="I42" s="16"/>
      <c r="J42" s="16"/>
      <c r="K42" s="16"/>
      <c r="M42" s="20" t="str">
        <f t="shared" si="1"/>
        <v/>
      </c>
      <c r="N42" s="20" t="str" cm="1">
        <f t="array" ref="N42">IFERROR(_xlfn.IFS(OR(E42="Fix Awning (Vertical)", E42="Fix Awning (Horizontal)"), J42/2+20,C42&lt;&gt;"", J42+M42),"")</f>
        <v/>
      </c>
      <c r="O42" s="20" t="str">
        <f t="shared" si="2"/>
        <v/>
      </c>
      <c r="P42" s="20" t="str">
        <f t="shared" si="3"/>
        <v/>
      </c>
      <c r="Q42" s="20" t="str">
        <f t="shared" si="4"/>
        <v/>
      </c>
      <c r="S42" s="20" t="str">
        <f>IF(C42&lt;&gt;"", _xlfn.XLOOKUP(E42,lookups90!$B$4:$B$999,lookups90!$C$4:$C$999,"",0),"")</f>
        <v/>
      </c>
      <c r="T42" s="20" t="str">
        <f>IF(C42&lt;&gt;"", J42-_xlfn.XLOOKUP(E42,lookups90!$B$4:$B$999,lookups90!$D$4:$D$999, "",0),"")</f>
        <v/>
      </c>
      <c r="U42" s="20" t="str">
        <f>IF(T42&lt;&gt;"",D42*_xlfn.XLOOKUP(E42,lookups90!$B$4:$B$999,lookups90!$J$4:$J$999, "",0),"")</f>
        <v/>
      </c>
      <c r="V42" s="20" t="str">
        <f>IF(AND(C42&lt;&gt;"", E42&lt;&gt;"Slide Slide Window", E42&lt;&gt;"Slide Slide Door", E42&lt;&gt;"Slide Slide Door - with Screen"), J42-_xlfn.XLOOKUP(E42,lookups90!$B$4:$B$999,lookups90!$E$4:$E$999, "",0),"")</f>
        <v/>
      </c>
      <c r="W42" s="20" t="str">
        <f>IF(V42&lt;&gt;"",D42*_xlfn.XLOOKUP(E42,lookups90!$B$4:$B$999,lookups90!$K$4:$K$999, "",0),"")</f>
        <v/>
      </c>
      <c r="X42" s="20" t="str" cm="1">
        <f t="array" ref="X42">IFERROR(_xlfn.IFS(OR(E42="Fix Slide Window", E42="Slide Slide Window", E42="Fix Slide Door", E42="Slide Slide Door", E42="Fix Slide Door - with Screen", E42="Slide Slide Door - with Screen"), (K42-_xlfn.XLOOKUP(E42,lookups90!$B$4:$B$999,lookups90!$F$4:$F$999, "",0)-_xlfn.XLOOKUP(E42,lookups90!$B$4:$B$999,lookups90!$G$4:$G$999, "",0)+_xlfn.XLOOKUP(E42,lookups90!$B$4:$B$999,lookups90!$H$4:$H$999, "",0))/2+_xlfn.XLOOKUP(E42,lookups90!$B$4:$B$999,lookups90!$I$4:$I$999, "",0), OR(E42="Fix Slide Slide Fix Window", E42="Fix Slide Slide Fix Door - with Screen", E42="Fix Slide Slide Fix Door"),  (K42-_xlfn.XLOOKUP(E42,lookups90!$B$4:$B$999,lookups90!$F$4:$F$999, "",0)-_xlfn.XLOOKUP(E42,lookups90!$B$4:$B$999,lookups90!$G$4:$G$999, "",0)+_xlfn.XLOOKUP(E42,lookups90!$B$4:$B$999,lookups90!$H$4:$H$999, "",0)+_xlfn.XLOOKUP(E42,lookups90!$B$4:$B$999,lookups90!$H$4:$H$999, "",0))/4+_xlfn.XLOOKUP(E42,lookups90!$B$4:$B$999,lookups90!$I$4:$I$999, "",0), E42="Fix Slide Slide Door", (K42-_xlfn.XLOOKUP(E42,lookups90!$B$4:$B$999,lookups90!$F$4:$F$999, "",0)-_xlfn.XLOOKUP(E42,lookups90!$B$4:$B$999,lookups90!$G$4:$G$999, "",0)+_xlfn.XLOOKUP(E42,lookups90!$B$4:$B$999,lookups90!$H$4:$H$999, "",0)+_xlfn.XLOOKUP(E42,lookups90!$B$4:$B$999,lookups90!$H$4:$H$999, "",0))/3+_xlfn.XLOOKUP(E42,lookups90!$B$4:$B$999,lookups90!$I$4:$I$999, "",0),E42="Fix Slide Slide Slide Slide Fix Dr",  (K42-_xlfn.XLOOKUP(E42,lookups90!$B$4:$B$999,lookups90!$F$4:$F$999, "",0)-_xlfn.XLOOKUP(E42,lookups90!$B$4:$B$999,lookups90!$G$4:$G$999, "",0)+_xlfn.XLOOKUP(E42,lookups90!$B$4:$B$999,lookups90!$H$4:$H$999, "",0)+_xlfn.XLOOKUP(E42,lookups90!$B$4:$B$999,lookups90!$H$4:$H$999, "",0)+_xlfn.XLOOKUP(E42,lookups90!$B$4:$B$999,lookups90!$H$4:$H$999, "",0)+_xlfn.XLOOKUP(E42,lookups90!$B$4:$B$999,lookups90!$H$4:$H$999, "",0))/6+_xlfn.XLOOKUP(E42,lookups90!$B$4:$B$999,lookups90!$I$4:$I$999, "",0), E42="Fix Slide Slide Slide Slide Slide Slide Fix Dr",  (K42-_xlfn.XLOOKUP(E42,lookups90!$B$4:$B$999,lookups90!$F$4:$F$999, "",0)-_xlfn.XLOOKUP(E42,lookups90!$B$4:$B$999,lookups90!$G$4:$G$999, "",0)+_xlfn.XLOOKUP(E42,lookups90!$B$4:$B$999,lookups90!$H$4:$H$999, "",0)+_xlfn.XLOOKUP(E42,lookups90!$B$4:$B$999,lookups90!$H$4:$H$999, "",0)+_xlfn.XLOOKUP(E42,lookups90!$B$4:$B$999,lookups90!$H$4:$H$999, "",0)+_xlfn.XLOOKUP(E42,lookups90!$B$4:$B$999,lookups90!$H$4:$H$999, "",0)+_xlfn.XLOOKUP(E42,lookups90!$B$4:$B$999,lookups90!$H$4:$H$999, "",0)+_xlfn.XLOOKUP(E42,lookups90!$B$4:$B$999,lookups90!$H$4:$H$999, "",0))/8+_xlfn.XLOOKUP(E42,lookups90!$B$4:$B$999,lookups90!$I$4:$I$999, "",0)),"")</f>
        <v/>
      </c>
      <c r="Y42" s="20" t="str">
        <f>IF(X42&lt;&gt;"",D42*_xlfn.XLOOKUP(E42,lookups90!$B$4:$B$999,lookups90!$L$4:$L$999, "",0),"")</f>
        <v/>
      </c>
      <c r="AA42" s="20" t="str">
        <f>IF(C42&lt;&gt;"", IF(_xlfn.XLOOKUP(E42,lookups90!$B$4:$B$999,lookups90!$P$4:$P$999,"",0)=0,"",_xlfn.XLOOKUP(E42,lookups90!$B$4:$B$999,lookups90!$P$4:$P$999,"",0)),"")</f>
        <v/>
      </c>
      <c r="AB42" s="20" t="str">
        <f>IF(AA42&lt;&gt;"", J42-_xlfn.XLOOKUP(E42,lookups90!$B$4:$B$999,lookups90!$D$4:$D$999, "",0),"")</f>
        <v/>
      </c>
      <c r="AC42" s="20" t="str">
        <f>IF(AA42&lt;&gt;"",D42*_xlfn.XLOOKUP(E42,lookups90!$B$4:$B$999,lookups90!$Q$4:$Q$999, "",0),"")</f>
        <v/>
      </c>
      <c r="AD42" s="20" t="str" cm="1">
        <f t="array" ref="AD42">IF(AA42&lt;&gt;"", _xlfn.IFS(OR(E42="Fix Slide Window", E42="Slide Slide Window", E42="Fix Slide Door", E42="Slide Slide Door", E42="Fix Slide Door - with Screen", E42="Slide Slide Door - with Screen"), (K42-_xlfn.XLOOKUP(E42,lookups90!$B$4:$B$999,lookups90!$F$4:$F$999, "",0)-_xlfn.XLOOKUP(E42,lookups90!$B$4:$B$999,lookups90!$G$4:$G$999, "",0)+_xlfn.XLOOKUP(E42,lookups90!$B$4:$B$999,lookups90!$H$4:$H$999, "",0))/2+_xlfn.XLOOKUP(E42,lookups90!$B$4:$B$999,lookups90!$I$4:$I$999, "",0), OR(E42="Fix Slide Slide Fix Window", E42="Fix Slide Slide Fix Door - with Screen", E42="Fix Slide Slide Fix Door"),  (K42-_xlfn.XLOOKUP(E42,lookups90!$B$4:$B$999,lookups90!$F$4:$F$999, "",0)-_xlfn.XLOOKUP(E42,lookups90!$B$4:$B$999,lookups90!$G$4:$G$999, "",0)+_xlfn.XLOOKUP(E42,lookups90!$B$4:$B$999,lookups90!$H$4:$H$999, "",0)+_xlfn.XLOOKUP(E42,lookups90!$B$4:$B$999,lookups90!$H$4:$H$999, "",0))/4+_xlfn.XLOOKUP(E42,lookups90!$B$4:$B$999,lookups90!$I$4:$I$999, "",0), E42="Fix Slide Slide Door", (K42-_xlfn.XLOOKUP(E42,lookups90!$B$4:$B$999,lookups90!$F$4:$F$999, "",0)-_xlfn.XLOOKUP(E42,lookups90!$B$4:$B$999,lookups90!$G$4:$G$999, "",0)+_xlfn.XLOOKUP(E42,lookups90!$B$4:$B$999,lookups90!$H$4:$H$999, "",0)+_xlfn.XLOOKUP(E42,lookups90!$B$4:$B$999,lookups90!$H$4:$H$999, "",0))/3+_xlfn.XLOOKUP(E42,lookups90!$B$4:$B$999,lookups90!$I$4:$I$999, "",0) ),"")</f>
        <v/>
      </c>
      <c r="AE42" s="20" t="str">
        <f>IF(AA42&lt;&gt;"",D42*_xlfn.XLOOKUP(E42,lookups90!$B$4:$B$999,lookups90!$R$4:$R$999, "",0),"")</f>
        <v/>
      </c>
      <c r="AG42" s="20" t="str">
        <f>IF(AH42&lt;&gt;"", J42-_xlfn.XLOOKUP(E42,lookups90!$B$4:$B$999,lookups90!$D$4:$D$999, "",0),"")</f>
        <v/>
      </c>
      <c r="AH42" s="20" t="str">
        <f>IF(_xlfn.XLOOKUP(E42,lookups90!$B$4:$B$999,lookups90!$V$4:$V$999,"",0)=0,"",D42*_xlfn.XLOOKUP(E42,lookups90!$B$4:$B$999,lookups90!$V$4:$V$999,"",0))</f>
        <v/>
      </c>
      <c r="AI42" s="20" t="str" cm="1">
        <f t="array" ref="AI42">IF(AH42&lt;&gt;"", _xlfn.IFS(OR(E42="Fix Slide Window", E42="Slide Slide Window"), (K42-_xlfn.XLOOKUP(E42,lookups90!$B$4:$B$999,lookups90!$F$4:$F$999, "",0)-_xlfn.XLOOKUP(E42,lookups90!$B$4:$B$999,lookups90!$G$4:$G$999, "",0)+_xlfn.XLOOKUP(E42,lookups90!$B$4:$B$999,lookups90!$H$4:$H$999, "",0))/2+_xlfn.XLOOKUP(E42,lookups90!$B$4:$B$999,lookups90!$I$4:$I$999, "",0), OR(E42="Fix Slide Slide Fix Window"),  (K42-_xlfn.XLOOKUP(E42,lookups90!$B$4:$B$999,lookups90!$F$4:$F$999, "",0)+_xlfn.XLOOKUP(E42,lookups90!$B$4:$B$999,lookups90!$H$4:$H$999, "",0)+_xlfn.XLOOKUP(E42,lookups90!$B$4:$B$999,lookups90!$H$4:$H$999, "",0))/4+_xlfn.XLOOKUP(E42,lookups90!$B$4:$B$999,lookups90!$I$4:$I$999, "",0)),"")</f>
        <v/>
      </c>
      <c r="AJ42" s="20" t="str">
        <f>IF(_xlfn.XLOOKUP(E42,lookups90!$B$4:$B$999,lookups90!$V$4:$V$999,"",0)=0,"",D42*_xlfn.XLOOKUP(E42,lookups90!$B$4:$B$999,lookups90!$W$4:$W$999,"",0))</f>
        <v/>
      </c>
      <c r="AL42" s="20" t="str" cm="1">
        <f t="array" ref="AL42">IF(AM42&lt;&gt;"", _xlfn.IFS(OR(E42="Fix Slide Door - with Screen", E42="Slide Slide Door - with Screen"), (K42-_xlfn.XLOOKUP(E42,lookups90!$B$4:$B$999,lookups90!$F$4:$F$999, "",0)-_xlfn.XLOOKUP(E42,lookups90!$B$4:$B$999,lookups90!$G$4:$G$999, "",0)+_xlfn.XLOOKUP(E42,lookups90!$B$4:$B$999,lookups90!$H$4:$H$999, "",0))/2+_xlfn.XLOOKUP(E42,lookups90!$B$4:$B$999,lookups90!$I$4:$I$999, "",0), OR( E42="Fix Slide Slide Fix Door - with Screen",  E42="Fix Slide Slide Door"),  (K42-_xlfn.XLOOKUP(E42,lookups90!$B$4:$B$999,lookups90!$F$4:$F$999, "",0)-_xlfn.XLOOKUP(E42,lookups90!$B$4:$B$999,lookups90!$G$4:$G$999, "",0)+_xlfn.XLOOKUP(E42,lookups90!$B$4:$B$999,lookups90!$H$4:$H$999, "",0)+_xlfn.XLOOKUP(E42,lookups90!$B$4:$B$999,lookups90!$H$4:$H$999, "",0))/4+_xlfn.XLOOKUP(E42,lookups90!$B$4:$B$999,lookups90!$I$4:$I$999, "",0)),"")</f>
        <v/>
      </c>
      <c r="AM42" s="20" t="str">
        <f>IF(_xlfn.XLOOKUP(E42,lookups90!$B$4:$B$999,lookups90!$AA$4:$AA$999,"",0)=0,"",D42*_xlfn.XLOOKUP(E42,lookups90!$B$4:$B$999,lookups90!$AA$4:$AA$999,"",0))</f>
        <v/>
      </c>
      <c r="AO42" s="20" t="str">
        <f>IFERROR(IF(C42&lt;&gt;"", T42-_xlfn.XLOOKUP(E42,lookups90!$B$4:$B$999,lookups90!$AE$4:$AE$999, "",0),""),"")</f>
        <v/>
      </c>
      <c r="AP42" s="20" t="str">
        <f>IF(_xlfn.XLOOKUP(E42,lookups90!$B$4:$B$999,lookups90!$AG$4:$AG$999,"",0)=0,"",D42*_xlfn.XLOOKUP(E42,lookups90!$B$4:$B$999,lookups90!$AG$4:$AG$999,"",0))</f>
        <v/>
      </c>
      <c r="AQ42" s="20" t="str">
        <f>IF(V42&lt;&gt;"", T42-_xlfn.XLOOKUP(E42,lookups90!$B$4:$B$999,lookups90!$AE$4:$AE$999, "",0)+_xlfn.XLOOKUP(E42,lookups90!$B$4:$B$999,lookups90!$AF$4:$AF$999, "",0),"")</f>
        <v/>
      </c>
      <c r="AR42" s="20" t="str">
        <f>IFERROR(IF(_xlfn.XLOOKUP(E42,lookups90!$B$4:$B$999,lookups90!$AH$4:$AH$999,"",0)=0,"",D42*_xlfn.XLOOKUP(E42,lookups90!$B$4:$B$999,lookups90!$AH$4:$AH$999,"",0)),"")</f>
        <v/>
      </c>
      <c r="AT42" s="20" t="str">
        <f>IF(OR(E42="Fix Slide Slide Fix Window", E42="Fix Slide Slide Fix Door", E42="Fix Slide Slide Fix Door - with Screen", E42="Fix Slide Slide Door"), T42-_xlfn.XLOOKUP(E42,lookups90!$B$4:$B$999,lookups90!$AE$4:$AE$999,"",0),"")</f>
        <v/>
      </c>
      <c r="AU42" s="20" t="str">
        <f>IFERROR(IF(_xlfn.XLOOKUP(E42,lookups90!$B$4:$B$999,lookups90!$AL$4:$AL$999,"",0)=0,"",D42*_xlfn.XLOOKUP(E42,lookups90!$B$4:$B$999,lookups90!$AL$4:$AL$999,"",0)),"")</f>
        <v/>
      </c>
      <c r="AW42" s="20" t="str">
        <f>IF(C42&lt;&gt;"", T42-_xlfn.XLOOKUP(E42,lookups90!$B$4:$B$999,lookups90!$AP$4:$AP$999,"",0),"")</f>
        <v/>
      </c>
      <c r="AX42" s="20" t="str">
        <f>IFERROR(IF(_xlfn.XLOOKUP(E42,lookups90!$B$4:$B$999,lookups90!$AR$4:$AR$999,"",0)=0,"",D42*_xlfn.XLOOKUP(E42,lookups90!$B$4:$B$999,lookups90!$AR$4:$AR$999,"",0)),"")</f>
        <v/>
      </c>
      <c r="AY42" s="24" t="str">
        <f>IF(V42&lt;&gt;"", V42-_xlfn.XLOOKUP(E42,lookups90!$B$4:$B$999,lookups90!$AP$4:$AP$999,"",0),"")</f>
        <v/>
      </c>
      <c r="AZ42" s="20" t="str">
        <f>IFERROR(IF(_xlfn.XLOOKUP(E42,lookups90!$B$4:$B$999,lookups90!$AS$4:$AS$999,"",0)=0,"",D42*_xlfn.XLOOKUP(E42,lookups90!$B$4:$B$999,lookups90!$AS$4:$AS$999,"",0)),"")</f>
        <v/>
      </c>
      <c r="BA42" s="20" t="str">
        <f>IF(X42&lt;&gt;"", X42-_xlfn.XLOOKUP(E42,lookups90!$B$4:$B$999,lookups90!$AQ$4:$AQ$999,"",0),"")</f>
        <v/>
      </c>
      <c r="BB42" s="20" t="str">
        <f>IFERROR(IF(_xlfn.XLOOKUP(E42,lookups90!$B$4:$B$999,lookups90!$AT$4:$AT$999,"",0)=0,"",D42*_xlfn.XLOOKUP(E42,lookups90!$B$4:$B$999,lookups90!$AT$4:$AT$999,"",0)),"")</f>
        <v/>
      </c>
      <c r="BD42" s="20" t="str">
        <f>IF(C42&lt;&gt;"", N42-_xlfn.XLOOKUP(E42,lookups90!$B$4:$B$999,lookups90!$AX$4:$AX$999,"",0)+M42,"")</f>
        <v/>
      </c>
      <c r="BE42" s="20" t="str">
        <f>IFERROR(IF(_xlfn.XLOOKUP(E42,lookups90!$B$4:$B$999,lookups90!$AY$4:$AY$999,"",0)=0,"",D42*_xlfn.XLOOKUP(E42,lookups90!$B$4:$B$999,lookups90!$AY$4:$AY$999,"",0)),"")</f>
        <v/>
      </c>
      <c r="BF42" s="20" t="str">
        <f>IF(C42&lt;&gt;"", P42-_xlfn.XLOOKUP(E42,lookups90!$B$4:$B$999,lookups90!$AX$4:$AX$999,"",0)+M42,"")</f>
        <v/>
      </c>
      <c r="BG42" s="20" t="str">
        <f>IFERROR(IF(_xlfn.XLOOKUP(E42,lookups90!$B$4:$B$999,lookups90!$AZ$4:$AZ$999,"",0)=0,"",D42*_xlfn.XLOOKUP(E42,lookups90!$B$4:$B$999,lookups90!$AZ$4:$AZ$999,"",0)),"")</f>
        <v/>
      </c>
      <c r="BI42" s="20" t="str">
        <f>IF(C42&lt;&gt;"", T42-_xlfn.XLOOKUP(E42,lookups90!$B$4:$B$999,lookups90!$BA$4:$BA$999,"",0),"")</f>
        <v/>
      </c>
      <c r="BJ42" s="20" t="str">
        <f>IFERROR(IF(_xlfn.XLOOKUP(E42,lookups90!$B$4:$B$999,lookups90!$BB$4:$BB$999,"",0)=0,"",D42*_xlfn.XLOOKUP(E42,lookups90!$B$4:$B$999,lookups90!$BB$4:$BB$999,"",0)),"")</f>
        <v/>
      </c>
      <c r="BK42" s="20" t="str">
        <f>IF(V42&lt;&gt;"", V42-_xlfn.XLOOKUP(E42,lookups90!$B$4:$B$999,lookups90!$BA$4:$BA$999,"",0),"")</f>
        <v/>
      </c>
      <c r="BL42" s="20" t="str">
        <f>IFERROR(IF(_xlfn.XLOOKUP(E42,lookups90!$B$4:$B$999,lookups90!$BC$4:$BC$999,"",0)=0,"",D42*_xlfn.XLOOKUP(E42,lookups90!$B$4:$B$999,lookups90!$BC$4:$BC$999,"",0)),"")</f>
        <v/>
      </c>
      <c r="BM42" s="20" t="str">
        <f>IF(C42&lt;&gt;"", X42-_xlfn.XLOOKUP(E42,lookups90!$B$4:$B$999,lookups90!$BA$4:$BA$999,"",0),"")</f>
        <v/>
      </c>
      <c r="BN42" s="20" t="str">
        <f>IFERROR(IF(_xlfn.XLOOKUP(E42,lookups90!$B$4:$B$999,lookups90!$BD$4:$BD$999,"",0)=0,"",D42*_xlfn.XLOOKUP(E42,lookups90!$B$4:$B$999,lookups90!$BD$4:$BD$999,"",0)),"")</f>
        <v/>
      </c>
      <c r="BP42" s="20" t="str">
        <f>IF(AB42&lt;&gt;"", AB42-_xlfn.XLOOKUP(E42,lookups90!$B$4:$B$999,lookups90!$BE$4:$BE$999,"",0),"")</f>
        <v/>
      </c>
      <c r="BQ42" s="20" t="str">
        <f>IFERROR(IF(_xlfn.XLOOKUP(E42,lookups90!$B$4:$B$999,lookups90!$BF$4:$BF$999,"",0)=0,"",D42*_xlfn.XLOOKUP(E42,lookups90!$B$4:$B$999,lookups90!$BF$4:$BF$999,"",0)),"")</f>
        <v/>
      </c>
      <c r="BR42" s="20" t="str" cm="1">
        <f t="array" ref="BR42">_xlfn.IFS(BP42="","",OR(E42="Fix Slide Door - with Screen",E42="Slide Slide Door - with Screen"),(K42-_xlfn.XLOOKUP(E42,lookups90!$B$4:$B$999,lookups90!$F$4:$F$999,"",0)-_xlfn.XLOOKUP(E42,lookups90!$B$4:$B$999,lookups90!$G$4:$G$999,"",0)+_xlfn.XLOOKUP(E42,lookups90!$B$4:$B$999,lookups90!$H$4:$H$999,"",0))/2+_xlfn.XLOOKUP(E42,lookups90!$B$4:$B$999,lookups90!$I$4:$I$999,"",0)-_xlfn.XLOOKUP(E42,lookups90!$B$4:$B$999,lookups90!$BE$4:$BE$999,"",0), E42="Fix Slide Slide Fix Door - with Screen",(K42-_xlfn.XLOOKUP(E42,lookups90!$B$4:$B$999,lookups90!$F$4:$F$999,"",0)-_xlfn.XLOOKUP(E42,lookups90!$B$4:$B$999,lookups90!$G$4:$G$999,"",0)+_xlfn.XLOOKUP(E42,lookups90!$B$4:$B$999,lookups90!$H$4:$H$999,"",0)+_xlfn.XLOOKUP(E42,lookups90!$B$4:$B$999,lookups90!$H$4:$H$999,"",0))/4+_xlfn.XLOOKUP(E42,lookups90!$B$4:$B$999,lookups90!$I$4:$I$999,"",0)-_xlfn.XLOOKUP(E42,lookups90!$B$4:$B$999,lookups90!$BE$4:$BE$999,"",0))</f>
        <v/>
      </c>
      <c r="BS42" s="20" t="str">
        <f>IFERROR(IF(_xlfn.XLOOKUP(E42,lookups90!$B$4:$B$999,lookups90!$BG$4:$BG$999,"",0)=0,"",D42*_xlfn.XLOOKUP(E42,lookups90!$B$4:$B$999,lookups90!$BG$4:$BG$999,"",0)),"")</f>
        <v/>
      </c>
      <c r="BU42" s="20" t="str">
        <f>IF(AG42&lt;&gt;"",AG42-_xlfn.XLOOKUP(E42,lookups90!$B$4:$B$999,lookups90!$BA$4:$BA$999,"",0),"")</f>
        <v/>
      </c>
      <c r="BV42" s="20" t="str">
        <f>IFERROR(IF(_xlfn.XLOOKUP(E42,lookups90!$B$4:$B$999,lookups90!$BH$4:$BH$999,"",0)=0,"",D42*_xlfn.XLOOKUP(E42,lookups90!$B$4:$B$999,lookups90!$BH$4:$BH$999,"",0)),"")</f>
        <v/>
      </c>
      <c r="BW42" s="20" t="str" cm="1">
        <f t="array" ref="BW42">_xlfn.IFS(BU42="","",OR(E42="Fix Slide Window",E42="Slide Slide Window"),(K42-_xlfn.XLOOKUP(E42,lookups90!$B$4:$B$999,lookups90!$F$4:$F$999,"",0)-_xlfn.XLOOKUP(E42,lookups90!$B$4:$B$999,lookups90!$G$4:$G$999,"",0)+_xlfn.XLOOKUP(E42,lookups90!$B$4:$B$999,lookups90!$H$4:$H$999,"",0))/2+_xlfn.XLOOKUP(E42,lookups90!$B$4:$B$999,lookups90!$I$4:$I$999,"",0)-_xlfn.XLOOKUP(E42,lookups90!$B$4:$B$999,lookups90!$BA$4:$BA$999,"",0), E42="Fix Slide Slide Fix Window",(K42-_xlfn.XLOOKUP(E42,lookups90!$B$4:$B$999,lookups90!$F$4:$F$999,"",0)-_xlfn.XLOOKUP(E42,lookups90!$B$4:$B$999,lookups90!$G$4:$G$999,"",0)+_xlfn.XLOOKUP(E42,lookups90!$B$4:$B$999,lookups90!$H$4:$H$999,"",0)+_xlfn.XLOOKUP(E42,lookups90!$B$4:$B$999,lookups90!$H$4:$H$999,"",0))/4+_xlfn.XLOOKUP(E42,lookups90!$B$4:$B$999,lookups90!$I$4:$I$999,"",0)-_xlfn.XLOOKUP(E42,lookups90!$B$4:$B$999,lookups90!$BA$4:$BA$999,"",0))</f>
        <v/>
      </c>
      <c r="BX42" s="20" t="str">
        <f>IFERROR(IF(_xlfn.XLOOKUP(E42,lookups90!$B$4:$B$999,lookups90!$BI$4:$BI$999,"",0)=0,"",D42*_xlfn.XLOOKUP(E42,lookups90!$B$4:$B$999,lookups90!$BI$4:$BI$999,"",0)),"")</f>
        <v/>
      </c>
      <c r="BZ42" s="20" t="str">
        <f>IF(AL42&lt;&gt;"", AL42-_xlfn.XLOOKUP(E42,lookups90!$B$4:$B$999,lookups90!$BJ$4:$BJ$999,"",0),"")</f>
        <v/>
      </c>
      <c r="CA42" s="20" t="str">
        <f>IFERROR(IF(_xlfn.XLOOKUP(E42,lookups90!$B$4:$B$999,lookups90!$BK$4:$BK$999,"",0)=0,"",D42*_xlfn.XLOOKUP(E42,lookups90!$B$4:$B$999,lookups90!$BK$4:$BK$999,"",0)),"")</f>
        <v/>
      </c>
      <c r="CC42" s="20" t="str">
        <f>IF(C42&lt;&gt;"", T42-_xlfn.XLOOKUP(E42,lookups90!$B$4:$B$999,lookups90!$BO$4:$BO$999,"",0)-_xlfn.XLOOKUP(E42,lookups90!$B$4:$B$999,lookups90!$BP$4:$BP$999,"",0),"")</f>
        <v/>
      </c>
      <c r="CD42" s="20" t="str">
        <f>IF(C42&lt;&gt;"", X42-_xlfn.XLOOKUP(E42,lookups90!$B$4:$B$999,lookups90!$BQ$4:$BQ$999,"",0)-_xlfn.XLOOKUP(E42,lookups90!$B$4:$B$999,lookups90!$BR$4:$BR$999,"",0),"")</f>
        <v/>
      </c>
      <c r="CE42" s="20" t="str">
        <f>IFERROR(IF(_xlfn.XLOOKUP(E42,lookups90!$B$4:$B$999,lookups90!$BS$4:$BS$999,"",0)=0,"",D42*_xlfn.XLOOKUP(E42,lookups90!$B$4:$B$999,lookups90!$BS$4:$BS$999,"",0)),"")</f>
        <v/>
      </c>
      <c r="CF42" s="20" t="str">
        <f>IF(V42&lt;&gt;"", V42-_xlfn.XLOOKUP(E42,lookups90!$B$4:$B$999,lookups90!$BO$4:$BO$999,"",0)-_xlfn.XLOOKUP(E42,lookups90!$B$4:$B$999,lookups90!$BP$4:$BP$999,"",0),"")</f>
        <v/>
      </c>
      <c r="CG42" s="20" t="str">
        <f>IF(CF42&lt;&gt;"", X42-_xlfn.XLOOKUP(E42,lookups90!$B$4:$B$999,lookups90!$BQ$4:$BQ$999,"",0)-_xlfn.XLOOKUP(E42,lookups90!$B$4:$B$999,lookups90!$BR$4:$BR$999,"",0),"")</f>
        <v/>
      </c>
      <c r="CH42" s="20" t="str">
        <f>IFERROR(IF(_xlfn.XLOOKUP(E42,lookups90!$B$4:$B$999,lookups90!$BT$4:$BT$999,"",0)=0,"",D42*_xlfn.XLOOKUP(E42,lookups90!$B$4:$B$999,lookups90!$BT$4:$BT$999,"",0)),"")</f>
        <v/>
      </c>
      <c r="CJ42" s="22" t="str">
        <f t="shared" si="5"/>
        <v/>
      </c>
      <c r="CL42" s="22" t="str" cm="1">
        <f t="array" ref="CL42">IF(D42&lt;&gt;"",((((J42+K42)*2)/500)+(2*_xlfn.IFS(OR(E42="Fix Slide Window", E42="Slide Slide Window", E42="Fix Slide Slide Fix Window"), 2, E42="Slide Slide Door - with Screen", 8, E42&lt;&gt;"",4)))*D42,"")</f>
        <v/>
      </c>
      <c r="CM42" s="22" t="str">
        <f t="shared" si="9"/>
        <v/>
      </c>
      <c r="CN42" s="22" t="str">
        <f t="shared" si="10"/>
        <v/>
      </c>
      <c r="CO42" s="22" t="str">
        <f t="shared" si="8"/>
        <v/>
      </c>
      <c r="CP42" s="22" t="str">
        <f t="shared" si="0"/>
        <v/>
      </c>
    </row>
    <row r="43" spans="3:94" ht="13.5" customHeight="1" x14ac:dyDescent="0.25">
      <c r="C43" s="16"/>
      <c r="D43" s="16"/>
      <c r="E43" s="16"/>
      <c r="F43" s="16"/>
      <c r="G43" s="16"/>
      <c r="H43" s="16"/>
      <c r="I43" s="16"/>
      <c r="J43" s="16"/>
      <c r="K43" s="16"/>
      <c r="M43" s="20" t="str">
        <f t="shared" si="1"/>
        <v/>
      </c>
      <c r="N43" s="20" t="str" cm="1">
        <f t="array" ref="N43">IFERROR(_xlfn.IFS(OR(E43="Fix Awning (Vertical)", E43="Fix Awning (Horizontal)"), J43/2+20,C43&lt;&gt;"", J43+M43),"")</f>
        <v/>
      </c>
      <c r="O43" s="20" t="str">
        <f t="shared" si="2"/>
        <v/>
      </c>
      <c r="P43" s="20" t="str">
        <f t="shared" si="3"/>
        <v/>
      </c>
      <c r="Q43" s="20" t="str">
        <f t="shared" si="4"/>
        <v/>
      </c>
      <c r="S43" s="20" t="str">
        <f>IF(C43&lt;&gt;"", _xlfn.XLOOKUP(E43,lookups90!$B$4:$B$999,lookups90!$C$4:$C$999,"",0),"")</f>
        <v/>
      </c>
      <c r="T43" s="20" t="str">
        <f>IF(C43&lt;&gt;"", J43-_xlfn.XLOOKUP(E43,lookups90!$B$4:$B$999,lookups90!$D$4:$D$999, "",0),"")</f>
        <v/>
      </c>
      <c r="U43" s="20" t="str">
        <f>IF(T43&lt;&gt;"",D43*_xlfn.XLOOKUP(E43,lookups90!$B$4:$B$999,lookups90!$J$4:$J$999, "",0),"")</f>
        <v/>
      </c>
      <c r="V43" s="20" t="str">
        <f>IF(AND(C43&lt;&gt;"", E43&lt;&gt;"Slide Slide Window", E43&lt;&gt;"Slide Slide Door", E43&lt;&gt;"Slide Slide Door - with Screen"), J43-_xlfn.XLOOKUP(E43,lookups90!$B$4:$B$999,lookups90!$E$4:$E$999, "",0),"")</f>
        <v/>
      </c>
      <c r="W43" s="20" t="str">
        <f>IF(V43&lt;&gt;"",D43*_xlfn.XLOOKUP(E43,lookups90!$B$4:$B$999,lookups90!$K$4:$K$999, "",0),"")</f>
        <v/>
      </c>
      <c r="X43" s="20" t="str" cm="1">
        <f t="array" ref="X43">IFERROR(_xlfn.IFS(OR(E43="Fix Slide Window", E43="Slide Slide Window", E43="Fix Slide Door", E43="Slide Slide Door", E43="Fix Slide Door - with Screen", E43="Slide Slide Door - with Screen"), (K43-_xlfn.XLOOKUP(E43,lookups90!$B$4:$B$999,lookups90!$F$4:$F$999, "",0)-_xlfn.XLOOKUP(E43,lookups90!$B$4:$B$999,lookups90!$G$4:$G$999, "",0)+_xlfn.XLOOKUP(E43,lookups90!$B$4:$B$999,lookups90!$H$4:$H$999, "",0))/2+_xlfn.XLOOKUP(E43,lookups90!$B$4:$B$999,lookups90!$I$4:$I$999, "",0), OR(E43="Fix Slide Slide Fix Window", E43="Fix Slide Slide Fix Door - with Screen", E43="Fix Slide Slide Fix Door"),  (K43-_xlfn.XLOOKUP(E43,lookups90!$B$4:$B$999,lookups90!$F$4:$F$999, "",0)-_xlfn.XLOOKUP(E43,lookups90!$B$4:$B$999,lookups90!$G$4:$G$999, "",0)+_xlfn.XLOOKUP(E43,lookups90!$B$4:$B$999,lookups90!$H$4:$H$999, "",0)+_xlfn.XLOOKUP(E43,lookups90!$B$4:$B$999,lookups90!$H$4:$H$999, "",0))/4+_xlfn.XLOOKUP(E43,lookups90!$B$4:$B$999,lookups90!$I$4:$I$999, "",0), E43="Fix Slide Slide Door", (K43-_xlfn.XLOOKUP(E43,lookups90!$B$4:$B$999,lookups90!$F$4:$F$999, "",0)-_xlfn.XLOOKUP(E43,lookups90!$B$4:$B$999,lookups90!$G$4:$G$999, "",0)+_xlfn.XLOOKUP(E43,lookups90!$B$4:$B$999,lookups90!$H$4:$H$999, "",0)+_xlfn.XLOOKUP(E43,lookups90!$B$4:$B$999,lookups90!$H$4:$H$999, "",0))/3+_xlfn.XLOOKUP(E43,lookups90!$B$4:$B$999,lookups90!$I$4:$I$999, "",0),E43="Fix Slide Slide Slide Slide Fix Dr",  (K43-_xlfn.XLOOKUP(E43,lookups90!$B$4:$B$999,lookups90!$F$4:$F$999, "",0)-_xlfn.XLOOKUP(E43,lookups90!$B$4:$B$999,lookups90!$G$4:$G$999, "",0)+_xlfn.XLOOKUP(E43,lookups90!$B$4:$B$999,lookups90!$H$4:$H$999, "",0)+_xlfn.XLOOKUP(E43,lookups90!$B$4:$B$999,lookups90!$H$4:$H$999, "",0)+_xlfn.XLOOKUP(E43,lookups90!$B$4:$B$999,lookups90!$H$4:$H$999, "",0)+_xlfn.XLOOKUP(E43,lookups90!$B$4:$B$999,lookups90!$H$4:$H$999, "",0))/6+_xlfn.XLOOKUP(E43,lookups90!$B$4:$B$999,lookups90!$I$4:$I$999, "",0), E43="Fix Slide Slide Slide Slide Slide Slide Fix Dr",  (K43-_xlfn.XLOOKUP(E43,lookups90!$B$4:$B$999,lookups90!$F$4:$F$999, "",0)-_xlfn.XLOOKUP(E43,lookups90!$B$4:$B$999,lookups90!$G$4:$G$999, "",0)+_xlfn.XLOOKUP(E43,lookups90!$B$4:$B$999,lookups90!$H$4:$H$999, "",0)+_xlfn.XLOOKUP(E43,lookups90!$B$4:$B$999,lookups90!$H$4:$H$999, "",0)+_xlfn.XLOOKUP(E43,lookups90!$B$4:$B$999,lookups90!$H$4:$H$999, "",0)+_xlfn.XLOOKUP(E43,lookups90!$B$4:$B$999,lookups90!$H$4:$H$999, "",0)+_xlfn.XLOOKUP(E43,lookups90!$B$4:$B$999,lookups90!$H$4:$H$999, "",0)+_xlfn.XLOOKUP(E43,lookups90!$B$4:$B$999,lookups90!$H$4:$H$999, "",0))/8+_xlfn.XLOOKUP(E43,lookups90!$B$4:$B$999,lookups90!$I$4:$I$999, "",0)),"")</f>
        <v/>
      </c>
      <c r="Y43" s="20" t="str">
        <f>IF(X43&lt;&gt;"",D43*_xlfn.XLOOKUP(E43,lookups90!$B$4:$B$999,lookups90!$L$4:$L$999, "",0),"")</f>
        <v/>
      </c>
      <c r="AA43" s="20" t="str">
        <f>IF(C43&lt;&gt;"", IF(_xlfn.XLOOKUP(E43,lookups90!$B$4:$B$999,lookups90!$P$4:$P$999,"",0)=0,"",_xlfn.XLOOKUP(E43,lookups90!$B$4:$B$999,lookups90!$P$4:$P$999,"",0)),"")</f>
        <v/>
      </c>
      <c r="AB43" s="20" t="str">
        <f>IF(AA43&lt;&gt;"", J43-_xlfn.XLOOKUP(E43,lookups90!$B$4:$B$999,lookups90!$D$4:$D$999, "",0),"")</f>
        <v/>
      </c>
      <c r="AC43" s="20" t="str">
        <f>IF(AA43&lt;&gt;"",D43*_xlfn.XLOOKUP(E43,lookups90!$B$4:$B$999,lookups90!$Q$4:$Q$999, "",0),"")</f>
        <v/>
      </c>
      <c r="AD43" s="20" t="str" cm="1">
        <f t="array" ref="AD43">IF(AA43&lt;&gt;"", _xlfn.IFS(OR(E43="Fix Slide Window", E43="Slide Slide Window", E43="Fix Slide Door", E43="Slide Slide Door", E43="Fix Slide Door - with Screen", E43="Slide Slide Door - with Screen"), (K43-_xlfn.XLOOKUP(E43,lookups90!$B$4:$B$999,lookups90!$F$4:$F$999, "",0)-_xlfn.XLOOKUP(E43,lookups90!$B$4:$B$999,lookups90!$G$4:$G$999, "",0)+_xlfn.XLOOKUP(E43,lookups90!$B$4:$B$999,lookups90!$H$4:$H$999, "",0))/2+_xlfn.XLOOKUP(E43,lookups90!$B$4:$B$999,lookups90!$I$4:$I$999, "",0), OR(E43="Fix Slide Slide Fix Window", E43="Fix Slide Slide Fix Door - with Screen", E43="Fix Slide Slide Fix Door"),  (K43-_xlfn.XLOOKUP(E43,lookups90!$B$4:$B$999,lookups90!$F$4:$F$999, "",0)-_xlfn.XLOOKUP(E43,lookups90!$B$4:$B$999,lookups90!$G$4:$G$999, "",0)+_xlfn.XLOOKUP(E43,lookups90!$B$4:$B$999,lookups90!$H$4:$H$999, "",0)+_xlfn.XLOOKUP(E43,lookups90!$B$4:$B$999,lookups90!$H$4:$H$999, "",0))/4+_xlfn.XLOOKUP(E43,lookups90!$B$4:$B$999,lookups90!$I$4:$I$999, "",0), E43="Fix Slide Slide Door", (K43-_xlfn.XLOOKUP(E43,lookups90!$B$4:$B$999,lookups90!$F$4:$F$999, "",0)-_xlfn.XLOOKUP(E43,lookups90!$B$4:$B$999,lookups90!$G$4:$G$999, "",0)+_xlfn.XLOOKUP(E43,lookups90!$B$4:$B$999,lookups90!$H$4:$H$999, "",0)+_xlfn.XLOOKUP(E43,lookups90!$B$4:$B$999,lookups90!$H$4:$H$999, "",0))/3+_xlfn.XLOOKUP(E43,lookups90!$B$4:$B$999,lookups90!$I$4:$I$999, "",0) ),"")</f>
        <v/>
      </c>
      <c r="AE43" s="20" t="str">
        <f>IF(AA43&lt;&gt;"",D43*_xlfn.XLOOKUP(E43,lookups90!$B$4:$B$999,lookups90!$R$4:$R$999, "",0),"")</f>
        <v/>
      </c>
      <c r="AG43" s="20" t="str">
        <f>IF(AH43&lt;&gt;"", J43-_xlfn.XLOOKUP(E43,lookups90!$B$4:$B$999,lookups90!$D$4:$D$999, "",0),"")</f>
        <v/>
      </c>
      <c r="AH43" s="20" t="str">
        <f>IF(_xlfn.XLOOKUP(E43,lookups90!$B$4:$B$999,lookups90!$V$4:$V$999,"",0)=0,"",D43*_xlfn.XLOOKUP(E43,lookups90!$B$4:$B$999,lookups90!$V$4:$V$999,"",0))</f>
        <v/>
      </c>
      <c r="AI43" s="20" t="str" cm="1">
        <f t="array" ref="AI43">IF(AH43&lt;&gt;"", _xlfn.IFS(OR(E43="Fix Slide Window", E43="Slide Slide Window"), (K43-_xlfn.XLOOKUP(E43,lookups90!$B$4:$B$999,lookups90!$F$4:$F$999, "",0)-_xlfn.XLOOKUP(E43,lookups90!$B$4:$B$999,lookups90!$G$4:$G$999, "",0)+_xlfn.XLOOKUP(E43,lookups90!$B$4:$B$999,lookups90!$H$4:$H$999, "",0))/2+_xlfn.XLOOKUP(E43,lookups90!$B$4:$B$999,lookups90!$I$4:$I$999, "",0), OR(E43="Fix Slide Slide Fix Window"),  (K43-_xlfn.XLOOKUP(E43,lookups90!$B$4:$B$999,lookups90!$F$4:$F$999, "",0)+_xlfn.XLOOKUP(E43,lookups90!$B$4:$B$999,lookups90!$H$4:$H$999, "",0)+_xlfn.XLOOKUP(E43,lookups90!$B$4:$B$999,lookups90!$H$4:$H$999, "",0))/4+_xlfn.XLOOKUP(E43,lookups90!$B$4:$B$999,lookups90!$I$4:$I$999, "",0)),"")</f>
        <v/>
      </c>
      <c r="AJ43" s="20" t="str">
        <f>IF(_xlfn.XLOOKUP(E43,lookups90!$B$4:$B$999,lookups90!$V$4:$V$999,"",0)=0,"",D43*_xlfn.XLOOKUP(E43,lookups90!$B$4:$B$999,lookups90!$W$4:$W$999,"",0))</f>
        <v/>
      </c>
      <c r="AL43" s="20" t="str" cm="1">
        <f t="array" ref="AL43">IF(AM43&lt;&gt;"", _xlfn.IFS(OR(E43="Fix Slide Door - with Screen", E43="Slide Slide Door - with Screen"), (K43-_xlfn.XLOOKUP(E43,lookups90!$B$4:$B$999,lookups90!$F$4:$F$999, "",0)-_xlfn.XLOOKUP(E43,lookups90!$B$4:$B$999,lookups90!$G$4:$G$999, "",0)+_xlfn.XLOOKUP(E43,lookups90!$B$4:$B$999,lookups90!$H$4:$H$999, "",0))/2+_xlfn.XLOOKUP(E43,lookups90!$B$4:$B$999,lookups90!$I$4:$I$999, "",0), OR( E43="Fix Slide Slide Fix Door - with Screen",  E43="Fix Slide Slide Door"),  (K43-_xlfn.XLOOKUP(E43,lookups90!$B$4:$B$999,lookups90!$F$4:$F$999, "",0)-_xlfn.XLOOKUP(E43,lookups90!$B$4:$B$999,lookups90!$G$4:$G$999, "",0)+_xlfn.XLOOKUP(E43,lookups90!$B$4:$B$999,lookups90!$H$4:$H$999, "",0)+_xlfn.XLOOKUP(E43,lookups90!$B$4:$B$999,lookups90!$H$4:$H$999, "",0))/4+_xlfn.XLOOKUP(E43,lookups90!$B$4:$B$999,lookups90!$I$4:$I$999, "",0)),"")</f>
        <v/>
      </c>
      <c r="AM43" s="20" t="str">
        <f>IF(_xlfn.XLOOKUP(E43,lookups90!$B$4:$B$999,lookups90!$AA$4:$AA$999,"",0)=0,"",D43*_xlfn.XLOOKUP(E43,lookups90!$B$4:$B$999,lookups90!$AA$4:$AA$999,"",0))</f>
        <v/>
      </c>
      <c r="AO43" s="20" t="str">
        <f>IFERROR(IF(C43&lt;&gt;"", T43-_xlfn.XLOOKUP(E43,lookups90!$B$4:$B$999,lookups90!$AE$4:$AE$999, "",0),""),"")</f>
        <v/>
      </c>
      <c r="AP43" s="20" t="str">
        <f>IF(_xlfn.XLOOKUP(E43,lookups90!$B$4:$B$999,lookups90!$AG$4:$AG$999,"",0)=0,"",D43*_xlfn.XLOOKUP(E43,lookups90!$B$4:$B$999,lookups90!$AG$4:$AG$999,"",0))</f>
        <v/>
      </c>
      <c r="AQ43" s="20" t="str">
        <f>IF(V43&lt;&gt;"", T43-_xlfn.XLOOKUP(E43,lookups90!$B$4:$B$999,lookups90!$AE$4:$AE$999, "",0)+_xlfn.XLOOKUP(E43,lookups90!$B$4:$B$999,lookups90!$AF$4:$AF$999, "",0),"")</f>
        <v/>
      </c>
      <c r="AR43" s="20" t="str">
        <f>IFERROR(IF(_xlfn.XLOOKUP(E43,lookups90!$B$4:$B$999,lookups90!$AH$4:$AH$999,"",0)=0,"",D43*_xlfn.XLOOKUP(E43,lookups90!$B$4:$B$999,lookups90!$AH$4:$AH$999,"",0)),"")</f>
        <v/>
      </c>
      <c r="AT43" s="20" t="str">
        <f>IF(OR(E43="Fix Slide Slide Fix Window", E43="Fix Slide Slide Fix Door", E43="Fix Slide Slide Fix Door - with Screen", E43="Fix Slide Slide Door"), T43-_xlfn.XLOOKUP(E43,lookups90!$B$4:$B$999,lookups90!$AE$4:$AE$999,"",0),"")</f>
        <v/>
      </c>
      <c r="AU43" s="20" t="str">
        <f>IFERROR(IF(_xlfn.XLOOKUP(E43,lookups90!$B$4:$B$999,lookups90!$AL$4:$AL$999,"",0)=0,"",D43*_xlfn.XLOOKUP(E43,lookups90!$B$4:$B$999,lookups90!$AL$4:$AL$999,"",0)),"")</f>
        <v/>
      </c>
      <c r="AW43" s="20" t="str">
        <f>IF(C43&lt;&gt;"", T43-_xlfn.XLOOKUP(E43,lookups90!$B$4:$B$999,lookups90!$AP$4:$AP$999,"",0),"")</f>
        <v/>
      </c>
      <c r="AX43" s="20" t="str">
        <f>IFERROR(IF(_xlfn.XLOOKUP(E43,lookups90!$B$4:$B$999,lookups90!$AR$4:$AR$999,"",0)=0,"",D43*_xlfn.XLOOKUP(E43,lookups90!$B$4:$B$999,lookups90!$AR$4:$AR$999,"",0)),"")</f>
        <v/>
      </c>
      <c r="AY43" s="24" t="str">
        <f>IF(V43&lt;&gt;"", V43-_xlfn.XLOOKUP(E43,lookups90!$B$4:$B$999,lookups90!$AP$4:$AP$999,"",0),"")</f>
        <v/>
      </c>
      <c r="AZ43" s="20" t="str">
        <f>IFERROR(IF(_xlfn.XLOOKUP(E43,lookups90!$B$4:$B$999,lookups90!$AS$4:$AS$999,"",0)=0,"",D43*_xlfn.XLOOKUP(E43,lookups90!$B$4:$B$999,lookups90!$AS$4:$AS$999,"",0)),"")</f>
        <v/>
      </c>
      <c r="BA43" s="20" t="str">
        <f>IF(X43&lt;&gt;"", X43-_xlfn.XLOOKUP(E43,lookups90!$B$4:$B$999,lookups90!$AQ$4:$AQ$999,"",0),"")</f>
        <v/>
      </c>
      <c r="BB43" s="20" t="str">
        <f>IFERROR(IF(_xlfn.XLOOKUP(E43,lookups90!$B$4:$B$999,lookups90!$AT$4:$AT$999,"",0)=0,"",D43*_xlfn.XLOOKUP(E43,lookups90!$B$4:$B$999,lookups90!$AT$4:$AT$999,"",0)),"")</f>
        <v/>
      </c>
      <c r="BD43" s="20" t="str">
        <f>IF(C43&lt;&gt;"", N43-_xlfn.XLOOKUP(E43,lookups90!$B$4:$B$999,lookups90!$AX$4:$AX$999,"",0)+M43,"")</f>
        <v/>
      </c>
      <c r="BE43" s="20" t="str">
        <f>IFERROR(IF(_xlfn.XLOOKUP(E43,lookups90!$B$4:$B$999,lookups90!$AY$4:$AY$999,"",0)=0,"",D43*_xlfn.XLOOKUP(E43,lookups90!$B$4:$B$999,lookups90!$AY$4:$AY$999,"",0)),"")</f>
        <v/>
      </c>
      <c r="BF43" s="20" t="str">
        <f>IF(C43&lt;&gt;"", P43-_xlfn.XLOOKUP(E43,lookups90!$B$4:$B$999,lookups90!$AX$4:$AX$999,"",0)+M43,"")</f>
        <v/>
      </c>
      <c r="BG43" s="20" t="str">
        <f>IFERROR(IF(_xlfn.XLOOKUP(E43,lookups90!$B$4:$B$999,lookups90!$AZ$4:$AZ$999,"",0)=0,"",D43*_xlfn.XLOOKUP(E43,lookups90!$B$4:$B$999,lookups90!$AZ$4:$AZ$999,"",0)),"")</f>
        <v/>
      </c>
      <c r="BI43" s="20" t="str">
        <f>IF(C43&lt;&gt;"", T43-_xlfn.XLOOKUP(E43,lookups90!$B$4:$B$999,lookups90!$BA$4:$BA$999,"",0),"")</f>
        <v/>
      </c>
      <c r="BJ43" s="20" t="str">
        <f>IFERROR(IF(_xlfn.XLOOKUP(E43,lookups90!$B$4:$B$999,lookups90!$BB$4:$BB$999,"",0)=0,"",D43*_xlfn.XLOOKUP(E43,lookups90!$B$4:$B$999,lookups90!$BB$4:$BB$999,"",0)),"")</f>
        <v/>
      </c>
      <c r="BK43" s="20" t="str">
        <f>IF(V43&lt;&gt;"", V43-_xlfn.XLOOKUP(E43,lookups90!$B$4:$B$999,lookups90!$BA$4:$BA$999,"",0),"")</f>
        <v/>
      </c>
      <c r="BL43" s="20" t="str">
        <f>IFERROR(IF(_xlfn.XLOOKUP(E43,lookups90!$B$4:$B$999,lookups90!$BC$4:$BC$999,"",0)=0,"",D43*_xlfn.XLOOKUP(E43,lookups90!$B$4:$B$999,lookups90!$BC$4:$BC$999,"",0)),"")</f>
        <v/>
      </c>
      <c r="BM43" s="20" t="str">
        <f>IF(C43&lt;&gt;"", X43-_xlfn.XLOOKUP(E43,lookups90!$B$4:$B$999,lookups90!$BA$4:$BA$999,"",0),"")</f>
        <v/>
      </c>
      <c r="BN43" s="20" t="str">
        <f>IFERROR(IF(_xlfn.XLOOKUP(E43,lookups90!$B$4:$B$999,lookups90!$BD$4:$BD$999,"",0)=0,"",D43*_xlfn.XLOOKUP(E43,lookups90!$B$4:$B$999,lookups90!$BD$4:$BD$999,"",0)),"")</f>
        <v/>
      </c>
      <c r="BP43" s="20" t="str">
        <f>IF(AB43&lt;&gt;"", AB43-_xlfn.XLOOKUP(E43,lookups90!$B$4:$B$999,lookups90!$BE$4:$BE$999,"",0),"")</f>
        <v/>
      </c>
      <c r="BQ43" s="20" t="str">
        <f>IFERROR(IF(_xlfn.XLOOKUP(E43,lookups90!$B$4:$B$999,lookups90!$BF$4:$BF$999,"",0)=0,"",D43*_xlfn.XLOOKUP(E43,lookups90!$B$4:$B$999,lookups90!$BF$4:$BF$999,"",0)),"")</f>
        <v/>
      </c>
      <c r="BR43" s="20" t="str" cm="1">
        <f t="array" ref="BR43">_xlfn.IFS(BP43="","",OR(E43="Fix Slide Door - with Screen",E43="Slide Slide Door - with Screen"),(K43-_xlfn.XLOOKUP(E43,lookups90!$B$4:$B$999,lookups90!$F$4:$F$999,"",0)-_xlfn.XLOOKUP(E43,lookups90!$B$4:$B$999,lookups90!$G$4:$G$999,"",0)+_xlfn.XLOOKUP(E43,lookups90!$B$4:$B$999,lookups90!$H$4:$H$999,"",0))/2+_xlfn.XLOOKUP(E43,lookups90!$B$4:$B$999,lookups90!$I$4:$I$999,"",0)-_xlfn.XLOOKUP(E43,lookups90!$B$4:$B$999,lookups90!$BE$4:$BE$999,"",0), E43="Fix Slide Slide Fix Door - with Screen",(K43-_xlfn.XLOOKUP(E43,lookups90!$B$4:$B$999,lookups90!$F$4:$F$999,"",0)-_xlfn.XLOOKUP(E43,lookups90!$B$4:$B$999,lookups90!$G$4:$G$999,"",0)+_xlfn.XLOOKUP(E43,lookups90!$B$4:$B$999,lookups90!$H$4:$H$999,"",0)+_xlfn.XLOOKUP(E43,lookups90!$B$4:$B$999,lookups90!$H$4:$H$999,"",0))/4+_xlfn.XLOOKUP(E43,lookups90!$B$4:$B$999,lookups90!$I$4:$I$999,"",0)-_xlfn.XLOOKUP(E43,lookups90!$B$4:$B$999,lookups90!$BE$4:$BE$999,"",0))</f>
        <v/>
      </c>
      <c r="BS43" s="20" t="str">
        <f>IFERROR(IF(_xlfn.XLOOKUP(E43,lookups90!$B$4:$B$999,lookups90!$BG$4:$BG$999,"",0)=0,"",D43*_xlfn.XLOOKUP(E43,lookups90!$B$4:$B$999,lookups90!$BG$4:$BG$999,"",0)),"")</f>
        <v/>
      </c>
      <c r="BU43" s="20" t="str">
        <f>IF(AG43&lt;&gt;"",AG43-_xlfn.XLOOKUP(E43,lookups90!$B$4:$B$999,lookups90!$BA$4:$BA$999,"",0),"")</f>
        <v/>
      </c>
      <c r="BV43" s="20" t="str">
        <f>IFERROR(IF(_xlfn.XLOOKUP(E43,lookups90!$B$4:$B$999,lookups90!$BH$4:$BH$999,"",0)=0,"",D43*_xlfn.XLOOKUP(E43,lookups90!$B$4:$B$999,lookups90!$BH$4:$BH$999,"",0)),"")</f>
        <v/>
      </c>
      <c r="BW43" s="20" t="str" cm="1">
        <f t="array" ref="BW43">_xlfn.IFS(BU43="","",OR(E43="Fix Slide Window",E43="Slide Slide Window"),(K43-_xlfn.XLOOKUP(E43,lookups90!$B$4:$B$999,lookups90!$F$4:$F$999,"",0)-_xlfn.XLOOKUP(E43,lookups90!$B$4:$B$999,lookups90!$G$4:$G$999,"",0)+_xlfn.XLOOKUP(E43,lookups90!$B$4:$B$999,lookups90!$H$4:$H$999,"",0))/2+_xlfn.XLOOKUP(E43,lookups90!$B$4:$B$999,lookups90!$I$4:$I$999,"",0)-_xlfn.XLOOKUP(E43,lookups90!$B$4:$B$999,lookups90!$BA$4:$BA$999,"",0), E43="Fix Slide Slide Fix Window",(K43-_xlfn.XLOOKUP(E43,lookups90!$B$4:$B$999,lookups90!$F$4:$F$999,"",0)-_xlfn.XLOOKUP(E43,lookups90!$B$4:$B$999,lookups90!$G$4:$G$999,"",0)+_xlfn.XLOOKUP(E43,lookups90!$B$4:$B$999,lookups90!$H$4:$H$999,"",0)+_xlfn.XLOOKUP(E43,lookups90!$B$4:$B$999,lookups90!$H$4:$H$999,"",0))/4+_xlfn.XLOOKUP(E43,lookups90!$B$4:$B$999,lookups90!$I$4:$I$999,"",0)-_xlfn.XLOOKUP(E43,lookups90!$B$4:$B$999,lookups90!$BA$4:$BA$999,"",0))</f>
        <v/>
      </c>
      <c r="BX43" s="20" t="str">
        <f>IFERROR(IF(_xlfn.XLOOKUP(E43,lookups90!$B$4:$B$999,lookups90!$BI$4:$BI$999,"",0)=0,"",D43*_xlfn.XLOOKUP(E43,lookups90!$B$4:$B$999,lookups90!$BI$4:$BI$999,"",0)),"")</f>
        <v/>
      </c>
      <c r="BZ43" s="20" t="str">
        <f>IF(AL43&lt;&gt;"", AL43-_xlfn.XLOOKUP(E43,lookups90!$B$4:$B$999,lookups90!$BJ$4:$BJ$999,"",0),"")</f>
        <v/>
      </c>
      <c r="CA43" s="20" t="str">
        <f>IFERROR(IF(_xlfn.XLOOKUP(E43,lookups90!$B$4:$B$999,lookups90!$BK$4:$BK$999,"",0)=0,"",D43*_xlfn.XLOOKUP(E43,lookups90!$B$4:$B$999,lookups90!$BK$4:$BK$999,"",0)),"")</f>
        <v/>
      </c>
      <c r="CC43" s="20" t="str">
        <f>IF(C43&lt;&gt;"", T43-_xlfn.XLOOKUP(E43,lookups90!$B$4:$B$999,lookups90!$BO$4:$BO$999,"",0)-_xlfn.XLOOKUP(E43,lookups90!$B$4:$B$999,lookups90!$BP$4:$BP$999,"",0),"")</f>
        <v/>
      </c>
      <c r="CD43" s="20" t="str">
        <f>IF(C43&lt;&gt;"", X43-_xlfn.XLOOKUP(E43,lookups90!$B$4:$B$999,lookups90!$BQ$4:$BQ$999,"",0)-_xlfn.XLOOKUP(E43,lookups90!$B$4:$B$999,lookups90!$BR$4:$BR$999,"",0),"")</f>
        <v/>
      </c>
      <c r="CE43" s="20" t="str">
        <f>IFERROR(IF(_xlfn.XLOOKUP(E43,lookups90!$B$4:$B$999,lookups90!$BS$4:$BS$999,"",0)=0,"",D43*_xlfn.XLOOKUP(E43,lookups90!$B$4:$B$999,lookups90!$BS$4:$BS$999,"",0)),"")</f>
        <v/>
      </c>
      <c r="CF43" s="20" t="str">
        <f>IF(V43&lt;&gt;"", V43-_xlfn.XLOOKUP(E43,lookups90!$B$4:$B$999,lookups90!$BO$4:$BO$999,"",0)-_xlfn.XLOOKUP(E43,lookups90!$B$4:$B$999,lookups90!$BP$4:$BP$999,"",0),"")</f>
        <v/>
      </c>
      <c r="CG43" s="20" t="str">
        <f>IF(CF43&lt;&gt;"", X43-_xlfn.XLOOKUP(E43,lookups90!$B$4:$B$999,lookups90!$BQ$4:$BQ$999,"",0)-_xlfn.XLOOKUP(E43,lookups90!$B$4:$B$999,lookups90!$BR$4:$BR$999,"",0),"")</f>
        <v/>
      </c>
      <c r="CH43" s="20" t="str">
        <f>IFERROR(IF(_xlfn.XLOOKUP(E43,lookups90!$B$4:$B$999,lookups90!$BT$4:$BT$999,"",0)=0,"",D43*_xlfn.XLOOKUP(E43,lookups90!$B$4:$B$999,lookups90!$BT$4:$BT$999,"",0)),"")</f>
        <v/>
      </c>
      <c r="CJ43" s="22" t="str">
        <f t="shared" si="5"/>
        <v/>
      </c>
      <c r="CL43" s="22" t="str" cm="1">
        <f t="array" ref="CL43">IF(D43&lt;&gt;"",((((J43+K43)*2)/500)+(2*_xlfn.IFS(OR(E43="Fix Slide Window", E43="Slide Slide Window", E43="Fix Slide Slide Fix Window"), 2, E43="Slide Slide Door - with Screen", 8, E43&lt;&gt;"",4)))*D43,"")</f>
        <v/>
      </c>
      <c r="CM43" s="22" t="str">
        <f t="shared" si="9"/>
        <v/>
      </c>
      <c r="CN43" s="22" t="str">
        <f t="shared" si="10"/>
        <v/>
      </c>
      <c r="CO43" s="22" t="str">
        <f t="shared" si="8"/>
        <v/>
      </c>
      <c r="CP43" s="22" t="str">
        <f t="shared" si="0"/>
        <v/>
      </c>
    </row>
    <row r="44" spans="3:94" ht="13.5" customHeight="1" x14ac:dyDescent="0.25">
      <c r="C44" s="16"/>
      <c r="D44" s="16"/>
      <c r="E44" s="16"/>
      <c r="F44" s="16"/>
      <c r="G44" s="16"/>
      <c r="H44" s="16"/>
      <c r="I44" s="16"/>
      <c r="J44" s="16"/>
      <c r="K44" s="16"/>
      <c r="M44" s="20" t="str">
        <f t="shared" si="1"/>
        <v/>
      </c>
      <c r="N44" s="20" t="str" cm="1">
        <f t="array" ref="N44">IFERROR(_xlfn.IFS(OR(E44="Fix Awning (Vertical)", E44="Fix Awning (Horizontal)"), J44/2+20,C44&lt;&gt;"", J44+M44),"")</f>
        <v/>
      </c>
      <c r="O44" s="20" t="str">
        <f t="shared" si="2"/>
        <v/>
      </c>
      <c r="P44" s="20" t="str">
        <f t="shared" si="3"/>
        <v/>
      </c>
      <c r="Q44" s="20" t="str">
        <f t="shared" si="4"/>
        <v/>
      </c>
      <c r="S44" s="20" t="str">
        <f>IF(C44&lt;&gt;"", _xlfn.XLOOKUP(E44,lookups90!$B$4:$B$999,lookups90!$C$4:$C$999,"",0),"")</f>
        <v/>
      </c>
      <c r="T44" s="20" t="str">
        <f>IF(C44&lt;&gt;"", J44-_xlfn.XLOOKUP(E44,lookups90!$B$4:$B$999,lookups90!$D$4:$D$999, "",0),"")</f>
        <v/>
      </c>
      <c r="U44" s="20" t="str">
        <f>IF(T44&lt;&gt;"",D44*_xlfn.XLOOKUP(E44,lookups90!$B$4:$B$999,lookups90!$J$4:$J$999, "",0),"")</f>
        <v/>
      </c>
      <c r="V44" s="20" t="str">
        <f>IF(AND(C44&lt;&gt;"", E44&lt;&gt;"Slide Slide Window", E44&lt;&gt;"Slide Slide Door", E44&lt;&gt;"Slide Slide Door - with Screen"), J44-_xlfn.XLOOKUP(E44,lookups90!$B$4:$B$999,lookups90!$E$4:$E$999, "",0),"")</f>
        <v/>
      </c>
      <c r="W44" s="20" t="str">
        <f>IF(V44&lt;&gt;"",D44*_xlfn.XLOOKUP(E44,lookups90!$B$4:$B$999,lookups90!$K$4:$K$999, "",0),"")</f>
        <v/>
      </c>
      <c r="X44" s="20" t="str" cm="1">
        <f t="array" ref="X44">IFERROR(_xlfn.IFS(OR(E44="Fix Slide Window", E44="Slide Slide Window", E44="Fix Slide Door", E44="Slide Slide Door", E44="Fix Slide Door - with Screen", E44="Slide Slide Door - with Screen"), (K44-_xlfn.XLOOKUP(E44,lookups90!$B$4:$B$999,lookups90!$F$4:$F$999, "",0)-_xlfn.XLOOKUP(E44,lookups90!$B$4:$B$999,lookups90!$G$4:$G$999, "",0)+_xlfn.XLOOKUP(E44,lookups90!$B$4:$B$999,lookups90!$H$4:$H$999, "",0))/2+_xlfn.XLOOKUP(E44,lookups90!$B$4:$B$999,lookups90!$I$4:$I$999, "",0), OR(E44="Fix Slide Slide Fix Window", E44="Fix Slide Slide Fix Door - with Screen", E44="Fix Slide Slide Fix Door"),  (K44-_xlfn.XLOOKUP(E44,lookups90!$B$4:$B$999,lookups90!$F$4:$F$999, "",0)-_xlfn.XLOOKUP(E44,lookups90!$B$4:$B$999,lookups90!$G$4:$G$999, "",0)+_xlfn.XLOOKUP(E44,lookups90!$B$4:$B$999,lookups90!$H$4:$H$999, "",0)+_xlfn.XLOOKUP(E44,lookups90!$B$4:$B$999,lookups90!$H$4:$H$999, "",0))/4+_xlfn.XLOOKUP(E44,lookups90!$B$4:$B$999,lookups90!$I$4:$I$999, "",0), E44="Fix Slide Slide Door", (K44-_xlfn.XLOOKUP(E44,lookups90!$B$4:$B$999,lookups90!$F$4:$F$999, "",0)-_xlfn.XLOOKUP(E44,lookups90!$B$4:$B$999,lookups90!$G$4:$G$999, "",0)+_xlfn.XLOOKUP(E44,lookups90!$B$4:$B$999,lookups90!$H$4:$H$999, "",0)+_xlfn.XLOOKUP(E44,lookups90!$B$4:$B$999,lookups90!$H$4:$H$999, "",0))/3+_xlfn.XLOOKUP(E44,lookups90!$B$4:$B$999,lookups90!$I$4:$I$999, "",0),E44="Fix Slide Slide Slide Slide Fix Dr",  (K44-_xlfn.XLOOKUP(E44,lookups90!$B$4:$B$999,lookups90!$F$4:$F$999, "",0)-_xlfn.XLOOKUP(E44,lookups90!$B$4:$B$999,lookups90!$G$4:$G$999, "",0)+_xlfn.XLOOKUP(E44,lookups90!$B$4:$B$999,lookups90!$H$4:$H$999, "",0)+_xlfn.XLOOKUP(E44,lookups90!$B$4:$B$999,lookups90!$H$4:$H$999, "",0)+_xlfn.XLOOKUP(E44,lookups90!$B$4:$B$999,lookups90!$H$4:$H$999, "",0)+_xlfn.XLOOKUP(E44,lookups90!$B$4:$B$999,lookups90!$H$4:$H$999, "",0))/6+_xlfn.XLOOKUP(E44,lookups90!$B$4:$B$999,lookups90!$I$4:$I$999, "",0), E44="Fix Slide Slide Slide Slide Slide Slide Fix Dr",  (K44-_xlfn.XLOOKUP(E44,lookups90!$B$4:$B$999,lookups90!$F$4:$F$999, "",0)-_xlfn.XLOOKUP(E44,lookups90!$B$4:$B$999,lookups90!$G$4:$G$999, "",0)+_xlfn.XLOOKUP(E44,lookups90!$B$4:$B$999,lookups90!$H$4:$H$999, "",0)+_xlfn.XLOOKUP(E44,lookups90!$B$4:$B$999,lookups90!$H$4:$H$999, "",0)+_xlfn.XLOOKUP(E44,lookups90!$B$4:$B$999,lookups90!$H$4:$H$999, "",0)+_xlfn.XLOOKUP(E44,lookups90!$B$4:$B$999,lookups90!$H$4:$H$999, "",0)+_xlfn.XLOOKUP(E44,lookups90!$B$4:$B$999,lookups90!$H$4:$H$999, "",0)+_xlfn.XLOOKUP(E44,lookups90!$B$4:$B$999,lookups90!$H$4:$H$999, "",0))/8+_xlfn.XLOOKUP(E44,lookups90!$B$4:$B$999,lookups90!$I$4:$I$999, "",0)),"")</f>
        <v/>
      </c>
      <c r="Y44" s="20" t="str">
        <f>IF(X44&lt;&gt;"",D44*_xlfn.XLOOKUP(E44,lookups90!$B$4:$B$999,lookups90!$L$4:$L$999, "",0),"")</f>
        <v/>
      </c>
      <c r="AA44" s="20" t="str">
        <f>IF(C44&lt;&gt;"", IF(_xlfn.XLOOKUP(E44,lookups90!$B$4:$B$999,lookups90!$P$4:$P$999,"",0)=0,"",_xlfn.XLOOKUP(E44,lookups90!$B$4:$B$999,lookups90!$P$4:$P$999,"",0)),"")</f>
        <v/>
      </c>
      <c r="AB44" s="20" t="str">
        <f>IF(AA44&lt;&gt;"", J44-_xlfn.XLOOKUP(E44,lookups90!$B$4:$B$999,lookups90!$D$4:$D$999, "",0),"")</f>
        <v/>
      </c>
      <c r="AC44" s="20" t="str">
        <f>IF(AA44&lt;&gt;"",D44*_xlfn.XLOOKUP(E44,lookups90!$B$4:$B$999,lookups90!$Q$4:$Q$999, "",0),"")</f>
        <v/>
      </c>
      <c r="AD44" s="20" t="str" cm="1">
        <f t="array" ref="AD44">IF(AA44&lt;&gt;"", _xlfn.IFS(OR(E44="Fix Slide Window", E44="Slide Slide Window", E44="Fix Slide Door", E44="Slide Slide Door", E44="Fix Slide Door - with Screen", E44="Slide Slide Door - with Screen"), (K44-_xlfn.XLOOKUP(E44,lookups90!$B$4:$B$999,lookups90!$F$4:$F$999, "",0)-_xlfn.XLOOKUP(E44,lookups90!$B$4:$B$999,lookups90!$G$4:$G$999, "",0)+_xlfn.XLOOKUP(E44,lookups90!$B$4:$B$999,lookups90!$H$4:$H$999, "",0))/2+_xlfn.XLOOKUP(E44,lookups90!$B$4:$B$999,lookups90!$I$4:$I$999, "",0), OR(E44="Fix Slide Slide Fix Window", E44="Fix Slide Slide Fix Door - with Screen", E44="Fix Slide Slide Fix Door"),  (K44-_xlfn.XLOOKUP(E44,lookups90!$B$4:$B$999,lookups90!$F$4:$F$999, "",0)-_xlfn.XLOOKUP(E44,lookups90!$B$4:$B$999,lookups90!$G$4:$G$999, "",0)+_xlfn.XLOOKUP(E44,lookups90!$B$4:$B$999,lookups90!$H$4:$H$999, "",0)+_xlfn.XLOOKUP(E44,lookups90!$B$4:$B$999,lookups90!$H$4:$H$999, "",0))/4+_xlfn.XLOOKUP(E44,lookups90!$B$4:$B$999,lookups90!$I$4:$I$999, "",0), E44="Fix Slide Slide Door", (K44-_xlfn.XLOOKUP(E44,lookups90!$B$4:$B$999,lookups90!$F$4:$F$999, "",0)-_xlfn.XLOOKUP(E44,lookups90!$B$4:$B$999,lookups90!$G$4:$G$999, "",0)+_xlfn.XLOOKUP(E44,lookups90!$B$4:$B$999,lookups90!$H$4:$H$999, "",0)+_xlfn.XLOOKUP(E44,lookups90!$B$4:$B$999,lookups90!$H$4:$H$999, "",0))/3+_xlfn.XLOOKUP(E44,lookups90!$B$4:$B$999,lookups90!$I$4:$I$999, "",0) ),"")</f>
        <v/>
      </c>
      <c r="AE44" s="20" t="str">
        <f>IF(AA44&lt;&gt;"",D44*_xlfn.XLOOKUP(E44,lookups90!$B$4:$B$999,lookups90!$R$4:$R$999, "",0),"")</f>
        <v/>
      </c>
      <c r="AG44" s="20" t="str">
        <f>IF(AH44&lt;&gt;"", J44-_xlfn.XLOOKUP(E44,lookups90!$B$4:$B$999,lookups90!$D$4:$D$999, "",0),"")</f>
        <v/>
      </c>
      <c r="AH44" s="20" t="str">
        <f>IF(_xlfn.XLOOKUP(E44,lookups90!$B$4:$B$999,lookups90!$V$4:$V$999,"",0)=0,"",D44*_xlfn.XLOOKUP(E44,lookups90!$B$4:$B$999,lookups90!$V$4:$V$999,"",0))</f>
        <v/>
      </c>
      <c r="AI44" s="20" t="str" cm="1">
        <f t="array" ref="AI44">IF(AH44&lt;&gt;"", _xlfn.IFS(OR(E44="Fix Slide Window", E44="Slide Slide Window"), (K44-_xlfn.XLOOKUP(E44,lookups90!$B$4:$B$999,lookups90!$F$4:$F$999, "",0)-_xlfn.XLOOKUP(E44,lookups90!$B$4:$B$999,lookups90!$G$4:$G$999, "",0)+_xlfn.XLOOKUP(E44,lookups90!$B$4:$B$999,lookups90!$H$4:$H$999, "",0))/2+_xlfn.XLOOKUP(E44,lookups90!$B$4:$B$999,lookups90!$I$4:$I$999, "",0), OR(E44="Fix Slide Slide Fix Window"),  (K44-_xlfn.XLOOKUP(E44,lookups90!$B$4:$B$999,lookups90!$F$4:$F$999, "",0)+_xlfn.XLOOKUP(E44,lookups90!$B$4:$B$999,lookups90!$H$4:$H$999, "",0)+_xlfn.XLOOKUP(E44,lookups90!$B$4:$B$999,lookups90!$H$4:$H$999, "",0))/4+_xlfn.XLOOKUP(E44,lookups90!$B$4:$B$999,lookups90!$I$4:$I$999, "",0)),"")</f>
        <v/>
      </c>
      <c r="AJ44" s="20" t="str">
        <f>IF(_xlfn.XLOOKUP(E44,lookups90!$B$4:$B$999,lookups90!$V$4:$V$999,"",0)=0,"",D44*_xlfn.XLOOKUP(E44,lookups90!$B$4:$B$999,lookups90!$W$4:$W$999,"",0))</f>
        <v/>
      </c>
      <c r="AL44" s="20" t="str" cm="1">
        <f t="array" ref="AL44">IF(AM44&lt;&gt;"", _xlfn.IFS(OR(E44="Fix Slide Door - with Screen", E44="Slide Slide Door - with Screen"), (K44-_xlfn.XLOOKUP(E44,lookups90!$B$4:$B$999,lookups90!$F$4:$F$999, "",0)-_xlfn.XLOOKUP(E44,lookups90!$B$4:$B$999,lookups90!$G$4:$G$999, "",0)+_xlfn.XLOOKUP(E44,lookups90!$B$4:$B$999,lookups90!$H$4:$H$999, "",0))/2+_xlfn.XLOOKUP(E44,lookups90!$B$4:$B$999,lookups90!$I$4:$I$999, "",0), OR( E44="Fix Slide Slide Fix Door - with Screen",  E44="Fix Slide Slide Door"),  (K44-_xlfn.XLOOKUP(E44,lookups90!$B$4:$B$999,lookups90!$F$4:$F$999, "",0)-_xlfn.XLOOKUP(E44,lookups90!$B$4:$B$999,lookups90!$G$4:$G$999, "",0)+_xlfn.XLOOKUP(E44,lookups90!$B$4:$B$999,lookups90!$H$4:$H$999, "",0)+_xlfn.XLOOKUP(E44,lookups90!$B$4:$B$999,lookups90!$H$4:$H$999, "",0))/4+_xlfn.XLOOKUP(E44,lookups90!$B$4:$B$999,lookups90!$I$4:$I$999, "",0)),"")</f>
        <v/>
      </c>
      <c r="AM44" s="20" t="str">
        <f>IF(_xlfn.XLOOKUP(E44,lookups90!$B$4:$B$999,lookups90!$AA$4:$AA$999,"",0)=0,"",D44*_xlfn.XLOOKUP(E44,lookups90!$B$4:$B$999,lookups90!$AA$4:$AA$999,"",0))</f>
        <v/>
      </c>
      <c r="AO44" s="20" t="str">
        <f>IFERROR(IF(C44&lt;&gt;"", T44-_xlfn.XLOOKUP(E44,lookups90!$B$4:$B$999,lookups90!$AE$4:$AE$999, "",0),""),"")</f>
        <v/>
      </c>
      <c r="AP44" s="20" t="str">
        <f>IF(_xlfn.XLOOKUP(E44,lookups90!$B$4:$B$999,lookups90!$AG$4:$AG$999,"",0)=0,"",D44*_xlfn.XLOOKUP(E44,lookups90!$B$4:$B$999,lookups90!$AG$4:$AG$999,"",0))</f>
        <v/>
      </c>
      <c r="AQ44" s="20" t="str">
        <f>IF(V44&lt;&gt;"", T44-_xlfn.XLOOKUP(E44,lookups90!$B$4:$B$999,lookups90!$AE$4:$AE$999, "",0)+_xlfn.XLOOKUP(E44,lookups90!$B$4:$B$999,lookups90!$AF$4:$AF$999, "",0),"")</f>
        <v/>
      </c>
      <c r="AR44" s="20" t="str">
        <f>IFERROR(IF(_xlfn.XLOOKUP(E44,lookups90!$B$4:$B$999,lookups90!$AH$4:$AH$999,"",0)=0,"",D44*_xlfn.XLOOKUP(E44,lookups90!$B$4:$B$999,lookups90!$AH$4:$AH$999,"",0)),"")</f>
        <v/>
      </c>
      <c r="AT44" s="20" t="str">
        <f>IF(OR(E44="Fix Slide Slide Fix Window", E44="Fix Slide Slide Fix Door", E44="Fix Slide Slide Fix Door - with Screen", E44="Fix Slide Slide Door"), T44-_xlfn.XLOOKUP(E44,lookups90!$B$4:$B$999,lookups90!$AE$4:$AE$999,"",0),"")</f>
        <v/>
      </c>
      <c r="AU44" s="20" t="str">
        <f>IFERROR(IF(_xlfn.XLOOKUP(E44,lookups90!$B$4:$B$999,lookups90!$AL$4:$AL$999,"",0)=0,"",D44*_xlfn.XLOOKUP(E44,lookups90!$B$4:$B$999,lookups90!$AL$4:$AL$999,"",0)),"")</f>
        <v/>
      </c>
      <c r="AW44" s="20" t="str">
        <f>IF(C44&lt;&gt;"", T44-_xlfn.XLOOKUP(E44,lookups90!$B$4:$B$999,lookups90!$AP$4:$AP$999,"",0),"")</f>
        <v/>
      </c>
      <c r="AX44" s="20" t="str">
        <f>IFERROR(IF(_xlfn.XLOOKUP(E44,lookups90!$B$4:$B$999,lookups90!$AR$4:$AR$999,"",0)=0,"",D44*_xlfn.XLOOKUP(E44,lookups90!$B$4:$B$999,lookups90!$AR$4:$AR$999,"",0)),"")</f>
        <v/>
      </c>
      <c r="AY44" s="24" t="str">
        <f>IF(V44&lt;&gt;"", V44-_xlfn.XLOOKUP(E44,lookups90!$B$4:$B$999,lookups90!$AP$4:$AP$999,"",0),"")</f>
        <v/>
      </c>
      <c r="AZ44" s="20" t="str">
        <f>IFERROR(IF(_xlfn.XLOOKUP(E44,lookups90!$B$4:$B$999,lookups90!$AS$4:$AS$999,"",0)=0,"",D44*_xlfn.XLOOKUP(E44,lookups90!$B$4:$B$999,lookups90!$AS$4:$AS$999,"",0)),"")</f>
        <v/>
      </c>
      <c r="BA44" s="20" t="str">
        <f>IF(X44&lt;&gt;"", X44-_xlfn.XLOOKUP(E44,lookups90!$B$4:$B$999,lookups90!$AQ$4:$AQ$999,"",0),"")</f>
        <v/>
      </c>
      <c r="BB44" s="20" t="str">
        <f>IFERROR(IF(_xlfn.XLOOKUP(E44,lookups90!$B$4:$B$999,lookups90!$AT$4:$AT$999,"",0)=0,"",D44*_xlfn.XLOOKUP(E44,lookups90!$B$4:$B$999,lookups90!$AT$4:$AT$999,"",0)),"")</f>
        <v/>
      </c>
      <c r="BD44" s="20" t="str">
        <f>IF(C44&lt;&gt;"", N44-_xlfn.XLOOKUP(E44,lookups90!$B$4:$B$999,lookups90!$AX$4:$AX$999,"",0)+M44,"")</f>
        <v/>
      </c>
      <c r="BE44" s="20" t="str">
        <f>IFERROR(IF(_xlfn.XLOOKUP(E44,lookups90!$B$4:$B$999,lookups90!$AY$4:$AY$999,"",0)=0,"",D44*_xlfn.XLOOKUP(E44,lookups90!$B$4:$B$999,lookups90!$AY$4:$AY$999,"",0)),"")</f>
        <v/>
      </c>
      <c r="BF44" s="20" t="str">
        <f>IF(C44&lt;&gt;"", P44-_xlfn.XLOOKUP(E44,lookups90!$B$4:$B$999,lookups90!$AX$4:$AX$999,"",0)+M44,"")</f>
        <v/>
      </c>
      <c r="BG44" s="20" t="str">
        <f>IFERROR(IF(_xlfn.XLOOKUP(E44,lookups90!$B$4:$B$999,lookups90!$AZ$4:$AZ$999,"",0)=0,"",D44*_xlfn.XLOOKUP(E44,lookups90!$B$4:$B$999,lookups90!$AZ$4:$AZ$999,"",0)),"")</f>
        <v/>
      </c>
      <c r="BI44" s="20" t="str">
        <f>IF(C44&lt;&gt;"", T44-_xlfn.XLOOKUP(E44,lookups90!$B$4:$B$999,lookups90!$BA$4:$BA$999,"",0),"")</f>
        <v/>
      </c>
      <c r="BJ44" s="20" t="str">
        <f>IFERROR(IF(_xlfn.XLOOKUP(E44,lookups90!$B$4:$B$999,lookups90!$BB$4:$BB$999,"",0)=0,"",D44*_xlfn.XLOOKUP(E44,lookups90!$B$4:$B$999,lookups90!$BB$4:$BB$999,"",0)),"")</f>
        <v/>
      </c>
      <c r="BK44" s="20" t="str">
        <f>IF(V44&lt;&gt;"", V44-_xlfn.XLOOKUP(E44,lookups90!$B$4:$B$999,lookups90!$BA$4:$BA$999,"",0),"")</f>
        <v/>
      </c>
      <c r="BL44" s="20" t="str">
        <f>IFERROR(IF(_xlfn.XLOOKUP(E44,lookups90!$B$4:$B$999,lookups90!$BC$4:$BC$999,"",0)=0,"",D44*_xlfn.XLOOKUP(E44,lookups90!$B$4:$B$999,lookups90!$BC$4:$BC$999,"",0)),"")</f>
        <v/>
      </c>
      <c r="BM44" s="20" t="str">
        <f>IF(C44&lt;&gt;"", X44-_xlfn.XLOOKUP(E44,lookups90!$B$4:$B$999,lookups90!$BA$4:$BA$999,"",0),"")</f>
        <v/>
      </c>
      <c r="BN44" s="20" t="str">
        <f>IFERROR(IF(_xlfn.XLOOKUP(E44,lookups90!$B$4:$B$999,lookups90!$BD$4:$BD$999,"",0)=0,"",D44*_xlfn.XLOOKUP(E44,lookups90!$B$4:$B$999,lookups90!$BD$4:$BD$999,"",0)),"")</f>
        <v/>
      </c>
      <c r="BP44" s="20" t="str">
        <f>IF(AB44&lt;&gt;"", AB44-_xlfn.XLOOKUP(E44,lookups90!$B$4:$B$999,lookups90!$BE$4:$BE$999,"",0),"")</f>
        <v/>
      </c>
      <c r="BQ44" s="20" t="str">
        <f>IFERROR(IF(_xlfn.XLOOKUP(E44,lookups90!$B$4:$B$999,lookups90!$BF$4:$BF$999,"",0)=0,"",D44*_xlfn.XLOOKUP(E44,lookups90!$B$4:$B$999,lookups90!$BF$4:$BF$999,"",0)),"")</f>
        <v/>
      </c>
      <c r="BR44" s="20" t="str" cm="1">
        <f t="array" ref="BR44">_xlfn.IFS(BP44="","",OR(E44="Fix Slide Door - with Screen",E44="Slide Slide Door - with Screen"),(K44-_xlfn.XLOOKUP(E44,lookups90!$B$4:$B$999,lookups90!$F$4:$F$999,"",0)-_xlfn.XLOOKUP(E44,lookups90!$B$4:$B$999,lookups90!$G$4:$G$999,"",0)+_xlfn.XLOOKUP(E44,lookups90!$B$4:$B$999,lookups90!$H$4:$H$999,"",0))/2+_xlfn.XLOOKUP(E44,lookups90!$B$4:$B$999,lookups90!$I$4:$I$999,"",0)-_xlfn.XLOOKUP(E44,lookups90!$B$4:$B$999,lookups90!$BE$4:$BE$999,"",0), E44="Fix Slide Slide Fix Door - with Screen",(K44-_xlfn.XLOOKUP(E44,lookups90!$B$4:$B$999,lookups90!$F$4:$F$999,"",0)-_xlfn.XLOOKUP(E44,lookups90!$B$4:$B$999,lookups90!$G$4:$G$999,"",0)+_xlfn.XLOOKUP(E44,lookups90!$B$4:$B$999,lookups90!$H$4:$H$999,"",0)+_xlfn.XLOOKUP(E44,lookups90!$B$4:$B$999,lookups90!$H$4:$H$999,"",0))/4+_xlfn.XLOOKUP(E44,lookups90!$B$4:$B$999,lookups90!$I$4:$I$999,"",0)-_xlfn.XLOOKUP(E44,lookups90!$B$4:$B$999,lookups90!$BE$4:$BE$999,"",0))</f>
        <v/>
      </c>
      <c r="BS44" s="20" t="str">
        <f>IFERROR(IF(_xlfn.XLOOKUP(E44,lookups90!$B$4:$B$999,lookups90!$BG$4:$BG$999,"",0)=0,"",D44*_xlfn.XLOOKUP(E44,lookups90!$B$4:$B$999,lookups90!$BG$4:$BG$999,"",0)),"")</f>
        <v/>
      </c>
      <c r="BU44" s="20" t="str">
        <f>IF(AG44&lt;&gt;"",AG44-_xlfn.XLOOKUP(E44,lookups90!$B$4:$B$999,lookups90!$BA$4:$BA$999,"",0),"")</f>
        <v/>
      </c>
      <c r="BV44" s="20" t="str">
        <f>IFERROR(IF(_xlfn.XLOOKUP(E44,lookups90!$B$4:$B$999,lookups90!$BH$4:$BH$999,"",0)=0,"",D44*_xlfn.XLOOKUP(E44,lookups90!$B$4:$B$999,lookups90!$BH$4:$BH$999,"",0)),"")</f>
        <v/>
      </c>
      <c r="BW44" s="20" t="str" cm="1">
        <f t="array" ref="BW44">_xlfn.IFS(BU44="","",OR(E44="Fix Slide Window",E44="Slide Slide Window"),(K44-_xlfn.XLOOKUP(E44,lookups90!$B$4:$B$999,lookups90!$F$4:$F$999,"",0)-_xlfn.XLOOKUP(E44,lookups90!$B$4:$B$999,lookups90!$G$4:$G$999,"",0)+_xlfn.XLOOKUP(E44,lookups90!$B$4:$B$999,lookups90!$H$4:$H$999,"",0))/2+_xlfn.XLOOKUP(E44,lookups90!$B$4:$B$999,lookups90!$I$4:$I$999,"",0)-_xlfn.XLOOKUP(E44,lookups90!$B$4:$B$999,lookups90!$BA$4:$BA$999,"",0), E44="Fix Slide Slide Fix Window",(K44-_xlfn.XLOOKUP(E44,lookups90!$B$4:$B$999,lookups90!$F$4:$F$999,"",0)-_xlfn.XLOOKUP(E44,lookups90!$B$4:$B$999,lookups90!$G$4:$G$999,"",0)+_xlfn.XLOOKUP(E44,lookups90!$B$4:$B$999,lookups90!$H$4:$H$999,"",0)+_xlfn.XLOOKUP(E44,lookups90!$B$4:$B$999,lookups90!$H$4:$H$999,"",0))/4+_xlfn.XLOOKUP(E44,lookups90!$B$4:$B$999,lookups90!$I$4:$I$999,"",0)-_xlfn.XLOOKUP(E44,lookups90!$B$4:$B$999,lookups90!$BA$4:$BA$999,"",0))</f>
        <v/>
      </c>
      <c r="BX44" s="20" t="str">
        <f>IFERROR(IF(_xlfn.XLOOKUP(E44,lookups90!$B$4:$B$999,lookups90!$BI$4:$BI$999,"",0)=0,"",D44*_xlfn.XLOOKUP(E44,lookups90!$B$4:$B$999,lookups90!$BI$4:$BI$999,"",0)),"")</f>
        <v/>
      </c>
      <c r="BZ44" s="20" t="str">
        <f>IF(AL44&lt;&gt;"", AL44-_xlfn.XLOOKUP(E44,lookups90!$B$4:$B$999,lookups90!$BJ$4:$BJ$999,"",0),"")</f>
        <v/>
      </c>
      <c r="CA44" s="20" t="str">
        <f>IFERROR(IF(_xlfn.XLOOKUP(E44,lookups90!$B$4:$B$999,lookups90!$BK$4:$BK$999,"",0)=0,"",D44*_xlfn.XLOOKUP(E44,lookups90!$B$4:$B$999,lookups90!$BK$4:$BK$999,"",0)),"")</f>
        <v/>
      </c>
      <c r="CC44" s="20" t="str">
        <f>IF(C44&lt;&gt;"", T44-_xlfn.XLOOKUP(E44,lookups90!$B$4:$B$999,lookups90!$BO$4:$BO$999,"",0)-_xlfn.XLOOKUP(E44,lookups90!$B$4:$B$999,lookups90!$BP$4:$BP$999,"",0),"")</f>
        <v/>
      </c>
      <c r="CD44" s="20" t="str">
        <f>IF(C44&lt;&gt;"", X44-_xlfn.XLOOKUP(E44,lookups90!$B$4:$B$999,lookups90!$BQ$4:$BQ$999,"",0)-_xlfn.XLOOKUP(E44,lookups90!$B$4:$B$999,lookups90!$BR$4:$BR$999,"",0),"")</f>
        <v/>
      </c>
      <c r="CE44" s="20" t="str">
        <f>IFERROR(IF(_xlfn.XLOOKUP(E44,lookups90!$B$4:$B$999,lookups90!$BS$4:$BS$999,"",0)=0,"",D44*_xlfn.XLOOKUP(E44,lookups90!$B$4:$B$999,lookups90!$BS$4:$BS$999,"",0)),"")</f>
        <v/>
      </c>
      <c r="CF44" s="20" t="str">
        <f>IF(V44&lt;&gt;"", V44-_xlfn.XLOOKUP(E44,lookups90!$B$4:$B$999,lookups90!$BO$4:$BO$999,"",0)-_xlfn.XLOOKUP(E44,lookups90!$B$4:$B$999,lookups90!$BP$4:$BP$999,"",0),"")</f>
        <v/>
      </c>
      <c r="CG44" s="20" t="str">
        <f>IF(CF44&lt;&gt;"", X44-_xlfn.XLOOKUP(E44,lookups90!$B$4:$B$999,lookups90!$BQ$4:$BQ$999,"",0)-_xlfn.XLOOKUP(E44,lookups90!$B$4:$B$999,lookups90!$BR$4:$BR$999,"",0),"")</f>
        <v/>
      </c>
      <c r="CH44" s="20" t="str">
        <f>IFERROR(IF(_xlfn.XLOOKUP(E44,lookups90!$B$4:$B$999,lookups90!$BT$4:$BT$999,"",0)=0,"",D44*_xlfn.XLOOKUP(E44,lookups90!$B$4:$B$999,lookups90!$BT$4:$BT$999,"",0)),"")</f>
        <v/>
      </c>
      <c r="CJ44" s="22" t="str">
        <f t="shared" si="5"/>
        <v/>
      </c>
      <c r="CL44" s="22" t="str" cm="1">
        <f t="array" ref="CL44">IF(D44&lt;&gt;"",((((J44+K44)*2)/500)+(2*_xlfn.IFS(OR(E44="Fix Slide Window", E44="Slide Slide Window", E44="Fix Slide Slide Fix Window"), 2, E44="Slide Slide Door - with Screen", 8, E44&lt;&gt;"",4)))*D44,"")</f>
        <v/>
      </c>
      <c r="CM44" s="22" t="str">
        <f t="shared" si="9"/>
        <v/>
      </c>
      <c r="CN44" s="22" t="str">
        <f t="shared" si="10"/>
        <v/>
      </c>
      <c r="CO44" s="22" t="str">
        <f t="shared" si="8"/>
        <v/>
      </c>
      <c r="CP44" s="22" t="str">
        <f t="shared" si="0"/>
        <v/>
      </c>
    </row>
    <row r="45" spans="3:94" ht="13.5" customHeight="1" x14ac:dyDescent="0.25">
      <c r="C45" s="16"/>
      <c r="D45" s="16"/>
      <c r="E45" s="16"/>
      <c r="F45" s="16"/>
      <c r="G45" s="16"/>
      <c r="H45" s="16"/>
      <c r="I45" s="16"/>
      <c r="J45" s="16"/>
      <c r="K45" s="16"/>
      <c r="M45" s="20" t="str">
        <f t="shared" si="1"/>
        <v/>
      </c>
      <c r="N45" s="20" t="str" cm="1">
        <f t="array" ref="N45">IFERROR(_xlfn.IFS(OR(E45="Fix Awning (Vertical)", E45="Fix Awning (Horizontal)"), J45/2+20,C45&lt;&gt;"", J45+M45),"")</f>
        <v/>
      </c>
      <c r="O45" s="20" t="str">
        <f t="shared" si="2"/>
        <v/>
      </c>
      <c r="P45" s="20" t="str">
        <f t="shared" si="3"/>
        <v/>
      </c>
      <c r="Q45" s="20" t="str">
        <f t="shared" si="4"/>
        <v/>
      </c>
      <c r="S45" s="20" t="str">
        <f>IF(C45&lt;&gt;"", _xlfn.XLOOKUP(E45,lookups90!$B$4:$B$999,lookups90!$C$4:$C$999,"",0),"")</f>
        <v/>
      </c>
      <c r="T45" s="20" t="str">
        <f>IF(C45&lt;&gt;"", J45-_xlfn.XLOOKUP(E45,lookups90!$B$4:$B$999,lookups90!$D$4:$D$999, "",0),"")</f>
        <v/>
      </c>
      <c r="U45" s="20" t="str">
        <f>IF(T45&lt;&gt;"",D45*_xlfn.XLOOKUP(E45,lookups90!$B$4:$B$999,lookups90!$J$4:$J$999, "",0),"")</f>
        <v/>
      </c>
      <c r="V45" s="20" t="str">
        <f>IF(AND(C45&lt;&gt;"", E45&lt;&gt;"Slide Slide Window", E45&lt;&gt;"Slide Slide Door", E45&lt;&gt;"Slide Slide Door - with Screen"), J45-_xlfn.XLOOKUP(E45,lookups90!$B$4:$B$999,lookups90!$E$4:$E$999, "",0),"")</f>
        <v/>
      </c>
      <c r="W45" s="20" t="str">
        <f>IF(V45&lt;&gt;"",D45*_xlfn.XLOOKUP(E45,lookups90!$B$4:$B$999,lookups90!$K$4:$K$999, "",0),"")</f>
        <v/>
      </c>
      <c r="X45" s="20" t="str" cm="1">
        <f t="array" ref="X45">IFERROR(_xlfn.IFS(OR(E45="Fix Slide Window", E45="Slide Slide Window", E45="Fix Slide Door", E45="Slide Slide Door", E45="Fix Slide Door - with Screen", E45="Slide Slide Door - with Screen"), (K45-_xlfn.XLOOKUP(E45,lookups90!$B$4:$B$999,lookups90!$F$4:$F$999, "",0)-_xlfn.XLOOKUP(E45,lookups90!$B$4:$B$999,lookups90!$G$4:$G$999, "",0)+_xlfn.XLOOKUP(E45,lookups90!$B$4:$B$999,lookups90!$H$4:$H$999, "",0))/2+_xlfn.XLOOKUP(E45,lookups90!$B$4:$B$999,lookups90!$I$4:$I$999, "",0), OR(E45="Fix Slide Slide Fix Window", E45="Fix Slide Slide Fix Door - with Screen", E45="Fix Slide Slide Fix Door"),  (K45-_xlfn.XLOOKUP(E45,lookups90!$B$4:$B$999,lookups90!$F$4:$F$999, "",0)-_xlfn.XLOOKUP(E45,lookups90!$B$4:$B$999,lookups90!$G$4:$G$999, "",0)+_xlfn.XLOOKUP(E45,lookups90!$B$4:$B$999,lookups90!$H$4:$H$999, "",0)+_xlfn.XLOOKUP(E45,lookups90!$B$4:$B$999,lookups90!$H$4:$H$999, "",0))/4+_xlfn.XLOOKUP(E45,lookups90!$B$4:$B$999,lookups90!$I$4:$I$999, "",0), E45="Fix Slide Slide Door", (K45-_xlfn.XLOOKUP(E45,lookups90!$B$4:$B$999,lookups90!$F$4:$F$999, "",0)-_xlfn.XLOOKUP(E45,lookups90!$B$4:$B$999,lookups90!$G$4:$G$999, "",0)+_xlfn.XLOOKUP(E45,lookups90!$B$4:$B$999,lookups90!$H$4:$H$999, "",0)+_xlfn.XLOOKUP(E45,lookups90!$B$4:$B$999,lookups90!$H$4:$H$999, "",0))/3+_xlfn.XLOOKUP(E45,lookups90!$B$4:$B$999,lookups90!$I$4:$I$999, "",0),E45="Fix Slide Slide Slide Slide Fix Dr",  (K45-_xlfn.XLOOKUP(E45,lookups90!$B$4:$B$999,lookups90!$F$4:$F$999, "",0)-_xlfn.XLOOKUP(E45,lookups90!$B$4:$B$999,lookups90!$G$4:$G$999, "",0)+_xlfn.XLOOKUP(E45,lookups90!$B$4:$B$999,lookups90!$H$4:$H$999, "",0)+_xlfn.XLOOKUP(E45,lookups90!$B$4:$B$999,lookups90!$H$4:$H$999, "",0)+_xlfn.XLOOKUP(E45,lookups90!$B$4:$B$999,lookups90!$H$4:$H$999, "",0)+_xlfn.XLOOKUP(E45,lookups90!$B$4:$B$999,lookups90!$H$4:$H$999, "",0))/6+_xlfn.XLOOKUP(E45,lookups90!$B$4:$B$999,lookups90!$I$4:$I$999, "",0), E45="Fix Slide Slide Slide Slide Slide Slide Fix Dr",  (K45-_xlfn.XLOOKUP(E45,lookups90!$B$4:$B$999,lookups90!$F$4:$F$999, "",0)-_xlfn.XLOOKUP(E45,lookups90!$B$4:$B$999,lookups90!$G$4:$G$999, "",0)+_xlfn.XLOOKUP(E45,lookups90!$B$4:$B$999,lookups90!$H$4:$H$999, "",0)+_xlfn.XLOOKUP(E45,lookups90!$B$4:$B$999,lookups90!$H$4:$H$999, "",0)+_xlfn.XLOOKUP(E45,lookups90!$B$4:$B$999,lookups90!$H$4:$H$999, "",0)+_xlfn.XLOOKUP(E45,lookups90!$B$4:$B$999,lookups90!$H$4:$H$999, "",0)+_xlfn.XLOOKUP(E45,lookups90!$B$4:$B$999,lookups90!$H$4:$H$999, "",0)+_xlfn.XLOOKUP(E45,lookups90!$B$4:$B$999,lookups90!$H$4:$H$999, "",0))/8+_xlfn.XLOOKUP(E45,lookups90!$B$4:$B$999,lookups90!$I$4:$I$999, "",0)),"")</f>
        <v/>
      </c>
      <c r="Y45" s="20" t="str">
        <f>IF(X45&lt;&gt;"",D45*_xlfn.XLOOKUP(E45,lookups90!$B$4:$B$999,lookups90!$L$4:$L$999, "",0),"")</f>
        <v/>
      </c>
      <c r="AA45" s="20" t="str">
        <f>IF(C45&lt;&gt;"", IF(_xlfn.XLOOKUP(E45,lookups90!$B$4:$B$999,lookups90!$P$4:$P$999,"",0)=0,"",_xlfn.XLOOKUP(E45,lookups90!$B$4:$B$999,lookups90!$P$4:$P$999,"",0)),"")</f>
        <v/>
      </c>
      <c r="AB45" s="20" t="str">
        <f>IF(AA45&lt;&gt;"", J45-_xlfn.XLOOKUP(E45,lookups90!$B$4:$B$999,lookups90!$D$4:$D$999, "",0),"")</f>
        <v/>
      </c>
      <c r="AC45" s="20" t="str">
        <f>IF(AA45&lt;&gt;"",D45*_xlfn.XLOOKUP(E45,lookups90!$B$4:$B$999,lookups90!$Q$4:$Q$999, "",0),"")</f>
        <v/>
      </c>
      <c r="AD45" s="20" t="str" cm="1">
        <f t="array" ref="AD45">IF(AA45&lt;&gt;"", _xlfn.IFS(OR(E45="Fix Slide Window", E45="Slide Slide Window", E45="Fix Slide Door", E45="Slide Slide Door", E45="Fix Slide Door - with Screen", E45="Slide Slide Door - with Screen"), (K45-_xlfn.XLOOKUP(E45,lookups90!$B$4:$B$999,lookups90!$F$4:$F$999, "",0)-_xlfn.XLOOKUP(E45,lookups90!$B$4:$B$999,lookups90!$G$4:$G$999, "",0)+_xlfn.XLOOKUP(E45,lookups90!$B$4:$B$999,lookups90!$H$4:$H$999, "",0))/2+_xlfn.XLOOKUP(E45,lookups90!$B$4:$B$999,lookups90!$I$4:$I$999, "",0), OR(E45="Fix Slide Slide Fix Window", E45="Fix Slide Slide Fix Door - with Screen", E45="Fix Slide Slide Fix Door"),  (K45-_xlfn.XLOOKUP(E45,lookups90!$B$4:$B$999,lookups90!$F$4:$F$999, "",0)-_xlfn.XLOOKUP(E45,lookups90!$B$4:$B$999,lookups90!$G$4:$G$999, "",0)+_xlfn.XLOOKUP(E45,lookups90!$B$4:$B$999,lookups90!$H$4:$H$999, "",0)+_xlfn.XLOOKUP(E45,lookups90!$B$4:$B$999,lookups90!$H$4:$H$999, "",0))/4+_xlfn.XLOOKUP(E45,lookups90!$B$4:$B$999,lookups90!$I$4:$I$999, "",0), E45="Fix Slide Slide Door", (K45-_xlfn.XLOOKUP(E45,lookups90!$B$4:$B$999,lookups90!$F$4:$F$999, "",0)-_xlfn.XLOOKUP(E45,lookups90!$B$4:$B$999,lookups90!$G$4:$G$999, "",0)+_xlfn.XLOOKUP(E45,lookups90!$B$4:$B$999,lookups90!$H$4:$H$999, "",0)+_xlfn.XLOOKUP(E45,lookups90!$B$4:$B$999,lookups90!$H$4:$H$999, "",0))/3+_xlfn.XLOOKUP(E45,lookups90!$B$4:$B$999,lookups90!$I$4:$I$999, "",0) ),"")</f>
        <v/>
      </c>
      <c r="AE45" s="20" t="str">
        <f>IF(AA45&lt;&gt;"",D45*_xlfn.XLOOKUP(E45,lookups90!$B$4:$B$999,lookups90!$R$4:$R$999, "",0),"")</f>
        <v/>
      </c>
      <c r="AG45" s="20" t="str">
        <f>IF(AH45&lt;&gt;"", J45-_xlfn.XLOOKUP(E45,lookups90!$B$4:$B$999,lookups90!$D$4:$D$999, "",0),"")</f>
        <v/>
      </c>
      <c r="AH45" s="20" t="str">
        <f>IF(_xlfn.XLOOKUP(E45,lookups90!$B$4:$B$999,lookups90!$V$4:$V$999,"",0)=0,"",D45*_xlfn.XLOOKUP(E45,lookups90!$B$4:$B$999,lookups90!$V$4:$V$999,"",0))</f>
        <v/>
      </c>
      <c r="AI45" s="20" t="str" cm="1">
        <f t="array" ref="AI45">IF(AH45&lt;&gt;"", _xlfn.IFS(OR(E45="Fix Slide Window", E45="Slide Slide Window"), (K45-_xlfn.XLOOKUP(E45,lookups90!$B$4:$B$999,lookups90!$F$4:$F$999, "",0)-_xlfn.XLOOKUP(E45,lookups90!$B$4:$B$999,lookups90!$G$4:$G$999, "",0)+_xlfn.XLOOKUP(E45,lookups90!$B$4:$B$999,lookups90!$H$4:$H$999, "",0))/2+_xlfn.XLOOKUP(E45,lookups90!$B$4:$B$999,lookups90!$I$4:$I$999, "",0), OR(E45="Fix Slide Slide Fix Window"),  (K45-_xlfn.XLOOKUP(E45,lookups90!$B$4:$B$999,lookups90!$F$4:$F$999, "",0)+_xlfn.XLOOKUP(E45,lookups90!$B$4:$B$999,lookups90!$H$4:$H$999, "",0)+_xlfn.XLOOKUP(E45,lookups90!$B$4:$B$999,lookups90!$H$4:$H$999, "",0))/4+_xlfn.XLOOKUP(E45,lookups90!$B$4:$B$999,lookups90!$I$4:$I$999, "",0)),"")</f>
        <v/>
      </c>
      <c r="AJ45" s="20" t="str">
        <f>IF(_xlfn.XLOOKUP(E45,lookups90!$B$4:$B$999,lookups90!$V$4:$V$999,"",0)=0,"",D45*_xlfn.XLOOKUP(E45,lookups90!$B$4:$B$999,lookups90!$W$4:$W$999,"",0))</f>
        <v/>
      </c>
      <c r="AL45" s="20" t="str" cm="1">
        <f t="array" ref="AL45">IF(AM45&lt;&gt;"", _xlfn.IFS(OR(E45="Fix Slide Door - with Screen", E45="Slide Slide Door - with Screen"), (K45-_xlfn.XLOOKUP(E45,lookups90!$B$4:$B$999,lookups90!$F$4:$F$999, "",0)-_xlfn.XLOOKUP(E45,lookups90!$B$4:$B$999,lookups90!$G$4:$G$999, "",0)+_xlfn.XLOOKUP(E45,lookups90!$B$4:$B$999,lookups90!$H$4:$H$999, "",0))/2+_xlfn.XLOOKUP(E45,lookups90!$B$4:$B$999,lookups90!$I$4:$I$999, "",0), OR( E45="Fix Slide Slide Fix Door - with Screen",  E45="Fix Slide Slide Door"),  (K45-_xlfn.XLOOKUP(E45,lookups90!$B$4:$B$999,lookups90!$F$4:$F$999, "",0)-_xlfn.XLOOKUP(E45,lookups90!$B$4:$B$999,lookups90!$G$4:$G$999, "",0)+_xlfn.XLOOKUP(E45,lookups90!$B$4:$B$999,lookups90!$H$4:$H$999, "",0)+_xlfn.XLOOKUP(E45,lookups90!$B$4:$B$999,lookups90!$H$4:$H$999, "",0))/4+_xlfn.XLOOKUP(E45,lookups90!$B$4:$B$999,lookups90!$I$4:$I$999, "",0)),"")</f>
        <v/>
      </c>
      <c r="AM45" s="20" t="str">
        <f>IF(_xlfn.XLOOKUP(E45,lookups90!$B$4:$B$999,lookups90!$AA$4:$AA$999,"",0)=0,"",D45*_xlfn.XLOOKUP(E45,lookups90!$B$4:$B$999,lookups90!$AA$4:$AA$999,"",0))</f>
        <v/>
      </c>
      <c r="AO45" s="20" t="str">
        <f>IFERROR(IF(C45&lt;&gt;"", T45-_xlfn.XLOOKUP(E45,lookups90!$B$4:$B$999,lookups90!$AE$4:$AE$999, "",0),""),"")</f>
        <v/>
      </c>
      <c r="AP45" s="20" t="str">
        <f>IF(_xlfn.XLOOKUP(E45,lookups90!$B$4:$B$999,lookups90!$AG$4:$AG$999,"",0)=0,"",D45*_xlfn.XLOOKUP(E45,lookups90!$B$4:$B$999,lookups90!$AG$4:$AG$999,"",0))</f>
        <v/>
      </c>
      <c r="AQ45" s="20" t="str">
        <f>IF(V45&lt;&gt;"", T45-_xlfn.XLOOKUP(E45,lookups90!$B$4:$B$999,lookups90!$AE$4:$AE$999, "",0)+_xlfn.XLOOKUP(E45,lookups90!$B$4:$B$999,lookups90!$AF$4:$AF$999, "",0),"")</f>
        <v/>
      </c>
      <c r="AR45" s="20" t="str">
        <f>IFERROR(IF(_xlfn.XLOOKUP(E45,lookups90!$B$4:$B$999,lookups90!$AH$4:$AH$999,"",0)=0,"",D45*_xlfn.XLOOKUP(E45,lookups90!$B$4:$B$999,lookups90!$AH$4:$AH$999,"",0)),"")</f>
        <v/>
      </c>
      <c r="AT45" s="20" t="str">
        <f>IF(OR(E45="Fix Slide Slide Fix Window", E45="Fix Slide Slide Fix Door", E45="Fix Slide Slide Fix Door - with Screen", E45="Fix Slide Slide Door"), T45-_xlfn.XLOOKUP(E45,lookups90!$B$4:$B$999,lookups90!$AE$4:$AE$999,"",0),"")</f>
        <v/>
      </c>
      <c r="AU45" s="20" t="str">
        <f>IFERROR(IF(_xlfn.XLOOKUP(E45,lookups90!$B$4:$B$999,lookups90!$AL$4:$AL$999,"",0)=0,"",D45*_xlfn.XLOOKUP(E45,lookups90!$B$4:$B$999,lookups90!$AL$4:$AL$999,"",0)),"")</f>
        <v/>
      </c>
      <c r="AW45" s="20" t="str">
        <f>IF(C45&lt;&gt;"", T45-_xlfn.XLOOKUP(E45,lookups90!$B$4:$B$999,lookups90!$AP$4:$AP$999,"",0),"")</f>
        <v/>
      </c>
      <c r="AX45" s="20" t="str">
        <f>IFERROR(IF(_xlfn.XLOOKUP(E45,lookups90!$B$4:$B$999,lookups90!$AR$4:$AR$999,"",0)=0,"",D45*_xlfn.XLOOKUP(E45,lookups90!$B$4:$B$999,lookups90!$AR$4:$AR$999,"",0)),"")</f>
        <v/>
      </c>
      <c r="AY45" s="24" t="str">
        <f>IF(V45&lt;&gt;"", V45-_xlfn.XLOOKUP(E45,lookups90!$B$4:$B$999,lookups90!$AP$4:$AP$999,"",0),"")</f>
        <v/>
      </c>
      <c r="AZ45" s="20" t="str">
        <f>IFERROR(IF(_xlfn.XLOOKUP(E45,lookups90!$B$4:$B$999,lookups90!$AS$4:$AS$999,"",0)=0,"",D45*_xlfn.XLOOKUP(E45,lookups90!$B$4:$B$999,lookups90!$AS$4:$AS$999,"",0)),"")</f>
        <v/>
      </c>
      <c r="BA45" s="20" t="str">
        <f>IF(X45&lt;&gt;"", X45-_xlfn.XLOOKUP(E45,lookups90!$B$4:$B$999,lookups90!$AQ$4:$AQ$999,"",0),"")</f>
        <v/>
      </c>
      <c r="BB45" s="20" t="str">
        <f>IFERROR(IF(_xlfn.XLOOKUP(E45,lookups90!$B$4:$B$999,lookups90!$AT$4:$AT$999,"",0)=0,"",D45*_xlfn.XLOOKUP(E45,lookups90!$B$4:$B$999,lookups90!$AT$4:$AT$999,"",0)),"")</f>
        <v/>
      </c>
      <c r="BD45" s="20" t="str">
        <f>IF(C45&lt;&gt;"", N45-_xlfn.XLOOKUP(E45,lookups90!$B$4:$B$999,lookups90!$AX$4:$AX$999,"",0)+M45,"")</f>
        <v/>
      </c>
      <c r="BE45" s="20" t="str">
        <f>IFERROR(IF(_xlfn.XLOOKUP(E45,lookups90!$B$4:$B$999,lookups90!$AY$4:$AY$999,"",0)=0,"",D45*_xlfn.XLOOKUP(E45,lookups90!$B$4:$B$999,lookups90!$AY$4:$AY$999,"",0)),"")</f>
        <v/>
      </c>
      <c r="BF45" s="20" t="str">
        <f>IF(C45&lt;&gt;"", P45-_xlfn.XLOOKUP(E45,lookups90!$B$4:$B$999,lookups90!$AX$4:$AX$999,"",0)+M45,"")</f>
        <v/>
      </c>
      <c r="BG45" s="20" t="str">
        <f>IFERROR(IF(_xlfn.XLOOKUP(E45,lookups90!$B$4:$B$999,lookups90!$AZ$4:$AZ$999,"",0)=0,"",D45*_xlfn.XLOOKUP(E45,lookups90!$B$4:$B$999,lookups90!$AZ$4:$AZ$999,"",0)),"")</f>
        <v/>
      </c>
      <c r="BI45" s="20" t="str">
        <f>IF(C45&lt;&gt;"", T45-_xlfn.XLOOKUP(E45,lookups90!$B$4:$B$999,lookups90!$BA$4:$BA$999,"",0),"")</f>
        <v/>
      </c>
      <c r="BJ45" s="20" t="str">
        <f>IFERROR(IF(_xlfn.XLOOKUP(E45,lookups90!$B$4:$B$999,lookups90!$BB$4:$BB$999,"",0)=0,"",D45*_xlfn.XLOOKUP(E45,lookups90!$B$4:$B$999,lookups90!$BB$4:$BB$999,"",0)),"")</f>
        <v/>
      </c>
      <c r="BK45" s="20" t="str">
        <f>IF(V45&lt;&gt;"", V45-_xlfn.XLOOKUP(E45,lookups90!$B$4:$B$999,lookups90!$BA$4:$BA$999,"",0),"")</f>
        <v/>
      </c>
      <c r="BL45" s="20" t="str">
        <f>IFERROR(IF(_xlfn.XLOOKUP(E45,lookups90!$B$4:$B$999,lookups90!$BC$4:$BC$999,"",0)=0,"",D45*_xlfn.XLOOKUP(E45,lookups90!$B$4:$B$999,lookups90!$BC$4:$BC$999,"",0)),"")</f>
        <v/>
      </c>
      <c r="BM45" s="20" t="str">
        <f>IF(C45&lt;&gt;"", X45-_xlfn.XLOOKUP(E45,lookups90!$B$4:$B$999,lookups90!$BA$4:$BA$999,"",0),"")</f>
        <v/>
      </c>
      <c r="BN45" s="20" t="str">
        <f>IFERROR(IF(_xlfn.XLOOKUP(E45,lookups90!$B$4:$B$999,lookups90!$BD$4:$BD$999,"",0)=0,"",D45*_xlfn.XLOOKUP(E45,lookups90!$B$4:$B$999,lookups90!$BD$4:$BD$999,"",0)),"")</f>
        <v/>
      </c>
      <c r="BP45" s="20" t="str">
        <f>IF(AB45&lt;&gt;"", AB45-_xlfn.XLOOKUP(E45,lookups90!$B$4:$B$999,lookups90!$BE$4:$BE$999,"",0),"")</f>
        <v/>
      </c>
      <c r="BQ45" s="20" t="str">
        <f>IFERROR(IF(_xlfn.XLOOKUP(E45,lookups90!$B$4:$B$999,lookups90!$BF$4:$BF$999,"",0)=0,"",D45*_xlfn.XLOOKUP(E45,lookups90!$B$4:$B$999,lookups90!$BF$4:$BF$999,"",0)),"")</f>
        <v/>
      </c>
      <c r="BR45" s="20" t="str" cm="1">
        <f t="array" ref="BR45">_xlfn.IFS(BP45="","",OR(E45="Fix Slide Door - with Screen",E45="Slide Slide Door - with Screen"),(K45-_xlfn.XLOOKUP(E45,lookups90!$B$4:$B$999,lookups90!$F$4:$F$999,"",0)-_xlfn.XLOOKUP(E45,lookups90!$B$4:$B$999,lookups90!$G$4:$G$999,"",0)+_xlfn.XLOOKUP(E45,lookups90!$B$4:$B$999,lookups90!$H$4:$H$999,"",0))/2+_xlfn.XLOOKUP(E45,lookups90!$B$4:$B$999,lookups90!$I$4:$I$999,"",0)-_xlfn.XLOOKUP(E45,lookups90!$B$4:$B$999,lookups90!$BE$4:$BE$999,"",0), E45="Fix Slide Slide Fix Door - with Screen",(K45-_xlfn.XLOOKUP(E45,lookups90!$B$4:$B$999,lookups90!$F$4:$F$999,"",0)-_xlfn.XLOOKUP(E45,lookups90!$B$4:$B$999,lookups90!$G$4:$G$999,"",0)+_xlfn.XLOOKUP(E45,lookups90!$B$4:$B$999,lookups90!$H$4:$H$999,"",0)+_xlfn.XLOOKUP(E45,lookups90!$B$4:$B$999,lookups90!$H$4:$H$999,"",0))/4+_xlfn.XLOOKUP(E45,lookups90!$B$4:$B$999,lookups90!$I$4:$I$999,"",0)-_xlfn.XLOOKUP(E45,lookups90!$B$4:$B$999,lookups90!$BE$4:$BE$999,"",0))</f>
        <v/>
      </c>
      <c r="BS45" s="20" t="str">
        <f>IFERROR(IF(_xlfn.XLOOKUP(E45,lookups90!$B$4:$B$999,lookups90!$BG$4:$BG$999,"",0)=0,"",D45*_xlfn.XLOOKUP(E45,lookups90!$B$4:$B$999,lookups90!$BG$4:$BG$999,"",0)),"")</f>
        <v/>
      </c>
      <c r="BU45" s="20" t="str">
        <f>IF(AG45&lt;&gt;"",AG45-_xlfn.XLOOKUP(E45,lookups90!$B$4:$B$999,lookups90!$BA$4:$BA$999,"",0),"")</f>
        <v/>
      </c>
      <c r="BV45" s="20" t="str">
        <f>IFERROR(IF(_xlfn.XLOOKUP(E45,lookups90!$B$4:$B$999,lookups90!$BH$4:$BH$999,"",0)=0,"",D45*_xlfn.XLOOKUP(E45,lookups90!$B$4:$B$999,lookups90!$BH$4:$BH$999,"",0)),"")</f>
        <v/>
      </c>
      <c r="BW45" s="20" t="str" cm="1">
        <f t="array" ref="BW45">_xlfn.IFS(BU45="","",OR(E45="Fix Slide Window",E45="Slide Slide Window"),(K45-_xlfn.XLOOKUP(E45,lookups90!$B$4:$B$999,lookups90!$F$4:$F$999,"",0)-_xlfn.XLOOKUP(E45,lookups90!$B$4:$B$999,lookups90!$G$4:$G$999,"",0)+_xlfn.XLOOKUP(E45,lookups90!$B$4:$B$999,lookups90!$H$4:$H$999,"",0))/2+_xlfn.XLOOKUP(E45,lookups90!$B$4:$B$999,lookups90!$I$4:$I$999,"",0)-_xlfn.XLOOKUP(E45,lookups90!$B$4:$B$999,lookups90!$BA$4:$BA$999,"",0), E45="Fix Slide Slide Fix Window",(K45-_xlfn.XLOOKUP(E45,lookups90!$B$4:$B$999,lookups90!$F$4:$F$999,"",0)-_xlfn.XLOOKUP(E45,lookups90!$B$4:$B$999,lookups90!$G$4:$G$999,"",0)+_xlfn.XLOOKUP(E45,lookups90!$B$4:$B$999,lookups90!$H$4:$H$999,"",0)+_xlfn.XLOOKUP(E45,lookups90!$B$4:$B$999,lookups90!$H$4:$H$999,"",0))/4+_xlfn.XLOOKUP(E45,lookups90!$B$4:$B$999,lookups90!$I$4:$I$999,"",0)-_xlfn.XLOOKUP(E45,lookups90!$B$4:$B$999,lookups90!$BA$4:$BA$999,"",0))</f>
        <v/>
      </c>
      <c r="BX45" s="20" t="str">
        <f>IFERROR(IF(_xlfn.XLOOKUP(E45,lookups90!$B$4:$B$999,lookups90!$BI$4:$BI$999,"",0)=0,"",D45*_xlfn.XLOOKUP(E45,lookups90!$B$4:$B$999,lookups90!$BI$4:$BI$999,"",0)),"")</f>
        <v/>
      </c>
      <c r="BZ45" s="20" t="str">
        <f>IF(AL45&lt;&gt;"", AL45-_xlfn.XLOOKUP(E45,lookups90!$B$4:$B$999,lookups90!$BJ$4:$BJ$999,"",0),"")</f>
        <v/>
      </c>
      <c r="CA45" s="20" t="str">
        <f>IFERROR(IF(_xlfn.XLOOKUP(E45,lookups90!$B$4:$B$999,lookups90!$BK$4:$BK$999,"",0)=0,"",D45*_xlfn.XLOOKUP(E45,lookups90!$B$4:$B$999,lookups90!$BK$4:$BK$999,"",0)),"")</f>
        <v/>
      </c>
      <c r="CC45" s="20" t="str">
        <f>IF(C45&lt;&gt;"", T45-_xlfn.XLOOKUP(E45,lookups90!$B$4:$B$999,lookups90!$BO$4:$BO$999,"",0)-_xlfn.XLOOKUP(E45,lookups90!$B$4:$B$999,lookups90!$BP$4:$BP$999,"",0),"")</f>
        <v/>
      </c>
      <c r="CD45" s="20" t="str">
        <f>IF(C45&lt;&gt;"", X45-_xlfn.XLOOKUP(E45,lookups90!$B$4:$B$999,lookups90!$BQ$4:$BQ$999,"",0)-_xlfn.XLOOKUP(E45,lookups90!$B$4:$B$999,lookups90!$BR$4:$BR$999,"",0),"")</f>
        <v/>
      </c>
      <c r="CE45" s="20" t="str">
        <f>IFERROR(IF(_xlfn.XLOOKUP(E45,lookups90!$B$4:$B$999,lookups90!$BS$4:$BS$999,"",0)=0,"",D45*_xlfn.XLOOKUP(E45,lookups90!$B$4:$B$999,lookups90!$BS$4:$BS$999,"",0)),"")</f>
        <v/>
      </c>
      <c r="CF45" s="20" t="str">
        <f>IF(V45&lt;&gt;"", V45-_xlfn.XLOOKUP(E45,lookups90!$B$4:$B$999,lookups90!$BO$4:$BO$999,"",0)-_xlfn.XLOOKUP(E45,lookups90!$B$4:$B$999,lookups90!$BP$4:$BP$999,"",0),"")</f>
        <v/>
      </c>
      <c r="CG45" s="20" t="str">
        <f>IF(CF45&lt;&gt;"", X45-_xlfn.XLOOKUP(E45,lookups90!$B$4:$B$999,lookups90!$BQ$4:$BQ$999,"",0)-_xlfn.XLOOKUP(E45,lookups90!$B$4:$B$999,lookups90!$BR$4:$BR$999,"",0),"")</f>
        <v/>
      </c>
      <c r="CH45" s="20" t="str">
        <f>IFERROR(IF(_xlfn.XLOOKUP(E45,lookups90!$B$4:$B$999,lookups90!$BT$4:$BT$999,"",0)=0,"",D45*_xlfn.XLOOKUP(E45,lookups90!$B$4:$B$999,lookups90!$BT$4:$BT$999,"",0)),"")</f>
        <v/>
      </c>
      <c r="CJ45" s="22" t="str">
        <f t="shared" si="5"/>
        <v/>
      </c>
      <c r="CL45" s="22" t="str" cm="1">
        <f t="array" ref="CL45">IF(D45&lt;&gt;"",((((J45+K45)*2)/500)+(2*_xlfn.IFS(OR(E45="Fix Slide Window", E45="Slide Slide Window", E45="Fix Slide Slide Fix Window"), 2, E45="Slide Slide Door - with Screen", 8, E45&lt;&gt;"",4)))*D45,"")</f>
        <v/>
      </c>
      <c r="CM45" s="22" t="str">
        <f t="shared" si="9"/>
        <v/>
      </c>
      <c r="CN45" s="22" t="str">
        <f t="shared" si="10"/>
        <v/>
      </c>
      <c r="CO45" s="22" t="str">
        <f t="shared" si="8"/>
        <v/>
      </c>
      <c r="CP45" s="22" t="str">
        <f t="shared" si="0"/>
        <v/>
      </c>
    </row>
    <row r="46" spans="3:94" ht="13.5" customHeight="1" x14ac:dyDescent="0.25">
      <c r="C46" s="16"/>
      <c r="D46" s="16"/>
      <c r="E46" s="16"/>
      <c r="F46" s="16"/>
      <c r="G46" s="16"/>
      <c r="H46" s="16"/>
      <c r="I46" s="16"/>
      <c r="J46" s="16"/>
      <c r="K46" s="16"/>
      <c r="M46" s="20" t="str">
        <f t="shared" si="1"/>
        <v/>
      </c>
      <c r="N46" s="20" t="str" cm="1">
        <f t="array" ref="N46">IFERROR(_xlfn.IFS(OR(E46="Fix Awning (Vertical)", E46="Fix Awning (Horizontal)"), J46/2+20,C46&lt;&gt;"", J46+M46),"")</f>
        <v/>
      </c>
      <c r="O46" s="20" t="str">
        <f t="shared" si="2"/>
        <v/>
      </c>
      <c r="P46" s="20" t="str">
        <f t="shared" si="3"/>
        <v/>
      </c>
      <c r="Q46" s="20" t="str">
        <f t="shared" si="4"/>
        <v/>
      </c>
      <c r="S46" s="20" t="str">
        <f>IF(C46&lt;&gt;"", _xlfn.XLOOKUP(E46,lookups90!$B$4:$B$999,lookups90!$C$4:$C$999,"",0),"")</f>
        <v/>
      </c>
      <c r="T46" s="20" t="str">
        <f>IF(C46&lt;&gt;"", J46-_xlfn.XLOOKUP(E46,lookups90!$B$4:$B$999,lookups90!$D$4:$D$999, "",0),"")</f>
        <v/>
      </c>
      <c r="U46" s="20" t="str">
        <f>IF(T46&lt;&gt;"",D46*_xlfn.XLOOKUP(E46,lookups90!$B$4:$B$999,lookups90!$J$4:$J$999, "",0),"")</f>
        <v/>
      </c>
      <c r="V46" s="20" t="str">
        <f>IF(AND(C46&lt;&gt;"", E46&lt;&gt;"Slide Slide Window", E46&lt;&gt;"Slide Slide Door", E46&lt;&gt;"Slide Slide Door - with Screen"), J46-_xlfn.XLOOKUP(E46,lookups90!$B$4:$B$999,lookups90!$E$4:$E$999, "",0),"")</f>
        <v/>
      </c>
      <c r="W46" s="20" t="str">
        <f>IF(V46&lt;&gt;"",D46*_xlfn.XLOOKUP(E46,lookups90!$B$4:$B$999,lookups90!$K$4:$K$999, "",0),"")</f>
        <v/>
      </c>
      <c r="X46" s="20" t="str" cm="1">
        <f t="array" ref="X46">IFERROR(_xlfn.IFS(OR(E46="Fix Slide Window", E46="Slide Slide Window", E46="Fix Slide Door", E46="Slide Slide Door", E46="Fix Slide Door - with Screen", E46="Slide Slide Door - with Screen"), (K46-_xlfn.XLOOKUP(E46,lookups90!$B$4:$B$999,lookups90!$F$4:$F$999, "",0)-_xlfn.XLOOKUP(E46,lookups90!$B$4:$B$999,lookups90!$G$4:$G$999, "",0)+_xlfn.XLOOKUP(E46,lookups90!$B$4:$B$999,lookups90!$H$4:$H$999, "",0))/2+_xlfn.XLOOKUP(E46,lookups90!$B$4:$B$999,lookups90!$I$4:$I$999, "",0), OR(E46="Fix Slide Slide Fix Window", E46="Fix Slide Slide Fix Door - with Screen", E46="Fix Slide Slide Fix Door"),  (K46-_xlfn.XLOOKUP(E46,lookups90!$B$4:$B$999,lookups90!$F$4:$F$999, "",0)-_xlfn.XLOOKUP(E46,lookups90!$B$4:$B$999,lookups90!$G$4:$G$999, "",0)+_xlfn.XLOOKUP(E46,lookups90!$B$4:$B$999,lookups90!$H$4:$H$999, "",0)+_xlfn.XLOOKUP(E46,lookups90!$B$4:$B$999,lookups90!$H$4:$H$999, "",0))/4+_xlfn.XLOOKUP(E46,lookups90!$B$4:$B$999,lookups90!$I$4:$I$999, "",0), E46="Fix Slide Slide Door", (K46-_xlfn.XLOOKUP(E46,lookups90!$B$4:$B$999,lookups90!$F$4:$F$999, "",0)-_xlfn.XLOOKUP(E46,lookups90!$B$4:$B$999,lookups90!$G$4:$G$999, "",0)+_xlfn.XLOOKUP(E46,lookups90!$B$4:$B$999,lookups90!$H$4:$H$999, "",0)+_xlfn.XLOOKUP(E46,lookups90!$B$4:$B$999,lookups90!$H$4:$H$999, "",0))/3+_xlfn.XLOOKUP(E46,lookups90!$B$4:$B$999,lookups90!$I$4:$I$999, "",0),E46="Fix Slide Slide Slide Slide Fix Dr",  (K46-_xlfn.XLOOKUP(E46,lookups90!$B$4:$B$999,lookups90!$F$4:$F$999, "",0)-_xlfn.XLOOKUP(E46,lookups90!$B$4:$B$999,lookups90!$G$4:$G$999, "",0)+_xlfn.XLOOKUP(E46,lookups90!$B$4:$B$999,lookups90!$H$4:$H$999, "",0)+_xlfn.XLOOKUP(E46,lookups90!$B$4:$B$999,lookups90!$H$4:$H$999, "",0)+_xlfn.XLOOKUP(E46,lookups90!$B$4:$B$999,lookups90!$H$4:$H$999, "",0)+_xlfn.XLOOKUP(E46,lookups90!$B$4:$B$999,lookups90!$H$4:$H$999, "",0))/6+_xlfn.XLOOKUP(E46,lookups90!$B$4:$B$999,lookups90!$I$4:$I$999, "",0), E46="Fix Slide Slide Slide Slide Slide Slide Fix Dr",  (K46-_xlfn.XLOOKUP(E46,lookups90!$B$4:$B$999,lookups90!$F$4:$F$999, "",0)-_xlfn.XLOOKUP(E46,lookups90!$B$4:$B$999,lookups90!$G$4:$G$999, "",0)+_xlfn.XLOOKUP(E46,lookups90!$B$4:$B$999,lookups90!$H$4:$H$999, "",0)+_xlfn.XLOOKUP(E46,lookups90!$B$4:$B$999,lookups90!$H$4:$H$999, "",0)+_xlfn.XLOOKUP(E46,lookups90!$B$4:$B$999,lookups90!$H$4:$H$999, "",0)+_xlfn.XLOOKUP(E46,lookups90!$B$4:$B$999,lookups90!$H$4:$H$999, "",0)+_xlfn.XLOOKUP(E46,lookups90!$B$4:$B$999,lookups90!$H$4:$H$999, "",0)+_xlfn.XLOOKUP(E46,lookups90!$B$4:$B$999,lookups90!$H$4:$H$999, "",0))/8+_xlfn.XLOOKUP(E46,lookups90!$B$4:$B$999,lookups90!$I$4:$I$999, "",0)),"")</f>
        <v/>
      </c>
      <c r="Y46" s="20" t="str">
        <f>IF(X46&lt;&gt;"",D46*_xlfn.XLOOKUP(E46,lookups90!$B$4:$B$999,lookups90!$L$4:$L$999, "",0),"")</f>
        <v/>
      </c>
      <c r="AA46" s="20" t="str">
        <f>IF(C46&lt;&gt;"", IF(_xlfn.XLOOKUP(E46,lookups90!$B$4:$B$999,lookups90!$P$4:$P$999,"",0)=0,"",_xlfn.XLOOKUP(E46,lookups90!$B$4:$B$999,lookups90!$P$4:$P$999,"",0)),"")</f>
        <v/>
      </c>
      <c r="AB46" s="20" t="str">
        <f>IF(AA46&lt;&gt;"", J46-_xlfn.XLOOKUP(E46,lookups90!$B$4:$B$999,lookups90!$D$4:$D$999, "",0),"")</f>
        <v/>
      </c>
      <c r="AC46" s="20" t="str">
        <f>IF(AA46&lt;&gt;"",D46*_xlfn.XLOOKUP(E46,lookups90!$B$4:$B$999,lookups90!$Q$4:$Q$999, "",0),"")</f>
        <v/>
      </c>
      <c r="AD46" s="20" t="str" cm="1">
        <f t="array" ref="AD46">IF(AA46&lt;&gt;"", _xlfn.IFS(OR(E46="Fix Slide Window", E46="Slide Slide Window", E46="Fix Slide Door", E46="Slide Slide Door", E46="Fix Slide Door - with Screen", E46="Slide Slide Door - with Screen"), (K46-_xlfn.XLOOKUP(E46,lookups90!$B$4:$B$999,lookups90!$F$4:$F$999, "",0)-_xlfn.XLOOKUP(E46,lookups90!$B$4:$B$999,lookups90!$G$4:$G$999, "",0)+_xlfn.XLOOKUP(E46,lookups90!$B$4:$B$999,lookups90!$H$4:$H$999, "",0))/2+_xlfn.XLOOKUP(E46,lookups90!$B$4:$B$999,lookups90!$I$4:$I$999, "",0), OR(E46="Fix Slide Slide Fix Window", E46="Fix Slide Slide Fix Door - with Screen", E46="Fix Slide Slide Fix Door"),  (K46-_xlfn.XLOOKUP(E46,lookups90!$B$4:$B$999,lookups90!$F$4:$F$999, "",0)-_xlfn.XLOOKUP(E46,lookups90!$B$4:$B$999,lookups90!$G$4:$G$999, "",0)+_xlfn.XLOOKUP(E46,lookups90!$B$4:$B$999,lookups90!$H$4:$H$999, "",0)+_xlfn.XLOOKUP(E46,lookups90!$B$4:$B$999,lookups90!$H$4:$H$999, "",0))/4+_xlfn.XLOOKUP(E46,lookups90!$B$4:$B$999,lookups90!$I$4:$I$999, "",0), E46="Fix Slide Slide Door", (K46-_xlfn.XLOOKUP(E46,lookups90!$B$4:$B$999,lookups90!$F$4:$F$999, "",0)-_xlfn.XLOOKUP(E46,lookups90!$B$4:$B$999,lookups90!$G$4:$G$999, "",0)+_xlfn.XLOOKUP(E46,lookups90!$B$4:$B$999,lookups90!$H$4:$H$999, "",0)+_xlfn.XLOOKUP(E46,lookups90!$B$4:$B$999,lookups90!$H$4:$H$999, "",0))/3+_xlfn.XLOOKUP(E46,lookups90!$B$4:$B$999,lookups90!$I$4:$I$999, "",0) ),"")</f>
        <v/>
      </c>
      <c r="AE46" s="20" t="str">
        <f>IF(AA46&lt;&gt;"",D46*_xlfn.XLOOKUP(E46,lookups90!$B$4:$B$999,lookups90!$R$4:$R$999, "",0),"")</f>
        <v/>
      </c>
      <c r="AG46" s="20" t="str">
        <f>IF(AH46&lt;&gt;"", J46-_xlfn.XLOOKUP(E46,lookups90!$B$4:$B$999,lookups90!$D$4:$D$999, "",0),"")</f>
        <v/>
      </c>
      <c r="AH46" s="20" t="str">
        <f>IF(_xlfn.XLOOKUP(E46,lookups90!$B$4:$B$999,lookups90!$V$4:$V$999,"",0)=0,"",D46*_xlfn.XLOOKUP(E46,lookups90!$B$4:$B$999,lookups90!$V$4:$V$999,"",0))</f>
        <v/>
      </c>
      <c r="AI46" s="20" t="str" cm="1">
        <f t="array" ref="AI46">IF(AH46&lt;&gt;"", _xlfn.IFS(OR(E46="Fix Slide Window", E46="Slide Slide Window"), (K46-_xlfn.XLOOKUP(E46,lookups90!$B$4:$B$999,lookups90!$F$4:$F$999, "",0)-_xlfn.XLOOKUP(E46,lookups90!$B$4:$B$999,lookups90!$G$4:$G$999, "",0)+_xlfn.XLOOKUP(E46,lookups90!$B$4:$B$999,lookups90!$H$4:$H$999, "",0))/2+_xlfn.XLOOKUP(E46,lookups90!$B$4:$B$999,lookups90!$I$4:$I$999, "",0), OR(E46="Fix Slide Slide Fix Window"),  (K46-_xlfn.XLOOKUP(E46,lookups90!$B$4:$B$999,lookups90!$F$4:$F$999, "",0)+_xlfn.XLOOKUP(E46,lookups90!$B$4:$B$999,lookups90!$H$4:$H$999, "",0)+_xlfn.XLOOKUP(E46,lookups90!$B$4:$B$999,lookups90!$H$4:$H$999, "",0))/4+_xlfn.XLOOKUP(E46,lookups90!$B$4:$B$999,lookups90!$I$4:$I$999, "",0)),"")</f>
        <v/>
      </c>
      <c r="AJ46" s="20" t="str">
        <f>IF(_xlfn.XLOOKUP(E46,lookups90!$B$4:$B$999,lookups90!$V$4:$V$999,"",0)=0,"",D46*_xlfn.XLOOKUP(E46,lookups90!$B$4:$B$999,lookups90!$W$4:$W$999,"",0))</f>
        <v/>
      </c>
      <c r="AL46" s="20" t="str" cm="1">
        <f t="array" ref="AL46">IF(AM46&lt;&gt;"", _xlfn.IFS(OR(E46="Fix Slide Door - with Screen", E46="Slide Slide Door - with Screen"), (K46-_xlfn.XLOOKUP(E46,lookups90!$B$4:$B$999,lookups90!$F$4:$F$999, "",0)-_xlfn.XLOOKUP(E46,lookups90!$B$4:$B$999,lookups90!$G$4:$G$999, "",0)+_xlfn.XLOOKUP(E46,lookups90!$B$4:$B$999,lookups90!$H$4:$H$999, "",0))/2+_xlfn.XLOOKUP(E46,lookups90!$B$4:$B$999,lookups90!$I$4:$I$999, "",0), OR( E46="Fix Slide Slide Fix Door - with Screen",  E46="Fix Slide Slide Door"),  (K46-_xlfn.XLOOKUP(E46,lookups90!$B$4:$B$999,lookups90!$F$4:$F$999, "",0)-_xlfn.XLOOKUP(E46,lookups90!$B$4:$B$999,lookups90!$G$4:$G$999, "",0)+_xlfn.XLOOKUP(E46,lookups90!$B$4:$B$999,lookups90!$H$4:$H$999, "",0)+_xlfn.XLOOKUP(E46,lookups90!$B$4:$B$999,lookups90!$H$4:$H$999, "",0))/4+_xlfn.XLOOKUP(E46,lookups90!$B$4:$B$999,lookups90!$I$4:$I$999, "",0)),"")</f>
        <v/>
      </c>
      <c r="AM46" s="20" t="str">
        <f>IF(_xlfn.XLOOKUP(E46,lookups90!$B$4:$B$999,lookups90!$AA$4:$AA$999,"",0)=0,"",D46*_xlfn.XLOOKUP(E46,lookups90!$B$4:$B$999,lookups90!$AA$4:$AA$999,"",0))</f>
        <v/>
      </c>
      <c r="AO46" s="20" t="str">
        <f>IFERROR(IF(C46&lt;&gt;"", T46-_xlfn.XLOOKUP(E46,lookups90!$B$4:$B$999,lookups90!$AE$4:$AE$999, "",0),""),"")</f>
        <v/>
      </c>
      <c r="AP46" s="20" t="str">
        <f>IF(_xlfn.XLOOKUP(E46,lookups90!$B$4:$B$999,lookups90!$AG$4:$AG$999,"",0)=0,"",D46*_xlfn.XLOOKUP(E46,lookups90!$B$4:$B$999,lookups90!$AG$4:$AG$999,"",0))</f>
        <v/>
      </c>
      <c r="AQ46" s="20" t="str">
        <f>IF(V46&lt;&gt;"", T46-_xlfn.XLOOKUP(E46,lookups90!$B$4:$B$999,lookups90!$AE$4:$AE$999, "",0)+_xlfn.XLOOKUP(E46,lookups90!$B$4:$B$999,lookups90!$AF$4:$AF$999, "",0),"")</f>
        <v/>
      </c>
      <c r="AR46" s="20" t="str">
        <f>IFERROR(IF(_xlfn.XLOOKUP(E46,lookups90!$B$4:$B$999,lookups90!$AH$4:$AH$999,"",0)=0,"",D46*_xlfn.XLOOKUP(E46,lookups90!$B$4:$B$999,lookups90!$AH$4:$AH$999,"",0)),"")</f>
        <v/>
      </c>
      <c r="AT46" s="20" t="str">
        <f>IF(OR(E46="Fix Slide Slide Fix Window", E46="Fix Slide Slide Fix Door", E46="Fix Slide Slide Fix Door - with Screen", E46="Fix Slide Slide Door"), T46-_xlfn.XLOOKUP(E46,lookups90!$B$4:$B$999,lookups90!$AE$4:$AE$999,"",0),"")</f>
        <v/>
      </c>
      <c r="AU46" s="20" t="str">
        <f>IFERROR(IF(_xlfn.XLOOKUP(E46,lookups90!$B$4:$B$999,lookups90!$AL$4:$AL$999,"",0)=0,"",D46*_xlfn.XLOOKUP(E46,lookups90!$B$4:$B$999,lookups90!$AL$4:$AL$999,"",0)),"")</f>
        <v/>
      </c>
      <c r="AW46" s="20" t="str">
        <f>IF(C46&lt;&gt;"", T46-_xlfn.XLOOKUP(E46,lookups90!$B$4:$B$999,lookups90!$AP$4:$AP$999,"",0),"")</f>
        <v/>
      </c>
      <c r="AX46" s="20" t="str">
        <f>IFERROR(IF(_xlfn.XLOOKUP(E46,lookups90!$B$4:$B$999,lookups90!$AR$4:$AR$999,"",0)=0,"",D46*_xlfn.XLOOKUP(E46,lookups90!$B$4:$B$999,lookups90!$AR$4:$AR$999,"",0)),"")</f>
        <v/>
      </c>
      <c r="AY46" s="24" t="str">
        <f>IF(V46&lt;&gt;"", V46-_xlfn.XLOOKUP(E46,lookups90!$B$4:$B$999,lookups90!$AP$4:$AP$999,"",0),"")</f>
        <v/>
      </c>
      <c r="AZ46" s="20" t="str">
        <f>IFERROR(IF(_xlfn.XLOOKUP(E46,lookups90!$B$4:$B$999,lookups90!$AS$4:$AS$999,"",0)=0,"",D46*_xlfn.XLOOKUP(E46,lookups90!$B$4:$B$999,lookups90!$AS$4:$AS$999,"",0)),"")</f>
        <v/>
      </c>
      <c r="BA46" s="20" t="str">
        <f>IF(X46&lt;&gt;"", X46-_xlfn.XLOOKUP(E46,lookups90!$B$4:$B$999,lookups90!$AQ$4:$AQ$999,"",0),"")</f>
        <v/>
      </c>
      <c r="BB46" s="20" t="str">
        <f>IFERROR(IF(_xlfn.XLOOKUP(E46,lookups90!$B$4:$B$999,lookups90!$AT$4:$AT$999,"",0)=0,"",D46*_xlfn.XLOOKUP(E46,lookups90!$B$4:$B$999,lookups90!$AT$4:$AT$999,"",0)),"")</f>
        <v/>
      </c>
      <c r="BD46" s="20" t="str">
        <f>IF(C46&lt;&gt;"", N46-_xlfn.XLOOKUP(E46,lookups90!$B$4:$B$999,lookups90!$AX$4:$AX$999,"",0)+M46,"")</f>
        <v/>
      </c>
      <c r="BE46" s="20" t="str">
        <f>IFERROR(IF(_xlfn.XLOOKUP(E46,lookups90!$B$4:$B$999,lookups90!$AY$4:$AY$999,"",0)=0,"",D46*_xlfn.XLOOKUP(E46,lookups90!$B$4:$B$999,lookups90!$AY$4:$AY$999,"",0)),"")</f>
        <v/>
      </c>
      <c r="BF46" s="20" t="str">
        <f>IF(C46&lt;&gt;"", P46-_xlfn.XLOOKUP(E46,lookups90!$B$4:$B$999,lookups90!$AX$4:$AX$999,"",0)+M46,"")</f>
        <v/>
      </c>
      <c r="BG46" s="20" t="str">
        <f>IFERROR(IF(_xlfn.XLOOKUP(E46,lookups90!$B$4:$B$999,lookups90!$AZ$4:$AZ$999,"",0)=0,"",D46*_xlfn.XLOOKUP(E46,lookups90!$B$4:$B$999,lookups90!$AZ$4:$AZ$999,"",0)),"")</f>
        <v/>
      </c>
      <c r="BI46" s="20" t="str">
        <f>IF(C46&lt;&gt;"", T46-_xlfn.XLOOKUP(E46,lookups90!$B$4:$B$999,lookups90!$BA$4:$BA$999,"",0),"")</f>
        <v/>
      </c>
      <c r="BJ46" s="20" t="str">
        <f>IFERROR(IF(_xlfn.XLOOKUP(E46,lookups90!$B$4:$B$999,lookups90!$BB$4:$BB$999,"",0)=0,"",D46*_xlfn.XLOOKUP(E46,lookups90!$B$4:$B$999,lookups90!$BB$4:$BB$999,"",0)),"")</f>
        <v/>
      </c>
      <c r="BK46" s="20" t="str">
        <f>IF(V46&lt;&gt;"", V46-_xlfn.XLOOKUP(E46,lookups90!$B$4:$B$999,lookups90!$BA$4:$BA$999,"",0),"")</f>
        <v/>
      </c>
      <c r="BL46" s="20" t="str">
        <f>IFERROR(IF(_xlfn.XLOOKUP(E46,lookups90!$B$4:$B$999,lookups90!$BC$4:$BC$999,"",0)=0,"",D46*_xlfn.XLOOKUP(E46,lookups90!$B$4:$B$999,lookups90!$BC$4:$BC$999,"",0)),"")</f>
        <v/>
      </c>
      <c r="BM46" s="20" t="str">
        <f>IF(C46&lt;&gt;"", X46-_xlfn.XLOOKUP(E46,lookups90!$B$4:$B$999,lookups90!$BA$4:$BA$999,"",0),"")</f>
        <v/>
      </c>
      <c r="BN46" s="20" t="str">
        <f>IFERROR(IF(_xlfn.XLOOKUP(E46,lookups90!$B$4:$B$999,lookups90!$BD$4:$BD$999,"",0)=0,"",D46*_xlfn.XLOOKUP(E46,lookups90!$B$4:$B$999,lookups90!$BD$4:$BD$999,"",0)),"")</f>
        <v/>
      </c>
      <c r="BP46" s="20" t="str">
        <f>IF(AB46&lt;&gt;"", AB46-_xlfn.XLOOKUP(E46,lookups90!$B$4:$B$999,lookups90!$BE$4:$BE$999,"",0),"")</f>
        <v/>
      </c>
      <c r="BQ46" s="20" t="str">
        <f>IFERROR(IF(_xlfn.XLOOKUP(E46,lookups90!$B$4:$B$999,lookups90!$BF$4:$BF$999,"",0)=0,"",D46*_xlfn.XLOOKUP(E46,lookups90!$B$4:$B$999,lookups90!$BF$4:$BF$999,"",0)),"")</f>
        <v/>
      </c>
      <c r="BR46" s="20" t="str" cm="1">
        <f t="array" ref="BR46">_xlfn.IFS(BP46="","",OR(E46="Fix Slide Door - with Screen",E46="Slide Slide Door - with Screen"),(K46-_xlfn.XLOOKUP(E46,lookups90!$B$4:$B$999,lookups90!$F$4:$F$999,"",0)-_xlfn.XLOOKUP(E46,lookups90!$B$4:$B$999,lookups90!$G$4:$G$999,"",0)+_xlfn.XLOOKUP(E46,lookups90!$B$4:$B$999,lookups90!$H$4:$H$999,"",0))/2+_xlfn.XLOOKUP(E46,lookups90!$B$4:$B$999,lookups90!$I$4:$I$999,"",0)-_xlfn.XLOOKUP(E46,lookups90!$B$4:$B$999,lookups90!$BE$4:$BE$999,"",0), E46="Fix Slide Slide Fix Door - with Screen",(K46-_xlfn.XLOOKUP(E46,lookups90!$B$4:$B$999,lookups90!$F$4:$F$999,"",0)-_xlfn.XLOOKUP(E46,lookups90!$B$4:$B$999,lookups90!$G$4:$G$999,"",0)+_xlfn.XLOOKUP(E46,lookups90!$B$4:$B$999,lookups90!$H$4:$H$999,"",0)+_xlfn.XLOOKUP(E46,lookups90!$B$4:$B$999,lookups90!$H$4:$H$999,"",0))/4+_xlfn.XLOOKUP(E46,lookups90!$B$4:$B$999,lookups90!$I$4:$I$999,"",0)-_xlfn.XLOOKUP(E46,lookups90!$B$4:$B$999,lookups90!$BE$4:$BE$999,"",0))</f>
        <v/>
      </c>
      <c r="BS46" s="20" t="str">
        <f>IFERROR(IF(_xlfn.XLOOKUP(E46,lookups90!$B$4:$B$999,lookups90!$BG$4:$BG$999,"",0)=0,"",D46*_xlfn.XLOOKUP(E46,lookups90!$B$4:$B$999,lookups90!$BG$4:$BG$999,"",0)),"")</f>
        <v/>
      </c>
      <c r="BU46" s="20" t="str">
        <f>IF(AG46&lt;&gt;"",AG46-_xlfn.XLOOKUP(E46,lookups90!$B$4:$B$999,lookups90!$BA$4:$BA$999,"",0),"")</f>
        <v/>
      </c>
      <c r="BV46" s="20" t="str">
        <f>IFERROR(IF(_xlfn.XLOOKUP(E46,lookups90!$B$4:$B$999,lookups90!$BH$4:$BH$999,"",0)=0,"",D46*_xlfn.XLOOKUP(E46,lookups90!$B$4:$B$999,lookups90!$BH$4:$BH$999,"",0)),"")</f>
        <v/>
      </c>
      <c r="BW46" s="20" t="str" cm="1">
        <f t="array" ref="BW46">_xlfn.IFS(BU46="","",OR(E46="Fix Slide Window",E46="Slide Slide Window"),(K46-_xlfn.XLOOKUP(E46,lookups90!$B$4:$B$999,lookups90!$F$4:$F$999,"",0)-_xlfn.XLOOKUP(E46,lookups90!$B$4:$B$999,lookups90!$G$4:$G$999,"",0)+_xlfn.XLOOKUP(E46,lookups90!$B$4:$B$999,lookups90!$H$4:$H$999,"",0))/2+_xlfn.XLOOKUP(E46,lookups90!$B$4:$B$999,lookups90!$I$4:$I$999,"",0)-_xlfn.XLOOKUP(E46,lookups90!$B$4:$B$999,lookups90!$BA$4:$BA$999,"",0), E46="Fix Slide Slide Fix Window",(K46-_xlfn.XLOOKUP(E46,lookups90!$B$4:$B$999,lookups90!$F$4:$F$999,"",0)-_xlfn.XLOOKUP(E46,lookups90!$B$4:$B$999,lookups90!$G$4:$G$999,"",0)+_xlfn.XLOOKUP(E46,lookups90!$B$4:$B$999,lookups90!$H$4:$H$999,"",0)+_xlfn.XLOOKUP(E46,lookups90!$B$4:$B$999,lookups90!$H$4:$H$999,"",0))/4+_xlfn.XLOOKUP(E46,lookups90!$B$4:$B$999,lookups90!$I$4:$I$999,"",0)-_xlfn.XLOOKUP(E46,lookups90!$B$4:$B$999,lookups90!$BA$4:$BA$999,"",0))</f>
        <v/>
      </c>
      <c r="BX46" s="20" t="str">
        <f>IFERROR(IF(_xlfn.XLOOKUP(E46,lookups90!$B$4:$B$999,lookups90!$BI$4:$BI$999,"",0)=0,"",D46*_xlfn.XLOOKUP(E46,lookups90!$B$4:$B$999,lookups90!$BI$4:$BI$999,"",0)),"")</f>
        <v/>
      </c>
      <c r="BZ46" s="20" t="str">
        <f>IF(AL46&lt;&gt;"", AL46-_xlfn.XLOOKUP(E46,lookups90!$B$4:$B$999,lookups90!$BJ$4:$BJ$999,"",0),"")</f>
        <v/>
      </c>
      <c r="CA46" s="20" t="str">
        <f>IFERROR(IF(_xlfn.XLOOKUP(E46,lookups90!$B$4:$B$999,lookups90!$BK$4:$BK$999,"",0)=0,"",D46*_xlfn.XLOOKUP(E46,lookups90!$B$4:$B$999,lookups90!$BK$4:$BK$999,"",0)),"")</f>
        <v/>
      </c>
      <c r="CC46" s="20" t="str">
        <f>IF(C46&lt;&gt;"", T46-_xlfn.XLOOKUP(E46,lookups90!$B$4:$B$999,lookups90!$BO$4:$BO$999,"",0)-_xlfn.XLOOKUP(E46,lookups90!$B$4:$B$999,lookups90!$BP$4:$BP$999,"",0),"")</f>
        <v/>
      </c>
      <c r="CD46" s="20" t="str">
        <f>IF(C46&lt;&gt;"", X46-_xlfn.XLOOKUP(E46,lookups90!$B$4:$B$999,lookups90!$BQ$4:$BQ$999,"",0)-_xlfn.XLOOKUP(E46,lookups90!$B$4:$B$999,lookups90!$BR$4:$BR$999,"",0),"")</f>
        <v/>
      </c>
      <c r="CE46" s="20" t="str">
        <f>IFERROR(IF(_xlfn.XLOOKUP(E46,lookups90!$B$4:$B$999,lookups90!$BS$4:$BS$999,"",0)=0,"",D46*_xlfn.XLOOKUP(E46,lookups90!$B$4:$B$999,lookups90!$BS$4:$BS$999,"",0)),"")</f>
        <v/>
      </c>
      <c r="CF46" s="20" t="str">
        <f>IF(V46&lt;&gt;"", V46-_xlfn.XLOOKUP(E46,lookups90!$B$4:$B$999,lookups90!$BO$4:$BO$999,"",0)-_xlfn.XLOOKUP(E46,lookups90!$B$4:$B$999,lookups90!$BP$4:$BP$999,"",0),"")</f>
        <v/>
      </c>
      <c r="CG46" s="20" t="str">
        <f>IF(CF46&lt;&gt;"", X46-_xlfn.XLOOKUP(E46,lookups90!$B$4:$B$999,lookups90!$BQ$4:$BQ$999,"",0)-_xlfn.XLOOKUP(E46,lookups90!$B$4:$B$999,lookups90!$BR$4:$BR$999,"",0),"")</f>
        <v/>
      </c>
      <c r="CH46" s="20" t="str">
        <f>IFERROR(IF(_xlfn.XLOOKUP(E46,lookups90!$B$4:$B$999,lookups90!$BT$4:$BT$999,"",0)=0,"",D46*_xlfn.XLOOKUP(E46,lookups90!$B$4:$B$999,lookups90!$BT$4:$BT$999,"",0)),"")</f>
        <v/>
      </c>
      <c r="CJ46" s="22" t="str">
        <f t="shared" si="5"/>
        <v/>
      </c>
      <c r="CL46" s="22" t="str" cm="1">
        <f t="array" ref="CL46">IF(D46&lt;&gt;"",((((J46+K46)*2)/500)+(2*_xlfn.IFS(OR(E46="Fix Slide Window", E46="Slide Slide Window", E46="Fix Slide Slide Fix Window"), 2, E46="Slide Slide Door - with Screen", 8, E46&lt;&gt;"",4)))*D46,"")</f>
        <v/>
      </c>
      <c r="CM46" s="22" t="str">
        <f t="shared" si="9"/>
        <v/>
      </c>
      <c r="CN46" s="22" t="str">
        <f t="shared" si="10"/>
        <v/>
      </c>
      <c r="CO46" s="22" t="str">
        <f t="shared" si="8"/>
        <v/>
      </c>
      <c r="CP46" s="22" t="str">
        <f t="shared" si="0"/>
        <v/>
      </c>
    </row>
    <row r="47" spans="3:94" ht="13.5" customHeight="1" x14ac:dyDescent="0.25">
      <c r="C47" s="16"/>
      <c r="D47" s="16"/>
      <c r="E47" s="16"/>
      <c r="F47" s="16"/>
      <c r="G47" s="16"/>
      <c r="H47" s="16"/>
      <c r="I47" s="16"/>
      <c r="J47" s="16"/>
      <c r="K47" s="16"/>
      <c r="M47" s="20" t="str">
        <f t="shared" si="1"/>
        <v/>
      </c>
      <c r="N47" s="20" t="str" cm="1">
        <f t="array" ref="N47">IFERROR(_xlfn.IFS(OR(E47="Fix Awning (Vertical)", E47="Fix Awning (Horizontal)"), J47/2+20,C47&lt;&gt;"", J47+M47),"")</f>
        <v/>
      </c>
      <c r="O47" s="20" t="str">
        <f t="shared" si="2"/>
        <v/>
      </c>
      <c r="P47" s="20" t="str">
        <f t="shared" si="3"/>
        <v/>
      </c>
      <c r="Q47" s="20" t="str">
        <f t="shared" si="4"/>
        <v/>
      </c>
      <c r="S47" s="20" t="str">
        <f>IF(C47&lt;&gt;"", _xlfn.XLOOKUP(E47,lookups90!$B$4:$B$999,lookups90!$C$4:$C$999,"",0),"")</f>
        <v/>
      </c>
      <c r="T47" s="20" t="str">
        <f>IF(C47&lt;&gt;"", J47-_xlfn.XLOOKUP(E47,lookups90!$B$4:$B$999,lookups90!$D$4:$D$999, "",0),"")</f>
        <v/>
      </c>
      <c r="U47" s="20" t="str">
        <f>IF(T47&lt;&gt;"",D47*_xlfn.XLOOKUP(E47,lookups90!$B$4:$B$999,lookups90!$J$4:$J$999, "",0),"")</f>
        <v/>
      </c>
      <c r="V47" s="20" t="str">
        <f>IF(AND(C47&lt;&gt;"", E47&lt;&gt;"Slide Slide Window", E47&lt;&gt;"Slide Slide Door", E47&lt;&gt;"Slide Slide Door - with Screen"), J47-_xlfn.XLOOKUP(E47,lookups90!$B$4:$B$999,lookups90!$E$4:$E$999, "",0),"")</f>
        <v/>
      </c>
      <c r="W47" s="20" t="str">
        <f>IF(V47&lt;&gt;"",D47*_xlfn.XLOOKUP(E47,lookups90!$B$4:$B$999,lookups90!$K$4:$K$999, "",0),"")</f>
        <v/>
      </c>
      <c r="X47" s="20" t="str" cm="1">
        <f t="array" ref="X47">IFERROR(_xlfn.IFS(OR(E47="Fix Slide Window", E47="Slide Slide Window", E47="Fix Slide Door", E47="Slide Slide Door", E47="Fix Slide Door - with Screen", E47="Slide Slide Door - with Screen"), (K47-_xlfn.XLOOKUP(E47,lookups90!$B$4:$B$999,lookups90!$F$4:$F$999, "",0)-_xlfn.XLOOKUP(E47,lookups90!$B$4:$B$999,lookups90!$G$4:$G$999, "",0)+_xlfn.XLOOKUP(E47,lookups90!$B$4:$B$999,lookups90!$H$4:$H$999, "",0))/2+_xlfn.XLOOKUP(E47,lookups90!$B$4:$B$999,lookups90!$I$4:$I$999, "",0), OR(E47="Fix Slide Slide Fix Window", E47="Fix Slide Slide Fix Door - with Screen", E47="Fix Slide Slide Fix Door"),  (K47-_xlfn.XLOOKUP(E47,lookups90!$B$4:$B$999,lookups90!$F$4:$F$999, "",0)-_xlfn.XLOOKUP(E47,lookups90!$B$4:$B$999,lookups90!$G$4:$G$999, "",0)+_xlfn.XLOOKUP(E47,lookups90!$B$4:$B$999,lookups90!$H$4:$H$999, "",0)+_xlfn.XLOOKUP(E47,lookups90!$B$4:$B$999,lookups90!$H$4:$H$999, "",0))/4+_xlfn.XLOOKUP(E47,lookups90!$B$4:$B$999,lookups90!$I$4:$I$999, "",0), E47="Fix Slide Slide Door", (K47-_xlfn.XLOOKUP(E47,lookups90!$B$4:$B$999,lookups90!$F$4:$F$999, "",0)-_xlfn.XLOOKUP(E47,lookups90!$B$4:$B$999,lookups90!$G$4:$G$999, "",0)+_xlfn.XLOOKUP(E47,lookups90!$B$4:$B$999,lookups90!$H$4:$H$999, "",0)+_xlfn.XLOOKUP(E47,lookups90!$B$4:$B$999,lookups90!$H$4:$H$999, "",0))/3+_xlfn.XLOOKUP(E47,lookups90!$B$4:$B$999,lookups90!$I$4:$I$999, "",0),E47="Fix Slide Slide Slide Slide Fix Dr",  (K47-_xlfn.XLOOKUP(E47,lookups90!$B$4:$B$999,lookups90!$F$4:$F$999, "",0)-_xlfn.XLOOKUP(E47,lookups90!$B$4:$B$999,lookups90!$G$4:$G$999, "",0)+_xlfn.XLOOKUP(E47,lookups90!$B$4:$B$999,lookups90!$H$4:$H$999, "",0)+_xlfn.XLOOKUP(E47,lookups90!$B$4:$B$999,lookups90!$H$4:$H$999, "",0)+_xlfn.XLOOKUP(E47,lookups90!$B$4:$B$999,lookups90!$H$4:$H$999, "",0)+_xlfn.XLOOKUP(E47,lookups90!$B$4:$B$999,lookups90!$H$4:$H$999, "",0))/6+_xlfn.XLOOKUP(E47,lookups90!$B$4:$B$999,lookups90!$I$4:$I$999, "",0), E47="Fix Slide Slide Slide Slide Slide Slide Fix Dr",  (K47-_xlfn.XLOOKUP(E47,lookups90!$B$4:$B$999,lookups90!$F$4:$F$999, "",0)-_xlfn.XLOOKUP(E47,lookups90!$B$4:$B$999,lookups90!$G$4:$G$999, "",0)+_xlfn.XLOOKUP(E47,lookups90!$B$4:$B$999,lookups90!$H$4:$H$999, "",0)+_xlfn.XLOOKUP(E47,lookups90!$B$4:$B$999,lookups90!$H$4:$H$999, "",0)+_xlfn.XLOOKUP(E47,lookups90!$B$4:$B$999,lookups90!$H$4:$H$999, "",0)+_xlfn.XLOOKUP(E47,lookups90!$B$4:$B$999,lookups90!$H$4:$H$999, "",0)+_xlfn.XLOOKUP(E47,lookups90!$B$4:$B$999,lookups90!$H$4:$H$999, "",0)+_xlfn.XLOOKUP(E47,lookups90!$B$4:$B$999,lookups90!$H$4:$H$999, "",0))/8+_xlfn.XLOOKUP(E47,lookups90!$B$4:$B$999,lookups90!$I$4:$I$999, "",0)),"")</f>
        <v/>
      </c>
      <c r="Y47" s="20" t="str">
        <f>IF(X47&lt;&gt;"",D47*_xlfn.XLOOKUP(E47,lookups90!$B$4:$B$999,lookups90!$L$4:$L$999, "",0),"")</f>
        <v/>
      </c>
      <c r="AA47" s="20" t="str">
        <f>IF(C47&lt;&gt;"", IF(_xlfn.XLOOKUP(E47,lookups90!$B$4:$B$999,lookups90!$P$4:$P$999,"",0)=0,"",_xlfn.XLOOKUP(E47,lookups90!$B$4:$B$999,lookups90!$P$4:$P$999,"",0)),"")</f>
        <v/>
      </c>
      <c r="AB47" s="20" t="str">
        <f>IF(AA47&lt;&gt;"", J47-_xlfn.XLOOKUP(E47,lookups90!$B$4:$B$999,lookups90!$D$4:$D$999, "",0),"")</f>
        <v/>
      </c>
      <c r="AC47" s="20" t="str">
        <f>IF(AA47&lt;&gt;"",D47*_xlfn.XLOOKUP(E47,lookups90!$B$4:$B$999,lookups90!$Q$4:$Q$999, "",0),"")</f>
        <v/>
      </c>
      <c r="AD47" s="20" t="str" cm="1">
        <f t="array" ref="AD47">IF(AA47&lt;&gt;"", _xlfn.IFS(OR(E47="Fix Slide Window", E47="Slide Slide Window", E47="Fix Slide Door", E47="Slide Slide Door", E47="Fix Slide Door - with Screen", E47="Slide Slide Door - with Screen"), (K47-_xlfn.XLOOKUP(E47,lookups90!$B$4:$B$999,lookups90!$F$4:$F$999, "",0)-_xlfn.XLOOKUP(E47,lookups90!$B$4:$B$999,lookups90!$G$4:$G$999, "",0)+_xlfn.XLOOKUP(E47,lookups90!$B$4:$B$999,lookups90!$H$4:$H$999, "",0))/2+_xlfn.XLOOKUP(E47,lookups90!$B$4:$B$999,lookups90!$I$4:$I$999, "",0), OR(E47="Fix Slide Slide Fix Window", E47="Fix Slide Slide Fix Door - with Screen", E47="Fix Slide Slide Fix Door"),  (K47-_xlfn.XLOOKUP(E47,lookups90!$B$4:$B$999,lookups90!$F$4:$F$999, "",0)-_xlfn.XLOOKUP(E47,lookups90!$B$4:$B$999,lookups90!$G$4:$G$999, "",0)+_xlfn.XLOOKUP(E47,lookups90!$B$4:$B$999,lookups90!$H$4:$H$999, "",0)+_xlfn.XLOOKUP(E47,lookups90!$B$4:$B$999,lookups90!$H$4:$H$999, "",0))/4+_xlfn.XLOOKUP(E47,lookups90!$B$4:$B$999,lookups90!$I$4:$I$999, "",0), E47="Fix Slide Slide Door", (K47-_xlfn.XLOOKUP(E47,lookups90!$B$4:$B$999,lookups90!$F$4:$F$999, "",0)-_xlfn.XLOOKUP(E47,lookups90!$B$4:$B$999,lookups90!$G$4:$G$999, "",0)+_xlfn.XLOOKUP(E47,lookups90!$B$4:$B$999,lookups90!$H$4:$H$999, "",0)+_xlfn.XLOOKUP(E47,lookups90!$B$4:$B$999,lookups90!$H$4:$H$999, "",0))/3+_xlfn.XLOOKUP(E47,lookups90!$B$4:$B$999,lookups90!$I$4:$I$999, "",0) ),"")</f>
        <v/>
      </c>
      <c r="AE47" s="20" t="str">
        <f>IF(AA47&lt;&gt;"",D47*_xlfn.XLOOKUP(E47,lookups90!$B$4:$B$999,lookups90!$R$4:$R$999, "",0),"")</f>
        <v/>
      </c>
      <c r="AG47" s="20" t="str">
        <f>IF(AH47&lt;&gt;"", J47-_xlfn.XLOOKUP(E47,lookups90!$B$4:$B$999,lookups90!$D$4:$D$999, "",0),"")</f>
        <v/>
      </c>
      <c r="AH47" s="20" t="str">
        <f>IF(_xlfn.XLOOKUP(E47,lookups90!$B$4:$B$999,lookups90!$V$4:$V$999,"",0)=0,"",D47*_xlfn.XLOOKUP(E47,lookups90!$B$4:$B$999,lookups90!$V$4:$V$999,"",0))</f>
        <v/>
      </c>
      <c r="AI47" s="20" t="str" cm="1">
        <f t="array" ref="AI47">IF(AH47&lt;&gt;"", _xlfn.IFS(OR(E47="Fix Slide Window", E47="Slide Slide Window"), (K47-_xlfn.XLOOKUP(E47,lookups90!$B$4:$B$999,lookups90!$F$4:$F$999, "",0)-_xlfn.XLOOKUP(E47,lookups90!$B$4:$B$999,lookups90!$G$4:$G$999, "",0)+_xlfn.XLOOKUP(E47,lookups90!$B$4:$B$999,lookups90!$H$4:$H$999, "",0))/2+_xlfn.XLOOKUP(E47,lookups90!$B$4:$B$999,lookups90!$I$4:$I$999, "",0), OR(E47="Fix Slide Slide Fix Window"),  (K47-_xlfn.XLOOKUP(E47,lookups90!$B$4:$B$999,lookups90!$F$4:$F$999, "",0)+_xlfn.XLOOKUP(E47,lookups90!$B$4:$B$999,lookups90!$H$4:$H$999, "",0)+_xlfn.XLOOKUP(E47,lookups90!$B$4:$B$999,lookups90!$H$4:$H$999, "",0))/4+_xlfn.XLOOKUP(E47,lookups90!$B$4:$B$999,lookups90!$I$4:$I$999, "",0)),"")</f>
        <v/>
      </c>
      <c r="AJ47" s="20" t="str">
        <f>IF(_xlfn.XLOOKUP(E47,lookups90!$B$4:$B$999,lookups90!$V$4:$V$999,"",0)=0,"",D47*_xlfn.XLOOKUP(E47,lookups90!$B$4:$B$999,lookups90!$W$4:$W$999,"",0))</f>
        <v/>
      </c>
      <c r="AL47" s="20" t="str" cm="1">
        <f t="array" ref="AL47">IF(AM47&lt;&gt;"", _xlfn.IFS(OR(E47="Fix Slide Door - with Screen", E47="Slide Slide Door - with Screen"), (K47-_xlfn.XLOOKUP(E47,lookups90!$B$4:$B$999,lookups90!$F$4:$F$999, "",0)-_xlfn.XLOOKUP(E47,lookups90!$B$4:$B$999,lookups90!$G$4:$G$999, "",0)+_xlfn.XLOOKUP(E47,lookups90!$B$4:$B$999,lookups90!$H$4:$H$999, "",0))/2+_xlfn.XLOOKUP(E47,lookups90!$B$4:$B$999,lookups90!$I$4:$I$999, "",0), OR( E47="Fix Slide Slide Fix Door - with Screen",  E47="Fix Slide Slide Door"),  (K47-_xlfn.XLOOKUP(E47,lookups90!$B$4:$B$999,lookups90!$F$4:$F$999, "",0)-_xlfn.XLOOKUP(E47,lookups90!$B$4:$B$999,lookups90!$G$4:$G$999, "",0)+_xlfn.XLOOKUP(E47,lookups90!$B$4:$B$999,lookups90!$H$4:$H$999, "",0)+_xlfn.XLOOKUP(E47,lookups90!$B$4:$B$999,lookups90!$H$4:$H$999, "",0))/4+_xlfn.XLOOKUP(E47,lookups90!$B$4:$B$999,lookups90!$I$4:$I$999, "",0)),"")</f>
        <v/>
      </c>
      <c r="AM47" s="20" t="str">
        <f>IF(_xlfn.XLOOKUP(E47,lookups90!$B$4:$B$999,lookups90!$AA$4:$AA$999,"",0)=0,"",D47*_xlfn.XLOOKUP(E47,lookups90!$B$4:$B$999,lookups90!$AA$4:$AA$999,"",0))</f>
        <v/>
      </c>
      <c r="AO47" s="20" t="str">
        <f>IFERROR(IF(C47&lt;&gt;"", T47-_xlfn.XLOOKUP(E47,lookups90!$B$4:$B$999,lookups90!$AE$4:$AE$999, "",0),""),"")</f>
        <v/>
      </c>
      <c r="AP47" s="20" t="str">
        <f>IF(_xlfn.XLOOKUP(E47,lookups90!$B$4:$B$999,lookups90!$AG$4:$AG$999,"",0)=0,"",D47*_xlfn.XLOOKUP(E47,lookups90!$B$4:$B$999,lookups90!$AG$4:$AG$999,"",0))</f>
        <v/>
      </c>
      <c r="AQ47" s="20" t="str">
        <f>IF(V47&lt;&gt;"", T47-_xlfn.XLOOKUP(E47,lookups90!$B$4:$B$999,lookups90!$AE$4:$AE$999, "",0)+_xlfn.XLOOKUP(E47,lookups90!$B$4:$B$999,lookups90!$AF$4:$AF$999, "",0),"")</f>
        <v/>
      </c>
      <c r="AR47" s="20" t="str">
        <f>IFERROR(IF(_xlfn.XLOOKUP(E47,lookups90!$B$4:$B$999,lookups90!$AH$4:$AH$999,"",0)=0,"",D47*_xlfn.XLOOKUP(E47,lookups90!$B$4:$B$999,lookups90!$AH$4:$AH$999,"",0)),"")</f>
        <v/>
      </c>
      <c r="AT47" s="20" t="str">
        <f>IF(OR(E47="Fix Slide Slide Fix Window", E47="Fix Slide Slide Fix Door", E47="Fix Slide Slide Fix Door - with Screen", E47="Fix Slide Slide Door"), T47-_xlfn.XLOOKUP(E47,lookups90!$B$4:$B$999,lookups90!$AE$4:$AE$999,"",0),"")</f>
        <v/>
      </c>
      <c r="AU47" s="20" t="str">
        <f>IFERROR(IF(_xlfn.XLOOKUP(E47,lookups90!$B$4:$B$999,lookups90!$AL$4:$AL$999,"",0)=0,"",D47*_xlfn.XLOOKUP(E47,lookups90!$B$4:$B$999,lookups90!$AL$4:$AL$999,"",0)),"")</f>
        <v/>
      </c>
      <c r="AW47" s="20" t="str">
        <f>IF(C47&lt;&gt;"", T47-_xlfn.XLOOKUP(E47,lookups90!$B$4:$B$999,lookups90!$AP$4:$AP$999,"",0),"")</f>
        <v/>
      </c>
      <c r="AX47" s="20" t="str">
        <f>IFERROR(IF(_xlfn.XLOOKUP(E47,lookups90!$B$4:$B$999,lookups90!$AR$4:$AR$999,"",0)=0,"",D47*_xlfn.XLOOKUP(E47,lookups90!$B$4:$B$999,lookups90!$AR$4:$AR$999,"",0)),"")</f>
        <v/>
      </c>
      <c r="AY47" s="24" t="str">
        <f>IF(V47&lt;&gt;"", V47-_xlfn.XLOOKUP(E47,lookups90!$B$4:$B$999,lookups90!$AP$4:$AP$999,"",0),"")</f>
        <v/>
      </c>
      <c r="AZ47" s="20" t="str">
        <f>IFERROR(IF(_xlfn.XLOOKUP(E47,lookups90!$B$4:$B$999,lookups90!$AS$4:$AS$999,"",0)=0,"",D47*_xlfn.XLOOKUP(E47,lookups90!$B$4:$B$999,lookups90!$AS$4:$AS$999,"",0)),"")</f>
        <v/>
      </c>
      <c r="BA47" s="20" t="str">
        <f>IF(X47&lt;&gt;"", X47-_xlfn.XLOOKUP(E47,lookups90!$B$4:$B$999,lookups90!$AQ$4:$AQ$999,"",0),"")</f>
        <v/>
      </c>
      <c r="BB47" s="20" t="str">
        <f>IFERROR(IF(_xlfn.XLOOKUP(E47,lookups90!$B$4:$B$999,lookups90!$AT$4:$AT$999,"",0)=0,"",D47*_xlfn.XLOOKUP(E47,lookups90!$B$4:$B$999,lookups90!$AT$4:$AT$999,"",0)),"")</f>
        <v/>
      </c>
      <c r="BD47" s="20" t="str">
        <f>IF(C47&lt;&gt;"", N47-_xlfn.XLOOKUP(E47,lookups90!$B$4:$B$999,lookups90!$AX$4:$AX$999,"",0)+M47,"")</f>
        <v/>
      </c>
      <c r="BE47" s="20" t="str">
        <f>IFERROR(IF(_xlfn.XLOOKUP(E47,lookups90!$B$4:$B$999,lookups90!$AY$4:$AY$999,"",0)=0,"",D47*_xlfn.XLOOKUP(E47,lookups90!$B$4:$B$999,lookups90!$AY$4:$AY$999,"",0)),"")</f>
        <v/>
      </c>
      <c r="BF47" s="20" t="str">
        <f>IF(C47&lt;&gt;"", P47-_xlfn.XLOOKUP(E47,lookups90!$B$4:$B$999,lookups90!$AX$4:$AX$999,"",0)+M47,"")</f>
        <v/>
      </c>
      <c r="BG47" s="20" t="str">
        <f>IFERROR(IF(_xlfn.XLOOKUP(E47,lookups90!$B$4:$B$999,lookups90!$AZ$4:$AZ$999,"",0)=0,"",D47*_xlfn.XLOOKUP(E47,lookups90!$B$4:$B$999,lookups90!$AZ$4:$AZ$999,"",0)),"")</f>
        <v/>
      </c>
      <c r="BI47" s="20" t="str">
        <f>IF(C47&lt;&gt;"", T47-_xlfn.XLOOKUP(E47,lookups90!$B$4:$B$999,lookups90!$BA$4:$BA$999,"",0),"")</f>
        <v/>
      </c>
      <c r="BJ47" s="20" t="str">
        <f>IFERROR(IF(_xlfn.XLOOKUP(E47,lookups90!$B$4:$B$999,lookups90!$BB$4:$BB$999,"",0)=0,"",D47*_xlfn.XLOOKUP(E47,lookups90!$B$4:$B$999,lookups90!$BB$4:$BB$999,"",0)),"")</f>
        <v/>
      </c>
      <c r="BK47" s="20" t="str">
        <f>IF(V47&lt;&gt;"", V47-_xlfn.XLOOKUP(E47,lookups90!$B$4:$B$999,lookups90!$BA$4:$BA$999,"",0),"")</f>
        <v/>
      </c>
      <c r="BL47" s="20" t="str">
        <f>IFERROR(IF(_xlfn.XLOOKUP(E47,lookups90!$B$4:$B$999,lookups90!$BC$4:$BC$999,"",0)=0,"",D47*_xlfn.XLOOKUP(E47,lookups90!$B$4:$B$999,lookups90!$BC$4:$BC$999,"",0)),"")</f>
        <v/>
      </c>
      <c r="BM47" s="20" t="str">
        <f>IF(C47&lt;&gt;"", X47-_xlfn.XLOOKUP(E47,lookups90!$B$4:$B$999,lookups90!$BA$4:$BA$999,"",0),"")</f>
        <v/>
      </c>
      <c r="BN47" s="20" t="str">
        <f>IFERROR(IF(_xlfn.XLOOKUP(E47,lookups90!$B$4:$B$999,lookups90!$BD$4:$BD$999,"",0)=0,"",D47*_xlfn.XLOOKUP(E47,lookups90!$B$4:$B$999,lookups90!$BD$4:$BD$999,"",0)),"")</f>
        <v/>
      </c>
      <c r="BP47" s="20" t="str">
        <f>IF(AB47&lt;&gt;"", AB47-_xlfn.XLOOKUP(E47,lookups90!$B$4:$B$999,lookups90!$BE$4:$BE$999,"",0),"")</f>
        <v/>
      </c>
      <c r="BQ47" s="20" t="str">
        <f>IFERROR(IF(_xlfn.XLOOKUP(E47,lookups90!$B$4:$B$999,lookups90!$BF$4:$BF$999,"",0)=0,"",D47*_xlfn.XLOOKUP(E47,lookups90!$B$4:$B$999,lookups90!$BF$4:$BF$999,"",0)),"")</f>
        <v/>
      </c>
      <c r="BR47" s="20" t="str" cm="1">
        <f t="array" ref="BR47">_xlfn.IFS(BP47="","",OR(E47="Fix Slide Door - with Screen",E47="Slide Slide Door - with Screen"),(K47-_xlfn.XLOOKUP(E47,lookups90!$B$4:$B$999,lookups90!$F$4:$F$999,"",0)-_xlfn.XLOOKUP(E47,lookups90!$B$4:$B$999,lookups90!$G$4:$G$999,"",0)+_xlfn.XLOOKUP(E47,lookups90!$B$4:$B$999,lookups90!$H$4:$H$999,"",0))/2+_xlfn.XLOOKUP(E47,lookups90!$B$4:$B$999,lookups90!$I$4:$I$999,"",0)-_xlfn.XLOOKUP(E47,lookups90!$B$4:$B$999,lookups90!$BE$4:$BE$999,"",0), E47="Fix Slide Slide Fix Door - with Screen",(K47-_xlfn.XLOOKUP(E47,lookups90!$B$4:$B$999,lookups90!$F$4:$F$999,"",0)-_xlfn.XLOOKUP(E47,lookups90!$B$4:$B$999,lookups90!$G$4:$G$999,"",0)+_xlfn.XLOOKUP(E47,lookups90!$B$4:$B$999,lookups90!$H$4:$H$999,"",0)+_xlfn.XLOOKUP(E47,lookups90!$B$4:$B$999,lookups90!$H$4:$H$999,"",0))/4+_xlfn.XLOOKUP(E47,lookups90!$B$4:$B$999,lookups90!$I$4:$I$999,"",0)-_xlfn.XLOOKUP(E47,lookups90!$B$4:$B$999,lookups90!$BE$4:$BE$999,"",0))</f>
        <v/>
      </c>
      <c r="BS47" s="20" t="str">
        <f>IFERROR(IF(_xlfn.XLOOKUP(E47,lookups90!$B$4:$B$999,lookups90!$BG$4:$BG$999,"",0)=0,"",D47*_xlfn.XLOOKUP(E47,lookups90!$B$4:$B$999,lookups90!$BG$4:$BG$999,"",0)),"")</f>
        <v/>
      </c>
      <c r="BU47" s="20" t="str">
        <f>IF(AG47&lt;&gt;"",AG47-_xlfn.XLOOKUP(E47,lookups90!$B$4:$B$999,lookups90!$BA$4:$BA$999,"",0),"")</f>
        <v/>
      </c>
      <c r="BV47" s="20" t="str">
        <f>IFERROR(IF(_xlfn.XLOOKUP(E47,lookups90!$B$4:$B$999,lookups90!$BH$4:$BH$999,"",0)=0,"",D47*_xlfn.XLOOKUP(E47,lookups90!$B$4:$B$999,lookups90!$BH$4:$BH$999,"",0)),"")</f>
        <v/>
      </c>
      <c r="BW47" s="20" t="str" cm="1">
        <f t="array" ref="BW47">_xlfn.IFS(BU47="","",OR(E47="Fix Slide Window",E47="Slide Slide Window"),(K47-_xlfn.XLOOKUP(E47,lookups90!$B$4:$B$999,lookups90!$F$4:$F$999,"",0)-_xlfn.XLOOKUP(E47,lookups90!$B$4:$B$999,lookups90!$G$4:$G$999,"",0)+_xlfn.XLOOKUP(E47,lookups90!$B$4:$B$999,lookups90!$H$4:$H$999,"",0))/2+_xlfn.XLOOKUP(E47,lookups90!$B$4:$B$999,lookups90!$I$4:$I$999,"",0)-_xlfn.XLOOKUP(E47,lookups90!$B$4:$B$999,lookups90!$BA$4:$BA$999,"",0), E47="Fix Slide Slide Fix Window",(K47-_xlfn.XLOOKUP(E47,lookups90!$B$4:$B$999,lookups90!$F$4:$F$999,"",0)-_xlfn.XLOOKUP(E47,lookups90!$B$4:$B$999,lookups90!$G$4:$G$999,"",0)+_xlfn.XLOOKUP(E47,lookups90!$B$4:$B$999,lookups90!$H$4:$H$999,"",0)+_xlfn.XLOOKUP(E47,lookups90!$B$4:$B$999,lookups90!$H$4:$H$999,"",0))/4+_xlfn.XLOOKUP(E47,lookups90!$B$4:$B$999,lookups90!$I$4:$I$999,"",0)-_xlfn.XLOOKUP(E47,lookups90!$B$4:$B$999,lookups90!$BA$4:$BA$999,"",0))</f>
        <v/>
      </c>
      <c r="BX47" s="20" t="str">
        <f>IFERROR(IF(_xlfn.XLOOKUP(E47,lookups90!$B$4:$B$999,lookups90!$BI$4:$BI$999,"",0)=0,"",D47*_xlfn.XLOOKUP(E47,lookups90!$B$4:$B$999,lookups90!$BI$4:$BI$999,"",0)),"")</f>
        <v/>
      </c>
      <c r="BZ47" s="20" t="str">
        <f>IF(AL47&lt;&gt;"", AL47-_xlfn.XLOOKUP(E47,lookups90!$B$4:$B$999,lookups90!$BJ$4:$BJ$999,"",0),"")</f>
        <v/>
      </c>
      <c r="CA47" s="20" t="str">
        <f>IFERROR(IF(_xlfn.XLOOKUP(E47,lookups90!$B$4:$B$999,lookups90!$BK$4:$BK$999,"",0)=0,"",D47*_xlfn.XLOOKUP(E47,lookups90!$B$4:$B$999,lookups90!$BK$4:$BK$999,"",0)),"")</f>
        <v/>
      </c>
      <c r="CC47" s="20" t="str">
        <f>IF(C47&lt;&gt;"", T47-_xlfn.XLOOKUP(E47,lookups90!$B$4:$B$999,lookups90!$BO$4:$BO$999,"",0)-_xlfn.XLOOKUP(E47,lookups90!$B$4:$B$999,lookups90!$BP$4:$BP$999,"",0),"")</f>
        <v/>
      </c>
      <c r="CD47" s="20" t="str">
        <f>IF(C47&lt;&gt;"", X47-_xlfn.XLOOKUP(E47,lookups90!$B$4:$B$999,lookups90!$BQ$4:$BQ$999,"",0)-_xlfn.XLOOKUP(E47,lookups90!$B$4:$B$999,lookups90!$BR$4:$BR$999,"",0),"")</f>
        <v/>
      </c>
      <c r="CE47" s="20" t="str">
        <f>IFERROR(IF(_xlfn.XLOOKUP(E47,lookups90!$B$4:$B$999,lookups90!$BS$4:$BS$999,"",0)=0,"",D47*_xlfn.XLOOKUP(E47,lookups90!$B$4:$B$999,lookups90!$BS$4:$BS$999,"",0)),"")</f>
        <v/>
      </c>
      <c r="CF47" s="20" t="str">
        <f>IF(V47&lt;&gt;"", V47-_xlfn.XLOOKUP(E47,lookups90!$B$4:$B$999,lookups90!$BO$4:$BO$999,"",0)-_xlfn.XLOOKUP(E47,lookups90!$B$4:$B$999,lookups90!$BP$4:$BP$999,"",0),"")</f>
        <v/>
      </c>
      <c r="CG47" s="20" t="str">
        <f>IF(CF47&lt;&gt;"", X47-_xlfn.XLOOKUP(E47,lookups90!$B$4:$B$999,lookups90!$BQ$4:$BQ$999,"",0)-_xlfn.XLOOKUP(E47,lookups90!$B$4:$B$999,lookups90!$BR$4:$BR$999,"",0),"")</f>
        <v/>
      </c>
      <c r="CH47" s="20" t="str">
        <f>IFERROR(IF(_xlfn.XLOOKUP(E47,lookups90!$B$4:$B$999,lookups90!$BT$4:$BT$999,"",0)=0,"",D47*_xlfn.XLOOKUP(E47,lookups90!$B$4:$B$999,lookups90!$BT$4:$BT$999,"",0)),"")</f>
        <v/>
      </c>
      <c r="CJ47" s="22" t="str">
        <f t="shared" si="5"/>
        <v/>
      </c>
      <c r="CL47" s="22" t="str" cm="1">
        <f t="array" ref="CL47">IF(D47&lt;&gt;"",((((J47+K47)*2)/500)+(2*_xlfn.IFS(OR(E47="Fix Slide Window", E47="Slide Slide Window", E47="Fix Slide Slide Fix Window"), 2, E47="Slide Slide Door - with Screen", 8, E47&lt;&gt;"",4)))*D47,"")</f>
        <v/>
      </c>
      <c r="CM47" s="22" t="str">
        <f t="shared" si="9"/>
        <v/>
      </c>
      <c r="CN47" s="22" t="str">
        <f t="shared" si="10"/>
        <v/>
      </c>
      <c r="CO47" s="22" t="str">
        <f t="shared" si="8"/>
        <v/>
      </c>
      <c r="CP47" s="22" t="str">
        <f t="shared" ref="CP47:CP65" si="11">IF(D47&lt;&gt;"",(J47+K47)*2/1500,"")</f>
        <v/>
      </c>
    </row>
    <row r="48" spans="3:94" ht="13.5" customHeight="1" x14ac:dyDescent="0.25">
      <c r="C48" s="16"/>
      <c r="D48" s="16"/>
      <c r="E48" s="16"/>
      <c r="F48" s="16"/>
      <c r="G48" s="16"/>
      <c r="H48" s="16"/>
      <c r="I48" s="16"/>
      <c r="J48" s="16"/>
      <c r="K48" s="16"/>
      <c r="M48" s="20" t="str">
        <f t="shared" si="1"/>
        <v/>
      </c>
      <c r="N48" s="20" t="str" cm="1">
        <f t="array" ref="N48">IFERROR(_xlfn.IFS(OR(E48="Fix Awning (Vertical)", E48="Fix Awning (Horizontal)"), J48/2+20,C48&lt;&gt;"", J48+M48),"")</f>
        <v/>
      </c>
      <c r="O48" s="20" t="str">
        <f t="shared" si="2"/>
        <v/>
      </c>
      <c r="P48" s="20" t="str">
        <f t="shared" si="3"/>
        <v/>
      </c>
      <c r="Q48" s="20" t="str">
        <f t="shared" si="4"/>
        <v/>
      </c>
      <c r="S48" s="20" t="str">
        <f>IF(C48&lt;&gt;"", _xlfn.XLOOKUP(E48,lookups90!$B$4:$B$999,lookups90!$C$4:$C$999,"",0),"")</f>
        <v/>
      </c>
      <c r="T48" s="20" t="str">
        <f>IF(C48&lt;&gt;"", J48-_xlfn.XLOOKUP(E48,lookups90!$B$4:$B$999,lookups90!$D$4:$D$999, "",0),"")</f>
        <v/>
      </c>
      <c r="U48" s="20" t="str">
        <f>IF(T48&lt;&gt;"",D48*_xlfn.XLOOKUP(E48,lookups90!$B$4:$B$999,lookups90!$J$4:$J$999, "",0),"")</f>
        <v/>
      </c>
      <c r="V48" s="20" t="str">
        <f>IF(AND(C48&lt;&gt;"", E48&lt;&gt;"Slide Slide Window", E48&lt;&gt;"Slide Slide Door", E48&lt;&gt;"Slide Slide Door - with Screen"), J48-_xlfn.XLOOKUP(E48,lookups90!$B$4:$B$999,lookups90!$E$4:$E$999, "",0),"")</f>
        <v/>
      </c>
      <c r="W48" s="20" t="str">
        <f>IF(V48&lt;&gt;"",D48*_xlfn.XLOOKUP(E48,lookups90!$B$4:$B$999,lookups90!$K$4:$K$999, "",0),"")</f>
        <v/>
      </c>
      <c r="X48" s="20" t="str" cm="1">
        <f t="array" ref="X48">IFERROR(_xlfn.IFS(OR(E48="Fix Slide Window", E48="Slide Slide Window", E48="Fix Slide Door", E48="Slide Slide Door", E48="Fix Slide Door - with Screen", E48="Slide Slide Door - with Screen"), (K48-_xlfn.XLOOKUP(E48,lookups90!$B$4:$B$999,lookups90!$F$4:$F$999, "",0)-_xlfn.XLOOKUP(E48,lookups90!$B$4:$B$999,lookups90!$G$4:$G$999, "",0)+_xlfn.XLOOKUP(E48,lookups90!$B$4:$B$999,lookups90!$H$4:$H$999, "",0))/2+_xlfn.XLOOKUP(E48,lookups90!$B$4:$B$999,lookups90!$I$4:$I$999, "",0), OR(E48="Fix Slide Slide Fix Window", E48="Fix Slide Slide Fix Door - with Screen", E48="Fix Slide Slide Fix Door"),  (K48-_xlfn.XLOOKUP(E48,lookups90!$B$4:$B$999,lookups90!$F$4:$F$999, "",0)-_xlfn.XLOOKUP(E48,lookups90!$B$4:$B$999,lookups90!$G$4:$G$999, "",0)+_xlfn.XLOOKUP(E48,lookups90!$B$4:$B$999,lookups90!$H$4:$H$999, "",0)+_xlfn.XLOOKUP(E48,lookups90!$B$4:$B$999,lookups90!$H$4:$H$999, "",0))/4+_xlfn.XLOOKUP(E48,lookups90!$B$4:$B$999,lookups90!$I$4:$I$999, "",0), E48="Fix Slide Slide Door", (K48-_xlfn.XLOOKUP(E48,lookups90!$B$4:$B$999,lookups90!$F$4:$F$999, "",0)-_xlfn.XLOOKUP(E48,lookups90!$B$4:$B$999,lookups90!$G$4:$G$999, "",0)+_xlfn.XLOOKUP(E48,lookups90!$B$4:$B$999,lookups90!$H$4:$H$999, "",0)+_xlfn.XLOOKUP(E48,lookups90!$B$4:$B$999,lookups90!$H$4:$H$999, "",0))/3+_xlfn.XLOOKUP(E48,lookups90!$B$4:$B$999,lookups90!$I$4:$I$999, "",0),E48="Fix Slide Slide Slide Slide Fix Dr",  (K48-_xlfn.XLOOKUP(E48,lookups90!$B$4:$B$999,lookups90!$F$4:$F$999, "",0)-_xlfn.XLOOKUP(E48,lookups90!$B$4:$B$999,lookups90!$G$4:$G$999, "",0)+_xlfn.XLOOKUP(E48,lookups90!$B$4:$B$999,lookups90!$H$4:$H$999, "",0)+_xlfn.XLOOKUP(E48,lookups90!$B$4:$B$999,lookups90!$H$4:$H$999, "",0)+_xlfn.XLOOKUP(E48,lookups90!$B$4:$B$999,lookups90!$H$4:$H$999, "",0)+_xlfn.XLOOKUP(E48,lookups90!$B$4:$B$999,lookups90!$H$4:$H$999, "",0))/6+_xlfn.XLOOKUP(E48,lookups90!$B$4:$B$999,lookups90!$I$4:$I$999, "",0), E48="Fix Slide Slide Slide Slide Slide Slide Fix Dr",  (K48-_xlfn.XLOOKUP(E48,lookups90!$B$4:$B$999,lookups90!$F$4:$F$999, "",0)-_xlfn.XLOOKUP(E48,lookups90!$B$4:$B$999,lookups90!$G$4:$G$999, "",0)+_xlfn.XLOOKUP(E48,lookups90!$B$4:$B$999,lookups90!$H$4:$H$999, "",0)+_xlfn.XLOOKUP(E48,lookups90!$B$4:$B$999,lookups90!$H$4:$H$999, "",0)+_xlfn.XLOOKUP(E48,lookups90!$B$4:$B$999,lookups90!$H$4:$H$999, "",0)+_xlfn.XLOOKUP(E48,lookups90!$B$4:$B$999,lookups90!$H$4:$H$999, "",0)+_xlfn.XLOOKUP(E48,lookups90!$B$4:$B$999,lookups90!$H$4:$H$999, "",0)+_xlfn.XLOOKUP(E48,lookups90!$B$4:$B$999,lookups90!$H$4:$H$999, "",0))/8+_xlfn.XLOOKUP(E48,lookups90!$B$4:$B$999,lookups90!$I$4:$I$999, "",0)),"")</f>
        <v/>
      </c>
      <c r="Y48" s="20" t="str">
        <f>IF(X48&lt;&gt;"",D48*_xlfn.XLOOKUP(E48,lookups90!$B$4:$B$999,lookups90!$L$4:$L$999, "",0),"")</f>
        <v/>
      </c>
      <c r="AA48" s="20" t="str">
        <f>IF(C48&lt;&gt;"", IF(_xlfn.XLOOKUP(E48,lookups90!$B$4:$B$999,lookups90!$P$4:$P$999,"",0)=0,"",_xlfn.XLOOKUP(E48,lookups90!$B$4:$B$999,lookups90!$P$4:$P$999,"",0)),"")</f>
        <v/>
      </c>
      <c r="AB48" s="20" t="str">
        <f>IF(AA48&lt;&gt;"", J48-_xlfn.XLOOKUP(E48,lookups90!$B$4:$B$999,lookups90!$D$4:$D$999, "",0),"")</f>
        <v/>
      </c>
      <c r="AC48" s="20" t="str">
        <f>IF(AA48&lt;&gt;"",D48*_xlfn.XLOOKUP(E48,lookups90!$B$4:$B$999,lookups90!$Q$4:$Q$999, "",0),"")</f>
        <v/>
      </c>
      <c r="AD48" s="20" t="str" cm="1">
        <f t="array" ref="AD48">IF(AA48&lt;&gt;"", _xlfn.IFS(OR(E48="Fix Slide Window", E48="Slide Slide Window", E48="Fix Slide Door", E48="Slide Slide Door", E48="Fix Slide Door - with Screen", E48="Slide Slide Door - with Screen"), (K48-_xlfn.XLOOKUP(E48,lookups90!$B$4:$B$999,lookups90!$F$4:$F$999, "",0)-_xlfn.XLOOKUP(E48,lookups90!$B$4:$B$999,lookups90!$G$4:$G$999, "",0)+_xlfn.XLOOKUP(E48,lookups90!$B$4:$B$999,lookups90!$H$4:$H$999, "",0))/2+_xlfn.XLOOKUP(E48,lookups90!$B$4:$B$999,lookups90!$I$4:$I$999, "",0), OR(E48="Fix Slide Slide Fix Window", E48="Fix Slide Slide Fix Door - with Screen", E48="Fix Slide Slide Fix Door"),  (K48-_xlfn.XLOOKUP(E48,lookups90!$B$4:$B$999,lookups90!$F$4:$F$999, "",0)-_xlfn.XLOOKUP(E48,lookups90!$B$4:$B$999,lookups90!$G$4:$G$999, "",0)+_xlfn.XLOOKUP(E48,lookups90!$B$4:$B$999,lookups90!$H$4:$H$999, "",0)+_xlfn.XLOOKUP(E48,lookups90!$B$4:$B$999,lookups90!$H$4:$H$999, "",0))/4+_xlfn.XLOOKUP(E48,lookups90!$B$4:$B$999,lookups90!$I$4:$I$999, "",0), E48="Fix Slide Slide Door", (K48-_xlfn.XLOOKUP(E48,lookups90!$B$4:$B$999,lookups90!$F$4:$F$999, "",0)-_xlfn.XLOOKUP(E48,lookups90!$B$4:$B$999,lookups90!$G$4:$G$999, "",0)+_xlfn.XLOOKUP(E48,lookups90!$B$4:$B$999,lookups90!$H$4:$H$999, "",0)+_xlfn.XLOOKUP(E48,lookups90!$B$4:$B$999,lookups90!$H$4:$H$999, "",0))/3+_xlfn.XLOOKUP(E48,lookups90!$B$4:$B$999,lookups90!$I$4:$I$999, "",0) ),"")</f>
        <v/>
      </c>
      <c r="AE48" s="20" t="str">
        <f>IF(AA48&lt;&gt;"",D48*_xlfn.XLOOKUP(E48,lookups90!$B$4:$B$999,lookups90!$R$4:$R$999, "",0),"")</f>
        <v/>
      </c>
      <c r="AG48" s="20" t="str">
        <f>IF(AH48&lt;&gt;"", J48-_xlfn.XLOOKUP(E48,lookups90!$B$4:$B$999,lookups90!$D$4:$D$999, "",0),"")</f>
        <v/>
      </c>
      <c r="AH48" s="20" t="str">
        <f>IF(_xlfn.XLOOKUP(E48,lookups90!$B$4:$B$999,lookups90!$V$4:$V$999,"",0)=0,"",D48*_xlfn.XLOOKUP(E48,lookups90!$B$4:$B$999,lookups90!$V$4:$V$999,"",0))</f>
        <v/>
      </c>
      <c r="AI48" s="20" t="str" cm="1">
        <f t="array" ref="AI48">IF(AH48&lt;&gt;"", _xlfn.IFS(OR(E48="Fix Slide Window", E48="Slide Slide Window"), (K48-_xlfn.XLOOKUP(E48,lookups90!$B$4:$B$999,lookups90!$F$4:$F$999, "",0)-_xlfn.XLOOKUP(E48,lookups90!$B$4:$B$999,lookups90!$G$4:$G$999, "",0)+_xlfn.XLOOKUP(E48,lookups90!$B$4:$B$999,lookups90!$H$4:$H$999, "",0))/2+_xlfn.XLOOKUP(E48,lookups90!$B$4:$B$999,lookups90!$I$4:$I$999, "",0), OR(E48="Fix Slide Slide Fix Window"),  (K48-_xlfn.XLOOKUP(E48,lookups90!$B$4:$B$999,lookups90!$F$4:$F$999, "",0)+_xlfn.XLOOKUP(E48,lookups90!$B$4:$B$999,lookups90!$H$4:$H$999, "",0)+_xlfn.XLOOKUP(E48,lookups90!$B$4:$B$999,lookups90!$H$4:$H$999, "",0))/4+_xlfn.XLOOKUP(E48,lookups90!$B$4:$B$999,lookups90!$I$4:$I$999, "",0)),"")</f>
        <v/>
      </c>
      <c r="AJ48" s="20" t="str">
        <f>IF(_xlfn.XLOOKUP(E48,lookups90!$B$4:$B$999,lookups90!$V$4:$V$999,"",0)=0,"",D48*_xlfn.XLOOKUP(E48,lookups90!$B$4:$B$999,lookups90!$W$4:$W$999,"",0))</f>
        <v/>
      </c>
      <c r="AL48" s="20" t="str" cm="1">
        <f t="array" ref="AL48">IF(AM48&lt;&gt;"", _xlfn.IFS(OR(E48="Fix Slide Door - with Screen", E48="Slide Slide Door - with Screen"), (K48-_xlfn.XLOOKUP(E48,lookups90!$B$4:$B$999,lookups90!$F$4:$F$999, "",0)-_xlfn.XLOOKUP(E48,lookups90!$B$4:$B$999,lookups90!$G$4:$G$999, "",0)+_xlfn.XLOOKUP(E48,lookups90!$B$4:$B$999,lookups90!$H$4:$H$999, "",0))/2+_xlfn.XLOOKUP(E48,lookups90!$B$4:$B$999,lookups90!$I$4:$I$999, "",0), OR( E48="Fix Slide Slide Fix Door - with Screen",  E48="Fix Slide Slide Door"),  (K48-_xlfn.XLOOKUP(E48,lookups90!$B$4:$B$999,lookups90!$F$4:$F$999, "",0)-_xlfn.XLOOKUP(E48,lookups90!$B$4:$B$999,lookups90!$G$4:$G$999, "",0)+_xlfn.XLOOKUP(E48,lookups90!$B$4:$B$999,lookups90!$H$4:$H$999, "",0)+_xlfn.XLOOKUP(E48,lookups90!$B$4:$B$999,lookups90!$H$4:$H$999, "",0))/4+_xlfn.XLOOKUP(E48,lookups90!$B$4:$B$999,lookups90!$I$4:$I$999, "",0)),"")</f>
        <v/>
      </c>
      <c r="AM48" s="20" t="str">
        <f>IF(_xlfn.XLOOKUP(E48,lookups90!$B$4:$B$999,lookups90!$AA$4:$AA$999,"",0)=0,"",D48*_xlfn.XLOOKUP(E48,lookups90!$B$4:$B$999,lookups90!$AA$4:$AA$999,"",0))</f>
        <v/>
      </c>
      <c r="AO48" s="20" t="str">
        <f>IFERROR(IF(C48&lt;&gt;"", T48-_xlfn.XLOOKUP(E48,lookups90!$B$4:$B$999,lookups90!$AE$4:$AE$999, "",0),""),"")</f>
        <v/>
      </c>
      <c r="AP48" s="20" t="str">
        <f>IF(_xlfn.XLOOKUP(E48,lookups90!$B$4:$B$999,lookups90!$AG$4:$AG$999,"",0)=0,"",D48*_xlfn.XLOOKUP(E48,lookups90!$B$4:$B$999,lookups90!$AG$4:$AG$999,"",0))</f>
        <v/>
      </c>
      <c r="AQ48" s="20" t="str">
        <f>IF(V48&lt;&gt;"", T48-_xlfn.XLOOKUP(E48,lookups90!$B$4:$B$999,lookups90!$AE$4:$AE$999, "",0)+_xlfn.XLOOKUP(E48,lookups90!$B$4:$B$999,lookups90!$AF$4:$AF$999, "",0),"")</f>
        <v/>
      </c>
      <c r="AR48" s="20" t="str">
        <f>IFERROR(IF(_xlfn.XLOOKUP(E48,lookups90!$B$4:$B$999,lookups90!$AH$4:$AH$999,"",0)=0,"",D48*_xlfn.XLOOKUP(E48,lookups90!$B$4:$B$999,lookups90!$AH$4:$AH$999,"",0)),"")</f>
        <v/>
      </c>
      <c r="AT48" s="20" t="str">
        <f>IF(OR(E48="Fix Slide Slide Fix Window", E48="Fix Slide Slide Fix Door", E48="Fix Slide Slide Fix Door - with Screen", E48="Fix Slide Slide Door"), T48-_xlfn.XLOOKUP(E48,lookups90!$B$4:$B$999,lookups90!$AE$4:$AE$999,"",0),"")</f>
        <v/>
      </c>
      <c r="AU48" s="20" t="str">
        <f>IFERROR(IF(_xlfn.XLOOKUP(E48,lookups90!$B$4:$B$999,lookups90!$AL$4:$AL$999,"",0)=0,"",D48*_xlfn.XLOOKUP(E48,lookups90!$B$4:$B$999,lookups90!$AL$4:$AL$999,"",0)),"")</f>
        <v/>
      </c>
      <c r="AW48" s="20" t="str">
        <f>IF(C48&lt;&gt;"", T48-_xlfn.XLOOKUP(E48,lookups90!$B$4:$B$999,lookups90!$AP$4:$AP$999,"",0),"")</f>
        <v/>
      </c>
      <c r="AX48" s="20" t="str">
        <f>IFERROR(IF(_xlfn.XLOOKUP(E48,lookups90!$B$4:$B$999,lookups90!$AR$4:$AR$999,"",0)=0,"",D48*_xlfn.XLOOKUP(E48,lookups90!$B$4:$B$999,lookups90!$AR$4:$AR$999,"",0)),"")</f>
        <v/>
      </c>
      <c r="AY48" s="24" t="str">
        <f>IF(V48&lt;&gt;"", V48-_xlfn.XLOOKUP(E48,lookups90!$B$4:$B$999,lookups90!$AP$4:$AP$999,"",0),"")</f>
        <v/>
      </c>
      <c r="AZ48" s="20" t="str">
        <f>IFERROR(IF(_xlfn.XLOOKUP(E48,lookups90!$B$4:$B$999,lookups90!$AS$4:$AS$999,"",0)=0,"",D48*_xlfn.XLOOKUP(E48,lookups90!$B$4:$B$999,lookups90!$AS$4:$AS$999,"",0)),"")</f>
        <v/>
      </c>
      <c r="BA48" s="20" t="str">
        <f>IF(X48&lt;&gt;"", X48-_xlfn.XLOOKUP(E48,lookups90!$B$4:$B$999,lookups90!$AQ$4:$AQ$999,"",0),"")</f>
        <v/>
      </c>
      <c r="BB48" s="20" t="str">
        <f>IFERROR(IF(_xlfn.XLOOKUP(E48,lookups90!$B$4:$B$999,lookups90!$AT$4:$AT$999,"",0)=0,"",D48*_xlfn.XLOOKUP(E48,lookups90!$B$4:$B$999,lookups90!$AT$4:$AT$999,"",0)),"")</f>
        <v/>
      </c>
      <c r="BD48" s="20" t="str">
        <f>IF(C48&lt;&gt;"", N48-_xlfn.XLOOKUP(E48,lookups90!$B$4:$B$999,lookups90!$AX$4:$AX$999,"",0)+M48,"")</f>
        <v/>
      </c>
      <c r="BE48" s="20" t="str">
        <f>IFERROR(IF(_xlfn.XLOOKUP(E48,lookups90!$B$4:$B$999,lookups90!$AY$4:$AY$999,"",0)=0,"",D48*_xlfn.XLOOKUP(E48,lookups90!$B$4:$B$999,lookups90!$AY$4:$AY$999,"",0)),"")</f>
        <v/>
      </c>
      <c r="BF48" s="20" t="str">
        <f>IF(C48&lt;&gt;"", P48-_xlfn.XLOOKUP(E48,lookups90!$B$4:$B$999,lookups90!$AX$4:$AX$999,"",0)+M48,"")</f>
        <v/>
      </c>
      <c r="BG48" s="20" t="str">
        <f>IFERROR(IF(_xlfn.XLOOKUP(E48,lookups90!$B$4:$B$999,lookups90!$AZ$4:$AZ$999,"",0)=0,"",D48*_xlfn.XLOOKUP(E48,lookups90!$B$4:$B$999,lookups90!$AZ$4:$AZ$999,"",0)),"")</f>
        <v/>
      </c>
      <c r="BI48" s="20" t="str">
        <f>IF(C48&lt;&gt;"", T48-_xlfn.XLOOKUP(E48,lookups90!$B$4:$B$999,lookups90!$BA$4:$BA$999,"",0),"")</f>
        <v/>
      </c>
      <c r="BJ48" s="20" t="str">
        <f>IFERROR(IF(_xlfn.XLOOKUP(E48,lookups90!$B$4:$B$999,lookups90!$BB$4:$BB$999,"",0)=0,"",D48*_xlfn.XLOOKUP(E48,lookups90!$B$4:$B$999,lookups90!$BB$4:$BB$999,"",0)),"")</f>
        <v/>
      </c>
      <c r="BK48" s="20" t="str">
        <f>IF(V48&lt;&gt;"", V48-_xlfn.XLOOKUP(E48,lookups90!$B$4:$B$999,lookups90!$BA$4:$BA$999,"",0),"")</f>
        <v/>
      </c>
      <c r="BL48" s="20" t="str">
        <f>IFERROR(IF(_xlfn.XLOOKUP(E48,lookups90!$B$4:$B$999,lookups90!$BC$4:$BC$999,"",0)=0,"",D48*_xlfn.XLOOKUP(E48,lookups90!$B$4:$B$999,lookups90!$BC$4:$BC$999,"",0)),"")</f>
        <v/>
      </c>
      <c r="BM48" s="20" t="str">
        <f>IF(C48&lt;&gt;"", X48-_xlfn.XLOOKUP(E48,lookups90!$B$4:$B$999,lookups90!$BA$4:$BA$999,"",0),"")</f>
        <v/>
      </c>
      <c r="BN48" s="20" t="str">
        <f>IFERROR(IF(_xlfn.XLOOKUP(E48,lookups90!$B$4:$B$999,lookups90!$BD$4:$BD$999,"",0)=0,"",D48*_xlfn.XLOOKUP(E48,lookups90!$B$4:$B$999,lookups90!$BD$4:$BD$999,"",0)),"")</f>
        <v/>
      </c>
      <c r="BP48" s="20" t="str">
        <f>IF(AB48&lt;&gt;"", AB48-_xlfn.XLOOKUP(E48,lookups90!$B$4:$B$999,lookups90!$BE$4:$BE$999,"",0),"")</f>
        <v/>
      </c>
      <c r="BQ48" s="20" t="str">
        <f>IFERROR(IF(_xlfn.XLOOKUP(E48,lookups90!$B$4:$B$999,lookups90!$BF$4:$BF$999,"",0)=0,"",D48*_xlfn.XLOOKUP(E48,lookups90!$B$4:$B$999,lookups90!$BF$4:$BF$999,"",0)),"")</f>
        <v/>
      </c>
      <c r="BR48" s="20" t="str" cm="1">
        <f t="array" ref="BR48">_xlfn.IFS(BP48="","",OR(E48="Fix Slide Door - with Screen",E48="Slide Slide Door - with Screen"),(K48-_xlfn.XLOOKUP(E48,lookups90!$B$4:$B$999,lookups90!$F$4:$F$999,"",0)-_xlfn.XLOOKUP(E48,lookups90!$B$4:$B$999,lookups90!$G$4:$G$999,"",0)+_xlfn.XLOOKUP(E48,lookups90!$B$4:$B$999,lookups90!$H$4:$H$999,"",0))/2+_xlfn.XLOOKUP(E48,lookups90!$B$4:$B$999,lookups90!$I$4:$I$999,"",0)-_xlfn.XLOOKUP(E48,lookups90!$B$4:$B$999,lookups90!$BE$4:$BE$999,"",0), E48="Fix Slide Slide Fix Door - with Screen",(K48-_xlfn.XLOOKUP(E48,lookups90!$B$4:$B$999,lookups90!$F$4:$F$999,"",0)-_xlfn.XLOOKUP(E48,lookups90!$B$4:$B$999,lookups90!$G$4:$G$999,"",0)+_xlfn.XLOOKUP(E48,lookups90!$B$4:$B$999,lookups90!$H$4:$H$999,"",0)+_xlfn.XLOOKUP(E48,lookups90!$B$4:$B$999,lookups90!$H$4:$H$999,"",0))/4+_xlfn.XLOOKUP(E48,lookups90!$B$4:$B$999,lookups90!$I$4:$I$999,"",0)-_xlfn.XLOOKUP(E48,lookups90!$B$4:$B$999,lookups90!$BE$4:$BE$999,"",0))</f>
        <v/>
      </c>
      <c r="BS48" s="20" t="str">
        <f>IFERROR(IF(_xlfn.XLOOKUP(E48,lookups90!$B$4:$B$999,lookups90!$BG$4:$BG$999,"",0)=0,"",D48*_xlfn.XLOOKUP(E48,lookups90!$B$4:$B$999,lookups90!$BG$4:$BG$999,"",0)),"")</f>
        <v/>
      </c>
      <c r="BU48" s="20" t="str">
        <f>IF(AG48&lt;&gt;"",AG48-_xlfn.XLOOKUP(E48,lookups90!$B$4:$B$999,lookups90!$BA$4:$BA$999,"",0),"")</f>
        <v/>
      </c>
      <c r="BV48" s="20" t="str">
        <f>IFERROR(IF(_xlfn.XLOOKUP(E48,lookups90!$B$4:$B$999,lookups90!$BH$4:$BH$999,"",0)=0,"",D48*_xlfn.XLOOKUP(E48,lookups90!$B$4:$B$999,lookups90!$BH$4:$BH$999,"",0)),"")</f>
        <v/>
      </c>
      <c r="BW48" s="20" t="str" cm="1">
        <f t="array" ref="BW48">_xlfn.IFS(BU48="","",OR(E48="Fix Slide Window",E48="Slide Slide Window"),(K48-_xlfn.XLOOKUP(E48,lookups90!$B$4:$B$999,lookups90!$F$4:$F$999,"",0)-_xlfn.XLOOKUP(E48,lookups90!$B$4:$B$999,lookups90!$G$4:$G$999,"",0)+_xlfn.XLOOKUP(E48,lookups90!$B$4:$B$999,lookups90!$H$4:$H$999,"",0))/2+_xlfn.XLOOKUP(E48,lookups90!$B$4:$B$999,lookups90!$I$4:$I$999,"",0)-_xlfn.XLOOKUP(E48,lookups90!$B$4:$B$999,lookups90!$BA$4:$BA$999,"",0), E48="Fix Slide Slide Fix Window",(K48-_xlfn.XLOOKUP(E48,lookups90!$B$4:$B$999,lookups90!$F$4:$F$999,"",0)-_xlfn.XLOOKUP(E48,lookups90!$B$4:$B$999,lookups90!$G$4:$G$999,"",0)+_xlfn.XLOOKUP(E48,lookups90!$B$4:$B$999,lookups90!$H$4:$H$999,"",0)+_xlfn.XLOOKUP(E48,lookups90!$B$4:$B$999,lookups90!$H$4:$H$999,"",0))/4+_xlfn.XLOOKUP(E48,lookups90!$B$4:$B$999,lookups90!$I$4:$I$999,"",0)-_xlfn.XLOOKUP(E48,lookups90!$B$4:$B$999,lookups90!$BA$4:$BA$999,"",0))</f>
        <v/>
      </c>
      <c r="BX48" s="20" t="str">
        <f>IFERROR(IF(_xlfn.XLOOKUP(E48,lookups90!$B$4:$B$999,lookups90!$BI$4:$BI$999,"",0)=0,"",D48*_xlfn.XLOOKUP(E48,lookups90!$B$4:$B$999,lookups90!$BI$4:$BI$999,"",0)),"")</f>
        <v/>
      </c>
      <c r="BZ48" s="20" t="str">
        <f>IF(AL48&lt;&gt;"", AL48-_xlfn.XLOOKUP(E48,lookups90!$B$4:$B$999,lookups90!$BJ$4:$BJ$999,"",0),"")</f>
        <v/>
      </c>
      <c r="CA48" s="20" t="str">
        <f>IFERROR(IF(_xlfn.XLOOKUP(E48,lookups90!$B$4:$B$999,lookups90!$BK$4:$BK$999,"",0)=0,"",D48*_xlfn.XLOOKUP(E48,lookups90!$B$4:$B$999,lookups90!$BK$4:$BK$999,"",0)),"")</f>
        <v/>
      </c>
      <c r="CC48" s="20" t="str">
        <f>IF(C48&lt;&gt;"", T48-_xlfn.XLOOKUP(E48,lookups90!$B$4:$B$999,lookups90!$BO$4:$BO$999,"",0)-_xlfn.XLOOKUP(E48,lookups90!$B$4:$B$999,lookups90!$BP$4:$BP$999,"",0),"")</f>
        <v/>
      </c>
      <c r="CD48" s="20" t="str">
        <f>IF(C48&lt;&gt;"", X48-_xlfn.XLOOKUP(E48,lookups90!$B$4:$B$999,lookups90!$BQ$4:$BQ$999,"",0)-_xlfn.XLOOKUP(E48,lookups90!$B$4:$B$999,lookups90!$BR$4:$BR$999,"",0),"")</f>
        <v/>
      </c>
      <c r="CE48" s="20" t="str">
        <f>IFERROR(IF(_xlfn.XLOOKUP(E48,lookups90!$B$4:$B$999,lookups90!$BS$4:$BS$999,"",0)=0,"",D48*_xlfn.XLOOKUP(E48,lookups90!$B$4:$B$999,lookups90!$BS$4:$BS$999,"",0)),"")</f>
        <v/>
      </c>
      <c r="CF48" s="20" t="str">
        <f>IF(V48&lt;&gt;"", V48-_xlfn.XLOOKUP(E48,lookups90!$B$4:$B$999,lookups90!$BO$4:$BO$999,"",0)-_xlfn.XLOOKUP(E48,lookups90!$B$4:$B$999,lookups90!$BP$4:$BP$999,"",0),"")</f>
        <v/>
      </c>
      <c r="CG48" s="20" t="str">
        <f>IF(CF48&lt;&gt;"", X48-_xlfn.XLOOKUP(E48,lookups90!$B$4:$B$999,lookups90!$BQ$4:$BQ$999,"",0)-_xlfn.XLOOKUP(E48,lookups90!$B$4:$B$999,lookups90!$BR$4:$BR$999,"",0),"")</f>
        <v/>
      </c>
      <c r="CH48" s="20" t="str">
        <f>IFERROR(IF(_xlfn.XLOOKUP(E48,lookups90!$B$4:$B$999,lookups90!$BT$4:$BT$999,"",0)=0,"",D48*_xlfn.XLOOKUP(E48,lookups90!$B$4:$B$999,lookups90!$BT$4:$BT$999,"",0)),"")</f>
        <v/>
      </c>
      <c r="CJ48" s="22" t="str">
        <f t="shared" si="5"/>
        <v/>
      </c>
      <c r="CL48" s="22" t="str" cm="1">
        <f t="array" ref="CL48">IF(D48&lt;&gt;"",((((J48+K48)*2)/500)+(2*_xlfn.IFS(OR(E48="Fix Slide Window", E48="Slide Slide Window", E48="Fix Slide Slide Fix Window"), 2, E48="Slide Slide Door - with Screen", 8, E48&lt;&gt;"",4)))*D48,"")</f>
        <v/>
      </c>
      <c r="CM48" s="22" t="str">
        <f t="shared" si="9"/>
        <v/>
      </c>
      <c r="CN48" s="22" t="str">
        <f t="shared" si="10"/>
        <v/>
      </c>
      <c r="CO48" s="22" t="str">
        <f t="shared" si="8"/>
        <v/>
      </c>
      <c r="CP48" s="22" t="str">
        <f t="shared" si="11"/>
        <v/>
      </c>
    </row>
    <row r="49" spans="3:94" ht="13.5" customHeight="1" x14ac:dyDescent="0.25">
      <c r="C49" s="16"/>
      <c r="D49" s="16"/>
      <c r="E49" s="16"/>
      <c r="F49" s="16"/>
      <c r="G49" s="16"/>
      <c r="H49" s="16"/>
      <c r="I49" s="16"/>
      <c r="J49" s="16"/>
      <c r="K49" s="16"/>
      <c r="M49" s="20" t="str">
        <f t="shared" si="1"/>
        <v/>
      </c>
      <c r="N49" s="20" t="str" cm="1">
        <f t="array" ref="N49">IFERROR(_xlfn.IFS(OR(E49="Fix Awning (Vertical)", E49="Fix Awning (Horizontal)"), J49/2+20,C49&lt;&gt;"", J49+M49),"")</f>
        <v/>
      </c>
      <c r="O49" s="20" t="str">
        <f t="shared" si="2"/>
        <v/>
      </c>
      <c r="P49" s="20" t="str">
        <f t="shared" si="3"/>
        <v/>
      </c>
      <c r="Q49" s="20" t="str">
        <f t="shared" si="4"/>
        <v/>
      </c>
      <c r="S49" s="20" t="str">
        <f>IF(C49&lt;&gt;"", _xlfn.XLOOKUP(E49,lookups90!$B$4:$B$999,lookups90!$C$4:$C$999,"",0),"")</f>
        <v/>
      </c>
      <c r="T49" s="20" t="str">
        <f>IF(C49&lt;&gt;"", J49-_xlfn.XLOOKUP(E49,lookups90!$B$4:$B$999,lookups90!$D$4:$D$999, "",0),"")</f>
        <v/>
      </c>
      <c r="U49" s="20" t="str">
        <f>IF(T49&lt;&gt;"",D49*_xlfn.XLOOKUP(E49,lookups90!$B$4:$B$999,lookups90!$J$4:$J$999, "",0),"")</f>
        <v/>
      </c>
      <c r="V49" s="20" t="str">
        <f>IF(AND(C49&lt;&gt;"", E49&lt;&gt;"Slide Slide Window", E49&lt;&gt;"Slide Slide Door", E49&lt;&gt;"Slide Slide Door - with Screen"), J49-_xlfn.XLOOKUP(E49,lookups90!$B$4:$B$999,lookups90!$E$4:$E$999, "",0),"")</f>
        <v/>
      </c>
      <c r="W49" s="20" t="str">
        <f>IF(V49&lt;&gt;"",D49*_xlfn.XLOOKUP(E49,lookups90!$B$4:$B$999,lookups90!$K$4:$K$999, "",0),"")</f>
        <v/>
      </c>
      <c r="X49" s="20" t="str" cm="1">
        <f t="array" ref="X49">IFERROR(_xlfn.IFS(OR(E49="Fix Slide Window", E49="Slide Slide Window", E49="Fix Slide Door", E49="Slide Slide Door", E49="Fix Slide Door - with Screen", E49="Slide Slide Door - with Screen"), (K49-_xlfn.XLOOKUP(E49,lookups90!$B$4:$B$999,lookups90!$F$4:$F$999, "",0)-_xlfn.XLOOKUP(E49,lookups90!$B$4:$B$999,lookups90!$G$4:$G$999, "",0)+_xlfn.XLOOKUP(E49,lookups90!$B$4:$B$999,lookups90!$H$4:$H$999, "",0))/2+_xlfn.XLOOKUP(E49,lookups90!$B$4:$B$999,lookups90!$I$4:$I$999, "",0), OR(E49="Fix Slide Slide Fix Window", E49="Fix Slide Slide Fix Door - with Screen", E49="Fix Slide Slide Fix Door"),  (K49-_xlfn.XLOOKUP(E49,lookups90!$B$4:$B$999,lookups90!$F$4:$F$999, "",0)-_xlfn.XLOOKUP(E49,lookups90!$B$4:$B$999,lookups90!$G$4:$G$999, "",0)+_xlfn.XLOOKUP(E49,lookups90!$B$4:$B$999,lookups90!$H$4:$H$999, "",0)+_xlfn.XLOOKUP(E49,lookups90!$B$4:$B$999,lookups90!$H$4:$H$999, "",0))/4+_xlfn.XLOOKUP(E49,lookups90!$B$4:$B$999,lookups90!$I$4:$I$999, "",0), E49="Fix Slide Slide Door", (K49-_xlfn.XLOOKUP(E49,lookups90!$B$4:$B$999,lookups90!$F$4:$F$999, "",0)-_xlfn.XLOOKUP(E49,lookups90!$B$4:$B$999,lookups90!$G$4:$G$999, "",0)+_xlfn.XLOOKUP(E49,lookups90!$B$4:$B$999,lookups90!$H$4:$H$999, "",0)+_xlfn.XLOOKUP(E49,lookups90!$B$4:$B$999,lookups90!$H$4:$H$999, "",0))/3+_xlfn.XLOOKUP(E49,lookups90!$B$4:$B$999,lookups90!$I$4:$I$999, "",0),E49="Fix Slide Slide Slide Slide Fix Dr",  (K49-_xlfn.XLOOKUP(E49,lookups90!$B$4:$B$999,lookups90!$F$4:$F$999, "",0)-_xlfn.XLOOKUP(E49,lookups90!$B$4:$B$999,lookups90!$G$4:$G$999, "",0)+_xlfn.XLOOKUP(E49,lookups90!$B$4:$B$999,lookups90!$H$4:$H$999, "",0)+_xlfn.XLOOKUP(E49,lookups90!$B$4:$B$999,lookups90!$H$4:$H$999, "",0)+_xlfn.XLOOKUP(E49,lookups90!$B$4:$B$999,lookups90!$H$4:$H$999, "",0)+_xlfn.XLOOKUP(E49,lookups90!$B$4:$B$999,lookups90!$H$4:$H$999, "",0))/6+_xlfn.XLOOKUP(E49,lookups90!$B$4:$B$999,lookups90!$I$4:$I$999, "",0), E49="Fix Slide Slide Slide Slide Slide Slide Fix Dr",  (K49-_xlfn.XLOOKUP(E49,lookups90!$B$4:$B$999,lookups90!$F$4:$F$999, "",0)-_xlfn.XLOOKUP(E49,lookups90!$B$4:$B$999,lookups90!$G$4:$G$999, "",0)+_xlfn.XLOOKUP(E49,lookups90!$B$4:$B$999,lookups90!$H$4:$H$999, "",0)+_xlfn.XLOOKUP(E49,lookups90!$B$4:$B$999,lookups90!$H$4:$H$999, "",0)+_xlfn.XLOOKUP(E49,lookups90!$B$4:$B$999,lookups90!$H$4:$H$999, "",0)+_xlfn.XLOOKUP(E49,lookups90!$B$4:$B$999,lookups90!$H$4:$H$999, "",0)+_xlfn.XLOOKUP(E49,lookups90!$B$4:$B$999,lookups90!$H$4:$H$999, "",0)+_xlfn.XLOOKUP(E49,lookups90!$B$4:$B$999,lookups90!$H$4:$H$999, "",0))/8+_xlfn.XLOOKUP(E49,lookups90!$B$4:$B$999,lookups90!$I$4:$I$999, "",0)),"")</f>
        <v/>
      </c>
      <c r="Y49" s="20" t="str">
        <f>IF(X49&lt;&gt;"",D49*_xlfn.XLOOKUP(E49,lookups90!$B$4:$B$999,lookups90!$L$4:$L$999, "",0),"")</f>
        <v/>
      </c>
      <c r="AA49" s="20" t="str">
        <f>IF(C49&lt;&gt;"", IF(_xlfn.XLOOKUP(E49,lookups90!$B$4:$B$999,lookups90!$P$4:$P$999,"",0)=0,"",_xlfn.XLOOKUP(E49,lookups90!$B$4:$B$999,lookups90!$P$4:$P$999,"",0)),"")</f>
        <v/>
      </c>
      <c r="AB49" s="20" t="str">
        <f>IF(AA49&lt;&gt;"", J49-_xlfn.XLOOKUP(E49,lookups90!$B$4:$B$999,lookups90!$D$4:$D$999, "",0),"")</f>
        <v/>
      </c>
      <c r="AC49" s="20" t="str">
        <f>IF(AA49&lt;&gt;"",D49*_xlfn.XLOOKUP(E49,lookups90!$B$4:$B$999,lookups90!$Q$4:$Q$999, "",0),"")</f>
        <v/>
      </c>
      <c r="AD49" s="20" t="str" cm="1">
        <f t="array" ref="AD49">IF(AA49&lt;&gt;"", _xlfn.IFS(OR(E49="Fix Slide Window", E49="Slide Slide Window", E49="Fix Slide Door", E49="Slide Slide Door", E49="Fix Slide Door - with Screen", E49="Slide Slide Door - with Screen"), (K49-_xlfn.XLOOKUP(E49,lookups90!$B$4:$B$999,lookups90!$F$4:$F$999, "",0)-_xlfn.XLOOKUP(E49,lookups90!$B$4:$B$999,lookups90!$G$4:$G$999, "",0)+_xlfn.XLOOKUP(E49,lookups90!$B$4:$B$999,lookups90!$H$4:$H$999, "",0))/2+_xlfn.XLOOKUP(E49,lookups90!$B$4:$B$999,lookups90!$I$4:$I$999, "",0), OR(E49="Fix Slide Slide Fix Window", E49="Fix Slide Slide Fix Door - with Screen", E49="Fix Slide Slide Fix Door"),  (K49-_xlfn.XLOOKUP(E49,lookups90!$B$4:$B$999,lookups90!$F$4:$F$999, "",0)-_xlfn.XLOOKUP(E49,lookups90!$B$4:$B$999,lookups90!$G$4:$G$999, "",0)+_xlfn.XLOOKUP(E49,lookups90!$B$4:$B$999,lookups90!$H$4:$H$999, "",0)+_xlfn.XLOOKUP(E49,lookups90!$B$4:$B$999,lookups90!$H$4:$H$999, "",0))/4+_xlfn.XLOOKUP(E49,lookups90!$B$4:$B$999,lookups90!$I$4:$I$999, "",0), E49="Fix Slide Slide Door", (K49-_xlfn.XLOOKUP(E49,lookups90!$B$4:$B$999,lookups90!$F$4:$F$999, "",0)-_xlfn.XLOOKUP(E49,lookups90!$B$4:$B$999,lookups90!$G$4:$G$999, "",0)+_xlfn.XLOOKUP(E49,lookups90!$B$4:$B$999,lookups90!$H$4:$H$999, "",0)+_xlfn.XLOOKUP(E49,lookups90!$B$4:$B$999,lookups90!$H$4:$H$999, "",0))/3+_xlfn.XLOOKUP(E49,lookups90!$B$4:$B$999,lookups90!$I$4:$I$999, "",0) ),"")</f>
        <v/>
      </c>
      <c r="AE49" s="20" t="str">
        <f>IF(AA49&lt;&gt;"",D49*_xlfn.XLOOKUP(E49,lookups90!$B$4:$B$999,lookups90!$R$4:$R$999, "",0),"")</f>
        <v/>
      </c>
      <c r="AG49" s="20" t="str">
        <f>IF(AH49&lt;&gt;"", J49-_xlfn.XLOOKUP(E49,lookups90!$B$4:$B$999,lookups90!$D$4:$D$999, "",0),"")</f>
        <v/>
      </c>
      <c r="AH49" s="20" t="str">
        <f>IF(_xlfn.XLOOKUP(E49,lookups90!$B$4:$B$999,lookups90!$V$4:$V$999,"",0)=0,"",D49*_xlfn.XLOOKUP(E49,lookups90!$B$4:$B$999,lookups90!$V$4:$V$999,"",0))</f>
        <v/>
      </c>
      <c r="AI49" s="20" t="str" cm="1">
        <f t="array" ref="AI49">IF(AH49&lt;&gt;"", _xlfn.IFS(OR(E49="Fix Slide Window", E49="Slide Slide Window"), (K49-_xlfn.XLOOKUP(E49,lookups90!$B$4:$B$999,lookups90!$F$4:$F$999, "",0)-_xlfn.XLOOKUP(E49,lookups90!$B$4:$B$999,lookups90!$G$4:$G$999, "",0)+_xlfn.XLOOKUP(E49,lookups90!$B$4:$B$999,lookups90!$H$4:$H$999, "",0))/2+_xlfn.XLOOKUP(E49,lookups90!$B$4:$B$999,lookups90!$I$4:$I$999, "",0), OR(E49="Fix Slide Slide Fix Window"),  (K49-_xlfn.XLOOKUP(E49,lookups90!$B$4:$B$999,lookups90!$F$4:$F$999, "",0)+_xlfn.XLOOKUP(E49,lookups90!$B$4:$B$999,lookups90!$H$4:$H$999, "",0)+_xlfn.XLOOKUP(E49,lookups90!$B$4:$B$999,lookups90!$H$4:$H$999, "",0))/4+_xlfn.XLOOKUP(E49,lookups90!$B$4:$B$999,lookups90!$I$4:$I$999, "",0)),"")</f>
        <v/>
      </c>
      <c r="AJ49" s="20" t="str">
        <f>IF(_xlfn.XLOOKUP(E49,lookups90!$B$4:$B$999,lookups90!$V$4:$V$999,"",0)=0,"",D49*_xlfn.XLOOKUP(E49,lookups90!$B$4:$B$999,lookups90!$W$4:$W$999,"",0))</f>
        <v/>
      </c>
      <c r="AL49" s="20" t="str" cm="1">
        <f t="array" ref="AL49">IF(AM49&lt;&gt;"", _xlfn.IFS(OR(E49="Fix Slide Door - with Screen", E49="Slide Slide Door - with Screen"), (K49-_xlfn.XLOOKUP(E49,lookups90!$B$4:$B$999,lookups90!$F$4:$F$999, "",0)-_xlfn.XLOOKUP(E49,lookups90!$B$4:$B$999,lookups90!$G$4:$G$999, "",0)+_xlfn.XLOOKUP(E49,lookups90!$B$4:$B$999,lookups90!$H$4:$H$999, "",0))/2+_xlfn.XLOOKUP(E49,lookups90!$B$4:$B$999,lookups90!$I$4:$I$999, "",0), OR( E49="Fix Slide Slide Fix Door - with Screen",  E49="Fix Slide Slide Door"),  (K49-_xlfn.XLOOKUP(E49,lookups90!$B$4:$B$999,lookups90!$F$4:$F$999, "",0)-_xlfn.XLOOKUP(E49,lookups90!$B$4:$B$999,lookups90!$G$4:$G$999, "",0)+_xlfn.XLOOKUP(E49,lookups90!$B$4:$B$999,lookups90!$H$4:$H$999, "",0)+_xlfn.XLOOKUP(E49,lookups90!$B$4:$B$999,lookups90!$H$4:$H$999, "",0))/4+_xlfn.XLOOKUP(E49,lookups90!$B$4:$B$999,lookups90!$I$4:$I$999, "",0)),"")</f>
        <v/>
      </c>
      <c r="AM49" s="20" t="str">
        <f>IF(_xlfn.XLOOKUP(E49,lookups90!$B$4:$B$999,lookups90!$AA$4:$AA$999,"",0)=0,"",D49*_xlfn.XLOOKUP(E49,lookups90!$B$4:$B$999,lookups90!$AA$4:$AA$999,"",0))</f>
        <v/>
      </c>
      <c r="AO49" s="20" t="str">
        <f>IFERROR(IF(C49&lt;&gt;"", T49-_xlfn.XLOOKUP(E49,lookups90!$B$4:$B$999,lookups90!$AE$4:$AE$999, "",0),""),"")</f>
        <v/>
      </c>
      <c r="AP49" s="20" t="str">
        <f>IF(_xlfn.XLOOKUP(E49,lookups90!$B$4:$B$999,lookups90!$AG$4:$AG$999,"",0)=0,"",D49*_xlfn.XLOOKUP(E49,lookups90!$B$4:$B$999,lookups90!$AG$4:$AG$999,"",0))</f>
        <v/>
      </c>
      <c r="AQ49" s="20" t="str">
        <f>IF(V49&lt;&gt;"", T49-_xlfn.XLOOKUP(E49,lookups90!$B$4:$B$999,lookups90!$AE$4:$AE$999, "",0)+_xlfn.XLOOKUP(E49,lookups90!$B$4:$B$999,lookups90!$AF$4:$AF$999, "",0),"")</f>
        <v/>
      </c>
      <c r="AR49" s="20" t="str">
        <f>IFERROR(IF(_xlfn.XLOOKUP(E49,lookups90!$B$4:$B$999,lookups90!$AH$4:$AH$999,"",0)=0,"",D49*_xlfn.XLOOKUP(E49,lookups90!$B$4:$B$999,lookups90!$AH$4:$AH$999,"",0)),"")</f>
        <v/>
      </c>
      <c r="AT49" s="20" t="str">
        <f>IF(OR(E49="Fix Slide Slide Fix Window", E49="Fix Slide Slide Fix Door", E49="Fix Slide Slide Fix Door - with Screen", E49="Fix Slide Slide Door"), T49-_xlfn.XLOOKUP(E49,lookups90!$B$4:$B$999,lookups90!$AE$4:$AE$999,"",0),"")</f>
        <v/>
      </c>
      <c r="AU49" s="20" t="str">
        <f>IFERROR(IF(_xlfn.XLOOKUP(E49,lookups90!$B$4:$B$999,lookups90!$AL$4:$AL$999,"",0)=0,"",D49*_xlfn.XLOOKUP(E49,lookups90!$B$4:$B$999,lookups90!$AL$4:$AL$999,"",0)),"")</f>
        <v/>
      </c>
      <c r="AW49" s="20" t="str">
        <f>IF(C49&lt;&gt;"", T49-_xlfn.XLOOKUP(E49,lookups90!$B$4:$B$999,lookups90!$AP$4:$AP$999,"",0),"")</f>
        <v/>
      </c>
      <c r="AX49" s="20" t="str">
        <f>IFERROR(IF(_xlfn.XLOOKUP(E49,lookups90!$B$4:$B$999,lookups90!$AR$4:$AR$999,"",0)=0,"",D49*_xlfn.XLOOKUP(E49,lookups90!$B$4:$B$999,lookups90!$AR$4:$AR$999,"",0)),"")</f>
        <v/>
      </c>
      <c r="AY49" s="24" t="str">
        <f>IF(V49&lt;&gt;"", V49-_xlfn.XLOOKUP(E49,lookups90!$B$4:$B$999,lookups90!$AP$4:$AP$999,"",0),"")</f>
        <v/>
      </c>
      <c r="AZ49" s="20" t="str">
        <f>IFERROR(IF(_xlfn.XLOOKUP(E49,lookups90!$B$4:$B$999,lookups90!$AS$4:$AS$999,"",0)=0,"",D49*_xlfn.XLOOKUP(E49,lookups90!$B$4:$B$999,lookups90!$AS$4:$AS$999,"",0)),"")</f>
        <v/>
      </c>
      <c r="BA49" s="20" t="str">
        <f>IF(X49&lt;&gt;"", X49-_xlfn.XLOOKUP(E49,lookups90!$B$4:$B$999,lookups90!$AQ$4:$AQ$999,"",0),"")</f>
        <v/>
      </c>
      <c r="BB49" s="20" t="str">
        <f>IFERROR(IF(_xlfn.XLOOKUP(E49,lookups90!$B$4:$B$999,lookups90!$AT$4:$AT$999,"",0)=0,"",D49*_xlfn.XLOOKUP(E49,lookups90!$B$4:$B$999,lookups90!$AT$4:$AT$999,"",0)),"")</f>
        <v/>
      </c>
      <c r="BD49" s="20" t="str">
        <f>IF(C49&lt;&gt;"", N49-_xlfn.XLOOKUP(E49,lookups90!$B$4:$B$999,lookups90!$AX$4:$AX$999,"",0)+M49,"")</f>
        <v/>
      </c>
      <c r="BE49" s="20" t="str">
        <f>IFERROR(IF(_xlfn.XLOOKUP(E49,lookups90!$B$4:$B$999,lookups90!$AY$4:$AY$999,"",0)=0,"",D49*_xlfn.XLOOKUP(E49,lookups90!$B$4:$B$999,lookups90!$AY$4:$AY$999,"",0)),"")</f>
        <v/>
      </c>
      <c r="BF49" s="20" t="str">
        <f>IF(C49&lt;&gt;"", P49-_xlfn.XLOOKUP(E49,lookups90!$B$4:$B$999,lookups90!$AX$4:$AX$999,"",0)+M49,"")</f>
        <v/>
      </c>
      <c r="BG49" s="20" t="str">
        <f>IFERROR(IF(_xlfn.XLOOKUP(E49,lookups90!$B$4:$B$999,lookups90!$AZ$4:$AZ$999,"",0)=0,"",D49*_xlfn.XLOOKUP(E49,lookups90!$B$4:$B$999,lookups90!$AZ$4:$AZ$999,"",0)),"")</f>
        <v/>
      </c>
      <c r="BI49" s="20" t="str">
        <f>IF(C49&lt;&gt;"", T49-_xlfn.XLOOKUP(E49,lookups90!$B$4:$B$999,lookups90!$BA$4:$BA$999,"",0),"")</f>
        <v/>
      </c>
      <c r="BJ49" s="20" t="str">
        <f>IFERROR(IF(_xlfn.XLOOKUP(E49,lookups90!$B$4:$B$999,lookups90!$BB$4:$BB$999,"",0)=0,"",D49*_xlfn.XLOOKUP(E49,lookups90!$B$4:$B$999,lookups90!$BB$4:$BB$999,"",0)),"")</f>
        <v/>
      </c>
      <c r="BK49" s="20" t="str">
        <f>IF(V49&lt;&gt;"", V49-_xlfn.XLOOKUP(E49,lookups90!$B$4:$B$999,lookups90!$BA$4:$BA$999,"",0),"")</f>
        <v/>
      </c>
      <c r="BL49" s="20" t="str">
        <f>IFERROR(IF(_xlfn.XLOOKUP(E49,lookups90!$B$4:$B$999,lookups90!$BC$4:$BC$999,"",0)=0,"",D49*_xlfn.XLOOKUP(E49,lookups90!$B$4:$B$999,lookups90!$BC$4:$BC$999,"",0)),"")</f>
        <v/>
      </c>
      <c r="BM49" s="20" t="str">
        <f>IF(C49&lt;&gt;"", X49-_xlfn.XLOOKUP(E49,lookups90!$B$4:$B$999,lookups90!$BA$4:$BA$999,"",0),"")</f>
        <v/>
      </c>
      <c r="BN49" s="20" t="str">
        <f>IFERROR(IF(_xlfn.XLOOKUP(E49,lookups90!$B$4:$B$999,lookups90!$BD$4:$BD$999,"",0)=0,"",D49*_xlfn.XLOOKUP(E49,lookups90!$B$4:$B$999,lookups90!$BD$4:$BD$999,"",0)),"")</f>
        <v/>
      </c>
      <c r="BP49" s="20" t="str">
        <f>IF(AB49&lt;&gt;"", AB49-_xlfn.XLOOKUP(E49,lookups90!$B$4:$B$999,lookups90!$BE$4:$BE$999,"",0),"")</f>
        <v/>
      </c>
      <c r="BQ49" s="20" t="str">
        <f>IFERROR(IF(_xlfn.XLOOKUP(E49,lookups90!$B$4:$B$999,lookups90!$BF$4:$BF$999,"",0)=0,"",D49*_xlfn.XLOOKUP(E49,lookups90!$B$4:$B$999,lookups90!$BF$4:$BF$999,"",0)),"")</f>
        <v/>
      </c>
      <c r="BR49" s="20" t="str" cm="1">
        <f t="array" ref="BR49">_xlfn.IFS(BP49="","",OR(E49="Fix Slide Door - with Screen",E49="Slide Slide Door - with Screen"),(K49-_xlfn.XLOOKUP(E49,lookups90!$B$4:$B$999,lookups90!$F$4:$F$999,"",0)-_xlfn.XLOOKUP(E49,lookups90!$B$4:$B$999,lookups90!$G$4:$G$999,"",0)+_xlfn.XLOOKUP(E49,lookups90!$B$4:$B$999,lookups90!$H$4:$H$999,"",0))/2+_xlfn.XLOOKUP(E49,lookups90!$B$4:$B$999,lookups90!$I$4:$I$999,"",0)-_xlfn.XLOOKUP(E49,lookups90!$B$4:$B$999,lookups90!$BE$4:$BE$999,"",0), E49="Fix Slide Slide Fix Door - with Screen",(K49-_xlfn.XLOOKUP(E49,lookups90!$B$4:$B$999,lookups90!$F$4:$F$999,"",0)-_xlfn.XLOOKUP(E49,lookups90!$B$4:$B$999,lookups90!$G$4:$G$999,"",0)+_xlfn.XLOOKUP(E49,lookups90!$B$4:$B$999,lookups90!$H$4:$H$999,"",0)+_xlfn.XLOOKUP(E49,lookups90!$B$4:$B$999,lookups90!$H$4:$H$999,"",0))/4+_xlfn.XLOOKUP(E49,lookups90!$B$4:$B$999,lookups90!$I$4:$I$999,"",0)-_xlfn.XLOOKUP(E49,lookups90!$B$4:$B$999,lookups90!$BE$4:$BE$999,"",0))</f>
        <v/>
      </c>
      <c r="BS49" s="20" t="str">
        <f>IFERROR(IF(_xlfn.XLOOKUP(E49,lookups90!$B$4:$B$999,lookups90!$BG$4:$BG$999,"",0)=0,"",D49*_xlfn.XLOOKUP(E49,lookups90!$B$4:$B$999,lookups90!$BG$4:$BG$999,"",0)),"")</f>
        <v/>
      </c>
      <c r="BU49" s="20" t="str">
        <f>IF(AG49&lt;&gt;"",AG49-_xlfn.XLOOKUP(E49,lookups90!$B$4:$B$999,lookups90!$BA$4:$BA$999,"",0),"")</f>
        <v/>
      </c>
      <c r="BV49" s="20" t="str">
        <f>IFERROR(IF(_xlfn.XLOOKUP(E49,lookups90!$B$4:$B$999,lookups90!$BH$4:$BH$999,"",0)=0,"",D49*_xlfn.XLOOKUP(E49,lookups90!$B$4:$B$999,lookups90!$BH$4:$BH$999,"",0)),"")</f>
        <v/>
      </c>
      <c r="BW49" s="20" t="str" cm="1">
        <f t="array" ref="BW49">_xlfn.IFS(BU49="","",OR(E49="Fix Slide Window",E49="Slide Slide Window"),(K49-_xlfn.XLOOKUP(E49,lookups90!$B$4:$B$999,lookups90!$F$4:$F$999,"",0)-_xlfn.XLOOKUP(E49,lookups90!$B$4:$B$999,lookups90!$G$4:$G$999,"",0)+_xlfn.XLOOKUP(E49,lookups90!$B$4:$B$999,lookups90!$H$4:$H$999,"",0))/2+_xlfn.XLOOKUP(E49,lookups90!$B$4:$B$999,lookups90!$I$4:$I$999,"",0)-_xlfn.XLOOKUP(E49,lookups90!$B$4:$B$999,lookups90!$BA$4:$BA$999,"",0), E49="Fix Slide Slide Fix Window",(K49-_xlfn.XLOOKUP(E49,lookups90!$B$4:$B$999,lookups90!$F$4:$F$999,"",0)-_xlfn.XLOOKUP(E49,lookups90!$B$4:$B$999,lookups90!$G$4:$G$999,"",0)+_xlfn.XLOOKUP(E49,lookups90!$B$4:$B$999,lookups90!$H$4:$H$999,"",0)+_xlfn.XLOOKUP(E49,lookups90!$B$4:$B$999,lookups90!$H$4:$H$999,"",0))/4+_xlfn.XLOOKUP(E49,lookups90!$B$4:$B$999,lookups90!$I$4:$I$999,"",0)-_xlfn.XLOOKUP(E49,lookups90!$B$4:$B$999,lookups90!$BA$4:$BA$999,"",0))</f>
        <v/>
      </c>
      <c r="BX49" s="20" t="str">
        <f>IFERROR(IF(_xlfn.XLOOKUP(E49,lookups90!$B$4:$B$999,lookups90!$BI$4:$BI$999,"",0)=0,"",D49*_xlfn.XLOOKUP(E49,lookups90!$B$4:$B$999,lookups90!$BI$4:$BI$999,"",0)),"")</f>
        <v/>
      </c>
      <c r="BZ49" s="20" t="str">
        <f>IF(AL49&lt;&gt;"", AL49-_xlfn.XLOOKUP(E49,lookups90!$B$4:$B$999,lookups90!$BJ$4:$BJ$999,"",0),"")</f>
        <v/>
      </c>
      <c r="CA49" s="20" t="str">
        <f>IFERROR(IF(_xlfn.XLOOKUP(E49,lookups90!$B$4:$B$999,lookups90!$BK$4:$BK$999,"",0)=0,"",D49*_xlfn.XLOOKUP(E49,lookups90!$B$4:$B$999,lookups90!$BK$4:$BK$999,"",0)),"")</f>
        <v/>
      </c>
      <c r="CC49" s="20" t="str">
        <f>IF(C49&lt;&gt;"", T49-_xlfn.XLOOKUP(E49,lookups90!$B$4:$B$999,lookups90!$BO$4:$BO$999,"",0)-_xlfn.XLOOKUP(E49,lookups90!$B$4:$B$999,lookups90!$BP$4:$BP$999,"",0),"")</f>
        <v/>
      </c>
      <c r="CD49" s="20" t="str">
        <f>IF(C49&lt;&gt;"", X49-_xlfn.XLOOKUP(E49,lookups90!$B$4:$B$999,lookups90!$BQ$4:$BQ$999,"",0)-_xlfn.XLOOKUP(E49,lookups90!$B$4:$B$999,lookups90!$BR$4:$BR$999,"",0),"")</f>
        <v/>
      </c>
      <c r="CE49" s="20" t="str">
        <f>IFERROR(IF(_xlfn.XLOOKUP(E49,lookups90!$B$4:$B$999,lookups90!$BS$4:$BS$999,"",0)=0,"",D49*_xlfn.XLOOKUP(E49,lookups90!$B$4:$B$999,lookups90!$BS$4:$BS$999,"",0)),"")</f>
        <v/>
      </c>
      <c r="CF49" s="20" t="str">
        <f>IF(V49&lt;&gt;"", V49-_xlfn.XLOOKUP(E49,lookups90!$B$4:$B$999,lookups90!$BO$4:$BO$999,"",0)-_xlfn.XLOOKUP(E49,lookups90!$B$4:$B$999,lookups90!$BP$4:$BP$999,"",0),"")</f>
        <v/>
      </c>
      <c r="CG49" s="20" t="str">
        <f>IF(CF49&lt;&gt;"", X49-_xlfn.XLOOKUP(E49,lookups90!$B$4:$B$999,lookups90!$BQ$4:$BQ$999,"",0)-_xlfn.XLOOKUP(E49,lookups90!$B$4:$B$999,lookups90!$BR$4:$BR$999,"",0),"")</f>
        <v/>
      </c>
      <c r="CH49" s="20" t="str">
        <f>IFERROR(IF(_xlfn.XLOOKUP(E49,lookups90!$B$4:$B$999,lookups90!$BT$4:$BT$999,"",0)=0,"",D49*_xlfn.XLOOKUP(E49,lookups90!$B$4:$B$999,lookups90!$BT$4:$BT$999,"",0)),"")</f>
        <v/>
      </c>
      <c r="CJ49" s="22" t="str">
        <f t="shared" si="5"/>
        <v/>
      </c>
      <c r="CL49" s="22" t="str" cm="1">
        <f t="array" ref="CL49">IF(D49&lt;&gt;"",((((J49+K49)*2)/500)+(2*_xlfn.IFS(OR(E49="Fix Slide Window", E49="Slide Slide Window", E49="Fix Slide Slide Fix Window"), 2, E49="Slide Slide Door - with Screen", 8, E49&lt;&gt;"",4)))*D49,"")</f>
        <v/>
      </c>
      <c r="CM49" s="22" t="str">
        <f t="shared" si="9"/>
        <v/>
      </c>
      <c r="CN49" s="22" t="str">
        <f t="shared" si="10"/>
        <v/>
      </c>
      <c r="CO49" s="22" t="str">
        <f t="shared" si="8"/>
        <v/>
      </c>
      <c r="CP49" s="22" t="str">
        <f t="shared" si="11"/>
        <v/>
      </c>
    </row>
    <row r="50" spans="3:94" ht="13.5" customHeight="1" x14ac:dyDescent="0.25">
      <c r="C50" s="16"/>
      <c r="D50" s="16"/>
      <c r="E50" s="16"/>
      <c r="F50" s="16"/>
      <c r="G50" s="16"/>
      <c r="H50" s="16"/>
      <c r="I50" s="16"/>
      <c r="J50" s="16"/>
      <c r="K50" s="16"/>
      <c r="M50" s="20" t="str">
        <f t="shared" si="1"/>
        <v/>
      </c>
      <c r="N50" s="20" t="str" cm="1">
        <f t="array" ref="N50">IFERROR(_xlfn.IFS(OR(E50="Fix Awning (Vertical)", E50="Fix Awning (Horizontal)"), J50/2+20,C50&lt;&gt;"", J50+M50),"")</f>
        <v/>
      </c>
      <c r="O50" s="20" t="str">
        <f t="shared" si="2"/>
        <v/>
      </c>
      <c r="P50" s="20" t="str">
        <f t="shared" si="3"/>
        <v/>
      </c>
      <c r="Q50" s="20" t="str">
        <f t="shared" si="4"/>
        <v/>
      </c>
      <c r="S50" s="20" t="str">
        <f>IF(C50&lt;&gt;"", _xlfn.XLOOKUP(E50,lookups90!$B$4:$B$999,lookups90!$C$4:$C$999,"",0),"")</f>
        <v/>
      </c>
      <c r="T50" s="20" t="str">
        <f>IF(C50&lt;&gt;"", J50-_xlfn.XLOOKUP(E50,lookups90!$B$4:$B$999,lookups90!$D$4:$D$999, "",0),"")</f>
        <v/>
      </c>
      <c r="U50" s="20" t="str">
        <f>IF(T50&lt;&gt;"",D50*_xlfn.XLOOKUP(E50,lookups90!$B$4:$B$999,lookups90!$J$4:$J$999, "",0),"")</f>
        <v/>
      </c>
      <c r="V50" s="20" t="str">
        <f>IF(AND(C50&lt;&gt;"", E50&lt;&gt;"Slide Slide Window", E50&lt;&gt;"Slide Slide Door", E50&lt;&gt;"Slide Slide Door - with Screen"), J50-_xlfn.XLOOKUP(E50,lookups90!$B$4:$B$999,lookups90!$E$4:$E$999, "",0),"")</f>
        <v/>
      </c>
      <c r="W50" s="20" t="str">
        <f>IF(V50&lt;&gt;"",D50*_xlfn.XLOOKUP(E50,lookups90!$B$4:$B$999,lookups90!$K$4:$K$999, "",0),"")</f>
        <v/>
      </c>
      <c r="X50" s="20" t="str" cm="1">
        <f t="array" ref="X50">IFERROR(_xlfn.IFS(OR(E50="Fix Slide Window", E50="Slide Slide Window", E50="Fix Slide Door", E50="Slide Slide Door", E50="Fix Slide Door - with Screen", E50="Slide Slide Door - with Screen"), (K50-_xlfn.XLOOKUP(E50,lookups90!$B$4:$B$999,lookups90!$F$4:$F$999, "",0)-_xlfn.XLOOKUP(E50,lookups90!$B$4:$B$999,lookups90!$G$4:$G$999, "",0)+_xlfn.XLOOKUP(E50,lookups90!$B$4:$B$999,lookups90!$H$4:$H$999, "",0))/2+_xlfn.XLOOKUP(E50,lookups90!$B$4:$B$999,lookups90!$I$4:$I$999, "",0), OR(E50="Fix Slide Slide Fix Window", E50="Fix Slide Slide Fix Door - with Screen", E50="Fix Slide Slide Fix Door"),  (K50-_xlfn.XLOOKUP(E50,lookups90!$B$4:$B$999,lookups90!$F$4:$F$999, "",0)-_xlfn.XLOOKUP(E50,lookups90!$B$4:$B$999,lookups90!$G$4:$G$999, "",0)+_xlfn.XLOOKUP(E50,lookups90!$B$4:$B$999,lookups90!$H$4:$H$999, "",0)+_xlfn.XLOOKUP(E50,lookups90!$B$4:$B$999,lookups90!$H$4:$H$999, "",0))/4+_xlfn.XLOOKUP(E50,lookups90!$B$4:$B$999,lookups90!$I$4:$I$999, "",0), E50="Fix Slide Slide Door", (K50-_xlfn.XLOOKUP(E50,lookups90!$B$4:$B$999,lookups90!$F$4:$F$999, "",0)-_xlfn.XLOOKUP(E50,lookups90!$B$4:$B$999,lookups90!$G$4:$G$999, "",0)+_xlfn.XLOOKUP(E50,lookups90!$B$4:$B$999,lookups90!$H$4:$H$999, "",0)+_xlfn.XLOOKUP(E50,lookups90!$B$4:$B$999,lookups90!$H$4:$H$999, "",0))/3+_xlfn.XLOOKUP(E50,lookups90!$B$4:$B$999,lookups90!$I$4:$I$999, "",0),E50="Fix Slide Slide Slide Slide Fix Dr",  (K50-_xlfn.XLOOKUP(E50,lookups90!$B$4:$B$999,lookups90!$F$4:$F$999, "",0)-_xlfn.XLOOKUP(E50,lookups90!$B$4:$B$999,lookups90!$G$4:$G$999, "",0)+_xlfn.XLOOKUP(E50,lookups90!$B$4:$B$999,lookups90!$H$4:$H$999, "",0)+_xlfn.XLOOKUP(E50,lookups90!$B$4:$B$999,lookups90!$H$4:$H$999, "",0)+_xlfn.XLOOKUP(E50,lookups90!$B$4:$B$999,lookups90!$H$4:$H$999, "",0)+_xlfn.XLOOKUP(E50,lookups90!$B$4:$B$999,lookups90!$H$4:$H$999, "",0))/6+_xlfn.XLOOKUP(E50,lookups90!$B$4:$B$999,lookups90!$I$4:$I$999, "",0), E50="Fix Slide Slide Slide Slide Slide Slide Fix Dr",  (K50-_xlfn.XLOOKUP(E50,lookups90!$B$4:$B$999,lookups90!$F$4:$F$999, "",0)-_xlfn.XLOOKUP(E50,lookups90!$B$4:$B$999,lookups90!$G$4:$G$999, "",0)+_xlfn.XLOOKUP(E50,lookups90!$B$4:$B$999,lookups90!$H$4:$H$999, "",0)+_xlfn.XLOOKUP(E50,lookups90!$B$4:$B$999,lookups90!$H$4:$H$999, "",0)+_xlfn.XLOOKUP(E50,lookups90!$B$4:$B$999,lookups90!$H$4:$H$999, "",0)+_xlfn.XLOOKUP(E50,lookups90!$B$4:$B$999,lookups90!$H$4:$H$999, "",0)+_xlfn.XLOOKUP(E50,lookups90!$B$4:$B$999,lookups90!$H$4:$H$999, "",0)+_xlfn.XLOOKUP(E50,lookups90!$B$4:$B$999,lookups90!$H$4:$H$999, "",0))/8+_xlfn.XLOOKUP(E50,lookups90!$B$4:$B$999,lookups90!$I$4:$I$999, "",0)),"")</f>
        <v/>
      </c>
      <c r="Y50" s="20" t="str">
        <f>IF(X50&lt;&gt;"",D50*_xlfn.XLOOKUP(E50,lookups90!$B$4:$B$999,lookups90!$L$4:$L$999, "",0),"")</f>
        <v/>
      </c>
      <c r="AA50" s="20" t="str">
        <f>IF(C50&lt;&gt;"", IF(_xlfn.XLOOKUP(E50,lookups90!$B$4:$B$999,lookups90!$P$4:$P$999,"",0)=0,"",_xlfn.XLOOKUP(E50,lookups90!$B$4:$B$999,lookups90!$P$4:$P$999,"",0)),"")</f>
        <v/>
      </c>
      <c r="AB50" s="20" t="str">
        <f>IF(AA50&lt;&gt;"", J50-_xlfn.XLOOKUP(E50,lookups90!$B$4:$B$999,lookups90!$D$4:$D$999, "",0),"")</f>
        <v/>
      </c>
      <c r="AC50" s="20" t="str">
        <f>IF(AA50&lt;&gt;"",D50*_xlfn.XLOOKUP(E50,lookups90!$B$4:$B$999,lookups90!$Q$4:$Q$999, "",0),"")</f>
        <v/>
      </c>
      <c r="AD50" s="20" t="str" cm="1">
        <f t="array" ref="AD50">IF(AA50&lt;&gt;"", _xlfn.IFS(OR(E50="Fix Slide Window", E50="Slide Slide Window", E50="Fix Slide Door", E50="Slide Slide Door", E50="Fix Slide Door - with Screen", E50="Slide Slide Door - with Screen"), (K50-_xlfn.XLOOKUP(E50,lookups90!$B$4:$B$999,lookups90!$F$4:$F$999, "",0)-_xlfn.XLOOKUP(E50,lookups90!$B$4:$B$999,lookups90!$G$4:$G$999, "",0)+_xlfn.XLOOKUP(E50,lookups90!$B$4:$B$999,lookups90!$H$4:$H$999, "",0))/2+_xlfn.XLOOKUP(E50,lookups90!$B$4:$B$999,lookups90!$I$4:$I$999, "",0), OR(E50="Fix Slide Slide Fix Window", E50="Fix Slide Slide Fix Door - with Screen", E50="Fix Slide Slide Fix Door"),  (K50-_xlfn.XLOOKUP(E50,lookups90!$B$4:$B$999,lookups90!$F$4:$F$999, "",0)-_xlfn.XLOOKUP(E50,lookups90!$B$4:$B$999,lookups90!$G$4:$G$999, "",0)+_xlfn.XLOOKUP(E50,lookups90!$B$4:$B$999,lookups90!$H$4:$H$999, "",0)+_xlfn.XLOOKUP(E50,lookups90!$B$4:$B$999,lookups90!$H$4:$H$999, "",0))/4+_xlfn.XLOOKUP(E50,lookups90!$B$4:$B$999,lookups90!$I$4:$I$999, "",0), E50="Fix Slide Slide Door", (K50-_xlfn.XLOOKUP(E50,lookups90!$B$4:$B$999,lookups90!$F$4:$F$999, "",0)-_xlfn.XLOOKUP(E50,lookups90!$B$4:$B$999,lookups90!$G$4:$G$999, "",0)+_xlfn.XLOOKUP(E50,lookups90!$B$4:$B$999,lookups90!$H$4:$H$999, "",0)+_xlfn.XLOOKUP(E50,lookups90!$B$4:$B$999,lookups90!$H$4:$H$999, "",0))/3+_xlfn.XLOOKUP(E50,lookups90!$B$4:$B$999,lookups90!$I$4:$I$999, "",0) ),"")</f>
        <v/>
      </c>
      <c r="AE50" s="20" t="str">
        <f>IF(AA50&lt;&gt;"",D50*_xlfn.XLOOKUP(E50,lookups90!$B$4:$B$999,lookups90!$R$4:$R$999, "",0),"")</f>
        <v/>
      </c>
      <c r="AG50" s="20" t="str">
        <f>IF(AH50&lt;&gt;"", J50-_xlfn.XLOOKUP(E50,lookups90!$B$4:$B$999,lookups90!$D$4:$D$999, "",0),"")</f>
        <v/>
      </c>
      <c r="AH50" s="20" t="str">
        <f>IF(_xlfn.XLOOKUP(E50,lookups90!$B$4:$B$999,lookups90!$V$4:$V$999,"",0)=0,"",D50*_xlfn.XLOOKUP(E50,lookups90!$B$4:$B$999,lookups90!$V$4:$V$999,"",0))</f>
        <v/>
      </c>
      <c r="AI50" s="20" t="str" cm="1">
        <f t="array" ref="AI50">IF(AH50&lt;&gt;"", _xlfn.IFS(OR(E50="Fix Slide Window", E50="Slide Slide Window"), (K50-_xlfn.XLOOKUP(E50,lookups90!$B$4:$B$999,lookups90!$F$4:$F$999, "",0)-_xlfn.XLOOKUP(E50,lookups90!$B$4:$B$999,lookups90!$G$4:$G$999, "",0)+_xlfn.XLOOKUP(E50,lookups90!$B$4:$B$999,lookups90!$H$4:$H$999, "",0))/2+_xlfn.XLOOKUP(E50,lookups90!$B$4:$B$999,lookups90!$I$4:$I$999, "",0), OR(E50="Fix Slide Slide Fix Window"),  (K50-_xlfn.XLOOKUP(E50,lookups90!$B$4:$B$999,lookups90!$F$4:$F$999, "",0)+_xlfn.XLOOKUP(E50,lookups90!$B$4:$B$999,lookups90!$H$4:$H$999, "",0)+_xlfn.XLOOKUP(E50,lookups90!$B$4:$B$999,lookups90!$H$4:$H$999, "",0))/4+_xlfn.XLOOKUP(E50,lookups90!$B$4:$B$999,lookups90!$I$4:$I$999, "",0)),"")</f>
        <v/>
      </c>
      <c r="AJ50" s="20" t="str">
        <f>IF(_xlfn.XLOOKUP(E50,lookups90!$B$4:$B$999,lookups90!$V$4:$V$999,"",0)=0,"",D50*_xlfn.XLOOKUP(E50,lookups90!$B$4:$B$999,lookups90!$W$4:$W$999,"",0))</f>
        <v/>
      </c>
      <c r="AL50" s="20" t="str" cm="1">
        <f t="array" ref="AL50">IF(AM50&lt;&gt;"", _xlfn.IFS(OR(E50="Fix Slide Door - with Screen", E50="Slide Slide Door - with Screen"), (K50-_xlfn.XLOOKUP(E50,lookups90!$B$4:$B$999,lookups90!$F$4:$F$999, "",0)-_xlfn.XLOOKUP(E50,lookups90!$B$4:$B$999,lookups90!$G$4:$G$999, "",0)+_xlfn.XLOOKUP(E50,lookups90!$B$4:$B$999,lookups90!$H$4:$H$999, "",0))/2+_xlfn.XLOOKUP(E50,lookups90!$B$4:$B$999,lookups90!$I$4:$I$999, "",0), OR( E50="Fix Slide Slide Fix Door - with Screen",  E50="Fix Slide Slide Door"),  (K50-_xlfn.XLOOKUP(E50,lookups90!$B$4:$B$999,lookups90!$F$4:$F$999, "",0)-_xlfn.XLOOKUP(E50,lookups90!$B$4:$B$999,lookups90!$G$4:$G$999, "",0)+_xlfn.XLOOKUP(E50,lookups90!$B$4:$B$999,lookups90!$H$4:$H$999, "",0)+_xlfn.XLOOKUP(E50,lookups90!$B$4:$B$999,lookups90!$H$4:$H$999, "",0))/4+_xlfn.XLOOKUP(E50,lookups90!$B$4:$B$999,lookups90!$I$4:$I$999, "",0)),"")</f>
        <v/>
      </c>
      <c r="AM50" s="20" t="str">
        <f>IF(_xlfn.XLOOKUP(E50,lookups90!$B$4:$B$999,lookups90!$AA$4:$AA$999,"",0)=0,"",D50*_xlfn.XLOOKUP(E50,lookups90!$B$4:$B$999,lookups90!$AA$4:$AA$999,"",0))</f>
        <v/>
      </c>
      <c r="AO50" s="20" t="str">
        <f>IFERROR(IF(C50&lt;&gt;"", T50-_xlfn.XLOOKUP(E50,lookups90!$B$4:$B$999,lookups90!$AE$4:$AE$999, "",0),""),"")</f>
        <v/>
      </c>
      <c r="AP50" s="20" t="str">
        <f>IF(_xlfn.XLOOKUP(E50,lookups90!$B$4:$B$999,lookups90!$AG$4:$AG$999,"",0)=0,"",D50*_xlfn.XLOOKUP(E50,lookups90!$B$4:$B$999,lookups90!$AG$4:$AG$999,"",0))</f>
        <v/>
      </c>
      <c r="AQ50" s="20" t="str">
        <f>IF(V50&lt;&gt;"", T50-_xlfn.XLOOKUP(E50,lookups90!$B$4:$B$999,lookups90!$AE$4:$AE$999, "",0)+_xlfn.XLOOKUP(E50,lookups90!$B$4:$B$999,lookups90!$AF$4:$AF$999, "",0),"")</f>
        <v/>
      </c>
      <c r="AR50" s="20" t="str">
        <f>IFERROR(IF(_xlfn.XLOOKUP(E50,lookups90!$B$4:$B$999,lookups90!$AH$4:$AH$999,"",0)=0,"",D50*_xlfn.XLOOKUP(E50,lookups90!$B$4:$B$999,lookups90!$AH$4:$AH$999,"",0)),"")</f>
        <v/>
      </c>
      <c r="AT50" s="20" t="str">
        <f>IF(OR(E50="Fix Slide Slide Fix Window", E50="Fix Slide Slide Fix Door", E50="Fix Slide Slide Fix Door - with Screen", E50="Fix Slide Slide Door"), T50-_xlfn.XLOOKUP(E50,lookups90!$B$4:$B$999,lookups90!$AE$4:$AE$999,"",0),"")</f>
        <v/>
      </c>
      <c r="AU50" s="20" t="str">
        <f>IFERROR(IF(_xlfn.XLOOKUP(E50,lookups90!$B$4:$B$999,lookups90!$AL$4:$AL$999,"",0)=0,"",D50*_xlfn.XLOOKUP(E50,lookups90!$B$4:$B$999,lookups90!$AL$4:$AL$999,"",0)),"")</f>
        <v/>
      </c>
      <c r="AW50" s="20" t="str">
        <f>IF(C50&lt;&gt;"", T50-_xlfn.XLOOKUP(E50,lookups90!$B$4:$B$999,lookups90!$AP$4:$AP$999,"",0),"")</f>
        <v/>
      </c>
      <c r="AX50" s="20" t="str">
        <f>IFERROR(IF(_xlfn.XLOOKUP(E50,lookups90!$B$4:$B$999,lookups90!$AR$4:$AR$999,"",0)=0,"",D50*_xlfn.XLOOKUP(E50,lookups90!$B$4:$B$999,lookups90!$AR$4:$AR$999,"",0)),"")</f>
        <v/>
      </c>
      <c r="AY50" s="24" t="str">
        <f>IF(V50&lt;&gt;"", V50-_xlfn.XLOOKUP(E50,lookups90!$B$4:$B$999,lookups90!$AP$4:$AP$999,"",0),"")</f>
        <v/>
      </c>
      <c r="AZ50" s="20" t="str">
        <f>IFERROR(IF(_xlfn.XLOOKUP(E50,lookups90!$B$4:$B$999,lookups90!$AS$4:$AS$999,"",0)=0,"",D50*_xlfn.XLOOKUP(E50,lookups90!$B$4:$B$999,lookups90!$AS$4:$AS$999,"",0)),"")</f>
        <v/>
      </c>
      <c r="BA50" s="20" t="str">
        <f>IF(X50&lt;&gt;"", X50-_xlfn.XLOOKUP(E50,lookups90!$B$4:$B$999,lookups90!$AQ$4:$AQ$999,"",0),"")</f>
        <v/>
      </c>
      <c r="BB50" s="20" t="str">
        <f>IFERROR(IF(_xlfn.XLOOKUP(E50,lookups90!$B$4:$B$999,lookups90!$AT$4:$AT$999,"",0)=0,"",D50*_xlfn.XLOOKUP(E50,lookups90!$B$4:$B$999,lookups90!$AT$4:$AT$999,"",0)),"")</f>
        <v/>
      </c>
      <c r="BD50" s="20" t="str">
        <f>IF(C50&lt;&gt;"", N50-_xlfn.XLOOKUP(E50,lookups90!$B$4:$B$999,lookups90!$AX$4:$AX$999,"",0)+M50,"")</f>
        <v/>
      </c>
      <c r="BE50" s="20" t="str">
        <f>IFERROR(IF(_xlfn.XLOOKUP(E50,lookups90!$B$4:$B$999,lookups90!$AY$4:$AY$999,"",0)=0,"",D50*_xlfn.XLOOKUP(E50,lookups90!$B$4:$B$999,lookups90!$AY$4:$AY$999,"",0)),"")</f>
        <v/>
      </c>
      <c r="BF50" s="20" t="str">
        <f>IF(C50&lt;&gt;"", P50-_xlfn.XLOOKUP(E50,lookups90!$B$4:$B$999,lookups90!$AX$4:$AX$999,"",0)+M50,"")</f>
        <v/>
      </c>
      <c r="BG50" s="20" t="str">
        <f>IFERROR(IF(_xlfn.XLOOKUP(E50,lookups90!$B$4:$B$999,lookups90!$AZ$4:$AZ$999,"",0)=0,"",D50*_xlfn.XLOOKUP(E50,lookups90!$B$4:$B$999,lookups90!$AZ$4:$AZ$999,"",0)),"")</f>
        <v/>
      </c>
      <c r="BI50" s="20" t="str">
        <f>IF(C50&lt;&gt;"", T50-_xlfn.XLOOKUP(E50,lookups90!$B$4:$B$999,lookups90!$BA$4:$BA$999,"",0),"")</f>
        <v/>
      </c>
      <c r="BJ50" s="20" t="str">
        <f>IFERROR(IF(_xlfn.XLOOKUP(E50,lookups90!$B$4:$B$999,lookups90!$BB$4:$BB$999,"",0)=0,"",D50*_xlfn.XLOOKUP(E50,lookups90!$B$4:$B$999,lookups90!$BB$4:$BB$999,"",0)),"")</f>
        <v/>
      </c>
      <c r="BK50" s="20" t="str">
        <f>IF(V50&lt;&gt;"", V50-_xlfn.XLOOKUP(E50,lookups90!$B$4:$B$999,lookups90!$BA$4:$BA$999,"",0),"")</f>
        <v/>
      </c>
      <c r="BL50" s="20" t="str">
        <f>IFERROR(IF(_xlfn.XLOOKUP(E50,lookups90!$B$4:$B$999,lookups90!$BC$4:$BC$999,"",0)=0,"",D50*_xlfn.XLOOKUP(E50,lookups90!$B$4:$B$999,lookups90!$BC$4:$BC$999,"",0)),"")</f>
        <v/>
      </c>
      <c r="BM50" s="20" t="str">
        <f>IF(C50&lt;&gt;"", X50-_xlfn.XLOOKUP(E50,lookups90!$B$4:$B$999,lookups90!$BA$4:$BA$999,"",0),"")</f>
        <v/>
      </c>
      <c r="BN50" s="20" t="str">
        <f>IFERROR(IF(_xlfn.XLOOKUP(E50,lookups90!$B$4:$B$999,lookups90!$BD$4:$BD$999,"",0)=0,"",D50*_xlfn.XLOOKUP(E50,lookups90!$B$4:$B$999,lookups90!$BD$4:$BD$999,"",0)),"")</f>
        <v/>
      </c>
      <c r="BP50" s="20" t="str">
        <f>IF(AB50&lt;&gt;"", AB50-_xlfn.XLOOKUP(E50,lookups90!$B$4:$B$999,lookups90!$BE$4:$BE$999,"",0),"")</f>
        <v/>
      </c>
      <c r="BQ50" s="20" t="str">
        <f>IFERROR(IF(_xlfn.XLOOKUP(E50,lookups90!$B$4:$B$999,lookups90!$BF$4:$BF$999,"",0)=0,"",D50*_xlfn.XLOOKUP(E50,lookups90!$B$4:$B$999,lookups90!$BF$4:$BF$999,"",0)),"")</f>
        <v/>
      </c>
      <c r="BR50" s="20" t="str" cm="1">
        <f t="array" ref="BR50">_xlfn.IFS(BP50="","",OR(E50="Fix Slide Door - with Screen",E50="Slide Slide Door - with Screen"),(K50-_xlfn.XLOOKUP(E50,lookups90!$B$4:$B$999,lookups90!$F$4:$F$999,"",0)-_xlfn.XLOOKUP(E50,lookups90!$B$4:$B$999,lookups90!$G$4:$G$999,"",0)+_xlfn.XLOOKUP(E50,lookups90!$B$4:$B$999,lookups90!$H$4:$H$999,"",0))/2+_xlfn.XLOOKUP(E50,lookups90!$B$4:$B$999,lookups90!$I$4:$I$999,"",0)-_xlfn.XLOOKUP(E50,lookups90!$B$4:$B$999,lookups90!$BE$4:$BE$999,"",0), E50="Fix Slide Slide Fix Door - with Screen",(K50-_xlfn.XLOOKUP(E50,lookups90!$B$4:$B$999,lookups90!$F$4:$F$999,"",0)-_xlfn.XLOOKUP(E50,lookups90!$B$4:$B$999,lookups90!$G$4:$G$999,"",0)+_xlfn.XLOOKUP(E50,lookups90!$B$4:$B$999,lookups90!$H$4:$H$999,"",0)+_xlfn.XLOOKUP(E50,lookups90!$B$4:$B$999,lookups90!$H$4:$H$999,"",0))/4+_xlfn.XLOOKUP(E50,lookups90!$B$4:$B$999,lookups90!$I$4:$I$999,"",0)-_xlfn.XLOOKUP(E50,lookups90!$B$4:$B$999,lookups90!$BE$4:$BE$999,"",0))</f>
        <v/>
      </c>
      <c r="BS50" s="20" t="str">
        <f>IFERROR(IF(_xlfn.XLOOKUP(E50,lookups90!$B$4:$B$999,lookups90!$BG$4:$BG$999,"",0)=0,"",D50*_xlfn.XLOOKUP(E50,lookups90!$B$4:$B$999,lookups90!$BG$4:$BG$999,"",0)),"")</f>
        <v/>
      </c>
      <c r="BU50" s="20" t="str">
        <f>IF(AG50&lt;&gt;"",AG50-_xlfn.XLOOKUP(E50,lookups90!$B$4:$B$999,lookups90!$BA$4:$BA$999,"",0),"")</f>
        <v/>
      </c>
      <c r="BV50" s="20" t="str">
        <f>IFERROR(IF(_xlfn.XLOOKUP(E50,lookups90!$B$4:$B$999,lookups90!$BH$4:$BH$999,"",0)=0,"",D50*_xlfn.XLOOKUP(E50,lookups90!$B$4:$B$999,lookups90!$BH$4:$BH$999,"",0)),"")</f>
        <v/>
      </c>
      <c r="BW50" s="20" t="str" cm="1">
        <f t="array" ref="BW50">_xlfn.IFS(BU50="","",OR(E50="Fix Slide Window",E50="Slide Slide Window"),(K50-_xlfn.XLOOKUP(E50,lookups90!$B$4:$B$999,lookups90!$F$4:$F$999,"",0)-_xlfn.XLOOKUP(E50,lookups90!$B$4:$B$999,lookups90!$G$4:$G$999,"",0)+_xlfn.XLOOKUP(E50,lookups90!$B$4:$B$999,lookups90!$H$4:$H$999,"",0))/2+_xlfn.XLOOKUP(E50,lookups90!$B$4:$B$999,lookups90!$I$4:$I$999,"",0)-_xlfn.XLOOKUP(E50,lookups90!$B$4:$B$999,lookups90!$BA$4:$BA$999,"",0), E50="Fix Slide Slide Fix Window",(K50-_xlfn.XLOOKUP(E50,lookups90!$B$4:$B$999,lookups90!$F$4:$F$999,"",0)-_xlfn.XLOOKUP(E50,lookups90!$B$4:$B$999,lookups90!$G$4:$G$999,"",0)+_xlfn.XLOOKUP(E50,lookups90!$B$4:$B$999,lookups90!$H$4:$H$999,"",0)+_xlfn.XLOOKUP(E50,lookups90!$B$4:$B$999,lookups90!$H$4:$H$999,"",0))/4+_xlfn.XLOOKUP(E50,lookups90!$B$4:$B$999,lookups90!$I$4:$I$999,"",0)-_xlfn.XLOOKUP(E50,lookups90!$B$4:$B$999,lookups90!$BA$4:$BA$999,"",0))</f>
        <v/>
      </c>
      <c r="BX50" s="20" t="str">
        <f>IFERROR(IF(_xlfn.XLOOKUP(E50,lookups90!$B$4:$B$999,lookups90!$BI$4:$BI$999,"",0)=0,"",D50*_xlfn.XLOOKUP(E50,lookups90!$B$4:$B$999,lookups90!$BI$4:$BI$999,"",0)),"")</f>
        <v/>
      </c>
      <c r="BZ50" s="20" t="str">
        <f>IF(AL50&lt;&gt;"", AL50-_xlfn.XLOOKUP(E50,lookups90!$B$4:$B$999,lookups90!$BJ$4:$BJ$999,"",0),"")</f>
        <v/>
      </c>
      <c r="CA50" s="20" t="str">
        <f>IFERROR(IF(_xlfn.XLOOKUP(E50,lookups90!$B$4:$B$999,lookups90!$BK$4:$BK$999,"",0)=0,"",D50*_xlfn.XLOOKUP(E50,lookups90!$B$4:$B$999,lookups90!$BK$4:$BK$999,"",0)),"")</f>
        <v/>
      </c>
      <c r="CC50" s="20" t="str">
        <f>IF(C50&lt;&gt;"", T50-_xlfn.XLOOKUP(E50,lookups90!$B$4:$B$999,lookups90!$BO$4:$BO$999,"",0)-_xlfn.XLOOKUP(E50,lookups90!$B$4:$B$999,lookups90!$BP$4:$BP$999,"",0),"")</f>
        <v/>
      </c>
      <c r="CD50" s="20" t="str">
        <f>IF(C50&lt;&gt;"", X50-_xlfn.XLOOKUP(E50,lookups90!$B$4:$B$999,lookups90!$BQ$4:$BQ$999,"",0)-_xlfn.XLOOKUP(E50,lookups90!$B$4:$B$999,lookups90!$BR$4:$BR$999,"",0),"")</f>
        <v/>
      </c>
      <c r="CE50" s="20" t="str">
        <f>IFERROR(IF(_xlfn.XLOOKUP(E50,lookups90!$B$4:$B$999,lookups90!$BS$4:$BS$999,"",0)=0,"",D50*_xlfn.XLOOKUP(E50,lookups90!$B$4:$B$999,lookups90!$BS$4:$BS$999,"",0)),"")</f>
        <v/>
      </c>
      <c r="CF50" s="20" t="str">
        <f>IF(V50&lt;&gt;"", V50-_xlfn.XLOOKUP(E50,lookups90!$B$4:$B$999,lookups90!$BO$4:$BO$999,"",0)-_xlfn.XLOOKUP(E50,lookups90!$B$4:$B$999,lookups90!$BP$4:$BP$999,"",0),"")</f>
        <v/>
      </c>
      <c r="CG50" s="20" t="str">
        <f>IF(CF50&lt;&gt;"", X50-_xlfn.XLOOKUP(E50,lookups90!$B$4:$B$999,lookups90!$BQ$4:$BQ$999,"",0)-_xlfn.XLOOKUP(E50,lookups90!$B$4:$B$999,lookups90!$BR$4:$BR$999,"",0),"")</f>
        <v/>
      </c>
      <c r="CH50" s="20" t="str">
        <f>IFERROR(IF(_xlfn.XLOOKUP(E50,lookups90!$B$4:$B$999,lookups90!$BT$4:$BT$999,"",0)=0,"",D50*_xlfn.XLOOKUP(E50,lookups90!$B$4:$B$999,lookups90!$BT$4:$BT$999,"",0)),"")</f>
        <v/>
      </c>
      <c r="CJ50" s="22" t="str">
        <f t="shared" si="5"/>
        <v/>
      </c>
      <c r="CL50" s="22" t="str" cm="1">
        <f t="array" ref="CL50">IF(D50&lt;&gt;"",((((J50+K50)*2)/500)+(2*_xlfn.IFS(OR(E50="Fix Slide Window", E50="Slide Slide Window", E50="Fix Slide Slide Fix Window"), 2, E50="Slide Slide Door - with Screen", 8, E50&lt;&gt;"",4)))*D50,"")</f>
        <v/>
      </c>
      <c r="CM50" s="22" t="str">
        <f t="shared" si="9"/>
        <v/>
      </c>
      <c r="CN50" s="22" t="str">
        <f t="shared" si="10"/>
        <v/>
      </c>
      <c r="CO50" s="22" t="str">
        <f t="shared" si="8"/>
        <v/>
      </c>
      <c r="CP50" s="22" t="str">
        <f t="shared" si="11"/>
        <v/>
      </c>
    </row>
    <row r="51" spans="3:94" ht="13.5" customHeight="1" x14ac:dyDescent="0.25">
      <c r="C51" s="16"/>
      <c r="D51" s="16"/>
      <c r="E51" s="16"/>
      <c r="F51" s="16"/>
      <c r="G51" s="16"/>
      <c r="H51" s="16"/>
      <c r="I51" s="16"/>
      <c r="J51" s="16"/>
      <c r="K51" s="16"/>
      <c r="M51" s="20" t="str">
        <f t="shared" si="1"/>
        <v/>
      </c>
      <c r="N51" s="20" t="str" cm="1">
        <f t="array" ref="N51">IFERROR(_xlfn.IFS(OR(E51="Fix Awning (Vertical)", E51="Fix Awning (Horizontal)"), J51/2+20,C51&lt;&gt;"", J51+M51),"")</f>
        <v/>
      </c>
      <c r="O51" s="20" t="str">
        <f t="shared" si="2"/>
        <v/>
      </c>
      <c r="P51" s="20" t="str">
        <f t="shared" si="3"/>
        <v/>
      </c>
      <c r="Q51" s="20" t="str">
        <f t="shared" si="4"/>
        <v/>
      </c>
      <c r="S51" s="20" t="str">
        <f>IF(C51&lt;&gt;"", _xlfn.XLOOKUP(E51,lookups90!$B$4:$B$999,lookups90!$C$4:$C$999,"",0),"")</f>
        <v/>
      </c>
      <c r="T51" s="20" t="str">
        <f>IF(C51&lt;&gt;"", J51-_xlfn.XLOOKUP(E51,lookups90!$B$4:$B$999,lookups90!$D$4:$D$999, "",0),"")</f>
        <v/>
      </c>
      <c r="U51" s="20" t="str">
        <f>IF(T51&lt;&gt;"",D51*_xlfn.XLOOKUP(E51,lookups90!$B$4:$B$999,lookups90!$J$4:$J$999, "",0),"")</f>
        <v/>
      </c>
      <c r="V51" s="20" t="str">
        <f>IF(AND(C51&lt;&gt;"", E51&lt;&gt;"Slide Slide Window", E51&lt;&gt;"Slide Slide Door", E51&lt;&gt;"Slide Slide Door - with Screen"), J51-_xlfn.XLOOKUP(E51,lookups90!$B$4:$B$999,lookups90!$E$4:$E$999, "",0),"")</f>
        <v/>
      </c>
      <c r="W51" s="20" t="str">
        <f>IF(V51&lt;&gt;"",D51*_xlfn.XLOOKUP(E51,lookups90!$B$4:$B$999,lookups90!$K$4:$K$999, "",0),"")</f>
        <v/>
      </c>
      <c r="X51" s="20" t="str" cm="1">
        <f t="array" ref="X51">IFERROR(_xlfn.IFS(OR(E51="Fix Slide Window", E51="Slide Slide Window", E51="Fix Slide Door", E51="Slide Slide Door", E51="Fix Slide Door - with Screen", E51="Slide Slide Door - with Screen"), (K51-_xlfn.XLOOKUP(E51,lookups90!$B$4:$B$999,lookups90!$F$4:$F$999, "",0)-_xlfn.XLOOKUP(E51,lookups90!$B$4:$B$999,lookups90!$G$4:$G$999, "",0)+_xlfn.XLOOKUP(E51,lookups90!$B$4:$B$999,lookups90!$H$4:$H$999, "",0))/2+_xlfn.XLOOKUP(E51,lookups90!$B$4:$B$999,lookups90!$I$4:$I$999, "",0), OR(E51="Fix Slide Slide Fix Window", E51="Fix Slide Slide Fix Door - with Screen", E51="Fix Slide Slide Fix Door"),  (K51-_xlfn.XLOOKUP(E51,lookups90!$B$4:$B$999,lookups90!$F$4:$F$999, "",0)-_xlfn.XLOOKUP(E51,lookups90!$B$4:$B$999,lookups90!$G$4:$G$999, "",0)+_xlfn.XLOOKUP(E51,lookups90!$B$4:$B$999,lookups90!$H$4:$H$999, "",0)+_xlfn.XLOOKUP(E51,lookups90!$B$4:$B$999,lookups90!$H$4:$H$999, "",0))/4+_xlfn.XLOOKUP(E51,lookups90!$B$4:$B$999,lookups90!$I$4:$I$999, "",0), E51="Fix Slide Slide Door", (K51-_xlfn.XLOOKUP(E51,lookups90!$B$4:$B$999,lookups90!$F$4:$F$999, "",0)-_xlfn.XLOOKUP(E51,lookups90!$B$4:$B$999,lookups90!$G$4:$G$999, "",0)+_xlfn.XLOOKUP(E51,lookups90!$B$4:$B$999,lookups90!$H$4:$H$999, "",0)+_xlfn.XLOOKUP(E51,lookups90!$B$4:$B$999,lookups90!$H$4:$H$999, "",0))/3+_xlfn.XLOOKUP(E51,lookups90!$B$4:$B$999,lookups90!$I$4:$I$999, "",0),E51="Fix Slide Slide Slide Slide Fix Dr",  (K51-_xlfn.XLOOKUP(E51,lookups90!$B$4:$B$999,lookups90!$F$4:$F$999, "",0)-_xlfn.XLOOKUP(E51,lookups90!$B$4:$B$999,lookups90!$G$4:$G$999, "",0)+_xlfn.XLOOKUP(E51,lookups90!$B$4:$B$999,lookups90!$H$4:$H$999, "",0)+_xlfn.XLOOKUP(E51,lookups90!$B$4:$B$999,lookups90!$H$4:$H$999, "",0)+_xlfn.XLOOKUP(E51,lookups90!$B$4:$B$999,lookups90!$H$4:$H$999, "",0)+_xlfn.XLOOKUP(E51,lookups90!$B$4:$B$999,lookups90!$H$4:$H$999, "",0))/6+_xlfn.XLOOKUP(E51,lookups90!$B$4:$B$999,lookups90!$I$4:$I$999, "",0), E51="Fix Slide Slide Slide Slide Slide Slide Fix Dr",  (K51-_xlfn.XLOOKUP(E51,lookups90!$B$4:$B$999,lookups90!$F$4:$F$999, "",0)-_xlfn.XLOOKUP(E51,lookups90!$B$4:$B$999,lookups90!$G$4:$G$999, "",0)+_xlfn.XLOOKUP(E51,lookups90!$B$4:$B$999,lookups90!$H$4:$H$999, "",0)+_xlfn.XLOOKUP(E51,lookups90!$B$4:$B$999,lookups90!$H$4:$H$999, "",0)+_xlfn.XLOOKUP(E51,lookups90!$B$4:$B$999,lookups90!$H$4:$H$999, "",0)+_xlfn.XLOOKUP(E51,lookups90!$B$4:$B$999,lookups90!$H$4:$H$999, "",0)+_xlfn.XLOOKUP(E51,lookups90!$B$4:$B$999,lookups90!$H$4:$H$999, "",0)+_xlfn.XLOOKUP(E51,lookups90!$B$4:$B$999,lookups90!$H$4:$H$999, "",0))/8+_xlfn.XLOOKUP(E51,lookups90!$B$4:$B$999,lookups90!$I$4:$I$999, "",0)),"")</f>
        <v/>
      </c>
      <c r="Y51" s="20" t="str">
        <f>IF(X51&lt;&gt;"",D51*_xlfn.XLOOKUP(E51,lookups90!$B$4:$B$999,lookups90!$L$4:$L$999, "",0),"")</f>
        <v/>
      </c>
      <c r="AA51" s="20" t="str">
        <f>IF(C51&lt;&gt;"", IF(_xlfn.XLOOKUP(E51,lookups90!$B$4:$B$999,lookups90!$P$4:$P$999,"",0)=0,"",_xlfn.XLOOKUP(E51,lookups90!$B$4:$B$999,lookups90!$P$4:$P$999,"",0)),"")</f>
        <v/>
      </c>
      <c r="AB51" s="20" t="str">
        <f>IF(AA51&lt;&gt;"", J51-_xlfn.XLOOKUP(E51,lookups90!$B$4:$B$999,lookups90!$D$4:$D$999, "",0),"")</f>
        <v/>
      </c>
      <c r="AC51" s="20" t="str">
        <f>IF(AA51&lt;&gt;"",D51*_xlfn.XLOOKUP(E51,lookups90!$B$4:$B$999,lookups90!$Q$4:$Q$999, "",0),"")</f>
        <v/>
      </c>
      <c r="AD51" s="20" t="str" cm="1">
        <f t="array" ref="AD51">IF(AA51&lt;&gt;"", _xlfn.IFS(OR(E51="Fix Slide Window", E51="Slide Slide Window", E51="Fix Slide Door", E51="Slide Slide Door", E51="Fix Slide Door - with Screen", E51="Slide Slide Door - with Screen"), (K51-_xlfn.XLOOKUP(E51,lookups90!$B$4:$B$999,lookups90!$F$4:$F$999, "",0)-_xlfn.XLOOKUP(E51,lookups90!$B$4:$B$999,lookups90!$G$4:$G$999, "",0)+_xlfn.XLOOKUP(E51,lookups90!$B$4:$B$999,lookups90!$H$4:$H$999, "",0))/2+_xlfn.XLOOKUP(E51,lookups90!$B$4:$B$999,lookups90!$I$4:$I$999, "",0), OR(E51="Fix Slide Slide Fix Window", E51="Fix Slide Slide Fix Door - with Screen", E51="Fix Slide Slide Fix Door"),  (K51-_xlfn.XLOOKUP(E51,lookups90!$B$4:$B$999,lookups90!$F$4:$F$999, "",0)-_xlfn.XLOOKUP(E51,lookups90!$B$4:$B$999,lookups90!$G$4:$G$999, "",0)+_xlfn.XLOOKUP(E51,lookups90!$B$4:$B$999,lookups90!$H$4:$H$999, "",0)+_xlfn.XLOOKUP(E51,lookups90!$B$4:$B$999,lookups90!$H$4:$H$999, "",0))/4+_xlfn.XLOOKUP(E51,lookups90!$B$4:$B$999,lookups90!$I$4:$I$999, "",0), E51="Fix Slide Slide Door", (K51-_xlfn.XLOOKUP(E51,lookups90!$B$4:$B$999,lookups90!$F$4:$F$999, "",0)-_xlfn.XLOOKUP(E51,lookups90!$B$4:$B$999,lookups90!$G$4:$G$999, "",0)+_xlfn.XLOOKUP(E51,lookups90!$B$4:$B$999,lookups90!$H$4:$H$999, "",0)+_xlfn.XLOOKUP(E51,lookups90!$B$4:$B$999,lookups90!$H$4:$H$999, "",0))/3+_xlfn.XLOOKUP(E51,lookups90!$B$4:$B$999,lookups90!$I$4:$I$999, "",0) ),"")</f>
        <v/>
      </c>
      <c r="AE51" s="20" t="str">
        <f>IF(AA51&lt;&gt;"",D51*_xlfn.XLOOKUP(E51,lookups90!$B$4:$B$999,lookups90!$R$4:$R$999, "",0),"")</f>
        <v/>
      </c>
      <c r="AG51" s="20" t="str">
        <f>IF(AH51&lt;&gt;"", J51-_xlfn.XLOOKUP(E51,lookups90!$B$4:$B$999,lookups90!$D$4:$D$999, "",0),"")</f>
        <v/>
      </c>
      <c r="AH51" s="20" t="str">
        <f>IF(_xlfn.XLOOKUP(E51,lookups90!$B$4:$B$999,lookups90!$V$4:$V$999,"",0)=0,"",D51*_xlfn.XLOOKUP(E51,lookups90!$B$4:$B$999,lookups90!$V$4:$V$999,"",0))</f>
        <v/>
      </c>
      <c r="AI51" s="20" t="str" cm="1">
        <f t="array" ref="AI51">IF(AH51&lt;&gt;"", _xlfn.IFS(OR(E51="Fix Slide Window", E51="Slide Slide Window"), (K51-_xlfn.XLOOKUP(E51,lookups90!$B$4:$B$999,lookups90!$F$4:$F$999, "",0)-_xlfn.XLOOKUP(E51,lookups90!$B$4:$B$999,lookups90!$G$4:$G$999, "",0)+_xlfn.XLOOKUP(E51,lookups90!$B$4:$B$999,lookups90!$H$4:$H$999, "",0))/2+_xlfn.XLOOKUP(E51,lookups90!$B$4:$B$999,lookups90!$I$4:$I$999, "",0), OR(E51="Fix Slide Slide Fix Window"),  (K51-_xlfn.XLOOKUP(E51,lookups90!$B$4:$B$999,lookups90!$F$4:$F$999, "",0)+_xlfn.XLOOKUP(E51,lookups90!$B$4:$B$999,lookups90!$H$4:$H$999, "",0)+_xlfn.XLOOKUP(E51,lookups90!$B$4:$B$999,lookups90!$H$4:$H$999, "",0))/4+_xlfn.XLOOKUP(E51,lookups90!$B$4:$B$999,lookups90!$I$4:$I$999, "",0)),"")</f>
        <v/>
      </c>
      <c r="AJ51" s="20" t="str">
        <f>IF(_xlfn.XLOOKUP(E51,lookups90!$B$4:$B$999,lookups90!$V$4:$V$999,"",0)=0,"",D51*_xlfn.XLOOKUP(E51,lookups90!$B$4:$B$999,lookups90!$W$4:$W$999,"",0))</f>
        <v/>
      </c>
      <c r="AL51" s="20" t="str" cm="1">
        <f t="array" ref="AL51">IF(AM51&lt;&gt;"", _xlfn.IFS(OR(E51="Fix Slide Door - with Screen", E51="Slide Slide Door - with Screen"), (K51-_xlfn.XLOOKUP(E51,lookups90!$B$4:$B$999,lookups90!$F$4:$F$999, "",0)-_xlfn.XLOOKUP(E51,lookups90!$B$4:$B$999,lookups90!$G$4:$G$999, "",0)+_xlfn.XLOOKUP(E51,lookups90!$B$4:$B$999,lookups90!$H$4:$H$999, "",0))/2+_xlfn.XLOOKUP(E51,lookups90!$B$4:$B$999,lookups90!$I$4:$I$999, "",0), OR( E51="Fix Slide Slide Fix Door - with Screen",  E51="Fix Slide Slide Door"),  (K51-_xlfn.XLOOKUP(E51,lookups90!$B$4:$B$999,lookups90!$F$4:$F$999, "",0)-_xlfn.XLOOKUP(E51,lookups90!$B$4:$B$999,lookups90!$G$4:$G$999, "",0)+_xlfn.XLOOKUP(E51,lookups90!$B$4:$B$999,lookups90!$H$4:$H$999, "",0)+_xlfn.XLOOKUP(E51,lookups90!$B$4:$B$999,lookups90!$H$4:$H$999, "",0))/4+_xlfn.XLOOKUP(E51,lookups90!$B$4:$B$999,lookups90!$I$4:$I$999, "",0)),"")</f>
        <v/>
      </c>
      <c r="AM51" s="20" t="str">
        <f>IF(_xlfn.XLOOKUP(E51,lookups90!$B$4:$B$999,lookups90!$AA$4:$AA$999,"",0)=0,"",D51*_xlfn.XLOOKUP(E51,lookups90!$B$4:$B$999,lookups90!$AA$4:$AA$999,"",0))</f>
        <v/>
      </c>
      <c r="AO51" s="20" t="str">
        <f>IFERROR(IF(C51&lt;&gt;"", T51-_xlfn.XLOOKUP(E51,lookups90!$B$4:$B$999,lookups90!$AE$4:$AE$999, "",0),""),"")</f>
        <v/>
      </c>
      <c r="AP51" s="20" t="str">
        <f>IF(_xlfn.XLOOKUP(E51,lookups90!$B$4:$B$999,lookups90!$AG$4:$AG$999,"",0)=0,"",D51*_xlfn.XLOOKUP(E51,lookups90!$B$4:$B$999,lookups90!$AG$4:$AG$999,"",0))</f>
        <v/>
      </c>
      <c r="AQ51" s="20" t="str">
        <f>IF(V51&lt;&gt;"", T51-_xlfn.XLOOKUP(E51,lookups90!$B$4:$B$999,lookups90!$AE$4:$AE$999, "",0)+_xlfn.XLOOKUP(E51,lookups90!$B$4:$B$999,lookups90!$AF$4:$AF$999, "",0),"")</f>
        <v/>
      </c>
      <c r="AR51" s="20" t="str">
        <f>IFERROR(IF(_xlfn.XLOOKUP(E51,lookups90!$B$4:$B$999,lookups90!$AH$4:$AH$999,"",0)=0,"",D51*_xlfn.XLOOKUP(E51,lookups90!$B$4:$B$999,lookups90!$AH$4:$AH$999,"",0)),"")</f>
        <v/>
      </c>
      <c r="AT51" s="20" t="str">
        <f>IF(OR(E51="Fix Slide Slide Fix Window", E51="Fix Slide Slide Fix Door", E51="Fix Slide Slide Fix Door - with Screen", E51="Fix Slide Slide Door"), T51-_xlfn.XLOOKUP(E51,lookups90!$B$4:$B$999,lookups90!$AE$4:$AE$999,"",0),"")</f>
        <v/>
      </c>
      <c r="AU51" s="20" t="str">
        <f>IFERROR(IF(_xlfn.XLOOKUP(E51,lookups90!$B$4:$B$999,lookups90!$AL$4:$AL$999,"",0)=0,"",D51*_xlfn.XLOOKUP(E51,lookups90!$B$4:$B$999,lookups90!$AL$4:$AL$999,"",0)),"")</f>
        <v/>
      </c>
      <c r="AW51" s="20" t="str">
        <f>IF(C51&lt;&gt;"", T51-_xlfn.XLOOKUP(E51,lookups90!$B$4:$B$999,lookups90!$AP$4:$AP$999,"",0),"")</f>
        <v/>
      </c>
      <c r="AX51" s="20" t="str">
        <f>IFERROR(IF(_xlfn.XLOOKUP(E51,lookups90!$B$4:$B$999,lookups90!$AR$4:$AR$999,"",0)=0,"",D51*_xlfn.XLOOKUP(E51,lookups90!$B$4:$B$999,lookups90!$AR$4:$AR$999,"",0)),"")</f>
        <v/>
      </c>
      <c r="AY51" s="24" t="str">
        <f>IF(V51&lt;&gt;"", V51-_xlfn.XLOOKUP(E51,lookups90!$B$4:$B$999,lookups90!$AP$4:$AP$999,"",0),"")</f>
        <v/>
      </c>
      <c r="AZ51" s="20" t="str">
        <f>IFERROR(IF(_xlfn.XLOOKUP(E51,lookups90!$B$4:$B$999,lookups90!$AS$4:$AS$999,"",0)=0,"",D51*_xlfn.XLOOKUP(E51,lookups90!$B$4:$B$999,lookups90!$AS$4:$AS$999,"",0)),"")</f>
        <v/>
      </c>
      <c r="BA51" s="20" t="str">
        <f>IF(X51&lt;&gt;"", X51-_xlfn.XLOOKUP(E51,lookups90!$B$4:$B$999,lookups90!$AQ$4:$AQ$999,"",0),"")</f>
        <v/>
      </c>
      <c r="BB51" s="20" t="str">
        <f>IFERROR(IF(_xlfn.XLOOKUP(E51,lookups90!$B$4:$B$999,lookups90!$AT$4:$AT$999,"",0)=0,"",D51*_xlfn.XLOOKUP(E51,lookups90!$B$4:$B$999,lookups90!$AT$4:$AT$999,"",0)),"")</f>
        <v/>
      </c>
      <c r="BD51" s="20" t="str">
        <f>IF(C51&lt;&gt;"", N51-_xlfn.XLOOKUP(E51,lookups90!$B$4:$B$999,lookups90!$AX$4:$AX$999,"",0)+M51,"")</f>
        <v/>
      </c>
      <c r="BE51" s="20" t="str">
        <f>IFERROR(IF(_xlfn.XLOOKUP(E51,lookups90!$B$4:$B$999,lookups90!$AY$4:$AY$999,"",0)=0,"",D51*_xlfn.XLOOKUP(E51,lookups90!$B$4:$B$999,lookups90!$AY$4:$AY$999,"",0)),"")</f>
        <v/>
      </c>
      <c r="BF51" s="20" t="str">
        <f>IF(C51&lt;&gt;"", P51-_xlfn.XLOOKUP(E51,lookups90!$B$4:$B$999,lookups90!$AX$4:$AX$999,"",0)+M51,"")</f>
        <v/>
      </c>
      <c r="BG51" s="20" t="str">
        <f>IFERROR(IF(_xlfn.XLOOKUP(E51,lookups90!$B$4:$B$999,lookups90!$AZ$4:$AZ$999,"",0)=0,"",D51*_xlfn.XLOOKUP(E51,lookups90!$B$4:$B$999,lookups90!$AZ$4:$AZ$999,"",0)),"")</f>
        <v/>
      </c>
      <c r="BI51" s="20" t="str">
        <f>IF(C51&lt;&gt;"", T51-_xlfn.XLOOKUP(E51,lookups90!$B$4:$B$999,lookups90!$BA$4:$BA$999,"",0),"")</f>
        <v/>
      </c>
      <c r="BJ51" s="20" t="str">
        <f>IFERROR(IF(_xlfn.XLOOKUP(E51,lookups90!$B$4:$B$999,lookups90!$BB$4:$BB$999,"",0)=0,"",D51*_xlfn.XLOOKUP(E51,lookups90!$B$4:$B$999,lookups90!$BB$4:$BB$999,"",0)),"")</f>
        <v/>
      </c>
      <c r="BK51" s="20" t="str">
        <f>IF(V51&lt;&gt;"", V51-_xlfn.XLOOKUP(E51,lookups90!$B$4:$B$999,lookups90!$BA$4:$BA$999,"",0),"")</f>
        <v/>
      </c>
      <c r="BL51" s="20" t="str">
        <f>IFERROR(IF(_xlfn.XLOOKUP(E51,lookups90!$B$4:$B$999,lookups90!$BC$4:$BC$999,"",0)=0,"",D51*_xlfn.XLOOKUP(E51,lookups90!$B$4:$B$999,lookups90!$BC$4:$BC$999,"",0)),"")</f>
        <v/>
      </c>
      <c r="BM51" s="20" t="str">
        <f>IF(C51&lt;&gt;"", X51-_xlfn.XLOOKUP(E51,lookups90!$B$4:$B$999,lookups90!$BA$4:$BA$999,"",0),"")</f>
        <v/>
      </c>
      <c r="BN51" s="20" t="str">
        <f>IFERROR(IF(_xlfn.XLOOKUP(E51,lookups90!$B$4:$B$999,lookups90!$BD$4:$BD$999,"",0)=0,"",D51*_xlfn.XLOOKUP(E51,lookups90!$B$4:$B$999,lookups90!$BD$4:$BD$999,"",0)),"")</f>
        <v/>
      </c>
      <c r="BP51" s="20" t="str">
        <f>IF(AB51&lt;&gt;"", AB51-_xlfn.XLOOKUP(E51,lookups90!$B$4:$B$999,lookups90!$BE$4:$BE$999,"",0),"")</f>
        <v/>
      </c>
      <c r="BQ51" s="20" t="str">
        <f>IFERROR(IF(_xlfn.XLOOKUP(E51,lookups90!$B$4:$B$999,lookups90!$BF$4:$BF$999,"",0)=0,"",D51*_xlfn.XLOOKUP(E51,lookups90!$B$4:$B$999,lookups90!$BF$4:$BF$999,"",0)),"")</f>
        <v/>
      </c>
      <c r="BR51" s="20" t="str" cm="1">
        <f t="array" ref="BR51">_xlfn.IFS(BP51="","",OR(E51="Fix Slide Door - with Screen",E51="Slide Slide Door - with Screen"),(K51-_xlfn.XLOOKUP(E51,lookups90!$B$4:$B$999,lookups90!$F$4:$F$999,"",0)-_xlfn.XLOOKUP(E51,lookups90!$B$4:$B$999,lookups90!$G$4:$G$999,"",0)+_xlfn.XLOOKUP(E51,lookups90!$B$4:$B$999,lookups90!$H$4:$H$999,"",0))/2+_xlfn.XLOOKUP(E51,lookups90!$B$4:$B$999,lookups90!$I$4:$I$999,"",0)-_xlfn.XLOOKUP(E51,lookups90!$B$4:$B$999,lookups90!$BE$4:$BE$999,"",0), E51="Fix Slide Slide Fix Door - with Screen",(K51-_xlfn.XLOOKUP(E51,lookups90!$B$4:$B$999,lookups90!$F$4:$F$999,"",0)-_xlfn.XLOOKUP(E51,lookups90!$B$4:$B$999,lookups90!$G$4:$G$999,"",0)+_xlfn.XLOOKUP(E51,lookups90!$B$4:$B$999,lookups90!$H$4:$H$999,"",0)+_xlfn.XLOOKUP(E51,lookups90!$B$4:$B$999,lookups90!$H$4:$H$999,"",0))/4+_xlfn.XLOOKUP(E51,lookups90!$B$4:$B$999,lookups90!$I$4:$I$999,"",0)-_xlfn.XLOOKUP(E51,lookups90!$B$4:$B$999,lookups90!$BE$4:$BE$999,"",0))</f>
        <v/>
      </c>
      <c r="BS51" s="20" t="str">
        <f>IFERROR(IF(_xlfn.XLOOKUP(E51,lookups90!$B$4:$B$999,lookups90!$BG$4:$BG$999,"",0)=0,"",D51*_xlfn.XLOOKUP(E51,lookups90!$B$4:$B$999,lookups90!$BG$4:$BG$999,"",0)),"")</f>
        <v/>
      </c>
      <c r="BU51" s="20" t="str">
        <f>IF(AG51&lt;&gt;"",AG51-_xlfn.XLOOKUP(E51,lookups90!$B$4:$B$999,lookups90!$BA$4:$BA$999,"",0),"")</f>
        <v/>
      </c>
      <c r="BV51" s="20" t="str">
        <f>IFERROR(IF(_xlfn.XLOOKUP(E51,lookups90!$B$4:$B$999,lookups90!$BH$4:$BH$999,"",0)=0,"",D51*_xlfn.XLOOKUP(E51,lookups90!$B$4:$B$999,lookups90!$BH$4:$BH$999,"",0)),"")</f>
        <v/>
      </c>
      <c r="BW51" s="20" t="str" cm="1">
        <f t="array" ref="BW51">_xlfn.IFS(BU51="","",OR(E51="Fix Slide Window",E51="Slide Slide Window"),(K51-_xlfn.XLOOKUP(E51,lookups90!$B$4:$B$999,lookups90!$F$4:$F$999,"",0)-_xlfn.XLOOKUP(E51,lookups90!$B$4:$B$999,lookups90!$G$4:$G$999,"",0)+_xlfn.XLOOKUP(E51,lookups90!$B$4:$B$999,lookups90!$H$4:$H$999,"",0))/2+_xlfn.XLOOKUP(E51,lookups90!$B$4:$B$999,lookups90!$I$4:$I$999,"",0)-_xlfn.XLOOKUP(E51,lookups90!$B$4:$B$999,lookups90!$BA$4:$BA$999,"",0), E51="Fix Slide Slide Fix Window",(K51-_xlfn.XLOOKUP(E51,lookups90!$B$4:$B$999,lookups90!$F$4:$F$999,"",0)-_xlfn.XLOOKUP(E51,lookups90!$B$4:$B$999,lookups90!$G$4:$G$999,"",0)+_xlfn.XLOOKUP(E51,lookups90!$B$4:$B$999,lookups90!$H$4:$H$999,"",0)+_xlfn.XLOOKUP(E51,lookups90!$B$4:$B$999,lookups90!$H$4:$H$999,"",0))/4+_xlfn.XLOOKUP(E51,lookups90!$B$4:$B$999,lookups90!$I$4:$I$999,"",0)-_xlfn.XLOOKUP(E51,lookups90!$B$4:$B$999,lookups90!$BA$4:$BA$999,"",0))</f>
        <v/>
      </c>
      <c r="BX51" s="20" t="str">
        <f>IFERROR(IF(_xlfn.XLOOKUP(E51,lookups90!$B$4:$B$999,lookups90!$BI$4:$BI$999,"",0)=0,"",D51*_xlfn.XLOOKUP(E51,lookups90!$B$4:$B$999,lookups90!$BI$4:$BI$999,"",0)),"")</f>
        <v/>
      </c>
      <c r="BZ51" s="20" t="str">
        <f>IF(AL51&lt;&gt;"", AL51-_xlfn.XLOOKUP(E51,lookups90!$B$4:$B$999,lookups90!$BJ$4:$BJ$999,"",0),"")</f>
        <v/>
      </c>
      <c r="CA51" s="20" t="str">
        <f>IFERROR(IF(_xlfn.XLOOKUP(E51,lookups90!$B$4:$B$999,lookups90!$BK$4:$BK$999,"",0)=0,"",D51*_xlfn.XLOOKUP(E51,lookups90!$B$4:$B$999,lookups90!$BK$4:$BK$999,"",0)),"")</f>
        <v/>
      </c>
      <c r="CC51" s="20" t="str">
        <f>IF(C51&lt;&gt;"", T51-_xlfn.XLOOKUP(E51,lookups90!$B$4:$B$999,lookups90!$BO$4:$BO$999,"",0)-_xlfn.XLOOKUP(E51,lookups90!$B$4:$B$999,lookups90!$BP$4:$BP$999,"",0),"")</f>
        <v/>
      </c>
      <c r="CD51" s="20" t="str">
        <f>IF(C51&lt;&gt;"", X51-_xlfn.XLOOKUP(E51,lookups90!$B$4:$B$999,lookups90!$BQ$4:$BQ$999,"",0)-_xlfn.XLOOKUP(E51,lookups90!$B$4:$B$999,lookups90!$BR$4:$BR$999,"",0),"")</f>
        <v/>
      </c>
      <c r="CE51" s="20" t="str">
        <f>IFERROR(IF(_xlfn.XLOOKUP(E51,lookups90!$B$4:$B$999,lookups90!$BS$4:$BS$999,"",0)=0,"",D51*_xlfn.XLOOKUP(E51,lookups90!$B$4:$B$999,lookups90!$BS$4:$BS$999,"",0)),"")</f>
        <v/>
      </c>
      <c r="CF51" s="20" t="str">
        <f>IF(V51&lt;&gt;"", V51-_xlfn.XLOOKUP(E51,lookups90!$B$4:$B$999,lookups90!$BO$4:$BO$999,"",0)-_xlfn.XLOOKUP(E51,lookups90!$B$4:$B$999,lookups90!$BP$4:$BP$999,"",0),"")</f>
        <v/>
      </c>
      <c r="CG51" s="20" t="str">
        <f>IF(CF51&lt;&gt;"", X51-_xlfn.XLOOKUP(E51,lookups90!$B$4:$B$999,lookups90!$BQ$4:$BQ$999,"",0)-_xlfn.XLOOKUP(E51,lookups90!$B$4:$B$999,lookups90!$BR$4:$BR$999,"",0),"")</f>
        <v/>
      </c>
      <c r="CH51" s="20" t="str">
        <f>IFERROR(IF(_xlfn.XLOOKUP(E51,lookups90!$B$4:$B$999,lookups90!$BT$4:$BT$999,"",0)=0,"",D51*_xlfn.XLOOKUP(E51,lookups90!$B$4:$B$999,lookups90!$BT$4:$BT$999,"",0)),"")</f>
        <v/>
      </c>
      <c r="CJ51" s="22" t="str">
        <f t="shared" si="5"/>
        <v/>
      </c>
      <c r="CL51" s="22" t="str" cm="1">
        <f t="array" ref="CL51">IF(D51&lt;&gt;"",((((J51+K51)*2)/500)+(2*_xlfn.IFS(OR(E51="Fix Slide Window", E51="Slide Slide Window", E51="Fix Slide Slide Fix Window"), 2, E51="Slide Slide Door - with Screen", 8, E51&lt;&gt;"",4)))*D51,"")</f>
        <v/>
      </c>
      <c r="CM51" s="22" t="str">
        <f t="shared" si="9"/>
        <v/>
      </c>
      <c r="CN51" s="22" t="str">
        <f t="shared" si="10"/>
        <v/>
      </c>
      <c r="CO51" s="22" t="str">
        <f t="shared" si="8"/>
        <v/>
      </c>
      <c r="CP51" s="22" t="str">
        <f t="shared" si="11"/>
        <v/>
      </c>
    </row>
    <row r="52" spans="3:94" ht="13.5" customHeight="1" x14ac:dyDescent="0.25">
      <c r="C52" s="16"/>
      <c r="D52" s="16"/>
      <c r="E52" s="16"/>
      <c r="F52" s="16"/>
      <c r="G52" s="16"/>
      <c r="H52" s="16"/>
      <c r="I52" s="16"/>
      <c r="J52" s="16"/>
      <c r="K52" s="16"/>
      <c r="M52" s="20" t="str">
        <f t="shared" si="1"/>
        <v/>
      </c>
      <c r="N52" s="20" t="str" cm="1">
        <f t="array" ref="N52">IFERROR(_xlfn.IFS(OR(E52="Fix Awning (Vertical)", E52="Fix Awning (Horizontal)"), J52/2+20,C52&lt;&gt;"", J52+M52),"")</f>
        <v/>
      </c>
      <c r="O52" s="20" t="str">
        <f t="shared" si="2"/>
        <v/>
      </c>
      <c r="P52" s="20" t="str">
        <f t="shared" si="3"/>
        <v/>
      </c>
      <c r="Q52" s="20" t="str">
        <f t="shared" si="4"/>
        <v/>
      </c>
      <c r="S52" s="20" t="str">
        <f>IF(C52&lt;&gt;"", _xlfn.XLOOKUP(E52,lookups90!$B$4:$B$999,lookups90!$C$4:$C$999,"",0),"")</f>
        <v/>
      </c>
      <c r="T52" s="20" t="str">
        <f>IF(C52&lt;&gt;"", J52-_xlfn.XLOOKUP(E52,lookups90!$B$4:$B$999,lookups90!$D$4:$D$999, "",0),"")</f>
        <v/>
      </c>
      <c r="U52" s="20" t="str">
        <f>IF(T52&lt;&gt;"",D52*_xlfn.XLOOKUP(E52,lookups90!$B$4:$B$999,lookups90!$J$4:$J$999, "",0),"")</f>
        <v/>
      </c>
      <c r="V52" s="20" t="str">
        <f>IF(AND(C52&lt;&gt;"", E52&lt;&gt;"Slide Slide Window", E52&lt;&gt;"Slide Slide Door", E52&lt;&gt;"Slide Slide Door - with Screen"), J52-_xlfn.XLOOKUP(E52,lookups90!$B$4:$B$999,lookups90!$E$4:$E$999, "",0),"")</f>
        <v/>
      </c>
      <c r="W52" s="20" t="str">
        <f>IF(V52&lt;&gt;"",D52*_xlfn.XLOOKUP(E52,lookups90!$B$4:$B$999,lookups90!$K$4:$K$999, "",0),"")</f>
        <v/>
      </c>
      <c r="X52" s="20" t="str" cm="1">
        <f t="array" ref="X52">IFERROR(_xlfn.IFS(OR(E52="Fix Slide Window", E52="Slide Slide Window", E52="Fix Slide Door", E52="Slide Slide Door", E52="Fix Slide Door - with Screen", E52="Slide Slide Door - with Screen"), (K52-_xlfn.XLOOKUP(E52,lookups90!$B$4:$B$999,lookups90!$F$4:$F$999, "",0)-_xlfn.XLOOKUP(E52,lookups90!$B$4:$B$999,lookups90!$G$4:$G$999, "",0)+_xlfn.XLOOKUP(E52,lookups90!$B$4:$B$999,lookups90!$H$4:$H$999, "",0))/2+_xlfn.XLOOKUP(E52,lookups90!$B$4:$B$999,lookups90!$I$4:$I$999, "",0), OR(E52="Fix Slide Slide Fix Window", E52="Fix Slide Slide Fix Door - with Screen", E52="Fix Slide Slide Fix Door"),  (K52-_xlfn.XLOOKUP(E52,lookups90!$B$4:$B$999,lookups90!$F$4:$F$999, "",0)-_xlfn.XLOOKUP(E52,lookups90!$B$4:$B$999,lookups90!$G$4:$G$999, "",0)+_xlfn.XLOOKUP(E52,lookups90!$B$4:$B$999,lookups90!$H$4:$H$999, "",0)+_xlfn.XLOOKUP(E52,lookups90!$B$4:$B$999,lookups90!$H$4:$H$999, "",0))/4+_xlfn.XLOOKUP(E52,lookups90!$B$4:$B$999,lookups90!$I$4:$I$999, "",0), E52="Fix Slide Slide Door", (K52-_xlfn.XLOOKUP(E52,lookups90!$B$4:$B$999,lookups90!$F$4:$F$999, "",0)-_xlfn.XLOOKUP(E52,lookups90!$B$4:$B$999,lookups90!$G$4:$G$999, "",0)+_xlfn.XLOOKUP(E52,lookups90!$B$4:$B$999,lookups90!$H$4:$H$999, "",0)+_xlfn.XLOOKUP(E52,lookups90!$B$4:$B$999,lookups90!$H$4:$H$999, "",0))/3+_xlfn.XLOOKUP(E52,lookups90!$B$4:$B$999,lookups90!$I$4:$I$999, "",0),E52="Fix Slide Slide Slide Slide Fix Dr",  (K52-_xlfn.XLOOKUP(E52,lookups90!$B$4:$B$999,lookups90!$F$4:$F$999, "",0)-_xlfn.XLOOKUP(E52,lookups90!$B$4:$B$999,lookups90!$G$4:$G$999, "",0)+_xlfn.XLOOKUP(E52,lookups90!$B$4:$B$999,lookups90!$H$4:$H$999, "",0)+_xlfn.XLOOKUP(E52,lookups90!$B$4:$B$999,lookups90!$H$4:$H$999, "",0)+_xlfn.XLOOKUP(E52,lookups90!$B$4:$B$999,lookups90!$H$4:$H$999, "",0)+_xlfn.XLOOKUP(E52,lookups90!$B$4:$B$999,lookups90!$H$4:$H$999, "",0))/6+_xlfn.XLOOKUP(E52,lookups90!$B$4:$B$999,lookups90!$I$4:$I$999, "",0), E52="Fix Slide Slide Slide Slide Slide Slide Fix Dr",  (K52-_xlfn.XLOOKUP(E52,lookups90!$B$4:$B$999,lookups90!$F$4:$F$999, "",0)-_xlfn.XLOOKUP(E52,lookups90!$B$4:$B$999,lookups90!$G$4:$G$999, "",0)+_xlfn.XLOOKUP(E52,lookups90!$B$4:$B$999,lookups90!$H$4:$H$999, "",0)+_xlfn.XLOOKUP(E52,lookups90!$B$4:$B$999,lookups90!$H$4:$H$999, "",0)+_xlfn.XLOOKUP(E52,lookups90!$B$4:$B$999,lookups90!$H$4:$H$999, "",0)+_xlfn.XLOOKUP(E52,lookups90!$B$4:$B$999,lookups90!$H$4:$H$999, "",0)+_xlfn.XLOOKUP(E52,lookups90!$B$4:$B$999,lookups90!$H$4:$H$999, "",0)+_xlfn.XLOOKUP(E52,lookups90!$B$4:$B$999,lookups90!$H$4:$H$999, "",0))/8+_xlfn.XLOOKUP(E52,lookups90!$B$4:$B$999,lookups90!$I$4:$I$999, "",0)),"")</f>
        <v/>
      </c>
      <c r="Y52" s="20" t="str">
        <f>IF(X52&lt;&gt;"",D52*_xlfn.XLOOKUP(E52,lookups90!$B$4:$B$999,lookups90!$L$4:$L$999, "",0),"")</f>
        <v/>
      </c>
      <c r="AA52" s="20" t="str">
        <f>IF(C52&lt;&gt;"", IF(_xlfn.XLOOKUP(E52,lookups90!$B$4:$B$999,lookups90!$P$4:$P$999,"",0)=0,"",_xlfn.XLOOKUP(E52,lookups90!$B$4:$B$999,lookups90!$P$4:$P$999,"",0)),"")</f>
        <v/>
      </c>
      <c r="AB52" s="20" t="str">
        <f>IF(AA52&lt;&gt;"", J52-_xlfn.XLOOKUP(E52,lookups90!$B$4:$B$999,lookups90!$D$4:$D$999, "",0),"")</f>
        <v/>
      </c>
      <c r="AC52" s="20" t="str">
        <f>IF(AA52&lt;&gt;"",D52*_xlfn.XLOOKUP(E52,lookups90!$B$4:$B$999,lookups90!$Q$4:$Q$999, "",0),"")</f>
        <v/>
      </c>
      <c r="AD52" s="20" t="str" cm="1">
        <f t="array" ref="AD52">IF(AA52&lt;&gt;"", _xlfn.IFS(OR(E52="Fix Slide Window", E52="Slide Slide Window", E52="Fix Slide Door", E52="Slide Slide Door", E52="Fix Slide Door - with Screen", E52="Slide Slide Door - with Screen"), (K52-_xlfn.XLOOKUP(E52,lookups90!$B$4:$B$999,lookups90!$F$4:$F$999, "",0)-_xlfn.XLOOKUP(E52,lookups90!$B$4:$B$999,lookups90!$G$4:$G$999, "",0)+_xlfn.XLOOKUP(E52,lookups90!$B$4:$B$999,lookups90!$H$4:$H$999, "",0))/2+_xlfn.XLOOKUP(E52,lookups90!$B$4:$B$999,lookups90!$I$4:$I$999, "",0), OR(E52="Fix Slide Slide Fix Window", E52="Fix Slide Slide Fix Door - with Screen", E52="Fix Slide Slide Fix Door"),  (K52-_xlfn.XLOOKUP(E52,lookups90!$B$4:$B$999,lookups90!$F$4:$F$999, "",0)-_xlfn.XLOOKUP(E52,lookups90!$B$4:$B$999,lookups90!$G$4:$G$999, "",0)+_xlfn.XLOOKUP(E52,lookups90!$B$4:$B$999,lookups90!$H$4:$H$999, "",0)+_xlfn.XLOOKUP(E52,lookups90!$B$4:$B$999,lookups90!$H$4:$H$999, "",0))/4+_xlfn.XLOOKUP(E52,lookups90!$B$4:$B$999,lookups90!$I$4:$I$999, "",0), E52="Fix Slide Slide Door", (K52-_xlfn.XLOOKUP(E52,lookups90!$B$4:$B$999,lookups90!$F$4:$F$999, "",0)-_xlfn.XLOOKUP(E52,lookups90!$B$4:$B$999,lookups90!$G$4:$G$999, "",0)+_xlfn.XLOOKUP(E52,lookups90!$B$4:$B$999,lookups90!$H$4:$H$999, "",0)+_xlfn.XLOOKUP(E52,lookups90!$B$4:$B$999,lookups90!$H$4:$H$999, "",0))/3+_xlfn.XLOOKUP(E52,lookups90!$B$4:$B$999,lookups90!$I$4:$I$999, "",0) ),"")</f>
        <v/>
      </c>
      <c r="AE52" s="20" t="str">
        <f>IF(AA52&lt;&gt;"",D52*_xlfn.XLOOKUP(E52,lookups90!$B$4:$B$999,lookups90!$R$4:$R$999, "",0),"")</f>
        <v/>
      </c>
      <c r="AG52" s="20" t="str">
        <f>IF(AH52&lt;&gt;"", J52-_xlfn.XLOOKUP(E52,lookups90!$B$4:$B$999,lookups90!$D$4:$D$999, "",0),"")</f>
        <v/>
      </c>
      <c r="AH52" s="20" t="str">
        <f>IF(_xlfn.XLOOKUP(E52,lookups90!$B$4:$B$999,lookups90!$V$4:$V$999,"",0)=0,"",D52*_xlfn.XLOOKUP(E52,lookups90!$B$4:$B$999,lookups90!$V$4:$V$999,"",0))</f>
        <v/>
      </c>
      <c r="AI52" s="20" t="str" cm="1">
        <f t="array" ref="AI52">IF(AH52&lt;&gt;"", _xlfn.IFS(OR(E52="Fix Slide Window", E52="Slide Slide Window"), (K52-_xlfn.XLOOKUP(E52,lookups90!$B$4:$B$999,lookups90!$F$4:$F$999, "",0)-_xlfn.XLOOKUP(E52,lookups90!$B$4:$B$999,lookups90!$G$4:$G$999, "",0)+_xlfn.XLOOKUP(E52,lookups90!$B$4:$B$999,lookups90!$H$4:$H$999, "",0))/2+_xlfn.XLOOKUP(E52,lookups90!$B$4:$B$999,lookups90!$I$4:$I$999, "",0), OR(E52="Fix Slide Slide Fix Window"),  (K52-_xlfn.XLOOKUP(E52,lookups90!$B$4:$B$999,lookups90!$F$4:$F$999, "",0)+_xlfn.XLOOKUP(E52,lookups90!$B$4:$B$999,lookups90!$H$4:$H$999, "",0)+_xlfn.XLOOKUP(E52,lookups90!$B$4:$B$999,lookups90!$H$4:$H$999, "",0))/4+_xlfn.XLOOKUP(E52,lookups90!$B$4:$B$999,lookups90!$I$4:$I$999, "",0)),"")</f>
        <v/>
      </c>
      <c r="AJ52" s="20" t="str">
        <f>IF(_xlfn.XLOOKUP(E52,lookups90!$B$4:$B$999,lookups90!$V$4:$V$999,"",0)=0,"",D52*_xlfn.XLOOKUP(E52,lookups90!$B$4:$B$999,lookups90!$W$4:$W$999,"",0))</f>
        <v/>
      </c>
      <c r="AL52" s="20" t="str" cm="1">
        <f t="array" ref="AL52">IF(AM52&lt;&gt;"", _xlfn.IFS(OR(E52="Fix Slide Door - with Screen", E52="Slide Slide Door - with Screen"), (K52-_xlfn.XLOOKUP(E52,lookups90!$B$4:$B$999,lookups90!$F$4:$F$999, "",0)-_xlfn.XLOOKUP(E52,lookups90!$B$4:$B$999,lookups90!$G$4:$G$999, "",0)+_xlfn.XLOOKUP(E52,lookups90!$B$4:$B$999,lookups90!$H$4:$H$999, "",0))/2+_xlfn.XLOOKUP(E52,lookups90!$B$4:$B$999,lookups90!$I$4:$I$999, "",0), OR( E52="Fix Slide Slide Fix Door - with Screen",  E52="Fix Slide Slide Door"),  (K52-_xlfn.XLOOKUP(E52,lookups90!$B$4:$B$999,lookups90!$F$4:$F$999, "",0)-_xlfn.XLOOKUP(E52,lookups90!$B$4:$B$999,lookups90!$G$4:$G$999, "",0)+_xlfn.XLOOKUP(E52,lookups90!$B$4:$B$999,lookups90!$H$4:$H$999, "",0)+_xlfn.XLOOKUP(E52,lookups90!$B$4:$B$999,lookups90!$H$4:$H$999, "",0))/4+_xlfn.XLOOKUP(E52,lookups90!$B$4:$B$999,lookups90!$I$4:$I$999, "",0)),"")</f>
        <v/>
      </c>
      <c r="AM52" s="20" t="str">
        <f>IF(_xlfn.XLOOKUP(E52,lookups90!$B$4:$B$999,lookups90!$AA$4:$AA$999,"",0)=0,"",D52*_xlfn.XLOOKUP(E52,lookups90!$B$4:$B$999,lookups90!$AA$4:$AA$999,"",0))</f>
        <v/>
      </c>
      <c r="AO52" s="20" t="str">
        <f>IFERROR(IF(C52&lt;&gt;"", T52-_xlfn.XLOOKUP(E52,lookups90!$B$4:$B$999,lookups90!$AE$4:$AE$999, "",0),""),"")</f>
        <v/>
      </c>
      <c r="AP52" s="20" t="str">
        <f>IF(_xlfn.XLOOKUP(E52,lookups90!$B$4:$B$999,lookups90!$AG$4:$AG$999,"",0)=0,"",D52*_xlfn.XLOOKUP(E52,lookups90!$B$4:$B$999,lookups90!$AG$4:$AG$999,"",0))</f>
        <v/>
      </c>
      <c r="AQ52" s="20" t="str">
        <f>IF(V52&lt;&gt;"", T52-_xlfn.XLOOKUP(E52,lookups90!$B$4:$B$999,lookups90!$AE$4:$AE$999, "",0)+_xlfn.XLOOKUP(E52,lookups90!$B$4:$B$999,lookups90!$AF$4:$AF$999, "",0),"")</f>
        <v/>
      </c>
      <c r="AR52" s="20" t="str">
        <f>IFERROR(IF(_xlfn.XLOOKUP(E52,lookups90!$B$4:$B$999,lookups90!$AH$4:$AH$999,"",0)=0,"",D52*_xlfn.XLOOKUP(E52,lookups90!$B$4:$B$999,lookups90!$AH$4:$AH$999,"",0)),"")</f>
        <v/>
      </c>
      <c r="AT52" s="20" t="str">
        <f>IF(OR(E52="Fix Slide Slide Fix Window", E52="Fix Slide Slide Fix Door", E52="Fix Slide Slide Fix Door - with Screen", E52="Fix Slide Slide Door"), T52-_xlfn.XLOOKUP(E52,lookups90!$B$4:$B$999,lookups90!$AE$4:$AE$999,"",0),"")</f>
        <v/>
      </c>
      <c r="AU52" s="20" t="str">
        <f>IFERROR(IF(_xlfn.XLOOKUP(E52,lookups90!$B$4:$B$999,lookups90!$AL$4:$AL$999,"",0)=0,"",D52*_xlfn.XLOOKUP(E52,lookups90!$B$4:$B$999,lookups90!$AL$4:$AL$999,"",0)),"")</f>
        <v/>
      </c>
      <c r="AW52" s="20" t="str">
        <f>IF(C52&lt;&gt;"", T52-_xlfn.XLOOKUP(E52,lookups90!$B$4:$B$999,lookups90!$AP$4:$AP$999,"",0),"")</f>
        <v/>
      </c>
      <c r="AX52" s="20" t="str">
        <f>IFERROR(IF(_xlfn.XLOOKUP(E52,lookups90!$B$4:$B$999,lookups90!$AR$4:$AR$999,"",0)=0,"",D52*_xlfn.XLOOKUP(E52,lookups90!$B$4:$B$999,lookups90!$AR$4:$AR$999,"",0)),"")</f>
        <v/>
      </c>
      <c r="AY52" s="24" t="str">
        <f>IF(V52&lt;&gt;"", V52-_xlfn.XLOOKUP(E52,lookups90!$B$4:$B$999,lookups90!$AP$4:$AP$999,"",0),"")</f>
        <v/>
      </c>
      <c r="AZ52" s="20" t="str">
        <f>IFERROR(IF(_xlfn.XLOOKUP(E52,lookups90!$B$4:$B$999,lookups90!$AS$4:$AS$999,"",0)=0,"",D52*_xlfn.XLOOKUP(E52,lookups90!$B$4:$B$999,lookups90!$AS$4:$AS$999,"",0)),"")</f>
        <v/>
      </c>
      <c r="BA52" s="20" t="str">
        <f>IF(X52&lt;&gt;"", X52-_xlfn.XLOOKUP(E52,lookups90!$B$4:$B$999,lookups90!$AQ$4:$AQ$999,"",0),"")</f>
        <v/>
      </c>
      <c r="BB52" s="20" t="str">
        <f>IFERROR(IF(_xlfn.XLOOKUP(E52,lookups90!$B$4:$B$999,lookups90!$AT$4:$AT$999,"",0)=0,"",D52*_xlfn.XLOOKUP(E52,lookups90!$B$4:$B$999,lookups90!$AT$4:$AT$999,"",0)),"")</f>
        <v/>
      </c>
      <c r="BD52" s="20" t="str">
        <f>IF(C52&lt;&gt;"", N52-_xlfn.XLOOKUP(E52,lookups90!$B$4:$B$999,lookups90!$AX$4:$AX$999,"",0)+M52,"")</f>
        <v/>
      </c>
      <c r="BE52" s="20" t="str">
        <f>IFERROR(IF(_xlfn.XLOOKUP(E52,lookups90!$B$4:$B$999,lookups90!$AY$4:$AY$999,"",0)=0,"",D52*_xlfn.XLOOKUP(E52,lookups90!$B$4:$B$999,lookups90!$AY$4:$AY$999,"",0)),"")</f>
        <v/>
      </c>
      <c r="BF52" s="20" t="str">
        <f>IF(C52&lt;&gt;"", P52-_xlfn.XLOOKUP(E52,lookups90!$B$4:$B$999,lookups90!$AX$4:$AX$999,"",0)+M52,"")</f>
        <v/>
      </c>
      <c r="BG52" s="20" t="str">
        <f>IFERROR(IF(_xlfn.XLOOKUP(E52,lookups90!$B$4:$B$999,lookups90!$AZ$4:$AZ$999,"",0)=0,"",D52*_xlfn.XLOOKUP(E52,lookups90!$B$4:$B$999,lookups90!$AZ$4:$AZ$999,"",0)),"")</f>
        <v/>
      </c>
      <c r="BI52" s="20" t="str">
        <f>IF(C52&lt;&gt;"", T52-_xlfn.XLOOKUP(E52,lookups90!$B$4:$B$999,lookups90!$BA$4:$BA$999,"",0),"")</f>
        <v/>
      </c>
      <c r="BJ52" s="20" t="str">
        <f>IFERROR(IF(_xlfn.XLOOKUP(E52,lookups90!$B$4:$B$999,lookups90!$BB$4:$BB$999,"",0)=0,"",D52*_xlfn.XLOOKUP(E52,lookups90!$B$4:$B$999,lookups90!$BB$4:$BB$999,"",0)),"")</f>
        <v/>
      </c>
      <c r="BK52" s="20" t="str">
        <f>IF(V52&lt;&gt;"", V52-_xlfn.XLOOKUP(E52,lookups90!$B$4:$B$999,lookups90!$BA$4:$BA$999,"",0),"")</f>
        <v/>
      </c>
      <c r="BL52" s="20" t="str">
        <f>IFERROR(IF(_xlfn.XLOOKUP(E52,lookups90!$B$4:$B$999,lookups90!$BC$4:$BC$999,"",0)=0,"",D52*_xlfn.XLOOKUP(E52,lookups90!$B$4:$B$999,lookups90!$BC$4:$BC$999,"",0)),"")</f>
        <v/>
      </c>
      <c r="BM52" s="20" t="str">
        <f>IF(C52&lt;&gt;"", X52-_xlfn.XLOOKUP(E52,lookups90!$B$4:$B$999,lookups90!$BA$4:$BA$999,"",0),"")</f>
        <v/>
      </c>
      <c r="BN52" s="20" t="str">
        <f>IFERROR(IF(_xlfn.XLOOKUP(E52,lookups90!$B$4:$B$999,lookups90!$BD$4:$BD$999,"",0)=0,"",D52*_xlfn.XLOOKUP(E52,lookups90!$B$4:$B$999,lookups90!$BD$4:$BD$999,"",0)),"")</f>
        <v/>
      </c>
      <c r="BP52" s="20" t="str">
        <f>IF(AB52&lt;&gt;"", AB52-_xlfn.XLOOKUP(E52,lookups90!$B$4:$B$999,lookups90!$BE$4:$BE$999,"",0),"")</f>
        <v/>
      </c>
      <c r="BQ52" s="20" t="str">
        <f>IFERROR(IF(_xlfn.XLOOKUP(E52,lookups90!$B$4:$B$999,lookups90!$BF$4:$BF$999,"",0)=0,"",D52*_xlfn.XLOOKUP(E52,lookups90!$B$4:$B$999,lookups90!$BF$4:$BF$999,"",0)),"")</f>
        <v/>
      </c>
      <c r="BR52" s="20" t="str" cm="1">
        <f t="array" ref="BR52">_xlfn.IFS(BP52="","",OR(E52="Fix Slide Door - with Screen",E52="Slide Slide Door - with Screen"),(K52-_xlfn.XLOOKUP(E52,lookups90!$B$4:$B$999,lookups90!$F$4:$F$999,"",0)-_xlfn.XLOOKUP(E52,lookups90!$B$4:$B$999,lookups90!$G$4:$G$999,"",0)+_xlfn.XLOOKUP(E52,lookups90!$B$4:$B$999,lookups90!$H$4:$H$999,"",0))/2+_xlfn.XLOOKUP(E52,lookups90!$B$4:$B$999,lookups90!$I$4:$I$999,"",0)-_xlfn.XLOOKUP(E52,lookups90!$B$4:$B$999,lookups90!$BE$4:$BE$999,"",0), E52="Fix Slide Slide Fix Door - with Screen",(K52-_xlfn.XLOOKUP(E52,lookups90!$B$4:$B$999,lookups90!$F$4:$F$999,"",0)-_xlfn.XLOOKUP(E52,lookups90!$B$4:$B$999,lookups90!$G$4:$G$999,"",0)+_xlfn.XLOOKUP(E52,lookups90!$B$4:$B$999,lookups90!$H$4:$H$999,"",0)+_xlfn.XLOOKUP(E52,lookups90!$B$4:$B$999,lookups90!$H$4:$H$999,"",0))/4+_xlfn.XLOOKUP(E52,lookups90!$B$4:$B$999,lookups90!$I$4:$I$999,"",0)-_xlfn.XLOOKUP(E52,lookups90!$B$4:$B$999,lookups90!$BE$4:$BE$999,"",0))</f>
        <v/>
      </c>
      <c r="BS52" s="20" t="str">
        <f>IFERROR(IF(_xlfn.XLOOKUP(E52,lookups90!$B$4:$B$999,lookups90!$BG$4:$BG$999,"",0)=0,"",D52*_xlfn.XLOOKUP(E52,lookups90!$B$4:$B$999,lookups90!$BG$4:$BG$999,"",0)),"")</f>
        <v/>
      </c>
      <c r="BU52" s="20" t="str">
        <f>IF(AG52&lt;&gt;"",AG52-_xlfn.XLOOKUP(E52,lookups90!$B$4:$B$999,lookups90!$BA$4:$BA$999,"",0),"")</f>
        <v/>
      </c>
      <c r="BV52" s="20" t="str">
        <f>IFERROR(IF(_xlfn.XLOOKUP(E52,lookups90!$B$4:$B$999,lookups90!$BH$4:$BH$999,"",0)=0,"",D52*_xlfn.XLOOKUP(E52,lookups90!$B$4:$B$999,lookups90!$BH$4:$BH$999,"",0)),"")</f>
        <v/>
      </c>
      <c r="BW52" s="20" t="str" cm="1">
        <f t="array" ref="BW52">_xlfn.IFS(BU52="","",OR(E52="Fix Slide Window",E52="Slide Slide Window"),(K52-_xlfn.XLOOKUP(E52,lookups90!$B$4:$B$999,lookups90!$F$4:$F$999,"",0)-_xlfn.XLOOKUP(E52,lookups90!$B$4:$B$999,lookups90!$G$4:$G$999,"",0)+_xlfn.XLOOKUP(E52,lookups90!$B$4:$B$999,lookups90!$H$4:$H$999,"",0))/2+_xlfn.XLOOKUP(E52,lookups90!$B$4:$B$999,lookups90!$I$4:$I$999,"",0)-_xlfn.XLOOKUP(E52,lookups90!$B$4:$B$999,lookups90!$BA$4:$BA$999,"",0), E52="Fix Slide Slide Fix Window",(K52-_xlfn.XLOOKUP(E52,lookups90!$B$4:$B$999,lookups90!$F$4:$F$999,"",0)-_xlfn.XLOOKUP(E52,lookups90!$B$4:$B$999,lookups90!$G$4:$G$999,"",0)+_xlfn.XLOOKUP(E52,lookups90!$B$4:$B$999,lookups90!$H$4:$H$999,"",0)+_xlfn.XLOOKUP(E52,lookups90!$B$4:$B$999,lookups90!$H$4:$H$999,"",0))/4+_xlfn.XLOOKUP(E52,lookups90!$B$4:$B$999,lookups90!$I$4:$I$999,"",0)-_xlfn.XLOOKUP(E52,lookups90!$B$4:$B$999,lookups90!$BA$4:$BA$999,"",0))</f>
        <v/>
      </c>
      <c r="BX52" s="20" t="str">
        <f>IFERROR(IF(_xlfn.XLOOKUP(E52,lookups90!$B$4:$B$999,lookups90!$BI$4:$BI$999,"",0)=0,"",D52*_xlfn.XLOOKUP(E52,lookups90!$B$4:$B$999,lookups90!$BI$4:$BI$999,"",0)),"")</f>
        <v/>
      </c>
      <c r="BZ52" s="20" t="str">
        <f>IF(AL52&lt;&gt;"", AL52-_xlfn.XLOOKUP(E52,lookups90!$B$4:$B$999,lookups90!$BJ$4:$BJ$999,"",0),"")</f>
        <v/>
      </c>
      <c r="CA52" s="20" t="str">
        <f>IFERROR(IF(_xlfn.XLOOKUP(E52,lookups90!$B$4:$B$999,lookups90!$BK$4:$BK$999,"",0)=0,"",D52*_xlfn.XLOOKUP(E52,lookups90!$B$4:$B$999,lookups90!$BK$4:$BK$999,"",0)),"")</f>
        <v/>
      </c>
      <c r="CC52" s="20" t="str">
        <f>IF(C52&lt;&gt;"", T52-_xlfn.XLOOKUP(E52,lookups90!$B$4:$B$999,lookups90!$BO$4:$BO$999,"",0)-_xlfn.XLOOKUP(E52,lookups90!$B$4:$B$999,lookups90!$BP$4:$BP$999,"",0),"")</f>
        <v/>
      </c>
      <c r="CD52" s="20" t="str">
        <f>IF(C52&lt;&gt;"", X52-_xlfn.XLOOKUP(E52,lookups90!$B$4:$B$999,lookups90!$BQ$4:$BQ$999,"",0)-_xlfn.XLOOKUP(E52,lookups90!$B$4:$B$999,lookups90!$BR$4:$BR$999,"",0),"")</f>
        <v/>
      </c>
      <c r="CE52" s="20" t="str">
        <f>IFERROR(IF(_xlfn.XLOOKUP(E52,lookups90!$B$4:$B$999,lookups90!$BS$4:$BS$999,"",0)=0,"",D52*_xlfn.XLOOKUP(E52,lookups90!$B$4:$B$999,lookups90!$BS$4:$BS$999,"",0)),"")</f>
        <v/>
      </c>
      <c r="CF52" s="20" t="str">
        <f>IF(V52&lt;&gt;"", V52-_xlfn.XLOOKUP(E52,lookups90!$B$4:$B$999,lookups90!$BO$4:$BO$999,"",0)-_xlfn.XLOOKUP(E52,lookups90!$B$4:$B$999,lookups90!$BP$4:$BP$999,"",0),"")</f>
        <v/>
      </c>
      <c r="CG52" s="20" t="str">
        <f>IF(CF52&lt;&gt;"", X52-_xlfn.XLOOKUP(E52,lookups90!$B$4:$B$999,lookups90!$BQ$4:$BQ$999,"",0)-_xlfn.XLOOKUP(E52,lookups90!$B$4:$B$999,lookups90!$BR$4:$BR$999,"",0),"")</f>
        <v/>
      </c>
      <c r="CH52" s="20" t="str">
        <f>IFERROR(IF(_xlfn.XLOOKUP(E52,lookups90!$B$4:$B$999,lookups90!$BT$4:$BT$999,"",0)=0,"",D52*_xlfn.XLOOKUP(E52,lookups90!$B$4:$B$999,lookups90!$BT$4:$BT$999,"",0)),"")</f>
        <v/>
      </c>
      <c r="CJ52" s="22" t="str">
        <f t="shared" si="5"/>
        <v/>
      </c>
      <c r="CL52" s="22" t="str" cm="1">
        <f t="array" ref="CL52">IF(D52&lt;&gt;"",((((J52+K52)*2)/500)+(2*_xlfn.IFS(OR(E52="Fix Slide Window", E52="Slide Slide Window", E52="Fix Slide Slide Fix Window"), 2, E52="Slide Slide Door - with Screen", 8, E52&lt;&gt;"",4)))*D52,"")</f>
        <v/>
      </c>
      <c r="CM52" s="22" t="str">
        <f t="shared" si="9"/>
        <v/>
      </c>
      <c r="CN52" s="22" t="str">
        <f t="shared" si="10"/>
        <v/>
      </c>
      <c r="CO52" s="22" t="str">
        <f t="shared" si="8"/>
        <v/>
      </c>
      <c r="CP52" s="22" t="str">
        <f t="shared" si="11"/>
        <v/>
      </c>
    </row>
    <row r="53" spans="3:94" ht="13.5" customHeight="1" x14ac:dyDescent="0.25">
      <c r="C53" s="16"/>
      <c r="D53" s="16"/>
      <c r="E53" s="16"/>
      <c r="F53" s="16"/>
      <c r="G53" s="16"/>
      <c r="H53" s="16"/>
      <c r="I53" s="16"/>
      <c r="J53" s="16"/>
      <c r="K53" s="16"/>
      <c r="M53" s="20" t="str">
        <f t="shared" si="1"/>
        <v/>
      </c>
      <c r="N53" s="20" t="str" cm="1">
        <f t="array" ref="N53">IFERROR(_xlfn.IFS(OR(E53="Fix Awning (Vertical)", E53="Fix Awning (Horizontal)"), J53/2+20,C53&lt;&gt;"", J53+M53),"")</f>
        <v/>
      </c>
      <c r="O53" s="20" t="str">
        <f t="shared" si="2"/>
        <v/>
      </c>
      <c r="P53" s="20" t="str">
        <f t="shared" si="3"/>
        <v/>
      </c>
      <c r="Q53" s="20" t="str">
        <f t="shared" si="4"/>
        <v/>
      </c>
      <c r="S53" s="20" t="str">
        <f>IF(C53&lt;&gt;"", _xlfn.XLOOKUP(E53,lookups90!$B$4:$B$999,lookups90!$C$4:$C$999,"",0),"")</f>
        <v/>
      </c>
      <c r="T53" s="20" t="str">
        <f>IF(C53&lt;&gt;"", J53-_xlfn.XLOOKUP(E53,lookups90!$B$4:$B$999,lookups90!$D$4:$D$999, "",0),"")</f>
        <v/>
      </c>
      <c r="U53" s="20" t="str">
        <f>IF(T53&lt;&gt;"",D53*_xlfn.XLOOKUP(E53,lookups90!$B$4:$B$999,lookups90!$J$4:$J$999, "",0),"")</f>
        <v/>
      </c>
      <c r="V53" s="20" t="str">
        <f>IF(AND(C53&lt;&gt;"", E53&lt;&gt;"Slide Slide Window", E53&lt;&gt;"Slide Slide Door", E53&lt;&gt;"Slide Slide Door - with Screen"), J53-_xlfn.XLOOKUP(E53,lookups90!$B$4:$B$999,lookups90!$E$4:$E$999, "",0),"")</f>
        <v/>
      </c>
      <c r="W53" s="20" t="str">
        <f>IF(V53&lt;&gt;"",D53*_xlfn.XLOOKUP(E53,lookups90!$B$4:$B$999,lookups90!$K$4:$K$999, "",0),"")</f>
        <v/>
      </c>
      <c r="X53" s="20" t="str" cm="1">
        <f t="array" ref="X53">IFERROR(_xlfn.IFS(OR(E53="Fix Slide Window", E53="Slide Slide Window", E53="Fix Slide Door", E53="Slide Slide Door", E53="Fix Slide Door - with Screen", E53="Slide Slide Door - with Screen"), (K53-_xlfn.XLOOKUP(E53,lookups90!$B$4:$B$999,lookups90!$F$4:$F$999, "",0)-_xlfn.XLOOKUP(E53,lookups90!$B$4:$B$999,lookups90!$G$4:$G$999, "",0)+_xlfn.XLOOKUP(E53,lookups90!$B$4:$B$999,lookups90!$H$4:$H$999, "",0))/2+_xlfn.XLOOKUP(E53,lookups90!$B$4:$B$999,lookups90!$I$4:$I$999, "",0), OR(E53="Fix Slide Slide Fix Window", E53="Fix Slide Slide Fix Door - with Screen", E53="Fix Slide Slide Fix Door"),  (K53-_xlfn.XLOOKUP(E53,lookups90!$B$4:$B$999,lookups90!$F$4:$F$999, "",0)-_xlfn.XLOOKUP(E53,lookups90!$B$4:$B$999,lookups90!$G$4:$G$999, "",0)+_xlfn.XLOOKUP(E53,lookups90!$B$4:$B$999,lookups90!$H$4:$H$999, "",0)+_xlfn.XLOOKUP(E53,lookups90!$B$4:$B$999,lookups90!$H$4:$H$999, "",0))/4+_xlfn.XLOOKUP(E53,lookups90!$B$4:$B$999,lookups90!$I$4:$I$999, "",0), E53="Fix Slide Slide Door", (K53-_xlfn.XLOOKUP(E53,lookups90!$B$4:$B$999,lookups90!$F$4:$F$999, "",0)-_xlfn.XLOOKUP(E53,lookups90!$B$4:$B$999,lookups90!$G$4:$G$999, "",0)+_xlfn.XLOOKUP(E53,lookups90!$B$4:$B$999,lookups90!$H$4:$H$999, "",0)+_xlfn.XLOOKUP(E53,lookups90!$B$4:$B$999,lookups90!$H$4:$H$999, "",0))/3+_xlfn.XLOOKUP(E53,lookups90!$B$4:$B$999,lookups90!$I$4:$I$999, "",0),E53="Fix Slide Slide Slide Slide Fix Dr",  (K53-_xlfn.XLOOKUP(E53,lookups90!$B$4:$B$999,lookups90!$F$4:$F$999, "",0)-_xlfn.XLOOKUP(E53,lookups90!$B$4:$B$999,lookups90!$G$4:$G$999, "",0)+_xlfn.XLOOKUP(E53,lookups90!$B$4:$B$999,lookups90!$H$4:$H$999, "",0)+_xlfn.XLOOKUP(E53,lookups90!$B$4:$B$999,lookups90!$H$4:$H$999, "",0)+_xlfn.XLOOKUP(E53,lookups90!$B$4:$B$999,lookups90!$H$4:$H$999, "",0)+_xlfn.XLOOKUP(E53,lookups90!$B$4:$B$999,lookups90!$H$4:$H$999, "",0))/6+_xlfn.XLOOKUP(E53,lookups90!$B$4:$B$999,lookups90!$I$4:$I$999, "",0), E53="Fix Slide Slide Slide Slide Slide Slide Fix Dr",  (K53-_xlfn.XLOOKUP(E53,lookups90!$B$4:$B$999,lookups90!$F$4:$F$999, "",0)-_xlfn.XLOOKUP(E53,lookups90!$B$4:$B$999,lookups90!$G$4:$G$999, "",0)+_xlfn.XLOOKUP(E53,lookups90!$B$4:$B$999,lookups90!$H$4:$H$999, "",0)+_xlfn.XLOOKUP(E53,lookups90!$B$4:$B$999,lookups90!$H$4:$H$999, "",0)+_xlfn.XLOOKUP(E53,lookups90!$B$4:$B$999,lookups90!$H$4:$H$999, "",0)+_xlfn.XLOOKUP(E53,lookups90!$B$4:$B$999,lookups90!$H$4:$H$999, "",0)+_xlfn.XLOOKUP(E53,lookups90!$B$4:$B$999,lookups90!$H$4:$H$999, "",0)+_xlfn.XLOOKUP(E53,lookups90!$B$4:$B$999,lookups90!$H$4:$H$999, "",0))/8+_xlfn.XLOOKUP(E53,lookups90!$B$4:$B$999,lookups90!$I$4:$I$999, "",0)),"")</f>
        <v/>
      </c>
      <c r="Y53" s="20" t="str">
        <f>IF(X53&lt;&gt;"",D53*_xlfn.XLOOKUP(E53,lookups90!$B$4:$B$999,lookups90!$L$4:$L$999, "",0),"")</f>
        <v/>
      </c>
      <c r="AA53" s="20" t="str">
        <f>IF(C53&lt;&gt;"", IF(_xlfn.XLOOKUP(E53,lookups90!$B$4:$B$999,lookups90!$P$4:$P$999,"",0)=0,"",_xlfn.XLOOKUP(E53,lookups90!$B$4:$B$999,lookups90!$P$4:$P$999,"",0)),"")</f>
        <v/>
      </c>
      <c r="AB53" s="20" t="str">
        <f>IF(AA53&lt;&gt;"", J53-_xlfn.XLOOKUP(E53,lookups90!$B$4:$B$999,lookups90!$D$4:$D$999, "",0),"")</f>
        <v/>
      </c>
      <c r="AC53" s="20" t="str">
        <f>IF(AA53&lt;&gt;"",D53*_xlfn.XLOOKUP(E53,lookups90!$B$4:$B$999,lookups90!$Q$4:$Q$999, "",0),"")</f>
        <v/>
      </c>
      <c r="AD53" s="20" t="str" cm="1">
        <f t="array" ref="AD53">IF(AA53&lt;&gt;"", _xlfn.IFS(OR(E53="Fix Slide Window", E53="Slide Slide Window", E53="Fix Slide Door", E53="Slide Slide Door", E53="Fix Slide Door - with Screen", E53="Slide Slide Door - with Screen"), (K53-_xlfn.XLOOKUP(E53,lookups90!$B$4:$B$999,lookups90!$F$4:$F$999, "",0)-_xlfn.XLOOKUP(E53,lookups90!$B$4:$B$999,lookups90!$G$4:$G$999, "",0)+_xlfn.XLOOKUP(E53,lookups90!$B$4:$B$999,lookups90!$H$4:$H$999, "",0))/2+_xlfn.XLOOKUP(E53,lookups90!$B$4:$B$999,lookups90!$I$4:$I$999, "",0), OR(E53="Fix Slide Slide Fix Window", E53="Fix Slide Slide Fix Door - with Screen", E53="Fix Slide Slide Fix Door"),  (K53-_xlfn.XLOOKUP(E53,lookups90!$B$4:$B$999,lookups90!$F$4:$F$999, "",0)-_xlfn.XLOOKUP(E53,lookups90!$B$4:$B$999,lookups90!$G$4:$G$999, "",0)+_xlfn.XLOOKUP(E53,lookups90!$B$4:$B$999,lookups90!$H$4:$H$999, "",0)+_xlfn.XLOOKUP(E53,lookups90!$B$4:$B$999,lookups90!$H$4:$H$999, "",0))/4+_xlfn.XLOOKUP(E53,lookups90!$B$4:$B$999,lookups90!$I$4:$I$999, "",0), E53="Fix Slide Slide Door", (K53-_xlfn.XLOOKUP(E53,lookups90!$B$4:$B$999,lookups90!$F$4:$F$999, "",0)-_xlfn.XLOOKUP(E53,lookups90!$B$4:$B$999,lookups90!$G$4:$G$999, "",0)+_xlfn.XLOOKUP(E53,lookups90!$B$4:$B$999,lookups90!$H$4:$H$999, "",0)+_xlfn.XLOOKUP(E53,lookups90!$B$4:$B$999,lookups90!$H$4:$H$999, "",0))/3+_xlfn.XLOOKUP(E53,lookups90!$B$4:$B$999,lookups90!$I$4:$I$999, "",0) ),"")</f>
        <v/>
      </c>
      <c r="AE53" s="20" t="str">
        <f>IF(AA53&lt;&gt;"",D53*_xlfn.XLOOKUP(E53,lookups90!$B$4:$B$999,lookups90!$R$4:$R$999, "",0),"")</f>
        <v/>
      </c>
      <c r="AG53" s="20" t="str">
        <f>IF(AH53&lt;&gt;"", J53-_xlfn.XLOOKUP(E53,lookups90!$B$4:$B$999,lookups90!$D$4:$D$999, "",0),"")</f>
        <v/>
      </c>
      <c r="AH53" s="20" t="str">
        <f>IF(_xlfn.XLOOKUP(E53,lookups90!$B$4:$B$999,lookups90!$V$4:$V$999,"",0)=0,"",D53*_xlfn.XLOOKUP(E53,lookups90!$B$4:$B$999,lookups90!$V$4:$V$999,"",0))</f>
        <v/>
      </c>
      <c r="AI53" s="20" t="str" cm="1">
        <f t="array" ref="AI53">IF(AH53&lt;&gt;"", _xlfn.IFS(OR(E53="Fix Slide Window", E53="Slide Slide Window"), (K53-_xlfn.XLOOKUP(E53,lookups90!$B$4:$B$999,lookups90!$F$4:$F$999, "",0)-_xlfn.XLOOKUP(E53,lookups90!$B$4:$B$999,lookups90!$G$4:$G$999, "",0)+_xlfn.XLOOKUP(E53,lookups90!$B$4:$B$999,lookups90!$H$4:$H$999, "",0))/2+_xlfn.XLOOKUP(E53,lookups90!$B$4:$B$999,lookups90!$I$4:$I$999, "",0), OR(E53="Fix Slide Slide Fix Window"),  (K53-_xlfn.XLOOKUP(E53,lookups90!$B$4:$B$999,lookups90!$F$4:$F$999, "",0)+_xlfn.XLOOKUP(E53,lookups90!$B$4:$B$999,lookups90!$H$4:$H$999, "",0)+_xlfn.XLOOKUP(E53,lookups90!$B$4:$B$999,lookups90!$H$4:$H$999, "",0))/4+_xlfn.XLOOKUP(E53,lookups90!$B$4:$B$999,lookups90!$I$4:$I$999, "",0)),"")</f>
        <v/>
      </c>
      <c r="AJ53" s="20" t="str">
        <f>IF(_xlfn.XLOOKUP(E53,lookups90!$B$4:$B$999,lookups90!$V$4:$V$999,"",0)=0,"",D53*_xlfn.XLOOKUP(E53,lookups90!$B$4:$B$999,lookups90!$W$4:$W$999,"",0))</f>
        <v/>
      </c>
      <c r="AL53" s="20" t="str" cm="1">
        <f t="array" ref="AL53">IF(AM53&lt;&gt;"", _xlfn.IFS(OR(E53="Fix Slide Door - with Screen", E53="Slide Slide Door - with Screen"), (K53-_xlfn.XLOOKUP(E53,lookups90!$B$4:$B$999,lookups90!$F$4:$F$999, "",0)-_xlfn.XLOOKUP(E53,lookups90!$B$4:$B$999,lookups90!$G$4:$G$999, "",0)+_xlfn.XLOOKUP(E53,lookups90!$B$4:$B$999,lookups90!$H$4:$H$999, "",0))/2+_xlfn.XLOOKUP(E53,lookups90!$B$4:$B$999,lookups90!$I$4:$I$999, "",0), OR( E53="Fix Slide Slide Fix Door - with Screen",  E53="Fix Slide Slide Door"),  (K53-_xlfn.XLOOKUP(E53,lookups90!$B$4:$B$999,lookups90!$F$4:$F$999, "",0)-_xlfn.XLOOKUP(E53,lookups90!$B$4:$B$999,lookups90!$G$4:$G$999, "",0)+_xlfn.XLOOKUP(E53,lookups90!$B$4:$B$999,lookups90!$H$4:$H$999, "",0)+_xlfn.XLOOKUP(E53,lookups90!$B$4:$B$999,lookups90!$H$4:$H$999, "",0))/4+_xlfn.XLOOKUP(E53,lookups90!$B$4:$B$999,lookups90!$I$4:$I$999, "",0)),"")</f>
        <v/>
      </c>
      <c r="AM53" s="20" t="str">
        <f>IF(_xlfn.XLOOKUP(E53,lookups90!$B$4:$B$999,lookups90!$AA$4:$AA$999,"",0)=0,"",D53*_xlfn.XLOOKUP(E53,lookups90!$B$4:$B$999,lookups90!$AA$4:$AA$999,"",0))</f>
        <v/>
      </c>
      <c r="AO53" s="20" t="str">
        <f>IFERROR(IF(C53&lt;&gt;"", T53-_xlfn.XLOOKUP(E53,lookups90!$B$4:$B$999,lookups90!$AE$4:$AE$999, "",0),""),"")</f>
        <v/>
      </c>
      <c r="AP53" s="20" t="str">
        <f>IF(_xlfn.XLOOKUP(E53,lookups90!$B$4:$B$999,lookups90!$AG$4:$AG$999,"",0)=0,"",D53*_xlfn.XLOOKUP(E53,lookups90!$B$4:$B$999,lookups90!$AG$4:$AG$999,"",0))</f>
        <v/>
      </c>
      <c r="AQ53" s="20" t="str">
        <f>IF(V53&lt;&gt;"", T53-_xlfn.XLOOKUP(E53,lookups90!$B$4:$B$999,lookups90!$AE$4:$AE$999, "",0)+_xlfn.XLOOKUP(E53,lookups90!$B$4:$B$999,lookups90!$AF$4:$AF$999, "",0),"")</f>
        <v/>
      </c>
      <c r="AR53" s="20" t="str">
        <f>IFERROR(IF(_xlfn.XLOOKUP(E53,lookups90!$B$4:$B$999,lookups90!$AH$4:$AH$999,"",0)=0,"",D53*_xlfn.XLOOKUP(E53,lookups90!$B$4:$B$999,lookups90!$AH$4:$AH$999,"",0)),"")</f>
        <v/>
      </c>
      <c r="AT53" s="20" t="str">
        <f>IF(OR(E53="Fix Slide Slide Fix Window", E53="Fix Slide Slide Fix Door", E53="Fix Slide Slide Fix Door - with Screen", E53="Fix Slide Slide Door"), T53-_xlfn.XLOOKUP(E53,lookups90!$B$4:$B$999,lookups90!$AE$4:$AE$999,"",0),"")</f>
        <v/>
      </c>
      <c r="AU53" s="20" t="str">
        <f>IFERROR(IF(_xlfn.XLOOKUP(E53,lookups90!$B$4:$B$999,lookups90!$AL$4:$AL$999,"",0)=0,"",D53*_xlfn.XLOOKUP(E53,lookups90!$B$4:$B$999,lookups90!$AL$4:$AL$999,"",0)),"")</f>
        <v/>
      </c>
      <c r="AW53" s="20" t="str">
        <f>IF(C53&lt;&gt;"", T53-_xlfn.XLOOKUP(E53,lookups90!$B$4:$B$999,lookups90!$AP$4:$AP$999,"",0),"")</f>
        <v/>
      </c>
      <c r="AX53" s="20" t="str">
        <f>IFERROR(IF(_xlfn.XLOOKUP(E53,lookups90!$B$4:$B$999,lookups90!$AR$4:$AR$999,"",0)=0,"",D53*_xlfn.XLOOKUP(E53,lookups90!$B$4:$B$999,lookups90!$AR$4:$AR$999,"",0)),"")</f>
        <v/>
      </c>
      <c r="AY53" s="24" t="str">
        <f>IF(V53&lt;&gt;"", V53-_xlfn.XLOOKUP(E53,lookups90!$B$4:$B$999,lookups90!$AP$4:$AP$999,"",0),"")</f>
        <v/>
      </c>
      <c r="AZ53" s="20" t="str">
        <f>IFERROR(IF(_xlfn.XLOOKUP(E53,lookups90!$B$4:$B$999,lookups90!$AS$4:$AS$999,"",0)=0,"",D53*_xlfn.XLOOKUP(E53,lookups90!$B$4:$B$999,lookups90!$AS$4:$AS$999,"",0)),"")</f>
        <v/>
      </c>
      <c r="BA53" s="20" t="str">
        <f>IF(X53&lt;&gt;"", X53-_xlfn.XLOOKUP(E53,lookups90!$B$4:$B$999,lookups90!$AQ$4:$AQ$999,"",0),"")</f>
        <v/>
      </c>
      <c r="BB53" s="20" t="str">
        <f>IFERROR(IF(_xlfn.XLOOKUP(E53,lookups90!$B$4:$B$999,lookups90!$AT$4:$AT$999,"",0)=0,"",D53*_xlfn.XLOOKUP(E53,lookups90!$B$4:$B$999,lookups90!$AT$4:$AT$999,"",0)),"")</f>
        <v/>
      </c>
      <c r="BD53" s="20" t="str">
        <f>IF(C53&lt;&gt;"", N53-_xlfn.XLOOKUP(E53,lookups90!$B$4:$B$999,lookups90!$AX$4:$AX$999,"",0)+M53,"")</f>
        <v/>
      </c>
      <c r="BE53" s="20" t="str">
        <f>IFERROR(IF(_xlfn.XLOOKUP(E53,lookups90!$B$4:$B$999,lookups90!$AY$4:$AY$999,"",0)=0,"",D53*_xlfn.XLOOKUP(E53,lookups90!$B$4:$B$999,lookups90!$AY$4:$AY$999,"",0)),"")</f>
        <v/>
      </c>
      <c r="BF53" s="20" t="str">
        <f>IF(C53&lt;&gt;"", P53-_xlfn.XLOOKUP(E53,lookups90!$B$4:$B$999,lookups90!$AX$4:$AX$999,"",0)+M53,"")</f>
        <v/>
      </c>
      <c r="BG53" s="20" t="str">
        <f>IFERROR(IF(_xlfn.XLOOKUP(E53,lookups90!$B$4:$B$999,lookups90!$AZ$4:$AZ$999,"",0)=0,"",D53*_xlfn.XLOOKUP(E53,lookups90!$B$4:$B$999,lookups90!$AZ$4:$AZ$999,"",0)),"")</f>
        <v/>
      </c>
      <c r="BI53" s="20" t="str">
        <f>IF(C53&lt;&gt;"", T53-_xlfn.XLOOKUP(E53,lookups90!$B$4:$B$999,lookups90!$BA$4:$BA$999,"",0),"")</f>
        <v/>
      </c>
      <c r="BJ53" s="20" t="str">
        <f>IFERROR(IF(_xlfn.XLOOKUP(E53,lookups90!$B$4:$B$999,lookups90!$BB$4:$BB$999,"",0)=0,"",D53*_xlfn.XLOOKUP(E53,lookups90!$B$4:$B$999,lookups90!$BB$4:$BB$999,"",0)),"")</f>
        <v/>
      </c>
      <c r="BK53" s="20" t="str">
        <f>IF(V53&lt;&gt;"", V53-_xlfn.XLOOKUP(E53,lookups90!$B$4:$B$999,lookups90!$BA$4:$BA$999,"",0),"")</f>
        <v/>
      </c>
      <c r="BL53" s="20" t="str">
        <f>IFERROR(IF(_xlfn.XLOOKUP(E53,lookups90!$B$4:$B$999,lookups90!$BC$4:$BC$999,"",0)=0,"",D53*_xlfn.XLOOKUP(E53,lookups90!$B$4:$B$999,lookups90!$BC$4:$BC$999,"",0)),"")</f>
        <v/>
      </c>
      <c r="BM53" s="20" t="str">
        <f>IF(C53&lt;&gt;"", X53-_xlfn.XLOOKUP(E53,lookups90!$B$4:$B$999,lookups90!$BA$4:$BA$999,"",0),"")</f>
        <v/>
      </c>
      <c r="BN53" s="20" t="str">
        <f>IFERROR(IF(_xlfn.XLOOKUP(E53,lookups90!$B$4:$B$999,lookups90!$BD$4:$BD$999,"",0)=0,"",D53*_xlfn.XLOOKUP(E53,lookups90!$B$4:$B$999,lookups90!$BD$4:$BD$999,"",0)),"")</f>
        <v/>
      </c>
      <c r="BP53" s="20" t="str">
        <f>IF(AB53&lt;&gt;"", AB53-_xlfn.XLOOKUP(E53,lookups90!$B$4:$B$999,lookups90!$BE$4:$BE$999,"",0),"")</f>
        <v/>
      </c>
      <c r="BQ53" s="20" t="str">
        <f>IFERROR(IF(_xlfn.XLOOKUP(E53,lookups90!$B$4:$B$999,lookups90!$BF$4:$BF$999,"",0)=0,"",D53*_xlfn.XLOOKUP(E53,lookups90!$B$4:$B$999,lookups90!$BF$4:$BF$999,"",0)),"")</f>
        <v/>
      </c>
      <c r="BR53" s="20" t="str" cm="1">
        <f t="array" ref="BR53">_xlfn.IFS(BP53="","",OR(E53="Fix Slide Door - with Screen",E53="Slide Slide Door - with Screen"),(K53-_xlfn.XLOOKUP(E53,lookups90!$B$4:$B$999,lookups90!$F$4:$F$999,"",0)-_xlfn.XLOOKUP(E53,lookups90!$B$4:$B$999,lookups90!$G$4:$G$999,"",0)+_xlfn.XLOOKUP(E53,lookups90!$B$4:$B$999,lookups90!$H$4:$H$999,"",0))/2+_xlfn.XLOOKUP(E53,lookups90!$B$4:$B$999,lookups90!$I$4:$I$999,"",0)-_xlfn.XLOOKUP(E53,lookups90!$B$4:$B$999,lookups90!$BE$4:$BE$999,"",0), E53="Fix Slide Slide Fix Door - with Screen",(K53-_xlfn.XLOOKUP(E53,lookups90!$B$4:$B$999,lookups90!$F$4:$F$999,"",0)-_xlfn.XLOOKUP(E53,lookups90!$B$4:$B$999,lookups90!$G$4:$G$999,"",0)+_xlfn.XLOOKUP(E53,lookups90!$B$4:$B$999,lookups90!$H$4:$H$999,"",0)+_xlfn.XLOOKUP(E53,lookups90!$B$4:$B$999,lookups90!$H$4:$H$999,"",0))/4+_xlfn.XLOOKUP(E53,lookups90!$B$4:$B$999,lookups90!$I$4:$I$999,"",0)-_xlfn.XLOOKUP(E53,lookups90!$B$4:$B$999,lookups90!$BE$4:$BE$999,"",0))</f>
        <v/>
      </c>
      <c r="BS53" s="20" t="str">
        <f>IFERROR(IF(_xlfn.XLOOKUP(E53,lookups90!$B$4:$B$999,lookups90!$BG$4:$BG$999,"",0)=0,"",D53*_xlfn.XLOOKUP(E53,lookups90!$B$4:$B$999,lookups90!$BG$4:$BG$999,"",0)),"")</f>
        <v/>
      </c>
      <c r="BU53" s="20" t="str">
        <f>IF(AG53&lt;&gt;"",AG53-_xlfn.XLOOKUP(E53,lookups90!$B$4:$B$999,lookups90!$BA$4:$BA$999,"",0),"")</f>
        <v/>
      </c>
      <c r="BV53" s="20" t="str">
        <f>IFERROR(IF(_xlfn.XLOOKUP(E53,lookups90!$B$4:$B$999,lookups90!$BH$4:$BH$999,"",0)=0,"",D53*_xlfn.XLOOKUP(E53,lookups90!$B$4:$B$999,lookups90!$BH$4:$BH$999,"",0)),"")</f>
        <v/>
      </c>
      <c r="BW53" s="20" t="str" cm="1">
        <f t="array" ref="BW53">_xlfn.IFS(BU53="","",OR(E53="Fix Slide Window",E53="Slide Slide Window"),(K53-_xlfn.XLOOKUP(E53,lookups90!$B$4:$B$999,lookups90!$F$4:$F$999,"",0)-_xlfn.XLOOKUP(E53,lookups90!$B$4:$B$999,lookups90!$G$4:$G$999,"",0)+_xlfn.XLOOKUP(E53,lookups90!$B$4:$B$999,lookups90!$H$4:$H$999,"",0))/2+_xlfn.XLOOKUP(E53,lookups90!$B$4:$B$999,lookups90!$I$4:$I$999,"",0)-_xlfn.XLOOKUP(E53,lookups90!$B$4:$B$999,lookups90!$BA$4:$BA$999,"",0), E53="Fix Slide Slide Fix Window",(K53-_xlfn.XLOOKUP(E53,lookups90!$B$4:$B$999,lookups90!$F$4:$F$999,"",0)-_xlfn.XLOOKUP(E53,lookups90!$B$4:$B$999,lookups90!$G$4:$G$999,"",0)+_xlfn.XLOOKUP(E53,lookups90!$B$4:$B$999,lookups90!$H$4:$H$999,"",0)+_xlfn.XLOOKUP(E53,lookups90!$B$4:$B$999,lookups90!$H$4:$H$999,"",0))/4+_xlfn.XLOOKUP(E53,lookups90!$B$4:$B$999,lookups90!$I$4:$I$999,"",0)-_xlfn.XLOOKUP(E53,lookups90!$B$4:$B$999,lookups90!$BA$4:$BA$999,"",0))</f>
        <v/>
      </c>
      <c r="BX53" s="20" t="str">
        <f>IFERROR(IF(_xlfn.XLOOKUP(E53,lookups90!$B$4:$B$999,lookups90!$BI$4:$BI$999,"",0)=0,"",D53*_xlfn.XLOOKUP(E53,lookups90!$B$4:$B$999,lookups90!$BI$4:$BI$999,"",0)),"")</f>
        <v/>
      </c>
      <c r="BZ53" s="20" t="str">
        <f>IF(AL53&lt;&gt;"", AL53-_xlfn.XLOOKUP(E53,lookups90!$B$4:$B$999,lookups90!$BJ$4:$BJ$999,"",0),"")</f>
        <v/>
      </c>
      <c r="CA53" s="20" t="str">
        <f>IFERROR(IF(_xlfn.XLOOKUP(E53,lookups90!$B$4:$B$999,lookups90!$BK$4:$BK$999,"",0)=0,"",D53*_xlfn.XLOOKUP(E53,lookups90!$B$4:$B$999,lookups90!$BK$4:$BK$999,"",0)),"")</f>
        <v/>
      </c>
      <c r="CC53" s="20" t="str">
        <f>IF(C53&lt;&gt;"", T53-_xlfn.XLOOKUP(E53,lookups90!$B$4:$B$999,lookups90!$BO$4:$BO$999,"",0)-_xlfn.XLOOKUP(E53,lookups90!$B$4:$B$999,lookups90!$BP$4:$BP$999,"",0),"")</f>
        <v/>
      </c>
      <c r="CD53" s="20" t="str">
        <f>IF(C53&lt;&gt;"", X53-_xlfn.XLOOKUP(E53,lookups90!$B$4:$B$999,lookups90!$BQ$4:$BQ$999,"",0)-_xlfn.XLOOKUP(E53,lookups90!$B$4:$B$999,lookups90!$BR$4:$BR$999,"",0),"")</f>
        <v/>
      </c>
      <c r="CE53" s="20" t="str">
        <f>IFERROR(IF(_xlfn.XLOOKUP(E53,lookups90!$B$4:$B$999,lookups90!$BS$4:$BS$999,"",0)=0,"",D53*_xlfn.XLOOKUP(E53,lookups90!$B$4:$B$999,lookups90!$BS$4:$BS$999,"",0)),"")</f>
        <v/>
      </c>
      <c r="CF53" s="20" t="str">
        <f>IF(V53&lt;&gt;"", V53-_xlfn.XLOOKUP(E53,lookups90!$B$4:$B$999,lookups90!$BO$4:$BO$999,"",0)-_xlfn.XLOOKUP(E53,lookups90!$B$4:$B$999,lookups90!$BP$4:$BP$999,"",0),"")</f>
        <v/>
      </c>
      <c r="CG53" s="20" t="str">
        <f>IF(CF53&lt;&gt;"", X53-_xlfn.XLOOKUP(E53,lookups90!$B$4:$B$999,lookups90!$BQ$4:$BQ$999,"",0)-_xlfn.XLOOKUP(E53,lookups90!$B$4:$B$999,lookups90!$BR$4:$BR$999,"",0),"")</f>
        <v/>
      </c>
      <c r="CH53" s="20" t="str">
        <f>IFERROR(IF(_xlfn.XLOOKUP(E53,lookups90!$B$4:$B$999,lookups90!$BT$4:$BT$999,"",0)=0,"",D53*_xlfn.XLOOKUP(E53,lookups90!$B$4:$B$999,lookups90!$BT$4:$BT$999,"",0)),"")</f>
        <v/>
      </c>
      <c r="CJ53" s="22" t="str">
        <f t="shared" si="5"/>
        <v/>
      </c>
      <c r="CL53" s="22" t="str" cm="1">
        <f t="array" ref="CL53">IF(D53&lt;&gt;"",((((J53+K53)*2)/500)+(2*_xlfn.IFS(OR(E53="Fix Slide Window", E53="Slide Slide Window", E53="Fix Slide Slide Fix Window"), 2, E53="Slide Slide Door - with Screen", 8, E53&lt;&gt;"",4)))*D53,"")</f>
        <v/>
      </c>
      <c r="CM53" s="22" t="str">
        <f t="shared" si="9"/>
        <v/>
      </c>
      <c r="CN53" s="22" t="str">
        <f t="shared" si="10"/>
        <v/>
      </c>
      <c r="CO53" s="22" t="str">
        <f t="shared" si="8"/>
        <v/>
      </c>
      <c r="CP53" s="22" t="str">
        <f t="shared" si="11"/>
        <v/>
      </c>
    </row>
    <row r="54" spans="3:94" ht="13.5" customHeight="1" x14ac:dyDescent="0.25">
      <c r="C54" s="16"/>
      <c r="D54" s="16"/>
      <c r="E54" s="16"/>
      <c r="F54" s="16"/>
      <c r="G54" s="16"/>
      <c r="H54" s="16"/>
      <c r="I54" s="16"/>
      <c r="J54" s="16"/>
      <c r="K54" s="16"/>
      <c r="M54" s="20" t="str">
        <f t="shared" si="1"/>
        <v/>
      </c>
      <c r="N54" s="20" t="str" cm="1">
        <f t="array" ref="N54">IFERROR(_xlfn.IFS(OR(E54="Fix Awning (Vertical)", E54="Fix Awning (Horizontal)"), J54/2+20,C54&lt;&gt;"", J54+M54),"")</f>
        <v/>
      </c>
      <c r="O54" s="20" t="str">
        <f t="shared" si="2"/>
        <v/>
      </c>
      <c r="P54" s="20" t="str">
        <f t="shared" si="3"/>
        <v/>
      </c>
      <c r="Q54" s="20" t="str">
        <f t="shared" si="4"/>
        <v/>
      </c>
      <c r="S54" s="20" t="str">
        <f>IF(C54&lt;&gt;"", _xlfn.XLOOKUP(E54,lookups90!$B$4:$B$999,lookups90!$C$4:$C$999,"",0),"")</f>
        <v/>
      </c>
      <c r="T54" s="20" t="str">
        <f>IF(C54&lt;&gt;"", J54-_xlfn.XLOOKUP(E54,lookups90!$B$4:$B$999,lookups90!$D$4:$D$999, "",0),"")</f>
        <v/>
      </c>
      <c r="U54" s="20" t="str">
        <f>IF(T54&lt;&gt;"",D54*_xlfn.XLOOKUP(E54,lookups90!$B$4:$B$999,lookups90!$J$4:$J$999, "",0),"")</f>
        <v/>
      </c>
      <c r="V54" s="20" t="str">
        <f>IF(AND(C54&lt;&gt;"", E54&lt;&gt;"Slide Slide Window", E54&lt;&gt;"Slide Slide Door", E54&lt;&gt;"Slide Slide Door - with Screen"), J54-_xlfn.XLOOKUP(E54,lookups90!$B$4:$B$999,lookups90!$E$4:$E$999, "",0),"")</f>
        <v/>
      </c>
      <c r="W54" s="20" t="str">
        <f>IF(V54&lt;&gt;"",D54*_xlfn.XLOOKUP(E54,lookups90!$B$4:$B$999,lookups90!$K$4:$K$999, "",0),"")</f>
        <v/>
      </c>
      <c r="X54" s="20" t="str" cm="1">
        <f t="array" ref="X54">IFERROR(_xlfn.IFS(OR(E54="Fix Slide Window", E54="Slide Slide Window", E54="Fix Slide Door", E54="Slide Slide Door", E54="Fix Slide Door - with Screen", E54="Slide Slide Door - with Screen"), (K54-_xlfn.XLOOKUP(E54,lookups90!$B$4:$B$999,lookups90!$F$4:$F$999, "",0)-_xlfn.XLOOKUP(E54,lookups90!$B$4:$B$999,lookups90!$G$4:$G$999, "",0)+_xlfn.XLOOKUP(E54,lookups90!$B$4:$B$999,lookups90!$H$4:$H$999, "",0))/2+_xlfn.XLOOKUP(E54,lookups90!$B$4:$B$999,lookups90!$I$4:$I$999, "",0), OR(E54="Fix Slide Slide Fix Window", E54="Fix Slide Slide Fix Door - with Screen", E54="Fix Slide Slide Fix Door"),  (K54-_xlfn.XLOOKUP(E54,lookups90!$B$4:$B$999,lookups90!$F$4:$F$999, "",0)-_xlfn.XLOOKUP(E54,lookups90!$B$4:$B$999,lookups90!$G$4:$G$999, "",0)+_xlfn.XLOOKUP(E54,lookups90!$B$4:$B$999,lookups90!$H$4:$H$999, "",0)+_xlfn.XLOOKUP(E54,lookups90!$B$4:$B$999,lookups90!$H$4:$H$999, "",0))/4+_xlfn.XLOOKUP(E54,lookups90!$B$4:$B$999,lookups90!$I$4:$I$999, "",0), E54="Fix Slide Slide Door", (K54-_xlfn.XLOOKUP(E54,lookups90!$B$4:$B$999,lookups90!$F$4:$F$999, "",0)-_xlfn.XLOOKUP(E54,lookups90!$B$4:$B$999,lookups90!$G$4:$G$999, "",0)+_xlfn.XLOOKUP(E54,lookups90!$B$4:$B$999,lookups90!$H$4:$H$999, "",0)+_xlfn.XLOOKUP(E54,lookups90!$B$4:$B$999,lookups90!$H$4:$H$999, "",0))/3+_xlfn.XLOOKUP(E54,lookups90!$B$4:$B$999,lookups90!$I$4:$I$999, "",0),E54="Fix Slide Slide Slide Slide Fix Dr",  (K54-_xlfn.XLOOKUP(E54,lookups90!$B$4:$B$999,lookups90!$F$4:$F$999, "",0)-_xlfn.XLOOKUP(E54,lookups90!$B$4:$B$999,lookups90!$G$4:$G$999, "",0)+_xlfn.XLOOKUP(E54,lookups90!$B$4:$B$999,lookups90!$H$4:$H$999, "",0)+_xlfn.XLOOKUP(E54,lookups90!$B$4:$B$999,lookups90!$H$4:$H$999, "",0)+_xlfn.XLOOKUP(E54,lookups90!$B$4:$B$999,lookups90!$H$4:$H$999, "",0)+_xlfn.XLOOKUP(E54,lookups90!$B$4:$B$999,lookups90!$H$4:$H$999, "",0))/6+_xlfn.XLOOKUP(E54,lookups90!$B$4:$B$999,lookups90!$I$4:$I$999, "",0), E54="Fix Slide Slide Slide Slide Slide Slide Fix Dr",  (K54-_xlfn.XLOOKUP(E54,lookups90!$B$4:$B$999,lookups90!$F$4:$F$999, "",0)-_xlfn.XLOOKUP(E54,lookups90!$B$4:$B$999,lookups90!$G$4:$G$999, "",0)+_xlfn.XLOOKUP(E54,lookups90!$B$4:$B$999,lookups90!$H$4:$H$999, "",0)+_xlfn.XLOOKUP(E54,lookups90!$B$4:$B$999,lookups90!$H$4:$H$999, "",0)+_xlfn.XLOOKUP(E54,lookups90!$B$4:$B$999,lookups90!$H$4:$H$999, "",0)+_xlfn.XLOOKUP(E54,lookups90!$B$4:$B$999,lookups90!$H$4:$H$999, "",0)+_xlfn.XLOOKUP(E54,lookups90!$B$4:$B$999,lookups90!$H$4:$H$999, "",0)+_xlfn.XLOOKUP(E54,lookups90!$B$4:$B$999,lookups90!$H$4:$H$999, "",0))/8+_xlfn.XLOOKUP(E54,lookups90!$B$4:$B$999,lookups90!$I$4:$I$999, "",0)),"")</f>
        <v/>
      </c>
      <c r="Y54" s="20" t="str">
        <f>IF(X54&lt;&gt;"",D54*_xlfn.XLOOKUP(E54,lookups90!$B$4:$B$999,lookups90!$L$4:$L$999, "",0),"")</f>
        <v/>
      </c>
      <c r="AA54" s="20" t="str">
        <f>IF(C54&lt;&gt;"", IF(_xlfn.XLOOKUP(E54,lookups90!$B$4:$B$999,lookups90!$P$4:$P$999,"",0)=0,"",_xlfn.XLOOKUP(E54,lookups90!$B$4:$B$999,lookups90!$P$4:$P$999,"",0)),"")</f>
        <v/>
      </c>
      <c r="AB54" s="20" t="str">
        <f>IF(AA54&lt;&gt;"", J54-_xlfn.XLOOKUP(E54,lookups90!$B$4:$B$999,lookups90!$D$4:$D$999, "",0),"")</f>
        <v/>
      </c>
      <c r="AC54" s="20" t="str">
        <f>IF(AA54&lt;&gt;"",D54*_xlfn.XLOOKUP(E54,lookups90!$B$4:$B$999,lookups90!$Q$4:$Q$999, "",0),"")</f>
        <v/>
      </c>
      <c r="AD54" s="20" t="str" cm="1">
        <f t="array" ref="AD54">IF(AA54&lt;&gt;"", _xlfn.IFS(OR(E54="Fix Slide Window", E54="Slide Slide Window", E54="Fix Slide Door", E54="Slide Slide Door", E54="Fix Slide Door - with Screen", E54="Slide Slide Door - with Screen"), (K54-_xlfn.XLOOKUP(E54,lookups90!$B$4:$B$999,lookups90!$F$4:$F$999, "",0)-_xlfn.XLOOKUP(E54,lookups90!$B$4:$B$999,lookups90!$G$4:$G$999, "",0)+_xlfn.XLOOKUP(E54,lookups90!$B$4:$B$999,lookups90!$H$4:$H$999, "",0))/2+_xlfn.XLOOKUP(E54,lookups90!$B$4:$B$999,lookups90!$I$4:$I$999, "",0), OR(E54="Fix Slide Slide Fix Window", E54="Fix Slide Slide Fix Door - with Screen", E54="Fix Slide Slide Fix Door"),  (K54-_xlfn.XLOOKUP(E54,lookups90!$B$4:$B$999,lookups90!$F$4:$F$999, "",0)-_xlfn.XLOOKUP(E54,lookups90!$B$4:$B$999,lookups90!$G$4:$G$999, "",0)+_xlfn.XLOOKUP(E54,lookups90!$B$4:$B$999,lookups90!$H$4:$H$999, "",0)+_xlfn.XLOOKUP(E54,lookups90!$B$4:$B$999,lookups90!$H$4:$H$999, "",0))/4+_xlfn.XLOOKUP(E54,lookups90!$B$4:$B$999,lookups90!$I$4:$I$999, "",0), E54="Fix Slide Slide Door", (K54-_xlfn.XLOOKUP(E54,lookups90!$B$4:$B$999,lookups90!$F$4:$F$999, "",0)-_xlfn.XLOOKUP(E54,lookups90!$B$4:$B$999,lookups90!$G$4:$G$999, "",0)+_xlfn.XLOOKUP(E54,lookups90!$B$4:$B$999,lookups90!$H$4:$H$999, "",0)+_xlfn.XLOOKUP(E54,lookups90!$B$4:$B$999,lookups90!$H$4:$H$999, "",0))/3+_xlfn.XLOOKUP(E54,lookups90!$B$4:$B$999,lookups90!$I$4:$I$999, "",0) ),"")</f>
        <v/>
      </c>
      <c r="AE54" s="20" t="str">
        <f>IF(AA54&lt;&gt;"",D54*_xlfn.XLOOKUP(E54,lookups90!$B$4:$B$999,lookups90!$R$4:$R$999, "",0),"")</f>
        <v/>
      </c>
      <c r="AG54" s="20" t="str">
        <f>IF(AH54&lt;&gt;"", J54-_xlfn.XLOOKUP(E54,lookups90!$B$4:$B$999,lookups90!$D$4:$D$999, "",0),"")</f>
        <v/>
      </c>
      <c r="AH54" s="20" t="str">
        <f>IF(_xlfn.XLOOKUP(E54,lookups90!$B$4:$B$999,lookups90!$V$4:$V$999,"",0)=0,"",D54*_xlfn.XLOOKUP(E54,lookups90!$B$4:$B$999,lookups90!$V$4:$V$999,"",0))</f>
        <v/>
      </c>
      <c r="AI54" s="20" t="str" cm="1">
        <f t="array" ref="AI54">IF(AH54&lt;&gt;"", _xlfn.IFS(OR(E54="Fix Slide Window", E54="Slide Slide Window"), (K54-_xlfn.XLOOKUP(E54,lookups90!$B$4:$B$999,lookups90!$F$4:$F$999, "",0)-_xlfn.XLOOKUP(E54,lookups90!$B$4:$B$999,lookups90!$G$4:$G$999, "",0)+_xlfn.XLOOKUP(E54,lookups90!$B$4:$B$999,lookups90!$H$4:$H$999, "",0))/2+_xlfn.XLOOKUP(E54,lookups90!$B$4:$B$999,lookups90!$I$4:$I$999, "",0), OR(E54="Fix Slide Slide Fix Window"),  (K54-_xlfn.XLOOKUP(E54,lookups90!$B$4:$B$999,lookups90!$F$4:$F$999, "",0)+_xlfn.XLOOKUP(E54,lookups90!$B$4:$B$999,lookups90!$H$4:$H$999, "",0)+_xlfn.XLOOKUP(E54,lookups90!$B$4:$B$999,lookups90!$H$4:$H$999, "",0))/4+_xlfn.XLOOKUP(E54,lookups90!$B$4:$B$999,lookups90!$I$4:$I$999, "",0)),"")</f>
        <v/>
      </c>
      <c r="AJ54" s="20" t="str">
        <f>IF(_xlfn.XLOOKUP(E54,lookups90!$B$4:$B$999,lookups90!$V$4:$V$999,"",0)=0,"",D54*_xlfn.XLOOKUP(E54,lookups90!$B$4:$B$999,lookups90!$W$4:$W$999,"",0))</f>
        <v/>
      </c>
      <c r="AL54" s="20" t="str" cm="1">
        <f t="array" ref="AL54">IF(AM54&lt;&gt;"", _xlfn.IFS(OR(E54="Fix Slide Door - with Screen", E54="Slide Slide Door - with Screen"), (K54-_xlfn.XLOOKUP(E54,lookups90!$B$4:$B$999,lookups90!$F$4:$F$999, "",0)-_xlfn.XLOOKUP(E54,lookups90!$B$4:$B$999,lookups90!$G$4:$G$999, "",0)+_xlfn.XLOOKUP(E54,lookups90!$B$4:$B$999,lookups90!$H$4:$H$999, "",0))/2+_xlfn.XLOOKUP(E54,lookups90!$B$4:$B$999,lookups90!$I$4:$I$999, "",0), OR( E54="Fix Slide Slide Fix Door - with Screen",  E54="Fix Slide Slide Door"),  (K54-_xlfn.XLOOKUP(E54,lookups90!$B$4:$B$999,lookups90!$F$4:$F$999, "",0)-_xlfn.XLOOKUP(E54,lookups90!$B$4:$B$999,lookups90!$G$4:$G$999, "",0)+_xlfn.XLOOKUP(E54,lookups90!$B$4:$B$999,lookups90!$H$4:$H$999, "",0)+_xlfn.XLOOKUP(E54,lookups90!$B$4:$B$999,lookups90!$H$4:$H$999, "",0))/4+_xlfn.XLOOKUP(E54,lookups90!$B$4:$B$999,lookups90!$I$4:$I$999, "",0)),"")</f>
        <v/>
      </c>
      <c r="AM54" s="20" t="str">
        <f>IF(_xlfn.XLOOKUP(E54,lookups90!$B$4:$B$999,lookups90!$AA$4:$AA$999,"",0)=0,"",D54*_xlfn.XLOOKUP(E54,lookups90!$B$4:$B$999,lookups90!$AA$4:$AA$999,"",0))</f>
        <v/>
      </c>
      <c r="AO54" s="20" t="str">
        <f>IFERROR(IF(C54&lt;&gt;"", T54-_xlfn.XLOOKUP(E54,lookups90!$B$4:$B$999,lookups90!$AE$4:$AE$999, "",0),""),"")</f>
        <v/>
      </c>
      <c r="AP54" s="20" t="str">
        <f>IF(_xlfn.XLOOKUP(E54,lookups90!$B$4:$B$999,lookups90!$AG$4:$AG$999,"",0)=0,"",D54*_xlfn.XLOOKUP(E54,lookups90!$B$4:$B$999,lookups90!$AG$4:$AG$999,"",0))</f>
        <v/>
      </c>
      <c r="AQ54" s="20" t="str">
        <f>IF(V54&lt;&gt;"", T54-_xlfn.XLOOKUP(E54,lookups90!$B$4:$B$999,lookups90!$AE$4:$AE$999, "",0)+_xlfn.XLOOKUP(E54,lookups90!$B$4:$B$999,lookups90!$AF$4:$AF$999, "",0),"")</f>
        <v/>
      </c>
      <c r="AR54" s="20" t="str">
        <f>IFERROR(IF(_xlfn.XLOOKUP(E54,lookups90!$B$4:$B$999,lookups90!$AH$4:$AH$999,"",0)=0,"",D54*_xlfn.XLOOKUP(E54,lookups90!$B$4:$B$999,lookups90!$AH$4:$AH$999,"",0)),"")</f>
        <v/>
      </c>
      <c r="AT54" s="20" t="str">
        <f>IF(OR(E54="Fix Slide Slide Fix Window", E54="Fix Slide Slide Fix Door", E54="Fix Slide Slide Fix Door - with Screen", E54="Fix Slide Slide Door"), T54-_xlfn.XLOOKUP(E54,lookups90!$B$4:$B$999,lookups90!$AE$4:$AE$999,"",0),"")</f>
        <v/>
      </c>
      <c r="AU54" s="20" t="str">
        <f>IFERROR(IF(_xlfn.XLOOKUP(E54,lookups90!$B$4:$B$999,lookups90!$AL$4:$AL$999,"",0)=0,"",D54*_xlfn.XLOOKUP(E54,lookups90!$B$4:$B$999,lookups90!$AL$4:$AL$999,"",0)),"")</f>
        <v/>
      </c>
      <c r="AW54" s="20" t="str">
        <f>IF(C54&lt;&gt;"", T54-_xlfn.XLOOKUP(E54,lookups90!$B$4:$B$999,lookups90!$AP$4:$AP$999,"",0),"")</f>
        <v/>
      </c>
      <c r="AX54" s="20" t="str">
        <f>IFERROR(IF(_xlfn.XLOOKUP(E54,lookups90!$B$4:$B$999,lookups90!$AR$4:$AR$999,"",0)=0,"",D54*_xlfn.XLOOKUP(E54,lookups90!$B$4:$B$999,lookups90!$AR$4:$AR$999,"",0)),"")</f>
        <v/>
      </c>
      <c r="AY54" s="24" t="str">
        <f>IF(V54&lt;&gt;"", V54-_xlfn.XLOOKUP(E54,lookups90!$B$4:$B$999,lookups90!$AP$4:$AP$999,"",0),"")</f>
        <v/>
      </c>
      <c r="AZ54" s="20" t="str">
        <f>IFERROR(IF(_xlfn.XLOOKUP(E54,lookups90!$B$4:$B$999,lookups90!$AS$4:$AS$999,"",0)=0,"",D54*_xlfn.XLOOKUP(E54,lookups90!$B$4:$B$999,lookups90!$AS$4:$AS$999,"",0)),"")</f>
        <v/>
      </c>
      <c r="BA54" s="20" t="str">
        <f>IF(X54&lt;&gt;"", X54-_xlfn.XLOOKUP(E54,lookups90!$B$4:$B$999,lookups90!$AQ$4:$AQ$999,"",0),"")</f>
        <v/>
      </c>
      <c r="BB54" s="20" t="str">
        <f>IFERROR(IF(_xlfn.XLOOKUP(E54,lookups90!$B$4:$B$999,lookups90!$AT$4:$AT$999,"",0)=0,"",D54*_xlfn.XLOOKUP(E54,lookups90!$B$4:$B$999,lookups90!$AT$4:$AT$999,"",0)),"")</f>
        <v/>
      </c>
      <c r="BD54" s="20" t="str">
        <f>IF(C54&lt;&gt;"", N54-_xlfn.XLOOKUP(E54,lookups90!$B$4:$B$999,lookups90!$AX$4:$AX$999,"",0)+M54,"")</f>
        <v/>
      </c>
      <c r="BE54" s="20" t="str">
        <f>IFERROR(IF(_xlfn.XLOOKUP(E54,lookups90!$B$4:$B$999,lookups90!$AY$4:$AY$999,"",0)=0,"",D54*_xlfn.XLOOKUP(E54,lookups90!$B$4:$B$999,lookups90!$AY$4:$AY$999,"",0)),"")</f>
        <v/>
      </c>
      <c r="BF54" s="20" t="str">
        <f>IF(C54&lt;&gt;"", P54-_xlfn.XLOOKUP(E54,lookups90!$B$4:$B$999,lookups90!$AX$4:$AX$999,"",0)+M54,"")</f>
        <v/>
      </c>
      <c r="BG54" s="20" t="str">
        <f>IFERROR(IF(_xlfn.XLOOKUP(E54,lookups90!$B$4:$B$999,lookups90!$AZ$4:$AZ$999,"",0)=0,"",D54*_xlfn.XLOOKUP(E54,lookups90!$B$4:$B$999,lookups90!$AZ$4:$AZ$999,"",0)),"")</f>
        <v/>
      </c>
      <c r="BI54" s="20" t="str">
        <f>IF(C54&lt;&gt;"", T54-_xlfn.XLOOKUP(E54,lookups90!$B$4:$B$999,lookups90!$BA$4:$BA$999,"",0),"")</f>
        <v/>
      </c>
      <c r="BJ54" s="20" t="str">
        <f>IFERROR(IF(_xlfn.XLOOKUP(E54,lookups90!$B$4:$B$999,lookups90!$BB$4:$BB$999,"",0)=0,"",D54*_xlfn.XLOOKUP(E54,lookups90!$B$4:$B$999,lookups90!$BB$4:$BB$999,"",0)),"")</f>
        <v/>
      </c>
      <c r="BK54" s="20" t="str">
        <f>IF(V54&lt;&gt;"", V54-_xlfn.XLOOKUP(E54,lookups90!$B$4:$B$999,lookups90!$BA$4:$BA$999,"",0),"")</f>
        <v/>
      </c>
      <c r="BL54" s="20" t="str">
        <f>IFERROR(IF(_xlfn.XLOOKUP(E54,lookups90!$B$4:$B$999,lookups90!$BC$4:$BC$999,"",0)=0,"",D54*_xlfn.XLOOKUP(E54,lookups90!$B$4:$B$999,lookups90!$BC$4:$BC$999,"",0)),"")</f>
        <v/>
      </c>
      <c r="BM54" s="20" t="str">
        <f>IF(C54&lt;&gt;"", X54-_xlfn.XLOOKUP(E54,lookups90!$B$4:$B$999,lookups90!$BA$4:$BA$999,"",0),"")</f>
        <v/>
      </c>
      <c r="BN54" s="20" t="str">
        <f>IFERROR(IF(_xlfn.XLOOKUP(E54,lookups90!$B$4:$B$999,lookups90!$BD$4:$BD$999,"",0)=0,"",D54*_xlfn.XLOOKUP(E54,lookups90!$B$4:$B$999,lookups90!$BD$4:$BD$999,"",0)),"")</f>
        <v/>
      </c>
      <c r="BP54" s="20" t="str">
        <f>IF(AB54&lt;&gt;"", AB54-_xlfn.XLOOKUP(E54,lookups90!$B$4:$B$999,lookups90!$BE$4:$BE$999,"",0),"")</f>
        <v/>
      </c>
      <c r="BQ54" s="20" t="str">
        <f>IFERROR(IF(_xlfn.XLOOKUP(E54,lookups90!$B$4:$B$999,lookups90!$BF$4:$BF$999,"",0)=0,"",D54*_xlfn.XLOOKUP(E54,lookups90!$B$4:$B$999,lookups90!$BF$4:$BF$999,"",0)),"")</f>
        <v/>
      </c>
      <c r="BR54" s="20" t="str" cm="1">
        <f t="array" ref="BR54">_xlfn.IFS(BP54="","",OR(E54="Fix Slide Door - with Screen",E54="Slide Slide Door - with Screen"),(K54-_xlfn.XLOOKUP(E54,lookups90!$B$4:$B$999,lookups90!$F$4:$F$999,"",0)-_xlfn.XLOOKUP(E54,lookups90!$B$4:$B$999,lookups90!$G$4:$G$999,"",0)+_xlfn.XLOOKUP(E54,lookups90!$B$4:$B$999,lookups90!$H$4:$H$999,"",0))/2+_xlfn.XLOOKUP(E54,lookups90!$B$4:$B$999,lookups90!$I$4:$I$999,"",0)-_xlfn.XLOOKUP(E54,lookups90!$B$4:$B$999,lookups90!$BE$4:$BE$999,"",0), E54="Fix Slide Slide Fix Door - with Screen",(K54-_xlfn.XLOOKUP(E54,lookups90!$B$4:$B$999,lookups90!$F$4:$F$999,"",0)-_xlfn.XLOOKUP(E54,lookups90!$B$4:$B$999,lookups90!$G$4:$G$999,"",0)+_xlfn.XLOOKUP(E54,lookups90!$B$4:$B$999,lookups90!$H$4:$H$999,"",0)+_xlfn.XLOOKUP(E54,lookups90!$B$4:$B$999,lookups90!$H$4:$H$999,"",0))/4+_xlfn.XLOOKUP(E54,lookups90!$B$4:$B$999,lookups90!$I$4:$I$999,"",0)-_xlfn.XLOOKUP(E54,lookups90!$B$4:$B$999,lookups90!$BE$4:$BE$999,"",0))</f>
        <v/>
      </c>
      <c r="BS54" s="20" t="str">
        <f>IFERROR(IF(_xlfn.XLOOKUP(E54,lookups90!$B$4:$B$999,lookups90!$BG$4:$BG$999,"",0)=0,"",D54*_xlfn.XLOOKUP(E54,lookups90!$B$4:$B$999,lookups90!$BG$4:$BG$999,"",0)),"")</f>
        <v/>
      </c>
      <c r="BU54" s="20" t="str">
        <f>IF(AG54&lt;&gt;"",AG54-_xlfn.XLOOKUP(E54,lookups90!$B$4:$B$999,lookups90!$BA$4:$BA$999,"",0),"")</f>
        <v/>
      </c>
      <c r="BV54" s="20" t="str">
        <f>IFERROR(IF(_xlfn.XLOOKUP(E54,lookups90!$B$4:$B$999,lookups90!$BH$4:$BH$999,"",0)=0,"",D54*_xlfn.XLOOKUP(E54,lookups90!$B$4:$B$999,lookups90!$BH$4:$BH$999,"",0)),"")</f>
        <v/>
      </c>
      <c r="BW54" s="20" t="str" cm="1">
        <f t="array" ref="BW54">_xlfn.IFS(BU54="","",OR(E54="Fix Slide Window",E54="Slide Slide Window"),(K54-_xlfn.XLOOKUP(E54,lookups90!$B$4:$B$999,lookups90!$F$4:$F$999,"",0)-_xlfn.XLOOKUP(E54,lookups90!$B$4:$B$999,lookups90!$G$4:$G$999,"",0)+_xlfn.XLOOKUP(E54,lookups90!$B$4:$B$999,lookups90!$H$4:$H$999,"",0))/2+_xlfn.XLOOKUP(E54,lookups90!$B$4:$B$999,lookups90!$I$4:$I$999,"",0)-_xlfn.XLOOKUP(E54,lookups90!$B$4:$B$999,lookups90!$BA$4:$BA$999,"",0), E54="Fix Slide Slide Fix Window",(K54-_xlfn.XLOOKUP(E54,lookups90!$B$4:$B$999,lookups90!$F$4:$F$999,"",0)-_xlfn.XLOOKUP(E54,lookups90!$B$4:$B$999,lookups90!$G$4:$G$999,"",0)+_xlfn.XLOOKUP(E54,lookups90!$B$4:$B$999,lookups90!$H$4:$H$999,"",0)+_xlfn.XLOOKUP(E54,lookups90!$B$4:$B$999,lookups90!$H$4:$H$999,"",0))/4+_xlfn.XLOOKUP(E54,lookups90!$B$4:$B$999,lookups90!$I$4:$I$999,"",0)-_xlfn.XLOOKUP(E54,lookups90!$B$4:$B$999,lookups90!$BA$4:$BA$999,"",0))</f>
        <v/>
      </c>
      <c r="BX54" s="20" t="str">
        <f>IFERROR(IF(_xlfn.XLOOKUP(E54,lookups90!$B$4:$B$999,lookups90!$BI$4:$BI$999,"",0)=0,"",D54*_xlfn.XLOOKUP(E54,lookups90!$B$4:$B$999,lookups90!$BI$4:$BI$999,"",0)),"")</f>
        <v/>
      </c>
      <c r="BZ54" s="20" t="str">
        <f>IF(AL54&lt;&gt;"", AL54-_xlfn.XLOOKUP(E54,lookups90!$B$4:$B$999,lookups90!$BJ$4:$BJ$999,"",0),"")</f>
        <v/>
      </c>
      <c r="CA54" s="20" t="str">
        <f>IFERROR(IF(_xlfn.XLOOKUP(E54,lookups90!$B$4:$B$999,lookups90!$BK$4:$BK$999,"",0)=0,"",D54*_xlfn.XLOOKUP(E54,lookups90!$B$4:$B$999,lookups90!$BK$4:$BK$999,"",0)),"")</f>
        <v/>
      </c>
      <c r="CC54" s="20" t="str">
        <f>IF(C54&lt;&gt;"", T54-_xlfn.XLOOKUP(E54,lookups90!$B$4:$B$999,lookups90!$BO$4:$BO$999,"",0)-_xlfn.XLOOKUP(E54,lookups90!$B$4:$B$999,lookups90!$BP$4:$BP$999,"",0),"")</f>
        <v/>
      </c>
      <c r="CD54" s="20" t="str">
        <f>IF(C54&lt;&gt;"", X54-_xlfn.XLOOKUP(E54,lookups90!$B$4:$B$999,lookups90!$BQ$4:$BQ$999,"",0)-_xlfn.XLOOKUP(E54,lookups90!$B$4:$B$999,lookups90!$BR$4:$BR$999,"",0),"")</f>
        <v/>
      </c>
      <c r="CE54" s="20" t="str">
        <f>IFERROR(IF(_xlfn.XLOOKUP(E54,lookups90!$B$4:$B$999,lookups90!$BS$4:$BS$999,"",0)=0,"",D54*_xlfn.XLOOKUP(E54,lookups90!$B$4:$B$999,lookups90!$BS$4:$BS$999,"",0)),"")</f>
        <v/>
      </c>
      <c r="CF54" s="20" t="str">
        <f>IF(V54&lt;&gt;"", V54-_xlfn.XLOOKUP(E54,lookups90!$B$4:$B$999,lookups90!$BO$4:$BO$999,"",0)-_xlfn.XLOOKUP(E54,lookups90!$B$4:$B$999,lookups90!$BP$4:$BP$999,"",0),"")</f>
        <v/>
      </c>
      <c r="CG54" s="20" t="str">
        <f>IF(CF54&lt;&gt;"", X54-_xlfn.XLOOKUP(E54,lookups90!$B$4:$B$999,lookups90!$BQ$4:$BQ$999,"",0)-_xlfn.XLOOKUP(E54,lookups90!$B$4:$B$999,lookups90!$BR$4:$BR$999,"",0),"")</f>
        <v/>
      </c>
      <c r="CH54" s="20" t="str">
        <f>IFERROR(IF(_xlfn.XLOOKUP(E54,lookups90!$B$4:$B$999,lookups90!$BT$4:$BT$999,"",0)=0,"",D54*_xlfn.XLOOKUP(E54,lookups90!$B$4:$B$999,lookups90!$BT$4:$BT$999,"",0)),"")</f>
        <v/>
      </c>
      <c r="CJ54" s="22" t="str">
        <f t="shared" si="5"/>
        <v/>
      </c>
      <c r="CL54" s="22" t="str" cm="1">
        <f t="array" ref="CL54">IF(D54&lt;&gt;"",((((J54+K54)*2)/500)+(2*_xlfn.IFS(OR(E54="Fix Slide Window", E54="Slide Slide Window", E54="Fix Slide Slide Fix Window"), 2, E54="Slide Slide Door - with Screen", 8, E54&lt;&gt;"",4)))*D54,"")</f>
        <v/>
      </c>
      <c r="CM54" s="22" t="str">
        <f t="shared" si="9"/>
        <v/>
      </c>
      <c r="CN54" s="22" t="str">
        <f t="shared" si="10"/>
        <v/>
      </c>
      <c r="CO54" s="22" t="str">
        <f t="shared" si="8"/>
        <v/>
      </c>
      <c r="CP54" s="22" t="str">
        <f t="shared" si="11"/>
        <v/>
      </c>
    </row>
    <row r="55" spans="3:94" ht="13.5" customHeight="1" x14ac:dyDescent="0.25">
      <c r="C55" s="16"/>
      <c r="D55" s="16"/>
      <c r="E55" s="16"/>
      <c r="F55" s="16"/>
      <c r="G55" s="16"/>
      <c r="H55" s="16"/>
      <c r="I55" s="16"/>
      <c r="J55" s="16"/>
      <c r="K55" s="16"/>
      <c r="M55" s="20" t="str">
        <f t="shared" si="1"/>
        <v/>
      </c>
      <c r="N55" s="20" t="str" cm="1">
        <f t="array" ref="N55">IFERROR(_xlfn.IFS(OR(E55="Fix Awning (Vertical)", E55="Fix Awning (Horizontal)"), J55/2+20,C55&lt;&gt;"", J55+M55),"")</f>
        <v/>
      </c>
      <c r="O55" s="20" t="str">
        <f t="shared" si="2"/>
        <v/>
      </c>
      <c r="P55" s="20" t="str">
        <f t="shared" si="3"/>
        <v/>
      </c>
      <c r="Q55" s="20" t="str">
        <f t="shared" si="4"/>
        <v/>
      </c>
      <c r="S55" s="20" t="str">
        <f>IF(C55&lt;&gt;"", _xlfn.XLOOKUP(E55,lookups90!$B$4:$B$999,lookups90!$C$4:$C$999,"",0),"")</f>
        <v/>
      </c>
      <c r="T55" s="20" t="str">
        <f>IF(C55&lt;&gt;"", J55-_xlfn.XLOOKUP(E55,lookups90!$B$4:$B$999,lookups90!$D$4:$D$999, "",0),"")</f>
        <v/>
      </c>
      <c r="U55" s="20" t="str">
        <f>IF(T55&lt;&gt;"",D55*_xlfn.XLOOKUP(E55,lookups90!$B$4:$B$999,lookups90!$J$4:$J$999, "",0),"")</f>
        <v/>
      </c>
      <c r="V55" s="20" t="str">
        <f>IF(AND(C55&lt;&gt;"", E55&lt;&gt;"Slide Slide Window", E55&lt;&gt;"Slide Slide Door", E55&lt;&gt;"Slide Slide Door - with Screen"), J55-_xlfn.XLOOKUP(E55,lookups90!$B$4:$B$999,lookups90!$E$4:$E$999, "",0),"")</f>
        <v/>
      </c>
      <c r="W55" s="20" t="str">
        <f>IF(V55&lt;&gt;"",D55*_xlfn.XLOOKUP(E55,lookups90!$B$4:$B$999,lookups90!$K$4:$K$999, "",0),"")</f>
        <v/>
      </c>
      <c r="X55" s="20" t="str" cm="1">
        <f t="array" ref="X55">IFERROR(_xlfn.IFS(OR(E55="Fix Slide Window", E55="Slide Slide Window", E55="Fix Slide Door", E55="Slide Slide Door", E55="Fix Slide Door - with Screen", E55="Slide Slide Door - with Screen"), (K55-_xlfn.XLOOKUP(E55,lookups90!$B$4:$B$999,lookups90!$F$4:$F$999, "",0)-_xlfn.XLOOKUP(E55,lookups90!$B$4:$B$999,lookups90!$G$4:$G$999, "",0)+_xlfn.XLOOKUP(E55,lookups90!$B$4:$B$999,lookups90!$H$4:$H$999, "",0))/2+_xlfn.XLOOKUP(E55,lookups90!$B$4:$B$999,lookups90!$I$4:$I$999, "",0), OR(E55="Fix Slide Slide Fix Window", E55="Fix Slide Slide Fix Door - with Screen", E55="Fix Slide Slide Fix Door"),  (K55-_xlfn.XLOOKUP(E55,lookups90!$B$4:$B$999,lookups90!$F$4:$F$999, "",0)-_xlfn.XLOOKUP(E55,lookups90!$B$4:$B$999,lookups90!$G$4:$G$999, "",0)+_xlfn.XLOOKUP(E55,lookups90!$B$4:$B$999,lookups90!$H$4:$H$999, "",0)+_xlfn.XLOOKUP(E55,lookups90!$B$4:$B$999,lookups90!$H$4:$H$999, "",0))/4+_xlfn.XLOOKUP(E55,lookups90!$B$4:$B$999,lookups90!$I$4:$I$999, "",0), E55="Fix Slide Slide Door", (K55-_xlfn.XLOOKUP(E55,lookups90!$B$4:$B$999,lookups90!$F$4:$F$999, "",0)-_xlfn.XLOOKUP(E55,lookups90!$B$4:$B$999,lookups90!$G$4:$G$999, "",0)+_xlfn.XLOOKUP(E55,lookups90!$B$4:$B$999,lookups90!$H$4:$H$999, "",0)+_xlfn.XLOOKUP(E55,lookups90!$B$4:$B$999,lookups90!$H$4:$H$999, "",0))/3+_xlfn.XLOOKUP(E55,lookups90!$B$4:$B$999,lookups90!$I$4:$I$999, "",0),E55="Fix Slide Slide Slide Slide Fix Dr",  (K55-_xlfn.XLOOKUP(E55,lookups90!$B$4:$B$999,lookups90!$F$4:$F$999, "",0)-_xlfn.XLOOKUP(E55,lookups90!$B$4:$B$999,lookups90!$G$4:$G$999, "",0)+_xlfn.XLOOKUP(E55,lookups90!$B$4:$B$999,lookups90!$H$4:$H$999, "",0)+_xlfn.XLOOKUP(E55,lookups90!$B$4:$B$999,lookups90!$H$4:$H$999, "",0)+_xlfn.XLOOKUP(E55,lookups90!$B$4:$B$999,lookups90!$H$4:$H$999, "",0)+_xlfn.XLOOKUP(E55,lookups90!$B$4:$B$999,lookups90!$H$4:$H$999, "",0))/6+_xlfn.XLOOKUP(E55,lookups90!$B$4:$B$999,lookups90!$I$4:$I$999, "",0), E55="Fix Slide Slide Slide Slide Slide Slide Fix Dr",  (K55-_xlfn.XLOOKUP(E55,lookups90!$B$4:$B$999,lookups90!$F$4:$F$999, "",0)-_xlfn.XLOOKUP(E55,lookups90!$B$4:$B$999,lookups90!$G$4:$G$999, "",0)+_xlfn.XLOOKUP(E55,lookups90!$B$4:$B$999,lookups90!$H$4:$H$999, "",0)+_xlfn.XLOOKUP(E55,lookups90!$B$4:$B$999,lookups90!$H$4:$H$999, "",0)+_xlfn.XLOOKUP(E55,lookups90!$B$4:$B$999,lookups90!$H$4:$H$999, "",0)+_xlfn.XLOOKUP(E55,lookups90!$B$4:$B$999,lookups90!$H$4:$H$999, "",0)+_xlfn.XLOOKUP(E55,lookups90!$B$4:$B$999,lookups90!$H$4:$H$999, "",0)+_xlfn.XLOOKUP(E55,lookups90!$B$4:$B$999,lookups90!$H$4:$H$999, "",0))/8+_xlfn.XLOOKUP(E55,lookups90!$B$4:$B$999,lookups90!$I$4:$I$999, "",0)),"")</f>
        <v/>
      </c>
      <c r="Y55" s="20" t="str">
        <f>IF(X55&lt;&gt;"",D55*_xlfn.XLOOKUP(E55,lookups90!$B$4:$B$999,lookups90!$L$4:$L$999, "",0),"")</f>
        <v/>
      </c>
      <c r="AA55" s="20" t="str">
        <f>IF(C55&lt;&gt;"", IF(_xlfn.XLOOKUP(E55,lookups90!$B$4:$B$999,lookups90!$P$4:$P$999,"",0)=0,"",_xlfn.XLOOKUP(E55,lookups90!$B$4:$B$999,lookups90!$P$4:$P$999,"",0)),"")</f>
        <v/>
      </c>
      <c r="AB55" s="20" t="str">
        <f>IF(AA55&lt;&gt;"", J55-_xlfn.XLOOKUP(E55,lookups90!$B$4:$B$999,lookups90!$D$4:$D$999, "",0),"")</f>
        <v/>
      </c>
      <c r="AC55" s="20" t="str">
        <f>IF(AA55&lt;&gt;"",D55*_xlfn.XLOOKUP(E55,lookups90!$B$4:$B$999,lookups90!$Q$4:$Q$999, "",0),"")</f>
        <v/>
      </c>
      <c r="AD55" s="20" t="str" cm="1">
        <f t="array" ref="AD55">IF(AA55&lt;&gt;"", _xlfn.IFS(OR(E55="Fix Slide Window", E55="Slide Slide Window", E55="Fix Slide Door", E55="Slide Slide Door", E55="Fix Slide Door - with Screen", E55="Slide Slide Door - with Screen"), (K55-_xlfn.XLOOKUP(E55,lookups90!$B$4:$B$999,lookups90!$F$4:$F$999, "",0)-_xlfn.XLOOKUP(E55,lookups90!$B$4:$B$999,lookups90!$G$4:$G$999, "",0)+_xlfn.XLOOKUP(E55,lookups90!$B$4:$B$999,lookups90!$H$4:$H$999, "",0))/2+_xlfn.XLOOKUP(E55,lookups90!$B$4:$B$999,lookups90!$I$4:$I$999, "",0), OR(E55="Fix Slide Slide Fix Window", E55="Fix Slide Slide Fix Door - with Screen", E55="Fix Slide Slide Fix Door"),  (K55-_xlfn.XLOOKUP(E55,lookups90!$B$4:$B$999,lookups90!$F$4:$F$999, "",0)-_xlfn.XLOOKUP(E55,lookups90!$B$4:$B$999,lookups90!$G$4:$G$999, "",0)+_xlfn.XLOOKUP(E55,lookups90!$B$4:$B$999,lookups90!$H$4:$H$999, "",0)+_xlfn.XLOOKUP(E55,lookups90!$B$4:$B$999,lookups90!$H$4:$H$999, "",0))/4+_xlfn.XLOOKUP(E55,lookups90!$B$4:$B$999,lookups90!$I$4:$I$999, "",0), E55="Fix Slide Slide Door", (K55-_xlfn.XLOOKUP(E55,lookups90!$B$4:$B$999,lookups90!$F$4:$F$999, "",0)-_xlfn.XLOOKUP(E55,lookups90!$B$4:$B$999,lookups90!$G$4:$G$999, "",0)+_xlfn.XLOOKUP(E55,lookups90!$B$4:$B$999,lookups90!$H$4:$H$999, "",0)+_xlfn.XLOOKUP(E55,lookups90!$B$4:$B$999,lookups90!$H$4:$H$999, "",0))/3+_xlfn.XLOOKUP(E55,lookups90!$B$4:$B$999,lookups90!$I$4:$I$999, "",0) ),"")</f>
        <v/>
      </c>
      <c r="AE55" s="20" t="str">
        <f>IF(AA55&lt;&gt;"",D55*_xlfn.XLOOKUP(E55,lookups90!$B$4:$B$999,lookups90!$R$4:$R$999, "",0),"")</f>
        <v/>
      </c>
      <c r="AG55" s="20" t="str">
        <f>IF(AH55&lt;&gt;"", J55-_xlfn.XLOOKUP(E55,lookups90!$B$4:$B$999,lookups90!$D$4:$D$999, "",0),"")</f>
        <v/>
      </c>
      <c r="AH55" s="20" t="str">
        <f>IF(_xlfn.XLOOKUP(E55,lookups90!$B$4:$B$999,lookups90!$V$4:$V$999,"",0)=0,"",D55*_xlfn.XLOOKUP(E55,lookups90!$B$4:$B$999,lookups90!$V$4:$V$999,"",0))</f>
        <v/>
      </c>
      <c r="AI55" s="20" t="str" cm="1">
        <f t="array" ref="AI55">IF(AH55&lt;&gt;"", _xlfn.IFS(OR(E55="Fix Slide Window", E55="Slide Slide Window"), (K55-_xlfn.XLOOKUP(E55,lookups90!$B$4:$B$999,lookups90!$F$4:$F$999, "",0)-_xlfn.XLOOKUP(E55,lookups90!$B$4:$B$999,lookups90!$G$4:$G$999, "",0)+_xlfn.XLOOKUP(E55,lookups90!$B$4:$B$999,lookups90!$H$4:$H$999, "",0))/2+_xlfn.XLOOKUP(E55,lookups90!$B$4:$B$999,lookups90!$I$4:$I$999, "",0), OR(E55="Fix Slide Slide Fix Window"),  (K55-_xlfn.XLOOKUP(E55,lookups90!$B$4:$B$999,lookups90!$F$4:$F$999, "",0)+_xlfn.XLOOKUP(E55,lookups90!$B$4:$B$999,lookups90!$H$4:$H$999, "",0)+_xlfn.XLOOKUP(E55,lookups90!$B$4:$B$999,lookups90!$H$4:$H$999, "",0))/4+_xlfn.XLOOKUP(E55,lookups90!$B$4:$B$999,lookups90!$I$4:$I$999, "",0)),"")</f>
        <v/>
      </c>
      <c r="AJ55" s="20" t="str">
        <f>IF(_xlfn.XLOOKUP(E55,lookups90!$B$4:$B$999,lookups90!$V$4:$V$999,"",0)=0,"",D55*_xlfn.XLOOKUP(E55,lookups90!$B$4:$B$999,lookups90!$W$4:$W$999,"",0))</f>
        <v/>
      </c>
      <c r="AL55" s="20" t="str" cm="1">
        <f t="array" ref="AL55">IF(AM55&lt;&gt;"", _xlfn.IFS(OR(E55="Fix Slide Door - with Screen", E55="Slide Slide Door - with Screen"), (K55-_xlfn.XLOOKUP(E55,lookups90!$B$4:$B$999,lookups90!$F$4:$F$999, "",0)-_xlfn.XLOOKUP(E55,lookups90!$B$4:$B$999,lookups90!$G$4:$G$999, "",0)+_xlfn.XLOOKUP(E55,lookups90!$B$4:$B$999,lookups90!$H$4:$H$999, "",0))/2+_xlfn.XLOOKUP(E55,lookups90!$B$4:$B$999,lookups90!$I$4:$I$999, "",0), OR( E55="Fix Slide Slide Fix Door - with Screen",  E55="Fix Slide Slide Door"),  (K55-_xlfn.XLOOKUP(E55,lookups90!$B$4:$B$999,lookups90!$F$4:$F$999, "",0)-_xlfn.XLOOKUP(E55,lookups90!$B$4:$B$999,lookups90!$G$4:$G$999, "",0)+_xlfn.XLOOKUP(E55,lookups90!$B$4:$B$999,lookups90!$H$4:$H$999, "",0)+_xlfn.XLOOKUP(E55,lookups90!$B$4:$B$999,lookups90!$H$4:$H$999, "",0))/4+_xlfn.XLOOKUP(E55,lookups90!$B$4:$B$999,lookups90!$I$4:$I$999, "",0)),"")</f>
        <v/>
      </c>
      <c r="AM55" s="20" t="str">
        <f>IF(_xlfn.XLOOKUP(E55,lookups90!$B$4:$B$999,lookups90!$AA$4:$AA$999,"",0)=0,"",D55*_xlfn.XLOOKUP(E55,lookups90!$B$4:$B$999,lookups90!$AA$4:$AA$999,"",0))</f>
        <v/>
      </c>
      <c r="AO55" s="20" t="str">
        <f>IFERROR(IF(C55&lt;&gt;"", T55-_xlfn.XLOOKUP(E55,lookups90!$B$4:$B$999,lookups90!$AE$4:$AE$999, "",0),""),"")</f>
        <v/>
      </c>
      <c r="AP55" s="20" t="str">
        <f>IF(_xlfn.XLOOKUP(E55,lookups90!$B$4:$B$999,lookups90!$AG$4:$AG$999,"",0)=0,"",D55*_xlfn.XLOOKUP(E55,lookups90!$B$4:$B$999,lookups90!$AG$4:$AG$999,"",0))</f>
        <v/>
      </c>
      <c r="AQ55" s="20" t="str">
        <f>IF(V55&lt;&gt;"", T55-_xlfn.XLOOKUP(E55,lookups90!$B$4:$B$999,lookups90!$AE$4:$AE$999, "",0)+_xlfn.XLOOKUP(E55,lookups90!$B$4:$B$999,lookups90!$AF$4:$AF$999, "",0),"")</f>
        <v/>
      </c>
      <c r="AR55" s="20" t="str">
        <f>IFERROR(IF(_xlfn.XLOOKUP(E55,lookups90!$B$4:$B$999,lookups90!$AH$4:$AH$999,"",0)=0,"",D55*_xlfn.XLOOKUP(E55,lookups90!$B$4:$B$999,lookups90!$AH$4:$AH$999,"",0)),"")</f>
        <v/>
      </c>
      <c r="AT55" s="20" t="str">
        <f>IF(OR(E55="Fix Slide Slide Fix Window", E55="Fix Slide Slide Fix Door", E55="Fix Slide Slide Fix Door - with Screen", E55="Fix Slide Slide Door"), T55-_xlfn.XLOOKUP(E55,lookups90!$B$4:$B$999,lookups90!$AE$4:$AE$999,"",0),"")</f>
        <v/>
      </c>
      <c r="AU55" s="20" t="str">
        <f>IFERROR(IF(_xlfn.XLOOKUP(E55,lookups90!$B$4:$B$999,lookups90!$AL$4:$AL$999,"",0)=0,"",D55*_xlfn.XLOOKUP(E55,lookups90!$B$4:$B$999,lookups90!$AL$4:$AL$999,"",0)),"")</f>
        <v/>
      </c>
      <c r="AW55" s="20" t="str">
        <f>IF(C55&lt;&gt;"", T55-_xlfn.XLOOKUP(E55,lookups90!$B$4:$B$999,lookups90!$AP$4:$AP$999,"",0),"")</f>
        <v/>
      </c>
      <c r="AX55" s="20" t="str">
        <f>IFERROR(IF(_xlfn.XLOOKUP(E55,lookups90!$B$4:$B$999,lookups90!$AR$4:$AR$999,"",0)=0,"",D55*_xlfn.XLOOKUP(E55,lookups90!$B$4:$B$999,lookups90!$AR$4:$AR$999,"",0)),"")</f>
        <v/>
      </c>
      <c r="AY55" s="24" t="str">
        <f>IF(V55&lt;&gt;"", V55-_xlfn.XLOOKUP(E55,lookups90!$B$4:$B$999,lookups90!$AP$4:$AP$999,"",0),"")</f>
        <v/>
      </c>
      <c r="AZ55" s="20" t="str">
        <f>IFERROR(IF(_xlfn.XLOOKUP(E55,lookups90!$B$4:$B$999,lookups90!$AS$4:$AS$999,"",0)=0,"",D55*_xlfn.XLOOKUP(E55,lookups90!$B$4:$B$999,lookups90!$AS$4:$AS$999,"",0)),"")</f>
        <v/>
      </c>
      <c r="BA55" s="20" t="str">
        <f>IF(X55&lt;&gt;"", X55-_xlfn.XLOOKUP(E55,lookups90!$B$4:$B$999,lookups90!$AQ$4:$AQ$999,"",0),"")</f>
        <v/>
      </c>
      <c r="BB55" s="20" t="str">
        <f>IFERROR(IF(_xlfn.XLOOKUP(E55,lookups90!$B$4:$B$999,lookups90!$AT$4:$AT$999,"",0)=0,"",D55*_xlfn.XLOOKUP(E55,lookups90!$B$4:$B$999,lookups90!$AT$4:$AT$999,"",0)),"")</f>
        <v/>
      </c>
      <c r="BD55" s="20" t="str">
        <f>IF(C55&lt;&gt;"", N55-_xlfn.XLOOKUP(E55,lookups90!$B$4:$B$999,lookups90!$AX$4:$AX$999,"",0)+M55,"")</f>
        <v/>
      </c>
      <c r="BE55" s="20" t="str">
        <f>IFERROR(IF(_xlfn.XLOOKUP(E55,lookups90!$B$4:$B$999,lookups90!$AY$4:$AY$999,"",0)=0,"",D55*_xlfn.XLOOKUP(E55,lookups90!$B$4:$B$999,lookups90!$AY$4:$AY$999,"",0)),"")</f>
        <v/>
      </c>
      <c r="BF55" s="20" t="str">
        <f>IF(C55&lt;&gt;"", P55-_xlfn.XLOOKUP(E55,lookups90!$B$4:$B$999,lookups90!$AX$4:$AX$999,"",0)+M55,"")</f>
        <v/>
      </c>
      <c r="BG55" s="20" t="str">
        <f>IFERROR(IF(_xlfn.XLOOKUP(E55,lookups90!$B$4:$B$999,lookups90!$AZ$4:$AZ$999,"",0)=0,"",D55*_xlfn.XLOOKUP(E55,lookups90!$B$4:$B$999,lookups90!$AZ$4:$AZ$999,"",0)),"")</f>
        <v/>
      </c>
      <c r="BI55" s="20" t="str">
        <f>IF(C55&lt;&gt;"", T55-_xlfn.XLOOKUP(E55,lookups90!$B$4:$B$999,lookups90!$BA$4:$BA$999,"",0),"")</f>
        <v/>
      </c>
      <c r="BJ55" s="20" t="str">
        <f>IFERROR(IF(_xlfn.XLOOKUP(E55,lookups90!$B$4:$B$999,lookups90!$BB$4:$BB$999,"",0)=0,"",D55*_xlfn.XLOOKUP(E55,lookups90!$B$4:$B$999,lookups90!$BB$4:$BB$999,"",0)),"")</f>
        <v/>
      </c>
      <c r="BK55" s="20" t="str">
        <f>IF(V55&lt;&gt;"", V55-_xlfn.XLOOKUP(E55,lookups90!$B$4:$B$999,lookups90!$BA$4:$BA$999,"",0),"")</f>
        <v/>
      </c>
      <c r="BL55" s="20" t="str">
        <f>IFERROR(IF(_xlfn.XLOOKUP(E55,lookups90!$B$4:$B$999,lookups90!$BC$4:$BC$999,"",0)=0,"",D55*_xlfn.XLOOKUP(E55,lookups90!$B$4:$B$999,lookups90!$BC$4:$BC$999,"",0)),"")</f>
        <v/>
      </c>
      <c r="BM55" s="20" t="str">
        <f>IF(C55&lt;&gt;"", X55-_xlfn.XLOOKUP(E55,lookups90!$B$4:$B$999,lookups90!$BA$4:$BA$999,"",0),"")</f>
        <v/>
      </c>
      <c r="BN55" s="20" t="str">
        <f>IFERROR(IF(_xlfn.XLOOKUP(E55,lookups90!$B$4:$B$999,lookups90!$BD$4:$BD$999,"",0)=0,"",D55*_xlfn.XLOOKUP(E55,lookups90!$B$4:$B$999,lookups90!$BD$4:$BD$999,"",0)),"")</f>
        <v/>
      </c>
      <c r="BP55" s="20" t="str">
        <f>IF(AB55&lt;&gt;"", AB55-_xlfn.XLOOKUP(E55,lookups90!$B$4:$B$999,lookups90!$BE$4:$BE$999,"",0),"")</f>
        <v/>
      </c>
      <c r="BQ55" s="20" t="str">
        <f>IFERROR(IF(_xlfn.XLOOKUP(E55,lookups90!$B$4:$B$999,lookups90!$BF$4:$BF$999,"",0)=0,"",D55*_xlfn.XLOOKUP(E55,lookups90!$B$4:$B$999,lookups90!$BF$4:$BF$999,"",0)),"")</f>
        <v/>
      </c>
      <c r="BR55" s="20" t="str" cm="1">
        <f t="array" ref="BR55">_xlfn.IFS(BP55="","",OR(E55="Fix Slide Door - with Screen",E55="Slide Slide Door - with Screen"),(K55-_xlfn.XLOOKUP(E55,lookups90!$B$4:$B$999,lookups90!$F$4:$F$999,"",0)-_xlfn.XLOOKUP(E55,lookups90!$B$4:$B$999,lookups90!$G$4:$G$999,"",0)+_xlfn.XLOOKUP(E55,lookups90!$B$4:$B$999,lookups90!$H$4:$H$999,"",0))/2+_xlfn.XLOOKUP(E55,lookups90!$B$4:$B$999,lookups90!$I$4:$I$999,"",0)-_xlfn.XLOOKUP(E55,lookups90!$B$4:$B$999,lookups90!$BE$4:$BE$999,"",0), E55="Fix Slide Slide Fix Door - with Screen",(K55-_xlfn.XLOOKUP(E55,lookups90!$B$4:$B$999,lookups90!$F$4:$F$999,"",0)-_xlfn.XLOOKUP(E55,lookups90!$B$4:$B$999,lookups90!$G$4:$G$999,"",0)+_xlfn.XLOOKUP(E55,lookups90!$B$4:$B$999,lookups90!$H$4:$H$999,"",0)+_xlfn.XLOOKUP(E55,lookups90!$B$4:$B$999,lookups90!$H$4:$H$999,"",0))/4+_xlfn.XLOOKUP(E55,lookups90!$B$4:$B$999,lookups90!$I$4:$I$999,"",0)-_xlfn.XLOOKUP(E55,lookups90!$B$4:$B$999,lookups90!$BE$4:$BE$999,"",0))</f>
        <v/>
      </c>
      <c r="BS55" s="20" t="str">
        <f>IFERROR(IF(_xlfn.XLOOKUP(E55,lookups90!$B$4:$B$999,lookups90!$BG$4:$BG$999,"",0)=0,"",D55*_xlfn.XLOOKUP(E55,lookups90!$B$4:$B$999,lookups90!$BG$4:$BG$999,"",0)),"")</f>
        <v/>
      </c>
      <c r="BU55" s="20" t="str">
        <f>IF(AG55&lt;&gt;"",AG55-_xlfn.XLOOKUP(E55,lookups90!$B$4:$B$999,lookups90!$BA$4:$BA$999,"",0),"")</f>
        <v/>
      </c>
      <c r="BV55" s="20" t="str">
        <f>IFERROR(IF(_xlfn.XLOOKUP(E55,lookups90!$B$4:$B$999,lookups90!$BH$4:$BH$999,"",0)=0,"",D55*_xlfn.XLOOKUP(E55,lookups90!$B$4:$B$999,lookups90!$BH$4:$BH$999,"",0)),"")</f>
        <v/>
      </c>
      <c r="BW55" s="20" t="str" cm="1">
        <f t="array" ref="BW55">_xlfn.IFS(BU55="","",OR(E55="Fix Slide Window",E55="Slide Slide Window"),(K55-_xlfn.XLOOKUP(E55,lookups90!$B$4:$B$999,lookups90!$F$4:$F$999,"",0)-_xlfn.XLOOKUP(E55,lookups90!$B$4:$B$999,lookups90!$G$4:$G$999,"",0)+_xlfn.XLOOKUP(E55,lookups90!$B$4:$B$999,lookups90!$H$4:$H$999,"",0))/2+_xlfn.XLOOKUP(E55,lookups90!$B$4:$B$999,lookups90!$I$4:$I$999,"",0)-_xlfn.XLOOKUP(E55,lookups90!$B$4:$B$999,lookups90!$BA$4:$BA$999,"",0), E55="Fix Slide Slide Fix Window",(K55-_xlfn.XLOOKUP(E55,lookups90!$B$4:$B$999,lookups90!$F$4:$F$999,"",0)-_xlfn.XLOOKUP(E55,lookups90!$B$4:$B$999,lookups90!$G$4:$G$999,"",0)+_xlfn.XLOOKUP(E55,lookups90!$B$4:$B$999,lookups90!$H$4:$H$999,"",0)+_xlfn.XLOOKUP(E55,lookups90!$B$4:$B$999,lookups90!$H$4:$H$999,"",0))/4+_xlfn.XLOOKUP(E55,lookups90!$B$4:$B$999,lookups90!$I$4:$I$999,"",0)-_xlfn.XLOOKUP(E55,lookups90!$B$4:$B$999,lookups90!$BA$4:$BA$999,"",0))</f>
        <v/>
      </c>
      <c r="BX55" s="20" t="str">
        <f>IFERROR(IF(_xlfn.XLOOKUP(E55,lookups90!$B$4:$B$999,lookups90!$BI$4:$BI$999,"",0)=0,"",D55*_xlfn.XLOOKUP(E55,lookups90!$B$4:$B$999,lookups90!$BI$4:$BI$999,"",0)),"")</f>
        <v/>
      </c>
      <c r="BZ55" s="20" t="str">
        <f>IF(AL55&lt;&gt;"", AL55-_xlfn.XLOOKUP(E55,lookups90!$B$4:$B$999,lookups90!$BJ$4:$BJ$999,"",0),"")</f>
        <v/>
      </c>
      <c r="CA55" s="20" t="str">
        <f>IFERROR(IF(_xlfn.XLOOKUP(E55,lookups90!$B$4:$B$999,lookups90!$BK$4:$BK$999,"",0)=0,"",D55*_xlfn.XLOOKUP(E55,lookups90!$B$4:$B$999,lookups90!$BK$4:$BK$999,"",0)),"")</f>
        <v/>
      </c>
      <c r="CC55" s="20" t="str">
        <f>IF(C55&lt;&gt;"", T55-_xlfn.XLOOKUP(E55,lookups90!$B$4:$B$999,lookups90!$BO$4:$BO$999,"",0)-_xlfn.XLOOKUP(E55,lookups90!$B$4:$B$999,lookups90!$BP$4:$BP$999,"",0),"")</f>
        <v/>
      </c>
      <c r="CD55" s="20" t="str">
        <f>IF(C55&lt;&gt;"", X55-_xlfn.XLOOKUP(E55,lookups90!$B$4:$B$999,lookups90!$BQ$4:$BQ$999,"",0)-_xlfn.XLOOKUP(E55,lookups90!$B$4:$B$999,lookups90!$BR$4:$BR$999,"",0),"")</f>
        <v/>
      </c>
      <c r="CE55" s="20" t="str">
        <f>IFERROR(IF(_xlfn.XLOOKUP(E55,lookups90!$B$4:$B$999,lookups90!$BS$4:$BS$999,"",0)=0,"",D55*_xlfn.XLOOKUP(E55,lookups90!$B$4:$B$999,lookups90!$BS$4:$BS$999,"",0)),"")</f>
        <v/>
      </c>
      <c r="CF55" s="20" t="str">
        <f>IF(V55&lt;&gt;"", V55-_xlfn.XLOOKUP(E55,lookups90!$B$4:$B$999,lookups90!$BO$4:$BO$999,"",0)-_xlfn.XLOOKUP(E55,lookups90!$B$4:$B$999,lookups90!$BP$4:$BP$999,"",0),"")</f>
        <v/>
      </c>
      <c r="CG55" s="20" t="str">
        <f>IF(CF55&lt;&gt;"", X55-_xlfn.XLOOKUP(E55,lookups90!$B$4:$B$999,lookups90!$BQ$4:$BQ$999,"",0)-_xlfn.XLOOKUP(E55,lookups90!$B$4:$B$999,lookups90!$BR$4:$BR$999,"",0),"")</f>
        <v/>
      </c>
      <c r="CH55" s="20" t="str">
        <f>IFERROR(IF(_xlfn.XLOOKUP(E55,lookups90!$B$4:$B$999,lookups90!$BT$4:$BT$999,"",0)=0,"",D55*_xlfn.XLOOKUP(E55,lookups90!$B$4:$B$999,lookups90!$BT$4:$BT$999,"",0)),"")</f>
        <v/>
      </c>
      <c r="CJ55" s="22" t="str">
        <f t="shared" si="5"/>
        <v/>
      </c>
      <c r="CL55" s="22" t="str" cm="1">
        <f t="array" ref="CL55">IF(D55&lt;&gt;"",((((J55+K55)*2)/500)+(2*_xlfn.IFS(OR(E55="Fix Slide Window", E55="Slide Slide Window", E55="Fix Slide Slide Fix Window"), 2, E55="Slide Slide Door - with Screen", 8, E55&lt;&gt;"",4)))*D55,"")</f>
        <v/>
      </c>
      <c r="CM55" s="22" t="str">
        <f t="shared" si="9"/>
        <v/>
      </c>
      <c r="CN55" s="22" t="str">
        <f t="shared" si="10"/>
        <v/>
      </c>
      <c r="CO55" s="22" t="str">
        <f t="shared" si="8"/>
        <v/>
      </c>
      <c r="CP55" s="22" t="str">
        <f t="shared" si="11"/>
        <v/>
      </c>
    </row>
    <row r="56" spans="3:94" ht="13.5" customHeight="1" x14ac:dyDescent="0.25">
      <c r="C56" s="16"/>
      <c r="D56" s="16"/>
      <c r="E56" s="16"/>
      <c r="F56" s="16"/>
      <c r="G56" s="16"/>
      <c r="H56" s="16"/>
      <c r="I56" s="16"/>
      <c r="J56" s="16"/>
      <c r="K56" s="16"/>
      <c r="M56" s="20" t="str">
        <f t="shared" si="1"/>
        <v/>
      </c>
      <c r="N56" s="20" t="str" cm="1">
        <f t="array" ref="N56">IFERROR(_xlfn.IFS(OR(E56="Fix Awning (Vertical)", E56="Fix Awning (Horizontal)"), J56/2+20,C56&lt;&gt;"", J56+M56),"")</f>
        <v/>
      </c>
      <c r="O56" s="20" t="str">
        <f t="shared" si="2"/>
        <v/>
      </c>
      <c r="P56" s="20" t="str">
        <f t="shared" si="3"/>
        <v/>
      </c>
      <c r="Q56" s="20" t="str">
        <f t="shared" si="4"/>
        <v/>
      </c>
      <c r="S56" s="20" t="str">
        <f>IF(C56&lt;&gt;"", _xlfn.XLOOKUP(E56,lookups90!$B$4:$B$999,lookups90!$C$4:$C$999,"",0),"")</f>
        <v/>
      </c>
      <c r="T56" s="20" t="str">
        <f>IF(C56&lt;&gt;"", J56-_xlfn.XLOOKUP(E56,lookups90!$B$4:$B$999,lookups90!$D$4:$D$999, "",0),"")</f>
        <v/>
      </c>
      <c r="U56" s="20" t="str">
        <f>IF(T56&lt;&gt;"",D56*_xlfn.XLOOKUP(E56,lookups90!$B$4:$B$999,lookups90!$J$4:$J$999, "",0),"")</f>
        <v/>
      </c>
      <c r="V56" s="20" t="str">
        <f>IF(AND(C56&lt;&gt;"", E56&lt;&gt;"Slide Slide Window", E56&lt;&gt;"Slide Slide Door", E56&lt;&gt;"Slide Slide Door - with Screen"), J56-_xlfn.XLOOKUP(E56,lookups90!$B$4:$B$999,lookups90!$E$4:$E$999, "",0),"")</f>
        <v/>
      </c>
      <c r="W56" s="20" t="str">
        <f>IF(V56&lt;&gt;"",D56*_xlfn.XLOOKUP(E56,lookups90!$B$4:$B$999,lookups90!$K$4:$K$999, "",0),"")</f>
        <v/>
      </c>
      <c r="X56" s="20" t="str" cm="1">
        <f t="array" ref="X56">IFERROR(_xlfn.IFS(OR(E56="Fix Slide Window", E56="Slide Slide Window", E56="Fix Slide Door", E56="Slide Slide Door", E56="Fix Slide Door - with Screen", E56="Slide Slide Door - with Screen"), (K56-_xlfn.XLOOKUP(E56,lookups90!$B$4:$B$999,lookups90!$F$4:$F$999, "",0)-_xlfn.XLOOKUP(E56,lookups90!$B$4:$B$999,lookups90!$G$4:$G$999, "",0)+_xlfn.XLOOKUP(E56,lookups90!$B$4:$B$999,lookups90!$H$4:$H$999, "",0))/2+_xlfn.XLOOKUP(E56,lookups90!$B$4:$B$999,lookups90!$I$4:$I$999, "",0), OR(E56="Fix Slide Slide Fix Window", E56="Fix Slide Slide Fix Door - with Screen", E56="Fix Slide Slide Fix Door"),  (K56-_xlfn.XLOOKUP(E56,lookups90!$B$4:$B$999,lookups90!$F$4:$F$999, "",0)-_xlfn.XLOOKUP(E56,lookups90!$B$4:$B$999,lookups90!$G$4:$G$999, "",0)+_xlfn.XLOOKUP(E56,lookups90!$B$4:$B$999,lookups90!$H$4:$H$999, "",0)+_xlfn.XLOOKUP(E56,lookups90!$B$4:$B$999,lookups90!$H$4:$H$999, "",0))/4+_xlfn.XLOOKUP(E56,lookups90!$B$4:$B$999,lookups90!$I$4:$I$999, "",0), E56="Fix Slide Slide Door", (K56-_xlfn.XLOOKUP(E56,lookups90!$B$4:$B$999,lookups90!$F$4:$F$999, "",0)-_xlfn.XLOOKUP(E56,lookups90!$B$4:$B$999,lookups90!$G$4:$G$999, "",0)+_xlfn.XLOOKUP(E56,lookups90!$B$4:$B$999,lookups90!$H$4:$H$999, "",0)+_xlfn.XLOOKUP(E56,lookups90!$B$4:$B$999,lookups90!$H$4:$H$999, "",0))/3+_xlfn.XLOOKUP(E56,lookups90!$B$4:$B$999,lookups90!$I$4:$I$999, "",0),E56="Fix Slide Slide Slide Slide Fix Dr",  (K56-_xlfn.XLOOKUP(E56,lookups90!$B$4:$B$999,lookups90!$F$4:$F$999, "",0)-_xlfn.XLOOKUP(E56,lookups90!$B$4:$B$999,lookups90!$G$4:$G$999, "",0)+_xlfn.XLOOKUP(E56,lookups90!$B$4:$B$999,lookups90!$H$4:$H$999, "",0)+_xlfn.XLOOKUP(E56,lookups90!$B$4:$B$999,lookups90!$H$4:$H$999, "",0)+_xlfn.XLOOKUP(E56,lookups90!$B$4:$B$999,lookups90!$H$4:$H$999, "",0)+_xlfn.XLOOKUP(E56,lookups90!$B$4:$B$999,lookups90!$H$4:$H$999, "",0))/6+_xlfn.XLOOKUP(E56,lookups90!$B$4:$B$999,lookups90!$I$4:$I$999, "",0), E56="Fix Slide Slide Slide Slide Slide Slide Fix Dr",  (K56-_xlfn.XLOOKUP(E56,lookups90!$B$4:$B$999,lookups90!$F$4:$F$999, "",0)-_xlfn.XLOOKUP(E56,lookups90!$B$4:$B$999,lookups90!$G$4:$G$999, "",0)+_xlfn.XLOOKUP(E56,lookups90!$B$4:$B$999,lookups90!$H$4:$H$999, "",0)+_xlfn.XLOOKUP(E56,lookups90!$B$4:$B$999,lookups90!$H$4:$H$999, "",0)+_xlfn.XLOOKUP(E56,lookups90!$B$4:$B$999,lookups90!$H$4:$H$999, "",0)+_xlfn.XLOOKUP(E56,lookups90!$B$4:$B$999,lookups90!$H$4:$H$999, "",0)+_xlfn.XLOOKUP(E56,lookups90!$B$4:$B$999,lookups90!$H$4:$H$999, "",0)+_xlfn.XLOOKUP(E56,lookups90!$B$4:$B$999,lookups90!$H$4:$H$999, "",0))/8+_xlfn.XLOOKUP(E56,lookups90!$B$4:$B$999,lookups90!$I$4:$I$999, "",0)),"")</f>
        <v/>
      </c>
      <c r="Y56" s="20" t="str">
        <f>IF(X56&lt;&gt;"",D56*_xlfn.XLOOKUP(E56,lookups90!$B$4:$B$999,lookups90!$L$4:$L$999, "",0),"")</f>
        <v/>
      </c>
      <c r="AA56" s="20" t="str">
        <f>IF(C56&lt;&gt;"", IF(_xlfn.XLOOKUP(E56,lookups90!$B$4:$B$999,lookups90!$P$4:$P$999,"",0)=0,"",_xlfn.XLOOKUP(E56,lookups90!$B$4:$B$999,lookups90!$P$4:$P$999,"",0)),"")</f>
        <v/>
      </c>
      <c r="AB56" s="20" t="str">
        <f>IF(AA56&lt;&gt;"", J56-_xlfn.XLOOKUP(E56,lookups90!$B$4:$B$999,lookups90!$D$4:$D$999, "",0),"")</f>
        <v/>
      </c>
      <c r="AC56" s="20" t="str">
        <f>IF(AA56&lt;&gt;"",D56*_xlfn.XLOOKUP(E56,lookups90!$B$4:$B$999,lookups90!$Q$4:$Q$999, "",0),"")</f>
        <v/>
      </c>
      <c r="AD56" s="20" t="str" cm="1">
        <f t="array" ref="AD56">IF(AA56&lt;&gt;"", _xlfn.IFS(OR(E56="Fix Slide Window", E56="Slide Slide Window", E56="Fix Slide Door", E56="Slide Slide Door", E56="Fix Slide Door - with Screen", E56="Slide Slide Door - with Screen"), (K56-_xlfn.XLOOKUP(E56,lookups90!$B$4:$B$999,lookups90!$F$4:$F$999, "",0)-_xlfn.XLOOKUP(E56,lookups90!$B$4:$B$999,lookups90!$G$4:$G$999, "",0)+_xlfn.XLOOKUP(E56,lookups90!$B$4:$B$999,lookups90!$H$4:$H$999, "",0))/2+_xlfn.XLOOKUP(E56,lookups90!$B$4:$B$999,lookups90!$I$4:$I$999, "",0), OR(E56="Fix Slide Slide Fix Window", E56="Fix Slide Slide Fix Door - with Screen", E56="Fix Slide Slide Fix Door"),  (K56-_xlfn.XLOOKUP(E56,lookups90!$B$4:$B$999,lookups90!$F$4:$F$999, "",0)-_xlfn.XLOOKUP(E56,lookups90!$B$4:$B$999,lookups90!$G$4:$G$999, "",0)+_xlfn.XLOOKUP(E56,lookups90!$B$4:$B$999,lookups90!$H$4:$H$999, "",0)+_xlfn.XLOOKUP(E56,lookups90!$B$4:$B$999,lookups90!$H$4:$H$999, "",0))/4+_xlfn.XLOOKUP(E56,lookups90!$B$4:$B$999,lookups90!$I$4:$I$999, "",0), E56="Fix Slide Slide Door", (K56-_xlfn.XLOOKUP(E56,lookups90!$B$4:$B$999,lookups90!$F$4:$F$999, "",0)-_xlfn.XLOOKUP(E56,lookups90!$B$4:$B$999,lookups90!$G$4:$G$999, "",0)+_xlfn.XLOOKUP(E56,lookups90!$B$4:$B$999,lookups90!$H$4:$H$999, "",0)+_xlfn.XLOOKUP(E56,lookups90!$B$4:$B$999,lookups90!$H$4:$H$999, "",0))/3+_xlfn.XLOOKUP(E56,lookups90!$B$4:$B$999,lookups90!$I$4:$I$999, "",0) ),"")</f>
        <v/>
      </c>
      <c r="AE56" s="20" t="str">
        <f>IF(AA56&lt;&gt;"",D56*_xlfn.XLOOKUP(E56,lookups90!$B$4:$B$999,lookups90!$R$4:$R$999, "",0),"")</f>
        <v/>
      </c>
      <c r="AG56" s="20" t="str">
        <f>IF(AH56&lt;&gt;"", J56-_xlfn.XLOOKUP(E56,lookups90!$B$4:$B$999,lookups90!$D$4:$D$999, "",0),"")</f>
        <v/>
      </c>
      <c r="AH56" s="20" t="str">
        <f>IF(_xlfn.XLOOKUP(E56,lookups90!$B$4:$B$999,lookups90!$V$4:$V$999,"",0)=0,"",D56*_xlfn.XLOOKUP(E56,lookups90!$B$4:$B$999,lookups90!$V$4:$V$999,"",0))</f>
        <v/>
      </c>
      <c r="AI56" s="20" t="str" cm="1">
        <f t="array" ref="AI56">IF(AH56&lt;&gt;"", _xlfn.IFS(OR(E56="Fix Slide Window", E56="Slide Slide Window"), (K56-_xlfn.XLOOKUP(E56,lookups90!$B$4:$B$999,lookups90!$F$4:$F$999, "",0)-_xlfn.XLOOKUP(E56,lookups90!$B$4:$B$999,lookups90!$G$4:$G$999, "",0)+_xlfn.XLOOKUP(E56,lookups90!$B$4:$B$999,lookups90!$H$4:$H$999, "",0))/2+_xlfn.XLOOKUP(E56,lookups90!$B$4:$B$999,lookups90!$I$4:$I$999, "",0), OR(E56="Fix Slide Slide Fix Window"),  (K56-_xlfn.XLOOKUP(E56,lookups90!$B$4:$B$999,lookups90!$F$4:$F$999, "",0)+_xlfn.XLOOKUP(E56,lookups90!$B$4:$B$999,lookups90!$H$4:$H$999, "",0)+_xlfn.XLOOKUP(E56,lookups90!$B$4:$B$999,lookups90!$H$4:$H$999, "",0))/4+_xlfn.XLOOKUP(E56,lookups90!$B$4:$B$999,lookups90!$I$4:$I$999, "",0)),"")</f>
        <v/>
      </c>
      <c r="AJ56" s="20" t="str">
        <f>IF(_xlfn.XLOOKUP(E56,lookups90!$B$4:$B$999,lookups90!$V$4:$V$999,"",0)=0,"",D56*_xlfn.XLOOKUP(E56,lookups90!$B$4:$B$999,lookups90!$W$4:$W$999,"",0))</f>
        <v/>
      </c>
      <c r="AL56" s="20" t="str" cm="1">
        <f t="array" ref="AL56">IF(AM56&lt;&gt;"", _xlfn.IFS(OR(E56="Fix Slide Door - with Screen", E56="Slide Slide Door - with Screen"), (K56-_xlfn.XLOOKUP(E56,lookups90!$B$4:$B$999,lookups90!$F$4:$F$999, "",0)-_xlfn.XLOOKUP(E56,lookups90!$B$4:$B$999,lookups90!$G$4:$G$999, "",0)+_xlfn.XLOOKUP(E56,lookups90!$B$4:$B$999,lookups90!$H$4:$H$999, "",0))/2+_xlfn.XLOOKUP(E56,lookups90!$B$4:$B$999,lookups90!$I$4:$I$999, "",0), OR( E56="Fix Slide Slide Fix Door - with Screen",  E56="Fix Slide Slide Door"),  (K56-_xlfn.XLOOKUP(E56,lookups90!$B$4:$B$999,lookups90!$F$4:$F$999, "",0)-_xlfn.XLOOKUP(E56,lookups90!$B$4:$B$999,lookups90!$G$4:$G$999, "",0)+_xlfn.XLOOKUP(E56,lookups90!$B$4:$B$999,lookups90!$H$4:$H$999, "",0)+_xlfn.XLOOKUP(E56,lookups90!$B$4:$B$999,lookups90!$H$4:$H$999, "",0))/4+_xlfn.XLOOKUP(E56,lookups90!$B$4:$B$999,lookups90!$I$4:$I$999, "",0)),"")</f>
        <v/>
      </c>
      <c r="AM56" s="20" t="str">
        <f>IF(_xlfn.XLOOKUP(E56,lookups90!$B$4:$B$999,lookups90!$AA$4:$AA$999,"",0)=0,"",D56*_xlfn.XLOOKUP(E56,lookups90!$B$4:$B$999,lookups90!$AA$4:$AA$999,"",0))</f>
        <v/>
      </c>
      <c r="AO56" s="20" t="str">
        <f>IFERROR(IF(C56&lt;&gt;"", T56-_xlfn.XLOOKUP(E56,lookups90!$B$4:$B$999,lookups90!$AE$4:$AE$999, "",0),""),"")</f>
        <v/>
      </c>
      <c r="AP56" s="20" t="str">
        <f>IF(_xlfn.XLOOKUP(E56,lookups90!$B$4:$B$999,lookups90!$AG$4:$AG$999,"",0)=0,"",D56*_xlfn.XLOOKUP(E56,lookups90!$B$4:$B$999,lookups90!$AG$4:$AG$999,"",0))</f>
        <v/>
      </c>
      <c r="AQ56" s="20" t="str">
        <f>IF(V56&lt;&gt;"", T56-_xlfn.XLOOKUP(E56,lookups90!$B$4:$B$999,lookups90!$AE$4:$AE$999, "",0)+_xlfn.XLOOKUP(E56,lookups90!$B$4:$B$999,lookups90!$AF$4:$AF$999, "",0),"")</f>
        <v/>
      </c>
      <c r="AR56" s="20" t="str">
        <f>IFERROR(IF(_xlfn.XLOOKUP(E56,lookups90!$B$4:$B$999,lookups90!$AH$4:$AH$999,"",0)=0,"",D56*_xlfn.XLOOKUP(E56,lookups90!$B$4:$B$999,lookups90!$AH$4:$AH$999,"",0)),"")</f>
        <v/>
      </c>
      <c r="AT56" s="20" t="str">
        <f>IF(OR(E56="Fix Slide Slide Fix Window", E56="Fix Slide Slide Fix Door", E56="Fix Slide Slide Fix Door - with Screen", E56="Fix Slide Slide Door"), T56-_xlfn.XLOOKUP(E56,lookups90!$B$4:$B$999,lookups90!$AE$4:$AE$999,"",0),"")</f>
        <v/>
      </c>
      <c r="AU56" s="20" t="str">
        <f>IFERROR(IF(_xlfn.XLOOKUP(E56,lookups90!$B$4:$B$999,lookups90!$AL$4:$AL$999,"",0)=0,"",D56*_xlfn.XLOOKUP(E56,lookups90!$B$4:$B$999,lookups90!$AL$4:$AL$999,"",0)),"")</f>
        <v/>
      </c>
      <c r="AW56" s="20" t="str">
        <f>IF(C56&lt;&gt;"", T56-_xlfn.XLOOKUP(E56,lookups90!$B$4:$B$999,lookups90!$AP$4:$AP$999,"",0),"")</f>
        <v/>
      </c>
      <c r="AX56" s="20" t="str">
        <f>IFERROR(IF(_xlfn.XLOOKUP(E56,lookups90!$B$4:$B$999,lookups90!$AR$4:$AR$999,"",0)=0,"",D56*_xlfn.XLOOKUP(E56,lookups90!$B$4:$B$999,lookups90!$AR$4:$AR$999,"",0)),"")</f>
        <v/>
      </c>
      <c r="AY56" s="24" t="str">
        <f>IF(V56&lt;&gt;"", V56-_xlfn.XLOOKUP(E56,lookups90!$B$4:$B$999,lookups90!$AP$4:$AP$999,"",0),"")</f>
        <v/>
      </c>
      <c r="AZ56" s="20" t="str">
        <f>IFERROR(IF(_xlfn.XLOOKUP(E56,lookups90!$B$4:$B$999,lookups90!$AS$4:$AS$999,"",0)=0,"",D56*_xlfn.XLOOKUP(E56,lookups90!$B$4:$B$999,lookups90!$AS$4:$AS$999,"",0)),"")</f>
        <v/>
      </c>
      <c r="BA56" s="20" t="str">
        <f>IF(X56&lt;&gt;"", X56-_xlfn.XLOOKUP(E56,lookups90!$B$4:$B$999,lookups90!$AQ$4:$AQ$999,"",0),"")</f>
        <v/>
      </c>
      <c r="BB56" s="20" t="str">
        <f>IFERROR(IF(_xlfn.XLOOKUP(E56,lookups90!$B$4:$B$999,lookups90!$AT$4:$AT$999,"",0)=0,"",D56*_xlfn.XLOOKUP(E56,lookups90!$B$4:$B$999,lookups90!$AT$4:$AT$999,"",0)),"")</f>
        <v/>
      </c>
      <c r="BD56" s="20" t="str">
        <f>IF(C56&lt;&gt;"", N56-_xlfn.XLOOKUP(E56,lookups90!$B$4:$B$999,lookups90!$AX$4:$AX$999,"",0)+M56,"")</f>
        <v/>
      </c>
      <c r="BE56" s="20" t="str">
        <f>IFERROR(IF(_xlfn.XLOOKUP(E56,lookups90!$B$4:$B$999,lookups90!$AY$4:$AY$999,"",0)=0,"",D56*_xlfn.XLOOKUP(E56,lookups90!$B$4:$B$999,lookups90!$AY$4:$AY$999,"",0)),"")</f>
        <v/>
      </c>
      <c r="BF56" s="20" t="str">
        <f>IF(C56&lt;&gt;"", P56-_xlfn.XLOOKUP(E56,lookups90!$B$4:$B$999,lookups90!$AX$4:$AX$999,"",0)+M56,"")</f>
        <v/>
      </c>
      <c r="BG56" s="20" t="str">
        <f>IFERROR(IF(_xlfn.XLOOKUP(E56,lookups90!$B$4:$B$999,lookups90!$AZ$4:$AZ$999,"",0)=0,"",D56*_xlfn.XLOOKUP(E56,lookups90!$B$4:$B$999,lookups90!$AZ$4:$AZ$999,"",0)),"")</f>
        <v/>
      </c>
      <c r="BI56" s="20" t="str">
        <f>IF(C56&lt;&gt;"", T56-_xlfn.XLOOKUP(E56,lookups90!$B$4:$B$999,lookups90!$BA$4:$BA$999,"",0),"")</f>
        <v/>
      </c>
      <c r="BJ56" s="20" t="str">
        <f>IFERROR(IF(_xlfn.XLOOKUP(E56,lookups90!$B$4:$B$999,lookups90!$BB$4:$BB$999,"",0)=0,"",D56*_xlfn.XLOOKUP(E56,lookups90!$B$4:$B$999,lookups90!$BB$4:$BB$999,"",0)),"")</f>
        <v/>
      </c>
      <c r="BK56" s="20" t="str">
        <f>IF(V56&lt;&gt;"", V56-_xlfn.XLOOKUP(E56,lookups90!$B$4:$B$999,lookups90!$BA$4:$BA$999,"",0),"")</f>
        <v/>
      </c>
      <c r="BL56" s="20" t="str">
        <f>IFERROR(IF(_xlfn.XLOOKUP(E56,lookups90!$B$4:$B$999,lookups90!$BC$4:$BC$999,"",0)=0,"",D56*_xlfn.XLOOKUP(E56,lookups90!$B$4:$B$999,lookups90!$BC$4:$BC$999,"",0)),"")</f>
        <v/>
      </c>
      <c r="BM56" s="20" t="str">
        <f>IF(C56&lt;&gt;"", X56-_xlfn.XLOOKUP(E56,lookups90!$B$4:$B$999,lookups90!$BA$4:$BA$999,"",0),"")</f>
        <v/>
      </c>
      <c r="BN56" s="20" t="str">
        <f>IFERROR(IF(_xlfn.XLOOKUP(E56,lookups90!$B$4:$B$999,lookups90!$BD$4:$BD$999,"",0)=0,"",D56*_xlfn.XLOOKUP(E56,lookups90!$B$4:$B$999,lookups90!$BD$4:$BD$999,"",0)),"")</f>
        <v/>
      </c>
      <c r="BP56" s="20" t="str">
        <f>IF(AB56&lt;&gt;"", AB56-_xlfn.XLOOKUP(E56,lookups90!$B$4:$B$999,lookups90!$BE$4:$BE$999,"",0),"")</f>
        <v/>
      </c>
      <c r="BQ56" s="20" t="str">
        <f>IFERROR(IF(_xlfn.XLOOKUP(E56,lookups90!$B$4:$B$999,lookups90!$BF$4:$BF$999,"",0)=0,"",D56*_xlfn.XLOOKUP(E56,lookups90!$B$4:$B$999,lookups90!$BF$4:$BF$999,"",0)),"")</f>
        <v/>
      </c>
      <c r="BR56" s="20" t="str" cm="1">
        <f t="array" ref="BR56">_xlfn.IFS(BP56="","",OR(E56="Fix Slide Door - with Screen",E56="Slide Slide Door - with Screen"),(K56-_xlfn.XLOOKUP(E56,lookups90!$B$4:$B$999,lookups90!$F$4:$F$999,"",0)-_xlfn.XLOOKUP(E56,lookups90!$B$4:$B$999,lookups90!$G$4:$G$999,"",0)+_xlfn.XLOOKUP(E56,lookups90!$B$4:$B$999,lookups90!$H$4:$H$999,"",0))/2+_xlfn.XLOOKUP(E56,lookups90!$B$4:$B$999,lookups90!$I$4:$I$999,"",0)-_xlfn.XLOOKUP(E56,lookups90!$B$4:$B$999,lookups90!$BE$4:$BE$999,"",0), E56="Fix Slide Slide Fix Door - with Screen",(K56-_xlfn.XLOOKUP(E56,lookups90!$B$4:$B$999,lookups90!$F$4:$F$999,"",0)-_xlfn.XLOOKUP(E56,lookups90!$B$4:$B$999,lookups90!$G$4:$G$999,"",0)+_xlfn.XLOOKUP(E56,lookups90!$B$4:$B$999,lookups90!$H$4:$H$999,"",0)+_xlfn.XLOOKUP(E56,lookups90!$B$4:$B$999,lookups90!$H$4:$H$999,"",0))/4+_xlfn.XLOOKUP(E56,lookups90!$B$4:$B$999,lookups90!$I$4:$I$999,"",0)-_xlfn.XLOOKUP(E56,lookups90!$B$4:$B$999,lookups90!$BE$4:$BE$999,"",0))</f>
        <v/>
      </c>
      <c r="BS56" s="20" t="str">
        <f>IFERROR(IF(_xlfn.XLOOKUP(E56,lookups90!$B$4:$B$999,lookups90!$BG$4:$BG$999,"",0)=0,"",D56*_xlfn.XLOOKUP(E56,lookups90!$B$4:$B$999,lookups90!$BG$4:$BG$999,"",0)),"")</f>
        <v/>
      </c>
      <c r="BU56" s="20" t="str">
        <f>IF(AG56&lt;&gt;"",AG56-_xlfn.XLOOKUP(E56,lookups90!$B$4:$B$999,lookups90!$BA$4:$BA$999,"",0),"")</f>
        <v/>
      </c>
      <c r="BV56" s="20" t="str">
        <f>IFERROR(IF(_xlfn.XLOOKUP(E56,lookups90!$B$4:$B$999,lookups90!$BH$4:$BH$999,"",0)=0,"",D56*_xlfn.XLOOKUP(E56,lookups90!$B$4:$B$999,lookups90!$BH$4:$BH$999,"",0)),"")</f>
        <v/>
      </c>
      <c r="BW56" s="20" t="str" cm="1">
        <f t="array" ref="BW56">_xlfn.IFS(BU56="","",OR(E56="Fix Slide Window",E56="Slide Slide Window"),(K56-_xlfn.XLOOKUP(E56,lookups90!$B$4:$B$999,lookups90!$F$4:$F$999,"",0)-_xlfn.XLOOKUP(E56,lookups90!$B$4:$B$999,lookups90!$G$4:$G$999,"",0)+_xlfn.XLOOKUP(E56,lookups90!$B$4:$B$999,lookups90!$H$4:$H$999,"",0))/2+_xlfn.XLOOKUP(E56,lookups90!$B$4:$B$999,lookups90!$I$4:$I$999,"",0)-_xlfn.XLOOKUP(E56,lookups90!$B$4:$B$999,lookups90!$BA$4:$BA$999,"",0), E56="Fix Slide Slide Fix Window",(K56-_xlfn.XLOOKUP(E56,lookups90!$B$4:$B$999,lookups90!$F$4:$F$999,"",0)-_xlfn.XLOOKUP(E56,lookups90!$B$4:$B$999,lookups90!$G$4:$G$999,"",0)+_xlfn.XLOOKUP(E56,lookups90!$B$4:$B$999,lookups90!$H$4:$H$999,"",0)+_xlfn.XLOOKUP(E56,lookups90!$B$4:$B$999,lookups90!$H$4:$H$999,"",0))/4+_xlfn.XLOOKUP(E56,lookups90!$B$4:$B$999,lookups90!$I$4:$I$999,"",0)-_xlfn.XLOOKUP(E56,lookups90!$B$4:$B$999,lookups90!$BA$4:$BA$999,"",0))</f>
        <v/>
      </c>
      <c r="BX56" s="20" t="str">
        <f>IFERROR(IF(_xlfn.XLOOKUP(E56,lookups90!$B$4:$B$999,lookups90!$BI$4:$BI$999,"",0)=0,"",D56*_xlfn.XLOOKUP(E56,lookups90!$B$4:$B$999,lookups90!$BI$4:$BI$999,"",0)),"")</f>
        <v/>
      </c>
      <c r="BZ56" s="20" t="str">
        <f>IF(AL56&lt;&gt;"", AL56-_xlfn.XLOOKUP(E56,lookups90!$B$4:$B$999,lookups90!$BJ$4:$BJ$999,"",0),"")</f>
        <v/>
      </c>
      <c r="CA56" s="20" t="str">
        <f>IFERROR(IF(_xlfn.XLOOKUP(E56,lookups90!$B$4:$B$999,lookups90!$BK$4:$BK$999,"",0)=0,"",D56*_xlfn.XLOOKUP(E56,lookups90!$B$4:$B$999,lookups90!$BK$4:$BK$999,"",0)),"")</f>
        <v/>
      </c>
      <c r="CC56" s="20" t="str">
        <f>IF(C56&lt;&gt;"", T56-_xlfn.XLOOKUP(E56,lookups90!$B$4:$B$999,lookups90!$BO$4:$BO$999,"",0)-_xlfn.XLOOKUP(E56,lookups90!$B$4:$B$999,lookups90!$BP$4:$BP$999,"",0),"")</f>
        <v/>
      </c>
      <c r="CD56" s="20" t="str">
        <f>IF(C56&lt;&gt;"", X56-_xlfn.XLOOKUP(E56,lookups90!$B$4:$B$999,lookups90!$BQ$4:$BQ$999,"",0)-_xlfn.XLOOKUP(E56,lookups90!$B$4:$B$999,lookups90!$BR$4:$BR$999,"",0),"")</f>
        <v/>
      </c>
      <c r="CE56" s="20" t="str">
        <f>IFERROR(IF(_xlfn.XLOOKUP(E56,lookups90!$B$4:$B$999,lookups90!$BS$4:$BS$999,"",0)=0,"",D56*_xlfn.XLOOKUP(E56,lookups90!$B$4:$B$999,lookups90!$BS$4:$BS$999,"",0)),"")</f>
        <v/>
      </c>
      <c r="CF56" s="20" t="str">
        <f>IF(V56&lt;&gt;"", V56-_xlfn.XLOOKUP(E56,lookups90!$B$4:$B$999,lookups90!$BO$4:$BO$999,"",0)-_xlfn.XLOOKUP(E56,lookups90!$B$4:$B$999,lookups90!$BP$4:$BP$999,"",0),"")</f>
        <v/>
      </c>
      <c r="CG56" s="20" t="str">
        <f>IF(CF56&lt;&gt;"", X56-_xlfn.XLOOKUP(E56,lookups90!$B$4:$B$999,lookups90!$BQ$4:$BQ$999,"",0)-_xlfn.XLOOKUP(E56,lookups90!$B$4:$B$999,lookups90!$BR$4:$BR$999,"",0),"")</f>
        <v/>
      </c>
      <c r="CH56" s="20" t="str">
        <f>IFERROR(IF(_xlfn.XLOOKUP(E56,lookups90!$B$4:$B$999,lookups90!$BT$4:$BT$999,"",0)=0,"",D56*_xlfn.XLOOKUP(E56,lookups90!$B$4:$B$999,lookups90!$BT$4:$BT$999,"",0)),"")</f>
        <v/>
      </c>
      <c r="CJ56" s="22" t="str">
        <f t="shared" si="5"/>
        <v/>
      </c>
      <c r="CL56" s="22" t="str" cm="1">
        <f t="array" ref="CL56">IF(D56&lt;&gt;"",((((J56+K56)*2)/500)+(2*_xlfn.IFS(OR(E56="Fix Slide Window", E56="Slide Slide Window", E56="Fix Slide Slide Fix Window"), 2, E56="Slide Slide Door - with Screen", 8, E56&lt;&gt;"",4)))*D56,"")</f>
        <v/>
      </c>
      <c r="CM56" s="22" t="str">
        <f t="shared" si="9"/>
        <v/>
      </c>
      <c r="CN56" s="22" t="str">
        <f t="shared" si="10"/>
        <v/>
      </c>
      <c r="CO56" s="22" t="str">
        <f t="shared" si="8"/>
        <v/>
      </c>
      <c r="CP56" s="22" t="str">
        <f t="shared" si="11"/>
        <v/>
      </c>
    </row>
    <row r="57" spans="3:94" ht="13.5" customHeight="1" x14ac:dyDescent="0.25">
      <c r="C57" s="16"/>
      <c r="D57" s="16"/>
      <c r="E57" s="16"/>
      <c r="F57" s="16"/>
      <c r="G57" s="16"/>
      <c r="H57" s="16"/>
      <c r="I57" s="16"/>
      <c r="J57" s="16"/>
      <c r="K57" s="16"/>
      <c r="M57" s="20" t="str">
        <f t="shared" si="1"/>
        <v/>
      </c>
      <c r="N57" s="20" t="str" cm="1">
        <f t="array" ref="N57">IFERROR(_xlfn.IFS(OR(E57="Fix Awning (Vertical)", E57="Fix Awning (Horizontal)"), J57/2+20,C57&lt;&gt;"", J57+M57),"")</f>
        <v/>
      </c>
      <c r="O57" s="20" t="str">
        <f t="shared" si="2"/>
        <v/>
      </c>
      <c r="P57" s="20" t="str">
        <f t="shared" si="3"/>
        <v/>
      </c>
      <c r="Q57" s="20" t="str">
        <f t="shared" si="4"/>
        <v/>
      </c>
      <c r="S57" s="20" t="str">
        <f>IF(C57&lt;&gt;"", _xlfn.XLOOKUP(E57,lookups90!$B$4:$B$999,lookups90!$C$4:$C$999,"",0),"")</f>
        <v/>
      </c>
      <c r="T57" s="20" t="str">
        <f>IF(C57&lt;&gt;"", J57-_xlfn.XLOOKUP(E57,lookups90!$B$4:$B$999,lookups90!$D$4:$D$999, "",0),"")</f>
        <v/>
      </c>
      <c r="U57" s="20" t="str">
        <f>IF(T57&lt;&gt;"",D57*_xlfn.XLOOKUP(E57,lookups90!$B$4:$B$999,lookups90!$J$4:$J$999, "",0),"")</f>
        <v/>
      </c>
      <c r="V57" s="20" t="str">
        <f>IF(AND(C57&lt;&gt;"", E57&lt;&gt;"Slide Slide Window", E57&lt;&gt;"Slide Slide Door", E57&lt;&gt;"Slide Slide Door - with Screen"), J57-_xlfn.XLOOKUP(E57,lookups90!$B$4:$B$999,lookups90!$E$4:$E$999, "",0),"")</f>
        <v/>
      </c>
      <c r="W57" s="20" t="str">
        <f>IF(V57&lt;&gt;"",D57*_xlfn.XLOOKUP(E57,lookups90!$B$4:$B$999,lookups90!$K$4:$K$999, "",0),"")</f>
        <v/>
      </c>
      <c r="X57" s="20" t="str" cm="1">
        <f t="array" ref="X57">IFERROR(_xlfn.IFS(OR(E57="Fix Slide Window", E57="Slide Slide Window", E57="Fix Slide Door", E57="Slide Slide Door", E57="Fix Slide Door - with Screen", E57="Slide Slide Door - with Screen"), (K57-_xlfn.XLOOKUP(E57,lookups90!$B$4:$B$999,lookups90!$F$4:$F$999, "",0)-_xlfn.XLOOKUP(E57,lookups90!$B$4:$B$999,lookups90!$G$4:$G$999, "",0)+_xlfn.XLOOKUP(E57,lookups90!$B$4:$B$999,lookups90!$H$4:$H$999, "",0))/2+_xlfn.XLOOKUP(E57,lookups90!$B$4:$B$999,lookups90!$I$4:$I$999, "",0), OR(E57="Fix Slide Slide Fix Window", E57="Fix Slide Slide Fix Door - with Screen", E57="Fix Slide Slide Fix Door"),  (K57-_xlfn.XLOOKUP(E57,lookups90!$B$4:$B$999,lookups90!$F$4:$F$999, "",0)-_xlfn.XLOOKUP(E57,lookups90!$B$4:$B$999,lookups90!$G$4:$G$999, "",0)+_xlfn.XLOOKUP(E57,lookups90!$B$4:$B$999,lookups90!$H$4:$H$999, "",0)+_xlfn.XLOOKUP(E57,lookups90!$B$4:$B$999,lookups90!$H$4:$H$999, "",0))/4+_xlfn.XLOOKUP(E57,lookups90!$B$4:$B$999,lookups90!$I$4:$I$999, "",0), E57="Fix Slide Slide Door", (K57-_xlfn.XLOOKUP(E57,lookups90!$B$4:$B$999,lookups90!$F$4:$F$999, "",0)-_xlfn.XLOOKUP(E57,lookups90!$B$4:$B$999,lookups90!$G$4:$G$999, "",0)+_xlfn.XLOOKUP(E57,lookups90!$B$4:$B$999,lookups90!$H$4:$H$999, "",0)+_xlfn.XLOOKUP(E57,lookups90!$B$4:$B$999,lookups90!$H$4:$H$999, "",0))/3+_xlfn.XLOOKUP(E57,lookups90!$B$4:$B$999,lookups90!$I$4:$I$999, "",0),E57="Fix Slide Slide Slide Slide Fix Dr",  (K57-_xlfn.XLOOKUP(E57,lookups90!$B$4:$B$999,lookups90!$F$4:$F$999, "",0)-_xlfn.XLOOKUP(E57,lookups90!$B$4:$B$999,lookups90!$G$4:$G$999, "",0)+_xlfn.XLOOKUP(E57,lookups90!$B$4:$B$999,lookups90!$H$4:$H$999, "",0)+_xlfn.XLOOKUP(E57,lookups90!$B$4:$B$999,lookups90!$H$4:$H$999, "",0)+_xlfn.XLOOKUP(E57,lookups90!$B$4:$B$999,lookups90!$H$4:$H$999, "",0)+_xlfn.XLOOKUP(E57,lookups90!$B$4:$B$999,lookups90!$H$4:$H$999, "",0))/6+_xlfn.XLOOKUP(E57,lookups90!$B$4:$B$999,lookups90!$I$4:$I$999, "",0), E57="Fix Slide Slide Slide Slide Slide Slide Fix Dr",  (K57-_xlfn.XLOOKUP(E57,lookups90!$B$4:$B$999,lookups90!$F$4:$F$999, "",0)-_xlfn.XLOOKUP(E57,lookups90!$B$4:$B$999,lookups90!$G$4:$G$999, "",0)+_xlfn.XLOOKUP(E57,lookups90!$B$4:$B$999,lookups90!$H$4:$H$999, "",0)+_xlfn.XLOOKUP(E57,lookups90!$B$4:$B$999,lookups90!$H$4:$H$999, "",0)+_xlfn.XLOOKUP(E57,lookups90!$B$4:$B$999,lookups90!$H$4:$H$999, "",0)+_xlfn.XLOOKUP(E57,lookups90!$B$4:$B$999,lookups90!$H$4:$H$999, "",0)+_xlfn.XLOOKUP(E57,lookups90!$B$4:$B$999,lookups90!$H$4:$H$999, "",0)+_xlfn.XLOOKUP(E57,lookups90!$B$4:$B$999,lookups90!$H$4:$H$999, "",0))/8+_xlfn.XLOOKUP(E57,lookups90!$B$4:$B$999,lookups90!$I$4:$I$999, "",0)),"")</f>
        <v/>
      </c>
      <c r="Y57" s="20" t="str">
        <f>IF(X57&lt;&gt;"",D57*_xlfn.XLOOKUP(E57,lookups90!$B$4:$B$999,lookups90!$L$4:$L$999, "",0),"")</f>
        <v/>
      </c>
      <c r="AA57" s="20" t="str">
        <f>IF(C57&lt;&gt;"", IF(_xlfn.XLOOKUP(E57,lookups90!$B$4:$B$999,lookups90!$P$4:$P$999,"",0)=0,"",_xlfn.XLOOKUP(E57,lookups90!$B$4:$B$999,lookups90!$P$4:$P$999,"",0)),"")</f>
        <v/>
      </c>
      <c r="AB57" s="20" t="str">
        <f>IF(AA57&lt;&gt;"", J57-_xlfn.XLOOKUP(E57,lookups90!$B$4:$B$999,lookups90!$D$4:$D$999, "",0),"")</f>
        <v/>
      </c>
      <c r="AC57" s="20" t="str">
        <f>IF(AA57&lt;&gt;"",D57*_xlfn.XLOOKUP(E57,lookups90!$B$4:$B$999,lookups90!$Q$4:$Q$999, "",0),"")</f>
        <v/>
      </c>
      <c r="AD57" s="20" t="str" cm="1">
        <f t="array" ref="AD57">IF(AA57&lt;&gt;"", _xlfn.IFS(OR(E57="Fix Slide Window", E57="Slide Slide Window", E57="Fix Slide Door", E57="Slide Slide Door", E57="Fix Slide Door - with Screen", E57="Slide Slide Door - with Screen"), (K57-_xlfn.XLOOKUP(E57,lookups90!$B$4:$B$999,lookups90!$F$4:$F$999, "",0)-_xlfn.XLOOKUP(E57,lookups90!$B$4:$B$999,lookups90!$G$4:$G$999, "",0)+_xlfn.XLOOKUP(E57,lookups90!$B$4:$B$999,lookups90!$H$4:$H$999, "",0))/2+_xlfn.XLOOKUP(E57,lookups90!$B$4:$B$999,lookups90!$I$4:$I$999, "",0), OR(E57="Fix Slide Slide Fix Window", E57="Fix Slide Slide Fix Door - with Screen", E57="Fix Slide Slide Fix Door"),  (K57-_xlfn.XLOOKUP(E57,lookups90!$B$4:$B$999,lookups90!$F$4:$F$999, "",0)-_xlfn.XLOOKUP(E57,lookups90!$B$4:$B$999,lookups90!$G$4:$G$999, "",0)+_xlfn.XLOOKUP(E57,lookups90!$B$4:$B$999,lookups90!$H$4:$H$999, "",0)+_xlfn.XLOOKUP(E57,lookups90!$B$4:$B$999,lookups90!$H$4:$H$999, "",0))/4+_xlfn.XLOOKUP(E57,lookups90!$B$4:$B$999,lookups90!$I$4:$I$999, "",0), E57="Fix Slide Slide Door", (K57-_xlfn.XLOOKUP(E57,lookups90!$B$4:$B$999,lookups90!$F$4:$F$999, "",0)-_xlfn.XLOOKUP(E57,lookups90!$B$4:$B$999,lookups90!$G$4:$G$999, "",0)+_xlfn.XLOOKUP(E57,lookups90!$B$4:$B$999,lookups90!$H$4:$H$999, "",0)+_xlfn.XLOOKUP(E57,lookups90!$B$4:$B$999,lookups90!$H$4:$H$999, "",0))/3+_xlfn.XLOOKUP(E57,lookups90!$B$4:$B$999,lookups90!$I$4:$I$999, "",0) ),"")</f>
        <v/>
      </c>
      <c r="AE57" s="20" t="str">
        <f>IF(AA57&lt;&gt;"",D57*_xlfn.XLOOKUP(E57,lookups90!$B$4:$B$999,lookups90!$R$4:$R$999, "",0),"")</f>
        <v/>
      </c>
      <c r="AG57" s="20" t="str">
        <f>IF(AH57&lt;&gt;"", J57-_xlfn.XLOOKUP(E57,lookups90!$B$4:$B$999,lookups90!$D$4:$D$999, "",0),"")</f>
        <v/>
      </c>
      <c r="AH57" s="20" t="str">
        <f>IF(_xlfn.XLOOKUP(E57,lookups90!$B$4:$B$999,lookups90!$V$4:$V$999,"",0)=0,"",D57*_xlfn.XLOOKUP(E57,lookups90!$B$4:$B$999,lookups90!$V$4:$V$999,"",0))</f>
        <v/>
      </c>
      <c r="AI57" s="20" t="str" cm="1">
        <f t="array" ref="AI57">IF(AH57&lt;&gt;"", _xlfn.IFS(OR(E57="Fix Slide Window", E57="Slide Slide Window"), (K57-_xlfn.XLOOKUP(E57,lookups90!$B$4:$B$999,lookups90!$F$4:$F$999, "",0)-_xlfn.XLOOKUP(E57,lookups90!$B$4:$B$999,lookups90!$G$4:$G$999, "",0)+_xlfn.XLOOKUP(E57,lookups90!$B$4:$B$999,lookups90!$H$4:$H$999, "",0))/2+_xlfn.XLOOKUP(E57,lookups90!$B$4:$B$999,lookups90!$I$4:$I$999, "",0), OR(E57="Fix Slide Slide Fix Window"),  (K57-_xlfn.XLOOKUP(E57,lookups90!$B$4:$B$999,lookups90!$F$4:$F$999, "",0)+_xlfn.XLOOKUP(E57,lookups90!$B$4:$B$999,lookups90!$H$4:$H$999, "",0)+_xlfn.XLOOKUP(E57,lookups90!$B$4:$B$999,lookups90!$H$4:$H$999, "",0))/4+_xlfn.XLOOKUP(E57,lookups90!$B$4:$B$999,lookups90!$I$4:$I$999, "",0)),"")</f>
        <v/>
      </c>
      <c r="AJ57" s="20" t="str">
        <f>IF(_xlfn.XLOOKUP(E57,lookups90!$B$4:$B$999,lookups90!$V$4:$V$999,"",0)=0,"",D57*_xlfn.XLOOKUP(E57,lookups90!$B$4:$B$999,lookups90!$W$4:$W$999,"",0))</f>
        <v/>
      </c>
      <c r="AL57" s="20" t="str" cm="1">
        <f t="array" ref="AL57">IF(AM57&lt;&gt;"", _xlfn.IFS(OR(E57="Fix Slide Door - with Screen", E57="Slide Slide Door - with Screen"), (K57-_xlfn.XLOOKUP(E57,lookups90!$B$4:$B$999,lookups90!$F$4:$F$999, "",0)-_xlfn.XLOOKUP(E57,lookups90!$B$4:$B$999,lookups90!$G$4:$G$999, "",0)+_xlfn.XLOOKUP(E57,lookups90!$B$4:$B$999,lookups90!$H$4:$H$999, "",0))/2+_xlfn.XLOOKUP(E57,lookups90!$B$4:$B$999,lookups90!$I$4:$I$999, "",0), OR( E57="Fix Slide Slide Fix Door - with Screen",  E57="Fix Slide Slide Door"),  (K57-_xlfn.XLOOKUP(E57,lookups90!$B$4:$B$999,lookups90!$F$4:$F$999, "",0)-_xlfn.XLOOKUP(E57,lookups90!$B$4:$B$999,lookups90!$G$4:$G$999, "",0)+_xlfn.XLOOKUP(E57,lookups90!$B$4:$B$999,lookups90!$H$4:$H$999, "",0)+_xlfn.XLOOKUP(E57,lookups90!$B$4:$B$999,lookups90!$H$4:$H$999, "",0))/4+_xlfn.XLOOKUP(E57,lookups90!$B$4:$B$999,lookups90!$I$4:$I$999, "",0)),"")</f>
        <v/>
      </c>
      <c r="AM57" s="20" t="str">
        <f>IF(_xlfn.XLOOKUP(E57,lookups90!$B$4:$B$999,lookups90!$AA$4:$AA$999,"",0)=0,"",D57*_xlfn.XLOOKUP(E57,lookups90!$B$4:$B$999,lookups90!$AA$4:$AA$999,"",0))</f>
        <v/>
      </c>
      <c r="AO57" s="20" t="str">
        <f>IFERROR(IF(C57&lt;&gt;"", T57-_xlfn.XLOOKUP(E57,lookups90!$B$4:$B$999,lookups90!$AE$4:$AE$999, "",0),""),"")</f>
        <v/>
      </c>
      <c r="AP57" s="20" t="str">
        <f>IF(_xlfn.XLOOKUP(E57,lookups90!$B$4:$B$999,lookups90!$AG$4:$AG$999,"",0)=0,"",D57*_xlfn.XLOOKUP(E57,lookups90!$B$4:$B$999,lookups90!$AG$4:$AG$999,"",0))</f>
        <v/>
      </c>
      <c r="AQ57" s="20" t="str">
        <f>IF(V57&lt;&gt;"", T57-_xlfn.XLOOKUP(E57,lookups90!$B$4:$B$999,lookups90!$AE$4:$AE$999, "",0)+_xlfn.XLOOKUP(E57,lookups90!$B$4:$B$999,lookups90!$AF$4:$AF$999, "",0),"")</f>
        <v/>
      </c>
      <c r="AR57" s="20" t="str">
        <f>IFERROR(IF(_xlfn.XLOOKUP(E57,lookups90!$B$4:$B$999,lookups90!$AH$4:$AH$999,"",0)=0,"",D57*_xlfn.XLOOKUP(E57,lookups90!$B$4:$B$999,lookups90!$AH$4:$AH$999,"",0)),"")</f>
        <v/>
      </c>
      <c r="AT57" s="20" t="str">
        <f>IF(OR(E57="Fix Slide Slide Fix Window", E57="Fix Slide Slide Fix Door", E57="Fix Slide Slide Fix Door - with Screen", E57="Fix Slide Slide Door"), T57-_xlfn.XLOOKUP(E57,lookups90!$B$4:$B$999,lookups90!$AE$4:$AE$999,"",0),"")</f>
        <v/>
      </c>
      <c r="AU57" s="20" t="str">
        <f>IFERROR(IF(_xlfn.XLOOKUP(E57,lookups90!$B$4:$B$999,lookups90!$AL$4:$AL$999,"",0)=0,"",D57*_xlfn.XLOOKUP(E57,lookups90!$B$4:$B$999,lookups90!$AL$4:$AL$999,"",0)),"")</f>
        <v/>
      </c>
      <c r="AW57" s="20" t="str">
        <f>IF(C57&lt;&gt;"", T57-_xlfn.XLOOKUP(E57,lookups90!$B$4:$B$999,lookups90!$AP$4:$AP$999,"",0),"")</f>
        <v/>
      </c>
      <c r="AX57" s="20" t="str">
        <f>IFERROR(IF(_xlfn.XLOOKUP(E57,lookups90!$B$4:$B$999,lookups90!$AR$4:$AR$999,"",0)=0,"",D57*_xlfn.XLOOKUP(E57,lookups90!$B$4:$B$999,lookups90!$AR$4:$AR$999,"",0)),"")</f>
        <v/>
      </c>
      <c r="AY57" s="24" t="str">
        <f>IF(V57&lt;&gt;"", V57-_xlfn.XLOOKUP(E57,lookups90!$B$4:$B$999,lookups90!$AP$4:$AP$999,"",0),"")</f>
        <v/>
      </c>
      <c r="AZ57" s="20" t="str">
        <f>IFERROR(IF(_xlfn.XLOOKUP(E57,lookups90!$B$4:$B$999,lookups90!$AS$4:$AS$999,"",0)=0,"",D57*_xlfn.XLOOKUP(E57,lookups90!$B$4:$B$999,lookups90!$AS$4:$AS$999,"",0)),"")</f>
        <v/>
      </c>
      <c r="BA57" s="20" t="str">
        <f>IF(X57&lt;&gt;"", X57-_xlfn.XLOOKUP(E57,lookups90!$B$4:$B$999,lookups90!$AQ$4:$AQ$999,"",0),"")</f>
        <v/>
      </c>
      <c r="BB57" s="20" t="str">
        <f>IFERROR(IF(_xlfn.XLOOKUP(E57,lookups90!$B$4:$B$999,lookups90!$AT$4:$AT$999,"",0)=0,"",D57*_xlfn.XLOOKUP(E57,lookups90!$B$4:$B$999,lookups90!$AT$4:$AT$999,"",0)),"")</f>
        <v/>
      </c>
      <c r="BD57" s="20" t="str">
        <f>IF(C57&lt;&gt;"", N57-_xlfn.XLOOKUP(E57,lookups90!$B$4:$B$999,lookups90!$AX$4:$AX$999,"",0)+M57,"")</f>
        <v/>
      </c>
      <c r="BE57" s="20" t="str">
        <f>IFERROR(IF(_xlfn.XLOOKUP(E57,lookups90!$B$4:$B$999,lookups90!$AY$4:$AY$999,"",0)=0,"",D57*_xlfn.XLOOKUP(E57,lookups90!$B$4:$B$999,lookups90!$AY$4:$AY$999,"",0)),"")</f>
        <v/>
      </c>
      <c r="BF57" s="20" t="str">
        <f>IF(C57&lt;&gt;"", P57-_xlfn.XLOOKUP(E57,lookups90!$B$4:$B$999,lookups90!$AX$4:$AX$999,"",0)+M57,"")</f>
        <v/>
      </c>
      <c r="BG57" s="20" t="str">
        <f>IFERROR(IF(_xlfn.XLOOKUP(E57,lookups90!$B$4:$B$999,lookups90!$AZ$4:$AZ$999,"",0)=0,"",D57*_xlfn.XLOOKUP(E57,lookups90!$B$4:$B$999,lookups90!$AZ$4:$AZ$999,"",0)),"")</f>
        <v/>
      </c>
      <c r="BI57" s="20" t="str">
        <f>IF(C57&lt;&gt;"", T57-_xlfn.XLOOKUP(E57,lookups90!$B$4:$B$999,lookups90!$BA$4:$BA$999,"",0),"")</f>
        <v/>
      </c>
      <c r="BJ57" s="20" t="str">
        <f>IFERROR(IF(_xlfn.XLOOKUP(E57,lookups90!$B$4:$B$999,lookups90!$BB$4:$BB$999,"",0)=0,"",D57*_xlfn.XLOOKUP(E57,lookups90!$B$4:$B$999,lookups90!$BB$4:$BB$999,"",0)),"")</f>
        <v/>
      </c>
      <c r="BK57" s="20" t="str">
        <f>IF(V57&lt;&gt;"", V57-_xlfn.XLOOKUP(E57,lookups90!$B$4:$B$999,lookups90!$BA$4:$BA$999,"",0),"")</f>
        <v/>
      </c>
      <c r="BL57" s="20" t="str">
        <f>IFERROR(IF(_xlfn.XLOOKUP(E57,lookups90!$B$4:$B$999,lookups90!$BC$4:$BC$999,"",0)=0,"",D57*_xlfn.XLOOKUP(E57,lookups90!$B$4:$B$999,lookups90!$BC$4:$BC$999,"",0)),"")</f>
        <v/>
      </c>
      <c r="BM57" s="20" t="str">
        <f>IF(C57&lt;&gt;"", X57-_xlfn.XLOOKUP(E57,lookups90!$B$4:$B$999,lookups90!$BA$4:$BA$999,"",0),"")</f>
        <v/>
      </c>
      <c r="BN57" s="20" t="str">
        <f>IFERROR(IF(_xlfn.XLOOKUP(E57,lookups90!$B$4:$B$999,lookups90!$BD$4:$BD$999,"",0)=0,"",D57*_xlfn.XLOOKUP(E57,lookups90!$B$4:$B$999,lookups90!$BD$4:$BD$999,"",0)),"")</f>
        <v/>
      </c>
      <c r="BP57" s="20" t="str">
        <f>IF(AB57&lt;&gt;"", AB57-_xlfn.XLOOKUP(E57,lookups90!$B$4:$B$999,lookups90!$BE$4:$BE$999,"",0),"")</f>
        <v/>
      </c>
      <c r="BQ57" s="20" t="str">
        <f>IFERROR(IF(_xlfn.XLOOKUP(E57,lookups90!$B$4:$B$999,lookups90!$BF$4:$BF$999,"",0)=0,"",D57*_xlfn.XLOOKUP(E57,lookups90!$B$4:$B$999,lookups90!$BF$4:$BF$999,"",0)),"")</f>
        <v/>
      </c>
      <c r="BR57" s="20" t="str" cm="1">
        <f t="array" ref="BR57">_xlfn.IFS(BP57="","",OR(E57="Fix Slide Door - with Screen",E57="Slide Slide Door - with Screen"),(K57-_xlfn.XLOOKUP(E57,lookups90!$B$4:$B$999,lookups90!$F$4:$F$999,"",0)-_xlfn.XLOOKUP(E57,lookups90!$B$4:$B$999,lookups90!$G$4:$G$999,"",0)+_xlfn.XLOOKUP(E57,lookups90!$B$4:$B$999,lookups90!$H$4:$H$999,"",0))/2+_xlfn.XLOOKUP(E57,lookups90!$B$4:$B$999,lookups90!$I$4:$I$999,"",0)-_xlfn.XLOOKUP(E57,lookups90!$B$4:$B$999,lookups90!$BE$4:$BE$999,"",0), E57="Fix Slide Slide Fix Door - with Screen",(K57-_xlfn.XLOOKUP(E57,lookups90!$B$4:$B$999,lookups90!$F$4:$F$999,"",0)-_xlfn.XLOOKUP(E57,lookups90!$B$4:$B$999,lookups90!$G$4:$G$999,"",0)+_xlfn.XLOOKUP(E57,lookups90!$B$4:$B$999,lookups90!$H$4:$H$999,"",0)+_xlfn.XLOOKUP(E57,lookups90!$B$4:$B$999,lookups90!$H$4:$H$999,"",0))/4+_xlfn.XLOOKUP(E57,lookups90!$B$4:$B$999,lookups90!$I$4:$I$999,"",0)-_xlfn.XLOOKUP(E57,lookups90!$B$4:$B$999,lookups90!$BE$4:$BE$999,"",0))</f>
        <v/>
      </c>
      <c r="BS57" s="20" t="str">
        <f>IFERROR(IF(_xlfn.XLOOKUP(E57,lookups90!$B$4:$B$999,lookups90!$BG$4:$BG$999,"",0)=0,"",D57*_xlfn.XLOOKUP(E57,lookups90!$B$4:$B$999,lookups90!$BG$4:$BG$999,"",0)),"")</f>
        <v/>
      </c>
      <c r="BU57" s="20" t="str">
        <f>IF(AG57&lt;&gt;"",AG57-_xlfn.XLOOKUP(E57,lookups90!$B$4:$B$999,lookups90!$BA$4:$BA$999,"",0),"")</f>
        <v/>
      </c>
      <c r="BV57" s="20" t="str">
        <f>IFERROR(IF(_xlfn.XLOOKUP(E57,lookups90!$B$4:$B$999,lookups90!$BH$4:$BH$999,"",0)=0,"",D57*_xlfn.XLOOKUP(E57,lookups90!$B$4:$B$999,lookups90!$BH$4:$BH$999,"",0)),"")</f>
        <v/>
      </c>
      <c r="BW57" s="20" t="str" cm="1">
        <f t="array" ref="BW57">_xlfn.IFS(BU57="","",OR(E57="Fix Slide Window",E57="Slide Slide Window"),(K57-_xlfn.XLOOKUP(E57,lookups90!$B$4:$B$999,lookups90!$F$4:$F$999,"",0)-_xlfn.XLOOKUP(E57,lookups90!$B$4:$B$999,lookups90!$G$4:$G$999,"",0)+_xlfn.XLOOKUP(E57,lookups90!$B$4:$B$999,lookups90!$H$4:$H$999,"",0))/2+_xlfn.XLOOKUP(E57,lookups90!$B$4:$B$999,lookups90!$I$4:$I$999,"",0)-_xlfn.XLOOKUP(E57,lookups90!$B$4:$B$999,lookups90!$BA$4:$BA$999,"",0), E57="Fix Slide Slide Fix Window",(K57-_xlfn.XLOOKUP(E57,lookups90!$B$4:$B$999,lookups90!$F$4:$F$999,"",0)-_xlfn.XLOOKUP(E57,lookups90!$B$4:$B$999,lookups90!$G$4:$G$999,"",0)+_xlfn.XLOOKUP(E57,lookups90!$B$4:$B$999,lookups90!$H$4:$H$999,"",0)+_xlfn.XLOOKUP(E57,lookups90!$B$4:$B$999,lookups90!$H$4:$H$999,"",0))/4+_xlfn.XLOOKUP(E57,lookups90!$B$4:$B$999,lookups90!$I$4:$I$999,"",0)-_xlfn.XLOOKUP(E57,lookups90!$B$4:$B$999,lookups90!$BA$4:$BA$999,"",0))</f>
        <v/>
      </c>
      <c r="BX57" s="20" t="str">
        <f>IFERROR(IF(_xlfn.XLOOKUP(E57,lookups90!$B$4:$B$999,lookups90!$BI$4:$BI$999,"",0)=0,"",D57*_xlfn.XLOOKUP(E57,lookups90!$B$4:$B$999,lookups90!$BI$4:$BI$999,"",0)),"")</f>
        <v/>
      </c>
      <c r="BZ57" s="20" t="str">
        <f>IF(AL57&lt;&gt;"", AL57-_xlfn.XLOOKUP(E57,lookups90!$B$4:$B$999,lookups90!$BJ$4:$BJ$999,"",0),"")</f>
        <v/>
      </c>
      <c r="CA57" s="20" t="str">
        <f>IFERROR(IF(_xlfn.XLOOKUP(E57,lookups90!$B$4:$B$999,lookups90!$BK$4:$BK$999,"",0)=0,"",D57*_xlfn.XLOOKUP(E57,lookups90!$B$4:$B$999,lookups90!$BK$4:$BK$999,"",0)),"")</f>
        <v/>
      </c>
      <c r="CC57" s="20" t="str">
        <f>IF(C57&lt;&gt;"", T57-_xlfn.XLOOKUP(E57,lookups90!$B$4:$B$999,lookups90!$BO$4:$BO$999,"",0)-_xlfn.XLOOKUP(E57,lookups90!$B$4:$B$999,lookups90!$BP$4:$BP$999,"",0),"")</f>
        <v/>
      </c>
      <c r="CD57" s="20" t="str">
        <f>IF(C57&lt;&gt;"", X57-_xlfn.XLOOKUP(E57,lookups90!$B$4:$B$999,lookups90!$BQ$4:$BQ$999,"",0)-_xlfn.XLOOKUP(E57,lookups90!$B$4:$B$999,lookups90!$BR$4:$BR$999,"",0),"")</f>
        <v/>
      </c>
      <c r="CE57" s="20" t="str">
        <f>IFERROR(IF(_xlfn.XLOOKUP(E57,lookups90!$B$4:$B$999,lookups90!$BS$4:$BS$999,"",0)=0,"",D57*_xlfn.XLOOKUP(E57,lookups90!$B$4:$B$999,lookups90!$BS$4:$BS$999,"",0)),"")</f>
        <v/>
      </c>
      <c r="CF57" s="20" t="str">
        <f>IF(V57&lt;&gt;"", V57-_xlfn.XLOOKUP(E57,lookups90!$B$4:$B$999,lookups90!$BO$4:$BO$999,"",0)-_xlfn.XLOOKUP(E57,lookups90!$B$4:$B$999,lookups90!$BP$4:$BP$999,"",0),"")</f>
        <v/>
      </c>
      <c r="CG57" s="20" t="str">
        <f>IF(CF57&lt;&gt;"", X57-_xlfn.XLOOKUP(E57,lookups90!$B$4:$B$999,lookups90!$BQ$4:$BQ$999,"",0)-_xlfn.XLOOKUP(E57,lookups90!$B$4:$B$999,lookups90!$BR$4:$BR$999,"",0),"")</f>
        <v/>
      </c>
      <c r="CH57" s="20" t="str">
        <f>IFERROR(IF(_xlfn.XLOOKUP(E57,lookups90!$B$4:$B$999,lookups90!$BT$4:$BT$999,"",0)=0,"",D57*_xlfn.XLOOKUP(E57,lookups90!$B$4:$B$999,lookups90!$BT$4:$BT$999,"",0)),"")</f>
        <v/>
      </c>
      <c r="CJ57" s="22" t="str">
        <f t="shared" si="5"/>
        <v/>
      </c>
      <c r="CL57" s="22" t="str" cm="1">
        <f t="array" ref="CL57">IF(D57&lt;&gt;"",((((J57+K57)*2)/500)+(2*_xlfn.IFS(OR(E57="Fix Slide Window", E57="Slide Slide Window", E57="Fix Slide Slide Fix Window"), 2, E57="Slide Slide Door - with Screen", 8, E57&lt;&gt;"",4)))*D57,"")</f>
        <v/>
      </c>
      <c r="CM57" s="22" t="str">
        <f t="shared" si="9"/>
        <v/>
      </c>
      <c r="CN57" s="22" t="str">
        <f t="shared" si="10"/>
        <v/>
      </c>
      <c r="CO57" s="22" t="str">
        <f t="shared" si="8"/>
        <v/>
      </c>
      <c r="CP57" s="22" t="str">
        <f t="shared" si="11"/>
        <v/>
      </c>
    </row>
    <row r="58" spans="3:94" ht="13.5" customHeight="1" x14ac:dyDescent="0.25">
      <c r="C58" s="16"/>
      <c r="D58" s="16"/>
      <c r="E58" s="16"/>
      <c r="F58" s="16"/>
      <c r="G58" s="16"/>
      <c r="H58" s="16"/>
      <c r="I58" s="16"/>
      <c r="J58" s="16"/>
      <c r="K58" s="16"/>
      <c r="M58" s="20" t="str">
        <f t="shared" si="1"/>
        <v/>
      </c>
      <c r="N58" s="20" t="str" cm="1">
        <f t="array" ref="N58">IFERROR(_xlfn.IFS(OR(E58="Fix Awning (Vertical)", E58="Fix Awning (Horizontal)"), J58/2+20,C58&lt;&gt;"", J58+M58),"")</f>
        <v/>
      </c>
      <c r="O58" s="20" t="str">
        <f t="shared" si="2"/>
        <v/>
      </c>
      <c r="P58" s="20" t="str">
        <f t="shared" si="3"/>
        <v/>
      </c>
      <c r="Q58" s="20" t="str">
        <f t="shared" si="4"/>
        <v/>
      </c>
      <c r="S58" s="20" t="str">
        <f>IF(C58&lt;&gt;"", _xlfn.XLOOKUP(E58,lookups90!$B$4:$B$999,lookups90!$C$4:$C$999,"",0),"")</f>
        <v/>
      </c>
      <c r="T58" s="20" t="str">
        <f>IF(C58&lt;&gt;"", J58-_xlfn.XLOOKUP(E58,lookups90!$B$4:$B$999,lookups90!$D$4:$D$999, "",0),"")</f>
        <v/>
      </c>
      <c r="U58" s="20" t="str">
        <f>IF(T58&lt;&gt;"",D58*_xlfn.XLOOKUP(E58,lookups90!$B$4:$B$999,lookups90!$J$4:$J$999, "",0),"")</f>
        <v/>
      </c>
      <c r="V58" s="20" t="str">
        <f>IF(AND(C58&lt;&gt;"", E58&lt;&gt;"Slide Slide Window", E58&lt;&gt;"Slide Slide Door", E58&lt;&gt;"Slide Slide Door - with Screen"), J58-_xlfn.XLOOKUP(E58,lookups90!$B$4:$B$999,lookups90!$E$4:$E$999, "",0),"")</f>
        <v/>
      </c>
      <c r="W58" s="20" t="str">
        <f>IF(V58&lt;&gt;"",D58*_xlfn.XLOOKUP(E58,lookups90!$B$4:$B$999,lookups90!$K$4:$K$999, "",0),"")</f>
        <v/>
      </c>
      <c r="X58" s="20" t="str" cm="1">
        <f t="array" ref="X58">IFERROR(_xlfn.IFS(OR(E58="Fix Slide Window", E58="Slide Slide Window", E58="Fix Slide Door", E58="Slide Slide Door", E58="Fix Slide Door - with Screen", E58="Slide Slide Door - with Screen"), (K58-_xlfn.XLOOKUP(E58,lookups90!$B$4:$B$999,lookups90!$F$4:$F$999, "",0)-_xlfn.XLOOKUP(E58,lookups90!$B$4:$B$999,lookups90!$G$4:$G$999, "",0)+_xlfn.XLOOKUP(E58,lookups90!$B$4:$B$999,lookups90!$H$4:$H$999, "",0))/2+_xlfn.XLOOKUP(E58,lookups90!$B$4:$B$999,lookups90!$I$4:$I$999, "",0), OR(E58="Fix Slide Slide Fix Window", E58="Fix Slide Slide Fix Door - with Screen", E58="Fix Slide Slide Fix Door"),  (K58-_xlfn.XLOOKUP(E58,lookups90!$B$4:$B$999,lookups90!$F$4:$F$999, "",0)-_xlfn.XLOOKUP(E58,lookups90!$B$4:$B$999,lookups90!$G$4:$G$999, "",0)+_xlfn.XLOOKUP(E58,lookups90!$B$4:$B$999,lookups90!$H$4:$H$999, "",0)+_xlfn.XLOOKUP(E58,lookups90!$B$4:$B$999,lookups90!$H$4:$H$999, "",0))/4+_xlfn.XLOOKUP(E58,lookups90!$B$4:$B$999,lookups90!$I$4:$I$999, "",0), E58="Fix Slide Slide Door", (K58-_xlfn.XLOOKUP(E58,lookups90!$B$4:$B$999,lookups90!$F$4:$F$999, "",0)-_xlfn.XLOOKUP(E58,lookups90!$B$4:$B$999,lookups90!$G$4:$G$999, "",0)+_xlfn.XLOOKUP(E58,lookups90!$B$4:$B$999,lookups90!$H$4:$H$999, "",0)+_xlfn.XLOOKUP(E58,lookups90!$B$4:$B$999,lookups90!$H$4:$H$999, "",0))/3+_xlfn.XLOOKUP(E58,lookups90!$B$4:$B$999,lookups90!$I$4:$I$999, "",0),E58="Fix Slide Slide Slide Slide Fix Dr",  (K58-_xlfn.XLOOKUP(E58,lookups90!$B$4:$B$999,lookups90!$F$4:$F$999, "",0)-_xlfn.XLOOKUP(E58,lookups90!$B$4:$B$999,lookups90!$G$4:$G$999, "",0)+_xlfn.XLOOKUP(E58,lookups90!$B$4:$B$999,lookups90!$H$4:$H$999, "",0)+_xlfn.XLOOKUP(E58,lookups90!$B$4:$B$999,lookups90!$H$4:$H$999, "",0)+_xlfn.XLOOKUP(E58,lookups90!$B$4:$B$999,lookups90!$H$4:$H$999, "",0)+_xlfn.XLOOKUP(E58,lookups90!$B$4:$B$999,lookups90!$H$4:$H$999, "",0))/6+_xlfn.XLOOKUP(E58,lookups90!$B$4:$B$999,lookups90!$I$4:$I$999, "",0), E58="Fix Slide Slide Slide Slide Slide Slide Fix Dr",  (K58-_xlfn.XLOOKUP(E58,lookups90!$B$4:$B$999,lookups90!$F$4:$F$999, "",0)-_xlfn.XLOOKUP(E58,lookups90!$B$4:$B$999,lookups90!$G$4:$G$999, "",0)+_xlfn.XLOOKUP(E58,lookups90!$B$4:$B$999,lookups90!$H$4:$H$999, "",0)+_xlfn.XLOOKUP(E58,lookups90!$B$4:$B$999,lookups90!$H$4:$H$999, "",0)+_xlfn.XLOOKUP(E58,lookups90!$B$4:$B$999,lookups90!$H$4:$H$999, "",0)+_xlfn.XLOOKUP(E58,lookups90!$B$4:$B$999,lookups90!$H$4:$H$999, "",0)+_xlfn.XLOOKUP(E58,lookups90!$B$4:$B$999,lookups90!$H$4:$H$999, "",0)+_xlfn.XLOOKUP(E58,lookups90!$B$4:$B$999,lookups90!$H$4:$H$999, "",0))/8+_xlfn.XLOOKUP(E58,lookups90!$B$4:$B$999,lookups90!$I$4:$I$999, "",0)),"")</f>
        <v/>
      </c>
      <c r="Y58" s="20" t="str">
        <f>IF(X58&lt;&gt;"",D58*_xlfn.XLOOKUP(E58,lookups90!$B$4:$B$999,lookups90!$L$4:$L$999, "",0),"")</f>
        <v/>
      </c>
      <c r="AA58" s="20" t="str">
        <f>IF(C58&lt;&gt;"", IF(_xlfn.XLOOKUP(E58,lookups90!$B$4:$B$999,lookups90!$P$4:$P$999,"",0)=0,"",_xlfn.XLOOKUP(E58,lookups90!$B$4:$B$999,lookups90!$P$4:$P$999,"",0)),"")</f>
        <v/>
      </c>
      <c r="AB58" s="20" t="str">
        <f>IF(AA58&lt;&gt;"", J58-_xlfn.XLOOKUP(E58,lookups90!$B$4:$B$999,lookups90!$D$4:$D$999, "",0),"")</f>
        <v/>
      </c>
      <c r="AC58" s="20" t="str">
        <f>IF(AA58&lt;&gt;"",D58*_xlfn.XLOOKUP(E58,lookups90!$B$4:$B$999,lookups90!$Q$4:$Q$999, "",0),"")</f>
        <v/>
      </c>
      <c r="AD58" s="20" t="str" cm="1">
        <f t="array" ref="AD58">IF(AA58&lt;&gt;"", _xlfn.IFS(OR(E58="Fix Slide Window", E58="Slide Slide Window", E58="Fix Slide Door", E58="Slide Slide Door", E58="Fix Slide Door - with Screen", E58="Slide Slide Door - with Screen"), (K58-_xlfn.XLOOKUP(E58,lookups90!$B$4:$B$999,lookups90!$F$4:$F$999, "",0)-_xlfn.XLOOKUP(E58,lookups90!$B$4:$B$999,lookups90!$G$4:$G$999, "",0)+_xlfn.XLOOKUP(E58,lookups90!$B$4:$B$999,lookups90!$H$4:$H$999, "",0))/2+_xlfn.XLOOKUP(E58,lookups90!$B$4:$B$999,lookups90!$I$4:$I$999, "",0), OR(E58="Fix Slide Slide Fix Window", E58="Fix Slide Slide Fix Door - with Screen", E58="Fix Slide Slide Fix Door"),  (K58-_xlfn.XLOOKUP(E58,lookups90!$B$4:$B$999,lookups90!$F$4:$F$999, "",0)-_xlfn.XLOOKUP(E58,lookups90!$B$4:$B$999,lookups90!$G$4:$G$999, "",0)+_xlfn.XLOOKUP(E58,lookups90!$B$4:$B$999,lookups90!$H$4:$H$999, "",0)+_xlfn.XLOOKUP(E58,lookups90!$B$4:$B$999,lookups90!$H$4:$H$999, "",0))/4+_xlfn.XLOOKUP(E58,lookups90!$B$4:$B$999,lookups90!$I$4:$I$999, "",0), E58="Fix Slide Slide Door", (K58-_xlfn.XLOOKUP(E58,lookups90!$B$4:$B$999,lookups90!$F$4:$F$999, "",0)-_xlfn.XLOOKUP(E58,lookups90!$B$4:$B$999,lookups90!$G$4:$G$999, "",0)+_xlfn.XLOOKUP(E58,lookups90!$B$4:$B$999,lookups90!$H$4:$H$999, "",0)+_xlfn.XLOOKUP(E58,lookups90!$B$4:$B$999,lookups90!$H$4:$H$999, "",0))/3+_xlfn.XLOOKUP(E58,lookups90!$B$4:$B$999,lookups90!$I$4:$I$999, "",0) ),"")</f>
        <v/>
      </c>
      <c r="AE58" s="20" t="str">
        <f>IF(AA58&lt;&gt;"",D58*_xlfn.XLOOKUP(E58,lookups90!$B$4:$B$999,lookups90!$R$4:$R$999, "",0),"")</f>
        <v/>
      </c>
      <c r="AG58" s="20" t="str">
        <f>IF(AH58&lt;&gt;"", J58-_xlfn.XLOOKUP(E58,lookups90!$B$4:$B$999,lookups90!$D$4:$D$999, "",0),"")</f>
        <v/>
      </c>
      <c r="AH58" s="20" t="str">
        <f>IF(_xlfn.XLOOKUP(E58,lookups90!$B$4:$B$999,lookups90!$V$4:$V$999,"",0)=0,"",D58*_xlfn.XLOOKUP(E58,lookups90!$B$4:$B$999,lookups90!$V$4:$V$999,"",0))</f>
        <v/>
      </c>
      <c r="AI58" s="20" t="str" cm="1">
        <f t="array" ref="AI58">IF(AH58&lt;&gt;"", _xlfn.IFS(OR(E58="Fix Slide Window", E58="Slide Slide Window"), (K58-_xlfn.XLOOKUP(E58,lookups90!$B$4:$B$999,lookups90!$F$4:$F$999, "",0)-_xlfn.XLOOKUP(E58,lookups90!$B$4:$B$999,lookups90!$G$4:$G$999, "",0)+_xlfn.XLOOKUP(E58,lookups90!$B$4:$B$999,lookups90!$H$4:$H$999, "",0))/2+_xlfn.XLOOKUP(E58,lookups90!$B$4:$B$999,lookups90!$I$4:$I$999, "",0), OR(E58="Fix Slide Slide Fix Window"),  (K58-_xlfn.XLOOKUP(E58,lookups90!$B$4:$B$999,lookups90!$F$4:$F$999, "",0)+_xlfn.XLOOKUP(E58,lookups90!$B$4:$B$999,lookups90!$H$4:$H$999, "",0)+_xlfn.XLOOKUP(E58,lookups90!$B$4:$B$999,lookups90!$H$4:$H$999, "",0))/4+_xlfn.XLOOKUP(E58,lookups90!$B$4:$B$999,lookups90!$I$4:$I$999, "",0)),"")</f>
        <v/>
      </c>
      <c r="AJ58" s="20" t="str">
        <f>IF(_xlfn.XLOOKUP(E58,lookups90!$B$4:$B$999,lookups90!$V$4:$V$999,"",0)=0,"",D58*_xlfn.XLOOKUP(E58,lookups90!$B$4:$B$999,lookups90!$W$4:$W$999,"",0))</f>
        <v/>
      </c>
      <c r="AL58" s="20" t="str" cm="1">
        <f t="array" ref="AL58">IF(AM58&lt;&gt;"", _xlfn.IFS(OR(E58="Fix Slide Door - with Screen", E58="Slide Slide Door - with Screen"), (K58-_xlfn.XLOOKUP(E58,lookups90!$B$4:$B$999,lookups90!$F$4:$F$999, "",0)-_xlfn.XLOOKUP(E58,lookups90!$B$4:$B$999,lookups90!$G$4:$G$999, "",0)+_xlfn.XLOOKUP(E58,lookups90!$B$4:$B$999,lookups90!$H$4:$H$999, "",0))/2+_xlfn.XLOOKUP(E58,lookups90!$B$4:$B$999,lookups90!$I$4:$I$999, "",0), OR( E58="Fix Slide Slide Fix Door - with Screen",  E58="Fix Slide Slide Door"),  (K58-_xlfn.XLOOKUP(E58,lookups90!$B$4:$B$999,lookups90!$F$4:$F$999, "",0)-_xlfn.XLOOKUP(E58,lookups90!$B$4:$B$999,lookups90!$G$4:$G$999, "",0)+_xlfn.XLOOKUP(E58,lookups90!$B$4:$B$999,lookups90!$H$4:$H$999, "",0)+_xlfn.XLOOKUP(E58,lookups90!$B$4:$B$999,lookups90!$H$4:$H$999, "",0))/4+_xlfn.XLOOKUP(E58,lookups90!$B$4:$B$999,lookups90!$I$4:$I$999, "",0)),"")</f>
        <v/>
      </c>
      <c r="AM58" s="20" t="str">
        <f>IF(_xlfn.XLOOKUP(E58,lookups90!$B$4:$B$999,lookups90!$AA$4:$AA$999,"",0)=0,"",D58*_xlfn.XLOOKUP(E58,lookups90!$B$4:$B$999,lookups90!$AA$4:$AA$999,"",0))</f>
        <v/>
      </c>
      <c r="AO58" s="20" t="str">
        <f>IFERROR(IF(C58&lt;&gt;"", T58-_xlfn.XLOOKUP(E58,lookups90!$B$4:$B$999,lookups90!$AE$4:$AE$999, "",0),""),"")</f>
        <v/>
      </c>
      <c r="AP58" s="20" t="str">
        <f>IF(_xlfn.XLOOKUP(E58,lookups90!$B$4:$B$999,lookups90!$AG$4:$AG$999,"",0)=0,"",D58*_xlfn.XLOOKUP(E58,lookups90!$B$4:$B$999,lookups90!$AG$4:$AG$999,"",0))</f>
        <v/>
      </c>
      <c r="AQ58" s="20" t="str">
        <f>IF(V58&lt;&gt;"", T58-_xlfn.XLOOKUP(E58,lookups90!$B$4:$B$999,lookups90!$AE$4:$AE$999, "",0)+_xlfn.XLOOKUP(E58,lookups90!$B$4:$B$999,lookups90!$AF$4:$AF$999, "",0),"")</f>
        <v/>
      </c>
      <c r="AR58" s="20" t="str">
        <f>IFERROR(IF(_xlfn.XLOOKUP(E58,lookups90!$B$4:$B$999,lookups90!$AH$4:$AH$999,"",0)=0,"",D58*_xlfn.XLOOKUP(E58,lookups90!$B$4:$B$999,lookups90!$AH$4:$AH$999,"",0)),"")</f>
        <v/>
      </c>
      <c r="AT58" s="20" t="str">
        <f>IF(OR(E58="Fix Slide Slide Fix Window", E58="Fix Slide Slide Fix Door", E58="Fix Slide Slide Fix Door - with Screen", E58="Fix Slide Slide Door"), T58-_xlfn.XLOOKUP(E58,lookups90!$B$4:$B$999,lookups90!$AE$4:$AE$999,"",0),"")</f>
        <v/>
      </c>
      <c r="AU58" s="20" t="str">
        <f>IFERROR(IF(_xlfn.XLOOKUP(E58,lookups90!$B$4:$B$999,lookups90!$AL$4:$AL$999,"",0)=0,"",D58*_xlfn.XLOOKUP(E58,lookups90!$B$4:$B$999,lookups90!$AL$4:$AL$999,"",0)),"")</f>
        <v/>
      </c>
      <c r="AW58" s="20" t="str">
        <f>IF(C58&lt;&gt;"", T58-_xlfn.XLOOKUP(E58,lookups90!$B$4:$B$999,lookups90!$AP$4:$AP$999,"",0),"")</f>
        <v/>
      </c>
      <c r="AX58" s="20" t="str">
        <f>IFERROR(IF(_xlfn.XLOOKUP(E58,lookups90!$B$4:$B$999,lookups90!$AR$4:$AR$999,"",0)=0,"",D58*_xlfn.XLOOKUP(E58,lookups90!$B$4:$B$999,lookups90!$AR$4:$AR$999,"",0)),"")</f>
        <v/>
      </c>
      <c r="AY58" s="24" t="str">
        <f>IF(V58&lt;&gt;"", V58-_xlfn.XLOOKUP(E58,lookups90!$B$4:$B$999,lookups90!$AP$4:$AP$999,"",0),"")</f>
        <v/>
      </c>
      <c r="AZ58" s="20" t="str">
        <f>IFERROR(IF(_xlfn.XLOOKUP(E58,lookups90!$B$4:$B$999,lookups90!$AS$4:$AS$999,"",0)=0,"",D58*_xlfn.XLOOKUP(E58,lookups90!$B$4:$B$999,lookups90!$AS$4:$AS$999,"",0)),"")</f>
        <v/>
      </c>
      <c r="BA58" s="20" t="str">
        <f>IF(X58&lt;&gt;"", X58-_xlfn.XLOOKUP(E58,lookups90!$B$4:$B$999,lookups90!$AQ$4:$AQ$999,"",0),"")</f>
        <v/>
      </c>
      <c r="BB58" s="20" t="str">
        <f>IFERROR(IF(_xlfn.XLOOKUP(E58,lookups90!$B$4:$B$999,lookups90!$AT$4:$AT$999,"",0)=0,"",D58*_xlfn.XLOOKUP(E58,lookups90!$B$4:$B$999,lookups90!$AT$4:$AT$999,"",0)),"")</f>
        <v/>
      </c>
      <c r="BD58" s="20" t="str">
        <f>IF(C58&lt;&gt;"", N58-_xlfn.XLOOKUP(E58,lookups90!$B$4:$B$999,lookups90!$AX$4:$AX$999,"",0)+M58,"")</f>
        <v/>
      </c>
      <c r="BE58" s="20" t="str">
        <f>IFERROR(IF(_xlfn.XLOOKUP(E58,lookups90!$B$4:$B$999,lookups90!$AY$4:$AY$999,"",0)=0,"",D58*_xlfn.XLOOKUP(E58,lookups90!$B$4:$B$999,lookups90!$AY$4:$AY$999,"",0)),"")</f>
        <v/>
      </c>
      <c r="BF58" s="20" t="str">
        <f>IF(C58&lt;&gt;"", P58-_xlfn.XLOOKUP(E58,lookups90!$B$4:$B$999,lookups90!$AX$4:$AX$999,"",0)+M58,"")</f>
        <v/>
      </c>
      <c r="BG58" s="20" t="str">
        <f>IFERROR(IF(_xlfn.XLOOKUP(E58,lookups90!$B$4:$B$999,lookups90!$AZ$4:$AZ$999,"",0)=0,"",D58*_xlfn.XLOOKUP(E58,lookups90!$B$4:$B$999,lookups90!$AZ$4:$AZ$999,"",0)),"")</f>
        <v/>
      </c>
      <c r="BI58" s="20" t="str">
        <f>IF(C58&lt;&gt;"", T58-_xlfn.XLOOKUP(E58,lookups90!$B$4:$B$999,lookups90!$BA$4:$BA$999,"",0),"")</f>
        <v/>
      </c>
      <c r="BJ58" s="20" t="str">
        <f>IFERROR(IF(_xlfn.XLOOKUP(E58,lookups90!$B$4:$B$999,lookups90!$BB$4:$BB$999,"",0)=0,"",D58*_xlfn.XLOOKUP(E58,lookups90!$B$4:$B$999,lookups90!$BB$4:$BB$999,"",0)),"")</f>
        <v/>
      </c>
      <c r="BK58" s="20" t="str">
        <f>IF(V58&lt;&gt;"", V58-_xlfn.XLOOKUP(E58,lookups90!$B$4:$B$999,lookups90!$BA$4:$BA$999,"",0),"")</f>
        <v/>
      </c>
      <c r="BL58" s="20" t="str">
        <f>IFERROR(IF(_xlfn.XLOOKUP(E58,lookups90!$B$4:$B$999,lookups90!$BC$4:$BC$999,"",0)=0,"",D58*_xlfn.XLOOKUP(E58,lookups90!$B$4:$B$999,lookups90!$BC$4:$BC$999,"",0)),"")</f>
        <v/>
      </c>
      <c r="BM58" s="20" t="str">
        <f>IF(C58&lt;&gt;"", X58-_xlfn.XLOOKUP(E58,lookups90!$B$4:$B$999,lookups90!$BA$4:$BA$999,"",0),"")</f>
        <v/>
      </c>
      <c r="BN58" s="20" t="str">
        <f>IFERROR(IF(_xlfn.XLOOKUP(E58,lookups90!$B$4:$B$999,lookups90!$BD$4:$BD$999,"",0)=0,"",D58*_xlfn.XLOOKUP(E58,lookups90!$B$4:$B$999,lookups90!$BD$4:$BD$999,"",0)),"")</f>
        <v/>
      </c>
      <c r="BP58" s="20" t="str">
        <f>IF(AB58&lt;&gt;"", AB58-_xlfn.XLOOKUP(E58,lookups90!$B$4:$B$999,lookups90!$BE$4:$BE$999,"",0),"")</f>
        <v/>
      </c>
      <c r="BQ58" s="20" t="str">
        <f>IFERROR(IF(_xlfn.XLOOKUP(E58,lookups90!$B$4:$B$999,lookups90!$BF$4:$BF$999,"",0)=0,"",D58*_xlfn.XLOOKUP(E58,lookups90!$B$4:$B$999,lookups90!$BF$4:$BF$999,"",0)),"")</f>
        <v/>
      </c>
      <c r="BR58" s="20" t="str" cm="1">
        <f t="array" ref="BR58">_xlfn.IFS(BP58="","",OR(E58="Fix Slide Door - with Screen",E58="Slide Slide Door - with Screen"),(K58-_xlfn.XLOOKUP(E58,lookups90!$B$4:$B$999,lookups90!$F$4:$F$999,"",0)-_xlfn.XLOOKUP(E58,lookups90!$B$4:$B$999,lookups90!$G$4:$G$999,"",0)+_xlfn.XLOOKUP(E58,lookups90!$B$4:$B$999,lookups90!$H$4:$H$999,"",0))/2+_xlfn.XLOOKUP(E58,lookups90!$B$4:$B$999,lookups90!$I$4:$I$999,"",0)-_xlfn.XLOOKUP(E58,lookups90!$B$4:$B$999,lookups90!$BE$4:$BE$999,"",0), E58="Fix Slide Slide Fix Door - with Screen",(K58-_xlfn.XLOOKUP(E58,lookups90!$B$4:$B$999,lookups90!$F$4:$F$999,"",0)-_xlfn.XLOOKUP(E58,lookups90!$B$4:$B$999,lookups90!$G$4:$G$999,"",0)+_xlfn.XLOOKUP(E58,lookups90!$B$4:$B$999,lookups90!$H$4:$H$999,"",0)+_xlfn.XLOOKUP(E58,lookups90!$B$4:$B$999,lookups90!$H$4:$H$999,"",0))/4+_xlfn.XLOOKUP(E58,lookups90!$B$4:$B$999,lookups90!$I$4:$I$999,"",0)-_xlfn.XLOOKUP(E58,lookups90!$B$4:$B$999,lookups90!$BE$4:$BE$999,"",0))</f>
        <v/>
      </c>
      <c r="BS58" s="20" t="str">
        <f>IFERROR(IF(_xlfn.XLOOKUP(E58,lookups90!$B$4:$B$999,lookups90!$BG$4:$BG$999,"",0)=0,"",D58*_xlfn.XLOOKUP(E58,lookups90!$B$4:$B$999,lookups90!$BG$4:$BG$999,"",0)),"")</f>
        <v/>
      </c>
      <c r="BU58" s="20" t="str">
        <f>IF(AG58&lt;&gt;"",AG58-_xlfn.XLOOKUP(E58,lookups90!$B$4:$B$999,lookups90!$BA$4:$BA$999,"",0),"")</f>
        <v/>
      </c>
      <c r="BV58" s="20" t="str">
        <f>IFERROR(IF(_xlfn.XLOOKUP(E58,lookups90!$B$4:$B$999,lookups90!$BH$4:$BH$999,"",0)=0,"",D58*_xlfn.XLOOKUP(E58,lookups90!$B$4:$B$999,lookups90!$BH$4:$BH$999,"",0)),"")</f>
        <v/>
      </c>
      <c r="BW58" s="20" t="str" cm="1">
        <f t="array" ref="BW58">_xlfn.IFS(BU58="","",OR(E58="Fix Slide Window",E58="Slide Slide Window"),(K58-_xlfn.XLOOKUP(E58,lookups90!$B$4:$B$999,lookups90!$F$4:$F$999,"",0)-_xlfn.XLOOKUP(E58,lookups90!$B$4:$B$999,lookups90!$G$4:$G$999,"",0)+_xlfn.XLOOKUP(E58,lookups90!$B$4:$B$999,lookups90!$H$4:$H$999,"",0))/2+_xlfn.XLOOKUP(E58,lookups90!$B$4:$B$999,lookups90!$I$4:$I$999,"",0)-_xlfn.XLOOKUP(E58,lookups90!$B$4:$B$999,lookups90!$BA$4:$BA$999,"",0), E58="Fix Slide Slide Fix Window",(K58-_xlfn.XLOOKUP(E58,lookups90!$B$4:$B$999,lookups90!$F$4:$F$999,"",0)-_xlfn.XLOOKUP(E58,lookups90!$B$4:$B$999,lookups90!$G$4:$G$999,"",0)+_xlfn.XLOOKUP(E58,lookups90!$B$4:$B$999,lookups90!$H$4:$H$999,"",0)+_xlfn.XLOOKUP(E58,lookups90!$B$4:$B$999,lookups90!$H$4:$H$999,"",0))/4+_xlfn.XLOOKUP(E58,lookups90!$B$4:$B$999,lookups90!$I$4:$I$999,"",0)-_xlfn.XLOOKUP(E58,lookups90!$B$4:$B$999,lookups90!$BA$4:$BA$999,"",0))</f>
        <v/>
      </c>
      <c r="BX58" s="20" t="str">
        <f>IFERROR(IF(_xlfn.XLOOKUP(E58,lookups90!$B$4:$B$999,lookups90!$BI$4:$BI$999,"",0)=0,"",D58*_xlfn.XLOOKUP(E58,lookups90!$B$4:$B$999,lookups90!$BI$4:$BI$999,"",0)),"")</f>
        <v/>
      </c>
      <c r="BZ58" s="20" t="str">
        <f>IF(AL58&lt;&gt;"", AL58-_xlfn.XLOOKUP(E58,lookups90!$B$4:$B$999,lookups90!$BJ$4:$BJ$999,"",0),"")</f>
        <v/>
      </c>
      <c r="CA58" s="20" t="str">
        <f>IFERROR(IF(_xlfn.XLOOKUP(E58,lookups90!$B$4:$B$999,lookups90!$BK$4:$BK$999,"",0)=0,"",D58*_xlfn.XLOOKUP(E58,lookups90!$B$4:$B$999,lookups90!$BK$4:$BK$999,"",0)),"")</f>
        <v/>
      </c>
      <c r="CC58" s="20" t="str">
        <f>IF(C58&lt;&gt;"", T58-_xlfn.XLOOKUP(E58,lookups90!$B$4:$B$999,lookups90!$BO$4:$BO$999,"",0)-_xlfn.XLOOKUP(E58,lookups90!$B$4:$B$999,lookups90!$BP$4:$BP$999,"",0),"")</f>
        <v/>
      </c>
      <c r="CD58" s="20" t="str">
        <f>IF(C58&lt;&gt;"", X58-_xlfn.XLOOKUP(E58,lookups90!$B$4:$B$999,lookups90!$BQ$4:$BQ$999,"",0)-_xlfn.XLOOKUP(E58,lookups90!$B$4:$B$999,lookups90!$BR$4:$BR$999,"",0),"")</f>
        <v/>
      </c>
      <c r="CE58" s="20" t="str">
        <f>IFERROR(IF(_xlfn.XLOOKUP(E58,lookups90!$B$4:$B$999,lookups90!$BS$4:$BS$999,"",0)=0,"",D58*_xlfn.XLOOKUP(E58,lookups90!$B$4:$B$999,lookups90!$BS$4:$BS$999,"",0)),"")</f>
        <v/>
      </c>
      <c r="CF58" s="20" t="str">
        <f>IF(V58&lt;&gt;"", V58-_xlfn.XLOOKUP(E58,lookups90!$B$4:$B$999,lookups90!$BO$4:$BO$999,"",0)-_xlfn.XLOOKUP(E58,lookups90!$B$4:$B$999,lookups90!$BP$4:$BP$999,"",0),"")</f>
        <v/>
      </c>
      <c r="CG58" s="20" t="str">
        <f>IF(CF58&lt;&gt;"", X58-_xlfn.XLOOKUP(E58,lookups90!$B$4:$B$999,lookups90!$BQ$4:$BQ$999,"",0)-_xlfn.XLOOKUP(E58,lookups90!$B$4:$B$999,lookups90!$BR$4:$BR$999,"",0),"")</f>
        <v/>
      </c>
      <c r="CH58" s="20" t="str">
        <f>IFERROR(IF(_xlfn.XLOOKUP(E58,lookups90!$B$4:$B$999,lookups90!$BT$4:$BT$999,"",0)=0,"",D58*_xlfn.XLOOKUP(E58,lookups90!$B$4:$B$999,lookups90!$BT$4:$BT$999,"",0)),"")</f>
        <v/>
      </c>
      <c r="CJ58" s="22" t="str">
        <f t="shared" si="5"/>
        <v/>
      </c>
      <c r="CL58" s="22" t="str" cm="1">
        <f t="array" ref="CL58">IF(D58&lt;&gt;"",((((J58+K58)*2)/500)+(2*_xlfn.IFS(OR(E58="Fix Slide Window", E58="Slide Slide Window", E58="Fix Slide Slide Fix Window"), 2, E58="Slide Slide Door - with Screen", 8, E58&lt;&gt;"",4)))*D58,"")</f>
        <v/>
      </c>
      <c r="CM58" s="22" t="str">
        <f t="shared" si="9"/>
        <v/>
      </c>
      <c r="CN58" s="22" t="str">
        <f t="shared" si="10"/>
        <v/>
      </c>
      <c r="CO58" s="22" t="str">
        <f t="shared" si="8"/>
        <v/>
      </c>
      <c r="CP58" s="22" t="str">
        <f t="shared" si="11"/>
        <v/>
      </c>
    </row>
    <row r="59" spans="3:94" ht="13.5" customHeight="1" x14ac:dyDescent="0.25">
      <c r="C59" s="16"/>
      <c r="D59" s="16"/>
      <c r="E59" s="16"/>
      <c r="F59" s="16"/>
      <c r="G59" s="16"/>
      <c r="H59" s="16"/>
      <c r="I59" s="16"/>
      <c r="J59" s="16"/>
      <c r="K59" s="16"/>
      <c r="M59" s="20" t="str">
        <f t="shared" si="1"/>
        <v/>
      </c>
      <c r="N59" s="20" t="str" cm="1">
        <f t="array" ref="N59">IFERROR(_xlfn.IFS(OR(E59="Fix Awning (Vertical)", E59="Fix Awning (Horizontal)"), J59/2+20,C59&lt;&gt;"", J59+M59),"")</f>
        <v/>
      </c>
      <c r="O59" s="20" t="str">
        <f t="shared" si="2"/>
        <v/>
      </c>
      <c r="P59" s="20" t="str">
        <f t="shared" si="3"/>
        <v/>
      </c>
      <c r="Q59" s="20" t="str">
        <f t="shared" si="4"/>
        <v/>
      </c>
      <c r="S59" s="20" t="str">
        <f>IF(C59&lt;&gt;"", _xlfn.XLOOKUP(E59,lookups90!$B$4:$B$999,lookups90!$C$4:$C$999,"",0),"")</f>
        <v/>
      </c>
      <c r="T59" s="20" t="str">
        <f>IF(C59&lt;&gt;"", J59-_xlfn.XLOOKUP(E59,lookups90!$B$4:$B$999,lookups90!$D$4:$D$999, "",0),"")</f>
        <v/>
      </c>
      <c r="U59" s="20" t="str">
        <f>IF(T59&lt;&gt;"",D59*_xlfn.XLOOKUP(E59,lookups90!$B$4:$B$999,lookups90!$J$4:$J$999, "",0),"")</f>
        <v/>
      </c>
      <c r="V59" s="20" t="str">
        <f>IF(AND(C59&lt;&gt;"", E59&lt;&gt;"Slide Slide Window", E59&lt;&gt;"Slide Slide Door", E59&lt;&gt;"Slide Slide Door - with Screen"), J59-_xlfn.XLOOKUP(E59,lookups90!$B$4:$B$999,lookups90!$E$4:$E$999, "",0),"")</f>
        <v/>
      </c>
      <c r="W59" s="20" t="str">
        <f>IF(V59&lt;&gt;"",D59*_xlfn.XLOOKUP(E59,lookups90!$B$4:$B$999,lookups90!$K$4:$K$999, "",0),"")</f>
        <v/>
      </c>
      <c r="X59" s="20" t="str" cm="1">
        <f t="array" ref="X59">IFERROR(_xlfn.IFS(OR(E59="Fix Slide Window", E59="Slide Slide Window", E59="Fix Slide Door", E59="Slide Slide Door", E59="Fix Slide Door - with Screen", E59="Slide Slide Door - with Screen"), (K59-_xlfn.XLOOKUP(E59,lookups90!$B$4:$B$999,lookups90!$F$4:$F$999, "",0)-_xlfn.XLOOKUP(E59,lookups90!$B$4:$B$999,lookups90!$G$4:$G$999, "",0)+_xlfn.XLOOKUP(E59,lookups90!$B$4:$B$999,lookups90!$H$4:$H$999, "",0))/2+_xlfn.XLOOKUP(E59,lookups90!$B$4:$B$999,lookups90!$I$4:$I$999, "",0), OR(E59="Fix Slide Slide Fix Window", E59="Fix Slide Slide Fix Door - with Screen", E59="Fix Slide Slide Fix Door"),  (K59-_xlfn.XLOOKUP(E59,lookups90!$B$4:$B$999,lookups90!$F$4:$F$999, "",0)-_xlfn.XLOOKUP(E59,lookups90!$B$4:$B$999,lookups90!$G$4:$G$999, "",0)+_xlfn.XLOOKUP(E59,lookups90!$B$4:$B$999,lookups90!$H$4:$H$999, "",0)+_xlfn.XLOOKUP(E59,lookups90!$B$4:$B$999,lookups90!$H$4:$H$999, "",0))/4+_xlfn.XLOOKUP(E59,lookups90!$B$4:$B$999,lookups90!$I$4:$I$999, "",0), E59="Fix Slide Slide Door", (K59-_xlfn.XLOOKUP(E59,lookups90!$B$4:$B$999,lookups90!$F$4:$F$999, "",0)-_xlfn.XLOOKUP(E59,lookups90!$B$4:$B$999,lookups90!$G$4:$G$999, "",0)+_xlfn.XLOOKUP(E59,lookups90!$B$4:$B$999,lookups90!$H$4:$H$999, "",0)+_xlfn.XLOOKUP(E59,lookups90!$B$4:$B$999,lookups90!$H$4:$H$999, "",0))/3+_xlfn.XLOOKUP(E59,lookups90!$B$4:$B$999,lookups90!$I$4:$I$999, "",0),E59="Fix Slide Slide Slide Slide Fix Dr",  (K59-_xlfn.XLOOKUP(E59,lookups90!$B$4:$B$999,lookups90!$F$4:$F$999, "",0)-_xlfn.XLOOKUP(E59,lookups90!$B$4:$B$999,lookups90!$G$4:$G$999, "",0)+_xlfn.XLOOKUP(E59,lookups90!$B$4:$B$999,lookups90!$H$4:$H$999, "",0)+_xlfn.XLOOKUP(E59,lookups90!$B$4:$B$999,lookups90!$H$4:$H$999, "",0)+_xlfn.XLOOKUP(E59,lookups90!$B$4:$B$999,lookups90!$H$4:$H$999, "",0)+_xlfn.XLOOKUP(E59,lookups90!$B$4:$B$999,lookups90!$H$4:$H$999, "",0))/6+_xlfn.XLOOKUP(E59,lookups90!$B$4:$B$999,lookups90!$I$4:$I$999, "",0), E59="Fix Slide Slide Slide Slide Slide Slide Fix Dr",  (K59-_xlfn.XLOOKUP(E59,lookups90!$B$4:$B$999,lookups90!$F$4:$F$999, "",0)-_xlfn.XLOOKUP(E59,lookups90!$B$4:$B$999,lookups90!$G$4:$G$999, "",0)+_xlfn.XLOOKUP(E59,lookups90!$B$4:$B$999,lookups90!$H$4:$H$999, "",0)+_xlfn.XLOOKUP(E59,lookups90!$B$4:$B$999,lookups90!$H$4:$H$999, "",0)+_xlfn.XLOOKUP(E59,lookups90!$B$4:$B$999,lookups90!$H$4:$H$999, "",0)+_xlfn.XLOOKUP(E59,lookups90!$B$4:$B$999,lookups90!$H$4:$H$999, "",0)+_xlfn.XLOOKUP(E59,lookups90!$B$4:$B$999,lookups90!$H$4:$H$999, "",0)+_xlfn.XLOOKUP(E59,lookups90!$B$4:$B$999,lookups90!$H$4:$H$999, "",0))/8+_xlfn.XLOOKUP(E59,lookups90!$B$4:$B$999,lookups90!$I$4:$I$999, "",0)),"")</f>
        <v/>
      </c>
      <c r="Y59" s="20" t="str">
        <f>IF(X59&lt;&gt;"",D59*_xlfn.XLOOKUP(E59,lookups90!$B$4:$B$999,lookups90!$L$4:$L$999, "",0),"")</f>
        <v/>
      </c>
      <c r="AA59" s="20" t="str">
        <f>IF(C59&lt;&gt;"", IF(_xlfn.XLOOKUP(E59,lookups90!$B$4:$B$999,lookups90!$P$4:$P$999,"",0)=0,"",_xlfn.XLOOKUP(E59,lookups90!$B$4:$B$999,lookups90!$P$4:$P$999,"",0)),"")</f>
        <v/>
      </c>
      <c r="AB59" s="20" t="str">
        <f>IF(AA59&lt;&gt;"", J59-_xlfn.XLOOKUP(E59,lookups90!$B$4:$B$999,lookups90!$D$4:$D$999, "",0),"")</f>
        <v/>
      </c>
      <c r="AC59" s="20" t="str">
        <f>IF(AA59&lt;&gt;"",D59*_xlfn.XLOOKUP(E59,lookups90!$B$4:$B$999,lookups90!$Q$4:$Q$999, "",0),"")</f>
        <v/>
      </c>
      <c r="AD59" s="20" t="str" cm="1">
        <f t="array" ref="AD59">IF(AA59&lt;&gt;"", _xlfn.IFS(OR(E59="Fix Slide Window", E59="Slide Slide Window", E59="Fix Slide Door", E59="Slide Slide Door", E59="Fix Slide Door - with Screen", E59="Slide Slide Door - with Screen"), (K59-_xlfn.XLOOKUP(E59,lookups90!$B$4:$B$999,lookups90!$F$4:$F$999, "",0)-_xlfn.XLOOKUP(E59,lookups90!$B$4:$B$999,lookups90!$G$4:$G$999, "",0)+_xlfn.XLOOKUP(E59,lookups90!$B$4:$B$999,lookups90!$H$4:$H$999, "",0))/2+_xlfn.XLOOKUP(E59,lookups90!$B$4:$B$999,lookups90!$I$4:$I$999, "",0), OR(E59="Fix Slide Slide Fix Window", E59="Fix Slide Slide Fix Door - with Screen", E59="Fix Slide Slide Fix Door"),  (K59-_xlfn.XLOOKUP(E59,lookups90!$B$4:$B$999,lookups90!$F$4:$F$999, "",0)-_xlfn.XLOOKUP(E59,lookups90!$B$4:$B$999,lookups90!$G$4:$G$999, "",0)+_xlfn.XLOOKUP(E59,lookups90!$B$4:$B$999,lookups90!$H$4:$H$999, "",0)+_xlfn.XLOOKUP(E59,lookups90!$B$4:$B$999,lookups90!$H$4:$H$999, "",0))/4+_xlfn.XLOOKUP(E59,lookups90!$B$4:$B$999,lookups90!$I$4:$I$999, "",0), E59="Fix Slide Slide Door", (K59-_xlfn.XLOOKUP(E59,lookups90!$B$4:$B$999,lookups90!$F$4:$F$999, "",0)-_xlfn.XLOOKUP(E59,lookups90!$B$4:$B$999,lookups90!$G$4:$G$999, "",0)+_xlfn.XLOOKUP(E59,lookups90!$B$4:$B$999,lookups90!$H$4:$H$999, "",0)+_xlfn.XLOOKUP(E59,lookups90!$B$4:$B$999,lookups90!$H$4:$H$999, "",0))/3+_xlfn.XLOOKUP(E59,lookups90!$B$4:$B$999,lookups90!$I$4:$I$999, "",0) ),"")</f>
        <v/>
      </c>
      <c r="AE59" s="20" t="str">
        <f>IF(AA59&lt;&gt;"",D59*_xlfn.XLOOKUP(E59,lookups90!$B$4:$B$999,lookups90!$R$4:$R$999, "",0),"")</f>
        <v/>
      </c>
      <c r="AG59" s="20" t="str">
        <f>IF(AH59&lt;&gt;"", J59-_xlfn.XLOOKUP(E59,lookups90!$B$4:$B$999,lookups90!$D$4:$D$999, "",0),"")</f>
        <v/>
      </c>
      <c r="AH59" s="20" t="str">
        <f>IF(_xlfn.XLOOKUP(E59,lookups90!$B$4:$B$999,lookups90!$V$4:$V$999,"",0)=0,"",D59*_xlfn.XLOOKUP(E59,lookups90!$B$4:$B$999,lookups90!$V$4:$V$999,"",0))</f>
        <v/>
      </c>
      <c r="AI59" s="20" t="str" cm="1">
        <f t="array" ref="AI59">IF(AH59&lt;&gt;"", _xlfn.IFS(OR(E59="Fix Slide Window", E59="Slide Slide Window"), (K59-_xlfn.XLOOKUP(E59,lookups90!$B$4:$B$999,lookups90!$F$4:$F$999, "",0)-_xlfn.XLOOKUP(E59,lookups90!$B$4:$B$999,lookups90!$G$4:$G$999, "",0)+_xlfn.XLOOKUP(E59,lookups90!$B$4:$B$999,lookups90!$H$4:$H$999, "",0))/2+_xlfn.XLOOKUP(E59,lookups90!$B$4:$B$999,lookups90!$I$4:$I$999, "",0), OR(E59="Fix Slide Slide Fix Window"),  (K59-_xlfn.XLOOKUP(E59,lookups90!$B$4:$B$999,lookups90!$F$4:$F$999, "",0)+_xlfn.XLOOKUP(E59,lookups90!$B$4:$B$999,lookups90!$H$4:$H$999, "",0)+_xlfn.XLOOKUP(E59,lookups90!$B$4:$B$999,lookups90!$H$4:$H$999, "",0))/4+_xlfn.XLOOKUP(E59,lookups90!$B$4:$B$999,lookups90!$I$4:$I$999, "",0)),"")</f>
        <v/>
      </c>
      <c r="AJ59" s="20" t="str">
        <f>IF(_xlfn.XLOOKUP(E59,lookups90!$B$4:$B$999,lookups90!$V$4:$V$999,"",0)=0,"",D59*_xlfn.XLOOKUP(E59,lookups90!$B$4:$B$999,lookups90!$W$4:$W$999,"",0))</f>
        <v/>
      </c>
      <c r="AL59" s="20" t="str" cm="1">
        <f t="array" ref="AL59">IF(AM59&lt;&gt;"", _xlfn.IFS(OR(E59="Fix Slide Door - with Screen", E59="Slide Slide Door - with Screen"), (K59-_xlfn.XLOOKUP(E59,lookups90!$B$4:$B$999,lookups90!$F$4:$F$999, "",0)-_xlfn.XLOOKUP(E59,lookups90!$B$4:$B$999,lookups90!$G$4:$G$999, "",0)+_xlfn.XLOOKUP(E59,lookups90!$B$4:$B$999,lookups90!$H$4:$H$999, "",0))/2+_xlfn.XLOOKUP(E59,lookups90!$B$4:$B$999,lookups90!$I$4:$I$999, "",0), OR( E59="Fix Slide Slide Fix Door - with Screen",  E59="Fix Slide Slide Door"),  (K59-_xlfn.XLOOKUP(E59,lookups90!$B$4:$B$999,lookups90!$F$4:$F$999, "",0)-_xlfn.XLOOKUP(E59,lookups90!$B$4:$B$999,lookups90!$G$4:$G$999, "",0)+_xlfn.XLOOKUP(E59,lookups90!$B$4:$B$999,lookups90!$H$4:$H$999, "",0)+_xlfn.XLOOKUP(E59,lookups90!$B$4:$B$999,lookups90!$H$4:$H$999, "",0))/4+_xlfn.XLOOKUP(E59,lookups90!$B$4:$B$999,lookups90!$I$4:$I$999, "",0)),"")</f>
        <v/>
      </c>
      <c r="AM59" s="20" t="str">
        <f>IF(_xlfn.XLOOKUP(E59,lookups90!$B$4:$B$999,lookups90!$AA$4:$AA$999,"",0)=0,"",D59*_xlfn.XLOOKUP(E59,lookups90!$B$4:$B$999,lookups90!$AA$4:$AA$999,"",0))</f>
        <v/>
      </c>
      <c r="AO59" s="20" t="str">
        <f>IFERROR(IF(C59&lt;&gt;"", T59-_xlfn.XLOOKUP(E59,lookups90!$B$4:$B$999,lookups90!$AE$4:$AE$999, "",0),""),"")</f>
        <v/>
      </c>
      <c r="AP59" s="20" t="str">
        <f>IF(_xlfn.XLOOKUP(E59,lookups90!$B$4:$B$999,lookups90!$AG$4:$AG$999,"",0)=0,"",D59*_xlfn.XLOOKUP(E59,lookups90!$B$4:$B$999,lookups90!$AG$4:$AG$999,"",0))</f>
        <v/>
      </c>
      <c r="AQ59" s="20" t="str">
        <f>IF(V59&lt;&gt;"", T59-_xlfn.XLOOKUP(E59,lookups90!$B$4:$B$999,lookups90!$AE$4:$AE$999, "",0)+_xlfn.XLOOKUP(E59,lookups90!$B$4:$B$999,lookups90!$AF$4:$AF$999, "",0),"")</f>
        <v/>
      </c>
      <c r="AR59" s="20" t="str">
        <f>IFERROR(IF(_xlfn.XLOOKUP(E59,lookups90!$B$4:$B$999,lookups90!$AH$4:$AH$999,"",0)=0,"",D59*_xlfn.XLOOKUP(E59,lookups90!$B$4:$B$999,lookups90!$AH$4:$AH$999,"",0)),"")</f>
        <v/>
      </c>
      <c r="AT59" s="20" t="str">
        <f>IF(OR(E59="Fix Slide Slide Fix Window", E59="Fix Slide Slide Fix Door", E59="Fix Slide Slide Fix Door - with Screen", E59="Fix Slide Slide Door"), T59-_xlfn.XLOOKUP(E59,lookups90!$B$4:$B$999,lookups90!$AE$4:$AE$999,"",0),"")</f>
        <v/>
      </c>
      <c r="AU59" s="20" t="str">
        <f>IFERROR(IF(_xlfn.XLOOKUP(E59,lookups90!$B$4:$B$999,lookups90!$AL$4:$AL$999,"",0)=0,"",D59*_xlfn.XLOOKUP(E59,lookups90!$B$4:$B$999,lookups90!$AL$4:$AL$999,"",0)),"")</f>
        <v/>
      </c>
      <c r="AW59" s="20" t="str">
        <f>IF(C59&lt;&gt;"", T59-_xlfn.XLOOKUP(E59,lookups90!$B$4:$B$999,lookups90!$AP$4:$AP$999,"",0),"")</f>
        <v/>
      </c>
      <c r="AX59" s="20" t="str">
        <f>IFERROR(IF(_xlfn.XLOOKUP(E59,lookups90!$B$4:$B$999,lookups90!$AR$4:$AR$999,"",0)=0,"",D59*_xlfn.XLOOKUP(E59,lookups90!$B$4:$B$999,lookups90!$AR$4:$AR$999,"",0)),"")</f>
        <v/>
      </c>
      <c r="AY59" s="24" t="str">
        <f>IF(V59&lt;&gt;"", V59-_xlfn.XLOOKUP(E59,lookups90!$B$4:$B$999,lookups90!$AP$4:$AP$999,"",0),"")</f>
        <v/>
      </c>
      <c r="AZ59" s="20" t="str">
        <f>IFERROR(IF(_xlfn.XLOOKUP(E59,lookups90!$B$4:$B$999,lookups90!$AS$4:$AS$999,"",0)=0,"",D59*_xlfn.XLOOKUP(E59,lookups90!$B$4:$B$999,lookups90!$AS$4:$AS$999,"",0)),"")</f>
        <v/>
      </c>
      <c r="BA59" s="20" t="str">
        <f>IF(X59&lt;&gt;"", X59-_xlfn.XLOOKUP(E59,lookups90!$B$4:$B$999,lookups90!$AQ$4:$AQ$999,"",0),"")</f>
        <v/>
      </c>
      <c r="BB59" s="20" t="str">
        <f>IFERROR(IF(_xlfn.XLOOKUP(E59,lookups90!$B$4:$B$999,lookups90!$AT$4:$AT$999,"",0)=0,"",D59*_xlfn.XLOOKUP(E59,lookups90!$B$4:$B$999,lookups90!$AT$4:$AT$999,"",0)),"")</f>
        <v/>
      </c>
      <c r="BD59" s="20" t="str">
        <f>IF(C59&lt;&gt;"", N59-_xlfn.XLOOKUP(E59,lookups90!$B$4:$B$999,lookups90!$AX$4:$AX$999,"",0)+M59,"")</f>
        <v/>
      </c>
      <c r="BE59" s="20" t="str">
        <f>IFERROR(IF(_xlfn.XLOOKUP(E59,lookups90!$B$4:$B$999,lookups90!$AY$4:$AY$999,"",0)=0,"",D59*_xlfn.XLOOKUP(E59,lookups90!$B$4:$B$999,lookups90!$AY$4:$AY$999,"",0)),"")</f>
        <v/>
      </c>
      <c r="BF59" s="20" t="str">
        <f>IF(C59&lt;&gt;"", P59-_xlfn.XLOOKUP(E59,lookups90!$B$4:$B$999,lookups90!$AX$4:$AX$999,"",0)+M59,"")</f>
        <v/>
      </c>
      <c r="BG59" s="20" t="str">
        <f>IFERROR(IF(_xlfn.XLOOKUP(E59,lookups90!$B$4:$B$999,lookups90!$AZ$4:$AZ$999,"",0)=0,"",D59*_xlfn.XLOOKUP(E59,lookups90!$B$4:$B$999,lookups90!$AZ$4:$AZ$999,"",0)),"")</f>
        <v/>
      </c>
      <c r="BI59" s="20" t="str">
        <f>IF(C59&lt;&gt;"", T59-_xlfn.XLOOKUP(E59,lookups90!$B$4:$B$999,lookups90!$BA$4:$BA$999,"",0),"")</f>
        <v/>
      </c>
      <c r="BJ59" s="20" t="str">
        <f>IFERROR(IF(_xlfn.XLOOKUP(E59,lookups90!$B$4:$B$999,lookups90!$BB$4:$BB$999,"",0)=0,"",D59*_xlfn.XLOOKUP(E59,lookups90!$B$4:$B$999,lookups90!$BB$4:$BB$999,"",0)),"")</f>
        <v/>
      </c>
      <c r="BK59" s="20" t="str">
        <f>IF(V59&lt;&gt;"", V59-_xlfn.XLOOKUP(E59,lookups90!$B$4:$B$999,lookups90!$BA$4:$BA$999,"",0),"")</f>
        <v/>
      </c>
      <c r="BL59" s="20" t="str">
        <f>IFERROR(IF(_xlfn.XLOOKUP(E59,lookups90!$B$4:$B$999,lookups90!$BC$4:$BC$999,"",0)=0,"",D59*_xlfn.XLOOKUP(E59,lookups90!$B$4:$B$999,lookups90!$BC$4:$BC$999,"",0)),"")</f>
        <v/>
      </c>
      <c r="BM59" s="20" t="str">
        <f>IF(C59&lt;&gt;"", X59-_xlfn.XLOOKUP(E59,lookups90!$B$4:$B$999,lookups90!$BA$4:$BA$999,"",0),"")</f>
        <v/>
      </c>
      <c r="BN59" s="20" t="str">
        <f>IFERROR(IF(_xlfn.XLOOKUP(E59,lookups90!$B$4:$B$999,lookups90!$BD$4:$BD$999,"",0)=0,"",D59*_xlfn.XLOOKUP(E59,lookups90!$B$4:$B$999,lookups90!$BD$4:$BD$999,"",0)),"")</f>
        <v/>
      </c>
      <c r="BP59" s="20" t="str">
        <f>IF(AB59&lt;&gt;"", AB59-_xlfn.XLOOKUP(E59,lookups90!$B$4:$B$999,lookups90!$BE$4:$BE$999,"",0),"")</f>
        <v/>
      </c>
      <c r="BQ59" s="20" t="str">
        <f>IFERROR(IF(_xlfn.XLOOKUP(E59,lookups90!$B$4:$B$999,lookups90!$BF$4:$BF$999,"",0)=0,"",D59*_xlfn.XLOOKUP(E59,lookups90!$B$4:$B$999,lookups90!$BF$4:$BF$999,"",0)),"")</f>
        <v/>
      </c>
      <c r="BR59" s="20" t="str" cm="1">
        <f t="array" ref="BR59">_xlfn.IFS(BP59="","",OR(E59="Fix Slide Door - with Screen",E59="Slide Slide Door - with Screen"),(K59-_xlfn.XLOOKUP(E59,lookups90!$B$4:$B$999,lookups90!$F$4:$F$999,"",0)-_xlfn.XLOOKUP(E59,lookups90!$B$4:$B$999,lookups90!$G$4:$G$999,"",0)+_xlfn.XLOOKUP(E59,lookups90!$B$4:$B$999,lookups90!$H$4:$H$999,"",0))/2+_xlfn.XLOOKUP(E59,lookups90!$B$4:$B$999,lookups90!$I$4:$I$999,"",0)-_xlfn.XLOOKUP(E59,lookups90!$B$4:$B$999,lookups90!$BE$4:$BE$999,"",0), E59="Fix Slide Slide Fix Door - with Screen",(K59-_xlfn.XLOOKUP(E59,lookups90!$B$4:$B$999,lookups90!$F$4:$F$999,"",0)-_xlfn.XLOOKUP(E59,lookups90!$B$4:$B$999,lookups90!$G$4:$G$999,"",0)+_xlfn.XLOOKUP(E59,lookups90!$B$4:$B$999,lookups90!$H$4:$H$999,"",0)+_xlfn.XLOOKUP(E59,lookups90!$B$4:$B$999,lookups90!$H$4:$H$999,"",0))/4+_xlfn.XLOOKUP(E59,lookups90!$B$4:$B$999,lookups90!$I$4:$I$999,"",0)-_xlfn.XLOOKUP(E59,lookups90!$B$4:$B$999,lookups90!$BE$4:$BE$999,"",0))</f>
        <v/>
      </c>
      <c r="BS59" s="20" t="str">
        <f>IFERROR(IF(_xlfn.XLOOKUP(E59,lookups90!$B$4:$B$999,lookups90!$BG$4:$BG$999,"",0)=0,"",D59*_xlfn.XLOOKUP(E59,lookups90!$B$4:$B$999,lookups90!$BG$4:$BG$999,"",0)),"")</f>
        <v/>
      </c>
      <c r="BU59" s="20" t="str">
        <f>IF(AG59&lt;&gt;"",AG59-_xlfn.XLOOKUP(E59,lookups90!$B$4:$B$999,lookups90!$BA$4:$BA$999,"",0),"")</f>
        <v/>
      </c>
      <c r="BV59" s="20" t="str">
        <f>IFERROR(IF(_xlfn.XLOOKUP(E59,lookups90!$B$4:$B$999,lookups90!$BH$4:$BH$999,"",0)=0,"",D59*_xlfn.XLOOKUP(E59,lookups90!$B$4:$B$999,lookups90!$BH$4:$BH$999,"",0)),"")</f>
        <v/>
      </c>
      <c r="BW59" s="20" t="str" cm="1">
        <f t="array" ref="BW59">_xlfn.IFS(BU59="","",OR(E59="Fix Slide Window",E59="Slide Slide Window"),(K59-_xlfn.XLOOKUP(E59,lookups90!$B$4:$B$999,lookups90!$F$4:$F$999,"",0)-_xlfn.XLOOKUP(E59,lookups90!$B$4:$B$999,lookups90!$G$4:$G$999,"",0)+_xlfn.XLOOKUP(E59,lookups90!$B$4:$B$999,lookups90!$H$4:$H$999,"",0))/2+_xlfn.XLOOKUP(E59,lookups90!$B$4:$B$999,lookups90!$I$4:$I$999,"",0)-_xlfn.XLOOKUP(E59,lookups90!$B$4:$B$999,lookups90!$BA$4:$BA$999,"",0), E59="Fix Slide Slide Fix Window",(K59-_xlfn.XLOOKUP(E59,lookups90!$B$4:$B$999,lookups90!$F$4:$F$999,"",0)-_xlfn.XLOOKUP(E59,lookups90!$B$4:$B$999,lookups90!$G$4:$G$999,"",0)+_xlfn.XLOOKUP(E59,lookups90!$B$4:$B$999,lookups90!$H$4:$H$999,"",0)+_xlfn.XLOOKUP(E59,lookups90!$B$4:$B$999,lookups90!$H$4:$H$999,"",0))/4+_xlfn.XLOOKUP(E59,lookups90!$B$4:$B$999,lookups90!$I$4:$I$999,"",0)-_xlfn.XLOOKUP(E59,lookups90!$B$4:$B$999,lookups90!$BA$4:$BA$999,"",0))</f>
        <v/>
      </c>
      <c r="BX59" s="20" t="str">
        <f>IFERROR(IF(_xlfn.XLOOKUP(E59,lookups90!$B$4:$B$999,lookups90!$BI$4:$BI$999,"",0)=0,"",D59*_xlfn.XLOOKUP(E59,lookups90!$B$4:$B$999,lookups90!$BI$4:$BI$999,"",0)),"")</f>
        <v/>
      </c>
      <c r="BZ59" s="20" t="str">
        <f>IF(AL59&lt;&gt;"", AL59-_xlfn.XLOOKUP(E59,lookups90!$B$4:$B$999,lookups90!$BJ$4:$BJ$999,"",0),"")</f>
        <v/>
      </c>
      <c r="CA59" s="20" t="str">
        <f>IFERROR(IF(_xlfn.XLOOKUP(E59,lookups90!$B$4:$B$999,lookups90!$BK$4:$BK$999,"",0)=0,"",D59*_xlfn.XLOOKUP(E59,lookups90!$B$4:$B$999,lookups90!$BK$4:$BK$999,"",0)),"")</f>
        <v/>
      </c>
      <c r="CC59" s="20" t="str">
        <f>IF(C59&lt;&gt;"", T59-_xlfn.XLOOKUP(E59,lookups90!$B$4:$B$999,lookups90!$BO$4:$BO$999,"",0)-_xlfn.XLOOKUP(E59,lookups90!$B$4:$B$999,lookups90!$BP$4:$BP$999,"",0),"")</f>
        <v/>
      </c>
      <c r="CD59" s="20" t="str">
        <f>IF(C59&lt;&gt;"", X59-_xlfn.XLOOKUP(E59,lookups90!$B$4:$B$999,lookups90!$BQ$4:$BQ$999,"",0)-_xlfn.XLOOKUP(E59,lookups90!$B$4:$B$999,lookups90!$BR$4:$BR$999,"",0),"")</f>
        <v/>
      </c>
      <c r="CE59" s="20" t="str">
        <f>IFERROR(IF(_xlfn.XLOOKUP(E59,lookups90!$B$4:$B$999,lookups90!$BS$4:$BS$999,"",0)=0,"",D59*_xlfn.XLOOKUP(E59,lookups90!$B$4:$B$999,lookups90!$BS$4:$BS$999,"",0)),"")</f>
        <v/>
      </c>
      <c r="CF59" s="20" t="str">
        <f>IF(V59&lt;&gt;"", V59-_xlfn.XLOOKUP(E59,lookups90!$B$4:$B$999,lookups90!$BO$4:$BO$999,"",0)-_xlfn.XLOOKUP(E59,lookups90!$B$4:$B$999,lookups90!$BP$4:$BP$999,"",0),"")</f>
        <v/>
      </c>
      <c r="CG59" s="20" t="str">
        <f>IF(CF59&lt;&gt;"", X59-_xlfn.XLOOKUP(E59,lookups90!$B$4:$B$999,lookups90!$BQ$4:$BQ$999,"",0)-_xlfn.XLOOKUP(E59,lookups90!$B$4:$B$999,lookups90!$BR$4:$BR$999,"",0),"")</f>
        <v/>
      </c>
      <c r="CH59" s="20" t="str">
        <f>IFERROR(IF(_xlfn.XLOOKUP(E59,lookups90!$B$4:$B$999,lookups90!$BT$4:$BT$999,"",0)=0,"",D59*_xlfn.XLOOKUP(E59,lookups90!$B$4:$B$999,lookups90!$BT$4:$BT$999,"",0)),"")</f>
        <v/>
      </c>
      <c r="CJ59" s="22" t="str">
        <f t="shared" si="5"/>
        <v/>
      </c>
      <c r="CL59" s="22" t="str" cm="1">
        <f t="array" ref="CL59">IF(D59&lt;&gt;"",((((J59+K59)*2)/500)+(2*_xlfn.IFS(OR(E59="Fix Slide Window", E59="Slide Slide Window", E59="Fix Slide Slide Fix Window"), 2, E59="Slide Slide Door - with Screen", 8, E59&lt;&gt;"",4)))*D59,"")</f>
        <v/>
      </c>
      <c r="CM59" s="22" t="str">
        <f t="shared" si="9"/>
        <v/>
      </c>
      <c r="CN59" s="22" t="str">
        <f t="shared" si="10"/>
        <v/>
      </c>
      <c r="CO59" s="22" t="str">
        <f t="shared" si="8"/>
        <v/>
      </c>
      <c r="CP59" s="22" t="str">
        <f t="shared" si="11"/>
        <v/>
      </c>
    </row>
    <row r="60" spans="3:94" ht="13.5" customHeight="1" x14ac:dyDescent="0.25">
      <c r="C60" s="16"/>
      <c r="D60" s="16"/>
      <c r="E60" s="16"/>
      <c r="F60" s="16"/>
      <c r="G60" s="16"/>
      <c r="H60" s="16"/>
      <c r="I60" s="16"/>
      <c r="J60" s="16"/>
      <c r="K60" s="16"/>
      <c r="M60" s="20" t="str">
        <f t="shared" si="1"/>
        <v/>
      </c>
      <c r="N60" s="20" t="str" cm="1">
        <f t="array" ref="N60">IFERROR(_xlfn.IFS(OR(E60="Fix Awning (Vertical)", E60="Fix Awning (Horizontal)"), J60/2+20,C60&lt;&gt;"", J60+M60),"")</f>
        <v/>
      </c>
      <c r="O60" s="20" t="str">
        <f t="shared" si="2"/>
        <v/>
      </c>
      <c r="P60" s="20" t="str">
        <f t="shared" si="3"/>
        <v/>
      </c>
      <c r="Q60" s="20" t="str">
        <f t="shared" si="4"/>
        <v/>
      </c>
      <c r="S60" s="20" t="str">
        <f>IF(C60&lt;&gt;"", _xlfn.XLOOKUP(E60,lookups90!$B$4:$B$999,lookups90!$C$4:$C$999,"",0),"")</f>
        <v/>
      </c>
      <c r="T60" s="20" t="str">
        <f>IF(C60&lt;&gt;"", J60-_xlfn.XLOOKUP(E60,lookups90!$B$4:$B$999,lookups90!$D$4:$D$999, "",0),"")</f>
        <v/>
      </c>
      <c r="U60" s="20" t="str">
        <f>IF(T60&lt;&gt;"",D60*_xlfn.XLOOKUP(E60,lookups90!$B$4:$B$999,lookups90!$J$4:$J$999, "",0),"")</f>
        <v/>
      </c>
      <c r="V60" s="20" t="str">
        <f>IF(AND(C60&lt;&gt;"", E60&lt;&gt;"Slide Slide Window", E60&lt;&gt;"Slide Slide Door", E60&lt;&gt;"Slide Slide Door - with Screen"), J60-_xlfn.XLOOKUP(E60,lookups90!$B$4:$B$999,lookups90!$E$4:$E$999, "",0),"")</f>
        <v/>
      </c>
      <c r="W60" s="20" t="str">
        <f>IF(V60&lt;&gt;"",D60*_xlfn.XLOOKUP(E60,lookups90!$B$4:$B$999,lookups90!$K$4:$K$999, "",0),"")</f>
        <v/>
      </c>
      <c r="X60" s="20" t="str" cm="1">
        <f t="array" ref="X60">IFERROR(_xlfn.IFS(OR(E60="Fix Slide Window", E60="Slide Slide Window", E60="Fix Slide Door", E60="Slide Slide Door", E60="Fix Slide Door - with Screen", E60="Slide Slide Door - with Screen"), (K60-_xlfn.XLOOKUP(E60,lookups90!$B$4:$B$999,lookups90!$F$4:$F$999, "",0)-_xlfn.XLOOKUP(E60,lookups90!$B$4:$B$999,lookups90!$G$4:$G$999, "",0)+_xlfn.XLOOKUP(E60,lookups90!$B$4:$B$999,lookups90!$H$4:$H$999, "",0))/2+_xlfn.XLOOKUP(E60,lookups90!$B$4:$B$999,lookups90!$I$4:$I$999, "",0), OR(E60="Fix Slide Slide Fix Window", E60="Fix Slide Slide Fix Door - with Screen", E60="Fix Slide Slide Fix Door"),  (K60-_xlfn.XLOOKUP(E60,lookups90!$B$4:$B$999,lookups90!$F$4:$F$999, "",0)-_xlfn.XLOOKUP(E60,lookups90!$B$4:$B$999,lookups90!$G$4:$G$999, "",0)+_xlfn.XLOOKUP(E60,lookups90!$B$4:$B$999,lookups90!$H$4:$H$999, "",0)+_xlfn.XLOOKUP(E60,lookups90!$B$4:$B$999,lookups90!$H$4:$H$999, "",0))/4+_xlfn.XLOOKUP(E60,lookups90!$B$4:$B$999,lookups90!$I$4:$I$999, "",0), E60="Fix Slide Slide Door", (K60-_xlfn.XLOOKUP(E60,lookups90!$B$4:$B$999,lookups90!$F$4:$F$999, "",0)-_xlfn.XLOOKUP(E60,lookups90!$B$4:$B$999,lookups90!$G$4:$G$999, "",0)+_xlfn.XLOOKUP(E60,lookups90!$B$4:$B$999,lookups90!$H$4:$H$999, "",0)+_xlfn.XLOOKUP(E60,lookups90!$B$4:$B$999,lookups90!$H$4:$H$999, "",0))/3+_xlfn.XLOOKUP(E60,lookups90!$B$4:$B$999,lookups90!$I$4:$I$999, "",0),E60="Fix Slide Slide Slide Slide Fix Dr",  (K60-_xlfn.XLOOKUP(E60,lookups90!$B$4:$B$999,lookups90!$F$4:$F$999, "",0)-_xlfn.XLOOKUP(E60,lookups90!$B$4:$B$999,lookups90!$G$4:$G$999, "",0)+_xlfn.XLOOKUP(E60,lookups90!$B$4:$B$999,lookups90!$H$4:$H$999, "",0)+_xlfn.XLOOKUP(E60,lookups90!$B$4:$B$999,lookups90!$H$4:$H$999, "",0)+_xlfn.XLOOKUP(E60,lookups90!$B$4:$B$999,lookups90!$H$4:$H$999, "",0)+_xlfn.XLOOKUP(E60,lookups90!$B$4:$B$999,lookups90!$H$4:$H$999, "",0))/6+_xlfn.XLOOKUP(E60,lookups90!$B$4:$B$999,lookups90!$I$4:$I$999, "",0), E60="Fix Slide Slide Slide Slide Slide Slide Fix Dr",  (K60-_xlfn.XLOOKUP(E60,lookups90!$B$4:$B$999,lookups90!$F$4:$F$999, "",0)-_xlfn.XLOOKUP(E60,lookups90!$B$4:$B$999,lookups90!$G$4:$G$999, "",0)+_xlfn.XLOOKUP(E60,lookups90!$B$4:$B$999,lookups90!$H$4:$H$999, "",0)+_xlfn.XLOOKUP(E60,lookups90!$B$4:$B$999,lookups90!$H$4:$H$999, "",0)+_xlfn.XLOOKUP(E60,lookups90!$B$4:$B$999,lookups90!$H$4:$H$999, "",0)+_xlfn.XLOOKUP(E60,lookups90!$B$4:$B$999,lookups90!$H$4:$H$999, "",0)+_xlfn.XLOOKUP(E60,lookups90!$B$4:$B$999,lookups90!$H$4:$H$999, "",0)+_xlfn.XLOOKUP(E60,lookups90!$B$4:$B$999,lookups90!$H$4:$H$999, "",0))/8+_xlfn.XLOOKUP(E60,lookups90!$B$4:$B$999,lookups90!$I$4:$I$999, "",0)),"")</f>
        <v/>
      </c>
      <c r="Y60" s="20" t="str">
        <f>IF(X60&lt;&gt;"",D60*_xlfn.XLOOKUP(E60,lookups90!$B$4:$B$999,lookups90!$L$4:$L$999, "",0),"")</f>
        <v/>
      </c>
      <c r="AA60" s="20" t="str">
        <f>IF(C60&lt;&gt;"", IF(_xlfn.XLOOKUP(E60,lookups90!$B$4:$B$999,lookups90!$P$4:$P$999,"",0)=0,"",_xlfn.XLOOKUP(E60,lookups90!$B$4:$B$999,lookups90!$P$4:$P$999,"",0)),"")</f>
        <v/>
      </c>
      <c r="AB60" s="20" t="str">
        <f>IF(AA60&lt;&gt;"", J60-_xlfn.XLOOKUP(E60,lookups90!$B$4:$B$999,lookups90!$D$4:$D$999, "",0),"")</f>
        <v/>
      </c>
      <c r="AC60" s="20" t="str">
        <f>IF(AA60&lt;&gt;"",D60*_xlfn.XLOOKUP(E60,lookups90!$B$4:$B$999,lookups90!$Q$4:$Q$999, "",0),"")</f>
        <v/>
      </c>
      <c r="AD60" s="20" t="str" cm="1">
        <f t="array" ref="AD60">IF(AA60&lt;&gt;"", _xlfn.IFS(OR(E60="Fix Slide Window", E60="Slide Slide Window", E60="Fix Slide Door", E60="Slide Slide Door", E60="Fix Slide Door - with Screen", E60="Slide Slide Door - with Screen"), (K60-_xlfn.XLOOKUP(E60,lookups90!$B$4:$B$999,lookups90!$F$4:$F$999, "",0)-_xlfn.XLOOKUP(E60,lookups90!$B$4:$B$999,lookups90!$G$4:$G$999, "",0)+_xlfn.XLOOKUP(E60,lookups90!$B$4:$B$999,lookups90!$H$4:$H$999, "",0))/2+_xlfn.XLOOKUP(E60,lookups90!$B$4:$B$999,lookups90!$I$4:$I$999, "",0), OR(E60="Fix Slide Slide Fix Window", E60="Fix Slide Slide Fix Door - with Screen", E60="Fix Slide Slide Fix Door"),  (K60-_xlfn.XLOOKUP(E60,lookups90!$B$4:$B$999,lookups90!$F$4:$F$999, "",0)-_xlfn.XLOOKUP(E60,lookups90!$B$4:$B$999,lookups90!$G$4:$G$999, "",0)+_xlfn.XLOOKUP(E60,lookups90!$B$4:$B$999,lookups90!$H$4:$H$999, "",0)+_xlfn.XLOOKUP(E60,lookups90!$B$4:$B$999,lookups90!$H$4:$H$999, "",0))/4+_xlfn.XLOOKUP(E60,lookups90!$B$4:$B$999,lookups90!$I$4:$I$999, "",0), E60="Fix Slide Slide Door", (K60-_xlfn.XLOOKUP(E60,lookups90!$B$4:$B$999,lookups90!$F$4:$F$999, "",0)-_xlfn.XLOOKUP(E60,lookups90!$B$4:$B$999,lookups90!$G$4:$G$999, "",0)+_xlfn.XLOOKUP(E60,lookups90!$B$4:$B$999,lookups90!$H$4:$H$999, "",0)+_xlfn.XLOOKUP(E60,lookups90!$B$4:$B$999,lookups90!$H$4:$H$999, "",0))/3+_xlfn.XLOOKUP(E60,lookups90!$B$4:$B$999,lookups90!$I$4:$I$999, "",0) ),"")</f>
        <v/>
      </c>
      <c r="AE60" s="20" t="str">
        <f>IF(AA60&lt;&gt;"",D60*_xlfn.XLOOKUP(E60,lookups90!$B$4:$B$999,lookups90!$R$4:$R$999, "",0),"")</f>
        <v/>
      </c>
      <c r="AG60" s="20" t="str">
        <f>IF(AH60&lt;&gt;"", J60-_xlfn.XLOOKUP(E60,lookups90!$B$4:$B$999,lookups90!$D$4:$D$999, "",0),"")</f>
        <v/>
      </c>
      <c r="AH60" s="20" t="str">
        <f>IF(_xlfn.XLOOKUP(E60,lookups90!$B$4:$B$999,lookups90!$V$4:$V$999,"",0)=0,"",D60*_xlfn.XLOOKUP(E60,lookups90!$B$4:$B$999,lookups90!$V$4:$V$999,"",0))</f>
        <v/>
      </c>
      <c r="AI60" s="20" t="str" cm="1">
        <f t="array" ref="AI60">IF(AH60&lt;&gt;"", _xlfn.IFS(OR(E60="Fix Slide Window", E60="Slide Slide Window"), (K60-_xlfn.XLOOKUP(E60,lookups90!$B$4:$B$999,lookups90!$F$4:$F$999, "",0)-_xlfn.XLOOKUP(E60,lookups90!$B$4:$B$999,lookups90!$G$4:$G$999, "",0)+_xlfn.XLOOKUP(E60,lookups90!$B$4:$B$999,lookups90!$H$4:$H$999, "",0))/2+_xlfn.XLOOKUP(E60,lookups90!$B$4:$B$999,lookups90!$I$4:$I$999, "",0), OR(E60="Fix Slide Slide Fix Window"),  (K60-_xlfn.XLOOKUP(E60,lookups90!$B$4:$B$999,lookups90!$F$4:$F$999, "",0)+_xlfn.XLOOKUP(E60,lookups90!$B$4:$B$999,lookups90!$H$4:$H$999, "",0)+_xlfn.XLOOKUP(E60,lookups90!$B$4:$B$999,lookups90!$H$4:$H$999, "",0))/4+_xlfn.XLOOKUP(E60,lookups90!$B$4:$B$999,lookups90!$I$4:$I$999, "",0)),"")</f>
        <v/>
      </c>
      <c r="AJ60" s="20" t="str">
        <f>IF(_xlfn.XLOOKUP(E60,lookups90!$B$4:$B$999,lookups90!$V$4:$V$999,"",0)=0,"",D60*_xlfn.XLOOKUP(E60,lookups90!$B$4:$B$999,lookups90!$W$4:$W$999,"",0))</f>
        <v/>
      </c>
      <c r="AL60" s="20" t="str" cm="1">
        <f t="array" ref="AL60">IF(AM60&lt;&gt;"", _xlfn.IFS(OR(E60="Fix Slide Door - with Screen", E60="Slide Slide Door - with Screen"), (K60-_xlfn.XLOOKUP(E60,lookups90!$B$4:$B$999,lookups90!$F$4:$F$999, "",0)-_xlfn.XLOOKUP(E60,lookups90!$B$4:$B$999,lookups90!$G$4:$G$999, "",0)+_xlfn.XLOOKUP(E60,lookups90!$B$4:$B$999,lookups90!$H$4:$H$999, "",0))/2+_xlfn.XLOOKUP(E60,lookups90!$B$4:$B$999,lookups90!$I$4:$I$999, "",0), OR( E60="Fix Slide Slide Fix Door - with Screen",  E60="Fix Slide Slide Door"),  (K60-_xlfn.XLOOKUP(E60,lookups90!$B$4:$B$999,lookups90!$F$4:$F$999, "",0)-_xlfn.XLOOKUP(E60,lookups90!$B$4:$B$999,lookups90!$G$4:$G$999, "",0)+_xlfn.XLOOKUP(E60,lookups90!$B$4:$B$999,lookups90!$H$4:$H$999, "",0)+_xlfn.XLOOKUP(E60,lookups90!$B$4:$B$999,lookups90!$H$4:$H$999, "",0))/4+_xlfn.XLOOKUP(E60,lookups90!$B$4:$B$999,lookups90!$I$4:$I$999, "",0)),"")</f>
        <v/>
      </c>
      <c r="AM60" s="20" t="str">
        <f>IF(_xlfn.XLOOKUP(E60,lookups90!$B$4:$B$999,lookups90!$AA$4:$AA$999,"",0)=0,"",D60*_xlfn.XLOOKUP(E60,lookups90!$B$4:$B$999,lookups90!$AA$4:$AA$999,"",0))</f>
        <v/>
      </c>
      <c r="AO60" s="20" t="str">
        <f>IFERROR(IF(C60&lt;&gt;"", T60-_xlfn.XLOOKUP(E60,lookups90!$B$4:$B$999,lookups90!$AE$4:$AE$999, "",0),""),"")</f>
        <v/>
      </c>
      <c r="AP60" s="20" t="str">
        <f>IF(_xlfn.XLOOKUP(E60,lookups90!$B$4:$B$999,lookups90!$AG$4:$AG$999,"",0)=0,"",D60*_xlfn.XLOOKUP(E60,lookups90!$B$4:$B$999,lookups90!$AG$4:$AG$999,"",0))</f>
        <v/>
      </c>
      <c r="AQ60" s="20" t="str">
        <f>IF(V60&lt;&gt;"", T60-_xlfn.XLOOKUP(E60,lookups90!$B$4:$B$999,lookups90!$AE$4:$AE$999, "",0)+_xlfn.XLOOKUP(E60,lookups90!$B$4:$B$999,lookups90!$AF$4:$AF$999, "",0),"")</f>
        <v/>
      </c>
      <c r="AR60" s="20" t="str">
        <f>IFERROR(IF(_xlfn.XLOOKUP(E60,lookups90!$B$4:$B$999,lookups90!$AH$4:$AH$999,"",0)=0,"",D60*_xlfn.XLOOKUP(E60,lookups90!$B$4:$B$999,lookups90!$AH$4:$AH$999,"",0)),"")</f>
        <v/>
      </c>
      <c r="AT60" s="20" t="str">
        <f>IF(OR(E60="Fix Slide Slide Fix Window", E60="Fix Slide Slide Fix Door", E60="Fix Slide Slide Fix Door - with Screen", E60="Fix Slide Slide Door"), T60-_xlfn.XLOOKUP(E60,lookups90!$B$4:$B$999,lookups90!$AE$4:$AE$999,"",0),"")</f>
        <v/>
      </c>
      <c r="AU60" s="20" t="str">
        <f>IFERROR(IF(_xlfn.XLOOKUP(E60,lookups90!$B$4:$B$999,lookups90!$AL$4:$AL$999,"",0)=0,"",D60*_xlfn.XLOOKUP(E60,lookups90!$B$4:$B$999,lookups90!$AL$4:$AL$999,"",0)),"")</f>
        <v/>
      </c>
      <c r="AW60" s="20" t="str">
        <f>IF(C60&lt;&gt;"", T60-_xlfn.XLOOKUP(E60,lookups90!$B$4:$B$999,lookups90!$AP$4:$AP$999,"",0),"")</f>
        <v/>
      </c>
      <c r="AX60" s="20" t="str">
        <f>IFERROR(IF(_xlfn.XLOOKUP(E60,lookups90!$B$4:$B$999,lookups90!$AR$4:$AR$999,"",0)=0,"",D60*_xlfn.XLOOKUP(E60,lookups90!$B$4:$B$999,lookups90!$AR$4:$AR$999,"",0)),"")</f>
        <v/>
      </c>
      <c r="AY60" s="24" t="str">
        <f>IF(V60&lt;&gt;"", V60-_xlfn.XLOOKUP(E60,lookups90!$B$4:$B$999,lookups90!$AP$4:$AP$999,"",0),"")</f>
        <v/>
      </c>
      <c r="AZ60" s="20" t="str">
        <f>IFERROR(IF(_xlfn.XLOOKUP(E60,lookups90!$B$4:$B$999,lookups90!$AS$4:$AS$999,"",0)=0,"",D60*_xlfn.XLOOKUP(E60,lookups90!$B$4:$B$999,lookups90!$AS$4:$AS$999,"",0)),"")</f>
        <v/>
      </c>
      <c r="BA60" s="20" t="str">
        <f>IF(X60&lt;&gt;"", X60-_xlfn.XLOOKUP(E60,lookups90!$B$4:$B$999,lookups90!$AQ$4:$AQ$999,"",0),"")</f>
        <v/>
      </c>
      <c r="BB60" s="20" t="str">
        <f>IFERROR(IF(_xlfn.XLOOKUP(E60,lookups90!$B$4:$B$999,lookups90!$AT$4:$AT$999,"",0)=0,"",D60*_xlfn.XLOOKUP(E60,lookups90!$B$4:$B$999,lookups90!$AT$4:$AT$999,"",0)),"")</f>
        <v/>
      </c>
      <c r="BD60" s="20" t="str">
        <f>IF(C60&lt;&gt;"", N60-_xlfn.XLOOKUP(E60,lookups90!$B$4:$B$999,lookups90!$AX$4:$AX$999,"",0)+M60,"")</f>
        <v/>
      </c>
      <c r="BE60" s="20" t="str">
        <f>IFERROR(IF(_xlfn.XLOOKUP(E60,lookups90!$B$4:$B$999,lookups90!$AY$4:$AY$999,"",0)=0,"",D60*_xlfn.XLOOKUP(E60,lookups90!$B$4:$B$999,lookups90!$AY$4:$AY$999,"",0)),"")</f>
        <v/>
      </c>
      <c r="BF60" s="20" t="str">
        <f>IF(C60&lt;&gt;"", P60-_xlfn.XLOOKUP(E60,lookups90!$B$4:$B$999,lookups90!$AX$4:$AX$999,"",0)+M60,"")</f>
        <v/>
      </c>
      <c r="BG60" s="20" t="str">
        <f>IFERROR(IF(_xlfn.XLOOKUP(E60,lookups90!$B$4:$B$999,lookups90!$AZ$4:$AZ$999,"",0)=0,"",D60*_xlfn.XLOOKUP(E60,lookups90!$B$4:$B$999,lookups90!$AZ$4:$AZ$999,"",0)),"")</f>
        <v/>
      </c>
      <c r="BI60" s="20" t="str">
        <f>IF(C60&lt;&gt;"", T60-_xlfn.XLOOKUP(E60,lookups90!$B$4:$B$999,lookups90!$BA$4:$BA$999,"",0),"")</f>
        <v/>
      </c>
      <c r="BJ60" s="20" t="str">
        <f>IFERROR(IF(_xlfn.XLOOKUP(E60,lookups90!$B$4:$B$999,lookups90!$BB$4:$BB$999,"",0)=0,"",D60*_xlfn.XLOOKUP(E60,lookups90!$B$4:$B$999,lookups90!$BB$4:$BB$999,"",0)),"")</f>
        <v/>
      </c>
      <c r="BK60" s="20" t="str">
        <f>IF(V60&lt;&gt;"", V60-_xlfn.XLOOKUP(E60,lookups90!$B$4:$B$999,lookups90!$BA$4:$BA$999,"",0),"")</f>
        <v/>
      </c>
      <c r="BL60" s="20" t="str">
        <f>IFERROR(IF(_xlfn.XLOOKUP(E60,lookups90!$B$4:$B$999,lookups90!$BC$4:$BC$999,"",0)=0,"",D60*_xlfn.XLOOKUP(E60,lookups90!$B$4:$B$999,lookups90!$BC$4:$BC$999,"",0)),"")</f>
        <v/>
      </c>
      <c r="BM60" s="20" t="str">
        <f>IF(C60&lt;&gt;"", X60-_xlfn.XLOOKUP(E60,lookups90!$B$4:$B$999,lookups90!$BA$4:$BA$999,"",0),"")</f>
        <v/>
      </c>
      <c r="BN60" s="20" t="str">
        <f>IFERROR(IF(_xlfn.XLOOKUP(E60,lookups90!$B$4:$B$999,lookups90!$BD$4:$BD$999,"",0)=0,"",D60*_xlfn.XLOOKUP(E60,lookups90!$B$4:$B$999,lookups90!$BD$4:$BD$999,"",0)),"")</f>
        <v/>
      </c>
      <c r="BP60" s="20" t="str">
        <f>IF(AB60&lt;&gt;"", AB60-_xlfn.XLOOKUP(E60,lookups90!$B$4:$B$999,lookups90!$BE$4:$BE$999,"",0),"")</f>
        <v/>
      </c>
      <c r="BQ60" s="20" t="str">
        <f>IFERROR(IF(_xlfn.XLOOKUP(E60,lookups90!$B$4:$B$999,lookups90!$BF$4:$BF$999,"",0)=0,"",D60*_xlfn.XLOOKUP(E60,lookups90!$B$4:$B$999,lookups90!$BF$4:$BF$999,"",0)),"")</f>
        <v/>
      </c>
      <c r="BR60" s="20" t="str" cm="1">
        <f t="array" ref="BR60">_xlfn.IFS(BP60="","",OR(E60="Fix Slide Door - with Screen",E60="Slide Slide Door - with Screen"),(K60-_xlfn.XLOOKUP(E60,lookups90!$B$4:$B$999,lookups90!$F$4:$F$999,"",0)-_xlfn.XLOOKUP(E60,lookups90!$B$4:$B$999,lookups90!$G$4:$G$999,"",0)+_xlfn.XLOOKUP(E60,lookups90!$B$4:$B$999,lookups90!$H$4:$H$999,"",0))/2+_xlfn.XLOOKUP(E60,lookups90!$B$4:$B$999,lookups90!$I$4:$I$999,"",0)-_xlfn.XLOOKUP(E60,lookups90!$B$4:$B$999,lookups90!$BE$4:$BE$999,"",0), E60="Fix Slide Slide Fix Door - with Screen",(K60-_xlfn.XLOOKUP(E60,lookups90!$B$4:$B$999,lookups90!$F$4:$F$999,"",0)-_xlfn.XLOOKUP(E60,lookups90!$B$4:$B$999,lookups90!$G$4:$G$999,"",0)+_xlfn.XLOOKUP(E60,lookups90!$B$4:$B$999,lookups90!$H$4:$H$999,"",0)+_xlfn.XLOOKUP(E60,lookups90!$B$4:$B$999,lookups90!$H$4:$H$999,"",0))/4+_xlfn.XLOOKUP(E60,lookups90!$B$4:$B$999,lookups90!$I$4:$I$999,"",0)-_xlfn.XLOOKUP(E60,lookups90!$B$4:$B$999,lookups90!$BE$4:$BE$999,"",0))</f>
        <v/>
      </c>
      <c r="BS60" s="20" t="str">
        <f>IFERROR(IF(_xlfn.XLOOKUP(E60,lookups90!$B$4:$B$999,lookups90!$BG$4:$BG$999,"",0)=0,"",D60*_xlfn.XLOOKUP(E60,lookups90!$B$4:$B$999,lookups90!$BG$4:$BG$999,"",0)),"")</f>
        <v/>
      </c>
      <c r="BU60" s="20" t="str">
        <f>IF(AG60&lt;&gt;"",AG60-_xlfn.XLOOKUP(E60,lookups90!$B$4:$B$999,lookups90!$BA$4:$BA$999,"",0),"")</f>
        <v/>
      </c>
      <c r="BV60" s="20" t="str">
        <f>IFERROR(IF(_xlfn.XLOOKUP(E60,lookups90!$B$4:$B$999,lookups90!$BH$4:$BH$999,"",0)=0,"",D60*_xlfn.XLOOKUP(E60,lookups90!$B$4:$B$999,lookups90!$BH$4:$BH$999,"",0)),"")</f>
        <v/>
      </c>
      <c r="BW60" s="20" t="str" cm="1">
        <f t="array" ref="BW60">_xlfn.IFS(BU60="","",OR(E60="Fix Slide Window",E60="Slide Slide Window"),(K60-_xlfn.XLOOKUP(E60,lookups90!$B$4:$B$999,lookups90!$F$4:$F$999,"",0)-_xlfn.XLOOKUP(E60,lookups90!$B$4:$B$999,lookups90!$G$4:$G$999,"",0)+_xlfn.XLOOKUP(E60,lookups90!$B$4:$B$999,lookups90!$H$4:$H$999,"",0))/2+_xlfn.XLOOKUP(E60,lookups90!$B$4:$B$999,lookups90!$I$4:$I$999,"",0)-_xlfn.XLOOKUP(E60,lookups90!$B$4:$B$999,lookups90!$BA$4:$BA$999,"",0), E60="Fix Slide Slide Fix Window",(K60-_xlfn.XLOOKUP(E60,lookups90!$B$4:$B$999,lookups90!$F$4:$F$999,"",0)-_xlfn.XLOOKUP(E60,lookups90!$B$4:$B$999,lookups90!$G$4:$G$999,"",0)+_xlfn.XLOOKUP(E60,lookups90!$B$4:$B$999,lookups90!$H$4:$H$999,"",0)+_xlfn.XLOOKUP(E60,lookups90!$B$4:$B$999,lookups90!$H$4:$H$999,"",0))/4+_xlfn.XLOOKUP(E60,lookups90!$B$4:$B$999,lookups90!$I$4:$I$999,"",0)-_xlfn.XLOOKUP(E60,lookups90!$B$4:$B$999,lookups90!$BA$4:$BA$999,"",0))</f>
        <v/>
      </c>
      <c r="BX60" s="20" t="str">
        <f>IFERROR(IF(_xlfn.XLOOKUP(E60,lookups90!$B$4:$B$999,lookups90!$BI$4:$BI$999,"",0)=0,"",D60*_xlfn.XLOOKUP(E60,lookups90!$B$4:$B$999,lookups90!$BI$4:$BI$999,"",0)),"")</f>
        <v/>
      </c>
      <c r="BZ60" s="20" t="str">
        <f>IF(AL60&lt;&gt;"", AL60-_xlfn.XLOOKUP(E60,lookups90!$B$4:$B$999,lookups90!$BJ$4:$BJ$999,"",0),"")</f>
        <v/>
      </c>
      <c r="CA60" s="20" t="str">
        <f>IFERROR(IF(_xlfn.XLOOKUP(E60,lookups90!$B$4:$B$999,lookups90!$BK$4:$BK$999,"",0)=0,"",D60*_xlfn.XLOOKUP(E60,lookups90!$B$4:$B$999,lookups90!$BK$4:$BK$999,"",0)),"")</f>
        <v/>
      </c>
      <c r="CC60" s="20" t="str">
        <f>IF(C60&lt;&gt;"", T60-_xlfn.XLOOKUP(E60,lookups90!$B$4:$B$999,lookups90!$BO$4:$BO$999,"",0)-_xlfn.XLOOKUP(E60,lookups90!$B$4:$B$999,lookups90!$BP$4:$BP$999,"",0),"")</f>
        <v/>
      </c>
      <c r="CD60" s="20" t="str">
        <f>IF(C60&lt;&gt;"", X60-_xlfn.XLOOKUP(E60,lookups90!$B$4:$B$999,lookups90!$BQ$4:$BQ$999,"",0)-_xlfn.XLOOKUP(E60,lookups90!$B$4:$B$999,lookups90!$BR$4:$BR$999,"",0),"")</f>
        <v/>
      </c>
      <c r="CE60" s="20" t="str">
        <f>IFERROR(IF(_xlfn.XLOOKUP(E60,lookups90!$B$4:$B$999,lookups90!$BS$4:$BS$999,"",0)=0,"",D60*_xlfn.XLOOKUP(E60,lookups90!$B$4:$B$999,lookups90!$BS$4:$BS$999,"",0)),"")</f>
        <v/>
      </c>
      <c r="CF60" s="20" t="str">
        <f>IF(V60&lt;&gt;"", V60-_xlfn.XLOOKUP(E60,lookups90!$B$4:$B$999,lookups90!$BO$4:$BO$999,"",0)-_xlfn.XLOOKUP(E60,lookups90!$B$4:$B$999,lookups90!$BP$4:$BP$999,"",0),"")</f>
        <v/>
      </c>
      <c r="CG60" s="20" t="str">
        <f>IF(CF60&lt;&gt;"", X60-_xlfn.XLOOKUP(E60,lookups90!$B$4:$B$999,lookups90!$BQ$4:$BQ$999,"",0)-_xlfn.XLOOKUP(E60,lookups90!$B$4:$B$999,lookups90!$BR$4:$BR$999,"",0),"")</f>
        <v/>
      </c>
      <c r="CH60" s="20" t="str">
        <f>IFERROR(IF(_xlfn.XLOOKUP(E60,lookups90!$B$4:$B$999,lookups90!$BT$4:$BT$999,"",0)=0,"",D60*_xlfn.XLOOKUP(E60,lookups90!$B$4:$B$999,lookups90!$BT$4:$BT$999,"",0)),"")</f>
        <v/>
      </c>
      <c r="CJ60" s="22" t="str">
        <f t="shared" si="5"/>
        <v/>
      </c>
      <c r="CL60" s="22" t="str" cm="1">
        <f t="array" ref="CL60">IF(D60&lt;&gt;"",((((J60+K60)*2)/500)+(2*_xlfn.IFS(OR(E60="Fix Slide Window", E60="Slide Slide Window", E60="Fix Slide Slide Fix Window"), 2, E60="Slide Slide Door - with Screen", 8, E60&lt;&gt;"",4)))*D60,"")</f>
        <v/>
      </c>
      <c r="CM60" s="22" t="str">
        <f t="shared" si="9"/>
        <v/>
      </c>
      <c r="CN60" s="22" t="str">
        <f t="shared" si="10"/>
        <v/>
      </c>
      <c r="CO60" s="22" t="str">
        <f t="shared" si="8"/>
        <v/>
      </c>
      <c r="CP60" s="22" t="str">
        <f t="shared" si="11"/>
        <v/>
      </c>
    </row>
    <row r="61" spans="3:94" ht="13.5" customHeight="1" x14ac:dyDescent="0.25">
      <c r="C61" s="16"/>
      <c r="D61" s="16"/>
      <c r="E61" s="16"/>
      <c r="F61" s="16"/>
      <c r="G61" s="16"/>
      <c r="H61" s="16"/>
      <c r="I61" s="16"/>
      <c r="J61" s="16"/>
      <c r="K61" s="16"/>
      <c r="M61" s="20" t="str">
        <f t="shared" si="1"/>
        <v/>
      </c>
      <c r="N61" s="20" t="str" cm="1">
        <f t="array" ref="N61">IFERROR(_xlfn.IFS(OR(E61="Fix Awning (Vertical)", E61="Fix Awning (Horizontal)"), J61/2+20,C61&lt;&gt;"", J61+M61),"")</f>
        <v/>
      </c>
      <c r="O61" s="20" t="str">
        <f t="shared" si="2"/>
        <v/>
      </c>
      <c r="P61" s="20" t="str">
        <f t="shared" si="3"/>
        <v/>
      </c>
      <c r="Q61" s="20" t="str">
        <f t="shared" si="4"/>
        <v/>
      </c>
      <c r="S61" s="20" t="str">
        <f>IF(C61&lt;&gt;"", _xlfn.XLOOKUP(E61,lookups90!$B$4:$B$999,lookups90!$C$4:$C$999,"",0),"")</f>
        <v/>
      </c>
      <c r="T61" s="20" t="str">
        <f>IF(C61&lt;&gt;"", J61-_xlfn.XLOOKUP(E61,lookups90!$B$4:$B$999,lookups90!$D$4:$D$999, "",0),"")</f>
        <v/>
      </c>
      <c r="U61" s="20" t="str">
        <f>IF(T61&lt;&gt;"",D61*_xlfn.XLOOKUP(E61,lookups90!$B$4:$B$999,lookups90!$J$4:$J$999, "",0),"")</f>
        <v/>
      </c>
      <c r="V61" s="20" t="str">
        <f>IF(AND(C61&lt;&gt;"", E61&lt;&gt;"Slide Slide Window", E61&lt;&gt;"Slide Slide Door", E61&lt;&gt;"Slide Slide Door - with Screen"), J61-_xlfn.XLOOKUP(E61,lookups90!$B$4:$B$999,lookups90!$E$4:$E$999, "",0),"")</f>
        <v/>
      </c>
      <c r="W61" s="20" t="str">
        <f>IF(V61&lt;&gt;"",D61*_xlfn.XLOOKUP(E61,lookups90!$B$4:$B$999,lookups90!$K$4:$K$999, "",0),"")</f>
        <v/>
      </c>
      <c r="X61" s="20" t="str" cm="1">
        <f t="array" ref="X61">IFERROR(_xlfn.IFS(OR(E61="Fix Slide Window", E61="Slide Slide Window", E61="Fix Slide Door", E61="Slide Slide Door", E61="Fix Slide Door - with Screen", E61="Slide Slide Door - with Screen"), (K61-_xlfn.XLOOKUP(E61,lookups90!$B$4:$B$999,lookups90!$F$4:$F$999, "",0)-_xlfn.XLOOKUP(E61,lookups90!$B$4:$B$999,lookups90!$G$4:$G$999, "",0)+_xlfn.XLOOKUP(E61,lookups90!$B$4:$B$999,lookups90!$H$4:$H$999, "",0))/2+_xlfn.XLOOKUP(E61,lookups90!$B$4:$B$999,lookups90!$I$4:$I$999, "",0), OR(E61="Fix Slide Slide Fix Window", E61="Fix Slide Slide Fix Door - with Screen", E61="Fix Slide Slide Fix Door"),  (K61-_xlfn.XLOOKUP(E61,lookups90!$B$4:$B$999,lookups90!$F$4:$F$999, "",0)-_xlfn.XLOOKUP(E61,lookups90!$B$4:$B$999,lookups90!$G$4:$G$999, "",0)+_xlfn.XLOOKUP(E61,lookups90!$B$4:$B$999,lookups90!$H$4:$H$999, "",0)+_xlfn.XLOOKUP(E61,lookups90!$B$4:$B$999,lookups90!$H$4:$H$999, "",0))/4+_xlfn.XLOOKUP(E61,lookups90!$B$4:$B$999,lookups90!$I$4:$I$999, "",0), E61="Fix Slide Slide Door", (K61-_xlfn.XLOOKUP(E61,lookups90!$B$4:$B$999,lookups90!$F$4:$F$999, "",0)-_xlfn.XLOOKUP(E61,lookups90!$B$4:$B$999,lookups90!$G$4:$G$999, "",0)+_xlfn.XLOOKUP(E61,lookups90!$B$4:$B$999,lookups90!$H$4:$H$999, "",0)+_xlfn.XLOOKUP(E61,lookups90!$B$4:$B$999,lookups90!$H$4:$H$999, "",0))/3+_xlfn.XLOOKUP(E61,lookups90!$B$4:$B$999,lookups90!$I$4:$I$999, "",0),E61="Fix Slide Slide Slide Slide Fix Dr",  (K61-_xlfn.XLOOKUP(E61,lookups90!$B$4:$B$999,lookups90!$F$4:$F$999, "",0)-_xlfn.XLOOKUP(E61,lookups90!$B$4:$B$999,lookups90!$G$4:$G$999, "",0)+_xlfn.XLOOKUP(E61,lookups90!$B$4:$B$999,lookups90!$H$4:$H$999, "",0)+_xlfn.XLOOKUP(E61,lookups90!$B$4:$B$999,lookups90!$H$4:$H$999, "",0)+_xlfn.XLOOKUP(E61,lookups90!$B$4:$B$999,lookups90!$H$4:$H$999, "",0)+_xlfn.XLOOKUP(E61,lookups90!$B$4:$B$999,lookups90!$H$4:$H$999, "",0))/6+_xlfn.XLOOKUP(E61,lookups90!$B$4:$B$999,lookups90!$I$4:$I$999, "",0), E61="Fix Slide Slide Slide Slide Slide Slide Fix Dr",  (K61-_xlfn.XLOOKUP(E61,lookups90!$B$4:$B$999,lookups90!$F$4:$F$999, "",0)-_xlfn.XLOOKUP(E61,lookups90!$B$4:$B$999,lookups90!$G$4:$G$999, "",0)+_xlfn.XLOOKUP(E61,lookups90!$B$4:$B$999,lookups90!$H$4:$H$999, "",0)+_xlfn.XLOOKUP(E61,lookups90!$B$4:$B$999,lookups90!$H$4:$H$999, "",0)+_xlfn.XLOOKUP(E61,lookups90!$B$4:$B$999,lookups90!$H$4:$H$999, "",0)+_xlfn.XLOOKUP(E61,lookups90!$B$4:$B$999,lookups90!$H$4:$H$999, "",0)+_xlfn.XLOOKUP(E61,lookups90!$B$4:$B$999,lookups90!$H$4:$H$999, "",0)+_xlfn.XLOOKUP(E61,lookups90!$B$4:$B$999,lookups90!$H$4:$H$999, "",0))/8+_xlfn.XLOOKUP(E61,lookups90!$B$4:$B$999,lookups90!$I$4:$I$999, "",0)),"")</f>
        <v/>
      </c>
      <c r="Y61" s="20" t="str">
        <f>IF(X61&lt;&gt;"",D61*_xlfn.XLOOKUP(E61,lookups90!$B$4:$B$999,lookups90!$L$4:$L$999, "",0),"")</f>
        <v/>
      </c>
      <c r="AA61" s="20" t="str">
        <f>IF(C61&lt;&gt;"", IF(_xlfn.XLOOKUP(E61,lookups90!$B$4:$B$999,lookups90!$P$4:$P$999,"",0)=0,"",_xlfn.XLOOKUP(E61,lookups90!$B$4:$B$999,lookups90!$P$4:$P$999,"",0)),"")</f>
        <v/>
      </c>
      <c r="AB61" s="20" t="str">
        <f>IF(AA61&lt;&gt;"", J61-_xlfn.XLOOKUP(E61,lookups90!$B$4:$B$999,lookups90!$D$4:$D$999, "",0),"")</f>
        <v/>
      </c>
      <c r="AC61" s="20" t="str">
        <f>IF(AA61&lt;&gt;"",D61*_xlfn.XLOOKUP(E61,lookups90!$B$4:$B$999,lookups90!$Q$4:$Q$999, "",0),"")</f>
        <v/>
      </c>
      <c r="AD61" s="20" t="str" cm="1">
        <f t="array" ref="AD61">IF(AA61&lt;&gt;"", _xlfn.IFS(OR(E61="Fix Slide Window", E61="Slide Slide Window", E61="Fix Slide Door", E61="Slide Slide Door", E61="Fix Slide Door - with Screen", E61="Slide Slide Door - with Screen"), (K61-_xlfn.XLOOKUP(E61,lookups90!$B$4:$B$999,lookups90!$F$4:$F$999, "",0)-_xlfn.XLOOKUP(E61,lookups90!$B$4:$B$999,lookups90!$G$4:$G$999, "",0)+_xlfn.XLOOKUP(E61,lookups90!$B$4:$B$999,lookups90!$H$4:$H$999, "",0))/2+_xlfn.XLOOKUP(E61,lookups90!$B$4:$B$999,lookups90!$I$4:$I$999, "",0), OR(E61="Fix Slide Slide Fix Window", E61="Fix Slide Slide Fix Door - with Screen", E61="Fix Slide Slide Fix Door"),  (K61-_xlfn.XLOOKUP(E61,lookups90!$B$4:$B$999,lookups90!$F$4:$F$999, "",0)-_xlfn.XLOOKUP(E61,lookups90!$B$4:$B$999,lookups90!$G$4:$G$999, "",0)+_xlfn.XLOOKUP(E61,lookups90!$B$4:$B$999,lookups90!$H$4:$H$999, "",0)+_xlfn.XLOOKUP(E61,lookups90!$B$4:$B$999,lookups90!$H$4:$H$999, "",0))/4+_xlfn.XLOOKUP(E61,lookups90!$B$4:$B$999,lookups90!$I$4:$I$999, "",0), E61="Fix Slide Slide Door", (K61-_xlfn.XLOOKUP(E61,lookups90!$B$4:$B$999,lookups90!$F$4:$F$999, "",0)-_xlfn.XLOOKUP(E61,lookups90!$B$4:$B$999,lookups90!$G$4:$G$999, "",0)+_xlfn.XLOOKUP(E61,lookups90!$B$4:$B$999,lookups90!$H$4:$H$999, "",0)+_xlfn.XLOOKUP(E61,lookups90!$B$4:$B$999,lookups90!$H$4:$H$999, "",0))/3+_xlfn.XLOOKUP(E61,lookups90!$B$4:$B$999,lookups90!$I$4:$I$999, "",0) ),"")</f>
        <v/>
      </c>
      <c r="AE61" s="20" t="str">
        <f>IF(AA61&lt;&gt;"",D61*_xlfn.XLOOKUP(E61,lookups90!$B$4:$B$999,lookups90!$R$4:$R$999, "",0),"")</f>
        <v/>
      </c>
      <c r="AG61" s="20" t="str">
        <f>IF(AH61&lt;&gt;"", J61-_xlfn.XLOOKUP(E61,lookups90!$B$4:$B$999,lookups90!$D$4:$D$999, "",0),"")</f>
        <v/>
      </c>
      <c r="AH61" s="20" t="str">
        <f>IF(_xlfn.XLOOKUP(E61,lookups90!$B$4:$B$999,lookups90!$V$4:$V$999,"",0)=0,"",D61*_xlfn.XLOOKUP(E61,lookups90!$B$4:$B$999,lookups90!$V$4:$V$999,"",0))</f>
        <v/>
      </c>
      <c r="AI61" s="20" t="str" cm="1">
        <f t="array" ref="AI61">IF(AH61&lt;&gt;"", _xlfn.IFS(OR(E61="Fix Slide Window", E61="Slide Slide Window"), (K61-_xlfn.XLOOKUP(E61,lookups90!$B$4:$B$999,lookups90!$F$4:$F$999, "",0)-_xlfn.XLOOKUP(E61,lookups90!$B$4:$B$999,lookups90!$G$4:$G$999, "",0)+_xlfn.XLOOKUP(E61,lookups90!$B$4:$B$999,lookups90!$H$4:$H$999, "",0))/2+_xlfn.XLOOKUP(E61,lookups90!$B$4:$B$999,lookups90!$I$4:$I$999, "",0), OR(E61="Fix Slide Slide Fix Window"),  (K61-_xlfn.XLOOKUP(E61,lookups90!$B$4:$B$999,lookups90!$F$4:$F$999, "",0)+_xlfn.XLOOKUP(E61,lookups90!$B$4:$B$999,lookups90!$H$4:$H$999, "",0)+_xlfn.XLOOKUP(E61,lookups90!$B$4:$B$999,lookups90!$H$4:$H$999, "",0))/4+_xlfn.XLOOKUP(E61,lookups90!$B$4:$B$999,lookups90!$I$4:$I$999, "",0)),"")</f>
        <v/>
      </c>
      <c r="AJ61" s="20" t="str">
        <f>IF(_xlfn.XLOOKUP(E61,lookups90!$B$4:$B$999,lookups90!$V$4:$V$999,"",0)=0,"",D61*_xlfn.XLOOKUP(E61,lookups90!$B$4:$B$999,lookups90!$W$4:$W$999,"",0))</f>
        <v/>
      </c>
      <c r="AL61" s="20" t="str" cm="1">
        <f t="array" ref="AL61">IF(AM61&lt;&gt;"", _xlfn.IFS(OR(E61="Fix Slide Door - with Screen", E61="Slide Slide Door - with Screen"), (K61-_xlfn.XLOOKUP(E61,lookups90!$B$4:$B$999,lookups90!$F$4:$F$999, "",0)-_xlfn.XLOOKUP(E61,lookups90!$B$4:$B$999,lookups90!$G$4:$G$999, "",0)+_xlfn.XLOOKUP(E61,lookups90!$B$4:$B$999,lookups90!$H$4:$H$999, "",0))/2+_xlfn.XLOOKUP(E61,lookups90!$B$4:$B$999,lookups90!$I$4:$I$999, "",0), OR( E61="Fix Slide Slide Fix Door - with Screen",  E61="Fix Slide Slide Door"),  (K61-_xlfn.XLOOKUP(E61,lookups90!$B$4:$B$999,lookups90!$F$4:$F$999, "",0)-_xlfn.XLOOKUP(E61,lookups90!$B$4:$B$999,lookups90!$G$4:$G$999, "",0)+_xlfn.XLOOKUP(E61,lookups90!$B$4:$B$999,lookups90!$H$4:$H$999, "",0)+_xlfn.XLOOKUP(E61,lookups90!$B$4:$B$999,lookups90!$H$4:$H$999, "",0))/4+_xlfn.XLOOKUP(E61,lookups90!$B$4:$B$999,lookups90!$I$4:$I$999, "",0)),"")</f>
        <v/>
      </c>
      <c r="AM61" s="20" t="str">
        <f>IF(_xlfn.XLOOKUP(E61,lookups90!$B$4:$B$999,lookups90!$AA$4:$AA$999,"",0)=0,"",D61*_xlfn.XLOOKUP(E61,lookups90!$B$4:$B$999,lookups90!$AA$4:$AA$999,"",0))</f>
        <v/>
      </c>
      <c r="AO61" s="20" t="str">
        <f>IFERROR(IF(C61&lt;&gt;"", T61-_xlfn.XLOOKUP(E61,lookups90!$B$4:$B$999,lookups90!$AE$4:$AE$999, "",0),""),"")</f>
        <v/>
      </c>
      <c r="AP61" s="20" t="str">
        <f>IF(_xlfn.XLOOKUP(E61,lookups90!$B$4:$B$999,lookups90!$AG$4:$AG$999,"",0)=0,"",D61*_xlfn.XLOOKUP(E61,lookups90!$B$4:$B$999,lookups90!$AG$4:$AG$999,"",0))</f>
        <v/>
      </c>
      <c r="AQ61" s="20" t="str">
        <f>IF(V61&lt;&gt;"", T61-_xlfn.XLOOKUP(E61,lookups90!$B$4:$B$999,lookups90!$AE$4:$AE$999, "",0)+_xlfn.XLOOKUP(E61,lookups90!$B$4:$B$999,lookups90!$AF$4:$AF$999, "",0),"")</f>
        <v/>
      </c>
      <c r="AR61" s="20" t="str">
        <f>IFERROR(IF(_xlfn.XLOOKUP(E61,lookups90!$B$4:$B$999,lookups90!$AH$4:$AH$999,"",0)=0,"",D61*_xlfn.XLOOKUP(E61,lookups90!$B$4:$B$999,lookups90!$AH$4:$AH$999,"",0)),"")</f>
        <v/>
      </c>
      <c r="AT61" s="20" t="str">
        <f>IF(OR(E61="Fix Slide Slide Fix Window", E61="Fix Slide Slide Fix Door", E61="Fix Slide Slide Fix Door - with Screen", E61="Fix Slide Slide Door"), T61-_xlfn.XLOOKUP(E61,lookups90!$B$4:$B$999,lookups90!$AE$4:$AE$999,"",0),"")</f>
        <v/>
      </c>
      <c r="AU61" s="20" t="str">
        <f>IFERROR(IF(_xlfn.XLOOKUP(E61,lookups90!$B$4:$B$999,lookups90!$AL$4:$AL$999,"",0)=0,"",D61*_xlfn.XLOOKUP(E61,lookups90!$B$4:$B$999,lookups90!$AL$4:$AL$999,"",0)),"")</f>
        <v/>
      </c>
      <c r="AW61" s="20" t="str">
        <f>IF(C61&lt;&gt;"", T61-_xlfn.XLOOKUP(E61,lookups90!$B$4:$B$999,lookups90!$AP$4:$AP$999,"",0),"")</f>
        <v/>
      </c>
      <c r="AX61" s="20" t="str">
        <f>IFERROR(IF(_xlfn.XLOOKUP(E61,lookups90!$B$4:$B$999,lookups90!$AR$4:$AR$999,"",0)=0,"",D61*_xlfn.XLOOKUP(E61,lookups90!$B$4:$B$999,lookups90!$AR$4:$AR$999,"",0)),"")</f>
        <v/>
      </c>
      <c r="AY61" s="24" t="str">
        <f>IF(V61&lt;&gt;"", V61-_xlfn.XLOOKUP(E61,lookups90!$B$4:$B$999,lookups90!$AP$4:$AP$999,"",0),"")</f>
        <v/>
      </c>
      <c r="AZ61" s="20" t="str">
        <f>IFERROR(IF(_xlfn.XLOOKUP(E61,lookups90!$B$4:$B$999,lookups90!$AS$4:$AS$999,"",0)=0,"",D61*_xlfn.XLOOKUP(E61,lookups90!$B$4:$B$999,lookups90!$AS$4:$AS$999,"",0)),"")</f>
        <v/>
      </c>
      <c r="BA61" s="20" t="str">
        <f>IF(X61&lt;&gt;"", X61-_xlfn.XLOOKUP(E61,lookups90!$B$4:$B$999,lookups90!$AQ$4:$AQ$999,"",0),"")</f>
        <v/>
      </c>
      <c r="BB61" s="20" t="str">
        <f>IFERROR(IF(_xlfn.XLOOKUP(E61,lookups90!$B$4:$B$999,lookups90!$AT$4:$AT$999,"",0)=0,"",D61*_xlfn.XLOOKUP(E61,lookups90!$B$4:$B$999,lookups90!$AT$4:$AT$999,"",0)),"")</f>
        <v/>
      </c>
      <c r="BD61" s="20" t="str">
        <f>IF(C61&lt;&gt;"", N61-_xlfn.XLOOKUP(E61,lookups90!$B$4:$B$999,lookups90!$AX$4:$AX$999,"",0)+M61,"")</f>
        <v/>
      </c>
      <c r="BE61" s="20" t="str">
        <f>IFERROR(IF(_xlfn.XLOOKUP(E61,lookups90!$B$4:$B$999,lookups90!$AY$4:$AY$999,"",0)=0,"",D61*_xlfn.XLOOKUP(E61,lookups90!$B$4:$B$999,lookups90!$AY$4:$AY$999,"",0)),"")</f>
        <v/>
      </c>
      <c r="BF61" s="20" t="str">
        <f>IF(C61&lt;&gt;"", P61-_xlfn.XLOOKUP(E61,lookups90!$B$4:$B$999,lookups90!$AX$4:$AX$999,"",0)+M61,"")</f>
        <v/>
      </c>
      <c r="BG61" s="20" t="str">
        <f>IFERROR(IF(_xlfn.XLOOKUP(E61,lookups90!$B$4:$B$999,lookups90!$AZ$4:$AZ$999,"",0)=0,"",D61*_xlfn.XLOOKUP(E61,lookups90!$B$4:$B$999,lookups90!$AZ$4:$AZ$999,"",0)),"")</f>
        <v/>
      </c>
      <c r="BI61" s="20" t="str">
        <f>IF(C61&lt;&gt;"", T61-_xlfn.XLOOKUP(E61,lookups90!$B$4:$B$999,lookups90!$BA$4:$BA$999,"",0),"")</f>
        <v/>
      </c>
      <c r="BJ61" s="20" t="str">
        <f>IFERROR(IF(_xlfn.XLOOKUP(E61,lookups90!$B$4:$B$999,lookups90!$BB$4:$BB$999,"",0)=0,"",D61*_xlfn.XLOOKUP(E61,lookups90!$B$4:$B$999,lookups90!$BB$4:$BB$999,"",0)),"")</f>
        <v/>
      </c>
      <c r="BK61" s="20" t="str">
        <f>IF(V61&lt;&gt;"", V61-_xlfn.XLOOKUP(E61,lookups90!$B$4:$B$999,lookups90!$BA$4:$BA$999,"",0),"")</f>
        <v/>
      </c>
      <c r="BL61" s="20" t="str">
        <f>IFERROR(IF(_xlfn.XLOOKUP(E61,lookups90!$B$4:$B$999,lookups90!$BC$4:$BC$999,"",0)=0,"",D61*_xlfn.XLOOKUP(E61,lookups90!$B$4:$B$999,lookups90!$BC$4:$BC$999,"",0)),"")</f>
        <v/>
      </c>
      <c r="BM61" s="20" t="str">
        <f>IF(C61&lt;&gt;"", X61-_xlfn.XLOOKUP(E61,lookups90!$B$4:$B$999,lookups90!$BA$4:$BA$999,"",0),"")</f>
        <v/>
      </c>
      <c r="BN61" s="20" t="str">
        <f>IFERROR(IF(_xlfn.XLOOKUP(E61,lookups90!$B$4:$B$999,lookups90!$BD$4:$BD$999,"",0)=0,"",D61*_xlfn.XLOOKUP(E61,lookups90!$B$4:$B$999,lookups90!$BD$4:$BD$999,"",0)),"")</f>
        <v/>
      </c>
      <c r="BP61" s="20" t="str">
        <f>IF(AB61&lt;&gt;"", AB61-_xlfn.XLOOKUP(E61,lookups90!$B$4:$B$999,lookups90!$BE$4:$BE$999,"",0),"")</f>
        <v/>
      </c>
      <c r="BQ61" s="20" t="str">
        <f>IFERROR(IF(_xlfn.XLOOKUP(E61,lookups90!$B$4:$B$999,lookups90!$BF$4:$BF$999,"",0)=0,"",D61*_xlfn.XLOOKUP(E61,lookups90!$B$4:$B$999,lookups90!$BF$4:$BF$999,"",0)),"")</f>
        <v/>
      </c>
      <c r="BR61" s="20" t="str" cm="1">
        <f t="array" ref="BR61">_xlfn.IFS(BP61="","",OR(E61="Fix Slide Door - with Screen",E61="Slide Slide Door - with Screen"),(K61-_xlfn.XLOOKUP(E61,lookups90!$B$4:$B$999,lookups90!$F$4:$F$999,"",0)-_xlfn.XLOOKUP(E61,lookups90!$B$4:$B$999,lookups90!$G$4:$G$999,"",0)+_xlfn.XLOOKUP(E61,lookups90!$B$4:$B$999,lookups90!$H$4:$H$999,"",0))/2+_xlfn.XLOOKUP(E61,lookups90!$B$4:$B$999,lookups90!$I$4:$I$999,"",0)-_xlfn.XLOOKUP(E61,lookups90!$B$4:$B$999,lookups90!$BE$4:$BE$999,"",0), E61="Fix Slide Slide Fix Door - with Screen",(K61-_xlfn.XLOOKUP(E61,lookups90!$B$4:$B$999,lookups90!$F$4:$F$999,"",0)-_xlfn.XLOOKUP(E61,lookups90!$B$4:$B$999,lookups90!$G$4:$G$999,"",0)+_xlfn.XLOOKUP(E61,lookups90!$B$4:$B$999,lookups90!$H$4:$H$999,"",0)+_xlfn.XLOOKUP(E61,lookups90!$B$4:$B$999,lookups90!$H$4:$H$999,"",0))/4+_xlfn.XLOOKUP(E61,lookups90!$B$4:$B$999,lookups90!$I$4:$I$999,"",0)-_xlfn.XLOOKUP(E61,lookups90!$B$4:$B$999,lookups90!$BE$4:$BE$999,"",0))</f>
        <v/>
      </c>
      <c r="BS61" s="20" t="str">
        <f>IFERROR(IF(_xlfn.XLOOKUP(E61,lookups90!$B$4:$B$999,lookups90!$BG$4:$BG$999,"",0)=0,"",D61*_xlfn.XLOOKUP(E61,lookups90!$B$4:$B$999,lookups90!$BG$4:$BG$999,"",0)),"")</f>
        <v/>
      </c>
      <c r="BU61" s="20" t="str">
        <f>IF(AG61&lt;&gt;"",AG61-_xlfn.XLOOKUP(E61,lookups90!$B$4:$B$999,lookups90!$BA$4:$BA$999,"",0),"")</f>
        <v/>
      </c>
      <c r="BV61" s="20" t="str">
        <f>IFERROR(IF(_xlfn.XLOOKUP(E61,lookups90!$B$4:$B$999,lookups90!$BH$4:$BH$999,"",0)=0,"",D61*_xlfn.XLOOKUP(E61,lookups90!$B$4:$B$999,lookups90!$BH$4:$BH$999,"",0)),"")</f>
        <v/>
      </c>
      <c r="BW61" s="20" t="str" cm="1">
        <f t="array" ref="BW61">_xlfn.IFS(BU61="","",OR(E61="Fix Slide Window",E61="Slide Slide Window"),(K61-_xlfn.XLOOKUP(E61,lookups90!$B$4:$B$999,lookups90!$F$4:$F$999,"",0)-_xlfn.XLOOKUP(E61,lookups90!$B$4:$B$999,lookups90!$G$4:$G$999,"",0)+_xlfn.XLOOKUP(E61,lookups90!$B$4:$B$999,lookups90!$H$4:$H$999,"",0))/2+_xlfn.XLOOKUP(E61,lookups90!$B$4:$B$999,lookups90!$I$4:$I$999,"",0)-_xlfn.XLOOKUP(E61,lookups90!$B$4:$B$999,lookups90!$BA$4:$BA$999,"",0), E61="Fix Slide Slide Fix Window",(K61-_xlfn.XLOOKUP(E61,lookups90!$B$4:$B$999,lookups90!$F$4:$F$999,"",0)-_xlfn.XLOOKUP(E61,lookups90!$B$4:$B$999,lookups90!$G$4:$G$999,"",0)+_xlfn.XLOOKUP(E61,lookups90!$B$4:$B$999,lookups90!$H$4:$H$999,"",0)+_xlfn.XLOOKUP(E61,lookups90!$B$4:$B$999,lookups90!$H$4:$H$999,"",0))/4+_xlfn.XLOOKUP(E61,lookups90!$B$4:$B$999,lookups90!$I$4:$I$999,"",0)-_xlfn.XLOOKUP(E61,lookups90!$B$4:$B$999,lookups90!$BA$4:$BA$999,"",0))</f>
        <v/>
      </c>
      <c r="BX61" s="20" t="str">
        <f>IFERROR(IF(_xlfn.XLOOKUP(E61,lookups90!$B$4:$B$999,lookups90!$BI$4:$BI$999,"",0)=0,"",D61*_xlfn.XLOOKUP(E61,lookups90!$B$4:$B$999,lookups90!$BI$4:$BI$999,"",0)),"")</f>
        <v/>
      </c>
      <c r="BZ61" s="20" t="str">
        <f>IF(AL61&lt;&gt;"", AL61-_xlfn.XLOOKUP(E61,lookups90!$B$4:$B$999,lookups90!$BJ$4:$BJ$999,"",0),"")</f>
        <v/>
      </c>
      <c r="CA61" s="20" t="str">
        <f>IFERROR(IF(_xlfn.XLOOKUP(E61,lookups90!$B$4:$B$999,lookups90!$BK$4:$BK$999,"",0)=0,"",D61*_xlfn.XLOOKUP(E61,lookups90!$B$4:$B$999,lookups90!$BK$4:$BK$999,"",0)),"")</f>
        <v/>
      </c>
      <c r="CC61" s="20" t="str">
        <f>IF(C61&lt;&gt;"", T61-_xlfn.XLOOKUP(E61,lookups90!$B$4:$B$999,lookups90!$BO$4:$BO$999,"",0)-_xlfn.XLOOKUP(E61,lookups90!$B$4:$B$999,lookups90!$BP$4:$BP$999,"",0),"")</f>
        <v/>
      </c>
      <c r="CD61" s="20" t="str">
        <f>IF(C61&lt;&gt;"", X61-_xlfn.XLOOKUP(E61,lookups90!$B$4:$B$999,lookups90!$BQ$4:$BQ$999,"",0)-_xlfn.XLOOKUP(E61,lookups90!$B$4:$B$999,lookups90!$BR$4:$BR$999,"",0),"")</f>
        <v/>
      </c>
      <c r="CE61" s="20" t="str">
        <f>IFERROR(IF(_xlfn.XLOOKUP(E61,lookups90!$B$4:$B$999,lookups90!$BS$4:$BS$999,"",0)=0,"",D61*_xlfn.XLOOKUP(E61,lookups90!$B$4:$B$999,lookups90!$BS$4:$BS$999,"",0)),"")</f>
        <v/>
      </c>
      <c r="CF61" s="20" t="str">
        <f>IF(V61&lt;&gt;"", V61-_xlfn.XLOOKUP(E61,lookups90!$B$4:$B$999,lookups90!$BO$4:$BO$999,"",0)-_xlfn.XLOOKUP(E61,lookups90!$B$4:$B$999,lookups90!$BP$4:$BP$999,"",0),"")</f>
        <v/>
      </c>
      <c r="CG61" s="20" t="str">
        <f>IF(CF61&lt;&gt;"", X61-_xlfn.XLOOKUP(E61,lookups90!$B$4:$B$999,lookups90!$BQ$4:$BQ$999,"",0)-_xlfn.XLOOKUP(E61,lookups90!$B$4:$B$999,lookups90!$BR$4:$BR$999,"",0),"")</f>
        <v/>
      </c>
      <c r="CH61" s="20" t="str">
        <f>IFERROR(IF(_xlfn.XLOOKUP(E61,lookups90!$B$4:$B$999,lookups90!$BT$4:$BT$999,"",0)=0,"",D61*_xlfn.XLOOKUP(E61,lookups90!$B$4:$B$999,lookups90!$BT$4:$BT$999,"",0)),"")</f>
        <v/>
      </c>
      <c r="CJ61" s="22" t="str">
        <f t="shared" si="5"/>
        <v/>
      </c>
      <c r="CL61" s="22" t="str" cm="1">
        <f t="array" ref="CL61">IF(D61&lt;&gt;"",((((J61+K61)*2)/500)+(2*_xlfn.IFS(OR(E61="Fix Slide Window", E61="Slide Slide Window", E61="Fix Slide Slide Fix Window"), 2, E61="Slide Slide Door - with Screen", 8, E61&lt;&gt;"",4)))*D61,"")</f>
        <v/>
      </c>
      <c r="CM61" s="22" t="str">
        <f t="shared" si="9"/>
        <v/>
      </c>
      <c r="CN61" s="22" t="str">
        <f t="shared" si="10"/>
        <v/>
      </c>
      <c r="CO61" s="22" t="str">
        <f t="shared" si="8"/>
        <v/>
      </c>
      <c r="CP61" s="22" t="str">
        <f t="shared" si="11"/>
        <v/>
      </c>
    </row>
    <row r="62" spans="3:94" ht="13.5" customHeight="1" x14ac:dyDescent="0.25">
      <c r="C62" s="16"/>
      <c r="D62" s="16"/>
      <c r="E62" s="16"/>
      <c r="F62" s="16"/>
      <c r="G62" s="16"/>
      <c r="H62" s="16"/>
      <c r="I62" s="16"/>
      <c r="J62" s="16"/>
      <c r="K62" s="16"/>
      <c r="M62" s="20" t="str">
        <f t="shared" si="1"/>
        <v/>
      </c>
      <c r="N62" s="20" t="str" cm="1">
        <f t="array" ref="N62">IFERROR(_xlfn.IFS(OR(E62="Fix Awning (Vertical)", E62="Fix Awning (Horizontal)"), J62/2+20,C62&lt;&gt;"", J62+M62),"")</f>
        <v/>
      </c>
      <c r="O62" s="20" t="str">
        <f t="shared" si="2"/>
        <v/>
      </c>
      <c r="P62" s="20" t="str">
        <f t="shared" si="3"/>
        <v/>
      </c>
      <c r="Q62" s="20" t="str">
        <f t="shared" si="4"/>
        <v/>
      </c>
      <c r="S62" s="20" t="str">
        <f>IF(C62&lt;&gt;"", _xlfn.XLOOKUP(E62,lookups90!$B$4:$B$999,lookups90!$C$4:$C$999,"",0),"")</f>
        <v/>
      </c>
      <c r="T62" s="20" t="str">
        <f>IF(C62&lt;&gt;"", J62-_xlfn.XLOOKUP(E62,lookups90!$B$4:$B$999,lookups90!$D$4:$D$999, "",0),"")</f>
        <v/>
      </c>
      <c r="U62" s="20" t="str">
        <f>IF(T62&lt;&gt;"",D62*_xlfn.XLOOKUP(E62,lookups90!$B$4:$B$999,lookups90!$J$4:$J$999, "",0),"")</f>
        <v/>
      </c>
      <c r="V62" s="20" t="str">
        <f>IF(AND(C62&lt;&gt;"", E62&lt;&gt;"Slide Slide Window", E62&lt;&gt;"Slide Slide Door", E62&lt;&gt;"Slide Slide Door - with Screen"), J62-_xlfn.XLOOKUP(E62,lookups90!$B$4:$B$999,lookups90!$E$4:$E$999, "",0),"")</f>
        <v/>
      </c>
      <c r="W62" s="20" t="str">
        <f>IF(V62&lt;&gt;"",D62*_xlfn.XLOOKUP(E62,lookups90!$B$4:$B$999,lookups90!$K$4:$K$999, "",0),"")</f>
        <v/>
      </c>
      <c r="X62" s="20" t="str" cm="1">
        <f t="array" ref="X62">IFERROR(_xlfn.IFS(OR(E62="Fix Slide Window", E62="Slide Slide Window", E62="Fix Slide Door", E62="Slide Slide Door", E62="Fix Slide Door - with Screen", E62="Slide Slide Door - with Screen"), (K62-_xlfn.XLOOKUP(E62,lookups90!$B$4:$B$999,lookups90!$F$4:$F$999, "",0)-_xlfn.XLOOKUP(E62,lookups90!$B$4:$B$999,lookups90!$G$4:$G$999, "",0)+_xlfn.XLOOKUP(E62,lookups90!$B$4:$B$999,lookups90!$H$4:$H$999, "",0))/2+_xlfn.XLOOKUP(E62,lookups90!$B$4:$B$999,lookups90!$I$4:$I$999, "",0), OR(E62="Fix Slide Slide Fix Window", E62="Fix Slide Slide Fix Door - with Screen", E62="Fix Slide Slide Fix Door"),  (K62-_xlfn.XLOOKUP(E62,lookups90!$B$4:$B$999,lookups90!$F$4:$F$999, "",0)-_xlfn.XLOOKUP(E62,lookups90!$B$4:$B$999,lookups90!$G$4:$G$999, "",0)+_xlfn.XLOOKUP(E62,lookups90!$B$4:$B$999,lookups90!$H$4:$H$999, "",0)+_xlfn.XLOOKUP(E62,lookups90!$B$4:$B$999,lookups90!$H$4:$H$999, "",0))/4+_xlfn.XLOOKUP(E62,lookups90!$B$4:$B$999,lookups90!$I$4:$I$999, "",0), E62="Fix Slide Slide Door", (K62-_xlfn.XLOOKUP(E62,lookups90!$B$4:$B$999,lookups90!$F$4:$F$999, "",0)-_xlfn.XLOOKUP(E62,lookups90!$B$4:$B$999,lookups90!$G$4:$G$999, "",0)+_xlfn.XLOOKUP(E62,lookups90!$B$4:$B$999,lookups90!$H$4:$H$999, "",0)+_xlfn.XLOOKUP(E62,lookups90!$B$4:$B$999,lookups90!$H$4:$H$999, "",0))/3+_xlfn.XLOOKUP(E62,lookups90!$B$4:$B$999,lookups90!$I$4:$I$999, "",0),E62="Fix Slide Slide Slide Slide Fix Dr",  (K62-_xlfn.XLOOKUP(E62,lookups90!$B$4:$B$999,lookups90!$F$4:$F$999, "",0)-_xlfn.XLOOKUP(E62,lookups90!$B$4:$B$999,lookups90!$G$4:$G$999, "",0)+_xlfn.XLOOKUP(E62,lookups90!$B$4:$B$999,lookups90!$H$4:$H$999, "",0)+_xlfn.XLOOKUP(E62,lookups90!$B$4:$B$999,lookups90!$H$4:$H$999, "",0)+_xlfn.XLOOKUP(E62,lookups90!$B$4:$B$999,lookups90!$H$4:$H$999, "",0)+_xlfn.XLOOKUP(E62,lookups90!$B$4:$B$999,lookups90!$H$4:$H$999, "",0))/6+_xlfn.XLOOKUP(E62,lookups90!$B$4:$B$999,lookups90!$I$4:$I$999, "",0), E62="Fix Slide Slide Slide Slide Slide Slide Fix Dr",  (K62-_xlfn.XLOOKUP(E62,lookups90!$B$4:$B$999,lookups90!$F$4:$F$999, "",0)-_xlfn.XLOOKUP(E62,lookups90!$B$4:$B$999,lookups90!$G$4:$G$999, "",0)+_xlfn.XLOOKUP(E62,lookups90!$B$4:$B$999,lookups90!$H$4:$H$999, "",0)+_xlfn.XLOOKUP(E62,lookups90!$B$4:$B$999,lookups90!$H$4:$H$999, "",0)+_xlfn.XLOOKUP(E62,lookups90!$B$4:$B$999,lookups90!$H$4:$H$999, "",0)+_xlfn.XLOOKUP(E62,lookups90!$B$4:$B$999,lookups90!$H$4:$H$999, "",0)+_xlfn.XLOOKUP(E62,lookups90!$B$4:$B$999,lookups90!$H$4:$H$999, "",0)+_xlfn.XLOOKUP(E62,lookups90!$B$4:$B$999,lookups90!$H$4:$H$999, "",0))/8+_xlfn.XLOOKUP(E62,lookups90!$B$4:$B$999,lookups90!$I$4:$I$999, "",0)),"")</f>
        <v/>
      </c>
      <c r="Y62" s="20" t="str">
        <f>IF(X62&lt;&gt;"",D62*_xlfn.XLOOKUP(E62,lookups90!$B$4:$B$999,lookups90!$L$4:$L$999, "",0),"")</f>
        <v/>
      </c>
      <c r="AA62" s="20" t="str">
        <f>IF(C62&lt;&gt;"", IF(_xlfn.XLOOKUP(E62,lookups90!$B$4:$B$999,lookups90!$P$4:$P$999,"",0)=0,"",_xlfn.XLOOKUP(E62,lookups90!$B$4:$B$999,lookups90!$P$4:$P$999,"",0)),"")</f>
        <v/>
      </c>
      <c r="AB62" s="20" t="str">
        <f>IF(AA62&lt;&gt;"", J62-_xlfn.XLOOKUP(E62,lookups90!$B$4:$B$999,lookups90!$D$4:$D$999, "",0),"")</f>
        <v/>
      </c>
      <c r="AC62" s="20" t="str">
        <f>IF(AA62&lt;&gt;"",D62*_xlfn.XLOOKUP(E62,lookups90!$B$4:$B$999,lookups90!$Q$4:$Q$999, "",0),"")</f>
        <v/>
      </c>
      <c r="AD62" s="20" t="str" cm="1">
        <f t="array" ref="AD62">IF(AA62&lt;&gt;"", _xlfn.IFS(OR(E62="Fix Slide Window", E62="Slide Slide Window", E62="Fix Slide Door", E62="Slide Slide Door", E62="Fix Slide Door - with Screen", E62="Slide Slide Door - with Screen"), (K62-_xlfn.XLOOKUP(E62,lookups90!$B$4:$B$999,lookups90!$F$4:$F$999, "",0)-_xlfn.XLOOKUP(E62,lookups90!$B$4:$B$999,lookups90!$G$4:$G$999, "",0)+_xlfn.XLOOKUP(E62,lookups90!$B$4:$B$999,lookups90!$H$4:$H$999, "",0))/2+_xlfn.XLOOKUP(E62,lookups90!$B$4:$B$999,lookups90!$I$4:$I$999, "",0), OR(E62="Fix Slide Slide Fix Window", E62="Fix Slide Slide Fix Door - with Screen", E62="Fix Slide Slide Fix Door"),  (K62-_xlfn.XLOOKUP(E62,lookups90!$B$4:$B$999,lookups90!$F$4:$F$999, "",0)-_xlfn.XLOOKUP(E62,lookups90!$B$4:$B$999,lookups90!$G$4:$G$999, "",0)+_xlfn.XLOOKUP(E62,lookups90!$B$4:$B$999,lookups90!$H$4:$H$999, "",0)+_xlfn.XLOOKUP(E62,lookups90!$B$4:$B$999,lookups90!$H$4:$H$999, "",0))/4+_xlfn.XLOOKUP(E62,lookups90!$B$4:$B$999,lookups90!$I$4:$I$999, "",0), E62="Fix Slide Slide Door", (K62-_xlfn.XLOOKUP(E62,lookups90!$B$4:$B$999,lookups90!$F$4:$F$999, "",0)-_xlfn.XLOOKUP(E62,lookups90!$B$4:$B$999,lookups90!$G$4:$G$999, "",0)+_xlfn.XLOOKUP(E62,lookups90!$B$4:$B$999,lookups90!$H$4:$H$999, "",0)+_xlfn.XLOOKUP(E62,lookups90!$B$4:$B$999,lookups90!$H$4:$H$999, "",0))/3+_xlfn.XLOOKUP(E62,lookups90!$B$4:$B$999,lookups90!$I$4:$I$999, "",0) ),"")</f>
        <v/>
      </c>
      <c r="AE62" s="20" t="str">
        <f>IF(AA62&lt;&gt;"",D62*_xlfn.XLOOKUP(E62,lookups90!$B$4:$B$999,lookups90!$R$4:$R$999, "",0),"")</f>
        <v/>
      </c>
      <c r="AG62" s="20" t="str">
        <f>IF(AH62&lt;&gt;"", J62-_xlfn.XLOOKUP(E62,lookups90!$B$4:$B$999,lookups90!$D$4:$D$999, "",0),"")</f>
        <v/>
      </c>
      <c r="AH62" s="20" t="str">
        <f>IF(_xlfn.XLOOKUP(E62,lookups90!$B$4:$B$999,lookups90!$V$4:$V$999,"",0)=0,"",D62*_xlfn.XLOOKUP(E62,lookups90!$B$4:$B$999,lookups90!$V$4:$V$999,"",0))</f>
        <v/>
      </c>
      <c r="AI62" s="20" t="str" cm="1">
        <f t="array" ref="AI62">IF(AH62&lt;&gt;"", _xlfn.IFS(OR(E62="Fix Slide Window", E62="Slide Slide Window"), (K62-_xlfn.XLOOKUP(E62,lookups90!$B$4:$B$999,lookups90!$F$4:$F$999, "",0)-_xlfn.XLOOKUP(E62,lookups90!$B$4:$B$999,lookups90!$G$4:$G$999, "",0)+_xlfn.XLOOKUP(E62,lookups90!$B$4:$B$999,lookups90!$H$4:$H$999, "",0))/2+_xlfn.XLOOKUP(E62,lookups90!$B$4:$B$999,lookups90!$I$4:$I$999, "",0), OR(E62="Fix Slide Slide Fix Window"),  (K62-_xlfn.XLOOKUP(E62,lookups90!$B$4:$B$999,lookups90!$F$4:$F$999, "",0)+_xlfn.XLOOKUP(E62,lookups90!$B$4:$B$999,lookups90!$H$4:$H$999, "",0)+_xlfn.XLOOKUP(E62,lookups90!$B$4:$B$999,lookups90!$H$4:$H$999, "",0))/4+_xlfn.XLOOKUP(E62,lookups90!$B$4:$B$999,lookups90!$I$4:$I$999, "",0)),"")</f>
        <v/>
      </c>
      <c r="AJ62" s="20" t="str">
        <f>IF(_xlfn.XLOOKUP(E62,lookups90!$B$4:$B$999,lookups90!$V$4:$V$999,"",0)=0,"",D62*_xlfn.XLOOKUP(E62,lookups90!$B$4:$B$999,lookups90!$W$4:$W$999,"",0))</f>
        <v/>
      </c>
      <c r="AL62" s="20" t="str" cm="1">
        <f t="array" ref="AL62">IF(AM62&lt;&gt;"", _xlfn.IFS(OR(E62="Fix Slide Door - with Screen", E62="Slide Slide Door - with Screen"), (K62-_xlfn.XLOOKUP(E62,lookups90!$B$4:$B$999,lookups90!$F$4:$F$999, "",0)-_xlfn.XLOOKUP(E62,lookups90!$B$4:$B$999,lookups90!$G$4:$G$999, "",0)+_xlfn.XLOOKUP(E62,lookups90!$B$4:$B$999,lookups90!$H$4:$H$999, "",0))/2+_xlfn.XLOOKUP(E62,lookups90!$B$4:$B$999,lookups90!$I$4:$I$999, "",0), OR( E62="Fix Slide Slide Fix Door - with Screen",  E62="Fix Slide Slide Door"),  (K62-_xlfn.XLOOKUP(E62,lookups90!$B$4:$B$999,lookups90!$F$4:$F$999, "",0)-_xlfn.XLOOKUP(E62,lookups90!$B$4:$B$999,lookups90!$G$4:$G$999, "",0)+_xlfn.XLOOKUP(E62,lookups90!$B$4:$B$999,lookups90!$H$4:$H$999, "",0)+_xlfn.XLOOKUP(E62,lookups90!$B$4:$B$999,lookups90!$H$4:$H$999, "",0))/4+_xlfn.XLOOKUP(E62,lookups90!$B$4:$B$999,lookups90!$I$4:$I$999, "",0)),"")</f>
        <v/>
      </c>
      <c r="AM62" s="20" t="str">
        <f>IF(_xlfn.XLOOKUP(E62,lookups90!$B$4:$B$999,lookups90!$AA$4:$AA$999,"",0)=0,"",D62*_xlfn.XLOOKUP(E62,lookups90!$B$4:$B$999,lookups90!$AA$4:$AA$999,"",0))</f>
        <v/>
      </c>
      <c r="AO62" s="20" t="str">
        <f>IFERROR(IF(C62&lt;&gt;"", T62-_xlfn.XLOOKUP(E62,lookups90!$B$4:$B$999,lookups90!$AE$4:$AE$999, "",0),""),"")</f>
        <v/>
      </c>
      <c r="AP62" s="20" t="str">
        <f>IF(_xlfn.XLOOKUP(E62,lookups90!$B$4:$B$999,lookups90!$AG$4:$AG$999,"",0)=0,"",D62*_xlfn.XLOOKUP(E62,lookups90!$B$4:$B$999,lookups90!$AG$4:$AG$999,"",0))</f>
        <v/>
      </c>
      <c r="AQ62" s="20" t="str">
        <f>IF(V62&lt;&gt;"", T62-_xlfn.XLOOKUP(E62,lookups90!$B$4:$B$999,lookups90!$AE$4:$AE$999, "",0)+_xlfn.XLOOKUP(E62,lookups90!$B$4:$B$999,lookups90!$AF$4:$AF$999, "",0),"")</f>
        <v/>
      </c>
      <c r="AR62" s="20" t="str">
        <f>IFERROR(IF(_xlfn.XLOOKUP(E62,lookups90!$B$4:$B$999,lookups90!$AH$4:$AH$999,"",0)=0,"",D62*_xlfn.XLOOKUP(E62,lookups90!$B$4:$B$999,lookups90!$AH$4:$AH$999,"",0)),"")</f>
        <v/>
      </c>
      <c r="AT62" s="20" t="str">
        <f>IF(OR(E62="Fix Slide Slide Fix Window", E62="Fix Slide Slide Fix Door", E62="Fix Slide Slide Fix Door - with Screen", E62="Fix Slide Slide Door"), T62-_xlfn.XLOOKUP(E62,lookups90!$B$4:$B$999,lookups90!$AE$4:$AE$999,"",0),"")</f>
        <v/>
      </c>
      <c r="AU62" s="20" t="str">
        <f>IFERROR(IF(_xlfn.XLOOKUP(E62,lookups90!$B$4:$B$999,lookups90!$AL$4:$AL$999,"",0)=0,"",D62*_xlfn.XLOOKUP(E62,lookups90!$B$4:$B$999,lookups90!$AL$4:$AL$999,"",0)),"")</f>
        <v/>
      </c>
      <c r="AW62" s="20" t="str">
        <f>IF(C62&lt;&gt;"", T62-_xlfn.XLOOKUP(E62,lookups90!$B$4:$B$999,lookups90!$AP$4:$AP$999,"",0),"")</f>
        <v/>
      </c>
      <c r="AX62" s="20" t="str">
        <f>IFERROR(IF(_xlfn.XLOOKUP(E62,lookups90!$B$4:$B$999,lookups90!$AR$4:$AR$999,"",0)=0,"",D62*_xlfn.XLOOKUP(E62,lookups90!$B$4:$B$999,lookups90!$AR$4:$AR$999,"",0)),"")</f>
        <v/>
      </c>
      <c r="AY62" s="24" t="str">
        <f>IF(V62&lt;&gt;"", V62-_xlfn.XLOOKUP(E62,lookups90!$B$4:$B$999,lookups90!$AP$4:$AP$999,"",0),"")</f>
        <v/>
      </c>
      <c r="AZ62" s="20" t="str">
        <f>IFERROR(IF(_xlfn.XLOOKUP(E62,lookups90!$B$4:$B$999,lookups90!$AS$4:$AS$999,"",0)=0,"",D62*_xlfn.XLOOKUP(E62,lookups90!$B$4:$B$999,lookups90!$AS$4:$AS$999,"",0)),"")</f>
        <v/>
      </c>
      <c r="BA62" s="20" t="str">
        <f>IF(X62&lt;&gt;"", X62-_xlfn.XLOOKUP(E62,lookups90!$B$4:$B$999,lookups90!$AQ$4:$AQ$999,"",0),"")</f>
        <v/>
      </c>
      <c r="BB62" s="20" t="str">
        <f>IFERROR(IF(_xlfn.XLOOKUP(E62,lookups90!$B$4:$B$999,lookups90!$AT$4:$AT$999,"",0)=0,"",D62*_xlfn.XLOOKUP(E62,lookups90!$B$4:$B$999,lookups90!$AT$4:$AT$999,"",0)),"")</f>
        <v/>
      </c>
      <c r="BD62" s="20" t="str">
        <f>IF(C62&lt;&gt;"", N62-_xlfn.XLOOKUP(E62,lookups90!$B$4:$B$999,lookups90!$AX$4:$AX$999,"",0)+M62,"")</f>
        <v/>
      </c>
      <c r="BE62" s="20" t="str">
        <f>IFERROR(IF(_xlfn.XLOOKUP(E62,lookups90!$B$4:$B$999,lookups90!$AY$4:$AY$999,"",0)=0,"",D62*_xlfn.XLOOKUP(E62,lookups90!$B$4:$B$999,lookups90!$AY$4:$AY$999,"",0)),"")</f>
        <v/>
      </c>
      <c r="BF62" s="20" t="str">
        <f>IF(C62&lt;&gt;"", P62-_xlfn.XLOOKUP(E62,lookups90!$B$4:$B$999,lookups90!$AX$4:$AX$999,"",0)+M62,"")</f>
        <v/>
      </c>
      <c r="BG62" s="20" t="str">
        <f>IFERROR(IF(_xlfn.XLOOKUP(E62,lookups90!$B$4:$B$999,lookups90!$AZ$4:$AZ$999,"",0)=0,"",D62*_xlfn.XLOOKUP(E62,lookups90!$B$4:$B$999,lookups90!$AZ$4:$AZ$999,"",0)),"")</f>
        <v/>
      </c>
      <c r="BI62" s="20" t="str">
        <f>IF(C62&lt;&gt;"", T62-_xlfn.XLOOKUP(E62,lookups90!$B$4:$B$999,lookups90!$BA$4:$BA$999,"",0),"")</f>
        <v/>
      </c>
      <c r="BJ62" s="20" t="str">
        <f>IFERROR(IF(_xlfn.XLOOKUP(E62,lookups90!$B$4:$B$999,lookups90!$BB$4:$BB$999,"",0)=0,"",D62*_xlfn.XLOOKUP(E62,lookups90!$B$4:$B$999,lookups90!$BB$4:$BB$999,"",0)),"")</f>
        <v/>
      </c>
      <c r="BK62" s="20" t="str">
        <f>IF(V62&lt;&gt;"", V62-_xlfn.XLOOKUP(E62,lookups90!$B$4:$B$999,lookups90!$BA$4:$BA$999,"",0),"")</f>
        <v/>
      </c>
      <c r="BL62" s="20" t="str">
        <f>IFERROR(IF(_xlfn.XLOOKUP(E62,lookups90!$B$4:$B$999,lookups90!$BC$4:$BC$999,"",0)=0,"",D62*_xlfn.XLOOKUP(E62,lookups90!$B$4:$B$999,lookups90!$BC$4:$BC$999,"",0)),"")</f>
        <v/>
      </c>
      <c r="BM62" s="20" t="str">
        <f>IF(C62&lt;&gt;"", X62-_xlfn.XLOOKUP(E62,lookups90!$B$4:$B$999,lookups90!$BA$4:$BA$999,"",0),"")</f>
        <v/>
      </c>
      <c r="BN62" s="20" t="str">
        <f>IFERROR(IF(_xlfn.XLOOKUP(E62,lookups90!$B$4:$B$999,lookups90!$BD$4:$BD$999,"",0)=0,"",D62*_xlfn.XLOOKUP(E62,lookups90!$B$4:$B$999,lookups90!$BD$4:$BD$999,"",0)),"")</f>
        <v/>
      </c>
      <c r="BP62" s="20" t="str">
        <f>IF(AB62&lt;&gt;"", AB62-_xlfn.XLOOKUP(E62,lookups90!$B$4:$B$999,lookups90!$BE$4:$BE$999,"",0),"")</f>
        <v/>
      </c>
      <c r="BQ62" s="20" t="str">
        <f>IFERROR(IF(_xlfn.XLOOKUP(E62,lookups90!$B$4:$B$999,lookups90!$BF$4:$BF$999,"",0)=0,"",D62*_xlfn.XLOOKUP(E62,lookups90!$B$4:$B$999,lookups90!$BF$4:$BF$999,"",0)),"")</f>
        <v/>
      </c>
      <c r="BR62" s="20" t="str" cm="1">
        <f t="array" ref="BR62">_xlfn.IFS(BP62="","",OR(E62="Fix Slide Door - with Screen",E62="Slide Slide Door - with Screen"),(K62-_xlfn.XLOOKUP(E62,lookups90!$B$4:$B$999,lookups90!$F$4:$F$999,"",0)-_xlfn.XLOOKUP(E62,lookups90!$B$4:$B$999,lookups90!$G$4:$G$999,"",0)+_xlfn.XLOOKUP(E62,lookups90!$B$4:$B$999,lookups90!$H$4:$H$999,"",0))/2+_xlfn.XLOOKUP(E62,lookups90!$B$4:$B$999,lookups90!$I$4:$I$999,"",0)-_xlfn.XLOOKUP(E62,lookups90!$B$4:$B$999,lookups90!$BE$4:$BE$999,"",0), E62="Fix Slide Slide Fix Door - with Screen",(K62-_xlfn.XLOOKUP(E62,lookups90!$B$4:$B$999,lookups90!$F$4:$F$999,"",0)-_xlfn.XLOOKUP(E62,lookups90!$B$4:$B$999,lookups90!$G$4:$G$999,"",0)+_xlfn.XLOOKUP(E62,lookups90!$B$4:$B$999,lookups90!$H$4:$H$999,"",0)+_xlfn.XLOOKUP(E62,lookups90!$B$4:$B$999,lookups90!$H$4:$H$999,"",0))/4+_xlfn.XLOOKUP(E62,lookups90!$B$4:$B$999,lookups90!$I$4:$I$999,"",0)-_xlfn.XLOOKUP(E62,lookups90!$B$4:$B$999,lookups90!$BE$4:$BE$999,"",0))</f>
        <v/>
      </c>
      <c r="BS62" s="20" t="str">
        <f>IFERROR(IF(_xlfn.XLOOKUP(E62,lookups90!$B$4:$B$999,lookups90!$BG$4:$BG$999,"",0)=0,"",D62*_xlfn.XLOOKUP(E62,lookups90!$B$4:$B$999,lookups90!$BG$4:$BG$999,"",0)),"")</f>
        <v/>
      </c>
      <c r="BU62" s="20" t="str">
        <f>IF(AG62&lt;&gt;"",AG62-_xlfn.XLOOKUP(E62,lookups90!$B$4:$B$999,lookups90!$BA$4:$BA$999,"",0),"")</f>
        <v/>
      </c>
      <c r="BV62" s="20" t="str">
        <f>IFERROR(IF(_xlfn.XLOOKUP(E62,lookups90!$B$4:$B$999,lookups90!$BH$4:$BH$999,"",0)=0,"",D62*_xlfn.XLOOKUP(E62,lookups90!$B$4:$B$999,lookups90!$BH$4:$BH$999,"",0)),"")</f>
        <v/>
      </c>
      <c r="BW62" s="20" t="str" cm="1">
        <f t="array" ref="BW62">_xlfn.IFS(BU62="","",OR(E62="Fix Slide Window",E62="Slide Slide Window"),(K62-_xlfn.XLOOKUP(E62,lookups90!$B$4:$B$999,lookups90!$F$4:$F$999,"",0)-_xlfn.XLOOKUP(E62,lookups90!$B$4:$B$999,lookups90!$G$4:$G$999,"",0)+_xlfn.XLOOKUP(E62,lookups90!$B$4:$B$999,lookups90!$H$4:$H$999,"",0))/2+_xlfn.XLOOKUP(E62,lookups90!$B$4:$B$999,lookups90!$I$4:$I$999,"",0)-_xlfn.XLOOKUP(E62,lookups90!$B$4:$B$999,lookups90!$BA$4:$BA$999,"",0), E62="Fix Slide Slide Fix Window",(K62-_xlfn.XLOOKUP(E62,lookups90!$B$4:$B$999,lookups90!$F$4:$F$999,"",0)-_xlfn.XLOOKUP(E62,lookups90!$B$4:$B$999,lookups90!$G$4:$G$999,"",0)+_xlfn.XLOOKUP(E62,lookups90!$B$4:$B$999,lookups90!$H$4:$H$999,"",0)+_xlfn.XLOOKUP(E62,lookups90!$B$4:$B$999,lookups90!$H$4:$H$999,"",0))/4+_xlfn.XLOOKUP(E62,lookups90!$B$4:$B$999,lookups90!$I$4:$I$999,"",0)-_xlfn.XLOOKUP(E62,lookups90!$B$4:$B$999,lookups90!$BA$4:$BA$999,"",0))</f>
        <v/>
      </c>
      <c r="BX62" s="20" t="str">
        <f>IFERROR(IF(_xlfn.XLOOKUP(E62,lookups90!$B$4:$B$999,lookups90!$BI$4:$BI$999,"",0)=0,"",D62*_xlfn.XLOOKUP(E62,lookups90!$B$4:$B$999,lookups90!$BI$4:$BI$999,"",0)),"")</f>
        <v/>
      </c>
      <c r="BZ62" s="20" t="str">
        <f>IF(AL62&lt;&gt;"", AL62-_xlfn.XLOOKUP(E62,lookups90!$B$4:$B$999,lookups90!$BJ$4:$BJ$999,"",0),"")</f>
        <v/>
      </c>
      <c r="CA62" s="20" t="str">
        <f>IFERROR(IF(_xlfn.XLOOKUP(E62,lookups90!$B$4:$B$999,lookups90!$BK$4:$BK$999,"",0)=0,"",D62*_xlfn.XLOOKUP(E62,lookups90!$B$4:$B$999,lookups90!$BK$4:$BK$999,"",0)),"")</f>
        <v/>
      </c>
      <c r="CC62" s="20" t="str">
        <f>IF(C62&lt;&gt;"", T62-_xlfn.XLOOKUP(E62,lookups90!$B$4:$B$999,lookups90!$BO$4:$BO$999,"",0)-_xlfn.XLOOKUP(E62,lookups90!$B$4:$B$999,lookups90!$BP$4:$BP$999,"",0),"")</f>
        <v/>
      </c>
      <c r="CD62" s="20" t="str">
        <f>IF(C62&lt;&gt;"", X62-_xlfn.XLOOKUP(E62,lookups90!$B$4:$B$999,lookups90!$BQ$4:$BQ$999,"",0)-_xlfn.XLOOKUP(E62,lookups90!$B$4:$B$999,lookups90!$BR$4:$BR$999,"",0),"")</f>
        <v/>
      </c>
      <c r="CE62" s="20" t="str">
        <f>IFERROR(IF(_xlfn.XLOOKUP(E62,lookups90!$B$4:$B$999,lookups90!$BS$4:$BS$999,"",0)=0,"",D62*_xlfn.XLOOKUP(E62,lookups90!$B$4:$B$999,lookups90!$BS$4:$BS$999,"",0)),"")</f>
        <v/>
      </c>
      <c r="CF62" s="20" t="str">
        <f>IF(V62&lt;&gt;"", V62-_xlfn.XLOOKUP(E62,lookups90!$B$4:$B$999,lookups90!$BO$4:$BO$999,"",0)-_xlfn.XLOOKUP(E62,lookups90!$B$4:$B$999,lookups90!$BP$4:$BP$999,"",0),"")</f>
        <v/>
      </c>
      <c r="CG62" s="20" t="str">
        <f>IF(CF62&lt;&gt;"", X62-_xlfn.XLOOKUP(E62,lookups90!$B$4:$B$999,lookups90!$BQ$4:$BQ$999,"",0)-_xlfn.XLOOKUP(E62,lookups90!$B$4:$B$999,lookups90!$BR$4:$BR$999,"",0),"")</f>
        <v/>
      </c>
      <c r="CH62" s="20" t="str">
        <f>IFERROR(IF(_xlfn.XLOOKUP(E62,lookups90!$B$4:$B$999,lookups90!$BT$4:$BT$999,"",0)=0,"",D62*_xlfn.XLOOKUP(E62,lookups90!$B$4:$B$999,lookups90!$BT$4:$BT$999,"",0)),"")</f>
        <v/>
      </c>
      <c r="CJ62" s="22" t="str">
        <f t="shared" si="5"/>
        <v/>
      </c>
      <c r="CL62" s="22" t="str" cm="1">
        <f t="array" ref="CL62">IF(D62&lt;&gt;"",((((J62+K62)*2)/500)+(2*_xlfn.IFS(OR(E62="Fix Slide Window", E62="Slide Slide Window", E62="Fix Slide Slide Fix Window"), 2, E62="Slide Slide Door - with Screen", 8, E62&lt;&gt;"",4)))*D62,"")</f>
        <v/>
      </c>
      <c r="CM62" s="22" t="str">
        <f t="shared" si="9"/>
        <v/>
      </c>
      <c r="CN62" s="22" t="str">
        <f t="shared" si="10"/>
        <v/>
      </c>
      <c r="CO62" s="22" t="str">
        <f t="shared" si="8"/>
        <v/>
      </c>
      <c r="CP62" s="22" t="str">
        <f t="shared" si="11"/>
        <v/>
      </c>
    </row>
    <row r="63" spans="3:94" ht="13.5" customHeight="1" x14ac:dyDescent="0.25">
      <c r="C63" s="16"/>
      <c r="D63" s="16"/>
      <c r="E63" s="16"/>
      <c r="F63" s="16"/>
      <c r="G63" s="16"/>
      <c r="H63" s="16"/>
      <c r="I63" s="16"/>
      <c r="J63" s="16"/>
      <c r="K63" s="16"/>
      <c r="M63" s="20" t="str">
        <f t="shared" si="1"/>
        <v/>
      </c>
      <c r="N63" s="20" t="str" cm="1">
        <f t="array" ref="N63">IFERROR(_xlfn.IFS(OR(E63="Fix Awning (Vertical)", E63="Fix Awning (Horizontal)"), J63/2+20,C63&lt;&gt;"", J63+M63),"")</f>
        <v/>
      </c>
      <c r="O63" s="20" t="str">
        <f t="shared" si="2"/>
        <v/>
      </c>
      <c r="P63" s="20" t="str">
        <f t="shared" si="3"/>
        <v/>
      </c>
      <c r="Q63" s="20" t="str">
        <f t="shared" si="4"/>
        <v/>
      </c>
      <c r="S63" s="20" t="str">
        <f>IF(C63&lt;&gt;"", _xlfn.XLOOKUP(E63,lookups90!$B$4:$B$999,lookups90!$C$4:$C$999,"",0),"")</f>
        <v/>
      </c>
      <c r="T63" s="20" t="str">
        <f>IF(C63&lt;&gt;"", J63-_xlfn.XLOOKUP(E63,lookups90!$B$4:$B$999,lookups90!$D$4:$D$999, "",0),"")</f>
        <v/>
      </c>
      <c r="U63" s="20" t="str">
        <f>IF(T63&lt;&gt;"",D63*_xlfn.XLOOKUP(E63,lookups90!$B$4:$B$999,lookups90!$J$4:$J$999, "",0),"")</f>
        <v/>
      </c>
      <c r="V63" s="20" t="str">
        <f>IF(AND(C63&lt;&gt;"", E63&lt;&gt;"Slide Slide Window", E63&lt;&gt;"Slide Slide Door", E63&lt;&gt;"Slide Slide Door - with Screen"), J63-_xlfn.XLOOKUP(E63,lookups90!$B$4:$B$999,lookups90!$E$4:$E$999, "",0),"")</f>
        <v/>
      </c>
      <c r="W63" s="20" t="str">
        <f>IF(V63&lt;&gt;"",D63*_xlfn.XLOOKUP(E63,lookups90!$B$4:$B$999,lookups90!$K$4:$K$999, "",0),"")</f>
        <v/>
      </c>
      <c r="X63" s="20" t="str" cm="1">
        <f t="array" ref="X63">IFERROR(_xlfn.IFS(OR(E63="Fix Slide Window", E63="Slide Slide Window", E63="Fix Slide Door", E63="Slide Slide Door", E63="Fix Slide Door - with Screen", E63="Slide Slide Door - with Screen"), (K63-_xlfn.XLOOKUP(E63,lookups90!$B$4:$B$999,lookups90!$F$4:$F$999, "",0)-_xlfn.XLOOKUP(E63,lookups90!$B$4:$B$999,lookups90!$G$4:$G$999, "",0)+_xlfn.XLOOKUP(E63,lookups90!$B$4:$B$999,lookups90!$H$4:$H$999, "",0))/2+_xlfn.XLOOKUP(E63,lookups90!$B$4:$B$999,lookups90!$I$4:$I$999, "",0), OR(E63="Fix Slide Slide Fix Window", E63="Fix Slide Slide Fix Door - with Screen", E63="Fix Slide Slide Fix Door"),  (K63-_xlfn.XLOOKUP(E63,lookups90!$B$4:$B$999,lookups90!$F$4:$F$999, "",0)-_xlfn.XLOOKUP(E63,lookups90!$B$4:$B$999,lookups90!$G$4:$G$999, "",0)+_xlfn.XLOOKUP(E63,lookups90!$B$4:$B$999,lookups90!$H$4:$H$999, "",0)+_xlfn.XLOOKUP(E63,lookups90!$B$4:$B$999,lookups90!$H$4:$H$999, "",0))/4+_xlfn.XLOOKUP(E63,lookups90!$B$4:$B$999,lookups90!$I$4:$I$999, "",0), E63="Fix Slide Slide Door", (K63-_xlfn.XLOOKUP(E63,lookups90!$B$4:$B$999,lookups90!$F$4:$F$999, "",0)-_xlfn.XLOOKUP(E63,lookups90!$B$4:$B$999,lookups90!$G$4:$G$999, "",0)+_xlfn.XLOOKUP(E63,lookups90!$B$4:$B$999,lookups90!$H$4:$H$999, "",0)+_xlfn.XLOOKUP(E63,lookups90!$B$4:$B$999,lookups90!$H$4:$H$999, "",0))/3+_xlfn.XLOOKUP(E63,lookups90!$B$4:$B$999,lookups90!$I$4:$I$999, "",0),E63="Fix Slide Slide Slide Slide Fix Dr",  (K63-_xlfn.XLOOKUP(E63,lookups90!$B$4:$B$999,lookups90!$F$4:$F$999, "",0)-_xlfn.XLOOKUP(E63,lookups90!$B$4:$B$999,lookups90!$G$4:$G$999, "",0)+_xlfn.XLOOKUP(E63,lookups90!$B$4:$B$999,lookups90!$H$4:$H$999, "",0)+_xlfn.XLOOKUP(E63,lookups90!$B$4:$B$999,lookups90!$H$4:$H$999, "",0)+_xlfn.XLOOKUP(E63,lookups90!$B$4:$B$999,lookups90!$H$4:$H$999, "",0)+_xlfn.XLOOKUP(E63,lookups90!$B$4:$B$999,lookups90!$H$4:$H$999, "",0))/6+_xlfn.XLOOKUP(E63,lookups90!$B$4:$B$999,lookups90!$I$4:$I$999, "",0), E63="Fix Slide Slide Slide Slide Slide Slide Fix Dr",  (K63-_xlfn.XLOOKUP(E63,lookups90!$B$4:$B$999,lookups90!$F$4:$F$999, "",0)-_xlfn.XLOOKUP(E63,lookups90!$B$4:$B$999,lookups90!$G$4:$G$999, "",0)+_xlfn.XLOOKUP(E63,lookups90!$B$4:$B$999,lookups90!$H$4:$H$999, "",0)+_xlfn.XLOOKUP(E63,lookups90!$B$4:$B$999,lookups90!$H$4:$H$999, "",0)+_xlfn.XLOOKUP(E63,lookups90!$B$4:$B$999,lookups90!$H$4:$H$999, "",0)+_xlfn.XLOOKUP(E63,lookups90!$B$4:$B$999,lookups90!$H$4:$H$999, "",0)+_xlfn.XLOOKUP(E63,lookups90!$B$4:$B$999,lookups90!$H$4:$H$999, "",0)+_xlfn.XLOOKUP(E63,lookups90!$B$4:$B$999,lookups90!$H$4:$H$999, "",0))/8+_xlfn.XLOOKUP(E63,lookups90!$B$4:$B$999,lookups90!$I$4:$I$999, "",0)),"")</f>
        <v/>
      </c>
      <c r="Y63" s="20" t="str">
        <f>IF(X63&lt;&gt;"",D63*_xlfn.XLOOKUP(E63,lookups90!$B$4:$B$999,lookups90!$L$4:$L$999, "",0),"")</f>
        <v/>
      </c>
      <c r="AA63" s="20" t="str">
        <f>IF(C63&lt;&gt;"", IF(_xlfn.XLOOKUP(E63,lookups90!$B$4:$B$999,lookups90!$P$4:$P$999,"",0)=0,"",_xlfn.XLOOKUP(E63,lookups90!$B$4:$B$999,lookups90!$P$4:$P$999,"",0)),"")</f>
        <v/>
      </c>
      <c r="AB63" s="20" t="str">
        <f>IF(AA63&lt;&gt;"", J63-_xlfn.XLOOKUP(E63,lookups90!$B$4:$B$999,lookups90!$D$4:$D$999, "",0),"")</f>
        <v/>
      </c>
      <c r="AC63" s="20" t="str">
        <f>IF(AA63&lt;&gt;"",D63*_xlfn.XLOOKUP(E63,lookups90!$B$4:$B$999,lookups90!$Q$4:$Q$999, "",0),"")</f>
        <v/>
      </c>
      <c r="AD63" s="20" t="str" cm="1">
        <f t="array" ref="AD63">IF(AA63&lt;&gt;"", _xlfn.IFS(OR(E63="Fix Slide Window", E63="Slide Slide Window", E63="Fix Slide Door", E63="Slide Slide Door", E63="Fix Slide Door - with Screen", E63="Slide Slide Door - with Screen"), (K63-_xlfn.XLOOKUP(E63,lookups90!$B$4:$B$999,lookups90!$F$4:$F$999, "",0)-_xlfn.XLOOKUP(E63,lookups90!$B$4:$B$999,lookups90!$G$4:$G$999, "",0)+_xlfn.XLOOKUP(E63,lookups90!$B$4:$B$999,lookups90!$H$4:$H$999, "",0))/2+_xlfn.XLOOKUP(E63,lookups90!$B$4:$B$999,lookups90!$I$4:$I$999, "",0), OR(E63="Fix Slide Slide Fix Window", E63="Fix Slide Slide Fix Door - with Screen", E63="Fix Slide Slide Fix Door"),  (K63-_xlfn.XLOOKUP(E63,lookups90!$B$4:$B$999,lookups90!$F$4:$F$999, "",0)-_xlfn.XLOOKUP(E63,lookups90!$B$4:$B$999,lookups90!$G$4:$G$999, "",0)+_xlfn.XLOOKUP(E63,lookups90!$B$4:$B$999,lookups90!$H$4:$H$999, "",0)+_xlfn.XLOOKUP(E63,lookups90!$B$4:$B$999,lookups90!$H$4:$H$999, "",0))/4+_xlfn.XLOOKUP(E63,lookups90!$B$4:$B$999,lookups90!$I$4:$I$999, "",0), E63="Fix Slide Slide Door", (K63-_xlfn.XLOOKUP(E63,lookups90!$B$4:$B$999,lookups90!$F$4:$F$999, "",0)-_xlfn.XLOOKUP(E63,lookups90!$B$4:$B$999,lookups90!$G$4:$G$999, "",0)+_xlfn.XLOOKUP(E63,lookups90!$B$4:$B$999,lookups90!$H$4:$H$999, "",0)+_xlfn.XLOOKUP(E63,lookups90!$B$4:$B$999,lookups90!$H$4:$H$999, "",0))/3+_xlfn.XLOOKUP(E63,lookups90!$B$4:$B$999,lookups90!$I$4:$I$999, "",0) ),"")</f>
        <v/>
      </c>
      <c r="AE63" s="20" t="str">
        <f>IF(AA63&lt;&gt;"",D63*_xlfn.XLOOKUP(E63,lookups90!$B$4:$B$999,lookups90!$R$4:$R$999, "",0),"")</f>
        <v/>
      </c>
      <c r="AG63" s="20" t="str">
        <f>IF(AH63&lt;&gt;"", J63-_xlfn.XLOOKUP(E63,lookups90!$B$4:$B$999,lookups90!$D$4:$D$999, "",0),"")</f>
        <v/>
      </c>
      <c r="AH63" s="20" t="str">
        <f>IF(_xlfn.XLOOKUP(E63,lookups90!$B$4:$B$999,lookups90!$V$4:$V$999,"",0)=0,"",D63*_xlfn.XLOOKUP(E63,lookups90!$B$4:$B$999,lookups90!$V$4:$V$999,"",0))</f>
        <v/>
      </c>
      <c r="AI63" s="20" t="str" cm="1">
        <f t="array" ref="AI63">IF(AH63&lt;&gt;"", _xlfn.IFS(OR(E63="Fix Slide Window", E63="Slide Slide Window"), (K63-_xlfn.XLOOKUP(E63,lookups90!$B$4:$B$999,lookups90!$F$4:$F$999, "",0)-_xlfn.XLOOKUP(E63,lookups90!$B$4:$B$999,lookups90!$G$4:$G$999, "",0)+_xlfn.XLOOKUP(E63,lookups90!$B$4:$B$999,lookups90!$H$4:$H$999, "",0))/2+_xlfn.XLOOKUP(E63,lookups90!$B$4:$B$999,lookups90!$I$4:$I$999, "",0), OR(E63="Fix Slide Slide Fix Window"),  (K63-_xlfn.XLOOKUP(E63,lookups90!$B$4:$B$999,lookups90!$F$4:$F$999, "",0)+_xlfn.XLOOKUP(E63,lookups90!$B$4:$B$999,lookups90!$H$4:$H$999, "",0)+_xlfn.XLOOKUP(E63,lookups90!$B$4:$B$999,lookups90!$H$4:$H$999, "",0))/4+_xlfn.XLOOKUP(E63,lookups90!$B$4:$B$999,lookups90!$I$4:$I$999, "",0)),"")</f>
        <v/>
      </c>
      <c r="AJ63" s="20" t="str">
        <f>IF(_xlfn.XLOOKUP(E63,lookups90!$B$4:$B$999,lookups90!$V$4:$V$999,"",0)=0,"",D63*_xlfn.XLOOKUP(E63,lookups90!$B$4:$B$999,lookups90!$W$4:$W$999,"",0))</f>
        <v/>
      </c>
      <c r="AL63" s="20" t="str" cm="1">
        <f t="array" ref="AL63">IF(AM63&lt;&gt;"", _xlfn.IFS(OR(E63="Fix Slide Door - with Screen", E63="Slide Slide Door - with Screen"), (K63-_xlfn.XLOOKUP(E63,lookups90!$B$4:$B$999,lookups90!$F$4:$F$999, "",0)-_xlfn.XLOOKUP(E63,lookups90!$B$4:$B$999,lookups90!$G$4:$G$999, "",0)+_xlfn.XLOOKUP(E63,lookups90!$B$4:$B$999,lookups90!$H$4:$H$999, "",0))/2+_xlfn.XLOOKUP(E63,lookups90!$B$4:$B$999,lookups90!$I$4:$I$999, "",0), OR( E63="Fix Slide Slide Fix Door - with Screen",  E63="Fix Slide Slide Door"),  (K63-_xlfn.XLOOKUP(E63,lookups90!$B$4:$B$999,lookups90!$F$4:$F$999, "",0)-_xlfn.XLOOKUP(E63,lookups90!$B$4:$B$999,lookups90!$G$4:$G$999, "",0)+_xlfn.XLOOKUP(E63,lookups90!$B$4:$B$999,lookups90!$H$4:$H$999, "",0)+_xlfn.XLOOKUP(E63,lookups90!$B$4:$B$999,lookups90!$H$4:$H$999, "",0))/4+_xlfn.XLOOKUP(E63,lookups90!$B$4:$B$999,lookups90!$I$4:$I$999, "",0)),"")</f>
        <v/>
      </c>
      <c r="AM63" s="20" t="str">
        <f>IF(_xlfn.XLOOKUP(E63,lookups90!$B$4:$B$999,lookups90!$AA$4:$AA$999,"",0)=0,"",D63*_xlfn.XLOOKUP(E63,lookups90!$B$4:$B$999,lookups90!$AA$4:$AA$999,"",0))</f>
        <v/>
      </c>
      <c r="AO63" s="20" t="str">
        <f>IFERROR(IF(C63&lt;&gt;"", T63-_xlfn.XLOOKUP(E63,lookups90!$B$4:$B$999,lookups90!$AE$4:$AE$999, "",0),""),"")</f>
        <v/>
      </c>
      <c r="AP63" s="20" t="str">
        <f>IF(_xlfn.XLOOKUP(E63,lookups90!$B$4:$B$999,lookups90!$AG$4:$AG$999,"",0)=0,"",D63*_xlfn.XLOOKUP(E63,lookups90!$B$4:$B$999,lookups90!$AG$4:$AG$999,"",0))</f>
        <v/>
      </c>
      <c r="AQ63" s="20" t="str">
        <f>IF(V63&lt;&gt;"", T63-_xlfn.XLOOKUP(E63,lookups90!$B$4:$B$999,lookups90!$AE$4:$AE$999, "",0)+_xlfn.XLOOKUP(E63,lookups90!$B$4:$B$999,lookups90!$AF$4:$AF$999, "",0),"")</f>
        <v/>
      </c>
      <c r="AR63" s="20" t="str">
        <f>IFERROR(IF(_xlfn.XLOOKUP(E63,lookups90!$B$4:$B$999,lookups90!$AH$4:$AH$999,"",0)=0,"",D63*_xlfn.XLOOKUP(E63,lookups90!$B$4:$B$999,lookups90!$AH$4:$AH$999,"",0)),"")</f>
        <v/>
      </c>
      <c r="AT63" s="20" t="str">
        <f>IF(OR(E63="Fix Slide Slide Fix Window", E63="Fix Slide Slide Fix Door", E63="Fix Slide Slide Fix Door - with Screen", E63="Fix Slide Slide Door"), T63-_xlfn.XLOOKUP(E63,lookups90!$B$4:$B$999,lookups90!$AE$4:$AE$999,"",0),"")</f>
        <v/>
      </c>
      <c r="AU63" s="20" t="str">
        <f>IFERROR(IF(_xlfn.XLOOKUP(E63,lookups90!$B$4:$B$999,lookups90!$AL$4:$AL$999,"",0)=0,"",D63*_xlfn.XLOOKUP(E63,lookups90!$B$4:$B$999,lookups90!$AL$4:$AL$999,"",0)),"")</f>
        <v/>
      </c>
      <c r="AW63" s="20" t="str">
        <f>IF(C63&lt;&gt;"", T63-_xlfn.XLOOKUP(E63,lookups90!$B$4:$B$999,lookups90!$AP$4:$AP$999,"",0),"")</f>
        <v/>
      </c>
      <c r="AX63" s="20" t="str">
        <f>IFERROR(IF(_xlfn.XLOOKUP(E63,lookups90!$B$4:$B$999,lookups90!$AR$4:$AR$999,"",0)=0,"",D63*_xlfn.XLOOKUP(E63,lookups90!$B$4:$B$999,lookups90!$AR$4:$AR$999,"",0)),"")</f>
        <v/>
      </c>
      <c r="AY63" s="24" t="str">
        <f>IF(V63&lt;&gt;"", V63-_xlfn.XLOOKUP(E63,lookups90!$B$4:$B$999,lookups90!$AP$4:$AP$999,"",0),"")</f>
        <v/>
      </c>
      <c r="AZ63" s="20" t="str">
        <f>IFERROR(IF(_xlfn.XLOOKUP(E63,lookups90!$B$4:$B$999,lookups90!$AS$4:$AS$999,"",0)=0,"",D63*_xlfn.XLOOKUP(E63,lookups90!$B$4:$B$999,lookups90!$AS$4:$AS$999,"",0)),"")</f>
        <v/>
      </c>
      <c r="BA63" s="20" t="str">
        <f>IF(X63&lt;&gt;"", X63-_xlfn.XLOOKUP(E63,lookups90!$B$4:$B$999,lookups90!$AQ$4:$AQ$999,"",0),"")</f>
        <v/>
      </c>
      <c r="BB63" s="20" t="str">
        <f>IFERROR(IF(_xlfn.XLOOKUP(E63,lookups90!$B$4:$B$999,lookups90!$AT$4:$AT$999,"",0)=0,"",D63*_xlfn.XLOOKUP(E63,lookups90!$B$4:$B$999,lookups90!$AT$4:$AT$999,"",0)),"")</f>
        <v/>
      </c>
      <c r="BD63" s="20" t="str">
        <f>IF(C63&lt;&gt;"", N63-_xlfn.XLOOKUP(E63,lookups90!$B$4:$B$999,lookups90!$AX$4:$AX$999,"",0)+M63,"")</f>
        <v/>
      </c>
      <c r="BE63" s="20" t="str">
        <f>IFERROR(IF(_xlfn.XLOOKUP(E63,lookups90!$B$4:$B$999,lookups90!$AY$4:$AY$999,"",0)=0,"",D63*_xlfn.XLOOKUP(E63,lookups90!$B$4:$B$999,lookups90!$AY$4:$AY$999,"",0)),"")</f>
        <v/>
      </c>
      <c r="BF63" s="20" t="str">
        <f>IF(C63&lt;&gt;"", P63-_xlfn.XLOOKUP(E63,lookups90!$B$4:$B$999,lookups90!$AX$4:$AX$999,"",0)+M63,"")</f>
        <v/>
      </c>
      <c r="BG63" s="20" t="str">
        <f>IFERROR(IF(_xlfn.XLOOKUP(E63,lookups90!$B$4:$B$999,lookups90!$AZ$4:$AZ$999,"",0)=0,"",D63*_xlfn.XLOOKUP(E63,lookups90!$B$4:$B$999,lookups90!$AZ$4:$AZ$999,"",0)),"")</f>
        <v/>
      </c>
      <c r="BI63" s="20" t="str">
        <f>IF(C63&lt;&gt;"", T63-_xlfn.XLOOKUP(E63,lookups90!$B$4:$B$999,lookups90!$BA$4:$BA$999,"",0),"")</f>
        <v/>
      </c>
      <c r="BJ63" s="20" t="str">
        <f>IFERROR(IF(_xlfn.XLOOKUP(E63,lookups90!$B$4:$B$999,lookups90!$BB$4:$BB$999,"",0)=0,"",D63*_xlfn.XLOOKUP(E63,lookups90!$B$4:$B$999,lookups90!$BB$4:$BB$999,"",0)),"")</f>
        <v/>
      </c>
      <c r="BK63" s="20" t="str">
        <f>IF(V63&lt;&gt;"", V63-_xlfn.XLOOKUP(E63,lookups90!$B$4:$B$999,lookups90!$BA$4:$BA$999,"",0),"")</f>
        <v/>
      </c>
      <c r="BL63" s="20" t="str">
        <f>IFERROR(IF(_xlfn.XLOOKUP(E63,lookups90!$B$4:$B$999,lookups90!$BC$4:$BC$999,"",0)=0,"",D63*_xlfn.XLOOKUP(E63,lookups90!$B$4:$B$999,lookups90!$BC$4:$BC$999,"",0)),"")</f>
        <v/>
      </c>
      <c r="BM63" s="20" t="str">
        <f>IF(C63&lt;&gt;"", X63-_xlfn.XLOOKUP(E63,lookups90!$B$4:$B$999,lookups90!$BA$4:$BA$999,"",0),"")</f>
        <v/>
      </c>
      <c r="BN63" s="20" t="str">
        <f>IFERROR(IF(_xlfn.XLOOKUP(E63,lookups90!$B$4:$B$999,lookups90!$BD$4:$BD$999,"",0)=0,"",D63*_xlfn.XLOOKUP(E63,lookups90!$B$4:$B$999,lookups90!$BD$4:$BD$999,"",0)),"")</f>
        <v/>
      </c>
      <c r="BP63" s="20" t="str">
        <f>IF(AB63&lt;&gt;"", AB63-_xlfn.XLOOKUP(E63,lookups90!$B$4:$B$999,lookups90!$BE$4:$BE$999,"",0),"")</f>
        <v/>
      </c>
      <c r="BQ63" s="20" t="str">
        <f>IFERROR(IF(_xlfn.XLOOKUP(E63,lookups90!$B$4:$B$999,lookups90!$BF$4:$BF$999,"",0)=0,"",D63*_xlfn.XLOOKUP(E63,lookups90!$B$4:$B$999,lookups90!$BF$4:$BF$999,"",0)),"")</f>
        <v/>
      </c>
      <c r="BR63" s="20" t="str" cm="1">
        <f t="array" ref="BR63">_xlfn.IFS(BP63="","",OR(E63="Fix Slide Door - with Screen",E63="Slide Slide Door - with Screen"),(K63-_xlfn.XLOOKUP(E63,lookups90!$B$4:$B$999,lookups90!$F$4:$F$999,"",0)-_xlfn.XLOOKUP(E63,lookups90!$B$4:$B$999,lookups90!$G$4:$G$999,"",0)+_xlfn.XLOOKUP(E63,lookups90!$B$4:$B$999,lookups90!$H$4:$H$999,"",0))/2+_xlfn.XLOOKUP(E63,lookups90!$B$4:$B$999,lookups90!$I$4:$I$999,"",0)-_xlfn.XLOOKUP(E63,lookups90!$B$4:$B$999,lookups90!$BE$4:$BE$999,"",0), E63="Fix Slide Slide Fix Door - with Screen",(K63-_xlfn.XLOOKUP(E63,lookups90!$B$4:$B$999,lookups90!$F$4:$F$999,"",0)-_xlfn.XLOOKUP(E63,lookups90!$B$4:$B$999,lookups90!$G$4:$G$999,"",0)+_xlfn.XLOOKUP(E63,lookups90!$B$4:$B$999,lookups90!$H$4:$H$999,"",0)+_xlfn.XLOOKUP(E63,lookups90!$B$4:$B$999,lookups90!$H$4:$H$999,"",0))/4+_xlfn.XLOOKUP(E63,lookups90!$B$4:$B$999,lookups90!$I$4:$I$999,"",0)-_xlfn.XLOOKUP(E63,lookups90!$B$4:$B$999,lookups90!$BE$4:$BE$999,"",0))</f>
        <v/>
      </c>
      <c r="BS63" s="20" t="str">
        <f>IFERROR(IF(_xlfn.XLOOKUP(E63,lookups90!$B$4:$B$999,lookups90!$BG$4:$BG$999,"",0)=0,"",D63*_xlfn.XLOOKUP(E63,lookups90!$B$4:$B$999,lookups90!$BG$4:$BG$999,"",0)),"")</f>
        <v/>
      </c>
      <c r="BU63" s="20" t="str">
        <f>IF(AG63&lt;&gt;"",AG63-_xlfn.XLOOKUP(E63,lookups90!$B$4:$B$999,lookups90!$BA$4:$BA$999,"",0),"")</f>
        <v/>
      </c>
      <c r="BV63" s="20" t="str">
        <f>IFERROR(IF(_xlfn.XLOOKUP(E63,lookups90!$B$4:$B$999,lookups90!$BH$4:$BH$999,"",0)=0,"",D63*_xlfn.XLOOKUP(E63,lookups90!$B$4:$B$999,lookups90!$BH$4:$BH$999,"",0)),"")</f>
        <v/>
      </c>
      <c r="BW63" s="20" t="str" cm="1">
        <f t="array" ref="BW63">_xlfn.IFS(BU63="","",OR(E63="Fix Slide Window",E63="Slide Slide Window"),(K63-_xlfn.XLOOKUP(E63,lookups90!$B$4:$B$999,lookups90!$F$4:$F$999,"",0)-_xlfn.XLOOKUP(E63,lookups90!$B$4:$B$999,lookups90!$G$4:$G$999,"",0)+_xlfn.XLOOKUP(E63,lookups90!$B$4:$B$999,lookups90!$H$4:$H$999,"",0))/2+_xlfn.XLOOKUP(E63,lookups90!$B$4:$B$999,lookups90!$I$4:$I$999,"",0)-_xlfn.XLOOKUP(E63,lookups90!$B$4:$B$999,lookups90!$BA$4:$BA$999,"",0), E63="Fix Slide Slide Fix Window",(K63-_xlfn.XLOOKUP(E63,lookups90!$B$4:$B$999,lookups90!$F$4:$F$999,"",0)-_xlfn.XLOOKUP(E63,lookups90!$B$4:$B$999,lookups90!$G$4:$G$999,"",0)+_xlfn.XLOOKUP(E63,lookups90!$B$4:$B$999,lookups90!$H$4:$H$999,"",0)+_xlfn.XLOOKUP(E63,lookups90!$B$4:$B$999,lookups90!$H$4:$H$999,"",0))/4+_xlfn.XLOOKUP(E63,lookups90!$B$4:$B$999,lookups90!$I$4:$I$999,"",0)-_xlfn.XLOOKUP(E63,lookups90!$B$4:$B$999,lookups90!$BA$4:$BA$999,"",0))</f>
        <v/>
      </c>
      <c r="BX63" s="20" t="str">
        <f>IFERROR(IF(_xlfn.XLOOKUP(E63,lookups90!$B$4:$B$999,lookups90!$BI$4:$BI$999,"",0)=0,"",D63*_xlfn.XLOOKUP(E63,lookups90!$B$4:$B$999,lookups90!$BI$4:$BI$999,"",0)),"")</f>
        <v/>
      </c>
      <c r="BZ63" s="20" t="str">
        <f>IF(AL63&lt;&gt;"", AL63-_xlfn.XLOOKUP(E63,lookups90!$B$4:$B$999,lookups90!$BJ$4:$BJ$999,"",0),"")</f>
        <v/>
      </c>
      <c r="CA63" s="20" t="str">
        <f>IFERROR(IF(_xlfn.XLOOKUP(E63,lookups90!$B$4:$B$999,lookups90!$BK$4:$BK$999,"",0)=0,"",D63*_xlfn.XLOOKUP(E63,lookups90!$B$4:$B$999,lookups90!$BK$4:$BK$999,"",0)),"")</f>
        <v/>
      </c>
      <c r="CC63" s="20" t="str">
        <f>IF(C63&lt;&gt;"", T63-_xlfn.XLOOKUP(E63,lookups90!$B$4:$B$999,lookups90!$BO$4:$BO$999,"",0)-_xlfn.XLOOKUP(E63,lookups90!$B$4:$B$999,lookups90!$BP$4:$BP$999,"",0),"")</f>
        <v/>
      </c>
      <c r="CD63" s="20" t="str">
        <f>IF(C63&lt;&gt;"", X63-_xlfn.XLOOKUP(E63,lookups90!$B$4:$B$999,lookups90!$BQ$4:$BQ$999,"",0)-_xlfn.XLOOKUP(E63,lookups90!$B$4:$B$999,lookups90!$BR$4:$BR$999,"",0),"")</f>
        <v/>
      </c>
      <c r="CE63" s="20" t="str">
        <f>IFERROR(IF(_xlfn.XLOOKUP(E63,lookups90!$B$4:$B$999,lookups90!$BS$4:$BS$999,"",0)=0,"",D63*_xlfn.XLOOKUP(E63,lookups90!$B$4:$B$999,lookups90!$BS$4:$BS$999,"",0)),"")</f>
        <v/>
      </c>
      <c r="CF63" s="20" t="str">
        <f>IF(V63&lt;&gt;"", V63-_xlfn.XLOOKUP(E63,lookups90!$B$4:$B$999,lookups90!$BO$4:$BO$999,"",0)-_xlfn.XLOOKUP(E63,lookups90!$B$4:$B$999,lookups90!$BP$4:$BP$999,"",0),"")</f>
        <v/>
      </c>
      <c r="CG63" s="20" t="str">
        <f>IF(CF63&lt;&gt;"", X63-_xlfn.XLOOKUP(E63,lookups90!$B$4:$B$999,lookups90!$BQ$4:$BQ$999,"",0)-_xlfn.XLOOKUP(E63,lookups90!$B$4:$B$999,lookups90!$BR$4:$BR$999,"",0),"")</f>
        <v/>
      </c>
      <c r="CH63" s="20" t="str">
        <f>IFERROR(IF(_xlfn.XLOOKUP(E63,lookups90!$B$4:$B$999,lookups90!$BT$4:$BT$999,"",0)=0,"",D63*_xlfn.XLOOKUP(E63,lookups90!$B$4:$B$999,lookups90!$BT$4:$BT$999,"",0)),"")</f>
        <v/>
      </c>
      <c r="CJ63" s="22" t="str">
        <f t="shared" si="5"/>
        <v/>
      </c>
      <c r="CL63" s="22" t="str" cm="1">
        <f t="array" ref="CL63">IF(D63&lt;&gt;"",((((J63+K63)*2)/500)+(2*_xlfn.IFS(OR(E63="Fix Slide Window", E63="Slide Slide Window", E63="Fix Slide Slide Fix Window"), 2, E63="Slide Slide Door - with Screen", 8, E63&lt;&gt;"",4)))*D63,"")</f>
        <v/>
      </c>
      <c r="CM63" s="22" t="str">
        <f t="shared" si="9"/>
        <v/>
      </c>
      <c r="CN63" s="22" t="str">
        <f t="shared" si="10"/>
        <v/>
      </c>
      <c r="CO63" s="22" t="str">
        <f t="shared" si="8"/>
        <v/>
      </c>
      <c r="CP63" s="22" t="str">
        <f t="shared" si="11"/>
        <v/>
      </c>
    </row>
    <row r="64" spans="3:94" ht="13.5" customHeight="1" x14ac:dyDescent="0.25">
      <c r="C64" s="16"/>
      <c r="D64" s="16"/>
      <c r="E64" s="16"/>
      <c r="F64" s="16"/>
      <c r="G64" s="16"/>
      <c r="H64" s="16"/>
      <c r="I64" s="16"/>
      <c r="J64" s="16"/>
      <c r="K64" s="16"/>
      <c r="M64" s="20" t="str">
        <f t="shared" si="1"/>
        <v/>
      </c>
      <c r="N64" s="20" t="str" cm="1">
        <f t="array" ref="N64">IFERROR(_xlfn.IFS(OR(E64="Fix Awning (Vertical)", E64="Fix Awning (Horizontal)"), J64/2+20,C64&lt;&gt;"", J64+M64),"")</f>
        <v/>
      </c>
      <c r="O64" s="20" t="str">
        <f t="shared" si="2"/>
        <v/>
      </c>
      <c r="P64" s="20" t="str">
        <f t="shared" si="3"/>
        <v/>
      </c>
      <c r="Q64" s="20" t="str">
        <f t="shared" si="4"/>
        <v/>
      </c>
      <c r="S64" s="20" t="str">
        <f>IF(C64&lt;&gt;"", _xlfn.XLOOKUP(E64,lookups90!$B$4:$B$999,lookups90!$C$4:$C$999,"",0),"")</f>
        <v/>
      </c>
      <c r="T64" s="20" t="str">
        <f>IF(C64&lt;&gt;"", J64-_xlfn.XLOOKUP(E64,lookups90!$B$4:$B$999,lookups90!$D$4:$D$999, "",0),"")</f>
        <v/>
      </c>
      <c r="U64" s="20" t="str">
        <f>IF(T64&lt;&gt;"",D64*_xlfn.XLOOKUP(E64,lookups90!$B$4:$B$999,lookups90!$J$4:$J$999, "",0),"")</f>
        <v/>
      </c>
      <c r="V64" s="20" t="str">
        <f>IF(AND(C64&lt;&gt;"", E64&lt;&gt;"Slide Slide Window", E64&lt;&gt;"Slide Slide Door", E64&lt;&gt;"Slide Slide Door - with Screen"), J64-_xlfn.XLOOKUP(E64,lookups90!$B$4:$B$999,lookups90!$E$4:$E$999, "",0),"")</f>
        <v/>
      </c>
      <c r="W64" s="20" t="str">
        <f>IF(V64&lt;&gt;"",D64*_xlfn.XLOOKUP(E64,lookups90!$B$4:$B$999,lookups90!$K$4:$K$999, "",0),"")</f>
        <v/>
      </c>
      <c r="X64" s="20" t="str" cm="1">
        <f t="array" ref="X64">IFERROR(_xlfn.IFS(OR(E64="Fix Slide Window", E64="Slide Slide Window", E64="Fix Slide Door", E64="Slide Slide Door", E64="Fix Slide Door - with Screen", E64="Slide Slide Door - with Screen"), (K64-_xlfn.XLOOKUP(E64,lookups90!$B$4:$B$999,lookups90!$F$4:$F$999, "",0)-_xlfn.XLOOKUP(E64,lookups90!$B$4:$B$999,lookups90!$G$4:$G$999, "",0)+_xlfn.XLOOKUP(E64,lookups90!$B$4:$B$999,lookups90!$H$4:$H$999, "",0))/2+_xlfn.XLOOKUP(E64,lookups90!$B$4:$B$999,lookups90!$I$4:$I$999, "",0), OR(E64="Fix Slide Slide Fix Window", E64="Fix Slide Slide Fix Door - with Screen", E64="Fix Slide Slide Fix Door"),  (K64-_xlfn.XLOOKUP(E64,lookups90!$B$4:$B$999,lookups90!$F$4:$F$999, "",0)-_xlfn.XLOOKUP(E64,lookups90!$B$4:$B$999,lookups90!$G$4:$G$999, "",0)+_xlfn.XLOOKUP(E64,lookups90!$B$4:$B$999,lookups90!$H$4:$H$999, "",0)+_xlfn.XLOOKUP(E64,lookups90!$B$4:$B$999,lookups90!$H$4:$H$999, "",0))/4+_xlfn.XLOOKUP(E64,lookups90!$B$4:$B$999,lookups90!$I$4:$I$999, "",0), E64="Fix Slide Slide Door", (K64-_xlfn.XLOOKUP(E64,lookups90!$B$4:$B$999,lookups90!$F$4:$F$999, "",0)-_xlfn.XLOOKUP(E64,lookups90!$B$4:$B$999,lookups90!$G$4:$G$999, "",0)+_xlfn.XLOOKUP(E64,lookups90!$B$4:$B$999,lookups90!$H$4:$H$999, "",0)+_xlfn.XLOOKUP(E64,lookups90!$B$4:$B$999,lookups90!$H$4:$H$999, "",0))/3+_xlfn.XLOOKUP(E64,lookups90!$B$4:$B$999,lookups90!$I$4:$I$999, "",0),E64="Fix Slide Slide Slide Slide Fix Dr",  (K64-_xlfn.XLOOKUP(E64,lookups90!$B$4:$B$999,lookups90!$F$4:$F$999, "",0)-_xlfn.XLOOKUP(E64,lookups90!$B$4:$B$999,lookups90!$G$4:$G$999, "",0)+_xlfn.XLOOKUP(E64,lookups90!$B$4:$B$999,lookups90!$H$4:$H$999, "",0)+_xlfn.XLOOKUP(E64,lookups90!$B$4:$B$999,lookups90!$H$4:$H$999, "",0)+_xlfn.XLOOKUP(E64,lookups90!$B$4:$B$999,lookups90!$H$4:$H$999, "",0)+_xlfn.XLOOKUP(E64,lookups90!$B$4:$B$999,lookups90!$H$4:$H$999, "",0))/6+_xlfn.XLOOKUP(E64,lookups90!$B$4:$B$999,lookups90!$I$4:$I$999, "",0), E64="Fix Slide Slide Slide Slide Slide Slide Fix Dr",  (K64-_xlfn.XLOOKUP(E64,lookups90!$B$4:$B$999,lookups90!$F$4:$F$999, "",0)-_xlfn.XLOOKUP(E64,lookups90!$B$4:$B$999,lookups90!$G$4:$G$999, "",0)+_xlfn.XLOOKUP(E64,lookups90!$B$4:$B$999,lookups90!$H$4:$H$999, "",0)+_xlfn.XLOOKUP(E64,lookups90!$B$4:$B$999,lookups90!$H$4:$H$999, "",0)+_xlfn.XLOOKUP(E64,lookups90!$B$4:$B$999,lookups90!$H$4:$H$999, "",0)+_xlfn.XLOOKUP(E64,lookups90!$B$4:$B$999,lookups90!$H$4:$H$999, "",0)+_xlfn.XLOOKUP(E64,lookups90!$B$4:$B$999,lookups90!$H$4:$H$999, "",0)+_xlfn.XLOOKUP(E64,lookups90!$B$4:$B$999,lookups90!$H$4:$H$999, "",0))/8+_xlfn.XLOOKUP(E64,lookups90!$B$4:$B$999,lookups90!$I$4:$I$999, "",0)),"")</f>
        <v/>
      </c>
      <c r="Y64" s="20" t="str">
        <f>IF(X64&lt;&gt;"",D64*_xlfn.XLOOKUP(E64,lookups90!$B$4:$B$999,lookups90!$L$4:$L$999, "",0),"")</f>
        <v/>
      </c>
      <c r="AA64" s="20" t="str">
        <f>IF(C64&lt;&gt;"", IF(_xlfn.XLOOKUP(E64,lookups90!$B$4:$B$999,lookups90!$P$4:$P$999,"",0)=0,"",_xlfn.XLOOKUP(E64,lookups90!$B$4:$B$999,lookups90!$P$4:$P$999,"",0)),"")</f>
        <v/>
      </c>
      <c r="AB64" s="20" t="str">
        <f>IF(AA64&lt;&gt;"", J64-_xlfn.XLOOKUP(E64,lookups90!$B$4:$B$999,lookups90!$D$4:$D$999, "",0),"")</f>
        <v/>
      </c>
      <c r="AC64" s="20" t="str">
        <f>IF(AA64&lt;&gt;"",D64*_xlfn.XLOOKUP(E64,lookups90!$B$4:$B$999,lookups90!$Q$4:$Q$999, "",0),"")</f>
        <v/>
      </c>
      <c r="AD64" s="20" t="str" cm="1">
        <f t="array" ref="AD64">IF(AA64&lt;&gt;"", _xlfn.IFS(OR(E64="Fix Slide Window", E64="Slide Slide Window", E64="Fix Slide Door", E64="Slide Slide Door", E64="Fix Slide Door - with Screen", E64="Slide Slide Door - with Screen"), (K64-_xlfn.XLOOKUP(E64,lookups90!$B$4:$B$999,lookups90!$F$4:$F$999, "",0)-_xlfn.XLOOKUP(E64,lookups90!$B$4:$B$999,lookups90!$G$4:$G$999, "",0)+_xlfn.XLOOKUP(E64,lookups90!$B$4:$B$999,lookups90!$H$4:$H$999, "",0))/2+_xlfn.XLOOKUP(E64,lookups90!$B$4:$B$999,lookups90!$I$4:$I$999, "",0), OR(E64="Fix Slide Slide Fix Window", E64="Fix Slide Slide Fix Door - with Screen", E64="Fix Slide Slide Fix Door"),  (K64-_xlfn.XLOOKUP(E64,lookups90!$B$4:$B$999,lookups90!$F$4:$F$999, "",0)-_xlfn.XLOOKUP(E64,lookups90!$B$4:$B$999,lookups90!$G$4:$G$999, "",0)+_xlfn.XLOOKUP(E64,lookups90!$B$4:$B$999,lookups90!$H$4:$H$999, "",0)+_xlfn.XLOOKUP(E64,lookups90!$B$4:$B$999,lookups90!$H$4:$H$999, "",0))/4+_xlfn.XLOOKUP(E64,lookups90!$B$4:$B$999,lookups90!$I$4:$I$999, "",0), E64="Fix Slide Slide Door", (K64-_xlfn.XLOOKUP(E64,lookups90!$B$4:$B$999,lookups90!$F$4:$F$999, "",0)-_xlfn.XLOOKUP(E64,lookups90!$B$4:$B$999,lookups90!$G$4:$G$999, "",0)+_xlfn.XLOOKUP(E64,lookups90!$B$4:$B$999,lookups90!$H$4:$H$999, "",0)+_xlfn.XLOOKUP(E64,lookups90!$B$4:$B$999,lookups90!$H$4:$H$999, "",0))/3+_xlfn.XLOOKUP(E64,lookups90!$B$4:$B$999,lookups90!$I$4:$I$999, "",0) ),"")</f>
        <v/>
      </c>
      <c r="AE64" s="20" t="str">
        <f>IF(AA64&lt;&gt;"",D64*_xlfn.XLOOKUP(E64,lookups90!$B$4:$B$999,lookups90!$R$4:$R$999, "",0),"")</f>
        <v/>
      </c>
      <c r="AG64" s="20" t="str">
        <f>IF(AH64&lt;&gt;"", J64-_xlfn.XLOOKUP(E64,lookups90!$B$4:$B$999,lookups90!$D$4:$D$999, "",0),"")</f>
        <v/>
      </c>
      <c r="AH64" s="20" t="str">
        <f>IF(_xlfn.XLOOKUP(E64,lookups90!$B$4:$B$999,lookups90!$V$4:$V$999,"",0)=0,"",D64*_xlfn.XLOOKUP(E64,lookups90!$B$4:$B$999,lookups90!$V$4:$V$999,"",0))</f>
        <v/>
      </c>
      <c r="AI64" s="20" t="str" cm="1">
        <f t="array" ref="AI64">IF(AH64&lt;&gt;"", _xlfn.IFS(OR(E64="Fix Slide Window", E64="Slide Slide Window"), (K64-_xlfn.XLOOKUP(E64,lookups90!$B$4:$B$999,lookups90!$F$4:$F$999, "",0)-_xlfn.XLOOKUP(E64,lookups90!$B$4:$B$999,lookups90!$G$4:$G$999, "",0)+_xlfn.XLOOKUP(E64,lookups90!$B$4:$B$999,lookups90!$H$4:$H$999, "",0))/2+_xlfn.XLOOKUP(E64,lookups90!$B$4:$B$999,lookups90!$I$4:$I$999, "",0), OR(E64="Fix Slide Slide Fix Window"),  (K64-_xlfn.XLOOKUP(E64,lookups90!$B$4:$B$999,lookups90!$F$4:$F$999, "",0)+_xlfn.XLOOKUP(E64,lookups90!$B$4:$B$999,lookups90!$H$4:$H$999, "",0)+_xlfn.XLOOKUP(E64,lookups90!$B$4:$B$999,lookups90!$H$4:$H$999, "",0))/4+_xlfn.XLOOKUP(E64,lookups90!$B$4:$B$999,lookups90!$I$4:$I$999, "",0)),"")</f>
        <v/>
      </c>
      <c r="AJ64" s="20" t="str">
        <f>IF(_xlfn.XLOOKUP(E64,lookups90!$B$4:$B$999,lookups90!$V$4:$V$999,"",0)=0,"",D64*_xlfn.XLOOKUP(E64,lookups90!$B$4:$B$999,lookups90!$W$4:$W$999,"",0))</f>
        <v/>
      </c>
      <c r="AL64" s="20" t="str" cm="1">
        <f t="array" ref="AL64">IF(AM64&lt;&gt;"", _xlfn.IFS(OR(E64="Fix Slide Door - with Screen", E64="Slide Slide Door - with Screen"), (K64-_xlfn.XLOOKUP(E64,lookups90!$B$4:$B$999,lookups90!$F$4:$F$999, "",0)-_xlfn.XLOOKUP(E64,lookups90!$B$4:$B$999,lookups90!$G$4:$G$999, "",0)+_xlfn.XLOOKUP(E64,lookups90!$B$4:$B$999,lookups90!$H$4:$H$999, "",0))/2+_xlfn.XLOOKUP(E64,lookups90!$B$4:$B$999,lookups90!$I$4:$I$999, "",0), OR( E64="Fix Slide Slide Fix Door - with Screen",  E64="Fix Slide Slide Door"),  (K64-_xlfn.XLOOKUP(E64,lookups90!$B$4:$B$999,lookups90!$F$4:$F$999, "",0)-_xlfn.XLOOKUP(E64,lookups90!$B$4:$B$999,lookups90!$G$4:$G$999, "",0)+_xlfn.XLOOKUP(E64,lookups90!$B$4:$B$999,lookups90!$H$4:$H$999, "",0)+_xlfn.XLOOKUP(E64,lookups90!$B$4:$B$999,lookups90!$H$4:$H$999, "",0))/4+_xlfn.XLOOKUP(E64,lookups90!$B$4:$B$999,lookups90!$I$4:$I$999, "",0)),"")</f>
        <v/>
      </c>
      <c r="AM64" s="20" t="str">
        <f>IF(_xlfn.XLOOKUP(E64,lookups90!$B$4:$B$999,lookups90!$AA$4:$AA$999,"",0)=0,"",D64*_xlfn.XLOOKUP(E64,lookups90!$B$4:$B$999,lookups90!$AA$4:$AA$999,"",0))</f>
        <v/>
      </c>
      <c r="AO64" s="20" t="str">
        <f>IFERROR(IF(C64&lt;&gt;"", T64-_xlfn.XLOOKUP(E64,lookups90!$B$4:$B$999,lookups90!$AE$4:$AE$999, "",0),""),"")</f>
        <v/>
      </c>
      <c r="AP64" s="20" t="str">
        <f>IF(_xlfn.XLOOKUP(E64,lookups90!$B$4:$B$999,lookups90!$AG$4:$AG$999,"",0)=0,"",D64*_xlfn.XLOOKUP(E64,lookups90!$B$4:$B$999,lookups90!$AG$4:$AG$999,"",0))</f>
        <v/>
      </c>
      <c r="AQ64" s="20" t="str">
        <f>IF(V64&lt;&gt;"", T64-_xlfn.XLOOKUP(E64,lookups90!$B$4:$B$999,lookups90!$AE$4:$AE$999, "",0)+_xlfn.XLOOKUP(E64,lookups90!$B$4:$B$999,lookups90!$AF$4:$AF$999, "",0),"")</f>
        <v/>
      </c>
      <c r="AR64" s="20" t="str">
        <f>IFERROR(IF(_xlfn.XLOOKUP(E64,lookups90!$B$4:$B$999,lookups90!$AH$4:$AH$999,"",0)=0,"",D64*_xlfn.XLOOKUP(E64,lookups90!$B$4:$B$999,lookups90!$AH$4:$AH$999,"",0)),"")</f>
        <v/>
      </c>
      <c r="AT64" s="20" t="str">
        <f>IF(OR(E64="Fix Slide Slide Fix Window", E64="Fix Slide Slide Fix Door", E64="Fix Slide Slide Fix Door - with Screen", E64="Fix Slide Slide Door"), T64-_xlfn.XLOOKUP(E64,lookups90!$B$4:$B$999,lookups90!$AE$4:$AE$999,"",0),"")</f>
        <v/>
      </c>
      <c r="AU64" s="20" t="str">
        <f>IFERROR(IF(_xlfn.XLOOKUP(E64,lookups90!$B$4:$B$999,lookups90!$AL$4:$AL$999,"",0)=0,"",D64*_xlfn.XLOOKUP(E64,lookups90!$B$4:$B$999,lookups90!$AL$4:$AL$999,"",0)),"")</f>
        <v/>
      </c>
      <c r="AW64" s="20" t="str">
        <f>IF(C64&lt;&gt;"", T64-_xlfn.XLOOKUP(E64,lookups90!$B$4:$B$999,lookups90!$AP$4:$AP$999,"",0),"")</f>
        <v/>
      </c>
      <c r="AX64" s="20" t="str">
        <f>IFERROR(IF(_xlfn.XLOOKUP(E64,lookups90!$B$4:$B$999,lookups90!$AR$4:$AR$999,"",0)=0,"",D64*_xlfn.XLOOKUP(E64,lookups90!$B$4:$B$999,lookups90!$AR$4:$AR$999,"",0)),"")</f>
        <v/>
      </c>
      <c r="AY64" s="24" t="str">
        <f>IF(V64&lt;&gt;"", V64-_xlfn.XLOOKUP(E64,lookups90!$B$4:$B$999,lookups90!$AP$4:$AP$999,"",0),"")</f>
        <v/>
      </c>
      <c r="AZ64" s="20" t="str">
        <f>IFERROR(IF(_xlfn.XLOOKUP(E64,lookups90!$B$4:$B$999,lookups90!$AS$4:$AS$999,"",0)=0,"",D64*_xlfn.XLOOKUP(E64,lookups90!$B$4:$B$999,lookups90!$AS$4:$AS$999,"",0)),"")</f>
        <v/>
      </c>
      <c r="BA64" s="20" t="str">
        <f>IF(X64&lt;&gt;"", X64-_xlfn.XLOOKUP(E64,lookups90!$B$4:$B$999,lookups90!$AQ$4:$AQ$999,"",0),"")</f>
        <v/>
      </c>
      <c r="BB64" s="20" t="str">
        <f>IFERROR(IF(_xlfn.XLOOKUP(E64,lookups90!$B$4:$B$999,lookups90!$AT$4:$AT$999,"",0)=0,"",D64*_xlfn.XLOOKUP(E64,lookups90!$B$4:$B$999,lookups90!$AT$4:$AT$999,"",0)),"")</f>
        <v/>
      </c>
      <c r="BD64" s="20" t="str">
        <f>IF(C64&lt;&gt;"", N64-_xlfn.XLOOKUP(E64,lookups90!$B$4:$B$999,lookups90!$AX$4:$AX$999,"",0)+M64,"")</f>
        <v/>
      </c>
      <c r="BE64" s="20" t="str">
        <f>IFERROR(IF(_xlfn.XLOOKUP(E64,lookups90!$B$4:$B$999,lookups90!$AY$4:$AY$999,"",0)=0,"",D64*_xlfn.XLOOKUP(E64,lookups90!$B$4:$B$999,lookups90!$AY$4:$AY$999,"",0)),"")</f>
        <v/>
      </c>
      <c r="BF64" s="20" t="str">
        <f>IF(C64&lt;&gt;"", P64-_xlfn.XLOOKUP(E64,lookups90!$B$4:$B$999,lookups90!$AX$4:$AX$999,"",0)+M64,"")</f>
        <v/>
      </c>
      <c r="BG64" s="20" t="str">
        <f>IFERROR(IF(_xlfn.XLOOKUP(E64,lookups90!$B$4:$B$999,lookups90!$AZ$4:$AZ$999,"",0)=0,"",D64*_xlfn.XLOOKUP(E64,lookups90!$B$4:$B$999,lookups90!$AZ$4:$AZ$999,"",0)),"")</f>
        <v/>
      </c>
      <c r="BI64" s="20" t="str">
        <f>IF(C64&lt;&gt;"", T64-_xlfn.XLOOKUP(E64,lookups90!$B$4:$B$999,lookups90!$BA$4:$BA$999,"",0),"")</f>
        <v/>
      </c>
      <c r="BJ64" s="20" t="str">
        <f>IFERROR(IF(_xlfn.XLOOKUP(E64,lookups90!$B$4:$B$999,lookups90!$BB$4:$BB$999,"",0)=0,"",D64*_xlfn.XLOOKUP(E64,lookups90!$B$4:$B$999,lookups90!$BB$4:$BB$999,"",0)),"")</f>
        <v/>
      </c>
      <c r="BK64" s="20" t="str">
        <f>IF(V64&lt;&gt;"", V64-_xlfn.XLOOKUP(E64,lookups90!$B$4:$B$999,lookups90!$BA$4:$BA$999,"",0),"")</f>
        <v/>
      </c>
      <c r="BL64" s="20" t="str">
        <f>IFERROR(IF(_xlfn.XLOOKUP(E64,lookups90!$B$4:$B$999,lookups90!$BC$4:$BC$999,"",0)=0,"",D64*_xlfn.XLOOKUP(E64,lookups90!$B$4:$B$999,lookups90!$BC$4:$BC$999,"",0)),"")</f>
        <v/>
      </c>
      <c r="BM64" s="20" t="str">
        <f>IF(C64&lt;&gt;"", X64-_xlfn.XLOOKUP(E64,lookups90!$B$4:$B$999,lookups90!$BA$4:$BA$999,"",0),"")</f>
        <v/>
      </c>
      <c r="BN64" s="20" t="str">
        <f>IFERROR(IF(_xlfn.XLOOKUP(E64,lookups90!$B$4:$B$999,lookups90!$BD$4:$BD$999,"",0)=0,"",D64*_xlfn.XLOOKUP(E64,lookups90!$B$4:$B$999,lookups90!$BD$4:$BD$999,"",0)),"")</f>
        <v/>
      </c>
      <c r="BP64" s="20" t="str">
        <f>IF(AB64&lt;&gt;"", AB64-_xlfn.XLOOKUP(E64,lookups90!$B$4:$B$999,lookups90!$BE$4:$BE$999,"",0),"")</f>
        <v/>
      </c>
      <c r="BQ64" s="20" t="str">
        <f>IFERROR(IF(_xlfn.XLOOKUP(E64,lookups90!$B$4:$B$999,lookups90!$BF$4:$BF$999,"",0)=0,"",D64*_xlfn.XLOOKUP(E64,lookups90!$B$4:$B$999,lookups90!$BF$4:$BF$999,"",0)),"")</f>
        <v/>
      </c>
      <c r="BR64" s="20" t="str" cm="1">
        <f t="array" ref="BR64">_xlfn.IFS(BP64="","",OR(E64="Fix Slide Door - with Screen",E64="Slide Slide Door - with Screen"),(K64-_xlfn.XLOOKUP(E64,lookups90!$B$4:$B$999,lookups90!$F$4:$F$999,"",0)-_xlfn.XLOOKUP(E64,lookups90!$B$4:$B$999,lookups90!$G$4:$G$999,"",0)+_xlfn.XLOOKUP(E64,lookups90!$B$4:$B$999,lookups90!$H$4:$H$999,"",0))/2+_xlfn.XLOOKUP(E64,lookups90!$B$4:$B$999,lookups90!$I$4:$I$999,"",0)-_xlfn.XLOOKUP(E64,lookups90!$B$4:$B$999,lookups90!$BE$4:$BE$999,"",0), E64="Fix Slide Slide Fix Door - with Screen",(K64-_xlfn.XLOOKUP(E64,lookups90!$B$4:$B$999,lookups90!$F$4:$F$999,"",0)-_xlfn.XLOOKUP(E64,lookups90!$B$4:$B$999,lookups90!$G$4:$G$999,"",0)+_xlfn.XLOOKUP(E64,lookups90!$B$4:$B$999,lookups90!$H$4:$H$999,"",0)+_xlfn.XLOOKUP(E64,lookups90!$B$4:$B$999,lookups90!$H$4:$H$999,"",0))/4+_xlfn.XLOOKUP(E64,lookups90!$B$4:$B$999,lookups90!$I$4:$I$999,"",0)-_xlfn.XLOOKUP(E64,lookups90!$B$4:$B$999,lookups90!$BE$4:$BE$999,"",0))</f>
        <v/>
      </c>
      <c r="BS64" s="20" t="str">
        <f>IFERROR(IF(_xlfn.XLOOKUP(E64,lookups90!$B$4:$B$999,lookups90!$BG$4:$BG$999,"",0)=0,"",D64*_xlfn.XLOOKUP(E64,lookups90!$B$4:$B$999,lookups90!$BG$4:$BG$999,"",0)),"")</f>
        <v/>
      </c>
      <c r="BU64" s="20" t="str">
        <f>IF(AG64&lt;&gt;"",AG64-_xlfn.XLOOKUP(E64,lookups90!$B$4:$B$999,lookups90!$BA$4:$BA$999,"",0),"")</f>
        <v/>
      </c>
      <c r="BV64" s="20" t="str">
        <f>IFERROR(IF(_xlfn.XLOOKUP(E64,lookups90!$B$4:$B$999,lookups90!$BH$4:$BH$999,"",0)=0,"",D64*_xlfn.XLOOKUP(E64,lookups90!$B$4:$B$999,lookups90!$BH$4:$BH$999,"",0)),"")</f>
        <v/>
      </c>
      <c r="BW64" s="20" t="str" cm="1">
        <f t="array" ref="BW64">_xlfn.IFS(BU64="","",OR(E64="Fix Slide Window",E64="Slide Slide Window"),(K64-_xlfn.XLOOKUP(E64,lookups90!$B$4:$B$999,lookups90!$F$4:$F$999,"",0)-_xlfn.XLOOKUP(E64,lookups90!$B$4:$B$999,lookups90!$G$4:$G$999,"",0)+_xlfn.XLOOKUP(E64,lookups90!$B$4:$B$999,lookups90!$H$4:$H$999,"",0))/2+_xlfn.XLOOKUP(E64,lookups90!$B$4:$B$999,lookups90!$I$4:$I$999,"",0)-_xlfn.XLOOKUP(E64,lookups90!$B$4:$B$999,lookups90!$BA$4:$BA$999,"",0), E64="Fix Slide Slide Fix Window",(K64-_xlfn.XLOOKUP(E64,lookups90!$B$4:$B$999,lookups90!$F$4:$F$999,"",0)-_xlfn.XLOOKUP(E64,lookups90!$B$4:$B$999,lookups90!$G$4:$G$999,"",0)+_xlfn.XLOOKUP(E64,lookups90!$B$4:$B$999,lookups90!$H$4:$H$999,"",0)+_xlfn.XLOOKUP(E64,lookups90!$B$4:$B$999,lookups90!$H$4:$H$999,"",0))/4+_xlfn.XLOOKUP(E64,lookups90!$B$4:$B$999,lookups90!$I$4:$I$999,"",0)-_xlfn.XLOOKUP(E64,lookups90!$B$4:$B$999,lookups90!$BA$4:$BA$999,"",0))</f>
        <v/>
      </c>
      <c r="BX64" s="20" t="str">
        <f>IFERROR(IF(_xlfn.XLOOKUP(E64,lookups90!$B$4:$B$999,lookups90!$BI$4:$BI$999,"",0)=0,"",D64*_xlfn.XLOOKUP(E64,lookups90!$B$4:$B$999,lookups90!$BI$4:$BI$999,"",0)),"")</f>
        <v/>
      </c>
      <c r="BZ64" s="20" t="str">
        <f>IF(AL64&lt;&gt;"", AL64-_xlfn.XLOOKUP(E64,lookups90!$B$4:$B$999,lookups90!$BJ$4:$BJ$999,"",0),"")</f>
        <v/>
      </c>
      <c r="CA64" s="20" t="str">
        <f>IFERROR(IF(_xlfn.XLOOKUP(E64,lookups90!$B$4:$B$999,lookups90!$BK$4:$BK$999,"",0)=0,"",D64*_xlfn.XLOOKUP(E64,lookups90!$B$4:$B$999,lookups90!$BK$4:$BK$999,"",0)),"")</f>
        <v/>
      </c>
      <c r="CC64" s="20" t="str">
        <f>IF(C64&lt;&gt;"", T64-_xlfn.XLOOKUP(E64,lookups90!$B$4:$B$999,lookups90!$BO$4:$BO$999,"",0)-_xlfn.XLOOKUP(E64,lookups90!$B$4:$B$999,lookups90!$BP$4:$BP$999,"",0),"")</f>
        <v/>
      </c>
      <c r="CD64" s="20" t="str">
        <f>IF(C64&lt;&gt;"", X64-_xlfn.XLOOKUP(E64,lookups90!$B$4:$B$999,lookups90!$BQ$4:$BQ$999,"",0)-_xlfn.XLOOKUP(E64,lookups90!$B$4:$B$999,lookups90!$BR$4:$BR$999,"",0),"")</f>
        <v/>
      </c>
      <c r="CE64" s="20" t="str">
        <f>IFERROR(IF(_xlfn.XLOOKUP(E64,lookups90!$B$4:$B$999,lookups90!$BS$4:$BS$999,"",0)=0,"",D64*_xlfn.XLOOKUP(E64,lookups90!$B$4:$B$999,lookups90!$BS$4:$BS$999,"",0)),"")</f>
        <v/>
      </c>
      <c r="CF64" s="20" t="str">
        <f>IF(V64&lt;&gt;"", V64-_xlfn.XLOOKUP(E64,lookups90!$B$4:$B$999,lookups90!$BO$4:$BO$999,"",0)-_xlfn.XLOOKUP(E64,lookups90!$B$4:$B$999,lookups90!$BP$4:$BP$999,"",0),"")</f>
        <v/>
      </c>
      <c r="CG64" s="20" t="str">
        <f>IF(CF64&lt;&gt;"", X64-_xlfn.XLOOKUP(E64,lookups90!$B$4:$B$999,lookups90!$BQ$4:$BQ$999,"",0)-_xlfn.XLOOKUP(E64,lookups90!$B$4:$B$999,lookups90!$BR$4:$BR$999,"",0),"")</f>
        <v/>
      </c>
      <c r="CH64" s="20" t="str">
        <f>IFERROR(IF(_xlfn.XLOOKUP(E64,lookups90!$B$4:$B$999,lookups90!$BT$4:$BT$999,"",0)=0,"",D64*_xlfn.XLOOKUP(E64,lookups90!$B$4:$B$999,lookups90!$BT$4:$BT$999,"",0)),"")</f>
        <v/>
      </c>
      <c r="CJ64" s="22" t="str">
        <f t="shared" si="5"/>
        <v/>
      </c>
      <c r="CL64" s="22" t="str" cm="1">
        <f t="array" ref="CL64">IF(D64&lt;&gt;"",((((J64+K64)*2)/500)+(2*_xlfn.IFS(OR(E64="Fix Slide Window", E64="Slide Slide Window", E64="Fix Slide Slide Fix Window"), 2, E64="Slide Slide Door - with Screen", 8, E64&lt;&gt;"",4)))*D64,"")</f>
        <v/>
      </c>
      <c r="CM64" s="22" t="str">
        <f t="shared" si="9"/>
        <v/>
      </c>
      <c r="CN64" s="22" t="str">
        <f t="shared" si="10"/>
        <v/>
      </c>
      <c r="CO64" s="22" t="str">
        <f t="shared" si="8"/>
        <v/>
      </c>
      <c r="CP64" s="22" t="str">
        <f t="shared" si="11"/>
        <v/>
      </c>
    </row>
    <row r="65" spans="3:94" ht="13.5" customHeight="1" x14ac:dyDescent="0.25">
      <c r="C65" s="16"/>
      <c r="D65" s="16"/>
      <c r="E65" s="16"/>
      <c r="F65" s="16"/>
      <c r="G65" s="16"/>
      <c r="H65" s="16"/>
      <c r="I65" s="16"/>
      <c r="J65" s="16"/>
      <c r="K65" s="16"/>
      <c r="M65" s="20" t="str">
        <f t="shared" si="1"/>
        <v/>
      </c>
      <c r="N65" s="20" t="str" cm="1">
        <f t="array" ref="N65">IFERROR(_xlfn.IFS(OR(E65="Fix Awning (Vertical)", E65="Fix Awning (Horizontal)"), J65/2+20,C65&lt;&gt;"", J65+M65),"")</f>
        <v/>
      </c>
      <c r="O65" s="20" t="str">
        <f t="shared" si="2"/>
        <v/>
      </c>
      <c r="P65" s="20" t="str">
        <f t="shared" si="3"/>
        <v/>
      </c>
      <c r="Q65" s="20" t="str">
        <f t="shared" si="4"/>
        <v/>
      </c>
      <c r="S65" s="20" t="str">
        <f>IF(C65&lt;&gt;"", _xlfn.XLOOKUP(E65,lookups90!$B$4:$B$999,lookups90!$C$4:$C$999,"",0),"")</f>
        <v/>
      </c>
      <c r="T65" s="20" t="str">
        <f>IF(C65&lt;&gt;"", J65-_xlfn.XLOOKUP(E65,lookups90!$B$4:$B$999,lookups90!$D$4:$D$999, "",0),"")</f>
        <v/>
      </c>
      <c r="U65" s="20" t="str">
        <f>IF(T65&lt;&gt;"",D65*_xlfn.XLOOKUP(E65,lookups90!$B$4:$B$999,lookups90!$J$4:$J$999, "",0),"")</f>
        <v/>
      </c>
      <c r="V65" s="20" t="str">
        <f>IF(AND(C65&lt;&gt;"", E65&lt;&gt;"Slide Slide Window", E65&lt;&gt;"Slide Slide Door", E65&lt;&gt;"Slide Slide Door - with Screen"), J65-_xlfn.XLOOKUP(E65,lookups90!$B$4:$B$999,lookups90!$E$4:$E$999, "",0),"")</f>
        <v/>
      </c>
      <c r="W65" s="20" t="str">
        <f>IF(V65&lt;&gt;"",D65*_xlfn.XLOOKUP(E65,lookups90!$B$4:$B$999,lookups90!$K$4:$K$999, "",0),"")</f>
        <v/>
      </c>
      <c r="X65" s="20" t="str" cm="1">
        <f t="array" ref="X65">IFERROR(_xlfn.IFS(OR(E65="Fix Slide Window", E65="Slide Slide Window", E65="Fix Slide Door", E65="Slide Slide Door", E65="Fix Slide Door - with Screen", E65="Slide Slide Door - with Screen"), (K65-_xlfn.XLOOKUP(E65,lookups90!$B$4:$B$999,lookups90!$F$4:$F$999, "",0)-_xlfn.XLOOKUP(E65,lookups90!$B$4:$B$999,lookups90!$G$4:$G$999, "",0)+_xlfn.XLOOKUP(E65,lookups90!$B$4:$B$999,lookups90!$H$4:$H$999, "",0))/2+_xlfn.XLOOKUP(E65,lookups90!$B$4:$B$999,lookups90!$I$4:$I$999, "",0), OR(E65="Fix Slide Slide Fix Window", E65="Fix Slide Slide Fix Door - with Screen", E65="Fix Slide Slide Fix Door"),  (K65-_xlfn.XLOOKUP(E65,lookups90!$B$4:$B$999,lookups90!$F$4:$F$999, "",0)-_xlfn.XLOOKUP(E65,lookups90!$B$4:$B$999,lookups90!$G$4:$G$999, "",0)+_xlfn.XLOOKUP(E65,lookups90!$B$4:$B$999,lookups90!$H$4:$H$999, "",0)+_xlfn.XLOOKUP(E65,lookups90!$B$4:$B$999,lookups90!$H$4:$H$999, "",0))/4+_xlfn.XLOOKUP(E65,lookups90!$B$4:$B$999,lookups90!$I$4:$I$999, "",0), E65="Fix Slide Slide Door", (K65-_xlfn.XLOOKUP(E65,lookups90!$B$4:$B$999,lookups90!$F$4:$F$999, "",0)-_xlfn.XLOOKUP(E65,lookups90!$B$4:$B$999,lookups90!$G$4:$G$999, "",0)+_xlfn.XLOOKUP(E65,lookups90!$B$4:$B$999,lookups90!$H$4:$H$999, "",0)+_xlfn.XLOOKUP(E65,lookups90!$B$4:$B$999,lookups90!$H$4:$H$999, "",0))/3+_xlfn.XLOOKUP(E65,lookups90!$B$4:$B$999,lookups90!$I$4:$I$999, "",0),E65="Fix Slide Slide Slide Slide Fix Dr",  (K65-_xlfn.XLOOKUP(E65,lookups90!$B$4:$B$999,lookups90!$F$4:$F$999, "",0)-_xlfn.XLOOKUP(E65,lookups90!$B$4:$B$999,lookups90!$G$4:$G$999, "",0)+_xlfn.XLOOKUP(E65,lookups90!$B$4:$B$999,lookups90!$H$4:$H$999, "",0)+_xlfn.XLOOKUP(E65,lookups90!$B$4:$B$999,lookups90!$H$4:$H$999, "",0)+_xlfn.XLOOKUP(E65,lookups90!$B$4:$B$999,lookups90!$H$4:$H$999, "",0)+_xlfn.XLOOKUP(E65,lookups90!$B$4:$B$999,lookups90!$H$4:$H$999, "",0))/6+_xlfn.XLOOKUP(E65,lookups90!$B$4:$B$999,lookups90!$I$4:$I$999, "",0), E65="Fix Slide Slide Slide Slide Slide Slide Fix Dr",  (K65-_xlfn.XLOOKUP(E65,lookups90!$B$4:$B$999,lookups90!$F$4:$F$999, "",0)-_xlfn.XLOOKUP(E65,lookups90!$B$4:$B$999,lookups90!$G$4:$G$999, "",0)+_xlfn.XLOOKUP(E65,lookups90!$B$4:$B$999,lookups90!$H$4:$H$999, "",0)+_xlfn.XLOOKUP(E65,lookups90!$B$4:$B$999,lookups90!$H$4:$H$999, "",0)+_xlfn.XLOOKUP(E65,lookups90!$B$4:$B$999,lookups90!$H$4:$H$999, "",0)+_xlfn.XLOOKUP(E65,lookups90!$B$4:$B$999,lookups90!$H$4:$H$999, "",0)+_xlfn.XLOOKUP(E65,lookups90!$B$4:$B$999,lookups90!$H$4:$H$999, "",0)+_xlfn.XLOOKUP(E65,lookups90!$B$4:$B$999,lookups90!$H$4:$H$999, "",0))/8+_xlfn.XLOOKUP(E65,lookups90!$B$4:$B$999,lookups90!$I$4:$I$999, "",0)),"")</f>
        <v/>
      </c>
      <c r="Y65" s="20" t="str">
        <f>IF(X65&lt;&gt;"",D65*_xlfn.XLOOKUP(E65,lookups90!$B$4:$B$999,lookups90!$L$4:$L$999, "",0),"")</f>
        <v/>
      </c>
      <c r="AA65" s="20" t="str">
        <f>IF(C65&lt;&gt;"", IF(_xlfn.XLOOKUP(E65,lookups90!$B$4:$B$999,lookups90!$P$4:$P$999,"",0)=0,"",_xlfn.XLOOKUP(E65,lookups90!$B$4:$B$999,lookups90!$P$4:$P$999,"",0)),"")</f>
        <v/>
      </c>
      <c r="AB65" s="20" t="str">
        <f>IF(AA65&lt;&gt;"", J65-_xlfn.XLOOKUP(E65,lookups90!$B$4:$B$999,lookups90!$D$4:$D$999, "",0),"")</f>
        <v/>
      </c>
      <c r="AC65" s="20" t="str">
        <f>IF(AA65&lt;&gt;"",D65*_xlfn.XLOOKUP(E65,lookups90!$B$4:$B$999,lookups90!$Q$4:$Q$999, "",0),"")</f>
        <v/>
      </c>
      <c r="AD65" s="20" t="str" cm="1">
        <f t="array" ref="AD65">IF(AA65&lt;&gt;"", _xlfn.IFS(OR(E65="Fix Slide Window", E65="Slide Slide Window", E65="Fix Slide Door", E65="Slide Slide Door", E65="Fix Slide Door - with Screen", E65="Slide Slide Door - with Screen"), (K65-_xlfn.XLOOKUP(E65,lookups90!$B$4:$B$999,lookups90!$F$4:$F$999, "",0)-_xlfn.XLOOKUP(E65,lookups90!$B$4:$B$999,lookups90!$G$4:$G$999, "",0)+_xlfn.XLOOKUP(E65,lookups90!$B$4:$B$999,lookups90!$H$4:$H$999, "",0))/2+_xlfn.XLOOKUP(E65,lookups90!$B$4:$B$999,lookups90!$I$4:$I$999, "",0), OR(E65="Fix Slide Slide Fix Window", E65="Fix Slide Slide Fix Door - with Screen", E65="Fix Slide Slide Fix Door"),  (K65-_xlfn.XLOOKUP(E65,lookups90!$B$4:$B$999,lookups90!$F$4:$F$999, "",0)-_xlfn.XLOOKUP(E65,lookups90!$B$4:$B$999,lookups90!$G$4:$G$999, "",0)+_xlfn.XLOOKUP(E65,lookups90!$B$4:$B$999,lookups90!$H$4:$H$999, "",0)+_xlfn.XLOOKUP(E65,lookups90!$B$4:$B$999,lookups90!$H$4:$H$999, "",0))/4+_xlfn.XLOOKUP(E65,lookups90!$B$4:$B$999,lookups90!$I$4:$I$999, "",0), E65="Fix Slide Slide Door", (K65-_xlfn.XLOOKUP(E65,lookups90!$B$4:$B$999,lookups90!$F$4:$F$999, "",0)-_xlfn.XLOOKUP(E65,lookups90!$B$4:$B$999,lookups90!$G$4:$G$999, "",0)+_xlfn.XLOOKUP(E65,lookups90!$B$4:$B$999,lookups90!$H$4:$H$999, "",0)+_xlfn.XLOOKUP(E65,lookups90!$B$4:$B$999,lookups90!$H$4:$H$999, "",0))/3+_xlfn.XLOOKUP(E65,lookups90!$B$4:$B$999,lookups90!$I$4:$I$999, "",0) ),"")</f>
        <v/>
      </c>
      <c r="AE65" s="20" t="str">
        <f>IF(AA65&lt;&gt;"",D65*_xlfn.XLOOKUP(E65,lookups90!$B$4:$B$999,lookups90!$R$4:$R$999, "",0),"")</f>
        <v/>
      </c>
      <c r="AG65" s="20" t="str">
        <f>IF(AH65&lt;&gt;"", J65-_xlfn.XLOOKUP(E65,lookups90!$B$4:$B$999,lookups90!$D$4:$D$999, "",0),"")</f>
        <v/>
      </c>
      <c r="AH65" s="20" t="str">
        <f>IF(_xlfn.XLOOKUP(E65,lookups90!$B$4:$B$999,lookups90!$V$4:$V$999,"",0)=0,"",D65*_xlfn.XLOOKUP(E65,lookups90!$B$4:$B$999,lookups90!$V$4:$V$999,"",0))</f>
        <v/>
      </c>
      <c r="AI65" s="20" t="str" cm="1">
        <f t="array" ref="AI65">IF(AH65&lt;&gt;"", _xlfn.IFS(OR(E65="Fix Slide Window", E65="Slide Slide Window"), (K65-_xlfn.XLOOKUP(E65,lookups90!$B$4:$B$999,lookups90!$F$4:$F$999, "",0)-_xlfn.XLOOKUP(E65,lookups90!$B$4:$B$999,lookups90!$G$4:$G$999, "",0)+_xlfn.XLOOKUP(E65,lookups90!$B$4:$B$999,lookups90!$H$4:$H$999, "",0))/2+_xlfn.XLOOKUP(E65,lookups90!$B$4:$B$999,lookups90!$I$4:$I$999, "",0), OR(E65="Fix Slide Slide Fix Window"),  (K65-_xlfn.XLOOKUP(E65,lookups90!$B$4:$B$999,lookups90!$F$4:$F$999, "",0)+_xlfn.XLOOKUP(E65,lookups90!$B$4:$B$999,lookups90!$H$4:$H$999, "",0)+_xlfn.XLOOKUP(E65,lookups90!$B$4:$B$999,lookups90!$H$4:$H$999, "",0))/4+_xlfn.XLOOKUP(E65,lookups90!$B$4:$B$999,lookups90!$I$4:$I$999, "",0)),"")</f>
        <v/>
      </c>
      <c r="AJ65" s="20" t="str">
        <f>IF(_xlfn.XLOOKUP(E65,lookups90!$B$4:$B$999,lookups90!$V$4:$V$999,"",0)=0,"",D65*_xlfn.XLOOKUP(E65,lookups90!$B$4:$B$999,lookups90!$W$4:$W$999,"",0))</f>
        <v/>
      </c>
      <c r="AL65" s="20" t="str" cm="1">
        <f t="array" ref="AL65">IF(AM65&lt;&gt;"", _xlfn.IFS(OR(E65="Fix Slide Door - with Screen", E65="Slide Slide Door - with Screen"), (K65-_xlfn.XLOOKUP(E65,lookups90!$B$4:$B$999,lookups90!$F$4:$F$999, "",0)-_xlfn.XLOOKUP(E65,lookups90!$B$4:$B$999,lookups90!$G$4:$G$999, "",0)+_xlfn.XLOOKUP(E65,lookups90!$B$4:$B$999,lookups90!$H$4:$H$999, "",0))/2+_xlfn.XLOOKUP(E65,lookups90!$B$4:$B$999,lookups90!$I$4:$I$999, "",0), OR( E65="Fix Slide Slide Fix Door - with Screen",  E65="Fix Slide Slide Door"),  (K65-_xlfn.XLOOKUP(E65,lookups90!$B$4:$B$999,lookups90!$F$4:$F$999, "",0)-_xlfn.XLOOKUP(E65,lookups90!$B$4:$B$999,lookups90!$G$4:$G$999, "",0)+_xlfn.XLOOKUP(E65,lookups90!$B$4:$B$999,lookups90!$H$4:$H$999, "",0)+_xlfn.XLOOKUP(E65,lookups90!$B$4:$B$999,lookups90!$H$4:$H$999, "",0))/4+_xlfn.XLOOKUP(E65,lookups90!$B$4:$B$999,lookups90!$I$4:$I$999, "",0)),"")</f>
        <v/>
      </c>
      <c r="AM65" s="20" t="str">
        <f>IF(_xlfn.XLOOKUP(E65,lookups90!$B$4:$B$999,lookups90!$AA$4:$AA$999,"",0)=0,"",D65*_xlfn.XLOOKUP(E65,lookups90!$B$4:$B$999,lookups90!$AA$4:$AA$999,"",0))</f>
        <v/>
      </c>
      <c r="AO65" s="20" t="str">
        <f>IFERROR(IF(C65&lt;&gt;"", T65-_xlfn.XLOOKUP(E65,lookups90!$B$4:$B$999,lookups90!$AE$4:$AE$999, "",0),""),"")</f>
        <v/>
      </c>
      <c r="AP65" s="20" t="str">
        <f>IF(_xlfn.XLOOKUP(E65,lookups90!$B$4:$B$999,lookups90!$AG$4:$AG$999,"",0)=0,"",D65*_xlfn.XLOOKUP(E65,lookups90!$B$4:$B$999,lookups90!$AG$4:$AG$999,"",0))</f>
        <v/>
      </c>
      <c r="AQ65" s="20" t="str">
        <f>IF(V65&lt;&gt;"", T65-_xlfn.XLOOKUP(E65,lookups90!$B$4:$B$999,lookups90!$AE$4:$AE$999, "",0)+_xlfn.XLOOKUP(E65,lookups90!$B$4:$B$999,lookups90!$AF$4:$AF$999, "",0),"")</f>
        <v/>
      </c>
      <c r="AR65" s="20" t="str">
        <f>IFERROR(IF(_xlfn.XLOOKUP(E65,lookups90!$B$4:$B$999,lookups90!$AH$4:$AH$999,"",0)=0,"",D65*_xlfn.XLOOKUP(E65,lookups90!$B$4:$B$999,lookups90!$AH$4:$AH$999,"",0)),"")</f>
        <v/>
      </c>
      <c r="AT65" s="20" t="str">
        <f>IF(OR(E65="Fix Slide Slide Fix Window", E65="Fix Slide Slide Fix Door", E65="Fix Slide Slide Fix Door - with Screen", E65="Fix Slide Slide Door"), T65-_xlfn.XLOOKUP(E65,lookups90!$B$4:$B$999,lookups90!$AE$4:$AE$999,"",0),"")</f>
        <v/>
      </c>
      <c r="AU65" s="20" t="str">
        <f>IFERROR(IF(_xlfn.XLOOKUP(E65,lookups90!$B$4:$B$999,lookups90!$AL$4:$AL$999,"",0)=0,"",D65*_xlfn.XLOOKUP(E65,lookups90!$B$4:$B$999,lookups90!$AL$4:$AL$999,"",0)),"")</f>
        <v/>
      </c>
      <c r="AW65" s="20" t="str">
        <f>IF(C65&lt;&gt;"", T65-_xlfn.XLOOKUP(E65,lookups90!$B$4:$B$999,lookups90!$AP$4:$AP$999,"",0),"")</f>
        <v/>
      </c>
      <c r="AX65" s="20" t="str">
        <f>IFERROR(IF(_xlfn.XLOOKUP(E65,lookups90!$B$4:$B$999,lookups90!$AR$4:$AR$999,"",0)=0,"",D65*_xlfn.XLOOKUP(E65,lookups90!$B$4:$B$999,lookups90!$AR$4:$AR$999,"",0)),"")</f>
        <v/>
      </c>
      <c r="AY65" s="24" t="str">
        <f>IF(V65&lt;&gt;"", V65-_xlfn.XLOOKUP(E65,lookups90!$B$4:$B$999,lookups90!$AP$4:$AP$999,"",0),"")</f>
        <v/>
      </c>
      <c r="AZ65" s="20" t="str">
        <f>IFERROR(IF(_xlfn.XLOOKUP(E65,lookups90!$B$4:$B$999,lookups90!$AS$4:$AS$999,"",0)=0,"",D65*_xlfn.XLOOKUP(E65,lookups90!$B$4:$B$999,lookups90!$AS$4:$AS$999,"",0)),"")</f>
        <v/>
      </c>
      <c r="BA65" s="20" t="str">
        <f>IF(X65&lt;&gt;"", X65-_xlfn.XLOOKUP(E65,lookups90!$B$4:$B$999,lookups90!$AQ$4:$AQ$999,"",0),"")</f>
        <v/>
      </c>
      <c r="BB65" s="20" t="str">
        <f>IFERROR(IF(_xlfn.XLOOKUP(E65,lookups90!$B$4:$B$999,lookups90!$AT$4:$AT$999,"",0)=0,"",D65*_xlfn.XLOOKUP(E65,lookups90!$B$4:$B$999,lookups90!$AT$4:$AT$999,"",0)),"")</f>
        <v/>
      </c>
      <c r="BD65" s="20" t="str">
        <f>IF(C65&lt;&gt;"", N65-_xlfn.XLOOKUP(E65,lookups90!$B$4:$B$999,lookups90!$AX$4:$AX$999,"",0)+M65,"")</f>
        <v/>
      </c>
      <c r="BE65" s="20" t="str">
        <f>IFERROR(IF(_xlfn.XLOOKUP(E65,lookups90!$B$4:$B$999,lookups90!$AY$4:$AY$999,"",0)=0,"",D65*_xlfn.XLOOKUP(E65,lookups90!$B$4:$B$999,lookups90!$AY$4:$AY$999,"",0)),"")</f>
        <v/>
      </c>
      <c r="BF65" s="20" t="str">
        <f>IF(C65&lt;&gt;"", P65-_xlfn.XLOOKUP(E65,lookups90!$B$4:$B$999,lookups90!$AX$4:$AX$999,"",0)+M65,"")</f>
        <v/>
      </c>
      <c r="BG65" s="20" t="str">
        <f>IFERROR(IF(_xlfn.XLOOKUP(E65,lookups90!$B$4:$B$999,lookups90!$AZ$4:$AZ$999,"",0)=0,"",D65*_xlfn.XLOOKUP(E65,lookups90!$B$4:$B$999,lookups90!$AZ$4:$AZ$999,"",0)),"")</f>
        <v/>
      </c>
      <c r="BI65" s="20" t="str">
        <f>IF(C65&lt;&gt;"", T65-_xlfn.XLOOKUP(E65,lookups90!$B$4:$B$999,lookups90!$BA$4:$BA$999,"",0),"")</f>
        <v/>
      </c>
      <c r="BJ65" s="20" t="str">
        <f>IFERROR(IF(_xlfn.XLOOKUP(E65,lookups90!$B$4:$B$999,lookups90!$BB$4:$BB$999,"",0)=0,"",D65*_xlfn.XLOOKUP(E65,lookups90!$B$4:$B$999,lookups90!$BB$4:$BB$999,"",0)),"")</f>
        <v/>
      </c>
      <c r="BK65" s="20" t="str">
        <f>IF(V65&lt;&gt;"", V65-_xlfn.XLOOKUP(E65,lookups90!$B$4:$B$999,lookups90!$BA$4:$BA$999,"",0),"")</f>
        <v/>
      </c>
      <c r="BL65" s="20" t="str">
        <f>IFERROR(IF(_xlfn.XLOOKUP(E65,lookups90!$B$4:$B$999,lookups90!$BC$4:$BC$999,"",0)=0,"",D65*_xlfn.XLOOKUP(E65,lookups90!$B$4:$B$999,lookups90!$BC$4:$BC$999,"",0)),"")</f>
        <v/>
      </c>
      <c r="BM65" s="20" t="str">
        <f>IF(C65&lt;&gt;"", X65-_xlfn.XLOOKUP(E65,lookups90!$B$4:$B$999,lookups90!$BA$4:$BA$999,"",0),"")</f>
        <v/>
      </c>
      <c r="BN65" s="20" t="str">
        <f>IFERROR(IF(_xlfn.XLOOKUP(E65,lookups90!$B$4:$B$999,lookups90!$BD$4:$BD$999,"",0)=0,"",D65*_xlfn.XLOOKUP(E65,lookups90!$B$4:$B$999,lookups90!$BD$4:$BD$999,"",0)),"")</f>
        <v/>
      </c>
      <c r="BP65" s="20" t="str">
        <f>IF(AB65&lt;&gt;"", AB65-_xlfn.XLOOKUP(E65,lookups90!$B$4:$B$999,lookups90!$BE$4:$BE$999,"",0),"")</f>
        <v/>
      </c>
      <c r="BQ65" s="20" t="str">
        <f>IFERROR(IF(_xlfn.XLOOKUP(E65,lookups90!$B$4:$B$999,lookups90!$BF$4:$BF$999,"",0)=0,"",D65*_xlfn.XLOOKUP(E65,lookups90!$B$4:$B$999,lookups90!$BF$4:$BF$999,"",0)),"")</f>
        <v/>
      </c>
      <c r="BR65" s="20" t="str" cm="1">
        <f t="array" ref="BR65">_xlfn.IFS(BP65="","",OR(E65="Fix Slide Door - with Screen",E65="Slide Slide Door - with Screen"),(K65-_xlfn.XLOOKUP(E65,lookups90!$B$4:$B$999,lookups90!$F$4:$F$999,"",0)-_xlfn.XLOOKUP(E65,lookups90!$B$4:$B$999,lookups90!$G$4:$G$999,"",0)+_xlfn.XLOOKUP(E65,lookups90!$B$4:$B$999,lookups90!$H$4:$H$999,"",0))/2+_xlfn.XLOOKUP(E65,lookups90!$B$4:$B$999,lookups90!$I$4:$I$999,"",0)-_xlfn.XLOOKUP(E65,lookups90!$B$4:$B$999,lookups90!$BE$4:$BE$999,"",0), E65="Fix Slide Slide Fix Door - with Screen",(K65-_xlfn.XLOOKUP(E65,lookups90!$B$4:$B$999,lookups90!$F$4:$F$999,"",0)-_xlfn.XLOOKUP(E65,lookups90!$B$4:$B$999,lookups90!$G$4:$G$999,"",0)+_xlfn.XLOOKUP(E65,lookups90!$B$4:$B$999,lookups90!$H$4:$H$999,"",0)+_xlfn.XLOOKUP(E65,lookups90!$B$4:$B$999,lookups90!$H$4:$H$999,"",0))/4+_xlfn.XLOOKUP(E65,lookups90!$B$4:$B$999,lookups90!$I$4:$I$999,"",0)-_xlfn.XLOOKUP(E65,lookups90!$B$4:$B$999,lookups90!$BE$4:$BE$999,"",0))</f>
        <v/>
      </c>
      <c r="BS65" s="20" t="str">
        <f>IFERROR(IF(_xlfn.XLOOKUP(E65,lookups90!$B$4:$B$999,lookups90!$BG$4:$BG$999,"",0)=0,"",D65*_xlfn.XLOOKUP(E65,lookups90!$B$4:$B$999,lookups90!$BG$4:$BG$999,"",0)),"")</f>
        <v/>
      </c>
      <c r="BU65" s="20" t="str">
        <f>IF(AG65&lt;&gt;"",AG65-_xlfn.XLOOKUP(E65,lookups90!$B$4:$B$999,lookups90!$BA$4:$BA$999,"",0),"")</f>
        <v/>
      </c>
      <c r="BV65" s="20" t="str">
        <f>IFERROR(IF(_xlfn.XLOOKUP(E65,lookups90!$B$4:$B$999,lookups90!$BH$4:$BH$999,"",0)=0,"",D65*_xlfn.XLOOKUP(E65,lookups90!$B$4:$B$999,lookups90!$BH$4:$BH$999,"",0)),"")</f>
        <v/>
      </c>
      <c r="BW65" s="20" t="str" cm="1">
        <f t="array" ref="BW65">_xlfn.IFS(BU65="","",OR(E65="Fix Slide Window",E65="Slide Slide Window"),(K65-_xlfn.XLOOKUP(E65,lookups90!$B$4:$B$999,lookups90!$F$4:$F$999,"",0)-_xlfn.XLOOKUP(E65,lookups90!$B$4:$B$999,lookups90!$G$4:$G$999,"",0)+_xlfn.XLOOKUP(E65,lookups90!$B$4:$B$999,lookups90!$H$4:$H$999,"",0))/2+_xlfn.XLOOKUP(E65,lookups90!$B$4:$B$999,lookups90!$I$4:$I$999,"",0)-_xlfn.XLOOKUP(E65,lookups90!$B$4:$B$999,lookups90!$BA$4:$BA$999,"",0), E65="Fix Slide Slide Fix Window",(K65-_xlfn.XLOOKUP(E65,lookups90!$B$4:$B$999,lookups90!$F$4:$F$999,"",0)-_xlfn.XLOOKUP(E65,lookups90!$B$4:$B$999,lookups90!$G$4:$G$999,"",0)+_xlfn.XLOOKUP(E65,lookups90!$B$4:$B$999,lookups90!$H$4:$H$999,"",0)+_xlfn.XLOOKUP(E65,lookups90!$B$4:$B$999,lookups90!$H$4:$H$999,"",0))/4+_xlfn.XLOOKUP(E65,lookups90!$B$4:$B$999,lookups90!$I$4:$I$999,"",0)-_xlfn.XLOOKUP(E65,lookups90!$B$4:$B$999,lookups90!$BA$4:$BA$999,"",0))</f>
        <v/>
      </c>
      <c r="BX65" s="20" t="str">
        <f>IFERROR(IF(_xlfn.XLOOKUP(E65,lookups90!$B$4:$B$999,lookups90!$BI$4:$BI$999,"",0)=0,"",D65*_xlfn.XLOOKUP(E65,lookups90!$B$4:$B$999,lookups90!$BI$4:$BI$999,"",0)),"")</f>
        <v/>
      </c>
      <c r="BZ65" s="20" t="str">
        <f>IF(AL65&lt;&gt;"", AL65-_xlfn.XLOOKUP(E65,lookups90!$B$4:$B$999,lookups90!$BJ$4:$BJ$999,"",0),"")</f>
        <v/>
      </c>
      <c r="CA65" s="20" t="str">
        <f>IFERROR(IF(_xlfn.XLOOKUP(E65,lookups90!$B$4:$B$999,lookups90!$BK$4:$BK$999,"",0)=0,"",D65*_xlfn.XLOOKUP(E65,lookups90!$B$4:$B$999,lookups90!$BK$4:$BK$999,"",0)),"")</f>
        <v/>
      </c>
      <c r="CC65" s="20" t="str">
        <f>IF(C65&lt;&gt;"", T65-_xlfn.XLOOKUP(E65,lookups90!$B$4:$B$999,lookups90!$BO$4:$BO$999,"",0)-_xlfn.XLOOKUP(E65,lookups90!$B$4:$B$999,lookups90!$BP$4:$BP$999,"",0),"")</f>
        <v/>
      </c>
      <c r="CD65" s="20" t="str">
        <f>IF(C65&lt;&gt;"", X65-_xlfn.XLOOKUP(E65,lookups90!$B$4:$B$999,lookups90!$BQ$4:$BQ$999,"",0)-_xlfn.XLOOKUP(E65,lookups90!$B$4:$B$999,lookups90!$BR$4:$BR$999,"",0),"")</f>
        <v/>
      </c>
      <c r="CE65" s="20" t="str">
        <f>IFERROR(IF(_xlfn.XLOOKUP(E65,lookups90!$B$4:$B$999,lookups90!$BS$4:$BS$999,"",0)=0,"",D65*_xlfn.XLOOKUP(E65,lookups90!$B$4:$B$999,lookups90!$BS$4:$BS$999,"",0)),"")</f>
        <v/>
      </c>
      <c r="CF65" s="20" t="str">
        <f>IF(V65&lt;&gt;"", V65-_xlfn.XLOOKUP(E65,lookups90!$B$4:$B$999,lookups90!$BO$4:$BO$999,"",0)-_xlfn.XLOOKUP(E65,lookups90!$B$4:$B$999,lookups90!$BP$4:$BP$999,"",0),"")</f>
        <v/>
      </c>
      <c r="CG65" s="20" t="str">
        <f>IF(CF65&lt;&gt;"", X65-_xlfn.XLOOKUP(E65,lookups90!$B$4:$B$999,lookups90!$BQ$4:$BQ$999,"",0)-_xlfn.XLOOKUP(E65,lookups90!$B$4:$B$999,lookups90!$BR$4:$BR$999,"",0),"")</f>
        <v/>
      </c>
      <c r="CH65" s="20" t="str">
        <f>IFERROR(IF(_xlfn.XLOOKUP(E65,lookups90!$B$4:$B$999,lookups90!$BT$4:$BT$999,"",0)=0,"",D65*_xlfn.XLOOKUP(E65,lookups90!$B$4:$B$999,lookups90!$BT$4:$BT$999,"",0)),"")</f>
        <v/>
      </c>
      <c r="CJ65" s="22" t="str">
        <f t="shared" si="5"/>
        <v/>
      </c>
      <c r="CL65" s="22" t="str" cm="1">
        <f t="array" ref="CL65">IF(D65&lt;&gt;"",((((J65+K65)*2)/500)+(2*_xlfn.IFS(OR(E65="Fix Slide Window", E65="Slide Slide Window", E65="Fix Slide Slide Fix Window"), 2, E65="Slide Slide Door - with Screen", 8, E65&lt;&gt;"",4)))*D65,"")</f>
        <v/>
      </c>
      <c r="CM65" s="22" t="str">
        <f t="shared" si="9"/>
        <v/>
      </c>
      <c r="CN65" s="22" t="str">
        <f t="shared" si="10"/>
        <v/>
      </c>
      <c r="CO65" s="22" t="str">
        <f t="shared" si="8"/>
        <v/>
      </c>
      <c r="CP65" s="22" t="str">
        <f t="shared" si="11"/>
        <v/>
      </c>
    </row>
  </sheetData>
  <mergeCells count="26">
    <mergeCell ref="N13:Q13"/>
    <mergeCell ref="D9:E9"/>
    <mergeCell ref="J9:K9"/>
    <mergeCell ref="D10:E10"/>
    <mergeCell ref="J10:K10"/>
    <mergeCell ref="C13:K13"/>
    <mergeCell ref="D6:E6"/>
    <mergeCell ref="J6:K6"/>
    <mergeCell ref="D7:E7"/>
    <mergeCell ref="J7:K7"/>
    <mergeCell ref="D8:E8"/>
    <mergeCell ref="J8:K8"/>
    <mergeCell ref="CL13:CP13"/>
    <mergeCell ref="CC13:CH13"/>
    <mergeCell ref="AL13:AM13"/>
    <mergeCell ref="S13:Y13"/>
    <mergeCell ref="AW13:BB13"/>
    <mergeCell ref="BD13:BG13"/>
    <mergeCell ref="BI13:BN13"/>
    <mergeCell ref="AA13:AE13"/>
    <mergeCell ref="AG13:AJ13"/>
    <mergeCell ref="AO13:AR13"/>
    <mergeCell ref="AT13:AU13"/>
    <mergeCell ref="BP13:BS13"/>
    <mergeCell ref="BZ13:CA13"/>
    <mergeCell ref="BU13:BX13"/>
  </mergeCells>
  <dataValidations count="1">
    <dataValidation type="list" allowBlank="1" showInputMessage="1" showErrorMessage="1" sqref="H16:I65" xr:uid="{068D2D8C-F1A7-4886-93DF-4C4D83A2FC22}">
      <formula1>#REF!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76F3C-9F1F-4DA8-8C25-FD99C747FCE7}">
  <sheetPr codeName="Sheet19">
    <tabColor theme="0"/>
  </sheetPr>
  <dimension ref="A1:BT15"/>
  <sheetViews>
    <sheetView topLeftCell="AO1" workbookViewId="0">
      <selection activeCell="BJ15" sqref="BJ15"/>
    </sheetView>
  </sheetViews>
  <sheetFormatPr defaultRowHeight="15" x14ac:dyDescent="0.25"/>
  <cols>
    <col min="1" max="1" width="37.5703125" bestFit="1" customWidth="1"/>
    <col min="2" max="2" width="37.5703125" customWidth="1"/>
    <col min="3" max="3" width="10.28515625" bestFit="1" customWidth="1"/>
    <col min="4" max="4" width="15.140625" bestFit="1" customWidth="1"/>
    <col min="5" max="5" width="15.42578125" bestFit="1" customWidth="1"/>
    <col min="6" max="6" width="11.140625" bestFit="1" customWidth="1"/>
    <col min="7" max="7" width="11.140625" customWidth="1"/>
    <col min="8" max="8" width="18.5703125" bestFit="1" customWidth="1"/>
    <col min="9" max="9" width="11.28515625" bestFit="1" customWidth="1"/>
    <col min="14" max="14" width="37.5703125" bestFit="1" customWidth="1"/>
    <col min="15" max="15" width="37.5703125" customWidth="1"/>
    <col min="16" max="16" width="10.28515625" bestFit="1" customWidth="1"/>
    <col min="20" max="20" width="37.5703125" bestFit="1" customWidth="1"/>
    <col min="21" max="21" width="37.5703125" customWidth="1"/>
    <col min="25" max="25" width="37.5703125" bestFit="1" customWidth="1"/>
    <col min="26" max="26" width="37.5703125" customWidth="1"/>
    <col min="29" max="29" width="37.5703125" bestFit="1" customWidth="1"/>
    <col min="30" max="30" width="37.5703125" customWidth="1"/>
    <col min="31" max="31" width="10.85546875" customWidth="1"/>
    <col min="32" max="32" width="12.5703125" customWidth="1"/>
    <col min="36" max="36" width="37.5703125" bestFit="1" customWidth="1"/>
    <col min="37" max="37" width="37.5703125" customWidth="1"/>
    <col min="38" max="38" width="10.85546875" customWidth="1"/>
    <col min="40" max="40" width="37.5703125" bestFit="1" customWidth="1"/>
    <col min="41" max="41" width="37.5703125" customWidth="1"/>
    <col min="42" max="42" width="10.7109375" bestFit="1" customWidth="1"/>
    <col min="43" max="43" width="15.42578125" bestFit="1" customWidth="1"/>
    <col min="44" max="44" width="10.7109375" bestFit="1" customWidth="1"/>
    <col min="45" max="46" width="15.42578125" bestFit="1" customWidth="1"/>
    <col min="48" max="48" width="37.5703125" bestFit="1" customWidth="1"/>
    <col min="49" max="49" width="37.5703125" customWidth="1"/>
    <col min="50" max="50" width="10.7109375" bestFit="1" customWidth="1"/>
    <col min="51" max="51" width="15.42578125" bestFit="1" customWidth="1"/>
    <col min="52" max="53" width="10.7109375" bestFit="1" customWidth="1"/>
    <col min="54" max="55" width="15.42578125" bestFit="1" customWidth="1"/>
    <col min="56" max="57" width="10.7109375" bestFit="1" customWidth="1"/>
    <col min="58" max="63" width="15.42578125" bestFit="1" customWidth="1"/>
    <col min="65" max="65" width="37.5703125" bestFit="1" customWidth="1"/>
    <col min="66" max="66" width="37.5703125" customWidth="1"/>
    <col min="67" max="67" width="15.7109375" bestFit="1" customWidth="1"/>
    <col min="68" max="68" width="14.5703125" bestFit="1" customWidth="1"/>
    <col min="69" max="69" width="15.7109375" bestFit="1" customWidth="1"/>
    <col min="70" max="70" width="14.5703125" bestFit="1" customWidth="1"/>
    <col min="71" max="72" width="16.42578125" bestFit="1" customWidth="1"/>
  </cols>
  <sheetData>
    <row r="1" spans="1:72" x14ac:dyDescent="0.25">
      <c r="A1" s="124" t="s">
        <v>170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N1" s="124" t="s">
        <v>171</v>
      </c>
      <c r="O1" s="124"/>
      <c r="P1" s="124"/>
      <c r="Q1" s="124"/>
      <c r="R1" s="124"/>
      <c r="T1" s="124" t="s">
        <v>70</v>
      </c>
      <c r="U1" s="124"/>
      <c r="V1" s="124"/>
      <c r="W1" s="124"/>
      <c r="Y1" s="124" t="s">
        <v>68</v>
      </c>
      <c r="Z1" s="124"/>
      <c r="AA1" s="124"/>
      <c r="AC1" s="124" t="s">
        <v>85</v>
      </c>
      <c r="AD1" s="124"/>
      <c r="AE1" s="124"/>
      <c r="AF1" s="124"/>
      <c r="AG1" s="124"/>
      <c r="AH1" s="124"/>
      <c r="AJ1" s="124" t="s">
        <v>86</v>
      </c>
      <c r="AK1" s="124"/>
      <c r="AL1" s="124"/>
      <c r="AN1" s="124" t="s">
        <v>69</v>
      </c>
      <c r="AO1" s="124"/>
      <c r="AP1" s="124"/>
      <c r="AQ1" s="124"/>
      <c r="AR1" s="124"/>
      <c r="AS1" s="124"/>
      <c r="AT1" s="124"/>
      <c r="AV1" s="124" t="s">
        <v>66</v>
      </c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M1" s="124" t="s">
        <v>67</v>
      </c>
      <c r="BN1" s="124"/>
      <c r="BO1" s="124"/>
      <c r="BP1" s="124"/>
      <c r="BQ1" s="124"/>
      <c r="BR1" s="124"/>
      <c r="BS1" s="124"/>
      <c r="BT1" s="124"/>
    </row>
    <row r="2" spans="1:72" x14ac:dyDescent="0.25">
      <c r="A2" s="119" t="s">
        <v>117</v>
      </c>
      <c r="B2" s="119" t="s">
        <v>4</v>
      </c>
      <c r="C2" s="119" t="s">
        <v>124</v>
      </c>
      <c r="D2" s="122" t="s">
        <v>123</v>
      </c>
      <c r="E2" s="123"/>
      <c r="F2" s="122" t="s">
        <v>126</v>
      </c>
      <c r="G2" s="119"/>
      <c r="H2" s="119"/>
      <c r="I2" s="123"/>
      <c r="J2" s="119" t="s">
        <v>82</v>
      </c>
      <c r="K2" s="119" t="s">
        <v>166</v>
      </c>
      <c r="L2" s="119" t="s">
        <v>83</v>
      </c>
      <c r="N2" s="119" t="s">
        <v>117</v>
      </c>
      <c r="O2" s="119" t="s">
        <v>4</v>
      </c>
      <c r="P2" s="119" t="s">
        <v>124</v>
      </c>
      <c r="Q2" s="119" t="s">
        <v>82</v>
      </c>
      <c r="R2" s="119" t="s">
        <v>83</v>
      </c>
      <c r="T2" s="119" t="s">
        <v>117</v>
      </c>
      <c r="U2" s="119" t="s">
        <v>4</v>
      </c>
      <c r="V2" s="119" t="s">
        <v>82</v>
      </c>
      <c r="W2" s="119" t="s">
        <v>83</v>
      </c>
      <c r="Y2" s="119" t="s">
        <v>117</v>
      </c>
      <c r="Z2" s="119" t="s">
        <v>4</v>
      </c>
      <c r="AA2" s="119" t="s">
        <v>84</v>
      </c>
      <c r="AC2" s="119" t="s">
        <v>117</v>
      </c>
      <c r="AD2" s="119" t="s">
        <v>4</v>
      </c>
      <c r="AE2" s="120" t="s">
        <v>142</v>
      </c>
      <c r="AF2" s="120" t="s">
        <v>173</v>
      </c>
      <c r="AG2" s="120" t="s">
        <v>82</v>
      </c>
      <c r="AH2" s="120" t="s">
        <v>166</v>
      </c>
      <c r="AJ2" s="119" t="s">
        <v>117</v>
      </c>
      <c r="AK2" s="119" t="s">
        <v>4</v>
      </c>
      <c r="AL2" s="120" t="s">
        <v>72</v>
      </c>
      <c r="AN2" s="119" t="s">
        <v>117</v>
      </c>
      <c r="AO2" s="119" t="s">
        <v>4</v>
      </c>
      <c r="AP2" s="122" t="s">
        <v>99</v>
      </c>
      <c r="AQ2" s="119"/>
      <c r="AR2" s="119"/>
      <c r="AS2" s="119"/>
      <c r="AT2" s="123"/>
      <c r="AV2" s="119" t="s">
        <v>117</v>
      </c>
      <c r="AW2" s="119" t="s">
        <v>4</v>
      </c>
      <c r="AX2" s="122" t="s">
        <v>64</v>
      </c>
      <c r="AY2" s="119"/>
      <c r="AZ2" s="119"/>
      <c r="BA2" s="122" t="s">
        <v>170</v>
      </c>
      <c r="BB2" s="119"/>
      <c r="BC2" s="119"/>
      <c r="BD2" s="119"/>
      <c r="BE2" s="122" t="s">
        <v>171</v>
      </c>
      <c r="BF2" s="119"/>
      <c r="BG2" s="119"/>
      <c r="BH2" s="119" t="s">
        <v>70</v>
      </c>
      <c r="BI2" s="119"/>
      <c r="BJ2" s="119" t="s">
        <v>68</v>
      </c>
      <c r="BK2" s="119"/>
      <c r="BM2" s="119" t="s">
        <v>117</v>
      </c>
      <c r="BN2" s="119" t="s">
        <v>4</v>
      </c>
      <c r="BO2" s="122" t="s">
        <v>143</v>
      </c>
      <c r="BP2" s="119"/>
      <c r="BQ2" s="122" t="s">
        <v>144</v>
      </c>
      <c r="BR2" s="119"/>
      <c r="BS2" s="119" t="s">
        <v>87</v>
      </c>
      <c r="BT2" s="119" t="s">
        <v>181</v>
      </c>
    </row>
    <row r="3" spans="1:72" x14ac:dyDescent="0.25">
      <c r="A3" s="121"/>
      <c r="B3" s="121"/>
      <c r="C3" s="119"/>
      <c r="D3" s="21" t="s">
        <v>161</v>
      </c>
      <c r="E3" s="21" t="s">
        <v>162</v>
      </c>
      <c r="F3" s="21" t="s">
        <v>125</v>
      </c>
      <c r="G3" s="21" t="s">
        <v>163</v>
      </c>
      <c r="H3" s="21" t="s">
        <v>164</v>
      </c>
      <c r="I3" s="21" t="s">
        <v>165</v>
      </c>
      <c r="J3" s="119"/>
      <c r="K3" s="119"/>
      <c r="L3" s="119"/>
      <c r="N3" s="121"/>
      <c r="O3" s="121"/>
      <c r="P3" s="119"/>
      <c r="Q3" s="119"/>
      <c r="R3" s="119"/>
      <c r="T3" s="121"/>
      <c r="U3" s="121"/>
      <c r="V3" s="119"/>
      <c r="W3" s="119"/>
      <c r="Y3" s="121"/>
      <c r="Z3" s="121"/>
      <c r="AA3" s="119"/>
      <c r="AC3" s="121"/>
      <c r="AD3" s="121"/>
      <c r="AE3" s="120"/>
      <c r="AF3" s="120"/>
      <c r="AG3" s="120"/>
      <c r="AH3" s="120"/>
      <c r="AJ3" s="121"/>
      <c r="AK3" s="121"/>
      <c r="AL3" s="120"/>
      <c r="AN3" s="121"/>
      <c r="AO3" s="121"/>
      <c r="AP3" s="23" t="s">
        <v>130</v>
      </c>
      <c r="AQ3" s="23" t="s">
        <v>131</v>
      </c>
      <c r="AR3" s="23" t="s">
        <v>82</v>
      </c>
      <c r="AS3" s="23" t="s">
        <v>166</v>
      </c>
      <c r="AT3" s="23" t="s">
        <v>83</v>
      </c>
      <c r="AV3" s="121"/>
      <c r="AW3" s="121"/>
      <c r="AX3" s="23" t="s">
        <v>103</v>
      </c>
      <c r="AY3" s="23" t="s">
        <v>81</v>
      </c>
      <c r="AZ3" s="23" t="s">
        <v>83</v>
      </c>
      <c r="BA3" s="23" t="s">
        <v>103</v>
      </c>
      <c r="BB3" s="23" t="s">
        <v>82</v>
      </c>
      <c r="BC3" s="23" t="s">
        <v>166</v>
      </c>
      <c r="BD3" s="23" t="s">
        <v>83</v>
      </c>
      <c r="BE3" s="23" t="s">
        <v>103</v>
      </c>
      <c r="BF3" s="23" t="s">
        <v>82</v>
      </c>
      <c r="BG3" s="23" t="s">
        <v>83</v>
      </c>
      <c r="BH3" s="23" t="s">
        <v>82</v>
      </c>
      <c r="BI3" s="23" t="s">
        <v>83</v>
      </c>
      <c r="BJ3" s="23" t="s">
        <v>103</v>
      </c>
      <c r="BK3" s="23" t="s">
        <v>72</v>
      </c>
      <c r="BM3" s="121"/>
      <c r="BN3" s="121"/>
      <c r="BO3" s="23" t="s">
        <v>182</v>
      </c>
      <c r="BP3" s="23" t="s">
        <v>142</v>
      </c>
      <c r="BQ3" s="23" t="s">
        <v>182</v>
      </c>
      <c r="BR3" s="23" t="s">
        <v>142</v>
      </c>
      <c r="BS3" s="121"/>
      <c r="BT3" s="121"/>
    </row>
    <row r="4" spans="1:72" x14ac:dyDescent="0.25">
      <c r="A4" s="26" t="s">
        <v>151</v>
      </c>
      <c r="B4" s="3" t="s">
        <v>49</v>
      </c>
      <c r="C4" s="19" t="s">
        <v>60</v>
      </c>
      <c r="D4" s="19">
        <v>85</v>
      </c>
      <c r="E4" s="19">
        <v>60</v>
      </c>
      <c r="F4" s="19">
        <v>84</v>
      </c>
      <c r="G4" s="19">
        <v>0</v>
      </c>
      <c r="H4" s="19">
        <v>66</v>
      </c>
      <c r="I4" s="19">
        <v>5</v>
      </c>
      <c r="J4" s="19">
        <v>2</v>
      </c>
      <c r="K4" s="19">
        <v>2</v>
      </c>
      <c r="L4" s="19">
        <v>4</v>
      </c>
      <c r="N4" s="26" t="s">
        <v>151</v>
      </c>
      <c r="O4" s="3" t="s">
        <v>49</v>
      </c>
      <c r="P4" s="19">
        <v>0</v>
      </c>
      <c r="Q4" s="19">
        <v>0</v>
      </c>
      <c r="R4" s="19">
        <v>0</v>
      </c>
      <c r="T4" s="26" t="s">
        <v>151</v>
      </c>
      <c r="U4" s="3" t="s">
        <v>49</v>
      </c>
      <c r="V4" s="19">
        <v>2</v>
      </c>
      <c r="W4" s="19">
        <v>2</v>
      </c>
      <c r="Y4" s="26" t="s">
        <v>151</v>
      </c>
      <c r="Z4" s="3" t="s">
        <v>49</v>
      </c>
      <c r="AA4" s="19">
        <v>0</v>
      </c>
      <c r="AC4" s="26" t="s">
        <v>151</v>
      </c>
      <c r="AD4" s="3" t="s">
        <v>49</v>
      </c>
      <c r="AE4">
        <v>5</v>
      </c>
      <c r="AF4" s="19">
        <v>30</v>
      </c>
      <c r="AG4" s="19">
        <v>1</v>
      </c>
      <c r="AH4" s="19">
        <v>1</v>
      </c>
      <c r="AJ4" s="26" t="s">
        <v>151</v>
      </c>
      <c r="AK4" s="3" t="s">
        <v>49</v>
      </c>
      <c r="AL4" t="s">
        <v>880</v>
      </c>
      <c r="AN4" s="26" t="s">
        <v>151</v>
      </c>
      <c r="AO4" s="3" t="s">
        <v>49</v>
      </c>
      <c r="AP4" s="19">
        <v>106</v>
      </c>
      <c r="AQ4" s="19">
        <v>106</v>
      </c>
      <c r="AR4" s="19">
        <v>2</v>
      </c>
      <c r="AS4" s="19">
        <v>2</v>
      </c>
      <c r="AT4" s="19">
        <v>4</v>
      </c>
      <c r="AV4" s="26" t="s">
        <v>151</v>
      </c>
      <c r="AW4" s="3" t="s">
        <v>49</v>
      </c>
      <c r="AX4" s="19">
        <v>90</v>
      </c>
      <c r="AY4" s="19">
        <v>2</v>
      </c>
      <c r="AZ4" s="19">
        <v>2</v>
      </c>
      <c r="BA4" s="19">
        <v>100</v>
      </c>
      <c r="BB4" s="19">
        <v>2</v>
      </c>
      <c r="BC4" s="19">
        <v>2</v>
      </c>
      <c r="BD4" s="19">
        <v>4</v>
      </c>
      <c r="BE4" s="19">
        <v>0</v>
      </c>
      <c r="BF4" s="19">
        <v>0</v>
      </c>
      <c r="BG4" s="19">
        <v>0</v>
      </c>
      <c r="BH4" s="19">
        <v>2</v>
      </c>
      <c r="BI4" s="19">
        <v>2</v>
      </c>
      <c r="BJ4" s="19">
        <v>0</v>
      </c>
      <c r="BK4" s="19">
        <v>0</v>
      </c>
      <c r="BM4" s="26" t="s">
        <v>151</v>
      </c>
      <c r="BN4" s="3" t="s">
        <v>49</v>
      </c>
      <c r="BO4" s="19">
        <v>106</v>
      </c>
      <c r="BP4" s="19">
        <v>3</v>
      </c>
      <c r="BQ4" s="19">
        <v>106</v>
      </c>
      <c r="BR4" s="19">
        <v>5</v>
      </c>
      <c r="BS4">
        <v>1</v>
      </c>
      <c r="BT4">
        <v>1</v>
      </c>
    </row>
    <row r="5" spans="1:72" x14ac:dyDescent="0.25">
      <c r="A5" s="26" t="s">
        <v>152</v>
      </c>
      <c r="B5" s="3" t="s">
        <v>50</v>
      </c>
      <c r="C5" s="19" t="s">
        <v>60</v>
      </c>
      <c r="D5" s="19">
        <v>85</v>
      </c>
      <c r="E5" s="19">
        <v>60</v>
      </c>
      <c r="F5" s="19">
        <v>84</v>
      </c>
      <c r="G5" s="19">
        <v>0</v>
      </c>
      <c r="H5" s="19">
        <v>66</v>
      </c>
      <c r="I5" s="19">
        <v>5</v>
      </c>
      <c r="J5" s="19">
        <v>4</v>
      </c>
      <c r="K5" s="19" t="s">
        <v>880</v>
      </c>
      <c r="L5" s="19">
        <v>4</v>
      </c>
      <c r="N5" s="26" t="s">
        <v>152</v>
      </c>
      <c r="O5" s="3" t="s">
        <v>50</v>
      </c>
      <c r="P5" s="19">
        <v>0</v>
      </c>
      <c r="Q5" s="19">
        <v>0</v>
      </c>
      <c r="R5" s="19">
        <v>0</v>
      </c>
      <c r="T5" s="26" t="s">
        <v>152</v>
      </c>
      <c r="U5" s="3" t="s">
        <v>50</v>
      </c>
      <c r="V5" s="19">
        <v>2</v>
      </c>
      <c r="W5" s="19">
        <v>2</v>
      </c>
      <c r="Y5" s="26" t="s">
        <v>152</v>
      </c>
      <c r="Z5" s="3" t="s">
        <v>50</v>
      </c>
      <c r="AA5" s="19">
        <v>0</v>
      </c>
      <c r="AC5" s="26" t="s">
        <v>152</v>
      </c>
      <c r="AD5" s="3" t="s">
        <v>50</v>
      </c>
      <c r="AE5">
        <v>5</v>
      </c>
      <c r="AF5" s="19">
        <v>30</v>
      </c>
      <c r="AG5" s="19">
        <v>2</v>
      </c>
      <c r="AH5" s="19" t="s">
        <v>880</v>
      </c>
      <c r="AJ5" s="26" t="s">
        <v>152</v>
      </c>
      <c r="AK5" s="3" t="s">
        <v>50</v>
      </c>
      <c r="AL5" t="s">
        <v>880</v>
      </c>
      <c r="AN5" s="26" t="s">
        <v>152</v>
      </c>
      <c r="AO5" s="3" t="s">
        <v>50</v>
      </c>
      <c r="AP5" s="19">
        <v>106</v>
      </c>
      <c r="AQ5" s="19">
        <v>106</v>
      </c>
      <c r="AR5" s="19">
        <v>4</v>
      </c>
      <c r="AS5" s="19" t="s">
        <v>880</v>
      </c>
      <c r="AT5" s="19">
        <v>4</v>
      </c>
      <c r="AV5" s="26" t="s">
        <v>152</v>
      </c>
      <c r="AW5" s="3" t="s">
        <v>50</v>
      </c>
      <c r="AX5" s="19">
        <v>90</v>
      </c>
      <c r="AY5" s="19">
        <v>2</v>
      </c>
      <c r="AZ5" s="19">
        <v>2</v>
      </c>
      <c r="BA5" s="19">
        <v>100</v>
      </c>
      <c r="BB5" s="19">
        <v>4</v>
      </c>
      <c r="BC5" s="19" t="s">
        <v>880</v>
      </c>
      <c r="BD5" s="19">
        <v>4</v>
      </c>
      <c r="BE5" s="19">
        <v>0</v>
      </c>
      <c r="BF5" s="19">
        <v>0</v>
      </c>
      <c r="BG5" s="19">
        <v>0</v>
      </c>
      <c r="BH5" s="19">
        <v>2</v>
      </c>
      <c r="BI5" s="19">
        <v>2</v>
      </c>
      <c r="BJ5" s="19">
        <v>0</v>
      </c>
      <c r="BK5" s="19">
        <v>0</v>
      </c>
      <c r="BM5" s="26" t="s">
        <v>152</v>
      </c>
      <c r="BN5" s="3" t="s">
        <v>50</v>
      </c>
      <c r="BO5" s="19">
        <v>106</v>
      </c>
      <c r="BP5" s="19">
        <v>3</v>
      </c>
      <c r="BQ5" s="19">
        <v>106</v>
      </c>
      <c r="BR5" s="19">
        <v>5</v>
      </c>
      <c r="BS5">
        <v>2</v>
      </c>
      <c r="BT5" t="s">
        <v>880</v>
      </c>
    </row>
    <row r="6" spans="1:72" x14ac:dyDescent="0.25">
      <c r="A6" s="26" t="s">
        <v>153</v>
      </c>
      <c r="B6" s="3" t="s">
        <v>51</v>
      </c>
      <c r="C6" s="19" t="s">
        <v>60</v>
      </c>
      <c r="D6" s="19">
        <v>85</v>
      </c>
      <c r="E6" s="19">
        <v>60</v>
      </c>
      <c r="F6" s="19">
        <v>84</v>
      </c>
      <c r="G6" s="19">
        <v>8</v>
      </c>
      <c r="H6" s="19">
        <v>66</v>
      </c>
      <c r="I6" s="19">
        <v>5</v>
      </c>
      <c r="J6" s="19">
        <v>4</v>
      </c>
      <c r="K6" s="19">
        <v>4</v>
      </c>
      <c r="L6" s="19">
        <v>8</v>
      </c>
      <c r="N6" s="26" t="s">
        <v>153</v>
      </c>
      <c r="O6" s="3" t="s">
        <v>51</v>
      </c>
      <c r="P6" s="19">
        <v>0</v>
      </c>
      <c r="Q6" s="19">
        <v>0</v>
      </c>
      <c r="R6" s="19">
        <v>0</v>
      </c>
      <c r="T6" s="26" t="s">
        <v>153</v>
      </c>
      <c r="U6" s="3" t="s">
        <v>51</v>
      </c>
      <c r="V6" s="19">
        <v>4</v>
      </c>
      <c r="W6" s="19">
        <v>4</v>
      </c>
      <c r="Y6" s="26" t="s">
        <v>153</v>
      </c>
      <c r="Z6" s="3" t="s">
        <v>51</v>
      </c>
      <c r="AA6" s="19">
        <v>0</v>
      </c>
      <c r="AC6" s="26" t="s">
        <v>153</v>
      </c>
      <c r="AD6" s="3" t="s">
        <v>51</v>
      </c>
      <c r="AE6">
        <v>5</v>
      </c>
      <c r="AF6" s="19">
        <v>30</v>
      </c>
      <c r="AG6" s="19">
        <v>2</v>
      </c>
      <c r="AH6" s="19">
        <v>2</v>
      </c>
      <c r="AJ6" s="26" t="s">
        <v>153</v>
      </c>
      <c r="AK6" s="3" t="s">
        <v>51</v>
      </c>
      <c r="AL6">
        <v>1</v>
      </c>
      <c r="AN6" s="26" t="s">
        <v>153</v>
      </c>
      <c r="AO6" s="3" t="s">
        <v>51</v>
      </c>
      <c r="AP6" s="19">
        <v>106</v>
      </c>
      <c r="AQ6" s="19">
        <v>106</v>
      </c>
      <c r="AR6" s="19">
        <v>4</v>
      </c>
      <c r="AS6" s="19">
        <v>4</v>
      </c>
      <c r="AT6" s="19">
        <v>8</v>
      </c>
      <c r="AV6" s="26" t="s">
        <v>153</v>
      </c>
      <c r="AW6" s="3" t="s">
        <v>51</v>
      </c>
      <c r="AX6" s="19">
        <v>90</v>
      </c>
      <c r="AY6" s="19">
        <v>2</v>
      </c>
      <c r="AZ6" s="19">
        <v>2</v>
      </c>
      <c r="BA6" s="19">
        <v>100</v>
      </c>
      <c r="BB6" s="19">
        <v>4</v>
      </c>
      <c r="BC6" s="19">
        <v>4</v>
      </c>
      <c r="BD6" s="19">
        <v>8</v>
      </c>
      <c r="BE6" s="19">
        <v>0</v>
      </c>
      <c r="BF6" s="19">
        <v>0</v>
      </c>
      <c r="BG6" s="19">
        <v>0</v>
      </c>
      <c r="BH6" s="19">
        <v>4</v>
      </c>
      <c r="BI6" s="19">
        <v>4</v>
      </c>
      <c r="BJ6" s="19">
        <v>0</v>
      </c>
      <c r="BK6" s="19">
        <v>0</v>
      </c>
      <c r="BM6" s="26" t="s">
        <v>153</v>
      </c>
      <c r="BN6" s="3" t="s">
        <v>51</v>
      </c>
      <c r="BO6" s="19">
        <v>106</v>
      </c>
      <c r="BP6" s="19">
        <v>3</v>
      </c>
      <c r="BQ6" s="19">
        <v>106</v>
      </c>
      <c r="BR6" s="19">
        <v>5</v>
      </c>
      <c r="BS6">
        <v>2</v>
      </c>
      <c r="BT6">
        <v>2</v>
      </c>
    </row>
    <row r="7" spans="1:72" x14ac:dyDescent="0.25">
      <c r="A7" s="26" t="s">
        <v>154</v>
      </c>
      <c r="B7" s="3" t="s">
        <v>52</v>
      </c>
      <c r="C7" s="19" t="s">
        <v>61</v>
      </c>
      <c r="D7" s="19">
        <v>85</v>
      </c>
      <c r="E7" s="19">
        <v>61</v>
      </c>
      <c r="F7" s="19">
        <v>84</v>
      </c>
      <c r="G7" s="19">
        <v>0</v>
      </c>
      <c r="H7" s="19">
        <v>92</v>
      </c>
      <c r="I7" s="19">
        <v>5</v>
      </c>
      <c r="J7" s="19">
        <v>2</v>
      </c>
      <c r="K7" s="19">
        <v>2</v>
      </c>
      <c r="L7" s="19">
        <v>4</v>
      </c>
      <c r="N7" s="26" t="s">
        <v>154</v>
      </c>
      <c r="O7" s="3" t="s">
        <v>52</v>
      </c>
      <c r="P7" s="19">
        <v>0</v>
      </c>
      <c r="Q7" s="19">
        <v>0</v>
      </c>
      <c r="R7" s="19">
        <v>0</v>
      </c>
      <c r="T7" s="26" t="s">
        <v>154</v>
      </c>
      <c r="U7" s="3" t="s">
        <v>52</v>
      </c>
      <c r="V7" s="19">
        <v>0</v>
      </c>
      <c r="W7" s="19">
        <v>0</v>
      </c>
      <c r="Y7" s="26" t="s">
        <v>154</v>
      </c>
      <c r="Z7" s="3" t="s">
        <v>52</v>
      </c>
      <c r="AA7" s="19">
        <v>0</v>
      </c>
      <c r="AC7" s="26" t="s">
        <v>154</v>
      </c>
      <c r="AD7" s="3" t="s">
        <v>52</v>
      </c>
      <c r="AE7">
        <v>5</v>
      </c>
      <c r="AF7" s="19">
        <v>30</v>
      </c>
      <c r="AG7" s="19">
        <v>1</v>
      </c>
      <c r="AH7" s="19">
        <v>1</v>
      </c>
      <c r="AJ7" s="26" t="s">
        <v>154</v>
      </c>
      <c r="AK7" s="3" t="s">
        <v>52</v>
      </c>
      <c r="AL7" t="s">
        <v>880</v>
      </c>
      <c r="AN7" s="26" t="s">
        <v>154</v>
      </c>
      <c r="AO7" s="3" t="s">
        <v>52</v>
      </c>
      <c r="AP7" s="19">
        <v>158</v>
      </c>
      <c r="AQ7" s="19">
        <v>158</v>
      </c>
      <c r="AR7" s="19">
        <v>2</v>
      </c>
      <c r="AS7" s="19">
        <v>2</v>
      </c>
      <c r="AT7" s="19">
        <v>4</v>
      </c>
      <c r="AV7" s="26" t="s">
        <v>154</v>
      </c>
      <c r="AW7" s="3" t="s">
        <v>52</v>
      </c>
      <c r="AX7" s="19">
        <v>90</v>
      </c>
      <c r="AY7" s="19">
        <v>2</v>
      </c>
      <c r="AZ7" s="19">
        <v>2</v>
      </c>
      <c r="BA7" s="19">
        <v>160</v>
      </c>
      <c r="BB7" s="19">
        <v>2</v>
      </c>
      <c r="BC7" s="19">
        <v>2</v>
      </c>
      <c r="BD7" s="19">
        <v>4</v>
      </c>
      <c r="BE7" s="19">
        <v>0</v>
      </c>
      <c r="BF7" s="19">
        <v>0</v>
      </c>
      <c r="BG7" s="19">
        <v>0</v>
      </c>
      <c r="BH7" s="19" t="s">
        <v>880</v>
      </c>
      <c r="BI7" s="19" t="s">
        <v>880</v>
      </c>
      <c r="BJ7" s="19">
        <v>0</v>
      </c>
      <c r="BK7" s="19">
        <v>0</v>
      </c>
      <c r="BM7" s="26" t="s">
        <v>154</v>
      </c>
      <c r="BN7" s="3" t="s">
        <v>52</v>
      </c>
      <c r="BO7" s="19">
        <v>158</v>
      </c>
      <c r="BP7" s="19">
        <v>3</v>
      </c>
      <c r="BQ7" s="19">
        <v>158</v>
      </c>
      <c r="BR7" s="19">
        <v>5</v>
      </c>
      <c r="BS7">
        <v>1</v>
      </c>
      <c r="BT7">
        <v>1</v>
      </c>
    </row>
    <row r="8" spans="1:72" x14ac:dyDescent="0.25">
      <c r="A8" s="26" t="s">
        <v>155</v>
      </c>
      <c r="B8" s="3" t="s">
        <v>75</v>
      </c>
      <c r="C8" s="19" t="s">
        <v>61</v>
      </c>
      <c r="D8" s="19">
        <v>89</v>
      </c>
      <c r="E8" s="19">
        <v>61</v>
      </c>
      <c r="F8" s="19">
        <v>88</v>
      </c>
      <c r="G8" s="19">
        <v>0</v>
      </c>
      <c r="H8" s="19">
        <v>92</v>
      </c>
      <c r="I8" s="19">
        <v>5</v>
      </c>
      <c r="J8" s="19">
        <v>2</v>
      </c>
      <c r="K8" s="19">
        <v>2</v>
      </c>
      <c r="L8" s="19">
        <v>4</v>
      </c>
      <c r="N8" s="26" t="s">
        <v>155</v>
      </c>
      <c r="O8" s="3" t="s">
        <v>75</v>
      </c>
      <c r="P8" s="19" t="s">
        <v>60</v>
      </c>
      <c r="Q8" s="19">
        <v>2</v>
      </c>
      <c r="R8" s="19">
        <v>2</v>
      </c>
      <c r="T8" s="26" t="s">
        <v>155</v>
      </c>
      <c r="U8" s="3" t="s">
        <v>75</v>
      </c>
      <c r="V8" s="19">
        <v>0</v>
      </c>
      <c r="W8" s="19">
        <v>0</v>
      </c>
      <c r="Y8" s="26" t="s">
        <v>155</v>
      </c>
      <c r="Z8" s="3" t="s">
        <v>75</v>
      </c>
      <c r="AA8" s="19">
        <v>1</v>
      </c>
      <c r="AC8" s="26" t="s">
        <v>155</v>
      </c>
      <c r="AD8" s="3" t="s">
        <v>75</v>
      </c>
      <c r="AE8">
        <v>5</v>
      </c>
      <c r="AF8" s="19">
        <v>30</v>
      </c>
      <c r="AG8" s="19">
        <v>1</v>
      </c>
      <c r="AH8" s="19">
        <v>1</v>
      </c>
      <c r="AJ8" s="26" t="s">
        <v>155</v>
      </c>
      <c r="AK8" s="3" t="s">
        <v>75</v>
      </c>
      <c r="AL8" t="s">
        <v>880</v>
      </c>
      <c r="AN8" s="26" t="s">
        <v>155</v>
      </c>
      <c r="AO8" s="3" t="s">
        <v>75</v>
      </c>
      <c r="AP8" s="19">
        <v>158</v>
      </c>
      <c r="AQ8" s="19">
        <v>158</v>
      </c>
      <c r="AR8" s="19">
        <v>2</v>
      </c>
      <c r="AS8" s="19">
        <v>2</v>
      </c>
      <c r="AT8" s="19">
        <v>4</v>
      </c>
      <c r="AV8" s="26" t="s">
        <v>155</v>
      </c>
      <c r="AW8" s="3" t="s">
        <v>75</v>
      </c>
      <c r="AX8" s="19">
        <v>90</v>
      </c>
      <c r="AY8" s="19">
        <v>4</v>
      </c>
      <c r="AZ8" s="19">
        <v>4</v>
      </c>
      <c r="BA8" s="19">
        <v>160</v>
      </c>
      <c r="BB8" s="19">
        <v>2</v>
      </c>
      <c r="BC8" s="19">
        <v>2</v>
      </c>
      <c r="BD8" s="19">
        <v>4</v>
      </c>
      <c r="BE8" s="19">
        <v>100</v>
      </c>
      <c r="BF8" s="19">
        <v>2</v>
      </c>
      <c r="BG8" s="19">
        <v>2</v>
      </c>
      <c r="BH8" s="19">
        <v>0</v>
      </c>
      <c r="BI8" s="19">
        <v>0</v>
      </c>
      <c r="BJ8" s="19">
        <v>110</v>
      </c>
      <c r="BK8" s="19">
        <v>1</v>
      </c>
      <c r="BM8" s="26" t="s">
        <v>155</v>
      </c>
      <c r="BN8" s="3" t="s">
        <v>75</v>
      </c>
      <c r="BO8" s="19">
        <v>158</v>
      </c>
      <c r="BP8" s="19">
        <v>3</v>
      </c>
      <c r="BQ8" s="19">
        <v>158</v>
      </c>
      <c r="BR8" s="19">
        <v>5</v>
      </c>
      <c r="BS8">
        <v>1</v>
      </c>
      <c r="BT8">
        <v>1</v>
      </c>
    </row>
    <row r="9" spans="1:72" x14ac:dyDescent="0.25">
      <c r="A9" s="26" t="s">
        <v>156</v>
      </c>
      <c r="B9" s="3" t="s">
        <v>53</v>
      </c>
      <c r="C9" s="19" t="s">
        <v>61</v>
      </c>
      <c r="D9" s="19">
        <v>85</v>
      </c>
      <c r="E9" s="19">
        <v>61</v>
      </c>
      <c r="F9" s="19">
        <v>84</v>
      </c>
      <c r="G9" s="19">
        <v>0</v>
      </c>
      <c r="H9" s="19">
        <v>92</v>
      </c>
      <c r="I9" s="19">
        <v>5</v>
      </c>
      <c r="J9" s="19">
        <v>4</v>
      </c>
      <c r="K9" s="19" t="s">
        <v>880</v>
      </c>
      <c r="L9" s="19">
        <v>4</v>
      </c>
      <c r="N9" s="26" t="s">
        <v>156</v>
      </c>
      <c r="O9" s="3" t="s">
        <v>53</v>
      </c>
      <c r="P9" s="19">
        <v>0</v>
      </c>
      <c r="Q9" s="19">
        <v>0</v>
      </c>
      <c r="R9" s="19">
        <v>0</v>
      </c>
      <c r="T9" s="26" t="s">
        <v>156</v>
      </c>
      <c r="U9" s="3" t="s">
        <v>53</v>
      </c>
      <c r="V9" s="19">
        <v>0</v>
      </c>
      <c r="W9" s="19">
        <v>0</v>
      </c>
      <c r="Y9" s="26" t="s">
        <v>156</v>
      </c>
      <c r="Z9" s="3" t="s">
        <v>53</v>
      </c>
      <c r="AA9" s="19">
        <v>0</v>
      </c>
      <c r="AC9" s="26" t="s">
        <v>156</v>
      </c>
      <c r="AD9" s="3" t="s">
        <v>53</v>
      </c>
      <c r="AE9">
        <v>5</v>
      </c>
      <c r="AF9" s="19">
        <v>30</v>
      </c>
      <c r="AG9" s="19">
        <v>2</v>
      </c>
      <c r="AH9" s="19" t="s">
        <v>880</v>
      </c>
      <c r="AJ9" s="26" t="s">
        <v>156</v>
      </c>
      <c r="AK9" s="3" t="s">
        <v>53</v>
      </c>
      <c r="AL9" t="s">
        <v>880</v>
      </c>
      <c r="AN9" s="26" t="s">
        <v>156</v>
      </c>
      <c r="AO9" s="3" t="s">
        <v>53</v>
      </c>
      <c r="AP9" s="19">
        <v>158</v>
      </c>
      <c r="AQ9" s="19">
        <v>158</v>
      </c>
      <c r="AR9" s="19">
        <v>4</v>
      </c>
      <c r="AS9" s="19" t="s">
        <v>880</v>
      </c>
      <c r="AT9" s="19">
        <v>4</v>
      </c>
      <c r="AV9" s="26" t="s">
        <v>156</v>
      </c>
      <c r="AW9" s="3" t="s">
        <v>53</v>
      </c>
      <c r="AX9" s="19">
        <v>90</v>
      </c>
      <c r="AY9" s="19">
        <v>2</v>
      </c>
      <c r="AZ9" s="19">
        <v>2</v>
      </c>
      <c r="BA9" s="19">
        <v>160</v>
      </c>
      <c r="BB9" s="19">
        <v>4</v>
      </c>
      <c r="BC9" s="19" t="s">
        <v>880</v>
      </c>
      <c r="BD9" s="19">
        <v>4</v>
      </c>
      <c r="BE9" s="19">
        <v>0</v>
      </c>
      <c r="BF9" s="19">
        <v>0</v>
      </c>
      <c r="BG9" s="19">
        <v>0</v>
      </c>
      <c r="BH9" s="19" t="s">
        <v>880</v>
      </c>
      <c r="BI9" s="19" t="s">
        <v>880</v>
      </c>
      <c r="BJ9" s="19">
        <v>0</v>
      </c>
      <c r="BK9" s="19">
        <v>0</v>
      </c>
      <c r="BM9" s="26" t="s">
        <v>156</v>
      </c>
      <c r="BN9" s="3" t="s">
        <v>53</v>
      </c>
      <c r="BO9" s="19">
        <v>158</v>
      </c>
      <c r="BP9" s="19">
        <v>3</v>
      </c>
      <c r="BQ9" s="19">
        <v>158</v>
      </c>
      <c r="BR9" s="19">
        <v>5</v>
      </c>
      <c r="BS9">
        <v>2</v>
      </c>
      <c r="BT9" t="s">
        <v>880</v>
      </c>
    </row>
    <row r="10" spans="1:72" x14ac:dyDescent="0.25">
      <c r="A10" s="26" t="s">
        <v>157</v>
      </c>
      <c r="B10" s="3" t="s">
        <v>77</v>
      </c>
      <c r="C10" s="19" t="s">
        <v>61</v>
      </c>
      <c r="D10" s="19">
        <v>89</v>
      </c>
      <c r="E10" s="19">
        <v>61</v>
      </c>
      <c r="F10" s="19">
        <v>88</v>
      </c>
      <c r="G10" s="19">
        <v>0</v>
      </c>
      <c r="H10" s="19">
        <v>92</v>
      </c>
      <c r="I10" s="19">
        <v>5</v>
      </c>
      <c r="J10" s="19">
        <v>4</v>
      </c>
      <c r="K10" s="19" t="s">
        <v>880</v>
      </c>
      <c r="L10" s="19">
        <v>4</v>
      </c>
      <c r="N10" s="26" t="s">
        <v>157</v>
      </c>
      <c r="O10" s="3" t="s">
        <v>77</v>
      </c>
      <c r="P10" s="19" t="s">
        <v>60</v>
      </c>
      <c r="Q10" s="19">
        <v>2</v>
      </c>
      <c r="R10" s="19">
        <v>2</v>
      </c>
      <c r="T10" s="26" t="s">
        <v>157</v>
      </c>
      <c r="U10" s="3" t="s">
        <v>77</v>
      </c>
      <c r="V10" s="19">
        <v>0</v>
      </c>
      <c r="W10" s="19">
        <v>0</v>
      </c>
      <c r="Y10" s="26" t="s">
        <v>157</v>
      </c>
      <c r="Z10" s="3" t="s">
        <v>77</v>
      </c>
      <c r="AA10" s="19">
        <v>1</v>
      </c>
      <c r="AC10" s="26" t="s">
        <v>157</v>
      </c>
      <c r="AD10" s="3" t="s">
        <v>77</v>
      </c>
      <c r="AE10">
        <v>5</v>
      </c>
      <c r="AF10" s="19">
        <v>30</v>
      </c>
      <c r="AG10" s="19">
        <v>2</v>
      </c>
      <c r="AH10" s="19" t="s">
        <v>880</v>
      </c>
      <c r="AJ10" s="26" t="s">
        <v>157</v>
      </c>
      <c r="AK10" s="3" t="s">
        <v>77</v>
      </c>
      <c r="AL10" t="s">
        <v>880</v>
      </c>
      <c r="AN10" s="26" t="s">
        <v>157</v>
      </c>
      <c r="AO10" s="3" t="s">
        <v>77</v>
      </c>
      <c r="AP10" s="19">
        <v>158</v>
      </c>
      <c r="AQ10" s="19">
        <v>158</v>
      </c>
      <c r="AR10" s="19">
        <v>4</v>
      </c>
      <c r="AS10" s="19" t="s">
        <v>880</v>
      </c>
      <c r="AT10" s="19">
        <v>4</v>
      </c>
      <c r="AV10" s="26" t="s">
        <v>157</v>
      </c>
      <c r="AW10" s="3" t="s">
        <v>77</v>
      </c>
      <c r="AX10" s="19">
        <v>90</v>
      </c>
      <c r="AY10" s="19">
        <v>4</v>
      </c>
      <c r="AZ10" s="19">
        <v>4</v>
      </c>
      <c r="BA10" s="19">
        <v>160</v>
      </c>
      <c r="BB10" s="19">
        <v>4</v>
      </c>
      <c r="BC10" s="19" t="s">
        <v>880</v>
      </c>
      <c r="BD10" s="19">
        <v>4</v>
      </c>
      <c r="BE10" s="19">
        <v>100</v>
      </c>
      <c r="BF10" s="19">
        <v>2</v>
      </c>
      <c r="BG10" s="19">
        <v>2</v>
      </c>
      <c r="BH10" s="19">
        <v>0</v>
      </c>
      <c r="BI10" s="19">
        <v>0</v>
      </c>
      <c r="BJ10" s="19">
        <v>110</v>
      </c>
      <c r="BK10" s="19">
        <v>1</v>
      </c>
      <c r="BM10" s="26" t="s">
        <v>157</v>
      </c>
      <c r="BN10" s="3" t="s">
        <v>77</v>
      </c>
      <c r="BO10" s="19">
        <v>158</v>
      </c>
      <c r="BP10" s="19">
        <v>3</v>
      </c>
      <c r="BQ10" s="19">
        <v>158</v>
      </c>
      <c r="BR10" s="19">
        <v>5</v>
      </c>
      <c r="BS10">
        <v>2</v>
      </c>
      <c r="BT10" t="s">
        <v>880</v>
      </c>
    </row>
    <row r="11" spans="1:72" x14ac:dyDescent="0.25">
      <c r="A11" s="26" t="s">
        <v>158</v>
      </c>
      <c r="B11" s="3" t="s">
        <v>54</v>
      </c>
      <c r="C11" s="19" t="s">
        <v>61</v>
      </c>
      <c r="D11" s="19">
        <v>85</v>
      </c>
      <c r="E11" s="19">
        <v>61</v>
      </c>
      <c r="F11" s="19">
        <v>84</v>
      </c>
      <c r="G11" s="19">
        <v>0</v>
      </c>
      <c r="H11" s="19">
        <v>92</v>
      </c>
      <c r="I11" s="19">
        <v>5</v>
      </c>
      <c r="J11" s="19">
        <v>4</v>
      </c>
      <c r="K11" s="19">
        <v>4</v>
      </c>
      <c r="L11" s="19">
        <v>8</v>
      </c>
      <c r="N11" s="26" t="s">
        <v>158</v>
      </c>
      <c r="O11" s="3" t="s">
        <v>54</v>
      </c>
      <c r="P11" s="19">
        <v>0</v>
      </c>
      <c r="Q11" s="19">
        <v>0</v>
      </c>
      <c r="R11" s="19">
        <v>0</v>
      </c>
      <c r="T11" s="26" t="s">
        <v>158</v>
      </c>
      <c r="U11" s="3" t="s">
        <v>54</v>
      </c>
      <c r="V11" s="19">
        <v>0</v>
      </c>
      <c r="W11" s="19">
        <v>0</v>
      </c>
      <c r="Y11" s="26" t="s">
        <v>158</v>
      </c>
      <c r="Z11" s="3" t="s">
        <v>54</v>
      </c>
      <c r="AA11" s="19">
        <v>0</v>
      </c>
      <c r="AC11" s="26" t="s">
        <v>158</v>
      </c>
      <c r="AD11" s="3" t="s">
        <v>54</v>
      </c>
      <c r="AE11">
        <v>5</v>
      </c>
      <c r="AF11" s="19">
        <v>30</v>
      </c>
      <c r="AG11" s="19">
        <v>2</v>
      </c>
      <c r="AH11" s="19">
        <v>2</v>
      </c>
      <c r="AJ11" s="26" t="s">
        <v>158</v>
      </c>
      <c r="AK11" s="3" t="s">
        <v>54</v>
      </c>
      <c r="AL11">
        <v>1</v>
      </c>
      <c r="AN11" s="26" t="s">
        <v>158</v>
      </c>
      <c r="AO11" s="3" t="s">
        <v>54</v>
      </c>
      <c r="AP11" s="19">
        <v>158</v>
      </c>
      <c r="AQ11" s="19">
        <v>158</v>
      </c>
      <c r="AR11" s="19">
        <v>4</v>
      </c>
      <c r="AS11" s="19">
        <v>4</v>
      </c>
      <c r="AT11" s="19">
        <v>8</v>
      </c>
      <c r="AV11" s="26" t="s">
        <v>158</v>
      </c>
      <c r="AW11" s="3" t="s">
        <v>54</v>
      </c>
      <c r="AX11" s="19">
        <v>90</v>
      </c>
      <c r="AY11" s="19">
        <v>2</v>
      </c>
      <c r="AZ11" s="19">
        <v>2</v>
      </c>
      <c r="BA11" s="19">
        <v>160</v>
      </c>
      <c r="BB11" s="19">
        <v>4</v>
      </c>
      <c r="BC11" s="19">
        <v>4</v>
      </c>
      <c r="BD11" s="19">
        <v>8</v>
      </c>
      <c r="BE11" s="19">
        <v>0</v>
      </c>
      <c r="BF11" s="19">
        <v>0</v>
      </c>
      <c r="BG11" s="19">
        <v>0</v>
      </c>
      <c r="BH11" s="19" t="s">
        <v>880</v>
      </c>
      <c r="BI11" s="19" t="s">
        <v>880</v>
      </c>
      <c r="BJ11" s="19">
        <v>0</v>
      </c>
      <c r="BK11" s="19">
        <v>0</v>
      </c>
      <c r="BM11" s="26" t="s">
        <v>158</v>
      </c>
      <c r="BN11" s="3" t="s">
        <v>54</v>
      </c>
      <c r="BO11" s="19">
        <v>158</v>
      </c>
      <c r="BP11" s="19">
        <v>3</v>
      </c>
      <c r="BQ11" s="19">
        <v>158</v>
      </c>
      <c r="BR11" s="19">
        <v>5</v>
      </c>
      <c r="BS11">
        <v>2</v>
      </c>
      <c r="BT11">
        <v>2</v>
      </c>
    </row>
    <row r="12" spans="1:72" x14ac:dyDescent="0.25">
      <c r="A12" s="26" t="s">
        <v>159</v>
      </c>
      <c r="B12" s="3" t="s">
        <v>79</v>
      </c>
      <c r="C12" s="19" t="s">
        <v>61</v>
      </c>
      <c r="D12" s="19">
        <v>89</v>
      </c>
      <c r="E12" s="19">
        <v>61</v>
      </c>
      <c r="F12" s="19">
        <v>88</v>
      </c>
      <c r="G12" s="19">
        <v>0</v>
      </c>
      <c r="H12" s="19">
        <v>92</v>
      </c>
      <c r="I12" s="19">
        <v>5</v>
      </c>
      <c r="J12" s="19">
        <v>4</v>
      </c>
      <c r="K12" s="19">
        <v>4</v>
      </c>
      <c r="L12" s="19">
        <v>8</v>
      </c>
      <c r="N12" s="26" t="s">
        <v>159</v>
      </c>
      <c r="O12" s="3" t="s">
        <v>79</v>
      </c>
      <c r="P12" s="19" t="s">
        <v>60</v>
      </c>
      <c r="Q12" s="19">
        <v>4</v>
      </c>
      <c r="R12" s="19">
        <v>4</v>
      </c>
      <c r="T12" s="26" t="s">
        <v>159</v>
      </c>
      <c r="U12" s="3" t="s">
        <v>79</v>
      </c>
      <c r="V12" s="19">
        <v>0</v>
      </c>
      <c r="W12" s="19">
        <v>0</v>
      </c>
      <c r="Y12" s="26" t="s">
        <v>159</v>
      </c>
      <c r="Z12" s="3" t="s">
        <v>79</v>
      </c>
      <c r="AA12" s="19">
        <v>2</v>
      </c>
      <c r="AC12" s="26" t="s">
        <v>159</v>
      </c>
      <c r="AD12" s="3" t="s">
        <v>79</v>
      </c>
      <c r="AE12">
        <v>5</v>
      </c>
      <c r="AF12" s="19">
        <v>30</v>
      </c>
      <c r="AG12" s="19">
        <v>2</v>
      </c>
      <c r="AH12" s="19">
        <v>2</v>
      </c>
      <c r="AJ12" s="26" t="s">
        <v>159</v>
      </c>
      <c r="AK12" s="3" t="s">
        <v>79</v>
      </c>
      <c r="AL12">
        <v>1</v>
      </c>
      <c r="AN12" s="26" t="s">
        <v>159</v>
      </c>
      <c r="AO12" s="3" t="s">
        <v>79</v>
      </c>
      <c r="AP12" s="19">
        <v>158</v>
      </c>
      <c r="AQ12" s="19">
        <v>158</v>
      </c>
      <c r="AR12" s="19">
        <v>4</v>
      </c>
      <c r="AS12" s="19">
        <v>4</v>
      </c>
      <c r="AT12" s="19">
        <v>8</v>
      </c>
      <c r="AV12" s="26" t="s">
        <v>159</v>
      </c>
      <c r="AW12" s="3" t="s">
        <v>79</v>
      </c>
      <c r="AX12" s="19">
        <v>90</v>
      </c>
      <c r="AY12" s="19">
        <v>4</v>
      </c>
      <c r="AZ12" s="19">
        <v>4</v>
      </c>
      <c r="BA12" s="19">
        <v>160</v>
      </c>
      <c r="BB12" s="19">
        <v>4</v>
      </c>
      <c r="BC12" s="19">
        <v>4</v>
      </c>
      <c r="BD12" s="19">
        <v>8</v>
      </c>
      <c r="BE12" s="19">
        <v>100</v>
      </c>
      <c r="BF12" s="19">
        <v>4</v>
      </c>
      <c r="BG12" s="19">
        <v>4</v>
      </c>
      <c r="BH12" s="19">
        <v>0</v>
      </c>
      <c r="BI12" s="19">
        <v>0</v>
      </c>
      <c r="BJ12" s="19">
        <v>110</v>
      </c>
      <c r="BK12" s="19">
        <v>2</v>
      </c>
      <c r="BM12" s="26" t="s">
        <v>159</v>
      </c>
      <c r="BN12" s="3" t="s">
        <v>79</v>
      </c>
      <c r="BO12" s="19">
        <v>158</v>
      </c>
      <c r="BP12" s="19">
        <v>3</v>
      </c>
      <c r="BQ12" s="19">
        <v>158</v>
      </c>
      <c r="BR12" s="19">
        <v>5</v>
      </c>
      <c r="BS12">
        <v>2</v>
      </c>
      <c r="BT12">
        <v>2</v>
      </c>
    </row>
    <row r="13" spans="1:72" x14ac:dyDescent="0.25">
      <c r="A13" s="26" t="s">
        <v>160</v>
      </c>
      <c r="B13" s="3" t="s">
        <v>55</v>
      </c>
      <c r="C13" s="19" t="s">
        <v>61</v>
      </c>
      <c r="D13" s="19">
        <v>89</v>
      </c>
      <c r="E13" s="19">
        <v>61</v>
      </c>
      <c r="F13" s="19">
        <v>88</v>
      </c>
      <c r="G13" s="19">
        <v>0</v>
      </c>
      <c r="H13" s="19">
        <v>92</v>
      </c>
      <c r="I13" s="19">
        <v>5</v>
      </c>
      <c r="J13" s="19">
        <v>4</v>
      </c>
      <c r="K13" s="19">
        <v>2</v>
      </c>
      <c r="L13" s="19">
        <v>6</v>
      </c>
      <c r="N13" s="26" t="s">
        <v>160</v>
      </c>
      <c r="O13" s="3" t="s">
        <v>55</v>
      </c>
      <c r="P13" s="19">
        <v>0</v>
      </c>
      <c r="Q13" s="19" t="s">
        <v>880</v>
      </c>
      <c r="R13" s="19" t="s">
        <v>880</v>
      </c>
      <c r="T13" s="26" t="s">
        <v>160</v>
      </c>
      <c r="U13" s="3" t="s">
        <v>55</v>
      </c>
      <c r="V13" s="19">
        <v>0</v>
      </c>
      <c r="W13" s="19">
        <v>0</v>
      </c>
      <c r="Y13" s="26" t="s">
        <v>160</v>
      </c>
      <c r="Z13" s="3" t="s">
        <v>55</v>
      </c>
      <c r="AA13" s="19">
        <v>2</v>
      </c>
      <c r="AC13" s="26" t="s">
        <v>160</v>
      </c>
      <c r="AD13" s="3" t="s">
        <v>55</v>
      </c>
      <c r="AE13">
        <v>5</v>
      </c>
      <c r="AF13" s="19">
        <v>30</v>
      </c>
      <c r="AG13" s="19">
        <v>2</v>
      </c>
      <c r="AH13" s="19">
        <v>2</v>
      </c>
      <c r="AJ13" s="26" t="s">
        <v>160</v>
      </c>
      <c r="AK13" s="3" t="s">
        <v>55</v>
      </c>
      <c r="AL13">
        <v>1</v>
      </c>
      <c r="AN13" s="26" t="s">
        <v>160</v>
      </c>
      <c r="AO13" s="3" t="s">
        <v>55</v>
      </c>
      <c r="AP13" s="19">
        <v>158</v>
      </c>
      <c r="AQ13" s="19">
        <v>158</v>
      </c>
      <c r="AR13" s="19">
        <v>4</v>
      </c>
      <c r="AS13" s="19">
        <v>4</v>
      </c>
      <c r="AT13" s="19">
        <v>8</v>
      </c>
      <c r="AV13" s="26" t="s">
        <v>160</v>
      </c>
      <c r="AW13" s="3" t="s">
        <v>55</v>
      </c>
      <c r="AX13" s="19">
        <v>90</v>
      </c>
      <c r="AY13" s="19">
        <v>4</v>
      </c>
      <c r="AZ13" s="19">
        <v>4</v>
      </c>
      <c r="BA13" s="19">
        <v>160</v>
      </c>
      <c r="BB13" s="19">
        <v>4</v>
      </c>
      <c r="BC13" s="19">
        <v>4</v>
      </c>
      <c r="BD13" s="19">
        <v>8</v>
      </c>
      <c r="BE13" s="19">
        <v>100</v>
      </c>
      <c r="BF13" s="19" t="s">
        <v>880</v>
      </c>
      <c r="BG13" s="19" t="s">
        <v>880</v>
      </c>
      <c r="BH13" s="19">
        <v>0</v>
      </c>
      <c r="BI13" s="19">
        <v>0</v>
      </c>
      <c r="BJ13" s="19">
        <v>110</v>
      </c>
      <c r="BK13" s="19">
        <v>2</v>
      </c>
      <c r="BM13" s="26" t="s">
        <v>160</v>
      </c>
      <c r="BN13" s="3" t="s">
        <v>55</v>
      </c>
      <c r="BO13" s="19">
        <v>158</v>
      </c>
      <c r="BP13" s="19">
        <v>3</v>
      </c>
      <c r="BQ13" s="19">
        <v>158</v>
      </c>
      <c r="BR13" s="19">
        <v>5</v>
      </c>
      <c r="BS13">
        <v>2</v>
      </c>
      <c r="BT13">
        <v>2</v>
      </c>
    </row>
    <row r="14" spans="1:72" x14ac:dyDescent="0.25">
      <c r="A14" s="42" t="s">
        <v>726</v>
      </c>
      <c r="B14" s="3" t="s">
        <v>56</v>
      </c>
      <c r="C14" s="19" t="s">
        <v>61</v>
      </c>
      <c r="D14" s="19">
        <v>89</v>
      </c>
      <c r="E14" s="19">
        <v>61</v>
      </c>
      <c r="F14" s="19">
        <v>88</v>
      </c>
      <c r="G14" s="19">
        <v>40</v>
      </c>
      <c r="H14" s="19">
        <v>92</v>
      </c>
      <c r="I14" s="19">
        <v>5</v>
      </c>
      <c r="J14" s="19">
        <v>8</v>
      </c>
      <c r="K14" s="19">
        <v>4</v>
      </c>
      <c r="L14" s="19">
        <v>12</v>
      </c>
      <c r="N14" s="42" t="s">
        <v>726</v>
      </c>
      <c r="O14" s="3" t="s">
        <v>56</v>
      </c>
      <c r="P14" s="19">
        <v>0</v>
      </c>
      <c r="Q14" s="19">
        <v>0</v>
      </c>
      <c r="R14" s="19">
        <v>0</v>
      </c>
      <c r="T14" s="42" t="s">
        <v>726</v>
      </c>
      <c r="U14" s="3" t="s">
        <v>56</v>
      </c>
      <c r="V14" s="19">
        <v>0</v>
      </c>
      <c r="W14" s="19">
        <v>0</v>
      </c>
      <c r="Y14" s="42" t="s">
        <v>726</v>
      </c>
      <c r="Z14" s="3" t="s">
        <v>56</v>
      </c>
      <c r="AA14" s="19">
        <v>0</v>
      </c>
      <c r="AC14" s="42" t="s">
        <v>726</v>
      </c>
      <c r="AD14" s="3" t="s">
        <v>56</v>
      </c>
      <c r="AE14">
        <v>5</v>
      </c>
      <c r="AF14" s="19">
        <v>30</v>
      </c>
      <c r="AG14" s="19">
        <v>4</v>
      </c>
      <c r="AH14" s="19">
        <v>2</v>
      </c>
      <c r="AJ14" s="42" t="s">
        <v>726</v>
      </c>
      <c r="AK14" s="3" t="s">
        <v>56</v>
      </c>
      <c r="AL14">
        <v>1</v>
      </c>
      <c r="AN14" s="42" t="s">
        <v>726</v>
      </c>
      <c r="AO14" s="3" t="s">
        <v>56</v>
      </c>
      <c r="AP14" s="19">
        <v>158</v>
      </c>
      <c r="AQ14" s="19">
        <v>158</v>
      </c>
      <c r="AR14" s="19">
        <v>8</v>
      </c>
      <c r="AS14" s="19">
        <v>4</v>
      </c>
      <c r="AT14" s="19">
        <v>12</v>
      </c>
      <c r="AV14" s="42" t="s">
        <v>726</v>
      </c>
      <c r="AW14" s="3" t="s">
        <v>56</v>
      </c>
      <c r="AX14" s="19">
        <v>90</v>
      </c>
      <c r="AY14" s="19">
        <v>4</v>
      </c>
      <c r="AZ14" s="19">
        <v>4</v>
      </c>
      <c r="BA14" s="19">
        <v>160</v>
      </c>
      <c r="BB14" s="19">
        <v>8</v>
      </c>
      <c r="BC14" s="19">
        <v>4</v>
      </c>
      <c r="BD14" s="19">
        <v>12</v>
      </c>
      <c r="BE14" s="19">
        <v>100</v>
      </c>
      <c r="BF14" s="19">
        <v>0</v>
      </c>
      <c r="BG14" s="19">
        <v>0</v>
      </c>
      <c r="BH14" s="19">
        <v>0</v>
      </c>
      <c r="BI14" s="19">
        <v>0</v>
      </c>
      <c r="BJ14" s="19">
        <v>110</v>
      </c>
      <c r="BK14" s="19">
        <v>0</v>
      </c>
      <c r="BM14" s="42" t="s">
        <v>726</v>
      </c>
      <c r="BN14" s="3" t="s">
        <v>56</v>
      </c>
      <c r="BO14" s="19">
        <v>158</v>
      </c>
      <c r="BP14" s="19">
        <v>3</v>
      </c>
      <c r="BQ14" s="19">
        <v>158</v>
      </c>
      <c r="BR14" s="19">
        <v>5</v>
      </c>
      <c r="BS14">
        <v>4</v>
      </c>
      <c r="BT14">
        <v>2</v>
      </c>
    </row>
    <row r="15" spans="1:72" x14ac:dyDescent="0.25">
      <c r="A15" s="42" t="s">
        <v>727</v>
      </c>
      <c r="B15" s="3" t="s">
        <v>57</v>
      </c>
      <c r="C15" s="19" t="s">
        <v>61</v>
      </c>
      <c r="D15" s="19">
        <v>89</v>
      </c>
      <c r="E15" s="19">
        <v>61</v>
      </c>
      <c r="F15" s="19">
        <v>88</v>
      </c>
      <c r="G15" s="19">
        <v>60</v>
      </c>
      <c r="H15" s="19">
        <v>92</v>
      </c>
      <c r="I15" s="19">
        <v>5</v>
      </c>
      <c r="J15" s="19">
        <v>12</v>
      </c>
      <c r="K15" s="19">
        <v>4</v>
      </c>
      <c r="L15" s="19">
        <v>16</v>
      </c>
      <c r="N15" s="42" t="s">
        <v>727</v>
      </c>
      <c r="O15" s="3" t="s">
        <v>57</v>
      </c>
      <c r="P15" s="19">
        <v>0</v>
      </c>
      <c r="Q15" s="19">
        <v>0</v>
      </c>
      <c r="R15" s="19">
        <v>0</v>
      </c>
      <c r="T15" s="42" t="s">
        <v>727</v>
      </c>
      <c r="U15" s="3" t="s">
        <v>57</v>
      </c>
      <c r="V15" s="19">
        <v>0</v>
      </c>
      <c r="W15" s="19">
        <v>0</v>
      </c>
      <c r="Y15" s="42" t="s">
        <v>727</v>
      </c>
      <c r="Z15" s="3" t="s">
        <v>57</v>
      </c>
      <c r="AA15" s="19">
        <v>0</v>
      </c>
      <c r="AC15" s="42" t="s">
        <v>727</v>
      </c>
      <c r="AD15" s="3" t="s">
        <v>57</v>
      </c>
      <c r="AE15">
        <v>5</v>
      </c>
      <c r="AF15" s="19">
        <v>30</v>
      </c>
      <c r="AG15" s="19">
        <v>8</v>
      </c>
      <c r="AH15" s="19">
        <v>2</v>
      </c>
      <c r="AJ15" s="42" t="s">
        <v>727</v>
      </c>
      <c r="AK15" s="3" t="s">
        <v>57</v>
      </c>
      <c r="AL15">
        <v>1</v>
      </c>
      <c r="AN15" s="42" t="s">
        <v>727</v>
      </c>
      <c r="AO15" s="3" t="s">
        <v>57</v>
      </c>
      <c r="AP15" s="19">
        <v>158</v>
      </c>
      <c r="AQ15" s="19">
        <v>158</v>
      </c>
      <c r="AR15" s="19">
        <v>12</v>
      </c>
      <c r="AS15" s="19">
        <v>4</v>
      </c>
      <c r="AT15" s="19">
        <v>16</v>
      </c>
      <c r="AV15" s="42" t="s">
        <v>727</v>
      </c>
      <c r="AW15" s="3" t="s">
        <v>57</v>
      </c>
      <c r="AX15" s="19">
        <v>90</v>
      </c>
      <c r="AY15" s="19">
        <v>4</v>
      </c>
      <c r="AZ15" s="19">
        <v>4</v>
      </c>
      <c r="BA15" s="19">
        <v>160</v>
      </c>
      <c r="BB15" s="19">
        <v>12</v>
      </c>
      <c r="BC15" s="19">
        <v>4</v>
      </c>
      <c r="BD15" s="19">
        <v>16</v>
      </c>
      <c r="BE15" s="19">
        <v>100</v>
      </c>
      <c r="BF15" s="19">
        <v>0</v>
      </c>
      <c r="BG15" s="19">
        <v>0</v>
      </c>
      <c r="BH15" s="19">
        <v>0</v>
      </c>
      <c r="BI15" s="19">
        <v>0</v>
      </c>
      <c r="BJ15" s="19">
        <v>110</v>
      </c>
      <c r="BK15" s="19">
        <v>0</v>
      </c>
      <c r="BM15" s="42" t="s">
        <v>727</v>
      </c>
      <c r="BN15" s="3" t="s">
        <v>57</v>
      </c>
      <c r="BO15" s="19">
        <v>158</v>
      </c>
      <c r="BP15" s="19">
        <v>3</v>
      </c>
      <c r="BQ15" s="19">
        <v>158</v>
      </c>
      <c r="BR15" s="19">
        <v>5</v>
      </c>
      <c r="BS15">
        <v>6</v>
      </c>
      <c r="BT15">
        <v>2</v>
      </c>
    </row>
  </sheetData>
  <mergeCells count="54">
    <mergeCell ref="AV1:BK1"/>
    <mergeCell ref="BS2:BS3"/>
    <mergeCell ref="A1:L1"/>
    <mergeCell ref="AN1:AT1"/>
    <mergeCell ref="BM1:BT1"/>
    <mergeCell ref="N1:R1"/>
    <mergeCell ref="T1:W1"/>
    <mergeCell ref="Y1:AA1"/>
    <mergeCell ref="AC1:AH1"/>
    <mergeCell ref="AJ1:AL1"/>
    <mergeCell ref="J2:J3"/>
    <mergeCell ref="K2:K3"/>
    <mergeCell ref="A2:A3"/>
    <mergeCell ref="B2:B3"/>
    <mergeCell ref="P2:P3"/>
    <mergeCell ref="Q2:Q3"/>
    <mergeCell ref="Z2:Z3"/>
    <mergeCell ref="C2:C3"/>
    <mergeCell ref="F2:I2"/>
    <mergeCell ref="L2:L3"/>
    <mergeCell ref="D2:E2"/>
    <mergeCell ref="N2:N3"/>
    <mergeCell ref="AP2:AT2"/>
    <mergeCell ref="O2:O3"/>
    <mergeCell ref="AJ2:AJ3"/>
    <mergeCell ref="AK2:AK3"/>
    <mergeCell ref="V2:V3"/>
    <mergeCell ref="R2:R3"/>
    <mergeCell ref="T2:T3"/>
    <mergeCell ref="AC2:AC3"/>
    <mergeCell ref="AD2:AD3"/>
    <mergeCell ref="AH2:AH3"/>
    <mergeCell ref="AF2:AF3"/>
    <mergeCell ref="AE2:AE3"/>
    <mergeCell ref="AG2:AG3"/>
    <mergeCell ref="U2:U3"/>
    <mergeCell ref="W2:W3"/>
    <mergeCell ref="Y2:Y3"/>
    <mergeCell ref="BJ2:BK2"/>
    <mergeCell ref="AA2:AA3"/>
    <mergeCell ref="AL2:AL3"/>
    <mergeCell ref="BT2:BT3"/>
    <mergeCell ref="AV2:AV3"/>
    <mergeCell ref="AW2:AW3"/>
    <mergeCell ref="AX2:AZ2"/>
    <mergeCell ref="BA2:BD2"/>
    <mergeCell ref="BE2:BG2"/>
    <mergeCell ref="BM2:BM3"/>
    <mergeCell ref="BN2:BN3"/>
    <mergeCell ref="BO2:BP2"/>
    <mergeCell ref="BQ2:BR2"/>
    <mergeCell ref="BH2:BI2"/>
    <mergeCell ref="AN2:AN3"/>
    <mergeCell ref="AO2:AO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77B07-FDD3-487A-80D2-F44408C1FB49}">
  <sheetPr codeName="Sheet20">
    <tabColor theme="0"/>
  </sheetPr>
  <dimension ref="A1:AZ17"/>
  <sheetViews>
    <sheetView topLeftCell="AP1" workbookViewId="0">
      <selection activeCell="BJ15" sqref="BJ15"/>
    </sheetView>
  </sheetViews>
  <sheetFormatPr defaultRowHeight="15" x14ac:dyDescent="0.25"/>
  <cols>
    <col min="1" max="1" width="51" bestFit="1" customWidth="1"/>
    <col min="2" max="2" width="32.140625" bestFit="1" customWidth="1"/>
    <col min="6" max="6" width="51" bestFit="1" customWidth="1"/>
    <col min="7" max="7" width="26.140625" bestFit="1" customWidth="1"/>
    <col min="11" max="11" width="37.5703125" bestFit="1" customWidth="1"/>
    <col min="12" max="12" width="37.5703125" customWidth="1"/>
    <col min="13" max="13" width="10.28515625" bestFit="1" customWidth="1"/>
    <col min="14" max="14" width="10.7109375" bestFit="1" customWidth="1"/>
    <col min="15" max="15" width="15.42578125" bestFit="1" customWidth="1"/>
    <col min="16" max="16" width="11.140625" bestFit="1" customWidth="1"/>
    <col min="17" max="17" width="11.28515625" bestFit="1" customWidth="1"/>
    <col min="20" max="20" width="37.5703125" bestFit="1" customWidth="1"/>
    <col min="21" max="21" width="37.5703125" customWidth="1"/>
    <col min="22" max="22" width="10.7109375" bestFit="1" customWidth="1"/>
    <col min="23" max="23" width="15.42578125" bestFit="1" customWidth="1"/>
    <col min="24" max="24" width="10.7109375" bestFit="1" customWidth="1"/>
    <col min="25" max="25" width="15.42578125" bestFit="1" customWidth="1"/>
    <col min="26" max="26" width="11.140625" bestFit="1" customWidth="1"/>
    <col min="27" max="27" width="11.28515625" bestFit="1" customWidth="1"/>
    <col min="28" max="28" width="10.7109375" bestFit="1" customWidth="1"/>
    <col min="29" max="29" width="15.42578125" bestFit="1" customWidth="1"/>
    <col min="31" max="31" width="37.5703125" bestFit="1" customWidth="1"/>
    <col min="32" max="32" width="37.5703125" customWidth="1"/>
    <col min="33" max="33" width="10.7109375" bestFit="1" customWidth="1"/>
    <col min="34" max="34" width="15.42578125" bestFit="1" customWidth="1"/>
    <col min="35" max="36" width="10.7109375" bestFit="1" customWidth="1"/>
    <col min="37" max="37" width="15.42578125" bestFit="1" customWidth="1"/>
    <col min="38" max="39" width="10.7109375" bestFit="1" customWidth="1"/>
    <col min="40" max="40" width="15.42578125" bestFit="1" customWidth="1"/>
    <col min="42" max="42" width="37.5703125" bestFit="1" customWidth="1"/>
    <col min="43" max="43" width="37.5703125" customWidth="1"/>
    <col min="44" max="44" width="15.7109375" bestFit="1" customWidth="1"/>
    <col min="45" max="45" width="14.5703125" bestFit="1" customWidth="1"/>
    <col min="46" max="46" width="15.7109375" bestFit="1" customWidth="1"/>
    <col min="47" max="47" width="14.5703125" bestFit="1" customWidth="1"/>
    <col min="48" max="48" width="15.7109375" bestFit="1" customWidth="1"/>
    <col min="49" max="49" width="14.5703125" bestFit="1" customWidth="1"/>
    <col min="50" max="50" width="15.7109375" bestFit="1" customWidth="1"/>
    <col min="51" max="51" width="14.5703125" bestFit="1" customWidth="1"/>
    <col min="52" max="52" width="16.42578125" bestFit="1" customWidth="1"/>
  </cols>
  <sheetData>
    <row r="1" spans="1:52" x14ac:dyDescent="0.25">
      <c r="A1" s="124" t="s">
        <v>64</v>
      </c>
      <c r="B1" s="124"/>
      <c r="C1" s="124"/>
      <c r="D1" s="124"/>
      <c r="F1" s="124" t="s">
        <v>68</v>
      </c>
      <c r="G1" s="124"/>
      <c r="H1" s="124"/>
      <c r="I1" s="124"/>
      <c r="K1" s="124" t="s">
        <v>122</v>
      </c>
      <c r="L1" s="124"/>
      <c r="M1" s="124"/>
      <c r="N1" s="124"/>
      <c r="O1" s="124"/>
      <c r="P1" s="124"/>
      <c r="Q1" s="124"/>
      <c r="R1" s="124"/>
      <c r="T1" s="124" t="s">
        <v>69</v>
      </c>
      <c r="U1" s="124"/>
      <c r="V1" s="124"/>
      <c r="W1" s="124"/>
      <c r="X1" s="124"/>
      <c r="Y1" s="124"/>
      <c r="Z1" s="124"/>
      <c r="AA1" s="124"/>
      <c r="AB1" s="124"/>
      <c r="AC1" s="124"/>
      <c r="AE1" s="124" t="s">
        <v>66</v>
      </c>
      <c r="AF1" s="124"/>
      <c r="AG1" s="124"/>
      <c r="AH1" s="124"/>
      <c r="AI1" s="124"/>
      <c r="AJ1" s="124"/>
      <c r="AK1" s="124"/>
      <c r="AL1" s="124"/>
      <c r="AM1" s="124"/>
      <c r="AN1" s="124"/>
      <c r="AP1" s="124" t="s">
        <v>67</v>
      </c>
      <c r="AQ1" s="124"/>
      <c r="AR1" s="124"/>
      <c r="AS1" s="124"/>
      <c r="AT1" s="124"/>
      <c r="AU1" s="124"/>
      <c r="AV1" s="124"/>
      <c r="AW1" s="124"/>
      <c r="AX1" s="124"/>
      <c r="AY1" s="124"/>
      <c r="AZ1" s="124"/>
    </row>
    <row r="2" spans="1:52" x14ac:dyDescent="0.25">
      <c r="A2" s="119" t="s">
        <v>117</v>
      </c>
      <c r="B2" s="119" t="s">
        <v>4</v>
      </c>
      <c r="C2" s="119" t="s">
        <v>81</v>
      </c>
      <c r="D2" s="119" t="s">
        <v>83</v>
      </c>
      <c r="F2" s="119" t="s">
        <v>117</v>
      </c>
      <c r="G2" s="119" t="s">
        <v>4</v>
      </c>
      <c r="H2" s="119" t="s">
        <v>118</v>
      </c>
      <c r="I2" s="119" t="s">
        <v>97</v>
      </c>
      <c r="K2" s="119" t="s">
        <v>117</v>
      </c>
      <c r="L2" s="119" t="s">
        <v>4</v>
      </c>
      <c r="M2" s="119" t="s">
        <v>124</v>
      </c>
      <c r="N2" s="122" t="s">
        <v>123</v>
      </c>
      <c r="O2" s="123"/>
      <c r="P2" s="122" t="s">
        <v>126</v>
      </c>
      <c r="Q2" s="123"/>
      <c r="R2" s="119" t="s">
        <v>72</v>
      </c>
      <c r="T2" s="119" t="s">
        <v>117</v>
      </c>
      <c r="U2" s="119" t="s">
        <v>4</v>
      </c>
      <c r="V2" s="122" t="s">
        <v>128</v>
      </c>
      <c r="W2" s="119"/>
      <c r="X2" s="119"/>
      <c r="Y2" s="123"/>
      <c r="Z2" s="122" t="s">
        <v>99</v>
      </c>
      <c r="AA2" s="119"/>
      <c r="AB2" s="119"/>
      <c r="AC2" s="119"/>
      <c r="AE2" s="119" t="s">
        <v>117</v>
      </c>
      <c r="AF2" s="119" t="s">
        <v>4</v>
      </c>
      <c r="AG2" s="122" t="s">
        <v>64</v>
      </c>
      <c r="AH2" s="119"/>
      <c r="AI2" s="119"/>
      <c r="AJ2" s="122" t="s">
        <v>122</v>
      </c>
      <c r="AK2" s="119"/>
      <c r="AL2" s="119"/>
      <c r="AM2" s="122" t="s">
        <v>68</v>
      </c>
      <c r="AN2" s="119"/>
      <c r="AP2" s="119" t="s">
        <v>117</v>
      </c>
      <c r="AQ2" s="119" t="s">
        <v>4</v>
      </c>
      <c r="AR2" s="122" t="s">
        <v>140</v>
      </c>
      <c r="AS2" s="119"/>
      <c r="AT2" s="122" t="s">
        <v>141</v>
      </c>
      <c r="AU2" s="119"/>
      <c r="AV2" s="122" t="s">
        <v>143</v>
      </c>
      <c r="AW2" s="119"/>
      <c r="AX2" s="122" t="s">
        <v>144</v>
      </c>
      <c r="AY2" s="119"/>
      <c r="AZ2" s="119" t="s">
        <v>147</v>
      </c>
    </row>
    <row r="3" spans="1:52" x14ac:dyDescent="0.25">
      <c r="A3" s="121"/>
      <c r="B3" s="121"/>
      <c r="C3" s="119"/>
      <c r="D3" s="119"/>
      <c r="F3" s="121"/>
      <c r="G3" s="121"/>
      <c r="H3" s="121"/>
      <c r="I3" s="119"/>
      <c r="K3" s="121"/>
      <c r="L3" s="121"/>
      <c r="M3" s="119"/>
      <c r="N3" s="21" t="s">
        <v>100</v>
      </c>
      <c r="O3" s="21" t="s">
        <v>101</v>
      </c>
      <c r="P3" s="21" t="s">
        <v>125</v>
      </c>
      <c r="Q3" s="21" t="s">
        <v>102</v>
      </c>
      <c r="R3" s="119"/>
      <c r="T3" s="121"/>
      <c r="U3" s="121"/>
      <c r="V3" s="23" t="s">
        <v>130</v>
      </c>
      <c r="W3" s="23" t="s">
        <v>131</v>
      </c>
      <c r="X3" s="23" t="s">
        <v>81</v>
      </c>
      <c r="Y3" s="23" t="s">
        <v>83</v>
      </c>
      <c r="Z3" s="23" t="s">
        <v>130</v>
      </c>
      <c r="AA3" s="23" t="s">
        <v>131</v>
      </c>
      <c r="AB3" s="23" t="s">
        <v>81</v>
      </c>
      <c r="AC3" s="23" t="s">
        <v>83</v>
      </c>
      <c r="AE3" s="121"/>
      <c r="AF3" s="121"/>
      <c r="AG3" s="23" t="s">
        <v>103</v>
      </c>
      <c r="AH3" s="23" t="s">
        <v>81</v>
      </c>
      <c r="AI3" s="23" t="s">
        <v>83</v>
      </c>
      <c r="AJ3" s="23" t="s">
        <v>103</v>
      </c>
      <c r="AK3" s="23" t="s">
        <v>81</v>
      </c>
      <c r="AL3" s="23" t="s">
        <v>83</v>
      </c>
      <c r="AM3" s="23" t="s">
        <v>103</v>
      </c>
      <c r="AN3" s="23" t="s">
        <v>84</v>
      </c>
      <c r="AP3" s="121"/>
      <c r="AQ3" s="121"/>
      <c r="AR3" s="23" t="s">
        <v>104</v>
      </c>
      <c r="AS3" s="23" t="s">
        <v>142</v>
      </c>
      <c r="AT3" s="23" t="s">
        <v>104</v>
      </c>
      <c r="AU3" s="23" t="s">
        <v>142</v>
      </c>
      <c r="AV3" s="23" t="s">
        <v>104</v>
      </c>
      <c r="AW3" s="23" t="s">
        <v>142</v>
      </c>
      <c r="AX3" s="23" t="s">
        <v>104</v>
      </c>
      <c r="AY3" s="23" t="s">
        <v>142</v>
      </c>
      <c r="AZ3" s="121"/>
    </row>
    <row r="4" spans="1:52" x14ac:dyDescent="0.25">
      <c r="A4" t="s">
        <v>105</v>
      </c>
      <c r="B4" t="s">
        <v>37</v>
      </c>
      <c r="C4" s="19">
        <v>2</v>
      </c>
      <c r="D4" s="19">
        <v>2</v>
      </c>
      <c r="F4" t="s">
        <v>106</v>
      </c>
      <c r="G4" t="s">
        <v>38</v>
      </c>
      <c r="H4" s="19">
        <v>36</v>
      </c>
      <c r="I4" s="19">
        <v>1</v>
      </c>
      <c r="K4" t="s">
        <v>105</v>
      </c>
      <c r="L4" t="s">
        <v>37</v>
      </c>
      <c r="M4" s="19"/>
      <c r="N4" s="19"/>
      <c r="O4" s="19"/>
      <c r="P4" s="19"/>
      <c r="Q4" s="19"/>
      <c r="R4" s="19"/>
      <c r="T4" t="s">
        <v>105</v>
      </c>
      <c r="U4" t="s">
        <v>37</v>
      </c>
      <c r="V4" s="19">
        <v>80</v>
      </c>
      <c r="W4" s="19">
        <v>80</v>
      </c>
      <c r="X4" s="19">
        <v>2</v>
      </c>
      <c r="Y4" s="19">
        <v>2</v>
      </c>
      <c r="Z4" s="19"/>
      <c r="AA4" s="19"/>
      <c r="AB4" s="19"/>
      <c r="AC4" s="19"/>
      <c r="AE4" t="s">
        <v>105</v>
      </c>
      <c r="AF4" t="s">
        <v>37</v>
      </c>
      <c r="AG4" s="19">
        <v>90</v>
      </c>
      <c r="AH4" s="19">
        <v>2</v>
      </c>
      <c r="AI4" s="19">
        <v>2</v>
      </c>
      <c r="AJ4" s="19"/>
      <c r="AK4" s="19"/>
      <c r="AL4" s="19"/>
      <c r="AM4" s="19"/>
      <c r="AN4" s="19"/>
      <c r="AP4" t="s">
        <v>105</v>
      </c>
      <c r="AQ4" t="s">
        <v>37</v>
      </c>
      <c r="AR4" s="19">
        <v>80</v>
      </c>
      <c r="AS4" s="19">
        <v>3</v>
      </c>
      <c r="AT4" s="19">
        <v>80</v>
      </c>
      <c r="AU4" s="19">
        <v>5</v>
      </c>
      <c r="AV4" s="19" t="s">
        <v>880</v>
      </c>
      <c r="AW4" s="19" t="s">
        <v>880</v>
      </c>
      <c r="AX4" s="19" t="s">
        <v>880</v>
      </c>
      <c r="AY4" s="19" t="s">
        <v>880</v>
      </c>
      <c r="AZ4" t="s">
        <v>880</v>
      </c>
    </row>
    <row r="5" spans="1:52" x14ac:dyDescent="0.25">
      <c r="A5" t="s">
        <v>106</v>
      </c>
      <c r="B5" t="s">
        <v>38</v>
      </c>
      <c r="C5" s="19">
        <v>2</v>
      </c>
      <c r="D5" s="19">
        <v>2</v>
      </c>
      <c r="F5" t="s">
        <v>109</v>
      </c>
      <c r="G5" s="3" t="s">
        <v>42</v>
      </c>
      <c r="H5" s="19">
        <v>36</v>
      </c>
      <c r="I5" s="19">
        <v>1</v>
      </c>
      <c r="K5" t="s">
        <v>106</v>
      </c>
      <c r="L5" t="s">
        <v>38</v>
      </c>
      <c r="M5" s="19"/>
      <c r="N5" s="19"/>
      <c r="O5" s="19"/>
      <c r="P5" s="19"/>
      <c r="Q5" s="19"/>
      <c r="R5" s="19"/>
      <c r="T5" t="s">
        <v>106</v>
      </c>
      <c r="U5" t="s">
        <v>38</v>
      </c>
      <c r="V5" s="19">
        <v>60</v>
      </c>
      <c r="W5" s="19">
        <v>80</v>
      </c>
      <c r="X5" s="19">
        <v>2</v>
      </c>
      <c r="Y5" s="19">
        <v>4</v>
      </c>
      <c r="Z5" s="19"/>
      <c r="AA5" s="19"/>
      <c r="AB5" s="19"/>
      <c r="AC5" s="19"/>
      <c r="AE5" t="s">
        <v>106</v>
      </c>
      <c r="AF5" t="s">
        <v>38</v>
      </c>
      <c r="AG5" s="19">
        <v>90</v>
      </c>
      <c r="AH5" s="19">
        <v>2</v>
      </c>
      <c r="AI5" s="19">
        <v>2</v>
      </c>
      <c r="AJ5" s="19"/>
      <c r="AK5" s="19"/>
      <c r="AL5" s="19"/>
      <c r="AM5" s="19">
        <v>119</v>
      </c>
      <c r="AN5" s="19">
        <v>1</v>
      </c>
      <c r="AP5" t="s">
        <v>106</v>
      </c>
      <c r="AQ5" t="s">
        <v>38</v>
      </c>
      <c r="AR5" s="19">
        <v>80</v>
      </c>
      <c r="AS5" s="19">
        <v>3</v>
      </c>
      <c r="AT5" s="19">
        <v>80</v>
      </c>
      <c r="AU5" s="19">
        <v>5</v>
      </c>
      <c r="AV5" s="19" t="s">
        <v>880</v>
      </c>
      <c r="AW5" s="19" t="s">
        <v>880</v>
      </c>
      <c r="AX5" s="19" t="s">
        <v>880</v>
      </c>
      <c r="AY5" s="19" t="s">
        <v>880</v>
      </c>
      <c r="AZ5" t="s">
        <v>880</v>
      </c>
    </row>
    <row r="6" spans="1:52" x14ac:dyDescent="0.25">
      <c r="A6" t="s">
        <v>107</v>
      </c>
      <c r="B6" t="s">
        <v>39</v>
      </c>
      <c r="C6" s="19">
        <v>2</v>
      </c>
      <c r="D6" s="19">
        <v>2</v>
      </c>
      <c r="F6" t="s">
        <v>109</v>
      </c>
      <c r="G6" s="3" t="s">
        <v>43</v>
      </c>
      <c r="H6" s="19">
        <v>36</v>
      </c>
      <c r="I6" s="19">
        <v>1</v>
      </c>
      <c r="K6" t="s">
        <v>107</v>
      </c>
      <c r="L6" t="s">
        <v>39</v>
      </c>
      <c r="M6" s="19" t="s">
        <v>59</v>
      </c>
      <c r="N6" s="19">
        <v>80</v>
      </c>
      <c r="O6" s="19">
        <v>21</v>
      </c>
      <c r="P6" s="19">
        <v>80</v>
      </c>
      <c r="Q6" s="19">
        <v>18</v>
      </c>
      <c r="R6" s="19">
        <v>2</v>
      </c>
      <c r="T6" t="s">
        <v>107</v>
      </c>
      <c r="U6" t="s">
        <v>39</v>
      </c>
      <c r="V6" s="19"/>
      <c r="W6" s="19"/>
      <c r="X6" s="19"/>
      <c r="Y6" s="19"/>
      <c r="Z6" s="19">
        <v>124</v>
      </c>
      <c r="AA6" s="19">
        <v>124</v>
      </c>
      <c r="AB6" s="19">
        <v>2</v>
      </c>
      <c r="AC6" s="19">
        <v>2</v>
      </c>
      <c r="AE6" t="s">
        <v>107</v>
      </c>
      <c r="AF6" t="s">
        <v>39</v>
      </c>
      <c r="AG6" s="19">
        <v>90</v>
      </c>
      <c r="AH6" s="19">
        <v>2</v>
      </c>
      <c r="AI6" s="19">
        <v>2</v>
      </c>
      <c r="AJ6" s="19">
        <v>130</v>
      </c>
      <c r="AK6" s="19">
        <v>2</v>
      </c>
      <c r="AL6" s="19">
        <v>2</v>
      </c>
      <c r="AM6" s="19"/>
      <c r="AN6" s="19"/>
      <c r="AP6" t="s">
        <v>107</v>
      </c>
      <c r="AQ6" t="s">
        <v>39</v>
      </c>
      <c r="AR6" s="19" t="s">
        <v>880</v>
      </c>
      <c r="AS6" s="19" t="s">
        <v>880</v>
      </c>
      <c r="AT6" s="19" t="s">
        <v>880</v>
      </c>
      <c r="AU6" s="19" t="s">
        <v>880</v>
      </c>
      <c r="AV6" s="19">
        <v>124</v>
      </c>
      <c r="AW6" s="19">
        <v>3</v>
      </c>
      <c r="AX6" s="19">
        <v>124</v>
      </c>
      <c r="AY6" s="19">
        <v>5</v>
      </c>
      <c r="AZ6">
        <v>1</v>
      </c>
    </row>
    <row r="7" spans="1:52" x14ac:dyDescent="0.25">
      <c r="A7" t="s">
        <v>108</v>
      </c>
      <c r="B7" t="s">
        <v>40</v>
      </c>
      <c r="C7" s="19">
        <v>2</v>
      </c>
      <c r="D7" s="19">
        <v>2</v>
      </c>
      <c r="F7" t="s">
        <v>109</v>
      </c>
      <c r="G7" s="3" t="s">
        <v>44</v>
      </c>
      <c r="H7" s="19">
        <v>36</v>
      </c>
      <c r="I7" s="19">
        <v>2</v>
      </c>
      <c r="K7" t="s">
        <v>108</v>
      </c>
      <c r="L7" t="s">
        <v>40</v>
      </c>
      <c r="M7" s="19" t="s">
        <v>59</v>
      </c>
      <c r="N7" s="19">
        <v>80</v>
      </c>
      <c r="O7" s="19">
        <v>18</v>
      </c>
      <c r="P7" s="19">
        <v>80</v>
      </c>
      <c r="Q7" s="19">
        <v>21</v>
      </c>
      <c r="R7" s="19">
        <v>2</v>
      </c>
      <c r="T7" t="s">
        <v>108</v>
      </c>
      <c r="U7" t="s">
        <v>40</v>
      </c>
      <c r="V7" s="19"/>
      <c r="W7" s="19"/>
      <c r="X7" s="19"/>
      <c r="Y7" s="19"/>
      <c r="Z7" s="19">
        <v>124</v>
      </c>
      <c r="AA7" s="19">
        <v>124</v>
      </c>
      <c r="AB7" s="19">
        <v>2</v>
      </c>
      <c r="AC7" s="19">
        <v>2</v>
      </c>
      <c r="AE7" t="s">
        <v>108</v>
      </c>
      <c r="AF7" t="s">
        <v>40</v>
      </c>
      <c r="AG7" s="19">
        <v>90</v>
      </c>
      <c r="AH7" s="19">
        <v>2</v>
      </c>
      <c r="AI7" s="19">
        <v>2</v>
      </c>
      <c r="AJ7" s="19">
        <v>130</v>
      </c>
      <c r="AK7" s="19">
        <v>2</v>
      </c>
      <c r="AL7" s="19">
        <v>2</v>
      </c>
      <c r="AM7" s="19"/>
      <c r="AN7" s="19"/>
      <c r="AP7" t="s">
        <v>108</v>
      </c>
      <c r="AQ7" t="s">
        <v>40</v>
      </c>
      <c r="AR7" s="19" t="s">
        <v>880</v>
      </c>
      <c r="AS7" s="19" t="s">
        <v>880</v>
      </c>
      <c r="AT7" s="19" t="s">
        <v>880</v>
      </c>
      <c r="AU7" s="19" t="s">
        <v>880</v>
      </c>
      <c r="AV7" s="19">
        <v>124</v>
      </c>
      <c r="AW7" s="19">
        <v>3</v>
      </c>
      <c r="AX7" s="19">
        <v>124</v>
      </c>
      <c r="AY7" s="19">
        <v>5</v>
      </c>
      <c r="AZ7">
        <v>1</v>
      </c>
    </row>
    <row r="8" spans="1:52" x14ac:dyDescent="0.25">
      <c r="A8" t="s">
        <v>110</v>
      </c>
      <c r="B8" t="s">
        <v>41</v>
      </c>
      <c r="C8" s="19">
        <v>2</v>
      </c>
      <c r="D8" s="19">
        <v>2</v>
      </c>
      <c r="F8" t="s">
        <v>109</v>
      </c>
      <c r="G8" s="3" t="s">
        <v>45</v>
      </c>
      <c r="H8" s="19">
        <v>36</v>
      </c>
      <c r="I8" s="19">
        <v>2</v>
      </c>
      <c r="K8" t="s">
        <v>110</v>
      </c>
      <c r="L8" t="s">
        <v>41</v>
      </c>
      <c r="M8" s="19" t="s">
        <v>59</v>
      </c>
      <c r="N8" s="19">
        <v>80</v>
      </c>
      <c r="O8" s="19">
        <v>18</v>
      </c>
      <c r="P8" s="19">
        <v>80</v>
      </c>
      <c r="Q8" s="19">
        <v>21</v>
      </c>
      <c r="R8" s="19">
        <v>4</v>
      </c>
      <c r="T8" t="s">
        <v>110</v>
      </c>
      <c r="U8" t="s">
        <v>41</v>
      </c>
      <c r="V8" s="19"/>
      <c r="W8" s="19"/>
      <c r="X8" s="19"/>
      <c r="Y8" s="19"/>
      <c r="Z8" s="19">
        <v>124</v>
      </c>
      <c r="AA8" s="19">
        <v>124</v>
      </c>
      <c r="AB8" s="19">
        <v>4</v>
      </c>
      <c r="AC8" s="19">
        <v>4</v>
      </c>
      <c r="AE8" t="s">
        <v>110</v>
      </c>
      <c r="AF8" t="s">
        <v>41</v>
      </c>
      <c r="AG8" s="19">
        <v>90</v>
      </c>
      <c r="AH8" s="19">
        <v>2</v>
      </c>
      <c r="AI8" s="19">
        <v>2</v>
      </c>
      <c r="AJ8" s="19">
        <v>130</v>
      </c>
      <c r="AK8" s="19">
        <v>4</v>
      </c>
      <c r="AL8" s="19">
        <v>4</v>
      </c>
      <c r="AM8" s="19">
        <v>119</v>
      </c>
      <c r="AN8" s="19">
        <v>1</v>
      </c>
      <c r="AP8" t="s">
        <v>110</v>
      </c>
      <c r="AQ8" t="s">
        <v>41</v>
      </c>
      <c r="AR8" s="19" t="s">
        <v>880</v>
      </c>
      <c r="AS8" s="19" t="s">
        <v>880</v>
      </c>
      <c r="AT8" s="19" t="s">
        <v>880</v>
      </c>
      <c r="AU8" s="19" t="s">
        <v>880</v>
      </c>
      <c r="AV8" s="19">
        <v>124</v>
      </c>
      <c r="AW8" s="19">
        <v>3</v>
      </c>
      <c r="AX8" s="19">
        <v>124</v>
      </c>
      <c r="AY8" s="19">
        <v>5</v>
      </c>
      <c r="AZ8">
        <v>2</v>
      </c>
    </row>
    <row r="9" spans="1:52" x14ac:dyDescent="0.25">
      <c r="A9" t="s">
        <v>109</v>
      </c>
      <c r="B9" t="s">
        <v>42</v>
      </c>
      <c r="C9" s="19">
        <v>2</v>
      </c>
      <c r="D9" s="19">
        <v>2</v>
      </c>
      <c r="F9" t="s">
        <v>110</v>
      </c>
      <c r="G9" t="s">
        <v>41</v>
      </c>
      <c r="H9" s="19">
        <v>36</v>
      </c>
      <c r="I9" s="19">
        <v>1</v>
      </c>
      <c r="K9" t="s">
        <v>109</v>
      </c>
      <c r="L9" t="s">
        <v>42</v>
      </c>
      <c r="M9" s="19" t="s">
        <v>59</v>
      </c>
      <c r="N9" s="19">
        <v>80</v>
      </c>
      <c r="O9" s="19">
        <v>21</v>
      </c>
      <c r="P9" s="19">
        <v>80</v>
      </c>
      <c r="Q9" s="19">
        <v>18</v>
      </c>
      <c r="R9" s="19">
        <v>4</v>
      </c>
      <c r="T9" t="s">
        <v>109</v>
      </c>
      <c r="U9" t="s">
        <v>42</v>
      </c>
      <c r="V9" s="19"/>
      <c r="W9" s="19"/>
      <c r="X9" s="19"/>
      <c r="Y9" s="19"/>
      <c r="Z9" s="19">
        <v>124</v>
      </c>
      <c r="AA9" s="19">
        <v>124</v>
      </c>
      <c r="AB9" s="19">
        <v>4</v>
      </c>
      <c r="AC9" s="19">
        <v>4</v>
      </c>
      <c r="AE9" t="s">
        <v>109</v>
      </c>
      <c r="AF9" t="s">
        <v>42</v>
      </c>
      <c r="AG9" s="19">
        <v>90</v>
      </c>
      <c r="AH9" s="19">
        <v>2</v>
      </c>
      <c r="AI9" s="19">
        <v>2</v>
      </c>
      <c r="AJ9" s="19">
        <v>130</v>
      </c>
      <c r="AK9" s="19">
        <v>4</v>
      </c>
      <c r="AL9" s="19">
        <v>4</v>
      </c>
      <c r="AM9" s="19">
        <v>119</v>
      </c>
      <c r="AN9" s="19">
        <v>1</v>
      </c>
      <c r="AP9" t="s">
        <v>109</v>
      </c>
      <c r="AQ9" t="s">
        <v>42</v>
      </c>
      <c r="AR9" s="19" t="s">
        <v>880</v>
      </c>
      <c r="AS9" s="19" t="s">
        <v>880</v>
      </c>
      <c r="AT9" s="19" t="s">
        <v>880</v>
      </c>
      <c r="AU9" s="19" t="s">
        <v>880</v>
      </c>
      <c r="AV9" s="19">
        <v>124</v>
      </c>
      <c r="AW9" s="19">
        <v>3</v>
      </c>
      <c r="AX9" s="19">
        <v>124</v>
      </c>
      <c r="AY9" s="19">
        <v>5</v>
      </c>
      <c r="AZ9">
        <v>2</v>
      </c>
    </row>
    <row r="10" spans="1:52" x14ac:dyDescent="0.25">
      <c r="A10" t="s">
        <v>109</v>
      </c>
      <c r="B10" t="s">
        <v>43</v>
      </c>
      <c r="C10" s="19">
        <v>2</v>
      </c>
      <c r="D10" s="19">
        <v>2</v>
      </c>
      <c r="F10" t="s">
        <v>116</v>
      </c>
      <c r="G10" t="s">
        <v>47</v>
      </c>
      <c r="H10" s="19">
        <v>42</v>
      </c>
      <c r="I10" s="19">
        <v>1</v>
      </c>
      <c r="K10" t="s">
        <v>109</v>
      </c>
      <c r="L10" t="s">
        <v>43</v>
      </c>
      <c r="M10" s="19" t="s">
        <v>59</v>
      </c>
      <c r="N10" s="19">
        <v>80</v>
      </c>
      <c r="O10" s="19">
        <v>21</v>
      </c>
      <c r="P10" s="19">
        <v>80</v>
      </c>
      <c r="Q10" s="19">
        <v>18</v>
      </c>
      <c r="R10" s="19">
        <v>4</v>
      </c>
      <c r="T10" t="s">
        <v>109</v>
      </c>
      <c r="U10" t="s">
        <v>43</v>
      </c>
      <c r="V10" s="19"/>
      <c r="W10" s="19"/>
      <c r="X10" s="19"/>
      <c r="Y10" s="19"/>
      <c r="Z10" s="19">
        <v>124</v>
      </c>
      <c r="AA10" s="19">
        <v>124</v>
      </c>
      <c r="AB10" s="19">
        <v>4</v>
      </c>
      <c r="AC10" s="19">
        <v>4</v>
      </c>
      <c r="AE10" t="s">
        <v>109</v>
      </c>
      <c r="AF10" t="s">
        <v>43</v>
      </c>
      <c r="AG10" s="19">
        <v>90</v>
      </c>
      <c r="AH10" s="19">
        <v>2</v>
      </c>
      <c r="AI10" s="19">
        <v>2</v>
      </c>
      <c r="AJ10" s="19">
        <v>130</v>
      </c>
      <c r="AK10" s="19">
        <v>4</v>
      </c>
      <c r="AL10" s="19">
        <v>4</v>
      </c>
      <c r="AM10" s="19">
        <v>119</v>
      </c>
      <c r="AN10" s="19">
        <v>1</v>
      </c>
      <c r="AP10" t="s">
        <v>109</v>
      </c>
      <c r="AQ10" t="s">
        <v>43</v>
      </c>
      <c r="AR10" s="19" t="s">
        <v>880</v>
      </c>
      <c r="AS10" s="19" t="s">
        <v>880</v>
      </c>
      <c r="AT10" s="19" t="s">
        <v>880</v>
      </c>
      <c r="AU10" s="19" t="s">
        <v>880</v>
      </c>
      <c r="AV10" s="19">
        <v>124</v>
      </c>
      <c r="AW10" s="19">
        <v>3</v>
      </c>
      <c r="AX10" s="19">
        <v>124</v>
      </c>
      <c r="AY10" s="19">
        <v>5</v>
      </c>
      <c r="AZ10">
        <v>2</v>
      </c>
    </row>
    <row r="11" spans="1:52" x14ac:dyDescent="0.25">
      <c r="A11" t="s">
        <v>109</v>
      </c>
      <c r="B11" t="s">
        <v>44</v>
      </c>
      <c r="C11" s="19">
        <v>2</v>
      </c>
      <c r="D11" s="19">
        <v>2</v>
      </c>
      <c r="F11" t="s">
        <v>116</v>
      </c>
      <c r="G11" t="s">
        <v>48</v>
      </c>
      <c r="H11" s="19">
        <v>42</v>
      </c>
      <c r="I11" s="19">
        <v>1</v>
      </c>
      <c r="K11" t="s">
        <v>109</v>
      </c>
      <c r="L11" t="s">
        <v>44</v>
      </c>
      <c r="M11" s="19" t="s">
        <v>59</v>
      </c>
      <c r="N11" s="19">
        <v>80</v>
      </c>
      <c r="O11" s="19">
        <v>21</v>
      </c>
      <c r="P11" s="19">
        <v>80</v>
      </c>
      <c r="Q11" s="19">
        <v>18</v>
      </c>
      <c r="R11" s="19">
        <v>6</v>
      </c>
      <c r="T11" t="s">
        <v>109</v>
      </c>
      <c r="U11" t="s">
        <v>44</v>
      </c>
      <c r="V11" s="19"/>
      <c r="W11" s="19"/>
      <c r="X11" s="19"/>
      <c r="Y11" s="19"/>
      <c r="Z11" s="19">
        <v>124</v>
      </c>
      <c r="AA11" s="19">
        <v>124</v>
      </c>
      <c r="AB11" s="19">
        <v>4</v>
      </c>
      <c r="AC11" s="19">
        <v>4</v>
      </c>
      <c r="AE11" t="s">
        <v>109</v>
      </c>
      <c r="AF11" t="s">
        <v>44</v>
      </c>
      <c r="AG11" s="19">
        <v>90</v>
      </c>
      <c r="AH11" s="19">
        <v>2</v>
      </c>
      <c r="AI11" s="19">
        <v>2</v>
      </c>
      <c r="AJ11" s="19">
        <v>130</v>
      </c>
      <c r="AK11" s="19">
        <v>6</v>
      </c>
      <c r="AL11" s="19">
        <v>6</v>
      </c>
      <c r="AM11" s="19">
        <v>119</v>
      </c>
      <c r="AN11" s="19">
        <v>2</v>
      </c>
      <c r="AP11" t="s">
        <v>109</v>
      </c>
      <c r="AQ11" t="s">
        <v>44</v>
      </c>
      <c r="AR11" s="19" t="s">
        <v>880</v>
      </c>
      <c r="AS11" s="19" t="s">
        <v>880</v>
      </c>
      <c r="AT11" s="19" t="s">
        <v>880</v>
      </c>
      <c r="AU11" s="19" t="s">
        <v>880</v>
      </c>
      <c r="AV11" s="19">
        <v>124</v>
      </c>
      <c r="AW11" s="19">
        <v>3</v>
      </c>
      <c r="AX11" s="19">
        <v>124</v>
      </c>
      <c r="AY11" s="19">
        <v>5</v>
      </c>
      <c r="AZ11">
        <v>3</v>
      </c>
    </row>
    <row r="12" spans="1:52" x14ac:dyDescent="0.25">
      <c r="A12" t="s">
        <v>109</v>
      </c>
      <c r="B12" t="s">
        <v>45</v>
      </c>
      <c r="C12" s="19">
        <v>2</v>
      </c>
      <c r="D12" s="19">
        <v>2</v>
      </c>
      <c r="F12" t="s">
        <v>111</v>
      </c>
      <c r="G12" t="s">
        <v>46</v>
      </c>
      <c r="H12" s="19">
        <v>36</v>
      </c>
      <c r="I12" s="19">
        <v>2</v>
      </c>
      <c r="K12" t="s">
        <v>109</v>
      </c>
      <c r="L12" t="s">
        <v>45</v>
      </c>
      <c r="M12" s="19" t="s">
        <v>59</v>
      </c>
      <c r="N12" s="19">
        <v>80</v>
      </c>
      <c r="O12" s="19">
        <v>21</v>
      </c>
      <c r="P12" s="19">
        <v>80</v>
      </c>
      <c r="Q12" s="19">
        <v>18</v>
      </c>
      <c r="R12" s="19">
        <v>6</v>
      </c>
      <c r="T12" t="s">
        <v>109</v>
      </c>
      <c r="U12" t="s">
        <v>45</v>
      </c>
      <c r="V12" s="19"/>
      <c r="W12" s="19"/>
      <c r="X12" s="19"/>
      <c r="Y12" s="19"/>
      <c r="Z12" s="19">
        <v>124</v>
      </c>
      <c r="AA12" s="19">
        <v>124</v>
      </c>
      <c r="AB12" s="19">
        <v>4</v>
      </c>
      <c r="AC12" s="19">
        <v>4</v>
      </c>
      <c r="AE12" t="s">
        <v>109</v>
      </c>
      <c r="AF12" t="s">
        <v>45</v>
      </c>
      <c r="AG12" s="19">
        <v>90</v>
      </c>
      <c r="AH12" s="19">
        <v>2</v>
      </c>
      <c r="AI12" s="19">
        <v>2</v>
      </c>
      <c r="AJ12" s="19">
        <v>130</v>
      </c>
      <c r="AK12" s="19">
        <v>6</v>
      </c>
      <c r="AL12" s="19">
        <v>6</v>
      </c>
      <c r="AM12" s="19">
        <v>119</v>
      </c>
      <c r="AN12" s="19">
        <v>2</v>
      </c>
      <c r="AP12" t="s">
        <v>109</v>
      </c>
      <c r="AQ12" t="s">
        <v>45</v>
      </c>
      <c r="AR12" s="19" t="s">
        <v>880</v>
      </c>
      <c r="AS12" s="19" t="s">
        <v>880</v>
      </c>
      <c r="AT12" s="19" t="s">
        <v>880</v>
      </c>
      <c r="AU12" s="19" t="s">
        <v>880</v>
      </c>
      <c r="AV12" s="19">
        <v>124</v>
      </c>
      <c r="AW12" s="19">
        <v>3</v>
      </c>
      <c r="AX12" s="19">
        <v>124</v>
      </c>
      <c r="AY12" s="19">
        <v>5</v>
      </c>
      <c r="AZ12">
        <v>3</v>
      </c>
    </row>
    <row r="13" spans="1:52" x14ac:dyDescent="0.25">
      <c r="A13" t="s">
        <v>111</v>
      </c>
      <c r="B13" t="s">
        <v>46</v>
      </c>
      <c r="C13" s="19">
        <v>2</v>
      </c>
      <c r="D13" s="19">
        <v>2</v>
      </c>
      <c r="K13" t="s">
        <v>111</v>
      </c>
      <c r="L13" t="s">
        <v>46</v>
      </c>
      <c r="M13" s="19" t="s">
        <v>59</v>
      </c>
      <c r="N13" s="19">
        <v>80</v>
      </c>
      <c r="O13" s="19">
        <v>18</v>
      </c>
      <c r="P13" s="19">
        <v>80</v>
      </c>
      <c r="Q13" s="19">
        <v>21</v>
      </c>
      <c r="R13" s="19">
        <v>6</v>
      </c>
      <c r="T13" t="s">
        <v>111</v>
      </c>
      <c r="U13" t="s">
        <v>46</v>
      </c>
      <c r="V13" s="19"/>
      <c r="W13" s="19"/>
      <c r="X13" s="19"/>
      <c r="Y13" s="19"/>
      <c r="Z13" s="19">
        <v>124</v>
      </c>
      <c r="AA13" s="19">
        <v>124</v>
      </c>
      <c r="AB13" s="19">
        <v>6</v>
      </c>
      <c r="AC13" s="19">
        <v>6</v>
      </c>
      <c r="AE13" t="s">
        <v>111</v>
      </c>
      <c r="AF13" t="s">
        <v>46</v>
      </c>
      <c r="AG13" s="19">
        <v>90</v>
      </c>
      <c r="AH13" s="19">
        <v>2</v>
      </c>
      <c r="AI13" s="19">
        <v>2</v>
      </c>
      <c r="AJ13" s="19">
        <v>130</v>
      </c>
      <c r="AK13" s="19">
        <v>6</v>
      </c>
      <c r="AL13" s="19">
        <v>6</v>
      </c>
      <c r="AM13" s="19">
        <v>119</v>
      </c>
      <c r="AN13" s="19">
        <v>3</v>
      </c>
      <c r="AP13" t="s">
        <v>111</v>
      </c>
      <c r="AQ13" t="s">
        <v>46</v>
      </c>
      <c r="AR13" s="19" t="s">
        <v>880</v>
      </c>
      <c r="AS13" s="19" t="s">
        <v>880</v>
      </c>
      <c r="AT13" s="19" t="s">
        <v>880</v>
      </c>
      <c r="AU13" s="19" t="s">
        <v>880</v>
      </c>
      <c r="AV13" s="19">
        <v>124</v>
      </c>
      <c r="AW13" s="19">
        <v>3</v>
      </c>
      <c r="AX13" s="19">
        <v>124</v>
      </c>
      <c r="AY13" s="19">
        <v>5</v>
      </c>
      <c r="AZ13">
        <v>3</v>
      </c>
    </row>
    <row r="14" spans="1:52" x14ac:dyDescent="0.25">
      <c r="A14" t="s">
        <v>116</v>
      </c>
      <c r="B14" t="s">
        <v>47</v>
      </c>
      <c r="C14" s="19">
        <v>4</v>
      </c>
      <c r="D14" s="19">
        <v>2</v>
      </c>
      <c r="K14" t="s">
        <v>116</v>
      </c>
      <c r="L14" t="s">
        <v>47</v>
      </c>
      <c r="M14" s="19" t="s">
        <v>59</v>
      </c>
      <c r="N14" s="19">
        <v>80</v>
      </c>
      <c r="O14" s="19">
        <v>21</v>
      </c>
      <c r="P14" s="19">
        <v>80</v>
      </c>
      <c r="Q14" s="19">
        <v>18</v>
      </c>
      <c r="R14" s="19">
        <v>2</v>
      </c>
      <c r="T14" t="s">
        <v>116</v>
      </c>
      <c r="U14" t="s">
        <v>47</v>
      </c>
      <c r="V14" s="19">
        <v>80</v>
      </c>
      <c r="W14" s="19">
        <v>80</v>
      </c>
      <c r="X14" s="19">
        <v>2</v>
      </c>
      <c r="Y14" s="19">
        <v>2</v>
      </c>
      <c r="Z14" s="19">
        <v>124</v>
      </c>
      <c r="AA14" s="19">
        <v>124</v>
      </c>
      <c r="AB14" s="19">
        <v>2</v>
      </c>
      <c r="AC14" s="19">
        <v>2</v>
      </c>
      <c r="AE14" t="s">
        <v>116</v>
      </c>
      <c r="AF14" t="s">
        <v>47</v>
      </c>
      <c r="AG14" s="19">
        <v>90</v>
      </c>
      <c r="AH14" s="19">
        <v>2</v>
      </c>
      <c r="AI14" s="19">
        <v>2</v>
      </c>
      <c r="AJ14" s="19">
        <v>130</v>
      </c>
      <c r="AK14" s="19">
        <v>2</v>
      </c>
      <c r="AL14" s="19">
        <v>2</v>
      </c>
      <c r="AM14" s="19">
        <v>125</v>
      </c>
      <c r="AN14" s="19">
        <v>1</v>
      </c>
      <c r="AP14" t="s">
        <v>116</v>
      </c>
      <c r="AQ14" t="s">
        <v>47</v>
      </c>
      <c r="AR14" s="19">
        <v>80</v>
      </c>
      <c r="AS14" s="19">
        <v>3</v>
      </c>
      <c r="AT14" s="19">
        <v>80</v>
      </c>
      <c r="AU14" s="19">
        <v>5</v>
      </c>
      <c r="AV14" s="19">
        <v>124</v>
      </c>
      <c r="AW14" s="19">
        <v>3</v>
      </c>
      <c r="AX14" s="19">
        <v>124</v>
      </c>
      <c r="AY14" s="19">
        <v>5</v>
      </c>
      <c r="AZ14">
        <v>1</v>
      </c>
    </row>
    <row r="15" spans="1:52" x14ac:dyDescent="0.25">
      <c r="A15" t="s">
        <v>116</v>
      </c>
      <c r="B15" t="s">
        <v>48</v>
      </c>
      <c r="C15" s="19">
        <v>4</v>
      </c>
      <c r="D15" s="19">
        <v>2</v>
      </c>
      <c r="K15" t="s">
        <v>116</v>
      </c>
      <c r="L15" t="s">
        <v>48</v>
      </c>
      <c r="M15" s="19" t="s">
        <v>59</v>
      </c>
      <c r="N15" s="19">
        <v>80</v>
      </c>
      <c r="O15" s="19">
        <v>21</v>
      </c>
      <c r="P15" s="19">
        <v>80</v>
      </c>
      <c r="Q15" s="19">
        <v>18</v>
      </c>
      <c r="R15" s="19">
        <v>2</v>
      </c>
      <c r="T15" t="s">
        <v>116</v>
      </c>
      <c r="U15" t="s">
        <v>48</v>
      </c>
      <c r="V15" s="19">
        <v>80</v>
      </c>
      <c r="W15" s="19">
        <v>80</v>
      </c>
      <c r="X15" s="19">
        <v>2</v>
      </c>
      <c r="Y15" s="19">
        <v>2</v>
      </c>
      <c r="Z15" s="19">
        <v>124</v>
      </c>
      <c r="AA15" s="19">
        <v>124</v>
      </c>
      <c r="AB15" s="19">
        <v>2</v>
      </c>
      <c r="AC15" s="19">
        <v>2</v>
      </c>
      <c r="AE15" t="s">
        <v>116</v>
      </c>
      <c r="AF15" t="s">
        <v>48</v>
      </c>
      <c r="AG15" s="19">
        <v>90</v>
      </c>
      <c r="AH15" s="19">
        <v>2</v>
      </c>
      <c r="AI15" s="19">
        <v>2</v>
      </c>
      <c r="AJ15" s="19">
        <v>130</v>
      </c>
      <c r="AK15" s="19">
        <v>2</v>
      </c>
      <c r="AL15" s="19">
        <v>2</v>
      </c>
      <c r="AM15" s="19">
        <v>125</v>
      </c>
      <c r="AN15" s="19">
        <v>1</v>
      </c>
      <c r="AP15" t="s">
        <v>116</v>
      </c>
      <c r="AQ15" t="s">
        <v>48</v>
      </c>
      <c r="AR15" s="19">
        <v>80</v>
      </c>
      <c r="AS15" s="19">
        <v>3</v>
      </c>
      <c r="AT15" s="19">
        <v>80</v>
      </c>
      <c r="AU15" s="19">
        <v>5</v>
      </c>
      <c r="AV15" s="19">
        <v>124</v>
      </c>
      <c r="AW15" s="19">
        <v>3</v>
      </c>
      <c r="AX15" s="19">
        <v>124</v>
      </c>
      <c r="AY15" s="19">
        <v>5</v>
      </c>
      <c r="AZ15">
        <v>1</v>
      </c>
    </row>
    <row r="16" spans="1:52" x14ac:dyDescent="0.25">
      <c r="A16" t="s">
        <v>113</v>
      </c>
      <c r="B16" t="s">
        <v>133</v>
      </c>
      <c r="C16" s="19">
        <v>2</v>
      </c>
      <c r="D16" s="19">
        <v>1</v>
      </c>
      <c r="K16" t="s">
        <v>113</v>
      </c>
      <c r="L16" t="s">
        <v>133</v>
      </c>
      <c r="M16" s="19" t="s">
        <v>623</v>
      </c>
      <c r="N16" s="19">
        <v>40</v>
      </c>
      <c r="O16" s="19">
        <v>27</v>
      </c>
      <c r="P16" s="19">
        <v>80</v>
      </c>
      <c r="Q16" s="19">
        <v>21</v>
      </c>
      <c r="R16" s="19">
        <v>2</v>
      </c>
      <c r="T16" t="s">
        <v>113</v>
      </c>
      <c r="U16" t="s">
        <v>133</v>
      </c>
      <c r="V16" s="19"/>
      <c r="W16" s="19"/>
      <c r="X16" s="19"/>
      <c r="Y16" s="19"/>
      <c r="Z16" s="19">
        <v>178</v>
      </c>
      <c r="AA16" s="19">
        <v>178</v>
      </c>
      <c r="AB16" s="19">
        <v>2</v>
      </c>
      <c r="AC16" s="19">
        <v>2</v>
      </c>
      <c r="AE16" t="s">
        <v>113</v>
      </c>
      <c r="AF16" t="s">
        <v>133</v>
      </c>
      <c r="AG16" s="19">
        <v>90</v>
      </c>
      <c r="AH16" s="19">
        <v>2</v>
      </c>
      <c r="AI16" s="19">
        <v>1</v>
      </c>
      <c r="AJ16" s="19">
        <v>180</v>
      </c>
      <c r="AK16" s="19">
        <v>2</v>
      </c>
      <c r="AL16" s="19">
        <v>2</v>
      </c>
      <c r="AM16" s="19"/>
      <c r="AN16" s="19"/>
      <c r="AP16" t="s">
        <v>113</v>
      </c>
      <c r="AQ16" t="s">
        <v>133</v>
      </c>
      <c r="AR16" s="19" t="s">
        <v>880</v>
      </c>
      <c r="AS16" s="19" t="s">
        <v>880</v>
      </c>
      <c r="AT16" s="19" t="s">
        <v>880</v>
      </c>
      <c r="AU16" s="19" t="s">
        <v>880</v>
      </c>
      <c r="AV16" s="19">
        <v>178</v>
      </c>
      <c r="AW16" s="19">
        <v>3</v>
      </c>
      <c r="AX16" s="19">
        <v>178</v>
      </c>
      <c r="AY16" s="19">
        <v>5</v>
      </c>
      <c r="AZ16">
        <v>1</v>
      </c>
    </row>
    <row r="17" spans="1:52" x14ac:dyDescent="0.25">
      <c r="A17" t="s">
        <v>112</v>
      </c>
      <c r="B17" t="s">
        <v>73</v>
      </c>
      <c r="C17" s="19">
        <v>2</v>
      </c>
      <c r="D17" s="19">
        <v>2</v>
      </c>
      <c r="K17" t="s">
        <v>112</v>
      </c>
      <c r="L17" t="s">
        <v>73</v>
      </c>
      <c r="M17" s="19" t="s">
        <v>623</v>
      </c>
      <c r="N17" s="19">
        <v>80</v>
      </c>
      <c r="O17" s="19">
        <v>21</v>
      </c>
      <c r="P17" s="19">
        <v>80</v>
      </c>
      <c r="Q17" s="19">
        <v>21</v>
      </c>
      <c r="R17" s="19">
        <v>2</v>
      </c>
      <c r="T17" t="s">
        <v>112</v>
      </c>
      <c r="U17" t="s">
        <v>73</v>
      </c>
      <c r="V17" s="19"/>
      <c r="W17" s="19"/>
      <c r="X17" s="19"/>
      <c r="Y17" s="19"/>
      <c r="Z17" s="19">
        <v>178</v>
      </c>
      <c r="AA17" s="19">
        <v>178</v>
      </c>
      <c r="AB17" s="19">
        <v>2</v>
      </c>
      <c r="AC17" s="19">
        <v>2</v>
      </c>
      <c r="AE17" t="s">
        <v>112</v>
      </c>
      <c r="AF17" t="s">
        <v>73</v>
      </c>
      <c r="AG17" s="19">
        <v>90</v>
      </c>
      <c r="AH17" s="19">
        <v>2</v>
      </c>
      <c r="AI17" s="19">
        <v>2</v>
      </c>
      <c r="AJ17" s="19">
        <v>180</v>
      </c>
      <c r="AK17" s="19">
        <v>2</v>
      </c>
      <c r="AL17" s="19">
        <v>2</v>
      </c>
      <c r="AM17" s="19"/>
      <c r="AN17" s="19"/>
      <c r="AP17" t="s">
        <v>112</v>
      </c>
      <c r="AQ17" t="s">
        <v>73</v>
      </c>
      <c r="AR17" s="19" t="s">
        <v>880</v>
      </c>
      <c r="AS17" s="19" t="s">
        <v>880</v>
      </c>
      <c r="AT17" s="19" t="s">
        <v>880</v>
      </c>
      <c r="AU17" s="19" t="s">
        <v>880</v>
      </c>
      <c r="AV17" s="19">
        <v>178</v>
      </c>
      <c r="AW17" s="19">
        <v>3</v>
      </c>
      <c r="AX17" s="19">
        <v>178</v>
      </c>
      <c r="AY17" s="19">
        <v>5</v>
      </c>
      <c r="AZ17">
        <v>1</v>
      </c>
    </row>
  </sheetData>
  <mergeCells count="36">
    <mergeCell ref="AM2:AN2"/>
    <mergeCell ref="AE1:AN1"/>
    <mergeCell ref="T1:AC1"/>
    <mergeCell ref="T2:T3"/>
    <mergeCell ref="U2:U3"/>
    <mergeCell ref="AF2:AF3"/>
    <mergeCell ref="AG2:AI2"/>
    <mergeCell ref="H2:H3"/>
    <mergeCell ref="I2:I3"/>
    <mergeCell ref="AJ2:AL2"/>
    <mergeCell ref="M2:M3"/>
    <mergeCell ref="K2:K3"/>
    <mergeCell ref="D2:D3"/>
    <mergeCell ref="A1:D1"/>
    <mergeCell ref="AE2:AE3"/>
    <mergeCell ref="V2:Y2"/>
    <mergeCell ref="Z2:AC2"/>
    <mergeCell ref="A2:A3"/>
    <mergeCell ref="B2:B3"/>
    <mergeCell ref="C2:C3"/>
    <mergeCell ref="L2:L3"/>
    <mergeCell ref="N2:O2"/>
    <mergeCell ref="P2:Q2"/>
    <mergeCell ref="R2:R3"/>
    <mergeCell ref="K1:R1"/>
    <mergeCell ref="F1:I1"/>
    <mergeCell ref="F2:F3"/>
    <mergeCell ref="G2:G3"/>
    <mergeCell ref="AX2:AY2"/>
    <mergeCell ref="AP1:AZ1"/>
    <mergeCell ref="AZ2:AZ3"/>
    <mergeCell ref="AP2:AP3"/>
    <mergeCell ref="AQ2:AQ3"/>
    <mergeCell ref="AR2:AS2"/>
    <mergeCell ref="AT2:AU2"/>
    <mergeCell ref="AV2:AW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D1D3D-0ABD-43C7-9DEE-9F9E4E7690E7}">
  <sheetPr codeName="Sheet13" filterMode="1">
    <tabColor rgb="FFFFC000"/>
  </sheetPr>
  <dimension ref="A1:N1662"/>
  <sheetViews>
    <sheetView workbookViewId="0">
      <pane xSplit="4" ySplit="1" topLeftCell="E563" activePane="bottomRight" state="frozen"/>
      <selection activeCell="E15" sqref="E15"/>
      <selection pane="topRight" activeCell="E15" sqref="E15"/>
      <selection pane="bottomLeft" activeCell="E15" sqref="E15"/>
      <selection pane="bottomRight" activeCell="E15" sqref="E15"/>
    </sheetView>
  </sheetViews>
  <sheetFormatPr defaultRowHeight="15" x14ac:dyDescent="0.25"/>
  <cols>
    <col min="1" max="1" width="12.140625" bestFit="1" customWidth="1"/>
    <col min="2" max="2" width="29.85546875" bestFit="1" customWidth="1"/>
    <col min="3" max="3" width="42.85546875" bestFit="1" customWidth="1"/>
    <col min="4" max="4" width="51.7109375" bestFit="1" customWidth="1"/>
    <col min="5" max="5" width="12" bestFit="1" customWidth="1"/>
    <col min="6" max="6" width="22.140625" bestFit="1" customWidth="1"/>
    <col min="7" max="7" width="13.140625" bestFit="1" customWidth="1"/>
    <col min="8" max="8" width="35.28515625" bestFit="1" customWidth="1"/>
    <col min="9" max="9" width="14.28515625" bestFit="1" customWidth="1"/>
    <col min="10" max="10" width="35.28515625" bestFit="1" customWidth="1"/>
    <col min="11" max="11" width="25.85546875" bestFit="1" customWidth="1"/>
    <col min="12" max="12" width="15.140625" bestFit="1" customWidth="1"/>
  </cols>
  <sheetData>
    <row r="1" spans="1:12" x14ac:dyDescent="0.25">
      <c r="A1" s="15" t="s">
        <v>199</v>
      </c>
      <c r="B1" s="15" t="s">
        <v>200</v>
      </c>
      <c r="C1" s="15" t="s">
        <v>201</v>
      </c>
      <c r="D1" s="15" t="s">
        <v>202</v>
      </c>
      <c r="E1" s="15" t="s">
        <v>203</v>
      </c>
      <c r="F1" s="15" t="s">
        <v>204</v>
      </c>
      <c r="G1" s="15" t="s">
        <v>205</v>
      </c>
      <c r="H1" s="15" t="s">
        <v>206</v>
      </c>
      <c r="I1" s="15" t="s">
        <v>5</v>
      </c>
      <c r="J1" s="40" t="s">
        <v>695</v>
      </c>
      <c r="K1" s="40" t="s">
        <v>772</v>
      </c>
      <c r="L1" s="40" t="s">
        <v>773</v>
      </c>
    </row>
    <row r="2" spans="1:12" hidden="1" x14ac:dyDescent="0.25">
      <c r="A2" s="16" t="s">
        <v>76</v>
      </c>
      <c r="B2" s="16" t="s">
        <v>207</v>
      </c>
      <c r="C2" s="16" t="s">
        <v>208</v>
      </c>
      <c r="D2" s="16" t="s">
        <v>209</v>
      </c>
      <c r="E2" s="16">
        <v>1.6241379310344828</v>
      </c>
      <c r="F2" s="16" t="s">
        <v>194</v>
      </c>
      <c r="G2" s="16"/>
      <c r="H2" s="16" t="s">
        <v>210</v>
      </c>
      <c r="I2" s="16" t="s">
        <v>211</v>
      </c>
      <c r="J2" s="16" t="str">
        <f>IF(ISNUMBER(SEARCH("SCRW", H2)), _xlfn.XLOOKUP(C2,dd_item!$A$2:$A$147,dd_item!$B$2:$B$147,"",0),_xlfn.XLOOKUP(H2,dd_item!$A$2:$A$147,dd_item!$B$2:$B$147,"",0))</f>
        <v>Frame138</v>
      </c>
      <c r="K2" s="16" t="str">
        <f>_xlfn.XLOOKUP(A2,dd_design_raw!$C$2:$C$1002,dd_design_raw!$A$2:$A$1002,"",0)</f>
        <v>Fix Slide Door - with Screen</v>
      </c>
      <c r="L2" s="16" t="str">
        <f>_xlfn.XLOOKUP(I2,dd_accsryclr!$A$2:$A$1000,dd_accsryclr!$A$2:$A$1000,"",0)</f>
        <v/>
      </c>
    </row>
    <row r="3" spans="1:12" hidden="1" x14ac:dyDescent="0.25">
      <c r="A3" s="16" t="s">
        <v>76</v>
      </c>
      <c r="B3" s="16" t="s">
        <v>207</v>
      </c>
      <c r="C3" s="16" t="s">
        <v>212</v>
      </c>
      <c r="D3" s="16" t="s">
        <v>213</v>
      </c>
      <c r="E3" s="16">
        <v>1.6241379310344828</v>
      </c>
      <c r="F3" s="16" t="s">
        <v>194</v>
      </c>
      <c r="G3" s="16"/>
      <c r="H3" s="16" t="s">
        <v>210</v>
      </c>
      <c r="I3" s="16" t="s">
        <v>214</v>
      </c>
      <c r="J3" s="16" t="str">
        <f>IF(ISNUMBER(SEARCH("SCRW", H3)), _xlfn.XLOOKUP(C3,dd_item!$A$2:$A$147,dd_item!$B$2:$B$147,"",0),_xlfn.XLOOKUP(H3,dd_item!$A$2:$A$147,dd_item!$B$2:$B$147,"",0))</f>
        <v>Frame138</v>
      </c>
      <c r="K3" s="16" t="str">
        <f>_xlfn.XLOOKUP(A3,dd_design_raw!$C$2:$C$1002,dd_design_raw!$A$2:$A$1002,"",0)</f>
        <v>Fix Slide Door - with Screen</v>
      </c>
      <c r="L3" s="16" t="str">
        <f>_xlfn.XLOOKUP(I3,dd_accsryclr!$A$2:$A$1000,dd_accsryclr!$A$2:$A$1000,"",0)</f>
        <v/>
      </c>
    </row>
    <row r="4" spans="1:12" hidden="1" x14ac:dyDescent="0.25">
      <c r="A4" s="16" t="s">
        <v>76</v>
      </c>
      <c r="B4" s="16" t="s">
        <v>207</v>
      </c>
      <c r="C4" s="16" t="s">
        <v>215</v>
      </c>
      <c r="D4" s="16" t="s">
        <v>216</v>
      </c>
      <c r="E4" s="16">
        <v>1.6241379310344828</v>
      </c>
      <c r="F4" s="16" t="s">
        <v>194</v>
      </c>
      <c r="G4" s="16"/>
      <c r="H4" s="16" t="s">
        <v>210</v>
      </c>
      <c r="I4" s="16" t="s">
        <v>217</v>
      </c>
      <c r="J4" s="16" t="str">
        <f>IF(ISNUMBER(SEARCH("SCRW", H4)), _xlfn.XLOOKUP(C4,dd_item!$A$2:$A$147,dd_item!$B$2:$B$147,"",0),_xlfn.XLOOKUP(H4,dd_item!$A$2:$A$147,dd_item!$B$2:$B$147,"",0))</f>
        <v>Frame138</v>
      </c>
      <c r="K4" s="16" t="str">
        <f>_xlfn.XLOOKUP(A4,dd_design_raw!$C$2:$C$1002,dd_design_raw!$A$2:$A$1002,"",0)</f>
        <v>Fix Slide Door - with Screen</v>
      </c>
      <c r="L4" s="16" t="str">
        <f>_xlfn.XLOOKUP(I4,dd_accsryclr!$A$2:$A$1000,dd_accsryclr!$A$2:$A$1000,"",0)</f>
        <v/>
      </c>
    </row>
    <row r="5" spans="1:12" hidden="1" x14ac:dyDescent="0.25">
      <c r="A5" s="16" t="s">
        <v>76</v>
      </c>
      <c r="B5" s="16" t="s">
        <v>207</v>
      </c>
      <c r="C5" s="16" t="s">
        <v>218</v>
      </c>
      <c r="D5" s="16" t="s">
        <v>219</v>
      </c>
      <c r="E5" s="16">
        <v>1.6241379310344828</v>
      </c>
      <c r="F5" s="16" t="s">
        <v>194</v>
      </c>
      <c r="G5" s="16"/>
      <c r="H5" s="16" t="s">
        <v>210</v>
      </c>
      <c r="I5" s="16" t="s">
        <v>220</v>
      </c>
      <c r="J5" s="16" t="str">
        <f>IF(ISNUMBER(SEARCH("SCRW", H5)), _xlfn.XLOOKUP(C5,dd_item!$A$2:$A$147,dd_item!$B$2:$B$147,"",0),_xlfn.XLOOKUP(H5,dd_item!$A$2:$A$147,dd_item!$B$2:$B$147,"",0))</f>
        <v>Frame138</v>
      </c>
      <c r="K5" s="16" t="str">
        <f>_xlfn.XLOOKUP(A5,dd_design_raw!$C$2:$C$1002,dd_design_raw!$A$2:$A$1002,"",0)</f>
        <v>Fix Slide Door - with Screen</v>
      </c>
      <c r="L5" s="16" t="str">
        <f>_xlfn.XLOOKUP(I5,dd_accsryclr!$A$2:$A$1000,dd_accsryclr!$A$2:$A$1000,"",0)</f>
        <v>WHT</v>
      </c>
    </row>
    <row r="6" spans="1:12" hidden="1" x14ac:dyDescent="0.25">
      <c r="A6" s="16" t="s">
        <v>76</v>
      </c>
      <c r="B6" s="16" t="s">
        <v>207</v>
      </c>
      <c r="C6" s="16" t="s">
        <v>221</v>
      </c>
      <c r="D6" s="16" t="s">
        <v>222</v>
      </c>
      <c r="E6" s="16">
        <v>1.6241379310344828</v>
      </c>
      <c r="F6" s="16" t="s">
        <v>194</v>
      </c>
      <c r="G6" s="16"/>
      <c r="H6" s="16" t="s">
        <v>210</v>
      </c>
      <c r="I6" s="16" t="s">
        <v>223</v>
      </c>
      <c r="J6" s="16" t="str">
        <f>IF(ISNUMBER(SEARCH("SCRW", H6)), _xlfn.XLOOKUP(C6,dd_item!$A$2:$A$147,dd_item!$B$2:$B$147,"",0),_xlfn.XLOOKUP(H6,dd_item!$A$2:$A$147,dd_item!$B$2:$B$147,"",0))</f>
        <v>Frame138</v>
      </c>
      <c r="K6" s="16" t="str">
        <f>_xlfn.XLOOKUP(A6,dd_design_raw!$C$2:$C$1002,dd_design_raw!$A$2:$A$1002,"",0)</f>
        <v>Fix Slide Door - with Screen</v>
      </c>
      <c r="L6" s="16" t="str">
        <f>_xlfn.XLOOKUP(I6,dd_accsryclr!$A$2:$A$1000,dd_accsryclr!$A$2:$A$1000,"",0)</f>
        <v>BLK</v>
      </c>
    </row>
    <row r="7" spans="1:12" hidden="1" x14ac:dyDescent="0.25">
      <c r="A7" s="16" t="s">
        <v>76</v>
      </c>
      <c r="B7" s="16" t="s">
        <v>207</v>
      </c>
      <c r="C7" s="16" t="s">
        <v>224</v>
      </c>
      <c r="D7" s="16" t="s">
        <v>225</v>
      </c>
      <c r="E7" s="16">
        <v>1.6241379310344828</v>
      </c>
      <c r="F7" s="16" t="s">
        <v>194</v>
      </c>
      <c r="G7" s="16"/>
      <c r="H7" s="16" t="s">
        <v>210</v>
      </c>
      <c r="I7" s="16" t="s">
        <v>226</v>
      </c>
      <c r="J7" s="16" t="str">
        <f>IF(ISNUMBER(SEARCH("SCRW", H7)), _xlfn.XLOOKUP(C7,dd_item!$A$2:$A$147,dd_item!$B$2:$B$147,"",0),_xlfn.XLOOKUP(H7,dd_item!$A$2:$A$147,dd_item!$B$2:$B$147,"",0))</f>
        <v>Frame138</v>
      </c>
      <c r="K7" s="16" t="str">
        <f>_xlfn.XLOOKUP(A7,dd_design_raw!$C$2:$C$1002,dd_design_raw!$A$2:$A$1002,"",0)</f>
        <v>Fix Slide Door - with Screen</v>
      </c>
      <c r="L7" s="16" t="str">
        <f>_xlfn.XLOOKUP(I7,dd_accsryclr!$A$2:$A$1000,dd_accsryclr!$A$2:$A$1000,"",0)</f>
        <v/>
      </c>
    </row>
    <row r="8" spans="1:12" hidden="1" x14ac:dyDescent="0.25">
      <c r="A8" s="16" t="s">
        <v>76</v>
      </c>
      <c r="B8" s="16" t="s">
        <v>207</v>
      </c>
      <c r="C8" s="16" t="s">
        <v>227</v>
      </c>
      <c r="D8" s="16" t="s">
        <v>228</v>
      </c>
      <c r="E8" s="16">
        <v>1.6241379310344828</v>
      </c>
      <c r="F8" s="16" t="s">
        <v>194</v>
      </c>
      <c r="G8" s="16"/>
      <c r="H8" s="16" t="s">
        <v>229</v>
      </c>
      <c r="I8" s="16" t="s">
        <v>230</v>
      </c>
      <c r="J8" s="16" t="str">
        <f>IF(ISNUMBER(SEARCH("SCRW", H8)), _xlfn.XLOOKUP(C8,dd_item!$A$2:$A$147,dd_item!$B$2:$B$147,"",0),_xlfn.XLOOKUP(H8,dd_item!$A$2:$A$147,dd_item!$B$2:$B$147,"",0))</f>
        <v>Frame112</v>
      </c>
      <c r="K8" s="16" t="str">
        <f>_xlfn.XLOOKUP(A8,dd_design_raw!$C$2:$C$1002,dd_design_raw!$A$2:$A$1002,"",0)</f>
        <v>Fix Slide Door - with Screen</v>
      </c>
      <c r="L8" s="16" t="str">
        <f>_xlfn.XLOOKUP(I8,dd_accsryclr!$A$2:$A$1000,dd_accsryclr!$A$2:$A$1000,"",0)</f>
        <v>BRWN</v>
      </c>
    </row>
    <row r="9" spans="1:12" hidden="1" x14ac:dyDescent="0.25">
      <c r="A9" s="16" t="s">
        <v>76</v>
      </c>
      <c r="B9" s="16" t="s">
        <v>207</v>
      </c>
      <c r="C9" s="16" t="s">
        <v>231</v>
      </c>
      <c r="D9" s="16" t="s">
        <v>232</v>
      </c>
      <c r="E9" s="16">
        <v>2.3324137931034481</v>
      </c>
      <c r="F9" s="16" t="s">
        <v>194</v>
      </c>
      <c r="G9" s="16"/>
      <c r="H9" s="16" t="s">
        <v>233</v>
      </c>
      <c r="I9" s="16" t="s">
        <v>223</v>
      </c>
      <c r="J9" s="16" t="str">
        <f>IF(ISNUMBER(SEARCH("SCRW", H9)), _xlfn.XLOOKUP(C9,dd_item!$A$2:$A$147,dd_item!$B$2:$B$147,"",0),_xlfn.XLOOKUP(H9,dd_item!$A$2:$A$147,dd_item!$B$2:$B$147,"",0))</f>
        <v>Sash92</v>
      </c>
      <c r="K9" s="16" t="str">
        <f>_xlfn.XLOOKUP(A9,dd_design_raw!$C$2:$C$1002,dd_design_raw!$A$2:$A$1002,"",0)</f>
        <v>Fix Slide Door - with Screen</v>
      </c>
      <c r="L9" s="16" t="str">
        <f>_xlfn.XLOOKUP(I9,dd_accsryclr!$A$2:$A$1000,dd_accsryclr!$A$2:$A$1000,"",0)</f>
        <v>BLK</v>
      </c>
    </row>
    <row r="10" spans="1:12" hidden="1" x14ac:dyDescent="0.25">
      <c r="A10" s="16" t="s">
        <v>76</v>
      </c>
      <c r="B10" s="16" t="s">
        <v>207</v>
      </c>
      <c r="C10" s="16" t="s">
        <v>234</v>
      </c>
      <c r="D10" s="16" t="s">
        <v>235</v>
      </c>
      <c r="E10" s="16">
        <v>2.3324137931034481</v>
      </c>
      <c r="F10" s="16" t="s">
        <v>194</v>
      </c>
      <c r="G10" s="16"/>
      <c r="H10" s="16" t="s">
        <v>233</v>
      </c>
      <c r="I10" s="16" t="s">
        <v>211</v>
      </c>
      <c r="J10" s="16" t="str">
        <f>IF(ISNUMBER(SEARCH("SCRW", H10)), _xlfn.XLOOKUP(C10,dd_item!$A$2:$A$147,dd_item!$B$2:$B$147,"",0),_xlfn.XLOOKUP(H10,dd_item!$A$2:$A$147,dd_item!$B$2:$B$147,"",0))</f>
        <v>Sash92</v>
      </c>
      <c r="K10" s="16" t="str">
        <f>_xlfn.XLOOKUP(A10,dd_design_raw!$C$2:$C$1002,dd_design_raw!$A$2:$A$1002,"",0)</f>
        <v>Fix Slide Door - with Screen</v>
      </c>
      <c r="L10" s="16" t="str">
        <f>_xlfn.XLOOKUP(I10,dd_accsryclr!$A$2:$A$1000,dd_accsryclr!$A$2:$A$1000,"",0)</f>
        <v/>
      </c>
    </row>
    <row r="11" spans="1:12" hidden="1" x14ac:dyDescent="0.25">
      <c r="A11" s="16" t="s">
        <v>76</v>
      </c>
      <c r="B11" s="16" t="s">
        <v>207</v>
      </c>
      <c r="C11" s="16" t="s">
        <v>236</v>
      </c>
      <c r="D11" s="16" t="s">
        <v>237</v>
      </c>
      <c r="E11" s="16">
        <v>2.3324137931034481</v>
      </c>
      <c r="F11" s="16" t="s">
        <v>194</v>
      </c>
      <c r="G11" s="16"/>
      <c r="H11" s="16" t="s">
        <v>233</v>
      </c>
      <c r="I11" s="16" t="s">
        <v>214</v>
      </c>
      <c r="J11" s="16" t="str">
        <f>IF(ISNUMBER(SEARCH("SCRW", H11)), _xlfn.XLOOKUP(C11,dd_item!$A$2:$A$147,dd_item!$B$2:$B$147,"",0),_xlfn.XLOOKUP(H11,dd_item!$A$2:$A$147,dd_item!$B$2:$B$147,"",0))</f>
        <v>Sash92</v>
      </c>
      <c r="K11" s="16" t="str">
        <f>_xlfn.XLOOKUP(A11,dd_design_raw!$C$2:$C$1002,dd_design_raw!$A$2:$A$1002,"",0)</f>
        <v>Fix Slide Door - with Screen</v>
      </c>
      <c r="L11" s="16" t="str">
        <f>_xlfn.XLOOKUP(I11,dd_accsryclr!$A$2:$A$1000,dd_accsryclr!$A$2:$A$1000,"",0)</f>
        <v/>
      </c>
    </row>
    <row r="12" spans="1:12" hidden="1" x14ac:dyDescent="0.25">
      <c r="A12" s="16" t="s">
        <v>76</v>
      </c>
      <c r="B12" s="16" t="s">
        <v>207</v>
      </c>
      <c r="C12" s="16" t="s">
        <v>238</v>
      </c>
      <c r="D12" s="16" t="s">
        <v>239</v>
      </c>
      <c r="E12" s="16">
        <v>2.3324137931034481</v>
      </c>
      <c r="F12" s="16" t="s">
        <v>194</v>
      </c>
      <c r="G12" s="16"/>
      <c r="H12" s="16" t="s">
        <v>233</v>
      </c>
      <c r="I12" s="16" t="s">
        <v>217</v>
      </c>
      <c r="J12" s="16" t="str">
        <f>IF(ISNUMBER(SEARCH("SCRW", H12)), _xlfn.XLOOKUP(C12,dd_item!$A$2:$A$147,dd_item!$B$2:$B$147,"",0),_xlfn.XLOOKUP(H12,dd_item!$A$2:$A$147,dd_item!$B$2:$B$147,"",0))</f>
        <v>Sash92</v>
      </c>
      <c r="K12" s="16" t="str">
        <f>_xlfn.XLOOKUP(A12,dd_design_raw!$C$2:$C$1002,dd_design_raw!$A$2:$A$1002,"",0)</f>
        <v>Fix Slide Door - with Screen</v>
      </c>
      <c r="L12" s="16" t="str">
        <f>_xlfn.XLOOKUP(I12,dd_accsryclr!$A$2:$A$1000,dd_accsryclr!$A$2:$A$1000,"",0)</f>
        <v/>
      </c>
    </row>
    <row r="13" spans="1:12" hidden="1" x14ac:dyDescent="0.25">
      <c r="A13" s="16" t="s">
        <v>76</v>
      </c>
      <c r="B13" s="16" t="s">
        <v>207</v>
      </c>
      <c r="C13" s="16" t="s">
        <v>240</v>
      </c>
      <c r="D13" s="16" t="s">
        <v>241</v>
      </c>
      <c r="E13" s="16">
        <v>2.3324137931034481</v>
      </c>
      <c r="F13" s="16" t="s">
        <v>194</v>
      </c>
      <c r="G13" s="16"/>
      <c r="H13" s="16" t="s">
        <v>233</v>
      </c>
      <c r="I13" s="16" t="s">
        <v>226</v>
      </c>
      <c r="J13" s="16" t="str">
        <f>IF(ISNUMBER(SEARCH("SCRW", H13)), _xlfn.XLOOKUP(C13,dd_item!$A$2:$A$147,dd_item!$B$2:$B$147,"",0),_xlfn.XLOOKUP(H13,dd_item!$A$2:$A$147,dd_item!$B$2:$B$147,"",0))</f>
        <v>Sash92</v>
      </c>
      <c r="K13" s="16" t="str">
        <f>_xlfn.XLOOKUP(A13,dd_design_raw!$C$2:$C$1002,dd_design_raw!$A$2:$A$1002,"",0)</f>
        <v>Fix Slide Door - with Screen</v>
      </c>
      <c r="L13" s="16" t="str">
        <f>_xlfn.XLOOKUP(I13,dd_accsryclr!$A$2:$A$1000,dd_accsryclr!$A$2:$A$1000,"",0)</f>
        <v/>
      </c>
    </row>
    <row r="14" spans="1:12" hidden="1" x14ac:dyDescent="0.25">
      <c r="A14" s="16" t="s">
        <v>76</v>
      </c>
      <c r="B14" s="16" t="s">
        <v>207</v>
      </c>
      <c r="C14" s="16" t="s">
        <v>242</v>
      </c>
      <c r="D14" s="16" t="s">
        <v>243</v>
      </c>
      <c r="E14" s="16">
        <v>2.3324137931034481</v>
      </c>
      <c r="F14" s="16" t="s">
        <v>194</v>
      </c>
      <c r="G14" s="16"/>
      <c r="H14" s="16" t="s">
        <v>233</v>
      </c>
      <c r="I14" s="16" t="s">
        <v>220</v>
      </c>
      <c r="J14" s="16" t="str">
        <f>IF(ISNUMBER(SEARCH("SCRW", H14)), _xlfn.XLOOKUP(C14,dd_item!$A$2:$A$147,dd_item!$B$2:$B$147,"",0),_xlfn.XLOOKUP(H14,dd_item!$A$2:$A$147,dd_item!$B$2:$B$147,"",0))</f>
        <v>Sash92</v>
      </c>
      <c r="K14" s="16" t="str">
        <f>_xlfn.XLOOKUP(A14,dd_design_raw!$C$2:$C$1002,dd_design_raw!$A$2:$A$1002,"",0)</f>
        <v>Fix Slide Door - with Screen</v>
      </c>
      <c r="L14" s="16" t="str">
        <f>_xlfn.XLOOKUP(I14,dd_accsryclr!$A$2:$A$1000,dd_accsryclr!$A$2:$A$1000,"",0)</f>
        <v>WHT</v>
      </c>
    </row>
    <row r="15" spans="1:12" hidden="1" x14ac:dyDescent="0.25">
      <c r="A15" s="16" t="s">
        <v>76</v>
      </c>
      <c r="B15" s="16" t="s">
        <v>207</v>
      </c>
      <c r="C15" s="16" t="s">
        <v>244</v>
      </c>
      <c r="D15" s="16" t="s">
        <v>245</v>
      </c>
      <c r="E15" s="16">
        <v>2.3324137931034481</v>
      </c>
      <c r="F15" s="16" t="s">
        <v>194</v>
      </c>
      <c r="G15" s="16"/>
      <c r="H15" s="16" t="s">
        <v>233</v>
      </c>
      <c r="I15" s="16" t="s">
        <v>230</v>
      </c>
      <c r="J15" s="16" t="str">
        <f>IF(ISNUMBER(SEARCH("SCRW", H15)), _xlfn.XLOOKUP(C15,dd_item!$A$2:$A$147,dd_item!$B$2:$B$147,"",0),_xlfn.XLOOKUP(H15,dd_item!$A$2:$A$147,dd_item!$B$2:$B$147,"",0))</f>
        <v>Sash92</v>
      </c>
      <c r="K15" s="16" t="str">
        <f>_xlfn.XLOOKUP(A15,dd_design_raw!$C$2:$C$1002,dd_design_raw!$A$2:$A$1002,"",0)</f>
        <v>Fix Slide Door - with Screen</v>
      </c>
      <c r="L15" s="16" t="str">
        <f>_xlfn.XLOOKUP(I15,dd_accsryclr!$A$2:$A$1000,dd_accsryclr!$A$2:$A$1000,"",0)</f>
        <v>BRWN</v>
      </c>
    </row>
    <row r="16" spans="1:12" hidden="1" x14ac:dyDescent="0.25">
      <c r="A16" s="16" t="s">
        <v>76</v>
      </c>
      <c r="B16" s="16" t="s">
        <v>207</v>
      </c>
      <c r="C16" s="16" t="s">
        <v>246</v>
      </c>
      <c r="D16" s="16" t="s">
        <v>247</v>
      </c>
      <c r="E16" s="16">
        <v>1.1613793103448276</v>
      </c>
      <c r="F16" s="16" t="s">
        <v>194</v>
      </c>
      <c r="G16" s="16"/>
      <c r="H16" s="16" t="s">
        <v>248</v>
      </c>
      <c r="I16" s="16" t="s">
        <v>223</v>
      </c>
      <c r="J16" s="16" t="str">
        <f>IF(ISNUMBER(SEARCH("SCRW", H16)), _xlfn.XLOOKUP(C16,dd_item!$A$2:$A$147,dd_item!$B$2:$B$147,"",0),_xlfn.XLOOKUP(H16,dd_item!$A$2:$A$147,dd_item!$B$2:$B$147,"",0))</f>
        <v>Sash66</v>
      </c>
      <c r="K16" s="16" t="str">
        <f>_xlfn.XLOOKUP(A16,dd_design_raw!$C$2:$C$1002,dd_design_raw!$A$2:$A$1002,"",0)</f>
        <v>Fix Slide Door - with Screen</v>
      </c>
      <c r="L16" s="16" t="str">
        <f>_xlfn.XLOOKUP(I16,dd_accsryclr!$A$2:$A$1000,dd_accsryclr!$A$2:$A$1000,"",0)</f>
        <v>BLK</v>
      </c>
    </row>
    <row r="17" spans="1:12" hidden="1" x14ac:dyDescent="0.25">
      <c r="A17" s="16" t="s">
        <v>76</v>
      </c>
      <c r="B17" s="16" t="s">
        <v>207</v>
      </c>
      <c r="C17" s="16" t="s">
        <v>249</v>
      </c>
      <c r="D17" s="16" t="s">
        <v>250</v>
      </c>
      <c r="E17" s="16">
        <v>1.1613793103448276</v>
      </c>
      <c r="F17" s="16" t="s">
        <v>194</v>
      </c>
      <c r="G17" s="16"/>
      <c r="H17" s="16" t="s">
        <v>248</v>
      </c>
      <c r="I17" s="16" t="s">
        <v>211</v>
      </c>
      <c r="J17" s="16" t="str">
        <f>IF(ISNUMBER(SEARCH("SCRW", H17)), _xlfn.XLOOKUP(C17,dd_item!$A$2:$A$147,dd_item!$B$2:$B$147,"",0),_xlfn.XLOOKUP(H17,dd_item!$A$2:$A$147,dd_item!$B$2:$B$147,"",0))</f>
        <v>Sash66</v>
      </c>
      <c r="K17" s="16" t="str">
        <f>_xlfn.XLOOKUP(A17,dd_design_raw!$C$2:$C$1002,dd_design_raw!$A$2:$A$1002,"",0)</f>
        <v>Fix Slide Door - with Screen</v>
      </c>
      <c r="L17" s="16" t="str">
        <f>_xlfn.XLOOKUP(I17,dd_accsryclr!$A$2:$A$1000,dd_accsryclr!$A$2:$A$1000,"",0)</f>
        <v/>
      </c>
    </row>
    <row r="18" spans="1:12" hidden="1" x14ac:dyDescent="0.25">
      <c r="A18" s="16" t="s">
        <v>76</v>
      </c>
      <c r="B18" s="16" t="s">
        <v>207</v>
      </c>
      <c r="C18" s="16" t="s">
        <v>251</v>
      </c>
      <c r="D18" s="16" t="s">
        <v>252</v>
      </c>
      <c r="E18" s="16">
        <v>1.1613793103448276</v>
      </c>
      <c r="F18" s="16" t="s">
        <v>194</v>
      </c>
      <c r="G18" s="16"/>
      <c r="H18" s="16" t="s">
        <v>248</v>
      </c>
      <c r="I18" s="16" t="s">
        <v>214</v>
      </c>
      <c r="J18" s="16" t="str">
        <f>IF(ISNUMBER(SEARCH("SCRW", H18)), _xlfn.XLOOKUP(C18,dd_item!$A$2:$A$147,dd_item!$B$2:$B$147,"",0),_xlfn.XLOOKUP(H18,dd_item!$A$2:$A$147,dd_item!$B$2:$B$147,"",0))</f>
        <v>Sash66</v>
      </c>
      <c r="K18" s="16" t="str">
        <f>_xlfn.XLOOKUP(A18,dd_design_raw!$C$2:$C$1002,dd_design_raw!$A$2:$A$1002,"",0)</f>
        <v>Fix Slide Door - with Screen</v>
      </c>
      <c r="L18" s="16" t="str">
        <f>_xlfn.XLOOKUP(I18,dd_accsryclr!$A$2:$A$1000,dd_accsryclr!$A$2:$A$1000,"",0)</f>
        <v/>
      </c>
    </row>
    <row r="19" spans="1:12" hidden="1" x14ac:dyDescent="0.25">
      <c r="A19" s="16" t="s">
        <v>76</v>
      </c>
      <c r="B19" s="16" t="s">
        <v>207</v>
      </c>
      <c r="C19" s="16" t="s">
        <v>253</v>
      </c>
      <c r="D19" s="16" t="s">
        <v>254</v>
      </c>
      <c r="E19" s="16">
        <v>1.1613793103448276</v>
      </c>
      <c r="F19" s="16" t="s">
        <v>194</v>
      </c>
      <c r="G19" s="16"/>
      <c r="H19" s="16" t="s">
        <v>248</v>
      </c>
      <c r="I19" s="16" t="s">
        <v>217</v>
      </c>
      <c r="J19" s="16" t="str">
        <f>IF(ISNUMBER(SEARCH("SCRW", H19)), _xlfn.XLOOKUP(C19,dd_item!$A$2:$A$147,dd_item!$B$2:$B$147,"",0),_xlfn.XLOOKUP(H19,dd_item!$A$2:$A$147,dd_item!$B$2:$B$147,"",0))</f>
        <v>Sash66</v>
      </c>
      <c r="K19" s="16" t="str">
        <f>_xlfn.XLOOKUP(A19,dd_design_raw!$C$2:$C$1002,dd_design_raw!$A$2:$A$1002,"",0)</f>
        <v>Fix Slide Door - with Screen</v>
      </c>
      <c r="L19" s="16" t="str">
        <f>_xlfn.XLOOKUP(I19,dd_accsryclr!$A$2:$A$1000,dd_accsryclr!$A$2:$A$1000,"",0)</f>
        <v/>
      </c>
    </row>
    <row r="20" spans="1:12" hidden="1" x14ac:dyDescent="0.25">
      <c r="A20" s="16" t="s">
        <v>76</v>
      </c>
      <c r="B20" s="16" t="s">
        <v>207</v>
      </c>
      <c r="C20" s="16" t="s">
        <v>255</v>
      </c>
      <c r="D20" s="16" t="s">
        <v>256</v>
      </c>
      <c r="E20" s="16">
        <v>1.1613793103448276</v>
      </c>
      <c r="F20" s="16" t="s">
        <v>194</v>
      </c>
      <c r="G20" s="16"/>
      <c r="H20" s="16" t="s">
        <v>248</v>
      </c>
      <c r="I20" s="16" t="s">
        <v>226</v>
      </c>
      <c r="J20" s="16" t="str">
        <f>IF(ISNUMBER(SEARCH("SCRW", H20)), _xlfn.XLOOKUP(C20,dd_item!$A$2:$A$147,dd_item!$B$2:$B$147,"",0),_xlfn.XLOOKUP(H20,dd_item!$A$2:$A$147,dd_item!$B$2:$B$147,"",0))</f>
        <v>Sash66</v>
      </c>
      <c r="K20" s="16" t="str">
        <f>_xlfn.XLOOKUP(A20,dd_design_raw!$C$2:$C$1002,dd_design_raw!$A$2:$A$1002,"",0)</f>
        <v>Fix Slide Door - with Screen</v>
      </c>
      <c r="L20" s="16" t="str">
        <f>_xlfn.XLOOKUP(I20,dd_accsryclr!$A$2:$A$1000,dd_accsryclr!$A$2:$A$1000,"",0)</f>
        <v/>
      </c>
    </row>
    <row r="21" spans="1:12" hidden="1" x14ac:dyDescent="0.25">
      <c r="A21" s="16" t="s">
        <v>76</v>
      </c>
      <c r="B21" s="16" t="s">
        <v>207</v>
      </c>
      <c r="C21" s="16" t="s">
        <v>257</v>
      </c>
      <c r="D21" s="16" t="s">
        <v>258</v>
      </c>
      <c r="E21" s="16">
        <v>1.1613793103448276</v>
      </c>
      <c r="F21" s="16" t="s">
        <v>194</v>
      </c>
      <c r="G21" s="16"/>
      <c r="H21" s="16" t="s">
        <v>248</v>
      </c>
      <c r="I21" s="16" t="s">
        <v>220</v>
      </c>
      <c r="J21" s="16" t="str">
        <f>IF(ISNUMBER(SEARCH("SCRW", H21)), _xlfn.XLOOKUP(C21,dd_item!$A$2:$A$147,dd_item!$B$2:$B$147,"",0),_xlfn.XLOOKUP(H21,dd_item!$A$2:$A$147,dd_item!$B$2:$B$147,"",0))</f>
        <v>Sash66</v>
      </c>
      <c r="K21" s="16" t="str">
        <f>_xlfn.XLOOKUP(A21,dd_design_raw!$C$2:$C$1002,dd_design_raw!$A$2:$A$1002,"",0)</f>
        <v>Fix Slide Door - with Screen</v>
      </c>
      <c r="L21" s="16" t="str">
        <f>_xlfn.XLOOKUP(I21,dd_accsryclr!$A$2:$A$1000,dd_accsryclr!$A$2:$A$1000,"",0)</f>
        <v>WHT</v>
      </c>
    </row>
    <row r="22" spans="1:12" hidden="1" x14ac:dyDescent="0.25">
      <c r="A22" s="16" t="s">
        <v>76</v>
      </c>
      <c r="B22" s="16" t="s">
        <v>207</v>
      </c>
      <c r="C22" s="16" t="s">
        <v>259</v>
      </c>
      <c r="D22" s="16" t="s">
        <v>260</v>
      </c>
      <c r="E22" s="16">
        <v>1.1613793103448276</v>
      </c>
      <c r="F22" s="16" t="s">
        <v>194</v>
      </c>
      <c r="G22" s="16"/>
      <c r="H22" s="16" t="s">
        <v>248</v>
      </c>
      <c r="I22" s="16" t="s">
        <v>230</v>
      </c>
      <c r="J22" s="16" t="str">
        <f>IF(ISNUMBER(SEARCH("SCRW", H22)), _xlfn.XLOOKUP(C22,dd_item!$A$2:$A$147,dd_item!$B$2:$B$147,"",0),_xlfn.XLOOKUP(H22,dd_item!$A$2:$A$147,dd_item!$B$2:$B$147,"",0))</f>
        <v>Sash66</v>
      </c>
      <c r="K22" s="16" t="str">
        <f>_xlfn.XLOOKUP(A22,dd_design_raw!$C$2:$C$1002,dd_design_raw!$A$2:$A$1002,"",0)</f>
        <v>Fix Slide Door - with Screen</v>
      </c>
      <c r="L22" s="16" t="str">
        <f>_xlfn.XLOOKUP(I22,dd_accsryclr!$A$2:$A$1000,dd_accsryclr!$A$2:$A$1000,"",0)</f>
        <v>BRWN</v>
      </c>
    </row>
    <row r="23" spans="1:12" hidden="1" x14ac:dyDescent="0.25">
      <c r="A23" s="16" t="s">
        <v>76</v>
      </c>
      <c r="B23" s="16" t="s">
        <v>207</v>
      </c>
      <c r="C23" s="16" t="s">
        <v>261</v>
      </c>
      <c r="D23" s="16" t="s">
        <v>262</v>
      </c>
      <c r="E23" s="16">
        <v>3.2482758620689656</v>
      </c>
      <c r="F23" s="16" t="s">
        <v>194</v>
      </c>
      <c r="G23" s="16" t="s">
        <v>64</v>
      </c>
      <c r="H23" s="16" t="s">
        <v>263</v>
      </c>
      <c r="I23" s="16" t="s">
        <v>264</v>
      </c>
      <c r="J23" s="16" t="str">
        <f>IF(ISNUMBER(SEARCH("SCRW", H23)), _xlfn.XLOOKUP(C23,dd_item!$A$2:$A$147,dd_item!$B$2:$B$147,"",0),_xlfn.XLOOKUP(H23,dd_item!$A$2:$A$147,dd_item!$B$2:$B$147,"",0))</f>
        <v>Steel-Frame</v>
      </c>
      <c r="K23" s="16" t="str">
        <f>_xlfn.XLOOKUP(A23,dd_design_raw!$C$2:$C$1002,dd_design_raw!$A$2:$A$1002,"",0)</f>
        <v>Fix Slide Door - with Screen</v>
      </c>
      <c r="L23" s="16" t="str">
        <f>_xlfn.XLOOKUP(I23,dd_accsryclr!$A$2:$A$1000,dd_accsryclr!$A$2:$A$1000,"",0)</f>
        <v/>
      </c>
    </row>
    <row r="24" spans="1:12" hidden="1" x14ac:dyDescent="0.25">
      <c r="A24" s="16" t="s">
        <v>76</v>
      </c>
      <c r="B24" s="16" t="s">
        <v>207</v>
      </c>
      <c r="C24" s="16" t="s">
        <v>265</v>
      </c>
      <c r="D24" s="16" t="s">
        <v>266</v>
      </c>
      <c r="E24" s="16">
        <v>4.4096551724137933</v>
      </c>
      <c r="F24" s="16" t="s">
        <v>194</v>
      </c>
      <c r="G24" s="16" t="s">
        <v>60</v>
      </c>
      <c r="H24" s="16" t="s">
        <v>267</v>
      </c>
      <c r="I24" s="16" t="s">
        <v>268</v>
      </c>
      <c r="J24" s="16" t="str">
        <f>IF(ISNUMBER(SEARCH("SCRW", H24)), _xlfn.XLOOKUP(C24,dd_item!$A$2:$A$147,dd_item!$B$2:$B$147,"",0),_xlfn.XLOOKUP(H24,dd_item!$A$2:$A$147,dd_item!$B$2:$B$147,"",0))</f>
        <v>Steel-Sash66</v>
      </c>
      <c r="K24" s="16" t="str">
        <f>_xlfn.XLOOKUP(A24,dd_design_raw!$C$2:$C$1002,dd_design_raw!$A$2:$A$1002,"",0)</f>
        <v>Fix Slide Door - with Screen</v>
      </c>
      <c r="L24" s="16" t="str">
        <f>_xlfn.XLOOKUP(I24,dd_accsryclr!$A$2:$A$1000,dd_accsryclr!$A$2:$A$1000,"",0)</f>
        <v/>
      </c>
    </row>
    <row r="25" spans="1:12" hidden="1" x14ac:dyDescent="0.25">
      <c r="A25" s="16" t="s">
        <v>76</v>
      </c>
      <c r="B25" s="16" t="s">
        <v>207</v>
      </c>
      <c r="C25" s="16" t="s">
        <v>269</v>
      </c>
      <c r="D25" s="16" t="s">
        <v>270</v>
      </c>
      <c r="E25" s="16">
        <v>2.3324137931034481</v>
      </c>
      <c r="F25" s="16" t="s">
        <v>194</v>
      </c>
      <c r="G25" s="16" t="s">
        <v>61</v>
      </c>
      <c r="H25" s="16" t="s">
        <v>271</v>
      </c>
      <c r="I25" s="16" t="s">
        <v>272</v>
      </c>
      <c r="J25" s="16" t="str">
        <f>IF(ISNUMBER(SEARCH("SCRW", H25)), _xlfn.XLOOKUP(C25,dd_item!$A$2:$A$147,dd_item!$B$2:$B$147,"",0),_xlfn.XLOOKUP(H25,dd_item!$A$2:$A$147,dd_item!$B$2:$B$147,"",0))</f>
        <v>Steel-Sash92</v>
      </c>
      <c r="K25" s="16" t="str">
        <f>_xlfn.XLOOKUP(A25,dd_design_raw!$C$2:$C$1002,dd_design_raw!$A$2:$A$1002,"",0)</f>
        <v>Fix Slide Door - with Screen</v>
      </c>
      <c r="L25" s="16" t="str">
        <f>_xlfn.XLOOKUP(I25,dd_accsryclr!$A$2:$A$1000,dd_accsryclr!$A$2:$A$1000,"",0)</f>
        <v/>
      </c>
    </row>
    <row r="26" spans="1:12" hidden="1" x14ac:dyDescent="0.25">
      <c r="A26" s="16" t="s">
        <v>76</v>
      </c>
      <c r="B26" s="16" t="s">
        <v>207</v>
      </c>
      <c r="C26" s="16" t="s">
        <v>273</v>
      </c>
      <c r="D26" s="16" t="s">
        <v>274</v>
      </c>
      <c r="E26" s="16">
        <v>2.3324137931034481</v>
      </c>
      <c r="F26" s="16" t="s">
        <v>194</v>
      </c>
      <c r="G26" s="16" t="s">
        <v>61</v>
      </c>
      <c r="H26" s="16" t="s">
        <v>271</v>
      </c>
      <c r="I26" s="16" t="s">
        <v>275</v>
      </c>
      <c r="J26" s="16" t="str">
        <f>IF(ISNUMBER(SEARCH("SCRW", H26)), _xlfn.XLOOKUP(C26,dd_item!$A$2:$A$147,dd_item!$B$2:$B$147,"",0),_xlfn.XLOOKUP(H26,dd_item!$A$2:$A$147,dd_item!$B$2:$B$147,"",0))</f>
        <v>Steel-Sash92</v>
      </c>
      <c r="K26" s="16" t="str">
        <f>_xlfn.XLOOKUP(A26,dd_design_raw!$C$2:$C$1002,dd_design_raw!$A$2:$A$1002,"",0)</f>
        <v>Fix Slide Door - with Screen</v>
      </c>
      <c r="L26" s="16" t="str">
        <f>_xlfn.XLOOKUP(I26,dd_accsryclr!$A$2:$A$1000,dd_accsryclr!$A$2:$A$1000,"",0)</f>
        <v/>
      </c>
    </row>
    <row r="27" spans="1:12" hidden="1" x14ac:dyDescent="0.25">
      <c r="A27" s="16" t="s">
        <v>76</v>
      </c>
      <c r="B27" s="16" t="s">
        <v>207</v>
      </c>
      <c r="C27" s="16" t="s">
        <v>276</v>
      </c>
      <c r="D27" s="16" t="s">
        <v>277</v>
      </c>
      <c r="E27" s="16">
        <v>2.3324137931034481</v>
      </c>
      <c r="F27" s="16" t="s">
        <v>194</v>
      </c>
      <c r="G27" s="16"/>
      <c r="H27" s="16" t="s">
        <v>278</v>
      </c>
      <c r="I27" s="16" t="s">
        <v>223</v>
      </c>
      <c r="J27" s="16" t="str">
        <f>IF(ISNUMBER(SEARCH("SCRW", H27)), _xlfn.XLOOKUP(C27,dd_item!$A$2:$A$147,dd_item!$B$2:$B$147,"",0),_xlfn.XLOOKUP(H27,dd_item!$A$2:$A$147,dd_item!$B$2:$B$147,"",0))</f>
        <v>Bead25</v>
      </c>
      <c r="K27" s="16" t="str">
        <f>_xlfn.XLOOKUP(A27,dd_design_raw!$C$2:$C$1002,dd_design_raw!$A$2:$A$1002,"",0)</f>
        <v>Fix Slide Door - with Screen</v>
      </c>
      <c r="L27" s="16" t="str">
        <f>_xlfn.XLOOKUP(I27,dd_accsryclr!$A$2:$A$1000,dd_accsryclr!$A$2:$A$1000,"",0)</f>
        <v>BLK</v>
      </c>
    </row>
    <row r="28" spans="1:12" hidden="1" x14ac:dyDescent="0.25">
      <c r="A28" s="16" t="s">
        <v>76</v>
      </c>
      <c r="B28" s="16" t="s">
        <v>207</v>
      </c>
      <c r="C28" s="16" t="s">
        <v>279</v>
      </c>
      <c r="D28" s="16" t="s">
        <v>280</v>
      </c>
      <c r="E28" s="16">
        <v>2.3324137931034481</v>
      </c>
      <c r="F28" s="16" t="s">
        <v>194</v>
      </c>
      <c r="G28" s="16"/>
      <c r="H28" s="16" t="s">
        <v>278</v>
      </c>
      <c r="I28" s="16" t="s">
        <v>211</v>
      </c>
      <c r="J28" s="16" t="str">
        <f>IF(ISNUMBER(SEARCH("SCRW", H28)), _xlfn.XLOOKUP(C28,dd_item!$A$2:$A$147,dd_item!$B$2:$B$147,"",0),_xlfn.XLOOKUP(H28,dd_item!$A$2:$A$147,dd_item!$B$2:$B$147,"",0))</f>
        <v>Bead25</v>
      </c>
      <c r="K28" s="16" t="str">
        <f>_xlfn.XLOOKUP(A28,dd_design_raw!$C$2:$C$1002,dd_design_raw!$A$2:$A$1002,"",0)</f>
        <v>Fix Slide Door - with Screen</v>
      </c>
      <c r="L28" s="16" t="str">
        <f>_xlfn.XLOOKUP(I28,dd_accsryclr!$A$2:$A$1000,dd_accsryclr!$A$2:$A$1000,"",0)</f>
        <v/>
      </c>
    </row>
    <row r="29" spans="1:12" hidden="1" x14ac:dyDescent="0.25">
      <c r="A29" s="16" t="s">
        <v>76</v>
      </c>
      <c r="B29" s="16" t="s">
        <v>207</v>
      </c>
      <c r="C29" s="16" t="s">
        <v>281</v>
      </c>
      <c r="D29" s="16" t="s">
        <v>282</v>
      </c>
      <c r="E29" s="16">
        <v>2.3324137931034481</v>
      </c>
      <c r="F29" s="16" t="s">
        <v>194</v>
      </c>
      <c r="G29" s="16"/>
      <c r="H29" s="16" t="s">
        <v>278</v>
      </c>
      <c r="I29" s="16" t="s">
        <v>214</v>
      </c>
      <c r="J29" s="16" t="str">
        <f>IF(ISNUMBER(SEARCH("SCRW", H29)), _xlfn.XLOOKUP(C29,dd_item!$A$2:$A$147,dd_item!$B$2:$B$147,"",0),_xlfn.XLOOKUP(H29,dd_item!$A$2:$A$147,dd_item!$B$2:$B$147,"",0))</f>
        <v>Bead25</v>
      </c>
      <c r="K29" s="16" t="str">
        <f>_xlfn.XLOOKUP(A29,dd_design_raw!$C$2:$C$1002,dd_design_raw!$A$2:$A$1002,"",0)</f>
        <v>Fix Slide Door - with Screen</v>
      </c>
      <c r="L29" s="16" t="str">
        <f>_xlfn.XLOOKUP(I29,dd_accsryclr!$A$2:$A$1000,dd_accsryclr!$A$2:$A$1000,"",0)</f>
        <v/>
      </c>
    </row>
    <row r="30" spans="1:12" hidden="1" x14ac:dyDescent="0.25">
      <c r="A30" s="16" t="s">
        <v>76</v>
      </c>
      <c r="B30" s="16" t="s">
        <v>207</v>
      </c>
      <c r="C30" s="16" t="s">
        <v>283</v>
      </c>
      <c r="D30" s="16" t="s">
        <v>284</v>
      </c>
      <c r="E30" s="16">
        <v>2.3324137931034481</v>
      </c>
      <c r="F30" s="16" t="s">
        <v>194</v>
      </c>
      <c r="G30" s="16"/>
      <c r="H30" s="16" t="s">
        <v>278</v>
      </c>
      <c r="I30" s="16" t="s">
        <v>217</v>
      </c>
      <c r="J30" s="16" t="str">
        <f>IF(ISNUMBER(SEARCH("SCRW", H30)), _xlfn.XLOOKUP(C30,dd_item!$A$2:$A$147,dd_item!$B$2:$B$147,"",0),_xlfn.XLOOKUP(H30,dd_item!$A$2:$A$147,dd_item!$B$2:$B$147,"",0))</f>
        <v>Bead25</v>
      </c>
      <c r="K30" s="16" t="str">
        <f>_xlfn.XLOOKUP(A30,dd_design_raw!$C$2:$C$1002,dd_design_raw!$A$2:$A$1002,"",0)</f>
        <v>Fix Slide Door - with Screen</v>
      </c>
      <c r="L30" s="16" t="str">
        <f>_xlfn.XLOOKUP(I30,dd_accsryclr!$A$2:$A$1000,dd_accsryclr!$A$2:$A$1000,"",0)</f>
        <v/>
      </c>
    </row>
    <row r="31" spans="1:12" hidden="1" x14ac:dyDescent="0.25">
      <c r="A31" s="16" t="s">
        <v>76</v>
      </c>
      <c r="B31" s="16" t="s">
        <v>207</v>
      </c>
      <c r="C31" s="16" t="s">
        <v>285</v>
      </c>
      <c r="D31" s="16" t="s">
        <v>286</v>
      </c>
      <c r="E31" s="16">
        <v>2.3324137931034481</v>
      </c>
      <c r="F31" s="16" t="s">
        <v>194</v>
      </c>
      <c r="G31" s="16"/>
      <c r="H31" s="16" t="s">
        <v>278</v>
      </c>
      <c r="I31" s="16" t="s">
        <v>226</v>
      </c>
      <c r="J31" s="16" t="str">
        <f>IF(ISNUMBER(SEARCH("SCRW", H31)), _xlfn.XLOOKUP(C31,dd_item!$A$2:$A$147,dd_item!$B$2:$B$147,"",0),_xlfn.XLOOKUP(H31,dd_item!$A$2:$A$147,dd_item!$B$2:$B$147,"",0))</f>
        <v>Bead25</v>
      </c>
      <c r="K31" s="16" t="str">
        <f>_xlfn.XLOOKUP(A31,dd_design_raw!$C$2:$C$1002,dd_design_raw!$A$2:$A$1002,"",0)</f>
        <v>Fix Slide Door - with Screen</v>
      </c>
      <c r="L31" s="16" t="str">
        <f>_xlfn.XLOOKUP(I31,dd_accsryclr!$A$2:$A$1000,dd_accsryclr!$A$2:$A$1000,"",0)</f>
        <v/>
      </c>
    </row>
    <row r="32" spans="1:12" hidden="1" x14ac:dyDescent="0.25">
      <c r="A32" s="16" t="s">
        <v>76</v>
      </c>
      <c r="B32" s="16" t="s">
        <v>207</v>
      </c>
      <c r="C32" s="16" t="s">
        <v>287</v>
      </c>
      <c r="D32" s="16" t="s">
        <v>288</v>
      </c>
      <c r="E32" s="16">
        <v>2.3324137931034481</v>
      </c>
      <c r="F32" s="16" t="s">
        <v>194</v>
      </c>
      <c r="G32" s="16"/>
      <c r="H32" s="16" t="s">
        <v>278</v>
      </c>
      <c r="I32" s="16" t="s">
        <v>220</v>
      </c>
      <c r="J32" s="16" t="str">
        <f>IF(ISNUMBER(SEARCH("SCRW", H32)), _xlfn.XLOOKUP(C32,dd_item!$A$2:$A$147,dd_item!$B$2:$B$147,"",0),_xlfn.XLOOKUP(H32,dd_item!$A$2:$A$147,dd_item!$B$2:$B$147,"",0))</f>
        <v>Bead25</v>
      </c>
      <c r="K32" s="16" t="str">
        <f>_xlfn.XLOOKUP(A32,dd_design_raw!$C$2:$C$1002,dd_design_raw!$A$2:$A$1002,"",0)</f>
        <v>Fix Slide Door - with Screen</v>
      </c>
      <c r="L32" s="16" t="str">
        <f>_xlfn.XLOOKUP(I32,dd_accsryclr!$A$2:$A$1000,dd_accsryclr!$A$2:$A$1000,"",0)</f>
        <v>WHT</v>
      </c>
    </row>
    <row r="33" spans="1:12" hidden="1" x14ac:dyDescent="0.25">
      <c r="A33" s="16" t="s">
        <v>76</v>
      </c>
      <c r="B33" s="16" t="s">
        <v>207</v>
      </c>
      <c r="C33" s="16" t="s">
        <v>289</v>
      </c>
      <c r="D33" s="16" t="s">
        <v>290</v>
      </c>
      <c r="E33" s="16">
        <v>2.3324137931034481</v>
      </c>
      <c r="F33" s="16" t="s">
        <v>194</v>
      </c>
      <c r="G33" s="16"/>
      <c r="H33" s="16" t="s">
        <v>278</v>
      </c>
      <c r="I33" s="16" t="s">
        <v>230</v>
      </c>
      <c r="J33" s="16" t="str">
        <f>IF(ISNUMBER(SEARCH("SCRW", H33)), _xlfn.XLOOKUP(C33,dd_item!$A$2:$A$147,dd_item!$B$2:$B$147,"",0),_xlfn.XLOOKUP(H33,dd_item!$A$2:$A$147,dd_item!$B$2:$B$147,"",0))</f>
        <v>Bead25</v>
      </c>
      <c r="K33" s="16" t="str">
        <f>_xlfn.XLOOKUP(A33,dd_design_raw!$C$2:$C$1002,dd_design_raw!$A$2:$A$1002,"",0)</f>
        <v>Fix Slide Door - with Screen</v>
      </c>
      <c r="L33" s="16" t="str">
        <f>_xlfn.XLOOKUP(I33,dd_accsryclr!$A$2:$A$1000,dd_accsryclr!$A$2:$A$1000,"",0)</f>
        <v>BRWN</v>
      </c>
    </row>
    <row r="34" spans="1:12" hidden="1" x14ac:dyDescent="0.25">
      <c r="A34" s="16" t="s">
        <v>76</v>
      </c>
      <c r="B34" s="16" t="s">
        <v>207</v>
      </c>
      <c r="C34" s="16" t="s">
        <v>291</v>
      </c>
      <c r="D34" s="16" t="s">
        <v>292</v>
      </c>
      <c r="E34" s="16">
        <v>1</v>
      </c>
      <c r="F34" s="16" t="s">
        <v>293</v>
      </c>
      <c r="G34" s="16"/>
      <c r="H34" s="16" t="s">
        <v>294</v>
      </c>
      <c r="I34" s="16" t="s">
        <v>295</v>
      </c>
      <c r="J34" s="16" t="str">
        <f>IF(ISNUMBER(SEARCH("SCRW", H34)), _xlfn.XLOOKUP(C34,dd_item!$A$2:$A$147,dd_item!$B$2:$B$147,"",0),_xlfn.XLOOKUP(H34,dd_item!$A$2:$A$147,dd_item!$B$2:$B$147,"",0))</f>
        <v>SD Kit Handle</v>
      </c>
      <c r="K34" s="16" t="str">
        <f>_xlfn.XLOOKUP(A34,dd_design_raw!$C$2:$C$1002,dd_design_raw!$A$2:$A$1002,"",0)</f>
        <v>Fix Slide Door - with Screen</v>
      </c>
      <c r="L34" s="16" t="str">
        <f>_xlfn.XLOOKUP(I34,dd_accsryclr!$A$2:$A$1000,dd_accsryclr!$A$2:$A$1000,"",0)</f>
        <v/>
      </c>
    </row>
    <row r="35" spans="1:12" hidden="1" x14ac:dyDescent="0.25">
      <c r="A35" s="16" t="s">
        <v>76</v>
      </c>
      <c r="B35" s="16" t="s">
        <v>207</v>
      </c>
      <c r="C35" s="16" t="s">
        <v>296</v>
      </c>
      <c r="D35" s="16" t="s">
        <v>297</v>
      </c>
      <c r="E35" s="16">
        <v>1</v>
      </c>
      <c r="F35" s="16" t="s">
        <v>293</v>
      </c>
      <c r="G35" s="16"/>
      <c r="H35" s="16" t="s">
        <v>294</v>
      </c>
      <c r="I35" s="16" t="s">
        <v>298</v>
      </c>
      <c r="J35" s="16" t="str">
        <f>IF(ISNUMBER(SEARCH("SCRW", H35)), _xlfn.XLOOKUP(C35,dd_item!$A$2:$A$147,dd_item!$B$2:$B$147,"",0),_xlfn.XLOOKUP(H35,dd_item!$A$2:$A$147,dd_item!$B$2:$B$147,"",0))</f>
        <v>SD Kit Handle</v>
      </c>
      <c r="K35" s="16" t="str">
        <f>_xlfn.XLOOKUP(A35,dd_design_raw!$C$2:$C$1002,dd_design_raw!$A$2:$A$1002,"",0)</f>
        <v>Fix Slide Door - with Screen</v>
      </c>
      <c r="L35" s="16" t="str">
        <f>_xlfn.XLOOKUP(I35,dd_accsryclr!$A$2:$A$1000,dd_accsryclr!$A$2:$A$1000,"",0)</f>
        <v/>
      </c>
    </row>
    <row r="36" spans="1:12" hidden="1" x14ac:dyDescent="0.25">
      <c r="A36" s="16" t="s">
        <v>76</v>
      </c>
      <c r="B36" s="16" t="s">
        <v>207</v>
      </c>
      <c r="C36" s="16" t="s">
        <v>299</v>
      </c>
      <c r="D36" s="16" t="s">
        <v>300</v>
      </c>
      <c r="E36" s="16">
        <v>1</v>
      </c>
      <c r="F36" s="16" t="s">
        <v>293</v>
      </c>
      <c r="G36" s="16"/>
      <c r="H36" s="16" t="s">
        <v>294</v>
      </c>
      <c r="I36" s="16" t="s">
        <v>223</v>
      </c>
      <c r="J36" s="16" t="str">
        <f>IF(ISNUMBER(SEARCH("SCRW", H36)), _xlfn.XLOOKUP(C36,dd_item!$A$2:$A$147,dd_item!$B$2:$B$147,"",0),_xlfn.XLOOKUP(H36,dd_item!$A$2:$A$147,dd_item!$B$2:$B$147,"",0))</f>
        <v>SD Kit Handle</v>
      </c>
      <c r="K36" s="16" t="str">
        <f>_xlfn.XLOOKUP(A36,dd_design_raw!$C$2:$C$1002,dd_design_raw!$A$2:$A$1002,"",0)</f>
        <v>Fix Slide Door - with Screen</v>
      </c>
      <c r="L36" s="16" t="str">
        <f>_xlfn.XLOOKUP(I36,dd_accsryclr!$A$2:$A$1000,dd_accsryclr!$A$2:$A$1000,"",0)</f>
        <v>BLK</v>
      </c>
    </row>
    <row r="37" spans="1:12" hidden="1" x14ac:dyDescent="0.25">
      <c r="A37" s="16" t="s">
        <v>76</v>
      </c>
      <c r="B37" s="16" t="s">
        <v>207</v>
      </c>
      <c r="C37" s="16" t="s">
        <v>301</v>
      </c>
      <c r="D37" s="16" t="s">
        <v>302</v>
      </c>
      <c r="E37" s="16">
        <v>1</v>
      </c>
      <c r="F37" s="16" t="s">
        <v>293</v>
      </c>
      <c r="G37" s="16"/>
      <c r="H37" s="16" t="s">
        <v>294</v>
      </c>
      <c r="I37" s="16" t="s">
        <v>220</v>
      </c>
      <c r="J37" s="16" t="str">
        <f>IF(ISNUMBER(SEARCH("SCRW", H37)), _xlfn.XLOOKUP(C37,dd_item!$A$2:$A$147,dd_item!$B$2:$B$147,"",0),_xlfn.XLOOKUP(H37,dd_item!$A$2:$A$147,dd_item!$B$2:$B$147,"",0))</f>
        <v>SD Kit Handle</v>
      </c>
      <c r="K37" s="16" t="str">
        <f>_xlfn.XLOOKUP(A37,dd_design_raw!$C$2:$C$1002,dd_design_raw!$A$2:$A$1002,"",0)</f>
        <v>Fix Slide Door - with Screen</v>
      </c>
      <c r="L37" s="16" t="str">
        <f>_xlfn.XLOOKUP(I37,dd_accsryclr!$A$2:$A$1000,dd_accsryclr!$A$2:$A$1000,"",0)</f>
        <v>WHT</v>
      </c>
    </row>
    <row r="38" spans="1:12" hidden="1" x14ac:dyDescent="0.25">
      <c r="A38" s="16" t="s">
        <v>76</v>
      </c>
      <c r="B38" s="16" t="s">
        <v>207</v>
      </c>
      <c r="C38" s="16" t="s">
        <v>303</v>
      </c>
      <c r="D38" s="16" t="s">
        <v>304</v>
      </c>
      <c r="E38" s="16">
        <v>4</v>
      </c>
      <c r="F38" s="16" t="s">
        <v>293</v>
      </c>
      <c r="G38" s="16"/>
      <c r="H38" s="16" t="s">
        <v>305</v>
      </c>
      <c r="I38" s="16"/>
      <c r="J38" s="16" t="str">
        <f>IF(ISNUMBER(SEARCH("SCRW", H38)), _xlfn.XLOOKUP(C38,dd_item!$A$2:$A$147,dd_item!$B$2:$B$147,"",0),_xlfn.XLOOKUP(H38,dd_item!$A$2:$A$147,dd_item!$B$2:$B$147,"",0))</f>
        <v>Rubber Stopper</v>
      </c>
      <c r="K38" s="16" t="str">
        <f>_xlfn.XLOOKUP(A38,dd_design_raw!$C$2:$C$1002,dd_design_raw!$A$2:$A$1002,"",0)</f>
        <v>Fix Slide Door - with Screen</v>
      </c>
      <c r="L38" s="16">
        <f>_xlfn.XLOOKUP(I38,dd_accsryclr!$A$2:$A$1000,dd_accsryclr!$A$2:$A$1000,"",0)</f>
        <v>0</v>
      </c>
    </row>
    <row r="39" spans="1:12" hidden="1" x14ac:dyDescent="0.25">
      <c r="A39" s="16" t="s">
        <v>76</v>
      </c>
      <c r="B39" s="16" t="s">
        <v>207</v>
      </c>
      <c r="C39" s="16" t="s">
        <v>306</v>
      </c>
      <c r="D39" s="16" t="s">
        <v>307</v>
      </c>
      <c r="E39" s="16">
        <v>2</v>
      </c>
      <c r="F39" s="16" t="s">
        <v>293</v>
      </c>
      <c r="G39" s="16"/>
      <c r="H39" s="16" t="s">
        <v>308</v>
      </c>
      <c r="I39" s="16" t="s">
        <v>230</v>
      </c>
      <c r="J39" s="16" t="str">
        <f>IF(ISNUMBER(SEARCH("SCRW", H39)), _xlfn.XLOOKUP(C39,dd_item!$A$2:$A$147,dd_item!$B$2:$B$147,"",0),_xlfn.XLOOKUP(H39,dd_item!$A$2:$A$147,dd_item!$B$2:$B$147,"",0))</f>
        <v>Track Bridge</v>
      </c>
      <c r="K39" s="16" t="str">
        <f>_xlfn.XLOOKUP(A39,dd_design_raw!$C$2:$C$1002,dd_design_raw!$A$2:$A$1002,"",0)</f>
        <v>Fix Slide Door - with Screen</v>
      </c>
      <c r="L39" s="16" t="str">
        <f>_xlfn.XLOOKUP(I39,dd_accsryclr!$A$2:$A$1000,dd_accsryclr!$A$2:$A$1000,"",0)</f>
        <v>BRWN</v>
      </c>
    </row>
    <row r="40" spans="1:12" hidden="1" x14ac:dyDescent="0.25">
      <c r="A40" s="16" t="s">
        <v>76</v>
      </c>
      <c r="B40" s="16" t="s">
        <v>207</v>
      </c>
      <c r="C40" s="16" t="s">
        <v>309</v>
      </c>
      <c r="D40" s="16" t="s">
        <v>310</v>
      </c>
      <c r="E40" s="16">
        <v>2</v>
      </c>
      <c r="F40" s="16" t="s">
        <v>293</v>
      </c>
      <c r="G40" s="16"/>
      <c r="H40" s="16" t="s">
        <v>308</v>
      </c>
      <c r="I40" s="16" t="s">
        <v>220</v>
      </c>
      <c r="J40" s="16" t="str">
        <f>IF(ISNUMBER(SEARCH("SCRW", H40)), _xlfn.XLOOKUP(C40,dd_item!$A$2:$A$147,dd_item!$B$2:$B$147,"",0),_xlfn.XLOOKUP(H40,dd_item!$A$2:$A$147,dd_item!$B$2:$B$147,"",0))</f>
        <v>Track Bridge</v>
      </c>
      <c r="K40" s="16" t="str">
        <f>_xlfn.XLOOKUP(A40,dd_design_raw!$C$2:$C$1002,dd_design_raw!$A$2:$A$1002,"",0)</f>
        <v>Fix Slide Door - with Screen</v>
      </c>
      <c r="L40" s="16" t="str">
        <f>_xlfn.XLOOKUP(I40,dd_accsryclr!$A$2:$A$1000,dd_accsryclr!$A$2:$A$1000,"",0)</f>
        <v>WHT</v>
      </c>
    </row>
    <row r="41" spans="1:12" hidden="1" x14ac:dyDescent="0.25">
      <c r="A41" s="16" t="s">
        <v>76</v>
      </c>
      <c r="B41" s="16" t="s">
        <v>207</v>
      </c>
      <c r="C41" s="16" t="s">
        <v>311</v>
      </c>
      <c r="D41" s="16" t="s">
        <v>312</v>
      </c>
      <c r="E41" s="16">
        <v>2</v>
      </c>
      <c r="F41" s="16" t="s">
        <v>293</v>
      </c>
      <c r="G41" s="16"/>
      <c r="H41" s="16" t="s">
        <v>313</v>
      </c>
      <c r="I41" s="16"/>
      <c r="J41" s="16" t="str">
        <f>IF(ISNUMBER(SEARCH("SCRW", H41)), _xlfn.XLOOKUP(C41,dd_item!$A$2:$A$147,dd_item!$B$2:$B$147,"",0),_xlfn.XLOOKUP(H41,dd_item!$A$2:$A$147,dd_item!$B$2:$B$147,"",0))</f>
        <v>Roller for Door</v>
      </c>
      <c r="K41" s="16" t="str">
        <f>_xlfn.XLOOKUP(A41,dd_design_raw!$C$2:$C$1002,dd_design_raw!$A$2:$A$1002,"",0)</f>
        <v>Fix Slide Door - with Screen</v>
      </c>
      <c r="L41" s="16" t="str">
        <f>_xlfn.XLOOKUP(I41,dd_accsryclr!$A$2:$A$1000,dd_accsryclr!$A$2:$A$1000,"",0)</f>
        <v/>
      </c>
    </row>
    <row r="42" spans="1:12" hidden="1" x14ac:dyDescent="0.25">
      <c r="A42" s="16" t="s">
        <v>76</v>
      </c>
      <c r="B42" s="16" t="s">
        <v>207</v>
      </c>
      <c r="C42" s="16" t="s">
        <v>314</v>
      </c>
      <c r="D42" s="16" t="s">
        <v>315</v>
      </c>
      <c r="E42" s="16">
        <v>2</v>
      </c>
      <c r="F42" s="16" t="s">
        <v>293</v>
      </c>
      <c r="G42" s="16"/>
      <c r="H42" s="16" t="s">
        <v>313</v>
      </c>
      <c r="I42" s="16"/>
      <c r="J42" s="16" t="str">
        <f>IF(ISNUMBER(SEARCH("SCRW", H42)), _xlfn.XLOOKUP(C42,dd_item!$A$2:$A$147,dd_item!$B$2:$B$147,"",0),_xlfn.XLOOKUP(H42,dd_item!$A$2:$A$147,dd_item!$B$2:$B$147,"",0))</f>
        <v>Roller for Door</v>
      </c>
      <c r="K42" s="16" t="str">
        <f>_xlfn.XLOOKUP(A42,dd_design_raw!$C$2:$C$1002,dd_design_raw!$A$2:$A$1002,"",0)</f>
        <v>Fix Slide Door - with Screen</v>
      </c>
      <c r="L42" s="16" t="str">
        <f>_xlfn.XLOOKUP(I42,dd_accsryclr!$A$2:$A$1000,dd_accsryclr!$A$2:$A$1000,"",0)</f>
        <v/>
      </c>
    </row>
    <row r="43" spans="1:12" hidden="1" x14ac:dyDescent="0.25">
      <c r="A43" s="16" t="s">
        <v>76</v>
      </c>
      <c r="B43" s="16" t="s">
        <v>207</v>
      </c>
      <c r="C43" s="16" t="s">
        <v>316</v>
      </c>
      <c r="D43" s="16" t="s">
        <v>317</v>
      </c>
      <c r="E43" s="16">
        <v>2</v>
      </c>
      <c r="F43" s="16" t="s">
        <v>293</v>
      </c>
      <c r="G43" s="16"/>
      <c r="H43" s="16" t="s">
        <v>318</v>
      </c>
      <c r="I43" s="16"/>
      <c r="J43" s="16" t="str">
        <f>IF(ISNUMBER(SEARCH("SCRW", H43)), _xlfn.XLOOKUP(C43,dd_item!$A$2:$A$147,dd_item!$B$2:$B$147,"",0),_xlfn.XLOOKUP(H43,dd_item!$A$2:$A$147,dd_item!$B$2:$B$147,"",0))</f>
        <v>Roller for Screen Door</v>
      </c>
      <c r="K43" s="16" t="str">
        <f>_xlfn.XLOOKUP(A43,dd_design_raw!$C$2:$C$1002,dd_design_raw!$A$2:$A$1002,"",0)</f>
        <v>Fix Slide Door - with Screen</v>
      </c>
      <c r="L43" s="16" t="str">
        <f>_xlfn.XLOOKUP(I43,dd_accsryclr!$A$2:$A$1000,dd_accsryclr!$A$2:$A$1000,"",0)</f>
        <v/>
      </c>
    </row>
    <row r="44" spans="1:12" hidden="1" x14ac:dyDescent="0.25">
      <c r="A44" s="16" t="s">
        <v>76</v>
      </c>
      <c r="B44" s="16" t="s">
        <v>207</v>
      </c>
      <c r="C44" s="16" t="s">
        <v>319</v>
      </c>
      <c r="D44" s="16" t="s">
        <v>320</v>
      </c>
      <c r="E44" s="16">
        <v>1.1613793103448276</v>
      </c>
      <c r="F44" s="16" t="s">
        <v>194</v>
      </c>
      <c r="G44" s="16"/>
      <c r="H44" s="16" t="s">
        <v>321</v>
      </c>
      <c r="I44" s="16" t="s">
        <v>211</v>
      </c>
      <c r="J44" s="16" t="str">
        <f>IF(ISNUMBER(SEARCH("SCRW", H44)), _xlfn.XLOOKUP(C44,dd_item!$A$2:$A$147,dd_item!$B$2:$B$147,"",0),_xlfn.XLOOKUP(H44,dd_item!$A$2:$A$147,dd_item!$B$2:$B$147,"",0))</f>
        <v>Interlocker45</v>
      </c>
      <c r="K44" s="16" t="str">
        <f>_xlfn.XLOOKUP(A44,dd_design_raw!$C$2:$C$1002,dd_design_raw!$A$2:$A$1002,"",0)</f>
        <v>Fix Slide Door - with Screen</v>
      </c>
      <c r="L44" s="16" t="str">
        <f>_xlfn.XLOOKUP(I44,dd_accsryclr!$A$2:$A$1000,dd_accsryclr!$A$2:$A$1000,"",0)</f>
        <v/>
      </c>
    </row>
    <row r="45" spans="1:12" hidden="1" x14ac:dyDescent="0.25">
      <c r="A45" s="16" t="s">
        <v>76</v>
      </c>
      <c r="B45" s="16" t="s">
        <v>207</v>
      </c>
      <c r="C45" s="16" t="s">
        <v>322</v>
      </c>
      <c r="D45" s="16" t="s">
        <v>323</v>
      </c>
      <c r="E45" s="16">
        <v>1.1613793103448276</v>
      </c>
      <c r="F45" s="16" t="s">
        <v>194</v>
      </c>
      <c r="G45" s="16"/>
      <c r="H45" s="16" t="s">
        <v>321</v>
      </c>
      <c r="I45" s="16" t="s">
        <v>214</v>
      </c>
      <c r="J45" s="16" t="str">
        <f>IF(ISNUMBER(SEARCH("SCRW", H45)), _xlfn.XLOOKUP(C45,dd_item!$A$2:$A$147,dd_item!$B$2:$B$147,"",0),_xlfn.XLOOKUP(H45,dd_item!$A$2:$A$147,dd_item!$B$2:$B$147,"",0))</f>
        <v>Interlocker45</v>
      </c>
      <c r="K45" s="16" t="str">
        <f>_xlfn.XLOOKUP(A45,dd_design_raw!$C$2:$C$1002,dd_design_raw!$A$2:$A$1002,"",0)</f>
        <v>Fix Slide Door - with Screen</v>
      </c>
      <c r="L45" s="16" t="str">
        <f>_xlfn.XLOOKUP(I45,dd_accsryclr!$A$2:$A$1000,dd_accsryclr!$A$2:$A$1000,"",0)</f>
        <v/>
      </c>
    </row>
    <row r="46" spans="1:12" hidden="1" x14ac:dyDescent="0.25">
      <c r="A46" s="16" t="s">
        <v>76</v>
      </c>
      <c r="B46" s="16" t="s">
        <v>207</v>
      </c>
      <c r="C46" s="16" t="s">
        <v>324</v>
      </c>
      <c r="D46" s="16" t="s">
        <v>325</v>
      </c>
      <c r="E46" s="16">
        <v>1.1613793103448276</v>
      </c>
      <c r="F46" s="16" t="s">
        <v>194</v>
      </c>
      <c r="G46" s="16"/>
      <c r="H46" s="16" t="s">
        <v>321</v>
      </c>
      <c r="I46" s="16" t="s">
        <v>217</v>
      </c>
      <c r="J46" s="16" t="str">
        <f>IF(ISNUMBER(SEARCH("SCRW", H46)), _xlfn.XLOOKUP(C46,dd_item!$A$2:$A$147,dd_item!$B$2:$B$147,"",0),_xlfn.XLOOKUP(H46,dd_item!$A$2:$A$147,dd_item!$B$2:$B$147,"",0))</f>
        <v>Interlocker45</v>
      </c>
      <c r="K46" s="16" t="str">
        <f>_xlfn.XLOOKUP(A46,dd_design_raw!$C$2:$C$1002,dd_design_raw!$A$2:$A$1002,"",0)</f>
        <v>Fix Slide Door - with Screen</v>
      </c>
      <c r="L46" s="16" t="str">
        <f>_xlfn.XLOOKUP(I46,dd_accsryclr!$A$2:$A$1000,dd_accsryclr!$A$2:$A$1000,"",0)</f>
        <v/>
      </c>
    </row>
    <row r="47" spans="1:12" hidden="1" x14ac:dyDescent="0.25">
      <c r="A47" s="16" t="s">
        <v>76</v>
      </c>
      <c r="B47" s="16" t="s">
        <v>207</v>
      </c>
      <c r="C47" s="16" t="s">
        <v>326</v>
      </c>
      <c r="D47" s="16" t="s">
        <v>327</v>
      </c>
      <c r="E47" s="16">
        <v>1.1613793103448276</v>
      </c>
      <c r="F47" s="16" t="s">
        <v>194</v>
      </c>
      <c r="G47" s="16"/>
      <c r="H47" s="16" t="s">
        <v>321</v>
      </c>
      <c r="I47" s="16" t="s">
        <v>226</v>
      </c>
      <c r="J47" s="16" t="str">
        <f>IF(ISNUMBER(SEARCH("SCRW", H47)), _xlfn.XLOOKUP(C47,dd_item!$A$2:$A$147,dd_item!$B$2:$B$147,"",0),_xlfn.XLOOKUP(H47,dd_item!$A$2:$A$147,dd_item!$B$2:$B$147,"",0))</f>
        <v>Interlocker45</v>
      </c>
      <c r="K47" s="16" t="str">
        <f>_xlfn.XLOOKUP(A47,dd_design_raw!$C$2:$C$1002,dd_design_raw!$A$2:$A$1002,"",0)</f>
        <v>Fix Slide Door - with Screen</v>
      </c>
      <c r="L47" s="16" t="str">
        <f>_xlfn.XLOOKUP(I47,dd_accsryclr!$A$2:$A$1000,dd_accsryclr!$A$2:$A$1000,"",0)</f>
        <v/>
      </c>
    </row>
    <row r="48" spans="1:12" hidden="1" x14ac:dyDescent="0.25">
      <c r="A48" s="16" t="s">
        <v>76</v>
      </c>
      <c r="B48" s="16" t="s">
        <v>207</v>
      </c>
      <c r="C48" s="16" t="s">
        <v>328</v>
      </c>
      <c r="D48" s="16" t="s">
        <v>329</v>
      </c>
      <c r="E48" s="16">
        <v>1.1613793103448276</v>
      </c>
      <c r="F48" s="16" t="s">
        <v>194</v>
      </c>
      <c r="G48" s="16"/>
      <c r="H48" s="16" t="s">
        <v>321</v>
      </c>
      <c r="I48" s="16" t="s">
        <v>220</v>
      </c>
      <c r="J48" s="16" t="str">
        <f>IF(ISNUMBER(SEARCH("SCRW", H48)), _xlfn.XLOOKUP(C48,dd_item!$A$2:$A$147,dd_item!$B$2:$B$147,"",0),_xlfn.XLOOKUP(H48,dd_item!$A$2:$A$147,dd_item!$B$2:$B$147,"",0))</f>
        <v>Interlocker45</v>
      </c>
      <c r="K48" s="16" t="str">
        <f>_xlfn.XLOOKUP(A48,dd_design_raw!$C$2:$C$1002,dd_design_raw!$A$2:$A$1002,"",0)</f>
        <v>Fix Slide Door - with Screen</v>
      </c>
      <c r="L48" s="16" t="str">
        <f>_xlfn.XLOOKUP(I48,dd_accsryclr!$A$2:$A$1000,dd_accsryclr!$A$2:$A$1000,"",0)</f>
        <v>WHT</v>
      </c>
    </row>
    <row r="49" spans="1:12" hidden="1" x14ac:dyDescent="0.25">
      <c r="A49" s="16" t="s">
        <v>76</v>
      </c>
      <c r="B49" s="16" t="s">
        <v>207</v>
      </c>
      <c r="C49" s="16" t="s">
        <v>330</v>
      </c>
      <c r="D49" s="16" t="s">
        <v>331</v>
      </c>
      <c r="E49" s="16">
        <v>1.1613793103448276</v>
      </c>
      <c r="F49" s="16" t="s">
        <v>194</v>
      </c>
      <c r="G49" s="16"/>
      <c r="H49" s="16" t="s">
        <v>321</v>
      </c>
      <c r="I49" s="16" t="s">
        <v>223</v>
      </c>
      <c r="J49" s="16" t="str">
        <f>IF(ISNUMBER(SEARCH("SCRW", H49)), _xlfn.XLOOKUP(C49,dd_item!$A$2:$A$147,dd_item!$B$2:$B$147,"",0),_xlfn.XLOOKUP(H49,dd_item!$A$2:$A$147,dd_item!$B$2:$B$147,"",0))</f>
        <v>Interlocker45</v>
      </c>
      <c r="K49" s="16" t="str">
        <f>_xlfn.XLOOKUP(A49,dd_design_raw!$C$2:$C$1002,dd_design_raw!$A$2:$A$1002,"",0)</f>
        <v>Fix Slide Door - with Screen</v>
      </c>
      <c r="L49" s="16" t="str">
        <f>_xlfn.XLOOKUP(I49,dd_accsryclr!$A$2:$A$1000,dd_accsryclr!$A$2:$A$1000,"",0)</f>
        <v>BLK</v>
      </c>
    </row>
    <row r="50" spans="1:12" hidden="1" x14ac:dyDescent="0.25">
      <c r="A50" s="16" t="s">
        <v>76</v>
      </c>
      <c r="B50" s="16" t="s">
        <v>207</v>
      </c>
      <c r="C50" s="16" t="s">
        <v>332</v>
      </c>
      <c r="D50" s="16" t="s">
        <v>333</v>
      </c>
      <c r="E50" s="16">
        <v>1.1613793103448276</v>
      </c>
      <c r="F50" s="16" t="s">
        <v>194</v>
      </c>
      <c r="G50" s="16"/>
      <c r="H50" s="16" t="s">
        <v>321</v>
      </c>
      <c r="I50" s="16" t="s">
        <v>230</v>
      </c>
      <c r="J50" s="16" t="str">
        <f>IF(ISNUMBER(SEARCH("SCRW", H50)), _xlfn.XLOOKUP(C50,dd_item!$A$2:$A$147,dd_item!$B$2:$B$147,"",0),_xlfn.XLOOKUP(H50,dd_item!$A$2:$A$147,dd_item!$B$2:$B$147,"",0))</f>
        <v>Interlocker45</v>
      </c>
      <c r="K50" s="16" t="str">
        <f>_xlfn.XLOOKUP(A50,dd_design_raw!$C$2:$C$1002,dd_design_raw!$A$2:$A$1002,"",0)</f>
        <v>Fix Slide Door - with Screen</v>
      </c>
      <c r="L50" s="16" t="str">
        <f>_xlfn.XLOOKUP(I50,dd_accsryclr!$A$2:$A$1000,dd_accsryclr!$A$2:$A$1000,"",0)</f>
        <v>BRWN</v>
      </c>
    </row>
    <row r="51" spans="1:12" hidden="1" x14ac:dyDescent="0.25">
      <c r="A51" s="16" t="s">
        <v>76</v>
      </c>
      <c r="B51" s="16" t="s">
        <v>207</v>
      </c>
      <c r="C51" s="16" t="s">
        <v>334</v>
      </c>
      <c r="D51" s="16" t="s">
        <v>335</v>
      </c>
      <c r="E51" s="16">
        <v>0.88</v>
      </c>
      <c r="F51" s="16" t="s">
        <v>194</v>
      </c>
      <c r="G51" s="16"/>
      <c r="H51" s="16" t="s">
        <v>336</v>
      </c>
      <c r="I51" s="16" t="s">
        <v>211</v>
      </c>
      <c r="J51" s="16" t="str">
        <f>IF(ISNUMBER(SEARCH("SCRW", H51)), _xlfn.XLOOKUP(C51,dd_item!$A$2:$A$147,dd_item!$B$2:$B$147,"",0),_xlfn.XLOOKUP(H51,dd_item!$A$2:$A$147,dd_item!$B$2:$B$147,"",0))</f>
        <v>Interlocker50</v>
      </c>
      <c r="K51" s="16" t="str">
        <f>_xlfn.XLOOKUP(A51,dd_design_raw!$C$2:$C$1002,dd_design_raw!$A$2:$A$1002,"",0)</f>
        <v>Fix Slide Door - with Screen</v>
      </c>
      <c r="L51" s="16" t="str">
        <f>_xlfn.XLOOKUP(I51,dd_accsryclr!$A$2:$A$1000,dd_accsryclr!$A$2:$A$1000,"",0)</f>
        <v/>
      </c>
    </row>
    <row r="52" spans="1:12" hidden="1" x14ac:dyDescent="0.25">
      <c r="A52" s="16" t="s">
        <v>76</v>
      </c>
      <c r="B52" s="16" t="s">
        <v>207</v>
      </c>
      <c r="C52" s="16" t="s">
        <v>337</v>
      </c>
      <c r="D52" s="16" t="s">
        <v>338</v>
      </c>
      <c r="E52" s="16">
        <v>0.88</v>
      </c>
      <c r="F52" s="16" t="s">
        <v>194</v>
      </c>
      <c r="G52" s="16"/>
      <c r="H52" s="16" t="s">
        <v>336</v>
      </c>
      <c r="I52" s="16" t="s">
        <v>214</v>
      </c>
      <c r="J52" s="16" t="str">
        <f>IF(ISNUMBER(SEARCH("SCRW", H52)), _xlfn.XLOOKUP(C52,dd_item!$A$2:$A$147,dd_item!$B$2:$B$147,"",0),_xlfn.XLOOKUP(H52,dd_item!$A$2:$A$147,dd_item!$B$2:$B$147,"",0))</f>
        <v>Interlocker50</v>
      </c>
      <c r="K52" s="16" t="str">
        <f>_xlfn.XLOOKUP(A52,dd_design_raw!$C$2:$C$1002,dd_design_raw!$A$2:$A$1002,"",0)</f>
        <v>Fix Slide Door - with Screen</v>
      </c>
      <c r="L52" s="16" t="str">
        <f>_xlfn.XLOOKUP(I52,dd_accsryclr!$A$2:$A$1000,dd_accsryclr!$A$2:$A$1000,"",0)</f>
        <v/>
      </c>
    </row>
    <row r="53" spans="1:12" hidden="1" x14ac:dyDescent="0.25">
      <c r="A53" s="16" t="s">
        <v>76</v>
      </c>
      <c r="B53" s="16" t="s">
        <v>207</v>
      </c>
      <c r="C53" s="16" t="s">
        <v>339</v>
      </c>
      <c r="D53" s="16" t="s">
        <v>340</v>
      </c>
      <c r="E53" s="16">
        <v>0.88</v>
      </c>
      <c r="F53" s="16" t="s">
        <v>194</v>
      </c>
      <c r="G53" s="16"/>
      <c r="H53" s="16" t="s">
        <v>336</v>
      </c>
      <c r="I53" s="16" t="s">
        <v>217</v>
      </c>
      <c r="J53" s="16" t="str">
        <f>IF(ISNUMBER(SEARCH("SCRW", H53)), _xlfn.XLOOKUP(C53,dd_item!$A$2:$A$147,dd_item!$B$2:$B$147,"",0),_xlfn.XLOOKUP(H53,dd_item!$A$2:$A$147,dd_item!$B$2:$B$147,"",0))</f>
        <v>Interlocker50</v>
      </c>
      <c r="K53" s="16" t="str">
        <f>_xlfn.XLOOKUP(A53,dd_design_raw!$C$2:$C$1002,dd_design_raw!$A$2:$A$1002,"",0)</f>
        <v>Fix Slide Door - with Screen</v>
      </c>
      <c r="L53" s="16" t="str">
        <f>_xlfn.XLOOKUP(I53,dd_accsryclr!$A$2:$A$1000,dd_accsryclr!$A$2:$A$1000,"",0)</f>
        <v/>
      </c>
    </row>
    <row r="54" spans="1:12" hidden="1" x14ac:dyDescent="0.25">
      <c r="A54" s="16" t="s">
        <v>76</v>
      </c>
      <c r="B54" s="16" t="s">
        <v>207</v>
      </c>
      <c r="C54" s="16" t="s">
        <v>341</v>
      </c>
      <c r="D54" s="16" t="s">
        <v>342</v>
      </c>
      <c r="E54" s="16">
        <v>0.88</v>
      </c>
      <c r="F54" s="16" t="s">
        <v>194</v>
      </c>
      <c r="G54" s="16"/>
      <c r="H54" s="16" t="s">
        <v>336</v>
      </c>
      <c r="I54" s="16" t="s">
        <v>226</v>
      </c>
      <c r="J54" s="16" t="str">
        <f>IF(ISNUMBER(SEARCH("SCRW", H54)), _xlfn.XLOOKUP(C54,dd_item!$A$2:$A$147,dd_item!$B$2:$B$147,"",0),_xlfn.XLOOKUP(H54,dd_item!$A$2:$A$147,dd_item!$B$2:$B$147,"",0))</f>
        <v>Interlocker50</v>
      </c>
      <c r="K54" s="16" t="str">
        <f>_xlfn.XLOOKUP(A54,dd_design_raw!$C$2:$C$1002,dd_design_raw!$A$2:$A$1002,"",0)</f>
        <v>Fix Slide Door - with Screen</v>
      </c>
      <c r="L54" s="16" t="str">
        <f>_xlfn.XLOOKUP(I54,dd_accsryclr!$A$2:$A$1000,dd_accsryclr!$A$2:$A$1000,"",0)</f>
        <v/>
      </c>
    </row>
    <row r="55" spans="1:12" hidden="1" x14ac:dyDescent="0.25">
      <c r="A55" s="16" t="s">
        <v>76</v>
      </c>
      <c r="B55" s="16" t="s">
        <v>207</v>
      </c>
      <c r="C55" s="16" t="s">
        <v>343</v>
      </c>
      <c r="D55" s="16" t="s">
        <v>344</v>
      </c>
      <c r="E55" s="16">
        <v>0.88</v>
      </c>
      <c r="F55" s="16" t="s">
        <v>194</v>
      </c>
      <c r="G55" s="16"/>
      <c r="H55" s="16" t="s">
        <v>336</v>
      </c>
      <c r="I55" s="16" t="s">
        <v>220</v>
      </c>
      <c r="J55" s="16" t="str">
        <f>IF(ISNUMBER(SEARCH("SCRW", H55)), _xlfn.XLOOKUP(C55,dd_item!$A$2:$A$147,dd_item!$B$2:$B$147,"",0),_xlfn.XLOOKUP(H55,dd_item!$A$2:$A$147,dd_item!$B$2:$B$147,"",0))</f>
        <v>Interlocker50</v>
      </c>
      <c r="K55" s="16" t="str">
        <f>_xlfn.XLOOKUP(A55,dd_design_raw!$C$2:$C$1002,dd_design_raw!$A$2:$A$1002,"",0)</f>
        <v>Fix Slide Door - with Screen</v>
      </c>
      <c r="L55" s="16" t="str">
        <f>_xlfn.XLOOKUP(I55,dd_accsryclr!$A$2:$A$1000,dd_accsryclr!$A$2:$A$1000,"",0)</f>
        <v>WHT</v>
      </c>
    </row>
    <row r="56" spans="1:12" hidden="1" x14ac:dyDescent="0.25">
      <c r="A56" s="16" t="s">
        <v>76</v>
      </c>
      <c r="B56" s="16" t="s">
        <v>207</v>
      </c>
      <c r="C56" s="16" t="s">
        <v>345</v>
      </c>
      <c r="D56" s="16" t="s">
        <v>346</v>
      </c>
      <c r="E56" s="16">
        <v>0.88</v>
      </c>
      <c r="F56" s="16" t="s">
        <v>194</v>
      </c>
      <c r="G56" s="16"/>
      <c r="H56" s="16" t="s">
        <v>336</v>
      </c>
      <c r="I56" s="16" t="s">
        <v>223</v>
      </c>
      <c r="J56" s="16" t="str">
        <f>IF(ISNUMBER(SEARCH("SCRW", H56)), _xlfn.XLOOKUP(C56,dd_item!$A$2:$A$147,dd_item!$B$2:$B$147,"",0),_xlfn.XLOOKUP(H56,dd_item!$A$2:$A$147,dd_item!$B$2:$B$147,"",0))</f>
        <v>Interlocker50</v>
      </c>
      <c r="K56" s="16" t="str">
        <f>_xlfn.XLOOKUP(A56,dd_design_raw!$C$2:$C$1002,dd_design_raw!$A$2:$A$1002,"",0)</f>
        <v>Fix Slide Door - with Screen</v>
      </c>
      <c r="L56" s="16" t="str">
        <f>_xlfn.XLOOKUP(I56,dd_accsryclr!$A$2:$A$1000,dd_accsryclr!$A$2:$A$1000,"",0)</f>
        <v>BLK</v>
      </c>
    </row>
    <row r="57" spans="1:12" hidden="1" x14ac:dyDescent="0.25">
      <c r="A57" s="16" t="s">
        <v>76</v>
      </c>
      <c r="B57" s="16" t="s">
        <v>207</v>
      </c>
      <c r="C57" s="16" t="s">
        <v>347</v>
      </c>
      <c r="D57" s="16" t="s">
        <v>348</v>
      </c>
      <c r="E57" s="16">
        <v>0.88</v>
      </c>
      <c r="F57" s="16" t="s">
        <v>194</v>
      </c>
      <c r="G57" s="16"/>
      <c r="H57" s="16" t="s">
        <v>336</v>
      </c>
      <c r="I57" s="16" t="s">
        <v>230</v>
      </c>
      <c r="J57" s="16" t="str">
        <f>IF(ISNUMBER(SEARCH("SCRW", H57)), _xlfn.XLOOKUP(C57,dd_item!$A$2:$A$147,dd_item!$B$2:$B$147,"",0),_xlfn.XLOOKUP(H57,dd_item!$A$2:$A$147,dd_item!$B$2:$B$147,"",0))</f>
        <v>Interlocker50</v>
      </c>
      <c r="K57" s="16" t="str">
        <f>_xlfn.XLOOKUP(A57,dd_design_raw!$C$2:$C$1002,dd_design_raw!$A$2:$A$1002,"",0)</f>
        <v>Fix Slide Door - with Screen</v>
      </c>
      <c r="L57" s="16" t="str">
        <f>_xlfn.XLOOKUP(I57,dd_accsryclr!$A$2:$A$1000,dd_accsryclr!$A$2:$A$1000,"",0)</f>
        <v>BRWN</v>
      </c>
    </row>
    <row r="58" spans="1:12" hidden="1" x14ac:dyDescent="0.25">
      <c r="A58" s="16" t="s">
        <v>76</v>
      </c>
      <c r="B58" s="16" t="s">
        <v>207</v>
      </c>
      <c r="C58" s="16" t="s">
        <v>349</v>
      </c>
      <c r="D58" s="16" t="s">
        <v>350</v>
      </c>
      <c r="E58" s="16">
        <v>1.1613793103448276</v>
      </c>
      <c r="F58" s="16" t="s">
        <v>194</v>
      </c>
      <c r="G58" s="16"/>
      <c r="H58" s="16" t="s">
        <v>351</v>
      </c>
      <c r="I58" s="16" t="s">
        <v>211</v>
      </c>
      <c r="J58" s="16" t="str">
        <f>IF(ISNUMBER(SEARCH("SCRW", H58)), _xlfn.XLOOKUP(C58,dd_item!$A$2:$A$147,dd_item!$B$2:$B$147,"",0),_xlfn.XLOOKUP(H58,dd_item!$A$2:$A$147,dd_item!$B$2:$B$147,"",0))</f>
        <v>Bead34</v>
      </c>
      <c r="K58" s="16" t="str">
        <f>_xlfn.XLOOKUP(A58,dd_design_raw!$C$2:$C$1002,dd_design_raw!$A$2:$A$1002,"",0)</f>
        <v>Fix Slide Door - with Screen</v>
      </c>
      <c r="L58" s="16" t="str">
        <f>_xlfn.XLOOKUP(I58,dd_accsryclr!$A$2:$A$1000,dd_accsryclr!$A$2:$A$1000,"",0)</f>
        <v/>
      </c>
    </row>
    <row r="59" spans="1:12" hidden="1" x14ac:dyDescent="0.25">
      <c r="A59" s="16" t="s">
        <v>76</v>
      </c>
      <c r="B59" s="16" t="s">
        <v>207</v>
      </c>
      <c r="C59" s="16" t="s">
        <v>352</v>
      </c>
      <c r="D59" s="16" t="s">
        <v>353</v>
      </c>
      <c r="E59" s="16">
        <v>1.1613793103448276</v>
      </c>
      <c r="F59" s="16" t="s">
        <v>194</v>
      </c>
      <c r="G59" s="16"/>
      <c r="H59" s="16" t="s">
        <v>351</v>
      </c>
      <c r="I59" s="16" t="s">
        <v>214</v>
      </c>
      <c r="J59" s="16" t="str">
        <f>IF(ISNUMBER(SEARCH("SCRW", H59)), _xlfn.XLOOKUP(C59,dd_item!$A$2:$A$147,dd_item!$B$2:$B$147,"",0),_xlfn.XLOOKUP(H59,dd_item!$A$2:$A$147,dd_item!$B$2:$B$147,"",0))</f>
        <v>Bead34</v>
      </c>
      <c r="K59" s="16" t="str">
        <f>_xlfn.XLOOKUP(A59,dd_design_raw!$C$2:$C$1002,dd_design_raw!$A$2:$A$1002,"",0)</f>
        <v>Fix Slide Door - with Screen</v>
      </c>
      <c r="L59" s="16" t="str">
        <f>_xlfn.XLOOKUP(I59,dd_accsryclr!$A$2:$A$1000,dd_accsryclr!$A$2:$A$1000,"",0)</f>
        <v/>
      </c>
    </row>
    <row r="60" spans="1:12" hidden="1" x14ac:dyDescent="0.25">
      <c r="A60" s="16" t="s">
        <v>76</v>
      </c>
      <c r="B60" s="16" t="s">
        <v>207</v>
      </c>
      <c r="C60" s="16" t="s">
        <v>354</v>
      </c>
      <c r="D60" s="16" t="s">
        <v>355</v>
      </c>
      <c r="E60" s="16">
        <v>1.1613793103448276</v>
      </c>
      <c r="F60" s="16" t="s">
        <v>194</v>
      </c>
      <c r="G60" s="16"/>
      <c r="H60" s="16" t="s">
        <v>351</v>
      </c>
      <c r="I60" s="16" t="s">
        <v>217</v>
      </c>
      <c r="J60" s="16" t="str">
        <f>IF(ISNUMBER(SEARCH("SCRW", H60)), _xlfn.XLOOKUP(C60,dd_item!$A$2:$A$147,dd_item!$B$2:$B$147,"",0),_xlfn.XLOOKUP(H60,dd_item!$A$2:$A$147,dd_item!$B$2:$B$147,"",0))</f>
        <v>Bead34</v>
      </c>
      <c r="K60" s="16" t="str">
        <f>_xlfn.XLOOKUP(A60,dd_design_raw!$C$2:$C$1002,dd_design_raw!$A$2:$A$1002,"",0)</f>
        <v>Fix Slide Door - with Screen</v>
      </c>
      <c r="L60" s="16" t="str">
        <f>_xlfn.XLOOKUP(I60,dd_accsryclr!$A$2:$A$1000,dd_accsryclr!$A$2:$A$1000,"",0)</f>
        <v/>
      </c>
    </row>
    <row r="61" spans="1:12" hidden="1" x14ac:dyDescent="0.25">
      <c r="A61" s="16" t="s">
        <v>76</v>
      </c>
      <c r="B61" s="16" t="s">
        <v>207</v>
      </c>
      <c r="C61" s="16" t="s">
        <v>356</v>
      </c>
      <c r="D61" s="16" t="s">
        <v>357</v>
      </c>
      <c r="E61" s="16">
        <v>1.1613793103448276</v>
      </c>
      <c r="F61" s="16" t="s">
        <v>194</v>
      </c>
      <c r="G61" s="16"/>
      <c r="H61" s="16" t="s">
        <v>351</v>
      </c>
      <c r="I61" s="16" t="s">
        <v>226</v>
      </c>
      <c r="J61" s="16" t="str">
        <f>IF(ISNUMBER(SEARCH("SCRW", H61)), _xlfn.XLOOKUP(C61,dd_item!$A$2:$A$147,dd_item!$B$2:$B$147,"",0),_xlfn.XLOOKUP(H61,dd_item!$A$2:$A$147,dd_item!$B$2:$B$147,"",0))</f>
        <v>Bead34</v>
      </c>
      <c r="K61" s="16" t="str">
        <f>_xlfn.XLOOKUP(A61,dd_design_raw!$C$2:$C$1002,dd_design_raw!$A$2:$A$1002,"",0)</f>
        <v>Fix Slide Door - with Screen</v>
      </c>
      <c r="L61" s="16" t="str">
        <f>_xlfn.XLOOKUP(I61,dd_accsryclr!$A$2:$A$1000,dd_accsryclr!$A$2:$A$1000,"",0)</f>
        <v/>
      </c>
    </row>
    <row r="62" spans="1:12" hidden="1" x14ac:dyDescent="0.25">
      <c r="A62" s="16" t="s">
        <v>76</v>
      </c>
      <c r="B62" s="16" t="s">
        <v>207</v>
      </c>
      <c r="C62" s="16" t="s">
        <v>358</v>
      </c>
      <c r="D62" s="16" t="s">
        <v>359</v>
      </c>
      <c r="E62" s="16">
        <v>1.1613793103448276</v>
      </c>
      <c r="F62" s="16" t="s">
        <v>194</v>
      </c>
      <c r="G62" s="16"/>
      <c r="H62" s="16" t="s">
        <v>351</v>
      </c>
      <c r="I62" s="16" t="s">
        <v>220</v>
      </c>
      <c r="J62" s="16" t="str">
        <f>IF(ISNUMBER(SEARCH("SCRW", H62)), _xlfn.XLOOKUP(C62,dd_item!$A$2:$A$147,dd_item!$B$2:$B$147,"",0),_xlfn.XLOOKUP(H62,dd_item!$A$2:$A$147,dd_item!$B$2:$B$147,"",0))</f>
        <v>Bead34</v>
      </c>
      <c r="K62" s="16" t="str">
        <f>_xlfn.XLOOKUP(A62,dd_design_raw!$C$2:$C$1002,dd_design_raw!$A$2:$A$1002,"",0)</f>
        <v>Fix Slide Door - with Screen</v>
      </c>
      <c r="L62" s="16" t="str">
        <f>_xlfn.XLOOKUP(I62,dd_accsryclr!$A$2:$A$1000,dd_accsryclr!$A$2:$A$1000,"",0)</f>
        <v>WHT</v>
      </c>
    </row>
    <row r="63" spans="1:12" hidden="1" x14ac:dyDescent="0.25">
      <c r="A63" s="16" t="s">
        <v>76</v>
      </c>
      <c r="B63" s="16" t="s">
        <v>207</v>
      </c>
      <c r="C63" s="16" t="s">
        <v>360</v>
      </c>
      <c r="D63" s="16" t="s">
        <v>361</v>
      </c>
      <c r="E63" s="16">
        <v>1.1613793103448276</v>
      </c>
      <c r="F63" s="16" t="s">
        <v>194</v>
      </c>
      <c r="G63" s="16"/>
      <c r="H63" s="16" t="s">
        <v>351</v>
      </c>
      <c r="I63" s="16" t="s">
        <v>223</v>
      </c>
      <c r="J63" s="16" t="str">
        <f>IF(ISNUMBER(SEARCH("SCRW", H63)), _xlfn.XLOOKUP(C63,dd_item!$A$2:$A$147,dd_item!$B$2:$B$147,"",0),_xlfn.XLOOKUP(H63,dd_item!$A$2:$A$147,dd_item!$B$2:$B$147,"",0))</f>
        <v>Bead34</v>
      </c>
      <c r="K63" s="16" t="str">
        <f>_xlfn.XLOOKUP(A63,dd_design_raw!$C$2:$C$1002,dd_design_raw!$A$2:$A$1002,"",0)</f>
        <v>Fix Slide Door - with Screen</v>
      </c>
      <c r="L63" s="16" t="str">
        <f>_xlfn.XLOOKUP(I63,dd_accsryclr!$A$2:$A$1000,dd_accsryclr!$A$2:$A$1000,"",0)</f>
        <v>BLK</v>
      </c>
    </row>
    <row r="64" spans="1:12" hidden="1" x14ac:dyDescent="0.25">
      <c r="A64" s="16" t="s">
        <v>76</v>
      </c>
      <c r="B64" s="16" t="s">
        <v>207</v>
      </c>
      <c r="C64" s="16" t="s">
        <v>362</v>
      </c>
      <c r="D64" s="16" t="s">
        <v>363</v>
      </c>
      <c r="E64" s="16">
        <v>1.1613793103448276</v>
      </c>
      <c r="F64" s="16" t="s">
        <v>194</v>
      </c>
      <c r="G64" s="16"/>
      <c r="H64" s="16" t="s">
        <v>351</v>
      </c>
      <c r="I64" s="16" t="s">
        <v>230</v>
      </c>
      <c r="J64" s="16" t="str">
        <f>IF(ISNUMBER(SEARCH("SCRW", H64)), _xlfn.XLOOKUP(C64,dd_item!$A$2:$A$147,dd_item!$B$2:$B$147,"",0),_xlfn.XLOOKUP(H64,dd_item!$A$2:$A$147,dd_item!$B$2:$B$147,"",0))</f>
        <v>Bead34</v>
      </c>
      <c r="K64" s="16" t="str">
        <f>_xlfn.XLOOKUP(A64,dd_design_raw!$C$2:$C$1002,dd_design_raw!$A$2:$A$1002,"",0)</f>
        <v>Fix Slide Door - with Screen</v>
      </c>
      <c r="L64" s="16" t="str">
        <f>_xlfn.XLOOKUP(I64,dd_accsryclr!$A$2:$A$1000,dd_accsryclr!$A$2:$A$1000,"",0)</f>
        <v>BRWN</v>
      </c>
    </row>
    <row r="65" spans="1:12" hidden="1" x14ac:dyDescent="0.25">
      <c r="A65" s="16" t="s">
        <v>76</v>
      </c>
      <c r="B65" s="16" t="s">
        <v>207</v>
      </c>
      <c r="C65" s="16" t="s">
        <v>364</v>
      </c>
      <c r="D65" s="16" t="s">
        <v>365</v>
      </c>
      <c r="E65" s="16">
        <v>0.86206896551724133</v>
      </c>
      <c r="F65" s="16" t="s">
        <v>293</v>
      </c>
      <c r="G65" s="16"/>
      <c r="H65" s="16" t="s">
        <v>366</v>
      </c>
      <c r="I65" s="16"/>
      <c r="J65" s="16" t="str">
        <f>IF(ISNUMBER(SEARCH("SCRW", H65)), _xlfn.XLOOKUP(C65,dd_item!$A$2:$A$147,dd_item!$B$2:$B$147,"",0),_xlfn.XLOOKUP(H65,dd_item!$A$2:$A$147,dd_item!$B$2:$B$147,"",0))</f>
        <v>Aluminum Track</v>
      </c>
      <c r="K65" s="16" t="str">
        <f>_xlfn.XLOOKUP(A65,dd_design_raw!$C$2:$C$1002,dd_design_raw!$A$2:$A$1002,"",0)</f>
        <v>Fix Slide Door - with Screen</v>
      </c>
      <c r="L65" s="16" t="str">
        <f>_xlfn.XLOOKUP(I65,dd_accsryclr!$A$2:$A$1000,dd_accsryclr!$A$2:$A$1000,"",0)</f>
        <v/>
      </c>
    </row>
    <row r="66" spans="1:12" hidden="1" x14ac:dyDescent="0.25">
      <c r="A66" s="16" t="s">
        <v>76</v>
      </c>
      <c r="B66" s="16" t="s">
        <v>207</v>
      </c>
      <c r="C66" s="16" t="s">
        <v>367</v>
      </c>
      <c r="D66" s="16" t="s">
        <v>368</v>
      </c>
      <c r="E66" s="16">
        <v>1</v>
      </c>
      <c r="F66" s="16" t="s">
        <v>369</v>
      </c>
      <c r="G66" s="16"/>
      <c r="H66" s="16" t="s">
        <v>370</v>
      </c>
      <c r="I66" s="16" t="s">
        <v>223</v>
      </c>
      <c r="J66" s="16" t="str">
        <f>IF(ISNUMBER(SEARCH("SCRW", H66)), _xlfn.XLOOKUP(C66,dd_item!$A$2:$A$147,dd_item!$B$2:$B$147,"",0),_xlfn.XLOOKUP(H66,dd_item!$A$2:$A$147,dd_item!$B$2:$B$147,"",0))</f>
        <v>SD Kit Handle</v>
      </c>
      <c r="K66" s="16" t="str">
        <f>_xlfn.XLOOKUP(A66,dd_design_raw!$C$2:$C$1002,dd_design_raw!$A$2:$A$1002,"",0)</f>
        <v>Fix Slide Door - with Screen</v>
      </c>
      <c r="L66" s="16" t="str">
        <f>_xlfn.XLOOKUP(I66,dd_accsryclr!$A$2:$A$1000,dd_accsryclr!$A$2:$A$1000,"",0)</f>
        <v>BLK</v>
      </c>
    </row>
    <row r="67" spans="1:12" hidden="1" x14ac:dyDescent="0.25">
      <c r="A67" s="16" t="s">
        <v>76</v>
      </c>
      <c r="B67" s="16" t="s">
        <v>207</v>
      </c>
      <c r="C67" s="16" t="s">
        <v>371</v>
      </c>
      <c r="D67" s="16" t="s">
        <v>372</v>
      </c>
      <c r="E67" s="16">
        <v>1</v>
      </c>
      <c r="F67" s="16" t="s">
        <v>369</v>
      </c>
      <c r="G67" s="16"/>
      <c r="H67" s="16" t="s">
        <v>370</v>
      </c>
      <c r="I67" s="16" t="s">
        <v>220</v>
      </c>
      <c r="J67" s="16" t="str">
        <f>IF(ISNUMBER(SEARCH("SCRW", H67)), _xlfn.XLOOKUP(C67,dd_item!$A$2:$A$147,dd_item!$B$2:$B$147,"",0),_xlfn.XLOOKUP(H67,dd_item!$A$2:$A$147,dd_item!$B$2:$B$147,"",0))</f>
        <v>SD Kit Handle</v>
      </c>
      <c r="K67" s="16" t="str">
        <f>_xlfn.XLOOKUP(A67,dd_design_raw!$C$2:$C$1002,dd_design_raw!$A$2:$A$1002,"",0)</f>
        <v>Fix Slide Door - with Screen</v>
      </c>
      <c r="L67" s="16" t="str">
        <f>_xlfn.XLOOKUP(I67,dd_accsryclr!$A$2:$A$1000,dd_accsryclr!$A$2:$A$1000,"",0)</f>
        <v>WHT</v>
      </c>
    </row>
    <row r="68" spans="1:12" hidden="1" x14ac:dyDescent="0.25">
      <c r="A68" s="16" t="s">
        <v>76</v>
      </c>
      <c r="B68" s="16" t="s">
        <v>207</v>
      </c>
      <c r="C68" s="16" t="s">
        <v>373</v>
      </c>
      <c r="D68" s="16" t="s">
        <v>374</v>
      </c>
      <c r="E68" s="16">
        <v>1</v>
      </c>
      <c r="F68" s="16" t="s">
        <v>369</v>
      </c>
      <c r="G68" s="16"/>
      <c r="H68" s="16" t="s">
        <v>370</v>
      </c>
      <c r="I68" s="16" t="s">
        <v>220</v>
      </c>
      <c r="J68" s="16" t="str">
        <f>IF(ISNUMBER(SEARCH("SCRW", H68)), _xlfn.XLOOKUP(C68,dd_item!$A$2:$A$147,dd_item!$B$2:$B$147,"",0),_xlfn.XLOOKUP(H68,dd_item!$A$2:$A$147,dd_item!$B$2:$B$147,"",0))</f>
        <v>SD Kit Handle</v>
      </c>
      <c r="K68" s="16" t="str">
        <f>_xlfn.XLOOKUP(A68,dd_design_raw!$C$2:$C$1002,dd_design_raw!$A$2:$A$1002,"",0)</f>
        <v>Fix Slide Door - with Screen</v>
      </c>
      <c r="L68" s="16" t="str">
        <f>_xlfn.XLOOKUP(I68,dd_accsryclr!$A$2:$A$1000,dd_accsryclr!$A$2:$A$1000,"",0)</f>
        <v>WHT</v>
      </c>
    </row>
    <row r="69" spans="1:12" hidden="1" x14ac:dyDescent="0.25">
      <c r="A69" s="16" t="s">
        <v>76</v>
      </c>
      <c r="B69" s="16" t="s">
        <v>207</v>
      </c>
      <c r="C69" s="16" t="s">
        <v>375</v>
      </c>
      <c r="D69" s="16" t="s">
        <v>376</v>
      </c>
      <c r="E69" s="16">
        <v>1</v>
      </c>
      <c r="F69" s="16" t="s">
        <v>369</v>
      </c>
      <c r="G69" s="16"/>
      <c r="H69" s="16" t="s">
        <v>370</v>
      </c>
      <c r="I69" s="16" t="s">
        <v>223</v>
      </c>
      <c r="J69" s="16" t="str">
        <f>IF(ISNUMBER(SEARCH("SCRW", H69)), _xlfn.XLOOKUP(C69,dd_item!$A$2:$A$147,dd_item!$B$2:$B$147,"",0),_xlfn.XLOOKUP(H69,dd_item!$A$2:$A$147,dd_item!$B$2:$B$147,"",0))</f>
        <v>SD Kit Handle</v>
      </c>
      <c r="K69" s="16" t="str">
        <f>_xlfn.XLOOKUP(A69,dd_design_raw!$C$2:$C$1002,dd_design_raw!$A$2:$A$1002,"",0)</f>
        <v>Fix Slide Door - with Screen</v>
      </c>
      <c r="L69" s="16" t="str">
        <f>_xlfn.XLOOKUP(I69,dd_accsryclr!$A$2:$A$1000,dd_accsryclr!$A$2:$A$1000,"",0)</f>
        <v>BLK</v>
      </c>
    </row>
    <row r="70" spans="1:12" hidden="1" x14ac:dyDescent="0.25">
      <c r="A70" s="16" t="s">
        <v>76</v>
      </c>
      <c r="B70" s="16" t="s">
        <v>207</v>
      </c>
      <c r="C70" s="16" t="s">
        <v>377</v>
      </c>
      <c r="D70" s="16" t="s">
        <v>378</v>
      </c>
      <c r="E70" s="16">
        <v>1</v>
      </c>
      <c r="F70" s="16" t="s">
        <v>369</v>
      </c>
      <c r="G70" s="16"/>
      <c r="H70" s="16" t="s">
        <v>379</v>
      </c>
      <c r="I70" s="16"/>
      <c r="J70" s="16" t="str">
        <f>IF(ISNUMBER(SEARCH("SCRW", H70)), _xlfn.XLOOKUP(C70,dd_item!$A$2:$A$147,dd_item!$B$2:$B$147,"",0),_xlfn.XLOOKUP(H70,dd_item!$A$2:$A$147,dd_item!$B$2:$B$147,"",0))</f>
        <v xml:space="preserve">SD Kit Cylinder Door Knob </v>
      </c>
      <c r="K70" s="16" t="str">
        <f>_xlfn.XLOOKUP(A70,dd_design_raw!$C$2:$C$1002,dd_design_raw!$A$2:$A$1002,"",0)</f>
        <v>Fix Slide Door - with Screen</v>
      </c>
      <c r="L70" s="16" t="str">
        <f>_xlfn.XLOOKUP(I70,dd_accsryclr!$A$2:$A$1000,dd_accsryclr!$A$2:$A$1000,"",0)</f>
        <v/>
      </c>
    </row>
    <row r="71" spans="1:12" hidden="1" x14ac:dyDescent="0.25">
      <c r="A71" s="16" t="s">
        <v>76</v>
      </c>
      <c r="B71" s="16" t="s">
        <v>207</v>
      </c>
      <c r="C71" s="16" t="s">
        <v>380</v>
      </c>
      <c r="D71" s="16" t="s">
        <v>381</v>
      </c>
      <c r="E71" s="16">
        <v>1</v>
      </c>
      <c r="F71" s="16" t="s">
        <v>369</v>
      </c>
      <c r="G71" s="16"/>
      <c r="H71" s="16" t="s">
        <v>379</v>
      </c>
      <c r="I71" s="16"/>
      <c r="J71" s="16" t="str">
        <f>IF(ISNUMBER(SEARCH("SCRW", H71)), _xlfn.XLOOKUP(C71,dd_item!$A$2:$A$147,dd_item!$B$2:$B$147,"",0),_xlfn.XLOOKUP(H71,dd_item!$A$2:$A$147,dd_item!$B$2:$B$147,"",0))</f>
        <v xml:space="preserve">SD Kit Cylinder Door Knob </v>
      </c>
      <c r="K71" s="16" t="str">
        <f>_xlfn.XLOOKUP(A71,dd_design_raw!$C$2:$C$1002,dd_design_raw!$A$2:$A$1002,"",0)</f>
        <v>Fix Slide Door - with Screen</v>
      </c>
      <c r="L71" s="16" t="str">
        <f>_xlfn.XLOOKUP(I71,dd_accsryclr!$A$2:$A$1000,dd_accsryclr!$A$2:$A$1000,"",0)</f>
        <v/>
      </c>
    </row>
    <row r="72" spans="1:12" hidden="1" x14ac:dyDescent="0.25">
      <c r="A72" s="16" t="s">
        <v>76</v>
      </c>
      <c r="B72" s="16" t="s">
        <v>207</v>
      </c>
      <c r="C72" s="16" t="s">
        <v>382</v>
      </c>
      <c r="D72" s="16" t="s">
        <v>383</v>
      </c>
      <c r="E72" s="16">
        <v>1</v>
      </c>
      <c r="F72" s="16" t="s">
        <v>369</v>
      </c>
      <c r="G72" s="16"/>
      <c r="H72" s="16" t="s">
        <v>384</v>
      </c>
      <c r="I72" s="16" t="s">
        <v>223</v>
      </c>
      <c r="J72" s="16" t="str">
        <f>IF(ISNUMBER(SEARCH("SCRW", H72)), _xlfn.XLOOKUP(C72,dd_item!$A$2:$A$147,dd_item!$B$2:$B$147,"",0),_xlfn.XLOOKUP(H72,dd_item!$A$2:$A$147,dd_item!$B$2:$B$147,"",0))</f>
        <v>Cylinder Cover Set</v>
      </c>
      <c r="K72" s="16" t="str">
        <f>_xlfn.XLOOKUP(A72,dd_design_raw!$C$2:$C$1002,dd_design_raw!$A$2:$A$1002,"",0)</f>
        <v>Fix Slide Door - with Screen</v>
      </c>
      <c r="L72" s="16" t="str">
        <f>_xlfn.XLOOKUP(I72,dd_accsryclr!$A$2:$A$1000,dd_accsryclr!$A$2:$A$1000,"",0)</f>
        <v>BLK</v>
      </c>
    </row>
    <row r="73" spans="1:12" hidden="1" x14ac:dyDescent="0.25">
      <c r="A73" s="16" t="s">
        <v>76</v>
      </c>
      <c r="B73" s="16" t="s">
        <v>207</v>
      </c>
      <c r="C73" s="16" t="s">
        <v>385</v>
      </c>
      <c r="D73" s="16" t="s">
        <v>386</v>
      </c>
      <c r="E73" s="16">
        <v>1</v>
      </c>
      <c r="F73" s="16" t="s">
        <v>369</v>
      </c>
      <c r="G73" s="16"/>
      <c r="H73" s="16" t="s">
        <v>384</v>
      </c>
      <c r="I73" s="16" t="s">
        <v>220</v>
      </c>
      <c r="J73" s="16" t="str">
        <f>IF(ISNUMBER(SEARCH("SCRW", H73)), _xlfn.XLOOKUP(C73,dd_item!$A$2:$A$147,dd_item!$B$2:$B$147,"",0),_xlfn.XLOOKUP(H73,dd_item!$A$2:$A$147,dd_item!$B$2:$B$147,"",0))</f>
        <v>Cylinder Cover Set</v>
      </c>
      <c r="K73" s="16" t="str">
        <f>_xlfn.XLOOKUP(A73,dd_design_raw!$C$2:$C$1002,dd_design_raw!$A$2:$A$1002,"",0)</f>
        <v>Fix Slide Door - with Screen</v>
      </c>
      <c r="L73" s="16" t="str">
        <f>_xlfn.XLOOKUP(I73,dd_accsryclr!$A$2:$A$1000,dd_accsryclr!$A$2:$A$1000,"",0)</f>
        <v>WHT</v>
      </c>
    </row>
    <row r="74" spans="1:12" hidden="1" x14ac:dyDescent="0.25">
      <c r="A74" s="16" t="s">
        <v>76</v>
      </c>
      <c r="B74" s="16" t="s">
        <v>207</v>
      </c>
      <c r="C74" s="16" t="s">
        <v>387</v>
      </c>
      <c r="D74" s="16" t="s">
        <v>388</v>
      </c>
      <c r="E74" s="16">
        <v>4</v>
      </c>
      <c r="F74" s="16" t="s">
        <v>369</v>
      </c>
      <c r="G74" s="16"/>
      <c r="H74" s="16" t="s">
        <v>389</v>
      </c>
      <c r="I74" s="16"/>
      <c r="J74" s="16" t="str">
        <f>IF(ISNUMBER(SEARCH("SCRW", H74)), _xlfn.XLOOKUP(C74,dd_item!$A$2:$A$147,dd_item!$B$2:$B$147,"",0),_xlfn.XLOOKUP(H74,dd_item!$A$2:$A$147,dd_item!$B$2:$B$147,"",0))</f>
        <v>Sliding Striker (Roto)</v>
      </c>
      <c r="K74" s="16" t="str">
        <f>_xlfn.XLOOKUP(A74,dd_design_raw!$C$2:$C$1002,dd_design_raw!$A$2:$A$1002,"",0)</f>
        <v>Fix Slide Door - with Screen</v>
      </c>
      <c r="L74" s="16">
        <f>_xlfn.XLOOKUP(I74,dd_accsryclr!$A$2:$A$1000,dd_accsryclr!$A$2:$A$1000,"",0)</f>
        <v>0</v>
      </c>
    </row>
    <row r="75" spans="1:12" hidden="1" x14ac:dyDescent="0.25">
      <c r="A75" s="16" t="s">
        <v>76</v>
      </c>
      <c r="B75" s="16" t="s">
        <v>207</v>
      </c>
      <c r="C75" s="16" t="s">
        <v>390</v>
      </c>
      <c r="D75" s="16" t="s">
        <v>391</v>
      </c>
      <c r="E75" s="16">
        <v>45.68</v>
      </c>
      <c r="F75" s="16" t="s">
        <v>369</v>
      </c>
      <c r="G75" s="16"/>
      <c r="H75" s="16" t="s">
        <v>792</v>
      </c>
      <c r="I75" s="16"/>
      <c r="J75" s="16" t="str">
        <f>IF(ISNUMBER(SEARCH("SCRW", H75)), _xlfn.XLOOKUP(C75,dd_item!$A$2:$A$147,dd_item!$B$2:$B$147,"",0),_xlfn.XLOOKUP(H75,dd_item!$A$2:$A$147,dd_item!$B$2:$B$147,"",0))</f>
        <v>Atlas Screw (S) 10 x 2-1/2" (Flat)</v>
      </c>
      <c r="K75" s="16" t="str">
        <f>_xlfn.XLOOKUP(A75,dd_design_raw!$C$2:$C$1002,dd_design_raw!$A$2:$A$1002,"",0)</f>
        <v>Fix Slide Door - with Screen</v>
      </c>
      <c r="L75" s="16" t="str">
        <f>_xlfn.XLOOKUP(I75,dd_accsryclr!$A$2:$A$1000,dd_accsryclr!$A$2:$A$1000,"",0)</f>
        <v/>
      </c>
    </row>
    <row r="76" spans="1:12" hidden="1" x14ac:dyDescent="0.25">
      <c r="A76" s="16" t="s">
        <v>76</v>
      </c>
      <c r="B76" s="16" t="s">
        <v>207</v>
      </c>
      <c r="C76" s="16" t="s">
        <v>392</v>
      </c>
      <c r="D76" s="16" t="s">
        <v>393</v>
      </c>
      <c r="E76" s="16">
        <v>3</v>
      </c>
      <c r="F76" s="16" t="s">
        <v>369</v>
      </c>
      <c r="G76" s="16"/>
      <c r="H76" s="16" t="s">
        <v>394</v>
      </c>
      <c r="I76" s="16" t="s">
        <v>223</v>
      </c>
      <c r="J76" s="16" t="str">
        <f>IF(ISNUMBER(SEARCH("SCRW", H76)), _xlfn.XLOOKUP(C76,dd_item!$A$2:$A$147,dd_item!$B$2:$B$147,"",0),_xlfn.XLOOKUP(H76,dd_item!$A$2:$A$147,dd_item!$B$2:$B$147,"",0))</f>
        <v>Drainage Cover</v>
      </c>
      <c r="K76" s="16" t="str">
        <f>_xlfn.XLOOKUP(A76,dd_design_raw!$C$2:$C$1002,dd_design_raw!$A$2:$A$1002,"",0)</f>
        <v>Fix Slide Door - with Screen</v>
      </c>
      <c r="L76" s="16" t="str">
        <f>_xlfn.XLOOKUP(I76,dd_accsryclr!$A$2:$A$1000,dd_accsryclr!$A$2:$A$1000,"",0)</f>
        <v>BLK</v>
      </c>
    </row>
    <row r="77" spans="1:12" hidden="1" x14ac:dyDescent="0.25">
      <c r="A77" s="16" t="s">
        <v>76</v>
      </c>
      <c r="B77" s="16" t="s">
        <v>207</v>
      </c>
      <c r="C77" s="16" t="s">
        <v>395</v>
      </c>
      <c r="D77" s="16" t="s">
        <v>396</v>
      </c>
      <c r="E77" s="16">
        <v>3</v>
      </c>
      <c r="F77" s="16" t="s">
        <v>369</v>
      </c>
      <c r="G77" s="16"/>
      <c r="H77" s="16" t="s">
        <v>394</v>
      </c>
      <c r="I77" s="16" t="s">
        <v>220</v>
      </c>
      <c r="J77" s="16" t="str">
        <f>IF(ISNUMBER(SEARCH("SCRW", H77)), _xlfn.XLOOKUP(C77,dd_item!$A$2:$A$147,dd_item!$B$2:$B$147,"",0),_xlfn.XLOOKUP(H77,dd_item!$A$2:$A$147,dd_item!$B$2:$B$147,"",0))</f>
        <v>Drainage Cover</v>
      </c>
      <c r="K77" s="16" t="str">
        <f>_xlfn.XLOOKUP(A77,dd_design_raw!$C$2:$C$1002,dd_design_raw!$A$2:$A$1002,"",0)</f>
        <v>Fix Slide Door - with Screen</v>
      </c>
      <c r="L77" s="16" t="str">
        <f>_xlfn.XLOOKUP(I77,dd_accsryclr!$A$2:$A$1000,dd_accsryclr!$A$2:$A$1000,"",0)</f>
        <v>WHT</v>
      </c>
    </row>
    <row r="78" spans="1:12" hidden="1" x14ac:dyDescent="0.25">
      <c r="A78" s="16" t="s">
        <v>76</v>
      </c>
      <c r="B78" s="16" t="s">
        <v>207</v>
      </c>
      <c r="C78" s="16" t="s">
        <v>397</v>
      </c>
      <c r="D78" s="16" t="s">
        <v>398</v>
      </c>
      <c r="E78" s="16">
        <v>0.75360000000000005</v>
      </c>
      <c r="F78" s="16" t="s">
        <v>369</v>
      </c>
      <c r="G78" s="16"/>
      <c r="H78" s="16" t="s">
        <v>399</v>
      </c>
      <c r="I78" s="16" t="s">
        <v>400</v>
      </c>
      <c r="J78" s="16" t="str">
        <f>IF(ISNUMBER(SEARCH("SCRW", H78)), _xlfn.XLOOKUP(C78,dd_item!$A$2:$A$147,dd_item!$B$2:$B$147,"",0),_xlfn.XLOOKUP(H78,dd_item!$A$2:$A$147,dd_item!$B$2:$B$147,"",0))</f>
        <v>Tox6</v>
      </c>
      <c r="K78" s="16" t="str">
        <f>_xlfn.XLOOKUP(A78,dd_design_raw!$C$2:$C$1002,dd_design_raw!$A$2:$A$1002,"",0)</f>
        <v>Fix Slide Door - with Screen</v>
      </c>
      <c r="L78" s="16" t="str">
        <f>_xlfn.XLOOKUP(I78,dd_accsryclr!$A$2:$A$1000,dd_accsryclr!$A$2:$A$1000,"",0)</f>
        <v/>
      </c>
    </row>
    <row r="79" spans="1:12" hidden="1" x14ac:dyDescent="0.25">
      <c r="A79" s="16" t="s">
        <v>76</v>
      </c>
      <c r="B79" s="16" t="s">
        <v>207</v>
      </c>
      <c r="C79" s="16" t="s">
        <v>401</v>
      </c>
      <c r="D79" s="16" t="s">
        <v>402</v>
      </c>
      <c r="E79" s="16">
        <v>37.68</v>
      </c>
      <c r="F79" s="16" t="s">
        <v>369</v>
      </c>
      <c r="G79" s="16"/>
      <c r="H79" s="16" t="s">
        <v>403</v>
      </c>
      <c r="I79" s="16" t="s">
        <v>223</v>
      </c>
      <c r="J79" s="16" t="str">
        <f>IF(ISNUMBER(SEARCH("SCRW", H79)), _xlfn.XLOOKUP(C79,dd_item!$A$2:$A$147,dd_item!$B$2:$B$147,"",0),_xlfn.XLOOKUP(H79,dd_item!$A$2:$A$147,dd_item!$B$2:$B$147,"",0))</f>
        <v>Cover Cap</v>
      </c>
      <c r="K79" s="16" t="str">
        <f>_xlfn.XLOOKUP(A79,dd_design_raw!$C$2:$C$1002,dd_design_raw!$A$2:$A$1002,"",0)</f>
        <v>Fix Slide Door - with Screen</v>
      </c>
      <c r="L79" s="16" t="str">
        <f>_xlfn.XLOOKUP(I79,dd_accsryclr!$A$2:$A$1000,dd_accsryclr!$A$2:$A$1000,"",0)</f>
        <v>BLK</v>
      </c>
    </row>
    <row r="80" spans="1:12" hidden="1" x14ac:dyDescent="0.25">
      <c r="A80" s="16" t="s">
        <v>76</v>
      </c>
      <c r="B80" s="16" t="s">
        <v>207</v>
      </c>
      <c r="C80" s="16" t="s">
        <v>404</v>
      </c>
      <c r="D80" s="16" t="s">
        <v>405</v>
      </c>
      <c r="E80" s="16">
        <v>37.68</v>
      </c>
      <c r="F80" s="16" t="s">
        <v>369</v>
      </c>
      <c r="G80" s="16"/>
      <c r="H80" s="16" t="s">
        <v>403</v>
      </c>
      <c r="I80" s="16" t="s">
        <v>220</v>
      </c>
      <c r="J80" s="16" t="str">
        <f>IF(ISNUMBER(SEARCH("SCRW", H80)), _xlfn.XLOOKUP(C80,dd_item!$A$2:$A$147,dd_item!$B$2:$B$147,"",0),_xlfn.XLOOKUP(H80,dd_item!$A$2:$A$147,dd_item!$B$2:$B$147,"",0))</f>
        <v>Cover Cap</v>
      </c>
      <c r="K80" s="16" t="str">
        <f>_xlfn.XLOOKUP(A80,dd_design_raw!$C$2:$C$1002,dd_design_raw!$A$2:$A$1002,"",0)</f>
        <v>Fix Slide Door - with Screen</v>
      </c>
      <c r="L80" s="16" t="str">
        <f>_xlfn.XLOOKUP(I80,dd_accsryclr!$A$2:$A$1000,dd_accsryclr!$A$2:$A$1000,"",0)</f>
        <v>WHT</v>
      </c>
    </row>
    <row r="81" spans="1:12" hidden="1" x14ac:dyDescent="0.25">
      <c r="A81" s="16" t="s">
        <v>76</v>
      </c>
      <c r="B81" s="16" t="s">
        <v>207</v>
      </c>
      <c r="C81" s="16" t="s">
        <v>406</v>
      </c>
      <c r="D81" s="16" t="s">
        <v>407</v>
      </c>
      <c r="E81" s="16">
        <v>2</v>
      </c>
      <c r="F81" s="16" t="s">
        <v>369</v>
      </c>
      <c r="G81" s="16"/>
      <c r="H81" s="16" t="s">
        <v>408</v>
      </c>
      <c r="I81" s="16" t="s">
        <v>409</v>
      </c>
      <c r="J81" s="16" t="str">
        <f>IF(ISNUMBER(SEARCH("SCRW", H81)), _xlfn.XLOOKUP(C81,dd_item!$A$2:$A$147,dd_item!$B$2:$B$147,"",0),_xlfn.XLOOKUP(H81,dd_item!$A$2:$A$147,dd_item!$B$2:$B$147,"",0))</f>
        <v>SD Kit Buffer Stopper</v>
      </c>
      <c r="K81" s="16" t="str">
        <f>_xlfn.XLOOKUP(A81,dd_design_raw!$C$2:$C$1002,dd_design_raw!$A$2:$A$1002,"",0)</f>
        <v>Fix Slide Door - with Screen</v>
      </c>
      <c r="L81" s="16" t="str">
        <f>_xlfn.XLOOKUP(I81,dd_accsryclr!$A$2:$A$1000,dd_accsryclr!$A$2:$A$1000,"",0)</f>
        <v/>
      </c>
    </row>
    <row r="82" spans="1:12" hidden="1" x14ac:dyDescent="0.25">
      <c r="A82" s="16" t="s">
        <v>76</v>
      </c>
      <c r="B82" s="16" t="s">
        <v>207</v>
      </c>
      <c r="C82" s="16" t="s">
        <v>410</v>
      </c>
      <c r="D82" s="16" t="s">
        <v>411</v>
      </c>
      <c r="E82" s="16">
        <v>2</v>
      </c>
      <c r="F82" s="16" t="s">
        <v>369</v>
      </c>
      <c r="G82" s="16"/>
      <c r="H82" s="16" t="s">
        <v>408</v>
      </c>
      <c r="I82" s="16" t="s">
        <v>409</v>
      </c>
      <c r="J82" s="16" t="str">
        <f>IF(ISNUMBER(SEARCH("SCRW", H82)), _xlfn.XLOOKUP(C82,dd_item!$A$2:$A$147,dd_item!$B$2:$B$147,"",0),_xlfn.XLOOKUP(H82,dd_item!$A$2:$A$147,dd_item!$B$2:$B$147,"",0))</f>
        <v>SD Kit Buffer Stopper</v>
      </c>
      <c r="K82" s="16" t="str">
        <f>_xlfn.XLOOKUP(A82,dd_design_raw!$C$2:$C$1002,dd_design_raw!$A$2:$A$1002,"",0)</f>
        <v>Fix Slide Door - with Screen</v>
      </c>
      <c r="L82" s="16" t="str">
        <f>_xlfn.XLOOKUP(I82,dd_accsryclr!$A$2:$A$1000,dd_accsryclr!$A$2:$A$1000,"",0)</f>
        <v/>
      </c>
    </row>
    <row r="83" spans="1:12" hidden="1" x14ac:dyDescent="0.25">
      <c r="A83" s="16" t="s">
        <v>76</v>
      </c>
      <c r="B83" s="16" t="s">
        <v>207</v>
      </c>
      <c r="C83" s="16" t="s">
        <v>412</v>
      </c>
      <c r="D83" s="16" t="s">
        <v>413</v>
      </c>
      <c r="E83" s="16">
        <v>2</v>
      </c>
      <c r="F83" s="16" t="s">
        <v>369</v>
      </c>
      <c r="G83" s="16"/>
      <c r="H83" s="16" t="s">
        <v>793</v>
      </c>
      <c r="I83" s="16"/>
      <c r="J83" s="16" t="str">
        <f>IF(ISNUMBER(SEARCH("SCRW", H83)), _xlfn.XLOOKUP(C83,dd_item!$A$2:$A$147,dd_item!$B$2:$B$147,"",0),_xlfn.XLOOKUP(H83,dd_item!$A$2:$A$147,dd_item!$B$2:$B$147,"",0))</f>
        <v>Atlas Screw (S) 8 x 1-1/4" (Flat)</v>
      </c>
      <c r="K83" s="16" t="str">
        <f>_xlfn.XLOOKUP(A83,dd_design_raw!$C$2:$C$1002,dd_design_raw!$A$2:$A$1002,"",0)</f>
        <v>Fix Slide Door - with Screen</v>
      </c>
      <c r="L83" s="16" t="str">
        <f>_xlfn.XLOOKUP(I83,dd_accsryclr!$A$2:$A$1000,dd_accsryclr!$A$2:$A$1000,"",0)</f>
        <v/>
      </c>
    </row>
    <row r="84" spans="1:12" hidden="1" x14ac:dyDescent="0.25">
      <c r="A84" s="16" t="s">
        <v>76</v>
      </c>
      <c r="B84" s="16" t="s">
        <v>207</v>
      </c>
      <c r="C84" s="16" t="s">
        <v>414</v>
      </c>
      <c r="D84" s="16" t="s">
        <v>415</v>
      </c>
      <c r="E84" s="16">
        <v>6.28</v>
      </c>
      <c r="F84" s="16" t="s">
        <v>369</v>
      </c>
      <c r="G84" s="16"/>
      <c r="H84" s="16" t="s">
        <v>416</v>
      </c>
      <c r="I84" s="16" t="s">
        <v>223</v>
      </c>
      <c r="J84" s="16" t="str">
        <f>IF(ISNUMBER(SEARCH("SCRW", H84)), _xlfn.XLOOKUP(C84,dd_item!$A$2:$A$147,dd_item!$B$2:$B$147,"",0),_xlfn.XLOOKUP(H84,dd_item!$A$2:$A$147,dd_item!$B$2:$B$147,"",0))</f>
        <v>Sealant</v>
      </c>
      <c r="K84" s="16" t="str">
        <f>_xlfn.XLOOKUP(A84,dd_design_raw!$C$2:$C$1002,dd_design_raw!$A$2:$A$1002,"",0)</f>
        <v>Fix Slide Door - with Screen</v>
      </c>
      <c r="L84" s="16" t="str">
        <f>_xlfn.XLOOKUP(I84,dd_accsryclr!$A$2:$A$1000,dd_accsryclr!$A$2:$A$1000,"",0)</f>
        <v>BLK</v>
      </c>
    </row>
    <row r="85" spans="1:12" hidden="1" x14ac:dyDescent="0.25">
      <c r="A85" s="16" t="s">
        <v>76</v>
      </c>
      <c r="B85" s="16" t="s">
        <v>207</v>
      </c>
      <c r="C85" s="16" t="s">
        <v>417</v>
      </c>
      <c r="D85" s="16" t="s">
        <v>418</v>
      </c>
      <c r="E85" s="16">
        <v>6.28</v>
      </c>
      <c r="F85" s="16" t="s">
        <v>369</v>
      </c>
      <c r="G85" s="16"/>
      <c r="H85" s="16" t="s">
        <v>416</v>
      </c>
      <c r="I85" s="16" t="s">
        <v>230</v>
      </c>
      <c r="J85" s="16" t="str">
        <f>IF(ISNUMBER(SEARCH("SCRW", H85)), _xlfn.XLOOKUP(C85,dd_item!$A$2:$A$147,dd_item!$B$2:$B$147,"",0),_xlfn.XLOOKUP(H85,dd_item!$A$2:$A$147,dd_item!$B$2:$B$147,"",0))</f>
        <v>Sealant</v>
      </c>
      <c r="K85" s="16" t="str">
        <f>_xlfn.XLOOKUP(A85,dd_design_raw!$C$2:$C$1002,dd_design_raw!$A$2:$A$1002,"",0)</f>
        <v>Fix Slide Door - with Screen</v>
      </c>
      <c r="L85" s="16" t="str">
        <f>_xlfn.XLOOKUP(I85,dd_accsryclr!$A$2:$A$1000,dd_accsryclr!$A$2:$A$1000,"",0)</f>
        <v>BRWN</v>
      </c>
    </row>
    <row r="86" spans="1:12" hidden="1" x14ac:dyDescent="0.25">
      <c r="A86" s="16" t="s">
        <v>76</v>
      </c>
      <c r="B86" s="16" t="s">
        <v>207</v>
      </c>
      <c r="C86" s="16" t="s">
        <v>419</v>
      </c>
      <c r="D86" s="16" t="s">
        <v>420</v>
      </c>
      <c r="E86" s="16">
        <v>6.28</v>
      </c>
      <c r="F86" s="16" t="s">
        <v>369</v>
      </c>
      <c r="G86" s="16"/>
      <c r="H86" s="16" t="s">
        <v>416</v>
      </c>
      <c r="I86" s="16" t="s">
        <v>220</v>
      </c>
      <c r="J86" s="16" t="str">
        <f>IF(ISNUMBER(SEARCH("SCRW", H86)), _xlfn.XLOOKUP(C86,dd_item!$A$2:$A$147,dd_item!$B$2:$B$147,"",0),_xlfn.XLOOKUP(H86,dd_item!$A$2:$A$147,dd_item!$B$2:$B$147,"",0))</f>
        <v>Sealant</v>
      </c>
      <c r="K86" s="16" t="str">
        <f>_xlfn.XLOOKUP(A86,dd_design_raw!$C$2:$C$1002,dd_design_raw!$A$2:$A$1002,"",0)</f>
        <v>Fix Slide Door - with Screen</v>
      </c>
      <c r="L86" s="16" t="str">
        <f>_xlfn.XLOOKUP(I86,dd_accsryclr!$A$2:$A$1000,dd_accsryclr!$A$2:$A$1000,"",0)</f>
        <v>WHT</v>
      </c>
    </row>
    <row r="87" spans="1:12" hidden="1" x14ac:dyDescent="0.25">
      <c r="A87" s="16" t="s">
        <v>76</v>
      </c>
      <c r="B87" s="16" t="s">
        <v>207</v>
      </c>
      <c r="C87" s="16" t="s">
        <v>421</v>
      </c>
      <c r="D87" s="16" t="s">
        <v>422</v>
      </c>
      <c r="E87" s="16"/>
      <c r="F87" s="16" t="s">
        <v>369</v>
      </c>
      <c r="G87" s="16"/>
      <c r="H87" s="16" t="s">
        <v>416</v>
      </c>
      <c r="I87" s="16" t="s">
        <v>423</v>
      </c>
      <c r="J87" s="16" t="str">
        <f>IF(ISNUMBER(SEARCH("SCRW", H87)), _xlfn.XLOOKUP(C87,dd_item!$A$2:$A$147,dd_item!$B$2:$B$147,"",0),_xlfn.XLOOKUP(H87,dd_item!$A$2:$A$147,dd_item!$B$2:$B$147,"",0))</f>
        <v>Sealant</v>
      </c>
      <c r="K87" s="16" t="str">
        <f>_xlfn.XLOOKUP(A87,dd_design_raw!$C$2:$C$1002,dd_design_raw!$A$2:$A$1002,"",0)</f>
        <v>Fix Slide Door - with Screen</v>
      </c>
      <c r="L87" s="16" t="str">
        <f>_xlfn.XLOOKUP(I87,dd_accsryclr!$A$2:$A$1000,dd_accsryclr!$A$2:$A$1000,"",0)</f>
        <v/>
      </c>
    </row>
    <row r="88" spans="1:12" hidden="1" x14ac:dyDescent="0.25">
      <c r="A88" s="16" t="s">
        <v>76</v>
      </c>
      <c r="B88" s="16" t="s">
        <v>207</v>
      </c>
      <c r="C88" s="16" t="s">
        <v>424</v>
      </c>
      <c r="D88" s="16" t="s">
        <v>425</v>
      </c>
      <c r="E88" s="16">
        <v>6</v>
      </c>
      <c r="F88" s="16" t="s">
        <v>369</v>
      </c>
      <c r="G88" s="16"/>
      <c r="H88" s="16" t="s">
        <v>794</v>
      </c>
      <c r="I88" s="16"/>
      <c r="J88" s="16" t="str">
        <f>IF(ISNUMBER(SEARCH("SCRW", H88)), _xlfn.XLOOKUP(C88,dd_item!$A$2:$A$147,dd_item!$B$2:$B$147,"",0),_xlfn.XLOOKUP(H88,dd_item!$A$2:$A$147,dd_item!$B$2:$B$147,"",0))</f>
        <v>Atlas Screw (S) 6 x 3/4" (FLAT)</v>
      </c>
      <c r="K88" s="16" t="str">
        <f>_xlfn.XLOOKUP(A88,dd_design_raw!$C$2:$C$1002,dd_design_raw!$A$2:$A$1002,"",0)</f>
        <v>Fix Slide Door - with Screen</v>
      </c>
      <c r="L88" s="16" t="str">
        <f>_xlfn.XLOOKUP(I88,dd_accsryclr!$A$2:$A$1000,dd_accsryclr!$A$2:$A$1000,"",0)</f>
        <v/>
      </c>
    </row>
    <row r="89" spans="1:12" hidden="1" x14ac:dyDescent="0.25">
      <c r="A89" s="16" t="s">
        <v>76</v>
      </c>
      <c r="B89" s="16" t="s">
        <v>207</v>
      </c>
      <c r="C89" s="16" t="s">
        <v>795</v>
      </c>
      <c r="D89" s="16" t="s">
        <v>796</v>
      </c>
      <c r="E89" s="16"/>
      <c r="F89" s="16" t="s">
        <v>194</v>
      </c>
      <c r="G89" s="16"/>
      <c r="H89" s="16" t="s">
        <v>797</v>
      </c>
      <c r="I89" s="16" t="s">
        <v>223</v>
      </c>
      <c r="J89" s="16" t="str">
        <f>IF(ISNUMBER(SEARCH("SCRW", H89)), _xlfn.XLOOKUP(C89,dd_item!$A$2:$A$147,dd_item!$B$2:$B$147,"",0),_xlfn.XLOOKUP(H89,dd_item!$A$2:$A$147,dd_item!$B$2:$B$147,"",0))</f>
        <v>Mullion66</v>
      </c>
      <c r="K89" s="16" t="str">
        <f>_xlfn.XLOOKUP(A89,dd_design_raw!$C$2:$C$1002,dd_design_raw!$A$2:$A$1002,"",0)</f>
        <v>Fix Slide Door - with Screen</v>
      </c>
      <c r="L89" s="16" t="str">
        <f>_xlfn.XLOOKUP(I89,dd_accsryclr!$A$2:$A$1000,dd_accsryclr!$A$2:$A$1000,"",0)</f>
        <v>BLK</v>
      </c>
    </row>
    <row r="90" spans="1:12" hidden="1" x14ac:dyDescent="0.25">
      <c r="A90" s="16" t="s">
        <v>76</v>
      </c>
      <c r="B90" s="16" t="s">
        <v>207</v>
      </c>
      <c r="C90" s="16" t="s">
        <v>798</v>
      </c>
      <c r="D90" s="16" t="s">
        <v>799</v>
      </c>
      <c r="E90" s="16"/>
      <c r="F90" s="16" t="s">
        <v>194</v>
      </c>
      <c r="G90" s="16"/>
      <c r="H90" s="16" t="s">
        <v>797</v>
      </c>
      <c r="I90" s="16" t="s">
        <v>211</v>
      </c>
      <c r="J90" s="16" t="str">
        <f>IF(ISNUMBER(SEARCH("SCRW", H90)), _xlfn.XLOOKUP(C90,dd_item!$A$2:$A$147,dd_item!$B$2:$B$147,"",0),_xlfn.XLOOKUP(H90,dd_item!$A$2:$A$147,dd_item!$B$2:$B$147,"",0))</f>
        <v>Mullion66</v>
      </c>
      <c r="K90" s="16" t="str">
        <f>_xlfn.XLOOKUP(A90,dd_design_raw!$C$2:$C$1002,dd_design_raw!$A$2:$A$1002,"",0)</f>
        <v>Fix Slide Door - with Screen</v>
      </c>
      <c r="L90" s="16" t="str">
        <f>_xlfn.XLOOKUP(I90,dd_accsryclr!$A$2:$A$1000,dd_accsryclr!$A$2:$A$1000,"",0)</f>
        <v/>
      </c>
    </row>
    <row r="91" spans="1:12" hidden="1" x14ac:dyDescent="0.25">
      <c r="A91" s="16" t="s">
        <v>76</v>
      </c>
      <c r="B91" s="16" t="s">
        <v>207</v>
      </c>
      <c r="C91" s="16" t="s">
        <v>800</v>
      </c>
      <c r="D91" s="16" t="s">
        <v>801</v>
      </c>
      <c r="E91" s="16"/>
      <c r="F91" s="16" t="s">
        <v>194</v>
      </c>
      <c r="G91" s="16"/>
      <c r="H91" s="16" t="s">
        <v>797</v>
      </c>
      <c r="I91" s="16" t="s">
        <v>214</v>
      </c>
      <c r="J91" s="16" t="str">
        <f>IF(ISNUMBER(SEARCH("SCRW", H91)), _xlfn.XLOOKUP(C91,dd_item!$A$2:$A$147,dd_item!$B$2:$B$147,"",0),_xlfn.XLOOKUP(H91,dd_item!$A$2:$A$147,dd_item!$B$2:$B$147,"",0))</f>
        <v>Mullion66</v>
      </c>
      <c r="K91" s="16" t="str">
        <f>_xlfn.XLOOKUP(A91,dd_design_raw!$C$2:$C$1002,dd_design_raw!$A$2:$A$1002,"",0)</f>
        <v>Fix Slide Door - with Screen</v>
      </c>
      <c r="L91" s="16" t="str">
        <f>_xlfn.XLOOKUP(I91,dd_accsryclr!$A$2:$A$1000,dd_accsryclr!$A$2:$A$1000,"",0)</f>
        <v/>
      </c>
    </row>
    <row r="92" spans="1:12" hidden="1" x14ac:dyDescent="0.25">
      <c r="A92" s="16" t="s">
        <v>76</v>
      </c>
      <c r="B92" s="16" t="s">
        <v>207</v>
      </c>
      <c r="C92" s="16" t="s">
        <v>802</v>
      </c>
      <c r="D92" s="16" t="s">
        <v>803</v>
      </c>
      <c r="E92" s="16"/>
      <c r="F92" s="16" t="s">
        <v>194</v>
      </c>
      <c r="G92" s="16"/>
      <c r="H92" s="16" t="s">
        <v>797</v>
      </c>
      <c r="I92" s="16" t="s">
        <v>217</v>
      </c>
      <c r="J92" s="16" t="str">
        <f>IF(ISNUMBER(SEARCH("SCRW", H92)), _xlfn.XLOOKUP(C92,dd_item!$A$2:$A$147,dd_item!$B$2:$B$147,"",0),_xlfn.XLOOKUP(H92,dd_item!$A$2:$A$147,dd_item!$B$2:$B$147,"",0))</f>
        <v>Mullion66</v>
      </c>
      <c r="K92" s="16" t="str">
        <f>_xlfn.XLOOKUP(A92,dd_design_raw!$C$2:$C$1002,dd_design_raw!$A$2:$A$1002,"",0)</f>
        <v>Fix Slide Door - with Screen</v>
      </c>
      <c r="L92" s="16" t="str">
        <f>_xlfn.XLOOKUP(I92,dd_accsryclr!$A$2:$A$1000,dd_accsryclr!$A$2:$A$1000,"",0)</f>
        <v/>
      </c>
    </row>
    <row r="93" spans="1:12" hidden="1" x14ac:dyDescent="0.25">
      <c r="A93" s="16" t="s">
        <v>76</v>
      </c>
      <c r="B93" s="16" t="s">
        <v>207</v>
      </c>
      <c r="C93" s="16" t="s">
        <v>804</v>
      </c>
      <c r="D93" s="16" t="s">
        <v>805</v>
      </c>
      <c r="E93" s="16"/>
      <c r="F93" s="16" t="s">
        <v>194</v>
      </c>
      <c r="G93" s="16"/>
      <c r="H93" s="16" t="s">
        <v>797</v>
      </c>
      <c r="I93" s="16" t="s">
        <v>226</v>
      </c>
      <c r="J93" s="16" t="str">
        <f>IF(ISNUMBER(SEARCH("SCRW", H93)), _xlfn.XLOOKUP(C93,dd_item!$A$2:$A$147,dd_item!$B$2:$B$147,"",0),_xlfn.XLOOKUP(H93,dd_item!$A$2:$A$147,dd_item!$B$2:$B$147,"",0))</f>
        <v>Mullion66</v>
      </c>
      <c r="K93" s="16" t="str">
        <f>_xlfn.XLOOKUP(A93,dd_design_raw!$C$2:$C$1002,dd_design_raw!$A$2:$A$1002,"",0)</f>
        <v>Fix Slide Door - with Screen</v>
      </c>
      <c r="L93" s="16" t="str">
        <f>_xlfn.XLOOKUP(I93,dd_accsryclr!$A$2:$A$1000,dd_accsryclr!$A$2:$A$1000,"",0)</f>
        <v/>
      </c>
    </row>
    <row r="94" spans="1:12" hidden="1" x14ac:dyDescent="0.25">
      <c r="A94" s="16" t="s">
        <v>76</v>
      </c>
      <c r="B94" s="16" t="s">
        <v>207</v>
      </c>
      <c r="C94" s="16" t="s">
        <v>806</v>
      </c>
      <c r="D94" s="16" t="s">
        <v>807</v>
      </c>
      <c r="E94" s="16"/>
      <c r="F94" s="16" t="s">
        <v>194</v>
      </c>
      <c r="G94" s="16"/>
      <c r="H94" s="16" t="s">
        <v>797</v>
      </c>
      <c r="I94" s="16" t="s">
        <v>220</v>
      </c>
      <c r="J94" s="16" t="str">
        <f>IF(ISNUMBER(SEARCH("SCRW", H94)), _xlfn.XLOOKUP(C94,dd_item!$A$2:$A$147,dd_item!$B$2:$B$147,"",0),_xlfn.XLOOKUP(H94,dd_item!$A$2:$A$147,dd_item!$B$2:$B$147,"",0))</f>
        <v>Mullion66</v>
      </c>
      <c r="K94" s="16" t="str">
        <f>_xlfn.XLOOKUP(A94,dd_design_raw!$C$2:$C$1002,dd_design_raw!$A$2:$A$1002,"",0)</f>
        <v>Fix Slide Door - with Screen</v>
      </c>
      <c r="L94" s="16" t="str">
        <f>_xlfn.XLOOKUP(I94,dd_accsryclr!$A$2:$A$1000,dd_accsryclr!$A$2:$A$1000,"",0)</f>
        <v>WHT</v>
      </c>
    </row>
    <row r="95" spans="1:12" hidden="1" x14ac:dyDescent="0.25">
      <c r="A95" s="16" t="s">
        <v>76</v>
      </c>
      <c r="B95" s="16" t="s">
        <v>207</v>
      </c>
      <c r="C95" s="16" t="s">
        <v>808</v>
      </c>
      <c r="D95" s="16" t="s">
        <v>809</v>
      </c>
      <c r="E95" s="16"/>
      <c r="F95" s="16" t="s">
        <v>194</v>
      </c>
      <c r="G95" s="16"/>
      <c r="H95" s="16" t="s">
        <v>797</v>
      </c>
      <c r="I95" s="16" t="s">
        <v>230</v>
      </c>
      <c r="J95" s="16" t="str">
        <f>IF(ISNUMBER(SEARCH("SCRW", H95)), _xlfn.XLOOKUP(C95,dd_item!$A$2:$A$147,dd_item!$B$2:$B$147,"",0),_xlfn.XLOOKUP(H95,dd_item!$A$2:$A$147,dd_item!$B$2:$B$147,"",0))</f>
        <v>Mullion66</v>
      </c>
      <c r="K95" s="16" t="str">
        <f>_xlfn.XLOOKUP(A95,dd_design_raw!$C$2:$C$1002,dd_design_raw!$A$2:$A$1002,"",0)</f>
        <v>Fix Slide Door - with Screen</v>
      </c>
      <c r="L95" s="16" t="str">
        <f>_xlfn.XLOOKUP(I95,dd_accsryclr!$A$2:$A$1000,dd_accsryclr!$A$2:$A$1000,"",0)</f>
        <v>BRWN</v>
      </c>
    </row>
    <row r="96" spans="1:12" hidden="1" x14ac:dyDescent="0.25">
      <c r="A96" s="16" t="s">
        <v>76</v>
      </c>
      <c r="B96" s="16" t="s">
        <v>207</v>
      </c>
      <c r="C96" s="16" t="s">
        <v>265</v>
      </c>
      <c r="D96" s="16" t="s">
        <v>266</v>
      </c>
      <c r="E96" s="16"/>
      <c r="F96" s="16" t="s">
        <v>194</v>
      </c>
      <c r="G96" s="16"/>
      <c r="H96" s="16" t="s">
        <v>810</v>
      </c>
      <c r="I96" s="16"/>
      <c r="J96" s="16" t="str">
        <f>IF(ISNUMBER(SEARCH("SCRW", H96)), _xlfn.XLOOKUP(C96,dd_item!$A$2:$A$147,dd_item!$B$2:$B$147,"",0),_xlfn.XLOOKUP(H96,dd_item!$A$2:$A$147,dd_item!$B$2:$B$147,"",0))</f>
        <v>Steel-Mullion66</v>
      </c>
      <c r="K96" s="16" t="str">
        <f>_xlfn.XLOOKUP(A96,dd_design_raw!$C$2:$C$1002,dd_design_raw!$A$2:$A$1002,"",0)</f>
        <v>Fix Slide Door - with Screen</v>
      </c>
      <c r="L96" s="16" t="str">
        <f>_xlfn.XLOOKUP(I96,dd_accsryclr!$A$2:$A$1000,dd_accsryclr!$A$2:$A$1000,"",0)</f>
        <v/>
      </c>
    </row>
    <row r="97" spans="1:12" hidden="1" x14ac:dyDescent="0.25">
      <c r="A97" s="16" t="s">
        <v>26</v>
      </c>
      <c r="B97" s="16" t="s">
        <v>426</v>
      </c>
      <c r="C97" s="16" t="s">
        <v>208</v>
      </c>
      <c r="D97" s="16" t="s">
        <v>209</v>
      </c>
      <c r="E97" s="16">
        <v>1.6241379310344828</v>
      </c>
      <c r="F97" s="16" t="s">
        <v>194</v>
      </c>
      <c r="G97" s="16"/>
      <c r="H97" s="16" t="s">
        <v>210</v>
      </c>
      <c r="I97" s="16" t="s">
        <v>211</v>
      </c>
      <c r="J97" s="16" t="str">
        <f>IF(ISNUMBER(SEARCH("SCRW", H97)), _xlfn.XLOOKUP(C97,dd_item!$A$2:$A$147,dd_item!$B$2:$B$147,"",0),_xlfn.XLOOKUP(H97,dd_item!$A$2:$A$147,dd_item!$B$2:$B$147,"",0))</f>
        <v>Frame138</v>
      </c>
      <c r="K97" s="16" t="str">
        <f>_xlfn.XLOOKUP(A97,dd_design_raw!$C$2:$C$1002,dd_design_raw!$A$2:$A$1002,"",0)</f>
        <v>Fix Slide Slide Door</v>
      </c>
      <c r="L97" s="16" t="str">
        <f>_xlfn.XLOOKUP(I97,dd_accsryclr!$A$2:$A$1000,dd_accsryclr!$A$2:$A$1000,"",0)</f>
        <v/>
      </c>
    </row>
    <row r="98" spans="1:12" hidden="1" x14ac:dyDescent="0.25">
      <c r="A98" s="16" t="s">
        <v>26</v>
      </c>
      <c r="B98" s="16" t="s">
        <v>426</v>
      </c>
      <c r="C98" s="16" t="s">
        <v>212</v>
      </c>
      <c r="D98" s="16" t="s">
        <v>213</v>
      </c>
      <c r="E98" s="16">
        <v>1.6241379310344828</v>
      </c>
      <c r="F98" s="16" t="s">
        <v>194</v>
      </c>
      <c r="G98" s="16"/>
      <c r="H98" s="16" t="s">
        <v>210</v>
      </c>
      <c r="I98" s="16" t="s">
        <v>214</v>
      </c>
      <c r="J98" s="16" t="str">
        <f>IF(ISNUMBER(SEARCH("SCRW", H98)), _xlfn.XLOOKUP(C98,dd_item!$A$2:$A$147,dd_item!$B$2:$B$147,"",0),_xlfn.XLOOKUP(H98,dd_item!$A$2:$A$147,dd_item!$B$2:$B$147,"",0))</f>
        <v>Frame138</v>
      </c>
      <c r="K98" s="16" t="str">
        <f>_xlfn.XLOOKUP(A98,dd_design_raw!$C$2:$C$1002,dd_design_raw!$A$2:$A$1002,"",0)</f>
        <v>Fix Slide Slide Door</v>
      </c>
      <c r="L98" s="16" t="str">
        <f>_xlfn.XLOOKUP(I98,dd_accsryclr!$A$2:$A$1000,dd_accsryclr!$A$2:$A$1000,"",0)</f>
        <v/>
      </c>
    </row>
    <row r="99" spans="1:12" hidden="1" x14ac:dyDescent="0.25">
      <c r="A99" s="16" t="s">
        <v>26</v>
      </c>
      <c r="B99" s="16" t="s">
        <v>426</v>
      </c>
      <c r="C99" s="16" t="s">
        <v>215</v>
      </c>
      <c r="D99" s="16" t="s">
        <v>216</v>
      </c>
      <c r="E99" s="16">
        <v>1.6241379310344828</v>
      </c>
      <c r="F99" s="16" t="s">
        <v>194</v>
      </c>
      <c r="G99" s="16"/>
      <c r="H99" s="16" t="s">
        <v>210</v>
      </c>
      <c r="I99" s="16" t="s">
        <v>217</v>
      </c>
      <c r="J99" s="16" t="str">
        <f>IF(ISNUMBER(SEARCH("SCRW", H99)), _xlfn.XLOOKUP(C99,dd_item!$A$2:$A$147,dd_item!$B$2:$B$147,"",0),_xlfn.XLOOKUP(H99,dd_item!$A$2:$A$147,dd_item!$B$2:$B$147,"",0))</f>
        <v>Frame138</v>
      </c>
      <c r="K99" s="16" t="str">
        <f>_xlfn.XLOOKUP(A99,dd_design_raw!$C$2:$C$1002,dd_design_raw!$A$2:$A$1002,"",0)</f>
        <v>Fix Slide Slide Door</v>
      </c>
      <c r="L99" s="16" t="str">
        <f>_xlfn.XLOOKUP(I99,dd_accsryclr!$A$2:$A$1000,dd_accsryclr!$A$2:$A$1000,"",0)</f>
        <v/>
      </c>
    </row>
    <row r="100" spans="1:12" hidden="1" x14ac:dyDescent="0.25">
      <c r="A100" s="16" t="s">
        <v>26</v>
      </c>
      <c r="B100" s="16" t="s">
        <v>426</v>
      </c>
      <c r="C100" s="16" t="s">
        <v>218</v>
      </c>
      <c r="D100" s="16" t="s">
        <v>219</v>
      </c>
      <c r="E100" s="16">
        <v>1.6241379310344828</v>
      </c>
      <c r="F100" s="16" t="s">
        <v>194</v>
      </c>
      <c r="G100" s="16"/>
      <c r="H100" s="16" t="s">
        <v>210</v>
      </c>
      <c r="I100" s="16" t="s">
        <v>220</v>
      </c>
      <c r="J100" s="16" t="str">
        <f>IF(ISNUMBER(SEARCH("SCRW", H100)), _xlfn.XLOOKUP(C100,dd_item!$A$2:$A$147,dd_item!$B$2:$B$147,"",0),_xlfn.XLOOKUP(H100,dd_item!$A$2:$A$147,dd_item!$B$2:$B$147,"",0))</f>
        <v>Frame138</v>
      </c>
      <c r="K100" s="16" t="str">
        <f>_xlfn.XLOOKUP(A100,dd_design_raw!$C$2:$C$1002,dd_design_raw!$A$2:$A$1002,"",0)</f>
        <v>Fix Slide Slide Door</v>
      </c>
      <c r="L100" s="16" t="str">
        <f>_xlfn.XLOOKUP(I100,dd_accsryclr!$A$2:$A$1000,dd_accsryclr!$A$2:$A$1000,"",0)</f>
        <v>WHT</v>
      </c>
    </row>
    <row r="101" spans="1:12" hidden="1" x14ac:dyDescent="0.25">
      <c r="A101" s="16" t="s">
        <v>26</v>
      </c>
      <c r="B101" s="16" t="s">
        <v>426</v>
      </c>
      <c r="C101" s="16" t="s">
        <v>221</v>
      </c>
      <c r="D101" s="16" t="s">
        <v>222</v>
      </c>
      <c r="E101" s="16">
        <v>1.6241379310344828</v>
      </c>
      <c r="F101" s="16" t="s">
        <v>194</v>
      </c>
      <c r="G101" s="16"/>
      <c r="H101" s="16" t="s">
        <v>210</v>
      </c>
      <c r="I101" s="16" t="s">
        <v>223</v>
      </c>
      <c r="J101" s="16" t="str">
        <f>IF(ISNUMBER(SEARCH("SCRW", H101)), _xlfn.XLOOKUP(C101,dd_item!$A$2:$A$147,dd_item!$B$2:$B$147,"",0),_xlfn.XLOOKUP(H101,dd_item!$A$2:$A$147,dd_item!$B$2:$B$147,"",0))</f>
        <v>Frame138</v>
      </c>
      <c r="K101" s="16" t="str">
        <f>_xlfn.XLOOKUP(A101,dd_design_raw!$C$2:$C$1002,dd_design_raw!$A$2:$A$1002,"",0)</f>
        <v>Fix Slide Slide Door</v>
      </c>
      <c r="L101" s="16" t="str">
        <f>_xlfn.XLOOKUP(I101,dd_accsryclr!$A$2:$A$1000,dd_accsryclr!$A$2:$A$1000,"",0)</f>
        <v>BLK</v>
      </c>
    </row>
    <row r="102" spans="1:12" hidden="1" x14ac:dyDescent="0.25">
      <c r="A102" s="16" t="s">
        <v>26</v>
      </c>
      <c r="B102" s="16" t="s">
        <v>426</v>
      </c>
      <c r="C102" s="16" t="s">
        <v>224</v>
      </c>
      <c r="D102" s="16" t="s">
        <v>225</v>
      </c>
      <c r="E102" s="16">
        <v>1.6241379310344828</v>
      </c>
      <c r="F102" s="16" t="s">
        <v>194</v>
      </c>
      <c r="G102" s="16"/>
      <c r="H102" s="16" t="s">
        <v>210</v>
      </c>
      <c r="I102" s="16" t="s">
        <v>226</v>
      </c>
      <c r="J102" s="16" t="str">
        <f>IF(ISNUMBER(SEARCH("SCRW", H102)), _xlfn.XLOOKUP(C102,dd_item!$A$2:$A$147,dd_item!$B$2:$B$147,"",0),_xlfn.XLOOKUP(H102,dd_item!$A$2:$A$147,dd_item!$B$2:$B$147,"",0))</f>
        <v>Frame138</v>
      </c>
      <c r="K102" s="16" t="str">
        <f>_xlfn.XLOOKUP(A102,dd_design_raw!$C$2:$C$1002,dd_design_raw!$A$2:$A$1002,"",0)</f>
        <v>Fix Slide Slide Door</v>
      </c>
      <c r="L102" s="16" t="str">
        <f>_xlfn.XLOOKUP(I102,dd_accsryclr!$A$2:$A$1000,dd_accsryclr!$A$2:$A$1000,"",0)</f>
        <v/>
      </c>
    </row>
    <row r="103" spans="1:12" hidden="1" x14ac:dyDescent="0.25">
      <c r="A103" s="16" t="s">
        <v>26</v>
      </c>
      <c r="B103" s="16" t="s">
        <v>426</v>
      </c>
      <c r="C103" s="16" t="s">
        <v>227</v>
      </c>
      <c r="D103" s="16" t="s">
        <v>228</v>
      </c>
      <c r="E103" s="16">
        <v>1.6241379310344828</v>
      </c>
      <c r="F103" s="16" t="s">
        <v>194</v>
      </c>
      <c r="G103" s="16"/>
      <c r="H103" s="16" t="s">
        <v>229</v>
      </c>
      <c r="I103" s="16" t="s">
        <v>230</v>
      </c>
      <c r="J103" s="16" t="str">
        <f>IF(ISNUMBER(SEARCH("SCRW", H103)), _xlfn.XLOOKUP(C103,dd_item!$A$2:$A$147,dd_item!$B$2:$B$147,"",0),_xlfn.XLOOKUP(H103,dd_item!$A$2:$A$147,dd_item!$B$2:$B$147,"",0))</f>
        <v>Frame112</v>
      </c>
      <c r="K103" s="16" t="str">
        <f>_xlfn.XLOOKUP(A103,dd_design_raw!$C$2:$C$1002,dd_design_raw!$A$2:$A$1002,"",0)</f>
        <v>Fix Slide Slide Door</v>
      </c>
      <c r="L103" s="16" t="str">
        <f>_xlfn.XLOOKUP(I103,dd_accsryclr!$A$2:$A$1000,dd_accsryclr!$A$2:$A$1000,"",0)</f>
        <v>BRWN</v>
      </c>
    </row>
    <row r="104" spans="1:12" hidden="1" x14ac:dyDescent="0.25">
      <c r="A104" s="16" t="s">
        <v>26</v>
      </c>
      <c r="B104" s="16" t="s">
        <v>426</v>
      </c>
      <c r="C104" s="16" t="s">
        <v>231</v>
      </c>
      <c r="D104" s="16" t="s">
        <v>232</v>
      </c>
      <c r="E104" s="16">
        <v>8.5389655172413796</v>
      </c>
      <c r="F104" s="16" t="s">
        <v>194</v>
      </c>
      <c r="G104" s="16"/>
      <c r="H104" s="16" t="s">
        <v>233</v>
      </c>
      <c r="I104" s="16" t="s">
        <v>223</v>
      </c>
      <c r="J104" s="16" t="str">
        <f>IF(ISNUMBER(SEARCH("SCRW", H104)), _xlfn.XLOOKUP(C104,dd_item!$A$2:$A$147,dd_item!$B$2:$B$147,"",0),_xlfn.XLOOKUP(H104,dd_item!$A$2:$A$147,dd_item!$B$2:$B$147,"",0))</f>
        <v>Sash92</v>
      </c>
      <c r="K104" s="16" t="str">
        <f>_xlfn.XLOOKUP(A104,dd_design_raw!$C$2:$C$1002,dd_design_raw!$A$2:$A$1002,"",0)</f>
        <v>Fix Slide Slide Door</v>
      </c>
      <c r="L104" s="16" t="str">
        <f>_xlfn.XLOOKUP(I104,dd_accsryclr!$A$2:$A$1000,dd_accsryclr!$A$2:$A$1000,"",0)</f>
        <v>BLK</v>
      </c>
    </row>
    <row r="105" spans="1:12" hidden="1" x14ac:dyDescent="0.25">
      <c r="A105" s="16" t="s">
        <v>26</v>
      </c>
      <c r="B105" s="16" t="s">
        <v>426</v>
      </c>
      <c r="C105" s="16" t="s">
        <v>234</v>
      </c>
      <c r="D105" s="16" t="s">
        <v>235</v>
      </c>
      <c r="E105" s="16">
        <v>8.5389655172413796</v>
      </c>
      <c r="F105" s="16" t="s">
        <v>194</v>
      </c>
      <c r="G105" s="16"/>
      <c r="H105" s="16" t="s">
        <v>233</v>
      </c>
      <c r="I105" s="16" t="s">
        <v>211</v>
      </c>
      <c r="J105" s="16" t="str">
        <f>IF(ISNUMBER(SEARCH("SCRW", H105)), _xlfn.XLOOKUP(C105,dd_item!$A$2:$A$147,dd_item!$B$2:$B$147,"",0),_xlfn.XLOOKUP(H105,dd_item!$A$2:$A$147,dd_item!$B$2:$B$147,"",0))</f>
        <v>Sash92</v>
      </c>
      <c r="K105" s="16" t="str">
        <f>_xlfn.XLOOKUP(A105,dd_design_raw!$C$2:$C$1002,dd_design_raw!$A$2:$A$1002,"",0)</f>
        <v>Fix Slide Slide Door</v>
      </c>
      <c r="L105" s="16" t="str">
        <f>_xlfn.XLOOKUP(I105,dd_accsryclr!$A$2:$A$1000,dd_accsryclr!$A$2:$A$1000,"",0)</f>
        <v/>
      </c>
    </row>
    <row r="106" spans="1:12" hidden="1" x14ac:dyDescent="0.25">
      <c r="A106" s="16" t="s">
        <v>26</v>
      </c>
      <c r="B106" s="16" t="s">
        <v>426</v>
      </c>
      <c r="C106" s="16" t="s">
        <v>236</v>
      </c>
      <c r="D106" s="16" t="s">
        <v>237</v>
      </c>
      <c r="E106" s="16">
        <v>8.5389655172413796</v>
      </c>
      <c r="F106" s="16" t="s">
        <v>194</v>
      </c>
      <c r="G106" s="16"/>
      <c r="H106" s="16" t="s">
        <v>233</v>
      </c>
      <c r="I106" s="16" t="s">
        <v>214</v>
      </c>
      <c r="J106" s="16" t="str">
        <f>IF(ISNUMBER(SEARCH("SCRW", H106)), _xlfn.XLOOKUP(C106,dd_item!$A$2:$A$147,dd_item!$B$2:$B$147,"",0),_xlfn.XLOOKUP(H106,dd_item!$A$2:$A$147,dd_item!$B$2:$B$147,"",0))</f>
        <v>Sash92</v>
      </c>
      <c r="K106" s="16" t="str">
        <f>_xlfn.XLOOKUP(A106,dd_design_raw!$C$2:$C$1002,dd_design_raw!$A$2:$A$1002,"",0)</f>
        <v>Fix Slide Slide Door</v>
      </c>
      <c r="L106" s="16" t="str">
        <f>_xlfn.XLOOKUP(I106,dd_accsryclr!$A$2:$A$1000,dd_accsryclr!$A$2:$A$1000,"",0)</f>
        <v/>
      </c>
    </row>
    <row r="107" spans="1:12" hidden="1" x14ac:dyDescent="0.25">
      <c r="A107" s="16" t="s">
        <v>26</v>
      </c>
      <c r="B107" s="16" t="s">
        <v>426</v>
      </c>
      <c r="C107" s="16" t="s">
        <v>238</v>
      </c>
      <c r="D107" s="16" t="s">
        <v>239</v>
      </c>
      <c r="E107" s="16">
        <v>8.5389655172413796</v>
      </c>
      <c r="F107" s="16" t="s">
        <v>194</v>
      </c>
      <c r="G107" s="16"/>
      <c r="H107" s="16" t="s">
        <v>233</v>
      </c>
      <c r="I107" s="16" t="s">
        <v>217</v>
      </c>
      <c r="J107" s="16" t="str">
        <f>IF(ISNUMBER(SEARCH("SCRW", H107)), _xlfn.XLOOKUP(C107,dd_item!$A$2:$A$147,dd_item!$B$2:$B$147,"",0),_xlfn.XLOOKUP(H107,dd_item!$A$2:$A$147,dd_item!$B$2:$B$147,"",0))</f>
        <v>Sash92</v>
      </c>
      <c r="K107" s="16" t="str">
        <f>_xlfn.XLOOKUP(A107,dd_design_raw!$C$2:$C$1002,dd_design_raw!$A$2:$A$1002,"",0)</f>
        <v>Fix Slide Slide Door</v>
      </c>
      <c r="L107" s="16" t="str">
        <f>_xlfn.XLOOKUP(I107,dd_accsryclr!$A$2:$A$1000,dd_accsryclr!$A$2:$A$1000,"",0)</f>
        <v/>
      </c>
    </row>
    <row r="108" spans="1:12" hidden="1" x14ac:dyDescent="0.25">
      <c r="A108" s="16" t="s">
        <v>26</v>
      </c>
      <c r="B108" s="16" t="s">
        <v>426</v>
      </c>
      <c r="C108" s="16" t="s">
        <v>240</v>
      </c>
      <c r="D108" s="16" t="s">
        <v>241</v>
      </c>
      <c r="E108" s="16">
        <v>8.5389655172413796</v>
      </c>
      <c r="F108" s="16" t="s">
        <v>194</v>
      </c>
      <c r="G108" s="16"/>
      <c r="H108" s="16" t="s">
        <v>233</v>
      </c>
      <c r="I108" s="16" t="s">
        <v>226</v>
      </c>
      <c r="J108" s="16" t="str">
        <f>IF(ISNUMBER(SEARCH("SCRW", H108)), _xlfn.XLOOKUP(C108,dd_item!$A$2:$A$147,dd_item!$B$2:$B$147,"",0),_xlfn.XLOOKUP(H108,dd_item!$A$2:$A$147,dd_item!$B$2:$B$147,"",0))</f>
        <v>Sash92</v>
      </c>
      <c r="K108" s="16" t="str">
        <f>_xlfn.XLOOKUP(A108,dd_design_raw!$C$2:$C$1002,dd_design_raw!$A$2:$A$1002,"",0)</f>
        <v>Fix Slide Slide Door</v>
      </c>
      <c r="L108" s="16" t="str">
        <f>_xlfn.XLOOKUP(I108,dd_accsryclr!$A$2:$A$1000,dd_accsryclr!$A$2:$A$1000,"",0)</f>
        <v/>
      </c>
    </row>
    <row r="109" spans="1:12" hidden="1" x14ac:dyDescent="0.25">
      <c r="A109" s="16" t="s">
        <v>26</v>
      </c>
      <c r="B109" s="16" t="s">
        <v>426</v>
      </c>
      <c r="C109" s="16" t="s">
        <v>242</v>
      </c>
      <c r="D109" s="16" t="s">
        <v>243</v>
      </c>
      <c r="E109" s="16">
        <v>8.5389655172413796</v>
      </c>
      <c r="F109" s="16" t="s">
        <v>194</v>
      </c>
      <c r="G109" s="16"/>
      <c r="H109" s="16" t="s">
        <v>233</v>
      </c>
      <c r="I109" s="16" t="s">
        <v>220</v>
      </c>
      <c r="J109" s="16" t="str">
        <f>IF(ISNUMBER(SEARCH("SCRW", H109)), _xlfn.XLOOKUP(C109,dd_item!$A$2:$A$147,dd_item!$B$2:$B$147,"",0),_xlfn.XLOOKUP(H109,dd_item!$A$2:$A$147,dd_item!$B$2:$B$147,"",0))</f>
        <v>Sash92</v>
      </c>
      <c r="K109" s="16" t="str">
        <f>_xlfn.XLOOKUP(A109,dd_design_raw!$C$2:$C$1002,dd_design_raw!$A$2:$A$1002,"",0)</f>
        <v>Fix Slide Slide Door</v>
      </c>
      <c r="L109" s="16" t="str">
        <f>_xlfn.XLOOKUP(I109,dd_accsryclr!$A$2:$A$1000,dd_accsryclr!$A$2:$A$1000,"",0)</f>
        <v>WHT</v>
      </c>
    </row>
    <row r="110" spans="1:12" hidden="1" x14ac:dyDescent="0.25">
      <c r="A110" s="16" t="s">
        <v>26</v>
      </c>
      <c r="B110" s="16" t="s">
        <v>426</v>
      </c>
      <c r="C110" s="16" t="s">
        <v>244</v>
      </c>
      <c r="D110" s="16" t="s">
        <v>245</v>
      </c>
      <c r="E110" s="16">
        <v>8.5389655172413796</v>
      </c>
      <c r="F110" s="16" t="s">
        <v>194</v>
      </c>
      <c r="G110" s="16"/>
      <c r="H110" s="16" t="s">
        <v>233</v>
      </c>
      <c r="I110" s="16" t="s">
        <v>230</v>
      </c>
      <c r="J110" s="16" t="str">
        <f>IF(ISNUMBER(SEARCH("SCRW", H110)), _xlfn.XLOOKUP(C110,dd_item!$A$2:$A$147,dd_item!$B$2:$B$147,"",0),_xlfn.XLOOKUP(H110,dd_item!$A$2:$A$147,dd_item!$B$2:$B$147,"",0))</f>
        <v>Sash92</v>
      </c>
      <c r="K110" s="16" t="str">
        <f>_xlfn.XLOOKUP(A110,dd_design_raw!$C$2:$C$1002,dd_design_raw!$A$2:$A$1002,"",0)</f>
        <v>Fix Slide Slide Door</v>
      </c>
      <c r="L110" s="16" t="str">
        <f>_xlfn.XLOOKUP(I110,dd_accsryclr!$A$2:$A$1000,dd_accsryclr!$A$2:$A$1000,"",0)</f>
        <v>BRWN</v>
      </c>
    </row>
    <row r="111" spans="1:12" hidden="1" x14ac:dyDescent="0.25">
      <c r="A111" s="16" t="s">
        <v>26</v>
      </c>
      <c r="B111" s="16" t="s">
        <v>426</v>
      </c>
      <c r="C111" s="16" t="s">
        <v>261</v>
      </c>
      <c r="D111" s="16" t="s">
        <v>262</v>
      </c>
      <c r="E111" s="16">
        <v>3.2482758620689656</v>
      </c>
      <c r="F111" s="16" t="s">
        <v>194</v>
      </c>
      <c r="G111" s="16" t="s">
        <v>64</v>
      </c>
      <c r="H111" s="16" t="s">
        <v>263</v>
      </c>
      <c r="I111" s="16" t="s">
        <v>264</v>
      </c>
      <c r="J111" s="16" t="str">
        <f>IF(ISNUMBER(SEARCH("SCRW", H111)), _xlfn.XLOOKUP(C111,dd_item!$A$2:$A$147,dd_item!$B$2:$B$147,"",0),_xlfn.XLOOKUP(H111,dd_item!$A$2:$A$147,dd_item!$B$2:$B$147,"",0))</f>
        <v>Steel-Frame</v>
      </c>
      <c r="K111" s="16" t="str">
        <f>_xlfn.XLOOKUP(A111,dd_design_raw!$C$2:$C$1002,dd_design_raw!$A$2:$A$1002,"",0)</f>
        <v>Fix Slide Slide Door</v>
      </c>
      <c r="L111" s="16" t="str">
        <f>_xlfn.XLOOKUP(I111,dd_accsryclr!$A$2:$A$1000,dd_accsryclr!$A$2:$A$1000,"",0)</f>
        <v/>
      </c>
    </row>
    <row r="112" spans="1:12" hidden="1" x14ac:dyDescent="0.25">
      <c r="A112" s="16" t="s">
        <v>26</v>
      </c>
      <c r="B112" s="16" t="s">
        <v>426</v>
      </c>
      <c r="C112" s="16" t="s">
        <v>269</v>
      </c>
      <c r="D112" s="16" t="s">
        <v>270</v>
      </c>
      <c r="E112" s="16">
        <v>8.5389655172413796</v>
      </c>
      <c r="F112" s="16" t="s">
        <v>194</v>
      </c>
      <c r="G112" s="16" t="s">
        <v>61</v>
      </c>
      <c r="H112" s="16" t="s">
        <v>267</v>
      </c>
      <c r="I112" s="16" t="s">
        <v>272</v>
      </c>
      <c r="J112" s="16" t="str">
        <f>IF(ISNUMBER(SEARCH("SCRW", H112)), _xlfn.XLOOKUP(C112,dd_item!$A$2:$A$147,dd_item!$B$2:$B$147,"",0),_xlfn.XLOOKUP(H112,dd_item!$A$2:$A$147,dd_item!$B$2:$B$147,"",0))</f>
        <v>Steel-Sash66</v>
      </c>
      <c r="K112" s="16" t="str">
        <f>_xlfn.XLOOKUP(A112,dd_design_raw!$C$2:$C$1002,dd_design_raw!$A$2:$A$1002,"",0)</f>
        <v>Fix Slide Slide Door</v>
      </c>
      <c r="L112" s="16" t="str">
        <f>_xlfn.XLOOKUP(I112,dd_accsryclr!$A$2:$A$1000,dd_accsryclr!$A$2:$A$1000,"",0)</f>
        <v/>
      </c>
    </row>
    <row r="113" spans="1:12" hidden="1" x14ac:dyDescent="0.25">
      <c r="A113" s="16" t="s">
        <v>26</v>
      </c>
      <c r="B113" s="16" t="s">
        <v>426</v>
      </c>
      <c r="C113" s="16" t="s">
        <v>273</v>
      </c>
      <c r="D113" s="16" t="s">
        <v>274</v>
      </c>
      <c r="E113" s="16">
        <v>8.5389655172413796</v>
      </c>
      <c r="F113" s="16" t="s">
        <v>194</v>
      </c>
      <c r="G113" s="16" t="s">
        <v>61</v>
      </c>
      <c r="H113" s="16" t="s">
        <v>271</v>
      </c>
      <c r="I113" s="16" t="s">
        <v>275</v>
      </c>
      <c r="J113" s="16" t="str">
        <f>IF(ISNUMBER(SEARCH("SCRW", H113)), _xlfn.XLOOKUP(C113,dd_item!$A$2:$A$147,dd_item!$B$2:$B$147,"",0),_xlfn.XLOOKUP(H113,dd_item!$A$2:$A$147,dd_item!$B$2:$B$147,"",0))</f>
        <v>Steel-Sash92</v>
      </c>
      <c r="K113" s="16" t="str">
        <f>_xlfn.XLOOKUP(A113,dd_design_raw!$C$2:$C$1002,dd_design_raw!$A$2:$A$1002,"",0)</f>
        <v>Fix Slide Slide Door</v>
      </c>
      <c r="L113" s="16" t="str">
        <f>_xlfn.XLOOKUP(I113,dd_accsryclr!$A$2:$A$1000,dd_accsryclr!$A$2:$A$1000,"",0)</f>
        <v/>
      </c>
    </row>
    <row r="114" spans="1:12" hidden="1" x14ac:dyDescent="0.25">
      <c r="A114" s="16" t="s">
        <v>26</v>
      </c>
      <c r="B114" s="16" t="s">
        <v>426</v>
      </c>
      <c r="C114" s="16" t="s">
        <v>276</v>
      </c>
      <c r="D114" s="16" t="s">
        <v>277</v>
      </c>
      <c r="E114" s="16">
        <v>8.5389655172413796</v>
      </c>
      <c r="F114" s="16" t="s">
        <v>194</v>
      </c>
      <c r="G114" s="16"/>
      <c r="H114" s="16" t="s">
        <v>278</v>
      </c>
      <c r="I114" s="16" t="s">
        <v>223</v>
      </c>
      <c r="J114" s="16" t="str">
        <f>IF(ISNUMBER(SEARCH("SCRW", H114)), _xlfn.XLOOKUP(C114,dd_item!$A$2:$A$147,dd_item!$B$2:$B$147,"",0),_xlfn.XLOOKUP(H114,dd_item!$A$2:$A$147,dd_item!$B$2:$B$147,"",0))</f>
        <v>Bead25</v>
      </c>
      <c r="K114" s="16" t="str">
        <f>_xlfn.XLOOKUP(A114,dd_design_raw!$C$2:$C$1002,dd_design_raw!$A$2:$A$1002,"",0)</f>
        <v>Fix Slide Slide Door</v>
      </c>
      <c r="L114" s="16" t="str">
        <f>_xlfn.XLOOKUP(I114,dd_accsryclr!$A$2:$A$1000,dd_accsryclr!$A$2:$A$1000,"",0)</f>
        <v>BLK</v>
      </c>
    </row>
    <row r="115" spans="1:12" hidden="1" x14ac:dyDescent="0.25">
      <c r="A115" s="16" t="s">
        <v>26</v>
      </c>
      <c r="B115" s="16" t="s">
        <v>426</v>
      </c>
      <c r="C115" s="16" t="s">
        <v>279</v>
      </c>
      <c r="D115" s="16" t="s">
        <v>280</v>
      </c>
      <c r="E115" s="16">
        <v>8.5389655172413796</v>
      </c>
      <c r="F115" s="16" t="s">
        <v>194</v>
      </c>
      <c r="G115" s="16"/>
      <c r="H115" s="16" t="s">
        <v>278</v>
      </c>
      <c r="I115" s="16" t="s">
        <v>211</v>
      </c>
      <c r="J115" s="16" t="str">
        <f>IF(ISNUMBER(SEARCH("SCRW", H115)), _xlfn.XLOOKUP(C115,dd_item!$A$2:$A$147,dd_item!$B$2:$B$147,"",0),_xlfn.XLOOKUP(H115,dd_item!$A$2:$A$147,dd_item!$B$2:$B$147,"",0))</f>
        <v>Bead25</v>
      </c>
      <c r="K115" s="16" t="str">
        <f>_xlfn.XLOOKUP(A115,dd_design_raw!$C$2:$C$1002,dd_design_raw!$A$2:$A$1002,"",0)</f>
        <v>Fix Slide Slide Door</v>
      </c>
      <c r="L115" s="16" t="str">
        <f>_xlfn.XLOOKUP(I115,dd_accsryclr!$A$2:$A$1000,dd_accsryclr!$A$2:$A$1000,"",0)</f>
        <v/>
      </c>
    </row>
    <row r="116" spans="1:12" hidden="1" x14ac:dyDescent="0.25">
      <c r="A116" s="16" t="s">
        <v>26</v>
      </c>
      <c r="B116" s="16" t="s">
        <v>426</v>
      </c>
      <c r="C116" s="16" t="s">
        <v>281</v>
      </c>
      <c r="D116" s="16" t="s">
        <v>282</v>
      </c>
      <c r="E116" s="16">
        <v>8.5389655172413796</v>
      </c>
      <c r="F116" s="16" t="s">
        <v>194</v>
      </c>
      <c r="G116" s="16"/>
      <c r="H116" s="16" t="s">
        <v>278</v>
      </c>
      <c r="I116" s="16" t="s">
        <v>214</v>
      </c>
      <c r="J116" s="16" t="str">
        <f>IF(ISNUMBER(SEARCH("SCRW", H116)), _xlfn.XLOOKUP(C116,dd_item!$A$2:$A$147,dd_item!$B$2:$B$147,"",0),_xlfn.XLOOKUP(H116,dd_item!$A$2:$A$147,dd_item!$B$2:$B$147,"",0))</f>
        <v>Bead25</v>
      </c>
      <c r="K116" s="16" t="str">
        <f>_xlfn.XLOOKUP(A116,dd_design_raw!$C$2:$C$1002,dd_design_raw!$A$2:$A$1002,"",0)</f>
        <v>Fix Slide Slide Door</v>
      </c>
      <c r="L116" s="16" t="str">
        <f>_xlfn.XLOOKUP(I116,dd_accsryclr!$A$2:$A$1000,dd_accsryclr!$A$2:$A$1000,"",0)</f>
        <v/>
      </c>
    </row>
    <row r="117" spans="1:12" hidden="1" x14ac:dyDescent="0.25">
      <c r="A117" s="16" t="s">
        <v>26</v>
      </c>
      <c r="B117" s="16" t="s">
        <v>426</v>
      </c>
      <c r="C117" s="16" t="s">
        <v>283</v>
      </c>
      <c r="D117" s="16" t="s">
        <v>284</v>
      </c>
      <c r="E117" s="16">
        <v>8.5389655172413796</v>
      </c>
      <c r="F117" s="16" t="s">
        <v>194</v>
      </c>
      <c r="G117" s="16"/>
      <c r="H117" s="16" t="s">
        <v>278</v>
      </c>
      <c r="I117" s="16" t="s">
        <v>217</v>
      </c>
      <c r="J117" s="16" t="str">
        <f>IF(ISNUMBER(SEARCH("SCRW", H117)), _xlfn.XLOOKUP(C117,dd_item!$A$2:$A$147,dd_item!$B$2:$B$147,"",0),_xlfn.XLOOKUP(H117,dd_item!$A$2:$A$147,dd_item!$B$2:$B$147,"",0))</f>
        <v>Bead25</v>
      </c>
      <c r="K117" s="16" t="str">
        <f>_xlfn.XLOOKUP(A117,dd_design_raw!$C$2:$C$1002,dd_design_raw!$A$2:$A$1002,"",0)</f>
        <v>Fix Slide Slide Door</v>
      </c>
      <c r="L117" s="16" t="str">
        <f>_xlfn.XLOOKUP(I117,dd_accsryclr!$A$2:$A$1000,dd_accsryclr!$A$2:$A$1000,"",0)</f>
        <v/>
      </c>
    </row>
    <row r="118" spans="1:12" hidden="1" x14ac:dyDescent="0.25">
      <c r="A118" s="16" t="s">
        <v>26</v>
      </c>
      <c r="B118" s="16" t="s">
        <v>426</v>
      </c>
      <c r="C118" s="16" t="s">
        <v>285</v>
      </c>
      <c r="D118" s="16" t="s">
        <v>286</v>
      </c>
      <c r="E118" s="16">
        <v>8.5389655172413796</v>
      </c>
      <c r="F118" s="16" t="s">
        <v>194</v>
      </c>
      <c r="G118" s="16"/>
      <c r="H118" s="16" t="s">
        <v>278</v>
      </c>
      <c r="I118" s="16" t="s">
        <v>226</v>
      </c>
      <c r="J118" s="16" t="str">
        <f>IF(ISNUMBER(SEARCH("SCRW", H118)), _xlfn.XLOOKUP(C118,dd_item!$A$2:$A$147,dd_item!$B$2:$B$147,"",0),_xlfn.XLOOKUP(H118,dd_item!$A$2:$A$147,dd_item!$B$2:$B$147,"",0))</f>
        <v>Bead25</v>
      </c>
      <c r="K118" s="16" t="str">
        <f>_xlfn.XLOOKUP(A118,dd_design_raw!$C$2:$C$1002,dd_design_raw!$A$2:$A$1002,"",0)</f>
        <v>Fix Slide Slide Door</v>
      </c>
      <c r="L118" s="16" t="str">
        <f>_xlfn.XLOOKUP(I118,dd_accsryclr!$A$2:$A$1000,dd_accsryclr!$A$2:$A$1000,"",0)</f>
        <v/>
      </c>
    </row>
    <row r="119" spans="1:12" hidden="1" x14ac:dyDescent="0.25">
      <c r="A119" s="16" t="s">
        <v>26</v>
      </c>
      <c r="B119" s="16" t="s">
        <v>426</v>
      </c>
      <c r="C119" s="16" t="s">
        <v>287</v>
      </c>
      <c r="D119" s="16" t="s">
        <v>288</v>
      </c>
      <c r="E119" s="16">
        <v>8.5389655172413796</v>
      </c>
      <c r="F119" s="16" t="s">
        <v>194</v>
      </c>
      <c r="G119" s="16"/>
      <c r="H119" s="16" t="s">
        <v>278</v>
      </c>
      <c r="I119" s="16" t="s">
        <v>220</v>
      </c>
      <c r="J119" s="16" t="str">
        <f>IF(ISNUMBER(SEARCH("SCRW", H119)), _xlfn.XLOOKUP(C119,dd_item!$A$2:$A$147,dd_item!$B$2:$B$147,"",0),_xlfn.XLOOKUP(H119,dd_item!$A$2:$A$147,dd_item!$B$2:$B$147,"",0))</f>
        <v>Bead25</v>
      </c>
      <c r="K119" s="16" t="str">
        <f>_xlfn.XLOOKUP(A119,dd_design_raw!$C$2:$C$1002,dd_design_raw!$A$2:$A$1002,"",0)</f>
        <v>Fix Slide Slide Door</v>
      </c>
      <c r="L119" s="16" t="str">
        <f>_xlfn.XLOOKUP(I119,dd_accsryclr!$A$2:$A$1000,dd_accsryclr!$A$2:$A$1000,"",0)</f>
        <v>WHT</v>
      </c>
    </row>
    <row r="120" spans="1:12" hidden="1" x14ac:dyDescent="0.25">
      <c r="A120" s="16" t="s">
        <v>26</v>
      </c>
      <c r="B120" s="16" t="s">
        <v>426</v>
      </c>
      <c r="C120" s="16" t="s">
        <v>289</v>
      </c>
      <c r="D120" s="16" t="s">
        <v>290</v>
      </c>
      <c r="E120" s="16">
        <v>8.5389655172413796</v>
      </c>
      <c r="F120" s="16" t="s">
        <v>194</v>
      </c>
      <c r="G120" s="16"/>
      <c r="H120" s="16" t="s">
        <v>278</v>
      </c>
      <c r="I120" s="16" t="s">
        <v>230</v>
      </c>
      <c r="J120" s="16" t="str">
        <f>IF(ISNUMBER(SEARCH("SCRW", H120)), _xlfn.XLOOKUP(C120,dd_item!$A$2:$A$147,dd_item!$B$2:$B$147,"",0),_xlfn.XLOOKUP(H120,dd_item!$A$2:$A$147,dd_item!$B$2:$B$147,"",0))</f>
        <v>Bead25</v>
      </c>
      <c r="K120" s="16" t="str">
        <f>_xlfn.XLOOKUP(A120,dd_design_raw!$C$2:$C$1002,dd_design_raw!$A$2:$A$1002,"",0)</f>
        <v>Fix Slide Slide Door</v>
      </c>
      <c r="L120" s="16" t="str">
        <f>_xlfn.XLOOKUP(I120,dd_accsryclr!$A$2:$A$1000,dd_accsryclr!$A$2:$A$1000,"",0)</f>
        <v>BRWN</v>
      </c>
    </row>
    <row r="121" spans="1:12" hidden="1" x14ac:dyDescent="0.25">
      <c r="A121" s="16" t="s">
        <v>26</v>
      </c>
      <c r="B121" s="16" t="s">
        <v>426</v>
      </c>
      <c r="C121" s="16" t="s">
        <v>291</v>
      </c>
      <c r="D121" s="16" t="s">
        <v>292</v>
      </c>
      <c r="E121" s="16">
        <v>1</v>
      </c>
      <c r="F121" s="16" t="s">
        <v>293</v>
      </c>
      <c r="G121" s="16"/>
      <c r="H121" s="16" t="s">
        <v>294</v>
      </c>
      <c r="I121" s="16" t="s">
        <v>295</v>
      </c>
      <c r="J121" s="16" t="str">
        <f>IF(ISNUMBER(SEARCH("SCRW", H121)), _xlfn.XLOOKUP(C121,dd_item!$A$2:$A$147,dd_item!$B$2:$B$147,"",0),_xlfn.XLOOKUP(H121,dd_item!$A$2:$A$147,dd_item!$B$2:$B$147,"",0))</f>
        <v>SD Kit Handle</v>
      </c>
      <c r="K121" s="16" t="str">
        <f>_xlfn.XLOOKUP(A121,dd_design_raw!$C$2:$C$1002,dd_design_raw!$A$2:$A$1002,"",0)</f>
        <v>Fix Slide Slide Door</v>
      </c>
      <c r="L121" s="16" t="str">
        <f>_xlfn.XLOOKUP(I121,dd_accsryclr!$A$2:$A$1000,dd_accsryclr!$A$2:$A$1000,"",0)</f>
        <v/>
      </c>
    </row>
    <row r="122" spans="1:12" hidden="1" x14ac:dyDescent="0.25">
      <c r="A122" s="16" t="s">
        <v>26</v>
      </c>
      <c r="B122" s="16" t="s">
        <v>426</v>
      </c>
      <c r="C122" s="16" t="s">
        <v>296</v>
      </c>
      <c r="D122" s="16" t="s">
        <v>297</v>
      </c>
      <c r="E122" s="16">
        <v>1</v>
      </c>
      <c r="F122" s="16" t="s">
        <v>293</v>
      </c>
      <c r="G122" s="16"/>
      <c r="H122" s="16" t="s">
        <v>294</v>
      </c>
      <c r="I122" s="16" t="s">
        <v>298</v>
      </c>
      <c r="J122" s="16" t="str">
        <f>IF(ISNUMBER(SEARCH("SCRW", H122)), _xlfn.XLOOKUP(C122,dd_item!$A$2:$A$147,dd_item!$B$2:$B$147,"",0),_xlfn.XLOOKUP(H122,dd_item!$A$2:$A$147,dd_item!$B$2:$B$147,"",0))</f>
        <v>SD Kit Handle</v>
      </c>
      <c r="K122" s="16" t="str">
        <f>_xlfn.XLOOKUP(A122,dd_design_raw!$C$2:$C$1002,dd_design_raw!$A$2:$A$1002,"",0)</f>
        <v>Fix Slide Slide Door</v>
      </c>
      <c r="L122" s="16" t="str">
        <f>_xlfn.XLOOKUP(I122,dd_accsryclr!$A$2:$A$1000,dd_accsryclr!$A$2:$A$1000,"",0)</f>
        <v/>
      </c>
    </row>
    <row r="123" spans="1:12" hidden="1" x14ac:dyDescent="0.25">
      <c r="A123" s="16" t="s">
        <v>26</v>
      </c>
      <c r="B123" s="16" t="s">
        <v>426</v>
      </c>
      <c r="C123" s="16" t="s">
        <v>299</v>
      </c>
      <c r="D123" s="16" t="s">
        <v>300</v>
      </c>
      <c r="E123" s="16">
        <v>1</v>
      </c>
      <c r="F123" s="16" t="s">
        <v>293</v>
      </c>
      <c r="G123" s="16"/>
      <c r="H123" s="16" t="s">
        <v>294</v>
      </c>
      <c r="I123" s="16" t="s">
        <v>223</v>
      </c>
      <c r="J123" s="16" t="str">
        <f>IF(ISNUMBER(SEARCH("SCRW", H123)), _xlfn.XLOOKUP(C123,dd_item!$A$2:$A$147,dd_item!$B$2:$B$147,"",0),_xlfn.XLOOKUP(H123,dd_item!$A$2:$A$147,dd_item!$B$2:$B$147,"",0))</f>
        <v>SD Kit Handle</v>
      </c>
      <c r="K123" s="16" t="str">
        <f>_xlfn.XLOOKUP(A123,dd_design_raw!$C$2:$C$1002,dd_design_raw!$A$2:$A$1002,"",0)</f>
        <v>Fix Slide Slide Door</v>
      </c>
      <c r="L123" s="16" t="str">
        <f>_xlfn.XLOOKUP(I123,dd_accsryclr!$A$2:$A$1000,dd_accsryclr!$A$2:$A$1000,"",0)</f>
        <v>BLK</v>
      </c>
    </row>
    <row r="124" spans="1:12" hidden="1" x14ac:dyDescent="0.25">
      <c r="A124" s="16" t="s">
        <v>26</v>
      </c>
      <c r="B124" s="16" t="s">
        <v>426</v>
      </c>
      <c r="C124" s="16" t="s">
        <v>301</v>
      </c>
      <c r="D124" s="16" t="s">
        <v>302</v>
      </c>
      <c r="E124" s="16">
        <v>1</v>
      </c>
      <c r="F124" s="16" t="s">
        <v>293</v>
      </c>
      <c r="G124" s="16"/>
      <c r="H124" s="16" t="s">
        <v>294</v>
      </c>
      <c r="I124" s="16" t="s">
        <v>220</v>
      </c>
      <c r="J124" s="16" t="str">
        <f>IF(ISNUMBER(SEARCH("SCRW", H124)), _xlfn.XLOOKUP(C124,dd_item!$A$2:$A$147,dd_item!$B$2:$B$147,"",0),_xlfn.XLOOKUP(H124,dd_item!$A$2:$A$147,dd_item!$B$2:$B$147,"",0))</f>
        <v>SD Kit Handle</v>
      </c>
      <c r="K124" s="16" t="str">
        <f>_xlfn.XLOOKUP(A124,dd_design_raw!$C$2:$C$1002,dd_design_raw!$A$2:$A$1002,"",0)</f>
        <v>Fix Slide Slide Door</v>
      </c>
      <c r="L124" s="16" t="str">
        <f>_xlfn.XLOOKUP(I124,dd_accsryclr!$A$2:$A$1000,dd_accsryclr!$A$2:$A$1000,"",0)</f>
        <v>WHT</v>
      </c>
    </row>
    <row r="125" spans="1:12" hidden="1" x14ac:dyDescent="0.25">
      <c r="A125" s="16" t="s">
        <v>26</v>
      </c>
      <c r="B125" s="16" t="s">
        <v>426</v>
      </c>
      <c r="C125" s="16" t="s">
        <v>303</v>
      </c>
      <c r="D125" s="16" t="s">
        <v>304</v>
      </c>
      <c r="E125" s="16">
        <v>4</v>
      </c>
      <c r="F125" s="16" t="s">
        <v>293</v>
      </c>
      <c r="G125" s="16"/>
      <c r="H125" s="16" t="s">
        <v>305</v>
      </c>
      <c r="I125" s="16"/>
      <c r="J125" s="16" t="str">
        <f>IF(ISNUMBER(SEARCH("SCRW", H125)), _xlfn.XLOOKUP(C125,dd_item!$A$2:$A$147,dd_item!$B$2:$B$147,"",0),_xlfn.XLOOKUP(H125,dd_item!$A$2:$A$147,dd_item!$B$2:$B$147,"",0))</f>
        <v>Rubber Stopper</v>
      </c>
      <c r="K125" s="16" t="str">
        <f>_xlfn.XLOOKUP(A125,dd_design_raw!$C$2:$C$1002,dd_design_raw!$A$2:$A$1002,"",0)</f>
        <v>Fix Slide Slide Door</v>
      </c>
      <c r="L125" s="16" t="str">
        <f>_xlfn.XLOOKUP(I125,dd_accsryclr!$A$2:$A$1000,dd_accsryclr!$A$2:$A$1000,"",0)</f>
        <v/>
      </c>
    </row>
    <row r="126" spans="1:12" hidden="1" x14ac:dyDescent="0.25">
      <c r="A126" s="16" t="s">
        <v>26</v>
      </c>
      <c r="B126" s="16" t="s">
        <v>426</v>
      </c>
      <c r="C126" s="16" t="s">
        <v>306</v>
      </c>
      <c r="D126" s="16" t="s">
        <v>307</v>
      </c>
      <c r="E126" s="16">
        <v>4</v>
      </c>
      <c r="F126" s="16" t="s">
        <v>293</v>
      </c>
      <c r="G126" s="16"/>
      <c r="H126" s="16" t="s">
        <v>308</v>
      </c>
      <c r="I126" s="16" t="s">
        <v>230</v>
      </c>
      <c r="J126" s="16" t="str">
        <f>IF(ISNUMBER(SEARCH("SCRW", H126)), _xlfn.XLOOKUP(C126,dd_item!$A$2:$A$147,dd_item!$B$2:$B$147,"",0),_xlfn.XLOOKUP(H126,dd_item!$A$2:$A$147,dd_item!$B$2:$B$147,"",0))</f>
        <v>Track Bridge</v>
      </c>
      <c r="K126" s="16" t="str">
        <f>_xlfn.XLOOKUP(A126,dd_design_raw!$C$2:$C$1002,dd_design_raw!$A$2:$A$1002,"",0)</f>
        <v>Fix Slide Slide Door</v>
      </c>
      <c r="L126" s="16" t="str">
        <f>_xlfn.XLOOKUP(I126,dd_accsryclr!$A$2:$A$1000,dd_accsryclr!$A$2:$A$1000,"",0)</f>
        <v>BRWN</v>
      </c>
    </row>
    <row r="127" spans="1:12" hidden="1" x14ac:dyDescent="0.25">
      <c r="A127" s="16" t="s">
        <v>26</v>
      </c>
      <c r="B127" s="16" t="s">
        <v>426</v>
      </c>
      <c r="C127" s="16" t="s">
        <v>309</v>
      </c>
      <c r="D127" s="16" t="s">
        <v>310</v>
      </c>
      <c r="E127" s="16">
        <v>4</v>
      </c>
      <c r="F127" s="16" t="s">
        <v>293</v>
      </c>
      <c r="G127" s="16"/>
      <c r="H127" s="16" t="s">
        <v>308</v>
      </c>
      <c r="I127" s="16" t="s">
        <v>220</v>
      </c>
      <c r="J127" s="16" t="str">
        <f>IF(ISNUMBER(SEARCH("SCRW", H127)), _xlfn.XLOOKUP(C127,dd_item!$A$2:$A$147,dd_item!$B$2:$B$147,"",0),_xlfn.XLOOKUP(H127,dd_item!$A$2:$A$147,dd_item!$B$2:$B$147,"",0))</f>
        <v>Track Bridge</v>
      </c>
      <c r="K127" s="16" t="str">
        <f>_xlfn.XLOOKUP(A127,dd_design_raw!$C$2:$C$1002,dd_design_raw!$A$2:$A$1002,"",0)</f>
        <v>Fix Slide Slide Door</v>
      </c>
      <c r="L127" s="16" t="str">
        <f>_xlfn.XLOOKUP(I127,dd_accsryclr!$A$2:$A$1000,dd_accsryclr!$A$2:$A$1000,"",0)</f>
        <v>WHT</v>
      </c>
    </row>
    <row r="128" spans="1:12" hidden="1" x14ac:dyDescent="0.25">
      <c r="A128" s="16" t="s">
        <v>26</v>
      </c>
      <c r="B128" s="16" t="s">
        <v>426</v>
      </c>
      <c r="C128" s="16" t="s">
        <v>311</v>
      </c>
      <c r="D128" s="16" t="s">
        <v>312</v>
      </c>
      <c r="E128" s="16">
        <v>4</v>
      </c>
      <c r="F128" s="16" t="s">
        <v>293</v>
      </c>
      <c r="G128" s="16"/>
      <c r="H128" s="16" t="s">
        <v>313</v>
      </c>
      <c r="I128" s="16"/>
      <c r="J128" s="16" t="str">
        <f>IF(ISNUMBER(SEARCH("SCRW", H128)), _xlfn.XLOOKUP(C128,dd_item!$A$2:$A$147,dd_item!$B$2:$B$147,"",0),_xlfn.XLOOKUP(H128,dd_item!$A$2:$A$147,dd_item!$B$2:$B$147,"",0))</f>
        <v>Roller for Door</v>
      </c>
      <c r="K128" s="16" t="str">
        <f>_xlfn.XLOOKUP(A128,dd_design_raw!$C$2:$C$1002,dd_design_raw!$A$2:$A$1002,"",0)</f>
        <v>Fix Slide Slide Door</v>
      </c>
      <c r="L128" s="16" t="str">
        <f>_xlfn.XLOOKUP(I128,dd_accsryclr!$A$2:$A$1000,dd_accsryclr!$A$2:$A$1000,"",0)</f>
        <v/>
      </c>
    </row>
    <row r="129" spans="1:12" hidden="1" x14ac:dyDescent="0.25">
      <c r="A129" s="16" t="s">
        <v>26</v>
      </c>
      <c r="B129" s="16" t="s">
        <v>426</v>
      </c>
      <c r="C129" s="16" t="s">
        <v>314</v>
      </c>
      <c r="D129" s="16" t="s">
        <v>315</v>
      </c>
      <c r="E129" s="16">
        <v>4</v>
      </c>
      <c r="F129" s="16" t="s">
        <v>293</v>
      </c>
      <c r="G129" s="16"/>
      <c r="H129" s="16" t="s">
        <v>313</v>
      </c>
      <c r="I129" s="16"/>
      <c r="J129" s="16" t="str">
        <f>IF(ISNUMBER(SEARCH("SCRW", H129)), _xlfn.XLOOKUP(C129,dd_item!$A$2:$A$147,dd_item!$B$2:$B$147,"",0),_xlfn.XLOOKUP(H129,dd_item!$A$2:$A$147,dd_item!$B$2:$B$147,"",0))</f>
        <v>Roller for Door</v>
      </c>
      <c r="K129" s="16" t="str">
        <f>_xlfn.XLOOKUP(A129,dd_design_raw!$C$2:$C$1002,dd_design_raw!$A$2:$A$1002,"",0)</f>
        <v>Fix Slide Slide Door</v>
      </c>
      <c r="L129" s="16" t="str">
        <f>_xlfn.XLOOKUP(I129,dd_accsryclr!$A$2:$A$1000,dd_accsryclr!$A$2:$A$1000,"",0)</f>
        <v/>
      </c>
    </row>
    <row r="130" spans="1:12" hidden="1" x14ac:dyDescent="0.25">
      <c r="A130" s="16" t="s">
        <v>26</v>
      </c>
      <c r="B130" s="16" t="s">
        <v>426</v>
      </c>
      <c r="C130" s="16" t="s">
        <v>334</v>
      </c>
      <c r="D130" s="16" t="s">
        <v>335</v>
      </c>
      <c r="E130" s="16">
        <v>1.2136</v>
      </c>
      <c r="F130" s="16" t="s">
        <v>194</v>
      </c>
      <c r="G130" s="16"/>
      <c r="H130" s="16" t="s">
        <v>336</v>
      </c>
      <c r="I130" s="16" t="s">
        <v>211</v>
      </c>
      <c r="J130" s="16" t="str">
        <f>IF(ISNUMBER(SEARCH("SCRW", H130)), _xlfn.XLOOKUP(C130,dd_item!$A$2:$A$147,dd_item!$B$2:$B$147,"",0),_xlfn.XLOOKUP(H130,dd_item!$A$2:$A$147,dd_item!$B$2:$B$147,"",0))</f>
        <v>Interlocker50</v>
      </c>
      <c r="K130" s="16" t="str">
        <f>_xlfn.XLOOKUP(A130,dd_design_raw!$C$2:$C$1002,dd_design_raw!$A$2:$A$1002,"",0)</f>
        <v>Fix Slide Slide Door</v>
      </c>
      <c r="L130" s="16" t="str">
        <f>_xlfn.XLOOKUP(I130,dd_accsryclr!$A$2:$A$1000,dd_accsryclr!$A$2:$A$1000,"",0)</f>
        <v/>
      </c>
    </row>
    <row r="131" spans="1:12" hidden="1" x14ac:dyDescent="0.25">
      <c r="A131" s="16" t="s">
        <v>26</v>
      </c>
      <c r="B131" s="16" t="s">
        <v>426</v>
      </c>
      <c r="C131" s="16" t="s">
        <v>337</v>
      </c>
      <c r="D131" s="16" t="s">
        <v>338</v>
      </c>
      <c r="E131" s="16">
        <v>1.2136</v>
      </c>
      <c r="F131" s="16" t="s">
        <v>194</v>
      </c>
      <c r="G131" s="16"/>
      <c r="H131" s="16" t="s">
        <v>336</v>
      </c>
      <c r="I131" s="16" t="s">
        <v>214</v>
      </c>
      <c r="J131" s="16" t="str">
        <f>IF(ISNUMBER(SEARCH("SCRW", H131)), _xlfn.XLOOKUP(C131,dd_item!$A$2:$A$147,dd_item!$B$2:$B$147,"",0),_xlfn.XLOOKUP(H131,dd_item!$A$2:$A$147,dd_item!$B$2:$B$147,"",0))</f>
        <v>Interlocker50</v>
      </c>
      <c r="K131" s="16" t="str">
        <f>_xlfn.XLOOKUP(A131,dd_design_raw!$C$2:$C$1002,dd_design_raw!$A$2:$A$1002,"",0)</f>
        <v>Fix Slide Slide Door</v>
      </c>
      <c r="L131" s="16" t="str">
        <f>_xlfn.XLOOKUP(I131,dd_accsryclr!$A$2:$A$1000,dd_accsryclr!$A$2:$A$1000,"",0)</f>
        <v/>
      </c>
    </row>
    <row r="132" spans="1:12" hidden="1" x14ac:dyDescent="0.25">
      <c r="A132" s="16" t="s">
        <v>26</v>
      </c>
      <c r="B132" s="16" t="s">
        <v>426</v>
      </c>
      <c r="C132" s="16" t="s">
        <v>339</v>
      </c>
      <c r="D132" s="16" t="s">
        <v>340</v>
      </c>
      <c r="E132" s="16">
        <v>1.2136</v>
      </c>
      <c r="F132" s="16" t="s">
        <v>194</v>
      </c>
      <c r="G132" s="16"/>
      <c r="H132" s="16" t="s">
        <v>336</v>
      </c>
      <c r="I132" s="16" t="s">
        <v>217</v>
      </c>
      <c r="J132" s="16" t="str">
        <f>IF(ISNUMBER(SEARCH("SCRW", H132)), _xlfn.XLOOKUP(C132,dd_item!$A$2:$A$147,dd_item!$B$2:$B$147,"",0),_xlfn.XLOOKUP(H132,dd_item!$A$2:$A$147,dd_item!$B$2:$B$147,"",0))</f>
        <v>Interlocker50</v>
      </c>
      <c r="K132" s="16" t="str">
        <f>_xlfn.XLOOKUP(A132,dd_design_raw!$C$2:$C$1002,dd_design_raw!$A$2:$A$1002,"",0)</f>
        <v>Fix Slide Slide Door</v>
      </c>
      <c r="L132" s="16" t="str">
        <f>_xlfn.XLOOKUP(I132,dd_accsryclr!$A$2:$A$1000,dd_accsryclr!$A$2:$A$1000,"",0)</f>
        <v/>
      </c>
    </row>
    <row r="133" spans="1:12" hidden="1" x14ac:dyDescent="0.25">
      <c r="A133" s="16" t="s">
        <v>26</v>
      </c>
      <c r="B133" s="16" t="s">
        <v>426</v>
      </c>
      <c r="C133" s="16" t="s">
        <v>341</v>
      </c>
      <c r="D133" s="16" t="s">
        <v>342</v>
      </c>
      <c r="E133" s="16">
        <v>1.2136</v>
      </c>
      <c r="F133" s="16" t="s">
        <v>194</v>
      </c>
      <c r="G133" s="16"/>
      <c r="H133" s="16" t="s">
        <v>336</v>
      </c>
      <c r="I133" s="16" t="s">
        <v>226</v>
      </c>
      <c r="J133" s="16" t="str">
        <f>IF(ISNUMBER(SEARCH("SCRW", H133)), _xlfn.XLOOKUP(C133,dd_item!$A$2:$A$147,dd_item!$B$2:$B$147,"",0),_xlfn.XLOOKUP(H133,dd_item!$A$2:$A$147,dd_item!$B$2:$B$147,"",0))</f>
        <v>Interlocker50</v>
      </c>
      <c r="K133" s="16" t="str">
        <f>_xlfn.XLOOKUP(A133,dd_design_raw!$C$2:$C$1002,dd_design_raw!$A$2:$A$1002,"",0)</f>
        <v>Fix Slide Slide Door</v>
      </c>
      <c r="L133" s="16" t="str">
        <f>_xlfn.XLOOKUP(I133,dd_accsryclr!$A$2:$A$1000,dd_accsryclr!$A$2:$A$1000,"",0)</f>
        <v/>
      </c>
    </row>
    <row r="134" spans="1:12" hidden="1" x14ac:dyDescent="0.25">
      <c r="A134" s="16" t="s">
        <v>26</v>
      </c>
      <c r="B134" s="16" t="s">
        <v>426</v>
      </c>
      <c r="C134" s="16" t="s">
        <v>343</v>
      </c>
      <c r="D134" s="16" t="s">
        <v>344</v>
      </c>
      <c r="E134" s="16">
        <v>1.2136</v>
      </c>
      <c r="F134" s="16" t="s">
        <v>194</v>
      </c>
      <c r="G134" s="16"/>
      <c r="H134" s="16" t="s">
        <v>336</v>
      </c>
      <c r="I134" s="16" t="s">
        <v>220</v>
      </c>
      <c r="J134" s="16" t="str">
        <f>IF(ISNUMBER(SEARCH("SCRW", H134)), _xlfn.XLOOKUP(C134,dd_item!$A$2:$A$147,dd_item!$B$2:$B$147,"",0),_xlfn.XLOOKUP(H134,dd_item!$A$2:$A$147,dd_item!$B$2:$B$147,"",0))</f>
        <v>Interlocker50</v>
      </c>
      <c r="K134" s="16" t="str">
        <f>_xlfn.XLOOKUP(A134,dd_design_raw!$C$2:$C$1002,dd_design_raw!$A$2:$A$1002,"",0)</f>
        <v>Fix Slide Slide Door</v>
      </c>
      <c r="L134" s="16" t="str">
        <f>_xlfn.XLOOKUP(I134,dd_accsryclr!$A$2:$A$1000,dd_accsryclr!$A$2:$A$1000,"",0)</f>
        <v>WHT</v>
      </c>
    </row>
    <row r="135" spans="1:12" hidden="1" x14ac:dyDescent="0.25">
      <c r="A135" s="16" t="s">
        <v>26</v>
      </c>
      <c r="B135" s="16" t="s">
        <v>426</v>
      </c>
      <c r="C135" s="16" t="s">
        <v>345</v>
      </c>
      <c r="D135" s="16" t="s">
        <v>346</v>
      </c>
      <c r="E135" s="16">
        <v>1.2136</v>
      </c>
      <c r="F135" s="16" t="s">
        <v>194</v>
      </c>
      <c r="G135" s="16"/>
      <c r="H135" s="16" t="s">
        <v>336</v>
      </c>
      <c r="I135" s="16" t="s">
        <v>223</v>
      </c>
      <c r="J135" s="16" t="str">
        <f>IF(ISNUMBER(SEARCH("SCRW", H135)), _xlfn.XLOOKUP(C135,dd_item!$A$2:$A$147,dd_item!$B$2:$B$147,"",0),_xlfn.XLOOKUP(H135,dd_item!$A$2:$A$147,dd_item!$B$2:$B$147,"",0))</f>
        <v>Interlocker50</v>
      </c>
      <c r="K135" s="16" t="str">
        <f>_xlfn.XLOOKUP(A135,dd_design_raw!$C$2:$C$1002,dd_design_raw!$A$2:$A$1002,"",0)</f>
        <v>Fix Slide Slide Door</v>
      </c>
      <c r="L135" s="16" t="str">
        <f>_xlfn.XLOOKUP(I135,dd_accsryclr!$A$2:$A$1000,dd_accsryclr!$A$2:$A$1000,"",0)</f>
        <v>BLK</v>
      </c>
    </row>
    <row r="136" spans="1:12" hidden="1" x14ac:dyDescent="0.25">
      <c r="A136" s="16" t="s">
        <v>26</v>
      </c>
      <c r="B136" s="16" t="s">
        <v>426</v>
      </c>
      <c r="C136" s="16" t="s">
        <v>347</v>
      </c>
      <c r="D136" s="16" t="s">
        <v>348</v>
      </c>
      <c r="E136" s="16">
        <v>1.2136</v>
      </c>
      <c r="F136" s="16" t="s">
        <v>194</v>
      </c>
      <c r="G136" s="16"/>
      <c r="H136" s="16" t="s">
        <v>336</v>
      </c>
      <c r="I136" s="16" t="s">
        <v>230</v>
      </c>
      <c r="J136" s="16" t="str">
        <f>IF(ISNUMBER(SEARCH("SCRW", H136)), _xlfn.XLOOKUP(C136,dd_item!$A$2:$A$147,dd_item!$B$2:$B$147,"",0),_xlfn.XLOOKUP(H136,dd_item!$A$2:$A$147,dd_item!$B$2:$B$147,"",0))</f>
        <v>Interlocker50</v>
      </c>
      <c r="K136" s="16" t="str">
        <f>_xlfn.XLOOKUP(A136,dd_design_raw!$C$2:$C$1002,dd_design_raw!$A$2:$A$1002,"",0)</f>
        <v>Fix Slide Slide Door</v>
      </c>
      <c r="L136" s="16" t="str">
        <f>_xlfn.XLOOKUP(I136,dd_accsryclr!$A$2:$A$1000,dd_accsryclr!$A$2:$A$1000,"",0)</f>
        <v>BRWN</v>
      </c>
    </row>
    <row r="137" spans="1:12" hidden="1" x14ac:dyDescent="0.25">
      <c r="A137" s="16" t="s">
        <v>26</v>
      </c>
      <c r="B137" s="16" t="s">
        <v>426</v>
      </c>
      <c r="C137" s="16" t="s">
        <v>364</v>
      </c>
      <c r="D137" s="16" t="s">
        <v>365</v>
      </c>
      <c r="E137" s="16">
        <v>2.4713793103448274</v>
      </c>
      <c r="F137" s="16" t="s">
        <v>293</v>
      </c>
      <c r="G137" s="16"/>
      <c r="H137" s="16" t="s">
        <v>366</v>
      </c>
      <c r="I137" s="16"/>
      <c r="J137" s="16" t="str">
        <f>IF(ISNUMBER(SEARCH("SCRW", H137)), _xlfn.XLOOKUP(C137,dd_item!$A$2:$A$147,dd_item!$B$2:$B$147,"",0),_xlfn.XLOOKUP(H137,dd_item!$A$2:$A$147,dd_item!$B$2:$B$147,"",0))</f>
        <v>Aluminum Track</v>
      </c>
      <c r="K137" s="16" t="str">
        <f>_xlfn.XLOOKUP(A137,dd_design_raw!$C$2:$C$1002,dd_design_raw!$A$2:$A$1002,"",0)</f>
        <v>Fix Slide Slide Door</v>
      </c>
      <c r="L137" s="16" t="str">
        <f>_xlfn.XLOOKUP(I137,dd_accsryclr!$A$2:$A$1000,dd_accsryclr!$A$2:$A$1000,"",0)</f>
        <v/>
      </c>
    </row>
    <row r="138" spans="1:12" hidden="1" x14ac:dyDescent="0.25">
      <c r="A138" s="16" t="s">
        <v>26</v>
      </c>
      <c r="B138" s="16" t="s">
        <v>426</v>
      </c>
      <c r="C138" s="16" t="s">
        <v>367</v>
      </c>
      <c r="D138" s="16" t="s">
        <v>368</v>
      </c>
      <c r="E138" s="16">
        <v>1</v>
      </c>
      <c r="F138" s="16" t="s">
        <v>369</v>
      </c>
      <c r="G138" s="16"/>
      <c r="H138" s="16" t="s">
        <v>294</v>
      </c>
      <c r="I138" s="16" t="s">
        <v>223</v>
      </c>
      <c r="J138" s="16" t="str">
        <f>IF(ISNUMBER(SEARCH("SCRW", H138)), _xlfn.XLOOKUP(C138,dd_item!$A$2:$A$147,dd_item!$B$2:$B$147,"",0),_xlfn.XLOOKUP(H138,dd_item!$A$2:$A$147,dd_item!$B$2:$B$147,"",0))</f>
        <v>SD Kit Handle</v>
      </c>
      <c r="K138" s="16" t="str">
        <f>_xlfn.XLOOKUP(A138,dd_design_raw!$C$2:$C$1002,dd_design_raw!$A$2:$A$1002,"",0)</f>
        <v>Fix Slide Slide Door</v>
      </c>
      <c r="L138" s="16" t="str">
        <f>_xlfn.XLOOKUP(I138,dd_accsryclr!$A$2:$A$1000,dd_accsryclr!$A$2:$A$1000,"",0)</f>
        <v>BLK</v>
      </c>
    </row>
    <row r="139" spans="1:12" hidden="1" x14ac:dyDescent="0.25">
      <c r="A139" s="16" t="s">
        <v>26</v>
      </c>
      <c r="B139" s="16" t="s">
        <v>426</v>
      </c>
      <c r="C139" s="16" t="s">
        <v>371</v>
      </c>
      <c r="D139" s="16" t="s">
        <v>372</v>
      </c>
      <c r="E139" s="16">
        <v>1</v>
      </c>
      <c r="F139" s="16" t="s">
        <v>369</v>
      </c>
      <c r="G139" s="16"/>
      <c r="H139" s="16" t="s">
        <v>294</v>
      </c>
      <c r="I139" s="16" t="s">
        <v>220</v>
      </c>
      <c r="J139" s="16" t="str">
        <f>IF(ISNUMBER(SEARCH("SCRW", H139)), _xlfn.XLOOKUP(C139,dd_item!$A$2:$A$147,dd_item!$B$2:$B$147,"",0),_xlfn.XLOOKUP(H139,dd_item!$A$2:$A$147,dd_item!$B$2:$B$147,"",0))</f>
        <v>SD Kit Handle</v>
      </c>
      <c r="K139" s="16" t="str">
        <f>_xlfn.XLOOKUP(A139,dd_design_raw!$C$2:$C$1002,dd_design_raw!$A$2:$A$1002,"",0)</f>
        <v>Fix Slide Slide Door</v>
      </c>
      <c r="L139" s="16" t="str">
        <f>_xlfn.XLOOKUP(I139,dd_accsryclr!$A$2:$A$1000,dd_accsryclr!$A$2:$A$1000,"",0)</f>
        <v>WHT</v>
      </c>
    </row>
    <row r="140" spans="1:12" hidden="1" x14ac:dyDescent="0.25">
      <c r="A140" s="16" t="s">
        <v>26</v>
      </c>
      <c r="B140" s="16" t="s">
        <v>426</v>
      </c>
      <c r="C140" s="16" t="s">
        <v>373</v>
      </c>
      <c r="D140" s="16" t="s">
        <v>374</v>
      </c>
      <c r="E140" s="16">
        <v>1</v>
      </c>
      <c r="F140" s="16" t="s">
        <v>369</v>
      </c>
      <c r="G140" s="16"/>
      <c r="H140" s="16" t="s">
        <v>294</v>
      </c>
      <c r="I140" s="16" t="s">
        <v>220</v>
      </c>
      <c r="J140" s="16" t="str">
        <f>IF(ISNUMBER(SEARCH("SCRW", H140)), _xlfn.XLOOKUP(C140,dd_item!$A$2:$A$147,dd_item!$B$2:$B$147,"",0),_xlfn.XLOOKUP(H140,dd_item!$A$2:$A$147,dd_item!$B$2:$B$147,"",0))</f>
        <v>SD Kit Handle</v>
      </c>
      <c r="K140" s="16" t="str">
        <f>_xlfn.XLOOKUP(A140,dd_design_raw!$C$2:$C$1002,dd_design_raw!$A$2:$A$1002,"",0)</f>
        <v>Fix Slide Slide Door</v>
      </c>
      <c r="L140" s="16" t="str">
        <f>_xlfn.XLOOKUP(I140,dd_accsryclr!$A$2:$A$1000,dd_accsryclr!$A$2:$A$1000,"",0)</f>
        <v>WHT</v>
      </c>
    </row>
    <row r="141" spans="1:12" hidden="1" x14ac:dyDescent="0.25">
      <c r="A141" s="16" t="s">
        <v>26</v>
      </c>
      <c r="B141" s="16" t="s">
        <v>426</v>
      </c>
      <c r="C141" s="16" t="s">
        <v>375</v>
      </c>
      <c r="D141" s="16" t="s">
        <v>376</v>
      </c>
      <c r="E141" s="16">
        <v>1</v>
      </c>
      <c r="F141" s="16" t="s">
        <v>369</v>
      </c>
      <c r="G141" s="16"/>
      <c r="H141" s="16" t="s">
        <v>294</v>
      </c>
      <c r="I141" s="16" t="s">
        <v>223</v>
      </c>
      <c r="J141" s="16" t="str">
        <f>IF(ISNUMBER(SEARCH("SCRW", H141)), _xlfn.XLOOKUP(C141,dd_item!$A$2:$A$147,dd_item!$B$2:$B$147,"",0),_xlfn.XLOOKUP(H141,dd_item!$A$2:$A$147,dd_item!$B$2:$B$147,"",0))</f>
        <v>SD Kit Handle</v>
      </c>
      <c r="K141" s="16" t="str">
        <f>_xlfn.XLOOKUP(A141,dd_design_raw!$C$2:$C$1002,dd_design_raw!$A$2:$A$1002,"",0)</f>
        <v>Fix Slide Slide Door</v>
      </c>
      <c r="L141" s="16" t="str">
        <f>_xlfn.XLOOKUP(I141,dd_accsryclr!$A$2:$A$1000,dd_accsryclr!$A$2:$A$1000,"",0)</f>
        <v>BLK</v>
      </c>
    </row>
    <row r="142" spans="1:12" hidden="1" x14ac:dyDescent="0.25">
      <c r="A142" s="16" t="s">
        <v>26</v>
      </c>
      <c r="B142" s="16" t="s">
        <v>426</v>
      </c>
      <c r="C142" s="16" t="s">
        <v>377</v>
      </c>
      <c r="D142" s="16" t="s">
        <v>378</v>
      </c>
      <c r="E142" s="16">
        <v>1</v>
      </c>
      <c r="F142" s="16" t="s">
        <v>369</v>
      </c>
      <c r="G142" s="16"/>
      <c r="H142" s="16" t="s">
        <v>379</v>
      </c>
      <c r="I142" s="16"/>
      <c r="J142" s="16" t="str">
        <f>IF(ISNUMBER(SEARCH("SCRW", H142)), _xlfn.XLOOKUP(C142,dd_item!$A$2:$A$147,dd_item!$B$2:$B$147,"",0),_xlfn.XLOOKUP(H142,dd_item!$A$2:$A$147,dd_item!$B$2:$B$147,"",0))</f>
        <v xml:space="preserve">SD Kit Cylinder Door Knob </v>
      </c>
      <c r="K142" s="16" t="str">
        <f>_xlfn.XLOOKUP(A142,dd_design_raw!$C$2:$C$1002,dd_design_raw!$A$2:$A$1002,"",0)</f>
        <v>Fix Slide Slide Door</v>
      </c>
      <c r="L142" s="16" t="str">
        <f>_xlfn.XLOOKUP(I142,dd_accsryclr!$A$2:$A$1000,dd_accsryclr!$A$2:$A$1000,"",0)</f>
        <v/>
      </c>
    </row>
    <row r="143" spans="1:12" hidden="1" x14ac:dyDescent="0.25">
      <c r="A143" s="16" t="s">
        <v>26</v>
      </c>
      <c r="B143" s="16" t="s">
        <v>426</v>
      </c>
      <c r="C143" s="16" t="s">
        <v>380</v>
      </c>
      <c r="D143" s="16" t="s">
        <v>381</v>
      </c>
      <c r="E143" s="16">
        <v>1</v>
      </c>
      <c r="F143" s="16" t="s">
        <v>369</v>
      </c>
      <c r="G143" s="16"/>
      <c r="H143" s="16" t="s">
        <v>379</v>
      </c>
      <c r="I143" s="16"/>
      <c r="J143" s="16" t="str">
        <f>IF(ISNUMBER(SEARCH("SCRW", H143)), _xlfn.XLOOKUP(C143,dd_item!$A$2:$A$147,dd_item!$B$2:$B$147,"",0),_xlfn.XLOOKUP(H143,dd_item!$A$2:$A$147,dd_item!$B$2:$B$147,"",0))</f>
        <v xml:space="preserve">SD Kit Cylinder Door Knob </v>
      </c>
      <c r="K143" s="16" t="str">
        <f>_xlfn.XLOOKUP(A143,dd_design_raw!$C$2:$C$1002,dd_design_raw!$A$2:$A$1002,"",0)</f>
        <v>Fix Slide Slide Door</v>
      </c>
      <c r="L143" s="16" t="str">
        <f>_xlfn.XLOOKUP(I143,dd_accsryclr!$A$2:$A$1000,dd_accsryclr!$A$2:$A$1000,"",0)</f>
        <v/>
      </c>
    </row>
    <row r="144" spans="1:12" hidden="1" x14ac:dyDescent="0.25">
      <c r="A144" s="16" t="s">
        <v>26</v>
      </c>
      <c r="B144" s="16" t="s">
        <v>426</v>
      </c>
      <c r="C144" s="16" t="s">
        <v>382</v>
      </c>
      <c r="D144" s="16" t="s">
        <v>383</v>
      </c>
      <c r="E144" s="16">
        <v>1</v>
      </c>
      <c r="F144" s="16" t="s">
        <v>369</v>
      </c>
      <c r="G144" s="16"/>
      <c r="H144" s="16" t="s">
        <v>384</v>
      </c>
      <c r="I144" s="16" t="s">
        <v>223</v>
      </c>
      <c r="J144" s="16" t="str">
        <f>IF(ISNUMBER(SEARCH("SCRW", H144)), _xlfn.XLOOKUP(C144,dd_item!$A$2:$A$147,dd_item!$B$2:$B$147,"",0),_xlfn.XLOOKUP(H144,dd_item!$A$2:$A$147,dd_item!$B$2:$B$147,"",0))</f>
        <v>Cylinder Cover Set</v>
      </c>
      <c r="K144" s="16" t="str">
        <f>_xlfn.XLOOKUP(A144,dd_design_raw!$C$2:$C$1002,dd_design_raw!$A$2:$A$1002,"",0)</f>
        <v>Fix Slide Slide Door</v>
      </c>
      <c r="L144" s="16" t="str">
        <f>_xlfn.XLOOKUP(I144,dd_accsryclr!$A$2:$A$1000,dd_accsryclr!$A$2:$A$1000,"",0)</f>
        <v>BLK</v>
      </c>
    </row>
    <row r="145" spans="1:12" hidden="1" x14ac:dyDescent="0.25">
      <c r="A145" s="16" t="s">
        <v>26</v>
      </c>
      <c r="B145" s="16" t="s">
        <v>426</v>
      </c>
      <c r="C145" s="16" t="s">
        <v>385</v>
      </c>
      <c r="D145" s="16" t="s">
        <v>386</v>
      </c>
      <c r="E145" s="16">
        <v>1</v>
      </c>
      <c r="F145" s="16" t="s">
        <v>369</v>
      </c>
      <c r="G145" s="16"/>
      <c r="H145" s="16" t="s">
        <v>384</v>
      </c>
      <c r="I145" s="16" t="s">
        <v>220</v>
      </c>
      <c r="J145" s="16" t="str">
        <f>IF(ISNUMBER(SEARCH("SCRW", H145)), _xlfn.XLOOKUP(C145,dd_item!$A$2:$A$147,dd_item!$B$2:$B$147,"",0),_xlfn.XLOOKUP(H145,dd_item!$A$2:$A$147,dd_item!$B$2:$B$147,"",0))</f>
        <v>Cylinder Cover Set</v>
      </c>
      <c r="K145" s="16" t="str">
        <f>_xlfn.XLOOKUP(A145,dd_design_raw!$C$2:$C$1002,dd_design_raw!$A$2:$A$1002,"",0)</f>
        <v>Fix Slide Slide Door</v>
      </c>
      <c r="L145" s="16" t="str">
        <f>_xlfn.XLOOKUP(I145,dd_accsryclr!$A$2:$A$1000,dd_accsryclr!$A$2:$A$1000,"",0)</f>
        <v>WHT</v>
      </c>
    </row>
    <row r="146" spans="1:12" hidden="1" x14ac:dyDescent="0.25">
      <c r="A146" s="16" t="s">
        <v>26</v>
      </c>
      <c r="B146" s="16" t="s">
        <v>426</v>
      </c>
      <c r="C146" s="16" t="s">
        <v>387</v>
      </c>
      <c r="D146" s="16" t="s">
        <v>388</v>
      </c>
      <c r="E146" s="16">
        <v>4</v>
      </c>
      <c r="F146" s="16" t="s">
        <v>369</v>
      </c>
      <c r="G146" s="16"/>
      <c r="H146" s="16" t="s">
        <v>389</v>
      </c>
      <c r="I146" s="16"/>
      <c r="J146" s="16" t="str">
        <f>IF(ISNUMBER(SEARCH("SCRW", H146)), _xlfn.XLOOKUP(C146,dd_item!$A$2:$A$147,dd_item!$B$2:$B$147,"",0),_xlfn.XLOOKUP(H146,dd_item!$A$2:$A$147,dd_item!$B$2:$B$147,"",0))</f>
        <v>Sliding Striker (Roto)</v>
      </c>
      <c r="K146" s="16" t="str">
        <f>_xlfn.XLOOKUP(A146,dd_design_raw!$C$2:$C$1002,dd_design_raw!$A$2:$A$1002,"",0)</f>
        <v>Fix Slide Slide Door</v>
      </c>
      <c r="L146" s="16" t="str">
        <f>_xlfn.XLOOKUP(I146,dd_accsryclr!$A$2:$A$1000,dd_accsryclr!$A$2:$A$1000,"",0)</f>
        <v/>
      </c>
    </row>
    <row r="147" spans="1:12" hidden="1" x14ac:dyDescent="0.25">
      <c r="A147" s="16" t="s">
        <v>26</v>
      </c>
      <c r="B147" s="16" t="s">
        <v>426</v>
      </c>
      <c r="C147" s="16" t="s">
        <v>390</v>
      </c>
      <c r="D147" s="16" t="s">
        <v>391</v>
      </c>
      <c r="E147" s="16">
        <v>45.68</v>
      </c>
      <c r="F147" s="16" t="s">
        <v>369</v>
      </c>
      <c r="G147" s="16"/>
      <c r="H147" s="16" t="s">
        <v>792</v>
      </c>
      <c r="I147" s="16"/>
      <c r="J147" s="16" t="str">
        <f>IF(ISNUMBER(SEARCH("SCRW", H147)), _xlfn.XLOOKUP(C147,dd_item!$A$2:$A$147,dd_item!$B$2:$B$147,"",0),_xlfn.XLOOKUP(H147,dd_item!$A$2:$A$147,dd_item!$B$2:$B$147,"",0))</f>
        <v>Atlas Screw (S) 10 x 2-1/2" (Flat)</v>
      </c>
      <c r="K147" s="16" t="str">
        <f>_xlfn.XLOOKUP(A147,dd_design_raw!$C$2:$C$1002,dd_design_raw!$A$2:$A$1002,"",0)</f>
        <v>Fix Slide Slide Door</v>
      </c>
      <c r="L147" s="16" t="str">
        <f>_xlfn.XLOOKUP(I147,dd_accsryclr!$A$2:$A$1000,dd_accsryclr!$A$2:$A$1000,"",0)</f>
        <v/>
      </c>
    </row>
    <row r="148" spans="1:12" hidden="1" x14ac:dyDescent="0.25">
      <c r="A148" s="16" t="s">
        <v>26</v>
      </c>
      <c r="B148" s="16" t="s">
        <v>426</v>
      </c>
      <c r="C148" s="16" t="s">
        <v>392</v>
      </c>
      <c r="D148" s="16" t="s">
        <v>393</v>
      </c>
      <c r="E148" s="16">
        <v>3</v>
      </c>
      <c r="F148" s="16" t="s">
        <v>369</v>
      </c>
      <c r="G148" s="16"/>
      <c r="H148" s="16" t="s">
        <v>394</v>
      </c>
      <c r="I148" s="16" t="s">
        <v>223</v>
      </c>
      <c r="J148" s="16" t="str">
        <f>IF(ISNUMBER(SEARCH("SCRW", H148)), _xlfn.XLOOKUP(C148,dd_item!$A$2:$A$147,dd_item!$B$2:$B$147,"",0),_xlfn.XLOOKUP(H148,dd_item!$A$2:$A$147,dd_item!$B$2:$B$147,"",0))</f>
        <v>Drainage Cover</v>
      </c>
      <c r="K148" s="16" t="str">
        <f>_xlfn.XLOOKUP(A148,dd_design_raw!$C$2:$C$1002,dd_design_raw!$A$2:$A$1002,"",0)</f>
        <v>Fix Slide Slide Door</v>
      </c>
      <c r="L148" s="16" t="str">
        <f>_xlfn.XLOOKUP(I148,dd_accsryclr!$A$2:$A$1000,dd_accsryclr!$A$2:$A$1000,"",0)</f>
        <v>BLK</v>
      </c>
    </row>
    <row r="149" spans="1:12" hidden="1" x14ac:dyDescent="0.25">
      <c r="A149" s="16" t="s">
        <v>26</v>
      </c>
      <c r="B149" s="16" t="s">
        <v>426</v>
      </c>
      <c r="C149" s="16" t="s">
        <v>395</v>
      </c>
      <c r="D149" s="16" t="s">
        <v>396</v>
      </c>
      <c r="E149" s="16">
        <v>3</v>
      </c>
      <c r="F149" s="16" t="s">
        <v>369</v>
      </c>
      <c r="G149" s="16"/>
      <c r="H149" s="16" t="s">
        <v>394</v>
      </c>
      <c r="I149" s="16" t="s">
        <v>220</v>
      </c>
      <c r="J149" s="16" t="str">
        <f>IF(ISNUMBER(SEARCH("SCRW", H149)), _xlfn.XLOOKUP(C149,dd_item!$A$2:$A$147,dd_item!$B$2:$B$147,"",0),_xlfn.XLOOKUP(H149,dd_item!$A$2:$A$147,dd_item!$B$2:$B$147,"",0))</f>
        <v>Drainage Cover</v>
      </c>
      <c r="K149" s="16" t="str">
        <f>_xlfn.XLOOKUP(A149,dd_design_raw!$C$2:$C$1002,dd_design_raw!$A$2:$A$1002,"",0)</f>
        <v>Fix Slide Slide Door</v>
      </c>
      <c r="L149" s="16" t="str">
        <f>_xlfn.XLOOKUP(I149,dd_accsryclr!$A$2:$A$1000,dd_accsryclr!$A$2:$A$1000,"",0)</f>
        <v>WHT</v>
      </c>
    </row>
    <row r="150" spans="1:12" hidden="1" x14ac:dyDescent="0.25">
      <c r="A150" s="16" t="s">
        <v>26</v>
      </c>
      <c r="B150" s="16" t="s">
        <v>426</v>
      </c>
      <c r="C150" s="16" t="s">
        <v>397</v>
      </c>
      <c r="D150" s="16" t="s">
        <v>398</v>
      </c>
      <c r="E150" s="16">
        <v>0.75360000000000005</v>
      </c>
      <c r="F150" s="16" t="s">
        <v>369</v>
      </c>
      <c r="G150" s="16"/>
      <c r="H150" s="16" t="s">
        <v>399</v>
      </c>
      <c r="I150" s="16" t="s">
        <v>400</v>
      </c>
      <c r="J150" s="16" t="str">
        <f>IF(ISNUMBER(SEARCH("SCRW", H150)), _xlfn.XLOOKUP(C150,dd_item!$A$2:$A$147,dd_item!$B$2:$B$147,"",0),_xlfn.XLOOKUP(H150,dd_item!$A$2:$A$147,dd_item!$B$2:$B$147,"",0))</f>
        <v>Tox6</v>
      </c>
      <c r="K150" s="16" t="str">
        <f>_xlfn.XLOOKUP(A150,dd_design_raw!$C$2:$C$1002,dd_design_raw!$A$2:$A$1002,"",0)</f>
        <v>Fix Slide Slide Door</v>
      </c>
      <c r="L150" s="16" t="str">
        <f>_xlfn.XLOOKUP(I150,dd_accsryclr!$A$2:$A$1000,dd_accsryclr!$A$2:$A$1000,"",0)</f>
        <v/>
      </c>
    </row>
    <row r="151" spans="1:12" hidden="1" x14ac:dyDescent="0.25">
      <c r="A151" s="16" t="s">
        <v>26</v>
      </c>
      <c r="B151" s="16" t="s">
        <v>426</v>
      </c>
      <c r="C151" s="16" t="s">
        <v>401</v>
      </c>
      <c r="D151" s="16" t="s">
        <v>402</v>
      </c>
      <c r="E151" s="16">
        <v>37.68</v>
      </c>
      <c r="F151" s="16" t="s">
        <v>369</v>
      </c>
      <c r="G151" s="16"/>
      <c r="H151" s="16" t="s">
        <v>403</v>
      </c>
      <c r="I151" s="16" t="s">
        <v>223</v>
      </c>
      <c r="J151" s="16" t="str">
        <f>IF(ISNUMBER(SEARCH("SCRW", H151)), _xlfn.XLOOKUP(C151,dd_item!$A$2:$A$147,dd_item!$B$2:$B$147,"",0),_xlfn.XLOOKUP(H151,dd_item!$A$2:$A$147,dd_item!$B$2:$B$147,"",0))</f>
        <v>Cover Cap</v>
      </c>
      <c r="K151" s="16" t="str">
        <f>_xlfn.XLOOKUP(A151,dd_design_raw!$C$2:$C$1002,dd_design_raw!$A$2:$A$1002,"",0)</f>
        <v>Fix Slide Slide Door</v>
      </c>
      <c r="L151" s="16" t="str">
        <f>_xlfn.XLOOKUP(I151,dd_accsryclr!$A$2:$A$1000,dd_accsryclr!$A$2:$A$1000,"",0)</f>
        <v>BLK</v>
      </c>
    </row>
    <row r="152" spans="1:12" hidden="1" x14ac:dyDescent="0.25">
      <c r="A152" s="16" t="s">
        <v>26</v>
      </c>
      <c r="B152" s="16" t="s">
        <v>426</v>
      </c>
      <c r="C152" s="16" t="s">
        <v>404</v>
      </c>
      <c r="D152" s="16" t="s">
        <v>405</v>
      </c>
      <c r="E152" s="16">
        <v>37.68</v>
      </c>
      <c r="F152" s="16" t="s">
        <v>369</v>
      </c>
      <c r="G152" s="16"/>
      <c r="H152" s="16" t="s">
        <v>403</v>
      </c>
      <c r="I152" s="16" t="s">
        <v>220</v>
      </c>
      <c r="J152" s="16" t="str">
        <f>IF(ISNUMBER(SEARCH("SCRW", H152)), _xlfn.XLOOKUP(C152,dd_item!$A$2:$A$147,dd_item!$B$2:$B$147,"",0),_xlfn.XLOOKUP(H152,dd_item!$A$2:$A$147,dd_item!$B$2:$B$147,"",0))</f>
        <v>Cover Cap</v>
      </c>
      <c r="K152" s="16" t="str">
        <f>_xlfn.XLOOKUP(A152,dd_design_raw!$C$2:$C$1002,dd_design_raw!$A$2:$A$1002,"",0)</f>
        <v>Fix Slide Slide Door</v>
      </c>
      <c r="L152" s="16" t="str">
        <f>_xlfn.XLOOKUP(I152,dd_accsryclr!$A$2:$A$1000,dd_accsryclr!$A$2:$A$1000,"",0)</f>
        <v>WHT</v>
      </c>
    </row>
    <row r="153" spans="1:12" hidden="1" x14ac:dyDescent="0.25">
      <c r="A153" s="16" t="s">
        <v>26</v>
      </c>
      <c r="B153" s="16" t="s">
        <v>426</v>
      </c>
      <c r="C153" s="16" t="s">
        <v>406</v>
      </c>
      <c r="D153" s="16" t="s">
        <v>407</v>
      </c>
      <c r="E153" s="16">
        <v>2</v>
      </c>
      <c r="F153" s="16" t="s">
        <v>369</v>
      </c>
      <c r="G153" s="16"/>
      <c r="H153" s="16" t="s">
        <v>408</v>
      </c>
      <c r="I153" s="16" t="s">
        <v>223</v>
      </c>
      <c r="J153" s="16" t="str">
        <f>IF(ISNUMBER(SEARCH("SCRW", H153)), _xlfn.XLOOKUP(C153,dd_item!$A$2:$A$147,dd_item!$B$2:$B$147,"",0),_xlfn.XLOOKUP(H153,dd_item!$A$2:$A$147,dd_item!$B$2:$B$147,"",0))</f>
        <v>SD Kit Buffer Stopper</v>
      </c>
      <c r="K153" s="16" t="str">
        <f>_xlfn.XLOOKUP(A153,dd_design_raw!$C$2:$C$1002,dd_design_raw!$A$2:$A$1002,"",0)</f>
        <v>Fix Slide Slide Door</v>
      </c>
      <c r="L153" s="16" t="str">
        <f>_xlfn.XLOOKUP(I153,dd_accsryclr!$A$2:$A$1000,dd_accsryclr!$A$2:$A$1000,"",0)</f>
        <v>BLK</v>
      </c>
    </row>
    <row r="154" spans="1:12" hidden="1" x14ac:dyDescent="0.25">
      <c r="A154" s="16" t="s">
        <v>26</v>
      </c>
      <c r="B154" s="16" t="s">
        <v>426</v>
      </c>
      <c r="C154" s="16" t="s">
        <v>410</v>
      </c>
      <c r="D154" s="16" t="s">
        <v>411</v>
      </c>
      <c r="E154" s="16">
        <v>2</v>
      </c>
      <c r="F154" s="16" t="s">
        <v>369</v>
      </c>
      <c r="G154" s="16"/>
      <c r="H154" s="16" t="s">
        <v>408</v>
      </c>
      <c r="I154" s="16" t="s">
        <v>220</v>
      </c>
      <c r="J154" s="16" t="str">
        <f>IF(ISNUMBER(SEARCH("SCRW", H154)), _xlfn.XLOOKUP(C154,dd_item!$A$2:$A$147,dd_item!$B$2:$B$147,"",0),_xlfn.XLOOKUP(H154,dd_item!$A$2:$A$147,dd_item!$B$2:$B$147,"",0))</f>
        <v>SD Kit Buffer Stopper</v>
      </c>
      <c r="K154" s="16" t="str">
        <f>_xlfn.XLOOKUP(A154,dd_design_raw!$C$2:$C$1002,dd_design_raw!$A$2:$A$1002,"",0)</f>
        <v>Fix Slide Slide Door</v>
      </c>
      <c r="L154" s="16" t="str">
        <f>_xlfn.XLOOKUP(I154,dd_accsryclr!$A$2:$A$1000,dd_accsryclr!$A$2:$A$1000,"",0)</f>
        <v>WHT</v>
      </c>
    </row>
    <row r="155" spans="1:12" hidden="1" x14ac:dyDescent="0.25">
      <c r="A155" s="16" t="s">
        <v>26</v>
      </c>
      <c r="B155" s="16" t="s">
        <v>426</v>
      </c>
      <c r="C155" s="16" t="s">
        <v>412</v>
      </c>
      <c r="D155" s="16" t="s">
        <v>413</v>
      </c>
      <c r="E155" s="16">
        <v>2</v>
      </c>
      <c r="F155" s="16" t="s">
        <v>369</v>
      </c>
      <c r="G155" s="16"/>
      <c r="H155" s="16" t="s">
        <v>793</v>
      </c>
      <c r="I155" s="16"/>
      <c r="J155" s="16" t="str">
        <f>IF(ISNUMBER(SEARCH("SCRW", H155)), _xlfn.XLOOKUP(C155,dd_item!$A$2:$A$147,dd_item!$B$2:$B$147,"",0),_xlfn.XLOOKUP(H155,dd_item!$A$2:$A$147,dd_item!$B$2:$B$147,"",0))</f>
        <v>Atlas Screw (S) 8 x 1-1/4" (Flat)</v>
      </c>
      <c r="K155" s="16" t="str">
        <f>_xlfn.XLOOKUP(A155,dd_design_raw!$C$2:$C$1002,dd_design_raw!$A$2:$A$1002,"",0)</f>
        <v>Fix Slide Slide Door</v>
      </c>
      <c r="L155" s="16" t="str">
        <f>_xlfn.XLOOKUP(I155,dd_accsryclr!$A$2:$A$1000,dd_accsryclr!$A$2:$A$1000,"",0)</f>
        <v/>
      </c>
    </row>
    <row r="156" spans="1:12" hidden="1" x14ac:dyDescent="0.25">
      <c r="A156" s="16" t="s">
        <v>26</v>
      </c>
      <c r="B156" s="16" t="s">
        <v>426</v>
      </c>
      <c r="C156" s="16" t="s">
        <v>414</v>
      </c>
      <c r="D156" s="16" t="s">
        <v>415</v>
      </c>
      <c r="E156" s="16">
        <v>6.28</v>
      </c>
      <c r="F156" s="16" t="s">
        <v>369</v>
      </c>
      <c r="G156" s="16"/>
      <c r="H156" s="16" t="s">
        <v>416</v>
      </c>
      <c r="I156" s="16" t="s">
        <v>223</v>
      </c>
      <c r="J156" s="16" t="str">
        <f>IF(ISNUMBER(SEARCH("SCRW", H156)), _xlfn.XLOOKUP(C156,dd_item!$A$2:$A$147,dd_item!$B$2:$B$147,"",0),_xlfn.XLOOKUP(H156,dd_item!$A$2:$A$147,dd_item!$B$2:$B$147,"",0))</f>
        <v>Sealant</v>
      </c>
      <c r="K156" s="16" t="str">
        <f>_xlfn.XLOOKUP(A156,dd_design_raw!$C$2:$C$1002,dd_design_raw!$A$2:$A$1002,"",0)</f>
        <v>Fix Slide Slide Door</v>
      </c>
      <c r="L156" s="16" t="str">
        <f>_xlfn.XLOOKUP(I156,dd_accsryclr!$A$2:$A$1000,dd_accsryclr!$A$2:$A$1000,"",0)</f>
        <v>BLK</v>
      </c>
    </row>
    <row r="157" spans="1:12" hidden="1" x14ac:dyDescent="0.25">
      <c r="A157" s="16" t="s">
        <v>26</v>
      </c>
      <c r="B157" s="16" t="s">
        <v>426</v>
      </c>
      <c r="C157" s="16" t="s">
        <v>417</v>
      </c>
      <c r="D157" s="16" t="s">
        <v>418</v>
      </c>
      <c r="E157" s="16">
        <v>6.28</v>
      </c>
      <c r="F157" s="16" t="s">
        <v>369</v>
      </c>
      <c r="G157" s="16"/>
      <c r="H157" s="16" t="s">
        <v>416</v>
      </c>
      <c r="I157" s="16" t="s">
        <v>230</v>
      </c>
      <c r="J157" s="16" t="str">
        <f>IF(ISNUMBER(SEARCH("SCRW", H157)), _xlfn.XLOOKUP(C157,dd_item!$A$2:$A$147,dd_item!$B$2:$B$147,"",0),_xlfn.XLOOKUP(H157,dd_item!$A$2:$A$147,dd_item!$B$2:$B$147,"",0))</f>
        <v>Sealant</v>
      </c>
      <c r="K157" s="16" t="str">
        <f>_xlfn.XLOOKUP(A157,dd_design_raw!$C$2:$C$1002,dd_design_raw!$A$2:$A$1002,"",0)</f>
        <v>Fix Slide Slide Door</v>
      </c>
      <c r="L157" s="16" t="str">
        <f>_xlfn.XLOOKUP(I157,dd_accsryclr!$A$2:$A$1000,dd_accsryclr!$A$2:$A$1000,"",0)</f>
        <v>BRWN</v>
      </c>
    </row>
    <row r="158" spans="1:12" hidden="1" x14ac:dyDescent="0.25">
      <c r="A158" s="16" t="s">
        <v>26</v>
      </c>
      <c r="B158" s="16" t="s">
        <v>426</v>
      </c>
      <c r="C158" s="16" t="s">
        <v>419</v>
      </c>
      <c r="D158" s="16" t="s">
        <v>420</v>
      </c>
      <c r="E158" s="16">
        <v>6.28</v>
      </c>
      <c r="F158" s="16" t="s">
        <v>369</v>
      </c>
      <c r="G158" s="16"/>
      <c r="H158" s="16" t="s">
        <v>416</v>
      </c>
      <c r="I158" s="16" t="s">
        <v>220</v>
      </c>
      <c r="J158" s="16" t="str">
        <f>IF(ISNUMBER(SEARCH("SCRW", H158)), _xlfn.XLOOKUP(C158,dd_item!$A$2:$A$147,dd_item!$B$2:$B$147,"",0),_xlfn.XLOOKUP(H158,dd_item!$A$2:$A$147,dd_item!$B$2:$B$147,"",0))</f>
        <v>Sealant</v>
      </c>
      <c r="K158" s="16" t="str">
        <f>_xlfn.XLOOKUP(A158,dd_design_raw!$C$2:$C$1002,dd_design_raw!$A$2:$A$1002,"",0)</f>
        <v>Fix Slide Slide Door</v>
      </c>
      <c r="L158" s="16" t="str">
        <f>_xlfn.XLOOKUP(I158,dd_accsryclr!$A$2:$A$1000,dd_accsryclr!$A$2:$A$1000,"",0)</f>
        <v>WHT</v>
      </c>
    </row>
    <row r="159" spans="1:12" hidden="1" x14ac:dyDescent="0.25">
      <c r="A159" s="16" t="s">
        <v>26</v>
      </c>
      <c r="B159" s="16" t="s">
        <v>426</v>
      </c>
      <c r="C159" s="16" t="s">
        <v>421</v>
      </c>
      <c r="D159" s="16" t="s">
        <v>422</v>
      </c>
      <c r="E159" s="16"/>
      <c r="F159" s="16" t="s">
        <v>369</v>
      </c>
      <c r="G159" s="16"/>
      <c r="H159" s="16" t="s">
        <v>416</v>
      </c>
      <c r="I159" s="16" t="s">
        <v>423</v>
      </c>
      <c r="J159" s="16" t="str">
        <f>IF(ISNUMBER(SEARCH("SCRW", H159)), _xlfn.XLOOKUP(C159,dd_item!$A$2:$A$147,dd_item!$B$2:$B$147,"",0),_xlfn.XLOOKUP(H159,dd_item!$A$2:$A$147,dd_item!$B$2:$B$147,"",0))</f>
        <v>Sealant</v>
      </c>
      <c r="K159" s="16" t="str">
        <f>_xlfn.XLOOKUP(A159,dd_design_raw!$C$2:$C$1002,dd_design_raw!$A$2:$A$1002,"",0)</f>
        <v>Fix Slide Slide Door</v>
      </c>
      <c r="L159" s="16" t="str">
        <f>_xlfn.XLOOKUP(I159,dd_accsryclr!$A$2:$A$1000,dd_accsryclr!$A$2:$A$1000,"",0)</f>
        <v/>
      </c>
    </row>
    <row r="160" spans="1:12" hidden="1" x14ac:dyDescent="0.25">
      <c r="A160" s="16" t="s">
        <v>26</v>
      </c>
      <c r="B160" s="16" t="s">
        <v>426</v>
      </c>
      <c r="C160" s="16" t="s">
        <v>424</v>
      </c>
      <c r="D160" s="16" t="s">
        <v>425</v>
      </c>
      <c r="E160" s="16">
        <v>6</v>
      </c>
      <c r="F160" s="16" t="s">
        <v>369</v>
      </c>
      <c r="G160" s="16"/>
      <c r="H160" s="16" t="s">
        <v>794</v>
      </c>
      <c r="I160" s="16"/>
      <c r="J160" s="16" t="str">
        <f>IF(ISNUMBER(SEARCH("SCRW", H160)), _xlfn.XLOOKUP(C160,dd_item!$A$2:$A$147,dd_item!$B$2:$B$147,"",0),_xlfn.XLOOKUP(H160,dd_item!$A$2:$A$147,dd_item!$B$2:$B$147,"",0))</f>
        <v>Atlas Screw (S) 6 x 3/4" (FLAT)</v>
      </c>
      <c r="K160" s="16" t="str">
        <f>_xlfn.XLOOKUP(A160,dd_design_raw!$C$2:$C$1002,dd_design_raw!$A$2:$A$1002,"",0)</f>
        <v>Fix Slide Slide Door</v>
      </c>
      <c r="L160" s="16" t="str">
        <f>_xlfn.XLOOKUP(I160,dd_accsryclr!$A$2:$A$1000,dd_accsryclr!$A$2:$A$1000,"",0)</f>
        <v/>
      </c>
    </row>
    <row r="161" spans="1:12" hidden="1" x14ac:dyDescent="0.25">
      <c r="A161" s="16" t="s">
        <v>26</v>
      </c>
      <c r="B161" s="16" t="s">
        <v>426</v>
      </c>
      <c r="C161" s="16" t="s">
        <v>795</v>
      </c>
      <c r="D161" s="16" t="s">
        <v>796</v>
      </c>
      <c r="E161" s="16"/>
      <c r="F161" s="16" t="s">
        <v>194</v>
      </c>
      <c r="G161" s="16"/>
      <c r="H161" s="16" t="s">
        <v>797</v>
      </c>
      <c r="I161" s="16" t="s">
        <v>223</v>
      </c>
      <c r="J161" s="16" t="str">
        <f>IF(ISNUMBER(SEARCH("SCRW", H161)), _xlfn.XLOOKUP(C161,dd_item!$A$2:$A$147,dd_item!$B$2:$B$147,"",0),_xlfn.XLOOKUP(H161,dd_item!$A$2:$A$147,dd_item!$B$2:$B$147,"",0))</f>
        <v>Mullion66</v>
      </c>
      <c r="K161" s="16" t="str">
        <f>_xlfn.XLOOKUP(A161,dd_design_raw!$C$2:$C$1002,dd_design_raw!$A$2:$A$1002,"",0)</f>
        <v>Fix Slide Slide Door</v>
      </c>
      <c r="L161" s="16" t="str">
        <f>_xlfn.XLOOKUP(I161,dd_accsryclr!$A$2:$A$1000,dd_accsryclr!$A$2:$A$1000,"",0)</f>
        <v>BLK</v>
      </c>
    </row>
    <row r="162" spans="1:12" hidden="1" x14ac:dyDescent="0.25">
      <c r="A162" s="16" t="s">
        <v>26</v>
      </c>
      <c r="B162" s="16" t="s">
        <v>426</v>
      </c>
      <c r="C162" s="16" t="s">
        <v>798</v>
      </c>
      <c r="D162" s="16" t="s">
        <v>799</v>
      </c>
      <c r="E162" s="16"/>
      <c r="F162" s="16" t="s">
        <v>194</v>
      </c>
      <c r="G162" s="16"/>
      <c r="H162" s="16" t="s">
        <v>797</v>
      </c>
      <c r="I162" s="16" t="s">
        <v>211</v>
      </c>
      <c r="J162" s="16" t="str">
        <f>IF(ISNUMBER(SEARCH("SCRW", H162)), _xlfn.XLOOKUP(C162,dd_item!$A$2:$A$147,dd_item!$B$2:$B$147,"",0),_xlfn.XLOOKUP(H162,dd_item!$A$2:$A$147,dd_item!$B$2:$B$147,"",0))</f>
        <v>Mullion66</v>
      </c>
      <c r="K162" s="16" t="str">
        <f>_xlfn.XLOOKUP(A162,dd_design_raw!$C$2:$C$1002,dd_design_raw!$A$2:$A$1002,"",0)</f>
        <v>Fix Slide Slide Door</v>
      </c>
      <c r="L162" s="16" t="str">
        <f>_xlfn.XLOOKUP(I162,dd_accsryclr!$A$2:$A$1000,dd_accsryclr!$A$2:$A$1000,"",0)</f>
        <v/>
      </c>
    </row>
    <row r="163" spans="1:12" hidden="1" x14ac:dyDescent="0.25">
      <c r="A163" s="16" t="s">
        <v>26</v>
      </c>
      <c r="B163" s="16" t="s">
        <v>426</v>
      </c>
      <c r="C163" s="16" t="s">
        <v>800</v>
      </c>
      <c r="D163" s="16" t="s">
        <v>801</v>
      </c>
      <c r="E163" s="16"/>
      <c r="F163" s="16" t="s">
        <v>194</v>
      </c>
      <c r="G163" s="16"/>
      <c r="H163" s="16" t="s">
        <v>797</v>
      </c>
      <c r="I163" s="16" t="s">
        <v>214</v>
      </c>
      <c r="J163" s="16" t="str">
        <f>IF(ISNUMBER(SEARCH("SCRW", H163)), _xlfn.XLOOKUP(C163,dd_item!$A$2:$A$147,dd_item!$B$2:$B$147,"",0),_xlfn.XLOOKUP(H163,dd_item!$A$2:$A$147,dd_item!$B$2:$B$147,"",0))</f>
        <v>Mullion66</v>
      </c>
      <c r="K163" s="16" t="str">
        <f>_xlfn.XLOOKUP(A163,dd_design_raw!$C$2:$C$1002,dd_design_raw!$A$2:$A$1002,"",0)</f>
        <v>Fix Slide Slide Door</v>
      </c>
      <c r="L163" s="16" t="str">
        <f>_xlfn.XLOOKUP(I163,dd_accsryclr!$A$2:$A$1000,dd_accsryclr!$A$2:$A$1000,"",0)</f>
        <v/>
      </c>
    </row>
    <row r="164" spans="1:12" hidden="1" x14ac:dyDescent="0.25">
      <c r="A164" s="16" t="s">
        <v>26</v>
      </c>
      <c r="B164" s="16" t="s">
        <v>426</v>
      </c>
      <c r="C164" s="16" t="s">
        <v>802</v>
      </c>
      <c r="D164" s="16" t="s">
        <v>803</v>
      </c>
      <c r="E164" s="16"/>
      <c r="F164" s="16" t="s">
        <v>194</v>
      </c>
      <c r="G164" s="16"/>
      <c r="H164" s="16" t="s">
        <v>797</v>
      </c>
      <c r="I164" s="16" t="s">
        <v>217</v>
      </c>
      <c r="J164" s="16" t="str">
        <f>IF(ISNUMBER(SEARCH("SCRW", H164)), _xlfn.XLOOKUP(C164,dd_item!$A$2:$A$147,dd_item!$B$2:$B$147,"",0),_xlfn.XLOOKUP(H164,dd_item!$A$2:$A$147,dd_item!$B$2:$B$147,"",0))</f>
        <v>Mullion66</v>
      </c>
      <c r="K164" s="16" t="str">
        <f>_xlfn.XLOOKUP(A164,dd_design_raw!$C$2:$C$1002,dd_design_raw!$A$2:$A$1002,"",0)</f>
        <v>Fix Slide Slide Door</v>
      </c>
      <c r="L164" s="16" t="str">
        <f>_xlfn.XLOOKUP(I164,dd_accsryclr!$A$2:$A$1000,dd_accsryclr!$A$2:$A$1000,"",0)</f>
        <v/>
      </c>
    </row>
    <row r="165" spans="1:12" hidden="1" x14ac:dyDescent="0.25">
      <c r="A165" s="16" t="s">
        <v>26</v>
      </c>
      <c r="B165" s="16" t="s">
        <v>426</v>
      </c>
      <c r="C165" s="16" t="s">
        <v>804</v>
      </c>
      <c r="D165" s="16" t="s">
        <v>805</v>
      </c>
      <c r="E165" s="16"/>
      <c r="F165" s="16" t="s">
        <v>194</v>
      </c>
      <c r="G165" s="16"/>
      <c r="H165" s="16" t="s">
        <v>797</v>
      </c>
      <c r="I165" s="16" t="s">
        <v>226</v>
      </c>
      <c r="J165" s="16" t="str">
        <f>IF(ISNUMBER(SEARCH("SCRW", H165)), _xlfn.XLOOKUP(C165,dd_item!$A$2:$A$147,dd_item!$B$2:$B$147,"",0),_xlfn.XLOOKUP(H165,dd_item!$A$2:$A$147,dd_item!$B$2:$B$147,"",0))</f>
        <v>Mullion66</v>
      </c>
      <c r="K165" s="16" t="str">
        <f>_xlfn.XLOOKUP(A165,dd_design_raw!$C$2:$C$1002,dd_design_raw!$A$2:$A$1002,"",0)</f>
        <v>Fix Slide Slide Door</v>
      </c>
      <c r="L165" s="16" t="str">
        <f>_xlfn.XLOOKUP(I165,dd_accsryclr!$A$2:$A$1000,dd_accsryclr!$A$2:$A$1000,"",0)</f>
        <v/>
      </c>
    </row>
    <row r="166" spans="1:12" hidden="1" x14ac:dyDescent="0.25">
      <c r="A166" s="16" t="s">
        <v>26</v>
      </c>
      <c r="B166" s="16" t="s">
        <v>426</v>
      </c>
      <c r="C166" s="16" t="s">
        <v>806</v>
      </c>
      <c r="D166" s="16" t="s">
        <v>807</v>
      </c>
      <c r="E166" s="16"/>
      <c r="F166" s="16" t="s">
        <v>194</v>
      </c>
      <c r="G166" s="16"/>
      <c r="H166" s="16" t="s">
        <v>797</v>
      </c>
      <c r="I166" s="16" t="s">
        <v>220</v>
      </c>
      <c r="J166" s="16" t="str">
        <f>IF(ISNUMBER(SEARCH("SCRW", H166)), _xlfn.XLOOKUP(C166,dd_item!$A$2:$A$147,dd_item!$B$2:$B$147,"",0),_xlfn.XLOOKUP(H166,dd_item!$A$2:$A$147,dd_item!$B$2:$B$147,"",0))</f>
        <v>Mullion66</v>
      </c>
      <c r="K166" s="16" t="str">
        <f>_xlfn.XLOOKUP(A166,dd_design_raw!$C$2:$C$1002,dd_design_raw!$A$2:$A$1002,"",0)</f>
        <v>Fix Slide Slide Door</v>
      </c>
      <c r="L166" s="16" t="str">
        <f>_xlfn.XLOOKUP(I166,dd_accsryclr!$A$2:$A$1000,dd_accsryclr!$A$2:$A$1000,"",0)</f>
        <v>WHT</v>
      </c>
    </row>
    <row r="167" spans="1:12" hidden="1" x14ac:dyDescent="0.25">
      <c r="A167" s="16" t="s">
        <v>26</v>
      </c>
      <c r="B167" s="16" t="s">
        <v>426</v>
      </c>
      <c r="C167" s="16" t="s">
        <v>808</v>
      </c>
      <c r="D167" s="16" t="s">
        <v>809</v>
      </c>
      <c r="E167" s="16"/>
      <c r="F167" s="16" t="s">
        <v>194</v>
      </c>
      <c r="G167" s="16"/>
      <c r="H167" s="16" t="s">
        <v>797</v>
      </c>
      <c r="I167" s="16" t="s">
        <v>230</v>
      </c>
      <c r="J167" s="16" t="str">
        <f>IF(ISNUMBER(SEARCH("SCRW", H167)), _xlfn.XLOOKUP(C167,dd_item!$A$2:$A$147,dd_item!$B$2:$B$147,"",0),_xlfn.XLOOKUP(H167,dd_item!$A$2:$A$147,dd_item!$B$2:$B$147,"",0))</f>
        <v>Mullion66</v>
      </c>
      <c r="K167" s="16" t="str">
        <f>_xlfn.XLOOKUP(A167,dd_design_raw!$C$2:$C$1002,dd_design_raw!$A$2:$A$1002,"",0)</f>
        <v>Fix Slide Slide Door</v>
      </c>
      <c r="L167" s="16" t="str">
        <f>_xlfn.XLOOKUP(I167,dd_accsryclr!$A$2:$A$1000,dd_accsryclr!$A$2:$A$1000,"",0)</f>
        <v>BRWN</v>
      </c>
    </row>
    <row r="168" spans="1:12" hidden="1" x14ac:dyDescent="0.25">
      <c r="A168" s="16" t="s">
        <v>26</v>
      </c>
      <c r="B168" s="16" t="s">
        <v>426</v>
      </c>
      <c r="C168" s="16" t="s">
        <v>431</v>
      </c>
      <c r="D168" s="16" t="s">
        <v>432</v>
      </c>
      <c r="E168" s="16"/>
      <c r="F168" s="16" t="s">
        <v>194</v>
      </c>
      <c r="G168" s="16"/>
      <c r="H168" s="16" t="s">
        <v>430</v>
      </c>
      <c r="I168" s="16" t="s">
        <v>211</v>
      </c>
      <c r="J168" s="16" t="str">
        <f>IF(ISNUMBER(SEARCH("SCRW", H168)), _xlfn.XLOOKUP(C168,dd_item!$A$2:$A$147,dd_item!$B$2:$B$147,"",0),_xlfn.XLOOKUP(H168,dd_item!$A$2:$A$147,dd_item!$B$2:$B$147,"",0))</f>
        <v>Inline Adapter 50</v>
      </c>
      <c r="K168" s="16" t="str">
        <f>_xlfn.XLOOKUP(A168,dd_design_raw!$C$2:$C$1002,dd_design_raw!$A$2:$A$1002,"",0)</f>
        <v>Fix Slide Slide Door</v>
      </c>
      <c r="L168" s="16" t="str">
        <f>_xlfn.XLOOKUP(I168,dd_accsryclr!$A$2:$A$1000,dd_accsryclr!$A$2:$A$1000,"",0)</f>
        <v/>
      </c>
    </row>
    <row r="169" spans="1:12" hidden="1" x14ac:dyDescent="0.25">
      <c r="A169" s="16" t="s">
        <v>26</v>
      </c>
      <c r="B169" s="16" t="s">
        <v>426</v>
      </c>
      <c r="C169" s="16" t="s">
        <v>433</v>
      </c>
      <c r="D169" s="16" t="s">
        <v>434</v>
      </c>
      <c r="E169" s="16"/>
      <c r="F169" s="16" t="s">
        <v>194</v>
      </c>
      <c r="G169" s="16"/>
      <c r="H169" s="16" t="s">
        <v>430</v>
      </c>
      <c r="I169" s="16" t="s">
        <v>214</v>
      </c>
      <c r="J169" s="16" t="str">
        <f>IF(ISNUMBER(SEARCH("SCRW", H169)), _xlfn.XLOOKUP(C169,dd_item!$A$2:$A$147,dd_item!$B$2:$B$147,"",0),_xlfn.XLOOKUP(H169,dd_item!$A$2:$A$147,dd_item!$B$2:$B$147,"",0))</f>
        <v>Inline Adapter 50</v>
      </c>
      <c r="K169" s="16" t="str">
        <f>_xlfn.XLOOKUP(A169,dd_design_raw!$C$2:$C$1002,dd_design_raw!$A$2:$A$1002,"",0)</f>
        <v>Fix Slide Slide Door</v>
      </c>
      <c r="L169" s="16" t="str">
        <f>_xlfn.XLOOKUP(I169,dd_accsryclr!$A$2:$A$1000,dd_accsryclr!$A$2:$A$1000,"",0)</f>
        <v/>
      </c>
    </row>
    <row r="170" spans="1:12" hidden="1" x14ac:dyDescent="0.25">
      <c r="A170" s="16" t="s">
        <v>26</v>
      </c>
      <c r="B170" s="16" t="s">
        <v>426</v>
      </c>
      <c r="C170" s="16" t="s">
        <v>435</v>
      </c>
      <c r="D170" s="16" t="s">
        <v>436</v>
      </c>
      <c r="E170" s="16"/>
      <c r="F170" s="16" t="s">
        <v>194</v>
      </c>
      <c r="G170" s="16"/>
      <c r="H170" s="16" t="s">
        <v>430</v>
      </c>
      <c r="I170" s="16" t="s">
        <v>217</v>
      </c>
      <c r="J170" s="16" t="str">
        <f>IF(ISNUMBER(SEARCH("SCRW", H170)), _xlfn.XLOOKUP(C170,dd_item!$A$2:$A$147,dd_item!$B$2:$B$147,"",0),_xlfn.XLOOKUP(H170,dd_item!$A$2:$A$147,dd_item!$B$2:$B$147,"",0))</f>
        <v>Inline Adapter 50</v>
      </c>
      <c r="K170" s="16" t="str">
        <f>_xlfn.XLOOKUP(A170,dd_design_raw!$C$2:$C$1002,dd_design_raw!$A$2:$A$1002,"",0)</f>
        <v>Fix Slide Slide Door</v>
      </c>
      <c r="L170" s="16" t="str">
        <f>_xlfn.XLOOKUP(I170,dd_accsryclr!$A$2:$A$1000,dd_accsryclr!$A$2:$A$1000,"",0)</f>
        <v/>
      </c>
    </row>
    <row r="171" spans="1:12" hidden="1" x14ac:dyDescent="0.25">
      <c r="A171" s="16" t="s">
        <v>26</v>
      </c>
      <c r="B171" s="16" t="s">
        <v>426</v>
      </c>
      <c r="C171" s="16" t="s">
        <v>437</v>
      </c>
      <c r="D171" s="16" t="s">
        <v>438</v>
      </c>
      <c r="E171" s="16"/>
      <c r="F171" s="16" t="s">
        <v>194</v>
      </c>
      <c r="G171" s="16"/>
      <c r="H171" s="16" t="s">
        <v>430</v>
      </c>
      <c r="I171" s="16" t="s">
        <v>226</v>
      </c>
      <c r="J171" s="16" t="str">
        <f>IF(ISNUMBER(SEARCH("SCRW", H171)), _xlfn.XLOOKUP(C171,dd_item!$A$2:$A$147,dd_item!$B$2:$B$147,"",0),_xlfn.XLOOKUP(H171,dd_item!$A$2:$A$147,dd_item!$B$2:$B$147,"",0))</f>
        <v>Inline Adapter 50</v>
      </c>
      <c r="K171" s="16" t="str">
        <f>_xlfn.XLOOKUP(A171,dd_design_raw!$C$2:$C$1002,dd_design_raw!$A$2:$A$1002,"",0)</f>
        <v>Fix Slide Slide Door</v>
      </c>
      <c r="L171" s="16" t="str">
        <f>_xlfn.XLOOKUP(I171,dd_accsryclr!$A$2:$A$1000,dd_accsryclr!$A$2:$A$1000,"",0)</f>
        <v/>
      </c>
    </row>
    <row r="172" spans="1:12" hidden="1" x14ac:dyDescent="0.25">
      <c r="A172" s="16" t="s">
        <v>26</v>
      </c>
      <c r="B172" s="16" t="s">
        <v>426</v>
      </c>
      <c r="C172" s="16" t="s">
        <v>439</v>
      </c>
      <c r="D172" s="16" t="s">
        <v>440</v>
      </c>
      <c r="E172" s="16"/>
      <c r="F172" s="16" t="s">
        <v>194</v>
      </c>
      <c r="G172" s="16"/>
      <c r="H172" s="16" t="s">
        <v>430</v>
      </c>
      <c r="I172" s="16" t="s">
        <v>220</v>
      </c>
      <c r="J172" s="16" t="str">
        <f>IF(ISNUMBER(SEARCH("SCRW", H172)), _xlfn.XLOOKUP(C172,dd_item!$A$2:$A$147,dd_item!$B$2:$B$147,"",0),_xlfn.XLOOKUP(H172,dd_item!$A$2:$A$147,dd_item!$B$2:$B$147,"",0))</f>
        <v>Inline Adapter 50</v>
      </c>
      <c r="K172" s="16" t="str">
        <f>_xlfn.XLOOKUP(A172,dd_design_raw!$C$2:$C$1002,dd_design_raw!$A$2:$A$1002,"",0)</f>
        <v>Fix Slide Slide Door</v>
      </c>
      <c r="L172" s="16" t="str">
        <f>_xlfn.XLOOKUP(I172,dd_accsryclr!$A$2:$A$1000,dd_accsryclr!$A$2:$A$1000,"",0)</f>
        <v>WHT</v>
      </c>
    </row>
    <row r="173" spans="1:12" hidden="1" x14ac:dyDescent="0.25">
      <c r="A173" s="16" t="s">
        <v>26</v>
      </c>
      <c r="B173" s="16" t="s">
        <v>426</v>
      </c>
      <c r="C173" s="16" t="s">
        <v>345</v>
      </c>
      <c r="D173" s="16" t="s">
        <v>346</v>
      </c>
      <c r="E173" s="16"/>
      <c r="F173" s="16" t="s">
        <v>194</v>
      </c>
      <c r="G173" s="16"/>
      <c r="H173" s="16" t="s">
        <v>430</v>
      </c>
      <c r="I173" s="16" t="s">
        <v>223</v>
      </c>
      <c r="J173" s="16" t="str">
        <f>IF(ISNUMBER(SEARCH("SCRW", H173)), _xlfn.XLOOKUP(C173,dd_item!$A$2:$A$147,dd_item!$B$2:$B$147,"",0),_xlfn.XLOOKUP(H173,dd_item!$A$2:$A$147,dd_item!$B$2:$B$147,"",0))</f>
        <v>Inline Adapter 50</v>
      </c>
      <c r="K173" s="16" t="str">
        <f>_xlfn.XLOOKUP(A173,dd_design_raw!$C$2:$C$1002,dd_design_raw!$A$2:$A$1002,"",0)</f>
        <v>Fix Slide Slide Door</v>
      </c>
      <c r="L173" s="16" t="str">
        <f>_xlfn.XLOOKUP(I173,dd_accsryclr!$A$2:$A$1000,dd_accsryclr!$A$2:$A$1000,"",0)</f>
        <v>BLK</v>
      </c>
    </row>
    <row r="174" spans="1:12" hidden="1" x14ac:dyDescent="0.25">
      <c r="A174" s="16" t="s">
        <v>26</v>
      </c>
      <c r="B174" s="16" t="s">
        <v>426</v>
      </c>
      <c r="C174" s="16" t="s">
        <v>347</v>
      </c>
      <c r="D174" s="16" t="s">
        <v>348</v>
      </c>
      <c r="E174" s="16"/>
      <c r="F174" s="16" t="s">
        <v>194</v>
      </c>
      <c r="G174" s="16"/>
      <c r="H174" s="16" t="s">
        <v>430</v>
      </c>
      <c r="I174" s="16" t="s">
        <v>230</v>
      </c>
      <c r="J174" s="16" t="str">
        <f>IF(ISNUMBER(SEARCH("SCRW", H174)), _xlfn.XLOOKUP(C174,dd_item!$A$2:$A$147,dd_item!$B$2:$B$147,"",0),_xlfn.XLOOKUP(H174,dd_item!$A$2:$A$147,dd_item!$B$2:$B$147,"",0))</f>
        <v>Inline Adapter 50</v>
      </c>
      <c r="K174" s="16" t="str">
        <f>_xlfn.XLOOKUP(A174,dd_design_raw!$C$2:$C$1002,dd_design_raw!$A$2:$A$1002,"",0)</f>
        <v>Fix Slide Slide Door</v>
      </c>
      <c r="L174" s="16" t="str">
        <f>_xlfn.XLOOKUP(I174,dd_accsryclr!$A$2:$A$1000,dd_accsryclr!$A$2:$A$1000,"",0)</f>
        <v>BRWN</v>
      </c>
    </row>
    <row r="175" spans="1:12" hidden="1" x14ac:dyDescent="0.25">
      <c r="A175" s="16" t="s">
        <v>26</v>
      </c>
      <c r="B175" s="16" t="s">
        <v>426</v>
      </c>
      <c r="C175" s="16" t="s">
        <v>265</v>
      </c>
      <c r="D175" s="16" t="s">
        <v>266</v>
      </c>
      <c r="E175" s="16"/>
      <c r="F175" s="16" t="s">
        <v>194</v>
      </c>
      <c r="G175" s="16" t="s">
        <v>797</v>
      </c>
      <c r="H175" s="16" t="s">
        <v>810</v>
      </c>
      <c r="I175" s="16"/>
      <c r="J175" s="16" t="str">
        <f>IF(ISNUMBER(SEARCH("SCRW", H175)), _xlfn.XLOOKUP(C175,dd_item!$A$2:$A$147,dd_item!$B$2:$B$147,"",0),_xlfn.XLOOKUP(H175,dd_item!$A$2:$A$147,dd_item!$B$2:$B$147,"",0))</f>
        <v>Steel-Mullion66</v>
      </c>
      <c r="K175" s="16" t="str">
        <f>_xlfn.XLOOKUP(A175,dd_design_raw!$C$2:$C$1002,dd_design_raw!$A$2:$A$1002,"",0)</f>
        <v>Fix Slide Slide Door</v>
      </c>
      <c r="L175" s="16" t="str">
        <f>_xlfn.XLOOKUP(I175,dd_accsryclr!$A$2:$A$1000,dd_accsryclr!$A$2:$A$1000,"",0)</f>
        <v/>
      </c>
    </row>
    <row r="176" spans="1:12" hidden="1" x14ac:dyDescent="0.25">
      <c r="A176" s="16" t="s">
        <v>80</v>
      </c>
      <c r="B176" s="16" t="s">
        <v>427</v>
      </c>
      <c r="C176" s="16" t="s">
        <v>208</v>
      </c>
      <c r="D176" s="16" t="s">
        <v>209</v>
      </c>
      <c r="E176" s="16">
        <v>1.9344827586206896</v>
      </c>
      <c r="F176" s="16" t="s">
        <v>194</v>
      </c>
      <c r="G176" s="16"/>
      <c r="H176" s="16" t="s">
        <v>210</v>
      </c>
      <c r="I176" s="16" t="s">
        <v>211</v>
      </c>
      <c r="J176" s="16" t="str">
        <f>IF(ISNUMBER(SEARCH("SCRW", H176)), _xlfn.XLOOKUP(C176,dd_item!$A$2:$A$147,dd_item!$B$2:$B$147,"",0),_xlfn.XLOOKUP(H176,dd_item!$A$2:$A$147,dd_item!$B$2:$B$147,"",0))</f>
        <v>Frame138</v>
      </c>
      <c r="K176" s="16" t="str">
        <f>_xlfn.XLOOKUP(A176,dd_design_raw!$C$2:$C$1002,dd_design_raw!$A$2:$A$1002,"",0)</f>
        <v>Fix Slide Slide Fix Door - with Screen</v>
      </c>
      <c r="L176" s="16" t="str">
        <f>_xlfn.XLOOKUP(I176,dd_accsryclr!$A$2:$A$1000,dd_accsryclr!$A$2:$A$1000,"",0)</f>
        <v/>
      </c>
    </row>
    <row r="177" spans="1:12" hidden="1" x14ac:dyDescent="0.25">
      <c r="A177" s="16" t="s">
        <v>80</v>
      </c>
      <c r="B177" s="16" t="s">
        <v>427</v>
      </c>
      <c r="C177" s="16" t="s">
        <v>212</v>
      </c>
      <c r="D177" s="16" t="s">
        <v>213</v>
      </c>
      <c r="E177" s="16">
        <v>1.9344827586206896</v>
      </c>
      <c r="F177" s="16" t="s">
        <v>194</v>
      </c>
      <c r="G177" s="16"/>
      <c r="H177" s="16" t="s">
        <v>210</v>
      </c>
      <c r="I177" s="16" t="s">
        <v>214</v>
      </c>
      <c r="J177" s="16" t="str">
        <f>IF(ISNUMBER(SEARCH("SCRW", H177)), _xlfn.XLOOKUP(C177,dd_item!$A$2:$A$147,dd_item!$B$2:$B$147,"",0),_xlfn.XLOOKUP(H177,dd_item!$A$2:$A$147,dd_item!$B$2:$B$147,"",0))</f>
        <v>Frame138</v>
      </c>
      <c r="K177" s="16" t="str">
        <f>_xlfn.XLOOKUP(A177,dd_design_raw!$C$2:$C$1002,dd_design_raw!$A$2:$A$1002,"",0)</f>
        <v>Fix Slide Slide Fix Door - with Screen</v>
      </c>
      <c r="L177" s="16" t="str">
        <f>_xlfn.XLOOKUP(I177,dd_accsryclr!$A$2:$A$1000,dd_accsryclr!$A$2:$A$1000,"",0)</f>
        <v/>
      </c>
    </row>
    <row r="178" spans="1:12" hidden="1" x14ac:dyDescent="0.25">
      <c r="A178" s="16" t="s">
        <v>80</v>
      </c>
      <c r="B178" s="16" t="s">
        <v>427</v>
      </c>
      <c r="C178" s="16" t="s">
        <v>215</v>
      </c>
      <c r="D178" s="16" t="s">
        <v>216</v>
      </c>
      <c r="E178" s="16">
        <v>1.9344827586206896</v>
      </c>
      <c r="F178" s="16" t="s">
        <v>194</v>
      </c>
      <c r="G178" s="16"/>
      <c r="H178" s="16" t="s">
        <v>210</v>
      </c>
      <c r="I178" s="16" t="s">
        <v>217</v>
      </c>
      <c r="J178" s="16" t="str">
        <f>IF(ISNUMBER(SEARCH("SCRW", H178)), _xlfn.XLOOKUP(C178,dd_item!$A$2:$A$147,dd_item!$B$2:$B$147,"",0),_xlfn.XLOOKUP(H178,dd_item!$A$2:$A$147,dd_item!$B$2:$B$147,"",0))</f>
        <v>Frame138</v>
      </c>
      <c r="K178" s="16" t="str">
        <f>_xlfn.XLOOKUP(A178,dd_design_raw!$C$2:$C$1002,dd_design_raw!$A$2:$A$1002,"",0)</f>
        <v>Fix Slide Slide Fix Door - with Screen</v>
      </c>
      <c r="L178" s="16" t="str">
        <f>_xlfn.XLOOKUP(I178,dd_accsryclr!$A$2:$A$1000,dd_accsryclr!$A$2:$A$1000,"",0)</f>
        <v/>
      </c>
    </row>
    <row r="179" spans="1:12" hidden="1" x14ac:dyDescent="0.25">
      <c r="A179" s="16" t="s">
        <v>80</v>
      </c>
      <c r="B179" s="16" t="s">
        <v>427</v>
      </c>
      <c r="C179" s="16" t="s">
        <v>218</v>
      </c>
      <c r="D179" s="16" t="s">
        <v>219</v>
      </c>
      <c r="E179" s="16">
        <v>1.9344827586206896</v>
      </c>
      <c r="F179" s="16" t="s">
        <v>194</v>
      </c>
      <c r="G179" s="16"/>
      <c r="H179" s="16" t="s">
        <v>210</v>
      </c>
      <c r="I179" s="16" t="s">
        <v>220</v>
      </c>
      <c r="J179" s="16" t="str">
        <f>IF(ISNUMBER(SEARCH("SCRW", H179)), _xlfn.XLOOKUP(C179,dd_item!$A$2:$A$147,dd_item!$B$2:$B$147,"",0),_xlfn.XLOOKUP(H179,dd_item!$A$2:$A$147,dd_item!$B$2:$B$147,"",0))</f>
        <v>Frame138</v>
      </c>
      <c r="K179" s="16" t="str">
        <f>_xlfn.XLOOKUP(A179,dd_design_raw!$C$2:$C$1002,dd_design_raw!$A$2:$A$1002,"",0)</f>
        <v>Fix Slide Slide Fix Door - with Screen</v>
      </c>
      <c r="L179" s="16" t="str">
        <f>_xlfn.XLOOKUP(I179,dd_accsryclr!$A$2:$A$1000,dd_accsryclr!$A$2:$A$1000,"",0)</f>
        <v>WHT</v>
      </c>
    </row>
    <row r="180" spans="1:12" hidden="1" x14ac:dyDescent="0.25">
      <c r="A180" s="16" t="s">
        <v>80</v>
      </c>
      <c r="B180" s="16" t="s">
        <v>427</v>
      </c>
      <c r="C180" s="16" t="s">
        <v>221</v>
      </c>
      <c r="D180" s="16" t="s">
        <v>222</v>
      </c>
      <c r="E180" s="16">
        <v>1.9344827586206896</v>
      </c>
      <c r="F180" s="16" t="s">
        <v>194</v>
      </c>
      <c r="G180" s="16"/>
      <c r="H180" s="16" t="s">
        <v>210</v>
      </c>
      <c r="I180" s="16" t="s">
        <v>223</v>
      </c>
      <c r="J180" s="16" t="str">
        <f>IF(ISNUMBER(SEARCH("SCRW", H180)), _xlfn.XLOOKUP(C180,dd_item!$A$2:$A$147,dd_item!$B$2:$B$147,"",0),_xlfn.XLOOKUP(H180,dd_item!$A$2:$A$147,dd_item!$B$2:$B$147,"",0))</f>
        <v>Frame138</v>
      </c>
      <c r="K180" s="16" t="str">
        <f>_xlfn.XLOOKUP(A180,dd_design_raw!$C$2:$C$1002,dd_design_raw!$A$2:$A$1002,"",0)</f>
        <v>Fix Slide Slide Fix Door - with Screen</v>
      </c>
      <c r="L180" s="16" t="str">
        <f>_xlfn.XLOOKUP(I180,dd_accsryclr!$A$2:$A$1000,dd_accsryclr!$A$2:$A$1000,"",0)</f>
        <v>BLK</v>
      </c>
    </row>
    <row r="181" spans="1:12" hidden="1" x14ac:dyDescent="0.25">
      <c r="A181" s="16" t="s">
        <v>80</v>
      </c>
      <c r="B181" s="16" t="s">
        <v>427</v>
      </c>
      <c r="C181" s="16" t="s">
        <v>224</v>
      </c>
      <c r="D181" s="16" t="s">
        <v>225</v>
      </c>
      <c r="E181" s="16">
        <v>1.9344827586206896</v>
      </c>
      <c r="F181" s="16" t="s">
        <v>194</v>
      </c>
      <c r="G181" s="16"/>
      <c r="H181" s="16" t="s">
        <v>210</v>
      </c>
      <c r="I181" s="16" t="s">
        <v>226</v>
      </c>
      <c r="J181" s="16" t="str">
        <f>IF(ISNUMBER(SEARCH("SCRW", H181)), _xlfn.XLOOKUP(C181,dd_item!$A$2:$A$147,dd_item!$B$2:$B$147,"",0),_xlfn.XLOOKUP(H181,dd_item!$A$2:$A$147,dd_item!$B$2:$B$147,"",0))</f>
        <v>Frame138</v>
      </c>
      <c r="K181" s="16" t="str">
        <f>_xlfn.XLOOKUP(A181,dd_design_raw!$C$2:$C$1002,dd_design_raw!$A$2:$A$1002,"",0)</f>
        <v>Fix Slide Slide Fix Door - with Screen</v>
      </c>
      <c r="L181" s="16" t="str">
        <f>_xlfn.XLOOKUP(I181,dd_accsryclr!$A$2:$A$1000,dd_accsryclr!$A$2:$A$1000,"",0)</f>
        <v/>
      </c>
    </row>
    <row r="182" spans="1:12" hidden="1" x14ac:dyDescent="0.25">
      <c r="A182" s="16" t="s">
        <v>80</v>
      </c>
      <c r="B182" s="16" t="s">
        <v>427</v>
      </c>
      <c r="C182" s="16" t="s">
        <v>227</v>
      </c>
      <c r="D182" s="16" t="s">
        <v>228</v>
      </c>
      <c r="E182" s="16">
        <v>1.9344827586206896</v>
      </c>
      <c r="F182" s="16" t="s">
        <v>194</v>
      </c>
      <c r="G182" s="16"/>
      <c r="H182" s="16" t="s">
        <v>229</v>
      </c>
      <c r="I182" s="16" t="s">
        <v>230</v>
      </c>
      <c r="J182" s="16" t="str">
        <f>IF(ISNUMBER(SEARCH("SCRW", H182)), _xlfn.XLOOKUP(C182,dd_item!$A$2:$A$147,dd_item!$B$2:$B$147,"",0),_xlfn.XLOOKUP(H182,dd_item!$A$2:$A$147,dd_item!$B$2:$B$147,"",0))</f>
        <v>Frame112</v>
      </c>
      <c r="K182" s="16" t="str">
        <f>_xlfn.XLOOKUP(A182,dd_design_raw!$C$2:$C$1002,dd_design_raw!$A$2:$A$1002,"",0)</f>
        <v>Fix Slide Slide Fix Door - with Screen</v>
      </c>
      <c r="L182" s="16" t="str">
        <f>_xlfn.XLOOKUP(I182,dd_accsryclr!$A$2:$A$1000,dd_accsryclr!$A$2:$A$1000,"",0)</f>
        <v>BRWN</v>
      </c>
    </row>
    <row r="183" spans="1:12" hidden="1" x14ac:dyDescent="0.25">
      <c r="A183" s="16" t="s">
        <v>80</v>
      </c>
      <c r="B183" s="16" t="s">
        <v>427</v>
      </c>
      <c r="C183" s="16" t="s">
        <v>231</v>
      </c>
      <c r="D183" s="16" t="s">
        <v>232</v>
      </c>
      <c r="E183" s="16">
        <v>4.3503448275862073</v>
      </c>
      <c r="F183" s="16" t="s">
        <v>194</v>
      </c>
      <c r="G183" s="16"/>
      <c r="H183" s="16" t="s">
        <v>233</v>
      </c>
      <c r="I183" s="16" t="s">
        <v>223</v>
      </c>
      <c r="J183" s="16" t="str">
        <f>IF(ISNUMBER(SEARCH("SCRW", H183)), _xlfn.XLOOKUP(C183,dd_item!$A$2:$A$147,dd_item!$B$2:$B$147,"",0),_xlfn.XLOOKUP(H183,dd_item!$A$2:$A$147,dd_item!$B$2:$B$147,"",0))</f>
        <v>Sash92</v>
      </c>
      <c r="K183" s="16" t="str">
        <f>_xlfn.XLOOKUP(A183,dd_design_raw!$C$2:$C$1002,dd_design_raw!$A$2:$A$1002,"",0)</f>
        <v>Fix Slide Slide Fix Door - with Screen</v>
      </c>
      <c r="L183" s="16" t="str">
        <f>_xlfn.XLOOKUP(I183,dd_accsryclr!$A$2:$A$1000,dd_accsryclr!$A$2:$A$1000,"",0)</f>
        <v>BLK</v>
      </c>
    </row>
    <row r="184" spans="1:12" hidden="1" x14ac:dyDescent="0.25">
      <c r="A184" s="16" t="s">
        <v>80</v>
      </c>
      <c r="B184" s="16" t="s">
        <v>427</v>
      </c>
      <c r="C184" s="16" t="s">
        <v>234</v>
      </c>
      <c r="D184" s="16" t="s">
        <v>235</v>
      </c>
      <c r="E184" s="16">
        <v>4.3503448275862073</v>
      </c>
      <c r="F184" s="16" t="s">
        <v>194</v>
      </c>
      <c r="G184" s="16"/>
      <c r="H184" s="16" t="s">
        <v>233</v>
      </c>
      <c r="I184" s="16" t="s">
        <v>211</v>
      </c>
      <c r="J184" s="16" t="str">
        <f>IF(ISNUMBER(SEARCH("SCRW", H184)), _xlfn.XLOOKUP(C184,dd_item!$A$2:$A$147,dd_item!$B$2:$B$147,"",0),_xlfn.XLOOKUP(H184,dd_item!$A$2:$A$147,dd_item!$B$2:$B$147,"",0))</f>
        <v>Sash92</v>
      </c>
      <c r="K184" s="16" t="str">
        <f>_xlfn.XLOOKUP(A184,dd_design_raw!$C$2:$C$1002,dd_design_raw!$A$2:$A$1002,"",0)</f>
        <v>Fix Slide Slide Fix Door - with Screen</v>
      </c>
      <c r="L184" s="16" t="str">
        <f>_xlfn.XLOOKUP(I184,dd_accsryclr!$A$2:$A$1000,dd_accsryclr!$A$2:$A$1000,"",0)</f>
        <v/>
      </c>
    </row>
    <row r="185" spans="1:12" hidden="1" x14ac:dyDescent="0.25">
      <c r="A185" s="16" t="s">
        <v>80</v>
      </c>
      <c r="B185" s="16" t="s">
        <v>427</v>
      </c>
      <c r="C185" s="16" t="s">
        <v>236</v>
      </c>
      <c r="D185" s="16" t="s">
        <v>237</v>
      </c>
      <c r="E185" s="16">
        <v>4.3503448275862073</v>
      </c>
      <c r="F185" s="16" t="s">
        <v>194</v>
      </c>
      <c r="G185" s="16"/>
      <c r="H185" s="16" t="s">
        <v>233</v>
      </c>
      <c r="I185" s="16" t="s">
        <v>214</v>
      </c>
      <c r="J185" s="16" t="str">
        <f>IF(ISNUMBER(SEARCH("SCRW", H185)), _xlfn.XLOOKUP(C185,dd_item!$A$2:$A$147,dd_item!$B$2:$B$147,"",0),_xlfn.XLOOKUP(H185,dd_item!$A$2:$A$147,dd_item!$B$2:$B$147,"",0))</f>
        <v>Sash92</v>
      </c>
      <c r="K185" s="16" t="str">
        <f>_xlfn.XLOOKUP(A185,dd_design_raw!$C$2:$C$1002,dd_design_raw!$A$2:$A$1002,"",0)</f>
        <v>Fix Slide Slide Fix Door - with Screen</v>
      </c>
      <c r="L185" s="16" t="str">
        <f>_xlfn.XLOOKUP(I185,dd_accsryclr!$A$2:$A$1000,dd_accsryclr!$A$2:$A$1000,"",0)</f>
        <v/>
      </c>
    </row>
    <row r="186" spans="1:12" hidden="1" x14ac:dyDescent="0.25">
      <c r="A186" s="16" t="s">
        <v>80</v>
      </c>
      <c r="B186" s="16" t="s">
        <v>427</v>
      </c>
      <c r="C186" s="16" t="s">
        <v>238</v>
      </c>
      <c r="D186" s="16" t="s">
        <v>239</v>
      </c>
      <c r="E186" s="16">
        <v>4.3503448275862073</v>
      </c>
      <c r="F186" s="16" t="s">
        <v>194</v>
      </c>
      <c r="G186" s="16"/>
      <c r="H186" s="16" t="s">
        <v>233</v>
      </c>
      <c r="I186" s="16" t="s">
        <v>217</v>
      </c>
      <c r="J186" s="16" t="str">
        <f>IF(ISNUMBER(SEARCH("SCRW", H186)), _xlfn.XLOOKUP(C186,dd_item!$A$2:$A$147,dd_item!$B$2:$B$147,"",0),_xlfn.XLOOKUP(H186,dd_item!$A$2:$A$147,dd_item!$B$2:$B$147,"",0))</f>
        <v>Sash92</v>
      </c>
      <c r="K186" s="16" t="str">
        <f>_xlfn.XLOOKUP(A186,dd_design_raw!$C$2:$C$1002,dd_design_raw!$A$2:$A$1002,"",0)</f>
        <v>Fix Slide Slide Fix Door - with Screen</v>
      </c>
      <c r="L186" s="16" t="str">
        <f>_xlfn.XLOOKUP(I186,dd_accsryclr!$A$2:$A$1000,dd_accsryclr!$A$2:$A$1000,"",0)</f>
        <v/>
      </c>
    </row>
    <row r="187" spans="1:12" hidden="1" x14ac:dyDescent="0.25">
      <c r="A187" s="16" t="s">
        <v>80</v>
      </c>
      <c r="B187" s="16" t="s">
        <v>427</v>
      </c>
      <c r="C187" s="16" t="s">
        <v>240</v>
      </c>
      <c r="D187" s="16" t="s">
        <v>241</v>
      </c>
      <c r="E187" s="16">
        <v>4.3503448275862073</v>
      </c>
      <c r="F187" s="16" t="s">
        <v>194</v>
      </c>
      <c r="G187" s="16"/>
      <c r="H187" s="16" t="s">
        <v>233</v>
      </c>
      <c r="I187" s="16" t="s">
        <v>226</v>
      </c>
      <c r="J187" s="16" t="str">
        <f>IF(ISNUMBER(SEARCH("SCRW", H187)), _xlfn.XLOOKUP(C187,dd_item!$A$2:$A$147,dd_item!$B$2:$B$147,"",0),_xlfn.XLOOKUP(H187,dd_item!$A$2:$A$147,dd_item!$B$2:$B$147,"",0))</f>
        <v>Sash92</v>
      </c>
      <c r="K187" s="16" t="str">
        <f>_xlfn.XLOOKUP(A187,dd_design_raw!$C$2:$C$1002,dd_design_raw!$A$2:$A$1002,"",0)</f>
        <v>Fix Slide Slide Fix Door - with Screen</v>
      </c>
      <c r="L187" s="16" t="str">
        <f>_xlfn.XLOOKUP(I187,dd_accsryclr!$A$2:$A$1000,dd_accsryclr!$A$2:$A$1000,"",0)</f>
        <v/>
      </c>
    </row>
    <row r="188" spans="1:12" hidden="1" x14ac:dyDescent="0.25">
      <c r="A188" s="16" t="s">
        <v>80</v>
      </c>
      <c r="B188" s="16" t="s">
        <v>427</v>
      </c>
      <c r="C188" s="16" t="s">
        <v>242</v>
      </c>
      <c r="D188" s="16" t="s">
        <v>243</v>
      </c>
      <c r="E188" s="16">
        <v>4.3503448275862073</v>
      </c>
      <c r="F188" s="16" t="s">
        <v>194</v>
      </c>
      <c r="G188" s="16"/>
      <c r="H188" s="16" t="s">
        <v>233</v>
      </c>
      <c r="I188" s="16" t="s">
        <v>220</v>
      </c>
      <c r="J188" s="16" t="str">
        <f>IF(ISNUMBER(SEARCH("SCRW", H188)), _xlfn.XLOOKUP(C188,dd_item!$A$2:$A$147,dd_item!$B$2:$B$147,"",0),_xlfn.XLOOKUP(H188,dd_item!$A$2:$A$147,dd_item!$B$2:$B$147,"",0))</f>
        <v>Sash92</v>
      </c>
      <c r="K188" s="16" t="str">
        <f>_xlfn.XLOOKUP(A188,dd_design_raw!$C$2:$C$1002,dd_design_raw!$A$2:$A$1002,"",0)</f>
        <v>Fix Slide Slide Fix Door - with Screen</v>
      </c>
      <c r="L188" s="16" t="str">
        <f>_xlfn.XLOOKUP(I188,dd_accsryclr!$A$2:$A$1000,dd_accsryclr!$A$2:$A$1000,"",0)</f>
        <v>WHT</v>
      </c>
    </row>
    <row r="189" spans="1:12" hidden="1" x14ac:dyDescent="0.25">
      <c r="A189" s="16" t="s">
        <v>80</v>
      </c>
      <c r="B189" s="16" t="s">
        <v>427</v>
      </c>
      <c r="C189" s="16" t="s">
        <v>244</v>
      </c>
      <c r="D189" s="16" t="s">
        <v>245</v>
      </c>
      <c r="E189" s="16">
        <v>4.3503448275862073</v>
      </c>
      <c r="F189" s="16" t="s">
        <v>194</v>
      </c>
      <c r="G189" s="16"/>
      <c r="H189" s="16" t="s">
        <v>233</v>
      </c>
      <c r="I189" s="16" t="s">
        <v>230</v>
      </c>
      <c r="J189" s="16" t="str">
        <f>IF(ISNUMBER(SEARCH("SCRW", H189)), _xlfn.XLOOKUP(C189,dd_item!$A$2:$A$147,dd_item!$B$2:$B$147,"",0),_xlfn.XLOOKUP(H189,dd_item!$A$2:$A$147,dd_item!$B$2:$B$147,"",0))</f>
        <v>Sash92</v>
      </c>
      <c r="K189" s="16" t="str">
        <f>_xlfn.XLOOKUP(A189,dd_design_raw!$C$2:$C$1002,dd_design_raw!$A$2:$A$1002,"",0)</f>
        <v>Fix Slide Slide Fix Door - with Screen</v>
      </c>
      <c r="L189" s="16" t="str">
        <f>_xlfn.XLOOKUP(I189,dd_accsryclr!$A$2:$A$1000,dd_accsryclr!$A$2:$A$1000,"",0)</f>
        <v>BRWN</v>
      </c>
    </row>
    <row r="190" spans="1:12" hidden="1" x14ac:dyDescent="0.25">
      <c r="A190" s="16" t="s">
        <v>80</v>
      </c>
      <c r="B190" s="16" t="s">
        <v>427</v>
      </c>
      <c r="C190" s="16" t="s">
        <v>246</v>
      </c>
      <c r="D190" s="16" t="s">
        <v>247</v>
      </c>
      <c r="E190" s="16">
        <v>2.1655172413793102</v>
      </c>
      <c r="F190" s="16" t="s">
        <v>194</v>
      </c>
      <c r="G190" s="16"/>
      <c r="H190" s="16" t="s">
        <v>248</v>
      </c>
      <c r="I190" s="16" t="s">
        <v>223</v>
      </c>
      <c r="J190" s="16" t="str">
        <f>IF(ISNUMBER(SEARCH("SCRW", H190)), _xlfn.XLOOKUP(C190,dd_item!$A$2:$A$147,dd_item!$B$2:$B$147,"",0),_xlfn.XLOOKUP(H190,dd_item!$A$2:$A$147,dd_item!$B$2:$B$147,"",0))</f>
        <v>Sash66</v>
      </c>
      <c r="K190" s="16" t="str">
        <f>_xlfn.XLOOKUP(A190,dd_design_raw!$C$2:$C$1002,dd_design_raw!$A$2:$A$1002,"",0)</f>
        <v>Fix Slide Slide Fix Door - with Screen</v>
      </c>
      <c r="L190" s="16" t="str">
        <f>_xlfn.XLOOKUP(I190,dd_accsryclr!$A$2:$A$1000,dd_accsryclr!$A$2:$A$1000,"",0)</f>
        <v>BLK</v>
      </c>
    </row>
    <row r="191" spans="1:12" hidden="1" x14ac:dyDescent="0.25">
      <c r="A191" s="16" t="s">
        <v>80</v>
      </c>
      <c r="B191" s="16" t="s">
        <v>427</v>
      </c>
      <c r="C191" s="16" t="s">
        <v>249</v>
      </c>
      <c r="D191" s="16" t="s">
        <v>250</v>
      </c>
      <c r="E191" s="16">
        <v>2.1655172413793102</v>
      </c>
      <c r="F191" s="16" t="s">
        <v>194</v>
      </c>
      <c r="G191" s="16"/>
      <c r="H191" s="16" t="s">
        <v>248</v>
      </c>
      <c r="I191" s="16" t="s">
        <v>211</v>
      </c>
      <c r="J191" s="16" t="str">
        <f>IF(ISNUMBER(SEARCH("SCRW", H191)), _xlfn.XLOOKUP(C191,dd_item!$A$2:$A$147,dd_item!$B$2:$B$147,"",0),_xlfn.XLOOKUP(H191,dd_item!$A$2:$A$147,dd_item!$B$2:$B$147,"",0))</f>
        <v>Sash66</v>
      </c>
      <c r="K191" s="16" t="str">
        <f>_xlfn.XLOOKUP(A191,dd_design_raw!$C$2:$C$1002,dd_design_raw!$A$2:$A$1002,"",0)</f>
        <v>Fix Slide Slide Fix Door - with Screen</v>
      </c>
      <c r="L191" s="16" t="str">
        <f>_xlfn.XLOOKUP(I191,dd_accsryclr!$A$2:$A$1000,dd_accsryclr!$A$2:$A$1000,"",0)</f>
        <v/>
      </c>
    </row>
    <row r="192" spans="1:12" hidden="1" x14ac:dyDescent="0.25">
      <c r="A192" s="16" t="s">
        <v>80</v>
      </c>
      <c r="B192" s="16" t="s">
        <v>427</v>
      </c>
      <c r="C192" s="16" t="s">
        <v>251</v>
      </c>
      <c r="D192" s="16" t="s">
        <v>252</v>
      </c>
      <c r="E192" s="16">
        <v>2.1655172413793102</v>
      </c>
      <c r="F192" s="16" t="s">
        <v>194</v>
      </c>
      <c r="G192" s="16"/>
      <c r="H192" s="16" t="s">
        <v>248</v>
      </c>
      <c r="I192" s="16" t="s">
        <v>214</v>
      </c>
      <c r="J192" s="16" t="str">
        <f>IF(ISNUMBER(SEARCH("SCRW", H192)), _xlfn.XLOOKUP(C192,dd_item!$A$2:$A$147,dd_item!$B$2:$B$147,"",0),_xlfn.XLOOKUP(H192,dd_item!$A$2:$A$147,dd_item!$B$2:$B$147,"",0))</f>
        <v>Sash66</v>
      </c>
      <c r="K192" s="16" t="str">
        <f>_xlfn.XLOOKUP(A192,dd_design_raw!$C$2:$C$1002,dd_design_raw!$A$2:$A$1002,"",0)</f>
        <v>Fix Slide Slide Fix Door - with Screen</v>
      </c>
      <c r="L192" s="16" t="str">
        <f>_xlfn.XLOOKUP(I192,dd_accsryclr!$A$2:$A$1000,dd_accsryclr!$A$2:$A$1000,"",0)</f>
        <v/>
      </c>
    </row>
    <row r="193" spans="1:12" hidden="1" x14ac:dyDescent="0.25">
      <c r="A193" s="16" t="s">
        <v>80</v>
      </c>
      <c r="B193" s="16" t="s">
        <v>427</v>
      </c>
      <c r="C193" s="16" t="s">
        <v>253</v>
      </c>
      <c r="D193" s="16" t="s">
        <v>254</v>
      </c>
      <c r="E193" s="16">
        <v>2.1655172413793102</v>
      </c>
      <c r="F193" s="16" t="s">
        <v>194</v>
      </c>
      <c r="G193" s="16"/>
      <c r="H193" s="16" t="s">
        <v>248</v>
      </c>
      <c r="I193" s="16" t="s">
        <v>217</v>
      </c>
      <c r="J193" s="16" t="str">
        <f>IF(ISNUMBER(SEARCH("SCRW", H193)), _xlfn.XLOOKUP(C193,dd_item!$A$2:$A$147,dd_item!$B$2:$B$147,"",0),_xlfn.XLOOKUP(H193,dd_item!$A$2:$A$147,dd_item!$B$2:$B$147,"",0))</f>
        <v>Sash66</v>
      </c>
      <c r="K193" s="16" t="str">
        <f>_xlfn.XLOOKUP(A193,dd_design_raw!$C$2:$C$1002,dd_design_raw!$A$2:$A$1002,"",0)</f>
        <v>Fix Slide Slide Fix Door - with Screen</v>
      </c>
      <c r="L193" s="16" t="str">
        <f>_xlfn.XLOOKUP(I193,dd_accsryclr!$A$2:$A$1000,dd_accsryclr!$A$2:$A$1000,"",0)</f>
        <v/>
      </c>
    </row>
    <row r="194" spans="1:12" hidden="1" x14ac:dyDescent="0.25">
      <c r="A194" s="16" t="s">
        <v>80</v>
      </c>
      <c r="B194" s="16" t="s">
        <v>427</v>
      </c>
      <c r="C194" s="16" t="s">
        <v>255</v>
      </c>
      <c r="D194" s="16" t="s">
        <v>256</v>
      </c>
      <c r="E194" s="16">
        <v>2.1655172413793102</v>
      </c>
      <c r="F194" s="16" t="s">
        <v>194</v>
      </c>
      <c r="G194" s="16"/>
      <c r="H194" s="16" t="s">
        <v>248</v>
      </c>
      <c r="I194" s="16" t="s">
        <v>226</v>
      </c>
      <c r="J194" s="16" t="str">
        <f>IF(ISNUMBER(SEARCH("SCRW", H194)), _xlfn.XLOOKUP(C194,dd_item!$A$2:$A$147,dd_item!$B$2:$B$147,"",0),_xlfn.XLOOKUP(H194,dd_item!$A$2:$A$147,dd_item!$B$2:$B$147,"",0))</f>
        <v>Sash66</v>
      </c>
      <c r="K194" s="16" t="str">
        <f>_xlfn.XLOOKUP(A194,dd_design_raw!$C$2:$C$1002,dd_design_raw!$A$2:$A$1002,"",0)</f>
        <v>Fix Slide Slide Fix Door - with Screen</v>
      </c>
      <c r="L194" s="16" t="str">
        <f>_xlfn.XLOOKUP(I194,dd_accsryclr!$A$2:$A$1000,dd_accsryclr!$A$2:$A$1000,"",0)</f>
        <v/>
      </c>
    </row>
    <row r="195" spans="1:12" hidden="1" x14ac:dyDescent="0.25">
      <c r="A195" s="16" t="s">
        <v>80</v>
      </c>
      <c r="B195" s="16" t="s">
        <v>427</v>
      </c>
      <c r="C195" s="16" t="s">
        <v>257</v>
      </c>
      <c r="D195" s="16" t="s">
        <v>258</v>
      </c>
      <c r="E195" s="16">
        <v>2.1655172413793102</v>
      </c>
      <c r="F195" s="16" t="s">
        <v>194</v>
      </c>
      <c r="G195" s="16"/>
      <c r="H195" s="16" t="s">
        <v>248</v>
      </c>
      <c r="I195" s="16" t="s">
        <v>220</v>
      </c>
      <c r="J195" s="16" t="str">
        <f>IF(ISNUMBER(SEARCH("SCRW", H195)), _xlfn.XLOOKUP(C195,dd_item!$A$2:$A$147,dd_item!$B$2:$B$147,"",0),_xlfn.XLOOKUP(H195,dd_item!$A$2:$A$147,dd_item!$B$2:$B$147,"",0))</f>
        <v>Sash66</v>
      </c>
      <c r="K195" s="16" t="str">
        <f>_xlfn.XLOOKUP(A195,dd_design_raw!$C$2:$C$1002,dd_design_raw!$A$2:$A$1002,"",0)</f>
        <v>Fix Slide Slide Fix Door - with Screen</v>
      </c>
      <c r="L195" s="16" t="str">
        <f>_xlfn.XLOOKUP(I195,dd_accsryclr!$A$2:$A$1000,dd_accsryclr!$A$2:$A$1000,"",0)</f>
        <v>WHT</v>
      </c>
    </row>
    <row r="196" spans="1:12" hidden="1" x14ac:dyDescent="0.25">
      <c r="A196" s="16" t="s">
        <v>80</v>
      </c>
      <c r="B196" s="16" t="s">
        <v>427</v>
      </c>
      <c r="C196" s="16" t="s">
        <v>259</v>
      </c>
      <c r="D196" s="16" t="s">
        <v>260</v>
      </c>
      <c r="E196" s="16">
        <v>2.1655172413793102</v>
      </c>
      <c r="F196" s="16" t="s">
        <v>194</v>
      </c>
      <c r="G196" s="16"/>
      <c r="H196" s="16" t="s">
        <v>248</v>
      </c>
      <c r="I196" s="16" t="s">
        <v>230</v>
      </c>
      <c r="J196" s="16" t="str">
        <f>IF(ISNUMBER(SEARCH("SCRW", H196)), _xlfn.XLOOKUP(C196,dd_item!$A$2:$A$147,dd_item!$B$2:$B$147,"",0),_xlfn.XLOOKUP(H196,dd_item!$A$2:$A$147,dd_item!$B$2:$B$147,"",0))</f>
        <v>Sash66</v>
      </c>
      <c r="K196" s="16" t="str">
        <f>_xlfn.XLOOKUP(A196,dd_design_raw!$C$2:$C$1002,dd_design_raw!$A$2:$A$1002,"",0)</f>
        <v>Fix Slide Slide Fix Door - with Screen</v>
      </c>
      <c r="L196" s="16" t="str">
        <f>_xlfn.XLOOKUP(I196,dd_accsryclr!$A$2:$A$1000,dd_accsryclr!$A$2:$A$1000,"",0)</f>
        <v>BRWN</v>
      </c>
    </row>
    <row r="197" spans="1:12" hidden="1" x14ac:dyDescent="0.25">
      <c r="A197" s="16" t="s">
        <v>80</v>
      </c>
      <c r="B197" s="16" t="s">
        <v>427</v>
      </c>
      <c r="C197" s="16" t="s">
        <v>261</v>
      </c>
      <c r="D197" s="16" t="s">
        <v>262</v>
      </c>
      <c r="E197" s="16">
        <v>3.8689655172413793</v>
      </c>
      <c r="F197" s="16" t="s">
        <v>194</v>
      </c>
      <c r="G197" s="16" t="s">
        <v>64</v>
      </c>
      <c r="H197" s="16" t="s">
        <v>263</v>
      </c>
      <c r="I197" s="16" t="s">
        <v>264</v>
      </c>
      <c r="J197" s="16" t="str">
        <f>IF(ISNUMBER(SEARCH("SCRW", H197)), _xlfn.XLOOKUP(C197,dd_item!$A$2:$A$147,dd_item!$B$2:$B$147,"",0),_xlfn.XLOOKUP(H197,dd_item!$A$2:$A$147,dd_item!$B$2:$B$147,"",0))</f>
        <v>Steel-Frame</v>
      </c>
      <c r="K197" s="16" t="str">
        <f>_xlfn.XLOOKUP(A197,dd_design_raw!$C$2:$C$1002,dd_design_raw!$A$2:$A$1002,"",0)</f>
        <v>Fix Slide Slide Fix Door - with Screen</v>
      </c>
      <c r="L197" s="16" t="str">
        <f>_xlfn.XLOOKUP(I197,dd_accsryclr!$A$2:$A$1000,dd_accsryclr!$A$2:$A$1000,"",0)</f>
        <v/>
      </c>
    </row>
    <row r="198" spans="1:12" hidden="1" x14ac:dyDescent="0.25">
      <c r="A198" s="16" t="s">
        <v>80</v>
      </c>
      <c r="B198" s="16" t="s">
        <v>427</v>
      </c>
      <c r="C198" s="16" t="s">
        <v>265</v>
      </c>
      <c r="D198" s="16" t="s">
        <v>266</v>
      </c>
      <c r="E198" s="16">
        <v>6.0344827586206895</v>
      </c>
      <c r="F198" s="16" t="s">
        <v>194</v>
      </c>
      <c r="G198" s="16" t="s">
        <v>60</v>
      </c>
      <c r="H198" s="16" t="s">
        <v>267</v>
      </c>
      <c r="I198" s="16" t="s">
        <v>268</v>
      </c>
      <c r="J198" s="16" t="str">
        <f>IF(ISNUMBER(SEARCH("SCRW", H198)), _xlfn.XLOOKUP(C198,dd_item!$A$2:$A$147,dd_item!$B$2:$B$147,"",0),_xlfn.XLOOKUP(H198,dd_item!$A$2:$A$147,dd_item!$B$2:$B$147,"",0))</f>
        <v>Steel-Sash66</v>
      </c>
      <c r="K198" s="16" t="str">
        <f>_xlfn.XLOOKUP(A198,dd_design_raw!$C$2:$C$1002,dd_design_raw!$A$2:$A$1002,"",0)</f>
        <v>Fix Slide Slide Fix Door - with Screen</v>
      </c>
      <c r="L198" s="16" t="str">
        <f>_xlfn.XLOOKUP(I198,dd_accsryclr!$A$2:$A$1000,dd_accsryclr!$A$2:$A$1000,"",0)</f>
        <v/>
      </c>
    </row>
    <row r="199" spans="1:12" hidden="1" x14ac:dyDescent="0.25">
      <c r="A199" s="16" t="s">
        <v>80</v>
      </c>
      <c r="B199" s="16" t="s">
        <v>427</v>
      </c>
      <c r="C199" s="16" t="s">
        <v>269</v>
      </c>
      <c r="D199" s="16" t="s">
        <v>270</v>
      </c>
      <c r="E199" s="16">
        <v>4.3503448275862073</v>
      </c>
      <c r="F199" s="16" t="s">
        <v>194</v>
      </c>
      <c r="G199" s="16" t="s">
        <v>61</v>
      </c>
      <c r="H199" s="16" t="s">
        <v>271</v>
      </c>
      <c r="I199" s="16" t="s">
        <v>272</v>
      </c>
      <c r="J199" s="16" t="str">
        <f>IF(ISNUMBER(SEARCH("SCRW", H199)), _xlfn.XLOOKUP(C199,dd_item!$A$2:$A$147,dd_item!$B$2:$B$147,"",0),_xlfn.XLOOKUP(H199,dd_item!$A$2:$A$147,dd_item!$B$2:$B$147,"",0))</f>
        <v>Steel-Sash92</v>
      </c>
      <c r="K199" s="16" t="str">
        <f>_xlfn.XLOOKUP(A199,dd_design_raw!$C$2:$C$1002,dd_design_raw!$A$2:$A$1002,"",0)</f>
        <v>Fix Slide Slide Fix Door - with Screen</v>
      </c>
      <c r="L199" s="16" t="str">
        <f>_xlfn.XLOOKUP(I199,dd_accsryclr!$A$2:$A$1000,dd_accsryclr!$A$2:$A$1000,"",0)</f>
        <v/>
      </c>
    </row>
    <row r="200" spans="1:12" hidden="1" x14ac:dyDescent="0.25">
      <c r="A200" s="16" t="s">
        <v>80</v>
      </c>
      <c r="B200" s="16" t="s">
        <v>427</v>
      </c>
      <c r="C200" s="16" t="s">
        <v>273</v>
      </c>
      <c r="D200" s="16" t="s">
        <v>274</v>
      </c>
      <c r="E200" s="16">
        <v>4.3503448275862073</v>
      </c>
      <c r="F200" s="16" t="s">
        <v>194</v>
      </c>
      <c r="G200" s="16" t="s">
        <v>61</v>
      </c>
      <c r="H200" s="16" t="s">
        <v>271</v>
      </c>
      <c r="I200" s="16" t="s">
        <v>275</v>
      </c>
      <c r="J200" s="16" t="str">
        <f>IF(ISNUMBER(SEARCH("SCRW", H200)), _xlfn.XLOOKUP(C200,dd_item!$A$2:$A$147,dd_item!$B$2:$B$147,"",0),_xlfn.XLOOKUP(H200,dd_item!$A$2:$A$147,dd_item!$B$2:$B$147,"",0))</f>
        <v>Steel-Sash92</v>
      </c>
      <c r="K200" s="16" t="str">
        <f>_xlfn.XLOOKUP(A200,dd_design_raw!$C$2:$C$1002,dd_design_raw!$A$2:$A$1002,"",0)</f>
        <v>Fix Slide Slide Fix Door - with Screen</v>
      </c>
      <c r="L200" s="16" t="str">
        <f>_xlfn.XLOOKUP(I200,dd_accsryclr!$A$2:$A$1000,dd_accsryclr!$A$2:$A$1000,"",0)</f>
        <v/>
      </c>
    </row>
    <row r="201" spans="1:12" hidden="1" x14ac:dyDescent="0.25">
      <c r="A201" s="16" t="s">
        <v>80</v>
      </c>
      <c r="B201" s="16" t="s">
        <v>427</v>
      </c>
      <c r="C201" s="16" t="s">
        <v>276</v>
      </c>
      <c r="D201" s="16" t="s">
        <v>277</v>
      </c>
      <c r="E201" s="16">
        <v>4.3503448275862073</v>
      </c>
      <c r="F201" s="16" t="s">
        <v>194</v>
      </c>
      <c r="G201" s="16"/>
      <c r="H201" s="16" t="s">
        <v>278</v>
      </c>
      <c r="I201" s="16" t="s">
        <v>223</v>
      </c>
      <c r="J201" s="16" t="str">
        <f>IF(ISNUMBER(SEARCH("SCRW", H201)), _xlfn.XLOOKUP(C201,dd_item!$A$2:$A$147,dd_item!$B$2:$B$147,"",0),_xlfn.XLOOKUP(H201,dd_item!$A$2:$A$147,dd_item!$B$2:$B$147,"",0))</f>
        <v>Bead25</v>
      </c>
      <c r="K201" s="16" t="str">
        <f>_xlfn.XLOOKUP(A201,dd_design_raw!$C$2:$C$1002,dd_design_raw!$A$2:$A$1002,"",0)</f>
        <v>Fix Slide Slide Fix Door - with Screen</v>
      </c>
      <c r="L201" s="16" t="str">
        <f>_xlfn.XLOOKUP(I201,dd_accsryclr!$A$2:$A$1000,dd_accsryclr!$A$2:$A$1000,"",0)</f>
        <v>BLK</v>
      </c>
    </row>
    <row r="202" spans="1:12" hidden="1" x14ac:dyDescent="0.25">
      <c r="A202" s="16" t="s">
        <v>80</v>
      </c>
      <c r="B202" s="16" t="s">
        <v>427</v>
      </c>
      <c r="C202" s="16" t="s">
        <v>279</v>
      </c>
      <c r="D202" s="16" t="s">
        <v>280</v>
      </c>
      <c r="E202" s="16">
        <v>4.3503448275862073</v>
      </c>
      <c r="F202" s="16" t="s">
        <v>194</v>
      </c>
      <c r="G202" s="16"/>
      <c r="H202" s="16" t="s">
        <v>278</v>
      </c>
      <c r="I202" s="16" t="s">
        <v>211</v>
      </c>
      <c r="J202" s="16" t="str">
        <f>IF(ISNUMBER(SEARCH("SCRW", H202)), _xlfn.XLOOKUP(C202,dd_item!$A$2:$A$147,dd_item!$B$2:$B$147,"",0),_xlfn.XLOOKUP(H202,dd_item!$A$2:$A$147,dd_item!$B$2:$B$147,"",0))</f>
        <v>Bead25</v>
      </c>
      <c r="K202" s="16" t="str">
        <f>_xlfn.XLOOKUP(A202,dd_design_raw!$C$2:$C$1002,dd_design_raw!$A$2:$A$1002,"",0)</f>
        <v>Fix Slide Slide Fix Door - with Screen</v>
      </c>
      <c r="L202" s="16" t="str">
        <f>_xlfn.XLOOKUP(I202,dd_accsryclr!$A$2:$A$1000,dd_accsryclr!$A$2:$A$1000,"",0)</f>
        <v/>
      </c>
    </row>
    <row r="203" spans="1:12" hidden="1" x14ac:dyDescent="0.25">
      <c r="A203" s="16" t="s">
        <v>80</v>
      </c>
      <c r="B203" s="16" t="s">
        <v>427</v>
      </c>
      <c r="C203" s="16" t="s">
        <v>281</v>
      </c>
      <c r="D203" s="16" t="s">
        <v>282</v>
      </c>
      <c r="E203" s="16">
        <v>4.3503448275862073</v>
      </c>
      <c r="F203" s="16" t="s">
        <v>194</v>
      </c>
      <c r="G203" s="16"/>
      <c r="H203" s="16" t="s">
        <v>278</v>
      </c>
      <c r="I203" s="16" t="s">
        <v>214</v>
      </c>
      <c r="J203" s="16" t="str">
        <f>IF(ISNUMBER(SEARCH("SCRW", H203)), _xlfn.XLOOKUP(C203,dd_item!$A$2:$A$147,dd_item!$B$2:$B$147,"",0),_xlfn.XLOOKUP(H203,dd_item!$A$2:$A$147,dd_item!$B$2:$B$147,"",0))</f>
        <v>Bead25</v>
      </c>
      <c r="K203" s="16" t="str">
        <f>_xlfn.XLOOKUP(A203,dd_design_raw!$C$2:$C$1002,dd_design_raw!$A$2:$A$1002,"",0)</f>
        <v>Fix Slide Slide Fix Door - with Screen</v>
      </c>
      <c r="L203" s="16" t="str">
        <f>_xlfn.XLOOKUP(I203,dd_accsryclr!$A$2:$A$1000,dd_accsryclr!$A$2:$A$1000,"",0)</f>
        <v/>
      </c>
    </row>
    <row r="204" spans="1:12" hidden="1" x14ac:dyDescent="0.25">
      <c r="A204" s="16" t="s">
        <v>80</v>
      </c>
      <c r="B204" s="16" t="s">
        <v>427</v>
      </c>
      <c r="C204" s="16" t="s">
        <v>283</v>
      </c>
      <c r="D204" s="16" t="s">
        <v>284</v>
      </c>
      <c r="E204" s="16">
        <v>4.3503448275862073</v>
      </c>
      <c r="F204" s="16" t="s">
        <v>194</v>
      </c>
      <c r="G204" s="16"/>
      <c r="H204" s="16" t="s">
        <v>278</v>
      </c>
      <c r="I204" s="16" t="s">
        <v>217</v>
      </c>
      <c r="J204" s="16" t="str">
        <f>IF(ISNUMBER(SEARCH("SCRW", H204)), _xlfn.XLOOKUP(C204,dd_item!$A$2:$A$147,dd_item!$B$2:$B$147,"",0),_xlfn.XLOOKUP(H204,dd_item!$A$2:$A$147,dd_item!$B$2:$B$147,"",0))</f>
        <v>Bead25</v>
      </c>
      <c r="K204" s="16" t="str">
        <f>_xlfn.XLOOKUP(A204,dd_design_raw!$C$2:$C$1002,dd_design_raw!$A$2:$A$1002,"",0)</f>
        <v>Fix Slide Slide Fix Door - with Screen</v>
      </c>
      <c r="L204" s="16" t="str">
        <f>_xlfn.XLOOKUP(I204,dd_accsryclr!$A$2:$A$1000,dd_accsryclr!$A$2:$A$1000,"",0)</f>
        <v/>
      </c>
    </row>
    <row r="205" spans="1:12" hidden="1" x14ac:dyDescent="0.25">
      <c r="A205" s="16" t="s">
        <v>80</v>
      </c>
      <c r="B205" s="16" t="s">
        <v>427</v>
      </c>
      <c r="C205" s="16" t="s">
        <v>285</v>
      </c>
      <c r="D205" s="16" t="s">
        <v>286</v>
      </c>
      <c r="E205" s="16">
        <v>4.3503448275862073</v>
      </c>
      <c r="F205" s="16" t="s">
        <v>194</v>
      </c>
      <c r="G205" s="16"/>
      <c r="H205" s="16" t="s">
        <v>278</v>
      </c>
      <c r="I205" s="16" t="s">
        <v>226</v>
      </c>
      <c r="J205" s="16" t="str">
        <f>IF(ISNUMBER(SEARCH("SCRW", H205)), _xlfn.XLOOKUP(C205,dd_item!$A$2:$A$147,dd_item!$B$2:$B$147,"",0),_xlfn.XLOOKUP(H205,dd_item!$A$2:$A$147,dd_item!$B$2:$B$147,"",0))</f>
        <v>Bead25</v>
      </c>
      <c r="K205" s="16" t="str">
        <f>_xlfn.XLOOKUP(A205,dd_design_raw!$C$2:$C$1002,dd_design_raw!$A$2:$A$1002,"",0)</f>
        <v>Fix Slide Slide Fix Door - with Screen</v>
      </c>
      <c r="L205" s="16" t="str">
        <f>_xlfn.XLOOKUP(I205,dd_accsryclr!$A$2:$A$1000,dd_accsryclr!$A$2:$A$1000,"",0)</f>
        <v/>
      </c>
    </row>
    <row r="206" spans="1:12" hidden="1" x14ac:dyDescent="0.25">
      <c r="A206" s="16" t="s">
        <v>80</v>
      </c>
      <c r="B206" s="16" t="s">
        <v>427</v>
      </c>
      <c r="C206" s="16" t="s">
        <v>287</v>
      </c>
      <c r="D206" s="16" t="s">
        <v>288</v>
      </c>
      <c r="E206" s="16">
        <v>4.3503448275862073</v>
      </c>
      <c r="F206" s="16" t="s">
        <v>194</v>
      </c>
      <c r="G206" s="16"/>
      <c r="H206" s="16" t="s">
        <v>278</v>
      </c>
      <c r="I206" s="16" t="s">
        <v>220</v>
      </c>
      <c r="J206" s="16" t="str">
        <f>IF(ISNUMBER(SEARCH("SCRW", H206)), _xlfn.XLOOKUP(C206,dd_item!$A$2:$A$147,dd_item!$B$2:$B$147,"",0),_xlfn.XLOOKUP(H206,dd_item!$A$2:$A$147,dd_item!$B$2:$B$147,"",0))</f>
        <v>Bead25</v>
      </c>
      <c r="K206" s="16" t="str">
        <f>_xlfn.XLOOKUP(A206,dd_design_raw!$C$2:$C$1002,dd_design_raw!$A$2:$A$1002,"",0)</f>
        <v>Fix Slide Slide Fix Door - with Screen</v>
      </c>
      <c r="L206" s="16" t="str">
        <f>_xlfn.XLOOKUP(I206,dd_accsryclr!$A$2:$A$1000,dd_accsryclr!$A$2:$A$1000,"",0)</f>
        <v>WHT</v>
      </c>
    </row>
    <row r="207" spans="1:12" hidden="1" x14ac:dyDescent="0.25">
      <c r="A207" s="16" t="s">
        <v>80</v>
      </c>
      <c r="B207" s="16" t="s">
        <v>427</v>
      </c>
      <c r="C207" s="16" t="s">
        <v>289</v>
      </c>
      <c r="D207" s="16" t="s">
        <v>290</v>
      </c>
      <c r="E207" s="16">
        <v>4.3503448275862073</v>
      </c>
      <c r="F207" s="16" t="s">
        <v>194</v>
      </c>
      <c r="G207" s="16"/>
      <c r="H207" s="16" t="s">
        <v>278</v>
      </c>
      <c r="I207" s="16" t="s">
        <v>230</v>
      </c>
      <c r="J207" s="16" t="str">
        <f>IF(ISNUMBER(SEARCH("SCRW", H207)), _xlfn.XLOOKUP(C207,dd_item!$A$2:$A$147,dd_item!$B$2:$B$147,"",0),_xlfn.XLOOKUP(H207,dd_item!$A$2:$A$147,dd_item!$B$2:$B$147,"",0))</f>
        <v>Bead25</v>
      </c>
      <c r="K207" s="16" t="str">
        <f>_xlfn.XLOOKUP(A207,dd_design_raw!$C$2:$C$1002,dd_design_raw!$A$2:$A$1002,"",0)</f>
        <v>Fix Slide Slide Fix Door - with Screen</v>
      </c>
      <c r="L207" s="16" t="str">
        <f>_xlfn.XLOOKUP(I207,dd_accsryclr!$A$2:$A$1000,dd_accsryclr!$A$2:$A$1000,"",0)</f>
        <v>BRWN</v>
      </c>
    </row>
    <row r="208" spans="1:12" hidden="1" x14ac:dyDescent="0.25">
      <c r="A208" s="16" t="s">
        <v>80</v>
      </c>
      <c r="B208" s="16" t="s">
        <v>427</v>
      </c>
      <c r="C208" s="16" t="s">
        <v>296</v>
      </c>
      <c r="D208" s="16" t="s">
        <v>297</v>
      </c>
      <c r="E208" s="16">
        <v>1</v>
      </c>
      <c r="F208" s="16" t="s">
        <v>293</v>
      </c>
      <c r="G208" s="16"/>
      <c r="H208" s="16" t="s">
        <v>294</v>
      </c>
      <c r="I208" s="16" t="s">
        <v>298</v>
      </c>
      <c r="J208" s="16" t="str">
        <f>IF(ISNUMBER(SEARCH("SCRW", H208)), _xlfn.XLOOKUP(C208,dd_item!$A$2:$A$147,dd_item!$B$2:$B$147,"",0),_xlfn.XLOOKUP(H208,dd_item!$A$2:$A$147,dd_item!$B$2:$B$147,"",0))</f>
        <v>SD Kit Handle</v>
      </c>
      <c r="K208" s="16" t="str">
        <f>_xlfn.XLOOKUP(A208,dd_design_raw!$C$2:$C$1002,dd_design_raw!$A$2:$A$1002,"",0)</f>
        <v>Fix Slide Slide Fix Door - with Screen</v>
      </c>
      <c r="L208" s="16" t="str">
        <f>_xlfn.XLOOKUP(I208,dd_accsryclr!$A$2:$A$1000,dd_accsryclr!$A$2:$A$1000,"",0)</f>
        <v/>
      </c>
    </row>
    <row r="209" spans="1:12" hidden="1" x14ac:dyDescent="0.25">
      <c r="A209" s="16" t="s">
        <v>80</v>
      </c>
      <c r="B209" s="16" t="s">
        <v>427</v>
      </c>
      <c r="C209" s="16" t="s">
        <v>291</v>
      </c>
      <c r="D209" s="16" t="s">
        <v>292</v>
      </c>
      <c r="E209" s="16">
        <v>1</v>
      </c>
      <c r="F209" s="16" t="s">
        <v>293</v>
      </c>
      <c r="G209" s="16"/>
      <c r="H209" s="16" t="s">
        <v>294</v>
      </c>
      <c r="I209" s="16" t="s">
        <v>295</v>
      </c>
      <c r="J209" s="16" t="str">
        <f>IF(ISNUMBER(SEARCH("SCRW", H209)), _xlfn.XLOOKUP(C209,dd_item!$A$2:$A$147,dd_item!$B$2:$B$147,"",0),_xlfn.XLOOKUP(H209,dd_item!$A$2:$A$147,dd_item!$B$2:$B$147,"",0))</f>
        <v>SD Kit Handle</v>
      </c>
      <c r="K209" s="16" t="str">
        <f>_xlfn.XLOOKUP(A209,dd_design_raw!$C$2:$C$1002,dd_design_raw!$A$2:$A$1002,"",0)</f>
        <v>Fix Slide Slide Fix Door - with Screen</v>
      </c>
      <c r="L209" s="16" t="str">
        <f>_xlfn.XLOOKUP(I209,dd_accsryclr!$A$2:$A$1000,dd_accsryclr!$A$2:$A$1000,"",0)</f>
        <v/>
      </c>
    </row>
    <row r="210" spans="1:12" hidden="1" x14ac:dyDescent="0.25">
      <c r="A210" s="16" t="s">
        <v>80</v>
      </c>
      <c r="B210" s="16" t="s">
        <v>427</v>
      </c>
      <c r="C210" s="16" t="s">
        <v>299</v>
      </c>
      <c r="D210" s="16" t="s">
        <v>300</v>
      </c>
      <c r="E210" s="16">
        <v>1</v>
      </c>
      <c r="F210" s="16" t="s">
        <v>293</v>
      </c>
      <c r="G210" s="16"/>
      <c r="H210" s="16" t="s">
        <v>294</v>
      </c>
      <c r="I210" s="16" t="s">
        <v>223</v>
      </c>
      <c r="J210" s="16" t="str">
        <f>IF(ISNUMBER(SEARCH("SCRW", H210)), _xlfn.XLOOKUP(C210,dd_item!$A$2:$A$147,dd_item!$B$2:$B$147,"",0),_xlfn.XLOOKUP(H210,dd_item!$A$2:$A$147,dd_item!$B$2:$B$147,"",0))</f>
        <v>SD Kit Handle</v>
      </c>
      <c r="K210" s="16" t="str">
        <f>_xlfn.XLOOKUP(A210,dd_design_raw!$C$2:$C$1002,dd_design_raw!$A$2:$A$1002,"",0)</f>
        <v>Fix Slide Slide Fix Door - with Screen</v>
      </c>
      <c r="L210" s="16" t="str">
        <f>_xlfn.XLOOKUP(I210,dd_accsryclr!$A$2:$A$1000,dd_accsryclr!$A$2:$A$1000,"",0)</f>
        <v>BLK</v>
      </c>
    </row>
    <row r="211" spans="1:12" hidden="1" x14ac:dyDescent="0.25">
      <c r="A211" s="16" t="s">
        <v>80</v>
      </c>
      <c r="B211" s="16" t="s">
        <v>427</v>
      </c>
      <c r="C211" s="16" t="s">
        <v>301</v>
      </c>
      <c r="D211" s="16" t="s">
        <v>302</v>
      </c>
      <c r="E211" s="16">
        <v>1</v>
      </c>
      <c r="F211" s="16" t="s">
        <v>293</v>
      </c>
      <c r="G211" s="16"/>
      <c r="H211" s="16" t="s">
        <v>294</v>
      </c>
      <c r="I211" s="16" t="s">
        <v>220</v>
      </c>
      <c r="J211" s="16" t="str">
        <f>IF(ISNUMBER(SEARCH("SCRW", H211)), _xlfn.XLOOKUP(C211,dd_item!$A$2:$A$147,dd_item!$B$2:$B$147,"",0),_xlfn.XLOOKUP(H211,dd_item!$A$2:$A$147,dd_item!$B$2:$B$147,"",0))</f>
        <v>SD Kit Handle</v>
      </c>
      <c r="K211" s="16" t="str">
        <f>_xlfn.XLOOKUP(A211,dd_design_raw!$C$2:$C$1002,dd_design_raw!$A$2:$A$1002,"",0)</f>
        <v>Fix Slide Slide Fix Door - with Screen</v>
      </c>
      <c r="L211" s="16" t="str">
        <f>_xlfn.XLOOKUP(I211,dd_accsryclr!$A$2:$A$1000,dd_accsryclr!$A$2:$A$1000,"",0)</f>
        <v>WHT</v>
      </c>
    </row>
    <row r="212" spans="1:12" hidden="1" x14ac:dyDescent="0.25">
      <c r="A212" s="16" t="s">
        <v>80</v>
      </c>
      <c r="B212" s="16" t="s">
        <v>427</v>
      </c>
      <c r="C212" s="16" t="s">
        <v>303</v>
      </c>
      <c r="D212" s="16" t="s">
        <v>304</v>
      </c>
      <c r="E212" s="16">
        <v>4</v>
      </c>
      <c r="F212" s="16" t="s">
        <v>293</v>
      </c>
      <c r="G212" s="16"/>
      <c r="H212" s="16" t="s">
        <v>305</v>
      </c>
      <c r="I212" s="16"/>
      <c r="J212" s="16" t="str">
        <f>IF(ISNUMBER(SEARCH("SCRW", H212)), _xlfn.XLOOKUP(C212,dd_item!$A$2:$A$147,dd_item!$B$2:$B$147,"",0),_xlfn.XLOOKUP(H212,dd_item!$A$2:$A$147,dd_item!$B$2:$B$147,"",0))</f>
        <v>Rubber Stopper</v>
      </c>
      <c r="K212" s="16" t="str">
        <f>_xlfn.XLOOKUP(A212,dd_design_raw!$C$2:$C$1002,dd_design_raw!$A$2:$A$1002,"",0)</f>
        <v>Fix Slide Slide Fix Door - with Screen</v>
      </c>
      <c r="L212" s="16" t="str">
        <f>_xlfn.XLOOKUP(I212,dd_accsryclr!$A$2:$A$1000,dd_accsryclr!$A$2:$A$1000,"",0)</f>
        <v/>
      </c>
    </row>
    <row r="213" spans="1:12" hidden="1" x14ac:dyDescent="0.25">
      <c r="A213" s="16" t="s">
        <v>80</v>
      </c>
      <c r="B213" s="16" t="s">
        <v>427</v>
      </c>
      <c r="C213" s="16" t="s">
        <v>306</v>
      </c>
      <c r="D213" s="16" t="s">
        <v>307</v>
      </c>
      <c r="E213" s="16">
        <v>6</v>
      </c>
      <c r="F213" s="16" t="s">
        <v>293</v>
      </c>
      <c r="G213" s="16"/>
      <c r="H213" s="16" t="s">
        <v>308</v>
      </c>
      <c r="I213" s="16" t="s">
        <v>230</v>
      </c>
      <c r="J213" s="16" t="str">
        <f>IF(ISNUMBER(SEARCH("SCRW", H213)), _xlfn.XLOOKUP(C213,dd_item!$A$2:$A$147,dd_item!$B$2:$B$147,"",0),_xlfn.XLOOKUP(H213,dd_item!$A$2:$A$147,dd_item!$B$2:$B$147,"",0))</f>
        <v>Track Bridge</v>
      </c>
      <c r="K213" s="16" t="str">
        <f>_xlfn.XLOOKUP(A213,dd_design_raw!$C$2:$C$1002,dd_design_raw!$A$2:$A$1002,"",0)</f>
        <v>Fix Slide Slide Fix Door - with Screen</v>
      </c>
      <c r="L213" s="16" t="str">
        <f>_xlfn.XLOOKUP(I213,dd_accsryclr!$A$2:$A$1000,dd_accsryclr!$A$2:$A$1000,"",0)</f>
        <v>BRWN</v>
      </c>
    </row>
    <row r="214" spans="1:12" hidden="1" x14ac:dyDescent="0.25">
      <c r="A214" s="16" t="s">
        <v>80</v>
      </c>
      <c r="B214" s="16" t="s">
        <v>427</v>
      </c>
      <c r="C214" s="16" t="s">
        <v>309</v>
      </c>
      <c r="D214" s="16" t="s">
        <v>310</v>
      </c>
      <c r="E214" s="16">
        <v>6</v>
      </c>
      <c r="F214" s="16" t="s">
        <v>293</v>
      </c>
      <c r="G214" s="16"/>
      <c r="H214" s="16" t="s">
        <v>308</v>
      </c>
      <c r="I214" s="16" t="s">
        <v>220</v>
      </c>
      <c r="J214" s="16" t="str">
        <f>IF(ISNUMBER(SEARCH("SCRW", H214)), _xlfn.XLOOKUP(C214,dd_item!$A$2:$A$147,dd_item!$B$2:$B$147,"",0),_xlfn.XLOOKUP(H214,dd_item!$A$2:$A$147,dd_item!$B$2:$B$147,"",0))</f>
        <v>Track Bridge</v>
      </c>
      <c r="K214" s="16" t="str">
        <f>_xlfn.XLOOKUP(A214,dd_design_raw!$C$2:$C$1002,dd_design_raw!$A$2:$A$1002,"",0)</f>
        <v>Fix Slide Slide Fix Door - with Screen</v>
      </c>
      <c r="L214" s="16" t="str">
        <f>_xlfn.XLOOKUP(I214,dd_accsryclr!$A$2:$A$1000,dd_accsryclr!$A$2:$A$1000,"",0)</f>
        <v>WHT</v>
      </c>
    </row>
    <row r="215" spans="1:12" hidden="1" x14ac:dyDescent="0.25">
      <c r="A215" s="16" t="s">
        <v>80</v>
      </c>
      <c r="B215" s="16" t="s">
        <v>427</v>
      </c>
      <c r="C215" s="16" t="s">
        <v>311</v>
      </c>
      <c r="D215" s="16" t="s">
        <v>312</v>
      </c>
      <c r="E215" s="16">
        <v>4</v>
      </c>
      <c r="F215" s="16" t="s">
        <v>293</v>
      </c>
      <c r="G215" s="16"/>
      <c r="H215" s="16" t="s">
        <v>313</v>
      </c>
      <c r="I215" s="16"/>
      <c r="J215" s="16" t="str">
        <f>IF(ISNUMBER(SEARCH("SCRW", H215)), _xlfn.XLOOKUP(C215,dd_item!$A$2:$A$147,dd_item!$B$2:$B$147,"",0),_xlfn.XLOOKUP(H215,dd_item!$A$2:$A$147,dd_item!$B$2:$B$147,"",0))</f>
        <v>Roller for Door</v>
      </c>
      <c r="K215" s="16" t="str">
        <f>_xlfn.XLOOKUP(A215,dd_design_raw!$C$2:$C$1002,dd_design_raw!$A$2:$A$1002,"",0)</f>
        <v>Fix Slide Slide Fix Door - with Screen</v>
      </c>
      <c r="L215" s="16" t="str">
        <f>_xlfn.XLOOKUP(I215,dd_accsryclr!$A$2:$A$1000,dd_accsryclr!$A$2:$A$1000,"",0)</f>
        <v/>
      </c>
    </row>
    <row r="216" spans="1:12" hidden="1" x14ac:dyDescent="0.25">
      <c r="A216" s="16" t="s">
        <v>80</v>
      </c>
      <c r="B216" s="16" t="s">
        <v>427</v>
      </c>
      <c r="C216" s="16" t="s">
        <v>314</v>
      </c>
      <c r="D216" s="16" t="s">
        <v>315</v>
      </c>
      <c r="E216" s="16">
        <v>4</v>
      </c>
      <c r="F216" s="16" t="s">
        <v>293</v>
      </c>
      <c r="G216" s="16"/>
      <c r="H216" s="16" t="s">
        <v>313</v>
      </c>
      <c r="I216" s="16"/>
      <c r="J216" s="16" t="str">
        <f>IF(ISNUMBER(SEARCH("SCRW", H216)), _xlfn.XLOOKUP(C216,dd_item!$A$2:$A$147,dd_item!$B$2:$B$147,"",0),_xlfn.XLOOKUP(H216,dd_item!$A$2:$A$147,dd_item!$B$2:$B$147,"",0))</f>
        <v>Roller for Door</v>
      </c>
      <c r="K216" s="16" t="str">
        <f>_xlfn.XLOOKUP(A216,dd_design_raw!$C$2:$C$1002,dd_design_raw!$A$2:$A$1002,"",0)</f>
        <v>Fix Slide Slide Fix Door - with Screen</v>
      </c>
      <c r="L216" s="16" t="str">
        <f>_xlfn.XLOOKUP(I216,dd_accsryclr!$A$2:$A$1000,dd_accsryclr!$A$2:$A$1000,"",0)</f>
        <v/>
      </c>
    </row>
    <row r="217" spans="1:12" hidden="1" x14ac:dyDescent="0.25">
      <c r="A217" s="16" t="s">
        <v>80</v>
      </c>
      <c r="B217" s="16" t="s">
        <v>427</v>
      </c>
      <c r="C217" s="16" t="s">
        <v>316</v>
      </c>
      <c r="D217" s="16" t="s">
        <v>317</v>
      </c>
      <c r="E217" s="16">
        <v>4</v>
      </c>
      <c r="F217" s="16" t="s">
        <v>293</v>
      </c>
      <c r="G217" s="16"/>
      <c r="H217" s="16" t="s">
        <v>318</v>
      </c>
      <c r="I217" s="16"/>
      <c r="J217" s="16" t="str">
        <f>IF(ISNUMBER(SEARCH("SCRW", H217)), _xlfn.XLOOKUP(C217,dd_item!$A$2:$A$147,dd_item!$B$2:$B$147,"",0),_xlfn.XLOOKUP(H217,dd_item!$A$2:$A$147,dd_item!$B$2:$B$147,"",0))</f>
        <v>Roller for Screen Door</v>
      </c>
      <c r="K217" s="16" t="str">
        <f>_xlfn.XLOOKUP(A217,dd_design_raw!$C$2:$C$1002,dd_design_raw!$A$2:$A$1002,"",0)</f>
        <v>Fix Slide Slide Fix Door - with Screen</v>
      </c>
      <c r="L217" s="16" t="str">
        <f>_xlfn.XLOOKUP(I217,dd_accsryclr!$A$2:$A$1000,dd_accsryclr!$A$2:$A$1000,"",0)</f>
        <v/>
      </c>
    </row>
    <row r="218" spans="1:12" hidden="1" x14ac:dyDescent="0.25">
      <c r="A218" s="16" t="s">
        <v>80</v>
      </c>
      <c r="B218" s="16" t="s">
        <v>427</v>
      </c>
      <c r="C218" s="16" t="s">
        <v>319</v>
      </c>
      <c r="D218" s="16" t="s">
        <v>320</v>
      </c>
      <c r="E218" s="16">
        <v>0.82758620689655171</v>
      </c>
      <c r="F218" s="16" t="s">
        <v>194</v>
      </c>
      <c r="G218" s="16"/>
      <c r="H218" s="16" t="s">
        <v>321</v>
      </c>
      <c r="I218" s="16" t="s">
        <v>211</v>
      </c>
      <c r="J218" s="16" t="str">
        <f>IF(ISNUMBER(SEARCH("SCRW", H218)), _xlfn.XLOOKUP(C218,dd_item!$A$2:$A$147,dd_item!$B$2:$B$147,"",0),_xlfn.XLOOKUP(H218,dd_item!$A$2:$A$147,dd_item!$B$2:$B$147,"",0))</f>
        <v>Interlocker45</v>
      </c>
      <c r="K218" s="16" t="str">
        <f>_xlfn.XLOOKUP(A218,dd_design_raw!$C$2:$C$1002,dd_design_raw!$A$2:$A$1002,"",0)</f>
        <v>Fix Slide Slide Fix Door - with Screen</v>
      </c>
      <c r="L218" s="16" t="str">
        <f>_xlfn.XLOOKUP(I218,dd_accsryclr!$A$2:$A$1000,dd_accsryclr!$A$2:$A$1000,"",0)</f>
        <v/>
      </c>
    </row>
    <row r="219" spans="1:12" hidden="1" x14ac:dyDescent="0.25">
      <c r="A219" s="16" t="s">
        <v>80</v>
      </c>
      <c r="B219" s="16" t="s">
        <v>427</v>
      </c>
      <c r="C219" s="16" t="s">
        <v>322</v>
      </c>
      <c r="D219" s="16" t="s">
        <v>323</v>
      </c>
      <c r="E219" s="16">
        <v>0.82758620689655171</v>
      </c>
      <c r="F219" s="16" t="s">
        <v>194</v>
      </c>
      <c r="G219" s="16"/>
      <c r="H219" s="16" t="s">
        <v>321</v>
      </c>
      <c r="I219" s="16" t="s">
        <v>214</v>
      </c>
      <c r="J219" s="16" t="str">
        <f>IF(ISNUMBER(SEARCH("SCRW", H219)), _xlfn.XLOOKUP(C219,dd_item!$A$2:$A$147,dd_item!$B$2:$B$147,"",0),_xlfn.XLOOKUP(H219,dd_item!$A$2:$A$147,dd_item!$B$2:$B$147,"",0))</f>
        <v>Interlocker45</v>
      </c>
      <c r="K219" s="16" t="str">
        <f>_xlfn.XLOOKUP(A219,dd_design_raw!$C$2:$C$1002,dd_design_raw!$A$2:$A$1002,"",0)</f>
        <v>Fix Slide Slide Fix Door - with Screen</v>
      </c>
      <c r="L219" s="16" t="str">
        <f>_xlfn.XLOOKUP(I219,dd_accsryclr!$A$2:$A$1000,dd_accsryclr!$A$2:$A$1000,"",0)</f>
        <v/>
      </c>
    </row>
    <row r="220" spans="1:12" hidden="1" x14ac:dyDescent="0.25">
      <c r="A220" s="16" t="s">
        <v>80</v>
      </c>
      <c r="B220" s="16" t="s">
        <v>427</v>
      </c>
      <c r="C220" s="16" t="s">
        <v>324</v>
      </c>
      <c r="D220" s="16" t="s">
        <v>325</v>
      </c>
      <c r="E220" s="16">
        <v>0.82758620689655171</v>
      </c>
      <c r="F220" s="16" t="s">
        <v>194</v>
      </c>
      <c r="G220" s="16"/>
      <c r="H220" s="16" t="s">
        <v>321</v>
      </c>
      <c r="I220" s="16" t="s">
        <v>217</v>
      </c>
      <c r="J220" s="16" t="str">
        <f>IF(ISNUMBER(SEARCH("SCRW", H220)), _xlfn.XLOOKUP(C220,dd_item!$A$2:$A$147,dd_item!$B$2:$B$147,"",0),_xlfn.XLOOKUP(H220,dd_item!$A$2:$A$147,dd_item!$B$2:$B$147,"",0))</f>
        <v>Interlocker45</v>
      </c>
      <c r="K220" s="16" t="str">
        <f>_xlfn.XLOOKUP(A220,dd_design_raw!$C$2:$C$1002,dd_design_raw!$A$2:$A$1002,"",0)</f>
        <v>Fix Slide Slide Fix Door - with Screen</v>
      </c>
      <c r="L220" s="16" t="str">
        <f>_xlfn.XLOOKUP(I220,dd_accsryclr!$A$2:$A$1000,dd_accsryclr!$A$2:$A$1000,"",0)</f>
        <v/>
      </c>
    </row>
    <row r="221" spans="1:12" hidden="1" x14ac:dyDescent="0.25">
      <c r="A221" s="16" t="s">
        <v>80</v>
      </c>
      <c r="B221" s="16" t="s">
        <v>427</v>
      </c>
      <c r="C221" s="16" t="s">
        <v>326</v>
      </c>
      <c r="D221" s="16" t="s">
        <v>327</v>
      </c>
      <c r="E221" s="16">
        <v>0.82758620689655171</v>
      </c>
      <c r="F221" s="16" t="s">
        <v>194</v>
      </c>
      <c r="G221" s="16"/>
      <c r="H221" s="16" t="s">
        <v>321</v>
      </c>
      <c r="I221" s="16" t="s">
        <v>226</v>
      </c>
      <c r="J221" s="16" t="str">
        <f>IF(ISNUMBER(SEARCH("SCRW", H221)), _xlfn.XLOOKUP(C221,dd_item!$A$2:$A$147,dd_item!$B$2:$B$147,"",0),_xlfn.XLOOKUP(H221,dd_item!$A$2:$A$147,dd_item!$B$2:$B$147,"",0))</f>
        <v>Interlocker45</v>
      </c>
      <c r="K221" s="16" t="str">
        <f>_xlfn.XLOOKUP(A221,dd_design_raw!$C$2:$C$1002,dd_design_raw!$A$2:$A$1002,"",0)</f>
        <v>Fix Slide Slide Fix Door - with Screen</v>
      </c>
      <c r="L221" s="16" t="str">
        <f>_xlfn.XLOOKUP(I221,dd_accsryclr!$A$2:$A$1000,dd_accsryclr!$A$2:$A$1000,"",0)</f>
        <v/>
      </c>
    </row>
    <row r="222" spans="1:12" hidden="1" x14ac:dyDescent="0.25">
      <c r="A222" s="16" t="s">
        <v>80</v>
      </c>
      <c r="B222" s="16" t="s">
        <v>427</v>
      </c>
      <c r="C222" s="16" t="s">
        <v>328</v>
      </c>
      <c r="D222" s="16" t="s">
        <v>329</v>
      </c>
      <c r="E222" s="16">
        <v>0.82758620689655171</v>
      </c>
      <c r="F222" s="16" t="s">
        <v>194</v>
      </c>
      <c r="G222" s="16"/>
      <c r="H222" s="16" t="s">
        <v>321</v>
      </c>
      <c r="I222" s="16" t="s">
        <v>220</v>
      </c>
      <c r="J222" s="16" t="str">
        <f>IF(ISNUMBER(SEARCH("SCRW", H222)), _xlfn.XLOOKUP(C222,dd_item!$A$2:$A$147,dd_item!$B$2:$B$147,"",0),_xlfn.XLOOKUP(H222,dd_item!$A$2:$A$147,dd_item!$B$2:$B$147,"",0))</f>
        <v>Interlocker45</v>
      </c>
      <c r="K222" s="16" t="str">
        <f>_xlfn.XLOOKUP(A222,dd_design_raw!$C$2:$C$1002,dd_design_raw!$A$2:$A$1002,"",0)</f>
        <v>Fix Slide Slide Fix Door - with Screen</v>
      </c>
      <c r="L222" s="16" t="str">
        <f>_xlfn.XLOOKUP(I222,dd_accsryclr!$A$2:$A$1000,dd_accsryclr!$A$2:$A$1000,"",0)</f>
        <v>WHT</v>
      </c>
    </row>
    <row r="223" spans="1:12" hidden="1" x14ac:dyDescent="0.25">
      <c r="A223" s="16" t="s">
        <v>80</v>
      </c>
      <c r="B223" s="16" t="s">
        <v>427</v>
      </c>
      <c r="C223" s="16" t="s">
        <v>330</v>
      </c>
      <c r="D223" s="16" t="s">
        <v>331</v>
      </c>
      <c r="E223" s="16">
        <v>0.82758620689655171</v>
      </c>
      <c r="F223" s="16" t="s">
        <v>194</v>
      </c>
      <c r="G223" s="16"/>
      <c r="H223" s="16" t="s">
        <v>321</v>
      </c>
      <c r="I223" s="16" t="s">
        <v>223</v>
      </c>
      <c r="J223" s="16" t="str">
        <f>IF(ISNUMBER(SEARCH("SCRW", H223)), _xlfn.XLOOKUP(C223,dd_item!$A$2:$A$147,dd_item!$B$2:$B$147,"",0),_xlfn.XLOOKUP(H223,dd_item!$A$2:$A$147,dd_item!$B$2:$B$147,"",0))</f>
        <v>Interlocker45</v>
      </c>
      <c r="K223" s="16" t="str">
        <f>_xlfn.XLOOKUP(A223,dd_design_raw!$C$2:$C$1002,dd_design_raw!$A$2:$A$1002,"",0)</f>
        <v>Fix Slide Slide Fix Door - with Screen</v>
      </c>
      <c r="L223" s="16" t="str">
        <f>_xlfn.XLOOKUP(I223,dd_accsryclr!$A$2:$A$1000,dd_accsryclr!$A$2:$A$1000,"",0)</f>
        <v>BLK</v>
      </c>
    </row>
    <row r="224" spans="1:12" hidden="1" x14ac:dyDescent="0.25">
      <c r="A224" s="16" t="s">
        <v>80</v>
      </c>
      <c r="B224" s="16" t="s">
        <v>427</v>
      </c>
      <c r="C224" s="16" t="s">
        <v>332</v>
      </c>
      <c r="D224" s="16" t="s">
        <v>333</v>
      </c>
      <c r="E224" s="16">
        <v>0.82758620689655171</v>
      </c>
      <c r="F224" s="16" t="s">
        <v>194</v>
      </c>
      <c r="G224" s="16"/>
      <c r="H224" s="16" t="s">
        <v>321</v>
      </c>
      <c r="I224" s="16" t="s">
        <v>230</v>
      </c>
      <c r="J224" s="16" t="str">
        <f>IF(ISNUMBER(SEARCH("SCRW", H224)), _xlfn.XLOOKUP(C224,dd_item!$A$2:$A$147,dd_item!$B$2:$B$147,"",0),_xlfn.XLOOKUP(H224,dd_item!$A$2:$A$147,dd_item!$B$2:$B$147,"",0))</f>
        <v>Interlocker45</v>
      </c>
      <c r="K224" s="16" t="str">
        <f>_xlfn.XLOOKUP(A224,dd_design_raw!$C$2:$C$1002,dd_design_raw!$A$2:$A$1002,"",0)</f>
        <v>Fix Slide Slide Fix Door - with Screen</v>
      </c>
      <c r="L224" s="16" t="str">
        <f>_xlfn.XLOOKUP(I224,dd_accsryclr!$A$2:$A$1000,dd_accsryclr!$A$2:$A$1000,"",0)</f>
        <v>BRWN</v>
      </c>
    </row>
    <row r="225" spans="1:12" hidden="1" x14ac:dyDescent="0.25">
      <c r="A225" s="16" t="s">
        <v>80</v>
      </c>
      <c r="B225" s="16" t="s">
        <v>427</v>
      </c>
      <c r="C225" s="16" t="s">
        <v>334</v>
      </c>
      <c r="D225" s="16" t="s">
        <v>335</v>
      </c>
      <c r="E225" s="16">
        <v>1.92</v>
      </c>
      <c r="F225" s="16" t="s">
        <v>194</v>
      </c>
      <c r="G225" s="16"/>
      <c r="H225" s="16" t="s">
        <v>336</v>
      </c>
      <c r="I225" s="16" t="s">
        <v>211</v>
      </c>
      <c r="J225" s="16" t="str">
        <f>IF(ISNUMBER(SEARCH("SCRW", H225)), _xlfn.XLOOKUP(C225,dd_item!$A$2:$A$147,dd_item!$B$2:$B$147,"",0),_xlfn.XLOOKUP(H225,dd_item!$A$2:$A$147,dd_item!$B$2:$B$147,"",0))</f>
        <v>Interlocker50</v>
      </c>
      <c r="K225" s="16" t="str">
        <f>_xlfn.XLOOKUP(A225,dd_design_raw!$C$2:$C$1002,dd_design_raw!$A$2:$A$1002,"",0)</f>
        <v>Fix Slide Slide Fix Door - with Screen</v>
      </c>
      <c r="L225" s="16" t="str">
        <f>_xlfn.XLOOKUP(I225,dd_accsryclr!$A$2:$A$1000,dd_accsryclr!$A$2:$A$1000,"",0)</f>
        <v/>
      </c>
    </row>
    <row r="226" spans="1:12" hidden="1" x14ac:dyDescent="0.25">
      <c r="A226" s="16" t="s">
        <v>80</v>
      </c>
      <c r="B226" s="16" t="s">
        <v>427</v>
      </c>
      <c r="C226" s="16" t="s">
        <v>337</v>
      </c>
      <c r="D226" s="16" t="s">
        <v>338</v>
      </c>
      <c r="E226" s="16">
        <v>1.92</v>
      </c>
      <c r="F226" s="16" t="s">
        <v>194</v>
      </c>
      <c r="G226" s="16"/>
      <c r="H226" s="16" t="s">
        <v>336</v>
      </c>
      <c r="I226" s="16" t="s">
        <v>214</v>
      </c>
      <c r="J226" s="16" t="str">
        <f>IF(ISNUMBER(SEARCH("SCRW", H226)), _xlfn.XLOOKUP(C226,dd_item!$A$2:$A$147,dd_item!$B$2:$B$147,"",0),_xlfn.XLOOKUP(H226,dd_item!$A$2:$A$147,dd_item!$B$2:$B$147,"",0))</f>
        <v>Interlocker50</v>
      </c>
      <c r="K226" s="16" t="str">
        <f>_xlfn.XLOOKUP(A226,dd_design_raw!$C$2:$C$1002,dd_design_raw!$A$2:$A$1002,"",0)</f>
        <v>Fix Slide Slide Fix Door - with Screen</v>
      </c>
      <c r="L226" s="16" t="str">
        <f>_xlfn.XLOOKUP(I226,dd_accsryclr!$A$2:$A$1000,dd_accsryclr!$A$2:$A$1000,"",0)</f>
        <v/>
      </c>
    </row>
    <row r="227" spans="1:12" hidden="1" x14ac:dyDescent="0.25">
      <c r="A227" s="16" t="s">
        <v>80</v>
      </c>
      <c r="B227" s="16" t="s">
        <v>427</v>
      </c>
      <c r="C227" s="16" t="s">
        <v>339</v>
      </c>
      <c r="D227" s="16" t="s">
        <v>340</v>
      </c>
      <c r="E227" s="16">
        <v>1.92</v>
      </c>
      <c r="F227" s="16" t="s">
        <v>194</v>
      </c>
      <c r="G227" s="16"/>
      <c r="H227" s="16" t="s">
        <v>336</v>
      </c>
      <c r="I227" s="16" t="s">
        <v>217</v>
      </c>
      <c r="J227" s="16" t="str">
        <f>IF(ISNUMBER(SEARCH("SCRW", H227)), _xlfn.XLOOKUP(C227,dd_item!$A$2:$A$147,dd_item!$B$2:$B$147,"",0),_xlfn.XLOOKUP(H227,dd_item!$A$2:$A$147,dd_item!$B$2:$B$147,"",0))</f>
        <v>Interlocker50</v>
      </c>
      <c r="K227" s="16" t="str">
        <f>_xlfn.XLOOKUP(A227,dd_design_raw!$C$2:$C$1002,dd_design_raw!$A$2:$A$1002,"",0)</f>
        <v>Fix Slide Slide Fix Door - with Screen</v>
      </c>
      <c r="L227" s="16" t="str">
        <f>_xlfn.XLOOKUP(I227,dd_accsryclr!$A$2:$A$1000,dd_accsryclr!$A$2:$A$1000,"",0)</f>
        <v/>
      </c>
    </row>
    <row r="228" spans="1:12" hidden="1" x14ac:dyDescent="0.25">
      <c r="A228" s="16" t="s">
        <v>80</v>
      </c>
      <c r="B228" s="16" t="s">
        <v>427</v>
      </c>
      <c r="C228" s="16" t="s">
        <v>341</v>
      </c>
      <c r="D228" s="16" t="s">
        <v>342</v>
      </c>
      <c r="E228" s="16">
        <v>1.92</v>
      </c>
      <c r="F228" s="16" t="s">
        <v>194</v>
      </c>
      <c r="G228" s="16"/>
      <c r="H228" s="16" t="s">
        <v>336</v>
      </c>
      <c r="I228" s="16" t="s">
        <v>226</v>
      </c>
      <c r="J228" s="16" t="str">
        <f>IF(ISNUMBER(SEARCH("SCRW", H228)), _xlfn.XLOOKUP(C228,dd_item!$A$2:$A$147,dd_item!$B$2:$B$147,"",0),_xlfn.XLOOKUP(H228,dd_item!$A$2:$A$147,dd_item!$B$2:$B$147,"",0))</f>
        <v>Interlocker50</v>
      </c>
      <c r="K228" s="16" t="str">
        <f>_xlfn.XLOOKUP(A228,dd_design_raw!$C$2:$C$1002,dd_design_raw!$A$2:$A$1002,"",0)</f>
        <v>Fix Slide Slide Fix Door - with Screen</v>
      </c>
      <c r="L228" s="16" t="str">
        <f>_xlfn.XLOOKUP(I228,dd_accsryclr!$A$2:$A$1000,dd_accsryclr!$A$2:$A$1000,"",0)</f>
        <v/>
      </c>
    </row>
    <row r="229" spans="1:12" hidden="1" x14ac:dyDescent="0.25">
      <c r="A229" s="16" t="s">
        <v>80</v>
      </c>
      <c r="B229" s="16" t="s">
        <v>427</v>
      </c>
      <c r="C229" s="16" t="s">
        <v>343</v>
      </c>
      <c r="D229" s="16" t="s">
        <v>344</v>
      </c>
      <c r="E229" s="16">
        <v>1.92</v>
      </c>
      <c r="F229" s="16" t="s">
        <v>194</v>
      </c>
      <c r="G229" s="16"/>
      <c r="H229" s="16" t="s">
        <v>336</v>
      </c>
      <c r="I229" s="16" t="s">
        <v>220</v>
      </c>
      <c r="J229" s="16" t="str">
        <f>IF(ISNUMBER(SEARCH("SCRW", H229)), _xlfn.XLOOKUP(C229,dd_item!$A$2:$A$147,dd_item!$B$2:$B$147,"",0),_xlfn.XLOOKUP(H229,dd_item!$A$2:$A$147,dd_item!$B$2:$B$147,"",0))</f>
        <v>Interlocker50</v>
      </c>
      <c r="K229" s="16" t="str">
        <f>_xlfn.XLOOKUP(A229,dd_design_raw!$C$2:$C$1002,dd_design_raw!$A$2:$A$1002,"",0)</f>
        <v>Fix Slide Slide Fix Door - with Screen</v>
      </c>
      <c r="L229" s="16" t="str">
        <f>_xlfn.XLOOKUP(I229,dd_accsryclr!$A$2:$A$1000,dd_accsryclr!$A$2:$A$1000,"",0)</f>
        <v>WHT</v>
      </c>
    </row>
    <row r="230" spans="1:12" hidden="1" x14ac:dyDescent="0.25">
      <c r="A230" s="16" t="s">
        <v>80</v>
      </c>
      <c r="B230" s="16" t="s">
        <v>427</v>
      </c>
      <c r="C230" s="16" t="s">
        <v>345</v>
      </c>
      <c r="D230" s="16" t="s">
        <v>346</v>
      </c>
      <c r="E230" s="16">
        <v>1.92</v>
      </c>
      <c r="F230" s="16" t="s">
        <v>194</v>
      </c>
      <c r="G230" s="16"/>
      <c r="H230" s="16" t="s">
        <v>336</v>
      </c>
      <c r="I230" s="16" t="s">
        <v>223</v>
      </c>
      <c r="J230" s="16" t="str">
        <f>IF(ISNUMBER(SEARCH("SCRW", H230)), _xlfn.XLOOKUP(C230,dd_item!$A$2:$A$147,dd_item!$B$2:$B$147,"",0),_xlfn.XLOOKUP(H230,dd_item!$A$2:$A$147,dd_item!$B$2:$B$147,"",0))</f>
        <v>Interlocker50</v>
      </c>
      <c r="K230" s="16" t="str">
        <f>_xlfn.XLOOKUP(A230,dd_design_raw!$C$2:$C$1002,dd_design_raw!$A$2:$A$1002,"",0)</f>
        <v>Fix Slide Slide Fix Door - with Screen</v>
      </c>
      <c r="L230" s="16" t="str">
        <f>_xlfn.XLOOKUP(I230,dd_accsryclr!$A$2:$A$1000,dd_accsryclr!$A$2:$A$1000,"",0)</f>
        <v>BLK</v>
      </c>
    </row>
    <row r="231" spans="1:12" hidden="1" x14ac:dyDescent="0.25">
      <c r="A231" s="16" t="s">
        <v>80</v>
      </c>
      <c r="B231" s="16" t="s">
        <v>427</v>
      </c>
      <c r="C231" s="16" t="s">
        <v>347</v>
      </c>
      <c r="D231" s="16" t="s">
        <v>348</v>
      </c>
      <c r="E231" s="16">
        <v>1.92</v>
      </c>
      <c r="F231" s="16" t="s">
        <v>194</v>
      </c>
      <c r="G231" s="16"/>
      <c r="H231" s="16" t="s">
        <v>336</v>
      </c>
      <c r="I231" s="16" t="s">
        <v>230</v>
      </c>
      <c r="J231" s="16" t="str">
        <f>IF(ISNUMBER(SEARCH("SCRW", H231)), _xlfn.XLOOKUP(C231,dd_item!$A$2:$A$147,dd_item!$B$2:$B$147,"",0),_xlfn.XLOOKUP(H231,dd_item!$A$2:$A$147,dd_item!$B$2:$B$147,"",0))</f>
        <v>Interlocker50</v>
      </c>
      <c r="K231" s="16" t="str">
        <f>_xlfn.XLOOKUP(A231,dd_design_raw!$C$2:$C$1002,dd_design_raw!$A$2:$A$1002,"",0)</f>
        <v>Fix Slide Slide Fix Door - with Screen</v>
      </c>
      <c r="L231" s="16" t="str">
        <f>_xlfn.XLOOKUP(I231,dd_accsryclr!$A$2:$A$1000,dd_accsryclr!$A$2:$A$1000,"",0)</f>
        <v>BRWN</v>
      </c>
    </row>
    <row r="232" spans="1:12" hidden="1" x14ac:dyDescent="0.25">
      <c r="A232" s="16" t="s">
        <v>80</v>
      </c>
      <c r="B232" s="16" t="s">
        <v>427</v>
      </c>
      <c r="C232" s="16" t="s">
        <v>428</v>
      </c>
      <c r="D232" s="16" t="s">
        <v>429</v>
      </c>
      <c r="E232" s="16">
        <v>0.82758620689655171</v>
      </c>
      <c r="F232" s="16" t="s">
        <v>194</v>
      </c>
      <c r="G232" s="16"/>
      <c r="H232" s="16" t="s">
        <v>430</v>
      </c>
      <c r="I232" s="16" t="s">
        <v>223</v>
      </c>
      <c r="J232" s="16" t="str">
        <f>IF(ISNUMBER(SEARCH("SCRW", H232)), _xlfn.XLOOKUP(C232,dd_item!$A$2:$A$147,dd_item!$B$2:$B$147,"",0),_xlfn.XLOOKUP(H232,dd_item!$A$2:$A$147,dd_item!$B$2:$B$147,"",0))</f>
        <v>Inline Adapter 50</v>
      </c>
      <c r="K232" s="16" t="str">
        <f>_xlfn.XLOOKUP(A232,dd_design_raw!$C$2:$C$1002,dd_design_raw!$A$2:$A$1002,"",0)</f>
        <v>Fix Slide Slide Fix Door - with Screen</v>
      </c>
      <c r="L232" s="16" t="str">
        <f>_xlfn.XLOOKUP(I232,dd_accsryclr!$A$2:$A$1000,dd_accsryclr!$A$2:$A$1000,"",0)</f>
        <v>BLK</v>
      </c>
    </row>
    <row r="233" spans="1:12" hidden="1" x14ac:dyDescent="0.25">
      <c r="A233" s="16" t="s">
        <v>80</v>
      </c>
      <c r="B233" s="16" t="s">
        <v>427</v>
      </c>
      <c r="C233" s="16" t="s">
        <v>431</v>
      </c>
      <c r="D233" s="16" t="s">
        <v>432</v>
      </c>
      <c r="E233" s="16">
        <v>0.82758620689655171</v>
      </c>
      <c r="F233" s="16" t="s">
        <v>194</v>
      </c>
      <c r="G233" s="16"/>
      <c r="H233" s="16" t="s">
        <v>430</v>
      </c>
      <c r="I233" s="16" t="s">
        <v>211</v>
      </c>
      <c r="J233" s="16" t="str">
        <f>IF(ISNUMBER(SEARCH("SCRW", H233)), _xlfn.XLOOKUP(C233,dd_item!$A$2:$A$147,dd_item!$B$2:$B$147,"",0),_xlfn.XLOOKUP(H233,dd_item!$A$2:$A$147,dd_item!$B$2:$B$147,"",0))</f>
        <v>Inline Adapter 50</v>
      </c>
      <c r="K233" s="16" t="str">
        <f>_xlfn.XLOOKUP(A233,dd_design_raw!$C$2:$C$1002,dd_design_raw!$A$2:$A$1002,"",0)</f>
        <v>Fix Slide Slide Fix Door - with Screen</v>
      </c>
      <c r="L233" s="16" t="str">
        <f>_xlfn.XLOOKUP(I233,dd_accsryclr!$A$2:$A$1000,dd_accsryclr!$A$2:$A$1000,"",0)</f>
        <v/>
      </c>
    </row>
    <row r="234" spans="1:12" hidden="1" x14ac:dyDescent="0.25">
      <c r="A234" s="16" t="s">
        <v>80</v>
      </c>
      <c r="B234" s="16" t="s">
        <v>427</v>
      </c>
      <c r="C234" s="16" t="s">
        <v>433</v>
      </c>
      <c r="D234" s="16" t="s">
        <v>434</v>
      </c>
      <c r="E234" s="16">
        <v>0.82758620689655171</v>
      </c>
      <c r="F234" s="16" t="s">
        <v>194</v>
      </c>
      <c r="G234" s="16"/>
      <c r="H234" s="16" t="s">
        <v>430</v>
      </c>
      <c r="I234" s="16" t="s">
        <v>214</v>
      </c>
      <c r="J234" s="16" t="str">
        <f>IF(ISNUMBER(SEARCH("SCRW", H234)), _xlfn.XLOOKUP(C234,dd_item!$A$2:$A$147,dd_item!$B$2:$B$147,"",0),_xlfn.XLOOKUP(H234,dd_item!$A$2:$A$147,dd_item!$B$2:$B$147,"",0))</f>
        <v>Inline Adapter 50</v>
      </c>
      <c r="K234" s="16" t="str">
        <f>_xlfn.XLOOKUP(A234,dd_design_raw!$C$2:$C$1002,dd_design_raw!$A$2:$A$1002,"",0)</f>
        <v>Fix Slide Slide Fix Door - with Screen</v>
      </c>
      <c r="L234" s="16" t="str">
        <f>_xlfn.XLOOKUP(I234,dd_accsryclr!$A$2:$A$1000,dd_accsryclr!$A$2:$A$1000,"",0)</f>
        <v/>
      </c>
    </row>
    <row r="235" spans="1:12" hidden="1" x14ac:dyDescent="0.25">
      <c r="A235" s="16" t="s">
        <v>80</v>
      </c>
      <c r="B235" s="16" t="s">
        <v>427</v>
      </c>
      <c r="C235" s="16" t="s">
        <v>435</v>
      </c>
      <c r="D235" s="16" t="s">
        <v>436</v>
      </c>
      <c r="E235" s="16">
        <v>0.82758620689655171</v>
      </c>
      <c r="F235" s="16" t="s">
        <v>194</v>
      </c>
      <c r="G235" s="16"/>
      <c r="H235" s="16" t="s">
        <v>430</v>
      </c>
      <c r="I235" s="16" t="s">
        <v>217</v>
      </c>
      <c r="J235" s="16" t="str">
        <f>IF(ISNUMBER(SEARCH("SCRW", H235)), _xlfn.XLOOKUP(C235,dd_item!$A$2:$A$147,dd_item!$B$2:$B$147,"",0),_xlfn.XLOOKUP(H235,dd_item!$A$2:$A$147,dd_item!$B$2:$B$147,"",0))</f>
        <v>Inline Adapter 50</v>
      </c>
      <c r="K235" s="16" t="str">
        <f>_xlfn.XLOOKUP(A235,dd_design_raw!$C$2:$C$1002,dd_design_raw!$A$2:$A$1002,"",0)</f>
        <v>Fix Slide Slide Fix Door - with Screen</v>
      </c>
      <c r="L235" s="16" t="str">
        <f>_xlfn.XLOOKUP(I235,dd_accsryclr!$A$2:$A$1000,dd_accsryclr!$A$2:$A$1000,"",0)</f>
        <v/>
      </c>
    </row>
    <row r="236" spans="1:12" hidden="1" x14ac:dyDescent="0.25">
      <c r="A236" s="16" t="s">
        <v>80</v>
      </c>
      <c r="B236" s="16" t="s">
        <v>427</v>
      </c>
      <c r="C236" s="16" t="s">
        <v>437</v>
      </c>
      <c r="D236" s="16" t="s">
        <v>438</v>
      </c>
      <c r="E236" s="16">
        <v>0.82758620689655171</v>
      </c>
      <c r="F236" s="16" t="s">
        <v>194</v>
      </c>
      <c r="G236" s="16"/>
      <c r="H236" s="16" t="s">
        <v>430</v>
      </c>
      <c r="I236" s="16" t="s">
        <v>226</v>
      </c>
      <c r="J236" s="16" t="str">
        <f>IF(ISNUMBER(SEARCH("SCRW", H236)), _xlfn.XLOOKUP(C236,dd_item!$A$2:$A$147,dd_item!$B$2:$B$147,"",0),_xlfn.XLOOKUP(H236,dd_item!$A$2:$A$147,dd_item!$B$2:$B$147,"",0))</f>
        <v>Inline Adapter 50</v>
      </c>
      <c r="K236" s="16" t="str">
        <f>_xlfn.XLOOKUP(A236,dd_design_raw!$C$2:$C$1002,dd_design_raw!$A$2:$A$1002,"",0)</f>
        <v>Fix Slide Slide Fix Door - with Screen</v>
      </c>
      <c r="L236" s="16" t="str">
        <f>_xlfn.XLOOKUP(I236,dd_accsryclr!$A$2:$A$1000,dd_accsryclr!$A$2:$A$1000,"",0)</f>
        <v/>
      </c>
    </row>
    <row r="237" spans="1:12" hidden="1" x14ac:dyDescent="0.25">
      <c r="A237" s="16" t="s">
        <v>80</v>
      </c>
      <c r="B237" s="16" t="s">
        <v>427</v>
      </c>
      <c r="C237" s="16" t="s">
        <v>439</v>
      </c>
      <c r="D237" s="16" t="s">
        <v>440</v>
      </c>
      <c r="E237" s="16">
        <v>0.82758620689655171</v>
      </c>
      <c r="F237" s="16" t="s">
        <v>194</v>
      </c>
      <c r="G237" s="16"/>
      <c r="H237" s="16" t="s">
        <v>430</v>
      </c>
      <c r="I237" s="16" t="s">
        <v>220</v>
      </c>
      <c r="J237" s="16" t="str">
        <f>IF(ISNUMBER(SEARCH("SCRW", H237)), _xlfn.XLOOKUP(C237,dd_item!$A$2:$A$147,dd_item!$B$2:$B$147,"",0),_xlfn.XLOOKUP(H237,dd_item!$A$2:$A$147,dd_item!$B$2:$B$147,"",0))</f>
        <v>Inline Adapter 50</v>
      </c>
      <c r="K237" s="16" t="str">
        <f>_xlfn.XLOOKUP(A237,dd_design_raw!$C$2:$C$1002,dd_design_raw!$A$2:$A$1002,"",0)</f>
        <v>Fix Slide Slide Fix Door - with Screen</v>
      </c>
      <c r="L237" s="16" t="str">
        <f>_xlfn.XLOOKUP(I237,dd_accsryclr!$A$2:$A$1000,dd_accsryclr!$A$2:$A$1000,"",0)</f>
        <v>WHT</v>
      </c>
    </row>
    <row r="238" spans="1:12" hidden="1" x14ac:dyDescent="0.25">
      <c r="A238" s="16" t="s">
        <v>80</v>
      </c>
      <c r="B238" s="16" t="s">
        <v>427</v>
      </c>
      <c r="C238" s="16" t="s">
        <v>441</v>
      </c>
      <c r="D238" s="16" t="s">
        <v>442</v>
      </c>
      <c r="E238" s="16">
        <v>0.82758620689655171</v>
      </c>
      <c r="F238" s="16" t="s">
        <v>194</v>
      </c>
      <c r="G238" s="16"/>
      <c r="H238" s="16" t="s">
        <v>430</v>
      </c>
      <c r="I238" s="16" t="s">
        <v>230</v>
      </c>
      <c r="J238" s="16" t="str">
        <f>IF(ISNUMBER(SEARCH("SCRW", H238)), _xlfn.XLOOKUP(C238,dd_item!$A$2:$A$147,dd_item!$B$2:$B$147,"",0),_xlfn.XLOOKUP(H238,dd_item!$A$2:$A$147,dd_item!$B$2:$B$147,"",0))</f>
        <v>Inline Adapter 50</v>
      </c>
      <c r="K238" s="16" t="str">
        <f>_xlfn.XLOOKUP(A238,dd_design_raw!$C$2:$C$1002,dd_design_raw!$A$2:$A$1002,"",0)</f>
        <v>Fix Slide Slide Fix Door - with Screen</v>
      </c>
      <c r="L238" s="16" t="str">
        <f>_xlfn.XLOOKUP(I238,dd_accsryclr!$A$2:$A$1000,dd_accsryclr!$A$2:$A$1000,"",0)</f>
        <v>BRWN</v>
      </c>
    </row>
    <row r="239" spans="1:12" hidden="1" x14ac:dyDescent="0.25">
      <c r="A239" s="16" t="s">
        <v>80</v>
      </c>
      <c r="B239" s="16" t="s">
        <v>427</v>
      </c>
      <c r="C239" s="16" t="s">
        <v>349</v>
      </c>
      <c r="D239" s="16" t="s">
        <v>350</v>
      </c>
      <c r="E239" s="16">
        <v>2.1655172413793102</v>
      </c>
      <c r="F239" s="16" t="s">
        <v>194</v>
      </c>
      <c r="G239" s="16"/>
      <c r="H239" s="16" t="s">
        <v>351</v>
      </c>
      <c r="I239" s="16" t="s">
        <v>211</v>
      </c>
      <c r="J239" s="16" t="str">
        <f>IF(ISNUMBER(SEARCH("SCRW", H239)), _xlfn.XLOOKUP(C239,dd_item!$A$2:$A$147,dd_item!$B$2:$B$147,"",0),_xlfn.XLOOKUP(H239,dd_item!$A$2:$A$147,dd_item!$B$2:$B$147,"",0))</f>
        <v>Bead34</v>
      </c>
      <c r="K239" s="16" t="str">
        <f>_xlfn.XLOOKUP(A239,dd_design_raw!$C$2:$C$1002,dd_design_raw!$A$2:$A$1002,"",0)</f>
        <v>Fix Slide Slide Fix Door - with Screen</v>
      </c>
      <c r="L239" s="16" t="str">
        <f>_xlfn.XLOOKUP(I239,dd_accsryclr!$A$2:$A$1000,dd_accsryclr!$A$2:$A$1000,"",0)</f>
        <v/>
      </c>
    </row>
    <row r="240" spans="1:12" hidden="1" x14ac:dyDescent="0.25">
      <c r="A240" s="16" t="s">
        <v>80</v>
      </c>
      <c r="B240" s="16" t="s">
        <v>427</v>
      </c>
      <c r="C240" s="16" t="s">
        <v>352</v>
      </c>
      <c r="D240" s="16" t="s">
        <v>353</v>
      </c>
      <c r="E240" s="16">
        <v>2.1655172413793102</v>
      </c>
      <c r="F240" s="16" t="s">
        <v>194</v>
      </c>
      <c r="G240" s="16"/>
      <c r="H240" s="16" t="s">
        <v>351</v>
      </c>
      <c r="I240" s="16" t="s">
        <v>214</v>
      </c>
      <c r="J240" s="16" t="str">
        <f>IF(ISNUMBER(SEARCH("SCRW", H240)), _xlfn.XLOOKUP(C240,dd_item!$A$2:$A$147,dd_item!$B$2:$B$147,"",0),_xlfn.XLOOKUP(H240,dd_item!$A$2:$A$147,dd_item!$B$2:$B$147,"",0))</f>
        <v>Bead34</v>
      </c>
      <c r="K240" s="16" t="str">
        <f>_xlfn.XLOOKUP(A240,dd_design_raw!$C$2:$C$1002,dd_design_raw!$A$2:$A$1002,"",0)</f>
        <v>Fix Slide Slide Fix Door - with Screen</v>
      </c>
      <c r="L240" s="16" t="str">
        <f>_xlfn.XLOOKUP(I240,dd_accsryclr!$A$2:$A$1000,dd_accsryclr!$A$2:$A$1000,"",0)</f>
        <v/>
      </c>
    </row>
    <row r="241" spans="1:12" hidden="1" x14ac:dyDescent="0.25">
      <c r="A241" s="16" t="s">
        <v>80</v>
      </c>
      <c r="B241" s="16" t="s">
        <v>427</v>
      </c>
      <c r="C241" s="16" t="s">
        <v>354</v>
      </c>
      <c r="D241" s="16" t="s">
        <v>355</v>
      </c>
      <c r="E241" s="16">
        <v>2.1655172413793102</v>
      </c>
      <c r="F241" s="16" t="s">
        <v>194</v>
      </c>
      <c r="G241" s="16"/>
      <c r="H241" s="16" t="s">
        <v>351</v>
      </c>
      <c r="I241" s="16" t="s">
        <v>217</v>
      </c>
      <c r="J241" s="16" t="str">
        <f>IF(ISNUMBER(SEARCH("SCRW", H241)), _xlfn.XLOOKUP(C241,dd_item!$A$2:$A$147,dd_item!$B$2:$B$147,"",0),_xlfn.XLOOKUP(H241,dd_item!$A$2:$A$147,dd_item!$B$2:$B$147,"",0))</f>
        <v>Bead34</v>
      </c>
      <c r="K241" s="16" t="str">
        <f>_xlfn.XLOOKUP(A241,dd_design_raw!$C$2:$C$1002,dd_design_raw!$A$2:$A$1002,"",0)</f>
        <v>Fix Slide Slide Fix Door - with Screen</v>
      </c>
      <c r="L241" s="16" t="str">
        <f>_xlfn.XLOOKUP(I241,dd_accsryclr!$A$2:$A$1000,dd_accsryclr!$A$2:$A$1000,"",0)</f>
        <v/>
      </c>
    </row>
    <row r="242" spans="1:12" hidden="1" x14ac:dyDescent="0.25">
      <c r="A242" s="16" t="s">
        <v>80</v>
      </c>
      <c r="B242" s="16" t="s">
        <v>427</v>
      </c>
      <c r="C242" s="16" t="s">
        <v>356</v>
      </c>
      <c r="D242" s="16" t="s">
        <v>357</v>
      </c>
      <c r="E242" s="16">
        <v>2.1655172413793102</v>
      </c>
      <c r="F242" s="16" t="s">
        <v>194</v>
      </c>
      <c r="G242" s="16"/>
      <c r="H242" s="16" t="s">
        <v>351</v>
      </c>
      <c r="I242" s="16" t="s">
        <v>226</v>
      </c>
      <c r="J242" s="16" t="str">
        <f>IF(ISNUMBER(SEARCH("SCRW", H242)), _xlfn.XLOOKUP(C242,dd_item!$A$2:$A$147,dd_item!$B$2:$B$147,"",0),_xlfn.XLOOKUP(H242,dd_item!$A$2:$A$147,dd_item!$B$2:$B$147,"",0))</f>
        <v>Bead34</v>
      </c>
      <c r="K242" s="16" t="str">
        <f>_xlfn.XLOOKUP(A242,dd_design_raw!$C$2:$C$1002,dd_design_raw!$A$2:$A$1002,"",0)</f>
        <v>Fix Slide Slide Fix Door - with Screen</v>
      </c>
      <c r="L242" s="16" t="str">
        <f>_xlfn.XLOOKUP(I242,dd_accsryclr!$A$2:$A$1000,dd_accsryclr!$A$2:$A$1000,"",0)</f>
        <v/>
      </c>
    </row>
    <row r="243" spans="1:12" hidden="1" x14ac:dyDescent="0.25">
      <c r="A243" s="16" t="s">
        <v>80</v>
      </c>
      <c r="B243" s="16" t="s">
        <v>427</v>
      </c>
      <c r="C243" s="16" t="s">
        <v>358</v>
      </c>
      <c r="D243" s="16" t="s">
        <v>359</v>
      </c>
      <c r="E243" s="16">
        <v>2.1655172413793102</v>
      </c>
      <c r="F243" s="16" t="s">
        <v>194</v>
      </c>
      <c r="G243" s="16"/>
      <c r="H243" s="16" t="s">
        <v>351</v>
      </c>
      <c r="I243" s="16" t="s">
        <v>220</v>
      </c>
      <c r="J243" s="16" t="str">
        <f>IF(ISNUMBER(SEARCH("SCRW", H243)), _xlfn.XLOOKUP(C243,dd_item!$A$2:$A$147,dd_item!$B$2:$B$147,"",0),_xlfn.XLOOKUP(H243,dd_item!$A$2:$A$147,dd_item!$B$2:$B$147,"",0))</f>
        <v>Bead34</v>
      </c>
      <c r="K243" s="16" t="str">
        <f>_xlfn.XLOOKUP(A243,dd_design_raw!$C$2:$C$1002,dd_design_raw!$A$2:$A$1002,"",0)</f>
        <v>Fix Slide Slide Fix Door - with Screen</v>
      </c>
      <c r="L243" s="16" t="str">
        <f>_xlfn.XLOOKUP(I243,dd_accsryclr!$A$2:$A$1000,dd_accsryclr!$A$2:$A$1000,"",0)</f>
        <v>WHT</v>
      </c>
    </row>
    <row r="244" spans="1:12" hidden="1" x14ac:dyDescent="0.25">
      <c r="A244" s="16" t="s">
        <v>80</v>
      </c>
      <c r="B244" s="16" t="s">
        <v>427</v>
      </c>
      <c r="C244" s="16" t="s">
        <v>360</v>
      </c>
      <c r="D244" s="16" t="s">
        <v>361</v>
      </c>
      <c r="E244" s="16">
        <v>2.1655172413793102</v>
      </c>
      <c r="F244" s="16" t="s">
        <v>194</v>
      </c>
      <c r="G244" s="16"/>
      <c r="H244" s="16" t="s">
        <v>351</v>
      </c>
      <c r="I244" s="16" t="s">
        <v>223</v>
      </c>
      <c r="J244" s="16" t="str">
        <f>IF(ISNUMBER(SEARCH("SCRW", H244)), _xlfn.XLOOKUP(C244,dd_item!$A$2:$A$147,dd_item!$B$2:$B$147,"",0),_xlfn.XLOOKUP(H244,dd_item!$A$2:$A$147,dd_item!$B$2:$B$147,"",0))</f>
        <v>Bead34</v>
      </c>
      <c r="K244" s="16" t="str">
        <f>_xlfn.XLOOKUP(A244,dd_design_raw!$C$2:$C$1002,dd_design_raw!$A$2:$A$1002,"",0)</f>
        <v>Fix Slide Slide Fix Door - with Screen</v>
      </c>
      <c r="L244" s="16" t="str">
        <f>_xlfn.XLOOKUP(I244,dd_accsryclr!$A$2:$A$1000,dd_accsryclr!$A$2:$A$1000,"",0)</f>
        <v>BLK</v>
      </c>
    </row>
    <row r="245" spans="1:12" hidden="1" x14ac:dyDescent="0.25">
      <c r="A245" s="16" t="s">
        <v>80</v>
      </c>
      <c r="B245" s="16" t="s">
        <v>427</v>
      </c>
      <c r="C245" s="16" t="s">
        <v>362</v>
      </c>
      <c r="D245" s="16" t="s">
        <v>363</v>
      </c>
      <c r="E245" s="16">
        <v>2.1655172413793102</v>
      </c>
      <c r="F245" s="16" t="s">
        <v>194</v>
      </c>
      <c r="G245" s="16"/>
      <c r="H245" s="16" t="s">
        <v>351</v>
      </c>
      <c r="I245" s="16" t="s">
        <v>230</v>
      </c>
      <c r="J245" s="16" t="str">
        <f>IF(ISNUMBER(SEARCH("SCRW", H245)), _xlfn.XLOOKUP(C245,dd_item!$A$2:$A$147,dd_item!$B$2:$B$147,"",0),_xlfn.XLOOKUP(H245,dd_item!$A$2:$A$147,dd_item!$B$2:$B$147,"",0))</f>
        <v>Bead34</v>
      </c>
      <c r="K245" s="16" t="str">
        <f>_xlfn.XLOOKUP(A245,dd_design_raw!$C$2:$C$1002,dd_design_raw!$A$2:$A$1002,"",0)</f>
        <v>Fix Slide Slide Fix Door - with Screen</v>
      </c>
      <c r="L245" s="16" t="str">
        <f>_xlfn.XLOOKUP(I245,dd_accsryclr!$A$2:$A$1000,dd_accsryclr!$A$2:$A$1000,"",0)</f>
        <v>BRWN</v>
      </c>
    </row>
    <row r="246" spans="1:12" hidden="1" x14ac:dyDescent="0.25">
      <c r="A246" s="16" t="s">
        <v>80</v>
      </c>
      <c r="B246" s="16" t="s">
        <v>427</v>
      </c>
      <c r="C246" s="16" t="s">
        <v>364</v>
      </c>
      <c r="D246" s="16" t="s">
        <v>365</v>
      </c>
      <c r="E246" s="16">
        <v>1.103448275862069</v>
      </c>
      <c r="F246" s="16" t="s">
        <v>293</v>
      </c>
      <c r="G246" s="16"/>
      <c r="H246" s="16" t="s">
        <v>366</v>
      </c>
      <c r="I246" s="16" t="s">
        <v>443</v>
      </c>
      <c r="J246" s="16" t="str">
        <f>IF(ISNUMBER(SEARCH("SCRW", H246)), _xlfn.XLOOKUP(C246,dd_item!$A$2:$A$147,dd_item!$B$2:$B$147,"",0),_xlfn.XLOOKUP(H246,dd_item!$A$2:$A$147,dd_item!$B$2:$B$147,"",0))</f>
        <v>Aluminum Track</v>
      </c>
      <c r="K246" s="16" t="str">
        <f>_xlfn.XLOOKUP(A246,dd_design_raw!$C$2:$C$1002,dd_design_raw!$A$2:$A$1002,"",0)</f>
        <v>Fix Slide Slide Fix Door - with Screen</v>
      </c>
      <c r="L246" s="16" t="str">
        <f>_xlfn.XLOOKUP(I246,dd_accsryclr!$A$2:$A$1000,dd_accsryclr!$A$2:$A$1000,"",0)</f>
        <v/>
      </c>
    </row>
    <row r="247" spans="1:12" hidden="1" x14ac:dyDescent="0.25">
      <c r="A247" s="16" t="s">
        <v>80</v>
      </c>
      <c r="B247" s="16" t="s">
        <v>427</v>
      </c>
      <c r="C247" s="16" t="s">
        <v>367</v>
      </c>
      <c r="D247" s="16" t="s">
        <v>368</v>
      </c>
      <c r="E247" s="16">
        <v>1</v>
      </c>
      <c r="F247" s="16" t="s">
        <v>369</v>
      </c>
      <c r="G247" s="16"/>
      <c r="H247" s="16" t="s">
        <v>370</v>
      </c>
      <c r="I247" s="16" t="s">
        <v>223</v>
      </c>
      <c r="J247" s="16" t="str">
        <f>IF(ISNUMBER(SEARCH("SCRW", H247)), _xlfn.XLOOKUP(C247,dd_item!$A$2:$A$147,dd_item!$B$2:$B$147,"",0),_xlfn.XLOOKUP(H247,dd_item!$A$2:$A$147,dd_item!$B$2:$B$147,"",0))</f>
        <v>SD Kit Handle</v>
      </c>
      <c r="K247" s="16" t="str">
        <f>_xlfn.XLOOKUP(A247,dd_design_raw!$C$2:$C$1002,dd_design_raw!$A$2:$A$1002,"",0)</f>
        <v>Fix Slide Slide Fix Door - with Screen</v>
      </c>
      <c r="L247" s="16" t="str">
        <f>_xlfn.XLOOKUP(I247,dd_accsryclr!$A$2:$A$1000,dd_accsryclr!$A$2:$A$1000,"",0)</f>
        <v>BLK</v>
      </c>
    </row>
    <row r="248" spans="1:12" hidden="1" x14ac:dyDescent="0.25">
      <c r="A248" s="16" t="s">
        <v>80</v>
      </c>
      <c r="B248" s="16" t="s">
        <v>427</v>
      </c>
      <c r="C248" s="16" t="s">
        <v>371</v>
      </c>
      <c r="D248" s="16" t="s">
        <v>372</v>
      </c>
      <c r="E248" s="16">
        <v>1</v>
      </c>
      <c r="F248" s="16" t="s">
        <v>369</v>
      </c>
      <c r="G248" s="16"/>
      <c r="H248" s="16" t="s">
        <v>370</v>
      </c>
      <c r="I248" s="16" t="s">
        <v>220</v>
      </c>
      <c r="J248" s="16" t="str">
        <f>IF(ISNUMBER(SEARCH("SCRW", H248)), _xlfn.XLOOKUP(C248,dd_item!$A$2:$A$147,dd_item!$B$2:$B$147,"",0),_xlfn.XLOOKUP(H248,dd_item!$A$2:$A$147,dd_item!$B$2:$B$147,"",0))</f>
        <v>SD Kit Handle</v>
      </c>
      <c r="K248" s="16" t="str">
        <f>_xlfn.XLOOKUP(A248,dd_design_raw!$C$2:$C$1002,dd_design_raw!$A$2:$A$1002,"",0)</f>
        <v>Fix Slide Slide Fix Door - with Screen</v>
      </c>
      <c r="L248" s="16" t="str">
        <f>_xlfn.XLOOKUP(I248,dd_accsryclr!$A$2:$A$1000,dd_accsryclr!$A$2:$A$1000,"",0)</f>
        <v>WHT</v>
      </c>
    </row>
    <row r="249" spans="1:12" hidden="1" x14ac:dyDescent="0.25">
      <c r="A249" s="16" t="s">
        <v>80</v>
      </c>
      <c r="B249" s="16" t="s">
        <v>427</v>
      </c>
      <c r="C249" s="16" t="s">
        <v>444</v>
      </c>
      <c r="D249" s="16" t="s">
        <v>445</v>
      </c>
      <c r="E249" s="16">
        <v>1</v>
      </c>
      <c r="F249" s="16" t="s">
        <v>369</v>
      </c>
      <c r="G249" s="16"/>
      <c r="H249" s="16" t="s">
        <v>370</v>
      </c>
      <c r="I249" s="16" t="s">
        <v>223</v>
      </c>
      <c r="J249" s="16" t="str">
        <f>IF(ISNUMBER(SEARCH("SCRW", H249)), _xlfn.XLOOKUP(C249,dd_item!$A$2:$A$147,dd_item!$B$2:$B$147,"",0),_xlfn.XLOOKUP(H249,dd_item!$A$2:$A$147,dd_item!$B$2:$B$147,"",0))</f>
        <v>SD Kit Handle</v>
      </c>
      <c r="K249" s="16" t="str">
        <f>_xlfn.XLOOKUP(A249,dd_design_raw!$C$2:$C$1002,dd_design_raw!$A$2:$A$1002,"",0)</f>
        <v>Fix Slide Slide Fix Door - with Screen</v>
      </c>
      <c r="L249" s="16" t="str">
        <f>_xlfn.XLOOKUP(I249,dd_accsryclr!$A$2:$A$1000,dd_accsryclr!$A$2:$A$1000,"",0)</f>
        <v>BLK</v>
      </c>
    </row>
    <row r="250" spans="1:12" hidden="1" x14ac:dyDescent="0.25">
      <c r="A250" s="16" t="s">
        <v>80</v>
      </c>
      <c r="B250" s="16" t="s">
        <v>427</v>
      </c>
      <c r="C250" s="16" t="s">
        <v>446</v>
      </c>
      <c r="D250" s="16" t="s">
        <v>447</v>
      </c>
      <c r="E250" s="16">
        <v>1</v>
      </c>
      <c r="F250" s="16" t="s">
        <v>369</v>
      </c>
      <c r="G250" s="16"/>
      <c r="H250" s="16" t="s">
        <v>370</v>
      </c>
      <c r="I250" s="16" t="s">
        <v>220</v>
      </c>
      <c r="J250" s="16" t="str">
        <f>IF(ISNUMBER(SEARCH("SCRW", H250)), _xlfn.XLOOKUP(C250,dd_item!$A$2:$A$147,dd_item!$B$2:$B$147,"",0),_xlfn.XLOOKUP(H250,dd_item!$A$2:$A$147,dd_item!$B$2:$B$147,"",0))</f>
        <v>SD Kit Handle</v>
      </c>
      <c r="K250" s="16" t="str">
        <f>_xlfn.XLOOKUP(A250,dd_design_raw!$C$2:$C$1002,dd_design_raw!$A$2:$A$1002,"",0)</f>
        <v>Fix Slide Slide Fix Door - with Screen</v>
      </c>
      <c r="L250" s="16" t="str">
        <f>_xlfn.XLOOKUP(I250,dd_accsryclr!$A$2:$A$1000,dd_accsryclr!$A$2:$A$1000,"",0)</f>
        <v>WHT</v>
      </c>
    </row>
    <row r="251" spans="1:12" hidden="1" x14ac:dyDescent="0.25">
      <c r="A251" s="16" t="s">
        <v>80</v>
      </c>
      <c r="B251" s="16" t="s">
        <v>427</v>
      </c>
      <c r="C251" s="16" t="s">
        <v>373</v>
      </c>
      <c r="D251" s="16" t="s">
        <v>374</v>
      </c>
      <c r="E251" s="16">
        <v>2</v>
      </c>
      <c r="F251" s="16" t="s">
        <v>369</v>
      </c>
      <c r="G251" s="16"/>
      <c r="H251" s="16" t="s">
        <v>370</v>
      </c>
      <c r="I251" s="16" t="s">
        <v>220</v>
      </c>
      <c r="J251" s="16" t="str">
        <f>IF(ISNUMBER(SEARCH("SCRW", H251)), _xlfn.XLOOKUP(C251,dd_item!$A$2:$A$147,dd_item!$B$2:$B$147,"",0),_xlfn.XLOOKUP(H251,dd_item!$A$2:$A$147,dd_item!$B$2:$B$147,"",0))</f>
        <v>SD Kit Handle</v>
      </c>
      <c r="K251" s="16" t="str">
        <f>_xlfn.XLOOKUP(A251,dd_design_raw!$C$2:$C$1002,dd_design_raw!$A$2:$A$1002,"",0)</f>
        <v>Fix Slide Slide Fix Door - with Screen</v>
      </c>
      <c r="L251" s="16" t="str">
        <f>_xlfn.XLOOKUP(I251,dd_accsryclr!$A$2:$A$1000,dd_accsryclr!$A$2:$A$1000,"",0)</f>
        <v>WHT</v>
      </c>
    </row>
    <row r="252" spans="1:12" hidden="1" x14ac:dyDescent="0.25">
      <c r="A252" s="16" t="s">
        <v>80</v>
      </c>
      <c r="B252" s="16" t="s">
        <v>427</v>
      </c>
      <c r="C252" s="16" t="s">
        <v>375</v>
      </c>
      <c r="D252" s="16" t="s">
        <v>376</v>
      </c>
      <c r="E252" s="16">
        <v>2</v>
      </c>
      <c r="F252" s="16" t="s">
        <v>369</v>
      </c>
      <c r="G252" s="16"/>
      <c r="H252" s="16" t="s">
        <v>370</v>
      </c>
      <c r="I252" s="16" t="s">
        <v>223</v>
      </c>
      <c r="J252" s="16" t="str">
        <f>IF(ISNUMBER(SEARCH("SCRW", H252)), _xlfn.XLOOKUP(C252,dd_item!$A$2:$A$147,dd_item!$B$2:$B$147,"",0),_xlfn.XLOOKUP(H252,dd_item!$A$2:$A$147,dd_item!$B$2:$B$147,"",0))</f>
        <v>SD Kit Handle</v>
      </c>
      <c r="K252" s="16" t="str">
        <f>_xlfn.XLOOKUP(A252,dd_design_raw!$C$2:$C$1002,dd_design_raw!$A$2:$A$1002,"",0)</f>
        <v>Fix Slide Slide Fix Door - with Screen</v>
      </c>
      <c r="L252" s="16" t="str">
        <f>_xlfn.XLOOKUP(I252,dd_accsryclr!$A$2:$A$1000,dd_accsryclr!$A$2:$A$1000,"",0)</f>
        <v>BLK</v>
      </c>
    </row>
    <row r="253" spans="1:12" hidden="1" x14ac:dyDescent="0.25">
      <c r="A253" s="16" t="s">
        <v>80</v>
      </c>
      <c r="B253" s="16" t="s">
        <v>427</v>
      </c>
      <c r="C253" s="16" t="s">
        <v>377</v>
      </c>
      <c r="D253" s="16" t="s">
        <v>378</v>
      </c>
      <c r="E253" s="16">
        <v>1</v>
      </c>
      <c r="F253" s="16" t="s">
        <v>369</v>
      </c>
      <c r="G253" s="16"/>
      <c r="H253" s="16" t="s">
        <v>379</v>
      </c>
      <c r="I253" s="16"/>
      <c r="J253" s="16" t="str">
        <f>IF(ISNUMBER(SEARCH("SCRW", H253)), _xlfn.XLOOKUP(C253,dd_item!$A$2:$A$147,dd_item!$B$2:$B$147,"",0),_xlfn.XLOOKUP(H253,dd_item!$A$2:$A$147,dd_item!$B$2:$B$147,"",0))</f>
        <v xml:space="preserve">SD Kit Cylinder Door Knob </v>
      </c>
      <c r="K253" s="16" t="str">
        <f>_xlfn.XLOOKUP(A253,dd_design_raw!$C$2:$C$1002,dd_design_raw!$A$2:$A$1002,"",0)</f>
        <v>Fix Slide Slide Fix Door - with Screen</v>
      </c>
      <c r="L253" s="16" t="str">
        <f>_xlfn.XLOOKUP(I253,dd_accsryclr!$A$2:$A$1000,dd_accsryclr!$A$2:$A$1000,"",0)</f>
        <v/>
      </c>
    </row>
    <row r="254" spans="1:12" hidden="1" x14ac:dyDescent="0.25">
      <c r="A254" s="16" t="s">
        <v>80</v>
      </c>
      <c r="B254" s="16" t="s">
        <v>427</v>
      </c>
      <c r="C254" s="16" t="s">
        <v>380</v>
      </c>
      <c r="D254" s="16" t="s">
        <v>381</v>
      </c>
      <c r="E254" s="16">
        <v>1</v>
      </c>
      <c r="F254" s="16" t="s">
        <v>369</v>
      </c>
      <c r="G254" s="16"/>
      <c r="H254" s="16" t="s">
        <v>379</v>
      </c>
      <c r="I254" s="16"/>
      <c r="J254" s="16" t="str">
        <f>IF(ISNUMBER(SEARCH("SCRW", H254)), _xlfn.XLOOKUP(C254,dd_item!$A$2:$A$147,dd_item!$B$2:$B$147,"",0),_xlfn.XLOOKUP(H254,dd_item!$A$2:$A$147,dd_item!$B$2:$B$147,"",0))</f>
        <v xml:space="preserve">SD Kit Cylinder Door Knob </v>
      </c>
      <c r="K254" s="16" t="str">
        <f>_xlfn.XLOOKUP(A254,dd_design_raw!$C$2:$C$1002,dd_design_raw!$A$2:$A$1002,"",0)</f>
        <v>Fix Slide Slide Fix Door - with Screen</v>
      </c>
      <c r="L254" s="16" t="str">
        <f>_xlfn.XLOOKUP(I254,dd_accsryclr!$A$2:$A$1000,dd_accsryclr!$A$2:$A$1000,"",0)</f>
        <v/>
      </c>
    </row>
    <row r="255" spans="1:12" hidden="1" x14ac:dyDescent="0.25">
      <c r="A255" s="16" t="s">
        <v>80</v>
      </c>
      <c r="B255" s="16" t="s">
        <v>427</v>
      </c>
      <c r="C255" s="16" t="s">
        <v>382</v>
      </c>
      <c r="D255" s="16" t="s">
        <v>383</v>
      </c>
      <c r="E255" s="16">
        <v>1</v>
      </c>
      <c r="F255" s="16" t="s">
        <v>369</v>
      </c>
      <c r="G255" s="16"/>
      <c r="H255" s="16" t="s">
        <v>384</v>
      </c>
      <c r="I255" s="16" t="s">
        <v>223</v>
      </c>
      <c r="J255" s="16" t="str">
        <f>IF(ISNUMBER(SEARCH("SCRW", H255)), _xlfn.XLOOKUP(C255,dd_item!$A$2:$A$147,dd_item!$B$2:$B$147,"",0),_xlfn.XLOOKUP(H255,dd_item!$A$2:$A$147,dd_item!$B$2:$B$147,"",0))</f>
        <v>Cylinder Cover Set</v>
      </c>
      <c r="K255" s="16" t="str">
        <f>_xlfn.XLOOKUP(A255,dd_design_raw!$C$2:$C$1002,dd_design_raw!$A$2:$A$1002,"",0)</f>
        <v>Fix Slide Slide Fix Door - with Screen</v>
      </c>
      <c r="L255" s="16" t="str">
        <f>_xlfn.XLOOKUP(I255,dd_accsryclr!$A$2:$A$1000,dd_accsryclr!$A$2:$A$1000,"",0)</f>
        <v>BLK</v>
      </c>
    </row>
    <row r="256" spans="1:12" hidden="1" x14ac:dyDescent="0.25">
      <c r="A256" s="16" t="s">
        <v>80</v>
      </c>
      <c r="B256" s="16" t="s">
        <v>427</v>
      </c>
      <c r="C256" s="16" t="s">
        <v>385</v>
      </c>
      <c r="D256" s="16" t="s">
        <v>386</v>
      </c>
      <c r="E256" s="16">
        <v>1</v>
      </c>
      <c r="F256" s="16" t="s">
        <v>369</v>
      </c>
      <c r="G256" s="16"/>
      <c r="H256" s="16" t="s">
        <v>384</v>
      </c>
      <c r="I256" s="16" t="s">
        <v>220</v>
      </c>
      <c r="J256" s="16" t="str">
        <f>IF(ISNUMBER(SEARCH("SCRW", H256)), _xlfn.XLOOKUP(C256,dd_item!$A$2:$A$147,dd_item!$B$2:$B$147,"",0),_xlfn.XLOOKUP(H256,dd_item!$A$2:$A$147,dd_item!$B$2:$B$147,"",0))</f>
        <v>Cylinder Cover Set</v>
      </c>
      <c r="K256" s="16" t="str">
        <f>_xlfn.XLOOKUP(A256,dd_design_raw!$C$2:$C$1002,dd_design_raw!$A$2:$A$1002,"",0)</f>
        <v>Fix Slide Slide Fix Door - with Screen</v>
      </c>
      <c r="L256" s="16" t="str">
        <f>_xlfn.XLOOKUP(I256,dd_accsryclr!$A$2:$A$1000,dd_accsryclr!$A$2:$A$1000,"",0)</f>
        <v>WHT</v>
      </c>
    </row>
    <row r="257" spans="1:12" hidden="1" x14ac:dyDescent="0.25">
      <c r="A257" s="16" t="s">
        <v>80</v>
      </c>
      <c r="B257" s="16" t="s">
        <v>427</v>
      </c>
      <c r="C257" s="16" t="s">
        <v>387</v>
      </c>
      <c r="D257" s="16" t="s">
        <v>388</v>
      </c>
      <c r="E257" s="16">
        <v>4</v>
      </c>
      <c r="F257" s="16" t="s">
        <v>369</v>
      </c>
      <c r="G257" s="16"/>
      <c r="H257" s="16" t="s">
        <v>389</v>
      </c>
      <c r="I257" s="16"/>
      <c r="J257" s="16" t="str">
        <f>IF(ISNUMBER(SEARCH("SCRW", H257)), _xlfn.XLOOKUP(C257,dd_item!$A$2:$A$147,dd_item!$B$2:$B$147,"",0),_xlfn.XLOOKUP(H257,dd_item!$A$2:$A$147,dd_item!$B$2:$B$147,"",0))</f>
        <v>Sliding Striker (Roto)</v>
      </c>
      <c r="K257" s="16" t="str">
        <f>_xlfn.XLOOKUP(A257,dd_design_raw!$C$2:$C$1002,dd_design_raw!$A$2:$A$1002,"",0)</f>
        <v>Fix Slide Slide Fix Door - with Screen</v>
      </c>
      <c r="L257" s="16">
        <f>_xlfn.XLOOKUP(I257,dd_accsryclr!$A$2:$A$1000,dd_accsryclr!$A$2:$A$1000,"",0)</f>
        <v>0</v>
      </c>
    </row>
    <row r="258" spans="1:12" hidden="1" x14ac:dyDescent="0.25">
      <c r="A258" s="16" t="s">
        <v>80</v>
      </c>
      <c r="B258" s="16" t="s">
        <v>427</v>
      </c>
      <c r="C258" s="16" t="s">
        <v>390</v>
      </c>
      <c r="D258" s="16" t="s">
        <v>391</v>
      </c>
      <c r="E258" s="16">
        <v>52.88</v>
      </c>
      <c r="F258" s="16" t="s">
        <v>369</v>
      </c>
      <c r="G258" s="16"/>
      <c r="H258" s="16" t="s">
        <v>792</v>
      </c>
      <c r="I258" s="16"/>
      <c r="J258" s="16" t="str">
        <f>IF(ISNUMBER(SEARCH("SCRW", H258)), _xlfn.XLOOKUP(C258,dd_item!$A$2:$A$147,dd_item!$B$2:$B$147,"",0),_xlfn.XLOOKUP(H258,dd_item!$A$2:$A$147,dd_item!$B$2:$B$147,"",0))</f>
        <v>Atlas Screw (S) 10 x 2-1/2" (Flat)</v>
      </c>
      <c r="K258" s="16" t="str">
        <f>_xlfn.XLOOKUP(A258,dd_design_raw!$C$2:$C$1002,dd_design_raw!$A$2:$A$1002,"",0)</f>
        <v>Fix Slide Slide Fix Door - with Screen</v>
      </c>
      <c r="L258" s="16" t="str">
        <f>_xlfn.XLOOKUP(I258,dd_accsryclr!$A$2:$A$1000,dd_accsryclr!$A$2:$A$1000,"",0)</f>
        <v/>
      </c>
    </row>
    <row r="259" spans="1:12" hidden="1" x14ac:dyDescent="0.25">
      <c r="A259" s="16" t="s">
        <v>80</v>
      </c>
      <c r="B259" s="16" t="s">
        <v>427</v>
      </c>
      <c r="C259" s="16" t="s">
        <v>392</v>
      </c>
      <c r="D259" s="16" t="s">
        <v>393</v>
      </c>
      <c r="E259" s="16">
        <v>3</v>
      </c>
      <c r="F259" s="16" t="s">
        <v>369</v>
      </c>
      <c r="G259" s="16"/>
      <c r="H259" s="16" t="s">
        <v>394</v>
      </c>
      <c r="I259" s="16" t="s">
        <v>223</v>
      </c>
      <c r="J259" s="16" t="str">
        <f>IF(ISNUMBER(SEARCH("SCRW", H259)), _xlfn.XLOOKUP(C259,dd_item!$A$2:$A$147,dd_item!$B$2:$B$147,"",0),_xlfn.XLOOKUP(H259,dd_item!$A$2:$A$147,dd_item!$B$2:$B$147,"",0))</f>
        <v>Drainage Cover</v>
      </c>
      <c r="K259" s="16" t="str">
        <f>_xlfn.XLOOKUP(A259,dd_design_raw!$C$2:$C$1002,dd_design_raw!$A$2:$A$1002,"",0)</f>
        <v>Fix Slide Slide Fix Door - with Screen</v>
      </c>
      <c r="L259" s="16" t="str">
        <f>_xlfn.XLOOKUP(I259,dd_accsryclr!$A$2:$A$1000,dd_accsryclr!$A$2:$A$1000,"",0)</f>
        <v>BLK</v>
      </c>
    </row>
    <row r="260" spans="1:12" hidden="1" x14ac:dyDescent="0.25">
      <c r="A260" s="16" t="s">
        <v>80</v>
      </c>
      <c r="B260" s="16" t="s">
        <v>427</v>
      </c>
      <c r="C260" s="16" t="s">
        <v>395</v>
      </c>
      <c r="D260" s="16" t="s">
        <v>396</v>
      </c>
      <c r="E260" s="16">
        <v>3</v>
      </c>
      <c r="F260" s="16" t="s">
        <v>369</v>
      </c>
      <c r="G260" s="16"/>
      <c r="H260" s="16" t="s">
        <v>394</v>
      </c>
      <c r="I260" s="16" t="s">
        <v>220</v>
      </c>
      <c r="J260" s="16" t="str">
        <f>IF(ISNUMBER(SEARCH("SCRW", H260)), _xlfn.XLOOKUP(C260,dd_item!$A$2:$A$147,dd_item!$B$2:$B$147,"",0),_xlfn.XLOOKUP(H260,dd_item!$A$2:$A$147,dd_item!$B$2:$B$147,"",0))</f>
        <v>Drainage Cover</v>
      </c>
      <c r="K260" s="16" t="str">
        <f>_xlfn.XLOOKUP(A260,dd_design_raw!$C$2:$C$1002,dd_design_raw!$A$2:$A$1002,"",0)</f>
        <v>Fix Slide Slide Fix Door - with Screen</v>
      </c>
      <c r="L260" s="16" t="str">
        <f>_xlfn.XLOOKUP(I260,dd_accsryclr!$A$2:$A$1000,dd_accsryclr!$A$2:$A$1000,"",0)</f>
        <v>WHT</v>
      </c>
    </row>
    <row r="261" spans="1:12" hidden="1" x14ac:dyDescent="0.25">
      <c r="A261" s="16" t="s">
        <v>80</v>
      </c>
      <c r="B261" s="16" t="s">
        <v>427</v>
      </c>
      <c r="C261" s="16" t="s">
        <v>397</v>
      </c>
      <c r="D261" s="16" t="s">
        <v>398</v>
      </c>
      <c r="E261" s="16">
        <v>1.0576000000000001</v>
      </c>
      <c r="F261" s="16" t="s">
        <v>369</v>
      </c>
      <c r="G261" s="16"/>
      <c r="H261" s="16" t="s">
        <v>399</v>
      </c>
      <c r="I261" s="16" t="s">
        <v>400</v>
      </c>
      <c r="J261" s="16" t="str">
        <f>IF(ISNUMBER(SEARCH("SCRW", H261)), _xlfn.XLOOKUP(C261,dd_item!$A$2:$A$147,dd_item!$B$2:$B$147,"",0),_xlfn.XLOOKUP(H261,dd_item!$A$2:$A$147,dd_item!$B$2:$B$147,"",0))</f>
        <v>Tox6</v>
      </c>
      <c r="K261" s="16" t="str">
        <f>_xlfn.XLOOKUP(A261,dd_design_raw!$C$2:$C$1002,dd_design_raw!$A$2:$A$1002,"",0)</f>
        <v>Fix Slide Slide Fix Door - with Screen</v>
      </c>
      <c r="L261" s="16" t="str">
        <f>_xlfn.XLOOKUP(I261,dd_accsryclr!$A$2:$A$1000,dd_accsryclr!$A$2:$A$1000,"",0)</f>
        <v/>
      </c>
    </row>
    <row r="262" spans="1:12" hidden="1" x14ac:dyDescent="0.25">
      <c r="A262" s="16" t="s">
        <v>80</v>
      </c>
      <c r="B262" s="16" t="s">
        <v>427</v>
      </c>
      <c r="C262" s="16" t="s">
        <v>401</v>
      </c>
      <c r="D262" s="16" t="s">
        <v>402</v>
      </c>
      <c r="E262" s="16">
        <v>44.88</v>
      </c>
      <c r="F262" s="16" t="s">
        <v>369</v>
      </c>
      <c r="G262" s="16"/>
      <c r="H262" s="16" t="s">
        <v>403</v>
      </c>
      <c r="I262" s="16" t="s">
        <v>223</v>
      </c>
      <c r="J262" s="16" t="str">
        <f>IF(ISNUMBER(SEARCH("SCRW", H262)), _xlfn.XLOOKUP(C262,dd_item!$A$2:$A$147,dd_item!$B$2:$B$147,"",0),_xlfn.XLOOKUP(H262,dd_item!$A$2:$A$147,dd_item!$B$2:$B$147,"",0))</f>
        <v>Cover Cap</v>
      </c>
      <c r="K262" s="16" t="str">
        <f>_xlfn.XLOOKUP(A262,dd_design_raw!$C$2:$C$1002,dd_design_raw!$A$2:$A$1002,"",0)</f>
        <v>Fix Slide Slide Fix Door - with Screen</v>
      </c>
      <c r="L262" s="16" t="str">
        <f>_xlfn.XLOOKUP(I262,dd_accsryclr!$A$2:$A$1000,dd_accsryclr!$A$2:$A$1000,"",0)</f>
        <v>BLK</v>
      </c>
    </row>
    <row r="263" spans="1:12" hidden="1" x14ac:dyDescent="0.25">
      <c r="A263" s="16" t="s">
        <v>80</v>
      </c>
      <c r="B263" s="16" t="s">
        <v>427</v>
      </c>
      <c r="C263" s="16" t="s">
        <v>404</v>
      </c>
      <c r="D263" s="16" t="s">
        <v>405</v>
      </c>
      <c r="E263" s="16">
        <v>44.88</v>
      </c>
      <c r="F263" s="16" t="s">
        <v>369</v>
      </c>
      <c r="G263" s="16"/>
      <c r="H263" s="16" t="s">
        <v>403</v>
      </c>
      <c r="I263" s="16" t="s">
        <v>220</v>
      </c>
      <c r="J263" s="16" t="str">
        <f>IF(ISNUMBER(SEARCH("SCRW", H263)), _xlfn.XLOOKUP(C263,dd_item!$A$2:$A$147,dd_item!$B$2:$B$147,"",0),_xlfn.XLOOKUP(H263,dd_item!$A$2:$A$147,dd_item!$B$2:$B$147,"",0))</f>
        <v>Cover Cap</v>
      </c>
      <c r="K263" s="16" t="str">
        <f>_xlfn.XLOOKUP(A263,dd_design_raw!$C$2:$C$1002,dd_design_raw!$A$2:$A$1002,"",0)</f>
        <v>Fix Slide Slide Fix Door - with Screen</v>
      </c>
      <c r="L263" s="16" t="str">
        <f>_xlfn.XLOOKUP(I263,dd_accsryclr!$A$2:$A$1000,dd_accsryclr!$A$2:$A$1000,"",0)</f>
        <v>WHT</v>
      </c>
    </row>
    <row r="264" spans="1:12" hidden="1" x14ac:dyDescent="0.25">
      <c r="A264" s="16" t="s">
        <v>80</v>
      </c>
      <c r="B264" s="16" t="s">
        <v>427</v>
      </c>
      <c r="C264" s="16" t="s">
        <v>406</v>
      </c>
      <c r="D264" s="16" t="s">
        <v>407</v>
      </c>
      <c r="E264" s="16">
        <v>4</v>
      </c>
      <c r="F264" s="16" t="s">
        <v>369</v>
      </c>
      <c r="G264" s="16"/>
      <c r="H264" s="16" t="s">
        <v>408</v>
      </c>
      <c r="I264" s="16" t="s">
        <v>223</v>
      </c>
      <c r="J264" s="16" t="str">
        <f>IF(ISNUMBER(SEARCH("SCRW", H264)), _xlfn.XLOOKUP(C264,dd_item!$A$2:$A$147,dd_item!$B$2:$B$147,"",0),_xlfn.XLOOKUP(H264,dd_item!$A$2:$A$147,dd_item!$B$2:$B$147,"",0))</f>
        <v>SD Kit Buffer Stopper</v>
      </c>
      <c r="K264" s="16" t="str">
        <f>_xlfn.XLOOKUP(A264,dd_design_raw!$C$2:$C$1002,dd_design_raw!$A$2:$A$1002,"",0)</f>
        <v>Fix Slide Slide Fix Door - with Screen</v>
      </c>
      <c r="L264" s="16" t="str">
        <f>_xlfn.XLOOKUP(I264,dd_accsryclr!$A$2:$A$1000,dd_accsryclr!$A$2:$A$1000,"",0)</f>
        <v>BLK</v>
      </c>
    </row>
    <row r="265" spans="1:12" hidden="1" x14ac:dyDescent="0.25">
      <c r="A265" s="16" t="s">
        <v>80</v>
      </c>
      <c r="B265" s="16" t="s">
        <v>427</v>
      </c>
      <c r="C265" s="16" t="s">
        <v>410</v>
      </c>
      <c r="D265" s="16" t="s">
        <v>411</v>
      </c>
      <c r="E265" s="16">
        <v>4</v>
      </c>
      <c r="F265" s="16" t="s">
        <v>369</v>
      </c>
      <c r="G265" s="16"/>
      <c r="H265" s="16" t="s">
        <v>408</v>
      </c>
      <c r="I265" s="16" t="s">
        <v>220</v>
      </c>
      <c r="J265" s="16" t="str">
        <f>IF(ISNUMBER(SEARCH("SCRW", H265)), _xlfn.XLOOKUP(C265,dd_item!$A$2:$A$147,dd_item!$B$2:$B$147,"",0),_xlfn.XLOOKUP(H265,dd_item!$A$2:$A$147,dd_item!$B$2:$B$147,"",0))</f>
        <v>SD Kit Buffer Stopper</v>
      </c>
      <c r="K265" s="16" t="str">
        <f>_xlfn.XLOOKUP(A265,dd_design_raw!$C$2:$C$1002,dd_design_raw!$A$2:$A$1002,"",0)</f>
        <v>Fix Slide Slide Fix Door - with Screen</v>
      </c>
      <c r="L265" s="16" t="str">
        <f>_xlfn.XLOOKUP(I265,dd_accsryclr!$A$2:$A$1000,dd_accsryclr!$A$2:$A$1000,"",0)</f>
        <v>WHT</v>
      </c>
    </row>
    <row r="266" spans="1:12" hidden="1" x14ac:dyDescent="0.25">
      <c r="A266" s="16" t="s">
        <v>80</v>
      </c>
      <c r="B266" s="16" t="s">
        <v>427</v>
      </c>
      <c r="C266" s="16" t="s">
        <v>412</v>
      </c>
      <c r="D266" s="16" t="s">
        <v>413</v>
      </c>
      <c r="E266" s="16">
        <v>4</v>
      </c>
      <c r="F266" s="16" t="s">
        <v>369</v>
      </c>
      <c r="G266" s="16"/>
      <c r="H266" s="16" t="s">
        <v>793</v>
      </c>
      <c r="I266" s="16"/>
      <c r="J266" s="16" t="str">
        <f>IF(ISNUMBER(SEARCH("SCRW", H266)), _xlfn.XLOOKUP(C266,dd_item!$A$2:$A$147,dd_item!$B$2:$B$147,"",0),_xlfn.XLOOKUP(H266,dd_item!$A$2:$A$147,dd_item!$B$2:$B$147,"",0))</f>
        <v>Atlas Screw (S) 8 x 1-1/4" (Flat)</v>
      </c>
      <c r="K266" s="16" t="str">
        <f>_xlfn.XLOOKUP(A266,dd_design_raw!$C$2:$C$1002,dd_design_raw!$A$2:$A$1002,"",0)</f>
        <v>Fix Slide Slide Fix Door - with Screen</v>
      </c>
      <c r="L266" s="16" t="str">
        <f>_xlfn.XLOOKUP(I266,dd_accsryclr!$A$2:$A$1000,dd_accsryclr!$A$2:$A$1000,"",0)</f>
        <v/>
      </c>
    </row>
    <row r="267" spans="1:12" hidden="1" x14ac:dyDescent="0.25">
      <c r="A267" s="16" t="s">
        <v>80</v>
      </c>
      <c r="B267" s="16" t="s">
        <v>427</v>
      </c>
      <c r="C267" s="16" t="s">
        <v>414</v>
      </c>
      <c r="D267" s="16" t="s">
        <v>415</v>
      </c>
      <c r="E267" s="16">
        <v>7.48</v>
      </c>
      <c r="F267" s="16" t="s">
        <v>369</v>
      </c>
      <c r="G267" s="16"/>
      <c r="H267" s="16" t="s">
        <v>416</v>
      </c>
      <c r="I267" s="16" t="s">
        <v>223</v>
      </c>
      <c r="J267" s="16" t="str">
        <f>IF(ISNUMBER(SEARCH("SCRW", H267)), _xlfn.XLOOKUP(C267,dd_item!$A$2:$A$147,dd_item!$B$2:$B$147,"",0),_xlfn.XLOOKUP(H267,dd_item!$A$2:$A$147,dd_item!$B$2:$B$147,"",0))</f>
        <v>Sealant</v>
      </c>
      <c r="K267" s="16" t="str">
        <f>_xlfn.XLOOKUP(A267,dd_design_raw!$C$2:$C$1002,dd_design_raw!$A$2:$A$1002,"",0)</f>
        <v>Fix Slide Slide Fix Door - with Screen</v>
      </c>
      <c r="L267" s="16" t="str">
        <f>_xlfn.XLOOKUP(I267,dd_accsryclr!$A$2:$A$1000,dd_accsryclr!$A$2:$A$1000,"",0)</f>
        <v>BLK</v>
      </c>
    </row>
    <row r="268" spans="1:12" hidden="1" x14ac:dyDescent="0.25">
      <c r="A268" s="16" t="s">
        <v>80</v>
      </c>
      <c r="B268" s="16" t="s">
        <v>427</v>
      </c>
      <c r="C268" s="16" t="s">
        <v>417</v>
      </c>
      <c r="D268" s="16" t="s">
        <v>418</v>
      </c>
      <c r="E268" s="16">
        <v>7.48</v>
      </c>
      <c r="F268" s="16" t="s">
        <v>369</v>
      </c>
      <c r="G268" s="16"/>
      <c r="H268" s="16" t="s">
        <v>416</v>
      </c>
      <c r="I268" s="16" t="s">
        <v>230</v>
      </c>
      <c r="J268" s="16" t="str">
        <f>IF(ISNUMBER(SEARCH("SCRW", H268)), _xlfn.XLOOKUP(C268,dd_item!$A$2:$A$147,dd_item!$B$2:$B$147,"",0),_xlfn.XLOOKUP(H268,dd_item!$A$2:$A$147,dd_item!$B$2:$B$147,"",0))</f>
        <v>Sealant</v>
      </c>
      <c r="K268" s="16" t="str">
        <f>_xlfn.XLOOKUP(A268,dd_design_raw!$C$2:$C$1002,dd_design_raw!$A$2:$A$1002,"",0)</f>
        <v>Fix Slide Slide Fix Door - with Screen</v>
      </c>
      <c r="L268" s="16" t="str">
        <f>_xlfn.XLOOKUP(I268,dd_accsryclr!$A$2:$A$1000,dd_accsryclr!$A$2:$A$1000,"",0)</f>
        <v>BRWN</v>
      </c>
    </row>
    <row r="269" spans="1:12" hidden="1" x14ac:dyDescent="0.25">
      <c r="A269" s="16" t="s">
        <v>80</v>
      </c>
      <c r="B269" s="16" t="s">
        <v>427</v>
      </c>
      <c r="C269" s="16" t="s">
        <v>419</v>
      </c>
      <c r="D269" s="16" t="s">
        <v>420</v>
      </c>
      <c r="E269" s="16">
        <v>7.48</v>
      </c>
      <c r="F269" s="16" t="s">
        <v>369</v>
      </c>
      <c r="G269" s="16"/>
      <c r="H269" s="16" t="s">
        <v>416</v>
      </c>
      <c r="I269" s="16" t="s">
        <v>220</v>
      </c>
      <c r="J269" s="16" t="str">
        <f>IF(ISNUMBER(SEARCH("SCRW", H269)), _xlfn.XLOOKUP(C269,dd_item!$A$2:$A$147,dd_item!$B$2:$B$147,"",0),_xlfn.XLOOKUP(H269,dd_item!$A$2:$A$147,dd_item!$B$2:$B$147,"",0))</f>
        <v>Sealant</v>
      </c>
      <c r="K269" s="16" t="str">
        <f>_xlfn.XLOOKUP(A269,dd_design_raw!$C$2:$C$1002,dd_design_raw!$A$2:$A$1002,"",0)</f>
        <v>Fix Slide Slide Fix Door - with Screen</v>
      </c>
      <c r="L269" s="16" t="str">
        <f>_xlfn.XLOOKUP(I269,dd_accsryclr!$A$2:$A$1000,dd_accsryclr!$A$2:$A$1000,"",0)</f>
        <v>WHT</v>
      </c>
    </row>
    <row r="270" spans="1:12" hidden="1" x14ac:dyDescent="0.25">
      <c r="A270" s="16" t="s">
        <v>80</v>
      </c>
      <c r="B270" s="16" t="s">
        <v>427</v>
      </c>
      <c r="C270" s="16" t="s">
        <v>421</v>
      </c>
      <c r="D270" s="16" t="s">
        <v>422</v>
      </c>
      <c r="E270" s="16"/>
      <c r="F270" s="16" t="s">
        <v>369</v>
      </c>
      <c r="G270" s="16"/>
      <c r="H270" s="16" t="s">
        <v>416</v>
      </c>
      <c r="I270" s="16" t="s">
        <v>423</v>
      </c>
      <c r="J270" s="16" t="str">
        <f>IF(ISNUMBER(SEARCH("SCRW", H270)), _xlfn.XLOOKUP(C270,dd_item!$A$2:$A$147,dd_item!$B$2:$B$147,"",0),_xlfn.XLOOKUP(H270,dd_item!$A$2:$A$147,dd_item!$B$2:$B$147,"",0))</f>
        <v>Sealant</v>
      </c>
      <c r="K270" s="16" t="str">
        <f>_xlfn.XLOOKUP(A270,dd_design_raw!$C$2:$C$1002,dd_design_raw!$A$2:$A$1002,"",0)</f>
        <v>Fix Slide Slide Fix Door - with Screen</v>
      </c>
      <c r="L270" s="16" t="str">
        <f>_xlfn.XLOOKUP(I270,dd_accsryclr!$A$2:$A$1000,dd_accsryclr!$A$2:$A$1000,"",0)</f>
        <v/>
      </c>
    </row>
    <row r="271" spans="1:12" hidden="1" x14ac:dyDescent="0.25">
      <c r="A271" s="16" t="s">
        <v>80</v>
      </c>
      <c r="B271" s="16" t="s">
        <v>427</v>
      </c>
      <c r="C271" s="16" t="s">
        <v>424</v>
      </c>
      <c r="D271" s="16" t="s">
        <v>425</v>
      </c>
      <c r="E271" s="16">
        <v>12</v>
      </c>
      <c r="F271" s="16" t="s">
        <v>369</v>
      </c>
      <c r="G271" s="16"/>
      <c r="H271" s="16" t="s">
        <v>794</v>
      </c>
      <c r="I271" s="16"/>
      <c r="J271" s="16" t="str">
        <f>IF(ISNUMBER(SEARCH("SCRW", H271)), _xlfn.XLOOKUP(C271,dd_item!$A$2:$A$147,dd_item!$B$2:$B$147,"",0),_xlfn.XLOOKUP(H271,dd_item!$A$2:$A$147,dd_item!$B$2:$B$147,"",0))</f>
        <v>Atlas Screw (S) 6 x 3/4" (FLAT)</v>
      </c>
      <c r="K271" s="16" t="str">
        <f>_xlfn.XLOOKUP(A271,dd_design_raw!$C$2:$C$1002,dd_design_raw!$A$2:$A$1002,"",0)</f>
        <v>Fix Slide Slide Fix Door - with Screen</v>
      </c>
      <c r="L271" s="16" t="str">
        <f>_xlfn.XLOOKUP(I271,dd_accsryclr!$A$2:$A$1000,dd_accsryclr!$A$2:$A$1000,"",0)</f>
        <v/>
      </c>
    </row>
    <row r="272" spans="1:12" hidden="1" x14ac:dyDescent="0.25">
      <c r="A272" s="16" t="s">
        <v>80</v>
      </c>
      <c r="B272" s="16" t="s">
        <v>427</v>
      </c>
      <c r="C272" s="16" t="s">
        <v>265</v>
      </c>
      <c r="D272" s="16" t="s">
        <v>266</v>
      </c>
      <c r="E272" s="16"/>
      <c r="F272" s="16" t="s">
        <v>194</v>
      </c>
      <c r="G272" s="16" t="s">
        <v>797</v>
      </c>
      <c r="H272" s="16" t="s">
        <v>810</v>
      </c>
      <c r="I272" s="16"/>
      <c r="J272" s="16" t="str">
        <f>IF(ISNUMBER(SEARCH("SCRW", H272)), _xlfn.XLOOKUP(C272,dd_item!$A$2:$A$147,dd_item!$B$2:$B$147,"",0),_xlfn.XLOOKUP(H272,dd_item!$A$2:$A$147,dd_item!$B$2:$B$147,"",0))</f>
        <v>Steel-Mullion66</v>
      </c>
      <c r="K272" s="16" t="str">
        <f>_xlfn.XLOOKUP(A272,dd_design_raw!$C$2:$C$1002,dd_design_raw!$A$2:$A$1002,"",0)</f>
        <v>Fix Slide Slide Fix Door - with Screen</v>
      </c>
      <c r="L272" s="16" t="str">
        <f>_xlfn.XLOOKUP(I272,dd_accsryclr!$A$2:$A$1000,dd_accsryclr!$A$2:$A$1000,"",0)</f>
        <v/>
      </c>
    </row>
    <row r="273" spans="1:12" hidden="1" x14ac:dyDescent="0.25">
      <c r="A273" s="16" t="s">
        <v>80</v>
      </c>
      <c r="B273" s="16" t="s">
        <v>427</v>
      </c>
      <c r="C273" s="16" t="s">
        <v>795</v>
      </c>
      <c r="D273" s="16" t="s">
        <v>796</v>
      </c>
      <c r="E273" s="16"/>
      <c r="F273" s="16" t="s">
        <v>194</v>
      </c>
      <c r="G273" s="16"/>
      <c r="H273" s="16" t="s">
        <v>797</v>
      </c>
      <c r="I273" s="16" t="s">
        <v>223</v>
      </c>
      <c r="J273" s="16" t="str">
        <f>IF(ISNUMBER(SEARCH("SCRW", H273)), _xlfn.XLOOKUP(C273,dd_item!$A$2:$A$147,dd_item!$B$2:$B$147,"",0),_xlfn.XLOOKUP(H273,dd_item!$A$2:$A$147,dd_item!$B$2:$B$147,"",0))</f>
        <v>Mullion66</v>
      </c>
      <c r="K273" s="16" t="str">
        <f>_xlfn.XLOOKUP(A273,dd_design_raw!$C$2:$C$1002,dd_design_raw!$A$2:$A$1002,"",0)</f>
        <v>Fix Slide Slide Fix Door - with Screen</v>
      </c>
      <c r="L273" s="16" t="str">
        <f>_xlfn.XLOOKUP(I273,dd_accsryclr!$A$2:$A$1000,dd_accsryclr!$A$2:$A$1000,"",0)</f>
        <v>BLK</v>
      </c>
    </row>
    <row r="274" spans="1:12" hidden="1" x14ac:dyDescent="0.25">
      <c r="A274" s="16" t="s">
        <v>80</v>
      </c>
      <c r="B274" s="16" t="s">
        <v>427</v>
      </c>
      <c r="C274" s="16" t="s">
        <v>798</v>
      </c>
      <c r="D274" s="16" t="s">
        <v>799</v>
      </c>
      <c r="E274" s="16"/>
      <c r="F274" s="16" t="s">
        <v>194</v>
      </c>
      <c r="G274" s="16"/>
      <c r="H274" s="16" t="s">
        <v>797</v>
      </c>
      <c r="I274" s="16" t="s">
        <v>211</v>
      </c>
      <c r="J274" s="16" t="str">
        <f>IF(ISNUMBER(SEARCH("SCRW", H274)), _xlfn.XLOOKUP(C274,dd_item!$A$2:$A$147,dd_item!$B$2:$B$147,"",0),_xlfn.XLOOKUP(H274,dd_item!$A$2:$A$147,dd_item!$B$2:$B$147,"",0))</f>
        <v>Mullion66</v>
      </c>
      <c r="K274" s="16" t="str">
        <f>_xlfn.XLOOKUP(A274,dd_design_raw!$C$2:$C$1002,dd_design_raw!$A$2:$A$1002,"",0)</f>
        <v>Fix Slide Slide Fix Door - with Screen</v>
      </c>
      <c r="L274" s="16" t="str">
        <f>_xlfn.XLOOKUP(I274,dd_accsryclr!$A$2:$A$1000,dd_accsryclr!$A$2:$A$1000,"",0)</f>
        <v/>
      </c>
    </row>
    <row r="275" spans="1:12" hidden="1" x14ac:dyDescent="0.25">
      <c r="A275" s="16" t="s">
        <v>80</v>
      </c>
      <c r="B275" s="16" t="s">
        <v>427</v>
      </c>
      <c r="C275" s="16" t="s">
        <v>800</v>
      </c>
      <c r="D275" s="16" t="s">
        <v>801</v>
      </c>
      <c r="E275" s="16"/>
      <c r="F275" s="16" t="s">
        <v>194</v>
      </c>
      <c r="G275" s="16"/>
      <c r="H275" s="16" t="s">
        <v>797</v>
      </c>
      <c r="I275" s="16" t="s">
        <v>214</v>
      </c>
      <c r="J275" s="16" t="str">
        <f>IF(ISNUMBER(SEARCH("SCRW", H275)), _xlfn.XLOOKUP(C275,dd_item!$A$2:$A$147,dd_item!$B$2:$B$147,"",0),_xlfn.XLOOKUP(H275,dd_item!$A$2:$A$147,dd_item!$B$2:$B$147,"",0))</f>
        <v>Mullion66</v>
      </c>
      <c r="K275" s="16" t="str">
        <f>_xlfn.XLOOKUP(A275,dd_design_raw!$C$2:$C$1002,dd_design_raw!$A$2:$A$1002,"",0)</f>
        <v>Fix Slide Slide Fix Door - with Screen</v>
      </c>
      <c r="L275" s="16" t="str">
        <f>_xlfn.XLOOKUP(I275,dd_accsryclr!$A$2:$A$1000,dd_accsryclr!$A$2:$A$1000,"",0)</f>
        <v/>
      </c>
    </row>
    <row r="276" spans="1:12" hidden="1" x14ac:dyDescent="0.25">
      <c r="A276" s="16" t="s">
        <v>80</v>
      </c>
      <c r="B276" s="16" t="s">
        <v>427</v>
      </c>
      <c r="C276" s="16" t="s">
        <v>802</v>
      </c>
      <c r="D276" s="16" t="s">
        <v>803</v>
      </c>
      <c r="E276" s="16"/>
      <c r="F276" s="16" t="s">
        <v>194</v>
      </c>
      <c r="G276" s="16"/>
      <c r="H276" s="16" t="s">
        <v>797</v>
      </c>
      <c r="I276" s="16" t="s">
        <v>217</v>
      </c>
      <c r="J276" s="16" t="str">
        <f>IF(ISNUMBER(SEARCH("SCRW", H276)), _xlfn.XLOOKUP(C276,dd_item!$A$2:$A$147,dd_item!$B$2:$B$147,"",0),_xlfn.XLOOKUP(H276,dd_item!$A$2:$A$147,dd_item!$B$2:$B$147,"",0))</f>
        <v>Mullion66</v>
      </c>
      <c r="K276" s="16" t="str">
        <f>_xlfn.XLOOKUP(A276,dd_design_raw!$C$2:$C$1002,dd_design_raw!$A$2:$A$1002,"",0)</f>
        <v>Fix Slide Slide Fix Door - with Screen</v>
      </c>
      <c r="L276" s="16" t="str">
        <f>_xlfn.XLOOKUP(I276,dd_accsryclr!$A$2:$A$1000,dd_accsryclr!$A$2:$A$1000,"",0)</f>
        <v/>
      </c>
    </row>
    <row r="277" spans="1:12" hidden="1" x14ac:dyDescent="0.25">
      <c r="A277" s="16" t="s">
        <v>80</v>
      </c>
      <c r="B277" s="16" t="s">
        <v>427</v>
      </c>
      <c r="C277" s="16" t="s">
        <v>804</v>
      </c>
      <c r="D277" s="16" t="s">
        <v>805</v>
      </c>
      <c r="E277" s="16"/>
      <c r="F277" s="16" t="s">
        <v>194</v>
      </c>
      <c r="G277" s="16"/>
      <c r="H277" s="16" t="s">
        <v>797</v>
      </c>
      <c r="I277" s="16" t="s">
        <v>226</v>
      </c>
      <c r="J277" s="16" t="str">
        <f>IF(ISNUMBER(SEARCH("SCRW", H277)), _xlfn.XLOOKUP(C277,dd_item!$A$2:$A$147,dd_item!$B$2:$B$147,"",0),_xlfn.XLOOKUP(H277,dd_item!$A$2:$A$147,dd_item!$B$2:$B$147,"",0))</f>
        <v>Mullion66</v>
      </c>
      <c r="K277" s="16" t="str">
        <f>_xlfn.XLOOKUP(A277,dd_design_raw!$C$2:$C$1002,dd_design_raw!$A$2:$A$1002,"",0)</f>
        <v>Fix Slide Slide Fix Door - with Screen</v>
      </c>
      <c r="L277" s="16" t="str">
        <f>_xlfn.XLOOKUP(I277,dd_accsryclr!$A$2:$A$1000,dd_accsryclr!$A$2:$A$1000,"",0)</f>
        <v/>
      </c>
    </row>
    <row r="278" spans="1:12" hidden="1" x14ac:dyDescent="0.25">
      <c r="A278" s="16" t="s">
        <v>80</v>
      </c>
      <c r="B278" s="16" t="s">
        <v>427</v>
      </c>
      <c r="C278" s="16" t="s">
        <v>806</v>
      </c>
      <c r="D278" s="16" t="s">
        <v>807</v>
      </c>
      <c r="E278" s="16"/>
      <c r="F278" s="16" t="s">
        <v>194</v>
      </c>
      <c r="G278" s="16"/>
      <c r="H278" s="16" t="s">
        <v>797</v>
      </c>
      <c r="I278" s="16" t="s">
        <v>220</v>
      </c>
      <c r="J278" s="16" t="str">
        <f>IF(ISNUMBER(SEARCH("SCRW", H278)), _xlfn.XLOOKUP(C278,dd_item!$A$2:$A$147,dd_item!$B$2:$B$147,"",0),_xlfn.XLOOKUP(H278,dd_item!$A$2:$A$147,dd_item!$B$2:$B$147,"",0))</f>
        <v>Mullion66</v>
      </c>
      <c r="K278" s="16" t="str">
        <f>_xlfn.XLOOKUP(A278,dd_design_raw!$C$2:$C$1002,dd_design_raw!$A$2:$A$1002,"",0)</f>
        <v>Fix Slide Slide Fix Door - with Screen</v>
      </c>
      <c r="L278" s="16" t="str">
        <f>_xlfn.XLOOKUP(I278,dd_accsryclr!$A$2:$A$1000,dd_accsryclr!$A$2:$A$1000,"",0)</f>
        <v>WHT</v>
      </c>
    </row>
    <row r="279" spans="1:12" hidden="1" x14ac:dyDescent="0.25">
      <c r="A279" s="16" t="s">
        <v>80</v>
      </c>
      <c r="B279" s="16" t="s">
        <v>427</v>
      </c>
      <c r="C279" s="16" t="s">
        <v>808</v>
      </c>
      <c r="D279" s="16" t="s">
        <v>809</v>
      </c>
      <c r="E279" s="16"/>
      <c r="F279" s="16" t="s">
        <v>194</v>
      </c>
      <c r="G279" s="16"/>
      <c r="H279" s="16" t="s">
        <v>797</v>
      </c>
      <c r="I279" s="16" t="s">
        <v>230</v>
      </c>
      <c r="J279" s="16" t="str">
        <f>IF(ISNUMBER(SEARCH("SCRW", H279)), _xlfn.XLOOKUP(C279,dd_item!$A$2:$A$147,dd_item!$B$2:$B$147,"",0),_xlfn.XLOOKUP(H279,dd_item!$A$2:$A$147,dd_item!$B$2:$B$147,"",0))</f>
        <v>Mullion66</v>
      </c>
      <c r="K279" s="16" t="str">
        <f>_xlfn.XLOOKUP(A279,dd_design_raw!$C$2:$C$1002,dd_design_raw!$A$2:$A$1002,"",0)</f>
        <v>Fix Slide Slide Fix Door - with Screen</v>
      </c>
      <c r="L279" s="16" t="str">
        <f>_xlfn.XLOOKUP(I279,dd_accsryclr!$A$2:$A$1000,dd_accsryclr!$A$2:$A$1000,"",0)</f>
        <v>BRWN</v>
      </c>
    </row>
    <row r="280" spans="1:12" hidden="1" x14ac:dyDescent="0.25">
      <c r="A280" s="16" t="s">
        <v>78</v>
      </c>
      <c r="B280" s="16" t="s">
        <v>448</v>
      </c>
      <c r="C280" s="16" t="s">
        <v>208</v>
      </c>
      <c r="D280" s="16" t="s">
        <v>209</v>
      </c>
      <c r="E280" s="16">
        <v>1.6241379310344828</v>
      </c>
      <c r="F280" s="16" t="s">
        <v>194</v>
      </c>
      <c r="G280" s="16"/>
      <c r="H280" s="16" t="s">
        <v>210</v>
      </c>
      <c r="I280" s="16" t="s">
        <v>211</v>
      </c>
      <c r="J280" s="16" t="str">
        <f>IF(ISNUMBER(SEARCH("SCRW", H280)), _xlfn.XLOOKUP(C280,dd_item!$A$2:$A$147,dd_item!$B$2:$B$147,"",0),_xlfn.XLOOKUP(H280,dd_item!$A$2:$A$147,dd_item!$B$2:$B$147,"",0))</f>
        <v>Frame138</v>
      </c>
      <c r="K280" s="16" t="str">
        <f>_xlfn.XLOOKUP(A280,dd_design_raw!$C$2:$C$1002,dd_design_raw!$A$2:$A$1002,"",0)</f>
        <v>Slide Slide Door - with Screen</v>
      </c>
      <c r="L280" s="16" t="str">
        <f>_xlfn.XLOOKUP(I280,dd_accsryclr!$A$2:$A$1000,dd_accsryclr!$A$2:$A$1000,"",0)</f>
        <v/>
      </c>
    </row>
    <row r="281" spans="1:12" hidden="1" x14ac:dyDescent="0.25">
      <c r="A281" s="16" t="s">
        <v>78</v>
      </c>
      <c r="B281" s="16" t="s">
        <v>448</v>
      </c>
      <c r="C281" s="16" t="s">
        <v>212</v>
      </c>
      <c r="D281" s="16" t="s">
        <v>213</v>
      </c>
      <c r="E281" s="16">
        <v>1.6241379310344828</v>
      </c>
      <c r="F281" s="16" t="s">
        <v>194</v>
      </c>
      <c r="G281" s="16"/>
      <c r="H281" s="16" t="s">
        <v>210</v>
      </c>
      <c r="I281" s="16" t="s">
        <v>214</v>
      </c>
      <c r="J281" s="16" t="str">
        <f>IF(ISNUMBER(SEARCH("SCRW", H281)), _xlfn.XLOOKUP(C281,dd_item!$A$2:$A$147,dd_item!$B$2:$B$147,"",0),_xlfn.XLOOKUP(H281,dd_item!$A$2:$A$147,dd_item!$B$2:$B$147,"",0))</f>
        <v>Frame138</v>
      </c>
      <c r="K281" s="16" t="str">
        <f>_xlfn.XLOOKUP(A281,dd_design_raw!$C$2:$C$1002,dd_design_raw!$A$2:$A$1002,"",0)</f>
        <v>Slide Slide Door - with Screen</v>
      </c>
      <c r="L281" s="16" t="str">
        <f>_xlfn.XLOOKUP(I281,dd_accsryclr!$A$2:$A$1000,dd_accsryclr!$A$2:$A$1000,"",0)</f>
        <v/>
      </c>
    </row>
    <row r="282" spans="1:12" hidden="1" x14ac:dyDescent="0.25">
      <c r="A282" s="16" t="s">
        <v>78</v>
      </c>
      <c r="B282" s="16" t="s">
        <v>448</v>
      </c>
      <c r="C282" s="16" t="s">
        <v>215</v>
      </c>
      <c r="D282" s="16" t="s">
        <v>216</v>
      </c>
      <c r="E282" s="16">
        <v>1.6241379310344828</v>
      </c>
      <c r="F282" s="16" t="s">
        <v>194</v>
      </c>
      <c r="G282" s="16"/>
      <c r="H282" s="16" t="s">
        <v>210</v>
      </c>
      <c r="I282" s="16" t="s">
        <v>217</v>
      </c>
      <c r="J282" s="16" t="str">
        <f>IF(ISNUMBER(SEARCH("SCRW", H282)), _xlfn.XLOOKUP(C282,dd_item!$A$2:$A$147,dd_item!$B$2:$B$147,"",0),_xlfn.XLOOKUP(H282,dd_item!$A$2:$A$147,dd_item!$B$2:$B$147,"",0))</f>
        <v>Frame138</v>
      </c>
      <c r="K282" s="16" t="str">
        <f>_xlfn.XLOOKUP(A282,dd_design_raw!$C$2:$C$1002,dd_design_raw!$A$2:$A$1002,"",0)</f>
        <v>Slide Slide Door - with Screen</v>
      </c>
      <c r="L282" s="16" t="str">
        <f>_xlfn.XLOOKUP(I282,dd_accsryclr!$A$2:$A$1000,dd_accsryclr!$A$2:$A$1000,"",0)</f>
        <v/>
      </c>
    </row>
    <row r="283" spans="1:12" hidden="1" x14ac:dyDescent="0.25">
      <c r="A283" s="16" t="s">
        <v>78</v>
      </c>
      <c r="B283" s="16" t="s">
        <v>448</v>
      </c>
      <c r="C283" s="16" t="s">
        <v>218</v>
      </c>
      <c r="D283" s="16" t="s">
        <v>219</v>
      </c>
      <c r="E283" s="16">
        <v>1.6241379310344828</v>
      </c>
      <c r="F283" s="16" t="s">
        <v>194</v>
      </c>
      <c r="G283" s="16"/>
      <c r="H283" s="16" t="s">
        <v>210</v>
      </c>
      <c r="I283" s="16" t="s">
        <v>220</v>
      </c>
      <c r="J283" s="16" t="str">
        <f>IF(ISNUMBER(SEARCH("SCRW", H283)), _xlfn.XLOOKUP(C283,dd_item!$A$2:$A$147,dd_item!$B$2:$B$147,"",0),_xlfn.XLOOKUP(H283,dd_item!$A$2:$A$147,dd_item!$B$2:$B$147,"",0))</f>
        <v>Frame138</v>
      </c>
      <c r="K283" s="16" t="str">
        <f>_xlfn.XLOOKUP(A283,dd_design_raw!$C$2:$C$1002,dd_design_raw!$A$2:$A$1002,"",0)</f>
        <v>Slide Slide Door - with Screen</v>
      </c>
      <c r="L283" s="16" t="str">
        <f>_xlfn.XLOOKUP(I283,dd_accsryclr!$A$2:$A$1000,dd_accsryclr!$A$2:$A$1000,"",0)</f>
        <v>WHT</v>
      </c>
    </row>
    <row r="284" spans="1:12" hidden="1" x14ac:dyDescent="0.25">
      <c r="A284" s="16" t="s">
        <v>78</v>
      </c>
      <c r="B284" s="16" t="s">
        <v>448</v>
      </c>
      <c r="C284" s="16" t="s">
        <v>221</v>
      </c>
      <c r="D284" s="16" t="s">
        <v>222</v>
      </c>
      <c r="E284" s="16">
        <v>1.6241379310344828</v>
      </c>
      <c r="F284" s="16" t="s">
        <v>194</v>
      </c>
      <c r="G284" s="16"/>
      <c r="H284" s="16" t="s">
        <v>210</v>
      </c>
      <c r="I284" s="16" t="s">
        <v>223</v>
      </c>
      <c r="J284" s="16" t="str">
        <f>IF(ISNUMBER(SEARCH("SCRW", H284)), _xlfn.XLOOKUP(C284,dd_item!$A$2:$A$147,dd_item!$B$2:$B$147,"",0),_xlfn.XLOOKUP(H284,dd_item!$A$2:$A$147,dd_item!$B$2:$B$147,"",0))</f>
        <v>Frame138</v>
      </c>
      <c r="K284" s="16" t="str">
        <f>_xlfn.XLOOKUP(A284,dd_design_raw!$C$2:$C$1002,dd_design_raw!$A$2:$A$1002,"",0)</f>
        <v>Slide Slide Door - with Screen</v>
      </c>
      <c r="L284" s="16" t="str">
        <f>_xlfn.XLOOKUP(I284,dd_accsryclr!$A$2:$A$1000,dd_accsryclr!$A$2:$A$1000,"",0)</f>
        <v>BLK</v>
      </c>
    </row>
    <row r="285" spans="1:12" hidden="1" x14ac:dyDescent="0.25">
      <c r="A285" s="16" t="s">
        <v>78</v>
      </c>
      <c r="B285" s="16" t="s">
        <v>448</v>
      </c>
      <c r="C285" s="16" t="s">
        <v>224</v>
      </c>
      <c r="D285" s="16" t="s">
        <v>225</v>
      </c>
      <c r="E285" s="16">
        <v>1.6241379310344828</v>
      </c>
      <c r="F285" s="16" t="s">
        <v>194</v>
      </c>
      <c r="G285" s="16"/>
      <c r="H285" s="16" t="s">
        <v>210</v>
      </c>
      <c r="I285" s="16" t="s">
        <v>226</v>
      </c>
      <c r="J285" s="16" t="str">
        <f>IF(ISNUMBER(SEARCH("SCRW", H285)), _xlfn.XLOOKUP(C285,dd_item!$A$2:$A$147,dd_item!$B$2:$B$147,"",0),_xlfn.XLOOKUP(H285,dd_item!$A$2:$A$147,dd_item!$B$2:$B$147,"",0))</f>
        <v>Frame138</v>
      </c>
      <c r="K285" s="16" t="str">
        <f>_xlfn.XLOOKUP(A285,dd_design_raw!$C$2:$C$1002,dd_design_raw!$A$2:$A$1002,"",0)</f>
        <v>Slide Slide Door - with Screen</v>
      </c>
      <c r="L285" s="16" t="str">
        <f>_xlfn.XLOOKUP(I285,dd_accsryclr!$A$2:$A$1000,dd_accsryclr!$A$2:$A$1000,"",0)</f>
        <v/>
      </c>
    </row>
    <row r="286" spans="1:12" hidden="1" x14ac:dyDescent="0.25">
      <c r="A286" s="16" t="s">
        <v>78</v>
      </c>
      <c r="B286" s="16" t="s">
        <v>448</v>
      </c>
      <c r="C286" s="16" t="s">
        <v>227</v>
      </c>
      <c r="D286" s="16" t="s">
        <v>228</v>
      </c>
      <c r="E286" s="16">
        <v>1.6241379310344828</v>
      </c>
      <c r="F286" s="16" t="s">
        <v>194</v>
      </c>
      <c r="G286" s="16"/>
      <c r="H286" s="16" t="s">
        <v>229</v>
      </c>
      <c r="I286" s="16" t="s">
        <v>230</v>
      </c>
      <c r="J286" s="16" t="str">
        <f>IF(ISNUMBER(SEARCH("SCRW", H286)), _xlfn.XLOOKUP(C286,dd_item!$A$2:$A$147,dd_item!$B$2:$B$147,"",0),_xlfn.XLOOKUP(H286,dd_item!$A$2:$A$147,dd_item!$B$2:$B$147,"",0))</f>
        <v>Frame112</v>
      </c>
      <c r="K286" s="16" t="str">
        <f>_xlfn.XLOOKUP(A286,dd_design_raw!$C$2:$C$1002,dd_design_raw!$A$2:$A$1002,"",0)</f>
        <v>Slide Slide Door - with Screen</v>
      </c>
      <c r="L286" s="16" t="str">
        <f>_xlfn.XLOOKUP(I286,dd_accsryclr!$A$2:$A$1000,dd_accsryclr!$A$2:$A$1000,"",0)</f>
        <v>BRWN</v>
      </c>
    </row>
    <row r="287" spans="1:12" hidden="1" x14ac:dyDescent="0.25">
      <c r="A287" s="16" t="s">
        <v>78</v>
      </c>
      <c r="B287" s="16" t="s">
        <v>448</v>
      </c>
      <c r="C287" s="16" t="s">
        <v>231</v>
      </c>
      <c r="D287" s="16" t="s">
        <v>232</v>
      </c>
      <c r="E287" s="16">
        <v>2.3227586206896551</v>
      </c>
      <c r="F287" s="16" t="s">
        <v>194</v>
      </c>
      <c r="G287" s="16"/>
      <c r="H287" s="16" t="s">
        <v>233</v>
      </c>
      <c r="I287" s="16" t="s">
        <v>223</v>
      </c>
      <c r="J287" s="16" t="str">
        <f>IF(ISNUMBER(SEARCH("SCRW", H287)), _xlfn.XLOOKUP(C287,dd_item!$A$2:$A$147,dd_item!$B$2:$B$147,"",0),_xlfn.XLOOKUP(H287,dd_item!$A$2:$A$147,dd_item!$B$2:$B$147,"",0))</f>
        <v>Sash92</v>
      </c>
      <c r="K287" s="16" t="str">
        <f>_xlfn.XLOOKUP(A287,dd_design_raw!$C$2:$C$1002,dd_design_raw!$A$2:$A$1002,"",0)</f>
        <v>Slide Slide Door - with Screen</v>
      </c>
      <c r="L287" s="16" t="str">
        <f>_xlfn.XLOOKUP(I287,dd_accsryclr!$A$2:$A$1000,dd_accsryclr!$A$2:$A$1000,"",0)</f>
        <v>BLK</v>
      </c>
    </row>
    <row r="288" spans="1:12" hidden="1" x14ac:dyDescent="0.25">
      <c r="A288" s="16" t="s">
        <v>78</v>
      </c>
      <c r="B288" s="16" t="s">
        <v>448</v>
      </c>
      <c r="C288" s="16" t="s">
        <v>234</v>
      </c>
      <c r="D288" s="16" t="s">
        <v>235</v>
      </c>
      <c r="E288" s="16">
        <v>2.3227586206896551</v>
      </c>
      <c r="F288" s="16" t="s">
        <v>194</v>
      </c>
      <c r="G288" s="16"/>
      <c r="H288" s="16" t="s">
        <v>233</v>
      </c>
      <c r="I288" s="16" t="s">
        <v>211</v>
      </c>
      <c r="J288" s="16" t="str">
        <f>IF(ISNUMBER(SEARCH("SCRW", H288)), _xlfn.XLOOKUP(C288,dd_item!$A$2:$A$147,dd_item!$B$2:$B$147,"",0),_xlfn.XLOOKUP(H288,dd_item!$A$2:$A$147,dd_item!$B$2:$B$147,"",0))</f>
        <v>Sash92</v>
      </c>
      <c r="K288" s="16" t="str">
        <f>_xlfn.XLOOKUP(A288,dd_design_raw!$C$2:$C$1002,dd_design_raw!$A$2:$A$1002,"",0)</f>
        <v>Slide Slide Door - with Screen</v>
      </c>
      <c r="L288" s="16" t="str">
        <f>_xlfn.XLOOKUP(I288,dd_accsryclr!$A$2:$A$1000,dd_accsryclr!$A$2:$A$1000,"",0)</f>
        <v/>
      </c>
    </row>
    <row r="289" spans="1:12" hidden="1" x14ac:dyDescent="0.25">
      <c r="A289" s="16" t="s">
        <v>78</v>
      </c>
      <c r="B289" s="16" t="s">
        <v>448</v>
      </c>
      <c r="C289" s="16" t="s">
        <v>236</v>
      </c>
      <c r="D289" s="16" t="s">
        <v>237</v>
      </c>
      <c r="E289" s="16">
        <v>2.3227586206896551</v>
      </c>
      <c r="F289" s="16" t="s">
        <v>194</v>
      </c>
      <c r="G289" s="16"/>
      <c r="H289" s="16" t="s">
        <v>233</v>
      </c>
      <c r="I289" s="16" t="s">
        <v>214</v>
      </c>
      <c r="J289" s="16" t="str">
        <f>IF(ISNUMBER(SEARCH("SCRW", H289)), _xlfn.XLOOKUP(C289,dd_item!$A$2:$A$147,dd_item!$B$2:$B$147,"",0),_xlfn.XLOOKUP(H289,dd_item!$A$2:$A$147,dd_item!$B$2:$B$147,"",0))</f>
        <v>Sash92</v>
      </c>
      <c r="K289" s="16" t="str">
        <f>_xlfn.XLOOKUP(A289,dd_design_raw!$C$2:$C$1002,dd_design_raw!$A$2:$A$1002,"",0)</f>
        <v>Slide Slide Door - with Screen</v>
      </c>
      <c r="L289" s="16" t="str">
        <f>_xlfn.XLOOKUP(I289,dd_accsryclr!$A$2:$A$1000,dd_accsryclr!$A$2:$A$1000,"",0)</f>
        <v/>
      </c>
    </row>
    <row r="290" spans="1:12" hidden="1" x14ac:dyDescent="0.25">
      <c r="A290" s="16" t="s">
        <v>78</v>
      </c>
      <c r="B290" s="16" t="s">
        <v>448</v>
      </c>
      <c r="C290" s="16" t="s">
        <v>238</v>
      </c>
      <c r="D290" s="16" t="s">
        <v>239</v>
      </c>
      <c r="E290" s="16">
        <v>2.3227586206896551</v>
      </c>
      <c r="F290" s="16" t="s">
        <v>194</v>
      </c>
      <c r="G290" s="16"/>
      <c r="H290" s="16" t="s">
        <v>233</v>
      </c>
      <c r="I290" s="16" t="s">
        <v>217</v>
      </c>
      <c r="J290" s="16" t="str">
        <f>IF(ISNUMBER(SEARCH("SCRW", H290)), _xlfn.XLOOKUP(C290,dd_item!$A$2:$A$147,dd_item!$B$2:$B$147,"",0),_xlfn.XLOOKUP(H290,dd_item!$A$2:$A$147,dd_item!$B$2:$B$147,"",0))</f>
        <v>Sash92</v>
      </c>
      <c r="K290" s="16" t="str">
        <f>_xlfn.XLOOKUP(A290,dd_design_raw!$C$2:$C$1002,dd_design_raw!$A$2:$A$1002,"",0)</f>
        <v>Slide Slide Door - with Screen</v>
      </c>
      <c r="L290" s="16" t="str">
        <f>_xlfn.XLOOKUP(I290,dd_accsryclr!$A$2:$A$1000,dd_accsryclr!$A$2:$A$1000,"",0)</f>
        <v/>
      </c>
    </row>
    <row r="291" spans="1:12" hidden="1" x14ac:dyDescent="0.25">
      <c r="A291" s="16" t="s">
        <v>78</v>
      </c>
      <c r="B291" s="16" t="s">
        <v>448</v>
      </c>
      <c r="C291" s="16" t="s">
        <v>240</v>
      </c>
      <c r="D291" s="16" t="s">
        <v>241</v>
      </c>
      <c r="E291" s="16">
        <v>2.3227586206896551</v>
      </c>
      <c r="F291" s="16" t="s">
        <v>194</v>
      </c>
      <c r="G291" s="16"/>
      <c r="H291" s="16" t="s">
        <v>233</v>
      </c>
      <c r="I291" s="16" t="s">
        <v>226</v>
      </c>
      <c r="J291" s="16" t="str">
        <f>IF(ISNUMBER(SEARCH("SCRW", H291)), _xlfn.XLOOKUP(C291,dd_item!$A$2:$A$147,dd_item!$B$2:$B$147,"",0),_xlfn.XLOOKUP(H291,dd_item!$A$2:$A$147,dd_item!$B$2:$B$147,"",0))</f>
        <v>Sash92</v>
      </c>
      <c r="K291" s="16" t="str">
        <f>_xlfn.XLOOKUP(A291,dd_design_raw!$C$2:$C$1002,dd_design_raw!$A$2:$A$1002,"",0)</f>
        <v>Slide Slide Door - with Screen</v>
      </c>
      <c r="L291" s="16" t="str">
        <f>_xlfn.XLOOKUP(I291,dd_accsryclr!$A$2:$A$1000,dd_accsryclr!$A$2:$A$1000,"",0)</f>
        <v/>
      </c>
    </row>
    <row r="292" spans="1:12" hidden="1" x14ac:dyDescent="0.25">
      <c r="A292" s="16" t="s">
        <v>78</v>
      </c>
      <c r="B292" s="16" t="s">
        <v>448</v>
      </c>
      <c r="C292" s="16" t="s">
        <v>242</v>
      </c>
      <c r="D292" s="16" t="s">
        <v>243</v>
      </c>
      <c r="E292" s="16">
        <v>2.3227586206896551</v>
      </c>
      <c r="F292" s="16" t="s">
        <v>194</v>
      </c>
      <c r="G292" s="16"/>
      <c r="H292" s="16" t="s">
        <v>233</v>
      </c>
      <c r="I292" s="16" t="s">
        <v>220</v>
      </c>
      <c r="J292" s="16" t="str">
        <f>IF(ISNUMBER(SEARCH("SCRW", H292)), _xlfn.XLOOKUP(C292,dd_item!$A$2:$A$147,dd_item!$B$2:$B$147,"",0),_xlfn.XLOOKUP(H292,dd_item!$A$2:$A$147,dd_item!$B$2:$B$147,"",0))</f>
        <v>Sash92</v>
      </c>
      <c r="K292" s="16" t="str">
        <f>_xlfn.XLOOKUP(A292,dd_design_raw!$C$2:$C$1002,dd_design_raw!$A$2:$A$1002,"",0)</f>
        <v>Slide Slide Door - with Screen</v>
      </c>
      <c r="L292" s="16" t="str">
        <f>_xlfn.XLOOKUP(I292,dd_accsryclr!$A$2:$A$1000,dd_accsryclr!$A$2:$A$1000,"",0)</f>
        <v>WHT</v>
      </c>
    </row>
    <row r="293" spans="1:12" hidden="1" x14ac:dyDescent="0.25">
      <c r="A293" s="16" t="s">
        <v>78</v>
      </c>
      <c r="B293" s="16" t="s">
        <v>448</v>
      </c>
      <c r="C293" s="16" t="s">
        <v>244</v>
      </c>
      <c r="D293" s="16" t="s">
        <v>245</v>
      </c>
      <c r="E293" s="16">
        <v>2.3227586206896551</v>
      </c>
      <c r="F293" s="16" t="s">
        <v>194</v>
      </c>
      <c r="G293" s="16"/>
      <c r="H293" s="16" t="s">
        <v>233</v>
      </c>
      <c r="I293" s="16" t="s">
        <v>230</v>
      </c>
      <c r="J293" s="16" t="str">
        <f>IF(ISNUMBER(SEARCH("SCRW", H293)), _xlfn.XLOOKUP(C293,dd_item!$A$2:$A$147,dd_item!$B$2:$B$147,"",0),_xlfn.XLOOKUP(H293,dd_item!$A$2:$A$147,dd_item!$B$2:$B$147,"",0))</f>
        <v>Sash92</v>
      </c>
      <c r="K293" s="16" t="str">
        <f>_xlfn.XLOOKUP(A293,dd_design_raw!$C$2:$C$1002,dd_design_raw!$A$2:$A$1002,"",0)</f>
        <v>Slide Slide Door - with Screen</v>
      </c>
      <c r="L293" s="16" t="str">
        <f>_xlfn.XLOOKUP(I293,dd_accsryclr!$A$2:$A$1000,dd_accsryclr!$A$2:$A$1000,"",0)</f>
        <v>BRWN</v>
      </c>
    </row>
    <row r="294" spans="1:12" hidden="1" x14ac:dyDescent="0.25">
      <c r="A294" s="16" t="s">
        <v>78</v>
      </c>
      <c r="B294" s="16" t="s">
        <v>448</v>
      </c>
      <c r="C294" s="16" t="s">
        <v>246</v>
      </c>
      <c r="D294" s="16" t="s">
        <v>247</v>
      </c>
      <c r="E294" s="16">
        <v>1.1613793103448276</v>
      </c>
      <c r="F294" s="16" t="s">
        <v>194</v>
      </c>
      <c r="G294" s="16"/>
      <c r="H294" s="16" t="s">
        <v>248</v>
      </c>
      <c r="I294" s="16" t="s">
        <v>223</v>
      </c>
      <c r="J294" s="16" t="str">
        <f>IF(ISNUMBER(SEARCH("SCRW", H294)), _xlfn.XLOOKUP(C294,dd_item!$A$2:$A$147,dd_item!$B$2:$B$147,"",0),_xlfn.XLOOKUP(H294,dd_item!$A$2:$A$147,dd_item!$B$2:$B$147,"",0))</f>
        <v>Sash66</v>
      </c>
      <c r="K294" s="16" t="str">
        <f>_xlfn.XLOOKUP(A294,dd_design_raw!$C$2:$C$1002,dd_design_raw!$A$2:$A$1002,"",0)</f>
        <v>Slide Slide Door - with Screen</v>
      </c>
      <c r="L294" s="16" t="str">
        <f>_xlfn.XLOOKUP(I294,dd_accsryclr!$A$2:$A$1000,dd_accsryclr!$A$2:$A$1000,"",0)</f>
        <v>BLK</v>
      </c>
    </row>
    <row r="295" spans="1:12" hidden="1" x14ac:dyDescent="0.25">
      <c r="A295" s="16" t="s">
        <v>78</v>
      </c>
      <c r="B295" s="16" t="s">
        <v>448</v>
      </c>
      <c r="C295" s="16" t="s">
        <v>249</v>
      </c>
      <c r="D295" s="16" t="s">
        <v>250</v>
      </c>
      <c r="E295" s="16">
        <v>1.1613793103448276</v>
      </c>
      <c r="F295" s="16" t="s">
        <v>194</v>
      </c>
      <c r="G295" s="16"/>
      <c r="H295" s="16" t="s">
        <v>248</v>
      </c>
      <c r="I295" s="16" t="s">
        <v>211</v>
      </c>
      <c r="J295" s="16" t="str">
        <f>IF(ISNUMBER(SEARCH("SCRW", H295)), _xlfn.XLOOKUP(C295,dd_item!$A$2:$A$147,dd_item!$B$2:$B$147,"",0),_xlfn.XLOOKUP(H295,dd_item!$A$2:$A$147,dd_item!$B$2:$B$147,"",0))</f>
        <v>Sash66</v>
      </c>
      <c r="K295" s="16" t="str">
        <f>_xlfn.XLOOKUP(A295,dd_design_raw!$C$2:$C$1002,dd_design_raw!$A$2:$A$1002,"",0)</f>
        <v>Slide Slide Door - with Screen</v>
      </c>
      <c r="L295" s="16" t="str">
        <f>_xlfn.XLOOKUP(I295,dd_accsryclr!$A$2:$A$1000,dd_accsryclr!$A$2:$A$1000,"",0)</f>
        <v/>
      </c>
    </row>
    <row r="296" spans="1:12" hidden="1" x14ac:dyDescent="0.25">
      <c r="A296" s="16" t="s">
        <v>78</v>
      </c>
      <c r="B296" s="16" t="s">
        <v>448</v>
      </c>
      <c r="C296" s="16" t="s">
        <v>251</v>
      </c>
      <c r="D296" s="16" t="s">
        <v>252</v>
      </c>
      <c r="E296" s="16">
        <v>1.1613793103448276</v>
      </c>
      <c r="F296" s="16" t="s">
        <v>194</v>
      </c>
      <c r="G296" s="16"/>
      <c r="H296" s="16" t="s">
        <v>248</v>
      </c>
      <c r="I296" s="16" t="s">
        <v>214</v>
      </c>
      <c r="J296" s="16" t="str">
        <f>IF(ISNUMBER(SEARCH("SCRW", H296)), _xlfn.XLOOKUP(C296,dd_item!$A$2:$A$147,dd_item!$B$2:$B$147,"",0),_xlfn.XLOOKUP(H296,dd_item!$A$2:$A$147,dd_item!$B$2:$B$147,"",0))</f>
        <v>Sash66</v>
      </c>
      <c r="K296" s="16" t="str">
        <f>_xlfn.XLOOKUP(A296,dd_design_raw!$C$2:$C$1002,dd_design_raw!$A$2:$A$1002,"",0)</f>
        <v>Slide Slide Door - with Screen</v>
      </c>
      <c r="L296" s="16" t="str">
        <f>_xlfn.XLOOKUP(I296,dd_accsryclr!$A$2:$A$1000,dd_accsryclr!$A$2:$A$1000,"",0)</f>
        <v/>
      </c>
    </row>
    <row r="297" spans="1:12" hidden="1" x14ac:dyDescent="0.25">
      <c r="A297" s="16" t="s">
        <v>78</v>
      </c>
      <c r="B297" s="16" t="s">
        <v>448</v>
      </c>
      <c r="C297" s="16" t="s">
        <v>253</v>
      </c>
      <c r="D297" s="16" t="s">
        <v>254</v>
      </c>
      <c r="E297" s="16">
        <v>1.1613793103448276</v>
      </c>
      <c r="F297" s="16" t="s">
        <v>194</v>
      </c>
      <c r="G297" s="16"/>
      <c r="H297" s="16" t="s">
        <v>248</v>
      </c>
      <c r="I297" s="16" t="s">
        <v>217</v>
      </c>
      <c r="J297" s="16" t="str">
        <f>IF(ISNUMBER(SEARCH("SCRW", H297)), _xlfn.XLOOKUP(C297,dd_item!$A$2:$A$147,dd_item!$B$2:$B$147,"",0),_xlfn.XLOOKUP(H297,dd_item!$A$2:$A$147,dd_item!$B$2:$B$147,"",0))</f>
        <v>Sash66</v>
      </c>
      <c r="K297" s="16" t="str">
        <f>_xlfn.XLOOKUP(A297,dd_design_raw!$C$2:$C$1002,dd_design_raw!$A$2:$A$1002,"",0)</f>
        <v>Slide Slide Door - with Screen</v>
      </c>
      <c r="L297" s="16" t="str">
        <f>_xlfn.XLOOKUP(I297,dd_accsryclr!$A$2:$A$1000,dd_accsryclr!$A$2:$A$1000,"",0)</f>
        <v/>
      </c>
    </row>
    <row r="298" spans="1:12" hidden="1" x14ac:dyDescent="0.25">
      <c r="A298" s="16" t="s">
        <v>78</v>
      </c>
      <c r="B298" s="16" t="s">
        <v>448</v>
      </c>
      <c r="C298" s="16" t="s">
        <v>255</v>
      </c>
      <c r="D298" s="16" t="s">
        <v>256</v>
      </c>
      <c r="E298" s="16">
        <v>1.1613793103448276</v>
      </c>
      <c r="F298" s="16" t="s">
        <v>194</v>
      </c>
      <c r="G298" s="16"/>
      <c r="H298" s="16" t="s">
        <v>248</v>
      </c>
      <c r="I298" s="16" t="s">
        <v>226</v>
      </c>
      <c r="J298" s="16" t="str">
        <f>IF(ISNUMBER(SEARCH("SCRW", H298)), _xlfn.XLOOKUP(C298,dd_item!$A$2:$A$147,dd_item!$B$2:$B$147,"",0),_xlfn.XLOOKUP(H298,dd_item!$A$2:$A$147,dd_item!$B$2:$B$147,"",0))</f>
        <v>Sash66</v>
      </c>
      <c r="K298" s="16" t="str">
        <f>_xlfn.XLOOKUP(A298,dd_design_raw!$C$2:$C$1002,dd_design_raw!$A$2:$A$1002,"",0)</f>
        <v>Slide Slide Door - with Screen</v>
      </c>
      <c r="L298" s="16" t="str">
        <f>_xlfn.XLOOKUP(I298,dd_accsryclr!$A$2:$A$1000,dd_accsryclr!$A$2:$A$1000,"",0)</f>
        <v/>
      </c>
    </row>
    <row r="299" spans="1:12" hidden="1" x14ac:dyDescent="0.25">
      <c r="A299" s="16" t="s">
        <v>78</v>
      </c>
      <c r="B299" s="16" t="s">
        <v>448</v>
      </c>
      <c r="C299" s="16" t="s">
        <v>257</v>
      </c>
      <c r="D299" s="16" t="s">
        <v>258</v>
      </c>
      <c r="E299" s="16">
        <v>1.1613793103448276</v>
      </c>
      <c r="F299" s="16" t="s">
        <v>194</v>
      </c>
      <c r="G299" s="16"/>
      <c r="H299" s="16" t="s">
        <v>248</v>
      </c>
      <c r="I299" s="16" t="s">
        <v>220</v>
      </c>
      <c r="J299" s="16" t="str">
        <f>IF(ISNUMBER(SEARCH("SCRW", H299)), _xlfn.XLOOKUP(C299,dd_item!$A$2:$A$147,dd_item!$B$2:$B$147,"",0),_xlfn.XLOOKUP(H299,dd_item!$A$2:$A$147,dd_item!$B$2:$B$147,"",0))</f>
        <v>Sash66</v>
      </c>
      <c r="K299" s="16" t="str">
        <f>_xlfn.XLOOKUP(A299,dd_design_raw!$C$2:$C$1002,dd_design_raw!$A$2:$A$1002,"",0)</f>
        <v>Slide Slide Door - with Screen</v>
      </c>
      <c r="L299" s="16" t="str">
        <f>_xlfn.XLOOKUP(I299,dd_accsryclr!$A$2:$A$1000,dd_accsryclr!$A$2:$A$1000,"",0)</f>
        <v>WHT</v>
      </c>
    </row>
    <row r="300" spans="1:12" hidden="1" x14ac:dyDescent="0.25">
      <c r="A300" s="16" t="s">
        <v>78</v>
      </c>
      <c r="B300" s="16" t="s">
        <v>448</v>
      </c>
      <c r="C300" s="16" t="s">
        <v>259</v>
      </c>
      <c r="D300" s="16" t="s">
        <v>260</v>
      </c>
      <c r="E300" s="16">
        <v>1.1613793103448276</v>
      </c>
      <c r="F300" s="16" t="s">
        <v>194</v>
      </c>
      <c r="G300" s="16"/>
      <c r="H300" s="16" t="s">
        <v>248</v>
      </c>
      <c r="I300" s="16" t="s">
        <v>230</v>
      </c>
      <c r="J300" s="16" t="str">
        <f>IF(ISNUMBER(SEARCH("SCRW", H300)), _xlfn.XLOOKUP(C300,dd_item!$A$2:$A$147,dd_item!$B$2:$B$147,"",0),_xlfn.XLOOKUP(H300,dd_item!$A$2:$A$147,dd_item!$B$2:$B$147,"",0))</f>
        <v>Sash66</v>
      </c>
      <c r="K300" s="16" t="str">
        <f>_xlfn.XLOOKUP(A300,dd_design_raw!$C$2:$C$1002,dd_design_raw!$A$2:$A$1002,"",0)</f>
        <v>Slide Slide Door - with Screen</v>
      </c>
      <c r="L300" s="16" t="str">
        <f>_xlfn.XLOOKUP(I300,dd_accsryclr!$A$2:$A$1000,dd_accsryclr!$A$2:$A$1000,"",0)</f>
        <v>BRWN</v>
      </c>
    </row>
    <row r="301" spans="1:12" hidden="1" x14ac:dyDescent="0.25">
      <c r="A301" s="16" t="s">
        <v>78</v>
      </c>
      <c r="B301" s="16" t="s">
        <v>448</v>
      </c>
      <c r="C301" s="16" t="s">
        <v>261</v>
      </c>
      <c r="D301" s="16" t="s">
        <v>262</v>
      </c>
      <c r="E301" s="16">
        <v>3.2482758620689656</v>
      </c>
      <c r="F301" s="16" t="s">
        <v>194</v>
      </c>
      <c r="G301" s="16" t="s">
        <v>64</v>
      </c>
      <c r="H301" s="16" t="s">
        <v>263</v>
      </c>
      <c r="I301" s="16" t="s">
        <v>264</v>
      </c>
      <c r="J301" s="16" t="str">
        <f>IF(ISNUMBER(SEARCH("SCRW", H301)), _xlfn.XLOOKUP(C301,dd_item!$A$2:$A$147,dd_item!$B$2:$B$147,"",0),_xlfn.XLOOKUP(H301,dd_item!$A$2:$A$147,dd_item!$B$2:$B$147,"",0))</f>
        <v>Steel-Frame</v>
      </c>
      <c r="K301" s="16" t="str">
        <f>_xlfn.XLOOKUP(A301,dd_design_raw!$C$2:$C$1002,dd_design_raw!$A$2:$A$1002,"",0)</f>
        <v>Slide Slide Door - with Screen</v>
      </c>
      <c r="L301" s="16" t="str">
        <f>_xlfn.XLOOKUP(I301,dd_accsryclr!$A$2:$A$1000,dd_accsryclr!$A$2:$A$1000,"",0)</f>
        <v/>
      </c>
    </row>
    <row r="302" spans="1:12" hidden="1" x14ac:dyDescent="0.25">
      <c r="A302" s="16" t="s">
        <v>78</v>
      </c>
      <c r="B302" s="16" t="s">
        <v>448</v>
      </c>
      <c r="C302" s="16" t="s">
        <v>265</v>
      </c>
      <c r="D302" s="16" t="s">
        <v>266</v>
      </c>
      <c r="E302" s="16">
        <v>4.4096551724137933</v>
      </c>
      <c r="F302" s="16" t="s">
        <v>194</v>
      </c>
      <c r="G302" s="16" t="s">
        <v>60</v>
      </c>
      <c r="H302" s="16" t="s">
        <v>267</v>
      </c>
      <c r="I302" s="16" t="s">
        <v>268</v>
      </c>
      <c r="J302" s="16" t="str">
        <f>IF(ISNUMBER(SEARCH("SCRW", H302)), _xlfn.XLOOKUP(C302,dd_item!$A$2:$A$147,dd_item!$B$2:$B$147,"",0),_xlfn.XLOOKUP(H302,dd_item!$A$2:$A$147,dd_item!$B$2:$B$147,"",0))</f>
        <v>Steel-Sash66</v>
      </c>
      <c r="K302" s="16" t="str">
        <f>_xlfn.XLOOKUP(A302,dd_design_raw!$C$2:$C$1002,dd_design_raw!$A$2:$A$1002,"",0)</f>
        <v>Slide Slide Door - with Screen</v>
      </c>
      <c r="L302" s="16" t="str">
        <f>_xlfn.XLOOKUP(I302,dd_accsryclr!$A$2:$A$1000,dd_accsryclr!$A$2:$A$1000,"",0)</f>
        <v/>
      </c>
    </row>
    <row r="303" spans="1:12" hidden="1" x14ac:dyDescent="0.25">
      <c r="A303" s="16" t="s">
        <v>78</v>
      </c>
      <c r="B303" s="16" t="s">
        <v>448</v>
      </c>
      <c r="C303" s="16" t="s">
        <v>269</v>
      </c>
      <c r="D303" s="16" t="s">
        <v>270</v>
      </c>
      <c r="E303" s="16">
        <v>2.3227586206896551</v>
      </c>
      <c r="F303" s="16" t="s">
        <v>194</v>
      </c>
      <c r="G303" s="16" t="s">
        <v>61</v>
      </c>
      <c r="H303" s="16" t="s">
        <v>271</v>
      </c>
      <c r="I303" s="16" t="s">
        <v>272</v>
      </c>
      <c r="J303" s="16" t="str">
        <f>IF(ISNUMBER(SEARCH("SCRW", H303)), _xlfn.XLOOKUP(C303,dd_item!$A$2:$A$147,dd_item!$B$2:$B$147,"",0),_xlfn.XLOOKUP(H303,dd_item!$A$2:$A$147,dd_item!$B$2:$B$147,"",0))</f>
        <v>Steel-Sash92</v>
      </c>
      <c r="K303" s="16" t="str">
        <f>_xlfn.XLOOKUP(A303,dd_design_raw!$C$2:$C$1002,dd_design_raw!$A$2:$A$1002,"",0)</f>
        <v>Slide Slide Door - with Screen</v>
      </c>
      <c r="L303" s="16" t="str">
        <f>_xlfn.XLOOKUP(I303,dd_accsryclr!$A$2:$A$1000,dd_accsryclr!$A$2:$A$1000,"",0)</f>
        <v/>
      </c>
    </row>
    <row r="304" spans="1:12" hidden="1" x14ac:dyDescent="0.25">
      <c r="A304" s="16" t="s">
        <v>78</v>
      </c>
      <c r="B304" s="16" t="s">
        <v>448</v>
      </c>
      <c r="C304" s="16" t="s">
        <v>273</v>
      </c>
      <c r="D304" s="16" t="s">
        <v>274</v>
      </c>
      <c r="E304" s="16">
        <v>2.3227586206896551</v>
      </c>
      <c r="F304" s="16" t="s">
        <v>194</v>
      </c>
      <c r="G304" s="16" t="s">
        <v>61</v>
      </c>
      <c r="H304" s="16" t="s">
        <v>271</v>
      </c>
      <c r="I304" s="16" t="s">
        <v>275</v>
      </c>
      <c r="J304" s="16" t="str">
        <f>IF(ISNUMBER(SEARCH("SCRW", H304)), _xlfn.XLOOKUP(C304,dd_item!$A$2:$A$147,dd_item!$B$2:$B$147,"",0),_xlfn.XLOOKUP(H304,dd_item!$A$2:$A$147,dd_item!$B$2:$B$147,"",0))</f>
        <v>Steel-Sash92</v>
      </c>
      <c r="K304" s="16" t="str">
        <f>_xlfn.XLOOKUP(A304,dd_design_raw!$C$2:$C$1002,dd_design_raw!$A$2:$A$1002,"",0)</f>
        <v>Slide Slide Door - with Screen</v>
      </c>
      <c r="L304" s="16" t="str">
        <f>_xlfn.XLOOKUP(I304,dd_accsryclr!$A$2:$A$1000,dd_accsryclr!$A$2:$A$1000,"",0)</f>
        <v/>
      </c>
    </row>
    <row r="305" spans="1:12" hidden="1" x14ac:dyDescent="0.25">
      <c r="A305" s="16" t="s">
        <v>78</v>
      </c>
      <c r="B305" s="16" t="s">
        <v>448</v>
      </c>
      <c r="C305" s="16" t="s">
        <v>276</v>
      </c>
      <c r="D305" s="16" t="s">
        <v>277</v>
      </c>
      <c r="E305" s="16">
        <v>2.3227586206896551</v>
      </c>
      <c r="F305" s="16" t="s">
        <v>194</v>
      </c>
      <c r="G305" s="16"/>
      <c r="H305" s="16" t="s">
        <v>278</v>
      </c>
      <c r="I305" s="16" t="s">
        <v>223</v>
      </c>
      <c r="J305" s="16" t="str">
        <f>IF(ISNUMBER(SEARCH("SCRW", H305)), _xlfn.XLOOKUP(C305,dd_item!$A$2:$A$147,dd_item!$B$2:$B$147,"",0),_xlfn.XLOOKUP(H305,dd_item!$A$2:$A$147,dd_item!$B$2:$B$147,"",0))</f>
        <v>Bead25</v>
      </c>
      <c r="K305" s="16" t="str">
        <f>_xlfn.XLOOKUP(A305,dd_design_raw!$C$2:$C$1002,dd_design_raw!$A$2:$A$1002,"",0)</f>
        <v>Slide Slide Door - with Screen</v>
      </c>
      <c r="L305" s="16" t="str">
        <f>_xlfn.XLOOKUP(I305,dd_accsryclr!$A$2:$A$1000,dd_accsryclr!$A$2:$A$1000,"",0)</f>
        <v>BLK</v>
      </c>
    </row>
    <row r="306" spans="1:12" hidden="1" x14ac:dyDescent="0.25">
      <c r="A306" s="16" t="s">
        <v>78</v>
      </c>
      <c r="B306" s="16" t="s">
        <v>448</v>
      </c>
      <c r="C306" s="16" t="s">
        <v>279</v>
      </c>
      <c r="D306" s="16" t="s">
        <v>280</v>
      </c>
      <c r="E306" s="16">
        <v>2.3227586206896551</v>
      </c>
      <c r="F306" s="16" t="s">
        <v>194</v>
      </c>
      <c r="G306" s="16"/>
      <c r="H306" s="16" t="s">
        <v>278</v>
      </c>
      <c r="I306" s="16" t="s">
        <v>211</v>
      </c>
      <c r="J306" s="16" t="str">
        <f>IF(ISNUMBER(SEARCH("SCRW", H306)), _xlfn.XLOOKUP(C306,dd_item!$A$2:$A$147,dd_item!$B$2:$B$147,"",0),_xlfn.XLOOKUP(H306,dd_item!$A$2:$A$147,dd_item!$B$2:$B$147,"",0))</f>
        <v>Bead25</v>
      </c>
      <c r="K306" s="16" t="str">
        <f>_xlfn.XLOOKUP(A306,dd_design_raw!$C$2:$C$1002,dd_design_raw!$A$2:$A$1002,"",0)</f>
        <v>Slide Slide Door - with Screen</v>
      </c>
      <c r="L306" s="16" t="str">
        <f>_xlfn.XLOOKUP(I306,dd_accsryclr!$A$2:$A$1000,dd_accsryclr!$A$2:$A$1000,"",0)</f>
        <v/>
      </c>
    </row>
    <row r="307" spans="1:12" hidden="1" x14ac:dyDescent="0.25">
      <c r="A307" s="16" t="s">
        <v>78</v>
      </c>
      <c r="B307" s="16" t="s">
        <v>448</v>
      </c>
      <c r="C307" s="16" t="s">
        <v>281</v>
      </c>
      <c r="D307" s="16" t="s">
        <v>282</v>
      </c>
      <c r="E307" s="16">
        <v>2.3227586206896551</v>
      </c>
      <c r="F307" s="16" t="s">
        <v>194</v>
      </c>
      <c r="G307" s="16"/>
      <c r="H307" s="16" t="s">
        <v>278</v>
      </c>
      <c r="I307" s="16" t="s">
        <v>214</v>
      </c>
      <c r="J307" s="16" t="str">
        <f>IF(ISNUMBER(SEARCH("SCRW", H307)), _xlfn.XLOOKUP(C307,dd_item!$A$2:$A$147,dd_item!$B$2:$B$147,"",0),_xlfn.XLOOKUP(H307,dd_item!$A$2:$A$147,dd_item!$B$2:$B$147,"",0))</f>
        <v>Bead25</v>
      </c>
      <c r="K307" s="16" t="str">
        <f>_xlfn.XLOOKUP(A307,dd_design_raw!$C$2:$C$1002,dd_design_raw!$A$2:$A$1002,"",0)</f>
        <v>Slide Slide Door - with Screen</v>
      </c>
      <c r="L307" s="16" t="str">
        <f>_xlfn.XLOOKUP(I307,dd_accsryclr!$A$2:$A$1000,dd_accsryclr!$A$2:$A$1000,"",0)</f>
        <v/>
      </c>
    </row>
    <row r="308" spans="1:12" hidden="1" x14ac:dyDescent="0.25">
      <c r="A308" s="16" t="s">
        <v>78</v>
      </c>
      <c r="B308" s="16" t="s">
        <v>448</v>
      </c>
      <c r="C308" s="16" t="s">
        <v>283</v>
      </c>
      <c r="D308" s="16" t="s">
        <v>284</v>
      </c>
      <c r="E308" s="16">
        <v>2.3227586206896551</v>
      </c>
      <c r="F308" s="16" t="s">
        <v>194</v>
      </c>
      <c r="G308" s="16"/>
      <c r="H308" s="16" t="s">
        <v>278</v>
      </c>
      <c r="I308" s="16" t="s">
        <v>217</v>
      </c>
      <c r="J308" s="16" t="str">
        <f>IF(ISNUMBER(SEARCH("SCRW", H308)), _xlfn.XLOOKUP(C308,dd_item!$A$2:$A$147,dd_item!$B$2:$B$147,"",0),_xlfn.XLOOKUP(H308,dd_item!$A$2:$A$147,dd_item!$B$2:$B$147,"",0))</f>
        <v>Bead25</v>
      </c>
      <c r="K308" s="16" t="str">
        <f>_xlfn.XLOOKUP(A308,dd_design_raw!$C$2:$C$1002,dd_design_raw!$A$2:$A$1002,"",0)</f>
        <v>Slide Slide Door - with Screen</v>
      </c>
      <c r="L308" s="16" t="str">
        <f>_xlfn.XLOOKUP(I308,dd_accsryclr!$A$2:$A$1000,dd_accsryclr!$A$2:$A$1000,"",0)</f>
        <v/>
      </c>
    </row>
    <row r="309" spans="1:12" hidden="1" x14ac:dyDescent="0.25">
      <c r="A309" s="16" t="s">
        <v>78</v>
      </c>
      <c r="B309" s="16" t="s">
        <v>448</v>
      </c>
      <c r="C309" s="16" t="s">
        <v>285</v>
      </c>
      <c r="D309" s="16" t="s">
        <v>286</v>
      </c>
      <c r="E309" s="16">
        <v>2.3227586206896551</v>
      </c>
      <c r="F309" s="16" t="s">
        <v>194</v>
      </c>
      <c r="G309" s="16"/>
      <c r="H309" s="16" t="s">
        <v>278</v>
      </c>
      <c r="I309" s="16" t="s">
        <v>226</v>
      </c>
      <c r="J309" s="16" t="str">
        <f>IF(ISNUMBER(SEARCH("SCRW", H309)), _xlfn.XLOOKUP(C309,dd_item!$A$2:$A$147,dd_item!$B$2:$B$147,"",0),_xlfn.XLOOKUP(H309,dd_item!$A$2:$A$147,dd_item!$B$2:$B$147,"",0))</f>
        <v>Bead25</v>
      </c>
      <c r="K309" s="16" t="str">
        <f>_xlfn.XLOOKUP(A309,dd_design_raw!$C$2:$C$1002,dd_design_raw!$A$2:$A$1002,"",0)</f>
        <v>Slide Slide Door - with Screen</v>
      </c>
      <c r="L309" s="16" t="str">
        <f>_xlfn.XLOOKUP(I309,dd_accsryclr!$A$2:$A$1000,dd_accsryclr!$A$2:$A$1000,"",0)</f>
        <v/>
      </c>
    </row>
    <row r="310" spans="1:12" hidden="1" x14ac:dyDescent="0.25">
      <c r="A310" s="16" t="s">
        <v>78</v>
      </c>
      <c r="B310" s="16" t="s">
        <v>448</v>
      </c>
      <c r="C310" s="16" t="s">
        <v>287</v>
      </c>
      <c r="D310" s="16" t="s">
        <v>288</v>
      </c>
      <c r="E310" s="16">
        <v>2.3227586206896551</v>
      </c>
      <c r="F310" s="16" t="s">
        <v>194</v>
      </c>
      <c r="G310" s="16"/>
      <c r="H310" s="16" t="s">
        <v>278</v>
      </c>
      <c r="I310" s="16" t="s">
        <v>220</v>
      </c>
      <c r="J310" s="16" t="str">
        <f>IF(ISNUMBER(SEARCH("SCRW", H310)), _xlfn.XLOOKUP(C310,dd_item!$A$2:$A$147,dd_item!$B$2:$B$147,"",0),_xlfn.XLOOKUP(H310,dd_item!$A$2:$A$147,dd_item!$B$2:$B$147,"",0))</f>
        <v>Bead25</v>
      </c>
      <c r="K310" s="16" t="str">
        <f>_xlfn.XLOOKUP(A310,dd_design_raw!$C$2:$C$1002,dd_design_raw!$A$2:$A$1002,"",0)</f>
        <v>Slide Slide Door - with Screen</v>
      </c>
      <c r="L310" s="16" t="str">
        <f>_xlfn.XLOOKUP(I310,dd_accsryclr!$A$2:$A$1000,dd_accsryclr!$A$2:$A$1000,"",0)</f>
        <v>WHT</v>
      </c>
    </row>
    <row r="311" spans="1:12" hidden="1" x14ac:dyDescent="0.25">
      <c r="A311" s="16" t="s">
        <v>78</v>
      </c>
      <c r="B311" s="16" t="s">
        <v>448</v>
      </c>
      <c r="C311" s="16" t="s">
        <v>289</v>
      </c>
      <c r="D311" s="16" t="s">
        <v>290</v>
      </c>
      <c r="E311" s="16">
        <v>2.3227586206896551</v>
      </c>
      <c r="F311" s="16" t="s">
        <v>194</v>
      </c>
      <c r="G311" s="16"/>
      <c r="H311" s="16" t="s">
        <v>278</v>
      </c>
      <c r="I311" s="16" t="s">
        <v>230</v>
      </c>
      <c r="J311" s="16" t="str">
        <f>IF(ISNUMBER(SEARCH("SCRW", H311)), _xlfn.XLOOKUP(C311,dd_item!$A$2:$A$147,dd_item!$B$2:$B$147,"",0),_xlfn.XLOOKUP(H311,dd_item!$A$2:$A$147,dd_item!$B$2:$B$147,"",0))</f>
        <v>Bead25</v>
      </c>
      <c r="K311" s="16" t="str">
        <f>_xlfn.XLOOKUP(A311,dd_design_raw!$C$2:$C$1002,dd_design_raw!$A$2:$A$1002,"",0)</f>
        <v>Slide Slide Door - with Screen</v>
      </c>
      <c r="L311" s="16" t="str">
        <f>_xlfn.XLOOKUP(I311,dd_accsryclr!$A$2:$A$1000,dd_accsryclr!$A$2:$A$1000,"",0)</f>
        <v>BRWN</v>
      </c>
    </row>
    <row r="312" spans="1:12" hidden="1" x14ac:dyDescent="0.25">
      <c r="A312" s="16" t="s">
        <v>78</v>
      </c>
      <c r="B312" s="16" t="s">
        <v>448</v>
      </c>
      <c r="C312" s="16" t="s">
        <v>349</v>
      </c>
      <c r="D312" s="16" t="s">
        <v>350</v>
      </c>
      <c r="E312" s="16">
        <v>1.1613793103448276</v>
      </c>
      <c r="F312" s="16" t="s">
        <v>194</v>
      </c>
      <c r="G312" s="16"/>
      <c r="H312" s="16" t="s">
        <v>351</v>
      </c>
      <c r="I312" s="16" t="s">
        <v>211</v>
      </c>
      <c r="J312" s="16" t="str">
        <f>IF(ISNUMBER(SEARCH("SCRW", H312)), _xlfn.XLOOKUP(C312,dd_item!$A$2:$A$147,dd_item!$B$2:$B$147,"",0),_xlfn.XLOOKUP(H312,dd_item!$A$2:$A$147,dd_item!$B$2:$B$147,"",0))</f>
        <v>Bead34</v>
      </c>
      <c r="K312" s="16" t="str">
        <f>_xlfn.XLOOKUP(A312,dd_design_raw!$C$2:$C$1002,dd_design_raw!$A$2:$A$1002,"",0)</f>
        <v>Slide Slide Door - with Screen</v>
      </c>
      <c r="L312" s="16" t="str">
        <f>_xlfn.XLOOKUP(I312,dd_accsryclr!$A$2:$A$1000,dd_accsryclr!$A$2:$A$1000,"",0)</f>
        <v/>
      </c>
    </row>
    <row r="313" spans="1:12" hidden="1" x14ac:dyDescent="0.25">
      <c r="A313" s="16" t="s">
        <v>78</v>
      </c>
      <c r="B313" s="16" t="s">
        <v>448</v>
      </c>
      <c r="C313" s="16" t="s">
        <v>352</v>
      </c>
      <c r="D313" s="16" t="s">
        <v>353</v>
      </c>
      <c r="E313" s="16">
        <v>1.1613793103448276</v>
      </c>
      <c r="F313" s="16" t="s">
        <v>194</v>
      </c>
      <c r="G313" s="16"/>
      <c r="H313" s="16" t="s">
        <v>351</v>
      </c>
      <c r="I313" s="16" t="s">
        <v>214</v>
      </c>
      <c r="J313" s="16" t="str">
        <f>IF(ISNUMBER(SEARCH("SCRW", H313)), _xlfn.XLOOKUP(C313,dd_item!$A$2:$A$147,dd_item!$B$2:$B$147,"",0),_xlfn.XLOOKUP(H313,dd_item!$A$2:$A$147,dd_item!$B$2:$B$147,"",0))</f>
        <v>Bead34</v>
      </c>
      <c r="K313" s="16" t="str">
        <f>_xlfn.XLOOKUP(A313,dd_design_raw!$C$2:$C$1002,dd_design_raw!$A$2:$A$1002,"",0)</f>
        <v>Slide Slide Door - with Screen</v>
      </c>
      <c r="L313" s="16" t="str">
        <f>_xlfn.XLOOKUP(I313,dd_accsryclr!$A$2:$A$1000,dd_accsryclr!$A$2:$A$1000,"",0)</f>
        <v/>
      </c>
    </row>
    <row r="314" spans="1:12" hidden="1" x14ac:dyDescent="0.25">
      <c r="A314" s="16" t="s">
        <v>78</v>
      </c>
      <c r="B314" s="16" t="s">
        <v>448</v>
      </c>
      <c r="C314" s="16" t="s">
        <v>354</v>
      </c>
      <c r="D314" s="16" t="s">
        <v>355</v>
      </c>
      <c r="E314" s="16">
        <v>1.1613793103448276</v>
      </c>
      <c r="F314" s="16" t="s">
        <v>194</v>
      </c>
      <c r="G314" s="16"/>
      <c r="H314" s="16" t="s">
        <v>351</v>
      </c>
      <c r="I314" s="16" t="s">
        <v>217</v>
      </c>
      <c r="J314" s="16" t="str">
        <f>IF(ISNUMBER(SEARCH("SCRW", H314)), _xlfn.XLOOKUP(C314,dd_item!$A$2:$A$147,dd_item!$B$2:$B$147,"",0),_xlfn.XLOOKUP(H314,dd_item!$A$2:$A$147,dd_item!$B$2:$B$147,"",0))</f>
        <v>Bead34</v>
      </c>
      <c r="K314" s="16" t="str">
        <f>_xlfn.XLOOKUP(A314,dd_design_raw!$C$2:$C$1002,dd_design_raw!$A$2:$A$1002,"",0)</f>
        <v>Slide Slide Door - with Screen</v>
      </c>
      <c r="L314" s="16" t="str">
        <f>_xlfn.XLOOKUP(I314,dd_accsryclr!$A$2:$A$1000,dd_accsryclr!$A$2:$A$1000,"",0)</f>
        <v/>
      </c>
    </row>
    <row r="315" spans="1:12" hidden="1" x14ac:dyDescent="0.25">
      <c r="A315" s="16" t="s">
        <v>78</v>
      </c>
      <c r="B315" s="16" t="s">
        <v>448</v>
      </c>
      <c r="C315" s="16" t="s">
        <v>356</v>
      </c>
      <c r="D315" s="16" t="s">
        <v>357</v>
      </c>
      <c r="E315" s="16">
        <v>1.1613793103448276</v>
      </c>
      <c r="F315" s="16" t="s">
        <v>194</v>
      </c>
      <c r="G315" s="16"/>
      <c r="H315" s="16" t="s">
        <v>351</v>
      </c>
      <c r="I315" s="16" t="s">
        <v>226</v>
      </c>
      <c r="J315" s="16" t="str">
        <f>IF(ISNUMBER(SEARCH("SCRW", H315)), _xlfn.XLOOKUP(C315,dd_item!$A$2:$A$147,dd_item!$B$2:$B$147,"",0),_xlfn.XLOOKUP(H315,dd_item!$A$2:$A$147,dd_item!$B$2:$B$147,"",0))</f>
        <v>Bead34</v>
      </c>
      <c r="K315" s="16" t="str">
        <f>_xlfn.XLOOKUP(A315,dd_design_raw!$C$2:$C$1002,dd_design_raw!$A$2:$A$1002,"",0)</f>
        <v>Slide Slide Door - with Screen</v>
      </c>
      <c r="L315" s="16" t="str">
        <f>_xlfn.XLOOKUP(I315,dd_accsryclr!$A$2:$A$1000,dd_accsryclr!$A$2:$A$1000,"",0)</f>
        <v/>
      </c>
    </row>
    <row r="316" spans="1:12" hidden="1" x14ac:dyDescent="0.25">
      <c r="A316" s="16" t="s">
        <v>78</v>
      </c>
      <c r="B316" s="16" t="s">
        <v>448</v>
      </c>
      <c r="C316" s="16" t="s">
        <v>358</v>
      </c>
      <c r="D316" s="16" t="s">
        <v>359</v>
      </c>
      <c r="E316" s="16">
        <v>1.1613793103448276</v>
      </c>
      <c r="F316" s="16" t="s">
        <v>194</v>
      </c>
      <c r="G316" s="16"/>
      <c r="H316" s="16" t="s">
        <v>351</v>
      </c>
      <c r="I316" s="16" t="s">
        <v>220</v>
      </c>
      <c r="J316" s="16" t="str">
        <f>IF(ISNUMBER(SEARCH("SCRW", H316)), _xlfn.XLOOKUP(C316,dd_item!$A$2:$A$147,dd_item!$B$2:$B$147,"",0),_xlfn.XLOOKUP(H316,dd_item!$A$2:$A$147,dd_item!$B$2:$B$147,"",0))</f>
        <v>Bead34</v>
      </c>
      <c r="K316" s="16" t="str">
        <f>_xlfn.XLOOKUP(A316,dd_design_raw!$C$2:$C$1002,dd_design_raw!$A$2:$A$1002,"",0)</f>
        <v>Slide Slide Door - with Screen</v>
      </c>
      <c r="L316" s="16" t="str">
        <f>_xlfn.XLOOKUP(I316,dd_accsryclr!$A$2:$A$1000,dd_accsryclr!$A$2:$A$1000,"",0)</f>
        <v>WHT</v>
      </c>
    </row>
    <row r="317" spans="1:12" hidden="1" x14ac:dyDescent="0.25">
      <c r="A317" s="16" t="s">
        <v>78</v>
      </c>
      <c r="B317" s="16" t="s">
        <v>448</v>
      </c>
      <c r="C317" s="16" t="s">
        <v>360</v>
      </c>
      <c r="D317" s="16" t="s">
        <v>361</v>
      </c>
      <c r="E317" s="16">
        <v>1.1613793103448276</v>
      </c>
      <c r="F317" s="16" t="s">
        <v>194</v>
      </c>
      <c r="G317" s="16"/>
      <c r="H317" s="16" t="s">
        <v>351</v>
      </c>
      <c r="I317" s="16" t="s">
        <v>223</v>
      </c>
      <c r="J317" s="16" t="str">
        <f>IF(ISNUMBER(SEARCH("SCRW", H317)), _xlfn.XLOOKUP(C317,dd_item!$A$2:$A$147,dd_item!$B$2:$B$147,"",0),_xlfn.XLOOKUP(H317,dd_item!$A$2:$A$147,dd_item!$B$2:$B$147,"",0))</f>
        <v>Bead34</v>
      </c>
      <c r="K317" s="16" t="str">
        <f>_xlfn.XLOOKUP(A317,dd_design_raw!$C$2:$C$1002,dd_design_raw!$A$2:$A$1002,"",0)</f>
        <v>Slide Slide Door - with Screen</v>
      </c>
      <c r="L317" s="16" t="str">
        <f>_xlfn.XLOOKUP(I317,dd_accsryclr!$A$2:$A$1000,dd_accsryclr!$A$2:$A$1000,"",0)</f>
        <v>BLK</v>
      </c>
    </row>
    <row r="318" spans="1:12" hidden="1" x14ac:dyDescent="0.25">
      <c r="A318" s="16" t="s">
        <v>78</v>
      </c>
      <c r="B318" s="16" t="s">
        <v>448</v>
      </c>
      <c r="C318" s="16" t="s">
        <v>362</v>
      </c>
      <c r="D318" s="16" t="s">
        <v>363</v>
      </c>
      <c r="E318" s="16">
        <v>1.1613793103448276</v>
      </c>
      <c r="F318" s="16" t="s">
        <v>194</v>
      </c>
      <c r="G318" s="16"/>
      <c r="H318" s="16" t="s">
        <v>351</v>
      </c>
      <c r="I318" s="16" t="s">
        <v>230</v>
      </c>
      <c r="J318" s="16" t="str">
        <f>IF(ISNUMBER(SEARCH("SCRW", H318)), _xlfn.XLOOKUP(C318,dd_item!$A$2:$A$147,dd_item!$B$2:$B$147,"",0),_xlfn.XLOOKUP(H318,dd_item!$A$2:$A$147,dd_item!$B$2:$B$147,"",0))</f>
        <v>Bead34</v>
      </c>
      <c r="K318" s="16" t="str">
        <f>_xlfn.XLOOKUP(A318,dd_design_raw!$C$2:$C$1002,dd_design_raw!$A$2:$A$1002,"",0)</f>
        <v>Slide Slide Door - with Screen</v>
      </c>
      <c r="L318" s="16" t="str">
        <f>_xlfn.XLOOKUP(I318,dd_accsryclr!$A$2:$A$1000,dd_accsryclr!$A$2:$A$1000,"",0)</f>
        <v>BRWN</v>
      </c>
    </row>
    <row r="319" spans="1:12" hidden="1" x14ac:dyDescent="0.25">
      <c r="A319" s="16" t="s">
        <v>78</v>
      </c>
      <c r="B319" s="16" t="s">
        <v>448</v>
      </c>
      <c r="C319" s="16" t="s">
        <v>291</v>
      </c>
      <c r="D319" s="16" t="s">
        <v>292</v>
      </c>
      <c r="E319" s="16">
        <v>1</v>
      </c>
      <c r="F319" s="16" t="s">
        <v>293</v>
      </c>
      <c r="G319" s="16"/>
      <c r="H319" s="16" t="s">
        <v>294</v>
      </c>
      <c r="I319" s="16" t="s">
        <v>295</v>
      </c>
      <c r="J319" s="16" t="str">
        <f>IF(ISNUMBER(SEARCH("SCRW", H319)), _xlfn.XLOOKUP(C319,dd_item!$A$2:$A$147,dd_item!$B$2:$B$147,"",0),_xlfn.XLOOKUP(H319,dd_item!$A$2:$A$147,dd_item!$B$2:$B$147,"",0))</f>
        <v>SD Kit Handle</v>
      </c>
      <c r="K319" s="16" t="str">
        <f>_xlfn.XLOOKUP(A319,dd_design_raw!$C$2:$C$1002,dd_design_raw!$A$2:$A$1002,"",0)</f>
        <v>Slide Slide Door - with Screen</v>
      </c>
      <c r="L319" s="16" t="str">
        <f>_xlfn.XLOOKUP(I319,dd_accsryclr!$A$2:$A$1000,dd_accsryclr!$A$2:$A$1000,"",0)</f>
        <v/>
      </c>
    </row>
    <row r="320" spans="1:12" hidden="1" x14ac:dyDescent="0.25">
      <c r="A320" s="16" t="s">
        <v>78</v>
      </c>
      <c r="B320" s="16" t="s">
        <v>448</v>
      </c>
      <c r="C320" s="16" t="s">
        <v>449</v>
      </c>
      <c r="D320" s="16" t="s">
        <v>450</v>
      </c>
      <c r="E320" s="16">
        <v>1</v>
      </c>
      <c r="F320" s="16" t="s">
        <v>293</v>
      </c>
      <c r="G320" s="16"/>
      <c r="H320" s="16" t="s">
        <v>294</v>
      </c>
      <c r="I320" s="16" t="s">
        <v>451</v>
      </c>
      <c r="J320" s="16" t="str">
        <f>IF(ISNUMBER(SEARCH("SCRW", H320)), _xlfn.XLOOKUP(C320,dd_item!$A$2:$A$147,dd_item!$B$2:$B$147,"",0),_xlfn.XLOOKUP(H320,dd_item!$A$2:$A$147,dd_item!$B$2:$B$147,"",0))</f>
        <v>SD Kit Handle</v>
      </c>
      <c r="K320" s="16" t="str">
        <f>_xlfn.XLOOKUP(A320,dd_design_raw!$C$2:$C$1002,dd_design_raw!$A$2:$A$1002,"",0)</f>
        <v>Slide Slide Door - with Screen</v>
      </c>
      <c r="L320" s="16" t="str">
        <f>_xlfn.XLOOKUP(I320,dd_accsryclr!$A$2:$A$1000,dd_accsryclr!$A$2:$A$1000,"",0)</f>
        <v/>
      </c>
    </row>
    <row r="321" spans="1:12" hidden="1" x14ac:dyDescent="0.25">
      <c r="A321" s="16" t="s">
        <v>78</v>
      </c>
      <c r="B321" s="16" t="s">
        <v>448</v>
      </c>
      <c r="C321" s="16" t="s">
        <v>452</v>
      </c>
      <c r="D321" s="16" t="s">
        <v>453</v>
      </c>
      <c r="E321" s="16">
        <v>1</v>
      </c>
      <c r="F321" s="16" t="s">
        <v>293</v>
      </c>
      <c r="G321" s="16"/>
      <c r="H321" s="16" t="s">
        <v>294</v>
      </c>
      <c r="I321" s="16" t="s">
        <v>454</v>
      </c>
      <c r="J321" s="16" t="str">
        <f>IF(ISNUMBER(SEARCH("SCRW", H321)), _xlfn.XLOOKUP(C321,dd_item!$A$2:$A$147,dd_item!$B$2:$B$147,"",0),_xlfn.XLOOKUP(H321,dd_item!$A$2:$A$147,dd_item!$B$2:$B$147,"",0))</f>
        <v>SD Kit Handle</v>
      </c>
      <c r="K321" s="16" t="str">
        <f>_xlfn.XLOOKUP(A321,dd_design_raw!$C$2:$C$1002,dd_design_raw!$A$2:$A$1002,"",0)</f>
        <v>Slide Slide Door - with Screen</v>
      </c>
      <c r="L321" s="16" t="str">
        <f>_xlfn.XLOOKUP(I321,dd_accsryclr!$A$2:$A$1000,dd_accsryclr!$A$2:$A$1000,"",0)</f>
        <v/>
      </c>
    </row>
    <row r="322" spans="1:12" hidden="1" x14ac:dyDescent="0.25">
      <c r="A322" s="16" t="s">
        <v>78</v>
      </c>
      <c r="B322" s="16" t="s">
        <v>448</v>
      </c>
      <c r="C322" s="16" t="s">
        <v>296</v>
      </c>
      <c r="D322" s="16" t="s">
        <v>297</v>
      </c>
      <c r="E322" s="16">
        <v>1</v>
      </c>
      <c r="F322" s="16" t="s">
        <v>293</v>
      </c>
      <c r="G322" s="16"/>
      <c r="H322" s="16" t="s">
        <v>294</v>
      </c>
      <c r="I322" s="16" t="s">
        <v>298</v>
      </c>
      <c r="J322" s="16" t="str">
        <f>IF(ISNUMBER(SEARCH("SCRW", H322)), _xlfn.XLOOKUP(C322,dd_item!$A$2:$A$147,dd_item!$B$2:$B$147,"",0),_xlfn.XLOOKUP(H322,dd_item!$A$2:$A$147,dd_item!$B$2:$B$147,"",0))</f>
        <v>SD Kit Handle</v>
      </c>
      <c r="K322" s="16" t="str">
        <f>_xlfn.XLOOKUP(A322,dd_design_raw!$C$2:$C$1002,dd_design_raw!$A$2:$A$1002,"",0)</f>
        <v>Slide Slide Door - with Screen</v>
      </c>
      <c r="L322" s="16" t="str">
        <f>_xlfn.XLOOKUP(I322,dd_accsryclr!$A$2:$A$1000,dd_accsryclr!$A$2:$A$1000,"",0)</f>
        <v/>
      </c>
    </row>
    <row r="323" spans="1:12" hidden="1" x14ac:dyDescent="0.25">
      <c r="A323" s="16" t="s">
        <v>78</v>
      </c>
      <c r="B323" s="16" t="s">
        <v>448</v>
      </c>
      <c r="C323" s="16" t="s">
        <v>299</v>
      </c>
      <c r="D323" s="16" t="s">
        <v>300</v>
      </c>
      <c r="E323" s="16">
        <v>1</v>
      </c>
      <c r="F323" s="16" t="s">
        <v>293</v>
      </c>
      <c r="G323" s="16"/>
      <c r="H323" s="16" t="s">
        <v>294</v>
      </c>
      <c r="I323" s="16" t="s">
        <v>223</v>
      </c>
      <c r="J323" s="16" t="str">
        <f>IF(ISNUMBER(SEARCH("SCRW", H323)), _xlfn.XLOOKUP(C323,dd_item!$A$2:$A$147,dd_item!$B$2:$B$147,"",0),_xlfn.XLOOKUP(H323,dd_item!$A$2:$A$147,dd_item!$B$2:$B$147,"",0))</f>
        <v>SD Kit Handle</v>
      </c>
      <c r="K323" s="16" t="str">
        <f>_xlfn.XLOOKUP(A323,dd_design_raw!$C$2:$C$1002,dd_design_raw!$A$2:$A$1002,"",0)</f>
        <v>Slide Slide Door - with Screen</v>
      </c>
      <c r="L323" s="16" t="str">
        <f>_xlfn.XLOOKUP(I323,dd_accsryclr!$A$2:$A$1000,dd_accsryclr!$A$2:$A$1000,"",0)</f>
        <v>BLK</v>
      </c>
    </row>
    <row r="324" spans="1:12" hidden="1" x14ac:dyDescent="0.25">
      <c r="A324" s="16" t="s">
        <v>78</v>
      </c>
      <c r="B324" s="16" t="s">
        <v>448</v>
      </c>
      <c r="C324" s="16" t="s">
        <v>301</v>
      </c>
      <c r="D324" s="16" t="s">
        <v>302</v>
      </c>
      <c r="E324" s="16">
        <v>1</v>
      </c>
      <c r="F324" s="16" t="s">
        <v>293</v>
      </c>
      <c r="G324" s="16"/>
      <c r="H324" s="16" t="s">
        <v>294</v>
      </c>
      <c r="I324" s="16" t="s">
        <v>220</v>
      </c>
      <c r="J324" s="16" t="str">
        <f>IF(ISNUMBER(SEARCH("SCRW", H324)), _xlfn.XLOOKUP(C324,dd_item!$A$2:$A$147,dd_item!$B$2:$B$147,"",0),_xlfn.XLOOKUP(H324,dd_item!$A$2:$A$147,dd_item!$B$2:$B$147,"",0))</f>
        <v>SD Kit Handle</v>
      </c>
      <c r="K324" s="16" t="str">
        <f>_xlfn.XLOOKUP(A324,dd_design_raw!$C$2:$C$1002,dd_design_raw!$A$2:$A$1002,"",0)</f>
        <v>Slide Slide Door - with Screen</v>
      </c>
      <c r="L324" s="16" t="str">
        <f>_xlfn.XLOOKUP(I324,dd_accsryclr!$A$2:$A$1000,dd_accsryclr!$A$2:$A$1000,"",0)</f>
        <v>WHT</v>
      </c>
    </row>
    <row r="325" spans="1:12" hidden="1" x14ac:dyDescent="0.25">
      <c r="A325" s="16" t="s">
        <v>78</v>
      </c>
      <c r="B325" s="16" t="s">
        <v>448</v>
      </c>
      <c r="C325" s="16" t="s">
        <v>303</v>
      </c>
      <c r="D325" s="16" t="s">
        <v>304</v>
      </c>
      <c r="E325" s="16">
        <v>4</v>
      </c>
      <c r="F325" s="16" t="s">
        <v>293</v>
      </c>
      <c r="G325" s="16"/>
      <c r="H325" s="16" t="s">
        <v>305</v>
      </c>
      <c r="I325" s="16" t="s">
        <v>455</v>
      </c>
      <c r="J325" s="16" t="str">
        <f>IF(ISNUMBER(SEARCH("SCRW", H325)), _xlfn.XLOOKUP(C325,dd_item!$A$2:$A$147,dd_item!$B$2:$B$147,"",0),_xlfn.XLOOKUP(H325,dd_item!$A$2:$A$147,dd_item!$B$2:$B$147,"",0))</f>
        <v>Rubber Stopper</v>
      </c>
      <c r="K325" s="16" t="str">
        <f>_xlfn.XLOOKUP(A325,dd_design_raw!$C$2:$C$1002,dd_design_raw!$A$2:$A$1002,"",0)</f>
        <v>Slide Slide Door - with Screen</v>
      </c>
      <c r="L325" s="16" t="str">
        <f>_xlfn.XLOOKUP(I325,dd_accsryclr!$A$2:$A$1000,dd_accsryclr!$A$2:$A$1000,"",0)</f>
        <v/>
      </c>
    </row>
    <row r="326" spans="1:12" hidden="1" x14ac:dyDescent="0.25">
      <c r="A326" s="16" t="s">
        <v>78</v>
      </c>
      <c r="B326" s="16" t="s">
        <v>448</v>
      </c>
      <c r="C326" s="16" t="s">
        <v>306</v>
      </c>
      <c r="D326" s="16" t="s">
        <v>307</v>
      </c>
      <c r="E326" s="16">
        <v>2</v>
      </c>
      <c r="F326" s="16" t="s">
        <v>293</v>
      </c>
      <c r="G326" s="16"/>
      <c r="H326" s="16" t="s">
        <v>308</v>
      </c>
      <c r="I326" s="16" t="s">
        <v>230</v>
      </c>
      <c r="J326" s="16" t="str">
        <f>IF(ISNUMBER(SEARCH("SCRW", H326)), _xlfn.XLOOKUP(C326,dd_item!$A$2:$A$147,dd_item!$B$2:$B$147,"",0),_xlfn.XLOOKUP(H326,dd_item!$A$2:$A$147,dd_item!$B$2:$B$147,"",0))</f>
        <v>Track Bridge</v>
      </c>
      <c r="K326" s="16" t="str">
        <f>_xlfn.XLOOKUP(A326,dd_design_raw!$C$2:$C$1002,dd_design_raw!$A$2:$A$1002,"",0)</f>
        <v>Slide Slide Door - with Screen</v>
      </c>
      <c r="L326" s="16" t="str">
        <f>_xlfn.XLOOKUP(I326,dd_accsryclr!$A$2:$A$1000,dd_accsryclr!$A$2:$A$1000,"",0)</f>
        <v>BRWN</v>
      </c>
    </row>
    <row r="327" spans="1:12" hidden="1" x14ac:dyDescent="0.25">
      <c r="A327" s="16" t="s">
        <v>78</v>
      </c>
      <c r="B327" s="16" t="s">
        <v>448</v>
      </c>
      <c r="C327" s="16" t="s">
        <v>309</v>
      </c>
      <c r="D327" s="16" t="s">
        <v>310</v>
      </c>
      <c r="E327" s="16">
        <v>2</v>
      </c>
      <c r="F327" s="16" t="s">
        <v>293</v>
      </c>
      <c r="G327" s="16"/>
      <c r="H327" s="16" t="s">
        <v>308</v>
      </c>
      <c r="I327" s="16" t="s">
        <v>220</v>
      </c>
      <c r="J327" s="16" t="str">
        <f>IF(ISNUMBER(SEARCH("SCRW", H327)), _xlfn.XLOOKUP(C327,dd_item!$A$2:$A$147,dd_item!$B$2:$B$147,"",0),_xlfn.XLOOKUP(H327,dd_item!$A$2:$A$147,dd_item!$B$2:$B$147,"",0))</f>
        <v>Track Bridge</v>
      </c>
      <c r="K327" s="16" t="str">
        <f>_xlfn.XLOOKUP(A327,dd_design_raw!$C$2:$C$1002,dd_design_raw!$A$2:$A$1002,"",0)</f>
        <v>Slide Slide Door - with Screen</v>
      </c>
      <c r="L327" s="16" t="str">
        <f>_xlfn.XLOOKUP(I327,dd_accsryclr!$A$2:$A$1000,dd_accsryclr!$A$2:$A$1000,"",0)</f>
        <v>WHT</v>
      </c>
    </row>
    <row r="328" spans="1:12" hidden="1" x14ac:dyDescent="0.25">
      <c r="A328" s="16" t="s">
        <v>78</v>
      </c>
      <c r="B328" s="16" t="s">
        <v>448</v>
      </c>
      <c r="C328" s="16" t="s">
        <v>311</v>
      </c>
      <c r="D328" s="16" t="s">
        <v>312</v>
      </c>
      <c r="E328" s="16">
        <v>4</v>
      </c>
      <c r="F328" s="16" t="s">
        <v>293</v>
      </c>
      <c r="G328" s="16"/>
      <c r="H328" s="16" t="s">
        <v>313</v>
      </c>
      <c r="I328" s="16"/>
      <c r="J328" s="16" t="str">
        <f>IF(ISNUMBER(SEARCH("SCRW", H328)), _xlfn.XLOOKUP(C328,dd_item!$A$2:$A$147,dd_item!$B$2:$B$147,"",0),_xlfn.XLOOKUP(H328,dd_item!$A$2:$A$147,dd_item!$B$2:$B$147,"",0))</f>
        <v>Roller for Door</v>
      </c>
      <c r="K328" s="16" t="str">
        <f>_xlfn.XLOOKUP(A328,dd_design_raw!$C$2:$C$1002,dd_design_raw!$A$2:$A$1002,"",0)</f>
        <v>Slide Slide Door - with Screen</v>
      </c>
      <c r="L328" s="16" t="str">
        <f>_xlfn.XLOOKUP(I328,dd_accsryclr!$A$2:$A$1000,dd_accsryclr!$A$2:$A$1000,"",0)</f>
        <v/>
      </c>
    </row>
    <row r="329" spans="1:12" hidden="1" x14ac:dyDescent="0.25">
      <c r="A329" s="16" t="s">
        <v>78</v>
      </c>
      <c r="B329" s="16" t="s">
        <v>448</v>
      </c>
      <c r="C329" s="16" t="s">
        <v>314</v>
      </c>
      <c r="D329" s="16" t="s">
        <v>315</v>
      </c>
      <c r="E329" s="16">
        <v>4</v>
      </c>
      <c r="F329" s="16" t="s">
        <v>293</v>
      </c>
      <c r="G329" s="16"/>
      <c r="H329" s="16" t="s">
        <v>313</v>
      </c>
      <c r="I329" s="16"/>
      <c r="J329" s="16" t="str">
        <f>IF(ISNUMBER(SEARCH("SCRW", H329)), _xlfn.XLOOKUP(C329,dd_item!$A$2:$A$147,dd_item!$B$2:$B$147,"",0),_xlfn.XLOOKUP(H329,dd_item!$A$2:$A$147,dd_item!$B$2:$B$147,"",0))</f>
        <v>Roller for Door</v>
      </c>
      <c r="K329" s="16" t="str">
        <f>_xlfn.XLOOKUP(A329,dd_design_raw!$C$2:$C$1002,dd_design_raw!$A$2:$A$1002,"",0)</f>
        <v>Slide Slide Door - with Screen</v>
      </c>
      <c r="L329" s="16" t="str">
        <f>_xlfn.XLOOKUP(I329,dd_accsryclr!$A$2:$A$1000,dd_accsryclr!$A$2:$A$1000,"",0)</f>
        <v/>
      </c>
    </row>
    <row r="330" spans="1:12" hidden="1" x14ac:dyDescent="0.25">
      <c r="A330" s="16" t="s">
        <v>78</v>
      </c>
      <c r="B330" s="16" t="s">
        <v>448</v>
      </c>
      <c r="C330" s="16" t="s">
        <v>456</v>
      </c>
      <c r="D330" s="16" t="s">
        <v>457</v>
      </c>
      <c r="E330" s="16">
        <v>1</v>
      </c>
      <c r="F330" s="16" t="s">
        <v>293</v>
      </c>
      <c r="G330" s="16"/>
      <c r="H330" s="16" t="s">
        <v>458</v>
      </c>
      <c r="I330" s="16" t="s">
        <v>223</v>
      </c>
      <c r="J330" s="16" t="str">
        <f>IF(ISNUMBER(SEARCH("SCRW", H330)), _xlfn.XLOOKUP(C330,dd_item!$A$2:$A$147,dd_item!$B$2:$B$147,"",0),_xlfn.XLOOKUP(H330,dd_item!$A$2:$A$147,dd_item!$B$2:$B$147,"",0))</f>
        <v>SD Kit Outside Pull Handle (Roto)</v>
      </c>
      <c r="K330" s="16" t="str">
        <f>_xlfn.XLOOKUP(A330,dd_design_raw!$C$2:$C$1002,dd_design_raw!$A$2:$A$1002,"",0)</f>
        <v>Slide Slide Door - with Screen</v>
      </c>
      <c r="L330" s="16" t="str">
        <f>_xlfn.XLOOKUP(I330,dd_accsryclr!$A$2:$A$1000,dd_accsryclr!$A$2:$A$1000,"",0)</f>
        <v>BLK</v>
      </c>
    </row>
    <row r="331" spans="1:12" hidden="1" x14ac:dyDescent="0.25">
      <c r="A331" s="16" t="s">
        <v>78</v>
      </c>
      <c r="B331" s="16" t="s">
        <v>448</v>
      </c>
      <c r="C331" s="16" t="s">
        <v>459</v>
      </c>
      <c r="D331" s="16" t="s">
        <v>460</v>
      </c>
      <c r="E331" s="16">
        <v>1</v>
      </c>
      <c r="F331" s="16" t="s">
        <v>293</v>
      </c>
      <c r="G331" s="16"/>
      <c r="H331" s="16" t="s">
        <v>458</v>
      </c>
      <c r="I331" s="16" t="s">
        <v>220</v>
      </c>
      <c r="J331" s="16" t="str">
        <f>IF(ISNUMBER(SEARCH("SCRW", H331)), _xlfn.XLOOKUP(C331,dd_item!$A$2:$A$147,dd_item!$B$2:$B$147,"",0),_xlfn.XLOOKUP(H331,dd_item!$A$2:$A$147,dd_item!$B$2:$B$147,"",0))</f>
        <v>SD Kit Outside Pull Handle (Roto)</v>
      </c>
      <c r="K331" s="16" t="str">
        <f>_xlfn.XLOOKUP(A331,dd_design_raw!$C$2:$C$1002,dd_design_raw!$A$2:$A$1002,"",0)</f>
        <v>Slide Slide Door - with Screen</v>
      </c>
      <c r="L331" s="16" t="str">
        <f>_xlfn.XLOOKUP(I331,dd_accsryclr!$A$2:$A$1000,dd_accsryclr!$A$2:$A$1000,"",0)</f>
        <v>WHT</v>
      </c>
    </row>
    <row r="332" spans="1:12" hidden="1" x14ac:dyDescent="0.25">
      <c r="A332" s="16" t="s">
        <v>78</v>
      </c>
      <c r="B332" s="16" t="s">
        <v>448</v>
      </c>
      <c r="C332" s="16" t="s">
        <v>461</v>
      </c>
      <c r="D332" s="16" t="s">
        <v>462</v>
      </c>
      <c r="E332" s="16">
        <v>1</v>
      </c>
      <c r="F332" s="16" t="s">
        <v>293</v>
      </c>
      <c r="G332" s="16"/>
      <c r="H332" s="16" t="s">
        <v>463</v>
      </c>
      <c r="I332" s="16" t="s">
        <v>223</v>
      </c>
      <c r="J332" s="16" t="str">
        <f>IF(ISNUMBER(SEARCH("SCRW", H332)), _xlfn.XLOOKUP(C332,dd_item!$A$2:$A$147,dd_item!$B$2:$B$147,"",0),_xlfn.XLOOKUP(H332,dd_item!$A$2:$A$147,dd_item!$B$2:$B$147,"",0))</f>
        <v>Roto Pop-up Handle</v>
      </c>
      <c r="K332" s="16" t="str">
        <f>_xlfn.XLOOKUP(A332,dd_design_raw!$C$2:$C$1002,dd_design_raw!$A$2:$A$1002,"",0)</f>
        <v>Slide Slide Door - with Screen</v>
      </c>
      <c r="L332" s="16" t="str">
        <f>_xlfn.XLOOKUP(I332,dd_accsryclr!$A$2:$A$1000,dd_accsryclr!$A$2:$A$1000,"",0)</f>
        <v>BLK</v>
      </c>
    </row>
    <row r="333" spans="1:12" hidden="1" x14ac:dyDescent="0.25">
      <c r="A333" s="16" t="s">
        <v>78</v>
      </c>
      <c r="B333" s="16" t="s">
        <v>448</v>
      </c>
      <c r="C333" s="16" t="s">
        <v>464</v>
      </c>
      <c r="D333" s="16" t="s">
        <v>465</v>
      </c>
      <c r="E333" s="16">
        <v>1</v>
      </c>
      <c r="F333" s="16" t="s">
        <v>293</v>
      </c>
      <c r="G333" s="16"/>
      <c r="H333" s="16" t="s">
        <v>463</v>
      </c>
      <c r="I333" s="16" t="s">
        <v>220</v>
      </c>
      <c r="J333" s="16" t="str">
        <f>IF(ISNUMBER(SEARCH("SCRW", H333)), _xlfn.XLOOKUP(C333,dd_item!$A$2:$A$147,dd_item!$B$2:$B$147,"",0),_xlfn.XLOOKUP(H333,dd_item!$A$2:$A$147,dd_item!$B$2:$B$147,"",0))</f>
        <v>Roto Pop-up Handle</v>
      </c>
      <c r="K333" s="16" t="str">
        <f>_xlfn.XLOOKUP(A333,dd_design_raw!$C$2:$C$1002,dd_design_raw!$A$2:$A$1002,"",0)</f>
        <v>Slide Slide Door - with Screen</v>
      </c>
      <c r="L333" s="16" t="str">
        <f>_xlfn.XLOOKUP(I333,dd_accsryclr!$A$2:$A$1000,dd_accsryclr!$A$2:$A$1000,"",0)</f>
        <v>WHT</v>
      </c>
    </row>
    <row r="334" spans="1:12" hidden="1" x14ac:dyDescent="0.25">
      <c r="A334" s="16" t="s">
        <v>78</v>
      </c>
      <c r="B334" s="16" t="s">
        <v>448</v>
      </c>
      <c r="C334" s="16" t="s">
        <v>316</v>
      </c>
      <c r="D334" s="16" t="s">
        <v>317</v>
      </c>
      <c r="E334" s="16">
        <v>2</v>
      </c>
      <c r="F334" s="16" t="s">
        <v>293</v>
      </c>
      <c r="G334" s="16"/>
      <c r="H334" s="16" t="s">
        <v>318</v>
      </c>
      <c r="I334" s="16"/>
      <c r="J334" s="16" t="str">
        <f>IF(ISNUMBER(SEARCH("SCRW", H334)), _xlfn.XLOOKUP(C334,dd_item!$A$2:$A$147,dd_item!$B$2:$B$147,"",0),_xlfn.XLOOKUP(H334,dd_item!$A$2:$A$147,dd_item!$B$2:$B$147,"",0))</f>
        <v>Roller for Screen Door</v>
      </c>
      <c r="K334" s="16" t="str">
        <f>_xlfn.XLOOKUP(A334,dd_design_raw!$C$2:$C$1002,dd_design_raw!$A$2:$A$1002,"",0)</f>
        <v>Slide Slide Door - with Screen</v>
      </c>
      <c r="L334" s="16" t="str">
        <f>_xlfn.XLOOKUP(I334,dd_accsryclr!$A$2:$A$1000,dd_accsryclr!$A$2:$A$1000,"",0)</f>
        <v/>
      </c>
    </row>
    <row r="335" spans="1:12" hidden="1" x14ac:dyDescent="0.25">
      <c r="A335" s="16" t="s">
        <v>78</v>
      </c>
      <c r="B335" s="16" t="s">
        <v>448</v>
      </c>
      <c r="C335" s="16" t="s">
        <v>334</v>
      </c>
      <c r="D335" s="16" t="s">
        <v>335</v>
      </c>
      <c r="E335" s="16">
        <v>2.3227586206896551</v>
      </c>
      <c r="F335" s="16" t="s">
        <v>194</v>
      </c>
      <c r="G335" s="16"/>
      <c r="H335" s="16" t="s">
        <v>336</v>
      </c>
      <c r="I335" s="16" t="s">
        <v>211</v>
      </c>
      <c r="J335" s="16" t="str">
        <f>IF(ISNUMBER(SEARCH("SCRW", H335)), _xlfn.XLOOKUP(C335,dd_item!$A$2:$A$147,dd_item!$B$2:$B$147,"",0),_xlfn.XLOOKUP(H335,dd_item!$A$2:$A$147,dd_item!$B$2:$B$147,"",0))</f>
        <v>Interlocker50</v>
      </c>
      <c r="K335" s="16" t="str">
        <f>_xlfn.XLOOKUP(A335,dd_design_raw!$C$2:$C$1002,dd_design_raw!$A$2:$A$1002,"",0)</f>
        <v>Slide Slide Door - with Screen</v>
      </c>
      <c r="L335" s="16" t="str">
        <f>_xlfn.XLOOKUP(I335,dd_accsryclr!$A$2:$A$1000,dd_accsryclr!$A$2:$A$1000,"",0)</f>
        <v/>
      </c>
    </row>
    <row r="336" spans="1:12" hidden="1" x14ac:dyDescent="0.25">
      <c r="A336" s="16" t="s">
        <v>78</v>
      </c>
      <c r="B336" s="16" t="s">
        <v>448</v>
      </c>
      <c r="C336" s="16" t="s">
        <v>337</v>
      </c>
      <c r="D336" s="16" t="s">
        <v>338</v>
      </c>
      <c r="E336" s="16">
        <v>2.3227586206896551</v>
      </c>
      <c r="F336" s="16" t="s">
        <v>194</v>
      </c>
      <c r="G336" s="16"/>
      <c r="H336" s="16" t="s">
        <v>336</v>
      </c>
      <c r="I336" s="16" t="s">
        <v>214</v>
      </c>
      <c r="J336" s="16" t="str">
        <f>IF(ISNUMBER(SEARCH("SCRW", H336)), _xlfn.XLOOKUP(C336,dd_item!$A$2:$A$147,dd_item!$B$2:$B$147,"",0),_xlfn.XLOOKUP(H336,dd_item!$A$2:$A$147,dd_item!$B$2:$B$147,"",0))</f>
        <v>Interlocker50</v>
      </c>
      <c r="K336" s="16" t="str">
        <f>_xlfn.XLOOKUP(A336,dd_design_raw!$C$2:$C$1002,dd_design_raw!$A$2:$A$1002,"",0)</f>
        <v>Slide Slide Door - with Screen</v>
      </c>
      <c r="L336" s="16" t="str">
        <f>_xlfn.XLOOKUP(I336,dd_accsryclr!$A$2:$A$1000,dd_accsryclr!$A$2:$A$1000,"",0)</f>
        <v/>
      </c>
    </row>
    <row r="337" spans="1:12" hidden="1" x14ac:dyDescent="0.25">
      <c r="A337" s="16" t="s">
        <v>78</v>
      </c>
      <c r="B337" s="16" t="s">
        <v>448</v>
      </c>
      <c r="C337" s="16" t="s">
        <v>339</v>
      </c>
      <c r="D337" s="16" t="s">
        <v>340</v>
      </c>
      <c r="E337" s="16">
        <v>2.3227586206896551</v>
      </c>
      <c r="F337" s="16" t="s">
        <v>194</v>
      </c>
      <c r="G337" s="16"/>
      <c r="H337" s="16" t="s">
        <v>336</v>
      </c>
      <c r="I337" s="16" t="s">
        <v>217</v>
      </c>
      <c r="J337" s="16" t="str">
        <f>IF(ISNUMBER(SEARCH("SCRW", H337)), _xlfn.XLOOKUP(C337,dd_item!$A$2:$A$147,dd_item!$B$2:$B$147,"",0),_xlfn.XLOOKUP(H337,dd_item!$A$2:$A$147,dd_item!$B$2:$B$147,"",0))</f>
        <v>Interlocker50</v>
      </c>
      <c r="K337" s="16" t="str">
        <f>_xlfn.XLOOKUP(A337,dd_design_raw!$C$2:$C$1002,dd_design_raw!$A$2:$A$1002,"",0)</f>
        <v>Slide Slide Door - with Screen</v>
      </c>
      <c r="L337" s="16" t="str">
        <f>_xlfn.XLOOKUP(I337,dd_accsryclr!$A$2:$A$1000,dd_accsryclr!$A$2:$A$1000,"",0)</f>
        <v/>
      </c>
    </row>
    <row r="338" spans="1:12" hidden="1" x14ac:dyDescent="0.25">
      <c r="A338" s="16" t="s">
        <v>78</v>
      </c>
      <c r="B338" s="16" t="s">
        <v>448</v>
      </c>
      <c r="C338" s="16" t="s">
        <v>341</v>
      </c>
      <c r="D338" s="16" t="s">
        <v>342</v>
      </c>
      <c r="E338" s="16">
        <v>2.3227586206896551</v>
      </c>
      <c r="F338" s="16" t="s">
        <v>194</v>
      </c>
      <c r="G338" s="16"/>
      <c r="H338" s="16" t="s">
        <v>336</v>
      </c>
      <c r="I338" s="16" t="s">
        <v>226</v>
      </c>
      <c r="J338" s="16" t="str">
        <f>IF(ISNUMBER(SEARCH("SCRW", H338)), _xlfn.XLOOKUP(C338,dd_item!$A$2:$A$147,dd_item!$B$2:$B$147,"",0),_xlfn.XLOOKUP(H338,dd_item!$A$2:$A$147,dd_item!$B$2:$B$147,"",0))</f>
        <v>Interlocker50</v>
      </c>
      <c r="K338" s="16" t="str">
        <f>_xlfn.XLOOKUP(A338,dd_design_raw!$C$2:$C$1002,dd_design_raw!$A$2:$A$1002,"",0)</f>
        <v>Slide Slide Door - with Screen</v>
      </c>
      <c r="L338" s="16" t="str">
        <f>_xlfn.XLOOKUP(I338,dd_accsryclr!$A$2:$A$1000,dd_accsryclr!$A$2:$A$1000,"",0)</f>
        <v/>
      </c>
    </row>
    <row r="339" spans="1:12" hidden="1" x14ac:dyDescent="0.25">
      <c r="A339" s="16" t="s">
        <v>78</v>
      </c>
      <c r="B339" s="16" t="s">
        <v>448</v>
      </c>
      <c r="C339" s="16" t="s">
        <v>343</v>
      </c>
      <c r="D339" s="16" t="s">
        <v>344</v>
      </c>
      <c r="E339" s="16">
        <v>2.3227586206896551</v>
      </c>
      <c r="F339" s="16" t="s">
        <v>194</v>
      </c>
      <c r="G339" s="16"/>
      <c r="H339" s="16" t="s">
        <v>336</v>
      </c>
      <c r="I339" s="16" t="s">
        <v>220</v>
      </c>
      <c r="J339" s="16" t="str">
        <f>IF(ISNUMBER(SEARCH("SCRW", H339)), _xlfn.XLOOKUP(C339,dd_item!$A$2:$A$147,dd_item!$B$2:$B$147,"",0),_xlfn.XLOOKUP(H339,dd_item!$A$2:$A$147,dd_item!$B$2:$B$147,"",0))</f>
        <v>Interlocker50</v>
      </c>
      <c r="K339" s="16" t="str">
        <f>_xlfn.XLOOKUP(A339,dd_design_raw!$C$2:$C$1002,dd_design_raw!$A$2:$A$1002,"",0)</f>
        <v>Slide Slide Door - with Screen</v>
      </c>
      <c r="L339" s="16" t="str">
        <f>_xlfn.XLOOKUP(I339,dd_accsryclr!$A$2:$A$1000,dd_accsryclr!$A$2:$A$1000,"",0)</f>
        <v>WHT</v>
      </c>
    </row>
    <row r="340" spans="1:12" hidden="1" x14ac:dyDescent="0.25">
      <c r="A340" s="16" t="s">
        <v>78</v>
      </c>
      <c r="B340" s="16" t="s">
        <v>448</v>
      </c>
      <c r="C340" s="16" t="s">
        <v>345</v>
      </c>
      <c r="D340" s="16" t="s">
        <v>346</v>
      </c>
      <c r="E340" s="16">
        <v>2.3227586206896551</v>
      </c>
      <c r="F340" s="16" t="s">
        <v>194</v>
      </c>
      <c r="G340" s="16"/>
      <c r="H340" s="16" t="s">
        <v>336</v>
      </c>
      <c r="I340" s="16" t="s">
        <v>223</v>
      </c>
      <c r="J340" s="16" t="str">
        <f>IF(ISNUMBER(SEARCH("SCRW", H340)), _xlfn.XLOOKUP(C340,dd_item!$A$2:$A$147,dd_item!$B$2:$B$147,"",0),_xlfn.XLOOKUP(H340,dd_item!$A$2:$A$147,dd_item!$B$2:$B$147,"",0))</f>
        <v>Interlocker50</v>
      </c>
      <c r="K340" s="16" t="str">
        <f>_xlfn.XLOOKUP(A340,dd_design_raw!$C$2:$C$1002,dd_design_raw!$A$2:$A$1002,"",0)</f>
        <v>Slide Slide Door - with Screen</v>
      </c>
      <c r="L340" s="16" t="str">
        <f>_xlfn.XLOOKUP(I340,dd_accsryclr!$A$2:$A$1000,dd_accsryclr!$A$2:$A$1000,"",0)</f>
        <v>BLK</v>
      </c>
    </row>
    <row r="341" spans="1:12" hidden="1" x14ac:dyDescent="0.25">
      <c r="A341" s="16" t="s">
        <v>78</v>
      </c>
      <c r="B341" s="16" t="s">
        <v>448</v>
      </c>
      <c r="C341" s="16" t="s">
        <v>347</v>
      </c>
      <c r="D341" s="16" t="s">
        <v>348</v>
      </c>
      <c r="E341" s="16">
        <v>2.3227586206896551</v>
      </c>
      <c r="F341" s="16" t="s">
        <v>194</v>
      </c>
      <c r="G341" s="16"/>
      <c r="H341" s="16" t="s">
        <v>336</v>
      </c>
      <c r="I341" s="16" t="s">
        <v>230</v>
      </c>
      <c r="J341" s="16" t="str">
        <f>IF(ISNUMBER(SEARCH("SCRW", H341)), _xlfn.XLOOKUP(C341,dd_item!$A$2:$A$147,dd_item!$B$2:$B$147,"",0),_xlfn.XLOOKUP(H341,dd_item!$A$2:$A$147,dd_item!$B$2:$B$147,"",0))</f>
        <v>Interlocker50</v>
      </c>
      <c r="K341" s="16" t="str">
        <f>_xlfn.XLOOKUP(A341,dd_design_raw!$C$2:$C$1002,dd_design_raw!$A$2:$A$1002,"",0)</f>
        <v>Slide Slide Door - with Screen</v>
      </c>
      <c r="L341" s="16" t="str">
        <f>_xlfn.XLOOKUP(I341,dd_accsryclr!$A$2:$A$1000,dd_accsryclr!$A$2:$A$1000,"",0)</f>
        <v>BRWN</v>
      </c>
    </row>
    <row r="342" spans="1:12" hidden="1" x14ac:dyDescent="0.25">
      <c r="A342" s="16" t="s">
        <v>78</v>
      </c>
      <c r="B342" s="16" t="s">
        <v>448</v>
      </c>
      <c r="C342" s="16" t="s">
        <v>364</v>
      </c>
      <c r="D342" s="16" t="s">
        <v>365</v>
      </c>
      <c r="E342" s="16">
        <v>3.2482758620689656</v>
      </c>
      <c r="F342" s="16" t="s">
        <v>369</v>
      </c>
      <c r="G342" s="16"/>
      <c r="H342" s="16" t="s">
        <v>366</v>
      </c>
      <c r="I342" s="16" t="s">
        <v>443</v>
      </c>
      <c r="J342" s="16" t="str">
        <f>IF(ISNUMBER(SEARCH("SCRW", H342)), _xlfn.XLOOKUP(C342,dd_item!$A$2:$A$147,dd_item!$B$2:$B$147,"",0),_xlfn.XLOOKUP(H342,dd_item!$A$2:$A$147,dd_item!$B$2:$B$147,"",0))</f>
        <v>Aluminum Track</v>
      </c>
      <c r="K342" s="16" t="str">
        <f>_xlfn.XLOOKUP(A342,dd_design_raw!$C$2:$C$1002,dd_design_raw!$A$2:$A$1002,"",0)</f>
        <v>Slide Slide Door - with Screen</v>
      </c>
      <c r="L342" s="16" t="str">
        <f>_xlfn.XLOOKUP(I342,dd_accsryclr!$A$2:$A$1000,dd_accsryclr!$A$2:$A$1000,"",0)</f>
        <v/>
      </c>
    </row>
    <row r="343" spans="1:12" hidden="1" x14ac:dyDescent="0.25">
      <c r="A343" s="16" t="s">
        <v>78</v>
      </c>
      <c r="B343" s="16" t="s">
        <v>448</v>
      </c>
      <c r="C343" s="16" t="s">
        <v>367</v>
      </c>
      <c r="D343" s="16" t="s">
        <v>368</v>
      </c>
      <c r="E343" s="16">
        <v>1</v>
      </c>
      <c r="F343" s="16" t="s">
        <v>369</v>
      </c>
      <c r="G343" s="16"/>
      <c r="H343" s="16" t="s">
        <v>370</v>
      </c>
      <c r="I343" s="16" t="s">
        <v>223</v>
      </c>
      <c r="J343" s="16" t="str">
        <f>IF(ISNUMBER(SEARCH("SCRW", H343)), _xlfn.XLOOKUP(C343,dd_item!$A$2:$A$147,dd_item!$B$2:$B$147,"",0),_xlfn.XLOOKUP(H343,dd_item!$A$2:$A$147,dd_item!$B$2:$B$147,"",0))</f>
        <v>SD Kit Handle</v>
      </c>
      <c r="K343" s="16" t="str">
        <f>_xlfn.XLOOKUP(A343,dd_design_raw!$C$2:$C$1002,dd_design_raw!$A$2:$A$1002,"",0)</f>
        <v>Slide Slide Door - with Screen</v>
      </c>
      <c r="L343" s="16" t="str">
        <f>_xlfn.XLOOKUP(I343,dd_accsryclr!$A$2:$A$1000,dd_accsryclr!$A$2:$A$1000,"",0)</f>
        <v>BLK</v>
      </c>
    </row>
    <row r="344" spans="1:12" hidden="1" x14ac:dyDescent="0.25">
      <c r="A344" s="16" t="s">
        <v>78</v>
      </c>
      <c r="B344" s="16" t="s">
        <v>448</v>
      </c>
      <c r="C344" s="16" t="s">
        <v>371</v>
      </c>
      <c r="D344" s="16" t="s">
        <v>372</v>
      </c>
      <c r="E344" s="16">
        <v>1</v>
      </c>
      <c r="F344" s="16" t="s">
        <v>369</v>
      </c>
      <c r="G344" s="16"/>
      <c r="H344" s="16" t="s">
        <v>370</v>
      </c>
      <c r="I344" s="16" t="s">
        <v>220</v>
      </c>
      <c r="J344" s="16" t="str">
        <f>IF(ISNUMBER(SEARCH("SCRW", H344)), _xlfn.XLOOKUP(C344,dd_item!$A$2:$A$147,dd_item!$B$2:$B$147,"",0),_xlfn.XLOOKUP(H344,dd_item!$A$2:$A$147,dd_item!$B$2:$B$147,"",0))</f>
        <v>SD Kit Handle</v>
      </c>
      <c r="K344" s="16" t="str">
        <f>_xlfn.XLOOKUP(A344,dd_design_raw!$C$2:$C$1002,dd_design_raw!$A$2:$A$1002,"",0)</f>
        <v>Slide Slide Door - with Screen</v>
      </c>
      <c r="L344" s="16" t="str">
        <f>_xlfn.XLOOKUP(I344,dd_accsryclr!$A$2:$A$1000,dd_accsryclr!$A$2:$A$1000,"",0)</f>
        <v>WHT</v>
      </c>
    </row>
    <row r="345" spans="1:12" hidden="1" x14ac:dyDescent="0.25">
      <c r="A345" s="16" t="s">
        <v>78</v>
      </c>
      <c r="B345" s="16" t="s">
        <v>448</v>
      </c>
      <c r="C345" s="16" t="s">
        <v>373</v>
      </c>
      <c r="D345" s="16" t="s">
        <v>374</v>
      </c>
      <c r="E345" s="16">
        <v>1</v>
      </c>
      <c r="F345" s="16" t="s">
        <v>369</v>
      </c>
      <c r="G345" s="16"/>
      <c r="H345" s="16" t="s">
        <v>370</v>
      </c>
      <c r="I345" s="16" t="s">
        <v>220</v>
      </c>
      <c r="J345" s="16" t="str">
        <f>IF(ISNUMBER(SEARCH("SCRW", H345)), _xlfn.XLOOKUP(C345,dd_item!$A$2:$A$147,dd_item!$B$2:$B$147,"",0),_xlfn.XLOOKUP(H345,dd_item!$A$2:$A$147,dd_item!$B$2:$B$147,"",0))</f>
        <v>SD Kit Handle</v>
      </c>
      <c r="K345" s="16" t="str">
        <f>_xlfn.XLOOKUP(A345,dd_design_raw!$C$2:$C$1002,dd_design_raw!$A$2:$A$1002,"",0)</f>
        <v>Slide Slide Door - with Screen</v>
      </c>
      <c r="L345" s="16" t="str">
        <f>_xlfn.XLOOKUP(I345,dd_accsryclr!$A$2:$A$1000,dd_accsryclr!$A$2:$A$1000,"",0)</f>
        <v>WHT</v>
      </c>
    </row>
    <row r="346" spans="1:12" hidden="1" x14ac:dyDescent="0.25">
      <c r="A346" s="16" t="s">
        <v>78</v>
      </c>
      <c r="B346" s="16" t="s">
        <v>448</v>
      </c>
      <c r="C346" s="16" t="s">
        <v>375</v>
      </c>
      <c r="D346" s="16" t="s">
        <v>376</v>
      </c>
      <c r="E346" s="16">
        <v>1</v>
      </c>
      <c r="F346" s="16" t="s">
        <v>369</v>
      </c>
      <c r="G346" s="16"/>
      <c r="H346" s="16" t="s">
        <v>370</v>
      </c>
      <c r="I346" s="16" t="s">
        <v>223</v>
      </c>
      <c r="J346" s="16" t="str">
        <f>IF(ISNUMBER(SEARCH("SCRW", H346)), _xlfn.XLOOKUP(C346,dd_item!$A$2:$A$147,dd_item!$B$2:$B$147,"",0),_xlfn.XLOOKUP(H346,dd_item!$A$2:$A$147,dd_item!$B$2:$B$147,"",0))</f>
        <v>SD Kit Handle</v>
      </c>
      <c r="K346" s="16" t="str">
        <f>_xlfn.XLOOKUP(A346,dd_design_raw!$C$2:$C$1002,dd_design_raw!$A$2:$A$1002,"",0)</f>
        <v>Slide Slide Door - with Screen</v>
      </c>
      <c r="L346" s="16" t="str">
        <f>_xlfn.XLOOKUP(I346,dd_accsryclr!$A$2:$A$1000,dd_accsryclr!$A$2:$A$1000,"",0)</f>
        <v>BLK</v>
      </c>
    </row>
    <row r="347" spans="1:12" hidden="1" x14ac:dyDescent="0.25">
      <c r="A347" s="16" t="s">
        <v>78</v>
      </c>
      <c r="B347" s="16" t="s">
        <v>448</v>
      </c>
      <c r="C347" s="16" t="s">
        <v>377</v>
      </c>
      <c r="D347" s="16" t="s">
        <v>378</v>
      </c>
      <c r="E347" s="16">
        <v>1</v>
      </c>
      <c r="F347" s="16" t="s">
        <v>369</v>
      </c>
      <c r="G347" s="16"/>
      <c r="H347" s="16" t="s">
        <v>379</v>
      </c>
      <c r="I347" s="16"/>
      <c r="J347" s="16" t="str">
        <f>IF(ISNUMBER(SEARCH("SCRW", H347)), _xlfn.XLOOKUP(C347,dd_item!$A$2:$A$147,dd_item!$B$2:$B$147,"",0),_xlfn.XLOOKUP(H347,dd_item!$A$2:$A$147,dd_item!$B$2:$B$147,"",0))</f>
        <v xml:space="preserve">SD Kit Cylinder Door Knob </v>
      </c>
      <c r="K347" s="16" t="str">
        <f>_xlfn.XLOOKUP(A347,dd_design_raw!$C$2:$C$1002,dd_design_raw!$A$2:$A$1002,"",0)</f>
        <v>Slide Slide Door - with Screen</v>
      </c>
      <c r="L347" s="16" t="str">
        <f>_xlfn.XLOOKUP(I347,dd_accsryclr!$A$2:$A$1000,dd_accsryclr!$A$2:$A$1000,"",0)</f>
        <v/>
      </c>
    </row>
    <row r="348" spans="1:12" hidden="1" x14ac:dyDescent="0.25">
      <c r="A348" s="16" t="s">
        <v>78</v>
      </c>
      <c r="B348" s="16" t="s">
        <v>448</v>
      </c>
      <c r="C348" s="16" t="s">
        <v>380</v>
      </c>
      <c r="D348" s="16" t="s">
        <v>381</v>
      </c>
      <c r="E348" s="16">
        <v>1</v>
      </c>
      <c r="F348" s="16" t="s">
        <v>369</v>
      </c>
      <c r="G348" s="16"/>
      <c r="H348" s="16" t="s">
        <v>379</v>
      </c>
      <c r="I348" s="16"/>
      <c r="J348" s="16" t="str">
        <f>IF(ISNUMBER(SEARCH("SCRW", H348)), _xlfn.XLOOKUP(C348,dd_item!$A$2:$A$147,dd_item!$B$2:$B$147,"",0),_xlfn.XLOOKUP(H348,dd_item!$A$2:$A$147,dd_item!$B$2:$B$147,"",0))</f>
        <v xml:space="preserve">SD Kit Cylinder Door Knob </v>
      </c>
      <c r="K348" s="16" t="str">
        <f>_xlfn.XLOOKUP(A348,dd_design_raw!$C$2:$C$1002,dd_design_raw!$A$2:$A$1002,"",0)</f>
        <v>Slide Slide Door - with Screen</v>
      </c>
      <c r="L348" s="16" t="str">
        <f>_xlfn.XLOOKUP(I348,dd_accsryclr!$A$2:$A$1000,dd_accsryclr!$A$2:$A$1000,"",0)</f>
        <v/>
      </c>
    </row>
    <row r="349" spans="1:12" hidden="1" x14ac:dyDescent="0.25">
      <c r="A349" s="16" t="s">
        <v>78</v>
      </c>
      <c r="B349" s="16" t="s">
        <v>448</v>
      </c>
      <c r="C349" s="16" t="s">
        <v>382</v>
      </c>
      <c r="D349" s="16" t="s">
        <v>383</v>
      </c>
      <c r="E349" s="16">
        <v>1</v>
      </c>
      <c r="F349" s="16" t="s">
        <v>369</v>
      </c>
      <c r="G349" s="16"/>
      <c r="H349" s="16" t="s">
        <v>384</v>
      </c>
      <c r="I349" s="16" t="s">
        <v>223</v>
      </c>
      <c r="J349" s="16" t="str">
        <f>IF(ISNUMBER(SEARCH("SCRW", H349)), _xlfn.XLOOKUP(C349,dd_item!$A$2:$A$147,dd_item!$B$2:$B$147,"",0),_xlfn.XLOOKUP(H349,dd_item!$A$2:$A$147,dd_item!$B$2:$B$147,"",0))</f>
        <v>Cylinder Cover Set</v>
      </c>
      <c r="K349" s="16" t="str">
        <f>_xlfn.XLOOKUP(A349,dd_design_raw!$C$2:$C$1002,dd_design_raw!$A$2:$A$1002,"",0)</f>
        <v>Slide Slide Door - with Screen</v>
      </c>
      <c r="L349" s="16" t="str">
        <f>_xlfn.XLOOKUP(I349,dd_accsryclr!$A$2:$A$1000,dd_accsryclr!$A$2:$A$1000,"",0)</f>
        <v>BLK</v>
      </c>
    </row>
    <row r="350" spans="1:12" hidden="1" x14ac:dyDescent="0.25">
      <c r="A350" s="16" t="s">
        <v>78</v>
      </c>
      <c r="B350" s="16" t="s">
        <v>448</v>
      </c>
      <c r="C350" s="16" t="s">
        <v>385</v>
      </c>
      <c r="D350" s="16" t="s">
        <v>386</v>
      </c>
      <c r="E350" s="16">
        <v>1</v>
      </c>
      <c r="F350" s="16" t="s">
        <v>369</v>
      </c>
      <c r="G350" s="16"/>
      <c r="H350" s="16" t="s">
        <v>384</v>
      </c>
      <c r="I350" s="16" t="s">
        <v>220</v>
      </c>
      <c r="J350" s="16" t="str">
        <f>IF(ISNUMBER(SEARCH("SCRW", H350)), _xlfn.XLOOKUP(C350,dd_item!$A$2:$A$147,dd_item!$B$2:$B$147,"",0),_xlfn.XLOOKUP(H350,dd_item!$A$2:$A$147,dd_item!$B$2:$B$147,"",0))</f>
        <v>Cylinder Cover Set</v>
      </c>
      <c r="K350" s="16" t="str">
        <f>_xlfn.XLOOKUP(A350,dd_design_raw!$C$2:$C$1002,dd_design_raw!$A$2:$A$1002,"",0)</f>
        <v>Slide Slide Door - with Screen</v>
      </c>
      <c r="L350" s="16" t="str">
        <f>_xlfn.XLOOKUP(I350,dd_accsryclr!$A$2:$A$1000,dd_accsryclr!$A$2:$A$1000,"",0)</f>
        <v>WHT</v>
      </c>
    </row>
    <row r="351" spans="1:12" hidden="1" x14ac:dyDescent="0.25">
      <c r="A351" s="16" t="s">
        <v>78</v>
      </c>
      <c r="B351" s="16" t="s">
        <v>448</v>
      </c>
      <c r="C351" s="16" t="s">
        <v>387</v>
      </c>
      <c r="D351" s="16" t="s">
        <v>388</v>
      </c>
      <c r="E351" s="16">
        <v>8</v>
      </c>
      <c r="F351" s="16" t="s">
        <v>369</v>
      </c>
      <c r="G351" s="16"/>
      <c r="H351" s="16" t="s">
        <v>389</v>
      </c>
      <c r="I351" s="16"/>
      <c r="J351" s="16" t="str">
        <f>IF(ISNUMBER(SEARCH("SCRW", H351)), _xlfn.XLOOKUP(C351,dd_item!$A$2:$A$147,dd_item!$B$2:$B$147,"",0),_xlfn.XLOOKUP(H351,dd_item!$A$2:$A$147,dd_item!$B$2:$B$147,"",0))</f>
        <v>Sliding Striker (Roto)</v>
      </c>
      <c r="K351" s="16" t="str">
        <f>_xlfn.XLOOKUP(A351,dd_design_raw!$C$2:$C$1002,dd_design_raw!$A$2:$A$1002,"",0)</f>
        <v>Slide Slide Door - with Screen</v>
      </c>
      <c r="L351" s="16" t="str">
        <f>_xlfn.XLOOKUP(I351,dd_accsryclr!$A$2:$A$1000,dd_accsryclr!$A$2:$A$1000,"",0)</f>
        <v/>
      </c>
    </row>
    <row r="352" spans="1:12" hidden="1" x14ac:dyDescent="0.25">
      <c r="A352" s="16" t="s">
        <v>78</v>
      </c>
      <c r="B352" s="16" t="s">
        <v>448</v>
      </c>
      <c r="C352" s="16" t="s">
        <v>390</v>
      </c>
      <c r="D352" s="16" t="s">
        <v>391</v>
      </c>
      <c r="E352" s="16">
        <v>53.68</v>
      </c>
      <c r="F352" s="16" t="s">
        <v>369</v>
      </c>
      <c r="G352" s="16"/>
      <c r="H352" s="16" t="s">
        <v>792</v>
      </c>
      <c r="I352" s="16"/>
      <c r="J352" s="16" t="str">
        <f>IF(ISNUMBER(SEARCH("SCRW", H352)), _xlfn.XLOOKUP(C352,dd_item!$A$2:$A$147,dd_item!$B$2:$B$147,"",0),_xlfn.XLOOKUP(H352,dd_item!$A$2:$A$147,dd_item!$B$2:$B$147,"",0))</f>
        <v>Atlas Screw (S) 10 x 2-1/2" (Flat)</v>
      </c>
      <c r="K352" s="16" t="str">
        <f>_xlfn.XLOOKUP(A352,dd_design_raw!$C$2:$C$1002,dd_design_raw!$A$2:$A$1002,"",0)</f>
        <v>Slide Slide Door - with Screen</v>
      </c>
      <c r="L352" s="16" t="str">
        <f>_xlfn.XLOOKUP(I352,dd_accsryclr!$A$2:$A$1000,dd_accsryclr!$A$2:$A$1000,"",0)</f>
        <v/>
      </c>
    </row>
    <row r="353" spans="1:12" hidden="1" x14ac:dyDescent="0.25">
      <c r="A353" s="16" t="s">
        <v>78</v>
      </c>
      <c r="B353" s="16" t="s">
        <v>448</v>
      </c>
      <c r="C353" s="16" t="s">
        <v>392</v>
      </c>
      <c r="D353" s="16" t="s">
        <v>393</v>
      </c>
      <c r="E353" s="16">
        <v>3</v>
      </c>
      <c r="F353" s="16" t="s">
        <v>369</v>
      </c>
      <c r="G353" s="16"/>
      <c r="H353" s="16" t="s">
        <v>394</v>
      </c>
      <c r="I353" s="16" t="s">
        <v>223</v>
      </c>
      <c r="J353" s="16" t="str">
        <f>IF(ISNUMBER(SEARCH("SCRW", H353)), _xlfn.XLOOKUP(C353,dd_item!$A$2:$A$147,dd_item!$B$2:$B$147,"",0),_xlfn.XLOOKUP(H353,dd_item!$A$2:$A$147,dd_item!$B$2:$B$147,"",0))</f>
        <v>Drainage Cover</v>
      </c>
      <c r="K353" s="16" t="str">
        <f>_xlfn.XLOOKUP(A353,dd_design_raw!$C$2:$C$1002,dd_design_raw!$A$2:$A$1002,"",0)</f>
        <v>Slide Slide Door - with Screen</v>
      </c>
      <c r="L353" s="16" t="str">
        <f>_xlfn.XLOOKUP(I353,dd_accsryclr!$A$2:$A$1000,dd_accsryclr!$A$2:$A$1000,"",0)</f>
        <v>BLK</v>
      </c>
    </row>
    <row r="354" spans="1:12" hidden="1" x14ac:dyDescent="0.25">
      <c r="A354" s="16" t="s">
        <v>78</v>
      </c>
      <c r="B354" s="16" t="s">
        <v>448</v>
      </c>
      <c r="C354" s="16" t="s">
        <v>395</v>
      </c>
      <c r="D354" s="16" t="s">
        <v>396</v>
      </c>
      <c r="E354" s="16">
        <v>3</v>
      </c>
      <c r="F354" s="16" t="s">
        <v>369</v>
      </c>
      <c r="G354" s="16"/>
      <c r="H354" s="16" t="s">
        <v>394</v>
      </c>
      <c r="I354" s="16" t="s">
        <v>220</v>
      </c>
      <c r="J354" s="16" t="str">
        <f>IF(ISNUMBER(SEARCH("SCRW", H354)), _xlfn.XLOOKUP(C354,dd_item!$A$2:$A$147,dd_item!$B$2:$B$147,"",0),_xlfn.XLOOKUP(H354,dd_item!$A$2:$A$147,dd_item!$B$2:$B$147,"",0))</f>
        <v>Drainage Cover</v>
      </c>
      <c r="K354" s="16" t="str">
        <f>_xlfn.XLOOKUP(A354,dd_design_raw!$C$2:$C$1002,dd_design_raw!$A$2:$A$1002,"",0)</f>
        <v>Slide Slide Door - with Screen</v>
      </c>
      <c r="L354" s="16" t="str">
        <f>_xlfn.XLOOKUP(I354,dd_accsryclr!$A$2:$A$1000,dd_accsryclr!$A$2:$A$1000,"",0)</f>
        <v>WHT</v>
      </c>
    </row>
    <row r="355" spans="1:12" hidden="1" x14ac:dyDescent="0.25">
      <c r="A355" s="16" t="s">
        <v>78</v>
      </c>
      <c r="B355" s="16" t="s">
        <v>448</v>
      </c>
      <c r="C355" s="16" t="s">
        <v>397</v>
      </c>
      <c r="D355" s="16" t="s">
        <v>398</v>
      </c>
      <c r="E355" s="16">
        <v>1.0735999999999999</v>
      </c>
      <c r="F355" s="16" t="s">
        <v>369</v>
      </c>
      <c r="G355" s="16"/>
      <c r="H355" s="16" t="s">
        <v>399</v>
      </c>
      <c r="I355" s="16" t="s">
        <v>400</v>
      </c>
      <c r="J355" s="16" t="str">
        <f>IF(ISNUMBER(SEARCH("SCRW", H355)), _xlfn.XLOOKUP(C355,dd_item!$A$2:$A$147,dd_item!$B$2:$B$147,"",0),_xlfn.XLOOKUP(H355,dd_item!$A$2:$A$147,dd_item!$B$2:$B$147,"",0))</f>
        <v>Tox6</v>
      </c>
      <c r="K355" s="16" t="str">
        <f>_xlfn.XLOOKUP(A355,dd_design_raw!$C$2:$C$1002,dd_design_raw!$A$2:$A$1002,"",0)</f>
        <v>Slide Slide Door - with Screen</v>
      </c>
      <c r="L355" s="16" t="str">
        <f>_xlfn.XLOOKUP(I355,dd_accsryclr!$A$2:$A$1000,dd_accsryclr!$A$2:$A$1000,"",0)</f>
        <v/>
      </c>
    </row>
    <row r="356" spans="1:12" hidden="1" x14ac:dyDescent="0.25">
      <c r="A356" s="16" t="s">
        <v>78</v>
      </c>
      <c r="B356" s="16" t="s">
        <v>448</v>
      </c>
      <c r="C356" s="16" t="s">
        <v>401</v>
      </c>
      <c r="D356" s="16" t="s">
        <v>402</v>
      </c>
      <c r="E356" s="16">
        <v>37.68</v>
      </c>
      <c r="F356" s="16" t="s">
        <v>369</v>
      </c>
      <c r="G356" s="16"/>
      <c r="H356" s="16" t="s">
        <v>403</v>
      </c>
      <c r="I356" s="16" t="s">
        <v>223</v>
      </c>
      <c r="J356" s="16" t="str">
        <f>IF(ISNUMBER(SEARCH("SCRW", H356)), _xlfn.XLOOKUP(C356,dd_item!$A$2:$A$147,dd_item!$B$2:$B$147,"",0),_xlfn.XLOOKUP(H356,dd_item!$A$2:$A$147,dd_item!$B$2:$B$147,"",0))</f>
        <v>Cover Cap</v>
      </c>
      <c r="K356" s="16" t="str">
        <f>_xlfn.XLOOKUP(A356,dd_design_raw!$C$2:$C$1002,dd_design_raw!$A$2:$A$1002,"",0)</f>
        <v>Slide Slide Door - with Screen</v>
      </c>
      <c r="L356" s="16" t="str">
        <f>_xlfn.XLOOKUP(I356,dd_accsryclr!$A$2:$A$1000,dd_accsryclr!$A$2:$A$1000,"",0)</f>
        <v>BLK</v>
      </c>
    </row>
    <row r="357" spans="1:12" hidden="1" x14ac:dyDescent="0.25">
      <c r="A357" s="16" t="s">
        <v>78</v>
      </c>
      <c r="B357" s="16" t="s">
        <v>448</v>
      </c>
      <c r="C357" s="16" t="s">
        <v>404</v>
      </c>
      <c r="D357" s="16" t="s">
        <v>405</v>
      </c>
      <c r="E357" s="16">
        <v>37.68</v>
      </c>
      <c r="F357" s="16" t="s">
        <v>369</v>
      </c>
      <c r="G357" s="16"/>
      <c r="H357" s="16" t="s">
        <v>403</v>
      </c>
      <c r="I357" s="16" t="s">
        <v>220</v>
      </c>
      <c r="J357" s="16" t="str">
        <f>IF(ISNUMBER(SEARCH("SCRW", H357)), _xlfn.XLOOKUP(C357,dd_item!$A$2:$A$147,dd_item!$B$2:$B$147,"",0),_xlfn.XLOOKUP(H357,dd_item!$A$2:$A$147,dd_item!$B$2:$B$147,"",0))</f>
        <v>Cover Cap</v>
      </c>
      <c r="K357" s="16" t="str">
        <f>_xlfn.XLOOKUP(A357,dd_design_raw!$C$2:$C$1002,dd_design_raw!$A$2:$A$1002,"",0)</f>
        <v>Slide Slide Door - with Screen</v>
      </c>
      <c r="L357" s="16" t="str">
        <f>_xlfn.XLOOKUP(I357,dd_accsryclr!$A$2:$A$1000,dd_accsryclr!$A$2:$A$1000,"",0)</f>
        <v>WHT</v>
      </c>
    </row>
    <row r="358" spans="1:12" hidden="1" x14ac:dyDescent="0.25">
      <c r="A358" s="16" t="s">
        <v>78</v>
      </c>
      <c r="B358" s="16" t="s">
        <v>448</v>
      </c>
      <c r="C358" s="16" t="s">
        <v>406</v>
      </c>
      <c r="D358" s="16" t="s">
        <v>407</v>
      </c>
      <c r="E358" s="16">
        <v>2</v>
      </c>
      <c r="F358" s="16" t="s">
        <v>369</v>
      </c>
      <c r="G358" s="16"/>
      <c r="H358" s="16" t="s">
        <v>408</v>
      </c>
      <c r="I358" s="16" t="s">
        <v>223</v>
      </c>
      <c r="J358" s="16" t="str">
        <f>IF(ISNUMBER(SEARCH("SCRW", H358)), _xlfn.XLOOKUP(C358,dd_item!$A$2:$A$147,dd_item!$B$2:$B$147,"",0),_xlfn.XLOOKUP(H358,dd_item!$A$2:$A$147,dd_item!$B$2:$B$147,"",0))</f>
        <v>SD Kit Buffer Stopper</v>
      </c>
      <c r="K358" s="16" t="str">
        <f>_xlfn.XLOOKUP(A358,dd_design_raw!$C$2:$C$1002,dd_design_raw!$A$2:$A$1002,"",0)</f>
        <v>Slide Slide Door - with Screen</v>
      </c>
      <c r="L358" s="16" t="str">
        <f>_xlfn.XLOOKUP(I358,dd_accsryclr!$A$2:$A$1000,dd_accsryclr!$A$2:$A$1000,"",0)</f>
        <v>BLK</v>
      </c>
    </row>
    <row r="359" spans="1:12" hidden="1" x14ac:dyDescent="0.25">
      <c r="A359" s="16" t="s">
        <v>78</v>
      </c>
      <c r="B359" s="16" t="s">
        <v>448</v>
      </c>
      <c r="C359" s="16" t="s">
        <v>410</v>
      </c>
      <c r="D359" s="16" t="s">
        <v>411</v>
      </c>
      <c r="E359" s="16">
        <v>2</v>
      </c>
      <c r="F359" s="16" t="s">
        <v>369</v>
      </c>
      <c r="G359" s="16"/>
      <c r="H359" s="16" t="s">
        <v>408</v>
      </c>
      <c r="I359" s="16" t="s">
        <v>220</v>
      </c>
      <c r="J359" s="16" t="str">
        <f>IF(ISNUMBER(SEARCH("SCRW", H359)), _xlfn.XLOOKUP(C359,dd_item!$A$2:$A$147,dd_item!$B$2:$B$147,"",0),_xlfn.XLOOKUP(H359,dd_item!$A$2:$A$147,dd_item!$B$2:$B$147,"",0))</f>
        <v>SD Kit Buffer Stopper</v>
      </c>
      <c r="K359" s="16" t="str">
        <f>_xlfn.XLOOKUP(A359,dd_design_raw!$C$2:$C$1002,dd_design_raw!$A$2:$A$1002,"",0)</f>
        <v>Slide Slide Door - with Screen</v>
      </c>
      <c r="L359" s="16" t="str">
        <f>_xlfn.XLOOKUP(I359,dd_accsryclr!$A$2:$A$1000,dd_accsryclr!$A$2:$A$1000,"",0)</f>
        <v>WHT</v>
      </c>
    </row>
    <row r="360" spans="1:12" hidden="1" x14ac:dyDescent="0.25">
      <c r="A360" s="16" t="s">
        <v>78</v>
      </c>
      <c r="B360" s="16" t="s">
        <v>448</v>
      </c>
      <c r="C360" s="16" t="s">
        <v>412</v>
      </c>
      <c r="D360" s="16" t="s">
        <v>413</v>
      </c>
      <c r="E360" s="16">
        <v>2</v>
      </c>
      <c r="F360" s="16" t="s">
        <v>369</v>
      </c>
      <c r="G360" s="16"/>
      <c r="H360" s="16" t="s">
        <v>793</v>
      </c>
      <c r="I360" s="16"/>
      <c r="J360" s="16" t="str">
        <f>IF(ISNUMBER(SEARCH("SCRW", H360)), _xlfn.XLOOKUP(C360,dd_item!$A$2:$A$147,dd_item!$B$2:$B$147,"",0),_xlfn.XLOOKUP(H360,dd_item!$A$2:$A$147,dd_item!$B$2:$B$147,"",0))</f>
        <v>Atlas Screw (S) 8 x 1-1/4" (Flat)</v>
      </c>
      <c r="K360" s="16" t="str">
        <f>_xlfn.XLOOKUP(A360,dd_design_raw!$C$2:$C$1002,dd_design_raw!$A$2:$A$1002,"",0)</f>
        <v>Slide Slide Door - with Screen</v>
      </c>
      <c r="L360" s="16" t="str">
        <f>_xlfn.XLOOKUP(I360,dd_accsryclr!$A$2:$A$1000,dd_accsryclr!$A$2:$A$1000,"",0)</f>
        <v/>
      </c>
    </row>
    <row r="361" spans="1:12" hidden="1" x14ac:dyDescent="0.25">
      <c r="A361" s="16" t="s">
        <v>78</v>
      </c>
      <c r="B361" s="16" t="s">
        <v>448</v>
      </c>
      <c r="C361" s="16" t="s">
        <v>414</v>
      </c>
      <c r="D361" s="16" t="s">
        <v>415</v>
      </c>
      <c r="E361" s="16">
        <v>12.56</v>
      </c>
      <c r="F361" s="16" t="s">
        <v>369</v>
      </c>
      <c r="G361" s="16"/>
      <c r="H361" s="16" t="s">
        <v>416</v>
      </c>
      <c r="I361" s="16" t="s">
        <v>223</v>
      </c>
      <c r="J361" s="16" t="str">
        <f>IF(ISNUMBER(SEARCH("SCRW", H361)), _xlfn.XLOOKUP(C361,dd_item!$A$2:$A$147,dd_item!$B$2:$B$147,"",0),_xlfn.XLOOKUP(H361,dd_item!$A$2:$A$147,dd_item!$B$2:$B$147,"",0))</f>
        <v>Sealant</v>
      </c>
      <c r="K361" s="16" t="str">
        <f>_xlfn.XLOOKUP(A361,dd_design_raw!$C$2:$C$1002,dd_design_raw!$A$2:$A$1002,"",0)</f>
        <v>Slide Slide Door - with Screen</v>
      </c>
      <c r="L361" s="16" t="str">
        <f>_xlfn.XLOOKUP(I361,dd_accsryclr!$A$2:$A$1000,dd_accsryclr!$A$2:$A$1000,"",0)</f>
        <v>BLK</v>
      </c>
    </row>
    <row r="362" spans="1:12" hidden="1" x14ac:dyDescent="0.25">
      <c r="A362" s="16" t="s">
        <v>78</v>
      </c>
      <c r="B362" s="16" t="s">
        <v>448</v>
      </c>
      <c r="C362" s="16" t="s">
        <v>417</v>
      </c>
      <c r="D362" s="16" t="s">
        <v>418</v>
      </c>
      <c r="E362" s="16">
        <v>12.56</v>
      </c>
      <c r="F362" s="16" t="s">
        <v>369</v>
      </c>
      <c r="G362" s="16"/>
      <c r="H362" s="16" t="s">
        <v>416</v>
      </c>
      <c r="I362" s="16" t="s">
        <v>230</v>
      </c>
      <c r="J362" s="16" t="str">
        <f>IF(ISNUMBER(SEARCH("SCRW", H362)), _xlfn.XLOOKUP(C362,dd_item!$A$2:$A$147,dd_item!$B$2:$B$147,"",0),_xlfn.XLOOKUP(H362,dd_item!$A$2:$A$147,dd_item!$B$2:$B$147,"",0))</f>
        <v>Sealant</v>
      </c>
      <c r="K362" s="16" t="str">
        <f>_xlfn.XLOOKUP(A362,dd_design_raw!$C$2:$C$1002,dd_design_raw!$A$2:$A$1002,"",0)</f>
        <v>Slide Slide Door - with Screen</v>
      </c>
      <c r="L362" s="16" t="str">
        <f>_xlfn.XLOOKUP(I362,dd_accsryclr!$A$2:$A$1000,dd_accsryclr!$A$2:$A$1000,"",0)</f>
        <v>BRWN</v>
      </c>
    </row>
    <row r="363" spans="1:12" hidden="1" x14ac:dyDescent="0.25">
      <c r="A363" s="16" t="s">
        <v>78</v>
      </c>
      <c r="B363" s="16" t="s">
        <v>448</v>
      </c>
      <c r="C363" s="16" t="s">
        <v>419</v>
      </c>
      <c r="D363" s="16" t="s">
        <v>420</v>
      </c>
      <c r="E363" s="16">
        <v>12.56</v>
      </c>
      <c r="F363" s="16" t="s">
        <v>369</v>
      </c>
      <c r="G363" s="16"/>
      <c r="H363" s="16" t="s">
        <v>416</v>
      </c>
      <c r="I363" s="16" t="s">
        <v>220</v>
      </c>
      <c r="J363" s="16" t="str">
        <f>IF(ISNUMBER(SEARCH("SCRW", H363)), _xlfn.XLOOKUP(C363,dd_item!$A$2:$A$147,dd_item!$B$2:$B$147,"",0),_xlfn.XLOOKUP(H363,dd_item!$A$2:$A$147,dd_item!$B$2:$B$147,"",0))</f>
        <v>Sealant</v>
      </c>
      <c r="K363" s="16" t="str">
        <f>_xlfn.XLOOKUP(A363,dd_design_raw!$C$2:$C$1002,dd_design_raw!$A$2:$A$1002,"",0)</f>
        <v>Slide Slide Door - with Screen</v>
      </c>
      <c r="L363" s="16" t="str">
        <f>_xlfn.XLOOKUP(I363,dd_accsryclr!$A$2:$A$1000,dd_accsryclr!$A$2:$A$1000,"",0)</f>
        <v>WHT</v>
      </c>
    </row>
    <row r="364" spans="1:12" hidden="1" x14ac:dyDescent="0.25">
      <c r="A364" s="16" t="s">
        <v>78</v>
      </c>
      <c r="B364" s="16" t="s">
        <v>448</v>
      </c>
      <c r="C364" s="16" t="s">
        <v>421</v>
      </c>
      <c r="D364" s="16" t="s">
        <v>422</v>
      </c>
      <c r="E364" s="16"/>
      <c r="F364" s="16" t="s">
        <v>369</v>
      </c>
      <c r="G364" s="16"/>
      <c r="H364" s="16" t="s">
        <v>416</v>
      </c>
      <c r="I364" s="16" t="s">
        <v>423</v>
      </c>
      <c r="J364" s="16" t="str">
        <f>IF(ISNUMBER(SEARCH("SCRW", H364)), _xlfn.XLOOKUP(C364,dd_item!$A$2:$A$147,dd_item!$B$2:$B$147,"",0),_xlfn.XLOOKUP(H364,dd_item!$A$2:$A$147,dd_item!$B$2:$B$147,"",0))</f>
        <v>Sealant</v>
      </c>
      <c r="K364" s="16" t="str">
        <f>_xlfn.XLOOKUP(A364,dd_design_raw!$C$2:$C$1002,dd_design_raw!$A$2:$A$1002,"",0)</f>
        <v>Slide Slide Door - with Screen</v>
      </c>
      <c r="L364" s="16" t="str">
        <f>_xlfn.XLOOKUP(I364,dd_accsryclr!$A$2:$A$1000,dd_accsryclr!$A$2:$A$1000,"",0)</f>
        <v/>
      </c>
    </row>
    <row r="365" spans="1:12" hidden="1" x14ac:dyDescent="0.25">
      <c r="A365" s="16" t="s">
        <v>78</v>
      </c>
      <c r="B365" s="16" t="s">
        <v>448</v>
      </c>
      <c r="C365" s="16" t="s">
        <v>424</v>
      </c>
      <c r="D365" s="16" t="s">
        <v>425</v>
      </c>
      <c r="E365" s="16">
        <v>6</v>
      </c>
      <c r="F365" s="16" t="s">
        <v>369</v>
      </c>
      <c r="G365" s="16"/>
      <c r="H365" s="16" t="s">
        <v>794</v>
      </c>
      <c r="I365" s="16"/>
      <c r="J365" s="16" t="str">
        <f>IF(ISNUMBER(SEARCH("SCRW", H365)), _xlfn.XLOOKUP(C365,dd_item!$A$2:$A$147,dd_item!$B$2:$B$147,"",0),_xlfn.XLOOKUP(H365,dd_item!$A$2:$A$147,dd_item!$B$2:$B$147,"",0))</f>
        <v>Atlas Screw (S) 6 x 3/4" (FLAT)</v>
      </c>
      <c r="K365" s="16" t="str">
        <f>_xlfn.XLOOKUP(A365,dd_design_raw!$C$2:$C$1002,dd_design_raw!$A$2:$A$1002,"",0)</f>
        <v>Slide Slide Door - with Screen</v>
      </c>
      <c r="L365" s="16" t="str">
        <f>_xlfn.XLOOKUP(I365,dd_accsryclr!$A$2:$A$1000,dd_accsryclr!$A$2:$A$1000,"",0)</f>
        <v/>
      </c>
    </row>
    <row r="366" spans="1:12" hidden="1" x14ac:dyDescent="0.25">
      <c r="A366" s="16" t="s">
        <v>78</v>
      </c>
      <c r="B366" s="16" t="s">
        <v>448</v>
      </c>
      <c r="C366" s="16" t="s">
        <v>795</v>
      </c>
      <c r="D366" s="16" t="s">
        <v>796</v>
      </c>
      <c r="E366" s="16"/>
      <c r="F366" s="16" t="s">
        <v>194</v>
      </c>
      <c r="G366" s="16"/>
      <c r="H366" s="16" t="s">
        <v>797</v>
      </c>
      <c r="I366" s="16" t="s">
        <v>223</v>
      </c>
      <c r="J366" s="16" t="str">
        <f>IF(ISNUMBER(SEARCH("SCRW", H366)), _xlfn.XLOOKUP(C366,dd_item!$A$2:$A$147,dd_item!$B$2:$B$147,"",0),_xlfn.XLOOKUP(H366,dd_item!$A$2:$A$147,dd_item!$B$2:$B$147,"",0))</f>
        <v>Mullion66</v>
      </c>
      <c r="K366" s="16" t="str">
        <f>_xlfn.XLOOKUP(A366,dd_design_raw!$C$2:$C$1002,dd_design_raw!$A$2:$A$1002,"",0)</f>
        <v>Slide Slide Door - with Screen</v>
      </c>
      <c r="L366" s="16" t="str">
        <f>_xlfn.XLOOKUP(I366,dd_accsryclr!$A$2:$A$1000,dd_accsryclr!$A$2:$A$1000,"",0)</f>
        <v>BLK</v>
      </c>
    </row>
    <row r="367" spans="1:12" hidden="1" x14ac:dyDescent="0.25">
      <c r="A367" s="16" t="s">
        <v>78</v>
      </c>
      <c r="B367" s="16" t="s">
        <v>448</v>
      </c>
      <c r="C367" s="16" t="s">
        <v>798</v>
      </c>
      <c r="D367" s="16" t="s">
        <v>799</v>
      </c>
      <c r="E367" s="16"/>
      <c r="F367" s="16" t="s">
        <v>194</v>
      </c>
      <c r="G367" s="16"/>
      <c r="H367" s="16" t="s">
        <v>797</v>
      </c>
      <c r="I367" s="16" t="s">
        <v>211</v>
      </c>
      <c r="J367" s="16" t="str">
        <f>IF(ISNUMBER(SEARCH("SCRW", H367)), _xlfn.XLOOKUP(C367,dd_item!$A$2:$A$147,dd_item!$B$2:$B$147,"",0),_xlfn.XLOOKUP(H367,dd_item!$A$2:$A$147,dd_item!$B$2:$B$147,"",0))</f>
        <v>Mullion66</v>
      </c>
      <c r="K367" s="16" t="str">
        <f>_xlfn.XLOOKUP(A367,dd_design_raw!$C$2:$C$1002,dd_design_raw!$A$2:$A$1002,"",0)</f>
        <v>Slide Slide Door - with Screen</v>
      </c>
      <c r="L367" s="16" t="str">
        <f>_xlfn.XLOOKUP(I367,dd_accsryclr!$A$2:$A$1000,dd_accsryclr!$A$2:$A$1000,"",0)</f>
        <v/>
      </c>
    </row>
    <row r="368" spans="1:12" hidden="1" x14ac:dyDescent="0.25">
      <c r="A368" s="16" t="s">
        <v>78</v>
      </c>
      <c r="B368" s="16" t="s">
        <v>448</v>
      </c>
      <c r="C368" s="16" t="s">
        <v>800</v>
      </c>
      <c r="D368" s="16" t="s">
        <v>801</v>
      </c>
      <c r="E368" s="16"/>
      <c r="F368" s="16" t="s">
        <v>194</v>
      </c>
      <c r="G368" s="16"/>
      <c r="H368" s="16" t="s">
        <v>797</v>
      </c>
      <c r="I368" s="16" t="s">
        <v>214</v>
      </c>
      <c r="J368" s="16" t="str">
        <f>IF(ISNUMBER(SEARCH("SCRW", H368)), _xlfn.XLOOKUP(C368,dd_item!$A$2:$A$147,dd_item!$B$2:$B$147,"",0),_xlfn.XLOOKUP(H368,dd_item!$A$2:$A$147,dd_item!$B$2:$B$147,"",0))</f>
        <v>Mullion66</v>
      </c>
      <c r="K368" s="16" t="str">
        <f>_xlfn.XLOOKUP(A368,dd_design_raw!$C$2:$C$1002,dd_design_raw!$A$2:$A$1002,"",0)</f>
        <v>Slide Slide Door - with Screen</v>
      </c>
      <c r="L368" s="16" t="str">
        <f>_xlfn.XLOOKUP(I368,dd_accsryclr!$A$2:$A$1000,dd_accsryclr!$A$2:$A$1000,"",0)</f>
        <v/>
      </c>
    </row>
    <row r="369" spans="1:12" hidden="1" x14ac:dyDescent="0.25">
      <c r="A369" s="16" t="s">
        <v>78</v>
      </c>
      <c r="B369" s="16" t="s">
        <v>448</v>
      </c>
      <c r="C369" s="16" t="s">
        <v>802</v>
      </c>
      <c r="D369" s="16" t="s">
        <v>803</v>
      </c>
      <c r="E369" s="16"/>
      <c r="F369" s="16" t="s">
        <v>194</v>
      </c>
      <c r="G369" s="16"/>
      <c r="H369" s="16" t="s">
        <v>797</v>
      </c>
      <c r="I369" s="16" t="s">
        <v>217</v>
      </c>
      <c r="J369" s="16" t="str">
        <f>IF(ISNUMBER(SEARCH("SCRW", H369)), _xlfn.XLOOKUP(C369,dd_item!$A$2:$A$147,dd_item!$B$2:$B$147,"",0),_xlfn.XLOOKUP(H369,dd_item!$A$2:$A$147,dd_item!$B$2:$B$147,"",0))</f>
        <v>Mullion66</v>
      </c>
      <c r="K369" s="16" t="str">
        <f>_xlfn.XLOOKUP(A369,dd_design_raw!$C$2:$C$1002,dd_design_raw!$A$2:$A$1002,"",0)</f>
        <v>Slide Slide Door - with Screen</v>
      </c>
      <c r="L369" s="16" t="str">
        <f>_xlfn.XLOOKUP(I369,dd_accsryclr!$A$2:$A$1000,dd_accsryclr!$A$2:$A$1000,"",0)</f>
        <v/>
      </c>
    </row>
    <row r="370" spans="1:12" hidden="1" x14ac:dyDescent="0.25">
      <c r="A370" s="16" t="s">
        <v>78</v>
      </c>
      <c r="B370" s="16" t="s">
        <v>448</v>
      </c>
      <c r="C370" s="16" t="s">
        <v>804</v>
      </c>
      <c r="D370" s="16" t="s">
        <v>805</v>
      </c>
      <c r="E370" s="16"/>
      <c r="F370" s="16" t="s">
        <v>194</v>
      </c>
      <c r="G370" s="16"/>
      <c r="H370" s="16" t="s">
        <v>797</v>
      </c>
      <c r="I370" s="16" t="s">
        <v>226</v>
      </c>
      <c r="J370" s="16" t="str">
        <f>IF(ISNUMBER(SEARCH("SCRW", H370)), _xlfn.XLOOKUP(C370,dd_item!$A$2:$A$147,dd_item!$B$2:$B$147,"",0),_xlfn.XLOOKUP(H370,dd_item!$A$2:$A$147,dd_item!$B$2:$B$147,"",0))</f>
        <v>Mullion66</v>
      </c>
      <c r="K370" s="16" t="str">
        <f>_xlfn.XLOOKUP(A370,dd_design_raw!$C$2:$C$1002,dd_design_raw!$A$2:$A$1002,"",0)</f>
        <v>Slide Slide Door - with Screen</v>
      </c>
      <c r="L370" s="16" t="str">
        <f>_xlfn.XLOOKUP(I370,dd_accsryclr!$A$2:$A$1000,dd_accsryclr!$A$2:$A$1000,"",0)</f>
        <v/>
      </c>
    </row>
    <row r="371" spans="1:12" hidden="1" x14ac:dyDescent="0.25">
      <c r="A371" s="16" t="s">
        <v>78</v>
      </c>
      <c r="B371" s="16" t="s">
        <v>448</v>
      </c>
      <c r="C371" s="16" t="s">
        <v>806</v>
      </c>
      <c r="D371" s="16" t="s">
        <v>807</v>
      </c>
      <c r="E371" s="16"/>
      <c r="F371" s="16" t="s">
        <v>194</v>
      </c>
      <c r="G371" s="16"/>
      <c r="H371" s="16" t="s">
        <v>797</v>
      </c>
      <c r="I371" s="16" t="s">
        <v>220</v>
      </c>
      <c r="J371" s="16" t="str">
        <f>IF(ISNUMBER(SEARCH("SCRW", H371)), _xlfn.XLOOKUP(C371,dd_item!$A$2:$A$147,dd_item!$B$2:$B$147,"",0),_xlfn.XLOOKUP(H371,dd_item!$A$2:$A$147,dd_item!$B$2:$B$147,"",0))</f>
        <v>Mullion66</v>
      </c>
      <c r="K371" s="16" t="str">
        <f>_xlfn.XLOOKUP(A371,dd_design_raw!$C$2:$C$1002,dd_design_raw!$A$2:$A$1002,"",0)</f>
        <v>Slide Slide Door - with Screen</v>
      </c>
      <c r="L371" s="16" t="str">
        <f>_xlfn.XLOOKUP(I371,dd_accsryclr!$A$2:$A$1000,dd_accsryclr!$A$2:$A$1000,"",0)</f>
        <v>WHT</v>
      </c>
    </row>
    <row r="372" spans="1:12" hidden="1" x14ac:dyDescent="0.25">
      <c r="A372" s="16" t="s">
        <v>78</v>
      </c>
      <c r="B372" s="16" t="s">
        <v>448</v>
      </c>
      <c r="C372" s="16" t="s">
        <v>808</v>
      </c>
      <c r="D372" s="16" t="s">
        <v>809</v>
      </c>
      <c r="E372" s="16"/>
      <c r="F372" s="16" t="s">
        <v>194</v>
      </c>
      <c r="G372" s="16"/>
      <c r="H372" s="16" t="s">
        <v>797</v>
      </c>
      <c r="I372" s="16" t="s">
        <v>230</v>
      </c>
      <c r="J372" s="16" t="str">
        <f>IF(ISNUMBER(SEARCH("SCRW", H372)), _xlfn.XLOOKUP(C372,dd_item!$A$2:$A$147,dd_item!$B$2:$B$147,"",0),_xlfn.XLOOKUP(H372,dd_item!$A$2:$A$147,dd_item!$B$2:$B$147,"",0))</f>
        <v>Mullion66</v>
      </c>
      <c r="K372" s="16" t="str">
        <f>_xlfn.XLOOKUP(A372,dd_design_raw!$C$2:$C$1002,dd_design_raw!$A$2:$A$1002,"",0)</f>
        <v>Slide Slide Door - with Screen</v>
      </c>
      <c r="L372" s="16" t="str">
        <f>_xlfn.XLOOKUP(I372,dd_accsryclr!$A$2:$A$1000,dd_accsryclr!$A$2:$A$1000,"",0)</f>
        <v>BRWN</v>
      </c>
    </row>
    <row r="373" spans="1:12" hidden="1" x14ac:dyDescent="0.25">
      <c r="A373" s="16" t="s">
        <v>78</v>
      </c>
      <c r="B373" s="16" t="s">
        <v>448</v>
      </c>
      <c r="C373" s="16" t="s">
        <v>265</v>
      </c>
      <c r="D373" s="16" t="s">
        <v>266</v>
      </c>
      <c r="E373" s="16"/>
      <c r="F373" s="16" t="s">
        <v>194</v>
      </c>
      <c r="G373" s="16" t="s">
        <v>797</v>
      </c>
      <c r="H373" s="16" t="s">
        <v>810</v>
      </c>
      <c r="I373" s="16" t="s">
        <v>230</v>
      </c>
      <c r="J373" s="16" t="str">
        <f>IF(ISNUMBER(SEARCH("SCRW", H373)), _xlfn.XLOOKUP(C373,dd_item!$A$2:$A$147,dd_item!$B$2:$B$147,"",0),_xlfn.XLOOKUP(H373,dd_item!$A$2:$A$147,dd_item!$B$2:$B$147,"",0))</f>
        <v>Steel-Mullion66</v>
      </c>
      <c r="K373" s="16" t="str">
        <f>_xlfn.XLOOKUP(A373,dd_design_raw!$C$2:$C$1002,dd_design_raw!$A$2:$A$1002,"",0)</f>
        <v>Slide Slide Door - with Screen</v>
      </c>
      <c r="L373" s="16" t="str">
        <f>_xlfn.XLOOKUP(I373,dd_accsryclr!$A$2:$A$1000,dd_accsryclr!$A$2:$A$1000,"",0)</f>
        <v>BRWN</v>
      </c>
    </row>
    <row r="374" spans="1:12" hidden="1" x14ac:dyDescent="0.25">
      <c r="A374" s="16" t="s">
        <v>198</v>
      </c>
      <c r="B374" s="16" t="s">
        <v>466</v>
      </c>
      <c r="C374" s="16" t="s">
        <v>208</v>
      </c>
      <c r="D374" s="16" t="s">
        <v>209</v>
      </c>
      <c r="E374" s="16">
        <v>3.5210344827586209</v>
      </c>
      <c r="F374" s="16" t="s">
        <v>194</v>
      </c>
      <c r="G374" s="16"/>
      <c r="H374" s="16" t="s">
        <v>210</v>
      </c>
      <c r="I374" s="16" t="s">
        <v>211</v>
      </c>
      <c r="J374" s="16" t="str">
        <f>IF(ISNUMBER(SEARCH("SCRW", H374)), _xlfn.XLOOKUP(C374,dd_item!$A$2:$A$147,dd_item!$B$2:$B$147,"",0),_xlfn.XLOOKUP(H374,dd_item!$A$2:$A$147,dd_item!$B$2:$B$147,"",0))</f>
        <v>Frame138</v>
      </c>
      <c r="K374" s="16" t="str">
        <f>_xlfn.XLOOKUP(A374,dd_design_raw!$C$2:$C$1002,dd_design_raw!$A$2:$A$1002,"",0)</f>
        <v>Fix Slide Slide Slide Slide Fix Dr</v>
      </c>
      <c r="L374" s="16" t="str">
        <f>_xlfn.XLOOKUP(I374,dd_accsryclr!$A$2:$A$1000,dd_accsryclr!$A$2:$A$1000,"",0)</f>
        <v/>
      </c>
    </row>
    <row r="375" spans="1:12" hidden="1" x14ac:dyDescent="0.25">
      <c r="A375" s="16" t="s">
        <v>198</v>
      </c>
      <c r="B375" s="16" t="s">
        <v>466</v>
      </c>
      <c r="C375" s="16" t="s">
        <v>212</v>
      </c>
      <c r="D375" s="16" t="s">
        <v>213</v>
      </c>
      <c r="E375" s="16">
        <v>3.5210344827586209</v>
      </c>
      <c r="F375" s="16" t="s">
        <v>194</v>
      </c>
      <c r="G375" s="16"/>
      <c r="H375" s="16" t="s">
        <v>210</v>
      </c>
      <c r="I375" s="16" t="s">
        <v>214</v>
      </c>
      <c r="J375" s="16" t="str">
        <f>IF(ISNUMBER(SEARCH("SCRW", H375)), _xlfn.XLOOKUP(C375,dd_item!$A$2:$A$147,dd_item!$B$2:$B$147,"",0),_xlfn.XLOOKUP(H375,dd_item!$A$2:$A$147,dd_item!$B$2:$B$147,"",0))</f>
        <v>Frame138</v>
      </c>
      <c r="K375" s="16" t="str">
        <f>_xlfn.XLOOKUP(A375,dd_design_raw!$C$2:$C$1002,dd_design_raw!$A$2:$A$1002,"",0)</f>
        <v>Fix Slide Slide Slide Slide Fix Dr</v>
      </c>
      <c r="L375" s="16" t="str">
        <f>_xlfn.XLOOKUP(I375,dd_accsryclr!$A$2:$A$1000,dd_accsryclr!$A$2:$A$1000,"",0)</f>
        <v/>
      </c>
    </row>
    <row r="376" spans="1:12" hidden="1" x14ac:dyDescent="0.25">
      <c r="A376" s="16" t="s">
        <v>198</v>
      </c>
      <c r="B376" s="16" t="s">
        <v>466</v>
      </c>
      <c r="C376" s="16" t="s">
        <v>215</v>
      </c>
      <c r="D376" s="16" t="s">
        <v>216</v>
      </c>
      <c r="E376" s="16">
        <v>3.5210344827586209</v>
      </c>
      <c r="F376" s="16" t="s">
        <v>194</v>
      </c>
      <c r="G376" s="16"/>
      <c r="H376" s="16" t="s">
        <v>210</v>
      </c>
      <c r="I376" s="16" t="s">
        <v>217</v>
      </c>
      <c r="J376" s="16" t="str">
        <f>IF(ISNUMBER(SEARCH("SCRW", H376)), _xlfn.XLOOKUP(C376,dd_item!$A$2:$A$147,dd_item!$B$2:$B$147,"",0),_xlfn.XLOOKUP(H376,dd_item!$A$2:$A$147,dd_item!$B$2:$B$147,"",0))</f>
        <v>Frame138</v>
      </c>
      <c r="K376" s="16" t="str">
        <f>_xlfn.XLOOKUP(A376,dd_design_raw!$C$2:$C$1002,dd_design_raw!$A$2:$A$1002,"",0)</f>
        <v>Fix Slide Slide Slide Slide Fix Dr</v>
      </c>
      <c r="L376" s="16" t="str">
        <f>_xlfn.XLOOKUP(I376,dd_accsryclr!$A$2:$A$1000,dd_accsryclr!$A$2:$A$1000,"",0)</f>
        <v/>
      </c>
    </row>
    <row r="377" spans="1:12" hidden="1" x14ac:dyDescent="0.25">
      <c r="A377" s="16" t="s">
        <v>198</v>
      </c>
      <c r="B377" s="16" t="s">
        <v>466</v>
      </c>
      <c r="C377" s="16" t="s">
        <v>218</v>
      </c>
      <c r="D377" s="16" t="s">
        <v>219</v>
      </c>
      <c r="E377" s="16">
        <v>3.5210344827586209</v>
      </c>
      <c r="F377" s="16" t="s">
        <v>194</v>
      </c>
      <c r="G377" s="16"/>
      <c r="H377" s="16" t="s">
        <v>210</v>
      </c>
      <c r="I377" s="16" t="s">
        <v>220</v>
      </c>
      <c r="J377" s="16" t="str">
        <f>IF(ISNUMBER(SEARCH("SCRW", H377)), _xlfn.XLOOKUP(C377,dd_item!$A$2:$A$147,dd_item!$B$2:$B$147,"",0),_xlfn.XLOOKUP(H377,dd_item!$A$2:$A$147,dd_item!$B$2:$B$147,"",0))</f>
        <v>Frame138</v>
      </c>
      <c r="K377" s="16" t="str">
        <f>_xlfn.XLOOKUP(A377,dd_design_raw!$C$2:$C$1002,dd_design_raw!$A$2:$A$1002,"",0)</f>
        <v>Fix Slide Slide Slide Slide Fix Dr</v>
      </c>
      <c r="L377" s="16" t="str">
        <f>_xlfn.XLOOKUP(I377,dd_accsryclr!$A$2:$A$1000,dd_accsryclr!$A$2:$A$1000,"",0)</f>
        <v>WHT</v>
      </c>
    </row>
    <row r="378" spans="1:12" hidden="1" x14ac:dyDescent="0.25">
      <c r="A378" s="16" t="s">
        <v>198</v>
      </c>
      <c r="B378" s="16" t="s">
        <v>466</v>
      </c>
      <c r="C378" s="16" t="s">
        <v>221</v>
      </c>
      <c r="D378" s="16" t="s">
        <v>222</v>
      </c>
      <c r="E378" s="16">
        <v>3.5210344827586209</v>
      </c>
      <c r="F378" s="16" t="s">
        <v>194</v>
      </c>
      <c r="G378" s="16"/>
      <c r="H378" s="16" t="s">
        <v>210</v>
      </c>
      <c r="I378" s="16" t="s">
        <v>223</v>
      </c>
      <c r="J378" s="16" t="str">
        <f>IF(ISNUMBER(SEARCH("SCRW", H378)), _xlfn.XLOOKUP(C378,dd_item!$A$2:$A$147,dd_item!$B$2:$B$147,"",0),_xlfn.XLOOKUP(H378,dd_item!$A$2:$A$147,dd_item!$B$2:$B$147,"",0))</f>
        <v>Frame138</v>
      </c>
      <c r="K378" s="16" t="str">
        <f>_xlfn.XLOOKUP(A378,dd_design_raw!$C$2:$C$1002,dd_design_raw!$A$2:$A$1002,"",0)</f>
        <v>Fix Slide Slide Slide Slide Fix Dr</v>
      </c>
      <c r="L378" s="16" t="str">
        <f>_xlfn.XLOOKUP(I378,dd_accsryclr!$A$2:$A$1000,dd_accsryclr!$A$2:$A$1000,"",0)</f>
        <v>BLK</v>
      </c>
    </row>
    <row r="379" spans="1:12" hidden="1" x14ac:dyDescent="0.25">
      <c r="A379" s="16" t="s">
        <v>198</v>
      </c>
      <c r="B379" s="16" t="s">
        <v>466</v>
      </c>
      <c r="C379" s="16" t="s">
        <v>224</v>
      </c>
      <c r="D379" s="16" t="s">
        <v>225</v>
      </c>
      <c r="E379" s="16">
        <v>3.5210344827586209</v>
      </c>
      <c r="F379" s="16" t="s">
        <v>194</v>
      </c>
      <c r="G379" s="16"/>
      <c r="H379" s="16" t="s">
        <v>210</v>
      </c>
      <c r="I379" s="16" t="s">
        <v>226</v>
      </c>
      <c r="J379" s="16" t="str">
        <f>IF(ISNUMBER(SEARCH("SCRW", H379)), _xlfn.XLOOKUP(C379,dd_item!$A$2:$A$147,dd_item!$B$2:$B$147,"",0),_xlfn.XLOOKUP(H379,dd_item!$A$2:$A$147,dd_item!$B$2:$B$147,"",0))</f>
        <v>Frame138</v>
      </c>
      <c r="K379" s="16" t="str">
        <f>_xlfn.XLOOKUP(A379,dd_design_raw!$C$2:$C$1002,dd_design_raw!$A$2:$A$1002,"",0)</f>
        <v>Fix Slide Slide Slide Slide Fix Dr</v>
      </c>
      <c r="L379" s="16" t="str">
        <f>_xlfn.XLOOKUP(I379,dd_accsryclr!$A$2:$A$1000,dd_accsryclr!$A$2:$A$1000,"",0)</f>
        <v/>
      </c>
    </row>
    <row r="380" spans="1:12" hidden="1" x14ac:dyDescent="0.25">
      <c r="A380" s="16" t="s">
        <v>198</v>
      </c>
      <c r="B380" s="16" t="s">
        <v>466</v>
      </c>
      <c r="C380" s="16" t="s">
        <v>227</v>
      </c>
      <c r="D380" s="16" t="s">
        <v>228</v>
      </c>
      <c r="E380" s="16">
        <v>3.5210344827586209</v>
      </c>
      <c r="F380" s="16" t="s">
        <v>194</v>
      </c>
      <c r="G380" s="16"/>
      <c r="H380" s="16" t="s">
        <v>229</v>
      </c>
      <c r="I380" s="16" t="s">
        <v>230</v>
      </c>
      <c r="J380" s="16" t="str">
        <f>IF(ISNUMBER(SEARCH("SCRW", H380)), _xlfn.XLOOKUP(C380,dd_item!$A$2:$A$147,dd_item!$B$2:$B$147,"",0),_xlfn.XLOOKUP(H380,dd_item!$A$2:$A$147,dd_item!$B$2:$B$147,"",0))</f>
        <v>Frame112</v>
      </c>
      <c r="K380" s="16" t="str">
        <f>_xlfn.XLOOKUP(A380,dd_design_raw!$C$2:$C$1002,dd_design_raw!$A$2:$A$1002,"",0)</f>
        <v>Fix Slide Slide Slide Slide Fix Dr</v>
      </c>
      <c r="L380" s="16" t="str">
        <f>_xlfn.XLOOKUP(I380,dd_accsryclr!$A$2:$A$1000,dd_accsryclr!$A$2:$A$1000,"",0)</f>
        <v>BRWN</v>
      </c>
    </row>
    <row r="381" spans="1:12" hidden="1" x14ac:dyDescent="0.25">
      <c r="A381" s="16" t="s">
        <v>198</v>
      </c>
      <c r="B381" s="16" t="s">
        <v>466</v>
      </c>
      <c r="C381" s="16" t="s">
        <v>231</v>
      </c>
      <c r="D381" s="16" t="s">
        <v>232</v>
      </c>
      <c r="E381" s="16">
        <v>8.5389655172413796</v>
      </c>
      <c r="F381" s="16" t="s">
        <v>194</v>
      </c>
      <c r="G381" s="16"/>
      <c r="H381" s="16" t="s">
        <v>233</v>
      </c>
      <c r="I381" s="16" t="s">
        <v>223</v>
      </c>
      <c r="J381" s="16" t="str">
        <f>IF(ISNUMBER(SEARCH("SCRW", H381)), _xlfn.XLOOKUP(C381,dd_item!$A$2:$A$147,dd_item!$B$2:$B$147,"",0),_xlfn.XLOOKUP(H381,dd_item!$A$2:$A$147,dd_item!$B$2:$B$147,"",0))</f>
        <v>Sash92</v>
      </c>
      <c r="K381" s="16" t="str">
        <f>_xlfn.XLOOKUP(A381,dd_design_raw!$C$2:$C$1002,dd_design_raw!$A$2:$A$1002,"",0)</f>
        <v>Fix Slide Slide Slide Slide Fix Dr</v>
      </c>
      <c r="L381" s="16" t="str">
        <f>_xlfn.XLOOKUP(I381,dd_accsryclr!$A$2:$A$1000,dd_accsryclr!$A$2:$A$1000,"",0)</f>
        <v>BLK</v>
      </c>
    </row>
    <row r="382" spans="1:12" hidden="1" x14ac:dyDescent="0.25">
      <c r="A382" s="16" t="s">
        <v>198</v>
      </c>
      <c r="B382" s="16" t="s">
        <v>466</v>
      </c>
      <c r="C382" s="16" t="s">
        <v>234</v>
      </c>
      <c r="D382" s="16" t="s">
        <v>235</v>
      </c>
      <c r="E382" s="16">
        <v>8.5389655172413796</v>
      </c>
      <c r="F382" s="16" t="s">
        <v>194</v>
      </c>
      <c r="G382" s="16"/>
      <c r="H382" s="16" t="s">
        <v>233</v>
      </c>
      <c r="I382" s="16" t="s">
        <v>211</v>
      </c>
      <c r="J382" s="16" t="str">
        <f>IF(ISNUMBER(SEARCH("SCRW", H382)), _xlfn.XLOOKUP(C382,dd_item!$A$2:$A$147,dd_item!$B$2:$B$147,"",0),_xlfn.XLOOKUP(H382,dd_item!$A$2:$A$147,dd_item!$B$2:$B$147,"",0))</f>
        <v>Sash92</v>
      </c>
      <c r="K382" s="16" t="str">
        <f>_xlfn.XLOOKUP(A382,dd_design_raw!$C$2:$C$1002,dd_design_raw!$A$2:$A$1002,"",0)</f>
        <v>Fix Slide Slide Slide Slide Fix Dr</v>
      </c>
      <c r="L382" s="16" t="str">
        <f>_xlfn.XLOOKUP(I382,dd_accsryclr!$A$2:$A$1000,dd_accsryclr!$A$2:$A$1000,"",0)</f>
        <v/>
      </c>
    </row>
    <row r="383" spans="1:12" hidden="1" x14ac:dyDescent="0.25">
      <c r="A383" s="16" t="s">
        <v>198</v>
      </c>
      <c r="B383" s="16" t="s">
        <v>466</v>
      </c>
      <c r="C383" s="16" t="s">
        <v>236</v>
      </c>
      <c r="D383" s="16" t="s">
        <v>237</v>
      </c>
      <c r="E383" s="16">
        <v>8.5389655172413796</v>
      </c>
      <c r="F383" s="16" t="s">
        <v>194</v>
      </c>
      <c r="G383" s="16"/>
      <c r="H383" s="16" t="s">
        <v>233</v>
      </c>
      <c r="I383" s="16" t="s">
        <v>214</v>
      </c>
      <c r="J383" s="16" t="str">
        <f>IF(ISNUMBER(SEARCH("SCRW", H383)), _xlfn.XLOOKUP(C383,dd_item!$A$2:$A$147,dd_item!$B$2:$B$147,"",0),_xlfn.XLOOKUP(H383,dd_item!$A$2:$A$147,dd_item!$B$2:$B$147,"",0))</f>
        <v>Sash92</v>
      </c>
      <c r="K383" s="16" t="str">
        <f>_xlfn.XLOOKUP(A383,dd_design_raw!$C$2:$C$1002,dd_design_raw!$A$2:$A$1002,"",0)</f>
        <v>Fix Slide Slide Slide Slide Fix Dr</v>
      </c>
      <c r="L383" s="16" t="str">
        <f>_xlfn.XLOOKUP(I383,dd_accsryclr!$A$2:$A$1000,dd_accsryclr!$A$2:$A$1000,"",0)</f>
        <v/>
      </c>
    </row>
    <row r="384" spans="1:12" hidden="1" x14ac:dyDescent="0.25">
      <c r="A384" s="16" t="s">
        <v>198</v>
      </c>
      <c r="B384" s="16" t="s">
        <v>466</v>
      </c>
      <c r="C384" s="16" t="s">
        <v>238</v>
      </c>
      <c r="D384" s="16" t="s">
        <v>239</v>
      </c>
      <c r="E384" s="16">
        <v>8.5389655172413796</v>
      </c>
      <c r="F384" s="16" t="s">
        <v>194</v>
      </c>
      <c r="G384" s="16"/>
      <c r="H384" s="16" t="s">
        <v>233</v>
      </c>
      <c r="I384" s="16" t="s">
        <v>217</v>
      </c>
      <c r="J384" s="16" t="str">
        <f>IF(ISNUMBER(SEARCH("SCRW", H384)), _xlfn.XLOOKUP(C384,dd_item!$A$2:$A$147,dd_item!$B$2:$B$147,"",0),_xlfn.XLOOKUP(H384,dd_item!$A$2:$A$147,dd_item!$B$2:$B$147,"",0))</f>
        <v>Sash92</v>
      </c>
      <c r="K384" s="16" t="str">
        <f>_xlfn.XLOOKUP(A384,dd_design_raw!$C$2:$C$1002,dd_design_raw!$A$2:$A$1002,"",0)</f>
        <v>Fix Slide Slide Slide Slide Fix Dr</v>
      </c>
      <c r="L384" s="16" t="str">
        <f>_xlfn.XLOOKUP(I384,dd_accsryclr!$A$2:$A$1000,dd_accsryclr!$A$2:$A$1000,"",0)</f>
        <v/>
      </c>
    </row>
    <row r="385" spans="1:12" hidden="1" x14ac:dyDescent="0.25">
      <c r="A385" s="16" t="s">
        <v>198</v>
      </c>
      <c r="B385" s="16" t="s">
        <v>466</v>
      </c>
      <c r="C385" s="16" t="s">
        <v>240</v>
      </c>
      <c r="D385" s="16" t="s">
        <v>241</v>
      </c>
      <c r="E385" s="16">
        <v>8.5389655172413796</v>
      </c>
      <c r="F385" s="16" t="s">
        <v>194</v>
      </c>
      <c r="G385" s="16"/>
      <c r="H385" s="16" t="s">
        <v>233</v>
      </c>
      <c r="I385" s="16" t="s">
        <v>226</v>
      </c>
      <c r="J385" s="16" t="str">
        <f>IF(ISNUMBER(SEARCH("SCRW", H385)), _xlfn.XLOOKUP(C385,dd_item!$A$2:$A$147,dd_item!$B$2:$B$147,"",0),_xlfn.XLOOKUP(H385,dd_item!$A$2:$A$147,dd_item!$B$2:$B$147,"",0))</f>
        <v>Sash92</v>
      </c>
      <c r="K385" s="16" t="str">
        <f>_xlfn.XLOOKUP(A385,dd_design_raw!$C$2:$C$1002,dd_design_raw!$A$2:$A$1002,"",0)</f>
        <v>Fix Slide Slide Slide Slide Fix Dr</v>
      </c>
      <c r="L385" s="16" t="str">
        <f>_xlfn.XLOOKUP(I385,dd_accsryclr!$A$2:$A$1000,dd_accsryclr!$A$2:$A$1000,"",0)</f>
        <v/>
      </c>
    </row>
    <row r="386" spans="1:12" hidden="1" x14ac:dyDescent="0.25">
      <c r="A386" s="16" t="s">
        <v>198</v>
      </c>
      <c r="B386" s="16" t="s">
        <v>466</v>
      </c>
      <c r="C386" s="16" t="s">
        <v>242</v>
      </c>
      <c r="D386" s="16" t="s">
        <v>243</v>
      </c>
      <c r="E386" s="16">
        <v>8.5389655172413796</v>
      </c>
      <c r="F386" s="16" t="s">
        <v>194</v>
      </c>
      <c r="G386" s="16"/>
      <c r="H386" s="16" t="s">
        <v>233</v>
      </c>
      <c r="I386" s="16" t="s">
        <v>220</v>
      </c>
      <c r="J386" s="16" t="str">
        <f>IF(ISNUMBER(SEARCH("SCRW", H386)), _xlfn.XLOOKUP(C386,dd_item!$A$2:$A$147,dd_item!$B$2:$B$147,"",0),_xlfn.XLOOKUP(H386,dd_item!$A$2:$A$147,dd_item!$B$2:$B$147,"",0))</f>
        <v>Sash92</v>
      </c>
      <c r="K386" s="16" t="str">
        <f>_xlfn.XLOOKUP(A386,dd_design_raw!$C$2:$C$1002,dd_design_raw!$A$2:$A$1002,"",0)</f>
        <v>Fix Slide Slide Slide Slide Fix Dr</v>
      </c>
      <c r="L386" s="16" t="str">
        <f>_xlfn.XLOOKUP(I386,dd_accsryclr!$A$2:$A$1000,dd_accsryclr!$A$2:$A$1000,"",0)</f>
        <v>WHT</v>
      </c>
    </row>
    <row r="387" spans="1:12" hidden="1" x14ac:dyDescent="0.25">
      <c r="A387" s="16" t="s">
        <v>198</v>
      </c>
      <c r="B387" s="16" t="s">
        <v>466</v>
      </c>
      <c r="C387" s="16" t="s">
        <v>259</v>
      </c>
      <c r="D387" s="16" t="s">
        <v>260</v>
      </c>
      <c r="E387" s="16">
        <v>8.5389655172413796</v>
      </c>
      <c r="F387" s="16" t="s">
        <v>194</v>
      </c>
      <c r="G387" s="16"/>
      <c r="H387" s="16" t="s">
        <v>248</v>
      </c>
      <c r="I387" s="16" t="s">
        <v>230</v>
      </c>
      <c r="J387" s="16" t="str">
        <f>IF(ISNUMBER(SEARCH("SCRW", H387)), _xlfn.XLOOKUP(C387,dd_item!$A$2:$A$147,dd_item!$B$2:$B$147,"",0),_xlfn.XLOOKUP(H387,dd_item!$A$2:$A$147,dd_item!$B$2:$B$147,"",0))</f>
        <v>Sash66</v>
      </c>
      <c r="K387" s="16" t="str">
        <f>_xlfn.XLOOKUP(A387,dd_design_raw!$C$2:$C$1002,dd_design_raw!$A$2:$A$1002,"",0)</f>
        <v>Fix Slide Slide Slide Slide Fix Dr</v>
      </c>
      <c r="L387" s="16" t="str">
        <f>_xlfn.XLOOKUP(I387,dd_accsryclr!$A$2:$A$1000,dd_accsryclr!$A$2:$A$1000,"",0)</f>
        <v>BRWN</v>
      </c>
    </row>
    <row r="388" spans="1:12" hidden="1" x14ac:dyDescent="0.25">
      <c r="A388" s="16" t="s">
        <v>198</v>
      </c>
      <c r="B388" s="16" t="s">
        <v>466</v>
      </c>
      <c r="C388" s="16" t="s">
        <v>467</v>
      </c>
      <c r="D388" s="16" t="s">
        <v>468</v>
      </c>
      <c r="E388" s="16">
        <v>3.5210344827586209</v>
      </c>
      <c r="F388" s="16" t="s">
        <v>194</v>
      </c>
      <c r="G388" s="16"/>
      <c r="H388" s="16" t="s">
        <v>469</v>
      </c>
      <c r="I388" s="16" t="s">
        <v>211</v>
      </c>
      <c r="J388" s="16" t="str">
        <f>IF(ISNUMBER(SEARCH("SCRW", H388)), _xlfn.XLOOKUP(C388,dd_item!$A$2:$A$147,dd_item!$B$2:$B$147,"",0),_xlfn.XLOOKUP(H388,dd_item!$A$2:$A$147,dd_item!$B$2:$B$147,"",0))</f>
        <v>Frame90</v>
      </c>
      <c r="K388" s="16" t="str">
        <f>_xlfn.XLOOKUP(A388,dd_design_raw!$C$2:$C$1002,dd_design_raw!$A$2:$A$1002,"",0)</f>
        <v>Fix Slide Slide Slide Slide Fix Dr</v>
      </c>
      <c r="L388" s="16" t="str">
        <f>_xlfn.XLOOKUP(I388,dd_accsryclr!$A$2:$A$1000,dd_accsryclr!$A$2:$A$1000,"",0)</f>
        <v/>
      </c>
    </row>
    <row r="389" spans="1:12" hidden="1" x14ac:dyDescent="0.25">
      <c r="A389" s="16" t="s">
        <v>198</v>
      </c>
      <c r="B389" s="16" t="s">
        <v>466</v>
      </c>
      <c r="C389" s="16" t="s">
        <v>470</v>
      </c>
      <c r="D389" s="16" t="s">
        <v>471</v>
      </c>
      <c r="E389" s="16">
        <v>3.5210344827586209</v>
      </c>
      <c r="F389" s="16" t="s">
        <v>194</v>
      </c>
      <c r="G389" s="16"/>
      <c r="H389" s="16" t="s">
        <v>469</v>
      </c>
      <c r="I389" s="16" t="s">
        <v>214</v>
      </c>
      <c r="J389" s="16" t="str">
        <f>IF(ISNUMBER(SEARCH("SCRW", H389)), _xlfn.XLOOKUP(C389,dd_item!$A$2:$A$147,dd_item!$B$2:$B$147,"",0),_xlfn.XLOOKUP(H389,dd_item!$A$2:$A$147,dd_item!$B$2:$B$147,"",0))</f>
        <v>Frame90</v>
      </c>
      <c r="K389" s="16" t="str">
        <f>_xlfn.XLOOKUP(A389,dd_design_raw!$C$2:$C$1002,dd_design_raw!$A$2:$A$1002,"",0)</f>
        <v>Fix Slide Slide Slide Slide Fix Dr</v>
      </c>
      <c r="L389" s="16" t="str">
        <f>_xlfn.XLOOKUP(I389,dd_accsryclr!$A$2:$A$1000,dd_accsryclr!$A$2:$A$1000,"",0)</f>
        <v/>
      </c>
    </row>
    <row r="390" spans="1:12" hidden="1" x14ac:dyDescent="0.25">
      <c r="A390" s="16" t="s">
        <v>198</v>
      </c>
      <c r="B390" s="16" t="s">
        <v>466</v>
      </c>
      <c r="C390" s="16" t="s">
        <v>472</v>
      </c>
      <c r="D390" s="16" t="s">
        <v>473</v>
      </c>
      <c r="E390" s="16">
        <v>3.5210344827586209</v>
      </c>
      <c r="F390" s="16" t="s">
        <v>194</v>
      </c>
      <c r="G390" s="16"/>
      <c r="H390" s="16" t="s">
        <v>469</v>
      </c>
      <c r="I390" s="16" t="s">
        <v>217</v>
      </c>
      <c r="J390" s="16" t="str">
        <f>IF(ISNUMBER(SEARCH("SCRW", H390)), _xlfn.XLOOKUP(C390,dd_item!$A$2:$A$147,dd_item!$B$2:$B$147,"",0),_xlfn.XLOOKUP(H390,dd_item!$A$2:$A$147,dd_item!$B$2:$B$147,"",0))</f>
        <v>Frame90</v>
      </c>
      <c r="K390" s="16" t="str">
        <f>_xlfn.XLOOKUP(A390,dd_design_raw!$C$2:$C$1002,dd_design_raw!$A$2:$A$1002,"",0)</f>
        <v>Fix Slide Slide Slide Slide Fix Dr</v>
      </c>
      <c r="L390" s="16" t="str">
        <f>_xlfn.XLOOKUP(I390,dd_accsryclr!$A$2:$A$1000,dd_accsryclr!$A$2:$A$1000,"",0)</f>
        <v/>
      </c>
    </row>
    <row r="391" spans="1:12" hidden="1" x14ac:dyDescent="0.25">
      <c r="A391" s="16" t="s">
        <v>198</v>
      </c>
      <c r="B391" s="16" t="s">
        <v>466</v>
      </c>
      <c r="C391" s="16" t="s">
        <v>474</v>
      </c>
      <c r="D391" s="16" t="s">
        <v>475</v>
      </c>
      <c r="E391" s="16">
        <v>3.5210344827586209</v>
      </c>
      <c r="F391" s="16" t="s">
        <v>194</v>
      </c>
      <c r="G391" s="16"/>
      <c r="H391" s="16" t="s">
        <v>469</v>
      </c>
      <c r="I391" s="16" t="s">
        <v>226</v>
      </c>
      <c r="J391" s="16" t="str">
        <f>IF(ISNUMBER(SEARCH("SCRW", H391)), _xlfn.XLOOKUP(C391,dd_item!$A$2:$A$147,dd_item!$B$2:$B$147,"",0),_xlfn.XLOOKUP(H391,dd_item!$A$2:$A$147,dd_item!$B$2:$B$147,"",0))</f>
        <v>Frame90</v>
      </c>
      <c r="K391" s="16" t="str">
        <f>_xlfn.XLOOKUP(A391,dd_design_raw!$C$2:$C$1002,dd_design_raw!$A$2:$A$1002,"",0)</f>
        <v>Fix Slide Slide Slide Slide Fix Dr</v>
      </c>
      <c r="L391" s="16" t="str">
        <f>_xlfn.XLOOKUP(I391,dd_accsryclr!$A$2:$A$1000,dd_accsryclr!$A$2:$A$1000,"",0)</f>
        <v/>
      </c>
    </row>
    <row r="392" spans="1:12" hidden="1" x14ac:dyDescent="0.25">
      <c r="A392" s="16" t="s">
        <v>198</v>
      </c>
      <c r="B392" s="16" t="s">
        <v>466</v>
      </c>
      <c r="C392" s="16" t="s">
        <v>476</v>
      </c>
      <c r="D392" s="16" t="s">
        <v>477</v>
      </c>
      <c r="E392" s="16">
        <v>3.5210344827586209</v>
      </c>
      <c r="F392" s="16" t="s">
        <v>194</v>
      </c>
      <c r="G392" s="16"/>
      <c r="H392" s="16" t="s">
        <v>469</v>
      </c>
      <c r="I392" s="16" t="s">
        <v>220</v>
      </c>
      <c r="J392" s="16" t="str">
        <f>IF(ISNUMBER(SEARCH("SCRW", H392)), _xlfn.XLOOKUP(C392,dd_item!$A$2:$A$147,dd_item!$B$2:$B$147,"",0),_xlfn.XLOOKUP(H392,dd_item!$A$2:$A$147,dd_item!$B$2:$B$147,"",0))</f>
        <v>Frame90</v>
      </c>
      <c r="K392" s="16" t="str">
        <f>_xlfn.XLOOKUP(A392,dd_design_raw!$C$2:$C$1002,dd_design_raw!$A$2:$A$1002,"",0)</f>
        <v>Fix Slide Slide Slide Slide Fix Dr</v>
      </c>
      <c r="L392" s="16" t="str">
        <f>_xlfn.XLOOKUP(I392,dd_accsryclr!$A$2:$A$1000,dd_accsryclr!$A$2:$A$1000,"",0)</f>
        <v>WHT</v>
      </c>
    </row>
    <row r="393" spans="1:12" hidden="1" x14ac:dyDescent="0.25">
      <c r="A393" s="16" t="s">
        <v>198</v>
      </c>
      <c r="B393" s="16" t="s">
        <v>466</v>
      </c>
      <c r="C393" s="16" t="s">
        <v>478</v>
      </c>
      <c r="D393" s="16" t="s">
        <v>479</v>
      </c>
      <c r="E393" s="16">
        <v>3.5210344827586209</v>
      </c>
      <c r="F393" s="16" t="s">
        <v>194</v>
      </c>
      <c r="G393" s="16"/>
      <c r="H393" s="16" t="s">
        <v>469</v>
      </c>
      <c r="I393" s="16" t="s">
        <v>223</v>
      </c>
      <c r="J393" s="16" t="str">
        <f>IF(ISNUMBER(SEARCH("SCRW", H393)), _xlfn.XLOOKUP(C393,dd_item!$A$2:$A$147,dd_item!$B$2:$B$147,"",0),_xlfn.XLOOKUP(H393,dd_item!$A$2:$A$147,dd_item!$B$2:$B$147,"",0))</f>
        <v>Frame90</v>
      </c>
      <c r="K393" s="16" t="str">
        <f>_xlfn.XLOOKUP(A393,dd_design_raw!$C$2:$C$1002,dd_design_raw!$A$2:$A$1002,"",0)</f>
        <v>Fix Slide Slide Slide Slide Fix Dr</v>
      </c>
      <c r="L393" s="16" t="str">
        <f>_xlfn.XLOOKUP(I393,dd_accsryclr!$A$2:$A$1000,dd_accsryclr!$A$2:$A$1000,"",0)</f>
        <v>BLK</v>
      </c>
    </row>
    <row r="394" spans="1:12" hidden="1" x14ac:dyDescent="0.25">
      <c r="A394" s="16" t="s">
        <v>198</v>
      </c>
      <c r="B394" s="16" t="s">
        <v>466</v>
      </c>
      <c r="C394" s="16" t="s">
        <v>480</v>
      </c>
      <c r="D394" s="16" t="s">
        <v>481</v>
      </c>
      <c r="E394" s="16">
        <v>3.5210344827586209</v>
      </c>
      <c r="F394" s="16" t="s">
        <v>194</v>
      </c>
      <c r="G394" s="16"/>
      <c r="H394" s="16" t="s">
        <v>469</v>
      </c>
      <c r="I394" s="16" t="s">
        <v>230</v>
      </c>
      <c r="J394" s="16" t="str">
        <f>IF(ISNUMBER(SEARCH("SCRW", H394)), _xlfn.XLOOKUP(C394,dd_item!$A$2:$A$147,dd_item!$B$2:$B$147,"",0),_xlfn.XLOOKUP(H394,dd_item!$A$2:$A$147,dd_item!$B$2:$B$147,"",0))</f>
        <v>Frame90</v>
      </c>
      <c r="K394" s="16" t="str">
        <f>_xlfn.XLOOKUP(A394,dd_design_raw!$C$2:$C$1002,dd_design_raw!$A$2:$A$1002,"",0)</f>
        <v>Fix Slide Slide Slide Slide Fix Dr</v>
      </c>
      <c r="L394" s="16" t="str">
        <f>_xlfn.XLOOKUP(I394,dd_accsryclr!$A$2:$A$1000,dd_accsryclr!$A$2:$A$1000,"",0)</f>
        <v>BRWN</v>
      </c>
    </row>
    <row r="395" spans="1:12" hidden="1" x14ac:dyDescent="0.25">
      <c r="A395" s="16" t="s">
        <v>198</v>
      </c>
      <c r="B395" s="16" t="s">
        <v>466</v>
      </c>
      <c r="C395" s="16" t="s">
        <v>259</v>
      </c>
      <c r="D395" s="16" t="s">
        <v>260</v>
      </c>
      <c r="E395" s="16">
        <v>3.5210344827586209</v>
      </c>
      <c r="F395" s="16" t="s">
        <v>194</v>
      </c>
      <c r="G395" s="16"/>
      <c r="H395" s="16" t="s">
        <v>248</v>
      </c>
      <c r="I395" s="16" t="s">
        <v>230</v>
      </c>
      <c r="J395" s="16" t="str">
        <f>IF(ISNUMBER(SEARCH("SCRW", H395)), _xlfn.XLOOKUP(C395,dd_item!$A$2:$A$147,dd_item!$B$2:$B$147,"",0),_xlfn.XLOOKUP(H395,dd_item!$A$2:$A$147,dd_item!$B$2:$B$147,"",0))</f>
        <v>Sash66</v>
      </c>
      <c r="K395" s="16" t="str">
        <f>_xlfn.XLOOKUP(A395,dd_design_raw!$C$2:$C$1002,dd_design_raw!$A$2:$A$1002,"",0)</f>
        <v>Fix Slide Slide Slide Slide Fix Dr</v>
      </c>
      <c r="L395" s="16" t="str">
        <f>_xlfn.XLOOKUP(I395,dd_accsryclr!$A$2:$A$1000,dd_accsryclr!$A$2:$A$1000,"",0)</f>
        <v>BRWN</v>
      </c>
    </row>
    <row r="396" spans="1:12" hidden="1" x14ac:dyDescent="0.25">
      <c r="A396" s="16" t="s">
        <v>198</v>
      </c>
      <c r="B396" s="16" t="s">
        <v>466</v>
      </c>
      <c r="C396" s="16" t="s">
        <v>261</v>
      </c>
      <c r="D396" s="16" t="s">
        <v>262</v>
      </c>
      <c r="E396" s="16">
        <v>7.0420689655172417</v>
      </c>
      <c r="F396" s="16" t="s">
        <v>194</v>
      </c>
      <c r="G396" s="16" t="s">
        <v>64</v>
      </c>
      <c r="H396" s="16" t="s">
        <v>263</v>
      </c>
      <c r="I396" s="16" t="s">
        <v>264</v>
      </c>
      <c r="J396" s="16" t="str">
        <f>IF(ISNUMBER(SEARCH("SCRW", H396)), _xlfn.XLOOKUP(C396,dd_item!$A$2:$A$147,dd_item!$B$2:$B$147,"",0),_xlfn.XLOOKUP(H396,dd_item!$A$2:$A$147,dd_item!$B$2:$B$147,"",0))</f>
        <v>Steel-Frame</v>
      </c>
      <c r="K396" s="16" t="str">
        <f>_xlfn.XLOOKUP(A396,dd_design_raw!$C$2:$C$1002,dd_design_raw!$A$2:$A$1002,"",0)</f>
        <v>Fix Slide Slide Slide Slide Fix Dr</v>
      </c>
      <c r="L396" s="16" t="str">
        <f>_xlfn.XLOOKUP(I396,dd_accsryclr!$A$2:$A$1000,dd_accsryclr!$A$2:$A$1000,"",0)</f>
        <v/>
      </c>
    </row>
    <row r="397" spans="1:12" hidden="1" x14ac:dyDescent="0.25">
      <c r="A397" s="16" t="s">
        <v>198</v>
      </c>
      <c r="B397" s="16" t="s">
        <v>466</v>
      </c>
      <c r="C397" s="16" t="s">
        <v>265</v>
      </c>
      <c r="D397" s="16" t="s">
        <v>266</v>
      </c>
      <c r="E397" s="16">
        <v>3.5210344827586209</v>
      </c>
      <c r="F397" s="16" t="s">
        <v>194</v>
      </c>
      <c r="G397" s="16" t="s">
        <v>60</v>
      </c>
      <c r="H397" s="16" t="s">
        <v>267</v>
      </c>
      <c r="I397" s="16" t="s">
        <v>268</v>
      </c>
      <c r="J397" s="16" t="str">
        <f>IF(ISNUMBER(SEARCH("SCRW", H397)), _xlfn.XLOOKUP(C397,dd_item!$A$2:$A$147,dd_item!$B$2:$B$147,"",0),_xlfn.XLOOKUP(H397,dd_item!$A$2:$A$147,dd_item!$B$2:$B$147,"",0))</f>
        <v>Steel-Sash66</v>
      </c>
      <c r="K397" s="16" t="str">
        <f>_xlfn.XLOOKUP(A397,dd_design_raw!$C$2:$C$1002,dd_design_raw!$A$2:$A$1002,"",0)</f>
        <v>Fix Slide Slide Slide Slide Fix Dr</v>
      </c>
      <c r="L397" s="16" t="str">
        <f>_xlfn.XLOOKUP(I397,dd_accsryclr!$A$2:$A$1000,dd_accsryclr!$A$2:$A$1000,"",0)</f>
        <v/>
      </c>
    </row>
    <row r="398" spans="1:12" hidden="1" x14ac:dyDescent="0.25">
      <c r="A398" s="16" t="s">
        <v>198</v>
      </c>
      <c r="B398" s="16" t="s">
        <v>466</v>
      </c>
      <c r="C398" s="16" t="s">
        <v>269</v>
      </c>
      <c r="D398" s="16" t="s">
        <v>270</v>
      </c>
      <c r="E398" s="16">
        <v>8.5389655172413796</v>
      </c>
      <c r="F398" s="16" t="s">
        <v>194</v>
      </c>
      <c r="G398" s="16" t="s">
        <v>61</v>
      </c>
      <c r="H398" s="16" t="s">
        <v>271</v>
      </c>
      <c r="I398" s="16" t="s">
        <v>272</v>
      </c>
      <c r="J398" s="16" t="str">
        <f>IF(ISNUMBER(SEARCH("SCRW", H398)), _xlfn.XLOOKUP(C398,dd_item!$A$2:$A$147,dd_item!$B$2:$B$147,"",0),_xlfn.XLOOKUP(H398,dd_item!$A$2:$A$147,dd_item!$B$2:$B$147,"",0))</f>
        <v>Steel-Sash92</v>
      </c>
      <c r="K398" s="16" t="str">
        <f>_xlfn.XLOOKUP(A398,dd_design_raw!$C$2:$C$1002,dd_design_raw!$A$2:$A$1002,"",0)</f>
        <v>Fix Slide Slide Slide Slide Fix Dr</v>
      </c>
      <c r="L398" s="16" t="str">
        <f>_xlfn.XLOOKUP(I398,dd_accsryclr!$A$2:$A$1000,dd_accsryclr!$A$2:$A$1000,"",0)</f>
        <v/>
      </c>
    </row>
    <row r="399" spans="1:12" hidden="1" x14ac:dyDescent="0.25">
      <c r="A399" s="16" t="s">
        <v>198</v>
      </c>
      <c r="B399" s="16" t="s">
        <v>466</v>
      </c>
      <c r="C399" s="16" t="s">
        <v>273</v>
      </c>
      <c r="D399" s="16" t="s">
        <v>274</v>
      </c>
      <c r="E399" s="16">
        <v>8.5389655172413796</v>
      </c>
      <c r="F399" s="16" t="s">
        <v>194</v>
      </c>
      <c r="G399" s="16" t="s">
        <v>61</v>
      </c>
      <c r="H399" s="16" t="s">
        <v>271</v>
      </c>
      <c r="I399" s="16" t="s">
        <v>275</v>
      </c>
      <c r="J399" s="16" t="str">
        <f>IF(ISNUMBER(SEARCH("SCRW", H399)), _xlfn.XLOOKUP(C399,dd_item!$A$2:$A$147,dd_item!$B$2:$B$147,"",0),_xlfn.XLOOKUP(H399,dd_item!$A$2:$A$147,dd_item!$B$2:$B$147,"",0))</f>
        <v>Steel-Sash92</v>
      </c>
      <c r="K399" s="16" t="str">
        <f>_xlfn.XLOOKUP(A399,dd_design_raw!$C$2:$C$1002,dd_design_raw!$A$2:$A$1002,"",0)</f>
        <v>Fix Slide Slide Slide Slide Fix Dr</v>
      </c>
      <c r="L399" s="16" t="str">
        <f>_xlfn.XLOOKUP(I399,dd_accsryclr!$A$2:$A$1000,dd_accsryclr!$A$2:$A$1000,"",0)</f>
        <v/>
      </c>
    </row>
    <row r="400" spans="1:12" hidden="1" x14ac:dyDescent="0.25">
      <c r="A400" s="16" t="s">
        <v>198</v>
      </c>
      <c r="B400" s="16" t="s">
        <v>466</v>
      </c>
      <c r="C400" s="16" t="s">
        <v>276</v>
      </c>
      <c r="D400" s="16" t="s">
        <v>277</v>
      </c>
      <c r="E400" s="16">
        <v>8.5389655172413796</v>
      </c>
      <c r="F400" s="16" t="s">
        <v>194</v>
      </c>
      <c r="G400" s="16"/>
      <c r="H400" s="16" t="s">
        <v>278</v>
      </c>
      <c r="I400" s="16" t="s">
        <v>223</v>
      </c>
      <c r="J400" s="16" t="str">
        <f>IF(ISNUMBER(SEARCH("SCRW", H400)), _xlfn.XLOOKUP(C400,dd_item!$A$2:$A$147,dd_item!$B$2:$B$147,"",0),_xlfn.XLOOKUP(H400,dd_item!$A$2:$A$147,dd_item!$B$2:$B$147,"",0))</f>
        <v>Bead25</v>
      </c>
      <c r="K400" s="16" t="str">
        <f>_xlfn.XLOOKUP(A400,dd_design_raw!$C$2:$C$1002,dd_design_raw!$A$2:$A$1002,"",0)</f>
        <v>Fix Slide Slide Slide Slide Fix Dr</v>
      </c>
      <c r="L400" s="16" t="str">
        <f>_xlfn.XLOOKUP(I400,dd_accsryclr!$A$2:$A$1000,dd_accsryclr!$A$2:$A$1000,"",0)</f>
        <v>BLK</v>
      </c>
    </row>
    <row r="401" spans="1:12" hidden="1" x14ac:dyDescent="0.25">
      <c r="A401" s="16" t="s">
        <v>198</v>
      </c>
      <c r="B401" s="16" t="s">
        <v>466</v>
      </c>
      <c r="C401" s="16" t="s">
        <v>279</v>
      </c>
      <c r="D401" s="16" t="s">
        <v>280</v>
      </c>
      <c r="E401" s="16">
        <v>8.5389655172413796</v>
      </c>
      <c r="F401" s="16" t="s">
        <v>194</v>
      </c>
      <c r="G401" s="16"/>
      <c r="H401" s="16" t="s">
        <v>278</v>
      </c>
      <c r="I401" s="16" t="s">
        <v>211</v>
      </c>
      <c r="J401" s="16" t="str">
        <f>IF(ISNUMBER(SEARCH("SCRW", H401)), _xlfn.XLOOKUP(C401,dd_item!$A$2:$A$147,dd_item!$B$2:$B$147,"",0),_xlfn.XLOOKUP(H401,dd_item!$A$2:$A$147,dd_item!$B$2:$B$147,"",0))</f>
        <v>Bead25</v>
      </c>
      <c r="K401" s="16" t="str">
        <f>_xlfn.XLOOKUP(A401,dd_design_raw!$C$2:$C$1002,dd_design_raw!$A$2:$A$1002,"",0)</f>
        <v>Fix Slide Slide Slide Slide Fix Dr</v>
      </c>
      <c r="L401" s="16" t="str">
        <f>_xlfn.XLOOKUP(I401,dd_accsryclr!$A$2:$A$1000,dd_accsryclr!$A$2:$A$1000,"",0)</f>
        <v/>
      </c>
    </row>
    <row r="402" spans="1:12" hidden="1" x14ac:dyDescent="0.25">
      <c r="A402" s="16" t="s">
        <v>198</v>
      </c>
      <c r="B402" s="16" t="s">
        <v>466</v>
      </c>
      <c r="C402" s="16" t="s">
        <v>281</v>
      </c>
      <c r="D402" s="16" t="s">
        <v>282</v>
      </c>
      <c r="E402" s="16">
        <v>8.5389655172413796</v>
      </c>
      <c r="F402" s="16" t="s">
        <v>194</v>
      </c>
      <c r="G402" s="16"/>
      <c r="H402" s="16" t="s">
        <v>278</v>
      </c>
      <c r="I402" s="16" t="s">
        <v>214</v>
      </c>
      <c r="J402" s="16" t="str">
        <f>IF(ISNUMBER(SEARCH("SCRW", H402)), _xlfn.XLOOKUP(C402,dd_item!$A$2:$A$147,dd_item!$B$2:$B$147,"",0),_xlfn.XLOOKUP(H402,dd_item!$A$2:$A$147,dd_item!$B$2:$B$147,"",0))</f>
        <v>Bead25</v>
      </c>
      <c r="K402" s="16" t="str">
        <f>_xlfn.XLOOKUP(A402,dd_design_raw!$C$2:$C$1002,dd_design_raw!$A$2:$A$1002,"",0)</f>
        <v>Fix Slide Slide Slide Slide Fix Dr</v>
      </c>
      <c r="L402" s="16" t="str">
        <f>_xlfn.XLOOKUP(I402,dd_accsryclr!$A$2:$A$1000,dd_accsryclr!$A$2:$A$1000,"",0)</f>
        <v/>
      </c>
    </row>
    <row r="403" spans="1:12" hidden="1" x14ac:dyDescent="0.25">
      <c r="A403" s="16" t="s">
        <v>198</v>
      </c>
      <c r="B403" s="16" t="s">
        <v>466</v>
      </c>
      <c r="C403" s="16" t="s">
        <v>283</v>
      </c>
      <c r="D403" s="16" t="s">
        <v>284</v>
      </c>
      <c r="E403" s="16">
        <v>8.5389655172413796</v>
      </c>
      <c r="F403" s="16" t="s">
        <v>194</v>
      </c>
      <c r="G403" s="16"/>
      <c r="H403" s="16" t="s">
        <v>278</v>
      </c>
      <c r="I403" s="16" t="s">
        <v>217</v>
      </c>
      <c r="J403" s="16" t="str">
        <f>IF(ISNUMBER(SEARCH("SCRW", H403)), _xlfn.XLOOKUP(C403,dd_item!$A$2:$A$147,dd_item!$B$2:$B$147,"",0),_xlfn.XLOOKUP(H403,dd_item!$A$2:$A$147,dd_item!$B$2:$B$147,"",0))</f>
        <v>Bead25</v>
      </c>
      <c r="K403" s="16" t="str">
        <f>_xlfn.XLOOKUP(A403,dd_design_raw!$C$2:$C$1002,dd_design_raw!$A$2:$A$1002,"",0)</f>
        <v>Fix Slide Slide Slide Slide Fix Dr</v>
      </c>
      <c r="L403" s="16" t="str">
        <f>_xlfn.XLOOKUP(I403,dd_accsryclr!$A$2:$A$1000,dd_accsryclr!$A$2:$A$1000,"",0)</f>
        <v/>
      </c>
    </row>
    <row r="404" spans="1:12" hidden="1" x14ac:dyDescent="0.25">
      <c r="A404" s="16" t="s">
        <v>198</v>
      </c>
      <c r="B404" s="16" t="s">
        <v>466</v>
      </c>
      <c r="C404" s="16" t="s">
        <v>285</v>
      </c>
      <c r="D404" s="16" t="s">
        <v>286</v>
      </c>
      <c r="E404" s="16">
        <v>8.5389655172413796</v>
      </c>
      <c r="F404" s="16" t="s">
        <v>194</v>
      </c>
      <c r="G404" s="16"/>
      <c r="H404" s="16" t="s">
        <v>278</v>
      </c>
      <c r="I404" s="16" t="s">
        <v>226</v>
      </c>
      <c r="J404" s="16" t="str">
        <f>IF(ISNUMBER(SEARCH("SCRW", H404)), _xlfn.XLOOKUP(C404,dd_item!$A$2:$A$147,dd_item!$B$2:$B$147,"",0),_xlfn.XLOOKUP(H404,dd_item!$A$2:$A$147,dd_item!$B$2:$B$147,"",0))</f>
        <v>Bead25</v>
      </c>
      <c r="K404" s="16" t="str">
        <f>_xlfn.XLOOKUP(A404,dd_design_raw!$C$2:$C$1002,dd_design_raw!$A$2:$A$1002,"",0)</f>
        <v>Fix Slide Slide Slide Slide Fix Dr</v>
      </c>
      <c r="L404" s="16" t="str">
        <f>_xlfn.XLOOKUP(I404,dd_accsryclr!$A$2:$A$1000,dd_accsryclr!$A$2:$A$1000,"",0)</f>
        <v/>
      </c>
    </row>
    <row r="405" spans="1:12" hidden="1" x14ac:dyDescent="0.25">
      <c r="A405" s="16" t="s">
        <v>198</v>
      </c>
      <c r="B405" s="16" t="s">
        <v>466</v>
      </c>
      <c r="C405" s="16" t="s">
        <v>287</v>
      </c>
      <c r="D405" s="16" t="s">
        <v>288</v>
      </c>
      <c r="E405" s="16">
        <v>8.5389655172413796</v>
      </c>
      <c r="F405" s="16" t="s">
        <v>194</v>
      </c>
      <c r="G405" s="16"/>
      <c r="H405" s="16" t="s">
        <v>278</v>
      </c>
      <c r="I405" s="16" t="s">
        <v>220</v>
      </c>
      <c r="J405" s="16" t="str">
        <f>IF(ISNUMBER(SEARCH("SCRW", H405)), _xlfn.XLOOKUP(C405,dd_item!$A$2:$A$147,dd_item!$B$2:$B$147,"",0),_xlfn.XLOOKUP(H405,dd_item!$A$2:$A$147,dd_item!$B$2:$B$147,"",0))</f>
        <v>Bead25</v>
      </c>
      <c r="K405" s="16" t="str">
        <f>_xlfn.XLOOKUP(A405,dd_design_raw!$C$2:$C$1002,dd_design_raw!$A$2:$A$1002,"",0)</f>
        <v>Fix Slide Slide Slide Slide Fix Dr</v>
      </c>
      <c r="L405" s="16" t="str">
        <f>_xlfn.XLOOKUP(I405,dd_accsryclr!$A$2:$A$1000,dd_accsryclr!$A$2:$A$1000,"",0)</f>
        <v>WHT</v>
      </c>
    </row>
    <row r="406" spans="1:12" hidden="1" x14ac:dyDescent="0.25">
      <c r="A406" s="16" t="s">
        <v>198</v>
      </c>
      <c r="B406" s="16" t="s">
        <v>466</v>
      </c>
      <c r="C406" s="16" t="s">
        <v>289</v>
      </c>
      <c r="D406" s="16" t="s">
        <v>290</v>
      </c>
      <c r="E406" s="16">
        <v>8.5389655172413796</v>
      </c>
      <c r="F406" s="16" t="s">
        <v>194</v>
      </c>
      <c r="G406" s="16"/>
      <c r="H406" s="16" t="s">
        <v>278</v>
      </c>
      <c r="I406" s="16" t="s">
        <v>230</v>
      </c>
      <c r="J406" s="16" t="str">
        <f>IF(ISNUMBER(SEARCH("SCRW", H406)), _xlfn.XLOOKUP(C406,dd_item!$A$2:$A$147,dd_item!$B$2:$B$147,"",0),_xlfn.XLOOKUP(H406,dd_item!$A$2:$A$147,dd_item!$B$2:$B$147,"",0))</f>
        <v>Bead25</v>
      </c>
      <c r="K406" s="16" t="str">
        <f>_xlfn.XLOOKUP(A406,dd_design_raw!$C$2:$C$1002,dd_design_raw!$A$2:$A$1002,"",0)</f>
        <v>Fix Slide Slide Slide Slide Fix Dr</v>
      </c>
      <c r="L406" s="16" t="str">
        <f>_xlfn.XLOOKUP(I406,dd_accsryclr!$A$2:$A$1000,dd_accsryclr!$A$2:$A$1000,"",0)</f>
        <v>BRWN</v>
      </c>
    </row>
    <row r="407" spans="1:12" hidden="1" x14ac:dyDescent="0.25">
      <c r="A407" s="16" t="s">
        <v>198</v>
      </c>
      <c r="B407" s="16" t="s">
        <v>466</v>
      </c>
      <c r="C407" s="16" t="s">
        <v>296</v>
      </c>
      <c r="D407" s="16" t="s">
        <v>297</v>
      </c>
      <c r="E407" s="16">
        <v>1</v>
      </c>
      <c r="F407" s="16" t="s">
        <v>293</v>
      </c>
      <c r="G407" s="16"/>
      <c r="H407" s="16" t="s">
        <v>294</v>
      </c>
      <c r="I407" s="16" t="s">
        <v>298</v>
      </c>
      <c r="J407" s="16" t="str">
        <f>IF(ISNUMBER(SEARCH("SCRW", H407)), _xlfn.XLOOKUP(C407,dd_item!$A$2:$A$147,dd_item!$B$2:$B$147,"",0),_xlfn.XLOOKUP(H407,dd_item!$A$2:$A$147,dd_item!$B$2:$B$147,"",0))</f>
        <v>SD Kit Handle</v>
      </c>
      <c r="K407" s="16" t="str">
        <f>_xlfn.XLOOKUP(A407,dd_design_raw!$C$2:$C$1002,dd_design_raw!$A$2:$A$1002,"",0)</f>
        <v>Fix Slide Slide Slide Slide Fix Dr</v>
      </c>
      <c r="L407" s="16" t="str">
        <f>_xlfn.XLOOKUP(I407,dd_accsryclr!$A$2:$A$1000,dd_accsryclr!$A$2:$A$1000,"",0)</f>
        <v/>
      </c>
    </row>
    <row r="408" spans="1:12" hidden="1" x14ac:dyDescent="0.25">
      <c r="A408" s="16" t="s">
        <v>198</v>
      </c>
      <c r="B408" s="16" t="s">
        <v>466</v>
      </c>
      <c r="C408" s="16" t="s">
        <v>291</v>
      </c>
      <c r="D408" s="16" t="s">
        <v>292</v>
      </c>
      <c r="E408" s="16">
        <v>1</v>
      </c>
      <c r="F408" s="16" t="s">
        <v>293</v>
      </c>
      <c r="G408" s="16"/>
      <c r="H408" s="16" t="s">
        <v>294</v>
      </c>
      <c r="I408" s="16" t="s">
        <v>295</v>
      </c>
      <c r="J408" s="16" t="str">
        <f>IF(ISNUMBER(SEARCH("SCRW", H408)), _xlfn.XLOOKUP(C408,dd_item!$A$2:$A$147,dd_item!$B$2:$B$147,"",0),_xlfn.XLOOKUP(H408,dd_item!$A$2:$A$147,dd_item!$B$2:$B$147,"",0))</f>
        <v>SD Kit Handle</v>
      </c>
      <c r="K408" s="16" t="str">
        <f>_xlfn.XLOOKUP(A408,dd_design_raw!$C$2:$C$1002,dd_design_raw!$A$2:$A$1002,"",0)</f>
        <v>Fix Slide Slide Slide Slide Fix Dr</v>
      </c>
      <c r="L408" s="16" t="str">
        <f>_xlfn.XLOOKUP(I408,dd_accsryclr!$A$2:$A$1000,dd_accsryclr!$A$2:$A$1000,"",0)</f>
        <v/>
      </c>
    </row>
    <row r="409" spans="1:12" hidden="1" x14ac:dyDescent="0.25">
      <c r="A409" s="16" t="s">
        <v>198</v>
      </c>
      <c r="B409" s="16" t="s">
        <v>466</v>
      </c>
      <c r="C409" s="16" t="s">
        <v>299</v>
      </c>
      <c r="D409" s="16" t="s">
        <v>300</v>
      </c>
      <c r="E409" s="16">
        <v>1</v>
      </c>
      <c r="F409" s="16" t="s">
        <v>293</v>
      </c>
      <c r="G409" s="16"/>
      <c r="H409" s="16" t="s">
        <v>294</v>
      </c>
      <c r="I409" s="16" t="s">
        <v>223</v>
      </c>
      <c r="J409" s="16" t="str">
        <f>IF(ISNUMBER(SEARCH("SCRW", H409)), _xlfn.XLOOKUP(C409,dd_item!$A$2:$A$147,dd_item!$B$2:$B$147,"",0),_xlfn.XLOOKUP(H409,dd_item!$A$2:$A$147,dd_item!$B$2:$B$147,"",0))</f>
        <v>SD Kit Handle</v>
      </c>
      <c r="K409" s="16" t="str">
        <f>_xlfn.XLOOKUP(A409,dd_design_raw!$C$2:$C$1002,dd_design_raw!$A$2:$A$1002,"",0)</f>
        <v>Fix Slide Slide Slide Slide Fix Dr</v>
      </c>
      <c r="L409" s="16" t="str">
        <f>_xlfn.XLOOKUP(I409,dd_accsryclr!$A$2:$A$1000,dd_accsryclr!$A$2:$A$1000,"",0)</f>
        <v>BLK</v>
      </c>
    </row>
    <row r="410" spans="1:12" hidden="1" x14ac:dyDescent="0.25">
      <c r="A410" s="16" t="s">
        <v>198</v>
      </c>
      <c r="B410" s="16" t="s">
        <v>466</v>
      </c>
      <c r="C410" s="16" t="s">
        <v>301</v>
      </c>
      <c r="D410" s="16" t="s">
        <v>302</v>
      </c>
      <c r="E410" s="16">
        <v>1</v>
      </c>
      <c r="F410" s="16" t="s">
        <v>293</v>
      </c>
      <c r="G410" s="16"/>
      <c r="H410" s="16" t="s">
        <v>294</v>
      </c>
      <c r="I410" s="16" t="s">
        <v>220</v>
      </c>
      <c r="J410" s="16" t="str">
        <f>IF(ISNUMBER(SEARCH("SCRW", H410)), _xlfn.XLOOKUP(C410,dd_item!$A$2:$A$147,dd_item!$B$2:$B$147,"",0),_xlfn.XLOOKUP(H410,dd_item!$A$2:$A$147,dd_item!$B$2:$B$147,"",0))</f>
        <v>SD Kit Handle</v>
      </c>
      <c r="K410" s="16" t="str">
        <f>_xlfn.XLOOKUP(A410,dd_design_raw!$C$2:$C$1002,dd_design_raw!$A$2:$A$1002,"",0)</f>
        <v>Fix Slide Slide Slide Slide Fix Dr</v>
      </c>
      <c r="L410" s="16" t="str">
        <f>_xlfn.XLOOKUP(I410,dd_accsryclr!$A$2:$A$1000,dd_accsryclr!$A$2:$A$1000,"",0)</f>
        <v>WHT</v>
      </c>
    </row>
    <row r="411" spans="1:12" hidden="1" x14ac:dyDescent="0.25">
      <c r="A411" s="16" t="s">
        <v>198</v>
      </c>
      <c r="B411" s="16" t="s">
        <v>466</v>
      </c>
      <c r="C411" s="16" t="s">
        <v>303</v>
      </c>
      <c r="D411" s="16" t="s">
        <v>304</v>
      </c>
      <c r="E411" s="16">
        <v>4</v>
      </c>
      <c r="F411" s="16" t="s">
        <v>293</v>
      </c>
      <c r="G411" s="16"/>
      <c r="H411" s="16" t="s">
        <v>305</v>
      </c>
      <c r="I411" s="16"/>
      <c r="J411" s="16" t="str">
        <f>IF(ISNUMBER(SEARCH("SCRW", H411)), _xlfn.XLOOKUP(C411,dd_item!$A$2:$A$147,dd_item!$B$2:$B$147,"",0),_xlfn.XLOOKUP(H411,dd_item!$A$2:$A$147,dd_item!$B$2:$B$147,"",0))</f>
        <v>Rubber Stopper</v>
      </c>
      <c r="K411" s="16" t="str">
        <f>_xlfn.XLOOKUP(A411,dd_design_raw!$C$2:$C$1002,dd_design_raw!$A$2:$A$1002,"",0)</f>
        <v>Fix Slide Slide Slide Slide Fix Dr</v>
      </c>
      <c r="L411" s="16" t="str">
        <f>_xlfn.XLOOKUP(I411,dd_accsryclr!$A$2:$A$1000,dd_accsryclr!$A$2:$A$1000,"",0)</f>
        <v/>
      </c>
    </row>
    <row r="412" spans="1:12" hidden="1" x14ac:dyDescent="0.25">
      <c r="A412" s="16" t="s">
        <v>198</v>
      </c>
      <c r="B412" s="16" t="s">
        <v>466</v>
      </c>
      <c r="C412" s="16" t="s">
        <v>306</v>
      </c>
      <c r="D412" s="16" t="s">
        <v>307</v>
      </c>
      <c r="E412" s="16">
        <v>10</v>
      </c>
      <c r="F412" s="16" t="s">
        <v>293</v>
      </c>
      <c r="G412" s="16"/>
      <c r="H412" s="16" t="s">
        <v>308</v>
      </c>
      <c r="I412" s="16" t="s">
        <v>230</v>
      </c>
      <c r="J412" s="16" t="str">
        <f>IF(ISNUMBER(SEARCH("SCRW", H412)), _xlfn.XLOOKUP(C412,dd_item!$A$2:$A$147,dd_item!$B$2:$B$147,"",0),_xlfn.XLOOKUP(H412,dd_item!$A$2:$A$147,dd_item!$B$2:$B$147,"",0))</f>
        <v>Track Bridge</v>
      </c>
      <c r="K412" s="16" t="str">
        <f>_xlfn.XLOOKUP(A412,dd_design_raw!$C$2:$C$1002,dd_design_raw!$A$2:$A$1002,"",0)</f>
        <v>Fix Slide Slide Slide Slide Fix Dr</v>
      </c>
      <c r="L412" s="16" t="str">
        <f>_xlfn.XLOOKUP(I412,dd_accsryclr!$A$2:$A$1000,dd_accsryclr!$A$2:$A$1000,"",0)</f>
        <v>BRWN</v>
      </c>
    </row>
    <row r="413" spans="1:12" hidden="1" x14ac:dyDescent="0.25">
      <c r="A413" s="16" t="s">
        <v>198</v>
      </c>
      <c r="B413" s="16" t="s">
        <v>466</v>
      </c>
      <c r="C413" s="16" t="s">
        <v>309</v>
      </c>
      <c r="D413" s="16" t="s">
        <v>310</v>
      </c>
      <c r="E413" s="16">
        <v>10</v>
      </c>
      <c r="F413" s="16" t="s">
        <v>293</v>
      </c>
      <c r="G413" s="16"/>
      <c r="H413" s="16" t="s">
        <v>308</v>
      </c>
      <c r="I413" s="16" t="s">
        <v>220</v>
      </c>
      <c r="J413" s="16" t="str">
        <f>IF(ISNUMBER(SEARCH("SCRW", H413)), _xlfn.XLOOKUP(C413,dd_item!$A$2:$A$147,dd_item!$B$2:$B$147,"",0),_xlfn.XLOOKUP(H413,dd_item!$A$2:$A$147,dd_item!$B$2:$B$147,"",0))</f>
        <v>Track Bridge</v>
      </c>
      <c r="K413" s="16" t="str">
        <f>_xlfn.XLOOKUP(A413,dd_design_raw!$C$2:$C$1002,dd_design_raw!$A$2:$A$1002,"",0)</f>
        <v>Fix Slide Slide Slide Slide Fix Dr</v>
      </c>
      <c r="L413" s="16" t="str">
        <f>_xlfn.XLOOKUP(I413,dd_accsryclr!$A$2:$A$1000,dd_accsryclr!$A$2:$A$1000,"",0)</f>
        <v>WHT</v>
      </c>
    </row>
    <row r="414" spans="1:12" hidden="1" x14ac:dyDescent="0.25">
      <c r="A414" s="16" t="s">
        <v>198</v>
      </c>
      <c r="B414" s="16" t="s">
        <v>466</v>
      </c>
      <c r="C414" s="16" t="s">
        <v>311</v>
      </c>
      <c r="D414" s="16" t="s">
        <v>312</v>
      </c>
      <c r="E414" s="16">
        <v>8</v>
      </c>
      <c r="F414" s="16" t="s">
        <v>293</v>
      </c>
      <c r="G414" s="16"/>
      <c r="H414" s="16" t="s">
        <v>313</v>
      </c>
      <c r="I414" s="16" t="s">
        <v>482</v>
      </c>
      <c r="J414" s="16" t="str">
        <f>IF(ISNUMBER(SEARCH("SCRW", H414)), _xlfn.XLOOKUP(C414,dd_item!$A$2:$A$147,dd_item!$B$2:$B$147,"",0),_xlfn.XLOOKUP(H414,dd_item!$A$2:$A$147,dd_item!$B$2:$B$147,"",0))</f>
        <v>Roller for Door</v>
      </c>
      <c r="K414" s="16" t="str">
        <f>_xlfn.XLOOKUP(A414,dd_design_raw!$C$2:$C$1002,dd_design_raw!$A$2:$A$1002,"",0)</f>
        <v>Fix Slide Slide Slide Slide Fix Dr</v>
      </c>
      <c r="L414" s="16" t="str">
        <f>_xlfn.XLOOKUP(I414,dd_accsryclr!$A$2:$A$1000,dd_accsryclr!$A$2:$A$1000,"",0)</f>
        <v/>
      </c>
    </row>
    <row r="415" spans="1:12" hidden="1" x14ac:dyDescent="0.25">
      <c r="A415" s="16" t="s">
        <v>198</v>
      </c>
      <c r="B415" s="16" t="s">
        <v>466</v>
      </c>
      <c r="C415" s="16" t="s">
        <v>314</v>
      </c>
      <c r="D415" s="16" t="s">
        <v>315</v>
      </c>
      <c r="E415" s="16">
        <v>8</v>
      </c>
      <c r="F415" s="16" t="s">
        <v>293</v>
      </c>
      <c r="G415" s="16"/>
      <c r="H415" s="16" t="s">
        <v>313</v>
      </c>
      <c r="I415" s="16" t="s">
        <v>482</v>
      </c>
      <c r="J415" s="16" t="str">
        <f>IF(ISNUMBER(SEARCH("SCRW", H415)), _xlfn.XLOOKUP(C415,dd_item!$A$2:$A$147,dd_item!$B$2:$B$147,"",0),_xlfn.XLOOKUP(H415,dd_item!$A$2:$A$147,dd_item!$B$2:$B$147,"",0))</f>
        <v>Roller for Door</v>
      </c>
      <c r="K415" s="16" t="str">
        <f>_xlfn.XLOOKUP(A415,dd_design_raw!$C$2:$C$1002,dd_design_raw!$A$2:$A$1002,"",0)</f>
        <v>Fix Slide Slide Slide Slide Fix Dr</v>
      </c>
      <c r="L415" s="16" t="str">
        <f>_xlfn.XLOOKUP(I415,dd_accsryclr!$A$2:$A$1000,dd_accsryclr!$A$2:$A$1000,"",0)</f>
        <v/>
      </c>
    </row>
    <row r="416" spans="1:12" hidden="1" x14ac:dyDescent="0.25">
      <c r="A416" s="16" t="s">
        <v>198</v>
      </c>
      <c r="B416" s="16" t="s">
        <v>466</v>
      </c>
      <c r="C416" s="16" t="s">
        <v>334</v>
      </c>
      <c r="D416" s="16" t="s">
        <v>335</v>
      </c>
      <c r="E416" s="16">
        <v>4.8544</v>
      </c>
      <c r="F416" s="16" t="s">
        <v>194</v>
      </c>
      <c r="G416" s="16"/>
      <c r="H416" s="16" t="s">
        <v>336</v>
      </c>
      <c r="I416" s="16" t="s">
        <v>211</v>
      </c>
      <c r="J416" s="16" t="str">
        <f>IF(ISNUMBER(SEARCH("SCRW", H416)), _xlfn.XLOOKUP(C416,dd_item!$A$2:$A$147,dd_item!$B$2:$B$147,"",0),_xlfn.XLOOKUP(H416,dd_item!$A$2:$A$147,dd_item!$B$2:$B$147,"",0))</f>
        <v>Interlocker50</v>
      </c>
      <c r="K416" s="16" t="str">
        <f>_xlfn.XLOOKUP(A416,dd_design_raw!$C$2:$C$1002,dd_design_raw!$A$2:$A$1002,"",0)</f>
        <v>Fix Slide Slide Slide Slide Fix Dr</v>
      </c>
      <c r="L416" s="16" t="str">
        <f>_xlfn.XLOOKUP(I416,dd_accsryclr!$A$2:$A$1000,dd_accsryclr!$A$2:$A$1000,"",0)</f>
        <v/>
      </c>
    </row>
    <row r="417" spans="1:12" hidden="1" x14ac:dyDescent="0.25">
      <c r="A417" s="16" t="s">
        <v>198</v>
      </c>
      <c r="B417" s="16" t="s">
        <v>466</v>
      </c>
      <c r="C417" s="16" t="s">
        <v>337</v>
      </c>
      <c r="D417" s="16" t="s">
        <v>338</v>
      </c>
      <c r="E417" s="16">
        <v>4.8544</v>
      </c>
      <c r="F417" s="16" t="s">
        <v>194</v>
      </c>
      <c r="G417" s="16"/>
      <c r="H417" s="16" t="s">
        <v>336</v>
      </c>
      <c r="I417" s="16" t="s">
        <v>214</v>
      </c>
      <c r="J417" s="16" t="str">
        <f>IF(ISNUMBER(SEARCH("SCRW", H417)), _xlfn.XLOOKUP(C417,dd_item!$A$2:$A$147,dd_item!$B$2:$B$147,"",0),_xlfn.XLOOKUP(H417,dd_item!$A$2:$A$147,dd_item!$B$2:$B$147,"",0))</f>
        <v>Interlocker50</v>
      </c>
      <c r="K417" s="16" t="str">
        <f>_xlfn.XLOOKUP(A417,dd_design_raw!$C$2:$C$1002,dd_design_raw!$A$2:$A$1002,"",0)</f>
        <v>Fix Slide Slide Slide Slide Fix Dr</v>
      </c>
      <c r="L417" s="16" t="str">
        <f>_xlfn.XLOOKUP(I417,dd_accsryclr!$A$2:$A$1000,dd_accsryclr!$A$2:$A$1000,"",0)</f>
        <v/>
      </c>
    </row>
    <row r="418" spans="1:12" hidden="1" x14ac:dyDescent="0.25">
      <c r="A418" s="16" t="s">
        <v>198</v>
      </c>
      <c r="B418" s="16" t="s">
        <v>466</v>
      </c>
      <c r="C418" s="16" t="s">
        <v>339</v>
      </c>
      <c r="D418" s="16" t="s">
        <v>340</v>
      </c>
      <c r="E418" s="16">
        <v>4.8544</v>
      </c>
      <c r="F418" s="16" t="s">
        <v>194</v>
      </c>
      <c r="G418" s="16"/>
      <c r="H418" s="16" t="s">
        <v>336</v>
      </c>
      <c r="I418" s="16" t="s">
        <v>217</v>
      </c>
      <c r="J418" s="16" t="str">
        <f>IF(ISNUMBER(SEARCH("SCRW", H418)), _xlfn.XLOOKUP(C418,dd_item!$A$2:$A$147,dd_item!$B$2:$B$147,"",0),_xlfn.XLOOKUP(H418,dd_item!$A$2:$A$147,dd_item!$B$2:$B$147,"",0))</f>
        <v>Interlocker50</v>
      </c>
      <c r="K418" s="16" t="str">
        <f>_xlfn.XLOOKUP(A418,dd_design_raw!$C$2:$C$1002,dd_design_raw!$A$2:$A$1002,"",0)</f>
        <v>Fix Slide Slide Slide Slide Fix Dr</v>
      </c>
      <c r="L418" s="16" t="str">
        <f>_xlfn.XLOOKUP(I418,dd_accsryclr!$A$2:$A$1000,dd_accsryclr!$A$2:$A$1000,"",0)</f>
        <v/>
      </c>
    </row>
    <row r="419" spans="1:12" hidden="1" x14ac:dyDescent="0.25">
      <c r="A419" s="16" t="s">
        <v>198</v>
      </c>
      <c r="B419" s="16" t="s">
        <v>466</v>
      </c>
      <c r="C419" s="16" t="s">
        <v>341</v>
      </c>
      <c r="D419" s="16" t="s">
        <v>342</v>
      </c>
      <c r="E419" s="16">
        <v>4.8544</v>
      </c>
      <c r="F419" s="16" t="s">
        <v>194</v>
      </c>
      <c r="G419" s="16"/>
      <c r="H419" s="16" t="s">
        <v>336</v>
      </c>
      <c r="I419" s="16" t="s">
        <v>226</v>
      </c>
      <c r="J419" s="16" t="str">
        <f>IF(ISNUMBER(SEARCH("SCRW", H419)), _xlfn.XLOOKUP(C419,dd_item!$A$2:$A$147,dd_item!$B$2:$B$147,"",0),_xlfn.XLOOKUP(H419,dd_item!$A$2:$A$147,dd_item!$B$2:$B$147,"",0))</f>
        <v>Interlocker50</v>
      </c>
      <c r="K419" s="16" t="str">
        <f>_xlfn.XLOOKUP(A419,dd_design_raw!$C$2:$C$1002,dd_design_raw!$A$2:$A$1002,"",0)</f>
        <v>Fix Slide Slide Slide Slide Fix Dr</v>
      </c>
      <c r="L419" s="16" t="str">
        <f>_xlfn.XLOOKUP(I419,dd_accsryclr!$A$2:$A$1000,dd_accsryclr!$A$2:$A$1000,"",0)</f>
        <v/>
      </c>
    </row>
    <row r="420" spans="1:12" hidden="1" x14ac:dyDescent="0.25">
      <c r="A420" s="16" t="s">
        <v>198</v>
      </c>
      <c r="B420" s="16" t="s">
        <v>466</v>
      </c>
      <c r="C420" s="16" t="s">
        <v>343</v>
      </c>
      <c r="D420" s="16" t="s">
        <v>344</v>
      </c>
      <c r="E420" s="16">
        <v>4.8544</v>
      </c>
      <c r="F420" s="16" t="s">
        <v>194</v>
      </c>
      <c r="G420" s="16"/>
      <c r="H420" s="16" t="s">
        <v>336</v>
      </c>
      <c r="I420" s="16" t="s">
        <v>220</v>
      </c>
      <c r="J420" s="16" t="str">
        <f>IF(ISNUMBER(SEARCH("SCRW", H420)), _xlfn.XLOOKUP(C420,dd_item!$A$2:$A$147,dd_item!$B$2:$B$147,"",0),_xlfn.XLOOKUP(H420,dd_item!$A$2:$A$147,dd_item!$B$2:$B$147,"",0))</f>
        <v>Interlocker50</v>
      </c>
      <c r="K420" s="16" t="str">
        <f>_xlfn.XLOOKUP(A420,dd_design_raw!$C$2:$C$1002,dd_design_raw!$A$2:$A$1002,"",0)</f>
        <v>Fix Slide Slide Slide Slide Fix Dr</v>
      </c>
      <c r="L420" s="16" t="str">
        <f>_xlfn.XLOOKUP(I420,dd_accsryclr!$A$2:$A$1000,dd_accsryclr!$A$2:$A$1000,"",0)</f>
        <v>WHT</v>
      </c>
    </row>
    <row r="421" spans="1:12" hidden="1" x14ac:dyDescent="0.25">
      <c r="A421" s="16" t="s">
        <v>198</v>
      </c>
      <c r="B421" s="16" t="s">
        <v>466</v>
      </c>
      <c r="C421" s="16" t="s">
        <v>345</v>
      </c>
      <c r="D421" s="16" t="s">
        <v>346</v>
      </c>
      <c r="E421" s="16">
        <v>4.8544</v>
      </c>
      <c r="F421" s="16" t="s">
        <v>194</v>
      </c>
      <c r="G421" s="16"/>
      <c r="H421" s="16" t="s">
        <v>336</v>
      </c>
      <c r="I421" s="16" t="s">
        <v>223</v>
      </c>
      <c r="J421" s="16" t="str">
        <f>IF(ISNUMBER(SEARCH("SCRW", H421)), _xlfn.XLOOKUP(C421,dd_item!$A$2:$A$147,dd_item!$B$2:$B$147,"",0),_xlfn.XLOOKUP(H421,dd_item!$A$2:$A$147,dd_item!$B$2:$B$147,"",0))</f>
        <v>Interlocker50</v>
      </c>
      <c r="K421" s="16" t="str">
        <f>_xlfn.XLOOKUP(A421,dd_design_raw!$C$2:$C$1002,dd_design_raw!$A$2:$A$1002,"",0)</f>
        <v>Fix Slide Slide Slide Slide Fix Dr</v>
      </c>
      <c r="L421" s="16" t="str">
        <f>_xlfn.XLOOKUP(I421,dd_accsryclr!$A$2:$A$1000,dd_accsryclr!$A$2:$A$1000,"",0)</f>
        <v>BLK</v>
      </c>
    </row>
    <row r="422" spans="1:12" hidden="1" x14ac:dyDescent="0.25">
      <c r="A422" s="16" t="s">
        <v>198</v>
      </c>
      <c r="B422" s="16" t="s">
        <v>466</v>
      </c>
      <c r="C422" s="16" t="s">
        <v>347</v>
      </c>
      <c r="D422" s="16" t="s">
        <v>348</v>
      </c>
      <c r="E422" s="16">
        <v>4.8544</v>
      </c>
      <c r="F422" s="16" t="s">
        <v>194</v>
      </c>
      <c r="G422" s="16"/>
      <c r="H422" s="16" t="s">
        <v>336</v>
      </c>
      <c r="I422" s="16" t="s">
        <v>230</v>
      </c>
      <c r="J422" s="16" t="str">
        <f>IF(ISNUMBER(SEARCH("SCRW", H422)), _xlfn.XLOOKUP(C422,dd_item!$A$2:$A$147,dd_item!$B$2:$B$147,"",0),_xlfn.XLOOKUP(H422,dd_item!$A$2:$A$147,dd_item!$B$2:$B$147,"",0))</f>
        <v>Interlocker50</v>
      </c>
      <c r="K422" s="16" t="str">
        <f>_xlfn.XLOOKUP(A422,dd_design_raw!$C$2:$C$1002,dd_design_raw!$A$2:$A$1002,"",0)</f>
        <v>Fix Slide Slide Slide Slide Fix Dr</v>
      </c>
      <c r="L422" s="16" t="str">
        <f>_xlfn.XLOOKUP(I422,dd_accsryclr!$A$2:$A$1000,dd_accsryclr!$A$2:$A$1000,"",0)</f>
        <v>BRWN</v>
      </c>
    </row>
    <row r="423" spans="1:12" hidden="1" x14ac:dyDescent="0.25">
      <c r="A423" s="16" t="s">
        <v>198</v>
      </c>
      <c r="B423" s="16" t="s">
        <v>466</v>
      </c>
      <c r="C423" s="16" t="s">
        <v>428</v>
      </c>
      <c r="D423" s="16" t="s">
        <v>429</v>
      </c>
      <c r="E423" s="16">
        <v>0.52310344827586208</v>
      </c>
      <c r="F423" s="16" t="s">
        <v>194</v>
      </c>
      <c r="G423" s="16"/>
      <c r="H423" s="16" t="s">
        <v>430</v>
      </c>
      <c r="I423" s="16" t="s">
        <v>223</v>
      </c>
      <c r="J423" s="16" t="str">
        <f>IF(ISNUMBER(SEARCH("SCRW", H423)), _xlfn.XLOOKUP(C423,dd_item!$A$2:$A$147,dd_item!$B$2:$B$147,"",0),_xlfn.XLOOKUP(H423,dd_item!$A$2:$A$147,dd_item!$B$2:$B$147,"",0))</f>
        <v>Inline Adapter 50</v>
      </c>
      <c r="K423" s="16" t="str">
        <f>_xlfn.XLOOKUP(A423,dd_design_raw!$C$2:$C$1002,dd_design_raw!$A$2:$A$1002,"",0)</f>
        <v>Fix Slide Slide Slide Slide Fix Dr</v>
      </c>
      <c r="L423" s="16" t="str">
        <f>_xlfn.XLOOKUP(I423,dd_accsryclr!$A$2:$A$1000,dd_accsryclr!$A$2:$A$1000,"",0)</f>
        <v>BLK</v>
      </c>
    </row>
    <row r="424" spans="1:12" hidden="1" x14ac:dyDescent="0.25">
      <c r="A424" s="16" t="s">
        <v>198</v>
      </c>
      <c r="B424" s="16" t="s">
        <v>466</v>
      </c>
      <c r="C424" s="16" t="s">
        <v>431</v>
      </c>
      <c r="D424" s="16" t="s">
        <v>432</v>
      </c>
      <c r="E424" s="16">
        <v>0.52310344827586208</v>
      </c>
      <c r="F424" s="16" t="s">
        <v>194</v>
      </c>
      <c r="G424" s="16"/>
      <c r="H424" s="16" t="s">
        <v>430</v>
      </c>
      <c r="I424" s="16" t="s">
        <v>211</v>
      </c>
      <c r="J424" s="16" t="str">
        <f>IF(ISNUMBER(SEARCH("SCRW", H424)), _xlfn.XLOOKUP(C424,dd_item!$A$2:$A$147,dd_item!$B$2:$B$147,"",0),_xlfn.XLOOKUP(H424,dd_item!$A$2:$A$147,dd_item!$B$2:$B$147,"",0))</f>
        <v>Inline Adapter 50</v>
      </c>
      <c r="K424" s="16" t="str">
        <f>_xlfn.XLOOKUP(A424,dd_design_raw!$C$2:$C$1002,dd_design_raw!$A$2:$A$1002,"",0)</f>
        <v>Fix Slide Slide Slide Slide Fix Dr</v>
      </c>
      <c r="L424" s="16" t="str">
        <f>_xlfn.XLOOKUP(I424,dd_accsryclr!$A$2:$A$1000,dd_accsryclr!$A$2:$A$1000,"",0)</f>
        <v/>
      </c>
    </row>
    <row r="425" spans="1:12" hidden="1" x14ac:dyDescent="0.25">
      <c r="A425" s="16" t="s">
        <v>198</v>
      </c>
      <c r="B425" s="16" t="s">
        <v>466</v>
      </c>
      <c r="C425" s="16" t="s">
        <v>433</v>
      </c>
      <c r="D425" s="16" t="s">
        <v>434</v>
      </c>
      <c r="E425" s="16">
        <v>0.52310344827586208</v>
      </c>
      <c r="F425" s="16" t="s">
        <v>194</v>
      </c>
      <c r="G425" s="16"/>
      <c r="H425" s="16" t="s">
        <v>430</v>
      </c>
      <c r="I425" s="16" t="s">
        <v>214</v>
      </c>
      <c r="J425" s="16" t="str">
        <f>IF(ISNUMBER(SEARCH("SCRW", H425)), _xlfn.XLOOKUP(C425,dd_item!$A$2:$A$147,dd_item!$B$2:$B$147,"",0),_xlfn.XLOOKUP(H425,dd_item!$A$2:$A$147,dd_item!$B$2:$B$147,"",0))</f>
        <v>Inline Adapter 50</v>
      </c>
      <c r="K425" s="16" t="str">
        <f>_xlfn.XLOOKUP(A425,dd_design_raw!$C$2:$C$1002,dd_design_raw!$A$2:$A$1002,"",0)</f>
        <v>Fix Slide Slide Slide Slide Fix Dr</v>
      </c>
      <c r="L425" s="16" t="str">
        <f>_xlfn.XLOOKUP(I425,dd_accsryclr!$A$2:$A$1000,dd_accsryclr!$A$2:$A$1000,"",0)</f>
        <v/>
      </c>
    </row>
    <row r="426" spans="1:12" hidden="1" x14ac:dyDescent="0.25">
      <c r="A426" s="16" t="s">
        <v>198</v>
      </c>
      <c r="B426" s="16" t="s">
        <v>466</v>
      </c>
      <c r="C426" s="16" t="s">
        <v>435</v>
      </c>
      <c r="D426" s="16" t="s">
        <v>436</v>
      </c>
      <c r="E426" s="16">
        <v>0.52310344827586208</v>
      </c>
      <c r="F426" s="16" t="s">
        <v>194</v>
      </c>
      <c r="G426" s="16"/>
      <c r="H426" s="16" t="s">
        <v>430</v>
      </c>
      <c r="I426" s="16" t="s">
        <v>217</v>
      </c>
      <c r="J426" s="16" t="str">
        <f>IF(ISNUMBER(SEARCH("SCRW", H426)), _xlfn.XLOOKUP(C426,dd_item!$A$2:$A$147,dd_item!$B$2:$B$147,"",0),_xlfn.XLOOKUP(H426,dd_item!$A$2:$A$147,dd_item!$B$2:$B$147,"",0))</f>
        <v>Inline Adapter 50</v>
      </c>
      <c r="K426" s="16" t="str">
        <f>_xlfn.XLOOKUP(A426,dd_design_raw!$C$2:$C$1002,dd_design_raw!$A$2:$A$1002,"",0)</f>
        <v>Fix Slide Slide Slide Slide Fix Dr</v>
      </c>
      <c r="L426" s="16" t="str">
        <f>_xlfn.XLOOKUP(I426,dd_accsryclr!$A$2:$A$1000,dd_accsryclr!$A$2:$A$1000,"",0)</f>
        <v/>
      </c>
    </row>
    <row r="427" spans="1:12" hidden="1" x14ac:dyDescent="0.25">
      <c r="A427" s="16" t="s">
        <v>198</v>
      </c>
      <c r="B427" s="16" t="s">
        <v>466</v>
      </c>
      <c r="C427" s="16" t="s">
        <v>437</v>
      </c>
      <c r="D427" s="16" t="s">
        <v>438</v>
      </c>
      <c r="E427" s="16">
        <v>0.52310344827586208</v>
      </c>
      <c r="F427" s="16" t="s">
        <v>194</v>
      </c>
      <c r="G427" s="16"/>
      <c r="H427" s="16" t="s">
        <v>430</v>
      </c>
      <c r="I427" s="16" t="s">
        <v>226</v>
      </c>
      <c r="J427" s="16" t="str">
        <f>IF(ISNUMBER(SEARCH("SCRW", H427)), _xlfn.XLOOKUP(C427,dd_item!$A$2:$A$147,dd_item!$B$2:$B$147,"",0),_xlfn.XLOOKUP(H427,dd_item!$A$2:$A$147,dd_item!$B$2:$B$147,"",0))</f>
        <v>Inline Adapter 50</v>
      </c>
      <c r="K427" s="16" t="str">
        <f>_xlfn.XLOOKUP(A427,dd_design_raw!$C$2:$C$1002,dd_design_raw!$A$2:$A$1002,"",0)</f>
        <v>Fix Slide Slide Slide Slide Fix Dr</v>
      </c>
      <c r="L427" s="16" t="str">
        <f>_xlfn.XLOOKUP(I427,dd_accsryclr!$A$2:$A$1000,dd_accsryclr!$A$2:$A$1000,"",0)</f>
        <v/>
      </c>
    </row>
    <row r="428" spans="1:12" hidden="1" x14ac:dyDescent="0.25">
      <c r="A428" s="16" t="s">
        <v>198</v>
      </c>
      <c r="B428" s="16" t="s">
        <v>466</v>
      </c>
      <c r="C428" s="16" t="s">
        <v>439</v>
      </c>
      <c r="D428" s="16" t="s">
        <v>440</v>
      </c>
      <c r="E428" s="16">
        <v>0.52310344827586208</v>
      </c>
      <c r="F428" s="16" t="s">
        <v>194</v>
      </c>
      <c r="G428" s="16"/>
      <c r="H428" s="16" t="s">
        <v>430</v>
      </c>
      <c r="I428" s="16" t="s">
        <v>220</v>
      </c>
      <c r="J428" s="16" t="str">
        <f>IF(ISNUMBER(SEARCH("SCRW", H428)), _xlfn.XLOOKUP(C428,dd_item!$A$2:$A$147,dd_item!$B$2:$B$147,"",0),_xlfn.XLOOKUP(H428,dd_item!$A$2:$A$147,dd_item!$B$2:$B$147,"",0))</f>
        <v>Inline Adapter 50</v>
      </c>
      <c r="K428" s="16" t="str">
        <f>_xlfn.XLOOKUP(A428,dd_design_raw!$C$2:$C$1002,dd_design_raw!$A$2:$A$1002,"",0)</f>
        <v>Fix Slide Slide Slide Slide Fix Dr</v>
      </c>
      <c r="L428" s="16" t="str">
        <f>_xlfn.XLOOKUP(I428,dd_accsryclr!$A$2:$A$1000,dd_accsryclr!$A$2:$A$1000,"",0)</f>
        <v>WHT</v>
      </c>
    </row>
    <row r="429" spans="1:12" hidden="1" x14ac:dyDescent="0.25">
      <c r="A429" s="16" t="s">
        <v>198</v>
      </c>
      <c r="B429" s="16" t="s">
        <v>466</v>
      </c>
      <c r="C429" s="16" t="s">
        <v>441</v>
      </c>
      <c r="D429" s="16" t="s">
        <v>442</v>
      </c>
      <c r="E429" s="16">
        <v>0.52310344827586208</v>
      </c>
      <c r="F429" s="16" t="s">
        <v>194</v>
      </c>
      <c r="G429" s="16"/>
      <c r="H429" s="16" t="s">
        <v>430</v>
      </c>
      <c r="I429" s="16" t="s">
        <v>230</v>
      </c>
      <c r="J429" s="16" t="str">
        <f>IF(ISNUMBER(SEARCH("SCRW", H429)), _xlfn.XLOOKUP(C429,dd_item!$A$2:$A$147,dd_item!$B$2:$B$147,"",0),_xlfn.XLOOKUP(H429,dd_item!$A$2:$A$147,dd_item!$B$2:$B$147,"",0))</f>
        <v>Inline Adapter 50</v>
      </c>
      <c r="K429" s="16" t="str">
        <f>_xlfn.XLOOKUP(A429,dd_design_raw!$C$2:$C$1002,dd_design_raw!$A$2:$A$1002,"",0)</f>
        <v>Fix Slide Slide Slide Slide Fix Dr</v>
      </c>
      <c r="L429" s="16" t="str">
        <f>_xlfn.XLOOKUP(I429,dd_accsryclr!$A$2:$A$1000,dd_accsryclr!$A$2:$A$1000,"",0)</f>
        <v>BRWN</v>
      </c>
    </row>
    <row r="430" spans="1:12" hidden="1" x14ac:dyDescent="0.25">
      <c r="A430" s="16" t="s">
        <v>198</v>
      </c>
      <c r="B430" s="16" t="s">
        <v>466</v>
      </c>
      <c r="C430" s="16" t="s">
        <v>364</v>
      </c>
      <c r="D430" s="16" t="s">
        <v>365</v>
      </c>
      <c r="E430" s="16">
        <v>4.9427586206896548</v>
      </c>
      <c r="F430" s="16" t="s">
        <v>293</v>
      </c>
      <c r="G430" s="16"/>
      <c r="H430" s="16" t="s">
        <v>366</v>
      </c>
      <c r="I430" s="16" t="s">
        <v>443</v>
      </c>
      <c r="J430" s="16" t="str">
        <f>IF(ISNUMBER(SEARCH("SCRW", H430)), _xlfn.XLOOKUP(C430,dd_item!$A$2:$A$147,dd_item!$B$2:$B$147,"",0),_xlfn.XLOOKUP(H430,dd_item!$A$2:$A$147,dd_item!$B$2:$B$147,"",0))</f>
        <v>Aluminum Track</v>
      </c>
      <c r="K430" s="16" t="str">
        <f>_xlfn.XLOOKUP(A430,dd_design_raw!$C$2:$C$1002,dd_design_raw!$A$2:$A$1002,"",0)</f>
        <v>Fix Slide Slide Slide Slide Fix Dr</v>
      </c>
      <c r="L430" s="16" t="str">
        <f>_xlfn.XLOOKUP(I430,dd_accsryclr!$A$2:$A$1000,dd_accsryclr!$A$2:$A$1000,"",0)</f>
        <v/>
      </c>
    </row>
    <row r="431" spans="1:12" hidden="1" x14ac:dyDescent="0.25">
      <c r="A431" s="16" t="s">
        <v>198</v>
      </c>
      <c r="B431" s="16" t="s">
        <v>466</v>
      </c>
      <c r="C431" s="16" t="s">
        <v>367</v>
      </c>
      <c r="D431" s="16" t="s">
        <v>368</v>
      </c>
      <c r="E431" s="16">
        <v>1</v>
      </c>
      <c r="F431" s="16" t="s">
        <v>369</v>
      </c>
      <c r="G431" s="16"/>
      <c r="H431" s="16" t="s">
        <v>370</v>
      </c>
      <c r="I431" s="16" t="s">
        <v>223</v>
      </c>
      <c r="J431" s="16" t="str">
        <f>IF(ISNUMBER(SEARCH("SCRW", H431)), _xlfn.XLOOKUP(C431,dd_item!$A$2:$A$147,dd_item!$B$2:$B$147,"",0),_xlfn.XLOOKUP(H431,dd_item!$A$2:$A$147,dd_item!$B$2:$B$147,"",0))</f>
        <v>SD Kit Handle</v>
      </c>
      <c r="K431" s="16" t="str">
        <f>_xlfn.XLOOKUP(A431,dd_design_raw!$C$2:$C$1002,dd_design_raw!$A$2:$A$1002,"",0)</f>
        <v>Fix Slide Slide Slide Slide Fix Dr</v>
      </c>
      <c r="L431" s="16" t="str">
        <f>_xlfn.XLOOKUP(I431,dd_accsryclr!$A$2:$A$1000,dd_accsryclr!$A$2:$A$1000,"",0)</f>
        <v>BLK</v>
      </c>
    </row>
    <row r="432" spans="1:12" hidden="1" x14ac:dyDescent="0.25">
      <c r="A432" s="16" t="s">
        <v>198</v>
      </c>
      <c r="B432" s="16" t="s">
        <v>466</v>
      </c>
      <c r="C432" s="16" t="s">
        <v>371</v>
      </c>
      <c r="D432" s="16" t="s">
        <v>372</v>
      </c>
      <c r="E432" s="16">
        <v>1</v>
      </c>
      <c r="F432" s="16" t="s">
        <v>369</v>
      </c>
      <c r="G432" s="16"/>
      <c r="H432" s="16" t="s">
        <v>370</v>
      </c>
      <c r="I432" s="16" t="s">
        <v>220</v>
      </c>
      <c r="J432" s="16" t="str">
        <f>IF(ISNUMBER(SEARCH("SCRW", H432)), _xlfn.XLOOKUP(C432,dd_item!$A$2:$A$147,dd_item!$B$2:$B$147,"",0),_xlfn.XLOOKUP(H432,dd_item!$A$2:$A$147,dd_item!$B$2:$B$147,"",0))</f>
        <v>SD Kit Handle</v>
      </c>
      <c r="K432" s="16" t="str">
        <f>_xlfn.XLOOKUP(A432,dd_design_raw!$C$2:$C$1002,dd_design_raw!$A$2:$A$1002,"",0)</f>
        <v>Fix Slide Slide Slide Slide Fix Dr</v>
      </c>
      <c r="L432" s="16" t="str">
        <f>_xlfn.XLOOKUP(I432,dd_accsryclr!$A$2:$A$1000,dd_accsryclr!$A$2:$A$1000,"",0)</f>
        <v>WHT</v>
      </c>
    </row>
    <row r="433" spans="1:12" hidden="1" x14ac:dyDescent="0.25">
      <c r="A433" s="16" t="s">
        <v>198</v>
      </c>
      <c r="B433" s="16" t="s">
        <v>466</v>
      </c>
      <c r="C433" s="16" t="s">
        <v>444</v>
      </c>
      <c r="D433" s="16" t="s">
        <v>445</v>
      </c>
      <c r="E433" s="16">
        <v>1</v>
      </c>
      <c r="F433" s="16" t="s">
        <v>369</v>
      </c>
      <c r="G433" s="16"/>
      <c r="H433" s="16" t="s">
        <v>370</v>
      </c>
      <c r="I433" s="16" t="s">
        <v>223</v>
      </c>
      <c r="J433" s="16" t="str">
        <f>IF(ISNUMBER(SEARCH("SCRW", H433)), _xlfn.XLOOKUP(C433,dd_item!$A$2:$A$147,dd_item!$B$2:$B$147,"",0),_xlfn.XLOOKUP(H433,dd_item!$A$2:$A$147,dd_item!$B$2:$B$147,"",0))</f>
        <v>SD Kit Handle</v>
      </c>
      <c r="K433" s="16" t="str">
        <f>_xlfn.XLOOKUP(A433,dd_design_raw!$C$2:$C$1002,dd_design_raw!$A$2:$A$1002,"",0)</f>
        <v>Fix Slide Slide Slide Slide Fix Dr</v>
      </c>
      <c r="L433" s="16" t="str">
        <f>_xlfn.XLOOKUP(I433,dd_accsryclr!$A$2:$A$1000,dd_accsryclr!$A$2:$A$1000,"",0)</f>
        <v>BLK</v>
      </c>
    </row>
    <row r="434" spans="1:12" hidden="1" x14ac:dyDescent="0.25">
      <c r="A434" s="16" t="s">
        <v>198</v>
      </c>
      <c r="B434" s="16" t="s">
        <v>466</v>
      </c>
      <c r="C434" s="16" t="s">
        <v>446</v>
      </c>
      <c r="D434" s="16" t="s">
        <v>447</v>
      </c>
      <c r="E434" s="16">
        <v>1</v>
      </c>
      <c r="F434" s="16" t="s">
        <v>369</v>
      </c>
      <c r="G434" s="16"/>
      <c r="H434" s="16" t="s">
        <v>370</v>
      </c>
      <c r="I434" s="16" t="s">
        <v>220</v>
      </c>
      <c r="J434" s="16" t="str">
        <f>IF(ISNUMBER(SEARCH("SCRW", H434)), _xlfn.XLOOKUP(C434,dd_item!$A$2:$A$147,dd_item!$B$2:$B$147,"",0),_xlfn.XLOOKUP(H434,dd_item!$A$2:$A$147,dd_item!$B$2:$B$147,"",0))</f>
        <v>SD Kit Handle</v>
      </c>
      <c r="K434" s="16" t="str">
        <f>_xlfn.XLOOKUP(A434,dd_design_raw!$C$2:$C$1002,dd_design_raw!$A$2:$A$1002,"",0)</f>
        <v>Fix Slide Slide Slide Slide Fix Dr</v>
      </c>
      <c r="L434" s="16" t="str">
        <f>_xlfn.XLOOKUP(I434,dd_accsryclr!$A$2:$A$1000,dd_accsryclr!$A$2:$A$1000,"",0)</f>
        <v>WHT</v>
      </c>
    </row>
    <row r="435" spans="1:12" hidden="1" x14ac:dyDescent="0.25">
      <c r="A435" s="16" t="s">
        <v>198</v>
      </c>
      <c r="B435" s="16" t="s">
        <v>466</v>
      </c>
      <c r="C435" s="16" t="s">
        <v>373</v>
      </c>
      <c r="D435" s="16" t="s">
        <v>374</v>
      </c>
      <c r="E435" s="16">
        <v>2</v>
      </c>
      <c r="F435" s="16" t="s">
        <v>369</v>
      </c>
      <c r="G435" s="16"/>
      <c r="H435" s="16" t="s">
        <v>370</v>
      </c>
      <c r="I435" s="16" t="s">
        <v>220</v>
      </c>
      <c r="J435" s="16" t="str">
        <f>IF(ISNUMBER(SEARCH("SCRW", H435)), _xlfn.XLOOKUP(C435,dd_item!$A$2:$A$147,dd_item!$B$2:$B$147,"",0),_xlfn.XLOOKUP(H435,dd_item!$A$2:$A$147,dd_item!$B$2:$B$147,"",0))</f>
        <v>SD Kit Handle</v>
      </c>
      <c r="K435" s="16" t="str">
        <f>_xlfn.XLOOKUP(A435,dd_design_raw!$C$2:$C$1002,dd_design_raw!$A$2:$A$1002,"",0)</f>
        <v>Fix Slide Slide Slide Slide Fix Dr</v>
      </c>
      <c r="L435" s="16" t="str">
        <f>_xlfn.XLOOKUP(I435,dd_accsryclr!$A$2:$A$1000,dd_accsryclr!$A$2:$A$1000,"",0)</f>
        <v>WHT</v>
      </c>
    </row>
    <row r="436" spans="1:12" hidden="1" x14ac:dyDescent="0.25">
      <c r="A436" s="16" t="s">
        <v>198</v>
      </c>
      <c r="B436" s="16" t="s">
        <v>466</v>
      </c>
      <c r="C436" s="16" t="s">
        <v>375</v>
      </c>
      <c r="D436" s="16" t="s">
        <v>376</v>
      </c>
      <c r="E436" s="16">
        <v>2</v>
      </c>
      <c r="F436" s="16" t="s">
        <v>369</v>
      </c>
      <c r="G436" s="16"/>
      <c r="H436" s="16" t="s">
        <v>370</v>
      </c>
      <c r="I436" s="16" t="s">
        <v>223</v>
      </c>
      <c r="J436" s="16" t="str">
        <f>IF(ISNUMBER(SEARCH("SCRW", H436)), _xlfn.XLOOKUP(C436,dd_item!$A$2:$A$147,dd_item!$B$2:$B$147,"",0),_xlfn.XLOOKUP(H436,dd_item!$A$2:$A$147,dd_item!$B$2:$B$147,"",0))</f>
        <v>SD Kit Handle</v>
      </c>
      <c r="K436" s="16" t="str">
        <f>_xlfn.XLOOKUP(A436,dd_design_raw!$C$2:$C$1002,dd_design_raw!$A$2:$A$1002,"",0)</f>
        <v>Fix Slide Slide Slide Slide Fix Dr</v>
      </c>
      <c r="L436" s="16" t="str">
        <f>_xlfn.XLOOKUP(I436,dd_accsryclr!$A$2:$A$1000,dd_accsryclr!$A$2:$A$1000,"",0)</f>
        <v>BLK</v>
      </c>
    </row>
    <row r="437" spans="1:12" hidden="1" x14ac:dyDescent="0.25">
      <c r="A437" s="16" t="s">
        <v>198</v>
      </c>
      <c r="B437" s="16" t="s">
        <v>466</v>
      </c>
      <c r="C437" s="16" t="s">
        <v>377</v>
      </c>
      <c r="D437" s="16" t="s">
        <v>378</v>
      </c>
      <c r="E437" s="16">
        <v>1</v>
      </c>
      <c r="F437" s="16" t="s">
        <v>369</v>
      </c>
      <c r="G437" s="16"/>
      <c r="H437" s="16" t="s">
        <v>379</v>
      </c>
      <c r="I437" s="16"/>
      <c r="J437" s="16" t="str">
        <f>IF(ISNUMBER(SEARCH("SCRW", H437)), _xlfn.XLOOKUP(C437,dd_item!$A$2:$A$147,dd_item!$B$2:$B$147,"",0),_xlfn.XLOOKUP(H437,dd_item!$A$2:$A$147,dd_item!$B$2:$B$147,"",0))</f>
        <v xml:space="preserve">SD Kit Cylinder Door Knob </v>
      </c>
      <c r="K437" s="16" t="str">
        <f>_xlfn.XLOOKUP(A437,dd_design_raw!$C$2:$C$1002,dd_design_raw!$A$2:$A$1002,"",0)</f>
        <v>Fix Slide Slide Slide Slide Fix Dr</v>
      </c>
      <c r="L437" s="16" t="str">
        <f>_xlfn.XLOOKUP(I437,dd_accsryclr!$A$2:$A$1000,dd_accsryclr!$A$2:$A$1000,"",0)</f>
        <v/>
      </c>
    </row>
    <row r="438" spans="1:12" hidden="1" x14ac:dyDescent="0.25">
      <c r="A438" s="16" t="s">
        <v>198</v>
      </c>
      <c r="B438" s="16" t="s">
        <v>466</v>
      </c>
      <c r="C438" s="16" t="s">
        <v>380</v>
      </c>
      <c r="D438" s="16" t="s">
        <v>381</v>
      </c>
      <c r="E438" s="16">
        <v>1</v>
      </c>
      <c r="F438" s="16" t="s">
        <v>369</v>
      </c>
      <c r="G438" s="16"/>
      <c r="H438" s="16" t="s">
        <v>379</v>
      </c>
      <c r="I438" s="16"/>
      <c r="J438" s="16" t="str">
        <f>IF(ISNUMBER(SEARCH("SCRW", H438)), _xlfn.XLOOKUP(C438,dd_item!$A$2:$A$147,dd_item!$B$2:$B$147,"",0),_xlfn.XLOOKUP(H438,dd_item!$A$2:$A$147,dd_item!$B$2:$B$147,"",0))</f>
        <v xml:space="preserve">SD Kit Cylinder Door Knob </v>
      </c>
      <c r="K438" s="16" t="str">
        <f>_xlfn.XLOOKUP(A438,dd_design_raw!$C$2:$C$1002,dd_design_raw!$A$2:$A$1002,"",0)</f>
        <v>Fix Slide Slide Slide Slide Fix Dr</v>
      </c>
      <c r="L438" s="16" t="str">
        <f>_xlfn.XLOOKUP(I438,dd_accsryclr!$A$2:$A$1000,dd_accsryclr!$A$2:$A$1000,"",0)</f>
        <v/>
      </c>
    </row>
    <row r="439" spans="1:12" hidden="1" x14ac:dyDescent="0.25">
      <c r="A439" s="16" t="s">
        <v>198</v>
      </c>
      <c r="B439" s="16" t="s">
        <v>466</v>
      </c>
      <c r="C439" s="16" t="s">
        <v>382</v>
      </c>
      <c r="D439" s="16" t="s">
        <v>383</v>
      </c>
      <c r="E439" s="16">
        <v>1</v>
      </c>
      <c r="F439" s="16" t="s">
        <v>369</v>
      </c>
      <c r="G439" s="16"/>
      <c r="H439" s="16" t="s">
        <v>384</v>
      </c>
      <c r="I439" s="16" t="s">
        <v>223</v>
      </c>
      <c r="J439" s="16" t="str">
        <f>IF(ISNUMBER(SEARCH("SCRW", H439)), _xlfn.XLOOKUP(C439,dd_item!$A$2:$A$147,dd_item!$B$2:$B$147,"",0),_xlfn.XLOOKUP(H439,dd_item!$A$2:$A$147,dd_item!$B$2:$B$147,"",0))</f>
        <v>Cylinder Cover Set</v>
      </c>
      <c r="K439" s="16" t="str">
        <f>_xlfn.XLOOKUP(A439,dd_design_raw!$C$2:$C$1002,dd_design_raw!$A$2:$A$1002,"",0)</f>
        <v>Fix Slide Slide Slide Slide Fix Dr</v>
      </c>
      <c r="L439" s="16" t="str">
        <f>_xlfn.XLOOKUP(I439,dd_accsryclr!$A$2:$A$1000,dd_accsryclr!$A$2:$A$1000,"",0)</f>
        <v>BLK</v>
      </c>
    </row>
    <row r="440" spans="1:12" hidden="1" x14ac:dyDescent="0.25">
      <c r="A440" s="16" t="s">
        <v>198</v>
      </c>
      <c r="B440" s="16" t="s">
        <v>466</v>
      </c>
      <c r="C440" s="16" t="s">
        <v>385</v>
      </c>
      <c r="D440" s="16" t="s">
        <v>386</v>
      </c>
      <c r="E440" s="16">
        <v>1</v>
      </c>
      <c r="F440" s="16" t="s">
        <v>369</v>
      </c>
      <c r="G440" s="16"/>
      <c r="H440" s="16" t="s">
        <v>384</v>
      </c>
      <c r="I440" s="16" t="s">
        <v>220</v>
      </c>
      <c r="J440" s="16" t="str">
        <f>IF(ISNUMBER(SEARCH("SCRW", H440)), _xlfn.XLOOKUP(C440,dd_item!$A$2:$A$147,dd_item!$B$2:$B$147,"",0),_xlfn.XLOOKUP(H440,dd_item!$A$2:$A$147,dd_item!$B$2:$B$147,"",0))</f>
        <v>Cylinder Cover Set</v>
      </c>
      <c r="K440" s="16" t="str">
        <f>_xlfn.XLOOKUP(A440,dd_design_raw!$C$2:$C$1002,dd_design_raw!$A$2:$A$1002,"",0)</f>
        <v>Fix Slide Slide Slide Slide Fix Dr</v>
      </c>
      <c r="L440" s="16" t="str">
        <f>_xlfn.XLOOKUP(I440,dd_accsryclr!$A$2:$A$1000,dd_accsryclr!$A$2:$A$1000,"",0)</f>
        <v>WHT</v>
      </c>
    </row>
    <row r="441" spans="1:12" hidden="1" x14ac:dyDescent="0.25">
      <c r="A441" s="16" t="s">
        <v>198</v>
      </c>
      <c r="B441" s="16" t="s">
        <v>466</v>
      </c>
      <c r="C441" s="16" t="s">
        <v>387</v>
      </c>
      <c r="D441" s="16" t="s">
        <v>388</v>
      </c>
      <c r="E441" s="16">
        <v>4</v>
      </c>
      <c r="F441" s="16" t="s">
        <v>369</v>
      </c>
      <c r="G441" s="16"/>
      <c r="H441" s="16" t="s">
        <v>389</v>
      </c>
      <c r="I441" s="16"/>
      <c r="J441" s="16" t="str">
        <f>IF(ISNUMBER(SEARCH("SCRW", H441)), _xlfn.XLOOKUP(C441,dd_item!$A$2:$A$147,dd_item!$B$2:$B$147,"",0),_xlfn.XLOOKUP(H441,dd_item!$A$2:$A$147,dd_item!$B$2:$B$147,"",0))</f>
        <v>Sliding Striker (Roto)</v>
      </c>
      <c r="K441" s="16" t="str">
        <f>_xlfn.XLOOKUP(A441,dd_design_raw!$C$2:$C$1002,dd_design_raw!$A$2:$A$1002,"",0)</f>
        <v>Fix Slide Slide Slide Slide Fix Dr</v>
      </c>
      <c r="L441" s="16" t="str">
        <f>_xlfn.XLOOKUP(I441,dd_accsryclr!$A$2:$A$1000,dd_accsryclr!$A$2:$A$1000,"",0)</f>
        <v/>
      </c>
    </row>
    <row r="442" spans="1:12" hidden="1" x14ac:dyDescent="0.25">
      <c r="A442" s="16" t="s">
        <v>198</v>
      </c>
      <c r="B442" s="16" t="s">
        <v>466</v>
      </c>
      <c r="C442" s="16" t="s">
        <v>390</v>
      </c>
      <c r="D442" s="16" t="s">
        <v>391</v>
      </c>
      <c r="E442" s="16">
        <v>89.688000000000002</v>
      </c>
      <c r="F442" s="16" t="s">
        <v>369</v>
      </c>
      <c r="G442" s="16"/>
      <c r="H442" s="16" t="s">
        <v>792</v>
      </c>
      <c r="I442" s="16"/>
      <c r="J442" s="16" t="str">
        <f>IF(ISNUMBER(SEARCH("SCRW", H442)), _xlfn.XLOOKUP(C442,dd_item!$A$2:$A$147,dd_item!$B$2:$B$147,"",0),_xlfn.XLOOKUP(H442,dd_item!$A$2:$A$147,dd_item!$B$2:$B$147,"",0))</f>
        <v>Atlas Screw (S) 10 x 2-1/2" (Flat)</v>
      </c>
      <c r="K442" s="16" t="str">
        <f>_xlfn.XLOOKUP(A442,dd_design_raw!$C$2:$C$1002,dd_design_raw!$A$2:$A$1002,"",0)</f>
        <v>Fix Slide Slide Slide Slide Fix Dr</v>
      </c>
      <c r="L442" s="16" t="str">
        <f>_xlfn.XLOOKUP(I442,dd_accsryclr!$A$2:$A$1000,dd_accsryclr!$A$2:$A$1000,"",0)</f>
        <v/>
      </c>
    </row>
    <row r="443" spans="1:12" hidden="1" x14ac:dyDescent="0.25">
      <c r="A443" s="16" t="s">
        <v>198</v>
      </c>
      <c r="B443" s="16" t="s">
        <v>466</v>
      </c>
      <c r="C443" s="16" t="s">
        <v>392</v>
      </c>
      <c r="D443" s="16" t="s">
        <v>393</v>
      </c>
      <c r="E443" s="16">
        <v>3</v>
      </c>
      <c r="F443" s="16" t="s">
        <v>369</v>
      </c>
      <c r="G443" s="16"/>
      <c r="H443" s="16" t="s">
        <v>394</v>
      </c>
      <c r="I443" s="16" t="s">
        <v>223</v>
      </c>
      <c r="J443" s="16" t="str">
        <f>IF(ISNUMBER(SEARCH("SCRW", H443)), _xlfn.XLOOKUP(C443,dd_item!$A$2:$A$147,dd_item!$B$2:$B$147,"",0),_xlfn.XLOOKUP(H443,dd_item!$A$2:$A$147,dd_item!$B$2:$B$147,"",0))</f>
        <v>Drainage Cover</v>
      </c>
      <c r="K443" s="16" t="str">
        <f>_xlfn.XLOOKUP(A443,dd_design_raw!$C$2:$C$1002,dd_design_raw!$A$2:$A$1002,"",0)</f>
        <v>Fix Slide Slide Slide Slide Fix Dr</v>
      </c>
      <c r="L443" s="16" t="str">
        <f>_xlfn.XLOOKUP(I443,dd_accsryclr!$A$2:$A$1000,dd_accsryclr!$A$2:$A$1000,"",0)</f>
        <v>BLK</v>
      </c>
    </row>
    <row r="444" spans="1:12" hidden="1" x14ac:dyDescent="0.25">
      <c r="A444" s="16" t="s">
        <v>198</v>
      </c>
      <c r="B444" s="16" t="s">
        <v>466</v>
      </c>
      <c r="C444" s="16" t="s">
        <v>395</v>
      </c>
      <c r="D444" s="16" t="s">
        <v>396</v>
      </c>
      <c r="E444" s="16">
        <v>3</v>
      </c>
      <c r="F444" s="16" t="s">
        <v>369</v>
      </c>
      <c r="G444" s="16"/>
      <c r="H444" s="16" t="s">
        <v>394</v>
      </c>
      <c r="I444" s="16" t="s">
        <v>220</v>
      </c>
      <c r="J444" s="16" t="str">
        <f>IF(ISNUMBER(SEARCH("SCRW", H444)), _xlfn.XLOOKUP(C444,dd_item!$A$2:$A$147,dd_item!$B$2:$B$147,"",0),_xlfn.XLOOKUP(H444,dd_item!$A$2:$A$147,dd_item!$B$2:$B$147,"",0))</f>
        <v>Drainage Cover</v>
      </c>
      <c r="K444" s="16" t="str">
        <f>_xlfn.XLOOKUP(A444,dd_design_raw!$C$2:$C$1002,dd_design_raw!$A$2:$A$1002,"",0)</f>
        <v>Fix Slide Slide Slide Slide Fix Dr</v>
      </c>
      <c r="L444" s="16" t="str">
        <f>_xlfn.XLOOKUP(I444,dd_accsryclr!$A$2:$A$1000,dd_accsryclr!$A$2:$A$1000,"",0)</f>
        <v>WHT</v>
      </c>
    </row>
    <row r="445" spans="1:12" hidden="1" x14ac:dyDescent="0.25">
      <c r="A445" s="16" t="s">
        <v>198</v>
      </c>
      <c r="B445" s="16" t="s">
        <v>466</v>
      </c>
      <c r="C445" s="16" t="s">
        <v>397</v>
      </c>
      <c r="D445" s="16" t="s">
        <v>398</v>
      </c>
      <c r="E445" s="16">
        <v>1.79376</v>
      </c>
      <c r="F445" s="16" t="s">
        <v>369</v>
      </c>
      <c r="G445" s="16"/>
      <c r="H445" s="16" t="s">
        <v>399</v>
      </c>
      <c r="I445" s="16" t="s">
        <v>400</v>
      </c>
      <c r="J445" s="16" t="str">
        <f>IF(ISNUMBER(SEARCH("SCRW", H445)), _xlfn.XLOOKUP(C445,dd_item!$A$2:$A$147,dd_item!$B$2:$B$147,"",0),_xlfn.XLOOKUP(H445,dd_item!$A$2:$A$147,dd_item!$B$2:$B$147,"",0))</f>
        <v>Tox6</v>
      </c>
      <c r="K445" s="16" t="str">
        <f>_xlfn.XLOOKUP(A445,dd_design_raw!$C$2:$C$1002,dd_design_raw!$A$2:$A$1002,"",0)</f>
        <v>Fix Slide Slide Slide Slide Fix Dr</v>
      </c>
      <c r="L445" s="16" t="str">
        <f>_xlfn.XLOOKUP(I445,dd_accsryclr!$A$2:$A$1000,dd_accsryclr!$A$2:$A$1000,"",0)</f>
        <v/>
      </c>
    </row>
    <row r="446" spans="1:12" hidden="1" x14ac:dyDescent="0.25">
      <c r="A446" s="16" t="s">
        <v>198</v>
      </c>
      <c r="B446" s="16" t="s">
        <v>466</v>
      </c>
      <c r="C446" s="16" t="s">
        <v>401</v>
      </c>
      <c r="D446" s="16" t="s">
        <v>402</v>
      </c>
      <c r="E446" s="16">
        <v>81.688000000000002</v>
      </c>
      <c r="F446" s="16" t="s">
        <v>369</v>
      </c>
      <c r="G446" s="16"/>
      <c r="H446" s="16" t="s">
        <v>403</v>
      </c>
      <c r="I446" s="16" t="s">
        <v>223</v>
      </c>
      <c r="J446" s="16" t="str">
        <f>IF(ISNUMBER(SEARCH("SCRW", H446)), _xlfn.XLOOKUP(C446,dd_item!$A$2:$A$147,dd_item!$B$2:$B$147,"",0),_xlfn.XLOOKUP(H446,dd_item!$A$2:$A$147,dd_item!$B$2:$B$147,"",0))</f>
        <v>Cover Cap</v>
      </c>
      <c r="K446" s="16" t="str">
        <f>_xlfn.XLOOKUP(A446,dd_design_raw!$C$2:$C$1002,dd_design_raw!$A$2:$A$1002,"",0)</f>
        <v>Fix Slide Slide Slide Slide Fix Dr</v>
      </c>
      <c r="L446" s="16" t="str">
        <f>_xlfn.XLOOKUP(I446,dd_accsryclr!$A$2:$A$1000,dd_accsryclr!$A$2:$A$1000,"",0)</f>
        <v>BLK</v>
      </c>
    </row>
    <row r="447" spans="1:12" hidden="1" x14ac:dyDescent="0.25">
      <c r="A447" s="16" t="s">
        <v>198</v>
      </c>
      <c r="B447" s="16" t="s">
        <v>466</v>
      </c>
      <c r="C447" s="16" t="s">
        <v>404</v>
      </c>
      <c r="D447" s="16" t="s">
        <v>405</v>
      </c>
      <c r="E447" s="16">
        <v>81.688000000000002</v>
      </c>
      <c r="F447" s="16" t="s">
        <v>369</v>
      </c>
      <c r="G447" s="16"/>
      <c r="H447" s="16" t="s">
        <v>403</v>
      </c>
      <c r="I447" s="16" t="s">
        <v>220</v>
      </c>
      <c r="J447" s="16" t="str">
        <f>IF(ISNUMBER(SEARCH("SCRW", H447)), _xlfn.XLOOKUP(C447,dd_item!$A$2:$A$147,dd_item!$B$2:$B$147,"",0),_xlfn.XLOOKUP(H447,dd_item!$A$2:$A$147,dd_item!$B$2:$B$147,"",0))</f>
        <v>Cover Cap</v>
      </c>
      <c r="K447" s="16" t="str">
        <f>_xlfn.XLOOKUP(A447,dd_design_raw!$C$2:$C$1002,dd_design_raw!$A$2:$A$1002,"",0)</f>
        <v>Fix Slide Slide Slide Slide Fix Dr</v>
      </c>
      <c r="L447" s="16" t="str">
        <f>_xlfn.XLOOKUP(I447,dd_accsryclr!$A$2:$A$1000,dd_accsryclr!$A$2:$A$1000,"",0)</f>
        <v>WHT</v>
      </c>
    </row>
    <row r="448" spans="1:12" hidden="1" x14ac:dyDescent="0.25">
      <c r="A448" s="16" t="s">
        <v>198</v>
      </c>
      <c r="B448" s="16" t="s">
        <v>466</v>
      </c>
      <c r="C448" s="16" t="s">
        <v>406</v>
      </c>
      <c r="D448" s="16" t="s">
        <v>407</v>
      </c>
      <c r="E448" s="16">
        <v>4</v>
      </c>
      <c r="F448" s="16" t="s">
        <v>369</v>
      </c>
      <c r="G448" s="16"/>
      <c r="H448" s="16" t="s">
        <v>408</v>
      </c>
      <c r="I448" s="16" t="s">
        <v>223</v>
      </c>
      <c r="J448" s="16" t="str">
        <f>IF(ISNUMBER(SEARCH("SCRW", H448)), _xlfn.XLOOKUP(C448,dd_item!$A$2:$A$147,dd_item!$B$2:$B$147,"",0),_xlfn.XLOOKUP(H448,dd_item!$A$2:$A$147,dd_item!$B$2:$B$147,"",0))</f>
        <v>SD Kit Buffer Stopper</v>
      </c>
      <c r="K448" s="16" t="str">
        <f>_xlfn.XLOOKUP(A448,dd_design_raw!$C$2:$C$1002,dd_design_raw!$A$2:$A$1002,"",0)</f>
        <v>Fix Slide Slide Slide Slide Fix Dr</v>
      </c>
      <c r="L448" s="16" t="str">
        <f>_xlfn.XLOOKUP(I448,dd_accsryclr!$A$2:$A$1000,dd_accsryclr!$A$2:$A$1000,"",0)</f>
        <v>BLK</v>
      </c>
    </row>
    <row r="449" spans="1:12" hidden="1" x14ac:dyDescent="0.25">
      <c r="A449" s="16" t="s">
        <v>198</v>
      </c>
      <c r="B449" s="16" t="s">
        <v>466</v>
      </c>
      <c r="C449" s="16" t="s">
        <v>410</v>
      </c>
      <c r="D449" s="16" t="s">
        <v>411</v>
      </c>
      <c r="E449" s="16">
        <v>10</v>
      </c>
      <c r="F449" s="16" t="s">
        <v>369</v>
      </c>
      <c r="G449" s="16"/>
      <c r="H449" s="16" t="s">
        <v>408</v>
      </c>
      <c r="I449" s="16" t="s">
        <v>220</v>
      </c>
      <c r="J449" s="16" t="str">
        <f>IF(ISNUMBER(SEARCH("SCRW", H449)), _xlfn.XLOOKUP(C449,dd_item!$A$2:$A$147,dd_item!$B$2:$B$147,"",0),_xlfn.XLOOKUP(H449,dd_item!$A$2:$A$147,dd_item!$B$2:$B$147,"",0))</f>
        <v>SD Kit Buffer Stopper</v>
      </c>
      <c r="K449" s="16" t="str">
        <f>_xlfn.XLOOKUP(A449,dd_design_raw!$C$2:$C$1002,dd_design_raw!$A$2:$A$1002,"",0)</f>
        <v>Fix Slide Slide Slide Slide Fix Dr</v>
      </c>
      <c r="L449" s="16" t="str">
        <f>_xlfn.XLOOKUP(I449,dd_accsryclr!$A$2:$A$1000,dd_accsryclr!$A$2:$A$1000,"",0)</f>
        <v>WHT</v>
      </c>
    </row>
    <row r="450" spans="1:12" hidden="1" x14ac:dyDescent="0.25">
      <c r="A450" s="16" t="s">
        <v>198</v>
      </c>
      <c r="B450" s="16" t="s">
        <v>466</v>
      </c>
      <c r="C450" s="16" t="s">
        <v>412</v>
      </c>
      <c r="D450" s="16" t="s">
        <v>413</v>
      </c>
      <c r="E450" s="16">
        <v>10</v>
      </c>
      <c r="F450" s="16" t="s">
        <v>369</v>
      </c>
      <c r="G450" s="16"/>
      <c r="H450" s="16" t="s">
        <v>792</v>
      </c>
      <c r="I450" s="16"/>
      <c r="J450" s="16" t="str">
        <f>IF(ISNUMBER(SEARCH("SCRW", H450)), _xlfn.XLOOKUP(C450,dd_item!$A$2:$A$147,dd_item!$B$2:$B$147,"",0),_xlfn.XLOOKUP(H450,dd_item!$A$2:$A$147,dd_item!$B$2:$B$147,"",0))</f>
        <v>Atlas Screw (S) 8 x 1-1/4" (Flat)</v>
      </c>
      <c r="K450" s="16" t="str">
        <f>_xlfn.XLOOKUP(A450,dd_design_raw!$C$2:$C$1002,dd_design_raw!$A$2:$A$1002,"",0)</f>
        <v>Fix Slide Slide Slide Slide Fix Dr</v>
      </c>
      <c r="L450" s="16" t="str">
        <f>_xlfn.XLOOKUP(I450,dd_accsryclr!$A$2:$A$1000,dd_accsryclr!$A$2:$A$1000,"",0)</f>
        <v/>
      </c>
    </row>
    <row r="451" spans="1:12" hidden="1" x14ac:dyDescent="0.25">
      <c r="A451" s="16" t="s">
        <v>198</v>
      </c>
      <c r="B451" s="16" t="s">
        <v>466</v>
      </c>
      <c r="C451" s="16" t="s">
        <v>414</v>
      </c>
      <c r="D451" s="16" t="s">
        <v>415</v>
      </c>
      <c r="E451" s="16">
        <v>13.614666666666666</v>
      </c>
      <c r="F451" s="16" t="s">
        <v>369</v>
      </c>
      <c r="G451" s="16"/>
      <c r="H451" s="16" t="s">
        <v>416</v>
      </c>
      <c r="I451" s="16" t="s">
        <v>223</v>
      </c>
      <c r="J451" s="16" t="str">
        <f>IF(ISNUMBER(SEARCH("SCRW", H451)), _xlfn.XLOOKUP(C451,dd_item!$A$2:$A$147,dd_item!$B$2:$B$147,"",0),_xlfn.XLOOKUP(H451,dd_item!$A$2:$A$147,dd_item!$B$2:$B$147,"",0))</f>
        <v>Sealant</v>
      </c>
      <c r="K451" s="16" t="str">
        <f>_xlfn.XLOOKUP(A451,dd_design_raw!$C$2:$C$1002,dd_design_raw!$A$2:$A$1002,"",0)</f>
        <v>Fix Slide Slide Slide Slide Fix Dr</v>
      </c>
      <c r="L451" s="16" t="str">
        <f>_xlfn.XLOOKUP(I451,dd_accsryclr!$A$2:$A$1000,dd_accsryclr!$A$2:$A$1000,"",0)</f>
        <v>BLK</v>
      </c>
    </row>
    <row r="452" spans="1:12" hidden="1" x14ac:dyDescent="0.25">
      <c r="A452" s="16" t="s">
        <v>198</v>
      </c>
      <c r="B452" s="16" t="s">
        <v>466</v>
      </c>
      <c r="C452" s="16" t="s">
        <v>417</v>
      </c>
      <c r="D452" s="16" t="s">
        <v>418</v>
      </c>
      <c r="E452" s="16">
        <v>13.614666666666666</v>
      </c>
      <c r="F452" s="16" t="s">
        <v>369</v>
      </c>
      <c r="G452" s="16"/>
      <c r="H452" s="16" t="s">
        <v>416</v>
      </c>
      <c r="I452" s="16" t="s">
        <v>230</v>
      </c>
      <c r="J452" s="16" t="str">
        <f>IF(ISNUMBER(SEARCH("SCRW", H452)), _xlfn.XLOOKUP(C452,dd_item!$A$2:$A$147,dd_item!$B$2:$B$147,"",0),_xlfn.XLOOKUP(H452,dd_item!$A$2:$A$147,dd_item!$B$2:$B$147,"",0))</f>
        <v>Sealant</v>
      </c>
      <c r="K452" s="16" t="str">
        <f>_xlfn.XLOOKUP(A452,dd_design_raw!$C$2:$C$1002,dd_design_raw!$A$2:$A$1002,"",0)</f>
        <v>Fix Slide Slide Slide Slide Fix Dr</v>
      </c>
      <c r="L452" s="16" t="str">
        <f>_xlfn.XLOOKUP(I452,dd_accsryclr!$A$2:$A$1000,dd_accsryclr!$A$2:$A$1000,"",0)</f>
        <v>BRWN</v>
      </c>
    </row>
    <row r="453" spans="1:12" hidden="1" x14ac:dyDescent="0.25">
      <c r="A453" s="16" t="s">
        <v>198</v>
      </c>
      <c r="B453" s="16" t="s">
        <v>466</v>
      </c>
      <c r="C453" s="16" t="s">
        <v>419</v>
      </c>
      <c r="D453" s="16" t="s">
        <v>420</v>
      </c>
      <c r="E453" s="16">
        <v>13.614666666666666</v>
      </c>
      <c r="F453" s="16" t="s">
        <v>369</v>
      </c>
      <c r="G453" s="16"/>
      <c r="H453" s="16" t="s">
        <v>416</v>
      </c>
      <c r="I453" s="16" t="s">
        <v>220</v>
      </c>
      <c r="J453" s="16" t="str">
        <f>IF(ISNUMBER(SEARCH("SCRW", H453)), _xlfn.XLOOKUP(C453,dd_item!$A$2:$A$147,dd_item!$B$2:$B$147,"",0),_xlfn.XLOOKUP(H453,dd_item!$A$2:$A$147,dd_item!$B$2:$B$147,"",0))</f>
        <v>Sealant</v>
      </c>
      <c r="K453" s="16" t="str">
        <f>_xlfn.XLOOKUP(A453,dd_design_raw!$C$2:$C$1002,dd_design_raw!$A$2:$A$1002,"",0)</f>
        <v>Fix Slide Slide Slide Slide Fix Dr</v>
      </c>
      <c r="L453" s="16" t="str">
        <f>_xlfn.XLOOKUP(I453,dd_accsryclr!$A$2:$A$1000,dd_accsryclr!$A$2:$A$1000,"",0)</f>
        <v>WHT</v>
      </c>
    </row>
    <row r="454" spans="1:12" hidden="1" x14ac:dyDescent="0.25">
      <c r="A454" s="16" t="s">
        <v>198</v>
      </c>
      <c r="B454" s="16" t="s">
        <v>466</v>
      </c>
      <c r="C454" s="16" t="s">
        <v>421</v>
      </c>
      <c r="D454" s="16" t="s">
        <v>422</v>
      </c>
      <c r="E454" s="16">
        <v>32</v>
      </c>
      <c r="F454" s="16" t="s">
        <v>369</v>
      </c>
      <c r="G454" s="16"/>
      <c r="H454" s="16" t="s">
        <v>416</v>
      </c>
      <c r="I454" s="16" t="s">
        <v>423</v>
      </c>
      <c r="J454" s="16" t="str">
        <f>IF(ISNUMBER(SEARCH("SCRW", H454)), _xlfn.XLOOKUP(C454,dd_item!$A$2:$A$147,dd_item!$B$2:$B$147,"",0),_xlfn.XLOOKUP(H454,dd_item!$A$2:$A$147,dd_item!$B$2:$B$147,"",0))</f>
        <v>Sealant</v>
      </c>
      <c r="K454" s="16" t="str">
        <f>_xlfn.XLOOKUP(A454,dd_design_raw!$C$2:$C$1002,dd_design_raw!$A$2:$A$1002,"",0)</f>
        <v>Fix Slide Slide Slide Slide Fix Dr</v>
      </c>
      <c r="L454" s="16" t="str">
        <f>_xlfn.XLOOKUP(I454,dd_accsryclr!$A$2:$A$1000,dd_accsryclr!$A$2:$A$1000,"",0)</f>
        <v/>
      </c>
    </row>
    <row r="455" spans="1:12" hidden="1" x14ac:dyDescent="0.25">
      <c r="A455" s="16" t="s">
        <v>198</v>
      </c>
      <c r="B455" s="16" t="s">
        <v>466</v>
      </c>
      <c r="C455" s="16" t="s">
        <v>424</v>
      </c>
      <c r="D455" s="16" t="s">
        <v>425</v>
      </c>
      <c r="E455" s="16"/>
      <c r="F455" s="16" t="s">
        <v>369</v>
      </c>
      <c r="G455" s="16"/>
      <c r="H455" s="16" t="s">
        <v>792</v>
      </c>
      <c r="I455" s="16"/>
      <c r="J455" s="16" t="str">
        <f>IF(ISNUMBER(SEARCH("SCRW", H455)), _xlfn.XLOOKUP(C455,dd_item!$A$2:$A$147,dd_item!$B$2:$B$147,"",0),_xlfn.XLOOKUP(H455,dd_item!$A$2:$A$147,dd_item!$B$2:$B$147,"",0))</f>
        <v>Atlas Screw (S) 6 x 3/4" (FLAT)</v>
      </c>
      <c r="K455" s="16" t="str">
        <f>_xlfn.XLOOKUP(A455,dd_design_raw!$C$2:$C$1002,dd_design_raw!$A$2:$A$1002,"",0)</f>
        <v>Fix Slide Slide Slide Slide Fix Dr</v>
      </c>
      <c r="L455" s="16">
        <f>_xlfn.XLOOKUP(I455,dd_accsryclr!$A$2:$A$1000,dd_accsryclr!$A$2:$A$1000,"",0)</f>
        <v>0</v>
      </c>
    </row>
    <row r="456" spans="1:12" hidden="1" x14ac:dyDescent="0.25">
      <c r="A456" s="16" t="s">
        <v>27</v>
      </c>
      <c r="B456" s="16" t="s">
        <v>483</v>
      </c>
      <c r="C456" s="16" t="s">
        <v>208</v>
      </c>
      <c r="D456" s="16" t="s">
        <v>209</v>
      </c>
      <c r="E456" s="16">
        <v>3.5210344827586209</v>
      </c>
      <c r="F456" s="16" t="s">
        <v>194</v>
      </c>
      <c r="G456" s="16"/>
      <c r="H456" s="16" t="s">
        <v>210</v>
      </c>
      <c r="I456" s="16" t="s">
        <v>211</v>
      </c>
      <c r="J456" s="16" t="str">
        <f>IF(ISNUMBER(SEARCH("SCRW", H456)), _xlfn.XLOOKUP(C456,dd_item!$A$2:$A$147,dd_item!$B$2:$B$147,"",0),_xlfn.XLOOKUP(H456,dd_item!$A$2:$A$147,dd_item!$B$2:$B$147,"",0))</f>
        <v>Frame138</v>
      </c>
      <c r="K456" s="16" t="str">
        <f>_xlfn.XLOOKUP(A456,dd_design_raw!$C$2:$C$1002,dd_design_raw!$A$2:$A$1002,"",0)</f>
        <v>Fix Slide Slide Slide Slide Slide Slide Fix Dr</v>
      </c>
      <c r="L456" s="16" t="str">
        <f>_xlfn.XLOOKUP(I456,dd_accsryclr!$A$2:$A$1000,dd_accsryclr!$A$2:$A$1000,"",0)</f>
        <v/>
      </c>
    </row>
    <row r="457" spans="1:12" hidden="1" x14ac:dyDescent="0.25">
      <c r="A457" s="16" t="s">
        <v>27</v>
      </c>
      <c r="B457" s="16" t="s">
        <v>483</v>
      </c>
      <c r="C457" s="16" t="s">
        <v>212</v>
      </c>
      <c r="D457" s="16" t="s">
        <v>213</v>
      </c>
      <c r="E457" s="16">
        <v>3.5210344827586209</v>
      </c>
      <c r="F457" s="16" t="s">
        <v>194</v>
      </c>
      <c r="G457" s="16"/>
      <c r="H457" s="16" t="s">
        <v>210</v>
      </c>
      <c r="I457" s="16" t="s">
        <v>214</v>
      </c>
      <c r="J457" s="16" t="str">
        <f>IF(ISNUMBER(SEARCH("SCRW", H457)), _xlfn.XLOOKUP(C457,dd_item!$A$2:$A$147,dd_item!$B$2:$B$147,"",0),_xlfn.XLOOKUP(H457,dd_item!$A$2:$A$147,dd_item!$B$2:$B$147,"",0))</f>
        <v>Frame138</v>
      </c>
      <c r="K457" s="16" t="str">
        <f>_xlfn.XLOOKUP(A457,dd_design_raw!$C$2:$C$1002,dd_design_raw!$A$2:$A$1002,"",0)</f>
        <v>Fix Slide Slide Slide Slide Slide Slide Fix Dr</v>
      </c>
      <c r="L457" s="16" t="str">
        <f>_xlfn.XLOOKUP(I457,dd_accsryclr!$A$2:$A$1000,dd_accsryclr!$A$2:$A$1000,"",0)</f>
        <v/>
      </c>
    </row>
    <row r="458" spans="1:12" hidden="1" x14ac:dyDescent="0.25">
      <c r="A458" s="16" t="s">
        <v>27</v>
      </c>
      <c r="B458" s="16" t="s">
        <v>483</v>
      </c>
      <c r="C458" s="16" t="s">
        <v>215</v>
      </c>
      <c r="D458" s="16" t="s">
        <v>216</v>
      </c>
      <c r="E458" s="16">
        <v>3.5210344827586209</v>
      </c>
      <c r="F458" s="16" t="s">
        <v>194</v>
      </c>
      <c r="G458" s="16"/>
      <c r="H458" s="16" t="s">
        <v>210</v>
      </c>
      <c r="I458" s="16" t="s">
        <v>217</v>
      </c>
      <c r="J458" s="16" t="str">
        <f>IF(ISNUMBER(SEARCH("SCRW", H458)), _xlfn.XLOOKUP(C458,dd_item!$A$2:$A$147,dd_item!$B$2:$B$147,"",0),_xlfn.XLOOKUP(H458,dd_item!$A$2:$A$147,dd_item!$B$2:$B$147,"",0))</f>
        <v>Frame138</v>
      </c>
      <c r="K458" s="16" t="str">
        <f>_xlfn.XLOOKUP(A458,dd_design_raw!$C$2:$C$1002,dd_design_raw!$A$2:$A$1002,"",0)</f>
        <v>Fix Slide Slide Slide Slide Slide Slide Fix Dr</v>
      </c>
      <c r="L458" s="16" t="str">
        <f>_xlfn.XLOOKUP(I458,dd_accsryclr!$A$2:$A$1000,dd_accsryclr!$A$2:$A$1000,"",0)</f>
        <v/>
      </c>
    </row>
    <row r="459" spans="1:12" hidden="1" x14ac:dyDescent="0.25">
      <c r="A459" s="16" t="s">
        <v>27</v>
      </c>
      <c r="B459" s="16" t="s">
        <v>483</v>
      </c>
      <c r="C459" s="16" t="s">
        <v>218</v>
      </c>
      <c r="D459" s="16" t="s">
        <v>219</v>
      </c>
      <c r="E459" s="16">
        <v>3.5210344827586209</v>
      </c>
      <c r="F459" s="16" t="s">
        <v>194</v>
      </c>
      <c r="G459" s="16"/>
      <c r="H459" s="16" t="s">
        <v>210</v>
      </c>
      <c r="I459" s="16" t="s">
        <v>220</v>
      </c>
      <c r="J459" s="16" t="str">
        <f>IF(ISNUMBER(SEARCH("SCRW", H459)), _xlfn.XLOOKUP(C459,dd_item!$A$2:$A$147,dd_item!$B$2:$B$147,"",0),_xlfn.XLOOKUP(H459,dd_item!$A$2:$A$147,dd_item!$B$2:$B$147,"",0))</f>
        <v>Frame138</v>
      </c>
      <c r="K459" s="16" t="str">
        <f>_xlfn.XLOOKUP(A459,dd_design_raw!$C$2:$C$1002,dd_design_raw!$A$2:$A$1002,"",0)</f>
        <v>Fix Slide Slide Slide Slide Slide Slide Fix Dr</v>
      </c>
      <c r="L459" s="16" t="str">
        <f>_xlfn.XLOOKUP(I459,dd_accsryclr!$A$2:$A$1000,dd_accsryclr!$A$2:$A$1000,"",0)</f>
        <v>WHT</v>
      </c>
    </row>
    <row r="460" spans="1:12" hidden="1" x14ac:dyDescent="0.25">
      <c r="A460" s="16" t="s">
        <v>27</v>
      </c>
      <c r="B460" s="16" t="s">
        <v>483</v>
      </c>
      <c r="C460" s="16" t="s">
        <v>221</v>
      </c>
      <c r="D460" s="16" t="s">
        <v>222</v>
      </c>
      <c r="E460" s="16">
        <v>3.5210344827586209</v>
      </c>
      <c r="F460" s="16" t="s">
        <v>194</v>
      </c>
      <c r="G460" s="16"/>
      <c r="H460" s="16" t="s">
        <v>210</v>
      </c>
      <c r="I460" s="16" t="s">
        <v>223</v>
      </c>
      <c r="J460" s="16" t="str">
        <f>IF(ISNUMBER(SEARCH("SCRW", H460)), _xlfn.XLOOKUP(C460,dd_item!$A$2:$A$147,dd_item!$B$2:$B$147,"",0),_xlfn.XLOOKUP(H460,dd_item!$A$2:$A$147,dd_item!$B$2:$B$147,"",0))</f>
        <v>Frame138</v>
      </c>
      <c r="K460" s="16" t="str">
        <f>_xlfn.XLOOKUP(A460,dd_design_raw!$C$2:$C$1002,dd_design_raw!$A$2:$A$1002,"",0)</f>
        <v>Fix Slide Slide Slide Slide Slide Slide Fix Dr</v>
      </c>
      <c r="L460" s="16" t="str">
        <f>_xlfn.XLOOKUP(I460,dd_accsryclr!$A$2:$A$1000,dd_accsryclr!$A$2:$A$1000,"",0)</f>
        <v>BLK</v>
      </c>
    </row>
    <row r="461" spans="1:12" hidden="1" x14ac:dyDescent="0.25">
      <c r="A461" s="16" t="s">
        <v>27</v>
      </c>
      <c r="B461" s="16" t="s">
        <v>483</v>
      </c>
      <c r="C461" s="16" t="s">
        <v>224</v>
      </c>
      <c r="D461" s="16" t="s">
        <v>225</v>
      </c>
      <c r="E461" s="16">
        <v>3.5210344827586209</v>
      </c>
      <c r="F461" s="16" t="s">
        <v>194</v>
      </c>
      <c r="G461" s="16"/>
      <c r="H461" s="16" t="s">
        <v>210</v>
      </c>
      <c r="I461" s="16" t="s">
        <v>226</v>
      </c>
      <c r="J461" s="16" t="str">
        <f>IF(ISNUMBER(SEARCH("SCRW", H461)), _xlfn.XLOOKUP(C461,dd_item!$A$2:$A$147,dd_item!$B$2:$B$147,"",0),_xlfn.XLOOKUP(H461,dd_item!$A$2:$A$147,dd_item!$B$2:$B$147,"",0))</f>
        <v>Frame138</v>
      </c>
      <c r="K461" s="16" t="str">
        <f>_xlfn.XLOOKUP(A461,dd_design_raw!$C$2:$C$1002,dd_design_raw!$A$2:$A$1002,"",0)</f>
        <v>Fix Slide Slide Slide Slide Slide Slide Fix Dr</v>
      </c>
      <c r="L461" s="16" t="str">
        <f>_xlfn.XLOOKUP(I461,dd_accsryclr!$A$2:$A$1000,dd_accsryclr!$A$2:$A$1000,"",0)</f>
        <v/>
      </c>
    </row>
    <row r="462" spans="1:12" hidden="1" x14ac:dyDescent="0.25">
      <c r="A462" s="16" t="s">
        <v>27</v>
      </c>
      <c r="B462" s="16" t="s">
        <v>483</v>
      </c>
      <c r="C462" s="16" t="s">
        <v>227</v>
      </c>
      <c r="D462" s="16" t="s">
        <v>228</v>
      </c>
      <c r="E462" s="16">
        <v>3.5210344827586209</v>
      </c>
      <c r="F462" s="16" t="s">
        <v>194</v>
      </c>
      <c r="G462" s="16"/>
      <c r="H462" s="16" t="s">
        <v>229</v>
      </c>
      <c r="I462" s="16" t="s">
        <v>230</v>
      </c>
      <c r="J462" s="16" t="str">
        <f>IF(ISNUMBER(SEARCH("SCRW", H462)), _xlfn.XLOOKUP(C462,dd_item!$A$2:$A$147,dd_item!$B$2:$B$147,"",0),_xlfn.XLOOKUP(H462,dd_item!$A$2:$A$147,dd_item!$B$2:$B$147,"",0))</f>
        <v>Frame112</v>
      </c>
      <c r="K462" s="16" t="str">
        <f>_xlfn.XLOOKUP(A462,dd_design_raw!$C$2:$C$1002,dd_design_raw!$A$2:$A$1002,"",0)</f>
        <v>Fix Slide Slide Slide Slide Slide Slide Fix Dr</v>
      </c>
      <c r="L462" s="16" t="str">
        <f>_xlfn.XLOOKUP(I462,dd_accsryclr!$A$2:$A$1000,dd_accsryclr!$A$2:$A$1000,"",0)</f>
        <v>BRWN</v>
      </c>
    </row>
    <row r="463" spans="1:12" hidden="1" x14ac:dyDescent="0.25">
      <c r="A463" s="16" t="s">
        <v>27</v>
      </c>
      <c r="B463" s="16" t="s">
        <v>483</v>
      </c>
      <c r="C463" s="16" t="s">
        <v>231</v>
      </c>
      <c r="D463" s="16" t="s">
        <v>232</v>
      </c>
      <c r="E463" s="16">
        <v>8.5389655172413796</v>
      </c>
      <c r="F463" s="16" t="s">
        <v>194</v>
      </c>
      <c r="G463" s="16"/>
      <c r="H463" s="16" t="s">
        <v>233</v>
      </c>
      <c r="I463" s="16" t="s">
        <v>223</v>
      </c>
      <c r="J463" s="16" t="str">
        <f>IF(ISNUMBER(SEARCH("SCRW", H463)), _xlfn.XLOOKUP(C463,dd_item!$A$2:$A$147,dd_item!$B$2:$B$147,"",0),_xlfn.XLOOKUP(H463,dd_item!$A$2:$A$147,dd_item!$B$2:$B$147,"",0))</f>
        <v>Sash92</v>
      </c>
      <c r="K463" s="16" t="str">
        <f>_xlfn.XLOOKUP(A463,dd_design_raw!$C$2:$C$1002,dd_design_raw!$A$2:$A$1002,"",0)</f>
        <v>Fix Slide Slide Slide Slide Slide Slide Fix Dr</v>
      </c>
      <c r="L463" s="16" t="str">
        <f>_xlfn.XLOOKUP(I463,dd_accsryclr!$A$2:$A$1000,dd_accsryclr!$A$2:$A$1000,"",0)</f>
        <v>BLK</v>
      </c>
    </row>
    <row r="464" spans="1:12" hidden="1" x14ac:dyDescent="0.25">
      <c r="A464" s="16" t="s">
        <v>27</v>
      </c>
      <c r="B464" s="16" t="s">
        <v>483</v>
      </c>
      <c r="C464" s="16" t="s">
        <v>234</v>
      </c>
      <c r="D464" s="16" t="s">
        <v>235</v>
      </c>
      <c r="E464" s="16">
        <v>8.5389655172413796</v>
      </c>
      <c r="F464" s="16" t="s">
        <v>194</v>
      </c>
      <c r="G464" s="16"/>
      <c r="H464" s="16" t="s">
        <v>233</v>
      </c>
      <c r="I464" s="16" t="s">
        <v>211</v>
      </c>
      <c r="J464" s="16" t="str">
        <f>IF(ISNUMBER(SEARCH("SCRW", H464)), _xlfn.XLOOKUP(C464,dd_item!$A$2:$A$147,dd_item!$B$2:$B$147,"",0),_xlfn.XLOOKUP(H464,dd_item!$A$2:$A$147,dd_item!$B$2:$B$147,"",0))</f>
        <v>Sash92</v>
      </c>
      <c r="K464" s="16" t="str">
        <f>_xlfn.XLOOKUP(A464,dd_design_raw!$C$2:$C$1002,dd_design_raw!$A$2:$A$1002,"",0)</f>
        <v>Fix Slide Slide Slide Slide Slide Slide Fix Dr</v>
      </c>
      <c r="L464" s="16" t="str">
        <f>_xlfn.XLOOKUP(I464,dd_accsryclr!$A$2:$A$1000,dd_accsryclr!$A$2:$A$1000,"",0)</f>
        <v/>
      </c>
    </row>
    <row r="465" spans="1:12" hidden="1" x14ac:dyDescent="0.25">
      <c r="A465" s="16" t="s">
        <v>27</v>
      </c>
      <c r="B465" s="16" t="s">
        <v>483</v>
      </c>
      <c r="C465" s="16" t="s">
        <v>236</v>
      </c>
      <c r="D465" s="16" t="s">
        <v>237</v>
      </c>
      <c r="E465" s="16">
        <v>8.5389655172413796</v>
      </c>
      <c r="F465" s="16" t="s">
        <v>194</v>
      </c>
      <c r="G465" s="16"/>
      <c r="H465" s="16" t="s">
        <v>233</v>
      </c>
      <c r="I465" s="16" t="s">
        <v>214</v>
      </c>
      <c r="J465" s="16" t="str">
        <f>IF(ISNUMBER(SEARCH("SCRW", H465)), _xlfn.XLOOKUP(C465,dd_item!$A$2:$A$147,dd_item!$B$2:$B$147,"",0),_xlfn.XLOOKUP(H465,dd_item!$A$2:$A$147,dd_item!$B$2:$B$147,"",0))</f>
        <v>Sash92</v>
      </c>
      <c r="K465" s="16" t="str">
        <f>_xlfn.XLOOKUP(A465,dd_design_raw!$C$2:$C$1002,dd_design_raw!$A$2:$A$1002,"",0)</f>
        <v>Fix Slide Slide Slide Slide Slide Slide Fix Dr</v>
      </c>
      <c r="L465" s="16" t="str">
        <f>_xlfn.XLOOKUP(I465,dd_accsryclr!$A$2:$A$1000,dd_accsryclr!$A$2:$A$1000,"",0)</f>
        <v/>
      </c>
    </row>
    <row r="466" spans="1:12" hidden="1" x14ac:dyDescent="0.25">
      <c r="A466" s="16" t="s">
        <v>27</v>
      </c>
      <c r="B466" s="16" t="s">
        <v>483</v>
      </c>
      <c r="C466" s="16" t="s">
        <v>238</v>
      </c>
      <c r="D466" s="16" t="s">
        <v>239</v>
      </c>
      <c r="E466" s="16">
        <v>8.5389655172413796</v>
      </c>
      <c r="F466" s="16" t="s">
        <v>194</v>
      </c>
      <c r="G466" s="16"/>
      <c r="H466" s="16" t="s">
        <v>233</v>
      </c>
      <c r="I466" s="16" t="s">
        <v>217</v>
      </c>
      <c r="J466" s="16" t="str">
        <f>IF(ISNUMBER(SEARCH("SCRW", H466)), _xlfn.XLOOKUP(C466,dd_item!$A$2:$A$147,dd_item!$B$2:$B$147,"",0),_xlfn.XLOOKUP(H466,dd_item!$A$2:$A$147,dd_item!$B$2:$B$147,"",0))</f>
        <v>Sash92</v>
      </c>
      <c r="K466" s="16" t="str">
        <f>_xlfn.XLOOKUP(A466,dd_design_raw!$C$2:$C$1002,dd_design_raw!$A$2:$A$1002,"",0)</f>
        <v>Fix Slide Slide Slide Slide Slide Slide Fix Dr</v>
      </c>
      <c r="L466" s="16" t="str">
        <f>_xlfn.XLOOKUP(I466,dd_accsryclr!$A$2:$A$1000,dd_accsryclr!$A$2:$A$1000,"",0)</f>
        <v/>
      </c>
    </row>
    <row r="467" spans="1:12" hidden="1" x14ac:dyDescent="0.25">
      <c r="A467" s="16" t="s">
        <v>27</v>
      </c>
      <c r="B467" s="16" t="s">
        <v>483</v>
      </c>
      <c r="C467" s="16" t="s">
        <v>240</v>
      </c>
      <c r="D467" s="16" t="s">
        <v>241</v>
      </c>
      <c r="E467" s="16">
        <v>8.5389655172413796</v>
      </c>
      <c r="F467" s="16" t="s">
        <v>194</v>
      </c>
      <c r="G467" s="16"/>
      <c r="H467" s="16" t="s">
        <v>233</v>
      </c>
      <c r="I467" s="16" t="s">
        <v>226</v>
      </c>
      <c r="J467" s="16" t="str">
        <f>IF(ISNUMBER(SEARCH("SCRW", H467)), _xlfn.XLOOKUP(C467,dd_item!$A$2:$A$147,dd_item!$B$2:$B$147,"",0),_xlfn.XLOOKUP(H467,dd_item!$A$2:$A$147,dd_item!$B$2:$B$147,"",0))</f>
        <v>Sash92</v>
      </c>
      <c r="K467" s="16" t="str">
        <f>_xlfn.XLOOKUP(A467,dd_design_raw!$C$2:$C$1002,dd_design_raw!$A$2:$A$1002,"",0)</f>
        <v>Fix Slide Slide Slide Slide Slide Slide Fix Dr</v>
      </c>
      <c r="L467" s="16" t="str">
        <f>_xlfn.XLOOKUP(I467,dd_accsryclr!$A$2:$A$1000,dd_accsryclr!$A$2:$A$1000,"",0)</f>
        <v/>
      </c>
    </row>
    <row r="468" spans="1:12" hidden="1" x14ac:dyDescent="0.25">
      <c r="A468" s="16" t="s">
        <v>27</v>
      </c>
      <c r="B468" s="16" t="s">
        <v>483</v>
      </c>
      <c r="C468" s="16" t="s">
        <v>242</v>
      </c>
      <c r="D468" s="16" t="s">
        <v>243</v>
      </c>
      <c r="E468" s="16">
        <v>8.5389655172413796</v>
      </c>
      <c r="F468" s="16" t="s">
        <v>194</v>
      </c>
      <c r="G468" s="16"/>
      <c r="H468" s="16" t="s">
        <v>233</v>
      </c>
      <c r="I468" s="16" t="s">
        <v>220</v>
      </c>
      <c r="J468" s="16" t="str">
        <f>IF(ISNUMBER(SEARCH("SCRW", H468)), _xlfn.XLOOKUP(C468,dd_item!$A$2:$A$147,dd_item!$B$2:$B$147,"",0),_xlfn.XLOOKUP(H468,dd_item!$A$2:$A$147,dd_item!$B$2:$B$147,"",0))</f>
        <v>Sash92</v>
      </c>
      <c r="K468" s="16" t="str">
        <f>_xlfn.XLOOKUP(A468,dd_design_raw!$C$2:$C$1002,dd_design_raw!$A$2:$A$1002,"",0)</f>
        <v>Fix Slide Slide Slide Slide Slide Slide Fix Dr</v>
      </c>
      <c r="L468" s="16" t="str">
        <f>_xlfn.XLOOKUP(I468,dd_accsryclr!$A$2:$A$1000,dd_accsryclr!$A$2:$A$1000,"",0)</f>
        <v>WHT</v>
      </c>
    </row>
    <row r="469" spans="1:12" hidden="1" x14ac:dyDescent="0.25">
      <c r="A469" s="16" t="s">
        <v>27</v>
      </c>
      <c r="B469" s="16" t="s">
        <v>483</v>
      </c>
      <c r="C469" s="16" t="s">
        <v>259</v>
      </c>
      <c r="D469" s="16" t="s">
        <v>260</v>
      </c>
      <c r="E469" s="16">
        <v>8.5389655172413796</v>
      </c>
      <c r="F469" s="16" t="s">
        <v>194</v>
      </c>
      <c r="G469" s="16"/>
      <c r="H469" s="16" t="s">
        <v>248</v>
      </c>
      <c r="I469" s="16" t="s">
        <v>230</v>
      </c>
      <c r="J469" s="16" t="str">
        <f>IF(ISNUMBER(SEARCH("SCRW", H469)), _xlfn.XLOOKUP(C469,dd_item!$A$2:$A$147,dd_item!$B$2:$B$147,"",0),_xlfn.XLOOKUP(H469,dd_item!$A$2:$A$147,dd_item!$B$2:$B$147,"",0))</f>
        <v>Sash66</v>
      </c>
      <c r="K469" s="16" t="str">
        <f>_xlfn.XLOOKUP(A469,dd_design_raw!$C$2:$C$1002,dd_design_raw!$A$2:$A$1002,"",0)</f>
        <v>Fix Slide Slide Slide Slide Slide Slide Fix Dr</v>
      </c>
      <c r="L469" s="16" t="str">
        <f>_xlfn.XLOOKUP(I469,dd_accsryclr!$A$2:$A$1000,dd_accsryclr!$A$2:$A$1000,"",0)</f>
        <v>BRWN</v>
      </c>
    </row>
    <row r="470" spans="1:12" hidden="1" x14ac:dyDescent="0.25">
      <c r="A470" s="16" t="s">
        <v>27</v>
      </c>
      <c r="B470" s="16" t="s">
        <v>483</v>
      </c>
      <c r="C470" s="16" t="s">
        <v>467</v>
      </c>
      <c r="D470" s="16" t="s">
        <v>468</v>
      </c>
      <c r="E470" s="16">
        <v>3.5210344827586209</v>
      </c>
      <c r="F470" s="16" t="s">
        <v>194</v>
      </c>
      <c r="G470" s="16"/>
      <c r="H470" s="16" t="s">
        <v>469</v>
      </c>
      <c r="I470" s="16" t="s">
        <v>211</v>
      </c>
      <c r="J470" s="16" t="str">
        <f>IF(ISNUMBER(SEARCH("SCRW", H470)), _xlfn.XLOOKUP(C470,dd_item!$A$2:$A$147,dd_item!$B$2:$B$147,"",0),_xlfn.XLOOKUP(H470,dd_item!$A$2:$A$147,dd_item!$B$2:$B$147,"",0))</f>
        <v>Frame90</v>
      </c>
      <c r="K470" s="16" t="str">
        <f>_xlfn.XLOOKUP(A470,dd_design_raw!$C$2:$C$1002,dd_design_raw!$A$2:$A$1002,"",0)</f>
        <v>Fix Slide Slide Slide Slide Slide Slide Fix Dr</v>
      </c>
      <c r="L470" s="16" t="str">
        <f>_xlfn.XLOOKUP(I470,dd_accsryclr!$A$2:$A$1000,dd_accsryclr!$A$2:$A$1000,"",0)</f>
        <v/>
      </c>
    </row>
    <row r="471" spans="1:12" hidden="1" x14ac:dyDescent="0.25">
      <c r="A471" s="16" t="s">
        <v>27</v>
      </c>
      <c r="B471" s="16" t="s">
        <v>483</v>
      </c>
      <c r="C471" s="16" t="s">
        <v>470</v>
      </c>
      <c r="D471" s="16" t="s">
        <v>471</v>
      </c>
      <c r="E471" s="16">
        <v>3.5210344827586209</v>
      </c>
      <c r="F471" s="16" t="s">
        <v>194</v>
      </c>
      <c r="G471" s="16"/>
      <c r="H471" s="16" t="s">
        <v>469</v>
      </c>
      <c r="I471" s="16" t="s">
        <v>214</v>
      </c>
      <c r="J471" s="16" t="str">
        <f>IF(ISNUMBER(SEARCH("SCRW", H471)), _xlfn.XLOOKUP(C471,dd_item!$A$2:$A$147,dd_item!$B$2:$B$147,"",0),_xlfn.XLOOKUP(H471,dd_item!$A$2:$A$147,dd_item!$B$2:$B$147,"",0))</f>
        <v>Frame90</v>
      </c>
      <c r="K471" s="16" t="str">
        <f>_xlfn.XLOOKUP(A471,dd_design_raw!$C$2:$C$1002,dd_design_raw!$A$2:$A$1002,"",0)</f>
        <v>Fix Slide Slide Slide Slide Slide Slide Fix Dr</v>
      </c>
      <c r="L471" s="16" t="str">
        <f>_xlfn.XLOOKUP(I471,dd_accsryclr!$A$2:$A$1000,dd_accsryclr!$A$2:$A$1000,"",0)</f>
        <v/>
      </c>
    </row>
    <row r="472" spans="1:12" hidden="1" x14ac:dyDescent="0.25">
      <c r="A472" s="16" t="s">
        <v>27</v>
      </c>
      <c r="B472" s="16" t="s">
        <v>483</v>
      </c>
      <c r="C472" s="16" t="s">
        <v>472</v>
      </c>
      <c r="D472" s="16" t="s">
        <v>473</v>
      </c>
      <c r="E472" s="16">
        <v>3.5210344827586209</v>
      </c>
      <c r="F472" s="16" t="s">
        <v>194</v>
      </c>
      <c r="G472" s="16"/>
      <c r="H472" s="16" t="s">
        <v>469</v>
      </c>
      <c r="I472" s="16" t="s">
        <v>217</v>
      </c>
      <c r="J472" s="16" t="str">
        <f>IF(ISNUMBER(SEARCH("SCRW", H472)), _xlfn.XLOOKUP(C472,dd_item!$A$2:$A$147,dd_item!$B$2:$B$147,"",0),_xlfn.XLOOKUP(H472,dd_item!$A$2:$A$147,dd_item!$B$2:$B$147,"",0))</f>
        <v>Frame90</v>
      </c>
      <c r="K472" s="16" t="str">
        <f>_xlfn.XLOOKUP(A472,dd_design_raw!$C$2:$C$1002,dd_design_raw!$A$2:$A$1002,"",0)</f>
        <v>Fix Slide Slide Slide Slide Slide Slide Fix Dr</v>
      </c>
      <c r="L472" s="16" t="str">
        <f>_xlfn.XLOOKUP(I472,dd_accsryclr!$A$2:$A$1000,dd_accsryclr!$A$2:$A$1000,"",0)</f>
        <v/>
      </c>
    </row>
    <row r="473" spans="1:12" hidden="1" x14ac:dyDescent="0.25">
      <c r="A473" s="16" t="s">
        <v>27</v>
      </c>
      <c r="B473" s="16" t="s">
        <v>483</v>
      </c>
      <c r="C473" s="16" t="s">
        <v>474</v>
      </c>
      <c r="D473" s="16" t="s">
        <v>475</v>
      </c>
      <c r="E473" s="16">
        <v>3.5210344827586209</v>
      </c>
      <c r="F473" s="16" t="s">
        <v>194</v>
      </c>
      <c r="G473" s="16"/>
      <c r="H473" s="16" t="s">
        <v>469</v>
      </c>
      <c r="I473" s="16" t="s">
        <v>226</v>
      </c>
      <c r="J473" s="16" t="str">
        <f>IF(ISNUMBER(SEARCH("SCRW", H473)), _xlfn.XLOOKUP(C473,dd_item!$A$2:$A$147,dd_item!$B$2:$B$147,"",0),_xlfn.XLOOKUP(H473,dd_item!$A$2:$A$147,dd_item!$B$2:$B$147,"",0))</f>
        <v>Frame90</v>
      </c>
      <c r="K473" s="16" t="str">
        <f>_xlfn.XLOOKUP(A473,dd_design_raw!$C$2:$C$1002,dd_design_raw!$A$2:$A$1002,"",0)</f>
        <v>Fix Slide Slide Slide Slide Slide Slide Fix Dr</v>
      </c>
      <c r="L473" s="16" t="str">
        <f>_xlfn.XLOOKUP(I473,dd_accsryclr!$A$2:$A$1000,dd_accsryclr!$A$2:$A$1000,"",0)</f>
        <v/>
      </c>
    </row>
    <row r="474" spans="1:12" hidden="1" x14ac:dyDescent="0.25">
      <c r="A474" s="16" t="s">
        <v>27</v>
      </c>
      <c r="B474" s="16" t="s">
        <v>483</v>
      </c>
      <c r="C474" s="16" t="s">
        <v>476</v>
      </c>
      <c r="D474" s="16" t="s">
        <v>477</v>
      </c>
      <c r="E474" s="16">
        <v>3.5210344827586209</v>
      </c>
      <c r="F474" s="16" t="s">
        <v>194</v>
      </c>
      <c r="G474" s="16"/>
      <c r="H474" s="16" t="s">
        <v>469</v>
      </c>
      <c r="I474" s="16" t="s">
        <v>220</v>
      </c>
      <c r="J474" s="16" t="str">
        <f>IF(ISNUMBER(SEARCH("SCRW", H474)), _xlfn.XLOOKUP(C474,dd_item!$A$2:$A$147,dd_item!$B$2:$B$147,"",0),_xlfn.XLOOKUP(H474,dd_item!$A$2:$A$147,dd_item!$B$2:$B$147,"",0))</f>
        <v>Frame90</v>
      </c>
      <c r="K474" s="16" t="str">
        <f>_xlfn.XLOOKUP(A474,dd_design_raw!$C$2:$C$1002,dd_design_raw!$A$2:$A$1002,"",0)</f>
        <v>Fix Slide Slide Slide Slide Slide Slide Fix Dr</v>
      </c>
      <c r="L474" s="16" t="str">
        <f>_xlfn.XLOOKUP(I474,dd_accsryclr!$A$2:$A$1000,dd_accsryclr!$A$2:$A$1000,"",0)</f>
        <v>WHT</v>
      </c>
    </row>
    <row r="475" spans="1:12" hidden="1" x14ac:dyDescent="0.25">
      <c r="A475" s="16" t="s">
        <v>27</v>
      </c>
      <c r="B475" s="16" t="s">
        <v>483</v>
      </c>
      <c r="C475" s="16" t="s">
        <v>478</v>
      </c>
      <c r="D475" s="16" t="s">
        <v>479</v>
      </c>
      <c r="E475" s="16">
        <v>3.5210344827586209</v>
      </c>
      <c r="F475" s="16" t="s">
        <v>194</v>
      </c>
      <c r="G475" s="16"/>
      <c r="H475" s="16" t="s">
        <v>469</v>
      </c>
      <c r="I475" s="16" t="s">
        <v>223</v>
      </c>
      <c r="J475" s="16" t="str">
        <f>IF(ISNUMBER(SEARCH("SCRW", H475)), _xlfn.XLOOKUP(C475,dd_item!$A$2:$A$147,dd_item!$B$2:$B$147,"",0),_xlfn.XLOOKUP(H475,dd_item!$A$2:$A$147,dd_item!$B$2:$B$147,"",0))</f>
        <v>Frame90</v>
      </c>
      <c r="K475" s="16" t="str">
        <f>_xlfn.XLOOKUP(A475,dd_design_raw!$C$2:$C$1002,dd_design_raw!$A$2:$A$1002,"",0)</f>
        <v>Fix Slide Slide Slide Slide Slide Slide Fix Dr</v>
      </c>
      <c r="L475" s="16" t="str">
        <f>_xlfn.XLOOKUP(I475,dd_accsryclr!$A$2:$A$1000,dd_accsryclr!$A$2:$A$1000,"",0)</f>
        <v>BLK</v>
      </c>
    </row>
    <row r="476" spans="1:12" hidden="1" x14ac:dyDescent="0.25">
      <c r="A476" s="16" t="s">
        <v>27</v>
      </c>
      <c r="B476" s="16" t="s">
        <v>483</v>
      </c>
      <c r="C476" s="16" t="s">
        <v>480</v>
      </c>
      <c r="D476" s="16" t="s">
        <v>481</v>
      </c>
      <c r="E476" s="16">
        <v>3.5210344827586209</v>
      </c>
      <c r="F476" s="16" t="s">
        <v>194</v>
      </c>
      <c r="G476" s="16"/>
      <c r="H476" s="16" t="s">
        <v>469</v>
      </c>
      <c r="I476" s="16" t="s">
        <v>230</v>
      </c>
      <c r="J476" s="16" t="str">
        <f>IF(ISNUMBER(SEARCH("SCRW", H476)), _xlfn.XLOOKUP(C476,dd_item!$A$2:$A$147,dd_item!$B$2:$B$147,"",0),_xlfn.XLOOKUP(H476,dd_item!$A$2:$A$147,dd_item!$B$2:$B$147,"",0))</f>
        <v>Frame90</v>
      </c>
      <c r="K476" s="16" t="str">
        <f>_xlfn.XLOOKUP(A476,dd_design_raw!$C$2:$C$1002,dd_design_raw!$A$2:$A$1002,"",0)</f>
        <v>Fix Slide Slide Slide Slide Slide Slide Fix Dr</v>
      </c>
      <c r="L476" s="16" t="str">
        <f>_xlfn.XLOOKUP(I476,dd_accsryclr!$A$2:$A$1000,dd_accsryclr!$A$2:$A$1000,"",0)</f>
        <v>BRWN</v>
      </c>
    </row>
    <row r="477" spans="1:12" hidden="1" x14ac:dyDescent="0.25">
      <c r="A477" s="16" t="s">
        <v>27</v>
      </c>
      <c r="B477" s="16" t="s">
        <v>483</v>
      </c>
      <c r="C477" s="16" t="s">
        <v>259</v>
      </c>
      <c r="D477" s="16" t="s">
        <v>260</v>
      </c>
      <c r="E477" s="16">
        <v>3.5210344827586209</v>
      </c>
      <c r="F477" s="16" t="s">
        <v>194</v>
      </c>
      <c r="G477" s="16"/>
      <c r="H477" s="16" t="s">
        <v>248</v>
      </c>
      <c r="I477" s="16" t="s">
        <v>230</v>
      </c>
      <c r="J477" s="16" t="str">
        <f>IF(ISNUMBER(SEARCH("SCRW", H477)), _xlfn.XLOOKUP(C477,dd_item!$A$2:$A$147,dd_item!$B$2:$B$147,"",0),_xlfn.XLOOKUP(H477,dd_item!$A$2:$A$147,dd_item!$B$2:$B$147,"",0))</f>
        <v>Sash66</v>
      </c>
      <c r="K477" s="16" t="str">
        <f>_xlfn.XLOOKUP(A477,dd_design_raw!$C$2:$C$1002,dd_design_raw!$A$2:$A$1002,"",0)</f>
        <v>Fix Slide Slide Slide Slide Slide Slide Fix Dr</v>
      </c>
      <c r="L477" s="16" t="str">
        <f>_xlfn.XLOOKUP(I477,dd_accsryclr!$A$2:$A$1000,dd_accsryclr!$A$2:$A$1000,"",0)</f>
        <v>BRWN</v>
      </c>
    </row>
    <row r="478" spans="1:12" hidden="1" x14ac:dyDescent="0.25">
      <c r="A478" s="16" t="s">
        <v>27</v>
      </c>
      <c r="B478" s="16" t="s">
        <v>483</v>
      </c>
      <c r="C478" s="16" t="s">
        <v>261</v>
      </c>
      <c r="D478" s="16" t="s">
        <v>262</v>
      </c>
      <c r="E478" s="16">
        <v>7.0420689655172417</v>
      </c>
      <c r="F478" s="16" t="s">
        <v>194</v>
      </c>
      <c r="G478" s="16" t="s">
        <v>64</v>
      </c>
      <c r="H478" s="16" t="s">
        <v>263</v>
      </c>
      <c r="I478" s="16" t="s">
        <v>264</v>
      </c>
      <c r="J478" s="16" t="str">
        <f>IF(ISNUMBER(SEARCH("SCRW", H478)), _xlfn.XLOOKUP(C478,dd_item!$A$2:$A$147,dd_item!$B$2:$B$147,"",0),_xlfn.XLOOKUP(H478,dd_item!$A$2:$A$147,dd_item!$B$2:$B$147,"",0))</f>
        <v>Steel-Frame</v>
      </c>
      <c r="K478" s="16" t="str">
        <f>_xlfn.XLOOKUP(A478,dd_design_raw!$C$2:$C$1002,dd_design_raw!$A$2:$A$1002,"",0)</f>
        <v>Fix Slide Slide Slide Slide Slide Slide Fix Dr</v>
      </c>
      <c r="L478" s="16" t="str">
        <f>_xlfn.XLOOKUP(I478,dd_accsryclr!$A$2:$A$1000,dd_accsryclr!$A$2:$A$1000,"",0)</f>
        <v/>
      </c>
    </row>
    <row r="479" spans="1:12" hidden="1" x14ac:dyDescent="0.25">
      <c r="A479" s="16" t="s">
        <v>27</v>
      </c>
      <c r="B479" s="16" t="s">
        <v>483</v>
      </c>
      <c r="C479" s="16" t="s">
        <v>265</v>
      </c>
      <c r="D479" s="16" t="s">
        <v>266</v>
      </c>
      <c r="E479" s="16">
        <v>3.5210344827586209</v>
      </c>
      <c r="F479" s="16" t="s">
        <v>194</v>
      </c>
      <c r="G479" s="16" t="s">
        <v>60</v>
      </c>
      <c r="H479" s="16" t="s">
        <v>267</v>
      </c>
      <c r="I479" s="16" t="s">
        <v>268</v>
      </c>
      <c r="J479" s="16" t="str">
        <f>IF(ISNUMBER(SEARCH("SCRW", H479)), _xlfn.XLOOKUP(C479,dd_item!$A$2:$A$147,dd_item!$B$2:$B$147,"",0),_xlfn.XLOOKUP(H479,dd_item!$A$2:$A$147,dd_item!$B$2:$B$147,"",0))</f>
        <v>Steel-Sash66</v>
      </c>
      <c r="K479" s="16" t="str">
        <f>_xlfn.XLOOKUP(A479,dd_design_raw!$C$2:$C$1002,dd_design_raw!$A$2:$A$1002,"",0)</f>
        <v>Fix Slide Slide Slide Slide Slide Slide Fix Dr</v>
      </c>
      <c r="L479" s="16" t="str">
        <f>_xlfn.XLOOKUP(I479,dd_accsryclr!$A$2:$A$1000,dd_accsryclr!$A$2:$A$1000,"",0)</f>
        <v/>
      </c>
    </row>
    <row r="480" spans="1:12" hidden="1" x14ac:dyDescent="0.25">
      <c r="A480" s="16" t="s">
        <v>27</v>
      </c>
      <c r="B480" s="16" t="s">
        <v>483</v>
      </c>
      <c r="C480" s="16" t="s">
        <v>269</v>
      </c>
      <c r="D480" s="16" t="s">
        <v>270</v>
      </c>
      <c r="E480" s="16">
        <v>8.5389655172413796</v>
      </c>
      <c r="F480" s="16" t="s">
        <v>194</v>
      </c>
      <c r="G480" s="16" t="s">
        <v>61</v>
      </c>
      <c r="H480" s="16" t="s">
        <v>271</v>
      </c>
      <c r="I480" s="16" t="s">
        <v>272</v>
      </c>
      <c r="J480" s="16" t="str">
        <f>IF(ISNUMBER(SEARCH("SCRW", H480)), _xlfn.XLOOKUP(C480,dd_item!$A$2:$A$147,dd_item!$B$2:$B$147,"",0),_xlfn.XLOOKUP(H480,dd_item!$A$2:$A$147,dd_item!$B$2:$B$147,"",0))</f>
        <v>Steel-Sash92</v>
      </c>
      <c r="K480" s="16" t="str">
        <f>_xlfn.XLOOKUP(A480,dd_design_raw!$C$2:$C$1002,dd_design_raw!$A$2:$A$1002,"",0)</f>
        <v>Fix Slide Slide Slide Slide Slide Slide Fix Dr</v>
      </c>
      <c r="L480" s="16" t="str">
        <f>_xlfn.XLOOKUP(I480,dd_accsryclr!$A$2:$A$1000,dd_accsryclr!$A$2:$A$1000,"",0)</f>
        <v/>
      </c>
    </row>
    <row r="481" spans="1:12" hidden="1" x14ac:dyDescent="0.25">
      <c r="A481" s="16" t="s">
        <v>27</v>
      </c>
      <c r="B481" s="16" t="s">
        <v>483</v>
      </c>
      <c r="C481" s="16" t="s">
        <v>273</v>
      </c>
      <c r="D481" s="16" t="s">
        <v>274</v>
      </c>
      <c r="E481" s="16">
        <v>8.5389655172413796</v>
      </c>
      <c r="F481" s="16" t="s">
        <v>194</v>
      </c>
      <c r="G481" s="16" t="s">
        <v>61</v>
      </c>
      <c r="H481" s="16" t="s">
        <v>271</v>
      </c>
      <c r="I481" s="16" t="s">
        <v>275</v>
      </c>
      <c r="J481" s="16" t="str">
        <f>IF(ISNUMBER(SEARCH("SCRW", H481)), _xlfn.XLOOKUP(C481,dd_item!$A$2:$A$147,dd_item!$B$2:$B$147,"",0),_xlfn.XLOOKUP(H481,dd_item!$A$2:$A$147,dd_item!$B$2:$B$147,"",0))</f>
        <v>Steel-Sash92</v>
      </c>
      <c r="K481" s="16" t="str">
        <f>_xlfn.XLOOKUP(A481,dd_design_raw!$C$2:$C$1002,dd_design_raw!$A$2:$A$1002,"",0)</f>
        <v>Fix Slide Slide Slide Slide Slide Slide Fix Dr</v>
      </c>
      <c r="L481" s="16" t="str">
        <f>_xlfn.XLOOKUP(I481,dd_accsryclr!$A$2:$A$1000,dd_accsryclr!$A$2:$A$1000,"",0)</f>
        <v/>
      </c>
    </row>
    <row r="482" spans="1:12" hidden="1" x14ac:dyDescent="0.25">
      <c r="A482" s="16" t="s">
        <v>27</v>
      </c>
      <c r="B482" s="16" t="s">
        <v>483</v>
      </c>
      <c r="C482" s="16" t="s">
        <v>276</v>
      </c>
      <c r="D482" s="16" t="s">
        <v>277</v>
      </c>
      <c r="E482" s="16">
        <v>8.5389655172413796</v>
      </c>
      <c r="F482" s="16" t="s">
        <v>194</v>
      </c>
      <c r="G482" s="16"/>
      <c r="H482" s="16" t="s">
        <v>278</v>
      </c>
      <c r="I482" s="16" t="s">
        <v>223</v>
      </c>
      <c r="J482" s="16" t="str">
        <f>IF(ISNUMBER(SEARCH("SCRW", H482)), _xlfn.XLOOKUP(C482,dd_item!$A$2:$A$147,dd_item!$B$2:$B$147,"",0),_xlfn.XLOOKUP(H482,dd_item!$A$2:$A$147,dd_item!$B$2:$B$147,"",0))</f>
        <v>Bead25</v>
      </c>
      <c r="K482" s="16" t="str">
        <f>_xlfn.XLOOKUP(A482,dd_design_raw!$C$2:$C$1002,dd_design_raw!$A$2:$A$1002,"",0)</f>
        <v>Fix Slide Slide Slide Slide Slide Slide Fix Dr</v>
      </c>
      <c r="L482" s="16" t="str">
        <f>_xlfn.XLOOKUP(I482,dd_accsryclr!$A$2:$A$1000,dd_accsryclr!$A$2:$A$1000,"",0)</f>
        <v>BLK</v>
      </c>
    </row>
    <row r="483" spans="1:12" hidden="1" x14ac:dyDescent="0.25">
      <c r="A483" s="16" t="s">
        <v>27</v>
      </c>
      <c r="B483" s="16" t="s">
        <v>483</v>
      </c>
      <c r="C483" s="16" t="s">
        <v>279</v>
      </c>
      <c r="D483" s="16" t="s">
        <v>280</v>
      </c>
      <c r="E483" s="16">
        <v>8.5389655172413796</v>
      </c>
      <c r="F483" s="16" t="s">
        <v>194</v>
      </c>
      <c r="G483" s="16"/>
      <c r="H483" s="16" t="s">
        <v>278</v>
      </c>
      <c r="I483" s="16" t="s">
        <v>211</v>
      </c>
      <c r="J483" s="16" t="str">
        <f>IF(ISNUMBER(SEARCH("SCRW", H483)), _xlfn.XLOOKUP(C483,dd_item!$A$2:$A$147,dd_item!$B$2:$B$147,"",0),_xlfn.XLOOKUP(H483,dd_item!$A$2:$A$147,dd_item!$B$2:$B$147,"",0))</f>
        <v>Bead25</v>
      </c>
      <c r="K483" s="16" t="str">
        <f>_xlfn.XLOOKUP(A483,dd_design_raw!$C$2:$C$1002,dd_design_raw!$A$2:$A$1002,"",0)</f>
        <v>Fix Slide Slide Slide Slide Slide Slide Fix Dr</v>
      </c>
      <c r="L483" s="16" t="str">
        <f>_xlfn.XLOOKUP(I483,dd_accsryclr!$A$2:$A$1000,dd_accsryclr!$A$2:$A$1000,"",0)</f>
        <v/>
      </c>
    </row>
    <row r="484" spans="1:12" hidden="1" x14ac:dyDescent="0.25">
      <c r="A484" s="16" t="s">
        <v>27</v>
      </c>
      <c r="B484" s="16" t="s">
        <v>483</v>
      </c>
      <c r="C484" s="16" t="s">
        <v>281</v>
      </c>
      <c r="D484" s="16" t="s">
        <v>282</v>
      </c>
      <c r="E484" s="16">
        <v>8.5389655172413796</v>
      </c>
      <c r="F484" s="16" t="s">
        <v>194</v>
      </c>
      <c r="G484" s="16"/>
      <c r="H484" s="16" t="s">
        <v>278</v>
      </c>
      <c r="I484" s="16" t="s">
        <v>214</v>
      </c>
      <c r="J484" s="16" t="str">
        <f>IF(ISNUMBER(SEARCH("SCRW", H484)), _xlfn.XLOOKUP(C484,dd_item!$A$2:$A$147,dd_item!$B$2:$B$147,"",0),_xlfn.XLOOKUP(H484,dd_item!$A$2:$A$147,dd_item!$B$2:$B$147,"",0))</f>
        <v>Bead25</v>
      </c>
      <c r="K484" s="16" t="str">
        <f>_xlfn.XLOOKUP(A484,dd_design_raw!$C$2:$C$1002,dd_design_raw!$A$2:$A$1002,"",0)</f>
        <v>Fix Slide Slide Slide Slide Slide Slide Fix Dr</v>
      </c>
      <c r="L484" s="16" t="str">
        <f>_xlfn.XLOOKUP(I484,dd_accsryclr!$A$2:$A$1000,dd_accsryclr!$A$2:$A$1000,"",0)</f>
        <v/>
      </c>
    </row>
    <row r="485" spans="1:12" hidden="1" x14ac:dyDescent="0.25">
      <c r="A485" s="16" t="s">
        <v>27</v>
      </c>
      <c r="B485" s="16" t="s">
        <v>483</v>
      </c>
      <c r="C485" s="16" t="s">
        <v>283</v>
      </c>
      <c r="D485" s="16" t="s">
        <v>284</v>
      </c>
      <c r="E485" s="16">
        <v>8.5389655172413796</v>
      </c>
      <c r="F485" s="16" t="s">
        <v>194</v>
      </c>
      <c r="G485" s="16"/>
      <c r="H485" s="16" t="s">
        <v>278</v>
      </c>
      <c r="I485" s="16" t="s">
        <v>217</v>
      </c>
      <c r="J485" s="16" t="str">
        <f>IF(ISNUMBER(SEARCH("SCRW", H485)), _xlfn.XLOOKUP(C485,dd_item!$A$2:$A$147,dd_item!$B$2:$B$147,"",0),_xlfn.XLOOKUP(H485,dd_item!$A$2:$A$147,dd_item!$B$2:$B$147,"",0))</f>
        <v>Bead25</v>
      </c>
      <c r="K485" s="16" t="str">
        <f>_xlfn.XLOOKUP(A485,dd_design_raw!$C$2:$C$1002,dd_design_raw!$A$2:$A$1002,"",0)</f>
        <v>Fix Slide Slide Slide Slide Slide Slide Fix Dr</v>
      </c>
      <c r="L485" s="16" t="str">
        <f>_xlfn.XLOOKUP(I485,dd_accsryclr!$A$2:$A$1000,dd_accsryclr!$A$2:$A$1000,"",0)</f>
        <v/>
      </c>
    </row>
    <row r="486" spans="1:12" hidden="1" x14ac:dyDescent="0.25">
      <c r="A486" s="16" t="s">
        <v>27</v>
      </c>
      <c r="B486" s="16" t="s">
        <v>483</v>
      </c>
      <c r="C486" s="16" t="s">
        <v>285</v>
      </c>
      <c r="D486" s="16" t="s">
        <v>286</v>
      </c>
      <c r="E486" s="16">
        <v>8.5389655172413796</v>
      </c>
      <c r="F486" s="16" t="s">
        <v>194</v>
      </c>
      <c r="G486" s="16"/>
      <c r="H486" s="16" t="s">
        <v>278</v>
      </c>
      <c r="I486" s="16" t="s">
        <v>226</v>
      </c>
      <c r="J486" s="16" t="str">
        <f>IF(ISNUMBER(SEARCH("SCRW", H486)), _xlfn.XLOOKUP(C486,dd_item!$A$2:$A$147,dd_item!$B$2:$B$147,"",0),_xlfn.XLOOKUP(H486,dd_item!$A$2:$A$147,dd_item!$B$2:$B$147,"",0))</f>
        <v>Bead25</v>
      </c>
      <c r="K486" s="16" t="str">
        <f>_xlfn.XLOOKUP(A486,dd_design_raw!$C$2:$C$1002,dd_design_raw!$A$2:$A$1002,"",0)</f>
        <v>Fix Slide Slide Slide Slide Slide Slide Fix Dr</v>
      </c>
      <c r="L486" s="16" t="str">
        <f>_xlfn.XLOOKUP(I486,dd_accsryclr!$A$2:$A$1000,dd_accsryclr!$A$2:$A$1000,"",0)</f>
        <v/>
      </c>
    </row>
    <row r="487" spans="1:12" hidden="1" x14ac:dyDescent="0.25">
      <c r="A487" s="16" t="s">
        <v>27</v>
      </c>
      <c r="B487" s="16" t="s">
        <v>483</v>
      </c>
      <c r="C487" s="16" t="s">
        <v>287</v>
      </c>
      <c r="D487" s="16" t="s">
        <v>288</v>
      </c>
      <c r="E487" s="16">
        <v>8.5389655172413796</v>
      </c>
      <c r="F487" s="16" t="s">
        <v>194</v>
      </c>
      <c r="G487" s="16"/>
      <c r="H487" s="16" t="s">
        <v>278</v>
      </c>
      <c r="I487" s="16" t="s">
        <v>220</v>
      </c>
      <c r="J487" s="16" t="str">
        <f>IF(ISNUMBER(SEARCH("SCRW", H487)), _xlfn.XLOOKUP(C487,dd_item!$A$2:$A$147,dd_item!$B$2:$B$147,"",0),_xlfn.XLOOKUP(H487,dd_item!$A$2:$A$147,dd_item!$B$2:$B$147,"",0))</f>
        <v>Bead25</v>
      </c>
      <c r="K487" s="16" t="str">
        <f>_xlfn.XLOOKUP(A487,dd_design_raw!$C$2:$C$1002,dd_design_raw!$A$2:$A$1002,"",0)</f>
        <v>Fix Slide Slide Slide Slide Slide Slide Fix Dr</v>
      </c>
      <c r="L487" s="16" t="str">
        <f>_xlfn.XLOOKUP(I487,dd_accsryclr!$A$2:$A$1000,dd_accsryclr!$A$2:$A$1000,"",0)</f>
        <v>WHT</v>
      </c>
    </row>
    <row r="488" spans="1:12" hidden="1" x14ac:dyDescent="0.25">
      <c r="A488" s="16" t="s">
        <v>27</v>
      </c>
      <c r="B488" s="16" t="s">
        <v>483</v>
      </c>
      <c r="C488" s="16" t="s">
        <v>289</v>
      </c>
      <c r="D488" s="16" t="s">
        <v>290</v>
      </c>
      <c r="E488" s="16">
        <v>8.5389655172413796</v>
      </c>
      <c r="F488" s="16" t="s">
        <v>194</v>
      </c>
      <c r="G488" s="16"/>
      <c r="H488" s="16" t="s">
        <v>278</v>
      </c>
      <c r="I488" s="16" t="s">
        <v>230</v>
      </c>
      <c r="J488" s="16" t="str">
        <f>IF(ISNUMBER(SEARCH("SCRW", H488)), _xlfn.XLOOKUP(C488,dd_item!$A$2:$A$147,dd_item!$B$2:$B$147,"",0),_xlfn.XLOOKUP(H488,dd_item!$A$2:$A$147,dd_item!$B$2:$B$147,"",0))</f>
        <v>Bead25</v>
      </c>
      <c r="K488" s="16" t="str">
        <f>_xlfn.XLOOKUP(A488,dd_design_raw!$C$2:$C$1002,dd_design_raw!$A$2:$A$1002,"",0)</f>
        <v>Fix Slide Slide Slide Slide Slide Slide Fix Dr</v>
      </c>
      <c r="L488" s="16" t="str">
        <f>_xlfn.XLOOKUP(I488,dd_accsryclr!$A$2:$A$1000,dd_accsryclr!$A$2:$A$1000,"",0)</f>
        <v>BRWN</v>
      </c>
    </row>
    <row r="489" spans="1:12" hidden="1" x14ac:dyDescent="0.25">
      <c r="A489" s="16" t="s">
        <v>27</v>
      </c>
      <c r="B489" s="16" t="s">
        <v>483</v>
      </c>
      <c r="C489" s="16" t="s">
        <v>296</v>
      </c>
      <c r="D489" s="16" t="s">
        <v>297</v>
      </c>
      <c r="E489" s="16">
        <v>1</v>
      </c>
      <c r="F489" s="16" t="s">
        <v>293</v>
      </c>
      <c r="G489" s="16"/>
      <c r="H489" s="16" t="s">
        <v>294</v>
      </c>
      <c r="I489" s="16" t="s">
        <v>298</v>
      </c>
      <c r="J489" s="16" t="str">
        <f>IF(ISNUMBER(SEARCH("SCRW", H489)), _xlfn.XLOOKUP(C489,dd_item!$A$2:$A$147,dd_item!$B$2:$B$147,"",0),_xlfn.XLOOKUP(H489,dd_item!$A$2:$A$147,dd_item!$B$2:$B$147,"",0))</f>
        <v>SD Kit Handle</v>
      </c>
      <c r="K489" s="16" t="str">
        <f>_xlfn.XLOOKUP(A489,dd_design_raw!$C$2:$C$1002,dd_design_raw!$A$2:$A$1002,"",0)</f>
        <v>Fix Slide Slide Slide Slide Slide Slide Fix Dr</v>
      </c>
      <c r="L489" s="16" t="str">
        <f>_xlfn.XLOOKUP(I489,dd_accsryclr!$A$2:$A$1000,dd_accsryclr!$A$2:$A$1000,"",0)</f>
        <v/>
      </c>
    </row>
    <row r="490" spans="1:12" hidden="1" x14ac:dyDescent="0.25">
      <c r="A490" s="16" t="s">
        <v>27</v>
      </c>
      <c r="B490" s="16" t="s">
        <v>483</v>
      </c>
      <c r="C490" s="16" t="s">
        <v>291</v>
      </c>
      <c r="D490" s="16" t="s">
        <v>292</v>
      </c>
      <c r="E490" s="16">
        <v>1</v>
      </c>
      <c r="F490" s="16" t="s">
        <v>293</v>
      </c>
      <c r="G490" s="16"/>
      <c r="H490" s="16" t="s">
        <v>294</v>
      </c>
      <c r="I490" s="16" t="s">
        <v>295</v>
      </c>
      <c r="J490" s="16" t="str">
        <f>IF(ISNUMBER(SEARCH("SCRW", H490)), _xlfn.XLOOKUP(C490,dd_item!$A$2:$A$147,dd_item!$B$2:$B$147,"",0),_xlfn.XLOOKUP(H490,dd_item!$A$2:$A$147,dd_item!$B$2:$B$147,"",0))</f>
        <v>SD Kit Handle</v>
      </c>
      <c r="K490" s="16" t="str">
        <f>_xlfn.XLOOKUP(A490,dd_design_raw!$C$2:$C$1002,dd_design_raw!$A$2:$A$1002,"",0)</f>
        <v>Fix Slide Slide Slide Slide Slide Slide Fix Dr</v>
      </c>
      <c r="L490" s="16" t="str">
        <f>_xlfn.XLOOKUP(I490,dd_accsryclr!$A$2:$A$1000,dd_accsryclr!$A$2:$A$1000,"",0)</f>
        <v/>
      </c>
    </row>
    <row r="491" spans="1:12" hidden="1" x14ac:dyDescent="0.25">
      <c r="A491" s="16" t="s">
        <v>27</v>
      </c>
      <c r="B491" s="16" t="s">
        <v>483</v>
      </c>
      <c r="C491" s="16" t="s">
        <v>299</v>
      </c>
      <c r="D491" s="16" t="s">
        <v>300</v>
      </c>
      <c r="E491" s="16">
        <v>1</v>
      </c>
      <c r="F491" s="16" t="s">
        <v>293</v>
      </c>
      <c r="G491" s="16"/>
      <c r="H491" s="16" t="s">
        <v>294</v>
      </c>
      <c r="I491" s="16" t="s">
        <v>223</v>
      </c>
      <c r="J491" s="16" t="str">
        <f>IF(ISNUMBER(SEARCH("SCRW", H491)), _xlfn.XLOOKUP(C491,dd_item!$A$2:$A$147,dd_item!$B$2:$B$147,"",0),_xlfn.XLOOKUP(H491,dd_item!$A$2:$A$147,dd_item!$B$2:$B$147,"",0))</f>
        <v>SD Kit Handle</v>
      </c>
      <c r="K491" s="16" t="str">
        <f>_xlfn.XLOOKUP(A491,dd_design_raw!$C$2:$C$1002,dd_design_raw!$A$2:$A$1002,"",0)</f>
        <v>Fix Slide Slide Slide Slide Slide Slide Fix Dr</v>
      </c>
      <c r="L491" s="16" t="str">
        <f>_xlfn.XLOOKUP(I491,dd_accsryclr!$A$2:$A$1000,dd_accsryclr!$A$2:$A$1000,"",0)</f>
        <v>BLK</v>
      </c>
    </row>
    <row r="492" spans="1:12" hidden="1" x14ac:dyDescent="0.25">
      <c r="A492" s="16" t="s">
        <v>27</v>
      </c>
      <c r="B492" s="16" t="s">
        <v>483</v>
      </c>
      <c r="C492" s="16" t="s">
        <v>301</v>
      </c>
      <c r="D492" s="16" t="s">
        <v>302</v>
      </c>
      <c r="E492" s="16">
        <v>1</v>
      </c>
      <c r="F492" s="16" t="s">
        <v>293</v>
      </c>
      <c r="G492" s="16"/>
      <c r="H492" s="16" t="s">
        <v>294</v>
      </c>
      <c r="I492" s="16" t="s">
        <v>220</v>
      </c>
      <c r="J492" s="16" t="str">
        <f>IF(ISNUMBER(SEARCH("SCRW", H492)), _xlfn.XLOOKUP(C492,dd_item!$A$2:$A$147,dd_item!$B$2:$B$147,"",0),_xlfn.XLOOKUP(H492,dd_item!$A$2:$A$147,dd_item!$B$2:$B$147,"",0))</f>
        <v>SD Kit Handle</v>
      </c>
      <c r="K492" s="16" t="str">
        <f>_xlfn.XLOOKUP(A492,dd_design_raw!$C$2:$C$1002,dd_design_raw!$A$2:$A$1002,"",0)</f>
        <v>Fix Slide Slide Slide Slide Slide Slide Fix Dr</v>
      </c>
      <c r="L492" s="16" t="str">
        <f>_xlfn.XLOOKUP(I492,dd_accsryclr!$A$2:$A$1000,dd_accsryclr!$A$2:$A$1000,"",0)</f>
        <v>WHT</v>
      </c>
    </row>
    <row r="493" spans="1:12" hidden="1" x14ac:dyDescent="0.25">
      <c r="A493" s="16" t="s">
        <v>27</v>
      </c>
      <c r="B493" s="16" t="s">
        <v>483</v>
      </c>
      <c r="C493" s="16" t="s">
        <v>303</v>
      </c>
      <c r="D493" s="16" t="s">
        <v>304</v>
      </c>
      <c r="E493" s="16">
        <v>4</v>
      </c>
      <c r="F493" s="16" t="s">
        <v>293</v>
      </c>
      <c r="G493" s="16"/>
      <c r="H493" s="16" t="s">
        <v>305</v>
      </c>
      <c r="I493" s="16"/>
      <c r="J493" s="16" t="str">
        <f>IF(ISNUMBER(SEARCH("SCRW", H493)), _xlfn.XLOOKUP(C493,dd_item!$A$2:$A$147,dd_item!$B$2:$B$147,"",0),_xlfn.XLOOKUP(H493,dd_item!$A$2:$A$147,dd_item!$B$2:$B$147,"",0))</f>
        <v>Rubber Stopper</v>
      </c>
      <c r="K493" s="16" t="str">
        <f>_xlfn.XLOOKUP(A493,dd_design_raw!$C$2:$C$1002,dd_design_raw!$A$2:$A$1002,"",0)</f>
        <v>Fix Slide Slide Slide Slide Slide Slide Fix Dr</v>
      </c>
      <c r="L493" s="16" t="str">
        <f>_xlfn.XLOOKUP(I493,dd_accsryclr!$A$2:$A$1000,dd_accsryclr!$A$2:$A$1000,"",0)</f>
        <v/>
      </c>
    </row>
    <row r="494" spans="1:12" hidden="1" x14ac:dyDescent="0.25">
      <c r="A494" s="16" t="s">
        <v>27</v>
      </c>
      <c r="B494" s="16" t="s">
        <v>483</v>
      </c>
      <c r="C494" s="16" t="s">
        <v>306</v>
      </c>
      <c r="D494" s="16" t="s">
        <v>307</v>
      </c>
      <c r="E494" s="16">
        <v>10</v>
      </c>
      <c r="F494" s="16" t="s">
        <v>293</v>
      </c>
      <c r="G494" s="16"/>
      <c r="H494" s="16" t="s">
        <v>308</v>
      </c>
      <c r="I494" s="16" t="s">
        <v>230</v>
      </c>
      <c r="J494" s="16" t="str">
        <f>IF(ISNUMBER(SEARCH("SCRW", H494)), _xlfn.XLOOKUP(C494,dd_item!$A$2:$A$147,dd_item!$B$2:$B$147,"",0),_xlfn.XLOOKUP(H494,dd_item!$A$2:$A$147,dd_item!$B$2:$B$147,"",0))</f>
        <v>Track Bridge</v>
      </c>
      <c r="K494" s="16" t="str">
        <f>_xlfn.XLOOKUP(A494,dd_design_raw!$C$2:$C$1002,dd_design_raw!$A$2:$A$1002,"",0)</f>
        <v>Fix Slide Slide Slide Slide Slide Slide Fix Dr</v>
      </c>
      <c r="L494" s="16" t="str">
        <f>_xlfn.XLOOKUP(I494,dd_accsryclr!$A$2:$A$1000,dd_accsryclr!$A$2:$A$1000,"",0)</f>
        <v>BRWN</v>
      </c>
    </row>
    <row r="495" spans="1:12" hidden="1" x14ac:dyDescent="0.25">
      <c r="A495" s="16" t="s">
        <v>27</v>
      </c>
      <c r="B495" s="16" t="s">
        <v>483</v>
      </c>
      <c r="C495" s="16" t="s">
        <v>309</v>
      </c>
      <c r="D495" s="16" t="s">
        <v>310</v>
      </c>
      <c r="E495" s="16">
        <v>10</v>
      </c>
      <c r="F495" s="16" t="s">
        <v>293</v>
      </c>
      <c r="G495" s="16"/>
      <c r="H495" s="16" t="s">
        <v>308</v>
      </c>
      <c r="I495" s="16" t="s">
        <v>220</v>
      </c>
      <c r="J495" s="16" t="str">
        <f>IF(ISNUMBER(SEARCH("SCRW", H495)), _xlfn.XLOOKUP(C495,dd_item!$A$2:$A$147,dd_item!$B$2:$B$147,"",0),_xlfn.XLOOKUP(H495,dd_item!$A$2:$A$147,dd_item!$B$2:$B$147,"",0))</f>
        <v>Track Bridge</v>
      </c>
      <c r="K495" s="16" t="str">
        <f>_xlfn.XLOOKUP(A495,dd_design_raw!$C$2:$C$1002,dd_design_raw!$A$2:$A$1002,"",0)</f>
        <v>Fix Slide Slide Slide Slide Slide Slide Fix Dr</v>
      </c>
      <c r="L495" s="16" t="str">
        <f>_xlfn.XLOOKUP(I495,dd_accsryclr!$A$2:$A$1000,dd_accsryclr!$A$2:$A$1000,"",0)</f>
        <v>WHT</v>
      </c>
    </row>
    <row r="496" spans="1:12" hidden="1" x14ac:dyDescent="0.25">
      <c r="A496" s="16" t="s">
        <v>27</v>
      </c>
      <c r="B496" s="16" t="s">
        <v>483</v>
      </c>
      <c r="C496" s="16" t="s">
        <v>311</v>
      </c>
      <c r="D496" s="16" t="s">
        <v>312</v>
      </c>
      <c r="E496" s="16">
        <v>8</v>
      </c>
      <c r="F496" s="16" t="s">
        <v>293</v>
      </c>
      <c r="G496" s="16"/>
      <c r="H496" s="16" t="s">
        <v>313</v>
      </c>
      <c r="I496" s="16"/>
      <c r="J496" s="16" t="str">
        <f>IF(ISNUMBER(SEARCH("SCRW", H496)), _xlfn.XLOOKUP(C496,dd_item!$A$2:$A$147,dd_item!$B$2:$B$147,"",0),_xlfn.XLOOKUP(H496,dd_item!$A$2:$A$147,dd_item!$B$2:$B$147,"",0))</f>
        <v>Roller for Door</v>
      </c>
      <c r="K496" s="16" t="str">
        <f>_xlfn.XLOOKUP(A496,dd_design_raw!$C$2:$C$1002,dd_design_raw!$A$2:$A$1002,"",0)</f>
        <v>Fix Slide Slide Slide Slide Slide Slide Fix Dr</v>
      </c>
      <c r="L496" s="16" t="str">
        <f>_xlfn.XLOOKUP(I496,dd_accsryclr!$A$2:$A$1000,dd_accsryclr!$A$2:$A$1000,"",0)</f>
        <v/>
      </c>
    </row>
    <row r="497" spans="1:12" hidden="1" x14ac:dyDescent="0.25">
      <c r="A497" s="16" t="s">
        <v>27</v>
      </c>
      <c r="B497" s="16" t="s">
        <v>483</v>
      </c>
      <c r="C497" s="16" t="s">
        <v>314</v>
      </c>
      <c r="D497" s="16" t="s">
        <v>315</v>
      </c>
      <c r="E497" s="16">
        <v>8</v>
      </c>
      <c r="F497" s="16" t="s">
        <v>293</v>
      </c>
      <c r="G497" s="16"/>
      <c r="H497" s="16" t="s">
        <v>313</v>
      </c>
      <c r="I497" s="16"/>
      <c r="J497" s="16" t="str">
        <f>IF(ISNUMBER(SEARCH("SCRW", H497)), _xlfn.XLOOKUP(C497,dd_item!$A$2:$A$147,dd_item!$B$2:$B$147,"",0),_xlfn.XLOOKUP(H497,dd_item!$A$2:$A$147,dd_item!$B$2:$B$147,"",0))</f>
        <v>Roller for Door</v>
      </c>
      <c r="K497" s="16" t="str">
        <f>_xlfn.XLOOKUP(A497,dd_design_raw!$C$2:$C$1002,dd_design_raw!$A$2:$A$1002,"",0)</f>
        <v>Fix Slide Slide Slide Slide Slide Slide Fix Dr</v>
      </c>
      <c r="L497" s="16" t="str">
        <f>_xlfn.XLOOKUP(I497,dd_accsryclr!$A$2:$A$1000,dd_accsryclr!$A$2:$A$1000,"",0)</f>
        <v/>
      </c>
    </row>
    <row r="498" spans="1:12" hidden="1" x14ac:dyDescent="0.25">
      <c r="A498" s="16" t="s">
        <v>27</v>
      </c>
      <c r="B498" s="16" t="s">
        <v>483</v>
      </c>
      <c r="C498" s="16" t="s">
        <v>334</v>
      </c>
      <c r="D498" s="16" t="s">
        <v>335</v>
      </c>
      <c r="E498" s="16">
        <v>4.8544</v>
      </c>
      <c r="F498" s="16" t="s">
        <v>194</v>
      </c>
      <c r="G498" s="16"/>
      <c r="H498" s="16" t="s">
        <v>336</v>
      </c>
      <c r="I498" s="16" t="s">
        <v>211</v>
      </c>
      <c r="J498" s="16" t="str">
        <f>IF(ISNUMBER(SEARCH("SCRW", H498)), _xlfn.XLOOKUP(C498,dd_item!$A$2:$A$147,dd_item!$B$2:$B$147,"",0),_xlfn.XLOOKUP(H498,dd_item!$A$2:$A$147,dd_item!$B$2:$B$147,"",0))</f>
        <v>Interlocker50</v>
      </c>
      <c r="K498" s="16" t="str">
        <f>_xlfn.XLOOKUP(A498,dd_design_raw!$C$2:$C$1002,dd_design_raw!$A$2:$A$1002,"",0)</f>
        <v>Fix Slide Slide Slide Slide Slide Slide Fix Dr</v>
      </c>
      <c r="L498" s="16" t="str">
        <f>_xlfn.XLOOKUP(I498,dd_accsryclr!$A$2:$A$1000,dd_accsryclr!$A$2:$A$1000,"",0)</f>
        <v/>
      </c>
    </row>
    <row r="499" spans="1:12" hidden="1" x14ac:dyDescent="0.25">
      <c r="A499" s="16" t="s">
        <v>27</v>
      </c>
      <c r="B499" s="16" t="s">
        <v>483</v>
      </c>
      <c r="C499" s="16" t="s">
        <v>337</v>
      </c>
      <c r="D499" s="16" t="s">
        <v>338</v>
      </c>
      <c r="E499" s="16">
        <v>4.8544</v>
      </c>
      <c r="F499" s="16" t="s">
        <v>194</v>
      </c>
      <c r="G499" s="16"/>
      <c r="H499" s="16" t="s">
        <v>336</v>
      </c>
      <c r="I499" s="16" t="s">
        <v>214</v>
      </c>
      <c r="J499" s="16" t="str">
        <f>IF(ISNUMBER(SEARCH("SCRW", H499)), _xlfn.XLOOKUP(C499,dd_item!$A$2:$A$147,dd_item!$B$2:$B$147,"",0),_xlfn.XLOOKUP(H499,dd_item!$A$2:$A$147,dd_item!$B$2:$B$147,"",0))</f>
        <v>Interlocker50</v>
      </c>
      <c r="K499" s="16" t="str">
        <f>_xlfn.XLOOKUP(A499,dd_design_raw!$C$2:$C$1002,dd_design_raw!$A$2:$A$1002,"",0)</f>
        <v>Fix Slide Slide Slide Slide Slide Slide Fix Dr</v>
      </c>
      <c r="L499" s="16" t="str">
        <f>_xlfn.XLOOKUP(I499,dd_accsryclr!$A$2:$A$1000,dd_accsryclr!$A$2:$A$1000,"",0)</f>
        <v/>
      </c>
    </row>
    <row r="500" spans="1:12" hidden="1" x14ac:dyDescent="0.25">
      <c r="A500" s="16" t="s">
        <v>27</v>
      </c>
      <c r="B500" s="16" t="s">
        <v>483</v>
      </c>
      <c r="C500" s="16" t="s">
        <v>339</v>
      </c>
      <c r="D500" s="16" t="s">
        <v>340</v>
      </c>
      <c r="E500" s="16">
        <v>4.8544</v>
      </c>
      <c r="F500" s="16" t="s">
        <v>194</v>
      </c>
      <c r="G500" s="16"/>
      <c r="H500" s="16" t="s">
        <v>336</v>
      </c>
      <c r="I500" s="16" t="s">
        <v>217</v>
      </c>
      <c r="J500" s="16" t="str">
        <f>IF(ISNUMBER(SEARCH("SCRW", H500)), _xlfn.XLOOKUP(C500,dd_item!$A$2:$A$147,dd_item!$B$2:$B$147,"",0),_xlfn.XLOOKUP(H500,dd_item!$A$2:$A$147,dd_item!$B$2:$B$147,"",0))</f>
        <v>Interlocker50</v>
      </c>
      <c r="K500" s="16" t="str">
        <f>_xlfn.XLOOKUP(A500,dd_design_raw!$C$2:$C$1002,dd_design_raw!$A$2:$A$1002,"",0)</f>
        <v>Fix Slide Slide Slide Slide Slide Slide Fix Dr</v>
      </c>
      <c r="L500" s="16" t="str">
        <f>_xlfn.XLOOKUP(I500,dd_accsryclr!$A$2:$A$1000,dd_accsryclr!$A$2:$A$1000,"",0)</f>
        <v/>
      </c>
    </row>
    <row r="501" spans="1:12" hidden="1" x14ac:dyDescent="0.25">
      <c r="A501" s="16" t="s">
        <v>27</v>
      </c>
      <c r="B501" s="16" t="s">
        <v>483</v>
      </c>
      <c r="C501" s="16" t="s">
        <v>341</v>
      </c>
      <c r="D501" s="16" t="s">
        <v>342</v>
      </c>
      <c r="E501" s="16">
        <v>4.8544</v>
      </c>
      <c r="F501" s="16" t="s">
        <v>194</v>
      </c>
      <c r="G501" s="16"/>
      <c r="H501" s="16" t="s">
        <v>336</v>
      </c>
      <c r="I501" s="16" t="s">
        <v>226</v>
      </c>
      <c r="J501" s="16" t="str">
        <f>IF(ISNUMBER(SEARCH("SCRW", H501)), _xlfn.XLOOKUP(C501,dd_item!$A$2:$A$147,dd_item!$B$2:$B$147,"",0),_xlfn.XLOOKUP(H501,dd_item!$A$2:$A$147,dd_item!$B$2:$B$147,"",0))</f>
        <v>Interlocker50</v>
      </c>
      <c r="K501" s="16" t="str">
        <f>_xlfn.XLOOKUP(A501,dd_design_raw!$C$2:$C$1002,dd_design_raw!$A$2:$A$1002,"",0)</f>
        <v>Fix Slide Slide Slide Slide Slide Slide Fix Dr</v>
      </c>
      <c r="L501" s="16" t="str">
        <f>_xlfn.XLOOKUP(I501,dd_accsryclr!$A$2:$A$1000,dd_accsryclr!$A$2:$A$1000,"",0)</f>
        <v/>
      </c>
    </row>
    <row r="502" spans="1:12" hidden="1" x14ac:dyDescent="0.25">
      <c r="A502" s="16" t="s">
        <v>27</v>
      </c>
      <c r="B502" s="16" t="s">
        <v>483</v>
      </c>
      <c r="C502" s="16" t="s">
        <v>343</v>
      </c>
      <c r="D502" s="16" t="s">
        <v>344</v>
      </c>
      <c r="E502" s="16">
        <v>4.8544</v>
      </c>
      <c r="F502" s="16" t="s">
        <v>194</v>
      </c>
      <c r="G502" s="16"/>
      <c r="H502" s="16" t="s">
        <v>336</v>
      </c>
      <c r="I502" s="16" t="s">
        <v>220</v>
      </c>
      <c r="J502" s="16" t="str">
        <f>IF(ISNUMBER(SEARCH("SCRW", H502)), _xlfn.XLOOKUP(C502,dd_item!$A$2:$A$147,dd_item!$B$2:$B$147,"",0),_xlfn.XLOOKUP(H502,dd_item!$A$2:$A$147,dd_item!$B$2:$B$147,"",0))</f>
        <v>Interlocker50</v>
      </c>
      <c r="K502" s="16" t="str">
        <f>_xlfn.XLOOKUP(A502,dd_design_raw!$C$2:$C$1002,dd_design_raw!$A$2:$A$1002,"",0)</f>
        <v>Fix Slide Slide Slide Slide Slide Slide Fix Dr</v>
      </c>
      <c r="L502" s="16" t="str">
        <f>_xlfn.XLOOKUP(I502,dd_accsryclr!$A$2:$A$1000,dd_accsryclr!$A$2:$A$1000,"",0)</f>
        <v>WHT</v>
      </c>
    </row>
    <row r="503" spans="1:12" hidden="1" x14ac:dyDescent="0.25">
      <c r="A503" s="16" t="s">
        <v>27</v>
      </c>
      <c r="B503" s="16" t="s">
        <v>483</v>
      </c>
      <c r="C503" s="16" t="s">
        <v>345</v>
      </c>
      <c r="D503" s="16" t="s">
        <v>346</v>
      </c>
      <c r="E503" s="16">
        <v>4.8544</v>
      </c>
      <c r="F503" s="16" t="s">
        <v>194</v>
      </c>
      <c r="G503" s="16"/>
      <c r="H503" s="16" t="s">
        <v>336</v>
      </c>
      <c r="I503" s="16" t="s">
        <v>223</v>
      </c>
      <c r="J503" s="16" t="str">
        <f>IF(ISNUMBER(SEARCH("SCRW", H503)), _xlfn.XLOOKUP(C503,dd_item!$A$2:$A$147,dd_item!$B$2:$B$147,"",0),_xlfn.XLOOKUP(H503,dd_item!$A$2:$A$147,dd_item!$B$2:$B$147,"",0))</f>
        <v>Interlocker50</v>
      </c>
      <c r="K503" s="16" t="str">
        <f>_xlfn.XLOOKUP(A503,dd_design_raw!$C$2:$C$1002,dd_design_raw!$A$2:$A$1002,"",0)</f>
        <v>Fix Slide Slide Slide Slide Slide Slide Fix Dr</v>
      </c>
      <c r="L503" s="16" t="str">
        <f>_xlfn.XLOOKUP(I503,dd_accsryclr!$A$2:$A$1000,dd_accsryclr!$A$2:$A$1000,"",0)</f>
        <v>BLK</v>
      </c>
    </row>
    <row r="504" spans="1:12" hidden="1" x14ac:dyDescent="0.25">
      <c r="A504" s="16" t="s">
        <v>27</v>
      </c>
      <c r="B504" s="16" t="s">
        <v>483</v>
      </c>
      <c r="C504" s="16" t="s">
        <v>347</v>
      </c>
      <c r="D504" s="16" t="s">
        <v>348</v>
      </c>
      <c r="E504" s="16">
        <v>4.8544</v>
      </c>
      <c r="F504" s="16" t="s">
        <v>194</v>
      </c>
      <c r="G504" s="16"/>
      <c r="H504" s="16" t="s">
        <v>336</v>
      </c>
      <c r="I504" s="16" t="s">
        <v>230</v>
      </c>
      <c r="J504" s="16" t="str">
        <f>IF(ISNUMBER(SEARCH("SCRW", H504)), _xlfn.XLOOKUP(C504,dd_item!$A$2:$A$147,dd_item!$B$2:$B$147,"",0),_xlfn.XLOOKUP(H504,dd_item!$A$2:$A$147,dd_item!$B$2:$B$147,"",0))</f>
        <v>Interlocker50</v>
      </c>
      <c r="K504" s="16" t="str">
        <f>_xlfn.XLOOKUP(A504,dd_design_raw!$C$2:$C$1002,dd_design_raw!$A$2:$A$1002,"",0)</f>
        <v>Fix Slide Slide Slide Slide Slide Slide Fix Dr</v>
      </c>
      <c r="L504" s="16" t="str">
        <f>_xlfn.XLOOKUP(I504,dd_accsryclr!$A$2:$A$1000,dd_accsryclr!$A$2:$A$1000,"",0)</f>
        <v>BRWN</v>
      </c>
    </row>
    <row r="505" spans="1:12" hidden="1" x14ac:dyDescent="0.25">
      <c r="A505" s="16" t="s">
        <v>27</v>
      </c>
      <c r="B505" s="16" t="s">
        <v>483</v>
      </c>
      <c r="C505" s="16" t="s">
        <v>428</v>
      </c>
      <c r="D505" s="16" t="s">
        <v>429</v>
      </c>
      <c r="E505" s="16">
        <v>0.52310344827586208</v>
      </c>
      <c r="F505" s="16" t="s">
        <v>194</v>
      </c>
      <c r="G505" s="16"/>
      <c r="H505" s="16" t="s">
        <v>430</v>
      </c>
      <c r="I505" s="16" t="s">
        <v>223</v>
      </c>
      <c r="J505" s="16" t="str">
        <f>IF(ISNUMBER(SEARCH("SCRW", H505)), _xlfn.XLOOKUP(C505,dd_item!$A$2:$A$147,dd_item!$B$2:$B$147,"",0),_xlfn.XLOOKUP(H505,dd_item!$A$2:$A$147,dd_item!$B$2:$B$147,"",0))</f>
        <v>Inline Adapter 50</v>
      </c>
      <c r="K505" s="16" t="str">
        <f>_xlfn.XLOOKUP(A505,dd_design_raw!$C$2:$C$1002,dd_design_raw!$A$2:$A$1002,"",0)</f>
        <v>Fix Slide Slide Slide Slide Slide Slide Fix Dr</v>
      </c>
      <c r="L505" s="16" t="str">
        <f>_xlfn.XLOOKUP(I505,dd_accsryclr!$A$2:$A$1000,dd_accsryclr!$A$2:$A$1000,"",0)</f>
        <v>BLK</v>
      </c>
    </row>
    <row r="506" spans="1:12" hidden="1" x14ac:dyDescent="0.25">
      <c r="A506" s="16" t="s">
        <v>27</v>
      </c>
      <c r="B506" s="16" t="s">
        <v>483</v>
      </c>
      <c r="C506" s="16" t="s">
        <v>431</v>
      </c>
      <c r="D506" s="16" t="s">
        <v>432</v>
      </c>
      <c r="E506" s="16">
        <v>0.52310344827586208</v>
      </c>
      <c r="F506" s="16" t="s">
        <v>194</v>
      </c>
      <c r="G506" s="16"/>
      <c r="H506" s="16" t="s">
        <v>430</v>
      </c>
      <c r="I506" s="16" t="s">
        <v>211</v>
      </c>
      <c r="J506" s="16" t="str">
        <f>IF(ISNUMBER(SEARCH("SCRW", H506)), _xlfn.XLOOKUP(C506,dd_item!$A$2:$A$147,dd_item!$B$2:$B$147,"",0),_xlfn.XLOOKUP(H506,dd_item!$A$2:$A$147,dd_item!$B$2:$B$147,"",0))</f>
        <v>Inline Adapter 50</v>
      </c>
      <c r="K506" s="16" t="str">
        <f>_xlfn.XLOOKUP(A506,dd_design_raw!$C$2:$C$1002,dd_design_raw!$A$2:$A$1002,"",0)</f>
        <v>Fix Slide Slide Slide Slide Slide Slide Fix Dr</v>
      </c>
      <c r="L506" s="16" t="str">
        <f>_xlfn.XLOOKUP(I506,dd_accsryclr!$A$2:$A$1000,dd_accsryclr!$A$2:$A$1000,"",0)</f>
        <v/>
      </c>
    </row>
    <row r="507" spans="1:12" hidden="1" x14ac:dyDescent="0.25">
      <c r="A507" s="16" t="s">
        <v>27</v>
      </c>
      <c r="B507" s="16" t="s">
        <v>483</v>
      </c>
      <c r="C507" s="16" t="s">
        <v>433</v>
      </c>
      <c r="D507" s="16" t="s">
        <v>434</v>
      </c>
      <c r="E507" s="16">
        <v>0.52310344827586208</v>
      </c>
      <c r="F507" s="16" t="s">
        <v>194</v>
      </c>
      <c r="G507" s="16"/>
      <c r="H507" s="16" t="s">
        <v>430</v>
      </c>
      <c r="I507" s="16" t="s">
        <v>214</v>
      </c>
      <c r="J507" s="16" t="str">
        <f>IF(ISNUMBER(SEARCH("SCRW", H507)), _xlfn.XLOOKUP(C507,dd_item!$A$2:$A$147,dd_item!$B$2:$B$147,"",0),_xlfn.XLOOKUP(H507,dd_item!$A$2:$A$147,dd_item!$B$2:$B$147,"",0))</f>
        <v>Inline Adapter 50</v>
      </c>
      <c r="K507" s="16" t="str">
        <f>_xlfn.XLOOKUP(A507,dd_design_raw!$C$2:$C$1002,dd_design_raw!$A$2:$A$1002,"",0)</f>
        <v>Fix Slide Slide Slide Slide Slide Slide Fix Dr</v>
      </c>
      <c r="L507" s="16" t="str">
        <f>_xlfn.XLOOKUP(I507,dd_accsryclr!$A$2:$A$1000,dd_accsryclr!$A$2:$A$1000,"",0)</f>
        <v/>
      </c>
    </row>
    <row r="508" spans="1:12" hidden="1" x14ac:dyDescent="0.25">
      <c r="A508" s="16" t="s">
        <v>27</v>
      </c>
      <c r="B508" s="16" t="s">
        <v>483</v>
      </c>
      <c r="C508" s="16" t="s">
        <v>435</v>
      </c>
      <c r="D508" s="16" t="s">
        <v>436</v>
      </c>
      <c r="E508" s="16">
        <v>0.52310344827586208</v>
      </c>
      <c r="F508" s="16" t="s">
        <v>194</v>
      </c>
      <c r="G508" s="16"/>
      <c r="H508" s="16" t="s">
        <v>430</v>
      </c>
      <c r="I508" s="16" t="s">
        <v>217</v>
      </c>
      <c r="J508" s="16" t="str">
        <f>IF(ISNUMBER(SEARCH("SCRW", H508)), _xlfn.XLOOKUP(C508,dd_item!$A$2:$A$147,dd_item!$B$2:$B$147,"",0),_xlfn.XLOOKUP(H508,dd_item!$A$2:$A$147,dd_item!$B$2:$B$147,"",0))</f>
        <v>Inline Adapter 50</v>
      </c>
      <c r="K508" s="16" t="str">
        <f>_xlfn.XLOOKUP(A508,dd_design_raw!$C$2:$C$1002,dd_design_raw!$A$2:$A$1002,"",0)</f>
        <v>Fix Slide Slide Slide Slide Slide Slide Fix Dr</v>
      </c>
      <c r="L508" s="16" t="str">
        <f>_xlfn.XLOOKUP(I508,dd_accsryclr!$A$2:$A$1000,dd_accsryclr!$A$2:$A$1000,"",0)</f>
        <v/>
      </c>
    </row>
    <row r="509" spans="1:12" hidden="1" x14ac:dyDescent="0.25">
      <c r="A509" s="16" t="s">
        <v>27</v>
      </c>
      <c r="B509" s="16" t="s">
        <v>483</v>
      </c>
      <c r="C509" s="16" t="s">
        <v>437</v>
      </c>
      <c r="D509" s="16" t="s">
        <v>438</v>
      </c>
      <c r="E509" s="16">
        <v>0.52310344827586208</v>
      </c>
      <c r="F509" s="16" t="s">
        <v>194</v>
      </c>
      <c r="G509" s="16"/>
      <c r="H509" s="16" t="s">
        <v>430</v>
      </c>
      <c r="I509" s="16" t="s">
        <v>226</v>
      </c>
      <c r="J509" s="16" t="str">
        <f>IF(ISNUMBER(SEARCH("SCRW", H509)), _xlfn.XLOOKUP(C509,dd_item!$A$2:$A$147,dd_item!$B$2:$B$147,"",0),_xlfn.XLOOKUP(H509,dd_item!$A$2:$A$147,dd_item!$B$2:$B$147,"",0))</f>
        <v>Inline Adapter 50</v>
      </c>
      <c r="K509" s="16" t="str">
        <f>_xlfn.XLOOKUP(A509,dd_design_raw!$C$2:$C$1002,dd_design_raw!$A$2:$A$1002,"",0)</f>
        <v>Fix Slide Slide Slide Slide Slide Slide Fix Dr</v>
      </c>
      <c r="L509" s="16" t="str">
        <f>_xlfn.XLOOKUP(I509,dd_accsryclr!$A$2:$A$1000,dd_accsryclr!$A$2:$A$1000,"",0)</f>
        <v/>
      </c>
    </row>
    <row r="510" spans="1:12" hidden="1" x14ac:dyDescent="0.25">
      <c r="A510" s="16" t="s">
        <v>27</v>
      </c>
      <c r="B510" s="16" t="s">
        <v>483</v>
      </c>
      <c r="C510" s="16" t="s">
        <v>439</v>
      </c>
      <c r="D510" s="16" t="s">
        <v>440</v>
      </c>
      <c r="E510" s="16">
        <v>0.52310344827586208</v>
      </c>
      <c r="F510" s="16" t="s">
        <v>194</v>
      </c>
      <c r="G510" s="16"/>
      <c r="H510" s="16" t="s">
        <v>430</v>
      </c>
      <c r="I510" s="16" t="s">
        <v>220</v>
      </c>
      <c r="J510" s="16" t="str">
        <f>IF(ISNUMBER(SEARCH("SCRW", H510)), _xlfn.XLOOKUP(C510,dd_item!$A$2:$A$147,dd_item!$B$2:$B$147,"",0),_xlfn.XLOOKUP(H510,dd_item!$A$2:$A$147,dd_item!$B$2:$B$147,"",0))</f>
        <v>Inline Adapter 50</v>
      </c>
      <c r="K510" s="16" t="str">
        <f>_xlfn.XLOOKUP(A510,dd_design_raw!$C$2:$C$1002,dd_design_raw!$A$2:$A$1002,"",0)</f>
        <v>Fix Slide Slide Slide Slide Slide Slide Fix Dr</v>
      </c>
      <c r="L510" s="16" t="str">
        <f>_xlfn.XLOOKUP(I510,dd_accsryclr!$A$2:$A$1000,dd_accsryclr!$A$2:$A$1000,"",0)</f>
        <v>WHT</v>
      </c>
    </row>
    <row r="511" spans="1:12" hidden="1" x14ac:dyDescent="0.25">
      <c r="A511" s="16" t="s">
        <v>27</v>
      </c>
      <c r="B511" s="16" t="s">
        <v>483</v>
      </c>
      <c r="C511" s="16" t="s">
        <v>441</v>
      </c>
      <c r="D511" s="16" t="s">
        <v>442</v>
      </c>
      <c r="E511" s="16">
        <v>0.52310344827586208</v>
      </c>
      <c r="F511" s="16" t="s">
        <v>194</v>
      </c>
      <c r="G511" s="16"/>
      <c r="H511" s="16" t="s">
        <v>430</v>
      </c>
      <c r="I511" s="16" t="s">
        <v>230</v>
      </c>
      <c r="J511" s="16" t="str">
        <f>IF(ISNUMBER(SEARCH("SCRW", H511)), _xlfn.XLOOKUP(C511,dd_item!$A$2:$A$147,dd_item!$B$2:$B$147,"",0),_xlfn.XLOOKUP(H511,dd_item!$A$2:$A$147,dd_item!$B$2:$B$147,"",0))</f>
        <v>Inline Adapter 50</v>
      </c>
      <c r="K511" s="16" t="str">
        <f>_xlfn.XLOOKUP(A511,dd_design_raw!$C$2:$C$1002,dd_design_raw!$A$2:$A$1002,"",0)</f>
        <v>Fix Slide Slide Slide Slide Slide Slide Fix Dr</v>
      </c>
      <c r="L511" s="16" t="str">
        <f>_xlfn.XLOOKUP(I511,dd_accsryclr!$A$2:$A$1000,dd_accsryclr!$A$2:$A$1000,"",0)</f>
        <v>BRWN</v>
      </c>
    </row>
    <row r="512" spans="1:12" hidden="1" x14ac:dyDescent="0.25">
      <c r="A512" s="16" t="s">
        <v>27</v>
      </c>
      <c r="B512" s="16" t="s">
        <v>483</v>
      </c>
      <c r="C512" s="16" t="s">
        <v>364</v>
      </c>
      <c r="D512" s="16" t="s">
        <v>365</v>
      </c>
      <c r="E512" s="16">
        <v>4.9427586206896548</v>
      </c>
      <c r="F512" s="16" t="s">
        <v>293</v>
      </c>
      <c r="G512" s="16"/>
      <c r="H512" s="16" t="s">
        <v>366</v>
      </c>
      <c r="I512" s="16"/>
      <c r="J512" s="16" t="str">
        <f>IF(ISNUMBER(SEARCH("SCRW", H512)), _xlfn.XLOOKUP(C512,dd_item!$A$2:$A$147,dd_item!$B$2:$B$147,"",0),_xlfn.XLOOKUP(H512,dd_item!$A$2:$A$147,dd_item!$B$2:$B$147,"",0))</f>
        <v>Aluminum Track</v>
      </c>
      <c r="K512" s="16" t="str">
        <f>_xlfn.XLOOKUP(A512,dd_design_raw!$C$2:$C$1002,dd_design_raw!$A$2:$A$1002,"",0)</f>
        <v>Fix Slide Slide Slide Slide Slide Slide Fix Dr</v>
      </c>
      <c r="L512" s="16" t="str">
        <f>_xlfn.XLOOKUP(I512,dd_accsryclr!$A$2:$A$1000,dd_accsryclr!$A$2:$A$1000,"",0)</f>
        <v/>
      </c>
    </row>
    <row r="513" spans="1:12" hidden="1" x14ac:dyDescent="0.25">
      <c r="A513" s="16" t="s">
        <v>27</v>
      </c>
      <c r="B513" s="16" t="s">
        <v>483</v>
      </c>
      <c r="C513" s="16" t="s">
        <v>367</v>
      </c>
      <c r="D513" s="16" t="s">
        <v>368</v>
      </c>
      <c r="E513" s="16">
        <v>1</v>
      </c>
      <c r="F513" s="16" t="s">
        <v>369</v>
      </c>
      <c r="G513" s="16"/>
      <c r="H513" s="16" t="s">
        <v>370</v>
      </c>
      <c r="I513" s="16" t="s">
        <v>223</v>
      </c>
      <c r="J513" s="16" t="str">
        <f>IF(ISNUMBER(SEARCH("SCRW", H513)), _xlfn.XLOOKUP(C513,dd_item!$A$2:$A$147,dd_item!$B$2:$B$147,"",0),_xlfn.XLOOKUP(H513,dd_item!$A$2:$A$147,dd_item!$B$2:$B$147,"",0))</f>
        <v>SD Kit Handle</v>
      </c>
      <c r="K513" s="16" t="str">
        <f>_xlfn.XLOOKUP(A513,dd_design_raw!$C$2:$C$1002,dd_design_raw!$A$2:$A$1002,"",0)</f>
        <v>Fix Slide Slide Slide Slide Slide Slide Fix Dr</v>
      </c>
      <c r="L513" s="16" t="str">
        <f>_xlfn.XLOOKUP(I513,dd_accsryclr!$A$2:$A$1000,dd_accsryclr!$A$2:$A$1000,"",0)</f>
        <v>BLK</v>
      </c>
    </row>
    <row r="514" spans="1:12" hidden="1" x14ac:dyDescent="0.25">
      <c r="A514" s="16" t="s">
        <v>27</v>
      </c>
      <c r="B514" s="16" t="s">
        <v>483</v>
      </c>
      <c r="C514" s="16" t="s">
        <v>371</v>
      </c>
      <c r="D514" s="16" t="s">
        <v>372</v>
      </c>
      <c r="E514" s="16">
        <v>1</v>
      </c>
      <c r="F514" s="16" t="s">
        <v>369</v>
      </c>
      <c r="G514" s="16"/>
      <c r="H514" s="16" t="s">
        <v>370</v>
      </c>
      <c r="I514" s="16" t="s">
        <v>220</v>
      </c>
      <c r="J514" s="16" t="str">
        <f>IF(ISNUMBER(SEARCH("SCRW", H514)), _xlfn.XLOOKUP(C514,dd_item!$A$2:$A$147,dd_item!$B$2:$B$147,"",0),_xlfn.XLOOKUP(H514,dd_item!$A$2:$A$147,dd_item!$B$2:$B$147,"",0))</f>
        <v>SD Kit Handle</v>
      </c>
      <c r="K514" s="16" t="str">
        <f>_xlfn.XLOOKUP(A514,dd_design_raw!$C$2:$C$1002,dd_design_raw!$A$2:$A$1002,"",0)</f>
        <v>Fix Slide Slide Slide Slide Slide Slide Fix Dr</v>
      </c>
      <c r="L514" s="16" t="str">
        <f>_xlfn.XLOOKUP(I514,dd_accsryclr!$A$2:$A$1000,dd_accsryclr!$A$2:$A$1000,"",0)</f>
        <v>WHT</v>
      </c>
    </row>
    <row r="515" spans="1:12" hidden="1" x14ac:dyDescent="0.25">
      <c r="A515" s="16" t="s">
        <v>27</v>
      </c>
      <c r="B515" s="16" t="s">
        <v>483</v>
      </c>
      <c r="C515" s="16" t="s">
        <v>444</v>
      </c>
      <c r="D515" s="16" t="s">
        <v>445</v>
      </c>
      <c r="E515" s="16">
        <v>1</v>
      </c>
      <c r="F515" s="16" t="s">
        <v>369</v>
      </c>
      <c r="G515" s="16"/>
      <c r="H515" s="16" t="s">
        <v>370</v>
      </c>
      <c r="I515" s="16" t="s">
        <v>223</v>
      </c>
      <c r="J515" s="16" t="str">
        <f>IF(ISNUMBER(SEARCH("SCRW", H515)), _xlfn.XLOOKUP(C515,dd_item!$A$2:$A$147,dd_item!$B$2:$B$147,"",0),_xlfn.XLOOKUP(H515,dd_item!$A$2:$A$147,dd_item!$B$2:$B$147,"",0))</f>
        <v>SD Kit Handle</v>
      </c>
      <c r="K515" s="16" t="str">
        <f>_xlfn.XLOOKUP(A515,dd_design_raw!$C$2:$C$1002,dd_design_raw!$A$2:$A$1002,"",0)</f>
        <v>Fix Slide Slide Slide Slide Slide Slide Fix Dr</v>
      </c>
      <c r="L515" s="16" t="str">
        <f>_xlfn.XLOOKUP(I515,dd_accsryclr!$A$2:$A$1000,dd_accsryclr!$A$2:$A$1000,"",0)</f>
        <v>BLK</v>
      </c>
    </row>
    <row r="516" spans="1:12" hidden="1" x14ac:dyDescent="0.25">
      <c r="A516" s="16" t="s">
        <v>27</v>
      </c>
      <c r="B516" s="16" t="s">
        <v>483</v>
      </c>
      <c r="C516" s="16" t="s">
        <v>446</v>
      </c>
      <c r="D516" s="16" t="s">
        <v>447</v>
      </c>
      <c r="E516" s="16">
        <v>1</v>
      </c>
      <c r="F516" s="16" t="s">
        <v>369</v>
      </c>
      <c r="G516" s="16"/>
      <c r="H516" s="16" t="s">
        <v>370</v>
      </c>
      <c r="I516" s="16" t="s">
        <v>220</v>
      </c>
      <c r="J516" s="16" t="str">
        <f>IF(ISNUMBER(SEARCH("SCRW", H516)), _xlfn.XLOOKUP(C516,dd_item!$A$2:$A$147,dd_item!$B$2:$B$147,"",0),_xlfn.XLOOKUP(H516,dd_item!$A$2:$A$147,dd_item!$B$2:$B$147,"",0))</f>
        <v>SD Kit Handle</v>
      </c>
      <c r="K516" s="16" t="str">
        <f>_xlfn.XLOOKUP(A516,dd_design_raw!$C$2:$C$1002,dd_design_raw!$A$2:$A$1002,"",0)</f>
        <v>Fix Slide Slide Slide Slide Slide Slide Fix Dr</v>
      </c>
      <c r="L516" s="16" t="str">
        <f>_xlfn.XLOOKUP(I516,dd_accsryclr!$A$2:$A$1000,dd_accsryclr!$A$2:$A$1000,"",0)</f>
        <v>WHT</v>
      </c>
    </row>
    <row r="517" spans="1:12" hidden="1" x14ac:dyDescent="0.25">
      <c r="A517" s="16" t="s">
        <v>27</v>
      </c>
      <c r="B517" s="16" t="s">
        <v>483</v>
      </c>
      <c r="C517" s="16" t="s">
        <v>373</v>
      </c>
      <c r="D517" s="16" t="s">
        <v>374</v>
      </c>
      <c r="E517" s="16">
        <v>2</v>
      </c>
      <c r="F517" s="16" t="s">
        <v>369</v>
      </c>
      <c r="G517" s="16"/>
      <c r="H517" s="16" t="s">
        <v>370</v>
      </c>
      <c r="I517" s="16" t="s">
        <v>220</v>
      </c>
      <c r="J517" s="16" t="str">
        <f>IF(ISNUMBER(SEARCH("SCRW", H517)), _xlfn.XLOOKUP(C517,dd_item!$A$2:$A$147,dd_item!$B$2:$B$147,"",0),_xlfn.XLOOKUP(H517,dd_item!$A$2:$A$147,dd_item!$B$2:$B$147,"",0))</f>
        <v>SD Kit Handle</v>
      </c>
      <c r="K517" s="16" t="str">
        <f>_xlfn.XLOOKUP(A517,dd_design_raw!$C$2:$C$1002,dd_design_raw!$A$2:$A$1002,"",0)</f>
        <v>Fix Slide Slide Slide Slide Slide Slide Fix Dr</v>
      </c>
      <c r="L517" s="16" t="str">
        <f>_xlfn.XLOOKUP(I517,dd_accsryclr!$A$2:$A$1000,dd_accsryclr!$A$2:$A$1000,"",0)</f>
        <v>WHT</v>
      </c>
    </row>
    <row r="518" spans="1:12" hidden="1" x14ac:dyDescent="0.25">
      <c r="A518" s="16" t="s">
        <v>27</v>
      </c>
      <c r="B518" s="16" t="s">
        <v>483</v>
      </c>
      <c r="C518" s="16" t="s">
        <v>375</v>
      </c>
      <c r="D518" s="16" t="s">
        <v>376</v>
      </c>
      <c r="E518" s="16">
        <v>2</v>
      </c>
      <c r="F518" s="16" t="s">
        <v>369</v>
      </c>
      <c r="G518" s="16"/>
      <c r="H518" s="16" t="s">
        <v>370</v>
      </c>
      <c r="I518" s="16" t="s">
        <v>223</v>
      </c>
      <c r="J518" s="16" t="str">
        <f>IF(ISNUMBER(SEARCH("SCRW", H518)), _xlfn.XLOOKUP(C518,dd_item!$A$2:$A$147,dd_item!$B$2:$B$147,"",0),_xlfn.XLOOKUP(H518,dd_item!$A$2:$A$147,dd_item!$B$2:$B$147,"",0))</f>
        <v>SD Kit Handle</v>
      </c>
      <c r="K518" s="16" t="str">
        <f>_xlfn.XLOOKUP(A518,dd_design_raw!$C$2:$C$1002,dd_design_raw!$A$2:$A$1002,"",0)</f>
        <v>Fix Slide Slide Slide Slide Slide Slide Fix Dr</v>
      </c>
      <c r="L518" s="16" t="str">
        <f>_xlfn.XLOOKUP(I518,dd_accsryclr!$A$2:$A$1000,dd_accsryclr!$A$2:$A$1000,"",0)</f>
        <v>BLK</v>
      </c>
    </row>
    <row r="519" spans="1:12" hidden="1" x14ac:dyDescent="0.25">
      <c r="A519" s="16" t="s">
        <v>27</v>
      </c>
      <c r="B519" s="16" t="s">
        <v>483</v>
      </c>
      <c r="C519" s="16" t="s">
        <v>377</v>
      </c>
      <c r="D519" s="16" t="s">
        <v>378</v>
      </c>
      <c r="E519" s="16">
        <v>1</v>
      </c>
      <c r="F519" s="16" t="s">
        <v>369</v>
      </c>
      <c r="G519" s="16"/>
      <c r="H519" s="16" t="s">
        <v>379</v>
      </c>
      <c r="I519" s="16"/>
      <c r="J519" s="16" t="str">
        <f>IF(ISNUMBER(SEARCH("SCRW", H519)), _xlfn.XLOOKUP(C519,dd_item!$A$2:$A$147,dd_item!$B$2:$B$147,"",0),_xlfn.XLOOKUP(H519,dd_item!$A$2:$A$147,dd_item!$B$2:$B$147,"",0))</f>
        <v xml:space="preserve">SD Kit Cylinder Door Knob </v>
      </c>
      <c r="K519" s="16" t="str">
        <f>_xlfn.XLOOKUP(A519,dd_design_raw!$C$2:$C$1002,dd_design_raw!$A$2:$A$1002,"",0)</f>
        <v>Fix Slide Slide Slide Slide Slide Slide Fix Dr</v>
      </c>
      <c r="L519" s="16" t="str">
        <f>_xlfn.XLOOKUP(I519,dd_accsryclr!$A$2:$A$1000,dd_accsryclr!$A$2:$A$1000,"",0)</f>
        <v/>
      </c>
    </row>
    <row r="520" spans="1:12" hidden="1" x14ac:dyDescent="0.25">
      <c r="A520" s="16" t="s">
        <v>27</v>
      </c>
      <c r="B520" s="16" t="s">
        <v>483</v>
      </c>
      <c r="C520" s="16" t="s">
        <v>380</v>
      </c>
      <c r="D520" s="16" t="s">
        <v>381</v>
      </c>
      <c r="E520" s="16">
        <v>1</v>
      </c>
      <c r="F520" s="16" t="s">
        <v>369</v>
      </c>
      <c r="G520" s="16"/>
      <c r="H520" s="16" t="s">
        <v>379</v>
      </c>
      <c r="I520" s="16"/>
      <c r="J520" s="16" t="str">
        <f>IF(ISNUMBER(SEARCH("SCRW", H520)), _xlfn.XLOOKUP(C520,dd_item!$A$2:$A$147,dd_item!$B$2:$B$147,"",0),_xlfn.XLOOKUP(H520,dd_item!$A$2:$A$147,dd_item!$B$2:$B$147,"",0))</f>
        <v xml:space="preserve">SD Kit Cylinder Door Knob </v>
      </c>
      <c r="K520" s="16" t="str">
        <f>_xlfn.XLOOKUP(A520,dd_design_raw!$C$2:$C$1002,dd_design_raw!$A$2:$A$1002,"",0)</f>
        <v>Fix Slide Slide Slide Slide Slide Slide Fix Dr</v>
      </c>
      <c r="L520" s="16" t="str">
        <f>_xlfn.XLOOKUP(I520,dd_accsryclr!$A$2:$A$1000,dd_accsryclr!$A$2:$A$1000,"",0)</f>
        <v/>
      </c>
    </row>
    <row r="521" spans="1:12" hidden="1" x14ac:dyDescent="0.25">
      <c r="A521" s="16" t="s">
        <v>27</v>
      </c>
      <c r="B521" s="16" t="s">
        <v>483</v>
      </c>
      <c r="C521" s="16" t="s">
        <v>382</v>
      </c>
      <c r="D521" s="16" t="s">
        <v>383</v>
      </c>
      <c r="E521" s="16">
        <v>1</v>
      </c>
      <c r="F521" s="16" t="s">
        <v>369</v>
      </c>
      <c r="G521" s="16"/>
      <c r="H521" s="16" t="s">
        <v>384</v>
      </c>
      <c r="I521" s="16" t="s">
        <v>223</v>
      </c>
      <c r="J521" s="16" t="str">
        <f>IF(ISNUMBER(SEARCH("SCRW", H521)), _xlfn.XLOOKUP(C521,dd_item!$A$2:$A$147,dd_item!$B$2:$B$147,"",0),_xlfn.XLOOKUP(H521,dd_item!$A$2:$A$147,dd_item!$B$2:$B$147,"",0))</f>
        <v>Cylinder Cover Set</v>
      </c>
      <c r="K521" s="16" t="str">
        <f>_xlfn.XLOOKUP(A521,dd_design_raw!$C$2:$C$1002,dd_design_raw!$A$2:$A$1002,"",0)</f>
        <v>Fix Slide Slide Slide Slide Slide Slide Fix Dr</v>
      </c>
      <c r="L521" s="16" t="str">
        <f>_xlfn.XLOOKUP(I521,dd_accsryclr!$A$2:$A$1000,dd_accsryclr!$A$2:$A$1000,"",0)</f>
        <v>BLK</v>
      </c>
    </row>
    <row r="522" spans="1:12" hidden="1" x14ac:dyDescent="0.25">
      <c r="A522" s="16" t="s">
        <v>27</v>
      </c>
      <c r="B522" s="16" t="s">
        <v>483</v>
      </c>
      <c r="C522" s="16" t="s">
        <v>385</v>
      </c>
      <c r="D522" s="16" t="s">
        <v>386</v>
      </c>
      <c r="E522" s="16">
        <v>1</v>
      </c>
      <c r="F522" s="16" t="s">
        <v>369</v>
      </c>
      <c r="G522" s="16"/>
      <c r="H522" s="16" t="s">
        <v>384</v>
      </c>
      <c r="I522" s="16" t="s">
        <v>220</v>
      </c>
      <c r="J522" s="16" t="str">
        <f>IF(ISNUMBER(SEARCH("SCRW", H522)), _xlfn.XLOOKUP(C522,dd_item!$A$2:$A$147,dd_item!$B$2:$B$147,"",0),_xlfn.XLOOKUP(H522,dd_item!$A$2:$A$147,dd_item!$B$2:$B$147,"",0))</f>
        <v>Cylinder Cover Set</v>
      </c>
      <c r="K522" s="16" t="str">
        <f>_xlfn.XLOOKUP(A522,dd_design_raw!$C$2:$C$1002,dd_design_raw!$A$2:$A$1002,"",0)</f>
        <v>Fix Slide Slide Slide Slide Slide Slide Fix Dr</v>
      </c>
      <c r="L522" s="16" t="str">
        <f>_xlfn.XLOOKUP(I522,dd_accsryclr!$A$2:$A$1000,dd_accsryclr!$A$2:$A$1000,"",0)</f>
        <v>WHT</v>
      </c>
    </row>
    <row r="523" spans="1:12" hidden="1" x14ac:dyDescent="0.25">
      <c r="A523" s="16" t="s">
        <v>27</v>
      </c>
      <c r="B523" s="16" t="s">
        <v>483</v>
      </c>
      <c r="C523" s="16" t="s">
        <v>387</v>
      </c>
      <c r="D523" s="16" t="s">
        <v>388</v>
      </c>
      <c r="E523" s="16">
        <v>4</v>
      </c>
      <c r="F523" s="16" t="s">
        <v>369</v>
      </c>
      <c r="G523" s="16"/>
      <c r="H523" s="16" t="s">
        <v>389</v>
      </c>
      <c r="I523" s="16"/>
      <c r="J523" s="16" t="str">
        <f>IF(ISNUMBER(SEARCH("SCRW", H523)), _xlfn.XLOOKUP(C523,dd_item!$A$2:$A$147,dd_item!$B$2:$B$147,"",0),_xlfn.XLOOKUP(H523,dd_item!$A$2:$A$147,dd_item!$B$2:$B$147,"",0))</f>
        <v>Sliding Striker (Roto)</v>
      </c>
      <c r="K523" s="16" t="str">
        <f>_xlfn.XLOOKUP(A523,dd_design_raw!$C$2:$C$1002,dd_design_raw!$A$2:$A$1002,"",0)</f>
        <v>Fix Slide Slide Slide Slide Slide Slide Fix Dr</v>
      </c>
      <c r="L523" s="16" t="str">
        <f>_xlfn.XLOOKUP(I523,dd_accsryclr!$A$2:$A$1000,dd_accsryclr!$A$2:$A$1000,"",0)</f>
        <v/>
      </c>
    </row>
    <row r="524" spans="1:12" hidden="1" x14ac:dyDescent="0.25">
      <c r="A524" s="16" t="s">
        <v>27</v>
      </c>
      <c r="B524" s="16" t="s">
        <v>483</v>
      </c>
      <c r="C524" s="16" t="s">
        <v>390</v>
      </c>
      <c r="D524" s="16" t="s">
        <v>391</v>
      </c>
      <c r="E524" s="16">
        <v>89.688000000000002</v>
      </c>
      <c r="F524" s="16" t="s">
        <v>369</v>
      </c>
      <c r="G524" s="16"/>
      <c r="H524" s="16" t="s">
        <v>792</v>
      </c>
      <c r="I524" s="16"/>
      <c r="J524" s="16" t="str">
        <f>IF(ISNUMBER(SEARCH("SCRW", H524)), _xlfn.XLOOKUP(C524,dd_item!$A$2:$A$147,dd_item!$B$2:$B$147,"",0),_xlfn.XLOOKUP(H524,dd_item!$A$2:$A$147,dd_item!$B$2:$B$147,"",0))</f>
        <v>Atlas Screw (S) 10 x 2-1/2" (Flat)</v>
      </c>
      <c r="K524" s="16" t="str">
        <f>_xlfn.XLOOKUP(A524,dd_design_raw!$C$2:$C$1002,dd_design_raw!$A$2:$A$1002,"",0)</f>
        <v>Fix Slide Slide Slide Slide Slide Slide Fix Dr</v>
      </c>
      <c r="L524" s="16" t="str">
        <f>_xlfn.XLOOKUP(I524,dd_accsryclr!$A$2:$A$1000,dd_accsryclr!$A$2:$A$1000,"",0)</f>
        <v/>
      </c>
    </row>
    <row r="525" spans="1:12" hidden="1" x14ac:dyDescent="0.25">
      <c r="A525" s="16" t="s">
        <v>27</v>
      </c>
      <c r="B525" s="16" t="s">
        <v>483</v>
      </c>
      <c r="C525" s="16" t="s">
        <v>392</v>
      </c>
      <c r="D525" s="16" t="s">
        <v>393</v>
      </c>
      <c r="E525" s="16">
        <v>3</v>
      </c>
      <c r="F525" s="16" t="s">
        <v>369</v>
      </c>
      <c r="G525" s="16"/>
      <c r="H525" s="16" t="s">
        <v>394</v>
      </c>
      <c r="I525" s="16" t="s">
        <v>223</v>
      </c>
      <c r="J525" s="16" t="str">
        <f>IF(ISNUMBER(SEARCH("SCRW", H525)), _xlfn.XLOOKUP(C525,dd_item!$A$2:$A$147,dd_item!$B$2:$B$147,"",0),_xlfn.XLOOKUP(H525,dd_item!$A$2:$A$147,dd_item!$B$2:$B$147,"",0))</f>
        <v>Drainage Cover</v>
      </c>
      <c r="K525" s="16" t="str">
        <f>_xlfn.XLOOKUP(A525,dd_design_raw!$C$2:$C$1002,dd_design_raw!$A$2:$A$1002,"",0)</f>
        <v>Fix Slide Slide Slide Slide Slide Slide Fix Dr</v>
      </c>
      <c r="L525" s="16" t="str">
        <f>_xlfn.XLOOKUP(I525,dd_accsryclr!$A$2:$A$1000,dd_accsryclr!$A$2:$A$1000,"",0)</f>
        <v>BLK</v>
      </c>
    </row>
    <row r="526" spans="1:12" hidden="1" x14ac:dyDescent="0.25">
      <c r="A526" s="16" t="s">
        <v>27</v>
      </c>
      <c r="B526" s="16" t="s">
        <v>483</v>
      </c>
      <c r="C526" s="16" t="s">
        <v>395</v>
      </c>
      <c r="D526" s="16" t="s">
        <v>396</v>
      </c>
      <c r="E526" s="16">
        <v>3</v>
      </c>
      <c r="F526" s="16" t="s">
        <v>369</v>
      </c>
      <c r="G526" s="16"/>
      <c r="H526" s="16" t="s">
        <v>394</v>
      </c>
      <c r="I526" s="16" t="s">
        <v>220</v>
      </c>
      <c r="J526" s="16" t="str">
        <f>IF(ISNUMBER(SEARCH("SCRW", H526)), _xlfn.XLOOKUP(C526,dd_item!$A$2:$A$147,dd_item!$B$2:$B$147,"",0),_xlfn.XLOOKUP(H526,dd_item!$A$2:$A$147,dd_item!$B$2:$B$147,"",0))</f>
        <v>Drainage Cover</v>
      </c>
      <c r="K526" s="16" t="str">
        <f>_xlfn.XLOOKUP(A526,dd_design_raw!$C$2:$C$1002,dd_design_raw!$A$2:$A$1002,"",0)</f>
        <v>Fix Slide Slide Slide Slide Slide Slide Fix Dr</v>
      </c>
      <c r="L526" s="16" t="str">
        <f>_xlfn.XLOOKUP(I526,dd_accsryclr!$A$2:$A$1000,dd_accsryclr!$A$2:$A$1000,"",0)</f>
        <v>WHT</v>
      </c>
    </row>
    <row r="527" spans="1:12" hidden="1" x14ac:dyDescent="0.25">
      <c r="A527" s="16" t="s">
        <v>27</v>
      </c>
      <c r="B527" s="16" t="s">
        <v>483</v>
      </c>
      <c r="C527" s="16" t="s">
        <v>397</v>
      </c>
      <c r="D527" s="16" t="s">
        <v>398</v>
      </c>
      <c r="E527" s="16">
        <v>1.79376</v>
      </c>
      <c r="F527" s="16" t="s">
        <v>369</v>
      </c>
      <c r="G527" s="16"/>
      <c r="H527" s="16" t="s">
        <v>399</v>
      </c>
      <c r="I527" s="16" t="s">
        <v>400</v>
      </c>
      <c r="J527" s="16" t="str">
        <f>IF(ISNUMBER(SEARCH("SCRW", H527)), _xlfn.XLOOKUP(C527,dd_item!$A$2:$A$147,dd_item!$B$2:$B$147,"",0),_xlfn.XLOOKUP(H527,dd_item!$A$2:$A$147,dd_item!$B$2:$B$147,"",0))</f>
        <v>Tox6</v>
      </c>
      <c r="K527" s="16" t="str">
        <f>_xlfn.XLOOKUP(A527,dd_design_raw!$C$2:$C$1002,dd_design_raw!$A$2:$A$1002,"",0)</f>
        <v>Fix Slide Slide Slide Slide Slide Slide Fix Dr</v>
      </c>
      <c r="L527" s="16" t="str">
        <f>_xlfn.XLOOKUP(I527,dd_accsryclr!$A$2:$A$1000,dd_accsryclr!$A$2:$A$1000,"",0)</f>
        <v/>
      </c>
    </row>
    <row r="528" spans="1:12" hidden="1" x14ac:dyDescent="0.25">
      <c r="A528" s="16" t="s">
        <v>27</v>
      </c>
      <c r="B528" s="16" t="s">
        <v>483</v>
      </c>
      <c r="C528" s="16" t="s">
        <v>401</v>
      </c>
      <c r="D528" s="16" t="s">
        <v>402</v>
      </c>
      <c r="E528" s="16">
        <v>81.688000000000002</v>
      </c>
      <c r="F528" s="16" t="s">
        <v>369</v>
      </c>
      <c r="G528" s="16"/>
      <c r="H528" s="16" t="s">
        <v>403</v>
      </c>
      <c r="I528" s="16" t="s">
        <v>223</v>
      </c>
      <c r="J528" s="16" t="str">
        <f>IF(ISNUMBER(SEARCH("SCRW", H528)), _xlfn.XLOOKUP(C528,dd_item!$A$2:$A$147,dd_item!$B$2:$B$147,"",0),_xlfn.XLOOKUP(H528,dd_item!$A$2:$A$147,dd_item!$B$2:$B$147,"",0))</f>
        <v>Cover Cap</v>
      </c>
      <c r="K528" s="16" t="str">
        <f>_xlfn.XLOOKUP(A528,dd_design_raw!$C$2:$C$1002,dd_design_raw!$A$2:$A$1002,"",0)</f>
        <v>Fix Slide Slide Slide Slide Slide Slide Fix Dr</v>
      </c>
      <c r="L528" s="16" t="str">
        <f>_xlfn.XLOOKUP(I528,dd_accsryclr!$A$2:$A$1000,dd_accsryclr!$A$2:$A$1000,"",0)</f>
        <v>BLK</v>
      </c>
    </row>
    <row r="529" spans="1:12" hidden="1" x14ac:dyDescent="0.25">
      <c r="A529" s="16" t="s">
        <v>27</v>
      </c>
      <c r="B529" s="16" t="s">
        <v>483</v>
      </c>
      <c r="C529" s="16" t="s">
        <v>404</v>
      </c>
      <c r="D529" s="16" t="s">
        <v>405</v>
      </c>
      <c r="E529" s="16">
        <v>81.688000000000002</v>
      </c>
      <c r="F529" s="16" t="s">
        <v>369</v>
      </c>
      <c r="G529" s="16"/>
      <c r="H529" s="16" t="s">
        <v>403</v>
      </c>
      <c r="I529" s="16" t="s">
        <v>220</v>
      </c>
      <c r="J529" s="16" t="str">
        <f>IF(ISNUMBER(SEARCH("SCRW", H529)), _xlfn.XLOOKUP(C529,dd_item!$A$2:$A$147,dd_item!$B$2:$B$147,"",0),_xlfn.XLOOKUP(H529,dd_item!$A$2:$A$147,dd_item!$B$2:$B$147,"",0))</f>
        <v>Cover Cap</v>
      </c>
      <c r="K529" s="16" t="str">
        <f>_xlfn.XLOOKUP(A529,dd_design_raw!$C$2:$C$1002,dd_design_raw!$A$2:$A$1002,"",0)</f>
        <v>Fix Slide Slide Slide Slide Slide Slide Fix Dr</v>
      </c>
      <c r="L529" s="16" t="str">
        <f>_xlfn.XLOOKUP(I529,dd_accsryclr!$A$2:$A$1000,dd_accsryclr!$A$2:$A$1000,"",0)</f>
        <v>WHT</v>
      </c>
    </row>
    <row r="530" spans="1:12" hidden="1" x14ac:dyDescent="0.25">
      <c r="A530" s="16" t="s">
        <v>27</v>
      </c>
      <c r="B530" s="16" t="s">
        <v>483</v>
      </c>
      <c r="C530" s="16" t="s">
        <v>406</v>
      </c>
      <c r="D530" s="16" t="s">
        <v>407</v>
      </c>
      <c r="E530" s="16">
        <v>4</v>
      </c>
      <c r="F530" s="16" t="s">
        <v>369</v>
      </c>
      <c r="G530" s="16"/>
      <c r="H530" s="16" t="s">
        <v>408</v>
      </c>
      <c r="I530" s="16" t="s">
        <v>223</v>
      </c>
      <c r="J530" s="16" t="str">
        <f>IF(ISNUMBER(SEARCH("SCRW", H530)), _xlfn.XLOOKUP(C530,dd_item!$A$2:$A$147,dd_item!$B$2:$B$147,"",0),_xlfn.XLOOKUP(H530,dd_item!$A$2:$A$147,dd_item!$B$2:$B$147,"",0))</f>
        <v>SD Kit Buffer Stopper</v>
      </c>
      <c r="K530" s="16" t="str">
        <f>_xlfn.XLOOKUP(A530,dd_design_raw!$C$2:$C$1002,dd_design_raw!$A$2:$A$1002,"",0)</f>
        <v>Fix Slide Slide Slide Slide Slide Slide Fix Dr</v>
      </c>
      <c r="L530" s="16" t="str">
        <f>_xlfn.XLOOKUP(I530,dd_accsryclr!$A$2:$A$1000,dd_accsryclr!$A$2:$A$1000,"",0)</f>
        <v>BLK</v>
      </c>
    </row>
    <row r="531" spans="1:12" hidden="1" x14ac:dyDescent="0.25">
      <c r="A531" s="16" t="s">
        <v>27</v>
      </c>
      <c r="B531" s="16" t="s">
        <v>483</v>
      </c>
      <c r="C531" s="16" t="s">
        <v>410</v>
      </c>
      <c r="D531" s="16" t="s">
        <v>411</v>
      </c>
      <c r="E531" s="16">
        <v>10</v>
      </c>
      <c r="F531" s="16" t="s">
        <v>369</v>
      </c>
      <c r="G531" s="16"/>
      <c r="H531" s="16" t="s">
        <v>408</v>
      </c>
      <c r="I531" s="16" t="s">
        <v>220</v>
      </c>
      <c r="J531" s="16" t="str">
        <f>IF(ISNUMBER(SEARCH("SCRW", H531)), _xlfn.XLOOKUP(C531,dd_item!$A$2:$A$147,dd_item!$B$2:$B$147,"",0),_xlfn.XLOOKUP(H531,dd_item!$A$2:$A$147,dd_item!$B$2:$B$147,"",0))</f>
        <v>SD Kit Buffer Stopper</v>
      </c>
      <c r="K531" s="16" t="str">
        <f>_xlfn.XLOOKUP(A531,dd_design_raw!$C$2:$C$1002,dd_design_raw!$A$2:$A$1002,"",0)</f>
        <v>Fix Slide Slide Slide Slide Slide Slide Fix Dr</v>
      </c>
      <c r="L531" s="16" t="str">
        <f>_xlfn.XLOOKUP(I531,dd_accsryclr!$A$2:$A$1000,dd_accsryclr!$A$2:$A$1000,"",0)</f>
        <v>WHT</v>
      </c>
    </row>
    <row r="532" spans="1:12" hidden="1" x14ac:dyDescent="0.25">
      <c r="A532" s="16" t="s">
        <v>27</v>
      </c>
      <c r="B532" s="16" t="s">
        <v>483</v>
      </c>
      <c r="C532" s="16" t="s">
        <v>412</v>
      </c>
      <c r="D532" s="16" t="s">
        <v>413</v>
      </c>
      <c r="E532" s="16">
        <v>10</v>
      </c>
      <c r="F532" s="16" t="s">
        <v>369</v>
      </c>
      <c r="G532" s="16"/>
      <c r="H532" s="16" t="s">
        <v>793</v>
      </c>
      <c r="I532" s="16"/>
      <c r="J532" s="16" t="str">
        <f>IF(ISNUMBER(SEARCH("SCRW", H532)), _xlfn.XLOOKUP(C532,dd_item!$A$2:$A$147,dd_item!$B$2:$B$147,"",0),_xlfn.XLOOKUP(H532,dd_item!$A$2:$A$147,dd_item!$B$2:$B$147,"",0))</f>
        <v>Atlas Screw (S) 8 x 1-1/4" (Flat)</v>
      </c>
      <c r="K532" s="16" t="str">
        <f>_xlfn.XLOOKUP(A532,dd_design_raw!$C$2:$C$1002,dd_design_raw!$A$2:$A$1002,"",0)</f>
        <v>Fix Slide Slide Slide Slide Slide Slide Fix Dr</v>
      </c>
      <c r="L532" s="16" t="str">
        <f>_xlfn.XLOOKUP(I532,dd_accsryclr!$A$2:$A$1000,dd_accsryclr!$A$2:$A$1000,"",0)</f>
        <v/>
      </c>
    </row>
    <row r="533" spans="1:12" hidden="1" x14ac:dyDescent="0.25">
      <c r="A533" s="16" t="s">
        <v>27</v>
      </c>
      <c r="B533" s="16" t="s">
        <v>483</v>
      </c>
      <c r="C533" s="16" t="s">
        <v>414</v>
      </c>
      <c r="D533" s="16" t="s">
        <v>415</v>
      </c>
      <c r="E533" s="16">
        <v>13.614666666666666</v>
      </c>
      <c r="F533" s="16" t="s">
        <v>369</v>
      </c>
      <c r="G533" s="16"/>
      <c r="H533" s="16" t="s">
        <v>416</v>
      </c>
      <c r="I533" s="16" t="s">
        <v>223</v>
      </c>
      <c r="J533" s="16" t="str">
        <f>IF(ISNUMBER(SEARCH("SCRW", H533)), _xlfn.XLOOKUP(C533,dd_item!$A$2:$A$147,dd_item!$B$2:$B$147,"",0),_xlfn.XLOOKUP(H533,dd_item!$A$2:$A$147,dd_item!$B$2:$B$147,"",0))</f>
        <v>Sealant</v>
      </c>
      <c r="K533" s="16" t="str">
        <f>_xlfn.XLOOKUP(A533,dd_design_raw!$C$2:$C$1002,dd_design_raw!$A$2:$A$1002,"",0)</f>
        <v>Fix Slide Slide Slide Slide Slide Slide Fix Dr</v>
      </c>
      <c r="L533" s="16" t="str">
        <f>_xlfn.XLOOKUP(I533,dd_accsryclr!$A$2:$A$1000,dd_accsryclr!$A$2:$A$1000,"",0)</f>
        <v>BLK</v>
      </c>
    </row>
    <row r="534" spans="1:12" hidden="1" x14ac:dyDescent="0.25">
      <c r="A534" s="16" t="s">
        <v>27</v>
      </c>
      <c r="B534" s="16" t="s">
        <v>483</v>
      </c>
      <c r="C534" s="16" t="s">
        <v>417</v>
      </c>
      <c r="D534" s="16" t="s">
        <v>418</v>
      </c>
      <c r="E534" s="16">
        <v>13.614666666666666</v>
      </c>
      <c r="F534" s="16" t="s">
        <v>369</v>
      </c>
      <c r="G534" s="16"/>
      <c r="H534" s="16" t="s">
        <v>416</v>
      </c>
      <c r="I534" s="16" t="s">
        <v>230</v>
      </c>
      <c r="J534" s="16" t="str">
        <f>IF(ISNUMBER(SEARCH("SCRW", H534)), _xlfn.XLOOKUP(C534,dd_item!$A$2:$A$147,dd_item!$B$2:$B$147,"",0),_xlfn.XLOOKUP(H534,dd_item!$A$2:$A$147,dd_item!$B$2:$B$147,"",0))</f>
        <v>Sealant</v>
      </c>
      <c r="K534" s="16" t="str">
        <f>_xlfn.XLOOKUP(A534,dd_design_raw!$C$2:$C$1002,dd_design_raw!$A$2:$A$1002,"",0)</f>
        <v>Fix Slide Slide Slide Slide Slide Slide Fix Dr</v>
      </c>
      <c r="L534" s="16" t="str">
        <f>_xlfn.XLOOKUP(I534,dd_accsryclr!$A$2:$A$1000,dd_accsryclr!$A$2:$A$1000,"",0)</f>
        <v>BRWN</v>
      </c>
    </row>
    <row r="535" spans="1:12" hidden="1" x14ac:dyDescent="0.25">
      <c r="A535" s="16" t="s">
        <v>27</v>
      </c>
      <c r="B535" s="16" t="s">
        <v>483</v>
      </c>
      <c r="C535" s="16" t="s">
        <v>419</v>
      </c>
      <c r="D535" s="16" t="s">
        <v>420</v>
      </c>
      <c r="E535" s="16">
        <v>13.614666666666666</v>
      </c>
      <c r="F535" s="16" t="s">
        <v>369</v>
      </c>
      <c r="G535" s="16"/>
      <c r="H535" s="16" t="s">
        <v>416</v>
      </c>
      <c r="I535" s="16" t="s">
        <v>220</v>
      </c>
      <c r="J535" s="16" t="str">
        <f>IF(ISNUMBER(SEARCH("SCRW", H535)), _xlfn.XLOOKUP(C535,dd_item!$A$2:$A$147,dd_item!$B$2:$B$147,"",0),_xlfn.XLOOKUP(H535,dd_item!$A$2:$A$147,dd_item!$B$2:$B$147,"",0))</f>
        <v>Sealant</v>
      </c>
      <c r="K535" s="16" t="str">
        <f>_xlfn.XLOOKUP(A535,dd_design_raw!$C$2:$C$1002,dd_design_raw!$A$2:$A$1002,"",0)</f>
        <v>Fix Slide Slide Slide Slide Slide Slide Fix Dr</v>
      </c>
      <c r="L535" s="16" t="str">
        <f>_xlfn.XLOOKUP(I535,dd_accsryclr!$A$2:$A$1000,dd_accsryclr!$A$2:$A$1000,"",0)</f>
        <v>WHT</v>
      </c>
    </row>
    <row r="536" spans="1:12" hidden="1" x14ac:dyDescent="0.25">
      <c r="A536" s="16" t="s">
        <v>27</v>
      </c>
      <c r="B536" s="16" t="s">
        <v>483</v>
      </c>
      <c r="C536" s="16" t="s">
        <v>421</v>
      </c>
      <c r="D536" s="16" t="s">
        <v>422</v>
      </c>
      <c r="E536" s="16">
        <v>32</v>
      </c>
      <c r="F536" s="16" t="s">
        <v>369</v>
      </c>
      <c r="G536" s="16"/>
      <c r="H536" s="16" t="s">
        <v>416</v>
      </c>
      <c r="I536" s="16" t="s">
        <v>423</v>
      </c>
      <c r="J536" s="16" t="str">
        <f>IF(ISNUMBER(SEARCH("SCRW", H536)), _xlfn.XLOOKUP(C536,dd_item!$A$2:$A$147,dd_item!$B$2:$B$147,"",0),_xlfn.XLOOKUP(H536,dd_item!$A$2:$A$147,dd_item!$B$2:$B$147,"",0))</f>
        <v>Sealant</v>
      </c>
      <c r="K536" s="16" t="str">
        <f>_xlfn.XLOOKUP(A536,dd_design_raw!$C$2:$C$1002,dd_design_raw!$A$2:$A$1002,"",0)</f>
        <v>Fix Slide Slide Slide Slide Slide Slide Fix Dr</v>
      </c>
      <c r="L536" s="16" t="str">
        <f>_xlfn.XLOOKUP(I536,dd_accsryclr!$A$2:$A$1000,dd_accsryclr!$A$2:$A$1000,"",0)</f>
        <v/>
      </c>
    </row>
    <row r="537" spans="1:12" hidden="1" x14ac:dyDescent="0.25">
      <c r="A537" s="16" t="s">
        <v>27</v>
      </c>
      <c r="B537" s="16" t="s">
        <v>483</v>
      </c>
      <c r="C537" s="16" t="s">
        <v>424</v>
      </c>
      <c r="D537" s="16" t="s">
        <v>425</v>
      </c>
      <c r="E537" s="16"/>
      <c r="F537" s="16" t="s">
        <v>369</v>
      </c>
      <c r="G537" s="16"/>
      <c r="H537" s="16" t="s">
        <v>794</v>
      </c>
      <c r="I537" s="16"/>
      <c r="J537" s="16" t="str">
        <f>IF(ISNUMBER(SEARCH("SCRW", H537)), _xlfn.XLOOKUP(C537,dd_item!$A$2:$A$147,dd_item!$B$2:$B$147,"",0),_xlfn.XLOOKUP(H537,dd_item!$A$2:$A$147,dd_item!$B$2:$B$147,"",0))</f>
        <v>Atlas Screw (S) 6 x 3/4" (FLAT)</v>
      </c>
      <c r="K537" s="16" t="str">
        <f>_xlfn.XLOOKUP(A537,dd_design_raw!$C$2:$C$1002,dd_design_raw!$A$2:$A$1002,"",0)</f>
        <v>Fix Slide Slide Slide Slide Slide Slide Fix Dr</v>
      </c>
      <c r="L537" s="16" t="str">
        <f>_xlfn.XLOOKUP(I537,dd_accsryclr!$A$2:$A$1000,dd_accsryclr!$A$2:$A$1000,"",0)</f>
        <v/>
      </c>
    </row>
    <row r="538" spans="1:12" hidden="1" x14ac:dyDescent="0.25">
      <c r="A538" s="16" t="s">
        <v>8</v>
      </c>
      <c r="B538" s="16" t="s">
        <v>107</v>
      </c>
      <c r="C538" s="16" t="s">
        <v>484</v>
      </c>
      <c r="D538" s="16" t="s">
        <v>485</v>
      </c>
      <c r="E538" s="16">
        <v>1.1406896551724137</v>
      </c>
      <c r="F538" s="16" t="s">
        <v>194</v>
      </c>
      <c r="G538" s="16"/>
      <c r="H538" s="16" t="s">
        <v>486</v>
      </c>
      <c r="I538" s="16" t="s">
        <v>230</v>
      </c>
      <c r="J538" s="16" t="str">
        <f>IF(ISNUMBER(SEARCH("SCRW", H538)), _xlfn.XLOOKUP(C538,dd_item!$A$2:$A$147,dd_item!$B$2:$B$147,"",0),_xlfn.XLOOKUP(H538,dd_item!$A$2:$A$147,dd_item!$B$2:$B$147,"",0))</f>
        <v>Frame60</v>
      </c>
      <c r="K538" s="16" t="str">
        <f>_xlfn.XLOOKUP(A538,dd_design_raw!$C$2:$C$1002,dd_design_raw!$A$2:$A$1002,"",0)</f>
        <v>Awning</v>
      </c>
      <c r="L538" s="16" t="str">
        <f>_xlfn.XLOOKUP(I538,dd_accsryclr!$A$2:$A$1000,dd_accsryclr!$A$2:$A$1000,"",0)</f>
        <v>BRWN</v>
      </c>
    </row>
    <row r="539" spans="1:12" hidden="1" x14ac:dyDescent="0.25">
      <c r="A539" s="16" t="s">
        <v>8</v>
      </c>
      <c r="B539" s="16" t="s">
        <v>107</v>
      </c>
      <c r="C539" s="16" t="s">
        <v>487</v>
      </c>
      <c r="D539" s="16" t="s">
        <v>488</v>
      </c>
      <c r="E539" s="16">
        <v>1.1406896551724137</v>
      </c>
      <c r="F539" s="16" t="s">
        <v>194</v>
      </c>
      <c r="G539" s="16"/>
      <c r="H539" s="16" t="s">
        <v>486</v>
      </c>
      <c r="I539" s="16" t="s">
        <v>223</v>
      </c>
      <c r="J539" s="16" t="str">
        <f>IF(ISNUMBER(SEARCH("SCRW", H539)), _xlfn.XLOOKUP(C539,dd_item!$A$2:$A$147,dd_item!$B$2:$B$147,"",0),_xlfn.XLOOKUP(H539,dd_item!$A$2:$A$147,dd_item!$B$2:$B$147,"",0))</f>
        <v>Frame60</v>
      </c>
      <c r="K539" s="16" t="str">
        <f>_xlfn.XLOOKUP(A539,dd_design_raw!$C$2:$C$1002,dd_design_raw!$A$2:$A$1002,"",0)</f>
        <v>Awning</v>
      </c>
      <c r="L539" s="16" t="str">
        <f>_xlfn.XLOOKUP(I539,dd_accsryclr!$A$2:$A$1000,dd_accsryclr!$A$2:$A$1000,"",0)</f>
        <v>BLK</v>
      </c>
    </row>
    <row r="540" spans="1:12" hidden="1" x14ac:dyDescent="0.25">
      <c r="A540" s="16" t="s">
        <v>8</v>
      </c>
      <c r="B540" s="16" t="s">
        <v>107</v>
      </c>
      <c r="C540" s="16" t="s">
        <v>489</v>
      </c>
      <c r="D540" s="16" t="s">
        <v>490</v>
      </c>
      <c r="E540" s="16">
        <v>1.1406896551724137</v>
      </c>
      <c r="F540" s="16" t="s">
        <v>194</v>
      </c>
      <c r="G540" s="16"/>
      <c r="H540" s="16" t="s">
        <v>486</v>
      </c>
      <c r="I540" s="16" t="s">
        <v>211</v>
      </c>
      <c r="J540" s="16" t="str">
        <f>IF(ISNUMBER(SEARCH("SCRW", H540)), _xlfn.XLOOKUP(C540,dd_item!$A$2:$A$147,dd_item!$B$2:$B$147,"",0),_xlfn.XLOOKUP(H540,dd_item!$A$2:$A$147,dd_item!$B$2:$B$147,"",0))</f>
        <v>Frame60</v>
      </c>
      <c r="K540" s="16" t="str">
        <f>_xlfn.XLOOKUP(A540,dd_design_raw!$C$2:$C$1002,dd_design_raw!$A$2:$A$1002,"",0)</f>
        <v>Awning</v>
      </c>
      <c r="L540" s="16" t="str">
        <f>_xlfn.XLOOKUP(I540,dd_accsryclr!$A$2:$A$1000,dd_accsryclr!$A$2:$A$1000,"",0)</f>
        <v/>
      </c>
    </row>
    <row r="541" spans="1:12" hidden="1" x14ac:dyDescent="0.25">
      <c r="A541" s="16" t="s">
        <v>8</v>
      </c>
      <c r="B541" s="16" t="s">
        <v>107</v>
      </c>
      <c r="C541" s="16" t="s">
        <v>491</v>
      </c>
      <c r="D541" s="16" t="s">
        <v>492</v>
      </c>
      <c r="E541" s="16">
        <v>1.1406896551724137</v>
      </c>
      <c r="F541" s="16" t="s">
        <v>194</v>
      </c>
      <c r="G541" s="16"/>
      <c r="H541" s="16" t="s">
        <v>486</v>
      </c>
      <c r="I541" s="16" t="s">
        <v>214</v>
      </c>
      <c r="J541" s="16" t="str">
        <f>IF(ISNUMBER(SEARCH("SCRW", H541)), _xlfn.XLOOKUP(C541,dd_item!$A$2:$A$147,dd_item!$B$2:$B$147,"",0),_xlfn.XLOOKUP(H541,dd_item!$A$2:$A$147,dd_item!$B$2:$B$147,"",0))</f>
        <v>Frame60</v>
      </c>
      <c r="K541" s="16" t="str">
        <f>_xlfn.XLOOKUP(A541,dd_design_raw!$C$2:$C$1002,dd_design_raw!$A$2:$A$1002,"",0)</f>
        <v>Awning</v>
      </c>
      <c r="L541" s="16" t="str">
        <f>_xlfn.XLOOKUP(I541,dd_accsryclr!$A$2:$A$1000,dd_accsryclr!$A$2:$A$1000,"",0)</f>
        <v/>
      </c>
    </row>
    <row r="542" spans="1:12" hidden="1" x14ac:dyDescent="0.25">
      <c r="A542" s="16" t="s">
        <v>8</v>
      </c>
      <c r="B542" s="16" t="s">
        <v>107</v>
      </c>
      <c r="C542" s="16" t="s">
        <v>493</v>
      </c>
      <c r="D542" s="16" t="s">
        <v>494</v>
      </c>
      <c r="E542" s="16">
        <v>1.1406896551724137</v>
      </c>
      <c r="F542" s="16" t="s">
        <v>194</v>
      </c>
      <c r="G542" s="16"/>
      <c r="H542" s="16" t="s">
        <v>486</v>
      </c>
      <c r="I542" s="16" t="s">
        <v>217</v>
      </c>
      <c r="J542" s="16" t="str">
        <f>IF(ISNUMBER(SEARCH("SCRW", H542)), _xlfn.XLOOKUP(C542,dd_item!$A$2:$A$147,dd_item!$B$2:$B$147,"",0),_xlfn.XLOOKUP(H542,dd_item!$A$2:$A$147,dd_item!$B$2:$B$147,"",0))</f>
        <v>Frame60</v>
      </c>
      <c r="K542" s="16" t="str">
        <f>_xlfn.XLOOKUP(A542,dd_design_raw!$C$2:$C$1002,dd_design_raw!$A$2:$A$1002,"",0)</f>
        <v>Awning</v>
      </c>
      <c r="L542" s="16" t="str">
        <f>_xlfn.XLOOKUP(I542,dd_accsryclr!$A$2:$A$1000,dd_accsryclr!$A$2:$A$1000,"",0)</f>
        <v/>
      </c>
    </row>
    <row r="543" spans="1:12" hidden="1" x14ac:dyDescent="0.25">
      <c r="A543" s="16" t="s">
        <v>8</v>
      </c>
      <c r="B543" s="16" t="s">
        <v>107</v>
      </c>
      <c r="C543" s="16" t="s">
        <v>495</v>
      </c>
      <c r="D543" s="16" t="s">
        <v>496</v>
      </c>
      <c r="E543" s="16">
        <v>1.1406896551724137</v>
      </c>
      <c r="F543" s="16" t="s">
        <v>194</v>
      </c>
      <c r="G543" s="16"/>
      <c r="H543" s="16" t="s">
        <v>486</v>
      </c>
      <c r="I543" s="16" t="s">
        <v>226</v>
      </c>
      <c r="J543" s="16" t="str">
        <f>IF(ISNUMBER(SEARCH("SCRW", H543)), _xlfn.XLOOKUP(C543,dd_item!$A$2:$A$147,dd_item!$B$2:$B$147,"",0),_xlfn.XLOOKUP(H543,dd_item!$A$2:$A$147,dd_item!$B$2:$B$147,"",0))</f>
        <v>Frame60</v>
      </c>
      <c r="K543" s="16" t="str">
        <f>_xlfn.XLOOKUP(A543,dd_design_raw!$C$2:$C$1002,dd_design_raw!$A$2:$A$1002,"",0)</f>
        <v>Awning</v>
      </c>
      <c r="L543" s="16" t="str">
        <f>_xlfn.XLOOKUP(I543,dd_accsryclr!$A$2:$A$1000,dd_accsryclr!$A$2:$A$1000,"",0)</f>
        <v/>
      </c>
    </row>
    <row r="544" spans="1:12" hidden="1" x14ac:dyDescent="0.25">
      <c r="A544" s="16" t="s">
        <v>8</v>
      </c>
      <c r="B544" s="16" t="s">
        <v>107</v>
      </c>
      <c r="C544" s="16" t="s">
        <v>497</v>
      </c>
      <c r="D544" s="16" t="s">
        <v>498</v>
      </c>
      <c r="E544" s="16">
        <v>1.1406896551724137</v>
      </c>
      <c r="F544" s="16" t="s">
        <v>194</v>
      </c>
      <c r="G544" s="16"/>
      <c r="H544" s="16" t="s">
        <v>486</v>
      </c>
      <c r="I544" s="16" t="s">
        <v>220</v>
      </c>
      <c r="J544" s="16" t="str">
        <f>IF(ISNUMBER(SEARCH("SCRW", H544)), _xlfn.XLOOKUP(C544,dd_item!$A$2:$A$147,dd_item!$B$2:$B$147,"",0),_xlfn.XLOOKUP(H544,dd_item!$A$2:$A$147,dd_item!$B$2:$B$147,"",0))</f>
        <v>Frame60</v>
      </c>
      <c r="K544" s="16" t="str">
        <f>_xlfn.XLOOKUP(A544,dd_design_raw!$C$2:$C$1002,dd_design_raw!$A$2:$A$1002,"",0)</f>
        <v>Awning</v>
      </c>
      <c r="L544" s="16" t="str">
        <f>_xlfn.XLOOKUP(I544,dd_accsryclr!$A$2:$A$1000,dd_accsryclr!$A$2:$A$1000,"",0)</f>
        <v>WHT</v>
      </c>
    </row>
    <row r="545" spans="1:12" hidden="1" x14ac:dyDescent="0.25">
      <c r="A545" s="16" t="s">
        <v>8</v>
      </c>
      <c r="B545" s="16" t="s">
        <v>107</v>
      </c>
      <c r="C545" s="16" t="s">
        <v>499</v>
      </c>
      <c r="D545" s="16" t="s">
        <v>500</v>
      </c>
      <c r="E545" s="16">
        <v>1.1131034482758622</v>
      </c>
      <c r="F545" s="16" t="s">
        <v>194</v>
      </c>
      <c r="G545" s="16"/>
      <c r="H545" s="16" t="s">
        <v>501</v>
      </c>
      <c r="I545" s="16" t="s">
        <v>211</v>
      </c>
      <c r="J545" s="16" t="str">
        <f>IF(ISNUMBER(SEARCH("SCRW", H545)), _xlfn.XLOOKUP(C545,dd_item!$A$2:$A$147,dd_item!$B$2:$B$147,"",0),_xlfn.XLOOKUP(H545,dd_item!$A$2:$A$147,dd_item!$B$2:$B$147,"",0))</f>
        <v>Sash78</v>
      </c>
      <c r="K545" s="16" t="str">
        <f>_xlfn.XLOOKUP(A545,dd_design_raw!$C$2:$C$1002,dd_design_raw!$A$2:$A$1002,"",0)</f>
        <v>Awning</v>
      </c>
      <c r="L545" s="16" t="str">
        <f>_xlfn.XLOOKUP(I545,dd_accsryclr!$A$2:$A$1000,dd_accsryclr!$A$2:$A$1000,"",0)</f>
        <v/>
      </c>
    </row>
    <row r="546" spans="1:12" hidden="1" x14ac:dyDescent="0.25">
      <c r="A546" s="16" t="s">
        <v>8</v>
      </c>
      <c r="B546" s="16" t="s">
        <v>107</v>
      </c>
      <c r="C546" s="16" t="s">
        <v>502</v>
      </c>
      <c r="D546" s="16" t="s">
        <v>503</v>
      </c>
      <c r="E546" s="16">
        <v>1.1131034482758622</v>
      </c>
      <c r="F546" s="16" t="s">
        <v>194</v>
      </c>
      <c r="G546" s="16"/>
      <c r="H546" s="16" t="s">
        <v>501</v>
      </c>
      <c r="I546" s="16" t="s">
        <v>214</v>
      </c>
      <c r="J546" s="16" t="str">
        <f>IF(ISNUMBER(SEARCH("SCRW", H546)), _xlfn.XLOOKUP(C546,dd_item!$A$2:$A$147,dd_item!$B$2:$B$147,"",0),_xlfn.XLOOKUP(H546,dd_item!$A$2:$A$147,dd_item!$B$2:$B$147,"",0))</f>
        <v>Sash78</v>
      </c>
      <c r="K546" s="16" t="str">
        <f>_xlfn.XLOOKUP(A546,dd_design_raw!$C$2:$C$1002,dd_design_raw!$A$2:$A$1002,"",0)</f>
        <v>Awning</v>
      </c>
      <c r="L546" s="16" t="str">
        <f>_xlfn.XLOOKUP(I546,dd_accsryclr!$A$2:$A$1000,dd_accsryclr!$A$2:$A$1000,"",0)</f>
        <v/>
      </c>
    </row>
    <row r="547" spans="1:12" hidden="1" x14ac:dyDescent="0.25">
      <c r="A547" s="16" t="s">
        <v>8</v>
      </c>
      <c r="B547" s="16" t="s">
        <v>107</v>
      </c>
      <c r="C547" s="16" t="s">
        <v>504</v>
      </c>
      <c r="D547" s="16" t="s">
        <v>505</v>
      </c>
      <c r="E547" s="16">
        <v>1.1131034482758622</v>
      </c>
      <c r="F547" s="16" t="s">
        <v>194</v>
      </c>
      <c r="G547" s="16"/>
      <c r="H547" s="16" t="s">
        <v>501</v>
      </c>
      <c r="I547" s="16" t="s">
        <v>217</v>
      </c>
      <c r="J547" s="16" t="str">
        <f>IF(ISNUMBER(SEARCH("SCRW", H547)), _xlfn.XLOOKUP(C547,dd_item!$A$2:$A$147,dd_item!$B$2:$B$147,"",0),_xlfn.XLOOKUP(H547,dd_item!$A$2:$A$147,dd_item!$B$2:$B$147,"",0))</f>
        <v>Sash78</v>
      </c>
      <c r="K547" s="16" t="str">
        <f>_xlfn.XLOOKUP(A547,dd_design_raw!$C$2:$C$1002,dd_design_raw!$A$2:$A$1002,"",0)</f>
        <v>Awning</v>
      </c>
      <c r="L547" s="16" t="str">
        <f>_xlfn.XLOOKUP(I547,dd_accsryclr!$A$2:$A$1000,dd_accsryclr!$A$2:$A$1000,"",0)</f>
        <v/>
      </c>
    </row>
    <row r="548" spans="1:12" hidden="1" x14ac:dyDescent="0.25">
      <c r="A548" s="16" t="s">
        <v>8</v>
      </c>
      <c r="B548" s="16" t="s">
        <v>107</v>
      </c>
      <c r="C548" s="16" t="s">
        <v>506</v>
      </c>
      <c r="D548" s="16" t="s">
        <v>507</v>
      </c>
      <c r="E548" s="16">
        <v>1.1131034482758622</v>
      </c>
      <c r="F548" s="16" t="s">
        <v>194</v>
      </c>
      <c r="G548" s="16"/>
      <c r="H548" s="16" t="s">
        <v>501</v>
      </c>
      <c r="I548" s="16" t="s">
        <v>226</v>
      </c>
      <c r="J548" s="16" t="str">
        <f>IF(ISNUMBER(SEARCH("SCRW", H548)), _xlfn.XLOOKUP(C548,dd_item!$A$2:$A$147,dd_item!$B$2:$B$147,"",0),_xlfn.XLOOKUP(H548,dd_item!$A$2:$A$147,dd_item!$B$2:$B$147,"",0))</f>
        <v>Sash78</v>
      </c>
      <c r="K548" s="16" t="str">
        <f>_xlfn.XLOOKUP(A548,dd_design_raw!$C$2:$C$1002,dd_design_raw!$A$2:$A$1002,"",0)</f>
        <v>Awning</v>
      </c>
      <c r="L548" s="16" t="str">
        <f>_xlfn.XLOOKUP(I548,dd_accsryclr!$A$2:$A$1000,dd_accsryclr!$A$2:$A$1000,"",0)</f>
        <v/>
      </c>
    </row>
    <row r="549" spans="1:12" hidden="1" x14ac:dyDescent="0.25">
      <c r="A549" s="16" t="s">
        <v>8</v>
      </c>
      <c r="B549" s="16" t="s">
        <v>107</v>
      </c>
      <c r="C549" s="16" t="s">
        <v>508</v>
      </c>
      <c r="D549" s="16" t="s">
        <v>509</v>
      </c>
      <c r="E549" s="16">
        <v>1.1131034482758622</v>
      </c>
      <c r="F549" s="16" t="s">
        <v>194</v>
      </c>
      <c r="G549" s="16"/>
      <c r="H549" s="16" t="s">
        <v>501</v>
      </c>
      <c r="I549" s="16" t="s">
        <v>220</v>
      </c>
      <c r="J549" s="16" t="str">
        <f>IF(ISNUMBER(SEARCH("SCRW", H549)), _xlfn.XLOOKUP(C549,dd_item!$A$2:$A$147,dd_item!$B$2:$B$147,"",0),_xlfn.XLOOKUP(H549,dd_item!$A$2:$A$147,dd_item!$B$2:$B$147,"",0))</f>
        <v>Sash78</v>
      </c>
      <c r="K549" s="16" t="str">
        <f>_xlfn.XLOOKUP(A549,dd_design_raw!$C$2:$C$1002,dd_design_raw!$A$2:$A$1002,"",0)</f>
        <v>Awning</v>
      </c>
      <c r="L549" s="16" t="str">
        <f>_xlfn.XLOOKUP(I549,dd_accsryclr!$A$2:$A$1000,dd_accsryclr!$A$2:$A$1000,"",0)</f>
        <v>WHT</v>
      </c>
    </row>
    <row r="550" spans="1:12" hidden="1" x14ac:dyDescent="0.25">
      <c r="A550" s="16" t="s">
        <v>8</v>
      </c>
      <c r="B550" s="16" t="s">
        <v>107</v>
      </c>
      <c r="C550" s="16" t="s">
        <v>510</v>
      </c>
      <c r="D550" s="16" t="s">
        <v>511</v>
      </c>
      <c r="E550" s="16">
        <v>1.1131034482758622</v>
      </c>
      <c r="F550" s="16" t="s">
        <v>194</v>
      </c>
      <c r="G550" s="16"/>
      <c r="H550" s="16" t="s">
        <v>501</v>
      </c>
      <c r="I550" s="16" t="s">
        <v>223</v>
      </c>
      <c r="J550" s="16" t="str">
        <f>IF(ISNUMBER(SEARCH("SCRW", H550)), _xlfn.XLOOKUP(C550,dd_item!$A$2:$A$147,dd_item!$B$2:$B$147,"",0),_xlfn.XLOOKUP(H550,dd_item!$A$2:$A$147,dd_item!$B$2:$B$147,"",0))</f>
        <v>Sash78</v>
      </c>
      <c r="K550" s="16" t="str">
        <f>_xlfn.XLOOKUP(A550,dd_design_raw!$C$2:$C$1002,dd_design_raw!$A$2:$A$1002,"",0)</f>
        <v>Awning</v>
      </c>
      <c r="L550" s="16" t="str">
        <f>_xlfn.XLOOKUP(I550,dd_accsryclr!$A$2:$A$1000,dd_accsryclr!$A$2:$A$1000,"",0)</f>
        <v>BLK</v>
      </c>
    </row>
    <row r="551" spans="1:12" hidden="1" x14ac:dyDescent="0.25">
      <c r="A551" s="16" t="s">
        <v>8</v>
      </c>
      <c r="B551" s="16" t="s">
        <v>107</v>
      </c>
      <c r="C551" s="16" t="s">
        <v>512</v>
      </c>
      <c r="D551" s="16" t="s">
        <v>513</v>
      </c>
      <c r="E551" s="16">
        <v>1.1131034482758622</v>
      </c>
      <c r="F551" s="16" t="s">
        <v>194</v>
      </c>
      <c r="G551" s="16"/>
      <c r="H551" s="16" t="s">
        <v>501</v>
      </c>
      <c r="I551" s="16" t="s">
        <v>230</v>
      </c>
      <c r="J551" s="16" t="str">
        <f>IF(ISNUMBER(SEARCH("SCRW", H551)), _xlfn.XLOOKUP(C551,dd_item!$A$2:$A$147,dd_item!$B$2:$B$147,"",0),_xlfn.XLOOKUP(H551,dd_item!$A$2:$A$147,dd_item!$B$2:$B$147,"",0))</f>
        <v>Sash78</v>
      </c>
      <c r="K551" s="16" t="str">
        <f>_xlfn.XLOOKUP(A551,dd_design_raw!$C$2:$C$1002,dd_design_raw!$A$2:$A$1002,"",0)</f>
        <v>Awning</v>
      </c>
      <c r="L551" s="16" t="str">
        <f>_xlfn.XLOOKUP(I551,dd_accsryclr!$A$2:$A$1000,dd_accsryclr!$A$2:$A$1000,"",0)</f>
        <v>BRWN</v>
      </c>
    </row>
    <row r="552" spans="1:12" hidden="1" x14ac:dyDescent="0.25">
      <c r="A552" s="16" t="s">
        <v>8</v>
      </c>
      <c r="B552" s="16" t="s">
        <v>107</v>
      </c>
      <c r="C552" s="16" t="s">
        <v>514</v>
      </c>
      <c r="D552" s="16" t="s">
        <v>515</v>
      </c>
      <c r="E552" s="16">
        <v>0.1560344827586207</v>
      </c>
      <c r="F552" s="16" t="s">
        <v>194</v>
      </c>
      <c r="G552" s="16" t="s">
        <v>58</v>
      </c>
      <c r="H552" s="16" t="s">
        <v>516</v>
      </c>
      <c r="I552" s="16" t="s">
        <v>517</v>
      </c>
      <c r="J552" s="16" t="str">
        <f>IF(ISNUMBER(SEARCH("SCRW", H552)), _xlfn.XLOOKUP(C552,dd_item!$A$2:$A$147,dd_item!$B$2:$B$147,"",0),_xlfn.XLOOKUP(H552,dd_item!$A$2:$A$147,dd_item!$B$2:$B$147,"",0))</f>
        <v>Steel-Frame60</v>
      </c>
      <c r="K552" s="16" t="str">
        <f>_xlfn.XLOOKUP(A552,dd_design_raw!$C$2:$C$1002,dd_design_raw!$A$2:$A$1002,"",0)</f>
        <v>Awning</v>
      </c>
      <c r="L552" s="16" t="str">
        <f>_xlfn.XLOOKUP(I552,dd_accsryclr!$A$2:$A$1000,dd_accsryclr!$A$2:$A$1000,"",0)</f>
        <v/>
      </c>
    </row>
    <row r="553" spans="1:12" hidden="1" x14ac:dyDescent="0.25">
      <c r="A553" s="16" t="s">
        <v>8</v>
      </c>
      <c r="B553" s="16" t="s">
        <v>107</v>
      </c>
      <c r="C553" s="16" t="s">
        <v>518</v>
      </c>
      <c r="D553" s="16" t="s">
        <v>519</v>
      </c>
      <c r="E553" s="16">
        <v>0.82862068965517244</v>
      </c>
      <c r="F553" s="16" t="s">
        <v>194</v>
      </c>
      <c r="G553" s="16" t="s">
        <v>58</v>
      </c>
      <c r="H553" s="16" t="s">
        <v>1099</v>
      </c>
      <c r="I553" s="16" t="s">
        <v>520</v>
      </c>
      <c r="J553" s="16" t="str">
        <f>IF(ISNUMBER(SEARCH("SCRW", H553)), _xlfn.XLOOKUP(C553,dd_item!$A$2:$A$147,dd_item!$B$2:$B$147,"",0),_xlfn.XLOOKUP(H553,dd_item!$A$2:$A$147,dd_item!$B$2:$B$147,"",0))</f>
        <v>Steel-Frame60-H</v>
      </c>
      <c r="K553" s="16" t="str">
        <f>_xlfn.XLOOKUP(A553,dd_design_raw!$C$2:$C$1002,dd_design_raw!$A$2:$A$1002,"",0)</f>
        <v>Awning</v>
      </c>
      <c r="L553" s="16" t="str">
        <f>_xlfn.XLOOKUP(I553,dd_accsryclr!$A$2:$A$1000,dd_accsryclr!$A$2:$A$1000,"",0)</f>
        <v/>
      </c>
    </row>
    <row r="554" spans="1:12" hidden="1" x14ac:dyDescent="0.25">
      <c r="A554" s="16" t="s">
        <v>8</v>
      </c>
      <c r="B554" s="16" t="s">
        <v>107</v>
      </c>
      <c r="C554" s="16" t="s">
        <v>521</v>
      </c>
      <c r="D554" s="16" t="s">
        <v>522</v>
      </c>
      <c r="E554" s="16">
        <v>0.28999999999999998</v>
      </c>
      <c r="F554" s="16" t="s">
        <v>194</v>
      </c>
      <c r="G554" s="16" t="s">
        <v>59</v>
      </c>
      <c r="H554" s="16" t="s">
        <v>523</v>
      </c>
      <c r="I554" s="16" t="s">
        <v>524</v>
      </c>
      <c r="J554" s="16" t="str">
        <f>IF(ISNUMBER(SEARCH("SCRW", H554)), _xlfn.XLOOKUP(C554,dd_item!$A$2:$A$147,dd_item!$B$2:$B$147,"",0),_xlfn.XLOOKUP(H554,dd_item!$A$2:$A$147,dd_item!$B$2:$B$147,"",0))</f>
        <v>Steel-Sash78</v>
      </c>
      <c r="K554" s="16" t="str">
        <f>_xlfn.XLOOKUP(A554,dd_design_raw!$C$2:$C$1002,dd_design_raw!$A$2:$A$1002,"",0)</f>
        <v>Awning</v>
      </c>
      <c r="L554" s="16" t="str">
        <f>_xlfn.XLOOKUP(I554,dd_accsryclr!$A$2:$A$1000,dd_accsryclr!$A$2:$A$1000,"",0)</f>
        <v/>
      </c>
    </row>
    <row r="555" spans="1:12" hidden="1" x14ac:dyDescent="0.25">
      <c r="A555" s="16" t="s">
        <v>8</v>
      </c>
      <c r="B555" s="16" t="s">
        <v>107</v>
      </c>
      <c r="C555" s="16" t="s">
        <v>525</v>
      </c>
      <c r="D555" s="16" t="s">
        <v>526</v>
      </c>
      <c r="E555" s="16">
        <v>0.82310344827586202</v>
      </c>
      <c r="F555" s="16" t="s">
        <v>194</v>
      </c>
      <c r="G555" s="16" t="s">
        <v>59</v>
      </c>
      <c r="H555" s="16" t="s">
        <v>523</v>
      </c>
      <c r="I555" s="16" t="s">
        <v>527</v>
      </c>
      <c r="J555" s="16" t="str">
        <f>IF(ISNUMBER(SEARCH("SCRW", H555)), _xlfn.XLOOKUP(C555,dd_item!$A$2:$A$147,dd_item!$B$2:$B$147,"",0),_xlfn.XLOOKUP(H555,dd_item!$A$2:$A$147,dd_item!$B$2:$B$147,"",0))</f>
        <v>Steel-Sash78</v>
      </c>
      <c r="K555" s="16" t="str">
        <f>_xlfn.XLOOKUP(A555,dd_design_raw!$C$2:$C$1002,dd_design_raw!$A$2:$A$1002,"",0)</f>
        <v>Awning</v>
      </c>
      <c r="L555" s="16" t="str">
        <f>_xlfn.XLOOKUP(I555,dd_accsryclr!$A$2:$A$1000,dd_accsryclr!$A$2:$A$1000,"",0)</f>
        <v/>
      </c>
    </row>
    <row r="556" spans="1:12" hidden="1" x14ac:dyDescent="0.25">
      <c r="A556" s="16" t="s">
        <v>8</v>
      </c>
      <c r="B556" s="16" t="s">
        <v>107</v>
      </c>
      <c r="C556" s="16" t="s">
        <v>349</v>
      </c>
      <c r="D556" s="16" t="s">
        <v>350</v>
      </c>
      <c r="E556" s="16">
        <v>1.1131034482758622</v>
      </c>
      <c r="F556" s="16" t="s">
        <v>194</v>
      </c>
      <c r="G556" s="16"/>
      <c r="H556" s="16" t="s">
        <v>351</v>
      </c>
      <c r="I556" s="16" t="s">
        <v>211</v>
      </c>
      <c r="J556" s="16" t="str">
        <f>IF(ISNUMBER(SEARCH("SCRW", H556)), _xlfn.XLOOKUP(C556,dd_item!$A$2:$A$147,dd_item!$B$2:$B$147,"",0),_xlfn.XLOOKUP(H556,dd_item!$A$2:$A$147,dd_item!$B$2:$B$147,"",0))</f>
        <v>Bead34</v>
      </c>
      <c r="K556" s="16" t="str">
        <f>_xlfn.XLOOKUP(A556,dd_design_raw!$C$2:$C$1002,dd_design_raw!$A$2:$A$1002,"",0)</f>
        <v>Awning</v>
      </c>
      <c r="L556" s="16" t="str">
        <f>_xlfn.XLOOKUP(I556,dd_accsryclr!$A$2:$A$1000,dd_accsryclr!$A$2:$A$1000,"",0)</f>
        <v/>
      </c>
    </row>
    <row r="557" spans="1:12" hidden="1" x14ac:dyDescent="0.25">
      <c r="A557" s="16" t="s">
        <v>8</v>
      </c>
      <c r="B557" s="16" t="s">
        <v>107</v>
      </c>
      <c r="C557" s="16" t="s">
        <v>352</v>
      </c>
      <c r="D557" s="16" t="s">
        <v>353</v>
      </c>
      <c r="E557" s="16">
        <v>1.1131034482758622</v>
      </c>
      <c r="F557" s="16" t="s">
        <v>194</v>
      </c>
      <c r="G557" s="16"/>
      <c r="H557" s="16" t="s">
        <v>351</v>
      </c>
      <c r="I557" s="16" t="s">
        <v>214</v>
      </c>
      <c r="J557" s="16" t="str">
        <f>IF(ISNUMBER(SEARCH("SCRW", H557)), _xlfn.XLOOKUP(C557,dd_item!$A$2:$A$147,dd_item!$B$2:$B$147,"",0),_xlfn.XLOOKUP(H557,dd_item!$A$2:$A$147,dd_item!$B$2:$B$147,"",0))</f>
        <v>Bead34</v>
      </c>
      <c r="K557" s="16" t="str">
        <f>_xlfn.XLOOKUP(A557,dd_design_raw!$C$2:$C$1002,dd_design_raw!$A$2:$A$1002,"",0)</f>
        <v>Awning</v>
      </c>
      <c r="L557" s="16" t="str">
        <f>_xlfn.XLOOKUP(I557,dd_accsryclr!$A$2:$A$1000,dd_accsryclr!$A$2:$A$1000,"",0)</f>
        <v/>
      </c>
    </row>
    <row r="558" spans="1:12" hidden="1" x14ac:dyDescent="0.25">
      <c r="A558" s="16" t="s">
        <v>8</v>
      </c>
      <c r="B558" s="16" t="s">
        <v>107</v>
      </c>
      <c r="C558" s="16" t="s">
        <v>354</v>
      </c>
      <c r="D558" s="16" t="s">
        <v>355</v>
      </c>
      <c r="E558" s="16">
        <v>1.1131034482758622</v>
      </c>
      <c r="F558" s="16" t="s">
        <v>194</v>
      </c>
      <c r="G558" s="16"/>
      <c r="H558" s="16" t="s">
        <v>351</v>
      </c>
      <c r="I558" s="16" t="s">
        <v>217</v>
      </c>
      <c r="J558" s="16" t="str">
        <f>IF(ISNUMBER(SEARCH("SCRW", H558)), _xlfn.XLOOKUP(C558,dd_item!$A$2:$A$147,dd_item!$B$2:$B$147,"",0),_xlfn.XLOOKUP(H558,dd_item!$A$2:$A$147,dd_item!$B$2:$B$147,"",0))</f>
        <v>Bead34</v>
      </c>
      <c r="K558" s="16" t="str">
        <f>_xlfn.XLOOKUP(A558,dd_design_raw!$C$2:$C$1002,dd_design_raw!$A$2:$A$1002,"",0)</f>
        <v>Awning</v>
      </c>
      <c r="L558" s="16" t="str">
        <f>_xlfn.XLOOKUP(I558,dd_accsryclr!$A$2:$A$1000,dd_accsryclr!$A$2:$A$1000,"",0)</f>
        <v/>
      </c>
    </row>
    <row r="559" spans="1:12" hidden="1" x14ac:dyDescent="0.25">
      <c r="A559" s="16" t="s">
        <v>8</v>
      </c>
      <c r="B559" s="16" t="s">
        <v>107</v>
      </c>
      <c r="C559" s="16" t="s">
        <v>356</v>
      </c>
      <c r="D559" s="16" t="s">
        <v>357</v>
      </c>
      <c r="E559" s="16">
        <v>1.1131034482758622</v>
      </c>
      <c r="F559" s="16" t="s">
        <v>194</v>
      </c>
      <c r="G559" s="16"/>
      <c r="H559" s="16" t="s">
        <v>351</v>
      </c>
      <c r="I559" s="16" t="s">
        <v>226</v>
      </c>
      <c r="J559" s="16" t="str">
        <f>IF(ISNUMBER(SEARCH("SCRW", H559)), _xlfn.XLOOKUP(C559,dd_item!$A$2:$A$147,dd_item!$B$2:$B$147,"",0),_xlfn.XLOOKUP(H559,dd_item!$A$2:$A$147,dd_item!$B$2:$B$147,"",0))</f>
        <v>Bead34</v>
      </c>
      <c r="K559" s="16" t="str">
        <f>_xlfn.XLOOKUP(A559,dd_design_raw!$C$2:$C$1002,dd_design_raw!$A$2:$A$1002,"",0)</f>
        <v>Awning</v>
      </c>
      <c r="L559" s="16" t="str">
        <f>_xlfn.XLOOKUP(I559,dd_accsryclr!$A$2:$A$1000,dd_accsryclr!$A$2:$A$1000,"",0)</f>
        <v/>
      </c>
    </row>
    <row r="560" spans="1:12" hidden="1" x14ac:dyDescent="0.25">
      <c r="A560" s="16" t="s">
        <v>8</v>
      </c>
      <c r="B560" s="16" t="s">
        <v>107</v>
      </c>
      <c r="C560" s="16" t="s">
        <v>358</v>
      </c>
      <c r="D560" s="16" t="s">
        <v>359</v>
      </c>
      <c r="E560" s="16">
        <v>1.1131034482758622</v>
      </c>
      <c r="F560" s="16" t="s">
        <v>194</v>
      </c>
      <c r="G560" s="16"/>
      <c r="H560" s="16" t="s">
        <v>351</v>
      </c>
      <c r="I560" s="16" t="s">
        <v>220</v>
      </c>
      <c r="J560" s="16" t="str">
        <f>IF(ISNUMBER(SEARCH("SCRW", H560)), _xlfn.XLOOKUP(C560,dd_item!$A$2:$A$147,dd_item!$B$2:$B$147,"",0),_xlfn.XLOOKUP(H560,dd_item!$A$2:$A$147,dd_item!$B$2:$B$147,"",0))</f>
        <v>Bead34</v>
      </c>
      <c r="K560" s="16" t="str">
        <f>_xlfn.XLOOKUP(A560,dd_design_raw!$C$2:$C$1002,dd_design_raw!$A$2:$A$1002,"",0)</f>
        <v>Awning</v>
      </c>
      <c r="L560" s="16" t="str">
        <f>_xlfn.XLOOKUP(I560,dd_accsryclr!$A$2:$A$1000,dd_accsryclr!$A$2:$A$1000,"",0)</f>
        <v>WHT</v>
      </c>
    </row>
    <row r="561" spans="1:12" hidden="1" x14ac:dyDescent="0.25">
      <c r="A561" s="16" t="s">
        <v>8</v>
      </c>
      <c r="B561" s="16" t="s">
        <v>107</v>
      </c>
      <c r="C561" s="16" t="s">
        <v>360</v>
      </c>
      <c r="D561" s="16" t="s">
        <v>361</v>
      </c>
      <c r="E561" s="16">
        <v>1.1131034482758622</v>
      </c>
      <c r="F561" s="16" t="s">
        <v>194</v>
      </c>
      <c r="G561" s="16"/>
      <c r="H561" s="16" t="s">
        <v>351</v>
      </c>
      <c r="I561" s="16" t="s">
        <v>223</v>
      </c>
      <c r="J561" s="16" t="str">
        <f>IF(ISNUMBER(SEARCH("SCRW", H561)), _xlfn.XLOOKUP(C561,dd_item!$A$2:$A$147,dd_item!$B$2:$B$147,"",0),_xlfn.XLOOKUP(H561,dd_item!$A$2:$A$147,dd_item!$B$2:$B$147,"",0))</f>
        <v>Bead34</v>
      </c>
      <c r="K561" s="16" t="str">
        <f>_xlfn.XLOOKUP(A561,dd_design_raw!$C$2:$C$1002,dd_design_raw!$A$2:$A$1002,"",0)</f>
        <v>Awning</v>
      </c>
      <c r="L561" s="16" t="str">
        <f>_xlfn.XLOOKUP(I561,dd_accsryclr!$A$2:$A$1000,dd_accsryclr!$A$2:$A$1000,"",0)</f>
        <v>BLK</v>
      </c>
    </row>
    <row r="562" spans="1:12" hidden="1" x14ac:dyDescent="0.25">
      <c r="A562" s="16" t="s">
        <v>8</v>
      </c>
      <c r="B562" s="16" t="s">
        <v>107</v>
      </c>
      <c r="C562" s="16" t="s">
        <v>362</v>
      </c>
      <c r="D562" s="16" t="s">
        <v>363</v>
      </c>
      <c r="E562" s="16">
        <v>1.1131034482758622</v>
      </c>
      <c r="F562" s="16" t="s">
        <v>194</v>
      </c>
      <c r="G562" s="16"/>
      <c r="H562" s="16" t="s">
        <v>351</v>
      </c>
      <c r="I562" s="16" t="s">
        <v>230</v>
      </c>
      <c r="J562" s="16" t="str">
        <f>IF(ISNUMBER(SEARCH("SCRW", H562)), _xlfn.XLOOKUP(C562,dd_item!$A$2:$A$147,dd_item!$B$2:$B$147,"",0),_xlfn.XLOOKUP(H562,dd_item!$A$2:$A$147,dd_item!$B$2:$B$147,"",0))</f>
        <v>Bead34</v>
      </c>
      <c r="K562" s="16" t="str">
        <f>_xlfn.XLOOKUP(A562,dd_design_raw!$C$2:$C$1002,dd_design_raw!$A$2:$A$1002,"",0)</f>
        <v>Awning</v>
      </c>
      <c r="L562" s="16" t="str">
        <f>_xlfn.XLOOKUP(I562,dd_accsryclr!$A$2:$A$1000,dd_accsryclr!$A$2:$A$1000,"",0)</f>
        <v>BRWN</v>
      </c>
    </row>
    <row r="563" spans="1:12" x14ac:dyDescent="0.25">
      <c r="A563" s="16" t="s">
        <v>8</v>
      </c>
      <c r="B563" s="16" t="s">
        <v>107</v>
      </c>
      <c r="C563" s="16" t="s">
        <v>528</v>
      </c>
      <c r="D563" s="16" t="s">
        <v>529</v>
      </c>
      <c r="E563" s="16">
        <v>1</v>
      </c>
      <c r="F563" s="16" t="s">
        <v>293</v>
      </c>
      <c r="G563" s="16"/>
      <c r="H563" s="16" t="s">
        <v>530</v>
      </c>
      <c r="I563" s="16" t="s">
        <v>531</v>
      </c>
      <c r="J563" s="16" t="str">
        <f>IF(ISNUMBER(SEARCH("SCRW", H563)), _xlfn.XLOOKUP(C563,dd_item!$A$2:$A$147,dd_item!$B$2:$B$147,"",0),_xlfn.XLOOKUP(H563,dd_item!$A$2:$A$147,dd_item!$B$2:$B$147,"",0))</f>
        <v>Casement Espagnolette</v>
      </c>
      <c r="K563" s="16" t="str">
        <f>_xlfn.XLOOKUP(A563,dd_design_raw!$C$2:$C$1002,dd_design_raw!$A$2:$A$1002,"",0)</f>
        <v>Awning</v>
      </c>
      <c r="L563" s="16" t="str">
        <f>_xlfn.XLOOKUP(I563,dd_accsryclr!$A$2:$A$1000,dd_accsryclr!$A$2:$A$1000,"",0)</f>
        <v/>
      </c>
    </row>
    <row r="564" spans="1:12" x14ac:dyDescent="0.25">
      <c r="A564" s="16" t="s">
        <v>8</v>
      </c>
      <c r="B564" s="16" t="s">
        <v>107</v>
      </c>
      <c r="C564" s="16" t="s">
        <v>532</v>
      </c>
      <c r="D564" s="16" t="s">
        <v>533</v>
      </c>
      <c r="E564" s="16">
        <v>1</v>
      </c>
      <c r="F564" s="16" t="s">
        <v>293</v>
      </c>
      <c r="G564" s="16"/>
      <c r="H564" s="16" t="s">
        <v>530</v>
      </c>
      <c r="I564" s="16" t="s">
        <v>531</v>
      </c>
      <c r="J564" s="16" t="str">
        <f>IF(ISNUMBER(SEARCH("SCRW", H564)), _xlfn.XLOOKUP(C564,dd_item!$A$2:$A$147,dd_item!$B$2:$B$147,"",0),_xlfn.XLOOKUP(H564,dd_item!$A$2:$A$147,dd_item!$B$2:$B$147,"",0))</f>
        <v>Casement Espagnolette</v>
      </c>
      <c r="K564" s="16" t="str">
        <f>_xlfn.XLOOKUP(A564,dd_design_raw!$C$2:$C$1002,dd_design_raw!$A$2:$A$1002,"",0)</f>
        <v>Awning</v>
      </c>
      <c r="L564" s="16" t="str">
        <f>_xlfn.XLOOKUP(I564,dd_accsryclr!$A$2:$A$1000,dd_accsryclr!$A$2:$A$1000,"",0)</f>
        <v/>
      </c>
    </row>
    <row r="565" spans="1:12" x14ac:dyDescent="0.25">
      <c r="A565" s="16" t="s">
        <v>8</v>
      </c>
      <c r="B565" s="16" t="s">
        <v>107</v>
      </c>
      <c r="C565" s="16" t="s">
        <v>534</v>
      </c>
      <c r="D565" s="16" t="s">
        <v>535</v>
      </c>
      <c r="E565" s="16">
        <v>1</v>
      </c>
      <c r="F565" s="16" t="s">
        <v>293</v>
      </c>
      <c r="G565" s="16"/>
      <c r="H565" s="16" t="s">
        <v>530</v>
      </c>
      <c r="I565" s="16" t="s">
        <v>536</v>
      </c>
      <c r="J565" s="16" t="str">
        <f>IF(ISNUMBER(SEARCH("SCRW", H565)), _xlfn.XLOOKUP(C565,dd_item!$A$2:$A$147,dd_item!$B$2:$B$147,"",0),_xlfn.XLOOKUP(H565,dd_item!$A$2:$A$147,dd_item!$B$2:$B$147,"",0))</f>
        <v>Casement Espagnolette</v>
      </c>
      <c r="K565" s="16" t="str">
        <f>_xlfn.XLOOKUP(A565,dd_design_raw!$C$2:$C$1002,dd_design_raw!$A$2:$A$1002,"",0)</f>
        <v>Awning</v>
      </c>
      <c r="L565" s="16" t="str">
        <f>_xlfn.XLOOKUP(I565,dd_accsryclr!$A$2:$A$1000,dd_accsryclr!$A$2:$A$1000,"",0)</f>
        <v/>
      </c>
    </row>
    <row r="566" spans="1:12" hidden="1" x14ac:dyDescent="0.25">
      <c r="A566" s="16" t="s">
        <v>8</v>
      </c>
      <c r="B566" s="16" t="s">
        <v>107</v>
      </c>
      <c r="C566" s="16" t="s">
        <v>537</v>
      </c>
      <c r="D566" s="16" t="s">
        <v>538</v>
      </c>
      <c r="E566" s="16">
        <v>2</v>
      </c>
      <c r="F566" s="16" t="s">
        <v>293</v>
      </c>
      <c r="G566" s="16"/>
      <c r="H566" s="16" t="s">
        <v>539</v>
      </c>
      <c r="I566" s="16"/>
      <c r="J566" s="16" t="str">
        <f>IF(ISNUMBER(SEARCH("SCRW", H566)), _xlfn.XLOOKUP(C566,dd_item!$A$2:$A$147,dd_item!$B$2:$B$147,"",0),_xlfn.XLOOKUP(H566,dd_item!$A$2:$A$147,dd_item!$B$2:$B$147,"",0))</f>
        <v>Hinge 5-Bar</v>
      </c>
      <c r="K566" s="16" t="str">
        <f>_xlfn.XLOOKUP(A566,dd_design_raw!$C$2:$C$1002,dd_design_raw!$A$2:$A$1002,"",0)</f>
        <v>Awning</v>
      </c>
      <c r="L566" s="16" t="str">
        <f>_xlfn.XLOOKUP(I566,dd_accsryclr!$A$2:$A$1000,dd_accsryclr!$A$2:$A$1000,"",0)</f>
        <v/>
      </c>
    </row>
    <row r="567" spans="1:12" hidden="1" x14ac:dyDescent="0.25">
      <c r="A567" s="16" t="s">
        <v>8</v>
      </c>
      <c r="B567" s="16" t="s">
        <v>107</v>
      </c>
      <c r="C567" s="16" t="s">
        <v>390</v>
      </c>
      <c r="D567" s="16" t="s">
        <v>391</v>
      </c>
      <c r="E567" s="16">
        <v>13.231999999999999</v>
      </c>
      <c r="F567" s="16" t="s">
        <v>369</v>
      </c>
      <c r="G567" s="16"/>
      <c r="H567" s="16" t="s">
        <v>792</v>
      </c>
      <c r="I567" s="16"/>
      <c r="J567" s="16" t="str">
        <f>IF(ISNUMBER(SEARCH("SCRW", H567)), _xlfn.XLOOKUP(C567,dd_item!$A$2:$A$147,dd_item!$B$2:$B$147,"",0),_xlfn.XLOOKUP(H567,dd_item!$A$2:$A$147,dd_item!$B$2:$B$147,"",0))</f>
        <v>Atlas Screw (S) 10 x 2-1/2" (Flat)</v>
      </c>
      <c r="K567" s="16" t="str">
        <f>_xlfn.XLOOKUP(A567,dd_design_raw!$C$2:$C$1002,dd_design_raw!$A$2:$A$1002,"",0)</f>
        <v>Awning</v>
      </c>
      <c r="L567" s="16" t="str">
        <f>_xlfn.XLOOKUP(I567,dd_accsryclr!$A$2:$A$1000,dd_accsryclr!$A$2:$A$1000,"",0)</f>
        <v/>
      </c>
    </row>
    <row r="568" spans="1:12" hidden="1" x14ac:dyDescent="0.25">
      <c r="A568" s="16" t="s">
        <v>8</v>
      </c>
      <c r="B568" s="16" t="s">
        <v>107</v>
      </c>
      <c r="C568" s="16" t="s">
        <v>392</v>
      </c>
      <c r="D568" s="16" t="s">
        <v>393</v>
      </c>
      <c r="E568" s="16">
        <v>3</v>
      </c>
      <c r="F568" s="16" t="s">
        <v>369</v>
      </c>
      <c r="G568" s="16"/>
      <c r="H568" s="16" t="s">
        <v>394</v>
      </c>
      <c r="I568" s="16" t="s">
        <v>223</v>
      </c>
      <c r="J568" s="16" t="str">
        <f>IF(ISNUMBER(SEARCH("SCRW", H568)), _xlfn.XLOOKUP(C568,dd_item!$A$2:$A$147,dd_item!$B$2:$B$147,"",0),_xlfn.XLOOKUP(H568,dd_item!$A$2:$A$147,dd_item!$B$2:$B$147,"",0))</f>
        <v>Drainage Cover</v>
      </c>
      <c r="K568" s="16" t="str">
        <f>_xlfn.XLOOKUP(A568,dd_design_raw!$C$2:$C$1002,dd_design_raw!$A$2:$A$1002,"",0)</f>
        <v>Awning</v>
      </c>
      <c r="L568" s="16" t="str">
        <f>_xlfn.XLOOKUP(I568,dd_accsryclr!$A$2:$A$1000,dd_accsryclr!$A$2:$A$1000,"",0)</f>
        <v>BLK</v>
      </c>
    </row>
    <row r="569" spans="1:12" hidden="1" x14ac:dyDescent="0.25">
      <c r="A569" s="16" t="s">
        <v>8</v>
      </c>
      <c r="B569" s="16" t="s">
        <v>107</v>
      </c>
      <c r="C569" s="16" t="s">
        <v>395</v>
      </c>
      <c r="D569" s="16" t="s">
        <v>396</v>
      </c>
      <c r="E569" s="16">
        <v>3</v>
      </c>
      <c r="F569" s="16" t="s">
        <v>369</v>
      </c>
      <c r="G569" s="16"/>
      <c r="H569" s="16" t="s">
        <v>394</v>
      </c>
      <c r="I569" s="16" t="s">
        <v>220</v>
      </c>
      <c r="J569" s="16" t="str">
        <f>IF(ISNUMBER(SEARCH("SCRW", H569)), _xlfn.XLOOKUP(C569,dd_item!$A$2:$A$147,dd_item!$B$2:$B$147,"",0),_xlfn.XLOOKUP(H569,dd_item!$A$2:$A$147,dd_item!$B$2:$B$147,"",0))</f>
        <v>Drainage Cover</v>
      </c>
      <c r="K569" s="16" t="str">
        <f>_xlfn.XLOOKUP(A569,dd_design_raw!$C$2:$C$1002,dd_design_raw!$A$2:$A$1002,"",0)</f>
        <v>Awning</v>
      </c>
      <c r="L569" s="16" t="str">
        <f>_xlfn.XLOOKUP(I569,dd_accsryclr!$A$2:$A$1000,dd_accsryclr!$A$2:$A$1000,"",0)</f>
        <v>WHT</v>
      </c>
    </row>
    <row r="570" spans="1:12" hidden="1" x14ac:dyDescent="0.25">
      <c r="A570" s="16" t="s">
        <v>8</v>
      </c>
      <c r="B570" s="16" t="s">
        <v>107</v>
      </c>
      <c r="C570" s="16" t="s">
        <v>397</v>
      </c>
      <c r="D570" s="16" t="s">
        <v>398</v>
      </c>
      <c r="E570" s="16">
        <v>0.26463999999999999</v>
      </c>
      <c r="F570" s="16" t="s">
        <v>369</v>
      </c>
      <c r="G570" s="16"/>
      <c r="H570" s="16" t="s">
        <v>399</v>
      </c>
      <c r="I570" s="16" t="s">
        <v>400</v>
      </c>
      <c r="J570" s="16" t="str">
        <f>IF(ISNUMBER(SEARCH("SCRW", H570)), _xlfn.XLOOKUP(C570,dd_item!$A$2:$A$147,dd_item!$B$2:$B$147,"",0),_xlfn.XLOOKUP(H570,dd_item!$A$2:$A$147,dd_item!$B$2:$B$147,"",0))</f>
        <v>Tox6</v>
      </c>
      <c r="K570" s="16" t="str">
        <f>_xlfn.XLOOKUP(A570,dd_design_raw!$C$2:$C$1002,dd_design_raw!$A$2:$A$1002,"",0)</f>
        <v>Awning</v>
      </c>
      <c r="L570" s="16" t="str">
        <f>_xlfn.XLOOKUP(I570,dd_accsryclr!$A$2:$A$1000,dd_accsryclr!$A$2:$A$1000,"",0)</f>
        <v/>
      </c>
    </row>
    <row r="571" spans="1:12" hidden="1" x14ac:dyDescent="0.25">
      <c r="A571" s="16" t="s">
        <v>8</v>
      </c>
      <c r="B571" s="16" t="s">
        <v>107</v>
      </c>
      <c r="C571" s="16" t="s">
        <v>414</v>
      </c>
      <c r="D571" s="16" t="s">
        <v>415</v>
      </c>
      <c r="E571" s="16">
        <v>4.4106666666666667</v>
      </c>
      <c r="F571" s="16" t="s">
        <v>369</v>
      </c>
      <c r="G571" s="16"/>
      <c r="H571" s="16" t="s">
        <v>416</v>
      </c>
      <c r="I571" s="16" t="s">
        <v>223</v>
      </c>
      <c r="J571" s="16" t="str">
        <f>IF(ISNUMBER(SEARCH("SCRW", H571)), _xlfn.XLOOKUP(C571,dd_item!$A$2:$A$147,dd_item!$B$2:$B$147,"",0),_xlfn.XLOOKUP(H571,dd_item!$A$2:$A$147,dd_item!$B$2:$B$147,"",0))</f>
        <v>Sealant</v>
      </c>
      <c r="K571" s="16" t="str">
        <f>_xlfn.XLOOKUP(A571,dd_design_raw!$C$2:$C$1002,dd_design_raw!$A$2:$A$1002,"",0)</f>
        <v>Awning</v>
      </c>
      <c r="L571" s="16" t="str">
        <f>_xlfn.XLOOKUP(I571,dd_accsryclr!$A$2:$A$1000,dd_accsryclr!$A$2:$A$1000,"",0)</f>
        <v>BLK</v>
      </c>
    </row>
    <row r="572" spans="1:12" hidden="1" x14ac:dyDescent="0.25">
      <c r="A572" s="16" t="s">
        <v>8</v>
      </c>
      <c r="B572" s="16" t="s">
        <v>107</v>
      </c>
      <c r="C572" s="16" t="s">
        <v>417</v>
      </c>
      <c r="D572" s="16" t="s">
        <v>418</v>
      </c>
      <c r="E572" s="16">
        <v>4.4106666666666667</v>
      </c>
      <c r="F572" s="16" t="s">
        <v>369</v>
      </c>
      <c r="G572" s="16"/>
      <c r="H572" s="16" t="s">
        <v>416</v>
      </c>
      <c r="I572" s="16" t="s">
        <v>230</v>
      </c>
      <c r="J572" s="16" t="str">
        <f>IF(ISNUMBER(SEARCH("SCRW", H572)), _xlfn.XLOOKUP(C572,dd_item!$A$2:$A$147,dd_item!$B$2:$B$147,"",0),_xlfn.XLOOKUP(H572,dd_item!$A$2:$A$147,dd_item!$B$2:$B$147,"",0))</f>
        <v>Sealant</v>
      </c>
      <c r="K572" s="16" t="str">
        <f>_xlfn.XLOOKUP(A572,dd_design_raw!$C$2:$C$1002,dd_design_raw!$A$2:$A$1002,"",0)</f>
        <v>Awning</v>
      </c>
      <c r="L572" s="16" t="str">
        <f>_xlfn.XLOOKUP(I572,dd_accsryclr!$A$2:$A$1000,dd_accsryclr!$A$2:$A$1000,"",0)</f>
        <v>BRWN</v>
      </c>
    </row>
    <row r="573" spans="1:12" hidden="1" x14ac:dyDescent="0.25">
      <c r="A573" s="16" t="s">
        <v>8</v>
      </c>
      <c r="B573" s="16" t="s">
        <v>107</v>
      </c>
      <c r="C573" s="16" t="s">
        <v>419</v>
      </c>
      <c r="D573" s="16" t="s">
        <v>420</v>
      </c>
      <c r="E573" s="16">
        <v>4.4106666666666667</v>
      </c>
      <c r="F573" s="16" t="s">
        <v>369</v>
      </c>
      <c r="G573" s="16"/>
      <c r="H573" s="16" t="s">
        <v>416</v>
      </c>
      <c r="I573" s="16" t="s">
        <v>220</v>
      </c>
      <c r="J573" s="16" t="str">
        <f>IF(ISNUMBER(SEARCH("SCRW", H573)), _xlfn.XLOOKUP(C573,dd_item!$A$2:$A$147,dd_item!$B$2:$B$147,"",0),_xlfn.XLOOKUP(H573,dd_item!$A$2:$A$147,dd_item!$B$2:$B$147,"",0))</f>
        <v>Sealant</v>
      </c>
      <c r="K573" s="16" t="str">
        <f>_xlfn.XLOOKUP(A573,dd_design_raw!$C$2:$C$1002,dd_design_raw!$A$2:$A$1002,"",0)</f>
        <v>Awning</v>
      </c>
      <c r="L573" s="16" t="str">
        <f>_xlfn.XLOOKUP(I573,dd_accsryclr!$A$2:$A$1000,dd_accsryclr!$A$2:$A$1000,"",0)</f>
        <v>WHT</v>
      </c>
    </row>
    <row r="574" spans="1:12" hidden="1" x14ac:dyDescent="0.25">
      <c r="A574" s="16" t="s">
        <v>8</v>
      </c>
      <c r="B574" s="16" t="s">
        <v>107</v>
      </c>
      <c r="C574" s="16" t="s">
        <v>421</v>
      </c>
      <c r="D574" s="16" t="s">
        <v>422</v>
      </c>
      <c r="E574" s="16"/>
      <c r="F574" s="16" t="s">
        <v>369</v>
      </c>
      <c r="G574" s="16"/>
      <c r="H574" s="16" t="s">
        <v>416</v>
      </c>
      <c r="I574" s="16" t="s">
        <v>423</v>
      </c>
      <c r="J574" s="16" t="str">
        <f>IF(ISNUMBER(SEARCH("SCRW", H574)), _xlfn.XLOOKUP(C574,dd_item!$A$2:$A$147,dd_item!$B$2:$B$147,"",0),_xlfn.XLOOKUP(H574,dd_item!$A$2:$A$147,dd_item!$B$2:$B$147,"",0))</f>
        <v>Sealant</v>
      </c>
      <c r="K574" s="16" t="str">
        <f>_xlfn.XLOOKUP(A574,dd_design_raw!$C$2:$C$1002,dd_design_raw!$A$2:$A$1002,"",0)</f>
        <v>Awning</v>
      </c>
      <c r="L574" s="16" t="str">
        <f>_xlfn.XLOOKUP(I574,dd_accsryclr!$A$2:$A$1000,dd_accsryclr!$A$2:$A$1000,"",0)</f>
        <v/>
      </c>
    </row>
    <row r="575" spans="1:12" hidden="1" x14ac:dyDescent="0.25">
      <c r="A575" s="16" t="s">
        <v>8</v>
      </c>
      <c r="B575" s="16" t="s">
        <v>107</v>
      </c>
      <c r="C575" s="16" t="s">
        <v>540</v>
      </c>
      <c r="D575" s="16" t="s">
        <v>541</v>
      </c>
      <c r="E575" s="16">
        <v>1</v>
      </c>
      <c r="F575" s="16" t="s">
        <v>369</v>
      </c>
      <c r="G575" s="16"/>
      <c r="H575" s="16" t="s">
        <v>542</v>
      </c>
      <c r="I575" s="16" t="s">
        <v>223</v>
      </c>
      <c r="J575" s="16" t="str">
        <f>IF(ISNUMBER(SEARCH("SCRW", H575)), _xlfn.XLOOKUP(C575,dd_item!$A$2:$A$147,dd_item!$B$2:$B$147,"",0),_xlfn.XLOOKUP(H575,dd_item!$A$2:$A$147,dd_item!$B$2:$B$147,"",0))</f>
        <v>Casement Handle (Roto)</v>
      </c>
      <c r="K575" s="16" t="str">
        <f>_xlfn.XLOOKUP(A575,dd_design_raw!$C$2:$C$1002,dd_design_raw!$A$2:$A$1002,"",0)</f>
        <v>Awning</v>
      </c>
      <c r="L575" s="16" t="str">
        <f>_xlfn.XLOOKUP(I575,dd_accsryclr!$A$2:$A$1000,dd_accsryclr!$A$2:$A$1000,"",0)</f>
        <v>BLK</v>
      </c>
    </row>
    <row r="576" spans="1:12" hidden="1" x14ac:dyDescent="0.25">
      <c r="A576" s="16" t="s">
        <v>8</v>
      </c>
      <c r="B576" s="16" t="s">
        <v>107</v>
      </c>
      <c r="C576" s="16" t="s">
        <v>543</v>
      </c>
      <c r="D576" s="16" t="s">
        <v>544</v>
      </c>
      <c r="E576" s="16">
        <v>1</v>
      </c>
      <c r="F576" s="16" t="s">
        <v>369</v>
      </c>
      <c r="G576" s="16"/>
      <c r="H576" s="16" t="s">
        <v>542</v>
      </c>
      <c r="I576" s="16" t="s">
        <v>220</v>
      </c>
      <c r="J576" s="16" t="str">
        <f>IF(ISNUMBER(SEARCH("SCRW", H576)), _xlfn.XLOOKUP(C576,dd_item!$A$2:$A$147,dd_item!$B$2:$B$147,"",0),_xlfn.XLOOKUP(H576,dd_item!$A$2:$A$147,dd_item!$B$2:$B$147,"",0))</f>
        <v>Casement Handle (Roto)</v>
      </c>
      <c r="K576" s="16" t="str">
        <f>_xlfn.XLOOKUP(A576,dd_design_raw!$C$2:$C$1002,dd_design_raw!$A$2:$A$1002,"",0)</f>
        <v>Awning</v>
      </c>
      <c r="L576" s="16" t="str">
        <f>_xlfn.XLOOKUP(I576,dd_accsryclr!$A$2:$A$1000,dd_accsryclr!$A$2:$A$1000,"",0)</f>
        <v>WHT</v>
      </c>
    </row>
    <row r="577" spans="1:12" hidden="1" x14ac:dyDescent="0.25">
      <c r="A577" s="16" t="s">
        <v>8</v>
      </c>
      <c r="B577" s="16" t="s">
        <v>107</v>
      </c>
      <c r="C577" s="16" t="s">
        <v>545</v>
      </c>
      <c r="D577" s="16" t="s">
        <v>546</v>
      </c>
      <c r="E577" s="16">
        <v>1</v>
      </c>
      <c r="F577" s="16" t="s">
        <v>369</v>
      </c>
      <c r="G577" s="16"/>
      <c r="H577" s="16" t="s">
        <v>9</v>
      </c>
      <c r="I577" s="16" t="s">
        <v>223</v>
      </c>
      <c r="J577" s="16" t="str">
        <f>IF(ISNUMBER(SEARCH("SCRW", H577)), _xlfn.XLOOKUP(C577,dd_item!$A$2:$A$147,dd_item!$B$2:$B$147,"",0),_xlfn.XLOOKUP(H577,dd_item!$A$2:$A$147,dd_item!$B$2:$B$147,"",0))</f>
        <v>Casement Handle (Espag)</v>
      </c>
      <c r="K577" s="16" t="str">
        <f>_xlfn.XLOOKUP(A577,dd_design_raw!$C$2:$C$1002,dd_design_raw!$A$2:$A$1002,"",0)</f>
        <v>Awning</v>
      </c>
      <c r="L577" s="16" t="str">
        <f>_xlfn.XLOOKUP(I577,dd_accsryclr!$A$2:$A$1000,dd_accsryclr!$A$2:$A$1000,"",0)</f>
        <v>BLK</v>
      </c>
    </row>
    <row r="578" spans="1:12" hidden="1" x14ac:dyDescent="0.25">
      <c r="A578" s="16" t="s">
        <v>8</v>
      </c>
      <c r="B578" s="16" t="s">
        <v>107</v>
      </c>
      <c r="C578" s="16" t="s">
        <v>547</v>
      </c>
      <c r="D578" s="16" t="s">
        <v>548</v>
      </c>
      <c r="E578" s="16">
        <v>1</v>
      </c>
      <c r="F578" s="16" t="s">
        <v>369</v>
      </c>
      <c r="G578" s="16"/>
      <c r="H578" s="16" t="s">
        <v>9</v>
      </c>
      <c r="I578" s="16" t="s">
        <v>220</v>
      </c>
      <c r="J578" s="16" t="str">
        <f>IF(ISNUMBER(SEARCH("SCRW", H578)), _xlfn.XLOOKUP(C578,dd_item!$A$2:$A$147,dd_item!$B$2:$B$147,"",0),_xlfn.XLOOKUP(H578,dd_item!$A$2:$A$147,dd_item!$B$2:$B$147,"",0))</f>
        <v>Casement Handle (Espag)</v>
      </c>
      <c r="K578" s="16" t="str">
        <f>_xlfn.XLOOKUP(A578,dd_design_raw!$C$2:$C$1002,dd_design_raw!$A$2:$A$1002,"",0)</f>
        <v>Awning</v>
      </c>
      <c r="L578" s="16" t="str">
        <f>_xlfn.XLOOKUP(I578,dd_accsryclr!$A$2:$A$1000,dd_accsryclr!$A$2:$A$1000,"",0)</f>
        <v>WHT</v>
      </c>
    </row>
    <row r="579" spans="1:12" hidden="1" x14ac:dyDescent="0.25">
      <c r="A579" s="16" t="s">
        <v>8</v>
      </c>
      <c r="B579" s="16" t="s">
        <v>107</v>
      </c>
      <c r="C579" s="16" t="s">
        <v>549</v>
      </c>
      <c r="D579" s="16" t="s">
        <v>550</v>
      </c>
      <c r="E579" s="16">
        <v>3</v>
      </c>
      <c r="F579" s="16" t="s">
        <v>369</v>
      </c>
      <c r="G579" s="16"/>
      <c r="H579" s="16" t="s">
        <v>551</v>
      </c>
      <c r="I579" s="16"/>
      <c r="J579" s="16" t="str">
        <f>IF(ISNUMBER(SEARCH("SCRW", H579)), _xlfn.XLOOKUP(C579,dd_item!$A$2:$A$147,dd_item!$B$2:$B$147,"",0),_xlfn.XLOOKUP(H579,dd_item!$A$2:$A$147,dd_item!$B$2:$B$147,"",0))</f>
        <v>Casement Striker (Roto)</v>
      </c>
      <c r="K579" s="16" t="str">
        <f>_xlfn.XLOOKUP(A579,dd_design_raw!$C$2:$C$1002,dd_design_raw!$A$2:$A$1002,"",0)</f>
        <v>Awning</v>
      </c>
      <c r="L579" s="16" t="str">
        <f>_xlfn.XLOOKUP(I579,dd_accsryclr!$A$2:$A$1000,dd_accsryclr!$A$2:$A$1000,"",0)</f>
        <v/>
      </c>
    </row>
    <row r="580" spans="1:12" hidden="1" x14ac:dyDescent="0.25">
      <c r="A580" s="16" t="s">
        <v>8</v>
      </c>
      <c r="B580" s="16" t="s">
        <v>107</v>
      </c>
      <c r="C580" s="16" t="s">
        <v>412</v>
      </c>
      <c r="D580" s="16" t="s">
        <v>413</v>
      </c>
      <c r="E580" s="16">
        <v>3</v>
      </c>
      <c r="F580" s="16" t="s">
        <v>369</v>
      </c>
      <c r="G580" s="16"/>
      <c r="H580" s="16" t="s">
        <v>793</v>
      </c>
      <c r="I580" s="16"/>
      <c r="J580" s="16" t="str">
        <f>IF(ISNUMBER(SEARCH("SCRW", H580)), _xlfn.XLOOKUP(C580,dd_item!$A$2:$A$147,dd_item!$B$2:$B$147,"",0),_xlfn.XLOOKUP(H580,dd_item!$A$2:$A$147,dd_item!$B$2:$B$147,"",0))</f>
        <v>Atlas Screw (S) 8 x 1-1/4" (Flat)</v>
      </c>
      <c r="K580" s="16" t="str">
        <f>_xlfn.XLOOKUP(A580,dd_design_raw!$C$2:$C$1002,dd_design_raw!$A$2:$A$1002,"",0)</f>
        <v>Awning</v>
      </c>
      <c r="L580" s="16" t="str">
        <f>_xlfn.XLOOKUP(I580,dd_accsryclr!$A$2:$A$1000,dd_accsryclr!$A$2:$A$1000,"",0)</f>
        <v/>
      </c>
    </row>
    <row r="581" spans="1:12" hidden="1" x14ac:dyDescent="0.25">
      <c r="A581" s="16" t="s">
        <v>8</v>
      </c>
      <c r="B581" s="16" t="s">
        <v>107</v>
      </c>
      <c r="C581" s="16" t="s">
        <v>401</v>
      </c>
      <c r="D581" s="16" t="s">
        <v>402</v>
      </c>
      <c r="E581" s="16">
        <v>13.231999999999999</v>
      </c>
      <c r="F581" s="16" t="s">
        <v>369</v>
      </c>
      <c r="G581" s="16"/>
      <c r="H581" s="16" t="s">
        <v>403</v>
      </c>
      <c r="I581" s="16" t="s">
        <v>223</v>
      </c>
      <c r="J581" s="16" t="str">
        <f>IF(ISNUMBER(SEARCH("SCRW", H581)), _xlfn.XLOOKUP(C581,dd_item!$A$2:$A$147,dd_item!$B$2:$B$147,"",0),_xlfn.XLOOKUP(H581,dd_item!$A$2:$A$147,dd_item!$B$2:$B$147,"",0))</f>
        <v>Cover Cap</v>
      </c>
      <c r="K581" s="16" t="str">
        <f>_xlfn.XLOOKUP(A581,dd_design_raw!$C$2:$C$1002,dd_design_raw!$A$2:$A$1002,"",0)</f>
        <v>Awning</v>
      </c>
      <c r="L581" s="16" t="str">
        <f>_xlfn.XLOOKUP(I581,dd_accsryclr!$A$2:$A$1000,dd_accsryclr!$A$2:$A$1000,"",0)</f>
        <v>BLK</v>
      </c>
    </row>
    <row r="582" spans="1:12" hidden="1" x14ac:dyDescent="0.25">
      <c r="A582" s="16" t="s">
        <v>8</v>
      </c>
      <c r="B582" s="16" t="s">
        <v>107</v>
      </c>
      <c r="C582" s="16" t="s">
        <v>404</v>
      </c>
      <c r="D582" s="16" t="s">
        <v>405</v>
      </c>
      <c r="E582" s="16">
        <v>13.231999999999999</v>
      </c>
      <c r="F582" s="16" t="s">
        <v>369</v>
      </c>
      <c r="G582" s="16"/>
      <c r="H582" s="16" t="s">
        <v>403</v>
      </c>
      <c r="I582" s="16" t="s">
        <v>220</v>
      </c>
      <c r="J582" s="16" t="str">
        <f>IF(ISNUMBER(SEARCH("SCRW", H582)), _xlfn.XLOOKUP(C582,dd_item!$A$2:$A$147,dd_item!$B$2:$B$147,"",0),_xlfn.XLOOKUP(H582,dd_item!$A$2:$A$147,dd_item!$B$2:$B$147,"",0))</f>
        <v>Cover Cap</v>
      </c>
      <c r="K582" s="16" t="str">
        <f>_xlfn.XLOOKUP(A582,dd_design_raw!$C$2:$C$1002,dd_design_raw!$A$2:$A$1002,"",0)</f>
        <v>Awning</v>
      </c>
      <c r="L582" s="16" t="str">
        <f>_xlfn.XLOOKUP(I582,dd_accsryclr!$A$2:$A$1000,dd_accsryclr!$A$2:$A$1000,"",0)</f>
        <v>WHT</v>
      </c>
    </row>
    <row r="583" spans="1:12" hidden="1" x14ac:dyDescent="0.25">
      <c r="A583" s="16" t="s">
        <v>8</v>
      </c>
      <c r="B583" s="16" t="s">
        <v>107</v>
      </c>
      <c r="C583" s="16" t="s">
        <v>552</v>
      </c>
      <c r="D583" s="16" t="s">
        <v>553</v>
      </c>
      <c r="E583" s="16">
        <v>2</v>
      </c>
      <c r="F583" s="16" t="s">
        <v>369</v>
      </c>
      <c r="G583" s="16"/>
      <c r="H583" s="16" t="s">
        <v>794</v>
      </c>
      <c r="I583" s="16" t="s">
        <v>554</v>
      </c>
      <c r="J583" s="16" t="str">
        <f>IF(ISNUMBER(SEARCH("SCRW", H583)), _xlfn.XLOOKUP(C583,dd_item!$A$2:$A$147,dd_item!$B$2:$B$147,"",0),_xlfn.XLOOKUP(H583,dd_item!$A$2:$A$147,dd_item!$B$2:$B$147,"",0))</f>
        <v>Atlas Screw S.B JF 5 x 50</v>
      </c>
      <c r="K583" s="16" t="str">
        <f>_xlfn.XLOOKUP(A583,dd_design_raw!$C$2:$C$1002,dd_design_raw!$A$2:$A$1002,"",0)</f>
        <v>Awning</v>
      </c>
      <c r="L583" s="16" t="str">
        <f>_xlfn.XLOOKUP(I583,dd_accsryclr!$A$2:$A$1000,dd_accsryclr!$A$2:$A$1000,"",0)</f>
        <v/>
      </c>
    </row>
    <row r="584" spans="1:12" hidden="1" x14ac:dyDescent="0.25">
      <c r="A584" s="16" t="s">
        <v>9</v>
      </c>
      <c r="B584" s="16" t="s">
        <v>108</v>
      </c>
      <c r="C584" s="16" t="s">
        <v>484</v>
      </c>
      <c r="D584" s="16" t="s">
        <v>485</v>
      </c>
      <c r="E584" s="16">
        <v>0.98465517241379308</v>
      </c>
      <c r="F584" s="16" t="s">
        <v>194</v>
      </c>
      <c r="G584" s="16"/>
      <c r="H584" s="16" t="s">
        <v>486</v>
      </c>
      <c r="I584" s="16" t="s">
        <v>230</v>
      </c>
      <c r="J584" s="16" t="str">
        <f>IF(ISNUMBER(SEARCH("SCRW", H584)), _xlfn.XLOOKUP(C584,dd_item!$A$2:$A$147,dd_item!$B$2:$B$147,"",0),_xlfn.XLOOKUP(H584,dd_item!$A$2:$A$147,dd_item!$B$2:$B$147,"",0))</f>
        <v>Frame60</v>
      </c>
      <c r="K584" s="16" t="str">
        <f>_xlfn.XLOOKUP(A584,dd_design_raw!$C$2:$C$1002,dd_design_raw!$A$2:$A$1002,"",0)</f>
        <v>Casement</v>
      </c>
      <c r="L584" s="16" t="str">
        <f>_xlfn.XLOOKUP(I584,dd_accsryclr!$A$2:$A$1000,dd_accsryclr!$A$2:$A$1000,"",0)</f>
        <v>BRWN</v>
      </c>
    </row>
    <row r="585" spans="1:12" hidden="1" x14ac:dyDescent="0.25">
      <c r="A585" s="16" t="s">
        <v>9</v>
      </c>
      <c r="B585" s="16" t="s">
        <v>108</v>
      </c>
      <c r="C585" s="16" t="s">
        <v>487</v>
      </c>
      <c r="D585" s="16" t="s">
        <v>488</v>
      </c>
      <c r="E585" s="16">
        <v>0.98465517241379308</v>
      </c>
      <c r="F585" s="16" t="s">
        <v>194</v>
      </c>
      <c r="G585" s="16"/>
      <c r="H585" s="16" t="s">
        <v>486</v>
      </c>
      <c r="I585" s="16" t="s">
        <v>223</v>
      </c>
      <c r="J585" s="16" t="str">
        <f>IF(ISNUMBER(SEARCH("SCRW", H585)), _xlfn.XLOOKUP(C585,dd_item!$A$2:$A$147,dd_item!$B$2:$B$147,"",0),_xlfn.XLOOKUP(H585,dd_item!$A$2:$A$147,dd_item!$B$2:$B$147,"",0))</f>
        <v>Frame60</v>
      </c>
      <c r="K585" s="16" t="str">
        <f>_xlfn.XLOOKUP(A585,dd_design_raw!$C$2:$C$1002,dd_design_raw!$A$2:$A$1002,"",0)</f>
        <v>Casement</v>
      </c>
      <c r="L585" s="16" t="str">
        <f>_xlfn.XLOOKUP(I585,dd_accsryclr!$A$2:$A$1000,dd_accsryclr!$A$2:$A$1000,"",0)</f>
        <v>BLK</v>
      </c>
    </row>
    <row r="586" spans="1:12" hidden="1" x14ac:dyDescent="0.25">
      <c r="A586" s="16" t="s">
        <v>9</v>
      </c>
      <c r="B586" s="16" t="s">
        <v>108</v>
      </c>
      <c r="C586" s="16" t="s">
        <v>489</v>
      </c>
      <c r="D586" s="16" t="s">
        <v>490</v>
      </c>
      <c r="E586" s="16">
        <v>0.98465517241379308</v>
      </c>
      <c r="F586" s="16" t="s">
        <v>194</v>
      </c>
      <c r="G586" s="16"/>
      <c r="H586" s="16" t="s">
        <v>486</v>
      </c>
      <c r="I586" s="16" t="s">
        <v>211</v>
      </c>
      <c r="J586" s="16" t="str">
        <f>IF(ISNUMBER(SEARCH("SCRW", H586)), _xlfn.XLOOKUP(C586,dd_item!$A$2:$A$147,dd_item!$B$2:$B$147,"",0),_xlfn.XLOOKUP(H586,dd_item!$A$2:$A$147,dd_item!$B$2:$B$147,"",0))</f>
        <v>Frame60</v>
      </c>
      <c r="K586" s="16" t="str">
        <f>_xlfn.XLOOKUP(A586,dd_design_raw!$C$2:$C$1002,dd_design_raw!$A$2:$A$1002,"",0)</f>
        <v>Casement</v>
      </c>
      <c r="L586" s="16" t="str">
        <f>_xlfn.XLOOKUP(I586,dd_accsryclr!$A$2:$A$1000,dd_accsryclr!$A$2:$A$1000,"",0)</f>
        <v/>
      </c>
    </row>
    <row r="587" spans="1:12" hidden="1" x14ac:dyDescent="0.25">
      <c r="A587" s="16" t="s">
        <v>9</v>
      </c>
      <c r="B587" s="16" t="s">
        <v>108</v>
      </c>
      <c r="C587" s="16" t="s">
        <v>491</v>
      </c>
      <c r="D587" s="16" t="s">
        <v>492</v>
      </c>
      <c r="E587" s="16">
        <v>0.98465517241379308</v>
      </c>
      <c r="F587" s="16" t="s">
        <v>194</v>
      </c>
      <c r="G587" s="16"/>
      <c r="H587" s="16" t="s">
        <v>486</v>
      </c>
      <c r="I587" s="16" t="s">
        <v>214</v>
      </c>
      <c r="J587" s="16" t="str">
        <f>IF(ISNUMBER(SEARCH("SCRW", H587)), _xlfn.XLOOKUP(C587,dd_item!$A$2:$A$147,dd_item!$B$2:$B$147,"",0),_xlfn.XLOOKUP(H587,dd_item!$A$2:$A$147,dd_item!$B$2:$B$147,"",0))</f>
        <v>Frame60</v>
      </c>
      <c r="K587" s="16" t="str">
        <f>_xlfn.XLOOKUP(A587,dd_design_raw!$C$2:$C$1002,dd_design_raw!$A$2:$A$1002,"",0)</f>
        <v>Casement</v>
      </c>
      <c r="L587" s="16" t="str">
        <f>_xlfn.XLOOKUP(I587,dd_accsryclr!$A$2:$A$1000,dd_accsryclr!$A$2:$A$1000,"",0)</f>
        <v/>
      </c>
    </row>
    <row r="588" spans="1:12" hidden="1" x14ac:dyDescent="0.25">
      <c r="A588" s="16" t="s">
        <v>9</v>
      </c>
      <c r="B588" s="16" t="s">
        <v>108</v>
      </c>
      <c r="C588" s="16" t="s">
        <v>493</v>
      </c>
      <c r="D588" s="16" t="s">
        <v>494</v>
      </c>
      <c r="E588" s="16">
        <v>0.98465517241379308</v>
      </c>
      <c r="F588" s="16" t="s">
        <v>194</v>
      </c>
      <c r="G588" s="16"/>
      <c r="H588" s="16" t="s">
        <v>486</v>
      </c>
      <c r="I588" s="16" t="s">
        <v>217</v>
      </c>
      <c r="J588" s="16" t="str">
        <f>IF(ISNUMBER(SEARCH("SCRW", H588)), _xlfn.XLOOKUP(C588,dd_item!$A$2:$A$147,dd_item!$B$2:$B$147,"",0),_xlfn.XLOOKUP(H588,dd_item!$A$2:$A$147,dd_item!$B$2:$B$147,"",0))</f>
        <v>Frame60</v>
      </c>
      <c r="K588" s="16" t="str">
        <f>_xlfn.XLOOKUP(A588,dd_design_raw!$C$2:$C$1002,dd_design_raw!$A$2:$A$1002,"",0)</f>
        <v>Casement</v>
      </c>
      <c r="L588" s="16" t="str">
        <f>_xlfn.XLOOKUP(I588,dd_accsryclr!$A$2:$A$1000,dd_accsryclr!$A$2:$A$1000,"",0)</f>
        <v/>
      </c>
    </row>
    <row r="589" spans="1:12" hidden="1" x14ac:dyDescent="0.25">
      <c r="A589" s="16" t="s">
        <v>9</v>
      </c>
      <c r="B589" s="16" t="s">
        <v>108</v>
      </c>
      <c r="C589" s="16" t="s">
        <v>495</v>
      </c>
      <c r="D589" s="16" t="s">
        <v>496</v>
      </c>
      <c r="E589" s="16">
        <v>0.98465517241379308</v>
      </c>
      <c r="F589" s="16" t="s">
        <v>194</v>
      </c>
      <c r="G589" s="16"/>
      <c r="H589" s="16" t="s">
        <v>486</v>
      </c>
      <c r="I589" s="16" t="s">
        <v>226</v>
      </c>
      <c r="J589" s="16" t="str">
        <f>IF(ISNUMBER(SEARCH("SCRW", H589)), _xlfn.XLOOKUP(C589,dd_item!$A$2:$A$147,dd_item!$B$2:$B$147,"",0),_xlfn.XLOOKUP(H589,dd_item!$A$2:$A$147,dd_item!$B$2:$B$147,"",0))</f>
        <v>Frame60</v>
      </c>
      <c r="K589" s="16" t="str">
        <f>_xlfn.XLOOKUP(A589,dd_design_raw!$C$2:$C$1002,dd_design_raw!$A$2:$A$1002,"",0)</f>
        <v>Casement</v>
      </c>
      <c r="L589" s="16" t="str">
        <f>_xlfn.XLOOKUP(I589,dd_accsryclr!$A$2:$A$1000,dd_accsryclr!$A$2:$A$1000,"",0)</f>
        <v/>
      </c>
    </row>
    <row r="590" spans="1:12" hidden="1" x14ac:dyDescent="0.25">
      <c r="A590" s="16" t="s">
        <v>9</v>
      </c>
      <c r="B590" s="16" t="s">
        <v>108</v>
      </c>
      <c r="C590" s="16" t="s">
        <v>497</v>
      </c>
      <c r="D590" s="16" t="s">
        <v>498</v>
      </c>
      <c r="E590" s="16">
        <v>0.98465517241379308</v>
      </c>
      <c r="F590" s="16" t="s">
        <v>194</v>
      </c>
      <c r="G590" s="16"/>
      <c r="H590" s="16" t="s">
        <v>486</v>
      </c>
      <c r="I590" s="16" t="s">
        <v>220</v>
      </c>
      <c r="J590" s="16" t="str">
        <f>IF(ISNUMBER(SEARCH("SCRW", H590)), _xlfn.XLOOKUP(C590,dd_item!$A$2:$A$147,dd_item!$B$2:$B$147,"",0),_xlfn.XLOOKUP(H590,dd_item!$A$2:$A$147,dd_item!$B$2:$B$147,"",0))</f>
        <v>Frame60</v>
      </c>
      <c r="K590" s="16" t="str">
        <f>_xlfn.XLOOKUP(A590,dd_design_raw!$C$2:$C$1002,dd_design_raw!$A$2:$A$1002,"",0)</f>
        <v>Casement</v>
      </c>
      <c r="L590" s="16" t="str">
        <f>_xlfn.XLOOKUP(I590,dd_accsryclr!$A$2:$A$1000,dd_accsryclr!$A$2:$A$1000,"",0)</f>
        <v>WHT</v>
      </c>
    </row>
    <row r="591" spans="1:12" hidden="1" x14ac:dyDescent="0.25">
      <c r="A591" s="16" t="s">
        <v>9</v>
      </c>
      <c r="B591" s="16" t="s">
        <v>108</v>
      </c>
      <c r="C591" s="16" t="s">
        <v>499</v>
      </c>
      <c r="D591" s="16" t="s">
        <v>500</v>
      </c>
      <c r="E591" s="16">
        <v>1.1131034482758622</v>
      </c>
      <c r="F591" s="16" t="s">
        <v>194</v>
      </c>
      <c r="G591" s="16"/>
      <c r="H591" s="16" t="s">
        <v>501</v>
      </c>
      <c r="I591" s="16" t="s">
        <v>211</v>
      </c>
      <c r="J591" s="16" t="str">
        <f>IF(ISNUMBER(SEARCH("SCRW", H591)), _xlfn.XLOOKUP(C591,dd_item!$A$2:$A$147,dd_item!$B$2:$B$147,"",0),_xlfn.XLOOKUP(H591,dd_item!$A$2:$A$147,dd_item!$B$2:$B$147,"",0))</f>
        <v>Sash78</v>
      </c>
      <c r="K591" s="16" t="str">
        <f>_xlfn.XLOOKUP(A591,dd_design_raw!$C$2:$C$1002,dd_design_raw!$A$2:$A$1002,"",0)</f>
        <v>Casement</v>
      </c>
      <c r="L591" s="16" t="str">
        <f>_xlfn.XLOOKUP(I591,dd_accsryclr!$A$2:$A$1000,dd_accsryclr!$A$2:$A$1000,"",0)</f>
        <v/>
      </c>
    </row>
    <row r="592" spans="1:12" hidden="1" x14ac:dyDescent="0.25">
      <c r="A592" s="16" t="s">
        <v>9</v>
      </c>
      <c r="B592" s="16" t="s">
        <v>108</v>
      </c>
      <c r="C592" s="16" t="s">
        <v>502</v>
      </c>
      <c r="D592" s="16" t="s">
        <v>503</v>
      </c>
      <c r="E592" s="16">
        <v>1.1131034482758622</v>
      </c>
      <c r="F592" s="16" t="s">
        <v>194</v>
      </c>
      <c r="G592" s="16"/>
      <c r="H592" s="16" t="s">
        <v>501</v>
      </c>
      <c r="I592" s="16" t="s">
        <v>214</v>
      </c>
      <c r="J592" s="16" t="str">
        <f>IF(ISNUMBER(SEARCH("SCRW", H592)), _xlfn.XLOOKUP(C592,dd_item!$A$2:$A$147,dd_item!$B$2:$B$147,"",0),_xlfn.XLOOKUP(H592,dd_item!$A$2:$A$147,dd_item!$B$2:$B$147,"",0))</f>
        <v>Sash78</v>
      </c>
      <c r="K592" s="16" t="str">
        <f>_xlfn.XLOOKUP(A592,dd_design_raw!$C$2:$C$1002,dd_design_raw!$A$2:$A$1002,"",0)</f>
        <v>Casement</v>
      </c>
      <c r="L592" s="16" t="str">
        <f>_xlfn.XLOOKUP(I592,dd_accsryclr!$A$2:$A$1000,dd_accsryclr!$A$2:$A$1000,"",0)</f>
        <v/>
      </c>
    </row>
    <row r="593" spans="1:12" hidden="1" x14ac:dyDescent="0.25">
      <c r="A593" s="16" t="s">
        <v>9</v>
      </c>
      <c r="B593" s="16" t="s">
        <v>108</v>
      </c>
      <c r="C593" s="16" t="s">
        <v>504</v>
      </c>
      <c r="D593" s="16" t="s">
        <v>505</v>
      </c>
      <c r="E593" s="16">
        <v>1.1131034482758622</v>
      </c>
      <c r="F593" s="16" t="s">
        <v>194</v>
      </c>
      <c r="G593" s="16"/>
      <c r="H593" s="16" t="s">
        <v>501</v>
      </c>
      <c r="I593" s="16" t="s">
        <v>217</v>
      </c>
      <c r="J593" s="16" t="str">
        <f>IF(ISNUMBER(SEARCH("SCRW", H593)), _xlfn.XLOOKUP(C593,dd_item!$A$2:$A$147,dd_item!$B$2:$B$147,"",0),_xlfn.XLOOKUP(H593,dd_item!$A$2:$A$147,dd_item!$B$2:$B$147,"",0))</f>
        <v>Sash78</v>
      </c>
      <c r="K593" s="16" t="str">
        <f>_xlfn.XLOOKUP(A593,dd_design_raw!$C$2:$C$1002,dd_design_raw!$A$2:$A$1002,"",0)</f>
        <v>Casement</v>
      </c>
      <c r="L593" s="16" t="str">
        <f>_xlfn.XLOOKUP(I593,dd_accsryclr!$A$2:$A$1000,dd_accsryclr!$A$2:$A$1000,"",0)</f>
        <v/>
      </c>
    </row>
    <row r="594" spans="1:12" hidden="1" x14ac:dyDescent="0.25">
      <c r="A594" s="16" t="s">
        <v>9</v>
      </c>
      <c r="B594" s="16" t="s">
        <v>108</v>
      </c>
      <c r="C594" s="16" t="s">
        <v>506</v>
      </c>
      <c r="D594" s="16" t="s">
        <v>507</v>
      </c>
      <c r="E594" s="16">
        <v>1.1131034482758622</v>
      </c>
      <c r="F594" s="16" t="s">
        <v>194</v>
      </c>
      <c r="G594" s="16"/>
      <c r="H594" s="16" t="s">
        <v>501</v>
      </c>
      <c r="I594" s="16" t="s">
        <v>226</v>
      </c>
      <c r="J594" s="16" t="str">
        <f>IF(ISNUMBER(SEARCH("SCRW", H594)), _xlfn.XLOOKUP(C594,dd_item!$A$2:$A$147,dd_item!$B$2:$B$147,"",0),_xlfn.XLOOKUP(H594,dd_item!$A$2:$A$147,dd_item!$B$2:$B$147,"",0))</f>
        <v>Sash78</v>
      </c>
      <c r="K594" s="16" t="str">
        <f>_xlfn.XLOOKUP(A594,dd_design_raw!$C$2:$C$1002,dd_design_raw!$A$2:$A$1002,"",0)</f>
        <v>Casement</v>
      </c>
      <c r="L594" s="16" t="str">
        <f>_xlfn.XLOOKUP(I594,dd_accsryclr!$A$2:$A$1000,dd_accsryclr!$A$2:$A$1000,"",0)</f>
        <v/>
      </c>
    </row>
    <row r="595" spans="1:12" hidden="1" x14ac:dyDescent="0.25">
      <c r="A595" s="16" t="s">
        <v>9</v>
      </c>
      <c r="B595" s="16" t="s">
        <v>108</v>
      </c>
      <c r="C595" s="16" t="s">
        <v>508</v>
      </c>
      <c r="D595" s="16" t="s">
        <v>509</v>
      </c>
      <c r="E595" s="16">
        <v>1.1131034482758622</v>
      </c>
      <c r="F595" s="16" t="s">
        <v>194</v>
      </c>
      <c r="G595" s="16"/>
      <c r="H595" s="16" t="s">
        <v>501</v>
      </c>
      <c r="I595" s="16" t="s">
        <v>220</v>
      </c>
      <c r="J595" s="16" t="str">
        <f>IF(ISNUMBER(SEARCH("SCRW", H595)), _xlfn.XLOOKUP(C595,dd_item!$A$2:$A$147,dd_item!$B$2:$B$147,"",0),_xlfn.XLOOKUP(H595,dd_item!$A$2:$A$147,dd_item!$B$2:$B$147,"",0))</f>
        <v>Sash78</v>
      </c>
      <c r="K595" s="16" t="str">
        <f>_xlfn.XLOOKUP(A595,dd_design_raw!$C$2:$C$1002,dd_design_raw!$A$2:$A$1002,"",0)</f>
        <v>Casement</v>
      </c>
      <c r="L595" s="16" t="str">
        <f>_xlfn.XLOOKUP(I595,dd_accsryclr!$A$2:$A$1000,dd_accsryclr!$A$2:$A$1000,"",0)</f>
        <v>WHT</v>
      </c>
    </row>
    <row r="596" spans="1:12" hidden="1" x14ac:dyDescent="0.25">
      <c r="A596" s="16" t="s">
        <v>9</v>
      </c>
      <c r="B596" s="16" t="s">
        <v>108</v>
      </c>
      <c r="C596" s="16" t="s">
        <v>510</v>
      </c>
      <c r="D596" s="16" t="s">
        <v>511</v>
      </c>
      <c r="E596" s="16">
        <v>1.1131034482758622</v>
      </c>
      <c r="F596" s="16" t="s">
        <v>194</v>
      </c>
      <c r="G596" s="16"/>
      <c r="H596" s="16" t="s">
        <v>501</v>
      </c>
      <c r="I596" s="16" t="s">
        <v>223</v>
      </c>
      <c r="J596" s="16" t="str">
        <f>IF(ISNUMBER(SEARCH("SCRW", H596)), _xlfn.XLOOKUP(C596,dd_item!$A$2:$A$147,dd_item!$B$2:$B$147,"",0),_xlfn.XLOOKUP(H596,dd_item!$A$2:$A$147,dd_item!$B$2:$B$147,"",0))</f>
        <v>Sash78</v>
      </c>
      <c r="K596" s="16" t="str">
        <f>_xlfn.XLOOKUP(A596,dd_design_raw!$C$2:$C$1002,dd_design_raw!$A$2:$A$1002,"",0)</f>
        <v>Casement</v>
      </c>
      <c r="L596" s="16" t="str">
        <f>_xlfn.XLOOKUP(I596,dd_accsryclr!$A$2:$A$1000,dd_accsryclr!$A$2:$A$1000,"",0)</f>
        <v>BLK</v>
      </c>
    </row>
    <row r="597" spans="1:12" hidden="1" x14ac:dyDescent="0.25">
      <c r="A597" s="16" t="s">
        <v>9</v>
      </c>
      <c r="B597" s="16" t="s">
        <v>108</v>
      </c>
      <c r="C597" s="16" t="s">
        <v>512</v>
      </c>
      <c r="D597" s="16" t="s">
        <v>513</v>
      </c>
      <c r="E597" s="16">
        <v>1.1131034482758622</v>
      </c>
      <c r="F597" s="16" t="s">
        <v>194</v>
      </c>
      <c r="G597" s="16"/>
      <c r="H597" s="16" t="s">
        <v>501</v>
      </c>
      <c r="I597" s="16" t="s">
        <v>230</v>
      </c>
      <c r="J597" s="16" t="str">
        <f>IF(ISNUMBER(SEARCH("SCRW", H597)), _xlfn.XLOOKUP(C597,dd_item!$A$2:$A$147,dd_item!$B$2:$B$147,"",0),_xlfn.XLOOKUP(H597,dd_item!$A$2:$A$147,dd_item!$B$2:$B$147,"",0))</f>
        <v>Sash78</v>
      </c>
      <c r="K597" s="16" t="str">
        <f>_xlfn.XLOOKUP(A597,dd_design_raw!$C$2:$C$1002,dd_design_raw!$A$2:$A$1002,"",0)</f>
        <v>Casement</v>
      </c>
      <c r="L597" s="16" t="str">
        <f>_xlfn.XLOOKUP(I597,dd_accsryclr!$A$2:$A$1000,dd_accsryclr!$A$2:$A$1000,"",0)</f>
        <v>BRWN</v>
      </c>
    </row>
    <row r="598" spans="1:12" hidden="1" x14ac:dyDescent="0.25">
      <c r="A598" s="16" t="s">
        <v>9</v>
      </c>
      <c r="B598" s="16" t="s">
        <v>108</v>
      </c>
      <c r="C598" s="16" t="s">
        <v>514</v>
      </c>
      <c r="D598" s="16" t="s">
        <v>515</v>
      </c>
      <c r="E598" s="16">
        <v>0.82862068965517244</v>
      </c>
      <c r="F598" s="16" t="s">
        <v>194</v>
      </c>
      <c r="G598" s="16" t="s">
        <v>58</v>
      </c>
      <c r="H598" s="16" t="s">
        <v>516</v>
      </c>
      <c r="I598" s="16" t="s">
        <v>517</v>
      </c>
      <c r="J598" s="16" t="str">
        <f>IF(ISNUMBER(SEARCH("SCRW", H598)), _xlfn.XLOOKUP(C598,dd_item!$A$2:$A$147,dd_item!$B$2:$B$147,"",0),_xlfn.XLOOKUP(H598,dd_item!$A$2:$A$147,dd_item!$B$2:$B$147,"",0))</f>
        <v>Steel-Frame60</v>
      </c>
      <c r="K598" s="16" t="str">
        <f>_xlfn.XLOOKUP(A598,dd_design_raw!$C$2:$C$1002,dd_design_raw!$A$2:$A$1002,"",0)</f>
        <v>Casement</v>
      </c>
      <c r="L598" s="16" t="str">
        <f>_xlfn.XLOOKUP(I598,dd_accsryclr!$A$2:$A$1000,dd_accsryclr!$A$2:$A$1000,"",0)</f>
        <v/>
      </c>
    </row>
    <row r="599" spans="1:12" hidden="1" x14ac:dyDescent="0.25">
      <c r="A599" s="16" t="s">
        <v>9</v>
      </c>
      <c r="B599" s="16" t="s">
        <v>108</v>
      </c>
      <c r="C599" s="16" t="s">
        <v>518</v>
      </c>
      <c r="D599" s="16" t="s">
        <v>519</v>
      </c>
      <c r="E599" s="16">
        <v>0.1560344827586207</v>
      </c>
      <c r="F599" s="16" t="s">
        <v>194</v>
      </c>
      <c r="G599" s="16" t="s">
        <v>58</v>
      </c>
      <c r="H599" s="16" t="s">
        <v>1099</v>
      </c>
      <c r="I599" s="16" t="s">
        <v>520</v>
      </c>
      <c r="J599" s="16" t="str">
        <f>IF(ISNUMBER(SEARCH("SCRW", H599)), _xlfn.XLOOKUP(C599,dd_item!$A$2:$A$147,dd_item!$B$2:$B$147,"",0),_xlfn.XLOOKUP(H599,dd_item!$A$2:$A$147,dd_item!$B$2:$B$147,"",0))</f>
        <v>Steel-Frame60-H</v>
      </c>
      <c r="K599" s="16" t="str">
        <f>_xlfn.XLOOKUP(A599,dd_design_raw!$C$2:$C$1002,dd_design_raw!$A$2:$A$1002,"",0)</f>
        <v>Casement</v>
      </c>
      <c r="L599" s="16" t="str">
        <f>_xlfn.XLOOKUP(I599,dd_accsryclr!$A$2:$A$1000,dd_accsryclr!$A$2:$A$1000,"",0)</f>
        <v/>
      </c>
    </row>
    <row r="600" spans="1:12" hidden="1" x14ac:dyDescent="0.25">
      <c r="A600" s="16" t="s">
        <v>9</v>
      </c>
      <c r="B600" s="16" t="s">
        <v>108</v>
      </c>
      <c r="C600" s="16" t="s">
        <v>521</v>
      </c>
      <c r="D600" s="16" t="s">
        <v>522</v>
      </c>
      <c r="E600" s="16">
        <v>0.82310344827586202</v>
      </c>
      <c r="F600" s="16" t="s">
        <v>194</v>
      </c>
      <c r="G600" s="16" t="s">
        <v>59</v>
      </c>
      <c r="H600" s="16" t="s">
        <v>523</v>
      </c>
      <c r="I600" s="16" t="s">
        <v>524</v>
      </c>
      <c r="J600" s="16" t="str">
        <f>IF(ISNUMBER(SEARCH("SCRW", H600)), _xlfn.XLOOKUP(C600,dd_item!$A$2:$A$147,dd_item!$B$2:$B$147,"",0),_xlfn.XLOOKUP(H600,dd_item!$A$2:$A$147,dd_item!$B$2:$B$147,"",0))</f>
        <v>Steel-Sash78</v>
      </c>
      <c r="K600" s="16" t="str">
        <f>_xlfn.XLOOKUP(A600,dd_design_raw!$C$2:$C$1002,dd_design_raw!$A$2:$A$1002,"",0)</f>
        <v>Casement</v>
      </c>
      <c r="L600" s="16" t="str">
        <f>_xlfn.XLOOKUP(I600,dd_accsryclr!$A$2:$A$1000,dd_accsryclr!$A$2:$A$1000,"",0)</f>
        <v/>
      </c>
    </row>
    <row r="601" spans="1:12" hidden="1" x14ac:dyDescent="0.25">
      <c r="A601" s="16" t="s">
        <v>9</v>
      </c>
      <c r="B601" s="16" t="s">
        <v>108</v>
      </c>
      <c r="C601" s="16" t="s">
        <v>525</v>
      </c>
      <c r="D601" s="16" t="s">
        <v>526</v>
      </c>
      <c r="E601" s="16">
        <v>0.28999999999999998</v>
      </c>
      <c r="F601" s="16" t="s">
        <v>194</v>
      </c>
      <c r="G601" s="16" t="s">
        <v>59</v>
      </c>
      <c r="H601" s="16" t="s">
        <v>523</v>
      </c>
      <c r="I601" s="16" t="s">
        <v>527</v>
      </c>
      <c r="J601" s="16" t="str">
        <f>IF(ISNUMBER(SEARCH("SCRW", H601)), _xlfn.XLOOKUP(C601,dd_item!$A$2:$A$147,dd_item!$B$2:$B$147,"",0),_xlfn.XLOOKUP(H601,dd_item!$A$2:$A$147,dd_item!$B$2:$B$147,"",0))</f>
        <v>Steel-Sash78</v>
      </c>
      <c r="K601" s="16" t="str">
        <f>_xlfn.XLOOKUP(A601,dd_design_raw!$C$2:$C$1002,dd_design_raw!$A$2:$A$1002,"",0)</f>
        <v>Casement</v>
      </c>
      <c r="L601" s="16" t="str">
        <f>_xlfn.XLOOKUP(I601,dd_accsryclr!$A$2:$A$1000,dd_accsryclr!$A$2:$A$1000,"",0)</f>
        <v/>
      </c>
    </row>
    <row r="602" spans="1:12" hidden="1" x14ac:dyDescent="0.25">
      <c r="A602" s="16" t="s">
        <v>9</v>
      </c>
      <c r="B602" s="16" t="s">
        <v>108</v>
      </c>
      <c r="C602" s="16" t="s">
        <v>349</v>
      </c>
      <c r="D602" s="16" t="s">
        <v>350</v>
      </c>
      <c r="E602" s="16">
        <v>1.1131034482758622</v>
      </c>
      <c r="F602" s="16" t="s">
        <v>194</v>
      </c>
      <c r="G602" s="16"/>
      <c r="H602" s="16" t="s">
        <v>351</v>
      </c>
      <c r="I602" s="16" t="s">
        <v>211</v>
      </c>
      <c r="J602" s="16" t="str">
        <f>IF(ISNUMBER(SEARCH("SCRW", H602)), _xlfn.XLOOKUP(C602,dd_item!$A$2:$A$147,dd_item!$B$2:$B$147,"",0),_xlfn.XLOOKUP(H602,dd_item!$A$2:$A$147,dd_item!$B$2:$B$147,"",0))</f>
        <v>Bead34</v>
      </c>
      <c r="K602" s="16" t="str">
        <f>_xlfn.XLOOKUP(A602,dd_design_raw!$C$2:$C$1002,dd_design_raw!$A$2:$A$1002,"",0)</f>
        <v>Casement</v>
      </c>
      <c r="L602" s="16" t="str">
        <f>_xlfn.XLOOKUP(I602,dd_accsryclr!$A$2:$A$1000,dd_accsryclr!$A$2:$A$1000,"",0)</f>
        <v/>
      </c>
    </row>
    <row r="603" spans="1:12" hidden="1" x14ac:dyDescent="0.25">
      <c r="A603" s="16" t="s">
        <v>9</v>
      </c>
      <c r="B603" s="16" t="s">
        <v>108</v>
      </c>
      <c r="C603" s="16" t="s">
        <v>352</v>
      </c>
      <c r="D603" s="16" t="s">
        <v>353</v>
      </c>
      <c r="E603" s="16">
        <v>1.1131034482758622</v>
      </c>
      <c r="F603" s="16" t="s">
        <v>194</v>
      </c>
      <c r="G603" s="16"/>
      <c r="H603" s="16" t="s">
        <v>351</v>
      </c>
      <c r="I603" s="16" t="s">
        <v>214</v>
      </c>
      <c r="J603" s="16" t="str">
        <f>IF(ISNUMBER(SEARCH("SCRW", H603)), _xlfn.XLOOKUP(C603,dd_item!$A$2:$A$147,dd_item!$B$2:$B$147,"",0),_xlfn.XLOOKUP(H603,dd_item!$A$2:$A$147,dd_item!$B$2:$B$147,"",0))</f>
        <v>Bead34</v>
      </c>
      <c r="K603" s="16" t="str">
        <f>_xlfn.XLOOKUP(A603,dd_design_raw!$C$2:$C$1002,dd_design_raw!$A$2:$A$1002,"",0)</f>
        <v>Casement</v>
      </c>
      <c r="L603" s="16" t="str">
        <f>_xlfn.XLOOKUP(I603,dd_accsryclr!$A$2:$A$1000,dd_accsryclr!$A$2:$A$1000,"",0)</f>
        <v/>
      </c>
    </row>
    <row r="604" spans="1:12" hidden="1" x14ac:dyDescent="0.25">
      <c r="A604" s="16" t="s">
        <v>9</v>
      </c>
      <c r="B604" s="16" t="s">
        <v>108</v>
      </c>
      <c r="C604" s="16" t="s">
        <v>354</v>
      </c>
      <c r="D604" s="16" t="s">
        <v>355</v>
      </c>
      <c r="E604" s="16">
        <v>1.1131034482758622</v>
      </c>
      <c r="F604" s="16" t="s">
        <v>194</v>
      </c>
      <c r="G604" s="16"/>
      <c r="H604" s="16" t="s">
        <v>351</v>
      </c>
      <c r="I604" s="16" t="s">
        <v>217</v>
      </c>
      <c r="J604" s="16" t="str">
        <f>IF(ISNUMBER(SEARCH("SCRW", H604)), _xlfn.XLOOKUP(C604,dd_item!$A$2:$A$147,dd_item!$B$2:$B$147,"",0),_xlfn.XLOOKUP(H604,dd_item!$A$2:$A$147,dd_item!$B$2:$B$147,"",0))</f>
        <v>Bead34</v>
      </c>
      <c r="K604" s="16" t="str">
        <f>_xlfn.XLOOKUP(A604,dd_design_raw!$C$2:$C$1002,dd_design_raw!$A$2:$A$1002,"",0)</f>
        <v>Casement</v>
      </c>
      <c r="L604" s="16" t="str">
        <f>_xlfn.XLOOKUP(I604,dd_accsryclr!$A$2:$A$1000,dd_accsryclr!$A$2:$A$1000,"",0)</f>
        <v/>
      </c>
    </row>
    <row r="605" spans="1:12" hidden="1" x14ac:dyDescent="0.25">
      <c r="A605" s="16" t="s">
        <v>9</v>
      </c>
      <c r="B605" s="16" t="s">
        <v>108</v>
      </c>
      <c r="C605" s="16" t="s">
        <v>356</v>
      </c>
      <c r="D605" s="16" t="s">
        <v>357</v>
      </c>
      <c r="E605" s="16">
        <v>1.1131034482758622</v>
      </c>
      <c r="F605" s="16" t="s">
        <v>194</v>
      </c>
      <c r="G605" s="16"/>
      <c r="H605" s="16" t="s">
        <v>351</v>
      </c>
      <c r="I605" s="16" t="s">
        <v>226</v>
      </c>
      <c r="J605" s="16" t="str">
        <f>IF(ISNUMBER(SEARCH("SCRW", H605)), _xlfn.XLOOKUP(C605,dd_item!$A$2:$A$147,dd_item!$B$2:$B$147,"",0),_xlfn.XLOOKUP(H605,dd_item!$A$2:$A$147,dd_item!$B$2:$B$147,"",0))</f>
        <v>Bead34</v>
      </c>
      <c r="K605" s="16" t="str">
        <f>_xlfn.XLOOKUP(A605,dd_design_raw!$C$2:$C$1002,dd_design_raw!$A$2:$A$1002,"",0)</f>
        <v>Casement</v>
      </c>
      <c r="L605" s="16" t="str">
        <f>_xlfn.XLOOKUP(I605,dd_accsryclr!$A$2:$A$1000,dd_accsryclr!$A$2:$A$1000,"",0)</f>
        <v/>
      </c>
    </row>
    <row r="606" spans="1:12" hidden="1" x14ac:dyDescent="0.25">
      <c r="A606" s="16" t="s">
        <v>9</v>
      </c>
      <c r="B606" s="16" t="s">
        <v>108</v>
      </c>
      <c r="C606" s="16" t="s">
        <v>358</v>
      </c>
      <c r="D606" s="16" t="s">
        <v>359</v>
      </c>
      <c r="E606" s="16">
        <v>1.1131034482758622</v>
      </c>
      <c r="F606" s="16" t="s">
        <v>194</v>
      </c>
      <c r="G606" s="16"/>
      <c r="H606" s="16" t="s">
        <v>351</v>
      </c>
      <c r="I606" s="16" t="s">
        <v>220</v>
      </c>
      <c r="J606" s="16" t="str">
        <f>IF(ISNUMBER(SEARCH("SCRW", H606)), _xlfn.XLOOKUP(C606,dd_item!$A$2:$A$147,dd_item!$B$2:$B$147,"",0),_xlfn.XLOOKUP(H606,dd_item!$A$2:$A$147,dd_item!$B$2:$B$147,"",0))</f>
        <v>Bead34</v>
      </c>
      <c r="K606" s="16" t="str">
        <f>_xlfn.XLOOKUP(A606,dd_design_raw!$C$2:$C$1002,dd_design_raw!$A$2:$A$1002,"",0)</f>
        <v>Casement</v>
      </c>
      <c r="L606" s="16" t="str">
        <f>_xlfn.XLOOKUP(I606,dd_accsryclr!$A$2:$A$1000,dd_accsryclr!$A$2:$A$1000,"",0)</f>
        <v>WHT</v>
      </c>
    </row>
    <row r="607" spans="1:12" hidden="1" x14ac:dyDescent="0.25">
      <c r="A607" s="16" t="s">
        <v>9</v>
      </c>
      <c r="B607" s="16" t="s">
        <v>108</v>
      </c>
      <c r="C607" s="16" t="s">
        <v>360</v>
      </c>
      <c r="D607" s="16" t="s">
        <v>361</v>
      </c>
      <c r="E607" s="16">
        <v>1.1131034482758622</v>
      </c>
      <c r="F607" s="16" t="s">
        <v>194</v>
      </c>
      <c r="G607" s="16"/>
      <c r="H607" s="16" t="s">
        <v>351</v>
      </c>
      <c r="I607" s="16" t="s">
        <v>223</v>
      </c>
      <c r="J607" s="16" t="str">
        <f>IF(ISNUMBER(SEARCH("SCRW", H607)), _xlfn.XLOOKUP(C607,dd_item!$A$2:$A$147,dd_item!$B$2:$B$147,"",0),_xlfn.XLOOKUP(H607,dd_item!$A$2:$A$147,dd_item!$B$2:$B$147,"",0))</f>
        <v>Bead34</v>
      </c>
      <c r="K607" s="16" t="str">
        <f>_xlfn.XLOOKUP(A607,dd_design_raw!$C$2:$C$1002,dd_design_raw!$A$2:$A$1002,"",0)</f>
        <v>Casement</v>
      </c>
      <c r="L607" s="16" t="str">
        <f>_xlfn.XLOOKUP(I607,dd_accsryclr!$A$2:$A$1000,dd_accsryclr!$A$2:$A$1000,"",0)</f>
        <v>BLK</v>
      </c>
    </row>
    <row r="608" spans="1:12" hidden="1" x14ac:dyDescent="0.25">
      <c r="A608" s="16" t="s">
        <v>9</v>
      </c>
      <c r="B608" s="16" t="s">
        <v>108</v>
      </c>
      <c r="C608" s="16" t="s">
        <v>362</v>
      </c>
      <c r="D608" s="16" t="s">
        <v>363</v>
      </c>
      <c r="E608" s="16">
        <v>1.1131034482758622</v>
      </c>
      <c r="F608" s="16" t="s">
        <v>194</v>
      </c>
      <c r="G608" s="16"/>
      <c r="H608" s="16" t="s">
        <v>351</v>
      </c>
      <c r="I608" s="16" t="s">
        <v>230</v>
      </c>
      <c r="J608" s="16" t="str">
        <f>IF(ISNUMBER(SEARCH("SCRW", H608)), _xlfn.XLOOKUP(C608,dd_item!$A$2:$A$147,dd_item!$B$2:$B$147,"",0),_xlfn.XLOOKUP(H608,dd_item!$A$2:$A$147,dd_item!$B$2:$B$147,"",0))</f>
        <v>Bead34</v>
      </c>
      <c r="K608" s="16" t="str">
        <f>_xlfn.XLOOKUP(A608,dd_design_raw!$C$2:$C$1002,dd_design_raw!$A$2:$A$1002,"",0)</f>
        <v>Casement</v>
      </c>
      <c r="L608" s="16" t="str">
        <f>_xlfn.XLOOKUP(I608,dd_accsryclr!$A$2:$A$1000,dd_accsryclr!$A$2:$A$1000,"",0)</f>
        <v>BRWN</v>
      </c>
    </row>
    <row r="609" spans="1:12" x14ac:dyDescent="0.25">
      <c r="A609" s="16" t="s">
        <v>9</v>
      </c>
      <c r="B609" s="16" t="s">
        <v>108</v>
      </c>
      <c r="C609" s="16" t="s">
        <v>528</v>
      </c>
      <c r="D609" s="16" t="s">
        <v>529</v>
      </c>
      <c r="E609" s="16">
        <v>1</v>
      </c>
      <c r="F609" s="16" t="s">
        <v>293</v>
      </c>
      <c r="G609" s="16"/>
      <c r="H609" s="16" t="s">
        <v>530</v>
      </c>
      <c r="I609" s="16"/>
      <c r="J609" s="16" t="str">
        <f>IF(ISNUMBER(SEARCH("SCRW", H609)), _xlfn.XLOOKUP(C609,dd_item!$A$2:$A$147,dd_item!$B$2:$B$147,"",0),_xlfn.XLOOKUP(H609,dd_item!$A$2:$A$147,dd_item!$B$2:$B$147,"",0))</f>
        <v>Casement Espagnolette</v>
      </c>
      <c r="K609" s="16" t="str">
        <f>_xlfn.XLOOKUP(A609,dd_design_raw!$C$2:$C$1002,dd_design_raw!$A$2:$A$1002,"",0)</f>
        <v>Casement</v>
      </c>
      <c r="L609" s="16" t="str">
        <f>_xlfn.XLOOKUP(I609,dd_accsryclr!$A$2:$A$1000,dd_accsryclr!$A$2:$A$1000,"",0)</f>
        <v/>
      </c>
    </row>
    <row r="610" spans="1:12" x14ac:dyDescent="0.25">
      <c r="A610" s="16" t="s">
        <v>9</v>
      </c>
      <c r="B610" s="16" t="s">
        <v>108</v>
      </c>
      <c r="C610" s="16" t="s">
        <v>532</v>
      </c>
      <c r="D610" s="16" t="s">
        <v>533</v>
      </c>
      <c r="E610" s="16">
        <v>1</v>
      </c>
      <c r="F610" s="16" t="s">
        <v>293</v>
      </c>
      <c r="G610" s="16"/>
      <c r="H610" s="16" t="s">
        <v>530</v>
      </c>
      <c r="I610" s="16"/>
      <c r="J610" s="16" t="str">
        <f>IF(ISNUMBER(SEARCH("SCRW", H610)), _xlfn.XLOOKUP(C610,dd_item!$A$2:$A$147,dd_item!$B$2:$B$147,"",0),_xlfn.XLOOKUP(H610,dd_item!$A$2:$A$147,dd_item!$B$2:$B$147,"",0))</f>
        <v>Casement Espagnolette</v>
      </c>
      <c r="K610" s="16" t="str">
        <f>_xlfn.XLOOKUP(A610,dd_design_raw!$C$2:$C$1002,dd_design_raw!$A$2:$A$1002,"",0)</f>
        <v>Casement</v>
      </c>
      <c r="L610" s="16" t="str">
        <f>_xlfn.XLOOKUP(I610,dd_accsryclr!$A$2:$A$1000,dd_accsryclr!$A$2:$A$1000,"",0)</f>
        <v/>
      </c>
    </row>
    <row r="611" spans="1:12" x14ac:dyDescent="0.25">
      <c r="A611" s="16" t="s">
        <v>9</v>
      </c>
      <c r="B611" s="16" t="s">
        <v>108</v>
      </c>
      <c r="C611" s="16" t="s">
        <v>534</v>
      </c>
      <c r="D611" s="16" t="s">
        <v>535</v>
      </c>
      <c r="E611" s="16">
        <v>1</v>
      </c>
      <c r="F611" s="16" t="s">
        <v>293</v>
      </c>
      <c r="G611" s="16"/>
      <c r="H611" s="16" t="s">
        <v>530</v>
      </c>
      <c r="I611" s="16"/>
      <c r="J611" s="16" t="str">
        <f>IF(ISNUMBER(SEARCH("SCRW", H611)), _xlfn.XLOOKUP(C611,dd_item!$A$2:$A$147,dd_item!$B$2:$B$147,"",0),_xlfn.XLOOKUP(H611,dd_item!$A$2:$A$147,dd_item!$B$2:$B$147,"",0))</f>
        <v>Casement Espagnolette</v>
      </c>
      <c r="K611" s="16" t="str">
        <f>_xlfn.XLOOKUP(A611,dd_design_raw!$C$2:$C$1002,dd_design_raw!$A$2:$A$1002,"",0)</f>
        <v>Casement</v>
      </c>
      <c r="L611" s="16" t="str">
        <f>_xlfn.XLOOKUP(I611,dd_accsryclr!$A$2:$A$1000,dd_accsryclr!$A$2:$A$1000,"",0)</f>
        <v/>
      </c>
    </row>
    <row r="612" spans="1:12" hidden="1" x14ac:dyDescent="0.25">
      <c r="A612" s="16" t="s">
        <v>9</v>
      </c>
      <c r="B612" s="16" t="s">
        <v>108</v>
      </c>
      <c r="C612" s="16" t="s">
        <v>537</v>
      </c>
      <c r="D612" s="16" t="s">
        <v>538</v>
      </c>
      <c r="E612" s="16">
        <v>2</v>
      </c>
      <c r="F612" s="16" t="s">
        <v>293</v>
      </c>
      <c r="G612" s="16"/>
      <c r="H612" s="16" t="s">
        <v>539</v>
      </c>
      <c r="I612" s="16"/>
      <c r="J612" s="16" t="str">
        <f>IF(ISNUMBER(SEARCH("SCRW", H612)), _xlfn.XLOOKUP(C612,dd_item!$A$2:$A$147,dd_item!$B$2:$B$147,"",0),_xlfn.XLOOKUP(H612,dd_item!$A$2:$A$147,dd_item!$B$2:$B$147,"",0))</f>
        <v>Hinge 5-Bar</v>
      </c>
      <c r="K612" s="16" t="str">
        <f>_xlfn.XLOOKUP(A612,dd_design_raw!$C$2:$C$1002,dd_design_raw!$A$2:$A$1002,"",0)</f>
        <v>Casement</v>
      </c>
      <c r="L612" s="16" t="str">
        <f>_xlfn.XLOOKUP(I612,dd_accsryclr!$A$2:$A$1000,dd_accsryclr!$A$2:$A$1000,"",0)</f>
        <v/>
      </c>
    </row>
    <row r="613" spans="1:12" hidden="1" x14ac:dyDescent="0.25">
      <c r="A613" s="16" t="s">
        <v>9</v>
      </c>
      <c r="B613" s="16" t="s">
        <v>108</v>
      </c>
      <c r="C613" s="16" t="s">
        <v>390</v>
      </c>
      <c r="D613" s="16" t="s">
        <v>391</v>
      </c>
      <c r="E613" s="16">
        <v>11.422000000000001</v>
      </c>
      <c r="F613" s="16" t="s">
        <v>369</v>
      </c>
      <c r="G613" s="16"/>
      <c r="H613" s="16" t="s">
        <v>792</v>
      </c>
      <c r="I613" s="16"/>
      <c r="J613" s="16" t="str">
        <f>IF(ISNUMBER(SEARCH("SCRW", H613)), _xlfn.XLOOKUP(C613,dd_item!$A$2:$A$147,dd_item!$B$2:$B$147,"",0),_xlfn.XLOOKUP(H613,dd_item!$A$2:$A$147,dd_item!$B$2:$B$147,"",0))</f>
        <v>Atlas Screw (S) 10 x 2-1/2" (Flat)</v>
      </c>
      <c r="K613" s="16" t="str">
        <f>_xlfn.XLOOKUP(A613,dd_design_raw!$C$2:$C$1002,dd_design_raw!$A$2:$A$1002,"",0)</f>
        <v>Casement</v>
      </c>
      <c r="L613" s="16" t="str">
        <f>_xlfn.XLOOKUP(I613,dd_accsryclr!$A$2:$A$1000,dd_accsryclr!$A$2:$A$1000,"",0)</f>
        <v/>
      </c>
    </row>
    <row r="614" spans="1:12" hidden="1" x14ac:dyDescent="0.25">
      <c r="A614" s="16" t="s">
        <v>9</v>
      </c>
      <c r="B614" s="16" t="s">
        <v>108</v>
      </c>
      <c r="C614" s="16" t="s">
        <v>392</v>
      </c>
      <c r="D614" s="16" t="s">
        <v>393</v>
      </c>
      <c r="E614" s="16">
        <v>3</v>
      </c>
      <c r="F614" s="16" t="s">
        <v>369</v>
      </c>
      <c r="G614" s="16"/>
      <c r="H614" s="16" t="s">
        <v>394</v>
      </c>
      <c r="I614" s="16" t="s">
        <v>223</v>
      </c>
      <c r="J614" s="16" t="str">
        <f>IF(ISNUMBER(SEARCH("SCRW", H614)), _xlfn.XLOOKUP(C614,dd_item!$A$2:$A$147,dd_item!$B$2:$B$147,"",0),_xlfn.XLOOKUP(H614,dd_item!$A$2:$A$147,dd_item!$B$2:$B$147,"",0))</f>
        <v>Drainage Cover</v>
      </c>
      <c r="K614" s="16" t="str">
        <f>_xlfn.XLOOKUP(A614,dd_design_raw!$C$2:$C$1002,dd_design_raw!$A$2:$A$1002,"",0)</f>
        <v>Casement</v>
      </c>
      <c r="L614" s="16" t="str">
        <f>_xlfn.XLOOKUP(I614,dd_accsryclr!$A$2:$A$1000,dd_accsryclr!$A$2:$A$1000,"",0)</f>
        <v>BLK</v>
      </c>
    </row>
    <row r="615" spans="1:12" hidden="1" x14ac:dyDescent="0.25">
      <c r="A615" s="16" t="s">
        <v>9</v>
      </c>
      <c r="B615" s="16" t="s">
        <v>108</v>
      </c>
      <c r="C615" s="16" t="s">
        <v>395</v>
      </c>
      <c r="D615" s="16" t="s">
        <v>396</v>
      </c>
      <c r="E615" s="16">
        <v>3</v>
      </c>
      <c r="F615" s="16" t="s">
        <v>369</v>
      </c>
      <c r="G615" s="16"/>
      <c r="H615" s="16" t="s">
        <v>394</v>
      </c>
      <c r="I615" s="16" t="s">
        <v>220</v>
      </c>
      <c r="J615" s="16" t="str">
        <f>IF(ISNUMBER(SEARCH("SCRW", H615)), _xlfn.XLOOKUP(C615,dd_item!$A$2:$A$147,dd_item!$B$2:$B$147,"",0),_xlfn.XLOOKUP(H615,dd_item!$A$2:$A$147,dd_item!$B$2:$B$147,"",0))</f>
        <v>Drainage Cover</v>
      </c>
      <c r="K615" s="16" t="str">
        <f>_xlfn.XLOOKUP(A615,dd_design_raw!$C$2:$C$1002,dd_design_raw!$A$2:$A$1002,"",0)</f>
        <v>Casement</v>
      </c>
      <c r="L615" s="16" t="str">
        <f>_xlfn.XLOOKUP(I615,dd_accsryclr!$A$2:$A$1000,dd_accsryclr!$A$2:$A$1000,"",0)</f>
        <v>WHT</v>
      </c>
    </row>
    <row r="616" spans="1:12" hidden="1" x14ac:dyDescent="0.25">
      <c r="A616" s="16" t="s">
        <v>9</v>
      </c>
      <c r="B616" s="16" t="s">
        <v>108</v>
      </c>
      <c r="C616" s="16" t="s">
        <v>397</v>
      </c>
      <c r="D616" s="16" t="s">
        <v>398</v>
      </c>
      <c r="E616" s="16">
        <v>0.22844</v>
      </c>
      <c r="F616" s="16" t="s">
        <v>369</v>
      </c>
      <c r="G616" s="16"/>
      <c r="H616" s="16" t="s">
        <v>399</v>
      </c>
      <c r="I616" s="16" t="s">
        <v>400</v>
      </c>
      <c r="J616" s="16" t="str">
        <f>IF(ISNUMBER(SEARCH("SCRW", H616)), _xlfn.XLOOKUP(C616,dd_item!$A$2:$A$147,dd_item!$B$2:$B$147,"",0),_xlfn.XLOOKUP(H616,dd_item!$A$2:$A$147,dd_item!$B$2:$B$147,"",0))</f>
        <v>Tox6</v>
      </c>
      <c r="K616" s="16" t="str">
        <f>_xlfn.XLOOKUP(A616,dd_design_raw!$C$2:$C$1002,dd_design_raw!$A$2:$A$1002,"",0)</f>
        <v>Casement</v>
      </c>
      <c r="L616" s="16" t="str">
        <f>_xlfn.XLOOKUP(I616,dd_accsryclr!$A$2:$A$1000,dd_accsryclr!$A$2:$A$1000,"",0)</f>
        <v/>
      </c>
    </row>
    <row r="617" spans="1:12" hidden="1" x14ac:dyDescent="0.25">
      <c r="A617" s="16" t="s">
        <v>9</v>
      </c>
      <c r="B617" s="16" t="s">
        <v>108</v>
      </c>
      <c r="C617" s="16" t="s">
        <v>414</v>
      </c>
      <c r="D617" s="16" t="s">
        <v>415</v>
      </c>
      <c r="E617" s="16">
        <v>3.8073333333333332</v>
      </c>
      <c r="F617" s="16" t="s">
        <v>369</v>
      </c>
      <c r="G617" s="16"/>
      <c r="H617" s="16" t="s">
        <v>416</v>
      </c>
      <c r="I617" s="16" t="s">
        <v>223</v>
      </c>
      <c r="J617" s="16" t="str">
        <f>IF(ISNUMBER(SEARCH("SCRW", H617)), _xlfn.XLOOKUP(C617,dd_item!$A$2:$A$147,dd_item!$B$2:$B$147,"",0),_xlfn.XLOOKUP(H617,dd_item!$A$2:$A$147,dd_item!$B$2:$B$147,"",0))</f>
        <v>Sealant</v>
      </c>
      <c r="K617" s="16" t="str">
        <f>_xlfn.XLOOKUP(A617,dd_design_raw!$C$2:$C$1002,dd_design_raw!$A$2:$A$1002,"",0)</f>
        <v>Casement</v>
      </c>
      <c r="L617" s="16" t="str">
        <f>_xlfn.XLOOKUP(I617,dd_accsryclr!$A$2:$A$1000,dd_accsryclr!$A$2:$A$1000,"",0)</f>
        <v>BLK</v>
      </c>
    </row>
    <row r="618" spans="1:12" hidden="1" x14ac:dyDescent="0.25">
      <c r="A618" s="16" t="s">
        <v>9</v>
      </c>
      <c r="B618" s="16" t="s">
        <v>108</v>
      </c>
      <c r="C618" s="16" t="s">
        <v>417</v>
      </c>
      <c r="D618" s="16" t="s">
        <v>418</v>
      </c>
      <c r="E618" s="16">
        <v>3.8073333333333332</v>
      </c>
      <c r="F618" s="16" t="s">
        <v>369</v>
      </c>
      <c r="G618" s="16"/>
      <c r="H618" s="16" t="s">
        <v>416</v>
      </c>
      <c r="I618" s="16" t="s">
        <v>230</v>
      </c>
      <c r="J618" s="16" t="str">
        <f>IF(ISNUMBER(SEARCH("SCRW", H618)), _xlfn.XLOOKUP(C618,dd_item!$A$2:$A$147,dd_item!$B$2:$B$147,"",0),_xlfn.XLOOKUP(H618,dd_item!$A$2:$A$147,dd_item!$B$2:$B$147,"",0))</f>
        <v>Sealant</v>
      </c>
      <c r="K618" s="16" t="str">
        <f>_xlfn.XLOOKUP(A618,dd_design_raw!$C$2:$C$1002,dd_design_raw!$A$2:$A$1002,"",0)</f>
        <v>Casement</v>
      </c>
      <c r="L618" s="16" t="str">
        <f>_xlfn.XLOOKUP(I618,dd_accsryclr!$A$2:$A$1000,dd_accsryclr!$A$2:$A$1000,"",0)</f>
        <v>BRWN</v>
      </c>
    </row>
    <row r="619" spans="1:12" hidden="1" x14ac:dyDescent="0.25">
      <c r="A619" s="16" t="s">
        <v>9</v>
      </c>
      <c r="B619" s="16" t="s">
        <v>108</v>
      </c>
      <c r="C619" s="16" t="s">
        <v>419</v>
      </c>
      <c r="D619" s="16" t="s">
        <v>420</v>
      </c>
      <c r="E619" s="16">
        <v>3.8073333333333332</v>
      </c>
      <c r="F619" s="16" t="s">
        <v>369</v>
      </c>
      <c r="G619" s="16"/>
      <c r="H619" s="16" t="s">
        <v>416</v>
      </c>
      <c r="I619" s="16" t="s">
        <v>220</v>
      </c>
      <c r="J619" s="16" t="str">
        <f>IF(ISNUMBER(SEARCH("SCRW", H619)), _xlfn.XLOOKUP(C619,dd_item!$A$2:$A$147,dd_item!$B$2:$B$147,"",0),_xlfn.XLOOKUP(H619,dd_item!$A$2:$A$147,dd_item!$B$2:$B$147,"",0))</f>
        <v>Sealant</v>
      </c>
      <c r="K619" s="16" t="str">
        <f>_xlfn.XLOOKUP(A619,dd_design_raw!$C$2:$C$1002,dd_design_raw!$A$2:$A$1002,"",0)</f>
        <v>Casement</v>
      </c>
      <c r="L619" s="16" t="str">
        <f>_xlfn.XLOOKUP(I619,dd_accsryclr!$A$2:$A$1000,dd_accsryclr!$A$2:$A$1000,"",0)</f>
        <v>WHT</v>
      </c>
    </row>
    <row r="620" spans="1:12" hidden="1" x14ac:dyDescent="0.25">
      <c r="A620" s="16" t="s">
        <v>9</v>
      </c>
      <c r="B620" s="16" t="s">
        <v>108</v>
      </c>
      <c r="C620" s="16" t="s">
        <v>421</v>
      </c>
      <c r="D620" s="16" t="s">
        <v>422</v>
      </c>
      <c r="E620" s="16"/>
      <c r="F620" s="16" t="s">
        <v>369</v>
      </c>
      <c r="G620" s="16"/>
      <c r="H620" s="16" t="s">
        <v>416</v>
      </c>
      <c r="I620" s="16" t="s">
        <v>423</v>
      </c>
      <c r="J620" s="16" t="str">
        <f>IF(ISNUMBER(SEARCH("SCRW", H620)), _xlfn.XLOOKUP(C620,dd_item!$A$2:$A$147,dd_item!$B$2:$B$147,"",0),_xlfn.XLOOKUP(H620,dd_item!$A$2:$A$147,dd_item!$B$2:$B$147,"",0))</f>
        <v>Sealant</v>
      </c>
      <c r="K620" s="16" t="str">
        <f>_xlfn.XLOOKUP(A620,dd_design_raw!$C$2:$C$1002,dd_design_raw!$A$2:$A$1002,"",0)</f>
        <v>Casement</v>
      </c>
      <c r="L620" s="16" t="str">
        <f>_xlfn.XLOOKUP(I620,dd_accsryclr!$A$2:$A$1000,dd_accsryclr!$A$2:$A$1000,"",0)</f>
        <v/>
      </c>
    </row>
    <row r="621" spans="1:12" hidden="1" x14ac:dyDescent="0.25">
      <c r="A621" s="16" t="s">
        <v>9</v>
      </c>
      <c r="B621" s="16" t="s">
        <v>108</v>
      </c>
      <c r="C621" s="16" t="s">
        <v>540</v>
      </c>
      <c r="D621" s="16" t="s">
        <v>541</v>
      </c>
      <c r="E621" s="16">
        <v>1</v>
      </c>
      <c r="F621" s="16" t="s">
        <v>369</v>
      </c>
      <c r="G621" s="16"/>
      <c r="H621" s="16" t="s">
        <v>542</v>
      </c>
      <c r="I621" s="16" t="s">
        <v>223</v>
      </c>
      <c r="J621" s="16" t="str">
        <f>IF(ISNUMBER(SEARCH("SCRW", H621)), _xlfn.XLOOKUP(C621,dd_item!$A$2:$A$147,dd_item!$B$2:$B$147,"",0),_xlfn.XLOOKUP(H621,dd_item!$A$2:$A$147,dd_item!$B$2:$B$147,"",0))</f>
        <v>Casement Handle (Roto)</v>
      </c>
      <c r="K621" s="16" t="str">
        <f>_xlfn.XLOOKUP(A621,dd_design_raw!$C$2:$C$1002,dd_design_raw!$A$2:$A$1002,"",0)</f>
        <v>Casement</v>
      </c>
      <c r="L621" s="16" t="str">
        <f>_xlfn.XLOOKUP(I621,dd_accsryclr!$A$2:$A$1000,dd_accsryclr!$A$2:$A$1000,"",0)</f>
        <v>BLK</v>
      </c>
    </row>
    <row r="622" spans="1:12" hidden="1" x14ac:dyDescent="0.25">
      <c r="A622" s="16" t="s">
        <v>9</v>
      </c>
      <c r="B622" s="16" t="s">
        <v>108</v>
      </c>
      <c r="C622" s="16" t="s">
        <v>543</v>
      </c>
      <c r="D622" s="16" t="s">
        <v>544</v>
      </c>
      <c r="E622" s="16">
        <v>1</v>
      </c>
      <c r="F622" s="16" t="s">
        <v>369</v>
      </c>
      <c r="G622" s="16"/>
      <c r="H622" s="16" t="s">
        <v>542</v>
      </c>
      <c r="I622" s="16" t="s">
        <v>220</v>
      </c>
      <c r="J622" s="16" t="str">
        <f>IF(ISNUMBER(SEARCH("SCRW", H622)), _xlfn.XLOOKUP(C622,dd_item!$A$2:$A$147,dd_item!$B$2:$B$147,"",0),_xlfn.XLOOKUP(H622,dd_item!$A$2:$A$147,dd_item!$B$2:$B$147,"",0))</f>
        <v>Casement Handle (Roto)</v>
      </c>
      <c r="K622" s="16" t="str">
        <f>_xlfn.XLOOKUP(A622,dd_design_raw!$C$2:$C$1002,dd_design_raw!$A$2:$A$1002,"",0)</f>
        <v>Casement</v>
      </c>
      <c r="L622" s="16" t="str">
        <f>_xlfn.XLOOKUP(I622,dd_accsryclr!$A$2:$A$1000,dd_accsryclr!$A$2:$A$1000,"",0)</f>
        <v>WHT</v>
      </c>
    </row>
    <row r="623" spans="1:12" hidden="1" x14ac:dyDescent="0.25">
      <c r="A623" s="16" t="s">
        <v>9</v>
      </c>
      <c r="B623" s="16" t="s">
        <v>108</v>
      </c>
      <c r="C623" s="16" t="s">
        <v>545</v>
      </c>
      <c r="D623" s="16" t="s">
        <v>546</v>
      </c>
      <c r="E623" s="16">
        <v>1</v>
      </c>
      <c r="F623" s="16" t="s">
        <v>369</v>
      </c>
      <c r="G623" s="16"/>
      <c r="H623" s="16" t="s">
        <v>9</v>
      </c>
      <c r="I623" s="16" t="s">
        <v>223</v>
      </c>
      <c r="J623" s="16" t="str">
        <f>IF(ISNUMBER(SEARCH("SCRW", H623)), _xlfn.XLOOKUP(C623,dd_item!$A$2:$A$147,dd_item!$B$2:$B$147,"",0),_xlfn.XLOOKUP(H623,dd_item!$A$2:$A$147,dd_item!$B$2:$B$147,"",0))</f>
        <v>Casement Handle (Espag)</v>
      </c>
      <c r="K623" s="16" t="str">
        <f>_xlfn.XLOOKUP(A623,dd_design_raw!$C$2:$C$1002,dd_design_raw!$A$2:$A$1002,"",0)</f>
        <v>Casement</v>
      </c>
      <c r="L623" s="16" t="str">
        <f>_xlfn.XLOOKUP(I623,dd_accsryclr!$A$2:$A$1000,dd_accsryclr!$A$2:$A$1000,"",0)</f>
        <v>BLK</v>
      </c>
    </row>
    <row r="624" spans="1:12" hidden="1" x14ac:dyDescent="0.25">
      <c r="A624" s="16" t="s">
        <v>9</v>
      </c>
      <c r="B624" s="16" t="s">
        <v>108</v>
      </c>
      <c r="C624" s="16" t="s">
        <v>547</v>
      </c>
      <c r="D624" s="16" t="s">
        <v>548</v>
      </c>
      <c r="E624" s="16">
        <v>1</v>
      </c>
      <c r="F624" s="16" t="s">
        <v>369</v>
      </c>
      <c r="G624" s="16"/>
      <c r="H624" s="16" t="s">
        <v>9</v>
      </c>
      <c r="I624" s="16" t="s">
        <v>220</v>
      </c>
      <c r="J624" s="16" t="str">
        <f>IF(ISNUMBER(SEARCH("SCRW", H624)), _xlfn.XLOOKUP(C624,dd_item!$A$2:$A$147,dd_item!$B$2:$B$147,"",0),_xlfn.XLOOKUP(H624,dd_item!$A$2:$A$147,dd_item!$B$2:$B$147,"",0))</f>
        <v>Casement Handle (Espag)</v>
      </c>
      <c r="K624" s="16" t="str">
        <f>_xlfn.XLOOKUP(A624,dd_design_raw!$C$2:$C$1002,dd_design_raw!$A$2:$A$1002,"",0)</f>
        <v>Casement</v>
      </c>
      <c r="L624" s="16" t="str">
        <f>_xlfn.XLOOKUP(I624,dd_accsryclr!$A$2:$A$1000,dd_accsryclr!$A$2:$A$1000,"",0)</f>
        <v>WHT</v>
      </c>
    </row>
    <row r="625" spans="1:12" hidden="1" x14ac:dyDescent="0.25">
      <c r="A625" s="16" t="s">
        <v>9</v>
      </c>
      <c r="B625" s="16" t="s">
        <v>108</v>
      </c>
      <c r="C625" s="16" t="s">
        <v>549</v>
      </c>
      <c r="D625" s="16" t="s">
        <v>550</v>
      </c>
      <c r="E625" s="16">
        <v>3</v>
      </c>
      <c r="F625" s="16" t="s">
        <v>369</v>
      </c>
      <c r="G625" s="16"/>
      <c r="H625" s="16" t="s">
        <v>551</v>
      </c>
      <c r="I625" s="16"/>
      <c r="J625" s="16" t="str">
        <f>IF(ISNUMBER(SEARCH("SCRW", H625)), _xlfn.XLOOKUP(C625,dd_item!$A$2:$A$147,dd_item!$B$2:$B$147,"",0),_xlfn.XLOOKUP(H625,dd_item!$A$2:$A$147,dd_item!$B$2:$B$147,"",0))</f>
        <v>Casement Striker (Roto)</v>
      </c>
      <c r="K625" s="16" t="str">
        <f>_xlfn.XLOOKUP(A625,dd_design_raw!$C$2:$C$1002,dd_design_raw!$A$2:$A$1002,"",0)</f>
        <v>Casement</v>
      </c>
      <c r="L625" s="16" t="str">
        <f>_xlfn.XLOOKUP(I625,dd_accsryclr!$A$2:$A$1000,dd_accsryclr!$A$2:$A$1000,"",0)</f>
        <v/>
      </c>
    </row>
    <row r="626" spans="1:12" hidden="1" x14ac:dyDescent="0.25">
      <c r="A626" s="16" t="s">
        <v>9</v>
      </c>
      <c r="B626" s="16" t="s">
        <v>108</v>
      </c>
      <c r="C626" s="16" t="s">
        <v>412</v>
      </c>
      <c r="D626" s="16" t="s">
        <v>413</v>
      </c>
      <c r="E626" s="16">
        <v>3</v>
      </c>
      <c r="F626" s="16" t="s">
        <v>369</v>
      </c>
      <c r="G626" s="16"/>
      <c r="H626" s="16" t="s">
        <v>793</v>
      </c>
      <c r="I626" s="16"/>
      <c r="J626" s="16" t="str">
        <f>IF(ISNUMBER(SEARCH("SCRW", H626)), _xlfn.XLOOKUP(C626,dd_item!$A$2:$A$147,dd_item!$B$2:$B$147,"",0),_xlfn.XLOOKUP(H626,dd_item!$A$2:$A$147,dd_item!$B$2:$B$147,"",0))</f>
        <v>Atlas Screw (S) 8 x 1-1/4" (Flat)</v>
      </c>
      <c r="K626" s="16" t="str">
        <f>_xlfn.XLOOKUP(A626,dd_design_raw!$C$2:$C$1002,dd_design_raw!$A$2:$A$1002,"",0)</f>
        <v>Casement</v>
      </c>
      <c r="L626" s="16" t="str">
        <f>_xlfn.XLOOKUP(I626,dd_accsryclr!$A$2:$A$1000,dd_accsryclr!$A$2:$A$1000,"",0)</f>
        <v/>
      </c>
    </row>
    <row r="627" spans="1:12" hidden="1" x14ac:dyDescent="0.25">
      <c r="A627" s="16" t="s">
        <v>9</v>
      </c>
      <c r="B627" s="16" t="s">
        <v>108</v>
      </c>
      <c r="C627" s="16" t="s">
        <v>401</v>
      </c>
      <c r="D627" s="16" t="s">
        <v>402</v>
      </c>
      <c r="E627" s="16">
        <v>11.422000000000001</v>
      </c>
      <c r="F627" s="16" t="s">
        <v>369</v>
      </c>
      <c r="G627" s="16"/>
      <c r="H627" s="16" t="s">
        <v>403</v>
      </c>
      <c r="I627" s="16" t="s">
        <v>223</v>
      </c>
      <c r="J627" s="16" t="str">
        <f>IF(ISNUMBER(SEARCH("SCRW", H627)), _xlfn.XLOOKUP(C627,dd_item!$A$2:$A$147,dd_item!$B$2:$B$147,"",0),_xlfn.XLOOKUP(H627,dd_item!$A$2:$A$147,dd_item!$B$2:$B$147,"",0))</f>
        <v>Cover Cap</v>
      </c>
      <c r="K627" s="16" t="str">
        <f>_xlfn.XLOOKUP(A627,dd_design_raw!$C$2:$C$1002,dd_design_raw!$A$2:$A$1002,"",0)</f>
        <v>Casement</v>
      </c>
      <c r="L627" s="16" t="str">
        <f>_xlfn.XLOOKUP(I627,dd_accsryclr!$A$2:$A$1000,dd_accsryclr!$A$2:$A$1000,"",0)</f>
        <v>BLK</v>
      </c>
    </row>
    <row r="628" spans="1:12" hidden="1" x14ac:dyDescent="0.25">
      <c r="A628" s="16" t="s">
        <v>9</v>
      </c>
      <c r="B628" s="16" t="s">
        <v>108</v>
      </c>
      <c r="C628" s="16" t="s">
        <v>404</v>
      </c>
      <c r="D628" s="16" t="s">
        <v>405</v>
      </c>
      <c r="E628" s="16">
        <v>11.422000000000001</v>
      </c>
      <c r="F628" s="16" t="s">
        <v>369</v>
      </c>
      <c r="G628" s="16"/>
      <c r="H628" s="16" t="s">
        <v>403</v>
      </c>
      <c r="I628" s="16" t="s">
        <v>220</v>
      </c>
      <c r="J628" s="16" t="str">
        <f>IF(ISNUMBER(SEARCH("SCRW", H628)), _xlfn.XLOOKUP(C628,dd_item!$A$2:$A$147,dd_item!$B$2:$B$147,"",0),_xlfn.XLOOKUP(H628,dd_item!$A$2:$A$147,dd_item!$B$2:$B$147,"",0))</f>
        <v>Cover Cap</v>
      </c>
      <c r="K628" s="16" t="str">
        <f>_xlfn.XLOOKUP(A628,dd_design_raw!$C$2:$C$1002,dd_design_raw!$A$2:$A$1002,"",0)</f>
        <v>Casement</v>
      </c>
      <c r="L628" s="16" t="str">
        <f>_xlfn.XLOOKUP(I628,dd_accsryclr!$A$2:$A$1000,dd_accsryclr!$A$2:$A$1000,"",0)</f>
        <v>WHT</v>
      </c>
    </row>
    <row r="629" spans="1:12" hidden="1" x14ac:dyDescent="0.25">
      <c r="A629" s="16" t="s">
        <v>9</v>
      </c>
      <c r="B629" s="16" t="s">
        <v>108</v>
      </c>
      <c r="C629" s="16" t="s">
        <v>552</v>
      </c>
      <c r="D629" s="16" t="s">
        <v>553</v>
      </c>
      <c r="E629" s="16">
        <v>2</v>
      </c>
      <c r="F629" s="16" t="s">
        <v>369</v>
      </c>
      <c r="G629" s="16"/>
      <c r="H629" s="16" t="s">
        <v>794</v>
      </c>
      <c r="I629" s="16"/>
      <c r="J629" s="16" t="str">
        <f>IF(ISNUMBER(SEARCH("SCRW", H629)), _xlfn.XLOOKUP(C629,dd_item!$A$2:$A$147,dd_item!$B$2:$B$147,"",0),_xlfn.XLOOKUP(H629,dd_item!$A$2:$A$147,dd_item!$B$2:$B$147,"",0))</f>
        <v>Atlas Screw S.B JF 5 x 50</v>
      </c>
      <c r="K629" s="16" t="str">
        <f>_xlfn.XLOOKUP(A629,dd_design_raw!$C$2:$C$1002,dd_design_raw!$A$2:$A$1002,"",0)</f>
        <v>Casement</v>
      </c>
      <c r="L629" s="16" t="str">
        <f>_xlfn.XLOOKUP(I629,dd_accsryclr!$A$2:$A$1000,dd_accsryclr!$A$2:$A$1000,"",0)</f>
        <v/>
      </c>
    </row>
    <row r="630" spans="1:12" hidden="1" x14ac:dyDescent="0.25">
      <c r="A630" s="16" t="s">
        <v>12</v>
      </c>
      <c r="B630" s="16" t="s">
        <v>555</v>
      </c>
      <c r="C630" s="16" t="s">
        <v>484</v>
      </c>
      <c r="D630" s="16" t="s">
        <v>485</v>
      </c>
      <c r="E630" s="16">
        <v>0.93448275862068964</v>
      </c>
      <c r="F630" s="16" t="s">
        <v>194</v>
      </c>
      <c r="G630" s="16"/>
      <c r="H630" s="16" t="s">
        <v>486</v>
      </c>
      <c r="I630" s="16" t="s">
        <v>230</v>
      </c>
      <c r="J630" s="16" t="str">
        <f>IF(ISNUMBER(SEARCH("SCRW", H630)), _xlfn.XLOOKUP(C630,dd_item!$A$2:$A$147,dd_item!$B$2:$B$147,"",0),_xlfn.XLOOKUP(H630,dd_item!$A$2:$A$147,dd_item!$B$2:$B$147,"",0))</f>
        <v>Frame60</v>
      </c>
      <c r="K630" s="16" t="str">
        <f>_xlfn.XLOOKUP(A630,dd_design_raw!$C$2:$C$1002,dd_design_raw!$A$2:$A$1002,"",0)</f>
        <v>Double Awning (Vertical)</v>
      </c>
      <c r="L630" s="16" t="str">
        <f>_xlfn.XLOOKUP(I630,dd_accsryclr!$A$2:$A$1000,dd_accsryclr!$A$2:$A$1000,"",0)</f>
        <v>BRWN</v>
      </c>
    </row>
    <row r="631" spans="1:12" hidden="1" x14ac:dyDescent="0.25">
      <c r="A631" s="16" t="s">
        <v>12</v>
      </c>
      <c r="B631" s="16" t="s">
        <v>555</v>
      </c>
      <c r="C631" s="16" t="s">
        <v>487</v>
      </c>
      <c r="D631" s="16" t="s">
        <v>488</v>
      </c>
      <c r="E631" s="16">
        <v>0.93448275862068964</v>
      </c>
      <c r="F631" s="16" t="s">
        <v>194</v>
      </c>
      <c r="G631" s="16"/>
      <c r="H631" s="16" t="s">
        <v>486</v>
      </c>
      <c r="I631" s="16" t="s">
        <v>223</v>
      </c>
      <c r="J631" s="16" t="str">
        <f>IF(ISNUMBER(SEARCH("SCRW", H631)), _xlfn.XLOOKUP(C631,dd_item!$A$2:$A$147,dd_item!$B$2:$B$147,"",0),_xlfn.XLOOKUP(H631,dd_item!$A$2:$A$147,dd_item!$B$2:$B$147,"",0))</f>
        <v>Frame60</v>
      </c>
      <c r="K631" s="16" t="str">
        <f>_xlfn.XLOOKUP(A631,dd_design_raw!$C$2:$C$1002,dd_design_raw!$A$2:$A$1002,"",0)</f>
        <v>Double Awning (Vertical)</v>
      </c>
      <c r="L631" s="16" t="str">
        <f>_xlfn.XLOOKUP(I631,dd_accsryclr!$A$2:$A$1000,dd_accsryclr!$A$2:$A$1000,"",0)</f>
        <v>BLK</v>
      </c>
    </row>
    <row r="632" spans="1:12" hidden="1" x14ac:dyDescent="0.25">
      <c r="A632" s="16" t="s">
        <v>12</v>
      </c>
      <c r="B632" s="16" t="s">
        <v>555</v>
      </c>
      <c r="C632" s="16" t="s">
        <v>489</v>
      </c>
      <c r="D632" s="16" t="s">
        <v>490</v>
      </c>
      <c r="E632" s="16">
        <v>0.93448275862068964</v>
      </c>
      <c r="F632" s="16" t="s">
        <v>194</v>
      </c>
      <c r="G632" s="16"/>
      <c r="H632" s="16" t="s">
        <v>486</v>
      </c>
      <c r="I632" s="16" t="s">
        <v>211</v>
      </c>
      <c r="J632" s="16" t="str">
        <f>IF(ISNUMBER(SEARCH("SCRW", H632)), _xlfn.XLOOKUP(C632,dd_item!$A$2:$A$147,dd_item!$B$2:$B$147,"",0),_xlfn.XLOOKUP(H632,dd_item!$A$2:$A$147,dd_item!$B$2:$B$147,"",0))</f>
        <v>Frame60</v>
      </c>
      <c r="K632" s="16" t="str">
        <f>_xlfn.XLOOKUP(A632,dd_design_raw!$C$2:$C$1002,dd_design_raw!$A$2:$A$1002,"",0)</f>
        <v>Double Awning (Vertical)</v>
      </c>
      <c r="L632" s="16" t="str">
        <f>_xlfn.XLOOKUP(I632,dd_accsryclr!$A$2:$A$1000,dd_accsryclr!$A$2:$A$1000,"",0)</f>
        <v/>
      </c>
    </row>
    <row r="633" spans="1:12" hidden="1" x14ac:dyDescent="0.25">
      <c r="A633" s="16" t="s">
        <v>12</v>
      </c>
      <c r="B633" s="16" t="s">
        <v>555</v>
      </c>
      <c r="C633" s="16" t="s">
        <v>491</v>
      </c>
      <c r="D633" s="16" t="s">
        <v>492</v>
      </c>
      <c r="E633" s="16">
        <v>0.93448275862068964</v>
      </c>
      <c r="F633" s="16" t="s">
        <v>194</v>
      </c>
      <c r="G633" s="16"/>
      <c r="H633" s="16" t="s">
        <v>486</v>
      </c>
      <c r="I633" s="16" t="s">
        <v>214</v>
      </c>
      <c r="J633" s="16" t="str">
        <f>IF(ISNUMBER(SEARCH("SCRW", H633)), _xlfn.XLOOKUP(C633,dd_item!$A$2:$A$147,dd_item!$B$2:$B$147,"",0),_xlfn.XLOOKUP(H633,dd_item!$A$2:$A$147,dd_item!$B$2:$B$147,"",0))</f>
        <v>Frame60</v>
      </c>
      <c r="K633" s="16" t="str">
        <f>_xlfn.XLOOKUP(A633,dd_design_raw!$C$2:$C$1002,dd_design_raw!$A$2:$A$1002,"",0)</f>
        <v>Double Awning (Vertical)</v>
      </c>
      <c r="L633" s="16" t="str">
        <f>_xlfn.XLOOKUP(I633,dd_accsryclr!$A$2:$A$1000,dd_accsryclr!$A$2:$A$1000,"",0)</f>
        <v/>
      </c>
    </row>
    <row r="634" spans="1:12" hidden="1" x14ac:dyDescent="0.25">
      <c r="A634" s="16" t="s">
        <v>12</v>
      </c>
      <c r="B634" s="16" t="s">
        <v>555</v>
      </c>
      <c r="C634" s="16" t="s">
        <v>493</v>
      </c>
      <c r="D634" s="16" t="s">
        <v>494</v>
      </c>
      <c r="E634" s="16">
        <v>0.93448275862068964</v>
      </c>
      <c r="F634" s="16" t="s">
        <v>194</v>
      </c>
      <c r="G634" s="16"/>
      <c r="H634" s="16" t="s">
        <v>486</v>
      </c>
      <c r="I634" s="16" t="s">
        <v>217</v>
      </c>
      <c r="J634" s="16" t="str">
        <f>IF(ISNUMBER(SEARCH("SCRW", H634)), _xlfn.XLOOKUP(C634,dd_item!$A$2:$A$147,dd_item!$B$2:$B$147,"",0),_xlfn.XLOOKUP(H634,dd_item!$A$2:$A$147,dd_item!$B$2:$B$147,"",0))</f>
        <v>Frame60</v>
      </c>
      <c r="K634" s="16" t="str">
        <f>_xlfn.XLOOKUP(A634,dd_design_raw!$C$2:$C$1002,dd_design_raw!$A$2:$A$1002,"",0)</f>
        <v>Double Awning (Vertical)</v>
      </c>
      <c r="L634" s="16" t="str">
        <f>_xlfn.XLOOKUP(I634,dd_accsryclr!$A$2:$A$1000,dd_accsryclr!$A$2:$A$1000,"",0)</f>
        <v/>
      </c>
    </row>
    <row r="635" spans="1:12" hidden="1" x14ac:dyDescent="0.25">
      <c r="A635" s="16" t="s">
        <v>12</v>
      </c>
      <c r="B635" s="16" t="s">
        <v>555</v>
      </c>
      <c r="C635" s="16" t="s">
        <v>495</v>
      </c>
      <c r="D635" s="16" t="s">
        <v>496</v>
      </c>
      <c r="E635" s="16">
        <v>0.93448275862068964</v>
      </c>
      <c r="F635" s="16" t="s">
        <v>194</v>
      </c>
      <c r="G635" s="16"/>
      <c r="H635" s="16" t="s">
        <v>486</v>
      </c>
      <c r="I635" s="16" t="s">
        <v>226</v>
      </c>
      <c r="J635" s="16" t="str">
        <f>IF(ISNUMBER(SEARCH("SCRW", H635)), _xlfn.XLOOKUP(C635,dd_item!$A$2:$A$147,dd_item!$B$2:$B$147,"",0),_xlfn.XLOOKUP(H635,dd_item!$A$2:$A$147,dd_item!$B$2:$B$147,"",0))</f>
        <v>Frame60</v>
      </c>
      <c r="K635" s="16" t="str">
        <f>_xlfn.XLOOKUP(A635,dd_design_raw!$C$2:$C$1002,dd_design_raw!$A$2:$A$1002,"",0)</f>
        <v>Double Awning (Vertical)</v>
      </c>
      <c r="L635" s="16" t="str">
        <f>_xlfn.XLOOKUP(I635,dd_accsryclr!$A$2:$A$1000,dd_accsryclr!$A$2:$A$1000,"",0)</f>
        <v/>
      </c>
    </row>
    <row r="636" spans="1:12" hidden="1" x14ac:dyDescent="0.25">
      <c r="A636" s="16" t="s">
        <v>12</v>
      </c>
      <c r="B636" s="16" t="s">
        <v>555</v>
      </c>
      <c r="C636" s="16" t="s">
        <v>497</v>
      </c>
      <c r="D636" s="16" t="s">
        <v>498</v>
      </c>
      <c r="E636" s="16">
        <v>0.93448275862068964</v>
      </c>
      <c r="F636" s="16" t="s">
        <v>194</v>
      </c>
      <c r="G636" s="16"/>
      <c r="H636" s="16" t="s">
        <v>486</v>
      </c>
      <c r="I636" s="16" t="s">
        <v>220</v>
      </c>
      <c r="J636" s="16" t="str">
        <f>IF(ISNUMBER(SEARCH("SCRW", H636)), _xlfn.XLOOKUP(C636,dd_item!$A$2:$A$147,dd_item!$B$2:$B$147,"",0),_xlfn.XLOOKUP(H636,dd_item!$A$2:$A$147,dd_item!$B$2:$B$147,"",0))</f>
        <v>Frame60</v>
      </c>
      <c r="K636" s="16" t="str">
        <f>_xlfn.XLOOKUP(A636,dd_design_raw!$C$2:$C$1002,dd_design_raw!$A$2:$A$1002,"",0)</f>
        <v>Double Awning (Vertical)</v>
      </c>
      <c r="L636" s="16" t="str">
        <f>_xlfn.XLOOKUP(I636,dd_accsryclr!$A$2:$A$1000,dd_accsryclr!$A$2:$A$1000,"",0)</f>
        <v>WHT</v>
      </c>
    </row>
    <row r="637" spans="1:12" hidden="1" x14ac:dyDescent="0.25">
      <c r="A637" s="16" t="s">
        <v>12</v>
      </c>
      <c r="B637" s="16" t="s">
        <v>555</v>
      </c>
      <c r="C637" s="16" t="s">
        <v>499</v>
      </c>
      <c r="D637" s="16" t="s">
        <v>500</v>
      </c>
      <c r="E637" s="16">
        <v>1.2765517241379309</v>
      </c>
      <c r="F637" s="16" t="s">
        <v>194</v>
      </c>
      <c r="G637" s="16"/>
      <c r="H637" s="16" t="s">
        <v>501</v>
      </c>
      <c r="I637" s="16" t="s">
        <v>211</v>
      </c>
      <c r="J637" s="16" t="str">
        <f>IF(ISNUMBER(SEARCH("SCRW", H637)), _xlfn.XLOOKUP(C637,dd_item!$A$2:$A$147,dd_item!$B$2:$B$147,"",0),_xlfn.XLOOKUP(H637,dd_item!$A$2:$A$147,dd_item!$B$2:$B$147,"",0))</f>
        <v>Sash78</v>
      </c>
      <c r="K637" s="16" t="str">
        <f>_xlfn.XLOOKUP(A637,dd_design_raw!$C$2:$C$1002,dd_design_raw!$A$2:$A$1002,"",0)</f>
        <v>Double Awning (Vertical)</v>
      </c>
      <c r="L637" s="16" t="str">
        <f>_xlfn.XLOOKUP(I637,dd_accsryclr!$A$2:$A$1000,dd_accsryclr!$A$2:$A$1000,"",0)</f>
        <v/>
      </c>
    </row>
    <row r="638" spans="1:12" hidden="1" x14ac:dyDescent="0.25">
      <c r="A638" s="16" t="s">
        <v>12</v>
      </c>
      <c r="B638" s="16" t="s">
        <v>555</v>
      </c>
      <c r="C638" s="16" t="s">
        <v>502</v>
      </c>
      <c r="D638" s="16" t="s">
        <v>503</v>
      </c>
      <c r="E638" s="16">
        <v>1.2765517241379309</v>
      </c>
      <c r="F638" s="16" t="s">
        <v>194</v>
      </c>
      <c r="G638" s="16"/>
      <c r="H638" s="16" t="s">
        <v>501</v>
      </c>
      <c r="I638" s="16" t="s">
        <v>214</v>
      </c>
      <c r="J638" s="16" t="str">
        <f>IF(ISNUMBER(SEARCH("SCRW", H638)), _xlfn.XLOOKUP(C638,dd_item!$A$2:$A$147,dd_item!$B$2:$B$147,"",0),_xlfn.XLOOKUP(H638,dd_item!$A$2:$A$147,dd_item!$B$2:$B$147,"",0))</f>
        <v>Sash78</v>
      </c>
      <c r="K638" s="16" t="str">
        <f>_xlfn.XLOOKUP(A638,dd_design_raw!$C$2:$C$1002,dd_design_raw!$A$2:$A$1002,"",0)</f>
        <v>Double Awning (Vertical)</v>
      </c>
      <c r="L638" s="16" t="str">
        <f>_xlfn.XLOOKUP(I638,dd_accsryclr!$A$2:$A$1000,dd_accsryclr!$A$2:$A$1000,"",0)</f>
        <v/>
      </c>
    </row>
    <row r="639" spans="1:12" hidden="1" x14ac:dyDescent="0.25">
      <c r="A639" s="16" t="s">
        <v>12</v>
      </c>
      <c r="B639" s="16" t="s">
        <v>555</v>
      </c>
      <c r="C639" s="16" t="s">
        <v>504</v>
      </c>
      <c r="D639" s="16" t="s">
        <v>505</v>
      </c>
      <c r="E639" s="16">
        <v>1.2765517241379309</v>
      </c>
      <c r="F639" s="16" t="s">
        <v>194</v>
      </c>
      <c r="G639" s="16"/>
      <c r="H639" s="16" t="s">
        <v>501</v>
      </c>
      <c r="I639" s="16" t="s">
        <v>217</v>
      </c>
      <c r="J639" s="16" t="str">
        <f>IF(ISNUMBER(SEARCH("SCRW", H639)), _xlfn.XLOOKUP(C639,dd_item!$A$2:$A$147,dd_item!$B$2:$B$147,"",0),_xlfn.XLOOKUP(H639,dd_item!$A$2:$A$147,dd_item!$B$2:$B$147,"",0))</f>
        <v>Sash78</v>
      </c>
      <c r="K639" s="16" t="str">
        <f>_xlfn.XLOOKUP(A639,dd_design_raw!$C$2:$C$1002,dd_design_raw!$A$2:$A$1002,"",0)</f>
        <v>Double Awning (Vertical)</v>
      </c>
      <c r="L639" s="16" t="str">
        <f>_xlfn.XLOOKUP(I639,dd_accsryclr!$A$2:$A$1000,dd_accsryclr!$A$2:$A$1000,"",0)</f>
        <v/>
      </c>
    </row>
    <row r="640" spans="1:12" hidden="1" x14ac:dyDescent="0.25">
      <c r="A640" s="16" t="s">
        <v>12</v>
      </c>
      <c r="B640" s="16" t="s">
        <v>555</v>
      </c>
      <c r="C640" s="16" t="s">
        <v>506</v>
      </c>
      <c r="D640" s="16" t="s">
        <v>507</v>
      </c>
      <c r="E640" s="16">
        <v>1.2765517241379309</v>
      </c>
      <c r="F640" s="16" t="s">
        <v>194</v>
      </c>
      <c r="G640" s="16"/>
      <c r="H640" s="16" t="s">
        <v>501</v>
      </c>
      <c r="I640" s="16" t="s">
        <v>226</v>
      </c>
      <c r="J640" s="16" t="str">
        <f>IF(ISNUMBER(SEARCH("SCRW", H640)), _xlfn.XLOOKUP(C640,dd_item!$A$2:$A$147,dd_item!$B$2:$B$147,"",0),_xlfn.XLOOKUP(H640,dd_item!$A$2:$A$147,dd_item!$B$2:$B$147,"",0))</f>
        <v>Sash78</v>
      </c>
      <c r="K640" s="16" t="str">
        <f>_xlfn.XLOOKUP(A640,dd_design_raw!$C$2:$C$1002,dd_design_raw!$A$2:$A$1002,"",0)</f>
        <v>Double Awning (Vertical)</v>
      </c>
      <c r="L640" s="16" t="str">
        <f>_xlfn.XLOOKUP(I640,dd_accsryclr!$A$2:$A$1000,dd_accsryclr!$A$2:$A$1000,"",0)</f>
        <v/>
      </c>
    </row>
    <row r="641" spans="1:12" hidden="1" x14ac:dyDescent="0.25">
      <c r="A641" s="16" t="s">
        <v>12</v>
      </c>
      <c r="B641" s="16" t="s">
        <v>555</v>
      </c>
      <c r="C641" s="16" t="s">
        <v>508</v>
      </c>
      <c r="D641" s="16" t="s">
        <v>509</v>
      </c>
      <c r="E641" s="16">
        <v>1.2765517241379309</v>
      </c>
      <c r="F641" s="16" t="s">
        <v>194</v>
      </c>
      <c r="G641" s="16"/>
      <c r="H641" s="16" t="s">
        <v>501</v>
      </c>
      <c r="I641" s="16" t="s">
        <v>220</v>
      </c>
      <c r="J641" s="16" t="str">
        <f>IF(ISNUMBER(SEARCH("SCRW", H641)), _xlfn.XLOOKUP(C641,dd_item!$A$2:$A$147,dd_item!$B$2:$B$147,"",0),_xlfn.XLOOKUP(H641,dd_item!$A$2:$A$147,dd_item!$B$2:$B$147,"",0))</f>
        <v>Sash78</v>
      </c>
      <c r="K641" s="16" t="str">
        <f>_xlfn.XLOOKUP(A641,dd_design_raw!$C$2:$C$1002,dd_design_raw!$A$2:$A$1002,"",0)</f>
        <v>Double Awning (Vertical)</v>
      </c>
      <c r="L641" s="16" t="str">
        <f>_xlfn.XLOOKUP(I641,dd_accsryclr!$A$2:$A$1000,dd_accsryclr!$A$2:$A$1000,"",0)</f>
        <v>WHT</v>
      </c>
    </row>
    <row r="642" spans="1:12" hidden="1" x14ac:dyDescent="0.25">
      <c r="A642" s="16" t="s">
        <v>12</v>
      </c>
      <c r="B642" s="16" t="s">
        <v>555</v>
      </c>
      <c r="C642" s="16" t="s">
        <v>510</v>
      </c>
      <c r="D642" s="16" t="s">
        <v>511</v>
      </c>
      <c r="E642" s="16">
        <v>1.2765517241379309</v>
      </c>
      <c r="F642" s="16" t="s">
        <v>194</v>
      </c>
      <c r="G642" s="16"/>
      <c r="H642" s="16" t="s">
        <v>501</v>
      </c>
      <c r="I642" s="16" t="s">
        <v>223</v>
      </c>
      <c r="J642" s="16" t="str">
        <f>IF(ISNUMBER(SEARCH("SCRW", H642)), _xlfn.XLOOKUP(C642,dd_item!$A$2:$A$147,dd_item!$B$2:$B$147,"",0),_xlfn.XLOOKUP(H642,dd_item!$A$2:$A$147,dd_item!$B$2:$B$147,"",0))</f>
        <v>Sash78</v>
      </c>
      <c r="K642" s="16" t="str">
        <f>_xlfn.XLOOKUP(A642,dd_design_raw!$C$2:$C$1002,dd_design_raw!$A$2:$A$1002,"",0)</f>
        <v>Double Awning (Vertical)</v>
      </c>
      <c r="L642" s="16" t="str">
        <f>_xlfn.XLOOKUP(I642,dd_accsryclr!$A$2:$A$1000,dd_accsryclr!$A$2:$A$1000,"",0)</f>
        <v>BLK</v>
      </c>
    </row>
    <row r="643" spans="1:12" hidden="1" x14ac:dyDescent="0.25">
      <c r="A643" s="16" t="s">
        <v>12</v>
      </c>
      <c r="B643" s="16" t="s">
        <v>555</v>
      </c>
      <c r="C643" s="16" t="s">
        <v>512</v>
      </c>
      <c r="D643" s="16" t="s">
        <v>513</v>
      </c>
      <c r="E643" s="16">
        <v>1.2765517241379309</v>
      </c>
      <c r="F643" s="16" t="s">
        <v>194</v>
      </c>
      <c r="G643" s="16"/>
      <c r="H643" s="16" t="s">
        <v>501</v>
      </c>
      <c r="I643" s="16" t="s">
        <v>230</v>
      </c>
      <c r="J643" s="16" t="str">
        <f>IF(ISNUMBER(SEARCH("SCRW", H643)), _xlfn.XLOOKUP(C643,dd_item!$A$2:$A$147,dd_item!$B$2:$B$147,"",0),_xlfn.XLOOKUP(H643,dd_item!$A$2:$A$147,dd_item!$B$2:$B$147,"",0))</f>
        <v>Sash78</v>
      </c>
      <c r="K643" s="16" t="str">
        <f>_xlfn.XLOOKUP(A643,dd_design_raw!$C$2:$C$1002,dd_design_raw!$A$2:$A$1002,"",0)</f>
        <v>Double Awning (Vertical)</v>
      </c>
      <c r="L643" s="16" t="str">
        <f>_xlfn.XLOOKUP(I643,dd_accsryclr!$A$2:$A$1000,dd_accsryclr!$A$2:$A$1000,"",0)</f>
        <v>BRWN</v>
      </c>
    </row>
    <row r="644" spans="1:12" hidden="1" x14ac:dyDescent="0.25">
      <c r="A644" s="16" t="s">
        <v>12</v>
      </c>
      <c r="B644" s="16" t="s">
        <v>555</v>
      </c>
      <c r="C644" s="16" t="s">
        <v>556</v>
      </c>
      <c r="D644" s="16" t="s">
        <v>557</v>
      </c>
      <c r="E644" s="16">
        <v>0.21310344827586206</v>
      </c>
      <c r="F644" s="16" t="s">
        <v>194</v>
      </c>
      <c r="G644" s="16"/>
      <c r="H644" s="16" t="s">
        <v>558</v>
      </c>
      <c r="I644" s="16" t="s">
        <v>211</v>
      </c>
      <c r="J644" s="16" t="str">
        <f>IF(ISNUMBER(SEARCH("SCRW", H644)), _xlfn.XLOOKUP(C644,dd_item!$A$2:$A$147,dd_item!$B$2:$B$147,"",0),_xlfn.XLOOKUP(H644,dd_item!$A$2:$A$147,dd_item!$B$2:$B$147,"",0))</f>
        <v>Mullion72</v>
      </c>
      <c r="K644" s="16" t="str">
        <f>_xlfn.XLOOKUP(A644,dd_design_raw!$C$2:$C$1002,dd_design_raw!$A$2:$A$1002,"",0)</f>
        <v>Double Awning (Vertical)</v>
      </c>
      <c r="L644" s="16" t="str">
        <f>_xlfn.XLOOKUP(I644,dd_accsryclr!$A$2:$A$1000,dd_accsryclr!$A$2:$A$1000,"",0)</f>
        <v/>
      </c>
    </row>
    <row r="645" spans="1:12" hidden="1" x14ac:dyDescent="0.25">
      <c r="A645" s="16" t="s">
        <v>12</v>
      </c>
      <c r="B645" s="16" t="s">
        <v>555</v>
      </c>
      <c r="C645" s="16" t="s">
        <v>559</v>
      </c>
      <c r="D645" s="16" t="s">
        <v>560</v>
      </c>
      <c r="E645" s="16">
        <v>0.21310344827586206</v>
      </c>
      <c r="F645" s="16" t="s">
        <v>194</v>
      </c>
      <c r="G645" s="16"/>
      <c r="H645" s="16" t="s">
        <v>558</v>
      </c>
      <c r="I645" s="16" t="s">
        <v>214</v>
      </c>
      <c r="J645" s="16" t="str">
        <f>IF(ISNUMBER(SEARCH("SCRW", H645)), _xlfn.XLOOKUP(C645,dd_item!$A$2:$A$147,dd_item!$B$2:$B$147,"",0),_xlfn.XLOOKUP(H645,dd_item!$A$2:$A$147,dd_item!$B$2:$B$147,"",0))</f>
        <v>Mullion72</v>
      </c>
      <c r="K645" s="16" t="str">
        <f>_xlfn.XLOOKUP(A645,dd_design_raw!$C$2:$C$1002,dd_design_raw!$A$2:$A$1002,"",0)</f>
        <v>Double Awning (Vertical)</v>
      </c>
      <c r="L645" s="16" t="str">
        <f>_xlfn.XLOOKUP(I645,dd_accsryclr!$A$2:$A$1000,dd_accsryclr!$A$2:$A$1000,"",0)</f>
        <v/>
      </c>
    </row>
    <row r="646" spans="1:12" hidden="1" x14ac:dyDescent="0.25">
      <c r="A646" s="16" t="s">
        <v>12</v>
      </c>
      <c r="B646" s="16" t="s">
        <v>555</v>
      </c>
      <c r="C646" s="16" t="s">
        <v>561</v>
      </c>
      <c r="D646" s="16" t="s">
        <v>562</v>
      </c>
      <c r="E646" s="16">
        <v>0.21310344827586206</v>
      </c>
      <c r="F646" s="16" t="s">
        <v>194</v>
      </c>
      <c r="G646" s="16"/>
      <c r="H646" s="16" t="s">
        <v>558</v>
      </c>
      <c r="I646" s="16" t="s">
        <v>217</v>
      </c>
      <c r="J646" s="16" t="str">
        <f>IF(ISNUMBER(SEARCH("SCRW", H646)), _xlfn.XLOOKUP(C646,dd_item!$A$2:$A$147,dd_item!$B$2:$B$147,"",0),_xlfn.XLOOKUP(H646,dd_item!$A$2:$A$147,dd_item!$B$2:$B$147,"",0))</f>
        <v>Mullion72</v>
      </c>
      <c r="K646" s="16" t="str">
        <f>_xlfn.XLOOKUP(A646,dd_design_raw!$C$2:$C$1002,dd_design_raw!$A$2:$A$1002,"",0)</f>
        <v>Double Awning (Vertical)</v>
      </c>
      <c r="L646" s="16" t="str">
        <f>_xlfn.XLOOKUP(I646,dd_accsryclr!$A$2:$A$1000,dd_accsryclr!$A$2:$A$1000,"",0)</f>
        <v/>
      </c>
    </row>
    <row r="647" spans="1:12" hidden="1" x14ac:dyDescent="0.25">
      <c r="A647" s="16" t="s">
        <v>12</v>
      </c>
      <c r="B647" s="16" t="s">
        <v>555</v>
      </c>
      <c r="C647" s="16" t="s">
        <v>563</v>
      </c>
      <c r="D647" s="16" t="s">
        <v>564</v>
      </c>
      <c r="E647" s="16">
        <v>0.21310344827586206</v>
      </c>
      <c r="F647" s="16" t="s">
        <v>194</v>
      </c>
      <c r="G647" s="16"/>
      <c r="H647" s="16" t="s">
        <v>558</v>
      </c>
      <c r="I647" s="16" t="s">
        <v>226</v>
      </c>
      <c r="J647" s="16" t="str">
        <f>IF(ISNUMBER(SEARCH("SCRW", H647)), _xlfn.XLOOKUP(C647,dd_item!$A$2:$A$147,dd_item!$B$2:$B$147,"",0),_xlfn.XLOOKUP(H647,dd_item!$A$2:$A$147,dd_item!$B$2:$B$147,"",0))</f>
        <v>Mullion72</v>
      </c>
      <c r="K647" s="16" t="str">
        <f>_xlfn.XLOOKUP(A647,dd_design_raw!$C$2:$C$1002,dd_design_raw!$A$2:$A$1002,"",0)</f>
        <v>Double Awning (Vertical)</v>
      </c>
      <c r="L647" s="16" t="str">
        <f>_xlfn.XLOOKUP(I647,dd_accsryclr!$A$2:$A$1000,dd_accsryclr!$A$2:$A$1000,"",0)</f>
        <v/>
      </c>
    </row>
    <row r="648" spans="1:12" hidden="1" x14ac:dyDescent="0.25">
      <c r="A648" s="16" t="s">
        <v>12</v>
      </c>
      <c r="B648" s="16" t="s">
        <v>555</v>
      </c>
      <c r="C648" s="16" t="s">
        <v>565</v>
      </c>
      <c r="D648" s="16" t="s">
        <v>566</v>
      </c>
      <c r="E648" s="16">
        <v>0.21310344827586206</v>
      </c>
      <c r="F648" s="16" t="s">
        <v>194</v>
      </c>
      <c r="G648" s="16"/>
      <c r="H648" s="16" t="s">
        <v>558</v>
      </c>
      <c r="I648" s="16" t="s">
        <v>220</v>
      </c>
      <c r="J648" s="16" t="str">
        <f>IF(ISNUMBER(SEARCH("SCRW", H648)), _xlfn.XLOOKUP(C648,dd_item!$A$2:$A$147,dd_item!$B$2:$B$147,"",0),_xlfn.XLOOKUP(H648,dd_item!$A$2:$A$147,dd_item!$B$2:$B$147,"",0))</f>
        <v>Mullion72</v>
      </c>
      <c r="K648" s="16" t="str">
        <f>_xlfn.XLOOKUP(A648,dd_design_raw!$C$2:$C$1002,dd_design_raw!$A$2:$A$1002,"",0)</f>
        <v>Double Awning (Vertical)</v>
      </c>
      <c r="L648" s="16" t="str">
        <f>_xlfn.XLOOKUP(I648,dd_accsryclr!$A$2:$A$1000,dd_accsryclr!$A$2:$A$1000,"",0)</f>
        <v>WHT</v>
      </c>
    </row>
    <row r="649" spans="1:12" hidden="1" x14ac:dyDescent="0.25">
      <c r="A649" s="16" t="s">
        <v>12</v>
      </c>
      <c r="B649" s="16" t="s">
        <v>555</v>
      </c>
      <c r="C649" s="16" t="s">
        <v>567</v>
      </c>
      <c r="D649" s="16" t="s">
        <v>568</v>
      </c>
      <c r="E649" s="16">
        <v>0.21310344827586206</v>
      </c>
      <c r="F649" s="16" t="s">
        <v>194</v>
      </c>
      <c r="G649" s="16"/>
      <c r="H649" s="16" t="s">
        <v>558</v>
      </c>
      <c r="I649" s="16" t="s">
        <v>230</v>
      </c>
      <c r="J649" s="16" t="str">
        <f>IF(ISNUMBER(SEARCH("SCRW", H649)), _xlfn.XLOOKUP(C649,dd_item!$A$2:$A$147,dd_item!$B$2:$B$147,"",0),_xlfn.XLOOKUP(H649,dd_item!$A$2:$A$147,dd_item!$B$2:$B$147,"",0))</f>
        <v>Mullion72</v>
      </c>
      <c r="K649" s="16" t="str">
        <f>_xlfn.XLOOKUP(A649,dd_design_raw!$C$2:$C$1002,dd_design_raw!$A$2:$A$1002,"",0)</f>
        <v>Double Awning (Vertical)</v>
      </c>
      <c r="L649" s="16" t="str">
        <f>_xlfn.XLOOKUP(I649,dd_accsryclr!$A$2:$A$1000,dd_accsryclr!$A$2:$A$1000,"",0)</f>
        <v>BRWN</v>
      </c>
    </row>
    <row r="650" spans="1:12" hidden="1" x14ac:dyDescent="0.25">
      <c r="A650" s="16" t="s">
        <v>12</v>
      </c>
      <c r="B650" s="16" t="s">
        <v>555</v>
      </c>
      <c r="C650" s="16" t="s">
        <v>569</v>
      </c>
      <c r="D650" s="16" t="s">
        <v>570</v>
      </c>
      <c r="E650" s="16">
        <v>0.21310344827586206</v>
      </c>
      <c r="F650" s="16" t="s">
        <v>194</v>
      </c>
      <c r="G650" s="16"/>
      <c r="H650" s="16" t="s">
        <v>558</v>
      </c>
      <c r="I650" s="16" t="s">
        <v>223</v>
      </c>
      <c r="J650" s="16" t="str">
        <f>IF(ISNUMBER(SEARCH("SCRW", H650)), _xlfn.XLOOKUP(C650,dd_item!$A$2:$A$147,dd_item!$B$2:$B$147,"",0),_xlfn.XLOOKUP(H650,dd_item!$A$2:$A$147,dd_item!$B$2:$B$147,"",0))</f>
        <v>Mullion72</v>
      </c>
      <c r="K650" s="16" t="str">
        <f>_xlfn.XLOOKUP(A650,dd_design_raw!$C$2:$C$1002,dd_design_raw!$A$2:$A$1002,"",0)</f>
        <v>Double Awning (Vertical)</v>
      </c>
      <c r="L650" s="16" t="str">
        <f>_xlfn.XLOOKUP(I650,dd_accsryclr!$A$2:$A$1000,dd_accsryclr!$A$2:$A$1000,"",0)</f>
        <v>BLK</v>
      </c>
    </row>
    <row r="651" spans="1:12" hidden="1" x14ac:dyDescent="0.25">
      <c r="A651" s="16" t="s">
        <v>12</v>
      </c>
      <c r="B651" s="16" t="s">
        <v>555</v>
      </c>
      <c r="C651" s="16" t="s">
        <v>514</v>
      </c>
      <c r="D651" s="16" t="s">
        <v>515</v>
      </c>
      <c r="E651" s="16">
        <v>0.51896551724137929</v>
      </c>
      <c r="F651" s="16" t="s">
        <v>194</v>
      </c>
      <c r="G651" s="16" t="s">
        <v>58</v>
      </c>
      <c r="H651" s="16" t="s">
        <v>516</v>
      </c>
      <c r="I651" s="16" t="s">
        <v>517</v>
      </c>
      <c r="J651" s="16" t="str">
        <f>IF(ISNUMBER(SEARCH("SCRW", H651)), _xlfn.XLOOKUP(C651,dd_item!$A$2:$A$147,dd_item!$B$2:$B$147,"",0),_xlfn.XLOOKUP(H651,dd_item!$A$2:$A$147,dd_item!$B$2:$B$147,"",0))</f>
        <v>Steel-Frame60</v>
      </c>
      <c r="K651" s="16" t="str">
        <f>_xlfn.XLOOKUP(A651,dd_design_raw!$C$2:$C$1002,dd_design_raw!$A$2:$A$1002,"",0)</f>
        <v>Double Awning (Vertical)</v>
      </c>
      <c r="L651" s="16" t="str">
        <f>_xlfn.XLOOKUP(I651,dd_accsryclr!$A$2:$A$1000,dd_accsryclr!$A$2:$A$1000,"",0)</f>
        <v/>
      </c>
    </row>
    <row r="652" spans="1:12" hidden="1" x14ac:dyDescent="0.25">
      <c r="A652" s="16" t="s">
        <v>12</v>
      </c>
      <c r="B652" s="16" t="s">
        <v>555</v>
      </c>
      <c r="C652" s="16" t="s">
        <v>518</v>
      </c>
      <c r="D652" s="16" t="s">
        <v>519</v>
      </c>
      <c r="E652" s="16">
        <v>0.41551724137931034</v>
      </c>
      <c r="F652" s="16" t="s">
        <v>194</v>
      </c>
      <c r="G652" s="16" t="s">
        <v>58</v>
      </c>
      <c r="H652" s="16" t="s">
        <v>1099</v>
      </c>
      <c r="I652" s="16" t="s">
        <v>520</v>
      </c>
      <c r="J652" s="16" t="str">
        <f>IF(ISNUMBER(SEARCH("SCRW", H652)), _xlfn.XLOOKUP(C652,dd_item!$A$2:$A$147,dd_item!$B$2:$B$147,"",0),_xlfn.XLOOKUP(H652,dd_item!$A$2:$A$147,dd_item!$B$2:$B$147,"",0))</f>
        <v>Steel-Frame60-H</v>
      </c>
      <c r="K652" s="16" t="str">
        <f>_xlfn.XLOOKUP(A652,dd_design_raw!$C$2:$C$1002,dd_design_raw!$A$2:$A$1002,"",0)</f>
        <v>Double Awning (Vertical)</v>
      </c>
      <c r="L652" s="16" t="str">
        <f>_xlfn.XLOOKUP(I652,dd_accsryclr!$A$2:$A$1000,dd_accsryclr!$A$2:$A$1000,"",0)</f>
        <v/>
      </c>
    </row>
    <row r="653" spans="1:12" hidden="1" x14ac:dyDescent="0.25">
      <c r="A653" s="16" t="s">
        <v>12</v>
      </c>
      <c r="B653" s="16" t="s">
        <v>555</v>
      </c>
      <c r="C653" s="16" t="s">
        <v>521</v>
      </c>
      <c r="D653" s="16" t="s">
        <v>522</v>
      </c>
      <c r="E653" s="16">
        <v>0.48965517241379308</v>
      </c>
      <c r="F653" s="16" t="s">
        <v>194</v>
      </c>
      <c r="G653" s="16" t="s">
        <v>59</v>
      </c>
      <c r="H653" s="16" t="s">
        <v>523</v>
      </c>
      <c r="I653" s="16" t="s">
        <v>524</v>
      </c>
      <c r="J653" s="16" t="str">
        <f>IF(ISNUMBER(SEARCH("SCRW", H653)), _xlfn.XLOOKUP(C653,dd_item!$A$2:$A$147,dd_item!$B$2:$B$147,"",0),_xlfn.XLOOKUP(H653,dd_item!$A$2:$A$147,dd_item!$B$2:$B$147,"",0))</f>
        <v>Steel-Sash78</v>
      </c>
      <c r="K653" s="16" t="str">
        <f>_xlfn.XLOOKUP(A653,dd_design_raw!$C$2:$C$1002,dd_design_raw!$A$2:$A$1002,"",0)</f>
        <v>Double Awning (Vertical)</v>
      </c>
      <c r="L653" s="16" t="str">
        <f>_xlfn.XLOOKUP(I653,dd_accsryclr!$A$2:$A$1000,dd_accsryclr!$A$2:$A$1000,"",0)</f>
        <v/>
      </c>
    </row>
    <row r="654" spans="1:12" hidden="1" x14ac:dyDescent="0.25">
      <c r="A654" s="16" t="s">
        <v>12</v>
      </c>
      <c r="B654" s="16" t="s">
        <v>555</v>
      </c>
      <c r="C654" s="16" t="s">
        <v>525</v>
      </c>
      <c r="D654" s="16" t="s">
        <v>526</v>
      </c>
      <c r="E654" s="16">
        <v>0.78689655172413797</v>
      </c>
      <c r="F654" s="16" t="s">
        <v>194</v>
      </c>
      <c r="G654" s="16" t="s">
        <v>59</v>
      </c>
      <c r="H654" s="16" t="s">
        <v>523</v>
      </c>
      <c r="I654" s="16" t="s">
        <v>527</v>
      </c>
      <c r="J654" s="16" t="str">
        <f>IF(ISNUMBER(SEARCH("SCRW", H654)), _xlfn.XLOOKUP(C654,dd_item!$A$2:$A$147,dd_item!$B$2:$B$147,"",0),_xlfn.XLOOKUP(H654,dd_item!$A$2:$A$147,dd_item!$B$2:$B$147,"",0))</f>
        <v>Steel-Sash78</v>
      </c>
      <c r="K654" s="16" t="str">
        <f>_xlfn.XLOOKUP(A654,dd_design_raw!$C$2:$C$1002,dd_design_raw!$A$2:$A$1002,"",0)</f>
        <v>Double Awning (Vertical)</v>
      </c>
      <c r="L654" s="16" t="str">
        <f>_xlfn.XLOOKUP(I654,dd_accsryclr!$A$2:$A$1000,dd_accsryclr!$A$2:$A$1000,"",0)</f>
        <v/>
      </c>
    </row>
    <row r="655" spans="1:12" hidden="1" x14ac:dyDescent="0.25">
      <c r="A655" s="16" t="s">
        <v>12</v>
      </c>
      <c r="B655" s="16" t="s">
        <v>555</v>
      </c>
      <c r="C655" s="16" t="s">
        <v>349</v>
      </c>
      <c r="D655" s="16" t="s">
        <v>350</v>
      </c>
      <c r="E655" s="16">
        <v>1.2765517241379309</v>
      </c>
      <c r="F655" s="16" t="s">
        <v>194</v>
      </c>
      <c r="G655" s="16"/>
      <c r="H655" s="16" t="s">
        <v>351</v>
      </c>
      <c r="I655" s="16" t="s">
        <v>211</v>
      </c>
      <c r="J655" s="16" t="str">
        <f>IF(ISNUMBER(SEARCH("SCRW", H655)), _xlfn.XLOOKUP(C655,dd_item!$A$2:$A$147,dd_item!$B$2:$B$147,"",0),_xlfn.XLOOKUP(H655,dd_item!$A$2:$A$147,dd_item!$B$2:$B$147,"",0))</f>
        <v>Bead34</v>
      </c>
      <c r="K655" s="16" t="str">
        <f>_xlfn.XLOOKUP(A655,dd_design_raw!$C$2:$C$1002,dd_design_raw!$A$2:$A$1002,"",0)</f>
        <v>Double Awning (Vertical)</v>
      </c>
      <c r="L655" s="16" t="str">
        <f>_xlfn.XLOOKUP(I655,dd_accsryclr!$A$2:$A$1000,dd_accsryclr!$A$2:$A$1000,"",0)</f>
        <v/>
      </c>
    </row>
    <row r="656" spans="1:12" hidden="1" x14ac:dyDescent="0.25">
      <c r="A656" s="16" t="s">
        <v>12</v>
      </c>
      <c r="B656" s="16" t="s">
        <v>555</v>
      </c>
      <c r="C656" s="16" t="s">
        <v>352</v>
      </c>
      <c r="D656" s="16" t="s">
        <v>353</v>
      </c>
      <c r="E656" s="16">
        <v>1.2765517241379309</v>
      </c>
      <c r="F656" s="16" t="s">
        <v>194</v>
      </c>
      <c r="G656" s="16"/>
      <c r="H656" s="16" t="s">
        <v>351</v>
      </c>
      <c r="I656" s="16" t="s">
        <v>214</v>
      </c>
      <c r="J656" s="16" t="str">
        <f>IF(ISNUMBER(SEARCH("SCRW", H656)), _xlfn.XLOOKUP(C656,dd_item!$A$2:$A$147,dd_item!$B$2:$B$147,"",0),_xlfn.XLOOKUP(H656,dd_item!$A$2:$A$147,dd_item!$B$2:$B$147,"",0))</f>
        <v>Bead34</v>
      </c>
      <c r="K656" s="16" t="str">
        <f>_xlfn.XLOOKUP(A656,dd_design_raw!$C$2:$C$1002,dd_design_raw!$A$2:$A$1002,"",0)</f>
        <v>Double Awning (Vertical)</v>
      </c>
      <c r="L656" s="16" t="str">
        <f>_xlfn.XLOOKUP(I656,dd_accsryclr!$A$2:$A$1000,dd_accsryclr!$A$2:$A$1000,"",0)</f>
        <v/>
      </c>
    </row>
    <row r="657" spans="1:12" hidden="1" x14ac:dyDescent="0.25">
      <c r="A657" s="16" t="s">
        <v>12</v>
      </c>
      <c r="B657" s="16" t="s">
        <v>555</v>
      </c>
      <c r="C657" s="16" t="s">
        <v>354</v>
      </c>
      <c r="D657" s="16" t="s">
        <v>355</v>
      </c>
      <c r="E657" s="16">
        <v>1.2765517241379309</v>
      </c>
      <c r="F657" s="16" t="s">
        <v>194</v>
      </c>
      <c r="G657" s="16"/>
      <c r="H657" s="16" t="s">
        <v>351</v>
      </c>
      <c r="I657" s="16" t="s">
        <v>217</v>
      </c>
      <c r="J657" s="16" t="str">
        <f>IF(ISNUMBER(SEARCH("SCRW", H657)), _xlfn.XLOOKUP(C657,dd_item!$A$2:$A$147,dd_item!$B$2:$B$147,"",0),_xlfn.XLOOKUP(H657,dd_item!$A$2:$A$147,dd_item!$B$2:$B$147,"",0))</f>
        <v>Bead34</v>
      </c>
      <c r="K657" s="16" t="str">
        <f>_xlfn.XLOOKUP(A657,dd_design_raw!$C$2:$C$1002,dd_design_raw!$A$2:$A$1002,"",0)</f>
        <v>Double Awning (Vertical)</v>
      </c>
      <c r="L657" s="16" t="str">
        <f>_xlfn.XLOOKUP(I657,dd_accsryclr!$A$2:$A$1000,dd_accsryclr!$A$2:$A$1000,"",0)</f>
        <v/>
      </c>
    </row>
    <row r="658" spans="1:12" hidden="1" x14ac:dyDescent="0.25">
      <c r="A658" s="16" t="s">
        <v>12</v>
      </c>
      <c r="B658" s="16" t="s">
        <v>555</v>
      </c>
      <c r="C658" s="16" t="s">
        <v>356</v>
      </c>
      <c r="D658" s="16" t="s">
        <v>357</v>
      </c>
      <c r="E658" s="16">
        <v>1.2765517241379309</v>
      </c>
      <c r="F658" s="16" t="s">
        <v>194</v>
      </c>
      <c r="G658" s="16"/>
      <c r="H658" s="16" t="s">
        <v>351</v>
      </c>
      <c r="I658" s="16" t="s">
        <v>226</v>
      </c>
      <c r="J658" s="16" t="str">
        <f>IF(ISNUMBER(SEARCH("SCRW", H658)), _xlfn.XLOOKUP(C658,dd_item!$A$2:$A$147,dd_item!$B$2:$B$147,"",0),_xlfn.XLOOKUP(H658,dd_item!$A$2:$A$147,dd_item!$B$2:$B$147,"",0))</f>
        <v>Bead34</v>
      </c>
      <c r="K658" s="16" t="str">
        <f>_xlfn.XLOOKUP(A658,dd_design_raw!$C$2:$C$1002,dd_design_raw!$A$2:$A$1002,"",0)</f>
        <v>Double Awning (Vertical)</v>
      </c>
      <c r="L658" s="16" t="str">
        <f>_xlfn.XLOOKUP(I658,dd_accsryclr!$A$2:$A$1000,dd_accsryclr!$A$2:$A$1000,"",0)</f>
        <v/>
      </c>
    </row>
    <row r="659" spans="1:12" hidden="1" x14ac:dyDescent="0.25">
      <c r="A659" s="16" t="s">
        <v>12</v>
      </c>
      <c r="B659" s="16" t="s">
        <v>555</v>
      </c>
      <c r="C659" s="16" t="s">
        <v>358</v>
      </c>
      <c r="D659" s="16" t="s">
        <v>359</v>
      </c>
      <c r="E659" s="16">
        <v>1.2765517241379309</v>
      </c>
      <c r="F659" s="16" t="s">
        <v>194</v>
      </c>
      <c r="G659" s="16"/>
      <c r="H659" s="16" t="s">
        <v>351</v>
      </c>
      <c r="I659" s="16" t="s">
        <v>220</v>
      </c>
      <c r="J659" s="16" t="str">
        <f>IF(ISNUMBER(SEARCH("SCRW", H659)), _xlfn.XLOOKUP(C659,dd_item!$A$2:$A$147,dd_item!$B$2:$B$147,"",0),_xlfn.XLOOKUP(H659,dd_item!$A$2:$A$147,dd_item!$B$2:$B$147,"",0))</f>
        <v>Bead34</v>
      </c>
      <c r="K659" s="16" t="str">
        <f>_xlfn.XLOOKUP(A659,dd_design_raw!$C$2:$C$1002,dd_design_raw!$A$2:$A$1002,"",0)</f>
        <v>Double Awning (Vertical)</v>
      </c>
      <c r="L659" s="16" t="str">
        <f>_xlfn.XLOOKUP(I659,dd_accsryclr!$A$2:$A$1000,dd_accsryclr!$A$2:$A$1000,"",0)</f>
        <v>WHT</v>
      </c>
    </row>
    <row r="660" spans="1:12" hidden="1" x14ac:dyDescent="0.25">
      <c r="A660" s="16" t="s">
        <v>12</v>
      </c>
      <c r="B660" s="16" t="s">
        <v>555</v>
      </c>
      <c r="C660" s="16" t="s">
        <v>360</v>
      </c>
      <c r="D660" s="16" t="s">
        <v>361</v>
      </c>
      <c r="E660" s="16">
        <v>1.2765517241379309</v>
      </c>
      <c r="F660" s="16" t="s">
        <v>194</v>
      </c>
      <c r="G660" s="16"/>
      <c r="H660" s="16" t="s">
        <v>351</v>
      </c>
      <c r="I660" s="16" t="s">
        <v>223</v>
      </c>
      <c r="J660" s="16" t="str">
        <f>IF(ISNUMBER(SEARCH("SCRW", H660)), _xlfn.XLOOKUP(C660,dd_item!$A$2:$A$147,dd_item!$B$2:$B$147,"",0),_xlfn.XLOOKUP(H660,dd_item!$A$2:$A$147,dd_item!$B$2:$B$147,"",0))</f>
        <v>Bead34</v>
      </c>
      <c r="K660" s="16" t="str">
        <f>_xlfn.XLOOKUP(A660,dd_design_raw!$C$2:$C$1002,dd_design_raw!$A$2:$A$1002,"",0)</f>
        <v>Double Awning (Vertical)</v>
      </c>
      <c r="L660" s="16" t="str">
        <f>_xlfn.XLOOKUP(I660,dd_accsryclr!$A$2:$A$1000,dd_accsryclr!$A$2:$A$1000,"",0)</f>
        <v>BLK</v>
      </c>
    </row>
    <row r="661" spans="1:12" hidden="1" x14ac:dyDescent="0.25">
      <c r="A661" s="16" t="s">
        <v>12</v>
      </c>
      <c r="B661" s="16" t="s">
        <v>555</v>
      </c>
      <c r="C661" s="16" t="s">
        <v>362</v>
      </c>
      <c r="D661" s="16" t="s">
        <v>363</v>
      </c>
      <c r="E661" s="16">
        <v>1.2765517241379309</v>
      </c>
      <c r="F661" s="16" t="s">
        <v>194</v>
      </c>
      <c r="G661" s="16"/>
      <c r="H661" s="16" t="s">
        <v>351</v>
      </c>
      <c r="I661" s="16" t="s">
        <v>230</v>
      </c>
      <c r="J661" s="16" t="str">
        <f>IF(ISNUMBER(SEARCH("SCRW", H661)), _xlfn.XLOOKUP(C661,dd_item!$A$2:$A$147,dd_item!$B$2:$B$147,"",0),_xlfn.XLOOKUP(H661,dd_item!$A$2:$A$147,dd_item!$B$2:$B$147,"",0))</f>
        <v>Bead34</v>
      </c>
      <c r="K661" s="16" t="str">
        <f>_xlfn.XLOOKUP(A661,dd_design_raw!$C$2:$C$1002,dd_design_raw!$A$2:$A$1002,"",0)</f>
        <v>Double Awning (Vertical)</v>
      </c>
      <c r="L661" s="16" t="str">
        <f>_xlfn.XLOOKUP(I661,dd_accsryclr!$A$2:$A$1000,dd_accsryclr!$A$2:$A$1000,"",0)</f>
        <v>BRWN</v>
      </c>
    </row>
    <row r="662" spans="1:12" x14ac:dyDescent="0.25">
      <c r="A662" s="16" t="s">
        <v>12</v>
      </c>
      <c r="B662" s="16" t="s">
        <v>555</v>
      </c>
      <c r="C662" s="16" t="s">
        <v>528</v>
      </c>
      <c r="D662" s="16" t="s">
        <v>529</v>
      </c>
      <c r="E662" s="16">
        <v>2</v>
      </c>
      <c r="F662" s="16" t="s">
        <v>293</v>
      </c>
      <c r="G662" s="16"/>
      <c r="H662" s="16" t="s">
        <v>530</v>
      </c>
      <c r="I662" s="16" t="s">
        <v>531</v>
      </c>
      <c r="J662" s="16" t="str">
        <f>IF(ISNUMBER(SEARCH("SCRW", H662)), _xlfn.XLOOKUP(C662,dd_item!$A$2:$A$147,dd_item!$B$2:$B$147,"",0),_xlfn.XLOOKUP(H662,dd_item!$A$2:$A$147,dd_item!$B$2:$B$147,"",0))</f>
        <v>Casement Espagnolette</v>
      </c>
      <c r="K662" s="16" t="str">
        <f>_xlfn.XLOOKUP(A662,dd_design_raw!$C$2:$C$1002,dd_design_raw!$A$2:$A$1002,"",0)</f>
        <v>Double Awning (Vertical)</v>
      </c>
      <c r="L662" s="16" t="str">
        <f>_xlfn.XLOOKUP(I662,dd_accsryclr!$A$2:$A$1000,dd_accsryclr!$A$2:$A$1000,"",0)</f>
        <v/>
      </c>
    </row>
    <row r="663" spans="1:12" x14ac:dyDescent="0.25">
      <c r="A663" s="16" t="s">
        <v>12</v>
      </c>
      <c r="B663" s="16" t="s">
        <v>555</v>
      </c>
      <c r="C663" s="16" t="s">
        <v>532</v>
      </c>
      <c r="D663" s="16" t="s">
        <v>533</v>
      </c>
      <c r="E663" s="16">
        <v>2</v>
      </c>
      <c r="F663" s="16" t="s">
        <v>293</v>
      </c>
      <c r="G663" s="16"/>
      <c r="H663" s="16" t="s">
        <v>530</v>
      </c>
      <c r="I663" s="16" t="s">
        <v>531</v>
      </c>
      <c r="J663" s="16" t="str">
        <f>IF(ISNUMBER(SEARCH("SCRW", H663)), _xlfn.XLOOKUP(C663,dd_item!$A$2:$A$147,dd_item!$B$2:$B$147,"",0),_xlfn.XLOOKUP(H663,dd_item!$A$2:$A$147,dd_item!$B$2:$B$147,"",0))</f>
        <v>Casement Espagnolette</v>
      </c>
      <c r="K663" s="16" t="str">
        <f>_xlfn.XLOOKUP(A663,dd_design_raw!$C$2:$C$1002,dd_design_raw!$A$2:$A$1002,"",0)</f>
        <v>Double Awning (Vertical)</v>
      </c>
      <c r="L663" s="16" t="str">
        <f>_xlfn.XLOOKUP(I663,dd_accsryclr!$A$2:$A$1000,dd_accsryclr!$A$2:$A$1000,"",0)</f>
        <v/>
      </c>
    </row>
    <row r="664" spans="1:12" x14ac:dyDescent="0.25">
      <c r="A664" s="16" t="s">
        <v>12</v>
      </c>
      <c r="B664" s="16" t="s">
        <v>555</v>
      </c>
      <c r="C664" s="16" t="s">
        <v>534</v>
      </c>
      <c r="D664" s="16" t="s">
        <v>535</v>
      </c>
      <c r="E664" s="16">
        <v>2</v>
      </c>
      <c r="F664" s="16" t="s">
        <v>293</v>
      </c>
      <c r="G664" s="16"/>
      <c r="H664" s="16" t="s">
        <v>530</v>
      </c>
      <c r="I664" s="16" t="s">
        <v>536</v>
      </c>
      <c r="J664" s="16" t="str">
        <f>IF(ISNUMBER(SEARCH("SCRW", H664)), _xlfn.XLOOKUP(C664,dd_item!$A$2:$A$147,dd_item!$B$2:$B$147,"",0),_xlfn.XLOOKUP(H664,dd_item!$A$2:$A$147,dd_item!$B$2:$B$147,"",0))</f>
        <v>Casement Espagnolette</v>
      </c>
      <c r="K664" s="16" t="str">
        <f>_xlfn.XLOOKUP(A664,dd_design_raw!$C$2:$C$1002,dd_design_raw!$A$2:$A$1002,"",0)</f>
        <v>Double Awning (Vertical)</v>
      </c>
      <c r="L664" s="16" t="str">
        <f>_xlfn.XLOOKUP(I664,dd_accsryclr!$A$2:$A$1000,dd_accsryclr!$A$2:$A$1000,"",0)</f>
        <v/>
      </c>
    </row>
    <row r="665" spans="1:12" hidden="1" x14ac:dyDescent="0.25">
      <c r="A665" s="16" t="s">
        <v>12</v>
      </c>
      <c r="B665" s="16" t="s">
        <v>555</v>
      </c>
      <c r="C665" s="16" t="s">
        <v>571</v>
      </c>
      <c r="D665" s="16" t="s">
        <v>572</v>
      </c>
      <c r="E665" s="16">
        <v>4</v>
      </c>
      <c r="F665" s="16" t="s">
        <v>293</v>
      </c>
      <c r="G665" s="16"/>
      <c r="H665" s="16" t="s">
        <v>573</v>
      </c>
      <c r="I665" s="16"/>
      <c r="J665" s="16" t="str">
        <f>IF(ISNUMBER(SEARCH("SCRW", H665)), _xlfn.XLOOKUP(C665,dd_item!$A$2:$A$147,dd_item!$B$2:$B$147,"",0),_xlfn.XLOOKUP(H665,dd_item!$A$2:$A$147,dd_item!$B$2:$B$147,"",0))</f>
        <v>Hinge 4-Bar</v>
      </c>
      <c r="K665" s="16" t="str">
        <f>_xlfn.XLOOKUP(A665,dd_design_raw!$C$2:$C$1002,dd_design_raw!$A$2:$A$1002,"",0)</f>
        <v>Double Awning (Vertical)</v>
      </c>
      <c r="L665" s="16" t="str">
        <f>_xlfn.XLOOKUP(I665,dd_accsryclr!$A$2:$A$1000,dd_accsryclr!$A$2:$A$1000,"",0)</f>
        <v/>
      </c>
    </row>
    <row r="666" spans="1:12" hidden="1" x14ac:dyDescent="0.25">
      <c r="A666" s="16" t="s">
        <v>12</v>
      </c>
      <c r="B666" s="16" t="s">
        <v>555</v>
      </c>
      <c r="C666" s="16" t="s">
        <v>390</v>
      </c>
      <c r="D666" s="16" t="s">
        <v>391</v>
      </c>
      <c r="E666" s="16">
        <v>10.84</v>
      </c>
      <c r="F666" s="16" t="s">
        <v>369</v>
      </c>
      <c r="G666" s="16"/>
      <c r="H666" s="16" t="s">
        <v>792</v>
      </c>
      <c r="I666" s="16"/>
      <c r="J666" s="16" t="str">
        <f>IF(ISNUMBER(SEARCH("SCRW", H666)), _xlfn.XLOOKUP(C666,dd_item!$A$2:$A$147,dd_item!$B$2:$B$147,"",0),_xlfn.XLOOKUP(H666,dd_item!$A$2:$A$147,dd_item!$B$2:$B$147,"",0))</f>
        <v>Atlas Screw (S) 10 x 2-1/2" (Flat)</v>
      </c>
      <c r="K666" s="16" t="str">
        <f>_xlfn.XLOOKUP(A666,dd_design_raw!$C$2:$C$1002,dd_design_raw!$A$2:$A$1002,"",0)</f>
        <v>Double Awning (Vertical)</v>
      </c>
      <c r="L666" s="16" t="str">
        <f>_xlfn.XLOOKUP(I666,dd_accsryclr!$A$2:$A$1000,dd_accsryclr!$A$2:$A$1000,"",0)</f>
        <v/>
      </c>
    </row>
    <row r="667" spans="1:12" hidden="1" x14ac:dyDescent="0.25">
      <c r="A667" s="16" t="s">
        <v>12</v>
      </c>
      <c r="B667" s="16" t="s">
        <v>555</v>
      </c>
      <c r="C667" s="16" t="s">
        <v>392</v>
      </c>
      <c r="D667" s="16" t="s">
        <v>393</v>
      </c>
      <c r="E667" s="16">
        <v>3</v>
      </c>
      <c r="F667" s="16" t="s">
        <v>369</v>
      </c>
      <c r="G667" s="16"/>
      <c r="H667" s="16" t="s">
        <v>394</v>
      </c>
      <c r="I667" s="16" t="s">
        <v>223</v>
      </c>
      <c r="J667" s="16" t="str">
        <f>IF(ISNUMBER(SEARCH("SCRW", H667)), _xlfn.XLOOKUP(C667,dd_item!$A$2:$A$147,dd_item!$B$2:$B$147,"",0),_xlfn.XLOOKUP(H667,dd_item!$A$2:$A$147,dd_item!$B$2:$B$147,"",0))</f>
        <v>Drainage Cover</v>
      </c>
      <c r="K667" s="16" t="str">
        <f>_xlfn.XLOOKUP(A667,dd_design_raw!$C$2:$C$1002,dd_design_raw!$A$2:$A$1002,"",0)</f>
        <v>Double Awning (Vertical)</v>
      </c>
      <c r="L667" s="16" t="str">
        <f>_xlfn.XLOOKUP(I667,dd_accsryclr!$A$2:$A$1000,dd_accsryclr!$A$2:$A$1000,"",0)</f>
        <v>BLK</v>
      </c>
    </row>
    <row r="668" spans="1:12" hidden="1" x14ac:dyDescent="0.25">
      <c r="A668" s="16" t="s">
        <v>12</v>
      </c>
      <c r="B668" s="16" t="s">
        <v>555</v>
      </c>
      <c r="C668" s="16" t="s">
        <v>395</v>
      </c>
      <c r="D668" s="16" t="s">
        <v>396</v>
      </c>
      <c r="E668" s="16">
        <v>3</v>
      </c>
      <c r="F668" s="16" t="s">
        <v>369</v>
      </c>
      <c r="G668" s="16"/>
      <c r="H668" s="16" t="s">
        <v>394</v>
      </c>
      <c r="I668" s="16" t="s">
        <v>220</v>
      </c>
      <c r="J668" s="16" t="str">
        <f>IF(ISNUMBER(SEARCH("SCRW", H668)), _xlfn.XLOOKUP(C668,dd_item!$A$2:$A$147,dd_item!$B$2:$B$147,"",0),_xlfn.XLOOKUP(H668,dd_item!$A$2:$A$147,dd_item!$B$2:$B$147,"",0))</f>
        <v>Drainage Cover</v>
      </c>
      <c r="K668" s="16" t="str">
        <f>_xlfn.XLOOKUP(A668,dd_design_raw!$C$2:$C$1002,dd_design_raw!$A$2:$A$1002,"",0)</f>
        <v>Double Awning (Vertical)</v>
      </c>
      <c r="L668" s="16" t="str">
        <f>_xlfn.XLOOKUP(I668,dd_accsryclr!$A$2:$A$1000,dd_accsryclr!$A$2:$A$1000,"",0)</f>
        <v>WHT</v>
      </c>
    </row>
    <row r="669" spans="1:12" hidden="1" x14ac:dyDescent="0.25">
      <c r="A669" s="16" t="s">
        <v>12</v>
      </c>
      <c r="B669" s="16" t="s">
        <v>555</v>
      </c>
      <c r="C669" s="16" t="s">
        <v>397</v>
      </c>
      <c r="D669" s="16" t="s">
        <v>398</v>
      </c>
      <c r="E669" s="16">
        <v>0.21679999999999999</v>
      </c>
      <c r="F669" s="16" t="s">
        <v>369</v>
      </c>
      <c r="G669" s="16"/>
      <c r="H669" s="16" t="s">
        <v>399</v>
      </c>
      <c r="I669" s="16" t="s">
        <v>400</v>
      </c>
      <c r="J669" s="16" t="str">
        <f>IF(ISNUMBER(SEARCH("SCRW", H669)), _xlfn.XLOOKUP(C669,dd_item!$A$2:$A$147,dd_item!$B$2:$B$147,"",0),_xlfn.XLOOKUP(H669,dd_item!$A$2:$A$147,dd_item!$B$2:$B$147,"",0))</f>
        <v>Tox6</v>
      </c>
      <c r="K669" s="16" t="str">
        <f>_xlfn.XLOOKUP(A669,dd_design_raw!$C$2:$C$1002,dd_design_raw!$A$2:$A$1002,"",0)</f>
        <v>Double Awning (Vertical)</v>
      </c>
      <c r="L669" s="16" t="str">
        <f>_xlfn.XLOOKUP(I669,dd_accsryclr!$A$2:$A$1000,dd_accsryclr!$A$2:$A$1000,"",0)</f>
        <v/>
      </c>
    </row>
    <row r="670" spans="1:12" hidden="1" x14ac:dyDescent="0.25">
      <c r="A670" s="16" t="s">
        <v>12</v>
      </c>
      <c r="B670" s="16" t="s">
        <v>555</v>
      </c>
      <c r="C670" s="16" t="s">
        <v>414</v>
      </c>
      <c r="D670" s="16" t="s">
        <v>415</v>
      </c>
      <c r="E670" s="16">
        <v>3.6133333333333333</v>
      </c>
      <c r="F670" s="16" t="s">
        <v>369</v>
      </c>
      <c r="G670" s="16"/>
      <c r="H670" s="16" t="s">
        <v>416</v>
      </c>
      <c r="I670" s="16" t="s">
        <v>223</v>
      </c>
      <c r="J670" s="16" t="str">
        <f>IF(ISNUMBER(SEARCH("SCRW", H670)), _xlfn.XLOOKUP(C670,dd_item!$A$2:$A$147,dd_item!$B$2:$B$147,"",0),_xlfn.XLOOKUP(H670,dd_item!$A$2:$A$147,dd_item!$B$2:$B$147,"",0))</f>
        <v>Sealant</v>
      </c>
      <c r="K670" s="16" t="str">
        <f>_xlfn.XLOOKUP(A670,dd_design_raw!$C$2:$C$1002,dd_design_raw!$A$2:$A$1002,"",0)</f>
        <v>Double Awning (Vertical)</v>
      </c>
      <c r="L670" s="16" t="str">
        <f>_xlfn.XLOOKUP(I670,dd_accsryclr!$A$2:$A$1000,dd_accsryclr!$A$2:$A$1000,"",0)</f>
        <v>BLK</v>
      </c>
    </row>
    <row r="671" spans="1:12" hidden="1" x14ac:dyDescent="0.25">
      <c r="A671" s="16" t="s">
        <v>12</v>
      </c>
      <c r="B671" s="16" t="s">
        <v>555</v>
      </c>
      <c r="C671" s="16" t="s">
        <v>417</v>
      </c>
      <c r="D671" s="16" t="s">
        <v>418</v>
      </c>
      <c r="E671" s="16">
        <v>3.6133333333333333</v>
      </c>
      <c r="F671" s="16" t="s">
        <v>369</v>
      </c>
      <c r="G671" s="16"/>
      <c r="H671" s="16" t="s">
        <v>416</v>
      </c>
      <c r="I671" s="16" t="s">
        <v>230</v>
      </c>
      <c r="J671" s="16" t="str">
        <f>IF(ISNUMBER(SEARCH("SCRW", H671)), _xlfn.XLOOKUP(C671,dd_item!$A$2:$A$147,dd_item!$B$2:$B$147,"",0),_xlfn.XLOOKUP(H671,dd_item!$A$2:$A$147,dd_item!$B$2:$B$147,"",0))</f>
        <v>Sealant</v>
      </c>
      <c r="K671" s="16" t="str">
        <f>_xlfn.XLOOKUP(A671,dd_design_raw!$C$2:$C$1002,dd_design_raw!$A$2:$A$1002,"",0)</f>
        <v>Double Awning (Vertical)</v>
      </c>
      <c r="L671" s="16" t="str">
        <f>_xlfn.XLOOKUP(I671,dd_accsryclr!$A$2:$A$1000,dd_accsryclr!$A$2:$A$1000,"",0)</f>
        <v>BRWN</v>
      </c>
    </row>
    <row r="672" spans="1:12" hidden="1" x14ac:dyDescent="0.25">
      <c r="A672" s="16" t="s">
        <v>12</v>
      </c>
      <c r="B672" s="16" t="s">
        <v>555</v>
      </c>
      <c r="C672" s="16" t="s">
        <v>419</v>
      </c>
      <c r="D672" s="16" t="s">
        <v>420</v>
      </c>
      <c r="E672" s="16">
        <v>3.6133333333333333</v>
      </c>
      <c r="F672" s="16" t="s">
        <v>369</v>
      </c>
      <c r="G672" s="16"/>
      <c r="H672" s="16" t="s">
        <v>416</v>
      </c>
      <c r="I672" s="16" t="s">
        <v>220</v>
      </c>
      <c r="J672" s="16" t="str">
        <f>IF(ISNUMBER(SEARCH("SCRW", H672)), _xlfn.XLOOKUP(C672,dd_item!$A$2:$A$147,dd_item!$B$2:$B$147,"",0),_xlfn.XLOOKUP(H672,dd_item!$A$2:$A$147,dd_item!$B$2:$B$147,"",0))</f>
        <v>Sealant</v>
      </c>
      <c r="K672" s="16" t="str">
        <f>_xlfn.XLOOKUP(A672,dd_design_raw!$C$2:$C$1002,dd_design_raw!$A$2:$A$1002,"",0)</f>
        <v>Double Awning (Vertical)</v>
      </c>
      <c r="L672" s="16" t="str">
        <f>_xlfn.XLOOKUP(I672,dd_accsryclr!$A$2:$A$1000,dd_accsryclr!$A$2:$A$1000,"",0)</f>
        <v>WHT</v>
      </c>
    </row>
    <row r="673" spans="1:12" hidden="1" x14ac:dyDescent="0.25">
      <c r="A673" s="16" t="s">
        <v>12</v>
      </c>
      <c r="B673" s="16" t="s">
        <v>555</v>
      </c>
      <c r="C673" s="16" t="s">
        <v>421</v>
      </c>
      <c r="D673" s="16" t="s">
        <v>422</v>
      </c>
      <c r="E673" s="16"/>
      <c r="F673" s="16" t="s">
        <v>369</v>
      </c>
      <c r="G673" s="16"/>
      <c r="H673" s="16" t="s">
        <v>416</v>
      </c>
      <c r="I673" s="16" t="s">
        <v>423</v>
      </c>
      <c r="J673" s="16" t="str">
        <f>IF(ISNUMBER(SEARCH("SCRW", H673)), _xlfn.XLOOKUP(C673,dd_item!$A$2:$A$147,dd_item!$B$2:$B$147,"",0),_xlfn.XLOOKUP(H673,dd_item!$A$2:$A$147,dd_item!$B$2:$B$147,"",0))</f>
        <v>Sealant</v>
      </c>
      <c r="K673" s="16" t="str">
        <f>_xlfn.XLOOKUP(A673,dd_design_raw!$C$2:$C$1002,dd_design_raw!$A$2:$A$1002,"",0)</f>
        <v>Double Awning (Vertical)</v>
      </c>
      <c r="L673" s="16" t="str">
        <f>_xlfn.XLOOKUP(I673,dd_accsryclr!$A$2:$A$1000,dd_accsryclr!$A$2:$A$1000,"",0)</f>
        <v/>
      </c>
    </row>
    <row r="674" spans="1:12" hidden="1" x14ac:dyDescent="0.25">
      <c r="A674" s="16" t="s">
        <v>12</v>
      </c>
      <c r="B674" s="16" t="s">
        <v>555</v>
      </c>
      <c r="C674" s="16" t="s">
        <v>540</v>
      </c>
      <c r="D674" s="16" t="s">
        <v>541</v>
      </c>
      <c r="E674" s="16">
        <v>2</v>
      </c>
      <c r="F674" s="16" t="s">
        <v>369</v>
      </c>
      <c r="G674" s="16"/>
      <c r="H674" s="16" t="s">
        <v>542</v>
      </c>
      <c r="I674" s="16" t="s">
        <v>223</v>
      </c>
      <c r="J674" s="16" t="str">
        <f>IF(ISNUMBER(SEARCH("SCRW", H674)), _xlfn.XLOOKUP(C674,dd_item!$A$2:$A$147,dd_item!$B$2:$B$147,"",0),_xlfn.XLOOKUP(H674,dd_item!$A$2:$A$147,dd_item!$B$2:$B$147,"",0))</f>
        <v>Casement Handle (Roto)</v>
      </c>
      <c r="K674" s="16" t="str">
        <f>_xlfn.XLOOKUP(A674,dd_design_raw!$C$2:$C$1002,dd_design_raw!$A$2:$A$1002,"",0)</f>
        <v>Double Awning (Vertical)</v>
      </c>
      <c r="L674" s="16" t="str">
        <f>_xlfn.XLOOKUP(I674,dd_accsryclr!$A$2:$A$1000,dd_accsryclr!$A$2:$A$1000,"",0)</f>
        <v>BLK</v>
      </c>
    </row>
    <row r="675" spans="1:12" hidden="1" x14ac:dyDescent="0.25">
      <c r="A675" s="16" t="s">
        <v>12</v>
      </c>
      <c r="B675" s="16" t="s">
        <v>555</v>
      </c>
      <c r="C675" s="16" t="s">
        <v>543</v>
      </c>
      <c r="D675" s="16" t="s">
        <v>544</v>
      </c>
      <c r="E675" s="16">
        <v>2</v>
      </c>
      <c r="F675" s="16" t="s">
        <v>369</v>
      </c>
      <c r="G675" s="16"/>
      <c r="H675" s="16" t="s">
        <v>542</v>
      </c>
      <c r="I675" s="16" t="s">
        <v>220</v>
      </c>
      <c r="J675" s="16" t="str">
        <f>IF(ISNUMBER(SEARCH("SCRW", H675)), _xlfn.XLOOKUP(C675,dd_item!$A$2:$A$147,dd_item!$B$2:$B$147,"",0),_xlfn.XLOOKUP(H675,dd_item!$A$2:$A$147,dd_item!$B$2:$B$147,"",0))</f>
        <v>Casement Handle (Roto)</v>
      </c>
      <c r="K675" s="16" t="str">
        <f>_xlfn.XLOOKUP(A675,dd_design_raw!$C$2:$C$1002,dd_design_raw!$A$2:$A$1002,"",0)</f>
        <v>Double Awning (Vertical)</v>
      </c>
      <c r="L675" s="16" t="str">
        <f>_xlfn.XLOOKUP(I675,dd_accsryclr!$A$2:$A$1000,dd_accsryclr!$A$2:$A$1000,"",0)</f>
        <v>WHT</v>
      </c>
    </row>
    <row r="676" spans="1:12" hidden="1" x14ac:dyDescent="0.25">
      <c r="A676" s="16" t="s">
        <v>12</v>
      </c>
      <c r="B676" s="16" t="s">
        <v>555</v>
      </c>
      <c r="C676" s="16" t="s">
        <v>545</v>
      </c>
      <c r="D676" s="16" t="s">
        <v>546</v>
      </c>
      <c r="E676" s="16">
        <v>2</v>
      </c>
      <c r="F676" s="16" t="s">
        <v>369</v>
      </c>
      <c r="G676" s="16"/>
      <c r="H676" s="16" t="s">
        <v>9</v>
      </c>
      <c r="I676" s="16" t="s">
        <v>223</v>
      </c>
      <c r="J676" s="16" t="str">
        <f>IF(ISNUMBER(SEARCH("SCRW", H676)), _xlfn.XLOOKUP(C676,dd_item!$A$2:$A$147,dd_item!$B$2:$B$147,"",0),_xlfn.XLOOKUP(H676,dd_item!$A$2:$A$147,dd_item!$B$2:$B$147,"",0))</f>
        <v>Casement Handle (Espag)</v>
      </c>
      <c r="K676" s="16" t="str">
        <f>_xlfn.XLOOKUP(A676,dd_design_raw!$C$2:$C$1002,dd_design_raw!$A$2:$A$1002,"",0)</f>
        <v>Double Awning (Vertical)</v>
      </c>
      <c r="L676" s="16" t="str">
        <f>_xlfn.XLOOKUP(I676,dd_accsryclr!$A$2:$A$1000,dd_accsryclr!$A$2:$A$1000,"",0)</f>
        <v>BLK</v>
      </c>
    </row>
    <row r="677" spans="1:12" hidden="1" x14ac:dyDescent="0.25">
      <c r="A677" s="16" t="s">
        <v>12</v>
      </c>
      <c r="B677" s="16" t="s">
        <v>555</v>
      </c>
      <c r="C677" s="16" t="s">
        <v>547</v>
      </c>
      <c r="D677" s="16" t="s">
        <v>548</v>
      </c>
      <c r="E677" s="16">
        <v>2</v>
      </c>
      <c r="F677" s="16" t="s">
        <v>369</v>
      </c>
      <c r="G677" s="16"/>
      <c r="H677" s="16" t="s">
        <v>9</v>
      </c>
      <c r="I677" s="16" t="s">
        <v>220</v>
      </c>
      <c r="J677" s="16" t="str">
        <f>IF(ISNUMBER(SEARCH("SCRW", H677)), _xlfn.XLOOKUP(C677,dd_item!$A$2:$A$147,dd_item!$B$2:$B$147,"",0),_xlfn.XLOOKUP(H677,dd_item!$A$2:$A$147,dd_item!$B$2:$B$147,"",0))</f>
        <v>Casement Handle (Espag)</v>
      </c>
      <c r="K677" s="16" t="str">
        <f>_xlfn.XLOOKUP(A677,dd_design_raw!$C$2:$C$1002,dd_design_raw!$A$2:$A$1002,"",0)</f>
        <v>Double Awning (Vertical)</v>
      </c>
      <c r="L677" s="16" t="str">
        <f>_xlfn.XLOOKUP(I677,dd_accsryclr!$A$2:$A$1000,dd_accsryclr!$A$2:$A$1000,"",0)</f>
        <v>WHT</v>
      </c>
    </row>
    <row r="678" spans="1:12" hidden="1" x14ac:dyDescent="0.25">
      <c r="A678" s="16" t="s">
        <v>12</v>
      </c>
      <c r="B678" s="16" t="s">
        <v>555</v>
      </c>
      <c r="C678" s="16" t="s">
        <v>549</v>
      </c>
      <c r="D678" s="16" t="s">
        <v>550</v>
      </c>
      <c r="E678" s="16">
        <v>6</v>
      </c>
      <c r="F678" s="16" t="s">
        <v>369</v>
      </c>
      <c r="G678" s="16"/>
      <c r="H678" s="16" t="s">
        <v>551</v>
      </c>
      <c r="I678" s="16" t="s">
        <v>574</v>
      </c>
      <c r="J678" s="16" t="str">
        <f>IF(ISNUMBER(SEARCH("SCRW", H678)), _xlfn.XLOOKUP(C678,dd_item!$A$2:$A$147,dd_item!$B$2:$B$147,"",0),_xlfn.XLOOKUP(H678,dd_item!$A$2:$A$147,dd_item!$B$2:$B$147,"",0))</f>
        <v>Casement Striker (Roto)</v>
      </c>
      <c r="K678" s="16" t="str">
        <f>_xlfn.XLOOKUP(A678,dd_design_raw!$C$2:$C$1002,dd_design_raw!$A$2:$A$1002,"",0)</f>
        <v>Double Awning (Vertical)</v>
      </c>
      <c r="L678" s="16" t="str">
        <f>_xlfn.XLOOKUP(I678,dd_accsryclr!$A$2:$A$1000,dd_accsryclr!$A$2:$A$1000,"",0)</f>
        <v/>
      </c>
    </row>
    <row r="679" spans="1:12" hidden="1" x14ac:dyDescent="0.25">
      <c r="A679" s="16" t="s">
        <v>12</v>
      </c>
      <c r="B679" s="16" t="s">
        <v>555</v>
      </c>
      <c r="C679" s="16" t="s">
        <v>412</v>
      </c>
      <c r="D679" s="16" t="s">
        <v>413</v>
      </c>
      <c r="E679" s="16">
        <v>6</v>
      </c>
      <c r="F679" s="16" t="s">
        <v>369</v>
      </c>
      <c r="G679" s="16"/>
      <c r="H679" s="16" t="s">
        <v>793</v>
      </c>
      <c r="I679" s="16" t="s">
        <v>575</v>
      </c>
      <c r="J679" s="16" t="str">
        <f>IF(ISNUMBER(SEARCH("SCRW", H679)), _xlfn.XLOOKUP(C679,dd_item!$A$2:$A$147,dd_item!$B$2:$B$147,"",0),_xlfn.XLOOKUP(H679,dd_item!$A$2:$A$147,dd_item!$B$2:$B$147,"",0))</f>
        <v>Atlas Screw (S) 8 x 1-1/4" (Flat)</v>
      </c>
      <c r="K679" s="16" t="str">
        <f>_xlfn.XLOOKUP(A679,dd_design_raw!$C$2:$C$1002,dd_design_raw!$A$2:$A$1002,"",0)</f>
        <v>Double Awning (Vertical)</v>
      </c>
      <c r="L679" s="16" t="str">
        <f>_xlfn.XLOOKUP(I679,dd_accsryclr!$A$2:$A$1000,dd_accsryclr!$A$2:$A$1000,"",0)</f>
        <v/>
      </c>
    </row>
    <row r="680" spans="1:12" hidden="1" x14ac:dyDescent="0.25">
      <c r="A680" s="16" t="s">
        <v>12</v>
      </c>
      <c r="B680" s="16" t="s">
        <v>555</v>
      </c>
      <c r="C680" s="16" t="s">
        <v>401</v>
      </c>
      <c r="D680" s="16" t="s">
        <v>402</v>
      </c>
      <c r="E680" s="16">
        <v>10.84</v>
      </c>
      <c r="F680" s="16" t="s">
        <v>369</v>
      </c>
      <c r="G680" s="16"/>
      <c r="H680" s="16" t="s">
        <v>403</v>
      </c>
      <c r="I680" s="16" t="s">
        <v>223</v>
      </c>
      <c r="J680" s="16" t="str">
        <f>IF(ISNUMBER(SEARCH("SCRW", H680)), _xlfn.XLOOKUP(C680,dd_item!$A$2:$A$147,dd_item!$B$2:$B$147,"",0),_xlfn.XLOOKUP(H680,dd_item!$A$2:$A$147,dd_item!$B$2:$B$147,"",0))</f>
        <v>Cover Cap</v>
      </c>
      <c r="K680" s="16" t="str">
        <f>_xlfn.XLOOKUP(A680,dd_design_raw!$C$2:$C$1002,dd_design_raw!$A$2:$A$1002,"",0)</f>
        <v>Double Awning (Vertical)</v>
      </c>
      <c r="L680" s="16" t="str">
        <f>_xlfn.XLOOKUP(I680,dd_accsryclr!$A$2:$A$1000,dd_accsryclr!$A$2:$A$1000,"",0)</f>
        <v>BLK</v>
      </c>
    </row>
    <row r="681" spans="1:12" hidden="1" x14ac:dyDescent="0.25">
      <c r="A681" s="16" t="s">
        <v>12</v>
      </c>
      <c r="B681" s="16" t="s">
        <v>555</v>
      </c>
      <c r="C681" s="16" t="s">
        <v>404</v>
      </c>
      <c r="D681" s="16" t="s">
        <v>405</v>
      </c>
      <c r="E681" s="16">
        <v>10.84</v>
      </c>
      <c r="F681" s="16" t="s">
        <v>369</v>
      </c>
      <c r="G681" s="16"/>
      <c r="H681" s="16" t="s">
        <v>403</v>
      </c>
      <c r="I681" s="16" t="s">
        <v>220</v>
      </c>
      <c r="J681" s="16" t="str">
        <f>IF(ISNUMBER(SEARCH("SCRW", H681)), _xlfn.XLOOKUP(C681,dd_item!$A$2:$A$147,dd_item!$B$2:$B$147,"",0),_xlfn.XLOOKUP(H681,dd_item!$A$2:$A$147,dd_item!$B$2:$B$147,"",0))</f>
        <v>Cover Cap</v>
      </c>
      <c r="K681" s="16" t="str">
        <f>_xlfn.XLOOKUP(A681,dd_design_raw!$C$2:$C$1002,dd_design_raw!$A$2:$A$1002,"",0)</f>
        <v>Double Awning (Vertical)</v>
      </c>
      <c r="L681" s="16" t="str">
        <f>_xlfn.XLOOKUP(I681,dd_accsryclr!$A$2:$A$1000,dd_accsryclr!$A$2:$A$1000,"",0)</f>
        <v>WHT</v>
      </c>
    </row>
    <row r="682" spans="1:12" hidden="1" x14ac:dyDescent="0.25">
      <c r="A682" s="16" t="s">
        <v>12</v>
      </c>
      <c r="B682" s="16" t="s">
        <v>555</v>
      </c>
      <c r="C682" s="16" t="s">
        <v>552</v>
      </c>
      <c r="D682" s="16" t="s">
        <v>553</v>
      </c>
      <c r="E682" s="16">
        <v>4</v>
      </c>
      <c r="F682" s="16" t="s">
        <v>369</v>
      </c>
      <c r="G682" s="16"/>
      <c r="H682" s="16" t="s">
        <v>794</v>
      </c>
      <c r="I682" s="16" t="s">
        <v>554</v>
      </c>
      <c r="J682" s="16" t="str">
        <f>IF(ISNUMBER(SEARCH("SCRW", H682)), _xlfn.XLOOKUP(C682,dd_item!$A$2:$A$147,dd_item!$B$2:$B$147,"",0),_xlfn.XLOOKUP(H682,dd_item!$A$2:$A$147,dd_item!$B$2:$B$147,"",0))</f>
        <v>Atlas Screw S.B JF 5 x 50</v>
      </c>
      <c r="K682" s="16" t="str">
        <f>_xlfn.XLOOKUP(A682,dd_design_raw!$C$2:$C$1002,dd_design_raw!$A$2:$A$1002,"",0)</f>
        <v>Double Awning (Vertical)</v>
      </c>
      <c r="L682" s="16" t="str">
        <f>_xlfn.XLOOKUP(I682,dd_accsryclr!$A$2:$A$1000,dd_accsryclr!$A$2:$A$1000,"",0)</f>
        <v/>
      </c>
    </row>
    <row r="683" spans="1:12" hidden="1" x14ac:dyDescent="0.25">
      <c r="A683" s="16" t="s">
        <v>10</v>
      </c>
      <c r="B683" s="16" t="s">
        <v>110</v>
      </c>
      <c r="C683" s="16" t="s">
        <v>484</v>
      </c>
      <c r="D683" s="16" t="s">
        <v>485</v>
      </c>
      <c r="E683" s="16">
        <v>0.93448275862068964</v>
      </c>
      <c r="F683" s="16" t="s">
        <v>194</v>
      </c>
      <c r="G683" s="16"/>
      <c r="H683" s="16" t="s">
        <v>486</v>
      </c>
      <c r="I683" s="16" t="s">
        <v>230</v>
      </c>
      <c r="J683" s="16" t="str">
        <f>IF(ISNUMBER(SEARCH("SCRW", H683)), _xlfn.XLOOKUP(C683,dd_item!$A$2:$A$147,dd_item!$B$2:$B$147,"",0),_xlfn.XLOOKUP(H683,dd_item!$A$2:$A$147,dd_item!$B$2:$B$147,"",0))</f>
        <v>Frame60</v>
      </c>
      <c r="K683" s="16" t="str">
        <f>_xlfn.XLOOKUP(A683,dd_design_raw!$C$2:$C$1002,dd_design_raw!$A$2:$A$1002,"",0)</f>
        <v>Double Casement</v>
      </c>
      <c r="L683" s="16" t="str">
        <f>_xlfn.XLOOKUP(I683,dd_accsryclr!$A$2:$A$1000,dd_accsryclr!$A$2:$A$1000,"",0)</f>
        <v>BRWN</v>
      </c>
    </row>
    <row r="684" spans="1:12" hidden="1" x14ac:dyDescent="0.25">
      <c r="A684" s="16" t="s">
        <v>10</v>
      </c>
      <c r="B684" s="16" t="s">
        <v>110</v>
      </c>
      <c r="C684" s="16" t="s">
        <v>487</v>
      </c>
      <c r="D684" s="16" t="s">
        <v>488</v>
      </c>
      <c r="E684" s="16">
        <v>0.93448275862068964</v>
      </c>
      <c r="F684" s="16" t="s">
        <v>194</v>
      </c>
      <c r="G684" s="16"/>
      <c r="H684" s="16" t="s">
        <v>486</v>
      </c>
      <c r="I684" s="16" t="s">
        <v>223</v>
      </c>
      <c r="J684" s="16" t="str">
        <f>IF(ISNUMBER(SEARCH("SCRW", H684)), _xlfn.XLOOKUP(C684,dd_item!$A$2:$A$147,dd_item!$B$2:$B$147,"",0),_xlfn.XLOOKUP(H684,dd_item!$A$2:$A$147,dd_item!$B$2:$B$147,"",0))</f>
        <v>Frame60</v>
      </c>
      <c r="K684" s="16" t="str">
        <f>_xlfn.XLOOKUP(A684,dd_design_raw!$C$2:$C$1002,dd_design_raw!$A$2:$A$1002,"",0)</f>
        <v>Double Casement</v>
      </c>
      <c r="L684" s="16" t="str">
        <f>_xlfn.XLOOKUP(I684,dd_accsryclr!$A$2:$A$1000,dd_accsryclr!$A$2:$A$1000,"",0)</f>
        <v>BLK</v>
      </c>
    </row>
    <row r="685" spans="1:12" hidden="1" x14ac:dyDescent="0.25">
      <c r="A685" s="16" t="s">
        <v>10</v>
      </c>
      <c r="B685" s="16" t="s">
        <v>110</v>
      </c>
      <c r="C685" s="16" t="s">
        <v>489</v>
      </c>
      <c r="D685" s="16" t="s">
        <v>490</v>
      </c>
      <c r="E685" s="16">
        <v>0.93448275862068964</v>
      </c>
      <c r="F685" s="16" t="s">
        <v>194</v>
      </c>
      <c r="G685" s="16"/>
      <c r="H685" s="16" t="s">
        <v>486</v>
      </c>
      <c r="I685" s="16" t="s">
        <v>211</v>
      </c>
      <c r="J685" s="16" t="str">
        <f>IF(ISNUMBER(SEARCH("SCRW", H685)), _xlfn.XLOOKUP(C685,dd_item!$A$2:$A$147,dd_item!$B$2:$B$147,"",0),_xlfn.XLOOKUP(H685,dd_item!$A$2:$A$147,dd_item!$B$2:$B$147,"",0))</f>
        <v>Frame60</v>
      </c>
      <c r="K685" s="16" t="str">
        <f>_xlfn.XLOOKUP(A685,dd_design_raw!$C$2:$C$1002,dd_design_raw!$A$2:$A$1002,"",0)</f>
        <v>Double Casement</v>
      </c>
      <c r="L685" s="16" t="str">
        <f>_xlfn.XLOOKUP(I685,dd_accsryclr!$A$2:$A$1000,dd_accsryclr!$A$2:$A$1000,"",0)</f>
        <v/>
      </c>
    </row>
    <row r="686" spans="1:12" hidden="1" x14ac:dyDescent="0.25">
      <c r="A686" s="16" t="s">
        <v>10</v>
      </c>
      <c r="B686" s="16" t="s">
        <v>110</v>
      </c>
      <c r="C686" s="16" t="s">
        <v>491</v>
      </c>
      <c r="D686" s="16" t="s">
        <v>492</v>
      </c>
      <c r="E686" s="16">
        <v>0.93448275862068964</v>
      </c>
      <c r="F686" s="16" t="s">
        <v>194</v>
      </c>
      <c r="G686" s="16"/>
      <c r="H686" s="16" t="s">
        <v>486</v>
      </c>
      <c r="I686" s="16" t="s">
        <v>214</v>
      </c>
      <c r="J686" s="16" t="str">
        <f>IF(ISNUMBER(SEARCH("SCRW", H686)), _xlfn.XLOOKUP(C686,dd_item!$A$2:$A$147,dd_item!$B$2:$B$147,"",0),_xlfn.XLOOKUP(H686,dd_item!$A$2:$A$147,dd_item!$B$2:$B$147,"",0))</f>
        <v>Frame60</v>
      </c>
      <c r="K686" s="16" t="str">
        <f>_xlfn.XLOOKUP(A686,dd_design_raw!$C$2:$C$1002,dd_design_raw!$A$2:$A$1002,"",0)</f>
        <v>Double Casement</v>
      </c>
      <c r="L686" s="16" t="str">
        <f>_xlfn.XLOOKUP(I686,dd_accsryclr!$A$2:$A$1000,dd_accsryclr!$A$2:$A$1000,"",0)</f>
        <v/>
      </c>
    </row>
    <row r="687" spans="1:12" hidden="1" x14ac:dyDescent="0.25">
      <c r="A687" s="16" t="s">
        <v>10</v>
      </c>
      <c r="B687" s="16" t="s">
        <v>110</v>
      </c>
      <c r="C687" s="16" t="s">
        <v>493</v>
      </c>
      <c r="D687" s="16" t="s">
        <v>494</v>
      </c>
      <c r="E687" s="16">
        <v>0.93448275862068964</v>
      </c>
      <c r="F687" s="16" t="s">
        <v>194</v>
      </c>
      <c r="G687" s="16"/>
      <c r="H687" s="16" t="s">
        <v>486</v>
      </c>
      <c r="I687" s="16" t="s">
        <v>217</v>
      </c>
      <c r="J687" s="16" t="str">
        <f>IF(ISNUMBER(SEARCH("SCRW", H687)), _xlfn.XLOOKUP(C687,dd_item!$A$2:$A$147,dd_item!$B$2:$B$147,"",0),_xlfn.XLOOKUP(H687,dd_item!$A$2:$A$147,dd_item!$B$2:$B$147,"",0))</f>
        <v>Frame60</v>
      </c>
      <c r="K687" s="16" t="str">
        <f>_xlfn.XLOOKUP(A687,dd_design_raw!$C$2:$C$1002,dd_design_raw!$A$2:$A$1002,"",0)</f>
        <v>Double Casement</v>
      </c>
      <c r="L687" s="16" t="str">
        <f>_xlfn.XLOOKUP(I687,dd_accsryclr!$A$2:$A$1000,dd_accsryclr!$A$2:$A$1000,"",0)</f>
        <v/>
      </c>
    </row>
    <row r="688" spans="1:12" hidden="1" x14ac:dyDescent="0.25">
      <c r="A688" s="16" t="s">
        <v>10</v>
      </c>
      <c r="B688" s="16" t="s">
        <v>110</v>
      </c>
      <c r="C688" s="16" t="s">
        <v>495</v>
      </c>
      <c r="D688" s="16" t="s">
        <v>496</v>
      </c>
      <c r="E688" s="16">
        <v>0.93448275862068964</v>
      </c>
      <c r="F688" s="16" t="s">
        <v>194</v>
      </c>
      <c r="G688" s="16"/>
      <c r="H688" s="16" t="s">
        <v>486</v>
      </c>
      <c r="I688" s="16" t="s">
        <v>226</v>
      </c>
      <c r="J688" s="16" t="str">
        <f>IF(ISNUMBER(SEARCH("SCRW", H688)), _xlfn.XLOOKUP(C688,dd_item!$A$2:$A$147,dd_item!$B$2:$B$147,"",0),_xlfn.XLOOKUP(H688,dd_item!$A$2:$A$147,dd_item!$B$2:$B$147,"",0))</f>
        <v>Frame60</v>
      </c>
      <c r="K688" s="16" t="str">
        <f>_xlfn.XLOOKUP(A688,dd_design_raw!$C$2:$C$1002,dd_design_raw!$A$2:$A$1002,"",0)</f>
        <v>Double Casement</v>
      </c>
      <c r="L688" s="16" t="str">
        <f>_xlfn.XLOOKUP(I688,dd_accsryclr!$A$2:$A$1000,dd_accsryclr!$A$2:$A$1000,"",0)</f>
        <v/>
      </c>
    </row>
    <row r="689" spans="1:12" hidden="1" x14ac:dyDescent="0.25">
      <c r="A689" s="16" t="s">
        <v>10</v>
      </c>
      <c r="B689" s="16" t="s">
        <v>110</v>
      </c>
      <c r="C689" s="16" t="s">
        <v>497</v>
      </c>
      <c r="D689" s="16" t="s">
        <v>498</v>
      </c>
      <c r="E689" s="16">
        <v>0.93448275862068964</v>
      </c>
      <c r="F689" s="16" t="s">
        <v>194</v>
      </c>
      <c r="G689" s="16"/>
      <c r="H689" s="16" t="s">
        <v>486</v>
      </c>
      <c r="I689" s="16" t="s">
        <v>220</v>
      </c>
      <c r="J689" s="16" t="str">
        <f>IF(ISNUMBER(SEARCH("SCRW", H689)), _xlfn.XLOOKUP(C689,dd_item!$A$2:$A$147,dd_item!$B$2:$B$147,"",0),_xlfn.XLOOKUP(H689,dd_item!$A$2:$A$147,dd_item!$B$2:$B$147,"",0))</f>
        <v>Frame60</v>
      </c>
      <c r="K689" s="16" t="str">
        <f>_xlfn.XLOOKUP(A689,dd_design_raw!$C$2:$C$1002,dd_design_raw!$A$2:$A$1002,"",0)</f>
        <v>Double Casement</v>
      </c>
      <c r="L689" s="16" t="str">
        <f>_xlfn.XLOOKUP(I689,dd_accsryclr!$A$2:$A$1000,dd_accsryclr!$A$2:$A$1000,"",0)</f>
        <v>WHT</v>
      </c>
    </row>
    <row r="690" spans="1:12" hidden="1" x14ac:dyDescent="0.25">
      <c r="A690" s="16" t="s">
        <v>10</v>
      </c>
      <c r="B690" s="16" t="s">
        <v>110</v>
      </c>
      <c r="C690" s="16" t="s">
        <v>499</v>
      </c>
      <c r="D690" s="16" t="s">
        <v>500</v>
      </c>
      <c r="E690" s="16">
        <v>1.2765517241379309</v>
      </c>
      <c r="F690" s="16" t="s">
        <v>194</v>
      </c>
      <c r="G690" s="16"/>
      <c r="H690" s="16" t="s">
        <v>501</v>
      </c>
      <c r="I690" s="16" t="s">
        <v>211</v>
      </c>
      <c r="J690" s="16" t="str">
        <f>IF(ISNUMBER(SEARCH("SCRW", H690)), _xlfn.XLOOKUP(C690,dd_item!$A$2:$A$147,dd_item!$B$2:$B$147,"",0),_xlfn.XLOOKUP(H690,dd_item!$A$2:$A$147,dd_item!$B$2:$B$147,"",0))</f>
        <v>Sash78</v>
      </c>
      <c r="K690" s="16" t="str">
        <f>_xlfn.XLOOKUP(A690,dd_design_raw!$C$2:$C$1002,dd_design_raw!$A$2:$A$1002,"",0)</f>
        <v>Double Casement</v>
      </c>
      <c r="L690" s="16" t="str">
        <f>_xlfn.XLOOKUP(I690,dd_accsryclr!$A$2:$A$1000,dd_accsryclr!$A$2:$A$1000,"",0)</f>
        <v/>
      </c>
    </row>
    <row r="691" spans="1:12" hidden="1" x14ac:dyDescent="0.25">
      <c r="A691" s="16" t="s">
        <v>10</v>
      </c>
      <c r="B691" s="16" t="s">
        <v>110</v>
      </c>
      <c r="C691" s="16" t="s">
        <v>502</v>
      </c>
      <c r="D691" s="16" t="s">
        <v>503</v>
      </c>
      <c r="E691" s="16">
        <v>1.2765517241379309</v>
      </c>
      <c r="F691" s="16" t="s">
        <v>194</v>
      </c>
      <c r="G691" s="16"/>
      <c r="H691" s="16" t="s">
        <v>501</v>
      </c>
      <c r="I691" s="16" t="s">
        <v>214</v>
      </c>
      <c r="J691" s="16" t="str">
        <f>IF(ISNUMBER(SEARCH("SCRW", H691)), _xlfn.XLOOKUP(C691,dd_item!$A$2:$A$147,dd_item!$B$2:$B$147,"",0),_xlfn.XLOOKUP(H691,dd_item!$A$2:$A$147,dd_item!$B$2:$B$147,"",0))</f>
        <v>Sash78</v>
      </c>
      <c r="K691" s="16" t="str">
        <f>_xlfn.XLOOKUP(A691,dd_design_raw!$C$2:$C$1002,dd_design_raw!$A$2:$A$1002,"",0)</f>
        <v>Double Casement</v>
      </c>
      <c r="L691" s="16" t="str">
        <f>_xlfn.XLOOKUP(I691,dd_accsryclr!$A$2:$A$1000,dd_accsryclr!$A$2:$A$1000,"",0)</f>
        <v/>
      </c>
    </row>
    <row r="692" spans="1:12" hidden="1" x14ac:dyDescent="0.25">
      <c r="A692" s="16" t="s">
        <v>10</v>
      </c>
      <c r="B692" s="16" t="s">
        <v>110</v>
      </c>
      <c r="C692" s="16" t="s">
        <v>504</v>
      </c>
      <c r="D692" s="16" t="s">
        <v>505</v>
      </c>
      <c r="E692" s="16">
        <v>1.2765517241379309</v>
      </c>
      <c r="F692" s="16" t="s">
        <v>194</v>
      </c>
      <c r="G692" s="16"/>
      <c r="H692" s="16" t="s">
        <v>501</v>
      </c>
      <c r="I692" s="16" t="s">
        <v>217</v>
      </c>
      <c r="J692" s="16" t="str">
        <f>IF(ISNUMBER(SEARCH("SCRW", H692)), _xlfn.XLOOKUP(C692,dd_item!$A$2:$A$147,dd_item!$B$2:$B$147,"",0),_xlfn.XLOOKUP(H692,dd_item!$A$2:$A$147,dd_item!$B$2:$B$147,"",0))</f>
        <v>Sash78</v>
      </c>
      <c r="K692" s="16" t="str">
        <f>_xlfn.XLOOKUP(A692,dd_design_raw!$C$2:$C$1002,dd_design_raw!$A$2:$A$1002,"",0)</f>
        <v>Double Casement</v>
      </c>
      <c r="L692" s="16" t="str">
        <f>_xlfn.XLOOKUP(I692,dd_accsryclr!$A$2:$A$1000,dd_accsryclr!$A$2:$A$1000,"",0)</f>
        <v/>
      </c>
    </row>
    <row r="693" spans="1:12" hidden="1" x14ac:dyDescent="0.25">
      <c r="A693" s="16" t="s">
        <v>10</v>
      </c>
      <c r="B693" s="16" t="s">
        <v>110</v>
      </c>
      <c r="C693" s="16" t="s">
        <v>506</v>
      </c>
      <c r="D693" s="16" t="s">
        <v>507</v>
      </c>
      <c r="E693" s="16">
        <v>1.2765517241379309</v>
      </c>
      <c r="F693" s="16" t="s">
        <v>194</v>
      </c>
      <c r="G693" s="16"/>
      <c r="H693" s="16" t="s">
        <v>501</v>
      </c>
      <c r="I693" s="16" t="s">
        <v>226</v>
      </c>
      <c r="J693" s="16" t="str">
        <f>IF(ISNUMBER(SEARCH("SCRW", H693)), _xlfn.XLOOKUP(C693,dd_item!$A$2:$A$147,dd_item!$B$2:$B$147,"",0),_xlfn.XLOOKUP(H693,dd_item!$A$2:$A$147,dd_item!$B$2:$B$147,"",0))</f>
        <v>Sash78</v>
      </c>
      <c r="K693" s="16" t="str">
        <f>_xlfn.XLOOKUP(A693,dd_design_raw!$C$2:$C$1002,dd_design_raw!$A$2:$A$1002,"",0)</f>
        <v>Double Casement</v>
      </c>
      <c r="L693" s="16" t="str">
        <f>_xlfn.XLOOKUP(I693,dd_accsryclr!$A$2:$A$1000,dd_accsryclr!$A$2:$A$1000,"",0)</f>
        <v/>
      </c>
    </row>
    <row r="694" spans="1:12" hidden="1" x14ac:dyDescent="0.25">
      <c r="A694" s="16" t="s">
        <v>10</v>
      </c>
      <c r="B694" s="16" t="s">
        <v>110</v>
      </c>
      <c r="C694" s="16" t="s">
        <v>508</v>
      </c>
      <c r="D694" s="16" t="s">
        <v>509</v>
      </c>
      <c r="E694" s="16">
        <v>1.2765517241379309</v>
      </c>
      <c r="F694" s="16" t="s">
        <v>194</v>
      </c>
      <c r="G694" s="16"/>
      <c r="H694" s="16" t="s">
        <v>501</v>
      </c>
      <c r="I694" s="16" t="s">
        <v>220</v>
      </c>
      <c r="J694" s="16" t="str">
        <f>IF(ISNUMBER(SEARCH("SCRW", H694)), _xlfn.XLOOKUP(C694,dd_item!$A$2:$A$147,dd_item!$B$2:$B$147,"",0),_xlfn.XLOOKUP(H694,dd_item!$A$2:$A$147,dd_item!$B$2:$B$147,"",0))</f>
        <v>Sash78</v>
      </c>
      <c r="K694" s="16" t="str">
        <f>_xlfn.XLOOKUP(A694,dd_design_raw!$C$2:$C$1002,dd_design_raw!$A$2:$A$1002,"",0)</f>
        <v>Double Casement</v>
      </c>
      <c r="L694" s="16" t="str">
        <f>_xlfn.XLOOKUP(I694,dd_accsryclr!$A$2:$A$1000,dd_accsryclr!$A$2:$A$1000,"",0)</f>
        <v>WHT</v>
      </c>
    </row>
    <row r="695" spans="1:12" hidden="1" x14ac:dyDescent="0.25">
      <c r="A695" s="16" t="s">
        <v>10</v>
      </c>
      <c r="B695" s="16" t="s">
        <v>110</v>
      </c>
      <c r="C695" s="16" t="s">
        <v>510</v>
      </c>
      <c r="D695" s="16" t="s">
        <v>511</v>
      </c>
      <c r="E695" s="16">
        <v>1.2765517241379309</v>
      </c>
      <c r="F695" s="16" t="s">
        <v>194</v>
      </c>
      <c r="G695" s="16"/>
      <c r="H695" s="16" t="s">
        <v>501</v>
      </c>
      <c r="I695" s="16" t="s">
        <v>223</v>
      </c>
      <c r="J695" s="16" t="str">
        <f>IF(ISNUMBER(SEARCH("SCRW", H695)), _xlfn.XLOOKUP(C695,dd_item!$A$2:$A$147,dd_item!$B$2:$B$147,"",0),_xlfn.XLOOKUP(H695,dd_item!$A$2:$A$147,dd_item!$B$2:$B$147,"",0))</f>
        <v>Sash78</v>
      </c>
      <c r="K695" s="16" t="str">
        <f>_xlfn.XLOOKUP(A695,dd_design_raw!$C$2:$C$1002,dd_design_raw!$A$2:$A$1002,"",0)</f>
        <v>Double Casement</v>
      </c>
      <c r="L695" s="16" t="str">
        <f>_xlfn.XLOOKUP(I695,dd_accsryclr!$A$2:$A$1000,dd_accsryclr!$A$2:$A$1000,"",0)</f>
        <v>BLK</v>
      </c>
    </row>
    <row r="696" spans="1:12" hidden="1" x14ac:dyDescent="0.25">
      <c r="A696" s="16" t="s">
        <v>10</v>
      </c>
      <c r="B696" s="16" t="s">
        <v>110</v>
      </c>
      <c r="C696" s="16" t="s">
        <v>512</v>
      </c>
      <c r="D696" s="16" t="s">
        <v>513</v>
      </c>
      <c r="E696" s="16">
        <v>1.2765517241379309</v>
      </c>
      <c r="F696" s="16" t="s">
        <v>194</v>
      </c>
      <c r="G696" s="16"/>
      <c r="H696" s="16" t="s">
        <v>501</v>
      </c>
      <c r="I696" s="16" t="s">
        <v>230</v>
      </c>
      <c r="J696" s="16" t="str">
        <f>IF(ISNUMBER(SEARCH("SCRW", H696)), _xlfn.XLOOKUP(C696,dd_item!$A$2:$A$147,dd_item!$B$2:$B$147,"",0),_xlfn.XLOOKUP(H696,dd_item!$A$2:$A$147,dd_item!$B$2:$B$147,"",0))</f>
        <v>Sash78</v>
      </c>
      <c r="K696" s="16" t="str">
        <f>_xlfn.XLOOKUP(A696,dd_design_raw!$C$2:$C$1002,dd_design_raw!$A$2:$A$1002,"",0)</f>
        <v>Double Casement</v>
      </c>
      <c r="L696" s="16" t="str">
        <f>_xlfn.XLOOKUP(I696,dd_accsryclr!$A$2:$A$1000,dd_accsryclr!$A$2:$A$1000,"",0)</f>
        <v>BRWN</v>
      </c>
    </row>
    <row r="697" spans="1:12" hidden="1" x14ac:dyDescent="0.25">
      <c r="A697" s="16" t="s">
        <v>10</v>
      </c>
      <c r="B697" s="16" t="s">
        <v>110</v>
      </c>
      <c r="C697" s="16" t="s">
        <v>556</v>
      </c>
      <c r="D697" s="16" t="s">
        <v>557</v>
      </c>
      <c r="E697" s="16">
        <v>0.21310344827586206</v>
      </c>
      <c r="F697" s="16" t="s">
        <v>194</v>
      </c>
      <c r="G697" s="16"/>
      <c r="H697" s="16" t="s">
        <v>558</v>
      </c>
      <c r="I697" s="16" t="s">
        <v>211</v>
      </c>
      <c r="J697" s="16" t="str">
        <f>IF(ISNUMBER(SEARCH("SCRW", H697)), _xlfn.XLOOKUP(C697,dd_item!$A$2:$A$147,dd_item!$B$2:$B$147,"",0),_xlfn.XLOOKUP(H697,dd_item!$A$2:$A$147,dd_item!$B$2:$B$147,"",0))</f>
        <v>Mullion72</v>
      </c>
      <c r="K697" s="16" t="str">
        <f>_xlfn.XLOOKUP(A697,dd_design_raw!$C$2:$C$1002,dd_design_raw!$A$2:$A$1002,"",0)</f>
        <v>Double Casement</v>
      </c>
      <c r="L697" s="16" t="str">
        <f>_xlfn.XLOOKUP(I697,dd_accsryclr!$A$2:$A$1000,dd_accsryclr!$A$2:$A$1000,"",0)</f>
        <v/>
      </c>
    </row>
    <row r="698" spans="1:12" hidden="1" x14ac:dyDescent="0.25">
      <c r="A698" s="16" t="s">
        <v>10</v>
      </c>
      <c r="B698" s="16" t="s">
        <v>110</v>
      </c>
      <c r="C698" s="16" t="s">
        <v>559</v>
      </c>
      <c r="D698" s="16" t="s">
        <v>560</v>
      </c>
      <c r="E698" s="16">
        <v>0.21310344827586206</v>
      </c>
      <c r="F698" s="16" t="s">
        <v>194</v>
      </c>
      <c r="G698" s="16"/>
      <c r="H698" s="16" t="s">
        <v>558</v>
      </c>
      <c r="I698" s="16" t="s">
        <v>214</v>
      </c>
      <c r="J698" s="16" t="str">
        <f>IF(ISNUMBER(SEARCH("SCRW", H698)), _xlfn.XLOOKUP(C698,dd_item!$A$2:$A$147,dd_item!$B$2:$B$147,"",0),_xlfn.XLOOKUP(H698,dd_item!$A$2:$A$147,dd_item!$B$2:$B$147,"",0))</f>
        <v>Mullion72</v>
      </c>
      <c r="K698" s="16" t="str">
        <f>_xlfn.XLOOKUP(A698,dd_design_raw!$C$2:$C$1002,dd_design_raw!$A$2:$A$1002,"",0)</f>
        <v>Double Casement</v>
      </c>
      <c r="L698" s="16" t="str">
        <f>_xlfn.XLOOKUP(I698,dd_accsryclr!$A$2:$A$1000,dd_accsryclr!$A$2:$A$1000,"",0)</f>
        <v/>
      </c>
    </row>
    <row r="699" spans="1:12" hidden="1" x14ac:dyDescent="0.25">
      <c r="A699" s="16" t="s">
        <v>10</v>
      </c>
      <c r="B699" s="16" t="s">
        <v>110</v>
      </c>
      <c r="C699" s="16" t="s">
        <v>561</v>
      </c>
      <c r="D699" s="16" t="s">
        <v>562</v>
      </c>
      <c r="E699" s="16">
        <v>0.21310344827586206</v>
      </c>
      <c r="F699" s="16" t="s">
        <v>194</v>
      </c>
      <c r="G699" s="16"/>
      <c r="H699" s="16" t="s">
        <v>558</v>
      </c>
      <c r="I699" s="16" t="s">
        <v>217</v>
      </c>
      <c r="J699" s="16" t="str">
        <f>IF(ISNUMBER(SEARCH("SCRW", H699)), _xlfn.XLOOKUP(C699,dd_item!$A$2:$A$147,dd_item!$B$2:$B$147,"",0),_xlfn.XLOOKUP(H699,dd_item!$A$2:$A$147,dd_item!$B$2:$B$147,"",0))</f>
        <v>Mullion72</v>
      </c>
      <c r="K699" s="16" t="str">
        <f>_xlfn.XLOOKUP(A699,dd_design_raw!$C$2:$C$1002,dd_design_raw!$A$2:$A$1002,"",0)</f>
        <v>Double Casement</v>
      </c>
      <c r="L699" s="16" t="str">
        <f>_xlfn.XLOOKUP(I699,dd_accsryclr!$A$2:$A$1000,dd_accsryclr!$A$2:$A$1000,"",0)</f>
        <v/>
      </c>
    </row>
    <row r="700" spans="1:12" hidden="1" x14ac:dyDescent="0.25">
      <c r="A700" s="16" t="s">
        <v>10</v>
      </c>
      <c r="B700" s="16" t="s">
        <v>110</v>
      </c>
      <c r="C700" s="16" t="s">
        <v>563</v>
      </c>
      <c r="D700" s="16" t="s">
        <v>564</v>
      </c>
      <c r="E700" s="16">
        <v>0.21310344827586206</v>
      </c>
      <c r="F700" s="16" t="s">
        <v>194</v>
      </c>
      <c r="G700" s="16"/>
      <c r="H700" s="16" t="s">
        <v>558</v>
      </c>
      <c r="I700" s="16" t="s">
        <v>226</v>
      </c>
      <c r="J700" s="16" t="str">
        <f>IF(ISNUMBER(SEARCH("SCRW", H700)), _xlfn.XLOOKUP(C700,dd_item!$A$2:$A$147,dd_item!$B$2:$B$147,"",0),_xlfn.XLOOKUP(H700,dd_item!$A$2:$A$147,dd_item!$B$2:$B$147,"",0))</f>
        <v>Mullion72</v>
      </c>
      <c r="K700" s="16" t="str">
        <f>_xlfn.XLOOKUP(A700,dd_design_raw!$C$2:$C$1002,dd_design_raw!$A$2:$A$1002,"",0)</f>
        <v>Double Casement</v>
      </c>
      <c r="L700" s="16" t="str">
        <f>_xlfn.XLOOKUP(I700,dd_accsryclr!$A$2:$A$1000,dd_accsryclr!$A$2:$A$1000,"",0)</f>
        <v/>
      </c>
    </row>
    <row r="701" spans="1:12" hidden="1" x14ac:dyDescent="0.25">
      <c r="A701" s="16" t="s">
        <v>10</v>
      </c>
      <c r="B701" s="16" t="s">
        <v>110</v>
      </c>
      <c r="C701" s="16" t="s">
        <v>565</v>
      </c>
      <c r="D701" s="16" t="s">
        <v>566</v>
      </c>
      <c r="E701" s="16">
        <v>0.21310344827586206</v>
      </c>
      <c r="F701" s="16" t="s">
        <v>194</v>
      </c>
      <c r="G701" s="16"/>
      <c r="H701" s="16" t="s">
        <v>558</v>
      </c>
      <c r="I701" s="16" t="s">
        <v>220</v>
      </c>
      <c r="J701" s="16" t="str">
        <f>IF(ISNUMBER(SEARCH("SCRW", H701)), _xlfn.XLOOKUP(C701,dd_item!$A$2:$A$147,dd_item!$B$2:$B$147,"",0),_xlfn.XLOOKUP(H701,dd_item!$A$2:$A$147,dd_item!$B$2:$B$147,"",0))</f>
        <v>Mullion72</v>
      </c>
      <c r="K701" s="16" t="str">
        <f>_xlfn.XLOOKUP(A701,dd_design_raw!$C$2:$C$1002,dd_design_raw!$A$2:$A$1002,"",0)</f>
        <v>Double Casement</v>
      </c>
      <c r="L701" s="16" t="str">
        <f>_xlfn.XLOOKUP(I701,dd_accsryclr!$A$2:$A$1000,dd_accsryclr!$A$2:$A$1000,"",0)</f>
        <v>WHT</v>
      </c>
    </row>
    <row r="702" spans="1:12" hidden="1" x14ac:dyDescent="0.25">
      <c r="A702" s="16" t="s">
        <v>10</v>
      </c>
      <c r="B702" s="16" t="s">
        <v>110</v>
      </c>
      <c r="C702" s="16" t="s">
        <v>567</v>
      </c>
      <c r="D702" s="16" t="s">
        <v>568</v>
      </c>
      <c r="E702" s="16">
        <v>0.21310344827586206</v>
      </c>
      <c r="F702" s="16" t="s">
        <v>194</v>
      </c>
      <c r="G702" s="16"/>
      <c r="H702" s="16" t="s">
        <v>558</v>
      </c>
      <c r="I702" s="16" t="s">
        <v>230</v>
      </c>
      <c r="J702" s="16" t="str">
        <f>IF(ISNUMBER(SEARCH("SCRW", H702)), _xlfn.XLOOKUP(C702,dd_item!$A$2:$A$147,dd_item!$B$2:$B$147,"",0),_xlfn.XLOOKUP(H702,dd_item!$A$2:$A$147,dd_item!$B$2:$B$147,"",0))</f>
        <v>Mullion72</v>
      </c>
      <c r="K702" s="16" t="str">
        <f>_xlfn.XLOOKUP(A702,dd_design_raw!$C$2:$C$1002,dd_design_raw!$A$2:$A$1002,"",0)</f>
        <v>Double Casement</v>
      </c>
      <c r="L702" s="16" t="str">
        <f>_xlfn.XLOOKUP(I702,dd_accsryclr!$A$2:$A$1000,dd_accsryclr!$A$2:$A$1000,"",0)</f>
        <v>BRWN</v>
      </c>
    </row>
    <row r="703" spans="1:12" hidden="1" x14ac:dyDescent="0.25">
      <c r="A703" s="16" t="s">
        <v>10</v>
      </c>
      <c r="B703" s="16" t="s">
        <v>110</v>
      </c>
      <c r="C703" s="16" t="s">
        <v>569</v>
      </c>
      <c r="D703" s="16" t="s">
        <v>570</v>
      </c>
      <c r="E703" s="16">
        <v>0.21310344827586206</v>
      </c>
      <c r="F703" s="16" t="s">
        <v>194</v>
      </c>
      <c r="G703" s="16"/>
      <c r="H703" s="16" t="s">
        <v>558</v>
      </c>
      <c r="I703" s="16" t="s">
        <v>223</v>
      </c>
      <c r="J703" s="16" t="str">
        <f>IF(ISNUMBER(SEARCH("SCRW", H703)), _xlfn.XLOOKUP(C703,dd_item!$A$2:$A$147,dd_item!$B$2:$B$147,"",0),_xlfn.XLOOKUP(H703,dd_item!$A$2:$A$147,dd_item!$B$2:$B$147,"",0))</f>
        <v>Mullion72</v>
      </c>
      <c r="K703" s="16" t="str">
        <f>_xlfn.XLOOKUP(A703,dd_design_raw!$C$2:$C$1002,dd_design_raw!$A$2:$A$1002,"",0)</f>
        <v>Double Casement</v>
      </c>
      <c r="L703" s="16" t="str">
        <f>_xlfn.XLOOKUP(I703,dd_accsryclr!$A$2:$A$1000,dd_accsryclr!$A$2:$A$1000,"",0)</f>
        <v>BLK</v>
      </c>
    </row>
    <row r="704" spans="1:12" hidden="1" x14ac:dyDescent="0.25">
      <c r="A704" s="16" t="s">
        <v>10</v>
      </c>
      <c r="B704" s="16" t="s">
        <v>110</v>
      </c>
      <c r="C704" s="16" t="s">
        <v>514</v>
      </c>
      <c r="D704" s="16" t="s">
        <v>515</v>
      </c>
      <c r="E704" s="16">
        <v>0.41551724137931034</v>
      </c>
      <c r="F704" s="16" t="s">
        <v>194</v>
      </c>
      <c r="G704" s="16" t="s">
        <v>58</v>
      </c>
      <c r="H704" s="16" t="s">
        <v>516</v>
      </c>
      <c r="I704" s="16" t="s">
        <v>517</v>
      </c>
      <c r="J704" s="16" t="str">
        <f>IF(ISNUMBER(SEARCH("SCRW", H704)), _xlfn.XLOOKUP(C704,dd_item!$A$2:$A$147,dd_item!$B$2:$B$147,"",0),_xlfn.XLOOKUP(H704,dd_item!$A$2:$A$147,dd_item!$B$2:$B$147,"",0))</f>
        <v>Steel-Frame60</v>
      </c>
      <c r="K704" s="16" t="str">
        <f>_xlfn.XLOOKUP(A704,dd_design_raw!$C$2:$C$1002,dd_design_raw!$A$2:$A$1002,"",0)</f>
        <v>Double Casement</v>
      </c>
      <c r="L704" s="16" t="str">
        <f>_xlfn.XLOOKUP(I704,dd_accsryclr!$A$2:$A$1000,dd_accsryclr!$A$2:$A$1000,"",0)</f>
        <v/>
      </c>
    </row>
    <row r="705" spans="1:12" hidden="1" x14ac:dyDescent="0.25">
      <c r="A705" s="16" t="s">
        <v>10</v>
      </c>
      <c r="B705" s="16" t="s">
        <v>110</v>
      </c>
      <c r="C705" s="16" t="s">
        <v>518</v>
      </c>
      <c r="D705" s="16" t="s">
        <v>519</v>
      </c>
      <c r="E705" s="16">
        <v>0.62241379310344824</v>
      </c>
      <c r="F705" s="16" t="s">
        <v>194</v>
      </c>
      <c r="G705" s="16" t="s">
        <v>58</v>
      </c>
      <c r="H705" s="16" t="s">
        <v>1099</v>
      </c>
      <c r="I705" s="16" t="s">
        <v>520</v>
      </c>
      <c r="J705" s="16" t="str">
        <f>IF(ISNUMBER(SEARCH("SCRW", H705)), _xlfn.XLOOKUP(C705,dd_item!$A$2:$A$147,dd_item!$B$2:$B$147,"",0),_xlfn.XLOOKUP(H705,dd_item!$A$2:$A$147,dd_item!$B$2:$B$147,"",0))</f>
        <v>Steel-Frame60-H</v>
      </c>
      <c r="K705" s="16" t="str">
        <f>_xlfn.XLOOKUP(A705,dd_design_raw!$C$2:$C$1002,dd_design_raw!$A$2:$A$1002,"",0)</f>
        <v>Double Casement</v>
      </c>
      <c r="L705" s="16" t="str">
        <f>_xlfn.XLOOKUP(I705,dd_accsryclr!$A$2:$A$1000,dd_accsryclr!$A$2:$A$1000,"",0)</f>
        <v/>
      </c>
    </row>
    <row r="706" spans="1:12" hidden="1" x14ac:dyDescent="0.25">
      <c r="A706" s="16" t="s">
        <v>10</v>
      </c>
      <c r="B706" s="16" t="s">
        <v>110</v>
      </c>
      <c r="C706" s="16" t="s">
        <v>521</v>
      </c>
      <c r="D706" s="16" t="s">
        <v>522</v>
      </c>
      <c r="E706" s="16">
        <v>0.78482758620689652</v>
      </c>
      <c r="F706" s="16" t="s">
        <v>194</v>
      </c>
      <c r="G706" s="16" t="s">
        <v>59</v>
      </c>
      <c r="H706" s="16" t="s">
        <v>523</v>
      </c>
      <c r="I706" s="16" t="s">
        <v>524</v>
      </c>
      <c r="J706" s="16" t="str">
        <f>IF(ISNUMBER(SEARCH("SCRW", H706)), _xlfn.XLOOKUP(C706,dd_item!$A$2:$A$147,dd_item!$B$2:$B$147,"",0),_xlfn.XLOOKUP(H706,dd_item!$A$2:$A$147,dd_item!$B$2:$B$147,"",0))</f>
        <v>Steel-Sash78</v>
      </c>
      <c r="K706" s="16" t="str">
        <f>_xlfn.XLOOKUP(A706,dd_design_raw!$C$2:$C$1002,dd_design_raw!$A$2:$A$1002,"",0)</f>
        <v>Double Casement</v>
      </c>
      <c r="L706" s="16" t="str">
        <f>_xlfn.XLOOKUP(I706,dd_accsryclr!$A$2:$A$1000,dd_accsryclr!$A$2:$A$1000,"",0)</f>
        <v/>
      </c>
    </row>
    <row r="707" spans="1:12" hidden="1" x14ac:dyDescent="0.25">
      <c r="A707" s="16" t="s">
        <v>10</v>
      </c>
      <c r="B707" s="16" t="s">
        <v>110</v>
      </c>
      <c r="C707" s="16" t="s">
        <v>525</v>
      </c>
      <c r="D707" s="16" t="s">
        <v>526</v>
      </c>
      <c r="E707" s="16">
        <v>0.39333333333333337</v>
      </c>
      <c r="F707" s="16" t="s">
        <v>194</v>
      </c>
      <c r="G707" s="16" t="s">
        <v>59</v>
      </c>
      <c r="H707" s="16" t="s">
        <v>523</v>
      </c>
      <c r="I707" s="16" t="s">
        <v>527</v>
      </c>
      <c r="J707" s="16" t="str">
        <f>IF(ISNUMBER(SEARCH("SCRW", H707)), _xlfn.XLOOKUP(C707,dd_item!$A$2:$A$147,dd_item!$B$2:$B$147,"",0),_xlfn.XLOOKUP(H707,dd_item!$A$2:$A$147,dd_item!$B$2:$B$147,"",0))</f>
        <v>Steel-Sash78</v>
      </c>
      <c r="K707" s="16" t="str">
        <f>_xlfn.XLOOKUP(A707,dd_design_raw!$C$2:$C$1002,dd_design_raw!$A$2:$A$1002,"",0)</f>
        <v>Double Casement</v>
      </c>
      <c r="L707" s="16" t="str">
        <f>_xlfn.XLOOKUP(I707,dd_accsryclr!$A$2:$A$1000,dd_accsryclr!$A$2:$A$1000,"",0)</f>
        <v/>
      </c>
    </row>
    <row r="708" spans="1:12" hidden="1" x14ac:dyDescent="0.25">
      <c r="A708" s="16" t="s">
        <v>10</v>
      </c>
      <c r="B708" s="16" t="s">
        <v>110</v>
      </c>
      <c r="C708" s="16" t="s">
        <v>349</v>
      </c>
      <c r="D708" s="16" t="s">
        <v>350</v>
      </c>
      <c r="E708" s="16">
        <v>1.2765517241379309</v>
      </c>
      <c r="F708" s="16" t="s">
        <v>194</v>
      </c>
      <c r="G708" s="16"/>
      <c r="H708" s="16" t="s">
        <v>351</v>
      </c>
      <c r="I708" s="16" t="s">
        <v>211</v>
      </c>
      <c r="J708" s="16" t="str">
        <f>IF(ISNUMBER(SEARCH("SCRW", H708)), _xlfn.XLOOKUP(C708,dd_item!$A$2:$A$147,dd_item!$B$2:$B$147,"",0),_xlfn.XLOOKUP(H708,dd_item!$A$2:$A$147,dd_item!$B$2:$B$147,"",0))</f>
        <v>Bead34</v>
      </c>
      <c r="K708" s="16" t="str">
        <f>_xlfn.XLOOKUP(A708,dd_design_raw!$C$2:$C$1002,dd_design_raw!$A$2:$A$1002,"",0)</f>
        <v>Double Casement</v>
      </c>
      <c r="L708" s="16" t="str">
        <f>_xlfn.XLOOKUP(I708,dd_accsryclr!$A$2:$A$1000,dd_accsryclr!$A$2:$A$1000,"",0)</f>
        <v/>
      </c>
    </row>
    <row r="709" spans="1:12" hidden="1" x14ac:dyDescent="0.25">
      <c r="A709" s="16" t="s">
        <v>10</v>
      </c>
      <c r="B709" s="16" t="s">
        <v>110</v>
      </c>
      <c r="C709" s="16" t="s">
        <v>352</v>
      </c>
      <c r="D709" s="16" t="s">
        <v>353</v>
      </c>
      <c r="E709" s="16">
        <v>1.2765517241379309</v>
      </c>
      <c r="F709" s="16" t="s">
        <v>194</v>
      </c>
      <c r="G709" s="16"/>
      <c r="H709" s="16" t="s">
        <v>351</v>
      </c>
      <c r="I709" s="16" t="s">
        <v>214</v>
      </c>
      <c r="J709" s="16" t="str">
        <f>IF(ISNUMBER(SEARCH("SCRW", H709)), _xlfn.XLOOKUP(C709,dd_item!$A$2:$A$147,dd_item!$B$2:$B$147,"",0),_xlfn.XLOOKUP(H709,dd_item!$A$2:$A$147,dd_item!$B$2:$B$147,"",0))</f>
        <v>Bead34</v>
      </c>
      <c r="K709" s="16" t="str">
        <f>_xlfn.XLOOKUP(A709,dd_design_raw!$C$2:$C$1002,dd_design_raw!$A$2:$A$1002,"",0)</f>
        <v>Double Casement</v>
      </c>
      <c r="L709" s="16" t="str">
        <f>_xlfn.XLOOKUP(I709,dd_accsryclr!$A$2:$A$1000,dd_accsryclr!$A$2:$A$1000,"",0)</f>
        <v/>
      </c>
    </row>
    <row r="710" spans="1:12" hidden="1" x14ac:dyDescent="0.25">
      <c r="A710" s="16" t="s">
        <v>10</v>
      </c>
      <c r="B710" s="16" t="s">
        <v>110</v>
      </c>
      <c r="C710" s="16" t="s">
        <v>354</v>
      </c>
      <c r="D710" s="16" t="s">
        <v>355</v>
      </c>
      <c r="E710" s="16">
        <v>1.2765517241379309</v>
      </c>
      <c r="F710" s="16" t="s">
        <v>194</v>
      </c>
      <c r="G710" s="16"/>
      <c r="H710" s="16" t="s">
        <v>351</v>
      </c>
      <c r="I710" s="16" t="s">
        <v>217</v>
      </c>
      <c r="J710" s="16" t="str">
        <f>IF(ISNUMBER(SEARCH("SCRW", H710)), _xlfn.XLOOKUP(C710,dd_item!$A$2:$A$147,dd_item!$B$2:$B$147,"",0),_xlfn.XLOOKUP(H710,dd_item!$A$2:$A$147,dd_item!$B$2:$B$147,"",0))</f>
        <v>Bead34</v>
      </c>
      <c r="K710" s="16" t="str">
        <f>_xlfn.XLOOKUP(A710,dd_design_raw!$C$2:$C$1002,dd_design_raw!$A$2:$A$1002,"",0)</f>
        <v>Double Casement</v>
      </c>
      <c r="L710" s="16" t="str">
        <f>_xlfn.XLOOKUP(I710,dd_accsryclr!$A$2:$A$1000,dd_accsryclr!$A$2:$A$1000,"",0)</f>
        <v/>
      </c>
    </row>
    <row r="711" spans="1:12" hidden="1" x14ac:dyDescent="0.25">
      <c r="A711" s="16" t="s">
        <v>10</v>
      </c>
      <c r="B711" s="16" t="s">
        <v>110</v>
      </c>
      <c r="C711" s="16" t="s">
        <v>356</v>
      </c>
      <c r="D711" s="16" t="s">
        <v>357</v>
      </c>
      <c r="E711" s="16">
        <v>1.2765517241379309</v>
      </c>
      <c r="F711" s="16" t="s">
        <v>194</v>
      </c>
      <c r="G711" s="16"/>
      <c r="H711" s="16" t="s">
        <v>351</v>
      </c>
      <c r="I711" s="16" t="s">
        <v>226</v>
      </c>
      <c r="J711" s="16" t="str">
        <f>IF(ISNUMBER(SEARCH("SCRW", H711)), _xlfn.XLOOKUP(C711,dd_item!$A$2:$A$147,dd_item!$B$2:$B$147,"",0),_xlfn.XLOOKUP(H711,dd_item!$A$2:$A$147,dd_item!$B$2:$B$147,"",0))</f>
        <v>Bead34</v>
      </c>
      <c r="K711" s="16" t="str">
        <f>_xlfn.XLOOKUP(A711,dd_design_raw!$C$2:$C$1002,dd_design_raw!$A$2:$A$1002,"",0)</f>
        <v>Double Casement</v>
      </c>
      <c r="L711" s="16" t="str">
        <f>_xlfn.XLOOKUP(I711,dd_accsryclr!$A$2:$A$1000,dd_accsryclr!$A$2:$A$1000,"",0)</f>
        <v/>
      </c>
    </row>
    <row r="712" spans="1:12" hidden="1" x14ac:dyDescent="0.25">
      <c r="A712" s="16" t="s">
        <v>10</v>
      </c>
      <c r="B712" s="16" t="s">
        <v>110</v>
      </c>
      <c r="C712" s="16" t="s">
        <v>358</v>
      </c>
      <c r="D712" s="16" t="s">
        <v>359</v>
      </c>
      <c r="E712" s="16">
        <v>1.2765517241379309</v>
      </c>
      <c r="F712" s="16" t="s">
        <v>194</v>
      </c>
      <c r="G712" s="16"/>
      <c r="H712" s="16" t="s">
        <v>351</v>
      </c>
      <c r="I712" s="16" t="s">
        <v>220</v>
      </c>
      <c r="J712" s="16" t="str">
        <f>IF(ISNUMBER(SEARCH("SCRW", H712)), _xlfn.XLOOKUP(C712,dd_item!$A$2:$A$147,dd_item!$B$2:$B$147,"",0),_xlfn.XLOOKUP(H712,dd_item!$A$2:$A$147,dd_item!$B$2:$B$147,"",0))</f>
        <v>Bead34</v>
      </c>
      <c r="K712" s="16" t="str">
        <f>_xlfn.XLOOKUP(A712,dd_design_raw!$C$2:$C$1002,dd_design_raw!$A$2:$A$1002,"",0)</f>
        <v>Double Casement</v>
      </c>
      <c r="L712" s="16" t="str">
        <f>_xlfn.XLOOKUP(I712,dd_accsryclr!$A$2:$A$1000,dd_accsryclr!$A$2:$A$1000,"",0)</f>
        <v>WHT</v>
      </c>
    </row>
    <row r="713" spans="1:12" hidden="1" x14ac:dyDescent="0.25">
      <c r="A713" s="16" t="s">
        <v>10</v>
      </c>
      <c r="B713" s="16" t="s">
        <v>110</v>
      </c>
      <c r="C713" s="16" t="s">
        <v>360</v>
      </c>
      <c r="D713" s="16" t="s">
        <v>361</v>
      </c>
      <c r="E713" s="16">
        <v>1.2765517241379309</v>
      </c>
      <c r="F713" s="16" t="s">
        <v>194</v>
      </c>
      <c r="G713" s="16"/>
      <c r="H713" s="16" t="s">
        <v>351</v>
      </c>
      <c r="I713" s="16" t="s">
        <v>223</v>
      </c>
      <c r="J713" s="16" t="str">
        <f>IF(ISNUMBER(SEARCH("SCRW", H713)), _xlfn.XLOOKUP(C713,dd_item!$A$2:$A$147,dd_item!$B$2:$B$147,"",0),_xlfn.XLOOKUP(H713,dd_item!$A$2:$A$147,dd_item!$B$2:$B$147,"",0))</f>
        <v>Bead34</v>
      </c>
      <c r="K713" s="16" t="str">
        <f>_xlfn.XLOOKUP(A713,dd_design_raw!$C$2:$C$1002,dd_design_raw!$A$2:$A$1002,"",0)</f>
        <v>Double Casement</v>
      </c>
      <c r="L713" s="16" t="str">
        <f>_xlfn.XLOOKUP(I713,dd_accsryclr!$A$2:$A$1000,dd_accsryclr!$A$2:$A$1000,"",0)</f>
        <v>BLK</v>
      </c>
    </row>
    <row r="714" spans="1:12" hidden="1" x14ac:dyDescent="0.25">
      <c r="A714" s="16" t="s">
        <v>10</v>
      </c>
      <c r="B714" s="16" t="s">
        <v>110</v>
      </c>
      <c r="C714" s="16" t="s">
        <v>362</v>
      </c>
      <c r="D714" s="16" t="s">
        <v>363</v>
      </c>
      <c r="E714" s="16">
        <v>1.2765517241379309</v>
      </c>
      <c r="F714" s="16" t="s">
        <v>194</v>
      </c>
      <c r="G714" s="16"/>
      <c r="H714" s="16" t="s">
        <v>351</v>
      </c>
      <c r="I714" s="16" t="s">
        <v>230</v>
      </c>
      <c r="J714" s="16" t="str">
        <f>IF(ISNUMBER(SEARCH("SCRW", H714)), _xlfn.XLOOKUP(C714,dd_item!$A$2:$A$147,dd_item!$B$2:$B$147,"",0),_xlfn.XLOOKUP(H714,dd_item!$A$2:$A$147,dd_item!$B$2:$B$147,"",0))</f>
        <v>Bead34</v>
      </c>
      <c r="K714" s="16" t="str">
        <f>_xlfn.XLOOKUP(A714,dd_design_raw!$C$2:$C$1002,dd_design_raw!$A$2:$A$1002,"",0)</f>
        <v>Double Casement</v>
      </c>
      <c r="L714" s="16" t="str">
        <f>_xlfn.XLOOKUP(I714,dd_accsryclr!$A$2:$A$1000,dd_accsryclr!$A$2:$A$1000,"",0)</f>
        <v>BRWN</v>
      </c>
    </row>
    <row r="715" spans="1:12" x14ac:dyDescent="0.25">
      <c r="A715" s="16" t="s">
        <v>10</v>
      </c>
      <c r="B715" s="16" t="s">
        <v>110</v>
      </c>
      <c r="C715" s="16" t="s">
        <v>528</v>
      </c>
      <c r="D715" s="16" t="s">
        <v>529</v>
      </c>
      <c r="E715" s="16">
        <v>2</v>
      </c>
      <c r="F715" s="16" t="s">
        <v>293</v>
      </c>
      <c r="G715" s="16"/>
      <c r="H715" s="16" t="s">
        <v>530</v>
      </c>
      <c r="I715" s="16" t="s">
        <v>531</v>
      </c>
      <c r="J715" s="16" t="str">
        <f>IF(ISNUMBER(SEARCH("SCRW", H715)), _xlfn.XLOOKUP(C715,dd_item!$A$2:$A$147,dd_item!$B$2:$B$147,"",0),_xlfn.XLOOKUP(H715,dd_item!$A$2:$A$147,dd_item!$B$2:$B$147,"",0))</f>
        <v>Casement Espagnolette</v>
      </c>
      <c r="K715" s="16" t="str">
        <f>_xlfn.XLOOKUP(A715,dd_design_raw!$C$2:$C$1002,dd_design_raw!$A$2:$A$1002,"",0)</f>
        <v>Double Casement</v>
      </c>
      <c r="L715" s="16" t="str">
        <f>_xlfn.XLOOKUP(I715,dd_accsryclr!$A$2:$A$1000,dd_accsryclr!$A$2:$A$1000,"",0)</f>
        <v/>
      </c>
    </row>
    <row r="716" spans="1:12" x14ac:dyDescent="0.25">
      <c r="A716" s="16" t="s">
        <v>10</v>
      </c>
      <c r="B716" s="16" t="s">
        <v>110</v>
      </c>
      <c r="C716" s="16" t="s">
        <v>532</v>
      </c>
      <c r="D716" s="16" t="s">
        <v>533</v>
      </c>
      <c r="E716" s="16">
        <v>2</v>
      </c>
      <c r="F716" s="16" t="s">
        <v>293</v>
      </c>
      <c r="G716" s="16"/>
      <c r="H716" s="16" t="s">
        <v>530</v>
      </c>
      <c r="I716" s="16" t="s">
        <v>531</v>
      </c>
      <c r="J716" s="16" t="str">
        <f>IF(ISNUMBER(SEARCH("SCRW", H716)), _xlfn.XLOOKUP(C716,dd_item!$A$2:$A$147,dd_item!$B$2:$B$147,"",0),_xlfn.XLOOKUP(H716,dd_item!$A$2:$A$147,dd_item!$B$2:$B$147,"",0))</f>
        <v>Casement Espagnolette</v>
      </c>
      <c r="K716" s="16" t="str">
        <f>_xlfn.XLOOKUP(A716,dd_design_raw!$C$2:$C$1002,dd_design_raw!$A$2:$A$1002,"",0)</f>
        <v>Double Casement</v>
      </c>
      <c r="L716" s="16" t="str">
        <f>_xlfn.XLOOKUP(I716,dd_accsryclr!$A$2:$A$1000,dd_accsryclr!$A$2:$A$1000,"",0)</f>
        <v/>
      </c>
    </row>
    <row r="717" spans="1:12" x14ac:dyDescent="0.25">
      <c r="A717" s="16" t="s">
        <v>10</v>
      </c>
      <c r="B717" s="16" t="s">
        <v>110</v>
      </c>
      <c r="C717" s="16" t="s">
        <v>534</v>
      </c>
      <c r="D717" s="16" t="s">
        <v>535</v>
      </c>
      <c r="E717" s="16">
        <v>2</v>
      </c>
      <c r="F717" s="16" t="s">
        <v>293</v>
      </c>
      <c r="G717" s="16"/>
      <c r="H717" s="16" t="s">
        <v>530</v>
      </c>
      <c r="I717" s="16" t="s">
        <v>536</v>
      </c>
      <c r="J717" s="16" t="str">
        <f>IF(ISNUMBER(SEARCH("SCRW", H717)), _xlfn.XLOOKUP(C717,dd_item!$A$2:$A$147,dd_item!$B$2:$B$147,"",0),_xlfn.XLOOKUP(H717,dd_item!$A$2:$A$147,dd_item!$B$2:$B$147,"",0))</f>
        <v>Casement Espagnolette</v>
      </c>
      <c r="K717" s="16" t="str">
        <f>_xlfn.XLOOKUP(A717,dd_design_raw!$C$2:$C$1002,dd_design_raw!$A$2:$A$1002,"",0)</f>
        <v>Double Casement</v>
      </c>
      <c r="L717" s="16" t="str">
        <f>_xlfn.XLOOKUP(I717,dd_accsryclr!$A$2:$A$1000,dd_accsryclr!$A$2:$A$1000,"",0)</f>
        <v/>
      </c>
    </row>
    <row r="718" spans="1:12" hidden="1" x14ac:dyDescent="0.25">
      <c r="A718" s="16" t="s">
        <v>10</v>
      </c>
      <c r="B718" s="16" t="s">
        <v>110</v>
      </c>
      <c r="C718" s="16" t="s">
        <v>571</v>
      </c>
      <c r="D718" s="16" t="s">
        <v>572</v>
      </c>
      <c r="E718" s="16">
        <v>4</v>
      </c>
      <c r="F718" s="16" t="s">
        <v>293</v>
      </c>
      <c r="G718" s="16"/>
      <c r="H718" s="16" t="s">
        <v>573</v>
      </c>
      <c r="I718" s="16" t="s">
        <v>576</v>
      </c>
      <c r="J718" s="16" t="str">
        <f>IF(ISNUMBER(SEARCH("SCRW", H718)), _xlfn.XLOOKUP(C718,dd_item!$A$2:$A$147,dd_item!$B$2:$B$147,"",0),_xlfn.XLOOKUP(H718,dd_item!$A$2:$A$147,dd_item!$B$2:$B$147,"",0))</f>
        <v>Hinge 4-Bar</v>
      </c>
      <c r="K718" s="16" t="str">
        <f>_xlfn.XLOOKUP(A718,dd_design_raw!$C$2:$C$1002,dd_design_raw!$A$2:$A$1002,"",0)</f>
        <v>Double Casement</v>
      </c>
      <c r="L718" s="16" t="str">
        <f>_xlfn.XLOOKUP(I718,dd_accsryclr!$A$2:$A$1000,dd_accsryclr!$A$2:$A$1000,"",0)</f>
        <v/>
      </c>
    </row>
    <row r="719" spans="1:12" hidden="1" x14ac:dyDescent="0.25">
      <c r="A719" s="16" t="s">
        <v>10</v>
      </c>
      <c r="B719" s="16" t="s">
        <v>110</v>
      </c>
      <c r="C719" s="16" t="s">
        <v>390</v>
      </c>
      <c r="D719" s="16" t="s">
        <v>391</v>
      </c>
      <c r="E719" s="16">
        <v>10.84</v>
      </c>
      <c r="F719" s="16" t="s">
        <v>369</v>
      </c>
      <c r="G719" s="16"/>
      <c r="H719" s="16" t="s">
        <v>792</v>
      </c>
      <c r="I719" s="16" t="s">
        <v>577</v>
      </c>
      <c r="J719" s="16" t="str">
        <f>IF(ISNUMBER(SEARCH("SCRW", H719)), _xlfn.XLOOKUP(C719,dd_item!$A$2:$A$147,dd_item!$B$2:$B$147,"",0),_xlfn.XLOOKUP(H719,dd_item!$A$2:$A$147,dd_item!$B$2:$B$147,"",0))</f>
        <v>Atlas Screw (S) 10 x 2-1/2" (Flat)</v>
      </c>
      <c r="K719" s="16" t="str">
        <f>_xlfn.XLOOKUP(A719,dd_design_raw!$C$2:$C$1002,dd_design_raw!$A$2:$A$1002,"",0)</f>
        <v>Double Casement</v>
      </c>
      <c r="L719" s="16" t="str">
        <f>_xlfn.XLOOKUP(I719,dd_accsryclr!$A$2:$A$1000,dd_accsryclr!$A$2:$A$1000,"",0)</f>
        <v/>
      </c>
    </row>
    <row r="720" spans="1:12" hidden="1" x14ac:dyDescent="0.25">
      <c r="A720" s="16" t="s">
        <v>10</v>
      </c>
      <c r="B720" s="16" t="s">
        <v>110</v>
      </c>
      <c r="C720" s="16" t="s">
        <v>392</v>
      </c>
      <c r="D720" s="16" t="s">
        <v>393</v>
      </c>
      <c r="E720" s="16">
        <v>3</v>
      </c>
      <c r="F720" s="16" t="s">
        <v>369</v>
      </c>
      <c r="G720" s="16"/>
      <c r="H720" s="16" t="s">
        <v>394</v>
      </c>
      <c r="I720" s="16" t="s">
        <v>223</v>
      </c>
      <c r="J720" s="16" t="str">
        <f>IF(ISNUMBER(SEARCH("SCRW", H720)), _xlfn.XLOOKUP(C720,dd_item!$A$2:$A$147,dd_item!$B$2:$B$147,"",0),_xlfn.XLOOKUP(H720,dd_item!$A$2:$A$147,dd_item!$B$2:$B$147,"",0))</f>
        <v>Drainage Cover</v>
      </c>
      <c r="K720" s="16" t="str">
        <f>_xlfn.XLOOKUP(A720,dd_design_raw!$C$2:$C$1002,dd_design_raw!$A$2:$A$1002,"",0)</f>
        <v>Double Casement</v>
      </c>
      <c r="L720" s="16" t="str">
        <f>_xlfn.XLOOKUP(I720,dd_accsryclr!$A$2:$A$1000,dd_accsryclr!$A$2:$A$1000,"",0)</f>
        <v>BLK</v>
      </c>
    </row>
    <row r="721" spans="1:12" hidden="1" x14ac:dyDescent="0.25">
      <c r="A721" s="16" t="s">
        <v>10</v>
      </c>
      <c r="B721" s="16" t="s">
        <v>110</v>
      </c>
      <c r="C721" s="16" t="s">
        <v>395</v>
      </c>
      <c r="D721" s="16" t="s">
        <v>396</v>
      </c>
      <c r="E721" s="16">
        <v>3</v>
      </c>
      <c r="F721" s="16" t="s">
        <v>369</v>
      </c>
      <c r="G721" s="16"/>
      <c r="H721" s="16" t="s">
        <v>394</v>
      </c>
      <c r="I721" s="16" t="s">
        <v>220</v>
      </c>
      <c r="J721" s="16" t="str">
        <f>IF(ISNUMBER(SEARCH("SCRW", H721)), _xlfn.XLOOKUP(C721,dd_item!$A$2:$A$147,dd_item!$B$2:$B$147,"",0),_xlfn.XLOOKUP(H721,dd_item!$A$2:$A$147,dd_item!$B$2:$B$147,"",0))</f>
        <v>Drainage Cover</v>
      </c>
      <c r="K721" s="16" t="str">
        <f>_xlfn.XLOOKUP(A721,dd_design_raw!$C$2:$C$1002,dd_design_raw!$A$2:$A$1002,"",0)</f>
        <v>Double Casement</v>
      </c>
      <c r="L721" s="16" t="str">
        <f>_xlfn.XLOOKUP(I721,dd_accsryclr!$A$2:$A$1000,dd_accsryclr!$A$2:$A$1000,"",0)</f>
        <v>WHT</v>
      </c>
    </row>
    <row r="722" spans="1:12" hidden="1" x14ac:dyDescent="0.25">
      <c r="A722" s="16" t="s">
        <v>10</v>
      </c>
      <c r="B722" s="16" t="s">
        <v>110</v>
      </c>
      <c r="C722" s="16" t="s">
        <v>397</v>
      </c>
      <c r="D722" s="16" t="s">
        <v>398</v>
      </c>
      <c r="E722" s="16">
        <v>0.21679999999999999</v>
      </c>
      <c r="F722" s="16" t="s">
        <v>369</v>
      </c>
      <c r="G722" s="16"/>
      <c r="H722" s="16" t="s">
        <v>399</v>
      </c>
      <c r="I722" s="16" t="s">
        <v>400</v>
      </c>
      <c r="J722" s="16" t="str">
        <f>IF(ISNUMBER(SEARCH("SCRW", H722)), _xlfn.XLOOKUP(C722,dd_item!$A$2:$A$147,dd_item!$B$2:$B$147,"",0),_xlfn.XLOOKUP(H722,dd_item!$A$2:$A$147,dd_item!$B$2:$B$147,"",0))</f>
        <v>Tox6</v>
      </c>
      <c r="K722" s="16" t="str">
        <f>_xlfn.XLOOKUP(A722,dd_design_raw!$C$2:$C$1002,dd_design_raw!$A$2:$A$1002,"",0)</f>
        <v>Double Casement</v>
      </c>
      <c r="L722" s="16" t="str">
        <f>_xlfn.XLOOKUP(I722,dd_accsryclr!$A$2:$A$1000,dd_accsryclr!$A$2:$A$1000,"",0)</f>
        <v/>
      </c>
    </row>
    <row r="723" spans="1:12" hidden="1" x14ac:dyDescent="0.25">
      <c r="A723" s="16" t="s">
        <v>10</v>
      </c>
      <c r="B723" s="16" t="s">
        <v>110</v>
      </c>
      <c r="C723" s="16" t="s">
        <v>414</v>
      </c>
      <c r="D723" s="16" t="s">
        <v>415</v>
      </c>
      <c r="E723" s="16">
        <v>3.6133333333333333</v>
      </c>
      <c r="F723" s="16" t="s">
        <v>369</v>
      </c>
      <c r="G723" s="16"/>
      <c r="H723" s="16" t="s">
        <v>416</v>
      </c>
      <c r="I723" s="16" t="s">
        <v>223</v>
      </c>
      <c r="J723" s="16" t="str">
        <f>IF(ISNUMBER(SEARCH("SCRW", H723)), _xlfn.XLOOKUP(C723,dd_item!$A$2:$A$147,dd_item!$B$2:$B$147,"",0),_xlfn.XLOOKUP(H723,dd_item!$A$2:$A$147,dd_item!$B$2:$B$147,"",0))</f>
        <v>Sealant</v>
      </c>
      <c r="K723" s="16" t="str">
        <f>_xlfn.XLOOKUP(A723,dd_design_raw!$C$2:$C$1002,dd_design_raw!$A$2:$A$1002,"",0)</f>
        <v>Double Casement</v>
      </c>
      <c r="L723" s="16" t="str">
        <f>_xlfn.XLOOKUP(I723,dd_accsryclr!$A$2:$A$1000,dd_accsryclr!$A$2:$A$1000,"",0)</f>
        <v>BLK</v>
      </c>
    </row>
    <row r="724" spans="1:12" hidden="1" x14ac:dyDescent="0.25">
      <c r="A724" s="16" t="s">
        <v>10</v>
      </c>
      <c r="B724" s="16" t="s">
        <v>110</v>
      </c>
      <c r="C724" s="16" t="s">
        <v>417</v>
      </c>
      <c r="D724" s="16" t="s">
        <v>418</v>
      </c>
      <c r="E724" s="16">
        <v>3.6133333333333333</v>
      </c>
      <c r="F724" s="16" t="s">
        <v>369</v>
      </c>
      <c r="G724" s="16"/>
      <c r="H724" s="16" t="s">
        <v>416</v>
      </c>
      <c r="I724" s="16" t="s">
        <v>230</v>
      </c>
      <c r="J724" s="16" t="str">
        <f>IF(ISNUMBER(SEARCH("SCRW", H724)), _xlfn.XLOOKUP(C724,dd_item!$A$2:$A$147,dd_item!$B$2:$B$147,"",0),_xlfn.XLOOKUP(H724,dd_item!$A$2:$A$147,dd_item!$B$2:$B$147,"",0))</f>
        <v>Sealant</v>
      </c>
      <c r="K724" s="16" t="str">
        <f>_xlfn.XLOOKUP(A724,dd_design_raw!$C$2:$C$1002,dd_design_raw!$A$2:$A$1002,"",0)</f>
        <v>Double Casement</v>
      </c>
      <c r="L724" s="16" t="str">
        <f>_xlfn.XLOOKUP(I724,dd_accsryclr!$A$2:$A$1000,dd_accsryclr!$A$2:$A$1000,"",0)</f>
        <v>BRWN</v>
      </c>
    </row>
    <row r="725" spans="1:12" hidden="1" x14ac:dyDescent="0.25">
      <c r="A725" s="16" t="s">
        <v>10</v>
      </c>
      <c r="B725" s="16" t="s">
        <v>110</v>
      </c>
      <c r="C725" s="16" t="s">
        <v>419</v>
      </c>
      <c r="D725" s="16" t="s">
        <v>420</v>
      </c>
      <c r="E725" s="16">
        <v>3.6133333333333333</v>
      </c>
      <c r="F725" s="16" t="s">
        <v>369</v>
      </c>
      <c r="G725" s="16"/>
      <c r="H725" s="16" t="s">
        <v>416</v>
      </c>
      <c r="I725" s="16" t="s">
        <v>220</v>
      </c>
      <c r="J725" s="16" t="str">
        <f>IF(ISNUMBER(SEARCH("SCRW", H725)), _xlfn.XLOOKUP(C725,dd_item!$A$2:$A$147,dd_item!$B$2:$B$147,"",0),_xlfn.XLOOKUP(H725,dd_item!$A$2:$A$147,dd_item!$B$2:$B$147,"",0))</f>
        <v>Sealant</v>
      </c>
      <c r="K725" s="16" t="str">
        <f>_xlfn.XLOOKUP(A725,dd_design_raw!$C$2:$C$1002,dd_design_raw!$A$2:$A$1002,"",0)</f>
        <v>Double Casement</v>
      </c>
      <c r="L725" s="16" t="str">
        <f>_xlfn.XLOOKUP(I725,dd_accsryclr!$A$2:$A$1000,dd_accsryclr!$A$2:$A$1000,"",0)</f>
        <v>WHT</v>
      </c>
    </row>
    <row r="726" spans="1:12" hidden="1" x14ac:dyDescent="0.25">
      <c r="A726" s="16" t="s">
        <v>10</v>
      </c>
      <c r="B726" s="16" t="s">
        <v>110</v>
      </c>
      <c r="C726" s="16" t="s">
        <v>421</v>
      </c>
      <c r="D726" s="16" t="s">
        <v>422</v>
      </c>
      <c r="E726" s="16"/>
      <c r="F726" s="16" t="s">
        <v>369</v>
      </c>
      <c r="G726" s="16"/>
      <c r="H726" s="16" t="s">
        <v>416</v>
      </c>
      <c r="I726" s="16" t="s">
        <v>423</v>
      </c>
      <c r="J726" s="16" t="str">
        <f>IF(ISNUMBER(SEARCH("SCRW", H726)), _xlfn.XLOOKUP(C726,dd_item!$A$2:$A$147,dd_item!$B$2:$B$147,"",0),_xlfn.XLOOKUP(H726,dd_item!$A$2:$A$147,dd_item!$B$2:$B$147,"",0))</f>
        <v>Sealant</v>
      </c>
      <c r="K726" s="16" t="str">
        <f>_xlfn.XLOOKUP(A726,dd_design_raw!$C$2:$C$1002,dd_design_raw!$A$2:$A$1002,"",0)</f>
        <v>Double Casement</v>
      </c>
      <c r="L726" s="16" t="str">
        <f>_xlfn.XLOOKUP(I726,dd_accsryclr!$A$2:$A$1000,dd_accsryclr!$A$2:$A$1000,"",0)</f>
        <v/>
      </c>
    </row>
    <row r="727" spans="1:12" hidden="1" x14ac:dyDescent="0.25">
      <c r="A727" s="16" t="s">
        <v>10</v>
      </c>
      <c r="B727" s="16" t="s">
        <v>110</v>
      </c>
      <c r="C727" s="16" t="s">
        <v>540</v>
      </c>
      <c r="D727" s="16" t="s">
        <v>541</v>
      </c>
      <c r="E727" s="16">
        <v>2</v>
      </c>
      <c r="F727" s="16" t="s">
        <v>369</v>
      </c>
      <c r="G727" s="16"/>
      <c r="H727" s="16" t="s">
        <v>542</v>
      </c>
      <c r="I727" s="16" t="s">
        <v>223</v>
      </c>
      <c r="J727" s="16" t="str">
        <f>IF(ISNUMBER(SEARCH("SCRW", H727)), _xlfn.XLOOKUP(C727,dd_item!$A$2:$A$147,dd_item!$B$2:$B$147,"",0),_xlfn.XLOOKUP(H727,dd_item!$A$2:$A$147,dd_item!$B$2:$B$147,"",0))</f>
        <v>Casement Handle (Roto)</v>
      </c>
      <c r="K727" s="16" t="str">
        <f>_xlfn.XLOOKUP(A727,dd_design_raw!$C$2:$C$1002,dd_design_raw!$A$2:$A$1002,"",0)</f>
        <v>Double Casement</v>
      </c>
      <c r="L727" s="16" t="str">
        <f>_xlfn.XLOOKUP(I727,dd_accsryclr!$A$2:$A$1000,dd_accsryclr!$A$2:$A$1000,"",0)</f>
        <v>BLK</v>
      </c>
    </row>
    <row r="728" spans="1:12" hidden="1" x14ac:dyDescent="0.25">
      <c r="A728" s="16" t="s">
        <v>10</v>
      </c>
      <c r="B728" s="16" t="s">
        <v>110</v>
      </c>
      <c r="C728" s="16" t="s">
        <v>543</v>
      </c>
      <c r="D728" s="16" t="s">
        <v>544</v>
      </c>
      <c r="E728" s="16">
        <v>2</v>
      </c>
      <c r="F728" s="16" t="s">
        <v>369</v>
      </c>
      <c r="G728" s="16"/>
      <c r="H728" s="16" t="s">
        <v>542</v>
      </c>
      <c r="I728" s="16" t="s">
        <v>220</v>
      </c>
      <c r="J728" s="16" t="str">
        <f>IF(ISNUMBER(SEARCH("SCRW", H728)), _xlfn.XLOOKUP(C728,dd_item!$A$2:$A$147,dd_item!$B$2:$B$147,"",0),_xlfn.XLOOKUP(H728,dd_item!$A$2:$A$147,dd_item!$B$2:$B$147,"",0))</f>
        <v>Casement Handle (Roto)</v>
      </c>
      <c r="K728" s="16" t="str">
        <f>_xlfn.XLOOKUP(A728,dd_design_raw!$C$2:$C$1002,dd_design_raw!$A$2:$A$1002,"",0)</f>
        <v>Double Casement</v>
      </c>
      <c r="L728" s="16" t="str">
        <f>_xlfn.XLOOKUP(I728,dd_accsryclr!$A$2:$A$1000,dd_accsryclr!$A$2:$A$1000,"",0)</f>
        <v>WHT</v>
      </c>
    </row>
    <row r="729" spans="1:12" hidden="1" x14ac:dyDescent="0.25">
      <c r="A729" s="16" t="s">
        <v>10</v>
      </c>
      <c r="B729" s="16" t="s">
        <v>110</v>
      </c>
      <c r="C729" s="16" t="s">
        <v>545</v>
      </c>
      <c r="D729" s="16" t="s">
        <v>546</v>
      </c>
      <c r="E729" s="16">
        <v>2</v>
      </c>
      <c r="F729" s="16" t="s">
        <v>369</v>
      </c>
      <c r="G729" s="16"/>
      <c r="H729" s="16" t="s">
        <v>9</v>
      </c>
      <c r="I729" s="16" t="s">
        <v>223</v>
      </c>
      <c r="J729" s="16" t="str">
        <f>IF(ISNUMBER(SEARCH("SCRW", H729)), _xlfn.XLOOKUP(C729,dd_item!$A$2:$A$147,dd_item!$B$2:$B$147,"",0),_xlfn.XLOOKUP(H729,dd_item!$A$2:$A$147,dd_item!$B$2:$B$147,"",0))</f>
        <v>Casement Handle (Espag)</v>
      </c>
      <c r="K729" s="16" t="str">
        <f>_xlfn.XLOOKUP(A729,dd_design_raw!$C$2:$C$1002,dd_design_raw!$A$2:$A$1002,"",0)</f>
        <v>Double Casement</v>
      </c>
      <c r="L729" s="16" t="str">
        <f>_xlfn.XLOOKUP(I729,dd_accsryclr!$A$2:$A$1000,dd_accsryclr!$A$2:$A$1000,"",0)</f>
        <v>BLK</v>
      </c>
    </row>
    <row r="730" spans="1:12" hidden="1" x14ac:dyDescent="0.25">
      <c r="A730" s="16" t="s">
        <v>10</v>
      </c>
      <c r="B730" s="16" t="s">
        <v>110</v>
      </c>
      <c r="C730" s="16" t="s">
        <v>547</v>
      </c>
      <c r="D730" s="16" t="s">
        <v>548</v>
      </c>
      <c r="E730" s="16">
        <v>2</v>
      </c>
      <c r="F730" s="16" t="s">
        <v>369</v>
      </c>
      <c r="G730" s="16"/>
      <c r="H730" s="16" t="s">
        <v>9</v>
      </c>
      <c r="I730" s="16" t="s">
        <v>220</v>
      </c>
      <c r="J730" s="16" t="str">
        <f>IF(ISNUMBER(SEARCH("SCRW", H730)), _xlfn.XLOOKUP(C730,dd_item!$A$2:$A$147,dd_item!$B$2:$B$147,"",0),_xlfn.XLOOKUP(H730,dd_item!$A$2:$A$147,dd_item!$B$2:$B$147,"",0))</f>
        <v>Casement Handle (Espag)</v>
      </c>
      <c r="K730" s="16" t="str">
        <f>_xlfn.XLOOKUP(A730,dd_design_raw!$C$2:$C$1002,dd_design_raw!$A$2:$A$1002,"",0)</f>
        <v>Double Casement</v>
      </c>
      <c r="L730" s="16" t="str">
        <f>_xlfn.XLOOKUP(I730,dd_accsryclr!$A$2:$A$1000,dd_accsryclr!$A$2:$A$1000,"",0)</f>
        <v>WHT</v>
      </c>
    </row>
    <row r="731" spans="1:12" hidden="1" x14ac:dyDescent="0.25">
      <c r="A731" s="16" t="s">
        <v>10</v>
      </c>
      <c r="B731" s="16" t="s">
        <v>110</v>
      </c>
      <c r="C731" s="16" t="s">
        <v>549</v>
      </c>
      <c r="D731" s="16" t="s">
        <v>550</v>
      </c>
      <c r="E731" s="16">
        <v>6</v>
      </c>
      <c r="F731" s="16" t="s">
        <v>369</v>
      </c>
      <c r="G731" s="16"/>
      <c r="H731" s="16" t="s">
        <v>551</v>
      </c>
      <c r="I731" s="16" t="s">
        <v>574</v>
      </c>
      <c r="J731" s="16" t="str">
        <f>IF(ISNUMBER(SEARCH("SCRW", H731)), _xlfn.XLOOKUP(C731,dd_item!$A$2:$A$147,dd_item!$B$2:$B$147,"",0),_xlfn.XLOOKUP(H731,dd_item!$A$2:$A$147,dd_item!$B$2:$B$147,"",0))</f>
        <v>Casement Striker (Roto)</v>
      </c>
      <c r="K731" s="16" t="str">
        <f>_xlfn.XLOOKUP(A731,dd_design_raw!$C$2:$C$1002,dd_design_raw!$A$2:$A$1002,"",0)</f>
        <v>Double Casement</v>
      </c>
      <c r="L731" s="16" t="str">
        <f>_xlfn.XLOOKUP(I731,dd_accsryclr!$A$2:$A$1000,dd_accsryclr!$A$2:$A$1000,"",0)</f>
        <v/>
      </c>
    </row>
    <row r="732" spans="1:12" hidden="1" x14ac:dyDescent="0.25">
      <c r="A732" s="16" t="s">
        <v>10</v>
      </c>
      <c r="B732" s="16" t="s">
        <v>110</v>
      </c>
      <c r="C732" s="16" t="s">
        <v>412</v>
      </c>
      <c r="D732" s="16" t="s">
        <v>413</v>
      </c>
      <c r="E732" s="16">
        <v>6</v>
      </c>
      <c r="F732" s="16" t="s">
        <v>369</v>
      </c>
      <c r="G732" s="16"/>
      <c r="H732" s="16" t="s">
        <v>793</v>
      </c>
      <c r="I732" s="16" t="s">
        <v>575</v>
      </c>
      <c r="J732" s="16" t="str">
        <f>IF(ISNUMBER(SEARCH("SCRW", H732)), _xlfn.XLOOKUP(C732,dd_item!$A$2:$A$147,dd_item!$B$2:$B$147,"",0),_xlfn.XLOOKUP(H732,dd_item!$A$2:$A$147,dd_item!$B$2:$B$147,"",0))</f>
        <v>Atlas Screw (S) 8 x 1-1/4" (Flat)</v>
      </c>
      <c r="K732" s="16" t="str">
        <f>_xlfn.XLOOKUP(A732,dd_design_raw!$C$2:$C$1002,dd_design_raw!$A$2:$A$1002,"",0)</f>
        <v>Double Casement</v>
      </c>
      <c r="L732" s="16" t="str">
        <f>_xlfn.XLOOKUP(I732,dd_accsryclr!$A$2:$A$1000,dd_accsryclr!$A$2:$A$1000,"",0)</f>
        <v/>
      </c>
    </row>
    <row r="733" spans="1:12" hidden="1" x14ac:dyDescent="0.25">
      <c r="A733" s="16" t="s">
        <v>10</v>
      </c>
      <c r="B733" s="16" t="s">
        <v>110</v>
      </c>
      <c r="C733" s="16" t="s">
        <v>401</v>
      </c>
      <c r="D733" s="16" t="s">
        <v>402</v>
      </c>
      <c r="E733" s="16">
        <v>10.84</v>
      </c>
      <c r="F733" s="16" t="s">
        <v>369</v>
      </c>
      <c r="G733" s="16"/>
      <c r="H733" s="16" t="s">
        <v>403</v>
      </c>
      <c r="I733" s="16" t="s">
        <v>223</v>
      </c>
      <c r="J733" s="16" t="str">
        <f>IF(ISNUMBER(SEARCH("SCRW", H733)), _xlfn.XLOOKUP(C733,dd_item!$A$2:$A$147,dd_item!$B$2:$B$147,"",0),_xlfn.XLOOKUP(H733,dd_item!$A$2:$A$147,dd_item!$B$2:$B$147,"",0))</f>
        <v>Cover Cap</v>
      </c>
      <c r="K733" s="16" t="str">
        <f>_xlfn.XLOOKUP(A733,dd_design_raw!$C$2:$C$1002,dd_design_raw!$A$2:$A$1002,"",0)</f>
        <v>Double Casement</v>
      </c>
      <c r="L733" s="16" t="str">
        <f>_xlfn.XLOOKUP(I733,dd_accsryclr!$A$2:$A$1000,dd_accsryclr!$A$2:$A$1000,"",0)</f>
        <v>BLK</v>
      </c>
    </row>
    <row r="734" spans="1:12" hidden="1" x14ac:dyDescent="0.25">
      <c r="A734" s="16" t="s">
        <v>10</v>
      </c>
      <c r="B734" s="16" t="s">
        <v>110</v>
      </c>
      <c r="C734" s="16" t="s">
        <v>404</v>
      </c>
      <c r="D734" s="16" t="s">
        <v>405</v>
      </c>
      <c r="E734" s="16">
        <v>10.84</v>
      </c>
      <c r="F734" s="16" t="s">
        <v>369</v>
      </c>
      <c r="G734" s="16"/>
      <c r="H734" s="16" t="s">
        <v>403</v>
      </c>
      <c r="I734" s="16" t="s">
        <v>220</v>
      </c>
      <c r="J734" s="16" t="str">
        <f>IF(ISNUMBER(SEARCH("SCRW", H734)), _xlfn.XLOOKUP(C734,dd_item!$A$2:$A$147,dd_item!$B$2:$B$147,"",0),_xlfn.XLOOKUP(H734,dd_item!$A$2:$A$147,dd_item!$B$2:$B$147,"",0))</f>
        <v>Cover Cap</v>
      </c>
      <c r="K734" s="16" t="str">
        <f>_xlfn.XLOOKUP(A734,dd_design_raw!$C$2:$C$1002,dd_design_raw!$A$2:$A$1002,"",0)</f>
        <v>Double Casement</v>
      </c>
      <c r="L734" s="16" t="str">
        <f>_xlfn.XLOOKUP(I734,dd_accsryclr!$A$2:$A$1000,dd_accsryclr!$A$2:$A$1000,"",0)</f>
        <v>WHT</v>
      </c>
    </row>
    <row r="735" spans="1:12" hidden="1" x14ac:dyDescent="0.25">
      <c r="A735" s="16" t="s">
        <v>10</v>
      </c>
      <c r="B735" s="16" t="s">
        <v>110</v>
      </c>
      <c r="C735" s="16" t="s">
        <v>552</v>
      </c>
      <c r="D735" s="16" t="s">
        <v>553</v>
      </c>
      <c r="E735" s="16">
        <v>4</v>
      </c>
      <c r="F735" s="16" t="s">
        <v>369</v>
      </c>
      <c r="G735" s="16"/>
      <c r="H735" s="16" t="s">
        <v>794</v>
      </c>
      <c r="I735" s="16" t="s">
        <v>554</v>
      </c>
      <c r="J735" s="16" t="str">
        <f>IF(ISNUMBER(SEARCH("SCRW", H735)), _xlfn.XLOOKUP(C735,dd_item!$A$2:$A$147,dd_item!$B$2:$B$147,"",0),_xlfn.XLOOKUP(H735,dd_item!$A$2:$A$147,dd_item!$B$2:$B$147,"",0))</f>
        <v>Atlas Screw S.B JF 5 x 50</v>
      </c>
      <c r="K735" s="16" t="str">
        <f>_xlfn.XLOOKUP(A735,dd_design_raw!$C$2:$C$1002,dd_design_raw!$A$2:$A$1002,"",0)</f>
        <v>Double Casement</v>
      </c>
      <c r="L735" s="16" t="str">
        <f>_xlfn.XLOOKUP(I735,dd_accsryclr!$A$2:$A$1000,dd_accsryclr!$A$2:$A$1000,"",0)</f>
        <v/>
      </c>
    </row>
    <row r="736" spans="1:12" hidden="1" x14ac:dyDescent="0.25">
      <c r="A736" s="16" t="s">
        <v>10</v>
      </c>
      <c r="B736" s="16" t="s">
        <v>110</v>
      </c>
      <c r="C736" s="16" t="s">
        <v>811</v>
      </c>
      <c r="D736" s="16" t="s">
        <v>812</v>
      </c>
      <c r="E736" s="16"/>
      <c r="F736" s="16" t="s">
        <v>194</v>
      </c>
      <c r="G736" s="16" t="s">
        <v>711</v>
      </c>
      <c r="H736" s="16" t="s">
        <v>813</v>
      </c>
      <c r="I736" s="16" t="s">
        <v>814</v>
      </c>
      <c r="J736" s="16" t="str">
        <f>IF(ISNUMBER(SEARCH("SCRW", H736)), _xlfn.XLOOKUP(C736,dd_item!$A$2:$A$147,dd_item!$B$2:$B$147,"",0),_xlfn.XLOOKUP(H736,dd_item!$A$2:$A$147,dd_item!$B$2:$B$147,"",0))</f>
        <v>Steel-Mullion72</v>
      </c>
      <c r="K736" s="16" t="str">
        <f>_xlfn.XLOOKUP(A736,dd_design_raw!$C$2:$C$1002,dd_design_raw!$A$2:$A$1002,"",0)</f>
        <v>Double Casement</v>
      </c>
      <c r="L736" s="16" t="str">
        <f>_xlfn.XLOOKUP(I736,dd_accsryclr!$A$2:$A$1000,dd_accsryclr!$A$2:$A$1000,"",0)</f>
        <v/>
      </c>
    </row>
    <row r="737" spans="1:12" hidden="1" x14ac:dyDescent="0.25">
      <c r="A737" s="16" t="s">
        <v>10</v>
      </c>
      <c r="B737" s="16" t="s">
        <v>110</v>
      </c>
      <c r="C737" s="16" t="s">
        <v>815</v>
      </c>
      <c r="D737" s="16" t="s">
        <v>816</v>
      </c>
      <c r="E737" s="16"/>
      <c r="F737" s="16" t="s">
        <v>194</v>
      </c>
      <c r="G737" s="16" t="s">
        <v>711</v>
      </c>
      <c r="H737" s="16" t="s">
        <v>813</v>
      </c>
      <c r="I737" s="16" t="s">
        <v>817</v>
      </c>
      <c r="J737" s="16" t="str">
        <f>IF(ISNUMBER(SEARCH("SCRW", H737)), _xlfn.XLOOKUP(C737,dd_item!$A$2:$A$147,dd_item!$B$2:$B$147,"",0),_xlfn.XLOOKUP(H737,dd_item!$A$2:$A$147,dd_item!$B$2:$B$147,"",0))</f>
        <v>Steel-Mullion72</v>
      </c>
      <c r="K737" s="16" t="str">
        <f>_xlfn.XLOOKUP(A737,dd_design_raw!$C$2:$C$1002,dd_design_raw!$A$2:$A$1002,"",0)</f>
        <v>Double Casement</v>
      </c>
      <c r="L737" s="16" t="str">
        <f>_xlfn.XLOOKUP(I737,dd_accsryclr!$A$2:$A$1000,dd_accsryclr!$A$2:$A$1000,"",0)</f>
        <v/>
      </c>
    </row>
    <row r="738" spans="1:12" hidden="1" x14ac:dyDescent="0.25">
      <c r="A738" s="16" t="s">
        <v>11</v>
      </c>
      <c r="B738" s="16" t="s">
        <v>578</v>
      </c>
      <c r="C738" s="16" t="s">
        <v>484</v>
      </c>
      <c r="D738" s="16" t="s">
        <v>485</v>
      </c>
      <c r="E738" s="16">
        <v>0.93448275862068964</v>
      </c>
      <c r="F738" s="16" t="s">
        <v>194</v>
      </c>
      <c r="G738" s="16"/>
      <c r="H738" s="16" t="s">
        <v>486</v>
      </c>
      <c r="I738" s="16" t="s">
        <v>230</v>
      </c>
      <c r="J738" s="16" t="str">
        <f>IF(ISNUMBER(SEARCH("SCRW", H738)), _xlfn.XLOOKUP(C738,dd_item!$A$2:$A$147,dd_item!$B$2:$B$147,"",0),_xlfn.XLOOKUP(H738,dd_item!$A$2:$A$147,dd_item!$B$2:$B$147,"",0))</f>
        <v>Frame60</v>
      </c>
      <c r="K738" s="16" t="str">
        <f>_xlfn.XLOOKUP(A738,dd_design_raw!$C$2:$C$1002,dd_design_raw!$A$2:$A$1002,"",0)</f>
        <v>Double Awning (Horizontal)</v>
      </c>
      <c r="L738" s="16" t="str">
        <f>_xlfn.XLOOKUP(I738,dd_accsryclr!$A$2:$A$1000,dd_accsryclr!$A$2:$A$1000,"",0)</f>
        <v>BRWN</v>
      </c>
    </row>
    <row r="739" spans="1:12" hidden="1" x14ac:dyDescent="0.25">
      <c r="A739" s="16" t="s">
        <v>11</v>
      </c>
      <c r="B739" s="16" t="s">
        <v>578</v>
      </c>
      <c r="C739" s="16" t="s">
        <v>487</v>
      </c>
      <c r="D739" s="16" t="s">
        <v>488</v>
      </c>
      <c r="E739" s="16">
        <v>0.93448275862068964</v>
      </c>
      <c r="F739" s="16" t="s">
        <v>194</v>
      </c>
      <c r="G739" s="16"/>
      <c r="H739" s="16" t="s">
        <v>486</v>
      </c>
      <c r="I739" s="16" t="s">
        <v>223</v>
      </c>
      <c r="J739" s="16" t="str">
        <f>IF(ISNUMBER(SEARCH("SCRW", H739)), _xlfn.XLOOKUP(C739,dd_item!$A$2:$A$147,dd_item!$B$2:$B$147,"",0),_xlfn.XLOOKUP(H739,dd_item!$A$2:$A$147,dd_item!$B$2:$B$147,"",0))</f>
        <v>Frame60</v>
      </c>
      <c r="K739" s="16" t="str">
        <f>_xlfn.XLOOKUP(A739,dd_design_raw!$C$2:$C$1002,dd_design_raw!$A$2:$A$1002,"",0)</f>
        <v>Double Awning (Horizontal)</v>
      </c>
      <c r="L739" s="16" t="str">
        <f>_xlfn.XLOOKUP(I739,dd_accsryclr!$A$2:$A$1000,dd_accsryclr!$A$2:$A$1000,"",0)</f>
        <v>BLK</v>
      </c>
    </row>
    <row r="740" spans="1:12" hidden="1" x14ac:dyDescent="0.25">
      <c r="A740" s="16" t="s">
        <v>11</v>
      </c>
      <c r="B740" s="16" t="s">
        <v>578</v>
      </c>
      <c r="C740" s="16" t="s">
        <v>489</v>
      </c>
      <c r="D740" s="16" t="s">
        <v>490</v>
      </c>
      <c r="E740" s="16">
        <v>0.93448275862068964</v>
      </c>
      <c r="F740" s="16" t="s">
        <v>194</v>
      </c>
      <c r="G740" s="16"/>
      <c r="H740" s="16" t="s">
        <v>486</v>
      </c>
      <c r="I740" s="16" t="s">
        <v>211</v>
      </c>
      <c r="J740" s="16" t="str">
        <f>IF(ISNUMBER(SEARCH("SCRW", H740)), _xlfn.XLOOKUP(C740,dd_item!$A$2:$A$147,dd_item!$B$2:$B$147,"",0),_xlfn.XLOOKUP(H740,dd_item!$A$2:$A$147,dd_item!$B$2:$B$147,"",0))</f>
        <v>Frame60</v>
      </c>
      <c r="K740" s="16" t="str">
        <f>_xlfn.XLOOKUP(A740,dd_design_raw!$C$2:$C$1002,dd_design_raw!$A$2:$A$1002,"",0)</f>
        <v>Double Awning (Horizontal)</v>
      </c>
      <c r="L740" s="16" t="str">
        <f>_xlfn.XLOOKUP(I740,dd_accsryclr!$A$2:$A$1000,dd_accsryclr!$A$2:$A$1000,"",0)</f>
        <v/>
      </c>
    </row>
    <row r="741" spans="1:12" hidden="1" x14ac:dyDescent="0.25">
      <c r="A741" s="16" t="s">
        <v>11</v>
      </c>
      <c r="B741" s="16" t="s">
        <v>578</v>
      </c>
      <c r="C741" s="16" t="s">
        <v>491</v>
      </c>
      <c r="D741" s="16" t="s">
        <v>492</v>
      </c>
      <c r="E741" s="16">
        <v>0.93448275862068964</v>
      </c>
      <c r="F741" s="16" t="s">
        <v>194</v>
      </c>
      <c r="G741" s="16"/>
      <c r="H741" s="16" t="s">
        <v>486</v>
      </c>
      <c r="I741" s="16" t="s">
        <v>214</v>
      </c>
      <c r="J741" s="16" t="str">
        <f>IF(ISNUMBER(SEARCH("SCRW", H741)), _xlfn.XLOOKUP(C741,dd_item!$A$2:$A$147,dd_item!$B$2:$B$147,"",0),_xlfn.XLOOKUP(H741,dd_item!$A$2:$A$147,dd_item!$B$2:$B$147,"",0))</f>
        <v>Frame60</v>
      </c>
      <c r="K741" s="16" t="str">
        <f>_xlfn.XLOOKUP(A741,dd_design_raw!$C$2:$C$1002,dd_design_raw!$A$2:$A$1002,"",0)</f>
        <v>Double Awning (Horizontal)</v>
      </c>
      <c r="L741" s="16" t="str">
        <f>_xlfn.XLOOKUP(I741,dd_accsryclr!$A$2:$A$1000,dd_accsryclr!$A$2:$A$1000,"",0)</f>
        <v/>
      </c>
    </row>
    <row r="742" spans="1:12" hidden="1" x14ac:dyDescent="0.25">
      <c r="A742" s="16" t="s">
        <v>11</v>
      </c>
      <c r="B742" s="16" t="s">
        <v>578</v>
      </c>
      <c r="C742" s="16" t="s">
        <v>493</v>
      </c>
      <c r="D742" s="16" t="s">
        <v>494</v>
      </c>
      <c r="E742" s="16">
        <v>0.93448275862068964</v>
      </c>
      <c r="F742" s="16" t="s">
        <v>194</v>
      </c>
      <c r="G742" s="16"/>
      <c r="H742" s="16" t="s">
        <v>486</v>
      </c>
      <c r="I742" s="16" t="s">
        <v>217</v>
      </c>
      <c r="J742" s="16" t="str">
        <f>IF(ISNUMBER(SEARCH("SCRW", H742)), _xlfn.XLOOKUP(C742,dd_item!$A$2:$A$147,dd_item!$B$2:$B$147,"",0),_xlfn.XLOOKUP(H742,dd_item!$A$2:$A$147,dd_item!$B$2:$B$147,"",0))</f>
        <v>Frame60</v>
      </c>
      <c r="K742" s="16" t="str">
        <f>_xlfn.XLOOKUP(A742,dd_design_raw!$C$2:$C$1002,dd_design_raw!$A$2:$A$1002,"",0)</f>
        <v>Double Awning (Horizontal)</v>
      </c>
      <c r="L742" s="16" t="str">
        <f>_xlfn.XLOOKUP(I742,dd_accsryclr!$A$2:$A$1000,dd_accsryclr!$A$2:$A$1000,"",0)</f>
        <v/>
      </c>
    </row>
    <row r="743" spans="1:12" hidden="1" x14ac:dyDescent="0.25">
      <c r="A743" s="16" t="s">
        <v>11</v>
      </c>
      <c r="B743" s="16" t="s">
        <v>578</v>
      </c>
      <c r="C743" s="16" t="s">
        <v>495</v>
      </c>
      <c r="D743" s="16" t="s">
        <v>496</v>
      </c>
      <c r="E743" s="16">
        <v>0.93448275862068964</v>
      </c>
      <c r="F743" s="16" t="s">
        <v>194</v>
      </c>
      <c r="G743" s="16"/>
      <c r="H743" s="16" t="s">
        <v>486</v>
      </c>
      <c r="I743" s="16" t="s">
        <v>226</v>
      </c>
      <c r="J743" s="16" t="str">
        <f>IF(ISNUMBER(SEARCH("SCRW", H743)), _xlfn.XLOOKUP(C743,dd_item!$A$2:$A$147,dd_item!$B$2:$B$147,"",0),_xlfn.XLOOKUP(H743,dd_item!$A$2:$A$147,dd_item!$B$2:$B$147,"",0))</f>
        <v>Frame60</v>
      </c>
      <c r="K743" s="16" t="str">
        <f>_xlfn.XLOOKUP(A743,dd_design_raw!$C$2:$C$1002,dd_design_raw!$A$2:$A$1002,"",0)</f>
        <v>Double Awning (Horizontal)</v>
      </c>
      <c r="L743" s="16" t="str">
        <f>_xlfn.XLOOKUP(I743,dd_accsryclr!$A$2:$A$1000,dd_accsryclr!$A$2:$A$1000,"",0)</f>
        <v/>
      </c>
    </row>
    <row r="744" spans="1:12" hidden="1" x14ac:dyDescent="0.25">
      <c r="A744" s="16" t="s">
        <v>11</v>
      </c>
      <c r="B744" s="16" t="s">
        <v>578</v>
      </c>
      <c r="C744" s="16" t="s">
        <v>497</v>
      </c>
      <c r="D744" s="16" t="s">
        <v>498</v>
      </c>
      <c r="E744" s="16">
        <v>0.93448275862068964</v>
      </c>
      <c r="F744" s="16" t="s">
        <v>194</v>
      </c>
      <c r="G744" s="16"/>
      <c r="H744" s="16" t="s">
        <v>486</v>
      </c>
      <c r="I744" s="16" t="s">
        <v>220</v>
      </c>
      <c r="J744" s="16" t="str">
        <f>IF(ISNUMBER(SEARCH("SCRW", H744)), _xlfn.XLOOKUP(C744,dd_item!$A$2:$A$147,dd_item!$B$2:$B$147,"",0),_xlfn.XLOOKUP(H744,dd_item!$A$2:$A$147,dd_item!$B$2:$B$147,"",0))</f>
        <v>Frame60</v>
      </c>
      <c r="K744" s="16" t="str">
        <f>_xlfn.XLOOKUP(A744,dd_design_raw!$C$2:$C$1002,dd_design_raw!$A$2:$A$1002,"",0)</f>
        <v>Double Awning (Horizontal)</v>
      </c>
      <c r="L744" s="16" t="str">
        <f>_xlfn.XLOOKUP(I744,dd_accsryclr!$A$2:$A$1000,dd_accsryclr!$A$2:$A$1000,"",0)</f>
        <v>WHT</v>
      </c>
    </row>
    <row r="745" spans="1:12" hidden="1" x14ac:dyDescent="0.25">
      <c r="A745" s="16" t="s">
        <v>11</v>
      </c>
      <c r="B745" s="16" t="s">
        <v>578</v>
      </c>
      <c r="C745" s="16" t="s">
        <v>499</v>
      </c>
      <c r="D745" s="16" t="s">
        <v>500</v>
      </c>
      <c r="E745" s="16">
        <v>1.2765517241379309</v>
      </c>
      <c r="F745" s="16" t="s">
        <v>194</v>
      </c>
      <c r="G745" s="16"/>
      <c r="H745" s="16" t="s">
        <v>501</v>
      </c>
      <c r="I745" s="16" t="s">
        <v>211</v>
      </c>
      <c r="J745" s="16" t="str">
        <f>IF(ISNUMBER(SEARCH("SCRW", H745)), _xlfn.XLOOKUP(C745,dd_item!$A$2:$A$147,dd_item!$B$2:$B$147,"",0),_xlfn.XLOOKUP(H745,dd_item!$A$2:$A$147,dd_item!$B$2:$B$147,"",0))</f>
        <v>Sash78</v>
      </c>
      <c r="K745" s="16" t="str">
        <f>_xlfn.XLOOKUP(A745,dd_design_raw!$C$2:$C$1002,dd_design_raw!$A$2:$A$1002,"",0)</f>
        <v>Double Awning (Horizontal)</v>
      </c>
      <c r="L745" s="16" t="str">
        <f>_xlfn.XLOOKUP(I745,dd_accsryclr!$A$2:$A$1000,dd_accsryclr!$A$2:$A$1000,"",0)</f>
        <v/>
      </c>
    </row>
    <row r="746" spans="1:12" hidden="1" x14ac:dyDescent="0.25">
      <c r="A746" s="16" t="s">
        <v>11</v>
      </c>
      <c r="B746" s="16" t="s">
        <v>578</v>
      </c>
      <c r="C746" s="16" t="s">
        <v>502</v>
      </c>
      <c r="D746" s="16" t="s">
        <v>503</v>
      </c>
      <c r="E746" s="16">
        <v>1.2765517241379309</v>
      </c>
      <c r="F746" s="16" t="s">
        <v>194</v>
      </c>
      <c r="G746" s="16"/>
      <c r="H746" s="16" t="s">
        <v>501</v>
      </c>
      <c r="I746" s="16" t="s">
        <v>214</v>
      </c>
      <c r="J746" s="16" t="str">
        <f>IF(ISNUMBER(SEARCH("SCRW", H746)), _xlfn.XLOOKUP(C746,dd_item!$A$2:$A$147,dd_item!$B$2:$B$147,"",0),_xlfn.XLOOKUP(H746,dd_item!$A$2:$A$147,dd_item!$B$2:$B$147,"",0))</f>
        <v>Sash78</v>
      </c>
      <c r="K746" s="16" t="str">
        <f>_xlfn.XLOOKUP(A746,dd_design_raw!$C$2:$C$1002,dd_design_raw!$A$2:$A$1002,"",0)</f>
        <v>Double Awning (Horizontal)</v>
      </c>
      <c r="L746" s="16" t="str">
        <f>_xlfn.XLOOKUP(I746,dd_accsryclr!$A$2:$A$1000,dd_accsryclr!$A$2:$A$1000,"",0)</f>
        <v/>
      </c>
    </row>
    <row r="747" spans="1:12" hidden="1" x14ac:dyDescent="0.25">
      <c r="A747" s="16" t="s">
        <v>11</v>
      </c>
      <c r="B747" s="16" t="s">
        <v>578</v>
      </c>
      <c r="C747" s="16" t="s">
        <v>504</v>
      </c>
      <c r="D747" s="16" t="s">
        <v>505</v>
      </c>
      <c r="E747" s="16">
        <v>1.2765517241379309</v>
      </c>
      <c r="F747" s="16" t="s">
        <v>194</v>
      </c>
      <c r="G747" s="16"/>
      <c r="H747" s="16" t="s">
        <v>501</v>
      </c>
      <c r="I747" s="16" t="s">
        <v>217</v>
      </c>
      <c r="J747" s="16" t="str">
        <f>IF(ISNUMBER(SEARCH("SCRW", H747)), _xlfn.XLOOKUP(C747,dd_item!$A$2:$A$147,dd_item!$B$2:$B$147,"",0),_xlfn.XLOOKUP(H747,dd_item!$A$2:$A$147,dd_item!$B$2:$B$147,"",0))</f>
        <v>Sash78</v>
      </c>
      <c r="K747" s="16" t="str">
        <f>_xlfn.XLOOKUP(A747,dd_design_raw!$C$2:$C$1002,dd_design_raw!$A$2:$A$1002,"",0)</f>
        <v>Double Awning (Horizontal)</v>
      </c>
      <c r="L747" s="16" t="str">
        <f>_xlfn.XLOOKUP(I747,dd_accsryclr!$A$2:$A$1000,dd_accsryclr!$A$2:$A$1000,"",0)</f>
        <v/>
      </c>
    </row>
    <row r="748" spans="1:12" hidden="1" x14ac:dyDescent="0.25">
      <c r="A748" s="16" t="s">
        <v>11</v>
      </c>
      <c r="B748" s="16" t="s">
        <v>578</v>
      </c>
      <c r="C748" s="16" t="s">
        <v>506</v>
      </c>
      <c r="D748" s="16" t="s">
        <v>507</v>
      </c>
      <c r="E748" s="16">
        <v>1.2765517241379309</v>
      </c>
      <c r="F748" s="16" t="s">
        <v>194</v>
      </c>
      <c r="G748" s="16"/>
      <c r="H748" s="16" t="s">
        <v>501</v>
      </c>
      <c r="I748" s="16" t="s">
        <v>226</v>
      </c>
      <c r="J748" s="16" t="str">
        <f>IF(ISNUMBER(SEARCH("SCRW", H748)), _xlfn.XLOOKUP(C748,dd_item!$A$2:$A$147,dd_item!$B$2:$B$147,"",0),_xlfn.XLOOKUP(H748,dd_item!$A$2:$A$147,dd_item!$B$2:$B$147,"",0))</f>
        <v>Sash78</v>
      </c>
      <c r="K748" s="16" t="str">
        <f>_xlfn.XLOOKUP(A748,dd_design_raw!$C$2:$C$1002,dd_design_raw!$A$2:$A$1002,"",0)</f>
        <v>Double Awning (Horizontal)</v>
      </c>
      <c r="L748" s="16" t="str">
        <f>_xlfn.XLOOKUP(I748,dd_accsryclr!$A$2:$A$1000,dd_accsryclr!$A$2:$A$1000,"",0)</f>
        <v/>
      </c>
    </row>
    <row r="749" spans="1:12" hidden="1" x14ac:dyDescent="0.25">
      <c r="A749" s="16" t="s">
        <v>11</v>
      </c>
      <c r="B749" s="16" t="s">
        <v>578</v>
      </c>
      <c r="C749" s="16" t="s">
        <v>508</v>
      </c>
      <c r="D749" s="16" t="s">
        <v>509</v>
      </c>
      <c r="E749" s="16">
        <v>1.2765517241379309</v>
      </c>
      <c r="F749" s="16" t="s">
        <v>194</v>
      </c>
      <c r="G749" s="16"/>
      <c r="H749" s="16" t="s">
        <v>501</v>
      </c>
      <c r="I749" s="16" t="s">
        <v>220</v>
      </c>
      <c r="J749" s="16" t="str">
        <f>IF(ISNUMBER(SEARCH("SCRW", H749)), _xlfn.XLOOKUP(C749,dd_item!$A$2:$A$147,dd_item!$B$2:$B$147,"",0),_xlfn.XLOOKUP(H749,dd_item!$A$2:$A$147,dd_item!$B$2:$B$147,"",0))</f>
        <v>Sash78</v>
      </c>
      <c r="K749" s="16" t="str">
        <f>_xlfn.XLOOKUP(A749,dd_design_raw!$C$2:$C$1002,dd_design_raw!$A$2:$A$1002,"",0)</f>
        <v>Double Awning (Horizontal)</v>
      </c>
      <c r="L749" s="16" t="str">
        <f>_xlfn.XLOOKUP(I749,dd_accsryclr!$A$2:$A$1000,dd_accsryclr!$A$2:$A$1000,"",0)</f>
        <v>WHT</v>
      </c>
    </row>
    <row r="750" spans="1:12" hidden="1" x14ac:dyDescent="0.25">
      <c r="A750" s="16" t="s">
        <v>11</v>
      </c>
      <c r="B750" s="16" t="s">
        <v>578</v>
      </c>
      <c r="C750" s="16" t="s">
        <v>510</v>
      </c>
      <c r="D750" s="16" t="s">
        <v>511</v>
      </c>
      <c r="E750" s="16">
        <v>1.2765517241379309</v>
      </c>
      <c r="F750" s="16" t="s">
        <v>194</v>
      </c>
      <c r="G750" s="16"/>
      <c r="H750" s="16" t="s">
        <v>501</v>
      </c>
      <c r="I750" s="16" t="s">
        <v>223</v>
      </c>
      <c r="J750" s="16" t="str">
        <f>IF(ISNUMBER(SEARCH("SCRW", H750)), _xlfn.XLOOKUP(C750,dd_item!$A$2:$A$147,dd_item!$B$2:$B$147,"",0),_xlfn.XLOOKUP(H750,dd_item!$A$2:$A$147,dd_item!$B$2:$B$147,"",0))</f>
        <v>Sash78</v>
      </c>
      <c r="K750" s="16" t="str">
        <f>_xlfn.XLOOKUP(A750,dd_design_raw!$C$2:$C$1002,dd_design_raw!$A$2:$A$1002,"",0)</f>
        <v>Double Awning (Horizontal)</v>
      </c>
      <c r="L750" s="16" t="str">
        <f>_xlfn.XLOOKUP(I750,dd_accsryclr!$A$2:$A$1000,dd_accsryclr!$A$2:$A$1000,"",0)</f>
        <v>BLK</v>
      </c>
    </row>
    <row r="751" spans="1:12" hidden="1" x14ac:dyDescent="0.25">
      <c r="A751" s="16" t="s">
        <v>11</v>
      </c>
      <c r="B751" s="16" t="s">
        <v>578</v>
      </c>
      <c r="C751" s="16" t="s">
        <v>512</v>
      </c>
      <c r="D751" s="16" t="s">
        <v>513</v>
      </c>
      <c r="E751" s="16">
        <v>1.2765517241379309</v>
      </c>
      <c r="F751" s="16" t="s">
        <v>194</v>
      </c>
      <c r="G751" s="16"/>
      <c r="H751" s="16" t="s">
        <v>501</v>
      </c>
      <c r="I751" s="16" t="s">
        <v>230</v>
      </c>
      <c r="J751" s="16" t="str">
        <f>IF(ISNUMBER(SEARCH("SCRW", H751)), _xlfn.XLOOKUP(C751,dd_item!$A$2:$A$147,dd_item!$B$2:$B$147,"",0),_xlfn.XLOOKUP(H751,dd_item!$A$2:$A$147,dd_item!$B$2:$B$147,"",0))</f>
        <v>Sash78</v>
      </c>
      <c r="K751" s="16" t="str">
        <f>_xlfn.XLOOKUP(A751,dd_design_raw!$C$2:$C$1002,dd_design_raw!$A$2:$A$1002,"",0)</f>
        <v>Double Awning (Horizontal)</v>
      </c>
      <c r="L751" s="16" t="str">
        <f>_xlfn.XLOOKUP(I751,dd_accsryclr!$A$2:$A$1000,dd_accsryclr!$A$2:$A$1000,"",0)</f>
        <v>BRWN</v>
      </c>
    </row>
    <row r="752" spans="1:12" hidden="1" x14ac:dyDescent="0.25">
      <c r="A752" s="16" t="s">
        <v>11</v>
      </c>
      <c r="B752" s="16" t="s">
        <v>578</v>
      </c>
      <c r="C752" s="16" t="s">
        <v>556</v>
      </c>
      <c r="D752" s="16" t="s">
        <v>557</v>
      </c>
      <c r="E752" s="16">
        <v>0.21310344827586206</v>
      </c>
      <c r="F752" s="16" t="s">
        <v>194</v>
      </c>
      <c r="G752" s="16"/>
      <c r="H752" s="16" t="s">
        <v>558</v>
      </c>
      <c r="I752" s="16" t="s">
        <v>211</v>
      </c>
      <c r="J752" s="16" t="str">
        <f>IF(ISNUMBER(SEARCH("SCRW", H752)), _xlfn.XLOOKUP(C752,dd_item!$A$2:$A$147,dd_item!$B$2:$B$147,"",0),_xlfn.XLOOKUP(H752,dd_item!$A$2:$A$147,dd_item!$B$2:$B$147,"",0))</f>
        <v>Mullion72</v>
      </c>
      <c r="K752" s="16" t="str">
        <f>_xlfn.XLOOKUP(A752,dd_design_raw!$C$2:$C$1002,dd_design_raw!$A$2:$A$1002,"",0)</f>
        <v>Double Awning (Horizontal)</v>
      </c>
      <c r="L752" s="16" t="str">
        <f>_xlfn.XLOOKUP(I752,dd_accsryclr!$A$2:$A$1000,dd_accsryclr!$A$2:$A$1000,"",0)</f>
        <v/>
      </c>
    </row>
    <row r="753" spans="1:12" hidden="1" x14ac:dyDescent="0.25">
      <c r="A753" s="16" t="s">
        <v>11</v>
      </c>
      <c r="B753" s="16" t="s">
        <v>578</v>
      </c>
      <c r="C753" s="16" t="s">
        <v>559</v>
      </c>
      <c r="D753" s="16" t="s">
        <v>560</v>
      </c>
      <c r="E753" s="16">
        <v>0.21310344827586206</v>
      </c>
      <c r="F753" s="16" t="s">
        <v>194</v>
      </c>
      <c r="G753" s="16"/>
      <c r="H753" s="16" t="s">
        <v>558</v>
      </c>
      <c r="I753" s="16" t="s">
        <v>214</v>
      </c>
      <c r="J753" s="16" t="str">
        <f>IF(ISNUMBER(SEARCH("SCRW", H753)), _xlfn.XLOOKUP(C753,dd_item!$A$2:$A$147,dd_item!$B$2:$B$147,"",0),_xlfn.XLOOKUP(H753,dd_item!$A$2:$A$147,dd_item!$B$2:$B$147,"",0))</f>
        <v>Mullion72</v>
      </c>
      <c r="K753" s="16" t="str">
        <f>_xlfn.XLOOKUP(A753,dd_design_raw!$C$2:$C$1002,dd_design_raw!$A$2:$A$1002,"",0)</f>
        <v>Double Awning (Horizontal)</v>
      </c>
      <c r="L753" s="16" t="str">
        <f>_xlfn.XLOOKUP(I753,dd_accsryclr!$A$2:$A$1000,dd_accsryclr!$A$2:$A$1000,"",0)</f>
        <v/>
      </c>
    </row>
    <row r="754" spans="1:12" hidden="1" x14ac:dyDescent="0.25">
      <c r="A754" s="16" t="s">
        <v>11</v>
      </c>
      <c r="B754" s="16" t="s">
        <v>578</v>
      </c>
      <c r="C754" s="16" t="s">
        <v>561</v>
      </c>
      <c r="D754" s="16" t="s">
        <v>562</v>
      </c>
      <c r="E754" s="16">
        <v>0.21310344827586206</v>
      </c>
      <c r="F754" s="16" t="s">
        <v>194</v>
      </c>
      <c r="G754" s="16"/>
      <c r="H754" s="16" t="s">
        <v>558</v>
      </c>
      <c r="I754" s="16" t="s">
        <v>217</v>
      </c>
      <c r="J754" s="16" t="str">
        <f>IF(ISNUMBER(SEARCH("SCRW", H754)), _xlfn.XLOOKUP(C754,dd_item!$A$2:$A$147,dd_item!$B$2:$B$147,"",0),_xlfn.XLOOKUP(H754,dd_item!$A$2:$A$147,dd_item!$B$2:$B$147,"",0))</f>
        <v>Mullion72</v>
      </c>
      <c r="K754" s="16" t="str">
        <f>_xlfn.XLOOKUP(A754,dd_design_raw!$C$2:$C$1002,dd_design_raw!$A$2:$A$1002,"",0)</f>
        <v>Double Awning (Horizontal)</v>
      </c>
      <c r="L754" s="16" t="str">
        <f>_xlfn.XLOOKUP(I754,dd_accsryclr!$A$2:$A$1000,dd_accsryclr!$A$2:$A$1000,"",0)</f>
        <v/>
      </c>
    </row>
    <row r="755" spans="1:12" hidden="1" x14ac:dyDescent="0.25">
      <c r="A755" s="16" t="s">
        <v>11</v>
      </c>
      <c r="B755" s="16" t="s">
        <v>578</v>
      </c>
      <c r="C755" s="16" t="s">
        <v>563</v>
      </c>
      <c r="D755" s="16" t="s">
        <v>564</v>
      </c>
      <c r="E755" s="16">
        <v>0.21310344827586206</v>
      </c>
      <c r="F755" s="16" t="s">
        <v>194</v>
      </c>
      <c r="G755" s="16"/>
      <c r="H755" s="16" t="s">
        <v>558</v>
      </c>
      <c r="I755" s="16" t="s">
        <v>226</v>
      </c>
      <c r="J755" s="16" t="str">
        <f>IF(ISNUMBER(SEARCH("SCRW", H755)), _xlfn.XLOOKUP(C755,dd_item!$A$2:$A$147,dd_item!$B$2:$B$147,"",0),_xlfn.XLOOKUP(H755,dd_item!$A$2:$A$147,dd_item!$B$2:$B$147,"",0))</f>
        <v>Mullion72</v>
      </c>
      <c r="K755" s="16" t="str">
        <f>_xlfn.XLOOKUP(A755,dd_design_raw!$C$2:$C$1002,dd_design_raw!$A$2:$A$1002,"",0)</f>
        <v>Double Awning (Horizontal)</v>
      </c>
      <c r="L755" s="16" t="str">
        <f>_xlfn.XLOOKUP(I755,dd_accsryclr!$A$2:$A$1000,dd_accsryclr!$A$2:$A$1000,"",0)</f>
        <v/>
      </c>
    </row>
    <row r="756" spans="1:12" hidden="1" x14ac:dyDescent="0.25">
      <c r="A756" s="16" t="s">
        <v>11</v>
      </c>
      <c r="B756" s="16" t="s">
        <v>578</v>
      </c>
      <c r="C756" s="16" t="s">
        <v>565</v>
      </c>
      <c r="D756" s="16" t="s">
        <v>566</v>
      </c>
      <c r="E756" s="16">
        <v>0.21310344827586206</v>
      </c>
      <c r="F756" s="16" t="s">
        <v>194</v>
      </c>
      <c r="G756" s="16"/>
      <c r="H756" s="16" t="s">
        <v>558</v>
      </c>
      <c r="I756" s="16" t="s">
        <v>220</v>
      </c>
      <c r="J756" s="16" t="str">
        <f>IF(ISNUMBER(SEARCH("SCRW", H756)), _xlfn.XLOOKUP(C756,dd_item!$A$2:$A$147,dd_item!$B$2:$B$147,"",0),_xlfn.XLOOKUP(H756,dd_item!$A$2:$A$147,dd_item!$B$2:$B$147,"",0))</f>
        <v>Mullion72</v>
      </c>
      <c r="K756" s="16" t="str">
        <f>_xlfn.XLOOKUP(A756,dd_design_raw!$C$2:$C$1002,dd_design_raw!$A$2:$A$1002,"",0)</f>
        <v>Double Awning (Horizontal)</v>
      </c>
      <c r="L756" s="16" t="str">
        <f>_xlfn.XLOOKUP(I756,dd_accsryclr!$A$2:$A$1000,dd_accsryclr!$A$2:$A$1000,"",0)</f>
        <v>WHT</v>
      </c>
    </row>
    <row r="757" spans="1:12" hidden="1" x14ac:dyDescent="0.25">
      <c r="A757" s="16" t="s">
        <v>11</v>
      </c>
      <c r="B757" s="16" t="s">
        <v>578</v>
      </c>
      <c r="C757" s="16" t="s">
        <v>567</v>
      </c>
      <c r="D757" s="16" t="s">
        <v>568</v>
      </c>
      <c r="E757" s="16">
        <v>0.21310344827586206</v>
      </c>
      <c r="F757" s="16" t="s">
        <v>194</v>
      </c>
      <c r="G757" s="16"/>
      <c r="H757" s="16" t="s">
        <v>558</v>
      </c>
      <c r="I757" s="16" t="s">
        <v>230</v>
      </c>
      <c r="J757" s="16" t="str">
        <f>IF(ISNUMBER(SEARCH("SCRW", H757)), _xlfn.XLOOKUP(C757,dd_item!$A$2:$A$147,dd_item!$B$2:$B$147,"",0),_xlfn.XLOOKUP(H757,dd_item!$A$2:$A$147,dd_item!$B$2:$B$147,"",0))</f>
        <v>Mullion72</v>
      </c>
      <c r="K757" s="16" t="str">
        <f>_xlfn.XLOOKUP(A757,dd_design_raw!$C$2:$C$1002,dd_design_raw!$A$2:$A$1002,"",0)</f>
        <v>Double Awning (Horizontal)</v>
      </c>
      <c r="L757" s="16" t="str">
        <f>_xlfn.XLOOKUP(I757,dd_accsryclr!$A$2:$A$1000,dd_accsryclr!$A$2:$A$1000,"",0)</f>
        <v>BRWN</v>
      </c>
    </row>
    <row r="758" spans="1:12" hidden="1" x14ac:dyDescent="0.25">
      <c r="A758" s="16" t="s">
        <v>11</v>
      </c>
      <c r="B758" s="16" t="s">
        <v>578</v>
      </c>
      <c r="C758" s="16" t="s">
        <v>569</v>
      </c>
      <c r="D758" s="16" t="s">
        <v>570</v>
      </c>
      <c r="E758" s="16">
        <v>0.21310344827586206</v>
      </c>
      <c r="F758" s="16" t="s">
        <v>194</v>
      </c>
      <c r="G758" s="16"/>
      <c r="H758" s="16" t="s">
        <v>558</v>
      </c>
      <c r="I758" s="16" t="s">
        <v>223</v>
      </c>
      <c r="J758" s="16" t="str">
        <f>IF(ISNUMBER(SEARCH("SCRW", H758)), _xlfn.XLOOKUP(C758,dd_item!$A$2:$A$147,dd_item!$B$2:$B$147,"",0),_xlfn.XLOOKUP(H758,dd_item!$A$2:$A$147,dd_item!$B$2:$B$147,"",0))</f>
        <v>Mullion72</v>
      </c>
      <c r="K758" s="16" t="str">
        <f>_xlfn.XLOOKUP(A758,dd_design_raw!$C$2:$C$1002,dd_design_raw!$A$2:$A$1002,"",0)</f>
        <v>Double Awning (Horizontal)</v>
      </c>
      <c r="L758" s="16" t="str">
        <f>_xlfn.XLOOKUP(I758,dd_accsryclr!$A$2:$A$1000,dd_accsryclr!$A$2:$A$1000,"",0)</f>
        <v>BLK</v>
      </c>
    </row>
    <row r="759" spans="1:12" hidden="1" x14ac:dyDescent="0.25">
      <c r="A759" s="16" t="s">
        <v>11</v>
      </c>
      <c r="B759" s="16" t="s">
        <v>578</v>
      </c>
      <c r="C759" s="16" t="s">
        <v>514</v>
      </c>
      <c r="D759" s="16" t="s">
        <v>515</v>
      </c>
      <c r="E759" s="16">
        <v>0.51896551724137929</v>
      </c>
      <c r="F759" s="16" t="s">
        <v>194</v>
      </c>
      <c r="G759" s="16" t="s">
        <v>58</v>
      </c>
      <c r="H759" s="16" t="s">
        <v>516</v>
      </c>
      <c r="I759" s="16" t="s">
        <v>517</v>
      </c>
      <c r="J759" s="16" t="str">
        <f>IF(ISNUMBER(SEARCH("SCRW", H759)), _xlfn.XLOOKUP(C759,dd_item!$A$2:$A$147,dd_item!$B$2:$B$147,"",0),_xlfn.XLOOKUP(H759,dd_item!$A$2:$A$147,dd_item!$B$2:$B$147,"",0))</f>
        <v>Steel-Frame60</v>
      </c>
      <c r="K759" s="16" t="str">
        <f>_xlfn.XLOOKUP(A759,dd_design_raw!$C$2:$C$1002,dd_design_raw!$A$2:$A$1002,"",0)</f>
        <v>Double Awning (Horizontal)</v>
      </c>
      <c r="L759" s="16" t="str">
        <f>_xlfn.XLOOKUP(I759,dd_accsryclr!$A$2:$A$1000,dd_accsryclr!$A$2:$A$1000,"",0)</f>
        <v/>
      </c>
    </row>
    <row r="760" spans="1:12" hidden="1" x14ac:dyDescent="0.25">
      <c r="A760" s="16" t="s">
        <v>11</v>
      </c>
      <c r="B760" s="16" t="s">
        <v>578</v>
      </c>
      <c r="C760" s="16" t="s">
        <v>518</v>
      </c>
      <c r="D760" s="16" t="s">
        <v>519</v>
      </c>
      <c r="E760" s="16">
        <v>0.41551724137931034</v>
      </c>
      <c r="F760" s="16" t="s">
        <v>194</v>
      </c>
      <c r="G760" s="16" t="s">
        <v>58</v>
      </c>
      <c r="H760" s="16" t="s">
        <v>1099</v>
      </c>
      <c r="I760" s="16" t="s">
        <v>520</v>
      </c>
      <c r="J760" s="16" t="str">
        <f>IF(ISNUMBER(SEARCH("SCRW", H760)), _xlfn.XLOOKUP(C760,dd_item!$A$2:$A$147,dd_item!$B$2:$B$147,"",0),_xlfn.XLOOKUP(H760,dd_item!$A$2:$A$147,dd_item!$B$2:$B$147,"",0))</f>
        <v>Steel-Frame60-H</v>
      </c>
      <c r="K760" s="16" t="str">
        <f>_xlfn.XLOOKUP(A760,dd_design_raw!$C$2:$C$1002,dd_design_raw!$A$2:$A$1002,"",0)</f>
        <v>Double Awning (Horizontal)</v>
      </c>
      <c r="L760" s="16" t="str">
        <f>_xlfn.XLOOKUP(I760,dd_accsryclr!$A$2:$A$1000,dd_accsryclr!$A$2:$A$1000,"",0)</f>
        <v/>
      </c>
    </row>
    <row r="761" spans="1:12" hidden="1" x14ac:dyDescent="0.25">
      <c r="A761" s="16" t="s">
        <v>11</v>
      </c>
      <c r="B761" s="16" t="s">
        <v>578</v>
      </c>
      <c r="C761" s="16" t="s">
        <v>521</v>
      </c>
      <c r="D761" s="16" t="s">
        <v>522</v>
      </c>
      <c r="E761" s="16">
        <v>0.48965517241379308</v>
      </c>
      <c r="F761" s="16" t="s">
        <v>194</v>
      </c>
      <c r="G761" s="16" t="s">
        <v>59</v>
      </c>
      <c r="H761" s="16" t="s">
        <v>523</v>
      </c>
      <c r="I761" s="16" t="s">
        <v>524</v>
      </c>
      <c r="J761" s="16" t="str">
        <f>IF(ISNUMBER(SEARCH("SCRW", H761)), _xlfn.XLOOKUP(C761,dd_item!$A$2:$A$147,dd_item!$B$2:$B$147,"",0),_xlfn.XLOOKUP(H761,dd_item!$A$2:$A$147,dd_item!$B$2:$B$147,"",0))</f>
        <v>Steel-Sash78</v>
      </c>
      <c r="K761" s="16" t="str">
        <f>_xlfn.XLOOKUP(A761,dd_design_raw!$C$2:$C$1002,dd_design_raw!$A$2:$A$1002,"",0)</f>
        <v>Double Awning (Horizontal)</v>
      </c>
      <c r="L761" s="16" t="str">
        <f>_xlfn.XLOOKUP(I761,dd_accsryclr!$A$2:$A$1000,dd_accsryclr!$A$2:$A$1000,"",0)</f>
        <v/>
      </c>
    </row>
    <row r="762" spans="1:12" hidden="1" x14ac:dyDescent="0.25">
      <c r="A762" s="16" t="s">
        <v>11</v>
      </c>
      <c r="B762" s="16" t="s">
        <v>578</v>
      </c>
      <c r="C762" s="16" t="s">
        <v>525</v>
      </c>
      <c r="D762" s="16" t="s">
        <v>526</v>
      </c>
      <c r="E762" s="16">
        <v>0.78689655172413797</v>
      </c>
      <c r="F762" s="16" t="s">
        <v>194</v>
      </c>
      <c r="G762" s="16" t="s">
        <v>59</v>
      </c>
      <c r="H762" s="16" t="s">
        <v>523</v>
      </c>
      <c r="I762" s="16" t="s">
        <v>527</v>
      </c>
      <c r="J762" s="16" t="str">
        <f>IF(ISNUMBER(SEARCH("SCRW", H762)), _xlfn.XLOOKUP(C762,dd_item!$A$2:$A$147,dd_item!$B$2:$B$147,"",0),_xlfn.XLOOKUP(H762,dd_item!$A$2:$A$147,dd_item!$B$2:$B$147,"",0))</f>
        <v>Steel-Sash78</v>
      </c>
      <c r="K762" s="16" t="str">
        <f>_xlfn.XLOOKUP(A762,dd_design_raw!$C$2:$C$1002,dd_design_raw!$A$2:$A$1002,"",0)</f>
        <v>Double Awning (Horizontal)</v>
      </c>
      <c r="L762" s="16" t="str">
        <f>_xlfn.XLOOKUP(I762,dd_accsryclr!$A$2:$A$1000,dd_accsryclr!$A$2:$A$1000,"",0)</f>
        <v/>
      </c>
    </row>
    <row r="763" spans="1:12" hidden="1" x14ac:dyDescent="0.25">
      <c r="A763" s="16" t="s">
        <v>11</v>
      </c>
      <c r="B763" s="16" t="s">
        <v>578</v>
      </c>
      <c r="C763" s="16" t="s">
        <v>349</v>
      </c>
      <c r="D763" s="16" t="s">
        <v>350</v>
      </c>
      <c r="E763" s="16">
        <v>1.2765517241379309</v>
      </c>
      <c r="F763" s="16" t="s">
        <v>194</v>
      </c>
      <c r="G763" s="16"/>
      <c r="H763" s="16" t="s">
        <v>351</v>
      </c>
      <c r="I763" s="16" t="s">
        <v>211</v>
      </c>
      <c r="J763" s="16" t="str">
        <f>IF(ISNUMBER(SEARCH("SCRW", H763)), _xlfn.XLOOKUP(C763,dd_item!$A$2:$A$147,dd_item!$B$2:$B$147,"",0),_xlfn.XLOOKUP(H763,dd_item!$A$2:$A$147,dd_item!$B$2:$B$147,"",0))</f>
        <v>Bead34</v>
      </c>
      <c r="K763" s="16" t="str">
        <f>_xlfn.XLOOKUP(A763,dd_design_raw!$C$2:$C$1002,dd_design_raw!$A$2:$A$1002,"",0)</f>
        <v>Double Awning (Horizontal)</v>
      </c>
      <c r="L763" s="16" t="str">
        <f>_xlfn.XLOOKUP(I763,dd_accsryclr!$A$2:$A$1000,dd_accsryclr!$A$2:$A$1000,"",0)</f>
        <v/>
      </c>
    </row>
    <row r="764" spans="1:12" hidden="1" x14ac:dyDescent="0.25">
      <c r="A764" s="16" t="s">
        <v>11</v>
      </c>
      <c r="B764" s="16" t="s">
        <v>578</v>
      </c>
      <c r="C764" s="16" t="s">
        <v>352</v>
      </c>
      <c r="D764" s="16" t="s">
        <v>353</v>
      </c>
      <c r="E764" s="16">
        <v>1.2765517241379309</v>
      </c>
      <c r="F764" s="16" t="s">
        <v>194</v>
      </c>
      <c r="G764" s="16"/>
      <c r="H764" s="16" t="s">
        <v>351</v>
      </c>
      <c r="I764" s="16" t="s">
        <v>214</v>
      </c>
      <c r="J764" s="16" t="str">
        <f>IF(ISNUMBER(SEARCH("SCRW", H764)), _xlfn.XLOOKUP(C764,dd_item!$A$2:$A$147,dd_item!$B$2:$B$147,"",0),_xlfn.XLOOKUP(H764,dd_item!$A$2:$A$147,dd_item!$B$2:$B$147,"",0))</f>
        <v>Bead34</v>
      </c>
      <c r="K764" s="16" t="str">
        <f>_xlfn.XLOOKUP(A764,dd_design_raw!$C$2:$C$1002,dd_design_raw!$A$2:$A$1002,"",0)</f>
        <v>Double Awning (Horizontal)</v>
      </c>
      <c r="L764" s="16" t="str">
        <f>_xlfn.XLOOKUP(I764,dd_accsryclr!$A$2:$A$1000,dd_accsryclr!$A$2:$A$1000,"",0)</f>
        <v/>
      </c>
    </row>
    <row r="765" spans="1:12" hidden="1" x14ac:dyDescent="0.25">
      <c r="A765" s="16" t="s">
        <v>11</v>
      </c>
      <c r="B765" s="16" t="s">
        <v>578</v>
      </c>
      <c r="C765" s="16" t="s">
        <v>354</v>
      </c>
      <c r="D765" s="16" t="s">
        <v>355</v>
      </c>
      <c r="E765" s="16">
        <v>1.2765517241379309</v>
      </c>
      <c r="F765" s="16" t="s">
        <v>194</v>
      </c>
      <c r="G765" s="16"/>
      <c r="H765" s="16" t="s">
        <v>351</v>
      </c>
      <c r="I765" s="16" t="s">
        <v>217</v>
      </c>
      <c r="J765" s="16" t="str">
        <f>IF(ISNUMBER(SEARCH("SCRW", H765)), _xlfn.XLOOKUP(C765,dd_item!$A$2:$A$147,dd_item!$B$2:$B$147,"",0),_xlfn.XLOOKUP(H765,dd_item!$A$2:$A$147,dd_item!$B$2:$B$147,"",0))</f>
        <v>Bead34</v>
      </c>
      <c r="K765" s="16" t="str">
        <f>_xlfn.XLOOKUP(A765,dd_design_raw!$C$2:$C$1002,dd_design_raw!$A$2:$A$1002,"",0)</f>
        <v>Double Awning (Horizontal)</v>
      </c>
      <c r="L765" s="16" t="str">
        <f>_xlfn.XLOOKUP(I765,dd_accsryclr!$A$2:$A$1000,dd_accsryclr!$A$2:$A$1000,"",0)</f>
        <v/>
      </c>
    </row>
    <row r="766" spans="1:12" hidden="1" x14ac:dyDescent="0.25">
      <c r="A766" s="16" t="s">
        <v>11</v>
      </c>
      <c r="B766" s="16" t="s">
        <v>578</v>
      </c>
      <c r="C766" s="16" t="s">
        <v>356</v>
      </c>
      <c r="D766" s="16" t="s">
        <v>357</v>
      </c>
      <c r="E766" s="16">
        <v>1.2765517241379309</v>
      </c>
      <c r="F766" s="16" t="s">
        <v>194</v>
      </c>
      <c r="G766" s="16"/>
      <c r="H766" s="16" t="s">
        <v>351</v>
      </c>
      <c r="I766" s="16" t="s">
        <v>226</v>
      </c>
      <c r="J766" s="16" t="str">
        <f>IF(ISNUMBER(SEARCH("SCRW", H766)), _xlfn.XLOOKUP(C766,dd_item!$A$2:$A$147,dd_item!$B$2:$B$147,"",0),_xlfn.XLOOKUP(H766,dd_item!$A$2:$A$147,dd_item!$B$2:$B$147,"",0))</f>
        <v>Bead34</v>
      </c>
      <c r="K766" s="16" t="str">
        <f>_xlfn.XLOOKUP(A766,dd_design_raw!$C$2:$C$1002,dd_design_raw!$A$2:$A$1002,"",0)</f>
        <v>Double Awning (Horizontal)</v>
      </c>
      <c r="L766" s="16" t="str">
        <f>_xlfn.XLOOKUP(I766,dd_accsryclr!$A$2:$A$1000,dd_accsryclr!$A$2:$A$1000,"",0)</f>
        <v/>
      </c>
    </row>
    <row r="767" spans="1:12" hidden="1" x14ac:dyDescent="0.25">
      <c r="A767" s="16" t="s">
        <v>11</v>
      </c>
      <c r="B767" s="16" t="s">
        <v>578</v>
      </c>
      <c r="C767" s="16" t="s">
        <v>358</v>
      </c>
      <c r="D767" s="16" t="s">
        <v>359</v>
      </c>
      <c r="E767" s="16">
        <v>1.2765517241379309</v>
      </c>
      <c r="F767" s="16" t="s">
        <v>194</v>
      </c>
      <c r="G767" s="16"/>
      <c r="H767" s="16" t="s">
        <v>351</v>
      </c>
      <c r="I767" s="16" t="s">
        <v>220</v>
      </c>
      <c r="J767" s="16" t="str">
        <f>IF(ISNUMBER(SEARCH("SCRW", H767)), _xlfn.XLOOKUP(C767,dd_item!$A$2:$A$147,dd_item!$B$2:$B$147,"",0),_xlfn.XLOOKUP(H767,dd_item!$A$2:$A$147,dd_item!$B$2:$B$147,"",0))</f>
        <v>Bead34</v>
      </c>
      <c r="K767" s="16" t="str">
        <f>_xlfn.XLOOKUP(A767,dd_design_raw!$C$2:$C$1002,dd_design_raw!$A$2:$A$1002,"",0)</f>
        <v>Double Awning (Horizontal)</v>
      </c>
      <c r="L767" s="16" t="str">
        <f>_xlfn.XLOOKUP(I767,dd_accsryclr!$A$2:$A$1000,dd_accsryclr!$A$2:$A$1000,"",0)</f>
        <v>WHT</v>
      </c>
    </row>
    <row r="768" spans="1:12" hidden="1" x14ac:dyDescent="0.25">
      <c r="A768" s="16" t="s">
        <v>11</v>
      </c>
      <c r="B768" s="16" t="s">
        <v>578</v>
      </c>
      <c r="C768" s="16" t="s">
        <v>360</v>
      </c>
      <c r="D768" s="16" t="s">
        <v>361</v>
      </c>
      <c r="E768" s="16">
        <v>1.2765517241379309</v>
      </c>
      <c r="F768" s="16" t="s">
        <v>194</v>
      </c>
      <c r="G768" s="16"/>
      <c r="H768" s="16" t="s">
        <v>351</v>
      </c>
      <c r="I768" s="16" t="s">
        <v>223</v>
      </c>
      <c r="J768" s="16" t="str">
        <f>IF(ISNUMBER(SEARCH("SCRW", H768)), _xlfn.XLOOKUP(C768,dd_item!$A$2:$A$147,dd_item!$B$2:$B$147,"",0),_xlfn.XLOOKUP(H768,dd_item!$A$2:$A$147,dd_item!$B$2:$B$147,"",0))</f>
        <v>Bead34</v>
      </c>
      <c r="K768" s="16" t="str">
        <f>_xlfn.XLOOKUP(A768,dd_design_raw!$C$2:$C$1002,dd_design_raw!$A$2:$A$1002,"",0)</f>
        <v>Double Awning (Horizontal)</v>
      </c>
      <c r="L768" s="16" t="str">
        <f>_xlfn.XLOOKUP(I768,dd_accsryclr!$A$2:$A$1000,dd_accsryclr!$A$2:$A$1000,"",0)</f>
        <v>BLK</v>
      </c>
    </row>
    <row r="769" spans="1:12" hidden="1" x14ac:dyDescent="0.25">
      <c r="A769" s="16" t="s">
        <v>11</v>
      </c>
      <c r="B769" s="16" t="s">
        <v>578</v>
      </c>
      <c r="C769" s="16" t="s">
        <v>362</v>
      </c>
      <c r="D769" s="16" t="s">
        <v>363</v>
      </c>
      <c r="E769" s="16">
        <v>1.2765517241379309</v>
      </c>
      <c r="F769" s="16" t="s">
        <v>194</v>
      </c>
      <c r="G769" s="16"/>
      <c r="H769" s="16" t="s">
        <v>351</v>
      </c>
      <c r="I769" s="16" t="s">
        <v>230</v>
      </c>
      <c r="J769" s="16" t="str">
        <f>IF(ISNUMBER(SEARCH("SCRW", H769)), _xlfn.XLOOKUP(C769,dd_item!$A$2:$A$147,dd_item!$B$2:$B$147,"",0),_xlfn.XLOOKUP(H769,dd_item!$A$2:$A$147,dd_item!$B$2:$B$147,"",0))</f>
        <v>Bead34</v>
      </c>
      <c r="K769" s="16" t="str">
        <f>_xlfn.XLOOKUP(A769,dd_design_raw!$C$2:$C$1002,dd_design_raw!$A$2:$A$1002,"",0)</f>
        <v>Double Awning (Horizontal)</v>
      </c>
      <c r="L769" s="16" t="str">
        <f>_xlfn.XLOOKUP(I769,dd_accsryclr!$A$2:$A$1000,dd_accsryclr!$A$2:$A$1000,"",0)</f>
        <v>BRWN</v>
      </c>
    </row>
    <row r="770" spans="1:12" x14ac:dyDescent="0.25">
      <c r="A770" s="16" t="s">
        <v>11</v>
      </c>
      <c r="B770" s="16" t="s">
        <v>578</v>
      </c>
      <c r="C770" s="16" t="s">
        <v>528</v>
      </c>
      <c r="D770" s="16" t="s">
        <v>529</v>
      </c>
      <c r="E770" s="16">
        <v>2</v>
      </c>
      <c r="F770" s="16" t="s">
        <v>293</v>
      </c>
      <c r="G770" s="16"/>
      <c r="H770" s="16" t="s">
        <v>530</v>
      </c>
      <c r="I770" s="16" t="s">
        <v>531</v>
      </c>
      <c r="J770" s="16" t="str">
        <f>IF(ISNUMBER(SEARCH("SCRW", H770)), _xlfn.XLOOKUP(C770,dd_item!$A$2:$A$147,dd_item!$B$2:$B$147,"",0),_xlfn.XLOOKUP(H770,dd_item!$A$2:$A$147,dd_item!$B$2:$B$147,"",0))</f>
        <v>Casement Espagnolette</v>
      </c>
      <c r="K770" s="16" t="str">
        <f>_xlfn.XLOOKUP(A770,dd_design_raw!$C$2:$C$1002,dd_design_raw!$A$2:$A$1002,"",0)</f>
        <v>Double Awning (Horizontal)</v>
      </c>
      <c r="L770" s="16" t="str">
        <f>_xlfn.XLOOKUP(I770,dd_accsryclr!$A$2:$A$1000,dd_accsryclr!$A$2:$A$1000,"",0)</f>
        <v/>
      </c>
    </row>
    <row r="771" spans="1:12" x14ac:dyDescent="0.25">
      <c r="A771" s="16" t="s">
        <v>11</v>
      </c>
      <c r="B771" s="16" t="s">
        <v>578</v>
      </c>
      <c r="C771" s="16" t="s">
        <v>532</v>
      </c>
      <c r="D771" s="16" t="s">
        <v>533</v>
      </c>
      <c r="E771" s="16">
        <v>2</v>
      </c>
      <c r="F771" s="16" t="s">
        <v>293</v>
      </c>
      <c r="G771" s="16"/>
      <c r="H771" s="16" t="s">
        <v>530</v>
      </c>
      <c r="I771" s="16" t="s">
        <v>531</v>
      </c>
      <c r="J771" s="16" t="str">
        <f>IF(ISNUMBER(SEARCH("SCRW", H771)), _xlfn.XLOOKUP(C771,dd_item!$A$2:$A$147,dd_item!$B$2:$B$147,"",0),_xlfn.XLOOKUP(H771,dd_item!$A$2:$A$147,dd_item!$B$2:$B$147,"",0))</f>
        <v>Casement Espagnolette</v>
      </c>
      <c r="K771" s="16" t="str">
        <f>_xlfn.XLOOKUP(A771,dd_design_raw!$C$2:$C$1002,dd_design_raw!$A$2:$A$1002,"",0)</f>
        <v>Double Awning (Horizontal)</v>
      </c>
      <c r="L771" s="16" t="str">
        <f>_xlfn.XLOOKUP(I771,dd_accsryclr!$A$2:$A$1000,dd_accsryclr!$A$2:$A$1000,"",0)</f>
        <v/>
      </c>
    </row>
    <row r="772" spans="1:12" x14ac:dyDescent="0.25">
      <c r="A772" s="16" t="s">
        <v>11</v>
      </c>
      <c r="B772" s="16" t="s">
        <v>578</v>
      </c>
      <c r="C772" s="16" t="s">
        <v>534</v>
      </c>
      <c r="D772" s="16" t="s">
        <v>535</v>
      </c>
      <c r="E772" s="16">
        <v>2</v>
      </c>
      <c r="F772" s="16" t="s">
        <v>293</v>
      </c>
      <c r="G772" s="16"/>
      <c r="H772" s="16" t="s">
        <v>530</v>
      </c>
      <c r="I772" s="16" t="s">
        <v>536</v>
      </c>
      <c r="J772" s="16" t="str">
        <f>IF(ISNUMBER(SEARCH("SCRW", H772)), _xlfn.XLOOKUP(C772,dd_item!$A$2:$A$147,dd_item!$B$2:$B$147,"",0),_xlfn.XLOOKUP(H772,dd_item!$A$2:$A$147,dd_item!$B$2:$B$147,"",0))</f>
        <v>Casement Espagnolette</v>
      </c>
      <c r="K772" s="16" t="str">
        <f>_xlfn.XLOOKUP(A772,dd_design_raw!$C$2:$C$1002,dd_design_raw!$A$2:$A$1002,"",0)</f>
        <v>Double Awning (Horizontal)</v>
      </c>
      <c r="L772" s="16" t="str">
        <f>_xlfn.XLOOKUP(I772,dd_accsryclr!$A$2:$A$1000,dd_accsryclr!$A$2:$A$1000,"",0)</f>
        <v/>
      </c>
    </row>
    <row r="773" spans="1:12" hidden="1" x14ac:dyDescent="0.25">
      <c r="A773" s="16" t="s">
        <v>11</v>
      </c>
      <c r="B773" s="16" t="s">
        <v>578</v>
      </c>
      <c r="C773" s="16" t="s">
        <v>571</v>
      </c>
      <c r="D773" s="16" t="s">
        <v>572</v>
      </c>
      <c r="E773" s="16">
        <v>4</v>
      </c>
      <c r="F773" s="16" t="s">
        <v>293</v>
      </c>
      <c r="G773" s="16"/>
      <c r="H773" s="16" t="s">
        <v>573</v>
      </c>
      <c r="I773" s="16"/>
      <c r="J773" s="16" t="str">
        <f>IF(ISNUMBER(SEARCH("SCRW", H773)), _xlfn.XLOOKUP(C773,dd_item!$A$2:$A$147,dd_item!$B$2:$B$147,"",0),_xlfn.XLOOKUP(H773,dd_item!$A$2:$A$147,dd_item!$B$2:$B$147,"",0))</f>
        <v>Hinge 4-Bar</v>
      </c>
      <c r="K773" s="16" t="str">
        <f>_xlfn.XLOOKUP(A773,dd_design_raw!$C$2:$C$1002,dd_design_raw!$A$2:$A$1002,"",0)</f>
        <v>Double Awning (Horizontal)</v>
      </c>
      <c r="L773" s="16" t="str">
        <f>_xlfn.XLOOKUP(I773,dd_accsryclr!$A$2:$A$1000,dd_accsryclr!$A$2:$A$1000,"",0)</f>
        <v/>
      </c>
    </row>
    <row r="774" spans="1:12" hidden="1" x14ac:dyDescent="0.25">
      <c r="A774" s="16" t="s">
        <v>11</v>
      </c>
      <c r="B774" s="16" t="s">
        <v>578</v>
      </c>
      <c r="C774" s="16" t="s">
        <v>390</v>
      </c>
      <c r="D774" s="16" t="s">
        <v>391</v>
      </c>
      <c r="E774" s="16">
        <v>10.84</v>
      </c>
      <c r="F774" s="16" t="s">
        <v>369</v>
      </c>
      <c r="G774" s="16"/>
      <c r="H774" s="16" t="s">
        <v>792</v>
      </c>
      <c r="I774" s="16"/>
      <c r="J774" s="16" t="str">
        <f>IF(ISNUMBER(SEARCH("SCRW", H774)), _xlfn.XLOOKUP(C774,dd_item!$A$2:$A$147,dd_item!$B$2:$B$147,"",0),_xlfn.XLOOKUP(H774,dd_item!$A$2:$A$147,dd_item!$B$2:$B$147,"",0))</f>
        <v>Atlas Screw (S) 10 x 2-1/2" (Flat)</v>
      </c>
      <c r="K774" s="16" t="str">
        <f>_xlfn.XLOOKUP(A774,dd_design_raw!$C$2:$C$1002,dd_design_raw!$A$2:$A$1002,"",0)</f>
        <v>Double Awning (Horizontal)</v>
      </c>
      <c r="L774" s="16" t="str">
        <f>_xlfn.XLOOKUP(I774,dd_accsryclr!$A$2:$A$1000,dd_accsryclr!$A$2:$A$1000,"",0)</f>
        <v/>
      </c>
    </row>
    <row r="775" spans="1:12" hidden="1" x14ac:dyDescent="0.25">
      <c r="A775" s="16" t="s">
        <v>11</v>
      </c>
      <c r="B775" s="16" t="s">
        <v>578</v>
      </c>
      <c r="C775" s="16" t="s">
        <v>392</v>
      </c>
      <c r="D775" s="16" t="s">
        <v>393</v>
      </c>
      <c r="E775" s="16">
        <v>3</v>
      </c>
      <c r="F775" s="16" t="s">
        <v>369</v>
      </c>
      <c r="G775" s="16"/>
      <c r="H775" s="16" t="s">
        <v>394</v>
      </c>
      <c r="I775" s="16" t="s">
        <v>223</v>
      </c>
      <c r="J775" s="16" t="str">
        <f>IF(ISNUMBER(SEARCH("SCRW", H775)), _xlfn.XLOOKUP(C775,dd_item!$A$2:$A$147,dd_item!$B$2:$B$147,"",0),_xlfn.XLOOKUP(H775,dd_item!$A$2:$A$147,dd_item!$B$2:$B$147,"",0))</f>
        <v>Drainage Cover</v>
      </c>
      <c r="K775" s="16" t="str">
        <f>_xlfn.XLOOKUP(A775,dd_design_raw!$C$2:$C$1002,dd_design_raw!$A$2:$A$1002,"",0)</f>
        <v>Double Awning (Horizontal)</v>
      </c>
      <c r="L775" s="16" t="str">
        <f>_xlfn.XLOOKUP(I775,dd_accsryclr!$A$2:$A$1000,dd_accsryclr!$A$2:$A$1000,"",0)</f>
        <v>BLK</v>
      </c>
    </row>
    <row r="776" spans="1:12" hidden="1" x14ac:dyDescent="0.25">
      <c r="A776" s="16" t="s">
        <v>11</v>
      </c>
      <c r="B776" s="16" t="s">
        <v>578</v>
      </c>
      <c r="C776" s="16" t="s">
        <v>395</v>
      </c>
      <c r="D776" s="16" t="s">
        <v>396</v>
      </c>
      <c r="E776" s="16">
        <v>3</v>
      </c>
      <c r="F776" s="16" t="s">
        <v>369</v>
      </c>
      <c r="G776" s="16"/>
      <c r="H776" s="16" t="s">
        <v>394</v>
      </c>
      <c r="I776" s="16" t="s">
        <v>220</v>
      </c>
      <c r="J776" s="16" t="str">
        <f>IF(ISNUMBER(SEARCH("SCRW", H776)), _xlfn.XLOOKUP(C776,dd_item!$A$2:$A$147,dd_item!$B$2:$B$147,"",0),_xlfn.XLOOKUP(H776,dd_item!$A$2:$A$147,dd_item!$B$2:$B$147,"",0))</f>
        <v>Drainage Cover</v>
      </c>
      <c r="K776" s="16" t="str">
        <f>_xlfn.XLOOKUP(A776,dd_design_raw!$C$2:$C$1002,dd_design_raw!$A$2:$A$1002,"",0)</f>
        <v>Double Awning (Horizontal)</v>
      </c>
      <c r="L776" s="16" t="str">
        <f>_xlfn.XLOOKUP(I776,dd_accsryclr!$A$2:$A$1000,dd_accsryclr!$A$2:$A$1000,"",0)</f>
        <v>WHT</v>
      </c>
    </row>
    <row r="777" spans="1:12" hidden="1" x14ac:dyDescent="0.25">
      <c r="A777" s="16" t="s">
        <v>11</v>
      </c>
      <c r="B777" s="16" t="s">
        <v>578</v>
      </c>
      <c r="C777" s="16" t="s">
        <v>397</v>
      </c>
      <c r="D777" s="16" t="s">
        <v>398</v>
      </c>
      <c r="E777" s="16">
        <v>0.21679999999999999</v>
      </c>
      <c r="F777" s="16" t="s">
        <v>369</v>
      </c>
      <c r="G777" s="16"/>
      <c r="H777" s="16" t="s">
        <v>399</v>
      </c>
      <c r="I777" s="16" t="s">
        <v>400</v>
      </c>
      <c r="J777" s="16" t="str">
        <f>IF(ISNUMBER(SEARCH("SCRW", H777)), _xlfn.XLOOKUP(C777,dd_item!$A$2:$A$147,dd_item!$B$2:$B$147,"",0),_xlfn.XLOOKUP(H777,dd_item!$A$2:$A$147,dd_item!$B$2:$B$147,"",0))</f>
        <v>Tox6</v>
      </c>
      <c r="K777" s="16" t="str">
        <f>_xlfn.XLOOKUP(A777,dd_design_raw!$C$2:$C$1002,dd_design_raw!$A$2:$A$1002,"",0)</f>
        <v>Double Awning (Horizontal)</v>
      </c>
      <c r="L777" s="16" t="str">
        <f>_xlfn.XLOOKUP(I777,dd_accsryclr!$A$2:$A$1000,dd_accsryclr!$A$2:$A$1000,"",0)</f>
        <v/>
      </c>
    </row>
    <row r="778" spans="1:12" hidden="1" x14ac:dyDescent="0.25">
      <c r="A778" s="16" t="s">
        <v>11</v>
      </c>
      <c r="B778" s="16" t="s">
        <v>578</v>
      </c>
      <c r="C778" s="16" t="s">
        <v>414</v>
      </c>
      <c r="D778" s="16" t="s">
        <v>415</v>
      </c>
      <c r="E778" s="16">
        <v>3.6133333333333333</v>
      </c>
      <c r="F778" s="16" t="s">
        <v>369</v>
      </c>
      <c r="G778" s="16"/>
      <c r="H778" s="16" t="s">
        <v>416</v>
      </c>
      <c r="I778" s="16" t="s">
        <v>223</v>
      </c>
      <c r="J778" s="16" t="str">
        <f>IF(ISNUMBER(SEARCH("SCRW", H778)), _xlfn.XLOOKUP(C778,dd_item!$A$2:$A$147,dd_item!$B$2:$B$147,"",0),_xlfn.XLOOKUP(H778,dd_item!$A$2:$A$147,dd_item!$B$2:$B$147,"",0))</f>
        <v>Sealant</v>
      </c>
      <c r="K778" s="16" t="str">
        <f>_xlfn.XLOOKUP(A778,dd_design_raw!$C$2:$C$1002,dd_design_raw!$A$2:$A$1002,"",0)</f>
        <v>Double Awning (Horizontal)</v>
      </c>
      <c r="L778" s="16" t="str">
        <f>_xlfn.XLOOKUP(I778,dd_accsryclr!$A$2:$A$1000,dd_accsryclr!$A$2:$A$1000,"",0)</f>
        <v>BLK</v>
      </c>
    </row>
    <row r="779" spans="1:12" hidden="1" x14ac:dyDescent="0.25">
      <c r="A779" s="16" t="s">
        <v>11</v>
      </c>
      <c r="B779" s="16" t="s">
        <v>578</v>
      </c>
      <c r="C779" s="16" t="s">
        <v>417</v>
      </c>
      <c r="D779" s="16" t="s">
        <v>418</v>
      </c>
      <c r="E779" s="16">
        <v>3.6133333333333333</v>
      </c>
      <c r="F779" s="16" t="s">
        <v>369</v>
      </c>
      <c r="G779" s="16"/>
      <c r="H779" s="16" t="s">
        <v>416</v>
      </c>
      <c r="I779" s="16" t="s">
        <v>230</v>
      </c>
      <c r="J779" s="16" t="str">
        <f>IF(ISNUMBER(SEARCH("SCRW", H779)), _xlfn.XLOOKUP(C779,dd_item!$A$2:$A$147,dd_item!$B$2:$B$147,"",0),_xlfn.XLOOKUP(H779,dd_item!$A$2:$A$147,dd_item!$B$2:$B$147,"",0))</f>
        <v>Sealant</v>
      </c>
      <c r="K779" s="16" t="str">
        <f>_xlfn.XLOOKUP(A779,dd_design_raw!$C$2:$C$1002,dd_design_raw!$A$2:$A$1002,"",0)</f>
        <v>Double Awning (Horizontal)</v>
      </c>
      <c r="L779" s="16" t="str">
        <f>_xlfn.XLOOKUP(I779,dd_accsryclr!$A$2:$A$1000,dd_accsryclr!$A$2:$A$1000,"",0)</f>
        <v>BRWN</v>
      </c>
    </row>
    <row r="780" spans="1:12" hidden="1" x14ac:dyDescent="0.25">
      <c r="A780" s="16" t="s">
        <v>11</v>
      </c>
      <c r="B780" s="16" t="s">
        <v>578</v>
      </c>
      <c r="C780" s="16" t="s">
        <v>419</v>
      </c>
      <c r="D780" s="16" t="s">
        <v>420</v>
      </c>
      <c r="E780" s="16">
        <v>3.6133333333333333</v>
      </c>
      <c r="F780" s="16" t="s">
        <v>369</v>
      </c>
      <c r="G780" s="16"/>
      <c r="H780" s="16" t="s">
        <v>416</v>
      </c>
      <c r="I780" s="16" t="s">
        <v>220</v>
      </c>
      <c r="J780" s="16" t="str">
        <f>IF(ISNUMBER(SEARCH("SCRW", H780)), _xlfn.XLOOKUP(C780,dd_item!$A$2:$A$147,dd_item!$B$2:$B$147,"",0),_xlfn.XLOOKUP(H780,dd_item!$A$2:$A$147,dd_item!$B$2:$B$147,"",0))</f>
        <v>Sealant</v>
      </c>
      <c r="K780" s="16" t="str">
        <f>_xlfn.XLOOKUP(A780,dd_design_raw!$C$2:$C$1002,dd_design_raw!$A$2:$A$1002,"",0)</f>
        <v>Double Awning (Horizontal)</v>
      </c>
      <c r="L780" s="16" t="str">
        <f>_xlfn.XLOOKUP(I780,dd_accsryclr!$A$2:$A$1000,dd_accsryclr!$A$2:$A$1000,"",0)</f>
        <v>WHT</v>
      </c>
    </row>
    <row r="781" spans="1:12" hidden="1" x14ac:dyDescent="0.25">
      <c r="A781" s="16" t="s">
        <v>11</v>
      </c>
      <c r="B781" s="16" t="s">
        <v>578</v>
      </c>
      <c r="C781" s="16" t="s">
        <v>421</v>
      </c>
      <c r="D781" s="16" t="s">
        <v>422</v>
      </c>
      <c r="E781" s="16"/>
      <c r="F781" s="16" t="s">
        <v>369</v>
      </c>
      <c r="G781" s="16"/>
      <c r="H781" s="16" t="s">
        <v>416</v>
      </c>
      <c r="I781" s="16" t="s">
        <v>423</v>
      </c>
      <c r="J781" s="16" t="str">
        <f>IF(ISNUMBER(SEARCH("SCRW", H781)), _xlfn.XLOOKUP(C781,dd_item!$A$2:$A$147,dd_item!$B$2:$B$147,"",0),_xlfn.XLOOKUP(H781,dd_item!$A$2:$A$147,dd_item!$B$2:$B$147,"",0))</f>
        <v>Sealant</v>
      </c>
      <c r="K781" s="16" t="str">
        <f>_xlfn.XLOOKUP(A781,dd_design_raw!$C$2:$C$1002,dd_design_raw!$A$2:$A$1002,"",0)</f>
        <v>Double Awning (Horizontal)</v>
      </c>
      <c r="L781" s="16" t="str">
        <f>_xlfn.XLOOKUP(I781,dd_accsryclr!$A$2:$A$1000,dd_accsryclr!$A$2:$A$1000,"",0)</f>
        <v/>
      </c>
    </row>
    <row r="782" spans="1:12" hidden="1" x14ac:dyDescent="0.25">
      <c r="A782" s="16" t="s">
        <v>11</v>
      </c>
      <c r="B782" s="16" t="s">
        <v>578</v>
      </c>
      <c r="C782" s="16" t="s">
        <v>540</v>
      </c>
      <c r="D782" s="16" t="s">
        <v>541</v>
      </c>
      <c r="E782" s="16">
        <v>2</v>
      </c>
      <c r="F782" s="16" t="s">
        <v>369</v>
      </c>
      <c r="G782" s="16"/>
      <c r="H782" s="16" t="s">
        <v>542</v>
      </c>
      <c r="I782" s="16" t="s">
        <v>223</v>
      </c>
      <c r="J782" s="16" t="str">
        <f>IF(ISNUMBER(SEARCH("SCRW", H782)), _xlfn.XLOOKUP(C782,dd_item!$A$2:$A$147,dd_item!$B$2:$B$147,"",0),_xlfn.XLOOKUP(H782,dd_item!$A$2:$A$147,dd_item!$B$2:$B$147,"",0))</f>
        <v>Casement Handle (Roto)</v>
      </c>
      <c r="K782" s="16" t="str">
        <f>_xlfn.XLOOKUP(A782,dd_design_raw!$C$2:$C$1002,dd_design_raw!$A$2:$A$1002,"",0)</f>
        <v>Double Awning (Horizontal)</v>
      </c>
      <c r="L782" s="16" t="str">
        <f>_xlfn.XLOOKUP(I782,dd_accsryclr!$A$2:$A$1000,dd_accsryclr!$A$2:$A$1000,"",0)</f>
        <v>BLK</v>
      </c>
    </row>
    <row r="783" spans="1:12" hidden="1" x14ac:dyDescent="0.25">
      <c r="A783" s="16" t="s">
        <v>11</v>
      </c>
      <c r="B783" s="16" t="s">
        <v>578</v>
      </c>
      <c r="C783" s="16" t="s">
        <v>543</v>
      </c>
      <c r="D783" s="16" t="s">
        <v>544</v>
      </c>
      <c r="E783" s="16">
        <v>2</v>
      </c>
      <c r="F783" s="16" t="s">
        <v>369</v>
      </c>
      <c r="G783" s="16"/>
      <c r="H783" s="16" t="s">
        <v>542</v>
      </c>
      <c r="I783" s="16" t="s">
        <v>220</v>
      </c>
      <c r="J783" s="16" t="str">
        <f>IF(ISNUMBER(SEARCH("SCRW", H783)), _xlfn.XLOOKUP(C783,dd_item!$A$2:$A$147,dd_item!$B$2:$B$147,"",0),_xlfn.XLOOKUP(H783,dd_item!$A$2:$A$147,dd_item!$B$2:$B$147,"",0))</f>
        <v>Casement Handle (Roto)</v>
      </c>
      <c r="K783" s="16" t="str">
        <f>_xlfn.XLOOKUP(A783,dd_design_raw!$C$2:$C$1002,dd_design_raw!$A$2:$A$1002,"",0)</f>
        <v>Double Awning (Horizontal)</v>
      </c>
      <c r="L783" s="16" t="str">
        <f>_xlfn.XLOOKUP(I783,dd_accsryclr!$A$2:$A$1000,dd_accsryclr!$A$2:$A$1000,"",0)</f>
        <v>WHT</v>
      </c>
    </row>
    <row r="784" spans="1:12" hidden="1" x14ac:dyDescent="0.25">
      <c r="A784" s="16" t="s">
        <v>11</v>
      </c>
      <c r="B784" s="16" t="s">
        <v>578</v>
      </c>
      <c r="C784" s="16" t="s">
        <v>545</v>
      </c>
      <c r="D784" s="16" t="s">
        <v>546</v>
      </c>
      <c r="E784" s="16">
        <v>2</v>
      </c>
      <c r="F784" s="16" t="s">
        <v>369</v>
      </c>
      <c r="G784" s="16"/>
      <c r="H784" s="16" t="s">
        <v>9</v>
      </c>
      <c r="I784" s="16" t="s">
        <v>223</v>
      </c>
      <c r="J784" s="16" t="str">
        <f>IF(ISNUMBER(SEARCH("SCRW", H784)), _xlfn.XLOOKUP(C784,dd_item!$A$2:$A$147,dd_item!$B$2:$B$147,"",0),_xlfn.XLOOKUP(H784,dd_item!$A$2:$A$147,dd_item!$B$2:$B$147,"",0))</f>
        <v>Casement Handle (Espag)</v>
      </c>
      <c r="K784" s="16" t="str">
        <f>_xlfn.XLOOKUP(A784,dd_design_raw!$C$2:$C$1002,dd_design_raw!$A$2:$A$1002,"",0)</f>
        <v>Double Awning (Horizontal)</v>
      </c>
      <c r="L784" s="16" t="str">
        <f>_xlfn.XLOOKUP(I784,dd_accsryclr!$A$2:$A$1000,dd_accsryclr!$A$2:$A$1000,"",0)</f>
        <v>BLK</v>
      </c>
    </row>
    <row r="785" spans="1:12" hidden="1" x14ac:dyDescent="0.25">
      <c r="A785" s="16" t="s">
        <v>11</v>
      </c>
      <c r="B785" s="16" t="s">
        <v>578</v>
      </c>
      <c r="C785" s="16" t="s">
        <v>547</v>
      </c>
      <c r="D785" s="16" t="s">
        <v>548</v>
      </c>
      <c r="E785" s="16">
        <v>2</v>
      </c>
      <c r="F785" s="16" t="s">
        <v>369</v>
      </c>
      <c r="G785" s="16"/>
      <c r="H785" s="16" t="s">
        <v>9</v>
      </c>
      <c r="I785" s="16" t="s">
        <v>220</v>
      </c>
      <c r="J785" s="16" t="str">
        <f>IF(ISNUMBER(SEARCH("SCRW", H785)), _xlfn.XLOOKUP(C785,dd_item!$A$2:$A$147,dd_item!$B$2:$B$147,"",0),_xlfn.XLOOKUP(H785,dd_item!$A$2:$A$147,dd_item!$B$2:$B$147,"",0))</f>
        <v>Casement Handle (Espag)</v>
      </c>
      <c r="K785" s="16" t="str">
        <f>_xlfn.XLOOKUP(A785,dd_design_raw!$C$2:$C$1002,dd_design_raw!$A$2:$A$1002,"",0)</f>
        <v>Double Awning (Horizontal)</v>
      </c>
      <c r="L785" s="16" t="str">
        <f>_xlfn.XLOOKUP(I785,dd_accsryclr!$A$2:$A$1000,dd_accsryclr!$A$2:$A$1000,"",0)</f>
        <v>WHT</v>
      </c>
    </row>
    <row r="786" spans="1:12" hidden="1" x14ac:dyDescent="0.25">
      <c r="A786" s="16" t="s">
        <v>11</v>
      </c>
      <c r="B786" s="16" t="s">
        <v>578</v>
      </c>
      <c r="C786" s="16" t="s">
        <v>549</v>
      </c>
      <c r="D786" s="16" t="s">
        <v>550</v>
      </c>
      <c r="E786" s="16">
        <v>6</v>
      </c>
      <c r="F786" s="16" t="s">
        <v>369</v>
      </c>
      <c r="G786" s="16"/>
      <c r="H786" s="16" t="s">
        <v>551</v>
      </c>
      <c r="I786" s="16" t="s">
        <v>574</v>
      </c>
      <c r="J786" s="16" t="str">
        <f>IF(ISNUMBER(SEARCH("SCRW", H786)), _xlfn.XLOOKUP(C786,dd_item!$A$2:$A$147,dd_item!$B$2:$B$147,"",0),_xlfn.XLOOKUP(H786,dd_item!$A$2:$A$147,dd_item!$B$2:$B$147,"",0))</f>
        <v>Casement Striker (Roto)</v>
      </c>
      <c r="K786" s="16" t="str">
        <f>_xlfn.XLOOKUP(A786,dd_design_raw!$C$2:$C$1002,dd_design_raw!$A$2:$A$1002,"",0)</f>
        <v>Double Awning (Horizontal)</v>
      </c>
      <c r="L786" s="16" t="str">
        <f>_xlfn.XLOOKUP(I786,dd_accsryclr!$A$2:$A$1000,dd_accsryclr!$A$2:$A$1000,"",0)</f>
        <v/>
      </c>
    </row>
    <row r="787" spans="1:12" hidden="1" x14ac:dyDescent="0.25">
      <c r="A787" s="16" t="s">
        <v>11</v>
      </c>
      <c r="B787" s="16" t="s">
        <v>578</v>
      </c>
      <c r="C787" s="16" t="s">
        <v>412</v>
      </c>
      <c r="D787" s="16" t="s">
        <v>413</v>
      </c>
      <c r="E787" s="16">
        <v>6</v>
      </c>
      <c r="F787" s="16" t="s">
        <v>369</v>
      </c>
      <c r="G787" s="16"/>
      <c r="H787" s="16" t="s">
        <v>793</v>
      </c>
      <c r="I787" s="16" t="s">
        <v>575</v>
      </c>
      <c r="J787" s="16" t="str">
        <f>IF(ISNUMBER(SEARCH("SCRW", H787)), _xlfn.XLOOKUP(C787,dd_item!$A$2:$A$147,dd_item!$B$2:$B$147,"",0),_xlfn.XLOOKUP(H787,dd_item!$A$2:$A$147,dd_item!$B$2:$B$147,"",0))</f>
        <v>Atlas Screw (S) 8 x 1-1/4" (Flat)</v>
      </c>
      <c r="K787" s="16" t="str">
        <f>_xlfn.XLOOKUP(A787,dd_design_raw!$C$2:$C$1002,dd_design_raw!$A$2:$A$1002,"",0)</f>
        <v>Double Awning (Horizontal)</v>
      </c>
      <c r="L787" s="16" t="str">
        <f>_xlfn.XLOOKUP(I787,dd_accsryclr!$A$2:$A$1000,dd_accsryclr!$A$2:$A$1000,"",0)</f>
        <v/>
      </c>
    </row>
    <row r="788" spans="1:12" hidden="1" x14ac:dyDescent="0.25">
      <c r="A788" s="16" t="s">
        <v>11</v>
      </c>
      <c r="B788" s="16" t="s">
        <v>578</v>
      </c>
      <c r="C788" s="16" t="s">
        <v>401</v>
      </c>
      <c r="D788" s="16" t="s">
        <v>402</v>
      </c>
      <c r="E788" s="16">
        <v>10.84</v>
      </c>
      <c r="F788" s="16" t="s">
        <v>369</v>
      </c>
      <c r="G788" s="16"/>
      <c r="H788" s="16" t="s">
        <v>403</v>
      </c>
      <c r="I788" s="16" t="s">
        <v>223</v>
      </c>
      <c r="J788" s="16" t="str">
        <f>IF(ISNUMBER(SEARCH("SCRW", H788)), _xlfn.XLOOKUP(C788,dd_item!$A$2:$A$147,dd_item!$B$2:$B$147,"",0),_xlfn.XLOOKUP(H788,dd_item!$A$2:$A$147,dd_item!$B$2:$B$147,"",0))</f>
        <v>Cover Cap</v>
      </c>
      <c r="K788" s="16" t="str">
        <f>_xlfn.XLOOKUP(A788,dd_design_raw!$C$2:$C$1002,dd_design_raw!$A$2:$A$1002,"",0)</f>
        <v>Double Awning (Horizontal)</v>
      </c>
      <c r="L788" s="16" t="str">
        <f>_xlfn.XLOOKUP(I788,dd_accsryclr!$A$2:$A$1000,dd_accsryclr!$A$2:$A$1000,"",0)</f>
        <v>BLK</v>
      </c>
    </row>
    <row r="789" spans="1:12" hidden="1" x14ac:dyDescent="0.25">
      <c r="A789" s="16" t="s">
        <v>11</v>
      </c>
      <c r="B789" s="16" t="s">
        <v>578</v>
      </c>
      <c r="C789" s="16" t="s">
        <v>404</v>
      </c>
      <c r="D789" s="16" t="s">
        <v>405</v>
      </c>
      <c r="E789" s="16">
        <v>10.84</v>
      </c>
      <c r="F789" s="16" t="s">
        <v>369</v>
      </c>
      <c r="G789" s="16"/>
      <c r="H789" s="16" t="s">
        <v>403</v>
      </c>
      <c r="I789" s="16" t="s">
        <v>220</v>
      </c>
      <c r="J789" s="16" t="str">
        <f>IF(ISNUMBER(SEARCH("SCRW", H789)), _xlfn.XLOOKUP(C789,dd_item!$A$2:$A$147,dd_item!$B$2:$B$147,"",0),_xlfn.XLOOKUP(H789,dd_item!$A$2:$A$147,dd_item!$B$2:$B$147,"",0))</f>
        <v>Cover Cap</v>
      </c>
      <c r="K789" s="16" t="str">
        <f>_xlfn.XLOOKUP(A789,dd_design_raw!$C$2:$C$1002,dd_design_raw!$A$2:$A$1002,"",0)</f>
        <v>Double Awning (Horizontal)</v>
      </c>
      <c r="L789" s="16" t="str">
        <f>_xlfn.XLOOKUP(I789,dd_accsryclr!$A$2:$A$1000,dd_accsryclr!$A$2:$A$1000,"",0)</f>
        <v>WHT</v>
      </c>
    </row>
    <row r="790" spans="1:12" hidden="1" x14ac:dyDescent="0.25">
      <c r="A790" s="16" t="s">
        <v>11</v>
      </c>
      <c r="B790" s="16" t="s">
        <v>578</v>
      </c>
      <c r="C790" s="16" t="s">
        <v>552</v>
      </c>
      <c r="D790" s="16" t="s">
        <v>553</v>
      </c>
      <c r="E790" s="16">
        <v>4</v>
      </c>
      <c r="F790" s="16" t="s">
        <v>369</v>
      </c>
      <c r="G790" s="16"/>
      <c r="H790" s="16" t="s">
        <v>794</v>
      </c>
      <c r="I790" s="16" t="s">
        <v>554</v>
      </c>
      <c r="J790" s="16" t="str">
        <f>IF(ISNUMBER(SEARCH("SCRW", H790)), _xlfn.XLOOKUP(C790,dd_item!$A$2:$A$147,dd_item!$B$2:$B$147,"",0),_xlfn.XLOOKUP(H790,dd_item!$A$2:$A$147,dd_item!$B$2:$B$147,"",0))</f>
        <v>Atlas Screw S.B JF 5 x 50</v>
      </c>
      <c r="K790" s="16" t="str">
        <f>_xlfn.XLOOKUP(A790,dd_design_raw!$C$2:$C$1002,dd_design_raw!$A$2:$A$1002,"",0)</f>
        <v>Double Awning (Horizontal)</v>
      </c>
      <c r="L790" s="16" t="str">
        <f>_xlfn.XLOOKUP(I790,dd_accsryclr!$A$2:$A$1000,dd_accsryclr!$A$2:$A$1000,"",0)</f>
        <v/>
      </c>
    </row>
    <row r="791" spans="1:12" hidden="1" x14ac:dyDescent="0.25">
      <c r="A791" s="16" t="s">
        <v>11</v>
      </c>
      <c r="B791" s="16" t="s">
        <v>578</v>
      </c>
      <c r="C791" s="16" t="s">
        <v>811</v>
      </c>
      <c r="D791" s="16" t="s">
        <v>812</v>
      </c>
      <c r="E791" s="16"/>
      <c r="F791" s="16" t="s">
        <v>194</v>
      </c>
      <c r="G791" s="16" t="s">
        <v>711</v>
      </c>
      <c r="H791" s="16" t="s">
        <v>813</v>
      </c>
      <c r="I791" s="16" t="s">
        <v>814</v>
      </c>
      <c r="J791" s="16" t="str">
        <f>IF(ISNUMBER(SEARCH("SCRW", H791)), _xlfn.XLOOKUP(C791,dd_item!$A$2:$A$147,dd_item!$B$2:$B$147,"",0),_xlfn.XLOOKUP(H791,dd_item!$A$2:$A$147,dd_item!$B$2:$B$147,"",0))</f>
        <v>Steel-Mullion72</v>
      </c>
      <c r="K791" s="16" t="str">
        <f>_xlfn.XLOOKUP(A791,dd_design_raw!$C$2:$C$1002,dd_design_raw!$A$2:$A$1002,"",0)</f>
        <v>Double Awning (Horizontal)</v>
      </c>
      <c r="L791" s="16" t="str">
        <f>_xlfn.XLOOKUP(I791,dd_accsryclr!$A$2:$A$1000,dd_accsryclr!$A$2:$A$1000,"",0)</f>
        <v/>
      </c>
    </row>
    <row r="792" spans="1:12" hidden="1" x14ac:dyDescent="0.25">
      <c r="A792" s="16" t="s">
        <v>11</v>
      </c>
      <c r="B792" s="16" t="s">
        <v>578</v>
      </c>
      <c r="C792" s="16" t="s">
        <v>815</v>
      </c>
      <c r="D792" s="16" t="s">
        <v>816</v>
      </c>
      <c r="E792" s="16"/>
      <c r="F792" s="16" t="s">
        <v>194</v>
      </c>
      <c r="G792" s="16" t="s">
        <v>711</v>
      </c>
      <c r="H792" s="16" t="s">
        <v>813</v>
      </c>
      <c r="I792" s="16" t="s">
        <v>817</v>
      </c>
      <c r="J792" s="16" t="str">
        <f>IF(ISNUMBER(SEARCH("SCRW", H792)), _xlfn.XLOOKUP(C792,dd_item!$A$2:$A$147,dd_item!$B$2:$B$147,"",0),_xlfn.XLOOKUP(H792,dd_item!$A$2:$A$147,dd_item!$B$2:$B$147,"",0))</f>
        <v>Steel-Mullion72</v>
      </c>
      <c r="K792" s="16" t="str">
        <f>_xlfn.XLOOKUP(A792,dd_design_raw!$C$2:$C$1002,dd_design_raw!$A$2:$A$1002,"",0)</f>
        <v>Double Awning (Horizontal)</v>
      </c>
      <c r="L792" s="16" t="str">
        <f>_xlfn.XLOOKUP(I792,dd_accsryclr!$A$2:$A$1000,dd_accsryclr!$A$2:$A$1000,"",0)</f>
        <v/>
      </c>
    </row>
    <row r="793" spans="1:12" hidden="1" x14ac:dyDescent="0.25">
      <c r="A793" s="16" t="s">
        <v>7</v>
      </c>
      <c r="B793" s="16" t="s">
        <v>579</v>
      </c>
      <c r="C793" s="16" t="s">
        <v>484</v>
      </c>
      <c r="D793" s="16" t="s">
        <v>485</v>
      </c>
      <c r="E793" s="16">
        <v>1.1413793103448275</v>
      </c>
      <c r="F793" s="16" t="s">
        <v>194</v>
      </c>
      <c r="G793" s="16"/>
      <c r="H793" s="16" t="s">
        <v>486</v>
      </c>
      <c r="I793" s="16" t="s">
        <v>230</v>
      </c>
      <c r="J793" s="16" t="str">
        <f>IF(ISNUMBER(SEARCH("SCRW", H793)), _xlfn.XLOOKUP(C793,dd_item!$A$2:$A$147,dd_item!$B$2:$B$147,"",0),_xlfn.XLOOKUP(H793,dd_item!$A$2:$A$147,dd_item!$B$2:$B$147,"",0))</f>
        <v>Frame60</v>
      </c>
      <c r="K793" s="16" t="str">
        <f>_xlfn.XLOOKUP(A793,dd_design_raw!$C$2:$C$1002,dd_design_raw!$A$2:$A$1002,"",0)</f>
        <v>Double Fix</v>
      </c>
      <c r="L793" s="16" t="str">
        <f>_xlfn.XLOOKUP(I793,dd_accsryclr!$A$2:$A$1000,dd_accsryclr!$A$2:$A$1000,"",0)</f>
        <v>BRWN</v>
      </c>
    </row>
    <row r="794" spans="1:12" hidden="1" x14ac:dyDescent="0.25">
      <c r="A794" s="16" t="s">
        <v>7</v>
      </c>
      <c r="B794" s="16" t="s">
        <v>579</v>
      </c>
      <c r="C794" s="16" t="s">
        <v>487</v>
      </c>
      <c r="D794" s="16" t="s">
        <v>488</v>
      </c>
      <c r="E794" s="16">
        <v>1.1413793103448275</v>
      </c>
      <c r="F794" s="16" t="s">
        <v>194</v>
      </c>
      <c r="G794" s="16"/>
      <c r="H794" s="16" t="s">
        <v>486</v>
      </c>
      <c r="I794" s="16" t="s">
        <v>223</v>
      </c>
      <c r="J794" s="16" t="str">
        <f>IF(ISNUMBER(SEARCH("SCRW", H794)), _xlfn.XLOOKUP(C794,dd_item!$A$2:$A$147,dd_item!$B$2:$B$147,"",0),_xlfn.XLOOKUP(H794,dd_item!$A$2:$A$147,dd_item!$B$2:$B$147,"",0))</f>
        <v>Frame60</v>
      </c>
      <c r="K794" s="16" t="str">
        <f>_xlfn.XLOOKUP(A794,dd_design_raw!$C$2:$C$1002,dd_design_raw!$A$2:$A$1002,"",0)</f>
        <v>Double Fix</v>
      </c>
      <c r="L794" s="16" t="str">
        <f>_xlfn.XLOOKUP(I794,dd_accsryclr!$A$2:$A$1000,dd_accsryclr!$A$2:$A$1000,"",0)</f>
        <v>BLK</v>
      </c>
    </row>
    <row r="795" spans="1:12" hidden="1" x14ac:dyDescent="0.25">
      <c r="A795" s="16" t="s">
        <v>7</v>
      </c>
      <c r="B795" s="16" t="s">
        <v>579</v>
      </c>
      <c r="C795" s="16" t="s">
        <v>489</v>
      </c>
      <c r="D795" s="16" t="s">
        <v>490</v>
      </c>
      <c r="E795" s="16">
        <v>1.1413793103448275</v>
      </c>
      <c r="F795" s="16" t="s">
        <v>194</v>
      </c>
      <c r="G795" s="16"/>
      <c r="H795" s="16" t="s">
        <v>486</v>
      </c>
      <c r="I795" s="16" t="s">
        <v>211</v>
      </c>
      <c r="J795" s="16" t="str">
        <f>IF(ISNUMBER(SEARCH("SCRW", H795)), _xlfn.XLOOKUP(C795,dd_item!$A$2:$A$147,dd_item!$B$2:$B$147,"",0),_xlfn.XLOOKUP(H795,dd_item!$A$2:$A$147,dd_item!$B$2:$B$147,"",0))</f>
        <v>Frame60</v>
      </c>
      <c r="K795" s="16" t="str">
        <f>_xlfn.XLOOKUP(A795,dd_design_raw!$C$2:$C$1002,dd_design_raw!$A$2:$A$1002,"",0)</f>
        <v>Double Fix</v>
      </c>
      <c r="L795" s="16" t="str">
        <f>_xlfn.XLOOKUP(I795,dd_accsryclr!$A$2:$A$1000,dd_accsryclr!$A$2:$A$1000,"",0)</f>
        <v/>
      </c>
    </row>
    <row r="796" spans="1:12" hidden="1" x14ac:dyDescent="0.25">
      <c r="A796" s="16" t="s">
        <v>7</v>
      </c>
      <c r="B796" s="16" t="s">
        <v>579</v>
      </c>
      <c r="C796" s="16" t="s">
        <v>491</v>
      </c>
      <c r="D796" s="16" t="s">
        <v>492</v>
      </c>
      <c r="E796" s="16">
        <v>1.1413793103448275</v>
      </c>
      <c r="F796" s="16" t="s">
        <v>194</v>
      </c>
      <c r="G796" s="16"/>
      <c r="H796" s="16" t="s">
        <v>486</v>
      </c>
      <c r="I796" s="16" t="s">
        <v>214</v>
      </c>
      <c r="J796" s="16" t="str">
        <f>IF(ISNUMBER(SEARCH("SCRW", H796)), _xlfn.XLOOKUP(C796,dd_item!$A$2:$A$147,dd_item!$B$2:$B$147,"",0),_xlfn.XLOOKUP(H796,dd_item!$A$2:$A$147,dd_item!$B$2:$B$147,"",0))</f>
        <v>Frame60</v>
      </c>
      <c r="K796" s="16" t="str">
        <f>_xlfn.XLOOKUP(A796,dd_design_raw!$C$2:$C$1002,dd_design_raw!$A$2:$A$1002,"",0)</f>
        <v>Double Fix</v>
      </c>
      <c r="L796" s="16" t="str">
        <f>_xlfn.XLOOKUP(I796,dd_accsryclr!$A$2:$A$1000,dd_accsryclr!$A$2:$A$1000,"",0)</f>
        <v/>
      </c>
    </row>
    <row r="797" spans="1:12" hidden="1" x14ac:dyDescent="0.25">
      <c r="A797" s="16" t="s">
        <v>7</v>
      </c>
      <c r="B797" s="16" t="s">
        <v>579</v>
      </c>
      <c r="C797" s="16" t="s">
        <v>493</v>
      </c>
      <c r="D797" s="16" t="s">
        <v>494</v>
      </c>
      <c r="E797" s="16">
        <v>1.1413793103448275</v>
      </c>
      <c r="F797" s="16" t="s">
        <v>194</v>
      </c>
      <c r="G797" s="16"/>
      <c r="H797" s="16" t="s">
        <v>486</v>
      </c>
      <c r="I797" s="16" t="s">
        <v>217</v>
      </c>
      <c r="J797" s="16" t="str">
        <f>IF(ISNUMBER(SEARCH("SCRW", H797)), _xlfn.XLOOKUP(C797,dd_item!$A$2:$A$147,dd_item!$B$2:$B$147,"",0),_xlfn.XLOOKUP(H797,dd_item!$A$2:$A$147,dd_item!$B$2:$B$147,"",0))</f>
        <v>Frame60</v>
      </c>
      <c r="K797" s="16" t="str">
        <f>_xlfn.XLOOKUP(A797,dd_design_raw!$C$2:$C$1002,dd_design_raw!$A$2:$A$1002,"",0)</f>
        <v>Double Fix</v>
      </c>
      <c r="L797" s="16" t="str">
        <f>_xlfn.XLOOKUP(I797,dd_accsryclr!$A$2:$A$1000,dd_accsryclr!$A$2:$A$1000,"",0)</f>
        <v/>
      </c>
    </row>
    <row r="798" spans="1:12" hidden="1" x14ac:dyDescent="0.25">
      <c r="A798" s="16" t="s">
        <v>7</v>
      </c>
      <c r="B798" s="16" t="s">
        <v>579</v>
      </c>
      <c r="C798" s="16" t="s">
        <v>495</v>
      </c>
      <c r="D798" s="16" t="s">
        <v>496</v>
      </c>
      <c r="E798" s="16">
        <v>1.1413793103448275</v>
      </c>
      <c r="F798" s="16" t="s">
        <v>194</v>
      </c>
      <c r="G798" s="16"/>
      <c r="H798" s="16" t="s">
        <v>486</v>
      </c>
      <c r="I798" s="16" t="s">
        <v>226</v>
      </c>
      <c r="J798" s="16" t="str">
        <f>IF(ISNUMBER(SEARCH("SCRW", H798)), _xlfn.XLOOKUP(C798,dd_item!$A$2:$A$147,dd_item!$B$2:$B$147,"",0),_xlfn.XLOOKUP(H798,dd_item!$A$2:$A$147,dd_item!$B$2:$B$147,"",0))</f>
        <v>Frame60</v>
      </c>
      <c r="K798" s="16" t="str">
        <f>_xlfn.XLOOKUP(A798,dd_design_raw!$C$2:$C$1002,dd_design_raw!$A$2:$A$1002,"",0)</f>
        <v>Double Fix</v>
      </c>
      <c r="L798" s="16" t="str">
        <f>_xlfn.XLOOKUP(I798,dd_accsryclr!$A$2:$A$1000,dd_accsryclr!$A$2:$A$1000,"",0)</f>
        <v/>
      </c>
    </row>
    <row r="799" spans="1:12" hidden="1" x14ac:dyDescent="0.25">
      <c r="A799" s="16" t="s">
        <v>7</v>
      </c>
      <c r="B799" s="16" t="s">
        <v>579</v>
      </c>
      <c r="C799" s="16" t="s">
        <v>497</v>
      </c>
      <c r="D799" s="16" t="s">
        <v>498</v>
      </c>
      <c r="E799" s="16">
        <v>1.1413793103448275</v>
      </c>
      <c r="F799" s="16" t="s">
        <v>194</v>
      </c>
      <c r="G799" s="16"/>
      <c r="H799" s="16" t="s">
        <v>486</v>
      </c>
      <c r="I799" s="16" t="s">
        <v>220</v>
      </c>
      <c r="J799" s="16" t="str">
        <f>IF(ISNUMBER(SEARCH("SCRW", H799)), _xlfn.XLOOKUP(C799,dd_item!$A$2:$A$147,dd_item!$B$2:$B$147,"",0),_xlfn.XLOOKUP(H799,dd_item!$A$2:$A$147,dd_item!$B$2:$B$147,"",0))</f>
        <v>Frame60</v>
      </c>
      <c r="K799" s="16" t="str">
        <f>_xlfn.XLOOKUP(A799,dd_design_raw!$C$2:$C$1002,dd_design_raw!$A$2:$A$1002,"",0)</f>
        <v>Double Fix</v>
      </c>
      <c r="L799" s="16" t="str">
        <f>_xlfn.XLOOKUP(I799,dd_accsryclr!$A$2:$A$1000,dd_accsryclr!$A$2:$A$1000,"",0)</f>
        <v>WHT</v>
      </c>
    </row>
    <row r="800" spans="1:12" hidden="1" x14ac:dyDescent="0.25">
      <c r="A800" s="16" t="s">
        <v>7</v>
      </c>
      <c r="B800" s="16" t="s">
        <v>579</v>
      </c>
      <c r="C800" s="16" t="s">
        <v>514</v>
      </c>
      <c r="D800" s="16" t="s">
        <v>515</v>
      </c>
      <c r="E800" s="16">
        <v>1.1413793103448275</v>
      </c>
      <c r="F800" s="16" t="s">
        <v>194</v>
      </c>
      <c r="G800" s="16" t="s">
        <v>58</v>
      </c>
      <c r="H800" s="16" t="s">
        <v>516</v>
      </c>
      <c r="I800" s="16"/>
      <c r="J800" s="16" t="str">
        <f>IF(ISNUMBER(SEARCH("SCRW", H800)), _xlfn.XLOOKUP(C800,dd_item!$A$2:$A$147,dd_item!$B$2:$B$147,"",0),_xlfn.XLOOKUP(H800,dd_item!$A$2:$A$147,dd_item!$B$2:$B$147,"",0))</f>
        <v>Steel-Frame60</v>
      </c>
      <c r="K800" s="16" t="str">
        <f>_xlfn.XLOOKUP(A800,dd_design_raw!$C$2:$C$1002,dd_design_raw!$A$2:$A$1002,"",0)</f>
        <v>Double Fix</v>
      </c>
      <c r="L800" s="16" t="str">
        <f>_xlfn.XLOOKUP(I800,dd_accsryclr!$A$2:$A$1000,dd_accsryclr!$A$2:$A$1000,"",0)</f>
        <v/>
      </c>
    </row>
    <row r="801" spans="1:12" hidden="1" x14ac:dyDescent="0.25">
      <c r="A801" s="16" t="s">
        <v>7</v>
      </c>
      <c r="B801" s="16" t="s">
        <v>579</v>
      </c>
      <c r="C801" s="16" t="s">
        <v>556</v>
      </c>
      <c r="D801" s="16" t="s">
        <v>557</v>
      </c>
      <c r="E801" s="16">
        <v>0.26482758620689656</v>
      </c>
      <c r="F801" s="16" t="s">
        <v>194</v>
      </c>
      <c r="G801" s="16"/>
      <c r="H801" s="16" t="s">
        <v>558</v>
      </c>
      <c r="I801" s="16" t="s">
        <v>211</v>
      </c>
      <c r="J801" s="16" t="str">
        <f>IF(ISNUMBER(SEARCH("SCRW", H801)), _xlfn.XLOOKUP(C801,dd_item!$A$2:$A$147,dd_item!$B$2:$B$147,"",0),_xlfn.XLOOKUP(H801,dd_item!$A$2:$A$147,dd_item!$B$2:$B$147,"",0))</f>
        <v>Mullion72</v>
      </c>
      <c r="K801" s="16" t="str">
        <f>_xlfn.XLOOKUP(A801,dd_design_raw!$C$2:$C$1002,dd_design_raw!$A$2:$A$1002,"",0)</f>
        <v>Double Fix</v>
      </c>
      <c r="L801" s="16" t="str">
        <f>_xlfn.XLOOKUP(I801,dd_accsryclr!$A$2:$A$1000,dd_accsryclr!$A$2:$A$1000,"",0)</f>
        <v/>
      </c>
    </row>
    <row r="802" spans="1:12" hidden="1" x14ac:dyDescent="0.25">
      <c r="A802" s="16" t="s">
        <v>7</v>
      </c>
      <c r="B802" s="16" t="s">
        <v>579</v>
      </c>
      <c r="C802" s="16" t="s">
        <v>559</v>
      </c>
      <c r="D802" s="16" t="s">
        <v>560</v>
      </c>
      <c r="E802" s="16">
        <v>0.26482758620689656</v>
      </c>
      <c r="F802" s="16" t="s">
        <v>194</v>
      </c>
      <c r="G802" s="16"/>
      <c r="H802" s="16" t="s">
        <v>558</v>
      </c>
      <c r="I802" s="16" t="s">
        <v>214</v>
      </c>
      <c r="J802" s="16" t="str">
        <f>IF(ISNUMBER(SEARCH("SCRW", H802)), _xlfn.XLOOKUP(C802,dd_item!$A$2:$A$147,dd_item!$B$2:$B$147,"",0),_xlfn.XLOOKUP(H802,dd_item!$A$2:$A$147,dd_item!$B$2:$B$147,"",0))</f>
        <v>Mullion72</v>
      </c>
      <c r="K802" s="16" t="str">
        <f>_xlfn.XLOOKUP(A802,dd_design_raw!$C$2:$C$1002,dd_design_raw!$A$2:$A$1002,"",0)</f>
        <v>Double Fix</v>
      </c>
      <c r="L802" s="16" t="str">
        <f>_xlfn.XLOOKUP(I802,dd_accsryclr!$A$2:$A$1000,dd_accsryclr!$A$2:$A$1000,"",0)</f>
        <v/>
      </c>
    </row>
    <row r="803" spans="1:12" hidden="1" x14ac:dyDescent="0.25">
      <c r="A803" s="16" t="s">
        <v>7</v>
      </c>
      <c r="B803" s="16" t="s">
        <v>579</v>
      </c>
      <c r="C803" s="16" t="s">
        <v>561</v>
      </c>
      <c r="D803" s="16" t="s">
        <v>562</v>
      </c>
      <c r="E803" s="16">
        <v>0.26482758620689656</v>
      </c>
      <c r="F803" s="16" t="s">
        <v>194</v>
      </c>
      <c r="G803" s="16"/>
      <c r="H803" s="16" t="s">
        <v>558</v>
      </c>
      <c r="I803" s="16" t="s">
        <v>217</v>
      </c>
      <c r="J803" s="16" t="str">
        <f>IF(ISNUMBER(SEARCH("SCRW", H803)), _xlfn.XLOOKUP(C803,dd_item!$A$2:$A$147,dd_item!$B$2:$B$147,"",0),_xlfn.XLOOKUP(H803,dd_item!$A$2:$A$147,dd_item!$B$2:$B$147,"",0))</f>
        <v>Mullion72</v>
      </c>
      <c r="K803" s="16" t="str">
        <f>_xlfn.XLOOKUP(A803,dd_design_raw!$C$2:$C$1002,dd_design_raw!$A$2:$A$1002,"",0)</f>
        <v>Double Fix</v>
      </c>
      <c r="L803" s="16" t="str">
        <f>_xlfn.XLOOKUP(I803,dd_accsryclr!$A$2:$A$1000,dd_accsryclr!$A$2:$A$1000,"",0)</f>
        <v/>
      </c>
    </row>
    <row r="804" spans="1:12" hidden="1" x14ac:dyDescent="0.25">
      <c r="A804" s="16" t="s">
        <v>7</v>
      </c>
      <c r="B804" s="16" t="s">
        <v>579</v>
      </c>
      <c r="C804" s="16" t="s">
        <v>563</v>
      </c>
      <c r="D804" s="16" t="s">
        <v>564</v>
      </c>
      <c r="E804" s="16">
        <v>0.26482758620689656</v>
      </c>
      <c r="F804" s="16" t="s">
        <v>194</v>
      </c>
      <c r="G804" s="16"/>
      <c r="H804" s="16" t="s">
        <v>558</v>
      </c>
      <c r="I804" s="16" t="s">
        <v>226</v>
      </c>
      <c r="J804" s="16" t="str">
        <f>IF(ISNUMBER(SEARCH("SCRW", H804)), _xlfn.XLOOKUP(C804,dd_item!$A$2:$A$147,dd_item!$B$2:$B$147,"",0),_xlfn.XLOOKUP(H804,dd_item!$A$2:$A$147,dd_item!$B$2:$B$147,"",0))</f>
        <v>Mullion72</v>
      </c>
      <c r="K804" s="16" t="str">
        <f>_xlfn.XLOOKUP(A804,dd_design_raw!$C$2:$C$1002,dd_design_raw!$A$2:$A$1002,"",0)</f>
        <v>Double Fix</v>
      </c>
      <c r="L804" s="16" t="str">
        <f>_xlfn.XLOOKUP(I804,dd_accsryclr!$A$2:$A$1000,dd_accsryclr!$A$2:$A$1000,"",0)</f>
        <v/>
      </c>
    </row>
    <row r="805" spans="1:12" hidden="1" x14ac:dyDescent="0.25">
      <c r="A805" s="16" t="s">
        <v>7</v>
      </c>
      <c r="B805" s="16" t="s">
        <v>579</v>
      </c>
      <c r="C805" s="16" t="s">
        <v>565</v>
      </c>
      <c r="D805" s="16" t="s">
        <v>566</v>
      </c>
      <c r="E805" s="16">
        <v>0.26482758620689656</v>
      </c>
      <c r="F805" s="16" t="s">
        <v>194</v>
      </c>
      <c r="G805" s="16"/>
      <c r="H805" s="16" t="s">
        <v>558</v>
      </c>
      <c r="I805" s="16" t="s">
        <v>220</v>
      </c>
      <c r="J805" s="16" t="str">
        <f>IF(ISNUMBER(SEARCH("SCRW", H805)), _xlfn.XLOOKUP(C805,dd_item!$A$2:$A$147,dd_item!$B$2:$B$147,"",0),_xlfn.XLOOKUP(H805,dd_item!$A$2:$A$147,dd_item!$B$2:$B$147,"",0))</f>
        <v>Mullion72</v>
      </c>
      <c r="K805" s="16" t="str">
        <f>_xlfn.XLOOKUP(A805,dd_design_raw!$C$2:$C$1002,dd_design_raw!$A$2:$A$1002,"",0)</f>
        <v>Double Fix</v>
      </c>
      <c r="L805" s="16" t="str">
        <f>_xlfn.XLOOKUP(I805,dd_accsryclr!$A$2:$A$1000,dd_accsryclr!$A$2:$A$1000,"",0)</f>
        <v>WHT</v>
      </c>
    </row>
    <row r="806" spans="1:12" hidden="1" x14ac:dyDescent="0.25">
      <c r="A806" s="16" t="s">
        <v>7</v>
      </c>
      <c r="B806" s="16" t="s">
        <v>579</v>
      </c>
      <c r="C806" s="16" t="s">
        <v>567</v>
      </c>
      <c r="D806" s="16" t="s">
        <v>568</v>
      </c>
      <c r="E806" s="16">
        <v>0.26482758620689656</v>
      </c>
      <c r="F806" s="16" t="s">
        <v>194</v>
      </c>
      <c r="G806" s="16"/>
      <c r="H806" s="16" t="s">
        <v>558</v>
      </c>
      <c r="I806" s="16" t="s">
        <v>230</v>
      </c>
      <c r="J806" s="16" t="str">
        <f>IF(ISNUMBER(SEARCH("SCRW", H806)), _xlfn.XLOOKUP(C806,dd_item!$A$2:$A$147,dd_item!$B$2:$B$147,"",0),_xlfn.XLOOKUP(H806,dd_item!$A$2:$A$147,dd_item!$B$2:$B$147,"",0))</f>
        <v>Mullion72</v>
      </c>
      <c r="K806" s="16" t="str">
        <f>_xlfn.XLOOKUP(A806,dd_design_raw!$C$2:$C$1002,dd_design_raw!$A$2:$A$1002,"",0)</f>
        <v>Double Fix</v>
      </c>
      <c r="L806" s="16" t="str">
        <f>_xlfn.XLOOKUP(I806,dd_accsryclr!$A$2:$A$1000,dd_accsryclr!$A$2:$A$1000,"",0)</f>
        <v>BRWN</v>
      </c>
    </row>
    <row r="807" spans="1:12" hidden="1" x14ac:dyDescent="0.25">
      <c r="A807" s="16" t="s">
        <v>7</v>
      </c>
      <c r="B807" s="16" t="s">
        <v>579</v>
      </c>
      <c r="C807" s="16" t="s">
        <v>569</v>
      </c>
      <c r="D807" s="16" t="s">
        <v>570</v>
      </c>
      <c r="E807" s="16">
        <v>0.26482758620689656</v>
      </c>
      <c r="F807" s="16" t="s">
        <v>194</v>
      </c>
      <c r="G807" s="16"/>
      <c r="H807" s="16" t="s">
        <v>558</v>
      </c>
      <c r="I807" s="16" t="s">
        <v>223</v>
      </c>
      <c r="J807" s="16" t="str">
        <f>IF(ISNUMBER(SEARCH("SCRW", H807)), _xlfn.XLOOKUP(C807,dd_item!$A$2:$A$147,dd_item!$B$2:$B$147,"",0),_xlfn.XLOOKUP(H807,dd_item!$A$2:$A$147,dd_item!$B$2:$B$147,"",0))</f>
        <v>Mullion72</v>
      </c>
      <c r="K807" s="16" t="str">
        <f>_xlfn.XLOOKUP(A807,dd_design_raw!$C$2:$C$1002,dd_design_raw!$A$2:$A$1002,"",0)</f>
        <v>Double Fix</v>
      </c>
      <c r="L807" s="16" t="str">
        <f>_xlfn.XLOOKUP(I807,dd_accsryclr!$A$2:$A$1000,dd_accsryclr!$A$2:$A$1000,"",0)</f>
        <v>BLK</v>
      </c>
    </row>
    <row r="808" spans="1:12" hidden="1" x14ac:dyDescent="0.25">
      <c r="A808" s="16" t="s">
        <v>7</v>
      </c>
      <c r="B808" s="16" t="s">
        <v>579</v>
      </c>
      <c r="C808" s="16" t="s">
        <v>349</v>
      </c>
      <c r="D808" s="16" t="s">
        <v>350</v>
      </c>
      <c r="E808" s="16">
        <v>1.1413793103448275</v>
      </c>
      <c r="F808" s="16" t="s">
        <v>194</v>
      </c>
      <c r="G808" s="16"/>
      <c r="H808" s="16" t="s">
        <v>351</v>
      </c>
      <c r="I808" s="16" t="s">
        <v>211</v>
      </c>
      <c r="J808" s="16" t="str">
        <f>IF(ISNUMBER(SEARCH("SCRW", H808)), _xlfn.XLOOKUP(C808,dd_item!$A$2:$A$147,dd_item!$B$2:$B$147,"",0),_xlfn.XLOOKUP(H808,dd_item!$A$2:$A$147,dd_item!$B$2:$B$147,"",0))</f>
        <v>Bead34</v>
      </c>
      <c r="K808" s="16" t="str">
        <f>_xlfn.XLOOKUP(A808,dd_design_raw!$C$2:$C$1002,dd_design_raw!$A$2:$A$1002,"",0)</f>
        <v>Double Fix</v>
      </c>
      <c r="L808" s="16" t="str">
        <f>_xlfn.XLOOKUP(I808,dd_accsryclr!$A$2:$A$1000,dd_accsryclr!$A$2:$A$1000,"",0)</f>
        <v/>
      </c>
    </row>
    <row r="809" spans="1:12" hidden="1" x14ac:dyDescent="0.25">
      <c r="A809" s="16" t="s">
        <v>7</v>
      </c>
      <c r="B809" s="16" t="s">
        <v>579</v>
      </c>
      <c r="C809" s="16" t="s">
        <v>352</v>
      </c>
      <c r="D809" s="16" t="s">
        <v>353</v>
      </c>
      <c r="E809" s="16">
        <v>1.1413793103448275</v>
      </c>
      <c r="F809" s="16" t="s">
        <v>194</v>
      </c>
      <c r="G809" s="16"/>
      <c r="H809" s="16" t="s">
        <v>351</v>
      </c>
      <c r="I809" s="16" t="s">
        <v>214</v>
      </c>
      <c r="J809" s="16" t="str">
        <f>IF(ISNUMBER(SEARCH("SCRW", H809)), _xlfn.XLOOKUP(C809,dd_item!$A$2:$A$147,dd_item!$B$2:$B$147,"",0),_xlfn.XLOOKUP(H809,dd_item!$A$2:$A$147,dd_item!$B$2:$B$147,"",0))</f>
        <v>Bead34</v>
      </c>
      <c r="K809" s="16" t="str">
        <f>_xlfn.XLOOKUP(A809,dd_design_raw!$C$2:$C$1002,dd_design_raw!$A$2:$A$1002,"",0)</f>
        <v>Double Fix</v>
      </c>
      <c r="L809" s="16" t="str">
        <f>_xlfn.XLOOKUP(I809,dd_accsryclr!$A$2:$A$1000,dd_accsryclr!$A$2:$A$1000,"",0)</f>
        <v/>
      </c>
    </row>
    <row r="810" spans="1:12" hidden="1" x14ac:dyDescent="0.25">
      <c r="A810" s="16" t="s">
        <v>7</v>
      </c>
      <c r="B810" s="16" t="s">
        <v>579</v>
      </c>
      <c r="C810" s="16" t="s">
        <v>354</v>
      </c>
      <c r="D810" s="16" t="s">
        <v>355</v>
      </c>
      <c r="E810" s="16">
        <v>1.1413793103448275</v>
      </c>
      <c r="F810" s="16" t="s">
        <v>194</v>
      </c>
      <c r="G810" s="16"/>
      <c r="H810" s="16" t="s">
        <v>351</v>
      </c>
      <c r="I810" s="16" t="s">
        <v>217</v>
      </c>
      <c r="J810" s="16" t="str">
        <f>IF(ISNUMBER(SEARCH("SCRW", H810)), _xlfn.XLOOKUP(C810,dd_item!$A$2:$A$147,dd_item!$B$2:$B$147,"",0),_xlfn.XLOOKUP(H810,dd_item!$A$2:$A$147,dd_item!$B$2:$B$147,"",0))</f>
        <v>Bead34</v>
      </c>
      <c r="K810" s="16" t="str">
        <f>_xlfn.XLOOKUP(A810,dd_design_raw!$C$2:$C$1002,dd_design_raw!$A$2:$A$1002,"",0)</f>
        <v>Double Fix</v>
      </c>
      <c r="L810" s="16" t="str">
        <f>_xlfn.XLOOKUP(I810,dd_accsryclr!$A$2:$A$1000,dd_accsryclr!$A$2:$A$1000,"",0)</f>
        <v/>
      </c>
    </row>
    <row r="811" spans="1:12" hidden="1" x14ac:dyDescent="0.25">
      <c r="A811" s="16" t="s">
        <v>7</v>
      </c>
      <c r="B811" s="16" t="s">
        <v>579</v>
      </c>
      <c r="C811" s="16" t="s">
        <v>356</v>
      </c>
      <c r="D811" s="16" t="s">
        <v>357</v>
      </c>
      <c r="E811" s="16">
        <v>1.1413793103448275</v>
      </c>
      <c r="F811" s="16" t="s">
        <v>194</v>
      </c>
      <c r="G811" s="16"/>
      <c r="H811" s="16" t="s">
        <v>351</v>
      </c>
      <c r="I811" s="16" t="s">
        <v>226</v>
      </c>
      <c r="J811" s="16" t="str">
        <f>IF(ISNUMBER(SEARCH("SCRW", H811)), _xlfn.XLOOKUP(C811,dd_item!$A$2:$A$147,dd_item!$B$2:$B$147,"",0),_xlfn.XLOOKUP(H811,dd_item!$A$2:$A$147,dd_item!$B$2:$B$147,"",0))</f>
        <v>Bead34</v>
      </c>
      <c r="K811" s="16" t="str">
        <f>_xlfn.XLOOKUP(A811,dd_design_raw!$C$2:$C$1002,dd_design_raw!$A$2:$A$1002,"",0)</f>
        <v>Double Fix</v>
      </c>
      <c r="L811" s="16" t="str">
        <f>_xlfn.XLOOKUP(I811,dd_accsryclr!$A$2:$A$1000,dd_accsryclr!$A$2:$A$1000,"",0)</f>
        <v/>
      </c>
    </row>
    <row r="812" spans="1:12" hidden="1" x14ac:dyDescent="0.25">
      <c r="A812" s="16" t="s">
        <v>7</v>
      </c>
      <c r="B812" s="16" t="s">
        <v>579</v>
      </c>
      <c r="C812" s="16" t="s">
        <v>358</v>
      </c>
      <c r="D812" s="16" t="s">
        <v>359</v>
      </c>
      <c r="E812" s="16">
        <v>1.1413793103448275</v>
      </c>
      <c r="F812" s="16" t="s">
        <v>194</v>
      </c>
      <c r="G812" s="16"/>
      <c r="H812" s="16" t="s">
        <v>351</v>
      </c>
      <c r="I812" s="16" t="s">
        <v>220</v>
      </c>
      <c r="J812" s="16" t="str">
        <f>IF(ISNUMBER(SEARCH("SCRW", H812)), _xlfn.XLOOKUP(C812,dd_item!$A$2:$A$147,dd_item!$B$2:$B$147,"",0),_xlfn.XLOOKUP(H812,dd_item!$A$2:$A$147,dd_item!$B$2:$B$147,"",0))</f>
        <v>Bead34</v>
      </c>
      <c r="K812" s="16" t="str">
        <f>_xlfn.XLOOKUP(A812,dd_design_raw!$C$2:$C$1002,dd_design_raw!$A$2:$A$1002,"",0)</f>
        <v>Double Fix</v>
      </c>
      <c r="L812" s="16" t="str">
        <f>_xlfn.XLOOKUP(I812,dd_accsryclr!$A$2:$A$1000,dd_accsryclr!$A$2:$A$1000,"",0)</f>
        <v>WHT</v>
      </c>
    </row>
    <row r="813" spans="1:12" hidden="1" x14ac:dyDescent="0.25">
      <c r="A813" s="16" t="s">
        <v>7</v>
      </c>
      <c r="B813" s="16" t="s">
        <v>579</v>
      </c>
      <c r="C813" s="16" t="s">
        <v>360</v>
      </c>
      <c r="D813" s="16" t="s">
        <v>361</v>
      </c>
      <c r="E813" s="16">
        <v>1.1413793103448275</v>
      </c>
      <c r="F813" s="16" t="s">
        <v>194</v>
      </c>
      <c r="G813" s="16"/>
      <c r="H813" s="16" t="s">
        <v>351</v>
      </c>
      <c r="I813" s="16" t="s">
        <v>223</v>
      </c>
      <c r="J813" s="16" t="str">
        <f>IF(ISNUMBER(SEARCH("SCRW", H813)), _xlfn.XLOOKUP(C813,dd_item!$A$2:$A$147,dd_item!$B$2:$B$147,"",0),_xlfn.XLOOKUP(H813,dd_item!$A$2:$A$147,dd_item!$B$2:$B$147,"",0))</f>
        <v>Bead34</v>
      </c>
      <c r="K813" s="16" t="str">
        <f>_xlfn.XLOOKUP(A813,dd_design_raw!$C$2:$C$1002,dd_design_raw!$A$2:$A$1002,"",0)</f>
        <v>Double Fix</v>
      </c>
      <c r="L813" s="16" t="str">
        <f>_xlfn.XLOOKUP(I813,dd_accsryclr!$A$2:$A$1000,dd_accsryclr!$A$2:$A$1000,"",0)</f>
        <v>BLK</v>
      </c>
    </row>
    <row r="814" spans="1:12" hidden="1" x14ac:dyDescent="0.25">
      <c r="A814" s="16" t="s">
        <v>7</v>
      </c>
      <c r="B814" s="16" t="s">
        <v>579</v>
      </c>
      <c r="C814" s="16" t="s">
        <v>362</v>
      </c>
      <c r="D814" s="16" t="s">
        <v>363</v>
      </c>
      <c r="E814" s="16">
        <v>1.1413793103448275</v>
      </c>
      <c r="F814" s="16" t="s">
        <v>194</v>
      </c>
      <c r="G814" s="16"/>
      <c r="H814" s="16" t="s">
        <v>351</v>
      </c>
      <c r="I814" s="16" t="s">
        <v>230</v>
      </c>
      <c r="J814" s="16" t="str">
        <f>IF(ISNUMBER(SEARCH("SCRW", H814)), _xlfn.XLOOKUP(C814,dd_item!$A$2:$A$147,dd_item!$B$2:$B$147,"",0),_xlfn.XLOOKUP(H814,dd_item!$A$2:$A$147,dd_item!$B$2:$B$147,"",0))</f>
        <v>Bead34</v>
      </c>
      <c r="K814" s="16" t="str">
        <f>_xlfn.XLOOKUP(A814,dd_design_raw!$C$2:$C$1002,dd_design_raw!$A$2:$A$1002,"",0)</f>
        <v>Double Fix</v>
      </c>
      <c r="L814" s="16" t="str">
        <f>_xlfn.XLOOKUP(I814,dd_accsryclr!$A$2:$A$1000,dd_accsryclr!$A$2:$A$1000,"",0)</f>
        <v>BRWN</v>
      </c>
    </row>
    <row r="815" spans="1:12" hidden="1" x14ac:dyDescent="0.25">
      <c r="A815" s="16" t="s">
        <v>7</v>
      </c>
      <c r="B815" s="16" t="s">
        <v>579</v>
      </c>
      <c r="C815" s="16" t="s">
        <v>390</v>
      </c>
      <c r="D815" s="16" t="s">
        <v>391</v>
      </c>
      <c r="E815" s="16">
        <v>13.24</v>
      </c>
      <c r="F815" s="16" t="s">
        <v>369</v>
      </c>
      <c r="G815" s="16"/>
      <c r="H815" s="16" t="s">
        <v>792</v>
      </c>
      <c r="I815" s="16"/>
      <c r="J815" s="16" t="str">
        <f>IF(ISNUMBER(SEARCH("SCRW", H815)), _xlfn.XLOOKUP(C815,dd_item!$A$2:$A$147,dd_item!$B$2:$B$147,"",0),_xlfn.XLOOKUP(H815,dd_item!$A$2:$A$147,dd_item!$B$2:$B$147,"",0))</f>
        <v>Atlas Screw (S) 10 x 2-1/2" (Flat)</v>
      </c>
      <c r="K815" s="16" t="str">
        <f>_xlfn.XLOOKUP(A815,dd_design_raw!$C$2:$C$1002,dd_design_raw!$A$2:$A$1002,"",0)</f>
        <v>Double Fix</v>
      </c>
      <c r="L815" s="16" t="str">
        <f>_xlfn.XLOOKUP(I815,dd_accsryclr!$A$2:$A$1000,dd_accsryclr!$A$2:$A$1000,"",0)</f>
        <v/>
      </c>
    </row>
    <row r="816" spans="1:12" hidden="1" x14ac:dyDescent="0.25">
      <c r="A816" s="16" t="s">
        <v>7</v>
      </c>
      <c r="B816" s="16" t="s">
        <v>579</v>
      </c>
      <c r="C816" s="16" t="s">
        <v>392</v>
      </c>
      <c r="D816" s="16" t="s">
        <v>393</v>
      </c>
      <c r="E816" s="16">
        <v>3</v>
      </c>
      <c r="F816" s="16" t="s">
        <v>369</v>
      </c>
      <c r="G816" s="16"/>
      <c r="H816" s="16" t="s">
        <v>394</v>
      </c>
      <c r="I816" s="16" t="s">
        <v>223</v>
      </c>
      <c r="J816" s="16" t="str">
        <f>IF(ISNUMBER(SEARCH("SCRW", H816)), _xlfn.XLOOKUP(C816,dd_item!$A$2:$A$147,dd_item!$B$2:$B$147,"",0),_xlfn.XLOOKUP(H816,dd_item!$A$2:$A$147,dd_item!$B$2:$B$147,"",0))</f>
        <v>Drainage Cover</v>
      </c>
      <c r="K816" s="16" t="str">
        <f>_xlfn.XLOOKUP(A816,dd_design_raw!$C$2:$C$1002,dd_design_raw!$A$2:$A$1002,"",0)</f>
        <v>Double Fix</v>
      </c>
      <c r="L816" s="16" t="str">
        <f>_xlfn.XLOOKUP(I816,dd_accsryclr!$A$2:$A$1000,dd_accsryclr!$A$2:$A$1000,"",0)</f>
        <v>BLK</v>
      </c>
    </row>
    <row r="817" spans="1:12" hidden="1" x14ac:dyDescent="0.25">
      <c r="A817" s="16" t="s">
        <v>7</v>
      </c>
      <c r="B817" s="16" t="s">
        <v>579</v>
      </c>
      <c r="C817" s="16" t="s">
        <v>395</v>
      </c>
      <c r="D817" s="16" t="s">
        <v>396</v>
      </c>
      <c r="E817" s="16">
        <v>3</v>
      </c>
      <c r="F817" s="16" t="s">
        <v>369</v>
      </c>
      <c r="G817" s="16"/>
      <c r="H817" s="16" t="s">
        <v>394</v>
      </c>
      <c r="I817" s="16" t="s">
        <v>220</v>
      </c>
      <c r="J817" s="16" t="str">
        <f>IF(ISNUMBER(SEARCH("SCRW", H817)), _xlfn.XLOOKUP(C817,dd_item!$A$2:$A$147,dd_item!$B$2:$B$147,"",0),_xlfn.XLOOKUP(H817,dd_item!$A$2:$A$147,dd_item!$B$2:$B$147,"",0))</f>
        <v>Drainage Cover</v>
      </c>
      <c r="K817" s="16" t="str">
        <f>_xlfn.XLOOKUP(A817,dd_design_raw!$C$2:$C$1002,dd_design_raw!$A$2:$A$1002,"",0)</f>
        <v>Double Fix</v>
      </c>
      <c r="L817" s="16" t="str">
        <f>_xlfn.XLOOKUP(I817,dd_accsryclr!$A$2:$A$1000,dd_accsryclr!$A$2:$A$1000,"",0)</f>
        <v>WHT</v>
      </c>
    </row>
    <row r="818" spans="1:12" hidden="1" x14ac:dyDescent="0.25">
      <c r="A818" s="16" t="s">
        <v>7</v>
      </c>
      <c r="B818" s="16" t="s">
        <v>579</v>
      </c>
      <c r="C818" s="16" t="s">
        <v>397</v>
      </c>
      <c r="D818" s="16" t="s">
        <v>398</v>
      </c>
      <c r="E818" s="16">
        <v>0.26479999999999998</v>
      </c>
      <c r="F818" s="16" t="s">
        <v>369</v>
      </c>
      <c r="G818" s="16"/>
      <c r="H818" s="16" t="s">
        <v>399</v>
      </c>
      <c r="I818" s="16" t="s">
        <v>400</v>
      </c>
      <c r="J818" s="16" t="str">
        <f>IF(ISNUMBER(SEARCH("SCRW", H818)), _xlfn.XLOOKUP(C818,dd_item!$A$2:$A$147,dd_item!$B$2:$B$147,"",0),_xlfn.XLOOKUP(H818,dd_item!$A$2:$A$147,dd_item!$B$2:$B$147,"",0))</f>
        <v>Tox6</v>
      </c>
      <c r="K818" s="16" t="str">
        <f>_xlfn.XLOOKUP(A818,dd_design_raw!$C$2:$C$1002,dd_design_raw!$A$2:$A$1002,"",0)</f>
        <v>Double Fix</v>
      </c>
      <c r="L818" s="16" t="str">
        <f>_xlfn.XLOOKUP(I818,dd_accsryclr!$A$2:$A$1000,dd_accsryclr!$A$2:$A$1000,"",0)</f>
        <v/>
      </c>
    </row>
    <row r="819" spans="1:12" hidden="1" x14ac:dyDescent="0.25">
      <c r="A819" s="16" t="s">
        <v>7</v>
      </c>
      <c r="B819" s="16" t="s">
        <v>579</v>
      </c>
      <c r="C819" s="16" t="s">
        <v>414</v>
      </c>
      <c r="D819" s="16" t="s">
        <v>415</v>
      </c>
      <c r="E819" s="16">
        <v>4.4133333333333331</v>
      </c>
      <c r="F819" s="16" t="s">
        <v>369</v>
      </c>
      <c r="G819" s="16"/>
      <c r="H819" s="16" t="s">
        <v>416</v>
      </c>
      <c r="I819" s="16" t="s">
        <v>223</v>
      </c>
      <c r="J819" s="16" t="str">
        <f>IF(ISNUMBER(SEARCH("SCRW", H819)), _xlfn.XLOOKUP(C819,dd_item!$A$2:$A$147,dd_item!$B$2:$B$147,"",0),_xlfn.XLOOKUP(H819,dd_item!$A$2:$A$147,dd_item!$B$2:$B$147,"",0))</f>
        <v>Sealant</v>
      </c>
      <c r="K819" s="16" t="str">
        <f>_xlfn.XLOOKUP(A819,dd_design_raw!$C$2:$C$1002,dd_design_raw!$A$2:$A$1002,"",0)</f>
        <v>Double Fix</v>
      </c>
      <c r="L819" s="16" t="str">
        <f>_xlfn.XLOOKUP(I819,dd_accsryclr!$A$2:$A$1000,dd_accsryclr!$A$2:$A$1000,"",0)</f>
        <v>BLK</v>
      </c>
    </row>
    <row r="820" spans="1:12" hidden="1" x14ac:dyDescent="0.25">
      <c r="A820" s="16" t="s">
        <v>7</v>
      </c>
      <c r="B820" s="16" t="s">
        <v>579</v>
      </c>
      <c r="C820" s="16" t="s">
        <v>417</v>
      </c>
      <c r="D820" s="16" t="s">
        <v>418</v>
      </c>
      <c r="E820" s="16">
        <v>4.4133333333333331</v>
      </c>
      <c r="F820" s="16" t="s">
        <v>369</v>
      </c>
      <c r="G820" s="16"/>
      <c r="H820" s="16" t="s">
        <v>416</v>
      </c>
      <c r="I820" s="16" t="s">
        <v>230</v>
      </c>
      <c r="J820" s="16" t="str">
        <f>IF(ISNUMBER(SEARCH("SCRW", H820)), _xlfn.XLOOKUP(C820,dd_item!$A$2:$A$147,dd_item!$B$2:$B$147,"",0),_xlfn.XLOOKUP(H820,dd_item!$A$2:$A$147,dd_item!$B$2:$B$147,"",0))</f>
        <v>Sealant</v>
      </c>
      <c r="K820" s="16" t="str">
        <f>_xlfn.XLOOKUP(A820,dd_design_raw!$C$2:$C$1002,dd_design_raw!$A$2:$A$1002,"",0)</f>
        <v>Double Fix</v>
      </c>
      <c r="L820" s="16" t="str">
        <f>_xlfn.XLOOKUP(I820,dd_accsryclr!$A$2:$A$1000,dd_accsryclr!$A$2:$A$1000,"",0)</f>
        <v>BRWN</v>
      </c>
    </row>
    <row r="821" spans="1:12" hidden="1" x14ac:dyDescent="0.25">
      <c r="A821" s="16" t="s">
        <v>7</v>
      </c>
      <c r="B821" s="16" t="s">
        <v>579</v>
      </c>
      <c r="C821" s="16" t="s">
        <v>419</v>
      </c>
      <c r="D821" s="16" t="s">
        <v>420</v>
      </c>
      <c r="E821" s="16">
        <v>4.4133333333333331</v>
      </c>
      <c r="F821" s="16" t="s">
        <v>369</v>
      </c>
      <c r="G821" s="16"/>
      <c r="H821" s="16" t="s">
        <v>416</v>
      </c>
      <c r="I821" s="16" t="s">
        <v>220</v>
      </c>
      <c r="J821" s="16" t="str">
        <f>IF(ISNUMBER(SEARCH("SCRW", H821)), _xlfn.XLOOKUP(C821,dd_item!$A$2:$A$147,dd_item!$B$2:$B$147,"",0),_xlfn.XLOOKUP(H821,dd_item!$A$2:$A$147,dd_item!$B$2:$B$147,"",0))</f>
        <v>Sealant</v>
      </c>
      <c r="K821" s="16" t="str">
        <f>_xlfn.XLOOKUP(A821,dd_design_raw!$C$2:$C$1002,dd_design_raw!$A$2:$A$1002,"",0)</f>
        <v>Double Fix</v>
      </c>
      <c r="L821" s="16" t="str">
        <f>_xlfn.XLOOKUP(I821,dd_accsryclr!$A$2:$A$1000,dd_accsryclr!$A$2:$A$1000,"",0)</f>
        <v>WHT</v>
      </c>
    </row>
    <row r="822" spans="1:12" hidden="1" x14ac:dyDescent="0.25">
      <c r="A822" s="16" t="s">
        <v>7</v>
      </c>
      <c r="B822" s="16" t="s">
        <v>579</v>
      </c>
      <c r="C822" s="16" t="s">
        <v>421</v>
      </c>
      <c r="D822" s="16" t="s">
        <v>422</v>
      </c>
      <c r="E822" s="16"/>
      <c r="F822" s="16" t="s">
        <v>369</v>
      </c>
      <c r="G822" s="16"/>
      <c r="H822" s="16" t="s">
        <v>416</v>
      </c>
      <c r="I822" s="16" t="s">
        <v>423</v>
      </c>
      <c r="J822" s="16" t="str">
        <f>IF(ISNUMBER(SEARCH("SCRW", H822)), _xlfn.XLOOKUP(C822,dd_item!$A$2:$A$147,dd_item!$B$2:$B$147,"",0),_xlfn.XLOOKUP(H822,dd_item!$A$2:$A$147,dd_item!$B$2:$B$147,"",0))</f>
        <v>Sealant</v>
      </c>
      <c r="K822" s="16" t="str">
        <f>_xlfn.XLOOKUP(A822,dd_design_raw!$C$2:$C$1002,dd_design_raw!$A$2:$A$1002,"",0)</f>
        <v>Double Fix</v>
      </c>
      <c r="L822" s="16" t="str">
        <f>_xlfn.XLOOKUP(I822,dd_accsryclr!$A$2:$A$1000,dd_accsryclr!$A$2:$A$1000,"",0)</f>
        <v/>
      </c>
    </row>
    <row r="823" spans="1:12" hidden="1" x14ac:dyDescent="0.25">
      <c r="A823" s="16" t="s">
        <v>7</v>
      </c>
      <c r="B823" s="16" t="s">
        <v>579</v>
      </c>
      <c r="C823" s="16" t="s">
        <v>811</v>
      </c>
      <c r="D823" s="16" t="s">
        <v>812</v>
      </c>
      <c r="E823" s="16"/>
      <c r="F823" s="16" t="s">
        <v>194</v>
      </c>
      <c r="G823" s="16" t="s">
        <v>711</v>
      </c>
      <c r="H823" s="16" t="s">
        <v>813</v>
      </c>
      <c r="I823" s="16" t="s">
        <v>814</v>
      </c>
      <c r="J823" s="16" t="str">
        <f>IF(ISNUMBER(SEARCH("SCRW", H823)), _xlfn.XLOOKUP(C823,dd_item!$A$2:$A$147,dd_item!$B$2:$B$147,"",0),_xlfn.XLOOKUP(H823,dd_item!$A$2:$A$147,dd_item!$B$2:$B$147,"",0))</f>
        <v>Steel-Mullion72</v>
      </c>
      <c r="K823" s="16" t="str">
        <f>_xlfn.XLOOKUP(A823,dd_design_raw!$C$2:$C$1002,dd_design_raw!$A$2:$A$1002,"",0)</f>
        <v>Double Fix</v>
      </c>
      <c r="L823" s="16" t="str">
        <f>_xlfn.XLOOKUP(I823,dd_accsryclr!$A$2:$A$1000,dd_accsryclr!$A$2:$A$1000,"",0)</f>
        <v/>
      </c>
    </row>
    <row r="824" spans="1:12" hidden="1" x14ac:dyDescent="0.25">
      <c r="A824" s="16" t="s">
        <v>7</v>
      </c>
      <c r="B824" s="16" t="s">
        <v>579</v>
      </c>
      <c r="C824" s="16" t="s">
        <v>815</v>
      </c>
      <c r="D824" s="16" t="s">
        <v>816</v>
      </c>
      <c r="E824" s="16"/>
      <c r="F824" s="16" t="s">
        <v>194</v>
      </c>
      <c r="G824" s="16" t="s">
        <v>711</v>
      </c>
      <c r="H824" s="16" t="s">
        <v>813</v>
      </c>
      <c r="I824" s="16" t="s">
        <v>817</v>
      </c>
      <c r="J824" s="16" t="str">
        <f>IF(ISNUMBER(SEARCH("SCRW", H824)), _xlfn.XLOOKUP(C824,dd_item!$A$2:$A$147,dd_item!$B$2:$B$147,"",0),_xlfn.XLOOKUP(H824,dd_item!$A$2:$A$147,dd_item!$B$2:$B$147,"",0))</f>
        <v>Steel-Mullion72</v>
      </c>
      <c r="K824" s="16" t="str">
        <f>_xlfn.XLOOKUP(A824,dd_design_raw!$C$2:$C$1002,dd_design_raw!$A$2:$A$1002,"",0)</f>
        <v>Double Fix</v>
      </c>
      <c r="L824" s="16" t="str">
        <f>_xlfn.XLOOKUP(I824,dd_accsryclr!$A$2:$A$1000,dd_accsryclr!$A$2:$A$1000,"",0)</f>
        <v/>
      </c>
    </row>
    <row r="825" spans="1:12" hidden="1" x14ac:dyDescent="0.25">
      <c r="A825" s="16" t="s">
        <v>6</v>
      </c>
      <c r="B825" s="16" t="s">
        <v>580</v>
      </c>
      <c r="C825" s="16" t="s">
        <v>484</v>
      </c>
      <c r="D825" s="16" t="s">
        <v>485</v>
      </c>
      <c r="E825" s="16">
        <v>1.1413793103448275</v>
      </c>
      <c r="F825" s="16" t="s">
        <v>194</v>
      </c>
      <c r="G825" s="16"/>
      <c r="H825" s="16" t="s">
        <v>486</v>
      </c>
      <c r="I825" s="16" t="s">
        <v>230</v>
      </c>
      <c r="J825" s="16" t="str">
        <f>IF(ISNUMBER(SEARCH("SCRW", H825)), _xlfn.XLOOKUP(C825,dd_item!$A$2:$A$147,dd_item!$B$2:$B$147,"",0),_xlfn.XLOOKUP(H825,dd_item!$A$2:$A$147,dd_item!$B$2:$B$147,"",0))</f>
        <v>Frame60</v>
      </c>
      <c r="K825" s="16" t="str">
        <f>_xlfn.XLOOKUP(A825,dd_design_raw!$C$2:$C$1002,dd_design_raw!$A$2:$A$1002,"",0)</f>
        <v>Fix</v>
      </c>
      <c r="L825" s="16" t="str">
        <f>_xlfn.XLOOKUP(I825,dd_accsryclr!$A$2:$A$1000,dd_accsryclr!$A$2:$A$1000,"",0)</f>
        <v>BRWN</v>
      </c>
    </row>
    <row r="826" spans="1:12" hidden="1" x14ac:dyDescent="0.25">
      <c r="A826" s="16" t="s">
        <v>6</v>
      </c>
      <c r="B826" s="16" t="s">
        <v>580</v>
      </c>
      <c r="C826" s="16" t="s">
        <v>487</v>
      </c>
      <c r="D826" s="16" t="s">
        <v>488</v>
      </c>
      <c r="E826" s="16">
        <v>1.1413793103448275</v>
      </c>
      <c r="F826" s="16" t="s">
        <v>194</v>
      </c>
      <c r="G826" s="16"/>
      <c r="H826" s="16" t="s">
        <v>486</v>
      </c>
      <c r="I826" s="16" t="s">
        <v>223</v>
      </c>
      <c r="J826" s="16" t="str">
        <f>IF(ISNUMBER(SEARCH("SCRW", H826)), _xlfn.XLOOKUP(C826,dd_item!$A$2:$A$147,dd_item!$B$2:$B$147,"",0),_xlfn.XLOOKUP(H826,dd_item!$A$2:$A$147,dd_item!$B$2:$B$147,"",0))</f>
        <v>Frame60</v>
      </c>
      <c r="K826" s="16" t="str">
        <f>_xlfn.XLOOKUP(A826,dd_design_raw!$C$2:$C$1002,dd_design_raw!$A$2:$A$1002,"",0)</f>
        <v>Fix</v>
      </c>
      <c r="L826" s="16" t="str">
        <f>_xlfn.XLOOKUP(I826,dd_accsryclr!$A$2:$A$1000,dd_accsryclr!$A$2:$A$1000,"",0)</f>
        <v>BLK</v>
      </c>
    </row>
    <row r="827" spans="1:12" hidden="1" x14ac:dyDescent="0.25">
      <c r="A827" s="16" t="s">
        <v>6</v>
      </c>
      <c r="B827" s="16" t="s">
        <v>580</v>
      </c>
      <c r="C827" s="16" t="s">
        <v>489</v>
      </c>
      <c r="D827" s="16" t="s">
        <v>490</v>
      </c>
      <c r="E827" s="16">
        <v>1.1413793103448275</v>
      </c>
      <c r="F827" s="16" t="s">
        <v>194</v>
      </c>
      <c r="G827" s="16"/>
      <c r="H827" s="16" t="s">
        <v>486</v>
      </c>
      <c r="I827" s="16" t="s">
        <v>211</v>
      </c>
      <c r="J827" s="16" t="str">
        <f>IF(ISNUMBER(SEARCH("SCRW", H827)), _xlfn.XLOOKUP(C827,dd_item!$A$2:$A$147,dd_item!$B$2:$B$147,"",0),_xlfn.XLOOKUP(H827,dd_item!$A$2:$A$147,dd_item!$B$2:$B$147,"",0))</f>
        <v>Frame60</v>
      </c>
      <c r="K827" s="16" t="str">
        <f>_xlfn.XLOOKUP(A827,dd_design_raw!$C$2:$C$1002,dd_design_raw!$A$2:$A$1002,"",0)</f>
        <v>Fix</v>
      </c>
      <c r="L827" s="16" t="str">
        <f>_xlfn.XLOOKUP(I827,dd_accsryclr!$A$2:$A$1000,dd_accsryclr!$A$2:$A$1000,"",0)</f>
        <v/>
      </c>
    </row>
    <row r="828" spans="1:12" hidden="1" x14ac:dyDescent="0.25">
      <c r="A828" s="16" t="s">
        <v>6</v>
      </c>
      <c r="B828" s="16" t="s">
        <v>580</v>
      </c>
      <c r="C828" s="16" t="s">
        <v>491</v>
      </c>
      <c r="D828" s="16" t="s">
        <v>492</v>
      </c>
      <c r="E828" s="16">
        <v>1.1413793103448275</v>
      </c>
      <c r="F828" s="16" t="s">
        <v>194</v>
      </c>
      <c r="G828" s="16"/>
      <c r="H828" s="16" t="s">
        <v>486</v>
      </c>
      <c r="I828" s="16" t="s">
        <v>214</v>
      </c>
      <c r="J828" s="16" t="str">
        <f>IF(ISNUMBER(SEARCH("SCRW", H828)), _xlfn.XLOOKUP(C828,dd_item!$A$2:$A$147,dd_item!$B$2:$B$147,"",0),_xlfn.XLOOKUP(H828,dd_item!$A$2:$A$147,dd_item!$B$2:$B$147,"",0))</f>
        <v>Frame60</v>
      </c>
      <c r="K828" s="16" t="str">
        <f>_xlfn.XLOOKUP(A828,dd_design_raw!$C$2:$C$1002,dd_design_raw!$A$2:$A$1002,"",0)</f>
        <v>Fix</v>
      </c>
      <c r="L828" s="16" t="str">
        <f>_xlfn.XLOOKUP(I828,dd_accsryclr!$A$2:$A$1000,dd_accsryclr!$A$2:$A$1000,"",0)</f>
        <v/>
      </c>
    </row>
    <row r="829" spans="1:12" hidden="1" x14ac:dyDescent="0.25">
      <c r="A829" s="16" t="s">
        <v>6</v>
      </c>
      <c r="B829" s="16" t="s">
        <v>580</v>
      </c>
      <c r="C829" s="16" t="s">
        <v>493</v>
      </c>
      <c r="D829" s="16" t="s">
        <v>494</v>
      </c>
      <c r="E829" s="16">
        <v>1.1413793103448275</v>
      </c>
      <c r="F829" s="16" t="s">
        <v>194</v>
      </c>
      <c r="G829" s="16"/>
      <c r="H829" s="16" t="s">
        <v>486</v>
      </c>
      <c r="I829" s="16" t="s">
        <v>217</v>
      </c>
      <c r="J829" s="16" t="str">
        <f>IF(ISNUMBER(SEARCH("SCRW", H829)), _xlfn.XLOOKUP(C829,dd_item!$A$2:$A$147,dd_item!$B$2:$B$147,"",0),_xlfn.XLOOKUP(H829,dd_item!$A$2:$A$147,dd_item!$B$2:$B$147,"",0))</f>
        <v>Frame60</v>
      </c>
      <c r="K829" s="16" t="str">
        <f>_xlfn.XLOOKUP(A829,dd_design_raw!$C$2:$C$1002,dd_design_raw!$A$2:$A$1002,"",0)</f>
        <v>Fix</v>
      </c>
      <c r="L829" s="16" t="str">
        <f>_xlfn.XLOOKUP(I829,dd_accsryclr!$A$2:$A$1000,dd_accsryclr!$A$2:$A$1000,"",0)</f>
        <v/>
      </c>
    </row>
    <row r="830" spans="1:12" hidden="1" x14ac:dyDescent="0.25">
      <c r="A830" s="16" t="s">
        <v>6</v>
      </c>
      <c r="B830" s="16" t="s">
        <v>580</v>
      </c>
      <c r="C830" s="16" t="s">
        <v>495</v>
      </c>
      <c r="D830" s="16" t="s">
        <v>496</v>
      </c>
      <c r="E830" s="16">
        <v>1.1413793103448275</v>
      </c>
      <c r="F830" s="16" t="s">
        <v>194</v>
      </c>
      <c r="G830" s="16"/>
      <c r="H830" s="16" t="s">
        <v>486</v>
      </c>
      <c r="I830" s="16" t="s">
        <v>226</v>
      </c>
      <c r="J830" s="16" t="str">
        <f>IF(ISNUMBER(SEARCH("SCRW", H830)), _xlfn.XLOOKUP(C830,dd_item!$A$2:$A$147,dd_item!$B$2:$B$147,"",0),_xlfn.XLOOKUP(H830,dd_item!$A$2:$A$147,dd_item!$B$2:$B$147,"",0))</f>
        <v>Frame60</v>
      </c>
      <c r="K830" s="16" t="str">
        <f>_xlfn.XLOOKUP(A830,dd_design_raw!$C$2:$C$1002,dd_design_raw!$A$2:$A$1002,"",0)</f>
        <v>Fix</v>
      </c>
      <c r="L830" s="16" t="str">
        <f>_xlfn.XLOOKUP(I830,dd_accsryclr!$A$2:$A$1000,dd_accsryclr!$A$2:$A$1000,"",0)</f>
        <v/>
      </c>
    </row>
    <row r="831" spans="1:12" hidden="1" x14ac:dyDescent="0.25">
      <c r="A831" s="16" t="s">
        <v>6</v>
      </c>
      <c r="B831" s="16" t="s">
        <v>580</v>
      </c>
      <c r="C831" s="16" t="s">
        <v>497</v>
      </c>
      <c r="D831" s="16" t="s">
        <v>498</v>
      </c>
      <c r="E831" s="16">
        <v>1.1413793103448275</v>
      </c>
      <c r="F831" s="16" t="s">
        <v>194</v>
      </c>
      <c r="G831" s="16"/>
      <c r="H831" s="16" t="s">
        <v>486</v>
      </c>
      <c r="I831" s="16" t="s">
        <v>220</v>
      </c>
      <c r="J831" s="16" t="str">
        <f>IF(ISNUMBER(SEARCH("SCRW", H831)), _xlfn.XLOOKUP(C831,dd_item!$A$2:$A$147,dd_item!$B$2:$B$147,"",0),_xlfn.XLOOKUP(H831,dd_item!$A$2:$A$147,dd_item!$B$2:$B$147,"",0))</f>
        <v>Frame60</v>
      </c>
      <c r="K831" s="16" t="str">
        <f>_xlfn.XLOOKUP(A831,dd_design_raw!$C$2:$C$1002,dd_design_raw!$A$2:$A$1002,"",0)</f>
        <v>Fix</v>
      </c>
      <c r="L831" s="16" t="str">
        <f>_xlfn.XLOOKUP(I831,dd_accsryclr!$A$2:$A$1000,dd_accsryclr!$A$2:$A$1000,"",0)</f>
        <v>WHT</v>
      </c>
    </row>
    <row r="832" spans="1:12" hidden="1" x14ac:dyDescent="0.25">
      <c r="A832" s="16" t="s">
        <v>6</v>
      </c>
      <c r="B832" s="16" t="s">
        <v>580</v>
      </c>
      <c r="C832" s="16" t="s">
        <v>514</v>
      </c>
      <c r="D832" s="16" t="s">
        <v>515</v>
      </c>
      <c r="E832" s="16">
        <v>1.1413793103448275</v>
      </c>
      <c r="F832" s="16" t="s">
        <v>194</v>
      </c>
      <c r="G832" s="16" t="s">
        <v>58</v>
      </c>
      <c r="H832" s="16" t="s">
        <v>516</v>
      </c>
      <c r="I832" s="16" t="s">
        <v>517</v>
      </c>
      <c r="J832" s="16" t="str">
        <f>IF(ISNUMBER(SEARCH("SCRW", H832)), _xlfn.XLOOKUP(C832,dd_item!$A$2:$A$147,dd_item!$B$2:$B$147,"",0),_xlfn.XLOOKUP(H832,dd_item!$A$2:$A$147,dd_item!$B$2:$B$147,"",0))</f>
        <v>Steel-Frame60</v>
      </c>
      <c r="K832" s="16" t="str">
        <f>_xlfn.XLOOKUP(A832,dd_design_raw!$C$2:$C$1002,dd_design_raw!$A$2:$A$1002,"",0)</f>
        <v>Fix</v>
      </c>
      <c r="L832" s="16" t="str">
        <f>_xlfn.XLOOKUP(I832,dd_accsryclr!$A$2:$A$1000,dd_accsryclr!$A$2:$A$1000,"",0)</f>
        <v/>
      </c>
    </row>
    <row r="833" spans="1:12" hidden="1" x14ac:dyDescent="0.25">
      <c r="A833" s="16" t="s">
        <v>6</v>
      </c>
      <c r="B833" s="16" t="s">
        <v>580</v>
      </c>
      <c r="C833" s="16" t="s">
        <v>349</v>
      </c>
      <c r="D833" s="16" t="s">
        <v>350</v>
      </c>
      <c r="E833" s="16">
        <v>1.1413793103448275</v>
      </c>
      <c r="F833" s="16" t="s">
        <v>194</v>
      </c>
      <c r="G833" s="16"/>
      <c r="H833" s="16" t="s">
        <v>351</v>
      </c>
      <c r="I833" s="16" t="s">
        <v>211</v>
      </c>
      <c r="J833" s="16" t="str">
        <f>IF(ISNUMBER(SEARCH("SCRW", H833)), _xlfn.XLOOKUP(C833,dd_item!$A$2:$A$147,dd_item!$B$2:$B$147,"",0),_xlfn.XLOOKUP(H833,dd_item!$A$2:$A$147,dd_item!$B$2:$B$147,"",0))</f>
        <v>Bead34</v>
      </c>
      <c r="K833" s="16" t="str">
        <f>_xlfn.XLOOKUP(A833,dd_design_raw!$C$2:$C$1002,dd_design_raw!$A$2:$A$1002,"",0)</f>
        <v>Fix</v>
      </c>
      <c r="L833" s="16" t="str">
        <f>_xlfn.XLOOKUP(I833,dd_accsryclr!$A$2:$A$1000,dd_accsryclr!$A$2:$A$1000,"",0)</f>
        <v/>
      </c>
    </row>
    <row r="834" spans="1:12" hidden="1" x14ac:dyDescent="0.25">
      <c r="A834" s="16" t="s">
        <v>6</v>
      </c>
      <c r="B834" s="16" t="s">
        <v>580</v>
      </c>
      <c r="C834" s="16" t="s">
        <v>352</v>
      </c>
      <c r="D834" s="16" t="s">
        <v>353</v>
      </c>
      <c r="E834" s="16">
        <v>1.1413793103448275</v>
      </c>
      <c r="F834" s="16" t="s">
        <v>194</v>
      </c>
      <c r="G834" s="16"/>
      <c r="H834" s="16" t="s">
        <v>351</v>
      </c>
      <c r="I834" s="16" t="s">
        <v>214</v>
      </c>
      <c r="J834" s="16" t="str">
        <f>IF(ISNUMBER(SEARCH("SCRW", H834)), _xlfn.XLOOKUP(C834,dd_item!$A$2:$A$147,dd_item!$B$2:$B$147,"",0),_xlfn.XLOOKUP(H834,dd_item!$A$2:$A$147,dd_item!$B$2:$B$147,"",0))</f>
        <v>Bead34</v>
      </c>
      <c r="K834" s="16" t="str">
        <f>_xlfn.XLOOKUP(A834,dd_design_raw!$C$2:$C$1002,dd_design_raw!$A$2:$A$1002,"",0)</f>
        <v>Fix</v>
      </c>
      <c r="L834" s="16" t="str">
        <f>_xlfn.XLOOKUP(I834,dd_accsryclr!$A$2:$A$1000,dd_accsryclr!$A$2:$A$1000,"",0)</f>
        <v/>
      </c>
    </row>
    <row r="835" spans="1:12" hidden="1" x14ac:dyDescent="0.25">
      <c r="A835" s="16" t="s">
        <v>6</v>
      </c>
      <c r="B835" s="16" t="s">
        <v>580</v>
      </c>
      <c r="C835" s="16" t="s">
        <v>354</v>
      </c>
      <c r="D835" s="16" t="s">
        <v>355</v>
      </c>
      <c r="E835" s="16">
        <v>1.1413793103448275</v>
      </c>
      <c r="F835" s="16" t="s">
        <v>194</v>
      </c>
      <c r="G835" s="16"/>
      <c r="H835" s="16" t="s">
        <v>351</v>
      </c>
      <c r="I835" s="16" t="s">
        <v>217</v>
      </c>
      <c r="J835" s="16" t="str">
        <f>IF(ISNUMBER(SEARCH("SCRW", H835)), _xlfn.XLOOKUP(C835,dd_item!$A$2:$A$147,dd_item!$B$2:$B$147,"",0),_xlfn.XLOOKUP(H835,dd_item!$A$2:$A$147,dd_item!$B$2:$B$147,"",0))</f>
        <v>Bead34</v>
      </c>
      <c r="K835" s="16" t="str">
        <f>_xlfn.XLOOKUP(A835,dd_design_raw!$C$2:$C$1002,dd_design_raw!$A$2:$A$1002,"",0)</f>
        <v>Fix</v>
      </c>
      <c r="L835" s="16" t="str">
        <f>_xlfn.XLOOKUP(I835,dd_accsryclr!$A$2:$A$1000,dd_accsryclr!$A$2:$A$1000,"",0)</f>
        <v/>
      </c>
    </row>
    <row r="836" spans="1:12" hidden="1" x14ac:dyDescent="0.25">
      <c r="A836" s="16" t="s">
        <v>6</v>
      </c>
      <c r="B836" s="16" t="s">
        <v>580</v>
      </c>
      <c r="C836" s="16" t="s">
        <v>356</v>
      </c>
      <c r="D836" s="16" t="s">
        <v>357</v>
      </c>
      <c r="E836" s="16">
        <v>1.1413793103448275</v>
      </c>
      <c r="F836" s="16" t="s">
        <v>194</v>
      </c>
      <c r="G836" s="16"/>
      <c r="H836" s="16" t="s">
        <v>351</v>
      </c>
      <c r="I836" s="16" t="s">
        <v>226</v>
      </c>
      <c r="J836" s="16" t="str">
        <f>IF(ISNUMBER(SEARCH("SCRW", H836)), _xlfn.XLOOKUP(C836,dd_item!$A$2:$A$147,dd_item!$B$2:$B$147,"",0),_xlfn.XLOOKUP(H836,dd_item!$A$2:$A$147,dd_item!$B$2:$B$147,"",0))</f>
        <v>Bead34</v>
      </c>
      <c r="K836" s="16" t="str">
        <f>_xlfn.XLOOKUP(A836,dd_design_raw!$C$2:$C$1002,dd_design_raw!$A$2:$A$1002,"",0)</f>
        <v>Fix</v>
      </c>
      <c r="L836" s="16" t="str">
        <f>_xlfn.XLOOKUP(I836,dd_accsryclr!$A$2:$A$1000,dd_accsryclr!$A$2:$A$1000,"",0)</f>
        <v/>
      </c>
    </row>
    <row r="837" spans="1:12" hidden="1" x14ac:dyDescent="0.25">
      <c r="A837" s="16" t="s">
        <v>6</v>
      </c>
      <c r="B837" s="16" t="s">
        <v>580</v>
      </c>
      <c r="C837" s="16" t="s">
        <v>358</v>
      </c>
      <c r="D837" s="16" t="s">
        <v>359</v>
      </c>
      <c r="E837" s="16">
        <v>1.1413793103448275</v>
      </c>
      <c r="F837" s="16" t="s">
        <v>194</v>
      </c>
      <c r="G837" s="16"/>
      <c r="H837" s="16" t="s">
        <v>351</v>
      </c>
      <c r="I837" s="16" t="s">
        <v>220</v>
      </c>
      <c r="J837" s="16" t="str">
        <f>IF(ISNUMBER(SEARCH("SCRW", H837)), _xlfn.XLOOKUP(C837,dd_item!$A$2:$A$147,dd_item!$B$2:$B$147,"",0),_xlfn.XLOOKUP(H837,dd_item!$A$2:$A$147,dd_item!$B$2:$B$147,"",0))</f>
        <v>Bead34</v>
      </c>
      <c r="K837" s="16" t="str">
        <f>_xlfn.XLOOKUP(A837,dd_design_raw!$C$2:$C$1002,dd_design_raw!$A$2:$A$1002,"",0)</f>
        <v>Fix</v>
      </c>
      <c r="L837" s="16" t="str">
        <f>_xlfn.XLOOKUP(I837,dd_accsryclr!$A$2:$A$1000,dd_accsryclr!$A$2:$A$1000,"",0)</f>
        <v>WHT</v>
      </c>
    </row>
    <row r="838" spans="1:12" hidden="1" x14ac:dyDescent="0.25">
      <c r="A838" s="16" t="s">
        <v>6</v>
      </c>
      <c r="B838" s="16" t="s">
        <v>580</v>
      </c>
      <c r="C838" s="16" t="s">
        <v>360</v>
      </c>
      <c r="D838" s="16" t="s">
        <v>361</v>
      </c>
      <c r="E838" s="16">
        <v>1.1413793103448275</v>
      </c>
      <c r="F838" s="16" t="s">
        <v>194</v>
      </c>
      <c r="G838" s="16"/>
      <c r="H838" s="16" t="s">
        <v>351</v>
      </c>
      <c r="I838" s="16" t="s">
        <v>223</v>
      </c>
      <c r="J838" s="16" t="str">
        <f>IF(ISNUMBER(SEARCH("SCRW", H838)), _xlfn.XLOOKUP(C838,dd_item!$A$2:$A$147,dd_item!$B$2:$B$147,"",0),_xlfn.XLOOKUP(H838,dd_item!$A$2:$A$147,dd_item!$B$2:$B$147,"",0))</f>
        <v>Bead34</v>
      </c>
      <c r="K838" s="16" t="str">
        <f>_xlfn.XLOOKUP(A838,dd_design_raw!$C$2:$C$1002,dd_design_raw!$A$2:$A$1002,"",0)</f>
        <v>Fix</v>
      </c>
      <c r="L838" s="16" t="str">
        <f>_xlfn.XLOOKUP(I838,dd_accsryclr!$A$2:$A$1000,dd_accsryclr!$A$2:$A$1000,"",0)</f>
        <v>BLK</v>
      </c>
    </row>
    <row r="839" spans="1:12" hidden="1" x14ac:dyDescent="0.25">
      <c r="A839" s="16" t="s">
        <v>6</v>
      </c>
      <c r="B839" s="16" t="s">
        <v>580</v>
      </c>
      <c r="C839" s="16" t="s">
        <v>362</v>
      </c>
      <c r="D839" s="16" t="s">
        <v>363</v>
      </c>
      <c r="E839" s="16">
        <v>1.1413793103448275</v>
      </c>
      <c r="F839" s="16" t="s">
        <v>194</v>
      </c>
      <c r="G839" s="16"/>
      <c r="H839" s="16" t="s">
        <v>351</v>
      </c>
      <c r="I839" s="16" t="s">
        <v>230</v>
      </c>
      <c r="J839" s="16" t="str">
        <f>IF(ISNUMBER(SEARCH("SCRW", H839)), _xlfn.XLOOKUP(C839,dd_item!$A$2:$A$147,dd_item!$B$2:$B$147,"",0),_xlfn.XLOOKUP(H839,dd_item!$A$2:$A$147,dd_item!$B$2:$B$147,"",0))</f>
        <v>Bead34</v>
      </c>
      <c r="K839" s="16" t="str">
        <f>_xlfn.XLOOKUP(A839,dd_design_raw!$C$2:$C$1002,dd_design_raw!$A$2:$A$1002,"",0)</f>
        <v>Fix</v>
      </c>
      <c r="L839" s="16" t="str">
        <f>_xlfn.XLOOKUP(I839,dd_accsryclr!$A$2:$A$1000,dd_accsryclr!$A$2:$A$1000,"",0)</f>
        <v>BRWN</v>
      </c>
    </row>
    <row r="840" spans="1:12" hidden="1" x14ac:dyDescent="0.25">
      <c r="A840" s="16" t="s">
        <v>6</v>
      </c>
      <c r="B840" s="16" t="s">
        <v>580</v>
      </c>
      <c r="C840" s="16" t="s">
        <v>390</v>
      </c>
      <c r="D840" s="16" t="s">
        <v>391</v>
      </c>
      <c r="E840" s="16">
        <v>13.24</v>
      </c>
      <c r="F840" s="16" t="s">
        <v>369</v>
      </c>
      <c r="G840" s="16"/>
      <c r="H840" s="16" t="s">
        <v>792</v>
      </c>
      <c r="I840" s="16"/>
      <c r="J840" s="16" t="str">
        <f>IF(ISNUMBER(SEARCH("SCRW", H840)), _xlfn.XLOOKUP(C840,dd_item!$A$2:$A$147,dd_item!$B$2:$B$147,"",0),_xlfn.XLOOKUP(H840,dd_item!$A$2:$A$147,dd_item!$B$2:$B$147,"",0))</f>
        <v>Atlas Screw (S) 10 x 2-1/2" (Flat)</v>
      </c>
      <c r="K840" s="16" t="str">
        <f>_xlfn.XLOOKUP(A840,dd_design_raw!$C$2:$C$1002,dd_design_raw!$A$2:$A$1002,"",0)</f>
        <v>Fix</v>
      </c>
      <c r="L840" s="16" t="str">
        <f>_xlfn.XLOOKUP(I840,dd_accsryclr!$A$2:$A$1000,dd_accsryclr!$A$2:$A$1000,"",0)</f>
        <v/>
      </c>
    </row>
    <row r="841" spans="1:12" hidden="1" x14ac:dyDescent="0.25">
      <c r="A841" s="16" t="s">
        <v>6</v>
      </c>
      <c r="B841" s="16" t="s">
        <v>580</v>
      </c>
      <c r="C841" s="16" t="s">
        <v>392</v>
      </c>
      <c r="D841" s="16" t="s">
        <v>393</v>
      </c>
      <c r="E841" s="16">
        <v>3</v>
      </c>
      <c r="F841" s="16" t="s">
        <v>369</v>
      </c>
      <c r="G841" s="16"/>
      <c r="H841" s="16" t="s">
        <v>394</v>
      </c>
      <c r="I841" s="16" t="s">
        <v>223</v>
      </c>
      <c r="J841" s="16" t="str">
        <f>IF(ISNUMBER(SEARCH("SCRW", H841)), _xlfn.XLOOKUP(C841,dd_item!$A$2:$A$147,dd_item!$B$2:$B$147,"",0),_xlfn.XLOOKUP(H841,dd_item!$A$2:$A$147,dd_item!$B$2:$B$147,"",0))</f>
        <v>Drainage Cover</v>
      </c>
      <c r="K841" s="16" t="str">
        <f>_xlfn.XLOOKUP(A841,dd_design_raw!$C$2:$C$1002,dd_design_raw!$A$2:$A$1002,"",0)</f>
        <v>Fix</v>
      </c>
      <c r="L841" s="16" t="str">
        <f>_xlfn.XLOOKUP(I841,dd_accsryclr!$A$2:$A$1000,dd_accsryclr!$A$2:$A$1000,"",0)</f>
        <v>BLK</v>
      </c>
    </row>
    <row r="842" spans="1:12" hidden="1" x14ac:dyDescent="0.25">
      <c r="A842" s="16" t="s">
        <v>6</v>
      </c>
      <c r="B842" s="16" t="s">
        <v>580</v>
      </c>
      <c r="C842" s="16" t="s">
        <v>395</v>
      </c>
      <c r="D842" s="16" t="s">
        <v>396</v>
      </c>
      <c r="E842" s="16">
        <v>3</v>
      </c>
      <c r="F842" s="16" t="s">
        <v>369</v>
      </c>
      <c r="G842" s="16"/>
      <c r="H842" s="16" t="s">
        <v>394</v>
      </c>
      <c r="I842" s="16" t="s">
        <v>220</v>
      </c>
      <c r="J842" s="16" t="str">
        <f>IF(ISNUMBER(SEARCH("SCRW", H842)), _xlfn.XLOOKUP(C842,dd_item!$A$2:$A$147,dd_item!$B$2:$B$147,"",0),_xlfn.XLOOKUP(H842,dd_item!$A$2:$A$147,dd_item!$B$2:$B$147,"",0))</f>
        <v>Drainage Cover</v>
      </c>
      <c r="K842" s="16" t="str">
        <f>_xlfn.XLOOKUP(A842,dd_design_raw!$C$2:$C$1002,dd_design_raw!$A$2:$A$1002,"",0)</f>
        <v>Fix</v>
      </c>
      <c r="L842" s="16" t="str">
        <f>_xlfn.XLOOKUP(I842,dd_accsryclr!$A$2:$A$1000,dd_accsryclr!$A$2:$A$1000,"",0)</f>
        <v>WHT</v>
      </c>
    </row>
    <row r="843" spans="1:12" hidden="1" x14ac:dyDescent="0.25">
      <c r="A843" s="16" t="s">
        <v>6</v>
      </c>
      <c r="B843" s="16" t="s">
        <v>580</v>
      </c>
      <c r="C843" s="16" t="s">
        <v>397</v>
      </c>
      <c r="D843" s="16" t="s">
        <v>398</v>
      </c>
      <c r="E843" s="16">
        <v>0.26479999999999998</v>
      </c>
      <c r="F843" s="16" t="s">
        <v>369</v>
      </c>
      <c r="G843" s="16"/>
      <c r="H843" s="16" t="s">
        <v>399</v>
      </c>
      <c r="I843" s="16" t="s">
        <v>400</v>
      </c>
      <c r="J843" s="16" t="str">
        <f>IF(ISNUMBER(SEARCH("SCRW", H843)), _xlfn.XLOOKUP(C843,dd_item!$A$2:$A$147,dd_item!$B$2:$B$147,"",0),_xlfn.XLOOKUP(H843,dd_item!$A$2:$A$147,dd_item!$B$2:$B$147,"",0))</f>
        <v>Tox6</v>
      </c>
      <c r="K843" s="16" t="str">
        <f>_xlfn.XLOOKUP(A843,dd_design_raw!$C$2:$C$1002,dd_design_raw!$A$2:$A$1002,"",0)</f>
        <v>Fix</v>
      </c>
      <c r="L843" s="16" t="str">
        <f>_xlfn.XLOOKUP(I843,dd_accsryclr!$A$2:$A$1000,dd_accsryclr!$A$2:$A$1000,"",0)</f>
        <v/>
      </c>
    </row>
    <row r="844" spans="1:12" hidden="1" x14ac:dyDescent="0.25">
      <c r="A844" s="16" t="s">
        <v>6</v>
      </c>
      <c r="B844" s="16" t="s">
        <v>580</v>
      </c>
      <c r="C844" s="16" t="s">
        <v>414</v>
      </c>
      <c r="D844" s="16" t="s">
        <v>415</v>
      </c>
      <c r="E844" s="16">
        <v>4.4133333333333331</v>
      </c>
      <c r="F844" s="16" t="s">
        <v>369</v>
      </c>
      <c r="G844" s="16"/>
      <c r="H844" s="16" t="s">
        <v>416</v>
      </c>
      <c r="I844" s="16" t="s">
        <v>223</v>
      </c>
      <c r="J844" s="16" t="str">
        <f>IF(ISNUMBER(SEARCH("SCRW", H844)), _xlfn.XLOOKUP(C844,dd_item!$A$2:$A$147,dd_item!$B$2:$B$147,"",0),_xlfn.XLOOKUP(H844,dd_item!$A$2:$A$147,dd_item!$B$2:$B$147,"",0))</f>
        <v>Sealant</v>
      </c>
      <c r="K844" s="16" t="str">
        <f>_xlfn.XLOOKUP(A844,dd_design_raw!$C$2:$C$1002,dd_design_raw!$A$2:$A$1002,"",0)</f>
        <v>Fix</v>
      </c>
      <c r="L844" s="16" t="str">
        <f>_xlfn.XLOOKUP(I844,dd_accsryclr!$A$2:$A$1000,dd_accsryclr!$A$2:$A$1000,"",0)</f>
        <v>BLK</v>
      </c>
    </row>
    <row r="845" spans="1:12" hidden="1" x14ac:dyDescent="0.25">
      <c r="A845" s="16" t="s">
        <v>6</v>
      </c>
      <c r="B845" s="16" t="s">
        <v>580</v>
      </c>
      <c r="C845" s="16" t="s">
        <v>417</v>
      </c>
      <c r="D845" s="16" t="s">
        <v>418</v>
      </c>
      <c r="E845" s="16">
        <v>4.4133333333333331</v>
      </c>
      <c r="F845" s="16" t="s">
        <v>369</v>
      </c>
      <c r="G845" s="16"/>
      <c r="H845" s="16" t="s">
        <v>416</v>
      </c>
      <c r="I845" s="16" t="s">
        <v>230</v>
      </c>
      <c r="J845" s="16" t="str">
        <f>IF(ISNUMBER(SEARCH("SCRW", H845)), _xlfn.XLOOKUP(C845,dd_item!$A$2:$A$147,dd_item!$B$2:$B$147,"",0),_xlfn.XLOOKUP(H845,dd_item!$A$2:$A$147,dd_item!$B$2:$B$147,"",0))</f>
        <v>Sealant</v>
      </c>
      <c r="K845" s="16" t="str">
        <f>_xlfn.XLOOKUP(A845,dd_design_raw!$C$2:$C$1002,dd_design_raw!$A$2:$A$1002,"",0)</f>
        <v>Fix</v>
      </c>
      <c r="L845" s="16" t="str">
        <f>_xlfn.XLOOKUP(I845,dd_accsryclr!$A$2:$A$1000,dd_accsryclr!$A$2:$A$1000,"",0)</f>
        <v>BRWN</v>
      </c>
    </row>
    <row r="846" spans="1:12" hidden="1" x14ac:dyDescent="0.25">
      <c r="A846" s="16" t="s">
        <v>6</v>
      </c>
      <c r="B846" s="16" t="s">
        <v>580</v>
      </c>
      <c r="C846" s="16" t="s">
        <v>419</v>
      </c>
      <c r="D846" s="16" t="s">
        <v>420</v>
      </c>
      <c r="E846" s="16">
        <v>4.4133333333333331</v>
      </c>
      <c r="F846" s="16" t="s">
        <v>369</v>
      </c>
      <c r="G846" s="16"/>
      <c r="H846" s="16" t="s">
        <v>416</v>
      </c>
      <c r="I846" s="16" t="s">
        <v>220</v>
      </c>
      <c r="J846" s="16" t="str">
        <f>IF(ISNUMBER(SEARCH("SCRW", H846)), _xlfn.XLOOKUP(C846,dd_item!$A$2:$A$147,dd_item!$B$2:$B$147,"",0),_xlfn.XLOOKUP(H846,dd_item!$A$2:$A$147,dd_item!$B$2:$B$147,"",0))</f>
        <v>Sealant</v>
      </c>
      <c r="K846" s="16" t="str">
        <f>_xlfn.XLOOKUP(A846,dd_design_raw!$C$2:$C$1002,dd_design_raw!$A$2:$A$1002,"",0)</f>
        <v>Fix</v>
      </c>
      <c r="L846" s="16" t="str">
        <f>_xlfn.XLOOKUP(I846,dd_accsryclr!$A$2:$A$1000,dd_accsryclr!$A$2:$A$1000,"",0)</f>
        <v>WHT</v>
      </c>
    </row>
    <row r="847" spans="1:12" hidden="1" x14ac:dyDescent="0.25">
      <c r="A847" s="16" t="s">
        <v>6</v>
      </c>
      <c r="B847" s="16" t="s">
        <v>580</v>
      </c>
      <c r="C847" s="16" t="s">
        <v>421</v>
      </c>
      <c r="D847" s="16" t="s">
        <v>422</v>
      </c>
      <c r="E847" s="16"/>
      <c r="F847" s="16" t="s">
        <v>369</v>
      </c>
      <c r="G847" s="16"/>
      <c r="H847" s="16" t="s">
        <v>416</v>
      </c>
      <c r="I847" s="16" t="s">
        <v>423</v>
      </c>
      <c r="J847" s="16" t="str">
        <f>IF(ISNUMBER(SEARCH("SCRW", H847)), _xlfn.XLOOKUP(C847,dd_item!$A$2:$A$147,dd_item!$B$2:$B$147,"",0),_xlfn.XLOOKUP(H847,dd_item!$A$2:$A$147,dd_item!$B$2:$B$147,"",0))</f>
        <v>Sealant</v>
      </c>
      <c r="K847" s="16" t="str">
        <f>_xlfn.XLOOKUP(A847,dd_design_raw!$C$2:$C$1002,dd_design_raw!$A$2:$A$1002,"",0)</f>
        <v>Fix</v>
      </c>
      <c r="L847" s="16" t="str">
        <f>_xlfn.XLOOKUP(I847,dd_accsryclr!$A$2:$A$1000,dd_accsryclr!$A$2:$A$1000,"",0)</f>
        <v/>
      </c>
    </row>
    <row r="848" spans="1:12" hidden="1" x14ac:dyDescent="0.25">
      <c r="A848" s="16" t="s">
        <v>18</v>
      </c>
      <c r="B848" s="16" t="s">
        <v>581</v>
      </c>
      <c r="C848" s="16" t="s">
        <v>484</v>
      </c>
      <c r="D848" s="16" t="s">
        <v>485</v>
      </c>
      <c r="E848" s="16">
        <v>0.94655172413793098</v>
      </c>
      <c r="F848" s="16" t="s">
        <v>194</v>
      </c>
      <c r="G848" s="16"/>
      <c r="H848" s="16" t="s">
        <v>486</v>
      </c>
      <c r="I848" s="16" t="s">
        <v>230</v>
      </c>
      <c r="J848" s="16" t="str">
        <f>IF(ISNUMBER(SEARCH("SCRW", H848)), _xlfn.XLOOKUP(C848,dd_item!$A$2:$A$147,dd_item!$B$2:$B$147,"",0),_xlfn.XLOOKUP(H848,dd_item!$A$2:$A$147,dd_item!$B$2:$B$147,"",0))</f>
        <v>Frame60</v>
      </c>
      <c r="K848" s="16" t="str">
        <f>_xlfn.XLOOKUP(A848,dd_design_raw!$C$2:$C$1002,dd_design_raw!$A$2:$A$1002,"",0)</f>
        <v>Fix Awning (Horizontal)</v>
      </c>
      <c r="L848" s="16" t="str">
        <f>_xlfn.XLOOKUP(I848,dd_accsryclr!$A$2:$A$1000,dd_accsryclr!$A$2:$A$1000,"",0)</f>
        <v>BRWN</v>
      </c>
    </row>
    <row r="849" spans="1:12" hidden="1" x14ac:dyDescent="0.25">
      <c r="A849" s="16" t="s">
        <v>18</v>
      </c>
      <c r="B849" s="16" t="s">
        <v>581</v>
      </c>
      <c r="C849" s="16" t="s">
        <v>487</v>
      </c>
      <c r="D849" s="16" t="s">
        <v>488</v>
      </c>
      <c r="E849" s="16">
        <v>0.94655172413793098</v>
      </c>
      <c r="F849" s="16" t="s">
        <v>194</v>
      </c>
      <c r="G849" s="16"/>
      <c r="H849" s="16" t="s">
        <v>486</v>
      </c>
      <c r="I849" s="16" t="s">
        <v>223</v>
      </c>
      <c r="J849" s="16" t="str">
        <f>IF(ISNUMBER(SEARCH("SCRW", H849)), _xlfn.XLOOKUP(C849,dd_item!$A$2:$A$147,dd_item!$B$2:$B$147,"",0),_xlfn.XLOOKUP(H849,dd_item!$A$2:$A$147,dd_item!$B$2:$B$147,"",0))</f>
        <v>Frame60</v>
      </c>
      <c r="K849" s="16" t="str">
        <f>_xlfn.XLOOKUP(A849,dd_design_raw!$C$2:$C$1002,dd_design_raw!$A$2:$A$1002,"",0)</f>
        <v>Fix Awning (Horizontal)</v>
      </c>
      <c r="L849" s="16" t="str">
        <f>_xlfn.XLOOKUP(I849,dd_accsryclr!$A$2:$A$1000,dd_accsryclr!$A$2:$A$1000,"",0)</f>
        <v>BLK</v>
      </c>
    </row>
    <row r="850" spans="1:12" hidden="1" x14ac:dyDescent="0.25">
      <c r="A850" s="16" t="s">
        <v>18</v>
      </c>
      <c r="B850" s="16" t="s">
        <v>581</v>
      </c>
      <c r="C850" s="16" t="s">
        <v>489</v>
      </c>
      <c r="D850" s="16" t="s">
        <v>490</v>
      </c>
      <c r="E850" s="16">
        <v>0.94655172413793098</v>
      </c>
      <c r="F850" s="16" t="s">
        <v>194</v>
      </c>
      <c r="G850" s="16"/>
      <c r="H850" s="16" t="s">
        <v>486</v>
      </c>
      <c r="I850" s="16" t="s">
        <v>211</v>
      </c>
      <c r="J850" s="16" t="str">
        <f>IF(ISNUMBER(SEARCH("SCRW", H850)), _xlfn.XLOOKUP(C850,dd_item!$A$2:$A$147,dd_item!$B$2:$B$147,"",0),_xlfn.XLOOKUP(H850,dd_item!$A$2:$A$147,dd_item!$B$2:$B$147,"",0))</f>
        <v>Frame60</v>
      </c>
      <c r="K850" s="16" t="str">
        <f>_xlfn.XLOOKUP(A850,dd_design_raw!$C$2:$C$1002,dd_design_raw!$A$2:$A$1002,"",0)</f>
        <v>Fix Awning (Horizontal)</v>
      </c>
      <c r="L850" s="16" t="str">
        <f>_xlfn.XLOOKUP(I850,dd_accsryclr!$A$2:$A$1000,dd_accsryclr!$A$2:$A$1000,"",0)</f>
        <v/>
      </c>
    </row>
    <row r="851" spans="1:12" hidden="1" x14ac:dyDescent="0.25">
      <c r="A851" s="16" t="s">
        <v>18</v>
      </c>
      <c r="B851" s="16" t="s">
        <v>581</v>
      </c>
      <c r="C851" s="16" t="s">
        <v>491</v>
      </c>
      <c r="D851" s="16" t="s">
        <v>492</v>
      </c>
      <c r="E851" s="16">
        <v>0.94655172413793098</v>
      </c>
      <c r="F851" s="16" t="s">
        <v>194</v>
      </c>
      <c r="G851" s="16"/>
      <c r="H851" s="16" t="s">
        <v>486</v>
      </c>
      <c r="I851" s="16" t="s">
        <v>214</v>
      </c>
      <c r="J851" s="16" t="str">
        <f>IF(ISNUMBER(SEARCH("SCRW", H851)), _xlfn.XLOOKUP(C851,dd_item!$A$2:$A$147,dd_item!$B$2:$B$147,"",0),_xlfn.XLOOKUP(H851,dd_item!$A$2:$A$147,dd_item!$B$2:$B$147,"",0))</f>
        <v>Frame60</v>
      </c>
      <c r="K851" s="16" t="str">
        <f>_xlfn.XLOOKUP(A851,dd_design_raw!$C$2:$C$1002,dd_design_raw!$A$2:$A$1002,"",0)</f>
        <v>Fix Awning (Horizontal)</v>
      </c>
      <c r="L851" s="16" t="str">
        <f>_xlfn.XLOOKUP(I851,dd_accsryclr!$A$2:$A$1000,dd_accsryclr!$A$2:$A$1000,"",0)</f>
        <v/>
      </c>
    </row>
    <row r="852" spans="1:12" hidden="1" x14ac:dyDescent="0.25">
      <c r="A852" s="16" t="s">
        <v>18</v>
      </c>
      <c r="B852" s="16" t="s">
        <v>581</v>
      </c>
      <c r="C852" s="16" t="s">
        <v>493</v>
      </c>
      <c r="D852" s="16" t="s">
        <v>494</v>
      </c>
      <c r="E852" s="16">
        <v>0.94655172413793098</v>
      </c>
      <c r="F852" s="16" t="s">
        <v>194</v>
      </c>
      <c r="G852" s="16"/>
      <c r="H852" s="16" t="s">
        <v>486</v>
      </c>
      <c r="I852" s="16" t="s">
        <v>217</v>
      </c>
      <c r="J852" s="16" t="str">
        <f>IF(ISNUMBER(SEARCH("SCRW", H852)), _xlfn.XLOOKUP(C852,dd_item!$A$2:$A$147,dd_item!$B$2:$B$147,"",0),_xlfn.XLOOKUP(H852,dd_item!$A$2:$A$147,dd_item!$B$2:$B$147,"",0))</f>
        <v>Frame60</v>
      </c>
      <c r="K852" s="16" t="str">
        <f>_xlfn.XLOOKUP(A852,dd_design_raw!$C$2:$C$1002,dd_design_raw!$A$2:$A$1002,"",0)</f>
        <v>Fix Awning (Horizontal)</v>
      </c>
      <c r="L852" s="16" t="str">
        <f>_xlfn.XLOOKUP(I852,dd_accsryclr!$A$2:$A$1000,dd_accsryclr!$A$2:$A$1000,"",0)</f>
        <v/>
      </c>
    </row>
    <row r="853" spans="1:12" hidden="1" x14ac:dyDescent="0.25">
      <c r="A853" s="16" t="s">
        <v>18</v>
      </c>
      <c r="B853" s="16" t="s">
        <v>581</v>
      </c>
      <c r="C853" s="16" t="s">
        <v>495</v>
      </c>
      <c r="D853" s="16" t="s">
        <v>496</v>
      </c>
      <c r="E853" s="16">
        <v>0.94655172413793098</v>
      </c>
      <c r="F853" s="16" t="s">
        <v>194</v>
      </c>
      <c r="G853" s="16"/>
      <c r="H853" s="16" t="s">
        <v>486</v>
      </c>
      <c r="I853" s="16" t="s">
        <v>226</v>
      </c>
      <c r="J853" s="16" t="str">
        <f>IF(ISNUMBER(SEARCH("SCRW", H853)), _xlfn.XLOOKUP(C853,dd_item!$A$2:$A$147,dd_item!$B$2:$B$147,"",0),_xlfn.XLOOKUP(H853,dd_item!$A$2:$A$147,dd_item!$B$2:$B$147,"",0))</f>
        <v>Frame60</v>
      </c>
      <c r="K853" s="16" t="str">
        <f>_xlfn.XLOOKUP(A853,dd_design_raw!$C$2:$C$1002,dd_design_raw!$A$2:$A$1002,"",0)</f>
        <v>Fix Awning (Horizontal)</v>
      </c>
      <c r="L853" s="16" t="str">
        <f>_xlfn.XLOOKUP(I853,dd_accsryclr!$A$2:$A$1000,dd_accsryclr!$A$2:$A$1000,"",0)</f>
        <v/>
      </c>
    </row>
    <row r="854" spans="1:12" hidden="1" x14ac:dyDescent="0.25">
      <c r="A854" s="16" t="s">
        <v>18</v>
      </c>
      <c r="B854" s="16" t="s">
        <v>581</v>
      </c>
      <c r="C854" s="16" t="s">
        <v>497</v>
      </c>
      <c r="D854" s="16" t="s">
        <v>498</v>
      </c>
      <c r="E854" s="16">
        <v>0.94655172413793098</v>
      </c>
      <c r="F854" s="16" t="s">
        <v>194</v>
      </c>
      <c r="G854" s="16"/>
      <c r="H854" s="16" t="s">
        <v>486</v>
      </c>
      <c r="I854" s="16" t="s">
        <v>220</v>
      </c>
      <c r="J854" s="16" t="str">
        <f>IF(ISNUMBER(SEARCH("SCRW", H854)), _xlfn.XLOOKUP(C854,dd_item!$A$2:$A$147,dd_item!$B$2:$B$147,"",0),_xlfn.XLOOKUP(H854,dd_item!$A$2:$A$147,dd_item!$B$2:$B$147,"",0))</f>
        <v>Frame60</v>
      </c>
      <c r="K854" s="16" t="str">
        <f>_xlfn.XLOOKUP(A854,dd_design_raw!$C$2:$C$1002,dd_design_raw!$A$2:$A$1002,"",0)</f>
        <v>Fix Awning (Horizontal)</v>
      </c>
      <c r="L854" s="16" t="str">
        <f>_xlfn.XLOOKUP(I854,dd_accsryclr!$A$2:$A$1000,dd_accsryclr!$A$2:$A$1000,"",0)</f>
        <v>WHT</v>
      </c>
    </row>
    <row r="855" spans="1:12" hidden="1" x14ac:dyDescent="0.25">
      <c r="A855" s="16" t="s">
        <v>18</v>
      </c>
      <c r="B855" s="16" t="s">
        <v>581</v>
      </c>
      <c r="C855" s="16" t="s">
        <v>499</v>
      </c>
      <c r="D855" s="16" t="s">
        <v>500</v>
      </c>
      <c r="E855" s="16">
        <v>0.48241379310344829</v>
      </c>
      <c r="F855" s="16" t="s">
        <v>194</v>
      </c>
      <c r="G855" s="16"/>
      <c r="H855" s="16" t="s">
        <v>501</v>
      </c>
      <c r="I855" s="16" t="s">
        <v>211</v>
      </c>
      <c r="J855" s="16" t="str">
        <f>IF(ISNUMBER(SEARCH("SCRW", H855)), _xlfn.XLOOKUP(C855,dd_item!$A$2:$A$147,dd_item!$B$2:$B$147,"",0),_xlfn.XLOOKUP(H855,dd_item!$A$2:$A$147,dd_item!$B$2:$B$147,"",0))</f>
        <v>Sash78</v>
      </c>
      <c r="K855" s="16" t="str">
        <f>_xlfn.XLOOKUP(A855,dd_design_raw!$C$2:$C$1002,dd_design_raw!$A$2:$A$1002,"",0)</f>
        <v>Fix Awning (Horizontal)</v>
      </c>
      <c r="L855" s="16" t="str">
        <f>_xlfn.XLOOKUP(I855,dd_accsryclr!$A$2:$A$1000,dd_accsryclr!$A$2:$A$1000,"",0)</f>
        <v/>
      </c>
    </row>
    <row r="856" spans="1:12" hidden="1" x14ac:dyDescent="0.25">
      <c r="A856" s="16" t="s">
        <v>18</v>
      </c>
      <c r="B856" s="16" t="s">
        <v>581</v>
      </c>
      <c r="C856" s="16" t="s">
        <v>502</v>
      </c>
      <c r="D856" s="16" t="s">
        <v>503</v>
      </c>
      <c r="E856" s="16">
        <v>0.48241379310344829</v>
      </c>
      <c r="F856" s="16" t="s">
        <v>194</v>
      </c>
      <c r="G856" s="16"/>
      <c r="H856" s="16" t="s">
        <v>501</v>
      </c>
      <c r="I856" s="16" t="s">
        <v>214</v>
      </c>
      <c r="J856" s="16" t="str">
        <f>IF(ISNUMBER(SEARCH("SCRW", H856)), _xlfn.XLOOKUP(C856,dd_item!$A$2:$A$147,dd_item!$B$2:$B$147,"",0),_xlfn.XLOOKUP(H856,dd_item!$A$2:$A$147,dd_item!$B$2:$B$147,"",0))</f>
        <v>Sash78</v>
      </c>
      <c r="K856" s="16" t="str">
        <f>_xlfn.XLOOKUP(A856,dd_design_raw!$C$2:$C$1002,dd_design_raw!$A$2:$A$1002,"",0)</f>
        <v>Fix Awning (Horizontal)</v>
      </c>
      <c r="L856" s="16" t="str">
        <f>_xlfn.XLOOKUP(I856,dd_accsryclr!$A$2:$A$1000,dd_accsryclr!$A$2:$A$1000,"",0)</f>
        <v/>
      </c>
    </row>
    <row r="857" spans="1:12" hidden="1" x14ac:dyDescent="0.25">
      <c r="A857" s="16" t="s">
        <v>18</v>
      </c>
      <c r="B857" s="16" t="s">
        <v>581</v>
      </c>
      <c r="C857" s="16" t="s">
        <v>504</v>
      </c>
      <c r="D857" s="16" t="s">
        <v>505</v>
      </c>
      <c r="E857" s="16">
        <v>0.48241379310344829</v>
      </c>
      <c r="F857" s="16" t="s">
        <v>194</v>
      </c>
      <c r="G857" s="16"/>
      <c r="H857" s="16" t="s">
        <v>501</v>
      </c>
      <c r="I857" s="16" t="s">
        <v>217</v>
      </c>
      <c r="J857" s="16" t="str">
        <f>IF(ISNUMBER(SEARCH("SCRW", H857)), _xlfn.XLOOKUP(C857,dd_item!$A$2:$A$147,dd_item!$B$2:$B$147,"",0),_xlfn.XLOOKUP(H857,dd_item!$A$2:$A$147,dd_item!$B$2:$B$147,"",0))</f>
        <v>Sash78</v>
      </c>
      <c r="K857" s="16" t="str">
        <f>_xlfn.XLOOKUP(A857,dd_design_raw!$C$2:$C$1002,dd_design_raw!$A$2:$A$1002,"",0)</f>
        <v>Fix Awning (Horizontal)</v>
      </c>
      <c r="L857" s="16" t="str">
        <f>_xlfn.XLOOKUP(I857,dd_accsryclr!$A$2:$A$1000,dd_accsryclr!$A$2:$A$1000,"",0)</f>
        <v/>
      </c>
    </row>
    <row r="858" spans="1:12" hidden="1" x14ac:dyDescent="0.25">
      <c r="A858" s="16" t="s">
        <v>18</v>
      </c>
      <c r="B858" s="16" t="s">
        <v>581</v>
      </c>
      <c r="C858" s="16" t="s">
        <v>506</v>
      </c>
      <c r="D858" s="16" t="s">
        <v>507</v>
      </c>
      <c r="E858" s="16">
        <v>0.48241379310344829</v>
      </c>
      <c r="F858" s="16" t="s">
        <v>194</v>
      </c>
      <c r="G858" s="16"/>
      <c r="H858" s="16" t="s">
        <v>501</v>
      </c>
      <c r="I858" s="16" t="s">
        <v>226</v>
      </c>
      <c r="J858" s="16" t="str">
        <f>IF(ISNUMBER(SEARCH("SCRW", H858)), _xlfn.XLOOKUP(C858,dd_item!$A$2:$A$147,dd_item!$B$2:$B$147,"",0),_xlfn.XLOOKUP(H858,dd_item!$A$2:$A$147,dd_item!$B$2:$B$147,"",0))</f>
        <v>Sash78</v>
      </c>
      <c r="K858" s="16" t="str">
        <f>_xlfn.XLOOKUP(A858,dd_design_raw!$C$2:$C$1002,dd_design_raw!$A$2:$A$1002,"",0)</f>
        <v>Fix Awning (Horizontal)</v>
      </c>
      <c r="L858" s="16" t="str">
        <f>_xlfn.XLOOKUP(I858,dd_accsryclr!$A$2:$A$1000,dd_accsryclr!$A$2:$A$1000,"",0)</f>
        <v/>
      </c>
    </row>
    <row r="859" spans="1:12" hidden="1" x14ac:dyDescent="0.25">
      <c r="A859" s="16" t="s">
        <v>18</v>
      </c>
      <c r="B859" s="16" t="s">
        <v>581</v>
      </c>
      <c r="C859" s="16" t="s">
        <v>508</v>
      </c>
      <c r="D859" s="16" t="s">
        <v>509</v>
      </c>
      <c r="E859" s="16">
        <v>0.48241379310344829</v>
      </c>
      <c r="F859" s="16" t="s">
        <v>194</v>
      </c>
      <c r="G859" s="16"/>
      <c r="H859" s="16" t="s">
        <v>501</v>
      </c>
      <c r="I859" s="16" t="s">
        <v>220</v>
      </c>
      <c r="J859" s="16" t="str">
        <f>IF(ISNUMBER(SEARCH("SCRW", H859)), _xlfn.XLOOKUP(C859,dd_item!$A$2:$A$147,dd_item!$B$2:$B$147,"",0),_xlfn.XLOOKUP(H859,dd_item!$A$2:$A$147,dd_item!$B$2:$B$147,"",0))</f>
        <v>Sash78</v>
      </c>
      <c r="K859" s="16" t="str">
        <f>_xlfn.XLOOKUP(A859,dd_design_raw!$C$2:$C$1002,dd_design_raw!$A$2:$A$1002,"",0)</f>
        <v>Fix Awning (Horizontal)</v>
      </c>
      <c r="L859" s="16" t="str">
        <f>_xlfn.XLOOKUP(I859,dd_accsryclr!$A$2:$A$1000,dd_accsryclr!$A$2:$A$1000,"",0)</f>
        <v>WHT</v>
      </c>
    </row>
    <row r="860" spans="1:12" hidden="1" x14ac:dyDescent="0.25">
      <c r="A860" s="16" t="s">
        <v>18</v>
      </c>
      <c r="B860" s="16" t="s">
        <v>581</v>
      </c>
      <c r="C860" s="16" t="s">
        <v>510</v>
      </c>
      <c r="D860" s="16" t="s">
        <v>511</v>
      </c>
      <c r="E860" s="16">
        <v>0.48241379310344829</v>
      </c>
      <c r="F860" s="16" t="s">
        <v>194</v>
      </c>
      <c r="G860" s="16"/>
      <c r="H860" s="16" t="s">
        <v>501</v>
      </c>
      <c r="I860" s="16" t="s">
        <v>223</v>
      </c>
      <c r="J860" s="16" t="str">
        <f>IF(ISNUMBER(SEARCH("SCRW", H860)), _xlfn.XLOOKUP(C860,dd_item!$A$2:$A$147,dd_item!$B$2:$B$147,"",0),_xlfn.XLOOKUP(H860,dd_item!$A$2:$A$147,dd_item!$B$2:$B$147,"",0))</f>
        <v>Sash78</v>
      </c>
      <c r="K860" s="16" t="str">
        <f>_xlfn.XLOOKUP(A860,dd_design_raw!$C$2:$C$1002,dd_design_raw!$A$2:$A$1002,"",0)</f>
        <v>Fix Awning (Horizontal)</v>
      </c>
      <c r="L860" s="16" t="str">
        <f>_xlfn.XLOOKUP(I860,dd_accsryclr!$A$2:$A$1000,dd_accsryclr!$A$2:$A$1000,"",0)</f>
        <v>BLK</v>
      </c>
    </row>
    <row r="861" spans="1:12" hidden="1" x14ac:dyDescent="0.25">
      <c r="A861" s="16" t="s">
        <v>18</v>
      </c>
      <c r="B861" s="16" t="s">
        <v>581</v>
      </c>
      <c r="C861" s="16" t="s">
        <v>512</v>
      </c>
      <c r="D861" s="16" t="s">
        <v>513</v>
      </c>
      <c r="E861" s="16">
        <v>0.48241379310344829</v>
      </c>
      <c r="F861" s="16" t="s">
        <v>194</v>
      </c>
      <c r="G861" s="16"/>
      <c r="H861" s="16" t="s">
        <v>501</v>
      </c>
      <c r="I861" s="16" t="s">
        <v>230</v>
      </c>
      <c r="J861" s="16" t="str">
        <f>IF(ISNUMBER(SEARCH("SCRW", H861)), _xlfn.XLOOKUP(C861,dd_item!$A$2:$A$147,dd_item!$B$2:$B$147,"",0),_xlfn.XLOOKUP(H861,dd_item!$A$2:$A$147,dd_item!$B$2:$B$147,"",0))</f>
        <v>Sash78</v>
      </c>
      <c r="K861" s="16" t="str">
        <f>_xlfn.XLOOKUP(A861,dd_design_raw!$C$2:$C$1002,dd_design_raw!$A$2:$A$1002,"",0)</f>
        <v>Fix Awning (Horizontal)</v>
      </c>
      <c r="L861" s="16" t="str">
        <f>_xlfn.XLOOKUP(I861,dd_accsryclr!$A$2:$A$1000,dd_accsryclr!$A$2:$A$1000,"",0)</f>
        <v>BRWN</v>
      </c>
    </row>
    <row r="862" spans="1:12" hidden="1" x14ac:dyDescent="0.25">
      <c r="A862" s="16" t="s">
        <v>18</v>
      </c>
      <c r="B862" s="16" t="s">
        <v>581</v>
      </c>
      <c r="C862" s="16" t="s">
        <v>582</v>
      </c>
      <c r="D862" s="16" t="s">
        <v>583</v>
      </c>
      <c r="E862" s="16">
        <v>0.16241379310344828</v>
      </c>
      <c r="F862" s="16" t="s">
        <v>194</v>
      </c>
      <c r="G862" s="16"/>
      <c r="H862" s="16" t="s">
        <v>584</v>
      </c>
      <c r="I862" s="16" t="s">
        <v>223</v>
      </c>
      <c r="J862" s="16" t="str">
        <f>IF(ISNUMBER(SEARCH("SCRW", H862)), _xlfn.XLOOKUP(C862,dd_item!$A$2:$A$147,dd_item!$B$2:$B$147,"",0),_xlfn.XLOOKUP(H862,dd_item!$A$2:$A$147,dd_item!$B$2:$B$147,"",0))</f>
        <v>ZMullion</v>
      </c>
      <c r="K862" s="16" t="str">
        <f>_xlfn.XLOOKUP(A862,dd_design_raw!$C$2:$C$1002,dd_design_raw!$A$2:$A$1002,"",0)</f>
        <v>Fix Awning (Horizontal)</v>
      </c>
      <c r="L862" s="16" t="str">
        <f>_xlfn.XLOOKUP(I862,dd_accsryclr!$A$2:$A$1000,dd_accsryclr!$A$2:$A$1000,"",0)</f>
        <v>BLK</v>
      </c>
    </row>
    <row r="863" spans="1:12" hidden="1" x14ac:dyDescent="0.25">
      <c r="A863" s="16" t="s">
        <v>18</v>
      </c>
      <c r="B863" s="16" t="s">
        <v>581</v>
      </c>
      <c r="C863" s="16" t="s">
        <v>585</v>
      </c>
      <c r="D863" s="16" t="s">
        <v>586</v>
      </c>
      <c r="E863" s="16">
        <v>0.16241379310344828</v>
      </c>
      <c r="F863" s="16" t="s">
        <v>194</v>
      </c>
      <c r="G863" s="16"/>
      <c r="H863" s="16" t="s">
        <v>584</v>
      </c>
      <c r="I863" s="16" t="s">
        <v>211</v>
      </c>
      <c r="J863" s="16" t="str">
        <f>IF(ISNUMBER(SEARCH("SCRW", H863)), _xlfn.XLOOKUP(C863,dd_item!$A$2:$A$147,dd_item!$B$2:$B$147,"",0),_xlfn.XLOOKUP(H863,dd_item!$A$2:$A$147,dd_item!$B$2:$B$147,"",0))</f>
        <v>ZMullion</v>
      </c>
      <c r="K863" s="16" t="str">
        <f>_xlfn.XLOOKUP(A863,dd_design_raw!$C$2:$C$1002,dd_design_raw!$A$2:$A$1002,"",0)</f>
        <v>Fix Awning (Horizontal)</v>
      </c>
      <c r="L863" s="16" t="str">
        <f>_xlfn.XLOOKUP(I863,dd_accsryclr!$A$2:$A$1000,dd_accsryclr!$A$2:$A$1000,"",0)</f>
        <v/>
      </c>
    </row>
    <row r="864" spans="1:12" hidden="1" x14ac:dyDescent="0.25">
      <c r="A864" s="16" t="s">
        <v>18</v>
      </c>
      <c r="B864" s="16" t="s">
        <v>581</v>
      </c>
      <c r="C864" s="16" t="s">
        <v>587</v>
      </c>
      <c r="D864" s="16" t="s">
        <v>588</v>
      </c>
      <c r="E864" s="16">
        <v>0.16241379310344828</v>
      </c>
      <c r="F864" s="16" t="s">
        <v>194</v>
      </c>
      <c r="G864" s="16"/>
      <c r="H864" s="16" t="s">
        <v>584</v>
      </c>
      <c r="I864" s="16" t="s">
        <v>214</v>
      </c>
      <c r="J864" s="16" t="str">
        <f>IF(ISNUMBER(SEARCH("SCRW", H864)), _xlfn.XLOOKUP(C864,dd_item!$A$2:$A$147,dd_item!$B$2:$B$147,"",0),_xlfn.XLOOKUP(H864,dd_item!$A$2:$A$147,dd_item!$B$2:$B$147,"",0))</f>
        <v>ZMullion</v>
      </c>
      <c r="K864" s="16" t="str">
        <f>_xlfn.XLOOKUP(A864,dd_design_raw!$C$2:$C$1002,dd_design_raw!$A$2:$A$1002,"",0)</f>
        <v>Fix Awning (Horizontal)</v>
      </c>
      <c r="L864" s="16" t="str">
        <f>_xlfn.XLOOKUP(I864,dd_accsryclr!$A$2:$A$1000,dd_accsryclr!$A$2:$A$1000,"",0)</f>
        <v/>
      </c>
    </row>
    <row r="865" spans="1:12" hidden="1" x14ac:dyDescent="0.25">
      <c r="A865" s="16" t="s">
        <v>18</v>
      </c>
      <c r="B865" s="16" t="s">
        <v>581</v>
      </c>
      <c r="C865" s="16" t="s">
        <v>589</v>
      </c>
      <c r="D865" s="16" t="s">
        <v>590</v>
      </c>
      <c r="E865" s="16">
        <v>0.16241379310344828</v>
      </c>
      <c r="F865" s="16" t="s">
        <v>194</v>
      </c>
      <c r="G865" s="16"/>
      <c r="H865" s="16" t="s">
        <v>584</v>
      </c>
      <c r="I865" s="16" t="s">
        <v>217</v>
      </c>
      <c r="J865" s="16" t="str">
        <f>IF(ISNUMBER(SEARCH("SCRW", H865)), _xlfn.XLOOKUP(C865,dd_item!$A$2:$A$147,dd_item!$B$2:$B$147,"",0),_xlfn.XLOOKUP(H865,dd_item!$A$2:$A$147,dd_item!$B$2:$B$147,"",0))</f>
        <v>ZMullion</v>
      </c>
      <c r="K865" s="16" t="str">
        <f>_xlfn.XLOOKUP(A865,dd_design_raw!$C$2:$C$1002,dd_design_raw!$A$2:$A$1002,"",0)</f>
        <v>Fix Awning (Horizontal)</v>
      </c>
      <c r="L865" s="16" t="str">
        <f>_xlfn.XLOOKUP(I865,dd_accsryclr!$A$2:$A$1000,dd_accsryclr!$A$2:$A$1000,"",0)</f>
        <v/>
      </c>
    </row>
    <row r="866" spans="1:12" hidden="1" x14ac:dyDescent="0.25">
      <c r="A866" s="16" t="s">
        <v>18</v>
      </c>
      <c r="B866" s="16" t="s">
        <v>581</v>
      </c>
      <c r="C866" s="16" t="s">
        <v>591</v>
      </c>
      <c r="D866" s="16" t="s">
        <v>592</v>
      </c>
      <c r="E866" s="16">
        <v>0.16241379310344828</v>
      </c>
      <c r="F866" s="16" t="s">
        <v>194</v>
      </c>
      <c r="G866" s="16"/>
      <c r="H866" s="16" t="s">
        <v>584</v>
      </c>
      <c r="I866" s="16" t="s">
        <v>226</v>
      </c>
      <c r="J866" s="16" t="str">
        <f>IF(ISNUMBER(SEARCH("SCRW", H866)), _xlfn.XLOOKUP(C866,dd_item!$A$2:$A$147,dd_item!$B$2:$B$147,"",0),_xlfn.XLOOKUP(H866,dd_item!$A$2:$A$147,dd_item!$B$2:$B$147,"",0))</f>
        <v>ZMullion</v>
      </c>
      <c r="K866" s="16" t="str">
        <f>_xlfn.XLOOKUP(A866,dd_design_raw!$C$2:$C$1002,dd_design_raw!$A$2:$A$1002,"",0)</f>
        <v>Fix Awning (Horizontal)</v>
      </c>
      <c r="L866" s="16" t="str">
        <f>_xlfn.XLOOKUP(I866,dd_accsryclr!$A$2:$A$1000,dd_accsryclr!$A$2:$A$1000,"",0)</f>
        <v/>
      </c>
    </row>
    <row r="867" spans="1:12" hidden="1" x14ac:dyDescent="0.25">
      <c r="A867" s="16" t="s">
        <v>18</v>
      </c>
      <c r="B867" s="16" t="s">
        <v>581</v>
      </c>
      <c r="C867" s="16" t="s">
        <v>593</v>
      </c>
      <c r="D867" s="16" t="s">
        <v>594</v>
      </c>
      <c r="E867" s="16">
        <v>0.16241379310344828</v>
      </c>
      <c r="F867" s="16" t="s">
        <v>194</v>
      </c>
      <c r="G867" s="16"/>
      <c r="H867" s="16" t="s">
        <v>584</v>
      </c>
      <c r="I867" s="16" t="s">
        <v>220</v>
      </c>
      <c r="J867" s="16" t="str">
        <f>IF(ISNUMBER(SEARCH("SCRW", H867)), _xlfn.XLOOKUP(C867,dd_item!$A$2:$A$147,dd_item!$B$2:$B$147,"",0),_xlfn.XLOOKUP(H867,dd_item!$A$2:$A$147,dd_item!$B$2:$B$147,"",0))</f>
        <v>ZMullion</v>
      </c>
      <c r="K867" s="16" t="str">
        <f>_xlfn.XLOOKUP(A867,dd_design_raw!$C$2:$C$1002,dd_design_raw!$A$2:$A$1002,"",0)</f>
        <v>Fix Awning (Horizontal)</v>
      </c>
      <c r="L867" s="16" t="str">
        <f>_xlfn.XLOOKUP(I867,dd_accsryclr!$A$2:$A$1000,dd_accsryclr!$A$2:$A$1000,"",0)</f>
        <v>WHT</v>
      </c>
    </row>
    <row r="868" spans="1:12" hidden="1" x14ac:dyDescent="0.25">
      <c r="A868" s="16" t="s">
        <v>18</v>
      </c>
      <c r="B868" s="16" t="s">
        <v>581</v>
      </c>
      <c r="C868" s="16" t="s">
        <v>514</v>
      </c>
      <c r="D868" s="16" t="s">
        <v>515</v>
      </c>
      <c r="E868" s="16">
        <v>0.31206896551724139</v>
      </c>
      <c r="F868" s="16" t="s">
        <v>194</v>
      </c>
      <c r="G868" s="16" t="s">
        <v>58</v>
      </c>
      <c r="H868" s="16" t="s">
        <v>516</v>
      </c>
      <c r="I868" s="16" t="s">
        <v>517</v>
      </c>
      <c r="J868" s="16" t="str">
        <f>IF(ISNUMBER(SEARCH("SCRW", H868)), _xlfn.XLOOKUP(C868,dd_item!$A$2:$A$147,dd_item!$B$2:$B$147,"",0),_xlfn.XLOOKUP(H868,dd_item!$A$2:$A$147,dd_item!$B$2:$B$147,"",0))</f>
        <v>Steel-Frame60</v>
      </c>
      <c r="K868" s="16" t="str">
        <f>_xlfn.XLOOKUP(A868,dd_design_raw!$C$2:$C$1002,dd_design_raw!$A$2:$A$1002,"",0)</f>
        <v>Fix Awning (Horizontal)</v>
      </c>
      <c r="L868" s="16" t="str">
        <f>_xlfn.XLOOKUP(I868,dd_accsryclr!$A$2:$A$1000,dd_accsryclr!$A$2:$A$1000,"",0)</f>
        <v/>
      </c>
    </row>
    <row r="869" spans="1:12" hidden="1" x14ac:dyDescent="0.25">
      <c r="A869" s="16" t="s">
        <v>18</v>
      </c>
      <c r="B869" s="16" t="s">
        <v>581</v>
      </c>
      <c r="C869" s="16" t="s">
        <v>518</v>
      </c>
      <c r="D869" s="16" t="s">
        <v>519</v>
      </c>
      <c r="E869" s="16">
        <v>0.62068965517241381</v>
      </c>
      <c r="F869" s="16" t="s">
        <v>194</v>
      </c>
      <c r="G869" s="16" t="s">
        <v>58</v>
      </c>
      <c r="H869" s="16" t="s">
        <v>1099</v>
      </c>
      <c r="I869" s="16" t="s">
        <v>520</v>
      </c>
      <c r="J869" s="16" t="str">
        <f>IF(ISNUMBER(SEARCH("SCRW", H869)), _xlfn.XLOOKUP(C869,dd_item!$A$2:$A$147,dd_item!$B$2:$B$147,"",0),_xlfn.XLOOKUP(H869,dd_item!$A$2:$A$147,dd_item!$B$2:$B$147,"",0))</f>
        <v>Steel-Frame60-H</v>
      </c>
      <c r="K869" s="16" t="str">
        <f>_xlfn.XLOOKUP(A869,dd_design_raw!$C$2:$C$1002,dd_design_raw!$A$2:$A$1002,"",0)</f>
        <v>Fix Awning (Horizontal)</v>
      </c>
      <c r="L869" s="16" t="str">
        <f>_xlfn.XLOOKUP(I869,dd_accsryclr!$A$2:$A$1000,dd_accsryclr!$A$2:$A$1000,"",0)</f>
        <v/>
      </c>
    </row>
    <row r="870" spans="1:12" hidden="1" x14ac:dyDescent="0.25">
      <c r="A870" s="16" t="s">
        <v>18</v>
      </c>
      <c r="B870" s="16" t="s">
        <v>581</v>
      </c>
      <c r="C870" s="16" t="s">
        <v>521</v>
      </c>
      <c r="D870" s="16" t="s">
        <v>522</v>
      </c>
      <c r="E870" s="16">
        <v>0.28896551724137931</v>
      </c>
      <c r="F870" s="16" t="s">
        <v>194</v>
      </c>
      <c r="G870" s="16" t="s">
        <v>59</v>
      </c>
      <c r="H870" s="16" t="s">
        <v>523</v>
      </c>
      <c r="I870" s="16" t="s">
        <v>524</v>
      </c>
      <c r="J870" s="16" t="str">
        <f>IF(ISNUMBER(SEARCH("SCRW", H870)), _xlfn.XLOOKUP(C870,dd_item!$A$2:$A$147,dd_item!$B$2:$B$147,"",0),_xlfn.XLOOKUP(H870,dd_item!$A$2:$A$147,dd_item!$B$2:$B$147,"",0))</f>
        <v>Steel-Sash78</v>
      </c>
      <c r="K870" s="16" t="str">
        <f>_xlfn.XLOOKUP(A870,dd_design_raw!$C$2:$C$1002,dd_design_raw!$A$2:$A$1002,"",0)</f>
        <v>Fix Awning (Horizontal)</v>
      </c>
      <c r="L870" s="16" t="str">
        <f>_xlfn.XLOOKUP(I870,dd_accsryclr!$A$2:$A$1000,dd_accsryclr!$A$2:$A$1000,"",0)</f>
        <v/>
      </c>
    </row>
    <row r="871" spans="1:12" hidden="1" x14ac:dyDescent="0.25">
      <c r="A871" s="16" t="s">
        <v>18</v>
      </c>
      <c r="B871" s="16" t="s">
        <v>581</v>
      </c>
      <c r="C871" s="16" t="s">
        <v>525</v>
      </c>
      <c r="D871" s="16" t="s">
        <v>526</v>
      </c>
      <c r="E871" s="16">
        <v>0.19344827586206897</v>
      </c>
      <c r="F871" s="16" t="s">
        <v>194</v>
      </c>
      <c r="G871" s="16" t="s">
        <v>59</v>
      </c>
      <c r="H871" s="16" t="s">
        <v>523</v>
      </c>
      <c r="I871" s="16" t="s">
        <v>527</v>
      </c>
      <c r="J871" s="16" t="str">
        <f>IF(ISNUMBER(SEARCH("SCRW", H871)), _xlfn.XLOOKUP(C871,dd_item!$A$2:$A$147,dd_item!$B$2:$B$147,"",0),_xlfn.XLOOKUP(H871,dd_item!$A$2:$A$147,dd_item!$B$2:$B$147,"",0))</f>
        <v>Steel-Sash78</v>
      </c>
      <c r="K871" s="16" t="str">
        <f>_xlfn.XLOOKUP(A871,dd_design_raw!$C$2:$C$1002,dd_design_raw!$A$2:$A$1002,"",0)</f>
        <v>Fix Awning (Horizontal)</v>
      </c>
      <c r="L871" s="16" t="str">
        <f>_xlfn.XLOOKUP(I871,dd_accsryclr!$A$2:$A$1000,dd_accsryclr!$A$2:$A$1000,"",0)</f>
        <v/>
      </c>
    </row>
    <row r="872" spans="1:12" hidden="1" x14ac:dyDescent="0.25">
      <c r="A872" s="16" t="s">
        <v>18</v>
      </c>
      <c r="B872" s="16" t="s">
        <v>581</v>
      </c>
      <c r="C872" s="16" t="s">
        <v>352</v>
      </c>
      <c r="D872" s="16" t="s">
        <v>353</v>
      </c>
      <c r="E872" s="16">
        <v>0.48241379310344829</v>
      </c>
      <c r="F872" s="16" t="s">
        <v>194</v>
      </c>
      <c r="G872" s="16"/>
      <c r="H872" s="16" t="s">
        <v>351</v>
      </c>
      <c r="I872" s="16" t="s">
        <v>214</v>
      </c>
      <c r="J872" s="16" t="str">
        <f>IF(ISNUMBER(SEARCH("SCRW", H872)), _xlfn.XLOOKUP(C872,dd_item!$A$2:$A$147,dd_item!$B$2:$B$147,"",0),_xlfn.XLOOKUP(H872,dd_item!$A$2:$A$147,dd_item!$B$2:$B$147,"",0))</f>
        <v>Bead34</v>
      </c>
      <c r="K872" s="16" t="str">
        <f>_xlfn.XLOOKUP(A872,dd_design_raw!$C$2:$C$1002,dd_design_raw!$A$2:$A$1002,"",0)</f>
        <v>Fix Awning (Horizontal)</v>
      </c>
      <c r="L872" s="16" t="str">
        <f>_xlfn.XLOOKUP(I872,dd_accsryclr!$A$2:$A$1000,dd_accsryclr!$A$2:$A$1000,"",0)</f>
        <v/>
      </c>
    </row>
    <row r="873" spans="1:12" hidden="1" x14ac:dyDescent="0.25">
      <c r="A873" s="16" t="s">
        <v>18</v>
      </c>
      <c r="B873" s="16" t="s">
        <v>581</v>
      </c>
      <c r="C873" s="16" t="s">
        <v>354</v>
      </c>
      <c r="D873" s="16" t="s">
        <v>355</v>
      </c>
      <c r="E873" s="16">
        <v>0.48241379310344829</v>
      </c>
      <c r="F873" s="16" t="s">
        <v>194</v>
      </c>
      <c r="G873" s="16"/>
      <c r="H873" s="16" t="s">
        <v>351</v>
      </c>
      <c r="I873" s="16" t="s">
        <v>217</v>
      </c>
      <c r="J873" s="16" t="str">
        <f>IF(ISNUMBER(SEARCH("SCRW", H873)), _xlfn.XLOOKUP(C873,dd_item!$A$2:$A$147,dd_item!$B$2:$B$147,"",0),_xlfn.XLOOKUP(H873,dd_item!$A$2:$A$147,dd_item!$B$2:$B$147,"",0))</f>
        <v>Bead34</v>
      </c>
      <c r="K873" s="16" t="str">
        <f>_xlfn.XLOOKUP(A873,dd_design_raw!$C$2:$C$1002,dd_design_raw!$A$2:$A$1002,"",0)</f>
        <v>Fix Awning (Horizontal)</v>
      </c>
      <c r="L873" s="16" t="str">
        <f>_xlfn.XLOOKUP(I873,dd_accsryclr!$A$2:$A$1000,dd_accsryclr!$A$2:$A$1000,"",0)</f>
        <v/>
      </c>
    </row>
    <row r="874" spans="1:12" hidden="1" x14ac:dyDescent="0.25">
      <c r="A874" s="16" t="s">
        <v>18</v>
      </c>
      <c r="B874" s="16" t="s">
        <v>581</v>
      </c>
      <c r="C874" s="16" t="s">
        <v>356</v>
      </c>
      <c r="D874" s="16" t="s">
        <v>357</v>
      </c>
      <c r="E874" s="16">
        <v>0.48241379310344829</v>
      </c>
      <c r="F874" s="16" t="s">
        <v>194</v>
      </c>
      <c r="G874" s="16"/>
      <c r="H874" s="16" t="s">
        <v>351</v>
      </c>
      <c r="I874" s="16" t="s">
        <v>226</v>
      </c>
      <c r="J874" s="16" t="str">
        <f>IF(ISNUMBER(SEARCH("SCRW", H874)), _xlfn.XLOOKUP(C874,dd_item!$A$2:$A$147,dd_item!$B$2:$B$147,"",0),_xlfn.XLOOKUP(H874,dd_item!$A$2:$A$147,dd_item!$B$2:$B$147,"",0))</f>
        <v>Bead34</v>
      </c>
      <c r="K874" s="16" t="str">
        <f>_xlfn.XLOOKUP(A874,dd_design_raw!$C$2:$C$1002,dd_design_raw!$A$2:$A$1002,"",0)</f>
        <v>Fix Awning (Horizontal)</v>
      </c>
      <c r="L874" s="16" t="str">
        <f>_xlfn.XLOOKUP(I874,dd_accsryclr!$A$2:$A$1000,dd_accsryclr!$A$2:$A$1000,"",0)</f>
        <v/>
      </c>
    </row>
    <row r="875" spans="1:12" hidden="1" x14ac:dyDescent="0.25">
      <c r="A875" s="16" t="s">
        <v>18</v>
      </c>
      <c r="B875" s="16" t="s">
        <v>581</v>
      </c>
      <c r="C875" s="16" t="s">
        <v>358</v>
      </c>
      <c r="D875" s="16" t="s">
        <v>359</v>
      </c>
      <c r="E875" s="16">
        <v>0.48241379310344829</v>
      </c>
      <c r="F875" s="16" t="s">
        <v>194</v>
      </c>
      <c r="G875" s="16"/>
      <c r="H875" s="16" t="s">
        <v>351</v>
      </c>
      <c r="I875" s="16" t="s">
        <v>220</v>
      </c>
      <c r="J875" s="16" t="str">
        <f>IF(ISNUMBER(SEARCH("SCRW", H875)), _xlfn.XLOOKUP(C875,dd_item!$A$2:$A$147,dd_item!$B$2:$B$147,"",0),_xlfn.XLOOKUP(H875,dd_item!$A$2:$A$147,dd_item!$B$2:$B$147,"",0))</f>
        <v>Bead34</v>
      </c>
      <c r="K875" s="16" t="str">
        <f>_xlfn.XLOOKUP(A875,dd_design_raw!$C$2:$C$1002,dd_design_raw!$A$2:$A$1002,"",0)</f>
        <v>Fix Awning (Horizontal)</v>
      </c>
      <c r="L875" s="16" t="str">
        <f>_xlfn.XLOOKUP(I875,dd_accsryclr!$A$2:$A$1000,dd_accsryclr!$A$2:$A$1000,"",0)</f>
        <v>WHT</v>
      </c>
    </row>
    <row r="876" spans="1:12" hidden="1" x14ac:dyDescent="0.25">
      <c r="A876" s="16" t="s">
        <v>18</v>
      </c>
      <c r="B876" s="16" t="s">
        <v>581</v>
      </c>
      <c r="C876" s="16" t="s">
        <v>360</v>
      </c>
      <c r="D876" s="16" t="s">
        <v>361</v>
      </c>
      <c r="E876" s="16">
        <v>0.48241379310344829</v>
      </c>
      <c r="F876" s="16" t="s">
        <v>194</v>
      </c>
      <c r="G876" s="16"/>
      <c r="H876" s="16" t="s">
        <v>351</v>
      </c>
      <c r="I876" s="16" t="s">
        <v>223</v>
      </c>
      <c r="J876" s="16" t="str">
        <f>IF(ISNUMBER(SEARCH("SCRW", H876)), _xlfn.XLOOKUP(C876,dd_item!$A$2:$A$147,dd_item!$B$2:$B$147,"",0),_xlfn.XLOOKUP(H876,dd_item!$A$2:$A$147,dd_item!$B$2:$B$147,"",0))</f>
        <v>Bead34</v>
      </c>
      <c r="K876" s="16" t="str">
        <f>_xlfn.XLOOKUP(A876,dd_design_raw!$C$2:$C$1002,dd_design_raw!$A$2:$A$1002,"",0)</f>
        <v>Fix Awning (Horizontal)</v>
      </c>
      <c r="L876" s="16" t="str">
        <f>_xlfn.XLOOKUP(I876,dd_accsryclr!$A$2:$A$1000,dd_accsryclr!$A$2:$A$1000,"",0)</f>
        <v>BLK</v>
      </c>
    </row>
    <row r="877" spans="1:12" hidden="1" x14ac:dyDescent="0.25">
      <c r="A877" s="16" t="s">
        <v>18</v>
      </c>
      <c r="B877" s="16" t="s">
        <v>581</v>
      </c>
      <c r="C877" s="16" t="s">
        <v>362</v>
      </c>
      <c r="D877" s="16" t="s">
        <v>363</v>
      </c>
      <c r="E877" s="16">
        <v>0.48241379310344829</v>
      </c>
      <c r="F877" s="16" t="s">
        <v>194</v>
      </c>
      <c r="G877" s="16"/>
      <c r="H877" s="16" t="s">
        <v>351</v>
      </c>
      <c r="I877" s="16" t="s">
        <v>230</v>
      </c>
      <c r="J877" s="16" t="str">
        <f>IF(ISNUMBER(SEARCH("SCRW", H877)), _xlfn.XLOOKUP(C877,dd_item!$A$2:$A$147,dd_item!$B$2:$B$147,"",0),_xlfn.XLOOKUP(H877,dd_item!$A$2:$A$147,dd_item!$B$2:$B$147,"",0))</f>
        <v>Bead34</v>
      </c>
      <c r="K877" s="16" t="str">
        <f>_xlfn.XLOOKUP(A877,dd_design_raw!$C$2:$C$1002,dd_design_raw!$A$2:$A$1002,"",0)</f>
        <v>Fix Awning (Horizontal)</v>
      </c>
      <c r="L877" s="16" t="str">
        <f>_xlfn.XLOOKUP(I877,dd_accsryclr!$A$2:$A$1000,dd_accsryclr!$A$2:$A$1000,"",0)</f>
        <v>BRWN</v>
      </c>
    </row>
    <row r="878" spans="1:12" x14ac:dyDescent="0.25">
      <c r="A878" s="16" t="s">
        <v>18</v>
      </c>
      <c r="B878" s="16" t="s">
        <v>581</v>
      </c>
      <c r="C878" s="16" t="s">
        <v>595</v>
      </c>
      <c r="D878" s="16" t="s">
        <v>596</v>
      </c>
      <c r="E878" s="16">
        <v>1</v>
      </c>
      <c r="F878" s="16" t="s">
        <v>293</v>
      </c>
      <c r="G878" s="16"/>
      <c r="H878" s="16" t="s">
        <v>530</v>
      </c>
      <c r="I878" s="16" t="s">
        <v>531</v>
      </c>
      <c r="J878" s="16" t="str">
        <f>IF(ISNUMBER(SEARCH("SCRW", H878)), _xlfn.XLOOKUP(C878,dd_item!$A$2:$A$147,dd_item!$B$2:$B$147,"",0),_xlfn.XLOOKUP(H878,dd_item!$A$2:$A$147,dd_item!$B$2:$B$147,"",0))</f>
        <v>Casement Espagnolette</v>
      </c>
      <c r="K878" s="16" t="str">
        <f>_xlfn.XLOOKUP(A878,dd_design_raw!$C$2:$C$1002,dd_design_raw!$A$2:$A$1002,"",0)</f>
        <v>Fix Awning (Horizontal)</v>
      </c>
      <c r="L878" s="16" t="str">
        <f>_xlfn.XLOOKUP(I878,dd_accsryclr!$A$2:$A$1000,dd_accsryclr!$A$2:$A$1000,"",0)</f>
        <v/>
      </c>
    </row>
    <row r="879" spans="1:12" x14ac:dyDescent="0.25">
      <c r="A879" s="16" t="s">
        <v>18</v>
      </c>
      <c r="B879" s="16" t="s">
        <v>581</v>
      </c>
      <c r="C879" s="16" t="s">
        <v>597</v>
      </c>
      <c r="D879" s="16" t="s">
        <v>598</v>
      </c>
      <c r="E879" s="16">
        <v>1</v>
      </c>
      <c r="F879" s="16" t="s">
        <v>293</v>
      </c>
      <c r="G879" s="16"/>
      <c r="H879" s="16" t="s">
        <v>530</v>
      </c>
      <c r="I879" s="16" t="s">
        <v>599</v>
      </c>
      <c r="J879" s="16" t="str">
        <f>IF(ISNUMBER(SEARCH("SCRW", H879)), _xlfn.XLOOKUP(C879,dd_item!$A$2:$A$147,dd_item!$B$2:$B$147,"",0),_xlfn.XLOOKUP(H879,dd_item!$A$2:$A$147,dd_item!$B$2:$B$147,"",0))</f>
        <v>Casement Espagnolette</v>
      </c>
      <c r="K879" s="16" t="str">
        <f>_xlfn.XLOOKUP(A879,dd_design_raw!$C$2:$C$1002,dd_design_raw!$A$2:$A$1002,"",0)</f>
        <v>Fix Awning (Horizontal)</v>
      </c>
      <c r="L879" s="16" t="str">
        <f>_xlfn.XLOOKUP(I879,dd_accsryclr!$A$2:$A$1000,dd_accsryclr!$A$2:$A$1000,"",0)</f>
        <v/>
      </c>
    </row>
    <row r="880" spans="1:12" x14ac:dyDescent="0.25">
      <c r="A880" s="16" t="s">
        <v>18</v>
      </c>
      <c r="B880" s="16" t="s">
        <v>581</v>
      </c>
      <c r="C880" s="16" t="s">
        <v>600</v>
      </c>
      <c r="D880" s="16" t="s">
        <v>601</v>
      </c>
      <c r="E880" s="16">
        <v>1</v>
      </c>
      <c r="F880" s="16" t="s">
        <v>293</v>
      </c>
      <c r="G880" s="16"/>
      <c r="H880" s="16" t="s">
        <v>530</v>
      </c>
      <c r="I880" s="16" t="s">
        <v>531</v>
      </c>
      <c r="J880" s="16" t="str">
        <f>IF(ISNUMBER(SEARCH("SCRW", H880)), _xlfn.XLOOKUP(C880,dd_item!$A$2:$A$147,dd_item!$B$2:$B$147,"",0),_xlfn.XLOOKUP(H880,dd_item!$A$2:$A$147,dd_item!$B$2:$B$147,"",0))</f>
        <v>Casement Espagnolette</v>
      </c>
      <c r="K880" s="16" t="str">
        <f>_xlfn.XLOOKUP(A880,dd_design_raw!$C$2:$C$1002,dd_design_raw!$A$2:$A$1002,"",0)</f>
        <v>Fix Awning (Horizontal)</v>
      </c>
      <c r="L880" s="16" t="str">
        <f>_xlfn.XLOOKUP(I880,dd_accsryclr!$A$2:$A$1000,dd_accsryclr!$A$2:$A$1000,"",0)</f>
        <v/>
      </c>
    </row>
    <row r="881" spans="1:12" hidden="1" x14ac:dyDescent="0.25">
      <c r="A881" s="16" t="s">
        <v>18</v>
      </c>
      <c r="B881" s="16" t="s">
        <v>581</v>
      </c>
      <c r="C881" s="16" t="s">
        <v>602</v>
      </c>
      <c r="D881" s="16" t="s">
        <v>603</v>
      </c>
      <c r="E881" s="16">
        <v>2</v>
      </c>
      <c r="F881" s="16" t="s">
        <v>293</v>
      </c>
      <c r="G881" s="16"/>
      <c r="H881" s="16" t="s">
        <v>573</v>
      </c>
      <c r="I881" s="16"/>
      <c r="J881" s="16" t="str">
        <f>IF(ISNUMBER(SEARCH("SCRW", H881)), _xlfn.XLOOKUP(C881,dd_item!$A$2:$A$147,dd_item!$B$2:$B$147,"",0),_xlfn.XLOOKUP(H881,dd_item!$A$2:$A$147,dd_item!$B$2:$B$147,"",0))</f>
        <v>Hinge 4-Bar</v>
      </c>
      <c r="K881" s="16" t="str">
        <f>_xlfn.XLOOKUP(A881,dd_design_raw!$C$2:$C$1002,dd_design_raw!$A$2:$A$1002,"",0)</f>
        <v>Fix Awning (Horizontal)</v>
      </c>
      <c r="L881" s="16" t="str">
        <f>_xlfn.XLOOKUP(I881,dd_accsryclr!$A$2:$A$1000,dd_accsryclr!$A$2:$A$1000,"",0)</f>
        <v/>
      </c>
    </row>
    <row r="882" spans="1:12" hidden="1" x14ac:dyDescent="0.25">
      <c r="A882" s="16" t="s">
        <v>18</v>
      </c>
      <c r="B882" s="16" t="s">
        <v>581</v>
      </c>
      <c r="C882" s="16" t="s">
        <v>390</v>
      </c>
      <c r="D882" s="16" t="s">
        <v>391</v>
      </c>
      <c r="E882" s="16">
        <v>10.98</v>
      </c>
      <c r="F882" s="16" t="s">
        <v>369</v>
      </c>
      <c r="G882" s="16"/>
      <c r="H882" s="16" t="s">
        <v>792</v>
      </c>
      <c r="I882" s="16"/>
      <c r="J882" s="16" t="str">
        <f>IF(ISNUMBER(SEARCH("SCRW", H882)), _xlfn.XLOOKUP(C882,dd_item!$A$2:$A$147,dd_item!$B$2:$B$147,"",0),_xlfn.XLOOKUP(H882,dd_item!$A$2:$A$147,dd_item!$B$2:$B$147,"",0))</f>
        <v>Atlas Screw (S) 10 x 2-1/2" (Flat)</v>
      </c>
      <c r="K882" s="16" t="str">
        <f>_xlfn.XLOOKUP(A882,dd_design_raw!$C$2:$C$1002,dd_design_raw!$A$2:$A$1002,"",0)</f>
        <v>Fix Awning (Horizontal)</v>
      </c>
      <c r="L882" s="16" t="str">
        <f>_xlfn.XLOOKUP(I882,dd_accsryclr!$A$2:$A$1000,dd_accsryclr!$A$2:$A$1000,"",0)</f>
        <v/>
      </c>
    </row>
    <row r="883" spans="1:12" hidden="1" x14ac:dyDescent="0.25">
      <c r="A883" s="16" t="s">
        <v>18</v>
      </c>
      <c r="B883" s="16" t="s">
        <v>581</v>
      </c>
      <c r="C883" s="16" t="s">
        <v>392</v>
      </c>
      <c r="D883" s="16" t="s">
        <v>393</v>
      </c>
      <c r="E883" s="16">
        <v>3</v>
      </c>
      <c r="F883" s="16" t="s">
        <v>369</v>
      </c>
      <c r="G883" s="16"/>
      <c r="H883" s="16" t="s">
        <v>394</v>
      </c>
      <c r="I883" s="16" t="s">
        <v>223</v>
      </c>
      <c r="J883" s="16" t="str">
        <f>IF(ISNUMBER(SEARCH("SCRW", H883)), _xlfn.XLOOKUP(C883,dd_item!$A$2:$A$147,dd_item!$B$2:$B$147,"",0),_xlfn.XLOOKUP(H883,dd_item!$A$2:$A$147,dd_item!$B$2:$B$147,"",0))</f>
        <v>Drainage Cover</v>
      </c>
      <c r="K883" s="16" t="str">
        <f>_xlfn.XLOOKUP(A883,dd_design_raw!$C$2:$C$1002,dd_design_raw!$A$2:$A$1002,"",0)</f>
        <v>Fix Awning (Horizontal)</v>
      </c>
      <c r="L883" s="16" t="str">
        <f>_xlfn.XLOOKUP(I883,dd_accsryclr!$A$2:$A$1000,dd_accsryclr!$A$2:$A$1000,"",0)</f>
        <v>BLK</v>
      </c>
    </row>
    <row r="884" spans="1:12" hidden="1" x14ac:dyDescent="0.25">
      <c r="A884" s="16" t="s">
        <v>18</v>
      </c>
      <c r="B884" s="16" t="s">
        <v>581</v>
      </c>
      <c r="C884" s="16" t="s">
        <v>395</v>
      </c>
      <c r="D884" s="16" t="s">
        <v>396</v>
      </c>
      <c r="E884" s="16">
        <v>3</v>
      </c>
      <c r="F884" s="16" t="s">
        <v>369</v>
      </c>
      <c r="G884" s="16"/>
      <c r="H884" s="16" t="s">
        <v>394</v>
      </c>
      <c r="I884" s="16" t="s">
        <v>220</v>
      </c>
      <c r="J884" s="16" t="str">
        <f>IF(ISNUMBER(SEARCH("SCRW", H884)), _xlfn.XLOOKUP(C884,dd_item!$A$2:$A$147,dd_item!$B$2:$B$147,"",0),_xlfn.XLOOKUP(H884,dd_item!$A$2:$A$147,dd_item!$B$2:$B$147,"",0))</f>
        <v>Drainage Cover</v>
      </c>
      <c r="K884" s="16" t="str">
        <f>_xlfn.XLOOKUP(A884,dd_design_raw!$C$2:$C$1002,dd_design_raw!$A$2:$A$1002,"",0)</f>
        <v>Fix Awning (Horizontal)</v>
      </c>
      <c r="L884" s="16" t="str">
        <f>_xlfn.XLOOKUP(I884,dd_accsryclr!$A$2:$A$1000,dd_accsryclr!$A$2:$A$1000,"",0)</f>
        <v>WHT</v>
      </c>
    </row>
    <row r="885" spans="1:12" hidden="1" x14ac:dyDescent="0.25">
      <c r="A885" s="16" t="s">
        <v>18</v>
      </c>
      <c r="B885" s="16" t="s">
        <v>581</v>
      </c>
      <c r="C885" s="16" t="s">
        <v>397</v>
      </c>
      <c r="D885" s="16" t="s">
        <v>398</v>
      </c>
      <c r="E885" s="16">
        <v>0.21960000000000002</v>
      </c>
      <c r="F885" s="16" t="s">
        <v>369</v>
      </c>
      <c r="G885" s="16"/>
      <c r="H885" s="16" t="s">
        <v>399</v>
      </c>
      <c r="I885" s="16" t="s">
        <v>400</v>
      </c>
      <c r="J885" s="16" t="str">
        <f>IF(ISNUMBER(SEARCH("SCRW", H885)), _xlfn.XLOOKUP(C885,dd_item!$A$2:$A$147,dd_item!$B$2:$B$147,"",0),_xlfn.XLOOKUP(H885,dd_item!$A$2:$A$147,dd_item!$B$2:$B$147,"",0))</f>
        <v>Tox6</v>
      </c>
      <c r="K885" s="16" t="str">
        <f>_xlfn.XLOOKUP(A885,dd_design_raw!$C$2:$C$1002,dd_design_raw!$A$2:$A$1002,"",0)</f>
        <v>Fix Awning (Horizontal)</v>
      </c>
      <c r="L885" s="16" t="str">
        <f>_xlfn.XLOOKUP(I885,dd_accsryclr!$A$2:$A$1000,dd_accsryclr!$A$2:$A$1000,"",0)</f>
        <v/>
      </c>
    </row>
    <row r="886" spans="1:12" hidden="1" x14ac:dyDescent="0.25">
      <c r="A886" s="16" t="s">
        <v>18</v>
      </c>
      <c r="B886" s="16" t="s">
        <v>581</v>
      </c>
      <c r="C886" s="16" t="s">
        <v>414</v>
      </c>
      <c r="D886" s="16" t="s">
        <v>415</v>
      </c>
      <c r="E886" s="16">
        <v>3.66</v>
      </c>
      <c r="F886" s="16" t="s">
        <v>369</v>
      </c>
      <c r="G886" s="16"/>
      <c r="H886" s="16" t="s">
        <v>416</v>
      </c>
      <c r="I886" s="16" t="s">
        <v>223</v>
      </c>
      <c r="J886" s="16" t="str">
        <f>IF(ISNUMBER(SEARCH("SCRW", H886)), _xlfn.XLOOKUP(C886,dd_item!$A$2:$A$147,dd_item!$B$2:$B$147,"",0),_xlfn.XLOOKUP(H886,dd_item!$A$2:$A$147,dd_item!$B$2:$B$147,"",0))</f>
        <v>Sealant</v>
      </c>
      <c r="K886" s="16" t="str">
        <f>_xlfn.XLOOKUP(A886,dd_design_raw!$C$2:$C$1002,dd_design_raw!$A$2:$A$1002,"",0)</f>
        <v>Fix Awning (Horizontal)</v>
      </c>
      <c r="L886" s="16" t="str">
        <f>_xlfn.XLOOKUP(I886,dd_accsryclr!$A$2:$A$1000,dd_accsryclr!$A$2:$A$1000,"",0)</f>
        <v>BLK</v>
      </c>
    </row>
    <row r="887" spans="1:12" hidden="1" x14ac:dyDescent="0.25">
      <c r="A887" s="16" t="s">
        <v>18</v>
      </c>
      <c r="B887" s="16" t="s">
        <v>581</v>
      </c>
      <c r="C887" s="16" t="s">
        <v>417</v>
      </c>
      <c r="D887" s="16" t="s">
        <v>418</v>
      </c>
      <c r="E887" s="16">
        <v>3.66</v>
      </c>
      <c r="F887" s="16" t="s">
        <v>369</v>
      </c>
      <c r="G887" s="16"/>
      <c r="H887" s="16" t="s">
        <v>416</v>
      </c>
      <c r="I887" s="16" t="s">
        <v>230</v>
      </c>
      <c r="J887" s="16" t="str">
        <f>IF(ISNUMBER(SEARCH("SCRW", H887)), _xlfn.XLOOKUP(C887,dd_item!$A$2:$A$147,dd_item!$B$2:$B$147,"",0),_xlfn.XLOOKUP(H887,dd_item!$A$2:$A$147,dd_item!$B$2:$B$147,"",0))</f>
        <v>Sealant</v>
      </c>
      <c r="K887" s="16" t="str">
        <f>_xlfn.XLOOKUP(A887,dd_design_raw!$C$2:$C$1002,dd_design_raw!$A$2:$A$1002,"",0)</f>
        <v>Fix Awning (Horizontal)</v>
      </c>
      <c r="L887" s="16" t="str">
        <f>_xlfn.XLOOKUP(I887,dd_accsryclr!$A$2:$A$1000,dd_accsryclr!$A$2:$A$1000,"",0)</f>
        <v>BRWN</v>
      </c>
    </row>
    <row r="888" spans="1:12" hidden="1" x14ac:dyDescent="0.25">
      <c r="A888" s="16" t="s">
        <v>18</v>
      </c>
      <c r="B888" s="16" t="s">
        <v>581</v>
      </c>
      <c r="C888" s="16" t="s">
        <v>419</v>
      </c>
      <c r="D888" s="16" t="s">
        <v>420</v>
      </c>
      <c r="E888" s="16">
        <v>3.66</v>
      </c>
      <c r="F888" s="16" t="s">
        <v>369</v>
      </c>
      <c r="G888" s="16"/>
      <c r="H888" s="16" t="s">
        <v>416</v>
      </c>
      <c r="I888" s="16" t="s">
        <v>220</v>
      </c>
      <c r="J888" s="16" t="str">
        <f>IF(ISNUMBER(SEARCH("SCRW", H888)), _xlfn.XLOOKUP(C888,dd_item!$A$2:$A$147,dd_item!$B$2:$B$147,"",0),_xlfn.XLOOKUP(H888,dd_item!$A$2:$A$147,dd_item!$B$2:$B$147,"",0))</f>
        <v>Sealant</v>
      </c>
      <c r="K888" s="16" t="str">
        <f>_xlfn.XLOOKUP(A888,dd_design_raw!$C$2:$C$1002,dd_design_raw!$A$2:$A$1002,"",0)</f>
        <v>Fix Awning (Horizontal)</v>
      </c>
      <c r="L888" s="16" t="str">
        <f>_xlfn.XLOOKUP(I888,dd_accsryclr!$A$2:$A$1000,dd_accsryclr!$A$2:$A$1000,"",0)</f>
        <v>WHT</v>
      </c>
    </row>
    <row r="889" spans="1:12" hidden="1" x14ac:dyDescent="0.25">
      <c r="A889" s="16" t="s">
        <v>18</v>
      </c>
      <c r="B889" s="16" t="s">
        <v>581</v>
      </c>
      <c r="C889" s="16" t="s">
        <v>421</v>
      </c>
      <c r="D889" s="16" t="s">
        <v>422</v>
      </c>
      <c r="E889" s="16"/>
      <c r="F889" s="16" t="s">
        <v>369</v>
      </c>
      <c r="G889" s="16"/>
      <c r="H889" s="16" t="s">
        <v>416</v>
      </c>
      <c r="I889" s="16" t="s">
        <v>423</v>
      </c>
      <c r="J889" s="16" t="str">
        <f>IF(ISNUMBER(SEARCH("SCRW", H889)), _xlfn.XLOOKUP(C889,dd_item!$A$2:$A$147,dd_item!$B$2:$B$147,"",0),_xlfn.XLOOKUP(H889,dd_item!$A$2:$A$147,dd_item!$B$2:$B$147,"",0))</f>
        <v>Sealant</v>
      </c>
      <c r="K889" s="16" t="str">
        <f>_xlfn.XLOOKUP(A889,dd_design_raw!$C$2:$C$1002,dd_design_raw!$A$2:$A$1002,"",0)</f>
        <v>Fix Awning (Horizontal)</v>
      </c>
      <c r="L889" s="16" t="str">
        <f>_xlfn.XLOOKUP(I889,dd_accsryclr!$A$2:$A$1000,dd_accsryclr!$A$2:$A$1000,"",0)</f>
        <v/>
      </c>
    </row>
    <row r="890" spans="1:12" hidden="1" x14ac:dyDescent="0.25">
      <c r="A890" s="16" t="s">
        <v>18</v>
      </c>
      <c r="B890" s="16" t="s">
        <v>581</v>
      </c>
      <c r="C890" s="16" t="s">
        <v>540</v>
      </c>
      <c r="D890" s="16" t="s">
        <v>541</v>
      </c>
      <c r="E890" s="16">
        <v>1</v>
      </c>
      <c r="F890" s="16" t="s">
        <v>369</v>
      </c>
      <c r="G890" s="16"/>
      <c r="H890" s="16" t="s">
        <v>542</v>
      </c>
      <c r="I890" s="16" t="s">
        <v>223</v>
      </c>
      <c r="J890" s="16" t="str">
        <f>IF(ISNUMBER(SEARCH("SCRW", H890)), _xlfn.XLOOKUP(C890,dd_item!$A$2:$A$147,dd_item!$B$2:$B$147,"",0),_xlfn.XLOOKUP(H890,dd_item!$A$2:$A$147,dd_item!$B$2:$B$147,"",0))</f>
        <v>Casement Handle (Roto)</v>
      </c>
      <c r="K890" s="16" t="str">
        <f>_xlfn.XLOOKUP(A890,dd_design_raw!$C$2:$C$1002,dd_design_raw!$A$2:$A$1002,"",0)</f>
        <v>Fix Awning (Horizontal)</v>
      </c>
      <c r="L890" s="16" t="str">
        <f>_xlfn.XLOOKUP(I890,dd_accsryclr!$A$2:$A$1000,dd_accsryclr!$A$2:$A$1000,"",0)</f>
        <v>BLK</v>
      </c>
    </row>
    <row r="891" spans="1:12" hidden="1" x14ac:dyDescent="0.25">
      <c r="A891" s="16" t="s">
        <v>18</v>
      </c>
      <c r="B891" s="16" t="s">
        <v>581</v>
      </c>
      <c r="C891" s="16" t="s">
        <v>543</v>
      </c>
      <c r="D891" s="16" t="s">
        <v>544</v>
      </c>
      <c r="E891" s="16">
        <v>1</v>
      </c>
      <c r="F891" s="16" t="s">
        <v>369</v>
      </c>
      <c r="G891" s="16"/>
      <c r="H891" s="16" t="s">
        <v>542</v>
      </c>
      <c r="I891" s="16" t="s">
        <v>220</v>
      </c>
      <c r="J891" s="16" t="str">
        <f>IF(ISNUMBER(SEARCH("SCRW", H891)), _xlfn.XLOOKUP(C891,dd_item!$A$2:$A$147,dd_item!$B$2:$B$147,"",0),_xlfn.XLOOKUP(H891,dd_item!$A$2:$A$147,dd_item!$B$2:$B$147,"",0))</f>
        <v>Casement Handle (Roto)</v>
      </c>
      <c r="K891" s="16" t="str">
        <f>_xlfn.XLOOKUP(A891,dd_design_raw!$C$2:$C$1002,dd_design_raw!$A$2:$A$1002,"",0)</f>
        <v>Fix Awning (Horizontal)</v>
      </c>
      <c r="L891" s="16" t="str">
        <f>_xlfn.XLOOKUP(I891,dd_accsryclr!$A$2:$A$1000,dd_accsryclr!$A$2:$A$1000,"",0)</f>
        <v>WHT</v>
      </c>
    </row>
    <row r="892" spans="1:12" hidden="1" x14ac:dyDescent="0.25">
      <c r="A892" s="16" t="s">
        <v>18</v>
      </c>
      <c r="B892" s="16" t="s">
        <v>581</v>
      </c>
      <c r="C892" s="16" t="s">
        <v>545</v>
      </c>
      <c r="D892" s="16" t="s">
        <v>546</v>
      </c>
      <c r="E892" s="16">
        <v>1</v>
      </c>
      <c r="F892" s="16" t="s">
        <v>369</v>
      </c>
      <c r="G892" s="16"/>
      <c r="H892" s="16" t="s">
        <v>9</v>
      </c>
      <c r="I892" s="16" t="s">
        <v>223</v>
      </c>
      <c r="J892" s="16" t="str">
        <f>IF(ISNUMBER(SEARCH("SCRW", H892)), _xlfn.XLOOKUP(C892,dd_item!$A$2:$A$147,dd_item!$B$2:$B$147,"",0),_xlfn.XLOOKUP(H892,dd_item!$A$2:$A$147,dd_item!$B$2:$B$147,"",0))</f>
        <v>Casement Handle (Espag)</v>
      </c>
      <c r="K892" s="16" t="str">
        <f>_xlfn.XLOOKUP(A892,dd_design_raw!$C$2:$C$1002,dd_design_raw!$A$2:$A$1002,"",0)</f>
        <v>Fix Awning (Horizontal)</v>
      </c>
      <c r="L892" s="16" t="str">
        <f>_xlfn.XLOOKUP(I892,dd_accsryclr!$A$2:$A$1000,dd_accsryclr!$A$2:$A$1000,"",0)</f>
        <v>BLK</v>
      </c>
    </row>
    <row r="893" spans="1:12" hidden="1" x14ac:dyDescent="0.25">
      <c r="A893" s="16" t="s">
        <v>18</v>
      </c>
      <c r="B893" s="16" t="s">
        <v>581</v>
      </c>
      <c r="C893" s="16" t="s">
        <v>547</v>
      </c>
      <c r="D893" s="16" t="s">
        <v>548</v>
      </c>
      <c r="E893" s="16">
        <v>1</v>
      </c>
      <c r="F893" s="16" t="s">
        <v>369</v>
      </c>
      <c r="G893" s="16"/>
      <c r="H893" s="16" t="s">
        <v>9</v>
      </c>
      <c r="I893" s="16" t="s">
        <v>220</v>
      </c>
      <c r="J893" s="16" t="str">
        <f>IF(ISNUMBER(SEARCH("SCRW", H893)), _xlfn.XLOOKUP(C893,dd_item!$A$2:$A$147,dd_item!$B$2:$B$147,"",0),_xlfn.XLOOKUP(H893,dd_item!$A$2:$A$147,dd_item!$B$2:$B$147,"",0))</f>
        <v>Casement Handle (Espag)</v>
      </c>
      <c r="K893" s="16" t="str">
        <f>_xlfn.XLOOKUP(A893,dd_design_raw!$C$2:$C$1002,dd_design_raw!$A$2:$A$1002,"",0)</f>
        <v>Fix Awning (Horizontal)</v>
      </c>
      <c r="L893" s="16" t="str">
        <f>_xlfn.XLOOKUP(I893,dd_accsryclr!$A$2:$A$1000,dd_accsryclr!$A$2:$A$1000,"",0)</f>
        <v>WHT</v>
      </c>
    </row>
    <row r="894" spans="1:12" hidden="1" x14ac:dyDescent="0.25">
      <c r="A894" s="16" t="s">
        <v>18</v>
      </c>
      <c r="B894" s="16" t="s">
        <v>581</v>
      </c>
      <c r="C894" s="16" t="s">
        <v>549</v>
      </c>
      <c r="D894" s="16" t="s">
        <v>550</v>
      </c>
      <c r="E894" s="16">
        <v>2</v>
      </c>
      <c r="F894" s="16" t="s">
        <v>369</v>
      </c>
      <c r="G894" s="16"/>
      <c r="H894" s="16" t="s">
        <v>551</v>
      </c>
      <c r="I894" s="16"/>
      <c r="J894" s="16" t="str">
        <f>IF(ISNUMBER(SEARCH("SCRW", H894)), _xlfn.XLOOKUP(C894,dd_item!$A$2:$A$147,dd_item!$B$2:$B$147,"",0),_xlfn.XLOOKUP(H894,dd_item!$A$2:$A$147,dd_item!$B$2:$B$147,"",0))</f>
        <v>Casement Striker (Roto)</v>
      </c>
      <c r="K894" s="16" t="str">
        <f>_xlfn.XLOOKUP(A894,dd_design_raw!$C$2:$C$1002,dd_design_raw!$A$2:$A$1002,"",0)</f>
        <v>Fix Awning (Horizontal)</v>
      </c>
      <c r="L894" s="16" t="str">
        <f>_xlfn.XLOOKUP(I894,dd_accsryclr!$A$2:$A$1000,dd_accsryclr!$A$2:$A$1000,"",0)</f>
        <v/>
      </c>
    </row>
    <row r="895" spans="1:12" hidden="1" x14ac:dyDescent="0.25">
      <c r="A895" s="16" t="s">
        <v>18</v>
      </c>
      <c r="B895" s="16" t="s">
        <v>581</v>
      </c>
      <c r="C895" s="16" t="s">
        <v>412</v>
      </c>
      <c r="D895" s="16" t="s">
        <v>413</v>
      </c>
      <c r="E895" s="16">
        <v>2</v>
      </c>
      <c r="F895" s="16" t="s">
        <v>369</v>
      </c>
      <c r="G895" s="16"/>
      <c r="H895" s="16" t="s">
        <v>793</v>
      </c>
      <c r="I895" s="16"/>
      <c r="J895" s="16" t="str">
        <f>IF(ISNUMBER(SEARCH("SCRW", H895)), _xlfn.XLOOKUP(C895,dd_item!$A$2:$A$147,dd_item!$B$2:$B$147,"",0),_xlfn.XLOOKUP(H895,dd_item!$A$2:$A$147,dd_item!$B$2:$B$147,"",0))</f>
        <v>Atlas Screw (S) 8 x 1-1/4" (Flat)</v>
      </c>
      <c r="K895" s="16" t="str">
        <f>_xlfn.XLOOKUP(A895,dd_design_raw!$C$2:$C$1002,dd_design_raw!$A$2:$A$1002,"",0)</f>
        <v>Fix Awning (Horizontal)</v>
      </c>
      <c r="L895" s="16" t="str">
        <f>_xlfn.XLOOKUP(I895,dd_accsryclr!$A$2:$A$1000,dd_accsryclr!$A$2:$A$1000,"",0)</f>
        <v/>
      </c>
    </row>
    <row r="896" spans="1:12" hidden="1" x14ac:dyDescent="0.25">
      <c r="A896" s="16" t="s">
        <v>18</v>
      </c>
      <c r="B896" s="16" t="s">
        <v>581</v>
      </c>
      <c r="C896" s="16" t="s">
        <v>401</v>
      </c>
      <c r="D896" s="16" t="s">
        <v>402</v>
      </c>
      <c r="E896" s="16">
        <v>10.98</v>
      </c>
      <c r="F896" s="16" t="s">
        <v>369</v>
      </c>
      <c r="G896" s="16"/>
      <c r="H896" s="16" t="s">
        <v>403</v>
      </c>
      <c r="I896" s="16" t="s">
        <v>223</v>
      </c>
      <c r="J896" s="16" t="str">
        <f>IF(ISNUMBER(SEARCH("SCRW", H896)), _xlfn.XLOOKUP(C896,dd_item!$A$2:$A$147,dd_item!$B$2:$B$147,"",0),_xlfn.XLOOKUP(H896,dd_item!$A$2:$A$147,dd_item!$B$2:$B$147,"",0))</f>
        <v>Cover Cap</v>
      </c>
      <c r="K896" s="16" t="str">
        <f>_xlfn.XLOOKUP(A896,dd_design_raw!$C$2:$C$1002,dd_design_raw!$A$2:$A$1002,"",0)</f>
        <v>Fix Awning (Horizontal)</v>
      </c>
      <c r="L896" s="16" t="str">
        <f>_xlfn.XLOOKUP(I896,dd_accsryclr!$A$2:$A$1000,dd_accsryclr!$A$2:$A$1000,"",0)</f>
        <v>BLK</v>
      </c>
    </row>
    <row r="897" spans="1:12" hidden="1" x14ac:dyDescent="0.25">
      <c r="A897" s="16" t="s">
        <v>18</v>
      </c>
      <c r="B897" s="16" t="s">
        <v>581</v>
      </c>
      <c r="C897" s="16" t="s">
        <v>404</v>
      </c>
      <c r="D897" s="16" t="s">
        <v>405</v>
      </c>
      <c r="E897" s="16">
        <v>10.98</v>
      </c>
      <c r="F897" s="16" t="s">
        <v>369</v>
      </c>
      <c r="G897" s="16"/>
      <c r="H897" s="16" t="s">
        <v>403</v>
      </c>
      <c r="I897" s="16" t="s">
        <v>220</v>
      </c>
      <c r="J897" s="16" t="str">
        <f>IF(ISNUMBER(SEARCH("SCRW", H897)), _xlfn.XLOOKUP(C897,dd_item!$A$2:$A$147,dd_item!$B$2:$B$147,"",0),_xlfn.XLOOKUP(H897,dd_item!$A$2:$A$147,dd_item!$B$2:$B$147,"",0))</f>
        <v>Cover Cap</v>
      </c>
      <c r="K897" s="16" t="str">
        <f>_xlfn.XLOOKUP(A897,dd_design_raw!$C$2:$C$1002,dd_design_raw!$A$2:$A$1002,"",0)</f>
        <v>Fix Awning (Horizontal)</v>
      </c>
      <c r="L897" s="16" t="str">
        <f>_xlfn.XLOOKUP(I897,dd_accsryclr!$A$2:$A$1000,dd_accsryclr!$A$2:$A$1000,"",0)</f>
        <v>WHT</v>
      </c>
    </row>
    <row r="898" spans="1:12" hidden="1" x14ac:dyDescent="0.25">
      <c r="A898" s="16" t="s">
        <v>18</v>
      </c>
      <c r="B898" s="16" t="s">
        <v>581</v>
      </c>
      <c r="C898" s="16" t="s">
        <v>552</v>
      </c>
      <c r="D898" s="16" t="s">
        <v>553</v>
      </c>
      <c r="E898" s="16">
        <v>2</v>
      </c>
      <c r="F898" s="16" t="s">
        <v>369</v>
      </c>
      <c r="G898" s="16"/>
      <c r="H898" s="16" t="s">
        <v>794</v>
      </c>
      <c r="I898" s="16" t="s">
        <v>554</v>
      </c>
      <c r="J898" s="16" t="str">
        <f>IF(ISNUMBER(SEARCH("SCRW", H898)), _xlfn.XLOOKUP(C898,dd_item!$A$2:$A$147,dd_item!$B$2:$B$147,"",0),_xlfn.XLOOKUP(H898,dd_item!$A$2:$A$147,dd_item!$B$2:$B$147,"",0))</f>
        <v>Atlas Screw S.B JF 5 x 50</v>
      </c>
      <c r="K898" s="16" t="str">
        <f>_xlfn.XLOOKUP(A898,dd_design_raw!$C$2:$C$1002,dd_design_raw!$A$2:$A$1002,"",0)</f>
        <v>Fix Awning (Horizontal)</v>
      </c>
      <c r="L898" s="16" t="str">
        <f>_xlfn.XLOOKUP(I898,dd_accsryclr!$A$2:$A$1000,dd_accsryclr!$A$2:$A$1000,"",0)</f>
        <v/>
      </c>
    </row>
    <row r="899" spans="1:12" hidden="1" x14ac:dyDescent="0.25">
      <c r="A899" s="16" t="s">
        <v>18</v>
      </c>
      <c r="B899" s="16" t="s">
        <v>581</v>
      </c>
      <c r="C899" s="16" t="s">
        <v>514</v>
      </c>
      <c r="D899" s="16" t="s">
        <v>515</v>
      </c>
      <c r="E899" s="16"/>
      <c r="F899" s="16" t="s">
        <v>194</v>
      </c>
      <c r="G899" s="16"/>
      <c r="H899" s="16" t="s">
        <v>818</v>
      </c>
      <c r="I899" s="16"/>
      <c r="J899" s="16" t="str">
        <f>IF(ISNUMBER(SEARCH("SCRW", H899)), _xlfn.XLOOKUP(C899,dd_item!$A$2:$A$147,dd_item!$B$2:$B$147,"",0),_xlfn.XLOOKUP(H899,dd_item!$A$2:$A$147,dd_item!$B$2:$B$147,"",0))</f>
        <v>Steel-ZMullion</v>
      </c>
      <c r="K899" s="16" t="str">
        <f>_xlfn.XLOOKUP(A899,dd_design_raw!$C$2:$C$1002,dd_design_raw!$A$2:$A$1002,"",0)</f>
        <v>Fix Awning (Horizontal)</v>
      </c>
      <c r="L899" s="16">
        <f>_xlfn.XLOOKUP(I899,dd_accsryclr!$A$2:$A$1000,dd_accsryclr!$A$2:$A$1000,"",0)</f>
        <v>0</v>
      </c>
    </row>
    <row r="900" spans="1:12" hidden="1" x14ac:dyDescent="0.25">
      <c r="A900" s="16" t="s">
        <v>17</v>
      </c>
      <c r="B900" s="16" t="s">
        <v>604</v>
      </c>
      <c r="C900" s="16" t="s">
        <v>484</v>
      </c>
      <c r="D900" s="16" t="s">
        <v>485</v>
      </c>
      <c r="E900" s="16">
        <v>0.94655172413793098</v>
      </c>
      <c r="F900" s="16" t="s">
        <v>194</v>
      </c>
      <c r="G900" s="16"/>
      <c r="H900" s="16" t="s">
        <v>486</v>
      </c>
      <c r="I900" s="16" t="s">
        <v>230</v>
      </c>
      <c r="J900" s="16" t="str">
        <f>IF(ISNUMBER(SEARCH("SCRW", H900)), _xlfn.XLOOKUP(C900,dd_item!$A$2:$A$147,dd_item!$B$2:$B$147,"",0),_xlfn.XLOOKUP(H900,dd_item!$A$2:$A$147,dd_item!$B$2:$B$147,"",0))</f>
        <v>Frame60</v>
      </c>
      <c r="K900" s="16" t="str">
        <f>_xlfn.XLOOKUP(A900,dd_design_raw!$C$2:$C$1002,dd_design_raw!$A$2:$A$1002,"",0)</f>
        <v>Fix Awning (Vertical)</v>
      </c>
      <c r="L900" s="16" t="str">
        <f>_xlfn.XLOOKUP(I900,dd_accsryclr!$A$2:$A$1000,dd_accsryclr!$A$2:$A$1000,"",0)</f>
        <v>BRWN</v>
      </c>
    </row>
    <row r="901" spans="1:12" hidden="1" x14ac:dyDescent="0.25">
      <c r="A901" s="16" t="s">
        <v>17</v>
      </c>
      <c r="B901" s="16" t="s">
        <v>604</v>
      </c>
      <c r="C901" s="16" t="s">
        <v>487</v>
      </c>
      <c r="D901" s="16" t="s">
        <v>488</v>
      </c>
      <c r="E901" s="16">
        <v>0.94655172413793098</v>
      </c>
      <c r="F901" s="16" t="s">
        <v>194</v>
      </c>
      <c r="G901" s="16"/>
      <c r="H901" s="16" t="s">
        <v>486</v>
      </c>
      <c r="I901" s="16" t="s">
        <v>223</v>
      </c>
      <c r="J901" s="16" t="str">
        <f>IF(ISNUMBER(SEARCH("SCRW", H901)), _xlfn.XLOOKUP(C901,dd_item!$A$2:$A$147,dd_item!$B$2:$B$147,"",0),_xlfn.XLOOKUP(H901,dd_item!$A$2:$A$147,dd_item!$B$2:$B$147,"",0))</f>
        <v>Frame60</v>
      </c>
      <c r="K901" s="16" t="str">
        <f>_xlfn.XLOOKUP(A901,dd_design_raw!$C$2:$C$1002,dd_design_raw!$A$2:$A$1002,"",0)</f>
        <v>Fix Awning (Vertical)</v>
      </c>
      <c r="L901" s="16" t="str">
        <f>_xlfn.XLOOKUP(I901,dd_accsryclr!$A$2:$A$1000,dd_accsryclr!$A$2:$A$1000,"",0)</f>
        <v>BLK</v>
      </c>
    </row>
    <row r="902" spans="1:12" hidden="1" x14ac:dyDescent="0.25">
      <c r="A902" s="16" t="s">
        <v>17</v>
      </c>
      <c r="B902" s="16" t="s">
        <v>604</v>
      </c>
      <c r="C902" s="16" t="s">
        <v>489</v>
      </c>
      <c r="D902" s="16" t="s">
        <v>490</v>
      </c>
      <c r="E902" s="16">
        <v>0.94655172413793098</v>
      </c>
      <c r="F902" s="16" t="s">
        <v>194</v>
      </c>
      <c r="G902" s="16"/>
      <c r="H902" s="16" t="s">
        <v>486</v>
      </c>
      <c r="I902" s="16" t="s">
        <v>211</v>
      </c>
      <c r="J902" s="16" t="str">
        <f>IF(ISNUMBER(SEARCH("SCRW", H902)), _xlfn.XLOOKUP(C902,dd_item!$A$2:$A$147,dd_item!$B$2:$B$147,"",0),_xlfn.XLOOKUP(H902,dd_item!$A$2:$A$147,dd_item!$B$2:$B$147,"",0))</f>
        <v>Frame60</v>
      </c>
      <c r="K902" s="16" t="str">
        <f>_xlfn.XLOOKUP(A902,dd_design_raw!$C$2:$C$1002,dd_design_raw!$A$2:$A$1002,"",0)</f>
        <v>Fix Awning (Vertical)</v>
      </c>
      <c r="L902" s="16" t="str">
        <f>_xlfn.XLOOKUP(I902,dd_accsryclr!$A$2:$A$1000,dd_accsryclr!$A$2:$A$1000,"",0)</f>
        <v/>
      </c>
    </row>
    <row r="903" spans="1:12" hidden="1" x14ac:dyDescent="0.25">
      <c r="A903" s="16" t="s">
        <v>17</v>
      </c>
      <c r="B903" s="16" t="s">
        <v>604</v>
      </c>
      <c r="C903" s="16" t="s">
        <v>491</v>
      </c>
      <c r="D903" s="16" t="s">
        <v>492</v>
      </c>
      <c r="E903" s="16">
        <v>0.94655172413793098</v>
      </c>
      <c r="F903" s="16" t="s">
        <v>194</v>
      </c>
      <c r="G903" s="16"/>
      <c r="H903" s="16" t="s">
        <v>486</v>
      </c>
      <c r="I903" s="16" t="s">
        <v>214</v>
      </c>
      <c r="J903" s="16" t="str">
        <f>IF(ISNUMBER(SEARCH("SCRW", H903)), _xlfn.XLOOKUP(C903,dd_item!$A$2:$A$147,dd_item!$B$2:$B$147,"",0),_xlfn.XLOOKUP(H903,dd_item!$A$2:$A$147,dd_item!$B$2:$B$147,"",0))</f>
        <v>Frame60</v>
      </c>
      <c r="K903" s="16" t="str">
        <f>_xlfn.XLOOKUP(A903,dd_design_raw!$C$2:$C$1002,dd_design_raw!$A$2:$A$1002,"",0)</f>
        <v>Fix Awning (Vertical)</v>
      </c>
      <c r="L903" s="16" t="str">
        <f>_xlfn.XLOOKUP(I903,dd_accsryclr!$A$2:$A$1000,dd_accsryclr!$A$2:$A$1000,"",0)</f>
        <v/>
      </c>
    </row>
    <row r="904" spans="1:12" hidden="1" x14ac:dyDescent="0.25">
      <c r="A904" s="16" t="s">
        <v>17</v>
      </c>
      <c r="B904" s="16" t="s">
        <v>604</v>
      </c>
      <c r="C904" s="16" t="s">
        <v>493</v>
      </c>
      <c r="D904" s="16" t="s">
        <v>494</v>
      </c>
      <c r="E904" s="16">
        <v>0.94655172413793098</v>
      </c>
      <c r="F904" s="16" t="s">
        <v>194</v>
      </c>
      <c r="G904" s="16"/>
      <c r="H904" s="16" t="s">
        <v>486</v>
      </c>
      <c r="I904" s="16" t="s">
        <v>217</v>
      </c>
      <c r="J904" s="16" t="str">
        <f>IF(ISNUMBER(SEARCH("SCRW", H904)), _xlfn.XLOOKUP(C904,dd_item!$A$2:$A$147,dd_item!$B$2:$B$147,"",0),_xlfn.XLOOKUP(H904,dd_item!$A$2:$A$147,dd_item!$B$2:$B$147,"",0))</f>
        <v>Frame60</v>
      </c>
      <c r="K904" s="16" t="str">
        <f>_xlfn.XLOOKUP(A904,dd_design_raw!$C$2:$C$1002,dd_design_raw!$A$2:$A$1002,"",0)</f>
        <v>Fix Awning (Vertical)</v>
      </c>
      <c r="L904" s="16" t="str">
        <f>_xlfn.XLOOKUP(I904,dd_accsryclr!$A$2:$A$1000,dd_accsryclr!$A$2:$A$1000,"",0)</f>
        <v/>
      </c>
    </row>
    <row r="905" spans="1:12" hidden="1" x14ac:dyDescent="0.25">
      <c r="A905" s="16" t="s">
        <v>17</v>
      </c>
      <c r="B905" s="16" t="s">
        <v>604</v>
      </c>
      <c r="C905" s="16" t="s">
        <v>495</v>
      </c>
      <c r="D905" s="16" t="s">
        <v>496</v>
      </c>
      <c r="E905" s="16">
        <v>0.94655172413793098</v>
      </c>
      <c r="F905" s="16" t="s">
        <v>194</v>
      </c>
      <c r="G905" s="16"/>
      <c r="H905" s="16" t="s">
        <v>486</v>
      </c>
      <c r="I905" s="16" t="s">
        <v>226</v>
      </c>
      <c r="J905" s="16" t="str">
        <f>IF(ISNUMBER(SEARCH("SCRW", H905)), _xlfn.XLOOKUP(C905,dd_item!$A$2:$A$147,dd_item!$B$2:$B$147,"",0),_xlfn.XLOOKUP(H905,dd_item!$A$2:$A$147,dd_item!$B$2:$B$147,"",0))</f>
        <v>Frame60</v>
      </c>
      <c r="K905" s="16" t="str">
        <f>_xlfn.XLOOKUP(A905,dd_design_raw!$C$2:$C$1002,dd_design_raw!$A$2:$A$1002,"",0)</f>
        <v>Fix Awning (Vertical)</v>
      </c>
      <c r="L905" s="16" t="str">
        <f>_xlfn.XLOOKUP(I905,dd_accsryclr!$A$2:$A$1000,dd_accsryclr!$A$2:$A$1000,"",0)</f>
        <v/>
      </c>
    </row>
    <row r="906" spans="1:12" hidden="1" x14ac:dyDescent="0.25">
      <c r="A906" s="16" t="s">
        <v>17</v>
      </c>
      <c r="B906" s="16" t="s">
        <v>604</v>
      </c>
      <c r="C906" s="16" t="s">
        <v>497</v>
      </c>
      <c r="D906" s="16" t="s">
        <v>498</v>
      </c>
      <c r="E906" s="16">
        <v>0.94655172413793098</v>
      </c>
      <c r="F906" s="16" t="s">
        <v>194</v>
      </c>
      <c r="G906" s="16"/>
      <c r="H906" s="16" t="s">
        <v>486</v>
      </c>
      <c r="I906" s="16" t="s">
        <v>220</v>
      </c>
      <c r="J906" s="16" t="str">
        <f>IF(ISNUMBER(SEARCH("SCRW", H906)), _xlfn.XLOOKUP(C906,dd_item!$A$2:$A$147,dd_item!$B$2:$B$147,"",0),_xlfn.XLOOKUP(H906,dd_item!$A$2:$A$147,dd_item!$B$2:$B$147,"",0))</f>
        <v>Frame60</v>
      </c>
      <c r="K906" s="16" t="str">
        <f>_xlfn.XLOOKUP(A906,dd_design_raw!$C$2:$C$1002,dd_design_raw!$A$2:$A$1002,"",0)</f>
        <v>Fix Awning (Vertical)</v>
      </c>
      <c r="L906" s="16" t="str">
        <f>_xlfn.XLOOKUP(I906,dd_accsryclr!$A$2:$A$1000,dd_accsryclr!$A$2:$A$1000,"",0)</f>
        <v>WHT</v>
      </c>
    </row>
    <row r="907" spans="1:12" hidden="1" x14ac:dyDescent="0.25">
      <c r="A907" s="16" t="s">
        <v>17</v>
      </c>
      <c r="B907" s="16" t="s">
        <v>604</v>
      </c>
      <c r="C907" s="16" t="s">
        <v>499</v>
      </c>
      <c r="D907" s="16" t="s">
        <v>500</v>
      </c>
      <c r="E907" s="16">
        <v>0.48241379310344829</v>
      </c>
      <c r="F907" s="16" t="s">
        <v>194</v>
      </c>
      <c r="G907" s="16"/>
      <c r="H907" s="16" t="s">
        <v>501</v>
      </c>
      <c r="I907" s="16" t="s">
        <v>211</v>
      </c>
      <c r="J907" s="16" t="str">
        <f>IF(ISNUMBER(SEARCH("SCRW", H907)), _xlfn.XLOOKUP(C907,dd_item!$A$2:$A$147,dd_item!$B$2:$B$147,"",0),_xlfn.XLOOKUP(H907,dd_item!$A$2:$A$147,dd_item!$B$2:$B$147,"",0))</f>
        <v>Sash78</v>
      </c>
      <c r="K907" s="16" t="str">
        <f>_xlfn.XLOOKUP(A907,dd_design_raw!$C$2:$C$1002,dd_design_raw!$A$2:$A$1002,"",0)</f>
        <v>Fix Awning (Vertical)</v>
      </c>
      <c r="L907" s="16" t="str">
        <f>_xlfn.XLOOKUP(I907,dd_accsryclr!$A$2:$A$1000,dd_accsryclr!$A$2:$A$1000,"",0)</f>
        <v/>
      </c>
    </row>
    <row r="908" spans="1:12" hidden="1" x14ac:dyDescent="0.25">
      <c r="A908" s="16" t="s">
        <v>17</v>
      </c>
      <c r="B908" s="16" t="s">
        <v>604</v>
      </c>
      <c r="C908" s="16" t="s">
        <v>502</v>
      </c>
      <c r="D908" s="16" t="s">
        <v>503</v>
      </c>
      <c r="E908" s="16">
        <v>0.48241379310344829</v>
      </c>
      <c r="F908" s="16" t="s">
        <v>194</v>
      </c>
      <c r="G908" s="16"/>
      <c r="H908" s="16" t="s">
        <v>501</v>
      </c>
      <c r="I908" s="16" t="s">
        <v>214</v>
      </c>
      <c r="J908" s="16" t="str">
        <f>IF(ISNUMBER(SEARCH("SCRW", H908)), _xlfn.XLOOKUP(C908,dd_item!$A$2:$A$147,dd_item!$B$2:$B$147,"",0),_xlfn.XLOOKUP(H908,dd_item!$A$2:$A$147,dd_item!$B$2:$B$147,"",0))</f>
        <v>Sash78</v>
      </c>
      <c r="K908" s="16" t="str">
        <f>_xlfn.XLOOKUP(A908,dd_design_raw!$C$2:$C$1002,dd_design_raw!$A$2:$A$1002,"",0)</f>
        <v>Fix Awning (Vertical)</v>
      </c>
      <c r="L908" s="16" t="str">
        <f>_xlfn.XLOOKUP(I908,dd_accsryclr!$A$2:$A$1000,dd_accsryclr!$A$2:$A$1000,"",0)</f>
        <v/>
      </c>
    </row>
    <row r="909" spans="1:12" hidden="1" x14ac:dyDescent="0.25">
      <c r="A909" s="16" t="s">
        <v>17</v>
      </c>
      <c r="B909" s="16" t="s">
        <v>604</v>
      </c>
      <c r="C909" s="16" t="s">
        <v>504</v>
      </c>
      <c r="D909" s="16" t="s">
        <v>505</v>
      </c>
      <c r="E909" s="16">
        <v>0.48241379310344829</v>
      </c>
      <c r="F909" s="16" t="s">
        <v>194</v>
      </c>
      <c r="G909" s="16"/>
      <c r="H909" s="16" t="s">
        <v>501</v>
      </c>
      <c r="I909" s="16" t="s">
        <v>217</v>
      </c>
      <c r="J909" s="16" t="str">
        <f>IF(ISNUMBER(SEARCH("SCRW", H909)), _xlfn.XLOOKUP(C909,dd_item!$A$2:$A$147,dd_item!$B$2:$B$147,"",0),_xlfn.XLOOKUP(H909,dd_item!$A$2:$A$147,dd_item!$B$2:$B$147,"",0))</f>
        <v>Sash78</v>
      </c>
      <c r="K909" s="16" t="str">
        <f>_xlfn.XLOOKUP(A909,dd_design_raw!$C$2:$C$1002,dd_design_raw!$A$2:$A$1002,"",0)</f>
        <v>Fix Awning (Vertical)</v>
      </c>
      <c r="L909" s="16" t="str">
        <f>_xlfn.XLOOKUP(I909,dd_accsryclr!$A$2:$A$1000,dd_accsryclr!$A$2:$A$1000,"",0)</f>
        <v/>
      </c>
    </row>
    <row r="910" spans="1:12" hidden="1" x14ac:dyDescent="0.25">
      <c r="A910" s="16" t="s">
        <v>17</v>
      </c>
      <c r="B910" s="16" t="s">
        <v>604</v>
      </c>
      <c r="C910" s="16" t="s">
        <v>506</v>
      </c>
      <c r="D910" s="16" t="s">
        <v>507</v>
      </c>
      <c r="E910" s="16">
        <v>0.48241379310344829</v>
      </c>
      <c r="F910" s="16" t="s">
        <v>194</v>
      </c>
      <c r="G910" s="16"/>
      <c r="H910" s="16" t="s">
        <v>501</v>
      </c>
      <c r="I910" s="16" t="s">
        <v>226</v>
      </c>
      <c r="J910" s="16" t="str">
        <f>IF(ISNUMBER(SEARCH("SCRW", H910)), _xlfn.XLOOKUP(C910,dd_item!$A$2:$A$147,dd_item!$B$2:$B$147,"",0),_xlfn.XLOOKUP(H910,dd_item!$A$2:$A$147,dd_item!$B$2:$B$147,"",0))</f>
        <v>Sash78</v>
      </c>
      <c r="K910" s="16" t="str">
        <f>_xlfn.XLOOKUP(A910,dd_design_raw!$C$2:$C$1002,dd_design_raw!$A$2:$A$1002,"",0)</f>
        <v>Fix Awning (Vertical)</v>
      </c>
      <c r="L910" s="16" t="str">
        <f>_xlfn.XLOOKUP(I910,dd_accsryclr!$A$2:$A$1000,dd_accsryclr!$A$2:$A$1000,"",0)</f>
        <v/>
      </c>
    </row>
    <row r="911" spans="1:12" hidden="1" x14ac:dyDescent="0.25">
      <c r="A911" s="16" t="s">
        <v>17</v>
      </c>
      <c r="B911" s="16" t="s">
        <v>604</v>
      </c>
      <c r="C911" s="16" t="s">
        <v>508</v>
      </c>
      <c r="D911" s="16" t="s">
        <v>509</v>
      </c>
      <c r="E911" s="16">
        <v>0.48241379310344829</v>
      </c>
      <c r="F911" s="16" t="s">
        <v>194</v>
      </c>
      <c r="G911" s="16"/>
      <c r="H911" s="16" t="s">
        <v>501</v>
      </c>
      <c r="I911" s="16" t="s">
        <v>220</v>
      </c>
      <c r="J911" s="16" t="str">
        <f>IF(ISNUMBER(SEARCH("SCRW", H911)), _xlfn.XLOOKUP(C911,dd_item!$A$2:$A$147,dd_item!$B$2:$B$147,"",0),_xlfn.XLOOKUP(H911,dd_item!$A$2:$A$147,dd_item!$B$2:$B$147,"",0))</f>
        <v>Sash78</v>
      </c>
      <c r="K911" s="16" t="str">
        <f>_xlfn.XLOOKUP(A911,dd_design_raw!$C$2:$C$1002,dd_design_raw!$A$2:$A$1002,"",0)</f>
        <v>Fix Awning (Vertical)</v>
      </c>
      <c r="L911" s="16" t="str">
        <f>_xlfn.XLOOKUP(I911,dd_accsryclr!$A$2:$A$1000,dd_accsryclr!$A$2:$A$1000,"",0)</f>
        <v>WHT</v>
      </c>
    </row>
    <row r="912" spans="1:12" hidden="1" x14ac:dyDescent="0.25">
      <c r="A912" s="16" t="s">
        <v>17</v>
      </c>
      <c r="B912" s="16" t="s">
        <v>604</v>
      </c>
      <c r="C912" s="16" t="s">
        <v>510</v>
      </c>
      <c r="D912" s="16" t="s">
        <v>511</v>
      </c>
      <c r="E912" s="16">
        <v>0.48241379310344829</v>
      </c>
      <c r="F912" s="16" t="s">
        <v>194</v>
      </c>
      <c r="G912" s="16"/>
      <c r="H912" s="16" t="s">
        <v>501</v>
      </c>
      <c r="I912" s="16" t="s">
        <v>223</v>
      </c>
      <c r="J912" s="16" t="str">
        <f>IF(ISNUMBER(SEARCH("SCRW", H912)), _xlfn.XLOOKUP(C912,dd_item!$A$2:$A$147,dd_item!$B$2:$B$147,"",0),_xlfn.XLOOKUP(H912,dd_item!$A$2:$A$147,dd_item!$B$2:$B$147,"",0))</f>
        <v>Sash78</v>
      </c>
      <c r="K912" s="16" t="str">
        <f>_xlfn.XLOOKUP(A912,dd_design_raw!$C$2:$C$1002,dd_design_raw!$A$2:$A$1002,"",0)</f>
        <v>Fix Awning (Vertical)</v>
      </c>
      <c r="L912" s="16" t="str">
        <f>_xlfn.XLOOKUP(I912,dd_accsryclr!$A$2:$A$1000,dd_accsryclr!$A$2:$A$1000,"",0)</f>
        <v>BLK</v>
      </c>
    </row>
    <row r="913" spans="1:12" hidden="1" x14ac:dyDescent="0.25">
      <c r="A913" s="16" t="s">
        <v>17</v>
      </c>
      <c r="B913" s="16" t="s">
        <v>604</v>
      </c>
      <c r="C913" s="16" t="s">
        <v>512</v>
      </c>
      <c r="D913" s="16" t="s">
        <v>513</v>
      </c>
      <c r="E913" s="16">
        <v>0.48241379310344829</v>
      </c>
      <c r="F913" s="16" t="s">
        <v>194</v>
      </c>
      <c r="G913" s="16"/>
      <c r="H913" s="16" t="s">
        <v>501</v>
      </c>
      <c r="I913" s="16" t="s">
        <v>230</v>
      </c>
      <c r="J913" s="16" t="str">
        <f>IF(ISNUMBER(SEARCH("SCRW", H913)), _xlfn.XLOOKUP(C913,dd_item!$A$2:$A$147,dd_item!$B$2:$B$147,"",0),_xlfn.XLOOKUP(H913,dd_item!$A$2:$A$147,dd_item!$B$2:$B$147,"",0))</f>
        <v>Sash78</v>
      </c>
      <c r="K913" s="16" t="str">
        <f>_xlfn.XLOOKUP(A913,dd_design_raw!$C$2:$C$1002,dd_design_raw!$A$2:$A$1002,"",0)</f>
        <v>Fix Awning (Vertical)</v>
      </c>
      <c r="L913" s="16" t="str">
        <f>_xlfn.XLOOKUP(I913,dd_accsryclr!$A$2:$A$1000,dd_accsryclr!$A$2:$A$1000,"",0)</f>
        <v>BRWN</v>
      </c>
    </row>
    <row r="914" spans="1:12" hidden="1" x14ac:dyDescent="0.25">
      <c r="A914" s="16" t="s">
        <v>17</v>
      </c>
      <c r="B914" s="16" t="s">
        <v>604</v>
      </c>
      <c r="C914" s="16" t="s">
        <v>582</v>
      </c>
      <c r="D914" s="16" t="s">
        <v>583</v>
      </c>
      <c r="E914" s="16">
        <v>0.16241379310344828</v>
      </c>
      <c r="F914" s="16" t="s">
        <v>194</v>
      </c>
      <c r="G914" s="16"/>
      <c r="H914" s="16" t="s">
        <v>584</v>
      </c>
      <c r="I914" s="16" t="s">
        <v>223</v>
      </c>
      <c r="J914" s="16" t="str">
        <f>IF(ISNUMBER(SEARCH("SCRW", H914)), _xlfn.XLOOKUP(C914,dd_item!$A$2:$A$147,dd_item!$B$2:$B$147,"",0),_xlfn.XLOOKUP(H914,dd_item!$A$2:$A$147,dd_item!$B$2:$B$147,"",0))</f>
        <v>ZMullion</v>
      </c>
      <c r="K914" s="16" t="str">
        <f>_xlfn.XLOOKUP(A914,dd_design_raw!$C$2:$C$1002,dd_design_raw!$A$2:$A$1002,"",0)</f>
        <v>Fix Awning (Vertical)</v>
      </c>
      <c r="L914" s="16" t="str">
        <f>_xlfn.XLOOKUP(I914,dd_accsryclr!$A$2:$A$1000,dd_accsryclr!$A$2:$A$1000,"",0)</f>
        <v>BLK</v>
      </c>
    </row>
    <row r="915" spans="1:12" hidden="1" x14ac:dyDescent="0.25">
      <c r="A915" s="16" t="s">
        <v>17</v>
      </c>
      <c r="B915" s="16" t="s">
        <v>604</v>
      </c>
      <c r="C915" s="16" t="s">
        <v>585</v>
      </c>
      <c r="D915" s="16" t="s">
        <v>586</v>
      </c>
      <c r="E915" s="16">
        <v>0.16241379310344828</v>
      </c>
      <c r="F915" s="16" t="s">
        <v>194</v>
      </c>
      <c r="G915" s="16"/>
      <c r="H915" s="16" t="s">
        <v>584</v>
      </c>
      <c r="I915" s="16" t="s">
        <v>211</v>
      </c>
      <c r="J915" s="16" t="str">
        <f>IF(ISNUMBER(SEARCH("SCRW", H915)), _xlfn.XLOOKUP(C915,dd_item!$A$2:$A$147,dd_item!$B$2:$B$147,"",0),_xlfn.XLOOKUP(H915,dd_item!$A$2:$A$147,dd_item!$B$2:$B$147,"",0))</f>
        <v>ZMullion</v>
      </c>
      <c r="K915" s="16" t="str">
        <f>_xlfn.XLOOKUP(A915,dd_design_raw!$C$2:$C$1002,dd_design_raw!$A$2:$A$1002,"",0)</f>
        <v>Fix Awning (Vertical)</v>
      </c>
      <c r="L915" s="16" t="str">
        <f>_xlfn.XLOOKUP(I915,dd_accsryclr!$A$2:$A$1000,dd_accsryclr!$A$2:$A$1000,"",0)</f>
        <v/>
      </c>
    </row>
    <row r="916" spans="1:12" hidden="1" x14ac:dyDescent="0.25">
      <c r="A916" s="16" t="s">
        <v>17</v>
      </c>
      <c r="B916" s="16" t="s">
        <v>604</v>
      </c>
      <c r="C916" s="16" t="s">
        <v>587</v>
      </c>
      <c r="D916" s="16" t="s">
        <v>588</v>
      </c>
      <c r="E916" s="16">
        <v>0.16241379310344828</v>
      </c>
      <c r="F916" s="16" t="s">
        <v>194</v>
      </c>
      <c r="G916" s="16"/>
      <c r="H916" s="16" t="s">
        <v>584</v>
      </c>
      <c r="I916" s="16" t="s">
        <v>214</v>
      </c>
      <c r="J916" s="16" t="str">
        <f>IF(ISNUMBER(SEARCH("SCRW", H916)), _xlfn.XLOOKUP(C916,dd_item!$A$2:$A$147,dd_item!$B$2:$B$147,"",0),_xlfn.XLOOKUP(H916,dd_item!$A$2:$A$147,dd_item!$B$2:$B$147,"",0))</f>
        <v>ZMullion</v>
      </c>
      <c r="K916" s="16" t="str">
        <f>_xlfn.XLOOKUP(A916,dd_design_raw!$C$2:$C$1002,dd_design_raw!$A$2:$A$1002,"",0)</f>
        <v>Fix Awning (Vertical)</v>
      </c>
      <c r="L916" s="16" t="str">
        <f>_xlfn.XLOOKUP(I916,dd_accsryclr!$A$2:$A$1000,dd_accsryclr!$A$2:$A$1000,"",0)</f>
        <v/>
      </c>
    </row>
    <row r="917" spans="1:12" hidden="1" x14ac:dyDescent="0.25">
      <c r="A917" s="16" t="s">
        <v>17</v>
      </c>
      <c r="B917" s="16" t="s">
        <v>604</v>
      </c>
      <c r="C917" s="16" t="s">
        <v>589</v>
      </c>
      <c r="D917" s="16" t="s">
        <v>590</v>
      </c>
      <c r="E917" s="16">
        <v>0.16241379310344828</v>
      </c>
      <c r="F917" s="16" t="s">
        <v>194</v>
      </c>
      <c r="G917" s="16"/>
      <c r="H917" s="16" t="s">
        <v>584</v>
      </c>
      <c r="I917" s="16" t="s">
        <v>217</v>
      </c>
      <c r="J917" s="16" t="str">
        <f>IF(ISNUMBER(SEARCH("SCRW", H917)), _xlfn.XLOOKUP(C917,dd_item!$A$2:$A$147,dd_item!$B$2:$B$147,"",0),_xlfn.XLOOKUP(H917,dd_item!$A$2:$A$147,dd_item!$B$2:$B$147,"",0))</f>
        <v>ZMullion</v>
      </c>
      <c r="K917" s="16" t="str">
        <f>_xlfn.XLOOKUP(A917,dd_design_raw!$C$2:$C$1002,dd_design_raw!$A$2:$A$1002,"",0)</f>
        <v>Fix Awning (Vertical)</v>
      </c>
      <c r="L917" s="16" t="str">
        <f>_xlfn.XLOOKUP(I917,dd_accsryclr!$A$2:$A$1000,dd_accsryclr!$A$2:$A$1000,"",0)</f>
        <v/>
      </c>
    </row>
    <row r="918" spans="1:12" hidden="1" x14ac:dyDescent="0.25">
      <c r="A918" s="16" t="s">
        <v>17</v>
      </c>
      <c r="B918" s="16" t="s">
        <v>604</v>
      </c>
      <c r="C918" s="16" t="s">
        <v>591</v>
      </c>
      <c r="D918" s="16" t="s">
        <v>592</v>
      </c>
      <c r="E918" s="16">
        <v>0.16241379310344828</v>
      </c>
      <c r="F918" s="16" t="s">
        <v>194</v>
      </c>
      <c r="G918" s="16"/>
      <c r="H918" s="16" t="s">
        <v>584</v>
      </c>
      <c r="I918" s="16" t="s">
        <v>226</v>
      </c>
      <c r="J918" s="16" t="str">
        <f>IF(ISNUMBER(SEARCH("SCRW", H918)), _xlfn.XLOOKUP(C918,dd_item!$A$2:$A$147,dd_item!$B$2:$B$147,"",0),_xlfn.XLOOKUP(H918,dd_item!$A$2:$A$147,dd_item!$B$2:$B$147,"",0))</f>
        <v>ZMullion</v>
      </c>
      <c r="K918" s="16" t="str">
        <f>_xlfn.XLOOKUP(A918,dd_design_raw!$C$2:$C$1002,dd_design_raw!$A$2:$A$1002,"",0)</f>
        <v>Fix Awning (Vertical)</v>
      </c>
      <c r="L918" s="16" t="str">
        <f>_xlfn.XLOOKUP(I918,dd_accsryclr!$A$2:$A$1000,dd_accsryclr!$A$2:$A$1000,"",0)</f>
        <v/>
      </c>
    </row>
    <row r="919" spans="1:12" hidden="1" x14ac:dyDescent="0.25">
      <c r="A919" s="16" t="s">
        <v>17</v>
      </c>
      <c r="B919" s="16" t="s">
        <v>604</v>
      </c>
      <c r="C919" s="16" t="s">
        <v>593</v>
      </c>
      <c r="D919" s="16" t="s">
        <v>594</v>
      </c>
      <c r="E919" s="16">
        <v>0.16241379310344828</v>
      </c>
      <c r="F919" s="16" t="s">
        <v>194</v>
      </c>
      <c r="G919" s="16"/>
      <c r="H919" s="16" t="s">
        <v>584</v>
      </c>
      <c r="I919" s="16" t="s">
        <v>220</v>
      </c>
      <c r="J919" s="16" t="str">
        <f>IF(ISNUMBER(SEARCH("SCRW", H919)), _xlfn.XLOOKUP(C919,dd_item!$A$2:$A$147,dd_item!$B$2:$B$147,"",0),_xlfn.XLOOKUP(H919,dd_item!$A$2:$A$147,dd_item!$B$2:$B$147,"",0))</f>
        <v>ZMullion</v>
      </c>
      <c r="K919" s="16" t="str">
        <f>_xlfn.XLOOKUP(A919,dd_design_raw!$C$2:$C$1002,dd_design_raw!$A$2:$A$1002,"",0)</f>
        <v>Fix Awning (Vertical)</v>
      </c>
      <c r="L919" s="16" t="str">
        <f>_xlfn.XLOOKUP(I919,dd_accsryclr!$A$2:$A$1000,dd_accsryclr!$A$2:$A$1000,"",0)</f>
        <v>WHT</v>
      </c>
    </row>
    <row r="920" spans="1:12" hidden="1" x14ac:dyDescent="0.25">
      <c r="A920" s="16" t="s">
        <v>17</v>
      </c>
      <c r="B920" s="16" t="s">
        <v>604</v>
      </c>
      <c r="C920" s="16" t="s">
        <v>514</v>
      </c>
      <c r="D920" s="16" t="s">
        <v>515</v>
      </c>
      <c r="E920" s="16">
        <v>0.31206896551724139</v>
      </c>
      <c r="F920" s="16" t="s">
        <v>194</v>
      </c>
      <c r="G920" s="16" t="s">
        <v>58</v>
      </c>
      <c r="H920" s="16" t="s">
        <v>516</v>
      </c>
      <c r="I920" s="16" t="s">
        <v>517</v>
      </c>
      <c r="J920" s="16" t="str">
        <f>IF(ISNUMBER(SEARCH("SCRW", H920)), _xlfn.XLOOKUP(C920,dd_item!$A$2:$A$147,dd_item!$B$2:$B$147,"",0),_xlfn.XLOOKUP(H920,dd_item!$A$2:$A$147,dd_item!$B$2:$B$147,"",0))</f>
        <v>Steel-Frame60</v>
      </c>
      <c r="K920" s="16" t="str">
        <f>_xlfn.XLOOKUP(A920,dd_design_raw!$C$2:$C$1002,dd_design_raw!$A$2:$A$1002,"",0)</f>
        <v>Fix Awning (Vertical)</v>
      </c>
      <c r="L920" s="16" t="str">
        <f>_xlfn.XLOOKUP(I920,dd_accsryclr!$A$2:$A$1000,dd_accsryclr!$A$2:$A$1000,"",0)</f>
        <v/>
      </c>
    </row>
    <row r="921" spans="1:12" hidden="1" x14ac:dyDescent="0.25">
      <c r="A921" s="16" t="s">
        <v>17</v>
      </c>
      <c r="B921" s="16" t="s">
        <v>604</v>
      </c>
      <c r="C921" s="16" t="s">
        <v>518</v>
      </c>
      <c r="D921" s="16" t="s">
        <v>519</v>
      </c>
      <c r="E921" s="16">
        <v>0.62068965517241381</v>
      </c>
      <c r="F921" s="16" t="s">
        <v>194</v>
      </c>
      <c r="G921" s="16" t="s">
        <v>58</v>
      </c>
      <c r="H921" s="16" t="s">
        <v>1099</v>
      </c>
      <c r="I921" s="16" t="s">
        <v>520</v>
      </c>
      <c r="J921" s="16" t="str">
        <f>IF(ISNUMBER(SEARCH("SCRW", H921)), _xlfn.XLOOKUP(C921,dd_item!$A$2:$A$147,dd_item!$B$2:$B$147,"",0),_xlfn.XLOOKUP(H921,dd_item!$A$2:$A$147,dd_item!$B$2:$B$147,"",0))</f>
        <v>Steel-Frame60-H</v>
      </c>
      <c r="K921" s="16" t="str">
        <f>_xlfn.XLOOKUP(A921,dd_design_raw!$C$2:$C$1002,dd_design_raw!$A$2:$A$1002,"",0)</f>
        <v>Fix Awning (Vertical)</v>
      </c>
      <c r="L921" s="16" t="str">
        <f>_xlfn.XLOOKUP(I921,dd_accsryclr!$A$2:$A$1000,dd_accsryclr!$A$2:$A$1000,"",0)</f>
        <v/>
      </c>
    </row>
    <row r="922" spans="1:12" hidden="1" x14ac:dyDescent="0.25">
      <c r="A922" s="16" t="s">
        <v>17</v>
      </c>
      <c r="B922" s="16" t="s">
        <v>604</v>
      </c>
      <c r="C922" s="16" t="s">
        <v>521</v>
      </c>
      <c r="D922" s="16" t="s">
        <v>522</v>
      </c>
      <c r="E922" s="16">
        <v>0.28896551724137931</v>
      </c>
      <c r="F922" s="16" t="s">
        <v>194</v>
      </c>
      <c r="G922" s="16" t="s">
        <v>59</v>
      </c>
      <c r="H922" s="16" t="s">
        <v>523</v>
      </c>
      <c r="I922" s="16" t="s">
        <v>524</v>
      </c>
      <c r="J922" s="16" t="str">
        <f>IF(ISNUMBER(SEARCH("SCRW", H922)), _xlfn.XLOOKUP(C922,dd_item!$A$2:$A$147,dd_item!$B$2:$B$147,"",0),_xlfn.XLOOKUP(H922,dd_item!$A$2:$A$147,dd_item!$B$2:$B$147,"",0))</f>
        <v>Steel-Sash78</v>
      </c>
      <c r="K922" s="16" t="str">
        <f>_xlfn.XLOOKUP(A922,dd_design_raw!$C$2:$C$1002,dd_design_raw!$A$2:$A$1002,"",0)</f>
        <v>Fix Awning (Vertical)</v>
      </c>
      <c r="L922" s="16" t="str">
        <f>_xlfn.XLOOKUP(I922,dd_accsryclr!$A$2:$A$1000,dd_accsryclr!$A$2:$A$1000,"",0)</f>
        <v/>
      </c>
    </row>
    <row r="923" spans="1:12" hidden="1" x14ac:dyDescent="0.25">
      <c r="A923" s="16" t="s">
        <v>17</v>
      </c>
      <c r="B923" s="16" t="s">
        <v>604</v>
      </c>
      <c r="C923" s="16" t="s">
        <v>525</v>
      </c>
      <c r="D923" s="16" t="s">
        <v>526</v>
      </c>
      <c r="E923" s="16">
        <v>0.19344827586206897</v>
      </c>
      <c r="F923" s="16" t="s">
        <v>194</v>
      </c>
      <c r="G923" s="16" t="s">
        <v>59</v>
      </c>
      <c r="H923" s="16" t="s">
        <v>523</v>
      </c>
      <c r="I923" s="16" t="s">
        <v>527</v>
      </c>
      <c r="J923" s="16" t="str">
        <f>IF(ISNUMBER(SEARCH("SCRW", H923)), _xlfn.XLOOKUP(C923,dd_item!$A$2:$A$147,dd_item!$B$2:$B$147,"",0),_xlfn.XLOOKUP(H923,dd_item!$A$2:$A$147,dd_item!$B$2:$B$147,"",0))</f>
        <v>Steel-Sash78</v>
      </c>
      <c r="K923" s="16" t="str">
        <f>_xlfn.XLOOKUP(A923,dd_design_raw!$C$2:$C$1002,dd_design_raw!$A$2:$A$1002,"",0)</f>
        <v>Fix Awning (Vertical)</v>
      </c>
      <c r="L923" s="16" t="str">
        <f>_xlfn.XLOOKUP(I923,dd_accsryclr!$A$2:$A$1000,dd_accsryclr!$A$2:$A$1000,"",0)</f>
        <v/>
      </c>
    </row>
    <row r="924" spans="1:12" hidden="1" x14ac:dyDescent="0.25">
      <c r="A924" s="16" t="s">
        <v>17</v>
      </c>
      <c r="B924" s="16" t="s">
        <v>604</v>
      </c>
      <c r="C924" s="16" t="s">
        <v>352</v>
      </c>
      <c r="D924" s="16" t="s">
        <v>353</v>
      </c>
      <c r="E924" s="16">
        <v>0.48241379310344829</v>
      </c>
      <c r="F924" s="16" t="s">
        <v>194</v>
      </c>
      <c r="G924" s="16"/>
      <c r="H924" s="16" t="s">
        <v>351</v>
      </c>
      <c r="I924" s="16" t="s">
        <v>214</v>
      </c>
      <c r="J924" s="16" t="str">
        <f>IF(ISNUMBER(SEARCH("SCRW", H924)), _xlfn.XLOOKUP(C924,dd_item!$A$2:$A$147,dd_item!$B$2:$B$147,"",0),_xlfn.XLOOKUP(H924,dd_item!$A$2:$A$147,dd_item!$B$2:$B$147,"",0))</f>
        <v>Bead34</v>
      </c>
      <c r="K924" s="16" t="str">
        <f>_xlfn.XLOOKUP(A924,dd_design_raw!$C$2:$C$1002,dd_design_raw!$A$2:$A$1002,"",0)</f>
        <v>Fix Awning (Vertical)</v>
      </c>
      <c r="L924" s="16" t="str">
        <f>_xlfn.XLOOKUP(I924,dd_accsryclr!$A$2:$A$1000,dd_accsryclr!$A$2:$A$1000,"",0)</f>
        <v/>
      </c>
    </row>
    <row r="925" spans="1:12" hidden="1" x14ac:dyDescent="0.25">
      <c r="A925" s="16" t="s">
        <v>17</v>
      </c>
      <c r="B925" s="16" t="s">
        <v>604</v>
      </c>
      <c r="C925" s="16" t="s">
        <v>354</v>
      </c>
      <c r="D925" s="16" t="s">
        <v>355</v>
      </c>
      <c r="E925" s="16">
        <v>0.48241379310344829</v>
      </c>
      <c r="F925" s="16" t="s">
        <v>194</v>
      </c>
      <c r="G925" s="16"/>
      <c r="H925" s="16" t="s">
        <v>351</v>
      </c>
      <c r="I925" s="16" t="s">
        <v>217</v>
      </c>
      <c r="J925" s="16" t="str">
        <f>IF(ISNUMBER(SEARCH("SCRW", H925)), _xlfn.XLOOKUP(C925,dd_item!$A$2:$A$147,dd_item!$B$2:$B$147,"",0),_xlfn.XLOOKUP(H925,dd_item!$A$2:$A$147,dd_item!$B$2:$B$147,"",0))</f>
        <v>Bead34</v>
      </c>
      <c r="K925" s="16" t="str">
        <f>_xlfn.XLOOKUP(A925,dd_design_raw!$C$2:$C$1002,dd_design_raw!$A$2:$A$1002,"",0)</f>
        <v>Fix Awning (Vertical)</v>
      </c>
      <c r="L925" s="16" t="str">
        <f>_xlfn.XLOOKUP(I925,dd_accsryclr!$A$2:$A$1000,dd_accsryclr!$A$2:$A$1000,"",0)</f>
        <v/>
      </c>
    </row>
    <row r="926" spans="1:12" hidden="1" x14ac:dyDescent="0.25">
      <c r="A926" s="16" t="s">
        <v>17</v>
      </c>
      <c r="B926" s="16" t="s">
        <v>604</v>
      </c>
      <c r="C926" s="16" t="s">
        <v>356</v>
      </c>
      <c r="D926" s="16" t="s">
        <v>357</v>
      </c>
      <c r="E926" s="16">
        <v>0.48241379310344829</v>
      </c>
      <c r="F926" s="16" t="s">
        <v>194</v>
      </c>
      <c r="G926" s="16"/>
      <c r="H926" s="16" t="s">
        <v>351</v>
      </c>
      <c r="I926" s="16" t="s">
        <v>226</v>
      </c>
      <c r="J926" s="16" t="str">
        <f>IF(ISNUMBER(SEARCH("SCRW", H926)), _xlfn.XLOOKUP(C926,dd_item!$A$2:$A$147,dd_item!$B$2:$B$147,"",0),_xlfn.XLOOKUP(H926,dd_item!$A$2:$A$147,dd_item!$B$2:$B$147,"",0))</f>
        <v>Bead34</v>
      </c>
      <c r="K926" s="16" t="str">
        <f>_xlfn.XLOOKUP(A926,dd_design_raw!$C$2:$C$1002,dd_design_raw!$A$2:$A$1002,"",0)</f>
        <v>Fix Awning (Vertical)</v>
      </c>
      <c r="L926" s="16" t="str">
        <f>_xlfn.XLOOKUP(I926,dd_accsryclr!$A$2:$A$1000,dd_accsryclr!$A$2:$A$1000,"",0)</f>
        <v/>
      </c>
    </row>
    <row r="927" spans="1:12" hidden="1" x14ac:dyDescent="0.25">
      <c r="A927" s="16" t="s">
        <v>17</v>
      </c>
      <c r="B927" s="16" t="s">
        <v>604</v>
      </c>
      <c r="C927" s="16" t="s">
        <v>358</v>
      </c>
      <c r="D927" s="16" t="s">
        <v>359</v>
      </c>
      <c r="E927" s="16">
        <v>0.48241379310344829</v>
      </c>
      <c r="F927" s="16" t="s">
        <v>194</v>
      </c>
      <c r="G927" s="16"/>
      <c r="H927" s="16" t="s">
        <v>351</v>
      </c>
      <c r="I927" s="16" t="s">
        <v>220</v>
      </c>
      <c r="J927" s="16" t="str">
        <f>IF(ISNUMBER(SEARCH("SCRW", H927)), _xlfn.XLOOKUP(C927,dd_item!$A$2:$A$147,dd_item!$B$2:$B$147,"",0),_xlfn.XLOOKUP(H927,dd_item!$A$2:$A$147,dd_item!$B$2:$B$147,"",0))</f>
        <v>Bead34</v>
      </c>
      <c r="K927" s="16" t="str">
        <f>_xlfn.XLOOKUP(A927,dd_design_raw!$C$2:$C$1002,dd_design_raw!$A$2:$A$1002,"",0)</f>
        <v>Fix Awning (Vertical)</v>
      </c>
      <c r="L927" s="16" t="str">
        <f>_xlfn.XLOOKUP(I927,dd_accsryclr!$A$2:$A$1000,dd_accsryclr!$A$2:$A$1000,"",0)</f>
        <v>WHT</v>
      </c>
    </row>
    <row r="928" spans="1:12" hidden="1" x14ac:dyDescent="0.25">
      <c r="A928" s="16" t="s">
        <v>17</v>
      </c>
      <c r="B928" s="16" t="s">
        <v>604</v>
      </c>
      <c r="C928" s="16" t="s">
        <v>360</v>
      </c>
      <c r="D928" s="16" t="s">
        <v>361</v>
      </c>
      <c r="E928" s="16">
        <v>0.48241379310344829</v>
      </c>
      <c r="F928" s="16" t="s">
        <v>194</v>
      </c>
      <c r="G928" s="16"/>
      <c r="H928" s="16" t="s">
        <v>351</v>
      </c>
      <c r="I928" s="16" t="s">
        <v>223</v>
      </c>
      <c r="J928" s="16" t="str">
        <f>IF(ISNUMBER(SEARCH("SCRW", H928)), _xlfn.XLOOKUP(C928,dd_item!$A$2:$A$147,dd_item!$B$2:$B$147,"",0),_xlfn.XLOOKUP(H928,dd_item!$A$2:$A$147,dd_item!$B$2:$B$147,"",0))</f>
        <v>Bead34</v>
      </c>
      <c r="K928" s="16" t="str">
        <f>_xlfn.XLOOKUP(A928,dd_design_raw!$C$2:$C$1002,dd_design_raw!$A$2:$A$1002,"",0)</f>
        <v>Fix Awning (Vertical)</v>
      </c>
      <c r="L928" s="16" t="str">
        <f>_xlfn.XLOOKUP(I928,dd_accsryclr!$A$2:$A$1000,dd_accsryclr!$A$2:$A$1000,"",0)</f>
        <v>BLK</v>
      </c>
    </row>
    <row r="929" spans="1:12" hidden="1" x14ac:dyDescent="0.25">
      <c r="A929" s="16" t="s">
        <v>17</v>
      </c>
      <c r="B929" s="16" t="s">
        <v>604</v>
      </c>
      <c r="C929" s="16" t="s">
        <v>362</v>
      </c>
      <c r="D929" s="16" t="s">
        <v>363</v>
      </c>
      <c r="E929" s="16">
        <v>0.48241379310344829</v>
      </c>
      <c r="F929" s="16" t="s">
        <v>194</v>
      </c>
      <c r="G929" s="16"/>
      <c r="H929" s="16" t="s">
        <v>351</v>
      </c>
      <c r="I929" s="16" t="s">
        <v>230</v>
      </c>
      <c r="J929" s="16" t="str">
        <f>IF(ISNUMBER(SEARCH("SCRW", H929)), _xlfn.XLOOKUP(C929,dd_item!$A$2:$A$147,dd_item!$B$2:$B$147,"",0),_xlfn.XLOOKUP(H929,dd_item!$A$2:$A$147,dd_item!$B$2:$B$147,"",0))</f>
        <v>Bead34</v>
      </c>
      <c r="K929" s="16" t="str">
        <f>_xlfn.XLOOKUP(A929,dd_design_raw!$C$2:$C$1002,dd_design_raw!$A$2:$A$1002,"",0)</f>
        <v>Fix Awning (Vertical)</v>
      </c>
      <c r="L929" s="16" t="str">
        <f>_xlfn.XLOOKUP(I929,dd_accsryclr!$A$2:$A$1000,dd_accsryclr!$A$2:$A$1000,"",0)</f>
        <v>BRWN</v>
      </c>
    </row>
    <row r="930" spans="1:12" x14ac:dyDescent="0.25">
      <c r="A930" s="16" t="s">
        <v>17</v>
      </c>
      <c r="B930" s="16" t="s">
        <v>604</v>
      </c>
      <c r="C930" s="16" t="s">
        <v>595</v>
      </c>
      <c r="D930" s="16" t="s">
        <v>596</v>
      </c>
      <c r="E930" s="16">
        <v>1</v>
      </c>
      <c r="F930" s="16" t="s">
        <v>293</v>
      </c>
      <c r="G930" s="16"/>
      <c r="H930" s="16" t="s">
        <v>530</v>
      </c>
      <c r="I930" s="16" t="s">
        <v>531</v>
      </c>
      <c r="J930" s="16" t="str">
        <f>IF(ISNUMBER(SEARCH("SCRW", H930)), _xlfn.XLOOKUP(C930,dd_item!$A$2:$A$147,dd_item!$B$2:$B$147,"",0),_xlfn.XLOOKUP(H930,dd_item!$A$2:$A$147,dd_item!$B$2:$B$147,"",0))</f>
        <v>Casement Espagnolette</v>
      </c>
      <c r="K930" s="16" t="str">
        <f>_xlfn.XLOOKUP(A930,dd_design_raw!$C$2:$C$1002,dd_design_raw!$A$2:$A$1002,"",0)</f>
        <v>Fix Awning (Vertical)</v>
      </c>
      <c r="L930" s="16" t="str">
        <f>_xlfn.XLOOKUP(I930,dd_accsryclr!$A$2:$A$1000,dd_accsryclr!$A$2:$A$1000,"",0)</f>
        <v/>
      </c>
    </row>
    <row r="931" spans="1:12" x14ac:dyDescent="0.25">
      <c r="A931" s="16" t="s">
        <v>17</v>
      </c>
      <c r="B931" s="16" t="s">
        <v>604</v>
      </c>
      <c r="C931" s="16" t="s">
        <v>597</v>
      </c>
      <c r="D931" s="16" t="s">
        <v>598</v>
      </c>
      <c r="E931" s="16">
        <v>1</v>
      </c>
      <c r="F931" s="16" t="s">
        <v>293</v>
      </c>
      <c r="G931" s="16"/>
      <c r="H931" s="16" t="s">
        <v>530</v>
      </c>
      <c r="I931" s="16" t="s">
        <v>599</v>
      </c>
      <c r="J931" s="16" t="str">
        <f>IF(ISNUMBER(SEARCH("SCRW", H931)), _xlfn.XLOOKUP(C931,dd_item!$A$2:$A$147,dd_item!$B$2:$B$147,"",0),_xlfn.XLOOKUP(H931,dd_item!$A$2:$A$147,dd_item!$B$2:$B$147,"",0))</f>
        <v>Casement Espagnolette</v>
      </c>
      <c r="K931" s="16" t="str">
        <f>_xlfn.XLOOKUP(A931,dd_design_raw!$C$2:$C$1002,dd_design_raw!$A$2:$A$1002,"",0)</f>
        <v>Fix Awning (Vertical)</v>
      </c>
      <c r="L931" s="16" t="str">
        <f>_xlfn.XLOOKUP(I931,dd_accsryclr!$A$2:$A$1000,dd_accsryclr!$A$2:$A$1000,"",0)</f>
        <v/>
      </c>
    </row>
    <row r="932" spans="1:12" x14ac:dyDescent="0.25">
      <c r="A932" s="16" t="s">
        <v>17</v>
      </c>
      <c r="B932" s="16" t="s">
        <v>604</v>
      </c>
      <c r="C932" s="16" t="s">
        <v>600</v>
      </c>
      <c r="D932" s="16" t="s">
        <v>601</v>
      </c>
      <c r="E932" s="16">
        <v>1</v>
      </c>
      <c r="F932" s="16" t="s">
        <v>293</v>
      </c>
      <c r="G932" s="16"/>
      <c r="H932" s="16" t="s">
        <v>530</v>
      </c>
      <c r="I932" s="16" t="s">
        <v>531</v>
      </c>
      <c r="J932" s="16" t="str">
        <f>IF(ISNUMBER(SEARCH("SCRW", H932)), _xlfn.XLOOKUP(C932,dd_item!$A$2:$A$147,dd_item!$B$2:$B$147,"",0),_xlfn.XLOOKUP(H932,dd_item!$A$2:$A$147,dd_item!$B$2:$B$147,"",0))</f>
        <v>Casement Espagnolette</v>
      </c>
      <c r="K932" s="16" t="str">
        <f>_xlfn.XLOOKUP(A932,dd_design_raw!$C$2:$C$1002,dd_design_raw!$A$2:$A$1002,"",0)</f>
        <v>Fix Awning (Vertical)</v>
      </c>
      <c r="L932" s="16" t="str">
        <f>_xlfn.XLOOKUP(I932,dd_accsryclr!$A$2:$A$1000,dd_accsryclr!$A$2:$A$1000,"",0)</f>
        <v/>
      </c>
    </row>
    <row r="933" spans="1:12" hidden="1" x14ac:dyDescent="0.25">
      <c r="A933" s="16" t="s">
        <v>17</v>
      </c>
      <c r="B933" s="16" t="s">
        <v>604</v>
      </c>
      <c r="C933" s="16" t="s">
        <v>602</v>
      </c>
      <c r="D933" s="16" t="s">
        <v>603</v>
      </c>
      <c r="E933" s="16">
        <v>2</v>
      </c>
      <c r="F933" s="16" t="s">
        <v>293</v>
      </c>
      <c r="G933" s="16"/>
      <c r="H933" s="16" t="s">
        <v>573</v>
      </c>
      <c r="I933" s="16"/>
      <c r="J933" s="16" t="str">
        <f>IF(ISNUMBER(SEARCH("SCRW", H933)), _xlfn.XLOOKUP(C933,dd_item!$A$2:$A$147,dd_item!$B$2:$B$147,"",0),_xlfn.XLOOKUP(H933,dd_item!$A$2:$A$147,dd_item!$B$2:$B$147,"",0))</f>
        <v>Hinge 4-Bar</v>
      </c>
      <c r="K933" s="16" t="str">
        <f>_xlfn.XLOOKUP(A933,dd_design_raw!$C$2:$C$1002,dd_design_raw!$A$2:$A$1002,"",0)</f>
        <v>Fix Awning (Vertical)</v>
      </c>
      <c r="L933" s="16" t="str">
        <f>_xlfn.XLOOKUP(I933,dd_accsryclr!$A$2:$A$1000,dd_accsryclr!$A$2:$A$1000,"",0)</f>
        <v/>
      </c>
    </row>
    <row r="934" spans="1:12" hidden="1" x14ac:dyDescent="0.25">
      <c r="A934" s="16" t="s">
        <v>17</v>
      </c>
      <c r="B934" s="16" t="s">
        <v>604</v>
      </c>
      <c r="C934" s="16" t="s">
        <v>390</v>
      </c>
      <c r="D934" s="16" t="s">
        <v>391</v>
      </c>
      <c r="E934" s="16">
        <v>10.98</v>
      </c>
      <c r="F934" s="16" t="s">
        <v>369</v>
      </c>
      <c r="G934" s="16"/>
      <c r="H934" s="16" t="s">
        <v>792</v>
      </c>
      <c r="I934" s="16"/>
      <c r="J934" s="16" t="str">
        <f>IF(ISNUMBER(SEARCH("SCRW", H934)), _xlfn.XLOOKUP(C934,dd_item!$A$2:$A$147,dd_item!$B$2:$B$147,"",0),_xlfn.XLOOKUP(H934,dd_item!$A$2:$A$147,dd_item!$B$2:$B$147,"",0))</f>
        <v>Atlas Screw (S) 10 x 2-1/2" (Flat)</v>
      </c>
      <c r="K934" s="16" t="str">
        <f>_xlfn.XLOOKUP(A934,dd_design_raw!$C$2:$C$1002,dd_design_raw!$A$2:$A$1002,"",0)</f>
        <v>Fix Awning (Vertical)</v>
      </c>
      <c r="L934" s="16" t="str">
        <f>_xlfn.XLOOKUP(I934,dd_accsryclr!$A$2:$A$1000,dd_accsryclr!$A$2:$A$1000,"",0)</f>
        <v/>
      </c>
    </row>
    <row r="935" spans="1:12" hidden="1" x14ac:dyDescent="0.25">
      <c r="A935" s="16" t="s">
        <v>17</v>
      </c>
      <c r="B935" s="16" t="s">
        <v>604</v>
      </c>
      <c r="C935" s="16" t="s">
        <v>392</v>
      </c>
      <c r="D935" s="16" t="s">
        <v>393</v>
      </c>
      <c r="E935" s="16">
        <v>3</v>
      </c>
      <c r="F935" s="16" t="s">
        <v>369</v>
      </c>
      <c r="G935" s="16"/>
      <c r="H935" s="16" t="s">
        <v>394</v>
      </c>
      <c r="I935" s="16" t="s">
        <v>223</v>
      </c>
      <c r="J935" s="16" t="str">
        <f>IF(ISNUMBER(SEARCH("SCRW", H935)), _xlfn.XLOOKUP(C935,dd_item!$A$2:$A$147,dd_item!$B$2:$B$147,"",0),_xlfn.XLOOKUP(H935,dd_item!$A$2:$A$147,dd_item!$B$2:$B$147,"",0))</f>
        <v>Drainage Cover</v>
      </c>
      <c r="K935" s="16" t="str">
        <f>_xlfn.XLOOKUP(A935,dd_design_raw!$C$2:$C$1002,dd_design_raw!$A$2:$A$1002,"",0)</f>
        <v>Fix Awning (Vertical)</v>
      </c>
      <c r="L935" s="16" t="str">
        <f>_xlfn.XLOOKUP(I935,dd_accsryclr!$A$2:$A$1000,dd_accsryclr!$A$2:$A$1000,"",0)</f>
        <v>BLK</v>
      </c>
    </row>
    <row r="936" spans="1:12" hidden="1" x14ac:dyDescent="0.25">
      <c r="A936" s="16" t="s">
        <v>17</v>
      </c>
      <c r="B936" s="16" t="s">
        <v>604</v>
      </c>
      <c r="C936" s="16" t="s">
        <v>395</v>
      </c>
      <c r="D936" s="16" t="s">
        <v>396</v>
      </c>
      <c r="E936" s="16">
        <v>3</v>
      </c>
      <c r="F936" s="16" t="s">
        <v>369</v>
      </c>
      <c r="G936" s="16"/>
      <c r="H936" s="16" t="s">
        <v>394</v>
      </c>
      <c r="I936" s="16" t="s">
        <v>220</v>
      </c>
      <c r="J936" s="16" t="str">
        <f>IF(ISNUMBER(SEARCH("SCRW", H936)), _xlfn.XLOOKUP(C936,dd_item!$A$2:$A$147,dd_item!$B$2:$B$147,"",0),_xlfn.XLOOKUP(H936,dd_item!$A$2:$A$147,dd_item!$B$2:$B$147,"",0))</f>
        <v>Drainage Cover</v>
      </c>
      <c r="K936" s="16" t="str">
        <f>_xlfn.XLOOKUP(A936,dd_design_raw!$C$2:$C$1002,dd_design_raw!$A$2:$A$1002,"",0)</f>
        <v>Fix Awning (Vertical)</v>
      </c>
      <c r="L936" s="16" t="str">
        <f>_xlfn.XLOOKUP(I936,dd_accsryclr!$A$2:$A$1000,dd_accsryclr!$A$2:$A$1000,"",0)</f>
        <v>WHT</v>
      </c>
    </row>
    <row r="937" spans="1:12" hidden="1" x14ac:dyDescent="0.25">
      <c r="A937" s="16" t="s">
        <v>17</v>
      </c>
      <c r="B937" s="16" t="s">
        <v>604</v>
      </c>
      <c r="C937" s="16" t="s">
        <v>397</v>
      </c>
      <c r="D937" s="16" t="s">
        <v>398</v>
      </c>
      <c r="E937" s="16">
        <v>0.21960000000000002</v>
      </c>
      <c r="F937" s="16" t="s">
        <v>369</v>
      </c>
      <c r="G937" s="16"/>
      <c r="H937" s="16" t="s">
        <v>399</v>
      </c>
      <c r="I937" s="16" t="s">
        <v>400</v>
      </c>
      <c r="J937" s="16" t="str">
        <f>IF(ISNUMBER(SEARCH("SCRW", H937)), _xlfn.XLOOKUP(C937,dd_item!$A$2:$A$147,dd_item!$B$2:$B$147,"",0),_xlfn.XLOOKUP(H937,dd_item!$A$2:$A$147,dd_item!$B$2:$B$147,"",0))</f>
        <v>Tox6</v>
      </c>
      <c r="K937" s="16" t="str">
        <f>_xlfn.XLOOKUP(A937,dd_design_raw!$C$2:$C$1002,dd_design_raw!$A$2:$A$1002,"",0)</f>
        <v>Fix Awning (Vertical)</v>
      </c>
      <c r="L937" s="16" t="str">
        <f>_xlfn.XLOOKUP(I937,dd_accsryclr!$A$2:$A$1000,dd_accsryclr!$A$2:$A$1000,"",0)</f>
        <v/>
      </c>
    </row>
    <row r="938" spans="1:12" hidden="1" x14ac:dyDescent="0.25">
      <c r="A938" s="16" t="s">
        <v>17</v>
      </c>
      <c r="B938" s="16" t="s">
        <v>604</v>
      </c>
      <c r="C938" s="16" t="s">
        <v>414</v>
      </c>
      <c r="D938" s="16" t="s">
        <v>415</v>
      </c>
      <c r="E938" s="16">
        <v>3.66</v>
      </c>
      <c r="F938" s="16" t="s">
        <v>369</v>
      </c>
      <c r="G938" s="16"/>
      <c r="H938" s="16" t="s">
        <v>416</v>
      </c>
      <c r="I938" s="16" t="s">
        <v>223</v>
      </c>
      <c r="J938" s="16" t="str">
        <f>IF(ISNUMBER(SEARCH("SCRW", H938)), _xlfn.XLOOKUP(C938,dd_item!$A$2:$A$147,dd_item!$B$2:$B$147,"",0),_xlfn.XLOOKUP(H938,dd_item!$A$2:$A$147,dd_item!$B$2:$B$147,"",0))</f>
        <v>Sealant</v>
      </c>
      <c r="K938" s="16" t="str">
        <f>_xlfn.XLOOKUP(A938,dd_design_raw!$C$2:$C$1002,dd_design_raw!$A$2:$A$1002,"",0)</f>
        <v>Fix Awning (Vertical)</v>
      </c>
      <c r="L938" s="16" t="str">
        <f>_xlfn.XLOOKUP(I938,dd_accsryclr!$A$2:$A$1000,dd_accsryclr!$A$2:$A$1000,"",0)</f>
        <v>BLK</v>
      </c>
    </row>
    <row r="939" spans="1:12" hidden="1" x14ac:dyDescent="0.25">
      <c r="A939" s="16" t="s">
        <v>17</v>
      </c>
      <c r="B939" s="16" t="s">
        <v>604</v>
      </c>
      <c r="C939" s="16" t="s">
        <v>417</v>
      </c>
      <c r="D939" s="16" t="s">
        <v>418</v>
      </c>
      <c r="E939" s="16">
        <v>3.66</v>
      </c>
      <c r="F939" s="16" t="s">
        <v>369</v>
      </c>
      <c r="G939" s="16"/>
      <c r="H939" s="16" t="s">
        <v>416</v>
      </c>
      <c r="I939" s="16" t="s">
        <v>230</v>
      </c>
      <c r="J939" s="16" t="str">
        <f>IF(ISNUMBER(SEARCH("SCRW", H939)), _xlfn.XLOOKUP(C939,dd_item!$A$2:$A$147,dd_item!$B$2:$B$147,"",0),_xlfn.XLOOKUP(H939,dd_item!$A$2:$A$147,dd_item!$B$2:$B$147,"",0))</f>
        <v>Sealant</v>
      </c>
      <c r="K939" s="16" t="str">
        <f>_xlfn.XLOOKUP(A939,dd_design_raw!$C$2:$C$1002,dd_design_raw!$A$2:$A$1002,"",0)</f>
        <v>Fix Awning (Vertical)</v>
      </c>
      <c r="L939" s="16" t="str">
        <f>_xlfn.XLOOKUP(I939,dd_accsryclr!$A$2:$A$1000,dd_accsryclr!$A$2:$A$1000,"",0)</f>
        <v>BRWN</v>
      </c>
    </row>
    <row r="940" spans="1:12" hidden="1" x14ac:dyDescent="0.25">
      <c r="A940" s="16" t="s">
        <v>17</v>
      </c>
      <c r="B940" s="16" t="s">
        <v>604</v>
      </c>
      <c r="C940" s="16" t="s">
        <v>419</v>
      </c>
      <c r="D940" s="16" t="s">
        <v>420</v>
      </c>
      <c r="E940" s="16">
        <v>3.66</v>
      </c>
      <c r="F940" s="16" t="s">
        <v>369</v>
      </c>
      <c r="G940" s="16"/>
      <c r="H940" s="16" t="s">
        <v>416</v>
      </c>
      <c r="I940" s="16" t="s">
        <v>220</v>
      </c>
      <c r="J940" s="16" t="str">
        <f>IF(ISNUMBER(SEARCH("SCRW", H940)), _xlfn.XLOOKUP(C940,dd_item!$A$2:$A$147,dd_item!$B$2:$B$147,"",0),_xlfn.XLOOKUP(H940,dd_item!$A$2:$A$147,dd_item!$B$2:$B$147,"",0))</f>
        <v>Sealant</v>
      </c>
      <c r="K940" s="16" t="str">
        <f>_xlfn.XLOOKUP(A940,dd_design_raw!$C$2:$C$1002,dd_design_raw!$A$2:$A$1002,"",0)</f>
        <v>Fix Awning (Vertical)</v>
      </c>
      <c r="L940" s="16" t="str">
        <f>_xlfn.XLOOKUP(I940,dd_accsryclr!$A$2:$A$1000,dd_accsryclr!$A$2:$A$1000,"",0)</f>
        <v>WHT</v>
      </c>
    </row>
    <row r="941" spans="1:12" hidden="1" x14ac:dyDescent="0.25">
      <c r="A941" s="16" t="s">
        <v>17</v>
      </c>
      <c r="B941" s="16" t="s">
        <v>604</v>
      </c>
      <c r="C941" s="16" t="s">
        <v>421</v>
      </c>
      <c r="D941" s="16" t="s">
        <v>422</v>
      </c>
      <c r="E941" s="16"/>
      <c r="F941" s="16" t="s">
        <v>369</v>
      </c>
      <c r="G941" s="16"/>
      <c r="H941" s="16" t="s">
        <v>416</v>
      </c>
      <c r="I941" s="16" t="s">
        <v>423</v>
      </c>
      <c r="J941" s="16" t="str">
        <f>IF(ISNUMBER(SEARCH("SCRW", H941)), _xlfn.XLOOKUP(C941,dd_item!$A$2:$A$147,dd_item!$B$2:$B$147,"",0),_xlfn.XLOOKUP(H941,dd_item!$A$2:$A$147,dd_item!$B$2:$B$147,"",0))</f>
        <v>Sealant</v>
      </c>
      <c r="K941" s="16" t="str">
        <f>_xlfn.XLOOKUP(A941,dd_design_raw!$C$2:$C$1002,dd_design_raw!$A$2:$A$1002,"",0)</f>
        <v>Fix Awning (Vertical)</v>
      </c>
      <c r="L941" s="16" t="str">
        <f>_xlfn.XLOOKUP(I941,dd_accsryclr!$A$2:$A$1000,dd_accsryclr!$A$2:$A$1000,"",0)</f>
        <v/>
      </c>
    </row>
    <row r="942" spans="1:12" hidden="1" x14ac:dyDescent="0.25">
      <c r="A942" s="16" t="s">
        <v>17</v>
      </c>
      <c r="B942" s="16" t="s">
        <v>604</v>
      </c>
      <c r="C942" s="16" t="s">
        <v>540</v>
      </c>
      <c r="D942" s="16" t="s">
        <v>541</v>
      </c>
      <c r="E942" s="16">
        <v>1</v>
      </c>
      <c r="F942" s="16" t="s">
        <v>369</v>
      </c>
      <c r="G942" s="16"/>
      <c r="H942" s="16" t="s">
        <v>542</v>
      </c>
      <c r="I942" s="16" t="s">
        <v>223</v>
      </c>
      <c r="J942" s="16" t="str">
        <f>IF(ISNUMBER(SEARCH("SCRW", H942)), _xlfn.XLOOKUP(C942,dd_item!$A$2:$A$147,dd_item!$B$2:$B$147,"",0),_xlfn.XLOOKUP(H942,dd_item!$A$2:$A$147,dd_item!$B$2:$B$147,"",0))</f>
        <v>Casement Handle (Roto)</v>
      </c>
      <c r="K942" s="16" t="str">
        <f>_xlfn.XLOOKUP(A942,dd_design_raw!$C$2:$C$1002,dd_design_raw!$A$2:$A$1002,"",0)</f>
        <v>Fix Awning (Vertical)</v>
      </c>
      <c r="L942" s="16" t="str">
        <f>_xlfn.XLOOKUP(I942,dd_accsryclr!$A$2:$A$1000,dd_accsryclr!$A$2:$A$1000,"",0)</f>
        <v>BLK</v>
      </c>
    </row>
    <row r="943" spans="1:12" hidden="1" x14ac:dyDescent="0.25">
      <c r="A943" s="16" t="s">
        <v>17</v>
      </c>
      <c r="B943" s="16" t="s">
        <v>604</v>
      </c>
      <c r="C943" s="16" t="s">
        <v>543</v>
      </c>
      <c r="D943" s="16" t="s">
        <v>544</v>
      </c>
      <c r="E943" s="16">
        <v>1</v>
      </c>
      <c r="F943" s="16" t="s">
        <v>369</v>
      </c>
      <c r="G943" s="16"/>
      <c r="H943" s="16" t="s">
        <v>542</v>
      </c>
      <c r="I943" s="16" t="s">
        <v>220</v>
      </c>
      <c r="J943" s="16" t="str">
        <f>IF(ISNUMBER(SEARCH("SCRW", H943)), _xlfn.XLOOKUP(C943,dd_item!$A$2:$A$147,dd_item!$B$2:$B$147,"",0),_xlfn.XLOOKUP(H943,dd_item!$A$2:$A$147,dd_item!$B$2:$B$147,"",0))</f>
        <v>Casement Handle (Roto)</v>
      </c>
      <c r="K943" s="16" t="str">
        <f>_xlfn.XLOOKUP(A943,dd_design_raw!$C$2:$C$1002,dd_design_raw!$A$2:$A$1002,"",0)</f>
        <v>Fix Awning (Vertical)</v>
      </c>
      <c r="L943" s="16" t="str">
        <f>_xlfn.XLOOKUP(I943,dd_accsryclr!$A$2:$A$1000,dd_accsryclr!$A$2:$A$1000,"",0)</f>
        <v>WHT</v>
      </c>
    </row>
    <row r="944" spans="1:12" hidden="1" x14ac:dyDescent="0.25">
      <c r="A944" s="16" t="s">
        <v>17</v>
      </c>
      <c r="B944" s="16" t="s">
        <v>604</v>
      </c>
      <c r="C944" s="16" t="s">
        <v>545</v>
      </c>
      <c r="D944" s="16" t="s">
        <v>546</v>
      </c>
      <c r="E944" s="16">
        <v>1</v>
      </c>
      <c r="F944" s="16" t="s">
        <v>369</v>
      </c>
      <c r="G944" s="16"/>
      <c r="H944" s="16" t="s">
        <v>9</v>
      </c>
      <c r="I944" s="16" t="s">
        <v>223</v>
      </c>
      <c r="J944" s="16" t="str">
        <f>IF(ISNUMBER(SEARCH("SCRW", H944)), _xlfn.XLOOKUP(C944,dd_item!$A$2:$A$147,dd_item!$B$2:$B$147,"",0),_xlfn.XLOOKUP(H944,dd_item!$A$2:$A$147,dd_item!$B$2:$B$147,"",0))</f>
        <v>Casement Handle (Espag)</v>
      </c>
      <c r="K944" s="16" t="str">
        <f>_xlfn.XLOOKUP(A944,dd_design_raw!$C$2:$C$1002,dd_design_raw!$A$2:$A$1002,"",0)</f>
        <v>Fix Awning (Vertical)</v>
      </c>
      <c r="L944" s="16" t="str">
        <f>_xlfn.XLOOKUP(I944,dd_accsryclr!$A$2:$A$1000,dd_accsryclr!$A$2:$A$1000,"",0)</f>
        <v>BLK</v>
      </c>
    </row>
    <row r="945" spans="1:12" hidden="1" x14ac:dyDescent="0.25">
      <c r="A945" s="16" t="s">
        <v>17</v>
      </c>
      <c r="B945" s="16" t="s">
        <v>604</v>
      </c>
      <c r="C945" s="16" t="s">
        <v>547</v>
      </c>
      <c r="D945" s="16" t="s">
        <v>548</v>
      </c>
      <c r="E945" s="16">
        <v>1</v>
      </c>
      <c r="F945" s="16" t="s">
        <v>369</v>
      </c>
      <c r="G945" s="16"/>
      <c r="H945" s="16" t="s">
        <v>9</v>
      </c>
      <c r="I945" s="16" t="s">
        <v>220</v>
      </c>
      <c r="J945" s="16" t="str">
        <f>IF(ISNUMBER(SEARCH("SCRW", H945)), _xlfn.XLOOKUP(C945,dd_item!$A$2:$A$147,dd_item!$B$2:$B$147,"",0),_xlfn.XLOOKUP(H945,dd_item!$A$2:$A$147,dd_item!$B$2:$B$147,"",0))</f>
        <v>Casement Handle (Espag)</v>
      </c>
      <c r="K945" s="16" t="str">
        <f>_xlfn.XLOOKUP(A945,dd_design_raw!$C$2:$C$1002,dd_design_raw!$A$2:$A$1002,"",0)</f>
        <v>Fix Awning (Vertical)</v>
      </c>
      <c r="L945" s="16" t="str">
        <f>_xlfn.XLOOKUP(I945,dd_accsryclr!$A$2:$A$1000,dd_accsryclr!$A$2:$A$1000,"",0)</f>
        <v>WHT</v>
      </c>
    </row>
    <row r="946" spans="1:12" hidden="1" x14ac:dyDescent="0.25">
      <c r="A946" s="16" t="s">
        <v>17</v>
      </c>
      <c r="B946" s="16" t="s">
        <v>604</v>
      </c>
      <c r="C946" s="16" t="s">
        <v>549</v>
      </c>
      <c r="D946" s="16" t="s">
        <v>550</v>
      </c>
      <c r="E946" s="16">
        <v>2</v>
      </c>
      <c r="F946" s="16" t="s">
        <v>369</v>
      </c>
      <c r="G946" s="16"/>
      <c r="H946" s="16" t="s">
        <v>551</v>
      </c>
      <c r="I946" s="16"/>
      <c r="J946" s="16" t="str">
        <f>IF(ISNUMBER(SEARCH("SCRW", H946)), _xlfn.XLOOKUP(C946,dd_item!$A$2:$A$147,dd_item!$B$2:$B$147,"",0),_xlfn.XLOOKUP(H946,dd_item!$A$2:$A$147,dd_item!$B$2:$B$147,"",0))</f>
        <v>Casement Striker (Roto)</v>
      </c>
      <c r="K946" s="16" t="str">
        <f>_xlfn.XLOOKUP(A946,dd_design_raw!$C$2:$C$1002,dd_design_raw!$A$2:$A$1002,"",0)</f>
        <v>Fix Awning (Vertical)</v>
      </c>
      <c r="L946" s="16" t="str">
        <f>_xlfn.XLOOKUP(I946,dd_accsryclr!$A$2:$A$1000,dd_accsryclr!$A$2:$A$1000,"",0)</f>
        <v/>
      </c>
    </row>
    <row r="947" spans="1:12" hidden="1" x14ac:dyDescent="0.25">
      <c r="A947" s="16" t="s">
        <v>17</v>
      </c>
      <c r="B947" s="16" t="s">
        <v>604</v>
      </c>
      <c r="C947" s="16" t="s">
        <v>412</v>
      </c>
      <c r="D947" s="16" t="s">
        <v>413</v>
      </c>
      <c r="E947" s="16">
        <v>2</v>
      </c>
      <c r="F947" s="16" t="s">
        <v>369</v>
      </c>
      <c r="G947" s="16"/>
      <c r="H947" s="16" t="s">
        <v>793</v>
      </c>
      <c r="I947" s="16"/>
      <c r="J947" s="16" t="str">
        <f>IF(ISNUMBER(SEARCH("SCRW", H947)), _xlfn.XLOOKUP(C947,dd_item!$A$2:$A$147,dd_item!$B$2:$B$147,"",0),_xlfn.XLOOKUP(H947,dd_item!$A$2:$A$147,dd_item!$B$2:$B$147,"",0))</f>
        <v>Atlas Screw (S) 8 x 1-1/4" (Flat)</v>
      </c>
      <c r="K947" s="16" t="str">
        <f>_xlfn.XLOOKUP(A947,dd_design_raw!$C$2:$C$1002,dd_design_raw!$A$2:$A$1002,"",0)</f>
        <v>Fix Awning (Vertical)</v>
      </c>
      <c r="L947" s="16" t="str">
        <f>_xlfn.XLOOKUP(I947,dd_accsryclr!$A$2:$A$1000,dd_accsryclr!$A$2:$A$1000,"",0)</f>
        <v/>
      </c>
    </row>
    <row r="948" spans="1:12" hidden="1" x14ac:dyDescent="0.25">
      <c r="A948" s="16" t="s">
        <v>17</v>
      </c>
      <c r="B948" s="16" t="s">
        <v>604</v>
      </c>
      <c r="C948" s="16" t="s">
        <v>401</v>
      </c>
      <c r="D948" s="16" t="s">
        <v>402</v>
      </c>
      <c r="E948" s="16">
        <v>10.98</v>
      </c>
      <c r="F948" s="16" t="s">
        <v>369</v>
      </c>
      <c r="G948" s="16"/>
      <c r="H948" s="16" t="s">
        <v>403</v>
      </c>
      <c r="I948" s="16" t="s">
        <v>223</v>
      </c>
      <c r="J948" s="16" t="str">
        <f>IF(ISNUMBER(SEARCH("SCRW", H948)), _xlfn.XLOOKUP(C948,dd_item!$A$2:$A$147,dd_item!$B$2:$B$147,"",0),_xlfn.XLOOKUP(H948,dd_item!$A$2:$A$147,dd_item!$B$2:$B$147,"",0))</f>
        <v>Cover Cap</v>
      </c>
      <c r="K948" s="16" t="str">
        <f>_xlfn.XLOOKUP(A948,dd_design_raw!$C$2:$C$1002,dd_design_raw!$A$2:$A$1002,"",0)</f>
        <v>Fix Awning (Vertical)</v>
      </c>
      <c r="L948" s="16" t="str">
        <f>_xlfn.XLOOKUP(I948,dd_accsryclr!$A$2:$A$1000,dd_accsryclr!$A$2:$A$1000,"",0)</f>
        <v>BLK</v>
      </c>
    </row>
    <row r="949" spans="1:12" hidden="1" x14ac:dyDescent="0.25">
      <c r="A949" s="16" t="s">
        <v>17</v>
      </c>
      <c r="B949" s="16" t="s">
        <v>604</v>
      </c>
      <c r="C949" s="16" t="s">
        <v>404</v>
      </c>
      <c r="D949" s="16" t="s">
        <v>405</v>
      </c>
      <c r="E949" s="16">
        <v>10.98</v>
      </c>
      <c r="F949" s="16" t="s">
        <v>369</v>
      </c>
      <c r="G949" s="16"/>
      <c r="H949" s="16" t="s">
        <v>403</v>
      </c>
      <c r="I949" s="16" t="s">
        <v>220</v>
      </c>
      <c r="J949" s="16" t="str">
        <f>IF(ISNUMBER(SEARCH("SCRW", H949)), _xlfn.XLOOKUP(C949,dd_item!$A$2:$A$147,dd_item!$B$2:$B$147,"",0),_xlfn.XLOOKUP(H949,dd_item!$A$2:$A$147,dd_item!$B$2:$B$147,"",0))</f>
        <v>Cover Cap</v>
      </c>
      <c r="K949" s="16" t="str">
        <f>_xlfn.XLOOKUP(A949,dd_design_raw!$C$2:$C$1002,dd_design_raw!$A$2:$A$1002,"",0)</f>
        <v>Fix Awning (Vertical)</v>
      </c>
      <c r="L949" s="16" t="str">
        <f>_xlfn.XLOOKUP(I949,dd_accsryclr!$A$2:$A$1000,dd_accsryclr!$A$2:$A$1000,"",0)</f>
        <v>WHT</v>
      </c>
    </row>
    <row r="950" spans="1:12" hidden="1" x14ac:dyDescent="0.25">
      <c r="A950" s="16" t="s">
        <v>17</v>
      </c>
      <c r="B950" s="16" t="s">
        <v>604</v>
      </c>
      <c r="C950" s="16" t="s">
        <v>552</v>
      </c>
      <c r="D950" s="16" t="s">
        <v>553</v>
      </c>
      <c r="E950" s="16">
        <v>2</v>
      </c>
      <c r="F950" s="16" t="s">
        <v>369</v>
      </c>
      <c r="G950" s="16"/>
      <c r="H950" s="16" t="s">
        <v>794</v>
      </c>
      <c r="I950" s="16" t="s">
        <v>554</v>
      </c>
      <c r="J950" s="16" t="str">
        <f>IF(ISNUMBER(SEARCH("SCRW", H950)), _xlfn.XLOOKUP(C950,dd_item!$A$2:$A$147,dd_item!$B$2:$B$147,"",0),_xlfn.XLOOKUP(H950,dd_item!$A$2:$A$147,dd_item!$B$2:$B$147,"",0))</f>
        <v>Atlas Screw S.B JF 5 x 50</v>
      </c>
      <c r="K950" s="16" t="str">
        <f>_xlfn.XLOOKUP(A950,dd_design_raw!$C$2:$C$1002,dd_design_raw!$A$2:$A$1002,"",0)</f>
        <v>Fix Awning (Vertical)</v>
      </c>
      <c r="L950" s="16" t="str">
        <f>_xlfn.XLOOKUP(I950,dd_accsryclr!$A$2:$A$1000,dd_accsryclr!$A$2:$A$1000,"",0)</f>
        <v/>
      </c>
    </row>
    <row r="951" spans="1:12" hidden="1" x14ac:dyDescent="0.25">
      <c r="A951" s="16" t="s">
        <v>17</v>
      </c>
      <c r="B951" s="16" t="s">
        <v>604</v>
      </c>
      <c r="C951" s="16" t="s">
        <v>514</v>
      </c>
      <c r="D951" s="16" t="s">
        <v>515</v>
      </c>
      <c r="E951" s="16"/>
      <c r="F951" s="16" t="s">
        <v>194</v>
      </c>
      <c r="G951" s="16"/>
      <c r="H951" s="16" t="s">
        <v>818</v>
      </c>
      <c r="I951" s="16"/>
      <c r="J951" s="16" t="str">
        <f>IF(ISNUMBER(SEARCH("SCRW", H951)), _xlfn.XLOOKUP(C951,dd_item!$A$2:$A$147,dd_item!$B$2:$B$147,"",0),_xlfn.XLOOKUP(H951,dd_item!$A$2:$A$147,dd_item!$B$2:$B$147,"",0))</f>
        <v>Steel-ZMullion</v>
      </c>
      <c r="K951" s="16" t="str">
        <f>_xlfn.XLOOKUP(A951,dd_design_raw!$C$2:$C$1002,dd_design_raw!$A$2:$A$1002,"",0)</f>
        <v>Fix Awning (Vertical)</v>
      </c>
      <c r="L951" s="16" t="str">
        <f>_xlfn.XLOOKUP(I951,dd_accsryclr!$A$2:$A$1000,dd_accsryclr!$A$2:$A$1000,"",0)</f>
        <v/>
      </c>
    </row>
    <row r="952" spans="1:12" hidden="1" x14ac:dyDescent="0.25">
      <c r="A952" s="16" t="s">
        <v>19</v>
      </c>
      <c r="B952" s="16" t="s">
        <v>605</v>
      </c>
      <c r="C952" s="16" t="s">
        <v>484</v>
      </c>
      <c r="D952" s="16" t="s">
        <v>485</v>
      </c>
      <c r="E952" s="16">
        <v>0.98465517241379308</v>
      </c>
      <c r="F952" s="16" t="s">
        <v>194</v>
      </c>
      <c r="G952" s="16"/>
      <c r="H952" s="16" t="s">
        <v>486</v>
      </c>
      <c r="I952" s="16" t="s">
        <v>230</v>
      </c>
      <c r="J952" s="16" t="str">
        <f>IF(ISNUMBER(SEARCH("SCRW", H952)), _xlfn.XLOOKUP(C952,dd_item!$A$2:$A$147,dd_item!$B$2:$B$147,"",0),_xlfn.XLOOKUP(H952,dd_item!$A$2:$A$147,dd_item!$B$2:$B$147,"",0))</f>
        <v>Frame60</v>
      </c>
      <c r="K952" s="16" t="str">
        <f>_xlfn.XLOOKUP(A952,dd_design_raw!$C$2:$C$1002,dd_design_raw!$A$2:$A$1002,"",0)</f>
        <v>Patio Door - without Bottom Frame</v>
      </c>
      <c r="L952" s="16" t="str">
        <f>_xlfn.XLOOKUP(I952,dd_accsryclr!$A$2:$A$1000,dd_accsryclr!$A$2:$A$1000,"",0)</f>
        <v>BRWN</v>
      </c>
    </row>
    <row r="953" spans="1:12" hidden="1" x14ac:dyDescent="0.25">
      <c r="A953" s="16" t="s">
        <v>19</v>
      </c>
      <c r="B953" s="16" t="s">
        <v>605</v>
      </c>
      <c r="C953" s="16" t="s">
        <v>487</v>
      </c>
      <c r="D953" s="16" t="s">
        <v>488</v>
      </c>
      <c r="E953" s="16">
        <v>0.98465517241379308</v>
      </c>
      <c r="F953" s="16" t="s">
        <v>194</v>
      </c>
      <c r="G953" s="16"/>
      <c r="H953" s="16" t="s">
        <v>486</v>
      </c>
      <c r="I953" s="16" t="s">
        <v>223</v>
      </c>
      <c r="J953" s="16" t="str">
        <f>IF(ISNUMBER(SEARCH("SCRW", H953)), _xlfn.XLOOKUP(C953,dd_item!$A$2:$A$147,dd_item!$B$2:$B$147,"",0),_xlfn.XLOOKUP(H953,dd_item!$A$2:$A$147,dd_item!$B$2:$B$147,"",0))</f>
        <v>Frame60</v>
      </c>
      <c r="K953" s="16" t="str">
        <f>_xlfn.XLOOKUP(A953,dd_design_raw!$C$2:$C$1002,dd_design_raw!$A$2:$A$1002,"",0)</f>
        <v>Patio Door - without Bottom Frame</v>
      </c>
      <c r="L953" s="16" t="str">
        <f>_xlfn.XLOOKUP(I953,dd_accsryclr!$A$2:$A$1000,dd_accsryclr!$A$2:$A$1000,"",0)</f>
        <v>BLK</v>
      </c>
    </row>
    <row r="954" spans="1:12" hidden="1" x14ac:dyDescent="0.25">
      <c r="A954" s="16" t="s">
        <v>19</v>
      </c>
      <c r="B954" s="16" t="s">
        <v>605</v>
      </c>
      <c r="C954" s="16" t="s">
        <v>489</v>
      </c>
      <c r="D954" s="16" t="s">
        <v>490</v>
      </c>
      <c r="E954" s="16">
        <v>0.98465517241379308</v>
      </c>
      <c r="F954" s="16" t="s">
        <v>194</v>
      </c>
      <c r="G954" s="16"/>
      <c r="H954" s="16" t="s">
        <v>486</v>
      </c>
      <c r="I954" s="16" t="s">
        <v>211</v>
      </c>
      <c r="J954" s="16" t="str">
        <f>IF(ISNUMBER(SEARCH("SCRW", H954)), _xlfn.XLOOKUP(C954,dd_item!$A$2:$A$147,dd_item!$B$2:$B$147,"",0),_xlfn.XLOOKUP(H954,dd_item!$A$2:$A$147,dd_item!$B$2:$B$147,"",0))</f>
        <v>Frame60</v>
      </c>
      <c r="K954" s="16" t="str">
        <f>_xlfn.XLOOKUP(A954,dd_design_raw!$C$2:$C$1002,dd_design_raw!$A$2:$A$1002,"",0)</f>
        <v>Patio Door - without Bottom Frame</v>
      </c>
      <c r="L954" s="16" t="str">
        <f>_xlfn.XLOOKUP(I954,dd_accsryclr!$A$2:$A$1000,dd_accsryclr!$A$2:$A$1000,"",0)</f>
        <v/>
      </c>
    </row>
    <row r="955" spans="1:12" hidden="1" x14ac:dyDescent="0.25">
      <c r="A955" s="16" t="s">
        <v>19</v>
      </c>
      <c r="B955" s="16" t="s">
        <v>605</v>
      </c>
      <c r="C955" s="16" t="s">
        <v>491</v>
      </c>
      <c r="D955" s="16" t="s">
        <v>492</v>
      </c>
      <c r="E955" s="16">
        <v>0.98465517241379308</v>
      </c>
      <c r="F955" s="16" t="s">
        <v>194</v>
      </c>
      <c r="G955" s="16"/>
      <c r="H955" s="16" t="s">
        <v>486</v>
      </c>
      <c r="I955" s="16" t="s">
        <v>214</v>
      </c>
      <c r="J955" s="16" t="str">
        <f>IF(ISNUMBER(SEARCH("SCRW", H955)), _xlfn.XLOOKUP(C955,dd_item!$A$2:$A$147,dd_item!$B$2:$B$147,"",0),_xlfn.XLOOKUP(H955,dd_item!$A$2:$A$147,dd_item!$B$2:$B$147,"",0))</f>
        <v>Frame60</v>
      </c>
      <c r="K955" s="16" t="str">
        <f>_xlfn.XLOOKUP(A955,dd_design_raw!$C$2:$C$1002,dd_design_raw!$A$2:$A$1002,"",0)</f>
        <v>Patio Door - without Bottom Frame</v>
      </c>
      <c r="L955" s="16" t="str">
        <f>_xlfn.XLOOKUP(I955,dd_accsryclr!$A$2:$A$1000,dd_accsryclr!$A$2:$A$1000,"",0)</f>
        <v/>
      </c>
    </row>
    <row r="956" spans="1:12" hidden="1" x14ac:dyDescent="0.25">
      <c r="A956" s="16" t="s">
        <v>19</v>
      </c>
      <c r="B956" s="16" t="s">
        <v>605</v>
      </c>
      <c r="C956" s="16" t="s">
        <v>493</v>
      </c>
      <c r="D956" s="16" t="s">
        <v>494</v>
      </c>
      <c r="E956" s="16">
        <v>0.98465517241379308</v>
      </c>
      <c r="F956" s="16" t="s">
        <v>194</v>
      </c>
      <c r="G956" s="16"/>
      <c r="H956" s="16" t="s">
        <v>486</v>
      </c>
      <c r="I956" s="16" t="s">
        <v>217</v>
      </c>
      <c r="J956" s="16" t="str">
        <f>IF(ISNUMBER(SEARCH("SCRW", H956)), _xlfn.XLOOKUP(C956,dd_item!$A$2:$A$147,dd_item!$B$2:$B$147,"",0),_xlfn.XLOOKUP(H956,dd_item!$A$2:$A$147,dd_item!$B$2:$B$147,"",0))</f>
        <v>Frame60</v>
      </c>
      <c r="K956" s="16" t="str">
        <f>_xlfn.XLOOKUP(A956,dd_design_raw!$C$2:$C$1002,dd_design_raw!$A$2:$A$1002,"",0)</f>
        <v>Patio Door - without Bottom Frame</v>
      </c>
      <c r="L956" s="16" t="str">
        <f>_xlfn.XLOOKUP(I956,dd_accsryclr!$A$2:$A$1000,dd_accsryclr!$A$2:$A$1000,"",0)</f>
        <v/>
      </c>
    </row>
    <row r="957" spans="1:12" hidden="1" x14ac:dyDescent="0.25">
      <c r="A957" s="16" t="s">
        <v>19</v>
      </c>
      <c r="B957" s="16" t="s">
        <v>605</v>
      </c>
      <c r="C957" s="16" t="s">
        <v>495</v>
      </c>
      <c r="D957" s="16" t="s">
        <v>496</v>
      </c>
      <c r="E957" s="16">
        <v>0.98465517241379308</v>
      </c>
      <c r="F957" s="16" t="s">
        <v>194</v>
      </c>
      <c r="G957" s="16"/>
      <c r="H957" s="16" t="s">
        <v>486</v>
      </c>
      <c r="I957" s="16" t="s">
        <v>226</v>
      </c>
      <c r="J957" s="16" t="str">
        <f>IF(ISNUMBER(SEARCH("SCRW", H957)), _xlfn.XLOOKUP(C957,dd_item!$A$2:$A$147,dd_item!$B$2:$B$147,"",0),_xlfn.XLOOKUP(H957,dd_item!$A$2:$A$147,dd_item!$B$2:$B$147,"",0))</f>
        <v>Frame60</v>
      </c>
      <c r="K957" s="16" t="str">
        <f>_xlfn.XLOOKUP(A957,dd_design_raw!$C$2:$C$1002,dd_design_raw!$A$2:$A$1002,"",0)</f>
        <v>Patio Door - without Bottom Frame</v>
      </c>
      <c r="L957" s="16" t="str">
        <f>_xlfn.XLOOKUP(I957,dd_accsryclr!$A$2:$A$1000,dd_accsryclr!$A$2:$A$1000,"",0)</f>
        <v/>
      </c>
    </row>
    <row r="958" spans="1:12" hidden="1" x14ac:dyDescent="0.25">
      <c r="A958" s="16" t="s">
        <v>19</v>
      </c>
      <c r="B958" s="16" t="s">
        <v>605</v>
      </c>
      <c r="C958" s="16" t="s">
        <v>497</v>
      </c>
      <c r="D958" s="16" t="s">
        <v>498</v>
      </c>
      <c r="E958" s="16">
        <v>0.98465517241379308</v>
      </c>
      <c r="F958" s="16" t="s">
        <v>194</v>
      </c>
      <c r="G958" s="16"/>
      <c r="H958" s="16" t="s">
        <v>486</v>
      </c>
      <c r="I958" s="16" t="s">
        <v>220</v>
      </c>
      <c r="J958" s="16" t="str">
        <f>IF(ISNUMBER(SEARCH("SCRW", H958)), _xlfn.XLOOKUP(C958,dd_item!$A$2:$A$147,dd_item!$B$2:$B$147,"",0),_xlfn.XLOOKUP(H958,dd_item!$A$2:$A$147,dd_item!$B$2:$B$147,"",0))</f>
        <v>Frame60</v>
      </c>
      <c r="K958" s="16" t="str">
        <f>_xlfn.XLOOKUP(A958,dd_design_raw!$C$2:$C$1002,dd_design_raw!$A$2:$A$1002,"",0)</f>
        <v>Patio Door - without Bottom Frame</v>
      </c>
      <c r="L958" s="16" t="str">
        <f>_xlfn.XLOOKUP(I958,dd_accsryclr!$A$2:$A$1000,dd_accsryclr!$A$2:$A$1000,"",0)</f>
        <v>WHT</v>
      </c>
    </row>
    <row r="959" spans="1:12" hidden="1" x14ac:dyDescent="0.25">
      <c r="A959" s="16" t="s">
        <v>19</v>
      </c>
      <c r="B959" s="16" t="s">
        <v>605</v>
      </c>
      <c r="C959" s="16" t="s">
        <v>606</v>
      </c>
      <c r="D959" s="16" t="s">
        <v>607</v>
      </c>
      <c r="E959" s="16">
        <v>1.1131034482758622</v>
      </c>
      <c r="F959" s="16" t="s">
        <v>194</v>
      </c>
      <c r="G959" s="16"/>
      <c r="H959" s="16" t="s">
        <v>608</v>
      </c>
      <c r="I959" s="16" t="s">
        <v>223</v>
      </c>
      <c r="J959" s="16" t="str">
        <f>IF(ISNUMBER(SEARCH("SCRW", H959)), _xlfn.XLOOKUP(C959,dd_item!$A$2:$A$147,dd_item!$B$2:$B$147,"",0),_xlfn.XLOOKUP(H959,dd_item!$A$2:$A$147,dd_item!$B$2:$B$147,"",0))</f>
        <v>Sash104</v>
      </c>
      <c r="K959" s="16" t="str">
        <f>_xlfn.XLOOKUP(A959,dd_design_raw!$C$2:$C$1002,dd_design_raw!$A$2:$A$1002,"",0)</f>
        <v>Patio Door - without Bottom Frame</v>
      </c>
      <c r="L959" s="16" t="str">
        <f>_xlfn.XLOOKUP(I959,dd_accsryclr!$A$2:$A$1000,dd_accsryclr!$A$2:$A$1000,"",0)</f>
        <v>BLK</v>
      </c>
    </row>
    <row r="960" spans="1:12" hidden="1" x14ac:dyDescent="0.25">
      <c r="A960" s="16" t="s">
        <v>19</v>
      </c>
      <c r="B960" s="16" t="s">
        <v>605</v>
      </c>
      <c r="C960" s="16" t="s">
        <v>609</v>
      </c>
      <c r="D960" s="16" t="s">
        <v>610</v>
      </c>
      <c r="E960" s="16">
        <v>1.1131034482758622</v>
      </c>
      <c r="F960" s="16" t="s">
        <v>194</v>
      </c>
      <c r="G960" s="16"/>
      <c r="H960" s="16" t="s">
        <v>608</v>
      </c>
      <c r="I960" s="16" t="s">
        <v>230</v>
      </c>
      <c r="J960" s="16" t="str">
        <f>IF(ISNUMBER(SEARCH("SCRW", H960)), _xlfn.XLOOKUP(C960,dd_item!$A$2:$A$147,dd_item!$B$2:$B$147,"",0),_xlfn.XLOOKUP(H960,dd_item!$A$2:$A$147,dd_item!$B$2:$B$147,"",0))</f>
        <v>Sash104</v>
      </c>
      <c r="K960" s="16" t="str">
        <f>_xlfn.XLOOKUP(A960,dd_design_raw!$C$2:$C$1002,dd_design_raw!$A$2:$A$1002,"",0)</f>
        <v>Patio Door - without Bottom Frame</v>
      </c>
      <c r="L960" s="16" t="str">
        <f>_xlfn.XLOOKUP(I960,dd_accsryclr!$A$2:$A$1000,dd_accsryclr!$A$2:$A$1000,"",0)</f>
        <v>BRWN</v>
      </c>
    </row>
    <row r="961" spans="1:12" hidden="1" x14ac:dyDescent="0.25">
      <c r="A961" s="16" t="s">
        <v>19</v>
      </c>
      <c r="B961" s="16" t="s">
        <v>605</v>
      </c>
      <c r="C961" s="16" t="s">
        <v>611</v>
      </c>
      <c r="D961" s="16" t="s">
        <v>612</v>
      </c>
      <c r="E961" s="16">
        <v>1.1131034482758622</v>
      </c>
      <c r="F961" s="16" t="s">
        <v>194</v>
      </c>
      <c r="G961" s="16"/>
      <c r="H961" s="16" t="s">
        <v>608</v>
      </c>
      <c r="I961" s="16" t="s">
        <v>211</v>
      </c>
      <c r="J961" s="16" t="str">
        <f>IF(ISNUMBER(SEARCH("SCRW", H961)), _xlfn.XLOOKUP(C961,dd_item!$A$2:$A$147,dd_item!$B$2:$B$147,"",0),_xlfn.XLOOKUP(H961,dd_item!$A$2:$A$147,dd_item!$B$2:$B$147,"",0))</f>
        <v>Sash104</v>
      </c>
      <c r="K961" s="16" t="str">
        <f>_xlfn.XLOOKUP(A961,dd_design_raw!$C$2:$C$1002,dd_design_raw!$A$2:$A$1002,"",0)</f>
        <v>Patio Door - without Bottom Frame</v>
      </c>
      <c r="L961" s="16" t="str">
        <f>_xlfn.XLOOKUP(I961,dd_accsryclr!$A$2:$A$1000,dd_accsryclr!$A$2:$A$1000,"",0)</f>
        <v/>
      </c>
    </row>
    <row r="962" spans="1:12" hidden="1" x14ac:dyDescent="0.25">
      <c r="A962" s="16" t="s">
        <v>19</v>
      </c>
      <c r="B962" s="16" t="s">
        <v>605</v>
      </c>
      <c r="C962" s="16" t="s">
        <v>613</v>
      </c>
      <c r="D962" s="16" t="s">
        <v>614</v>
      </c>
      <c r="E962" s="16">
        <v>1.1131034482758622</v>
      </c>
      <c r="F962" s="16" t="s">
        <v>194</v>
      </c>
      <c r="G962" s="16"/>
      <c r="H962" s="16" t="s">
        <v>608</v>
      </c>
      <c r="I962" s="16" t="s">
        <v>214</v>
      </c>
      <c r="J962" s="16" t="str">
        <f>IF(ISNUMBER(SEARCH("SCRW", H962)), _xlfn.XLOOKUP(C962,dd_item!$A$2:$A$147,dd_item!$B$2:$B$147,"",0),_xlfn.XLOOKUP(H962,dd_item!$A$2:$A$147,dd_item!$B$2:$B$147,"",0))</f>
        <v>Sash104</v>
      </c>
      <c r="K962" s="16" t="str">
        <f>_xlfn.XLOOKUP(A962,dd_design_raw!$C$2:$C$1002,dd_design_raw!$A$2:$A$1002,"",0)</f>
        <v>Patio Door - without Bottom Frame</v>
      </c>
      <c r="L962" s="16" t="str">
        <f>_xlfn.XLOOKUP(I962,dd_accsryclr!$A$2:$A$1000,dd_accsryclr!$A$2:$A$1000,"",0)</f>
        <v/>
      </c>
    </row>
    <row r="963" spans="1:12" hidden="1" x14ac:dyDescent="0.25">
      <c r="A963" s="16" t="s">
        <v>19</v>
      </c>
      <c r="B963" s="16" t="s">
        <v>605</v>
      </c>
      <c r="C963" s="16" t="s">
        <v>615</v>
      </c>
      <c r="D963" s="16" t="s">
        <v>616</v>
      </c>
      <c r="E963" s="16">
        <v>1.1131034482758622</v>
      </c>
      <c r="F963" s="16" t="s">
        <v>194</v>
      </c>
      <c r="G963" s="16"/>
      <c r="H963" s="16" t="s">
        <v>608</v>
      </c>
      <c r="I963" s="16" t="s">
        <v>217</v>
      </c>
      <c r="J963" s="16" t="str">
        <f>IF(ISNUMBER(SEARCH("SCRW", H963)), _xlfn.XLOOKUP(C963,dd_item!$A$2:$A$147,dd_item!$B$2:$B$147,"",0),_xlfn.XLOOKUP(H963,dd_item!$A$2:$A$147,dd_item!$B$2:$B$147,"",0))</f>
        <v>Sash104</v>
      </c>
      <c r="K963" s="16" t="str">
        <f>_xlfn.XLOOKUP(A963,dd_design_raw!$C$2:$C$1002,dd_design_raw!$A$2:$A$1002,"",0)</f>
        <v>Patio Door - without Bottom Frame</v>
      </c>
      <c r="L963" s="16" t="str">
        <f>_xlfn.XLOOKUP(I963,dd_accsryclr!$A$2:$A$1000,dd_accsryclr!$A$2:$A$1000,"",0)</f>
        <v/>
      </c>
    </row>
    <row r="964" spans="1:12" hidden="1" x14ac:dyDescent="0.25">
      <c r="A964" s="16" t="s">
        <v>19</v>
      </c>
      <c r="B964" s="16" t="s">
        <v>605</v>
      </c>
      <c r="C964" s="16" t="s">
        <v>617</v>
      </c>
      <c r="D964" s="16" t="s">
        <v>618</v>
      </c>
      <c r="E964" s="16">
        <v>1.1131034482758622</v>
      </c>
      <c r="F964" s="16" t="s">
        <v>194</v>
      </c>
      <c r="G964" s="16"/>
      <c r="H964" s="16" t="s">
        <v>608</v>
      </c>
      <c r="I964" s="16" t="s">
        <v>226</v>
      </c>
      <c r="J964" s="16" t="str">
        <f>IF(ISNUMBER(SEARCH("SCRW", H964)), _xlfn.XLOOKUP(C964,dd_item!$A$2:$A$147,dd_item!$B$2:$B$147,"",0),_xlfn.XLOOKUP(H964,dd_item!$A$2:$A$147,dd_item!$B$2:$B$147,"",0))</f>
        <v>Sash104</v>
      </c>
      <c r="K964" s="16" t="str">
        <f>_xlfn.XLOOKUP(A964,dd_design_raw!$C$2:$C$1002,dd_design_raw!$A$2:$A$1002,"",0)</f>
        <v>Patio Door - without Bottom Frame</v>
      </c>
      <c r="L964" s="16" t="str">
        <f>_xlfn.XLOOKUP(I964,dd_accsryclr!$A$2:$A$1000,dd_accsryclr!$A$2:$A$1000,"",0)</f>
        <v/>
      </c>
    </row>
    <row r="965" spans="1:12" hidden="1" x14ac:dyDescent="0.25">
      <c r="A965" s="16" t="s">
        <v>19</v>
      </c>
      <c r="B965" s="16" t="s">
        <v>605</v>
      </c>
      <c r="C965" s="16" t="s">
        <v>619</v>
      </c>
      <c r="D965" s="16" t="s">
        <v>620</v>
      </c>
      <c r="E965" s="16">
        <v>1.1131034482758622</v>
      </c>
      <c r="F965" s="16" t="s">
        <v>194</v>
      </c>
      <c r="G965" s="16"/>
      <c r="H965" s="16" t="s">
        <v>608</v>
      </c>
      <c r="I965" s="16" t="s">
        <v>220</v>
      </c>
      <c r="J965" s="16" t="str">
        <f>IF(ISNUMBER(SEARCH("SCRW", H965)), _xlfn.XLOOKUP(C965,dd_item!$A$2:$A$147,dd_item!$B$2:$B$147,"",0),_xlfn.XLOOKUP(H965,dd_item!$A$2:$A$147,dd_item!$B$2:$B$147,"",0))</f>
        <v>Sash104</v>
      </c>
      <c r="K965" s="16" t="str">
        <f>_xlfn.XLOOKUP(A965,dd_design_raw!$C$2:$C$1002,dd_design_raw!$A$2:$A$1002,"",0)</f>
        <v>Patio Door - without Bottom Frame</v>
      </c>
      <c r="L965" s="16" t="str">
        <f>_xlfn.XLOOKUP(I965,dd_accsryclr!$A$2:$A$1000,dd_accsryclr!$A$2:$A$1000,"",0)</f>
        <v>WHT</v>
      </c>
    </row>
    <row r="966" spans="1:12" hidden="1" x14ac:dyDescent="0.25">
      <c r="A966" s="16" t="s">
        <v>19</v>
      </c>
      <c r="B966" s="16" t="s">
        <v>605</v>
      </c>
      <c r="C966" s="16" t="s">
        <v>621</v>
      </c>
      <c r="D966" s="16" t="s">
        <v>622</v>
      </c>
      <c r="E966" s="16">
        <v>1.1131034482758622</v>
      </c>
      <c r="F966" s="16" t="s">
        <v>194</v>
      </c>
      <c r="G966" s="16" t="s">
        <v>623</v>
      </c>
      <c r="H966" s="16" t="s">
        <v>624</v>
      </c>
      <c r="I966" s="16" t="s">
        <v>625</v>
      </c>
      <c r="J966" s="16" t="str">
        <f>IF(ISNUMBER(SEARCH("SCRW", H966)), _xlfn.XLOOKUP(C966,dd_item!$A$2:$A$147,dd_item!$B$2:$B$147,"",0),_xlfn.XLOOKUP(H966,dd_item!$A$2:$A$147,dd_item!$B$2:$B$147,"",0))</f>
        <v>Steel-Sash104</v>
      </c>
      <c r="K966" s="16" t="str">
        <f>_xlfn.XLOOKUP(A966,dd_design_raw!$C$2:$C$1002,dd_design_raw!$A$2:$A$1002,"",0)</f>
        <v>Patio Door - without Bottom Frame</v>
      </c>
      <c r="L966" s="16" t="str">
        <f>_xlfn.XLOOKUP(I966,dd_accsryclr!$A$2:$A$1000,dd_accsryclr!$A$2:$A$1000,"",0)</f>
        <v/>
      </c>
    </row>
    <row r="967" spans="1:12" hidden="1" x14ac:dyDescent="0.25">
      <c r="A967" s="16" t="s">
        <v>19</v>
      </c>
      <c r="B967" s="16" t="s">
        <v>605</v>
      </c>
      <c r="C967" s="16" t="s">
        <v>626</v>
      </c>
      <c r="D967" s="16" t="s">
        <v>627</v>
      </c>
      <c r="E967" s="16">
        <v>0.98465517241379308</v>
      </c>
      <c r="F967" s="16" t="s">
        <v>194</v>
      </c>
      <c r="G967" s="16" t="s">
        <v>623</v>
      </c>
      <c r="H967" s="16" t="s">
        <v>624</v>
      </c>
      <c r="I967" s="16" t="s">
        <v>628</v>
      </c>
      <c r="J967" s="16" t="str">
        <f>IF(ISNUMBER(SEARCH("SCRW", H967)), _xlfn.XLOOKUP(C967,dd_item!$A$2:$A$147,dd_item!$B$2:$B$147,"",0),_xlfn.XLOOKUP(H967,dd_item!$A$2:$A$147,dd_item!$B$2:$B$147,"",0))</f>
        <v>Steel-Sash104</v>
      </c>
      <c r="K967" s="16" t="str">
        <f>_xlfn.XLOOKUP(A967,dd_design_raw!$C$2:$C$1002,dd_design_raw!$A$2:$A$1002,"",0)</f>
        <v>Patio Door - without Bottom Frame</v>
      </c>
      <c r="L967" s="16" t="str">
        <f>_xlfn.XLOOKUP(I967,dd_accsryclr!$A$2:$A$1000,dd_accsryclr!$A$2:$A$1000,"",0)</f>
        <v/>
      </c>
    </row>
    <row r="968" spans="1:12" hidden="1" x14ac:dyDescent="0.25">
      <c r="A968" s="16" t="s">
        <v>19</v>
      </c>
      <c r="B968" s="16" t="s">
        <v>605</v>
      </c>
      <c r="C968" s="16" t="s">
        <v>518</v>
      </c>
      <c r="D968" s="16" t="s">
        <v>519</v>
      </c>
      <c r="E968" s="16">
        <v>0.98465517241379308</v>
      </c>
      <c r="F968" s="16" t="s">
        <v>194</v>
      </c>
      <c r="G968" s="16" t="s">
        <v>707</v>
      </c>
      <c r="H968" s="16" t="s">
        <v>1099</v>
      </c>
      <c r="I968" s="16" t="s">
        <v>520</v>
      </c>
      <c r="J968" s="16" t="str">
        <f>IF(ISNUMBER(SEARCH("SCRW", H968)), _xlfn.XLOOKUP(C968,dd_item!$A$2:$A$147,dd_item!$B$2:$B$147,"",0),_xlfn.XLOOKUP(H968,dd_item!$A$2:$A$147,dd_item!$B$2:$B$147,"",0))</f>
        <v>Steel-Frame60-H</v>
      </c>
      <c r="K968" s="16" t="str">
        <f>_xlfn.XLOOKUP(A968,dd_design_raw!$C$2:$C$1002,dd_design_raw!$A$2:$A$1002,"",0)</f>
        <v>Patio Door - without Bottom Frame</v>
      </c>
      <c r="L968" s="16" t="str">
        <f>_xlfn.XLOOKUP(I968,dd_accsryclr!$A$2:$A$1000,dd_accsryclr!$A$2:$A$1000,"",0)</f>
        <v/>
      </c>
    </row>
    <row r="969" spans="1:12" hidden="1" x14ac:dyDescent="0.25">
      <c r="A969" s="16" t="s">
        <v>19</v>
      </c>
      <c r="B969" s="16" t="s">
        <v>605</v>
      </c>
      <c r="C969" s="16" t="s">
        <v>349</v>
      </c>
      <c r="D969" s="16" t="s">
        <v>350</v>
      </c>
      <c r="E969" s="16">
        <v>0.98465517241379308</v>
      </c>
      <c r="F969" s="16" t="s">
        <v>194</v>
      </c>
      <c r="G969" s="16"/>
      <c r="H969" s="16" t="s">
        <v>351</v>
      </c>
      <c r="I969" s="16" t="s">
        <v>211</v>
      </c>
      <c r="J969" s="16" t="str">
        <f>IF(ISNUMBER(SEARCH("SCRW", H969)), _xlfn.XLOOKUP(C969,dd_item!$A$2:$A$147,dd_item!$B$2:$B$147,"",0),_xlfn.XLOOKUP(H969,dd_item!$A$2:$A$147,dd_item!$B$2:$B$147,"",0))</f>
        <v>Bead34</v>
      </c>
      <c r="K969" s="16" t="str">
        <f>_xlfn.XLOOKUP(A969,dd_design_raw!$C$2:$C$1002,dd_design_raw!$A$2:$A$1002,"",0)</f>
        <v>Patio Door - without Bottom Frame</v>
      </c>
      <c r="L969" s="16" t="str">
        <f>_xlfn.XLOOKUP(I969,dd_accsryclr!$A$2:$A$1000,dd_accsryclr!$A$2:$A$1000,"",0)</f>
        <v/>
      </c>
    </row>
    <row r="970" spans="1:12" hidden="1" x14ac:dyDescent="0.25">
      <c r="A970" s="16" t="s">
        <v>19</v>
      </c>
      <c r="B970" s="16" t="s">
        <v>605</v>
      </c>
      <c r="C970" s="16" t="s">
        <v>352</v>
      </c>
      <c r="D970" s="16" t="s">
        <v>353</v>
      </c>
      <c r="E970" s="16">
        <v>0.98465517241379308</v>
      </c>
      <c r="F970" s="16" t="s">
        <v>194</v>
      </c>
      <c r="G970" s="16"/>
      <c r="H970" s="16" t="s">
        <v>351</v>
      </c>
      <c r="I970" s="16" t="s">
        <v>214</v>
      </c>
      <c r="J970" s="16" t="str">
        <f>IF(ISNUMBER(SEARCH("SCRW", H970)), _xlfn.XLOOKUP(C970,dd_item!$A$2:$A$147,dd_item!$B$2:$B$147,"",0),_xlfn.XLOOKUP(H970,dd_item!$A$2:$A$147,dd_item!$B$2:$B$147,"",0))</f>
        <v>Bead34</v>
      </c>
      <c r="K970" s="16" t="str">
        <f>_xlfn.XLOOKUP(A970,dd_design_raw!$C$2:$C$1002,dd_design_raw!$A$2:$A$1002,"",0)</f>
        <v>Patio Door - without Bottom Frame</v>
      </c>
      <c r="L970" s="16" t="str">
        <f>_xlfn.XLOOKUP(I970,dd_accsryclr!$A$2:$A$1000,dd_accsryclr!$A$2:$A$1000,"",0)</f>
        <v/>
      </c>
    </row>
    <row r="971" spans="1:12" hidden="1" x14ac:dyDescent="0.25">
      <c r="A971" s="16" t="s">
        <v>19</v>
      </c>
      <c r="B971" s="16" t="s">
        <v>605</v>
      </c>
      <c r="C971" s="16" t="s">
        <v>354</v>
      </c>
      <c r="D971" s="16" t="s">
        <v>355</v>
      </c>
      <c r="E971" s="16">
        <v>0.98465517241379308</v>
      </c>
      <c r="F971" s="16" t="s">
        <v>194</v>
      </c>
      <c r="G971" s="16"/>
      <c r="H971" s="16" t="s">
        <v>351</v>
      </c>
      <c r="I971" s="16" t="s">
        <v>217</v>
      </c>
      <c r="J971" s="16" t="str">
        <f>IF(ISNUMBER(SEARCH("SCRW", H971)), _xlfn.XLOOKUP(C971,dd_item!$A$2:$A$147,dd_item!$B$2:$B$147,"",0),_xlfn.XLOOKUP(H971,dd_item!$A$2:$A$147,dd_item!$B$2:$B$147,"",0))</f>
        <v>Bead34</v>
      </c>
      <c r="K971" s="16" t="str">
        <f>_xlfn.XLOOKUP(A971,dd_design_raw!$C$2:$C$1002,dd_design_raw!$A$2:$A$1002,"",0)</f>
        <v>Patio Door - without Bottom Frame</v>
      </c>
      <c r="L971" s="16" t="str">
        <f>_xlfn.XLOOKUP(I971,dd_accsryclr!$A$2:$A$1000,dd_accsryclr!$A$2:$A$1000,"",0)</f>
        <v/>
      </c>
    </row>
    <row r="972" spans="1:12" hidden="1" x14ac:dyDescent="0.25">
      <c r="A972" s="16" t="s">
        <v>19</v>
      </c>
      <c r="B972" s="16" t="s">
        <v>605</v>
      </c>
      <c r="C972" s="16" t="s">
        <v>356</v>
      </c>
      <c r="D972" s="16" t="s">
        <v>357</v>
      </c>
      <c r="E972" s="16">
        <v>0.98465517241379308</v>
      </c>
      <c r="F972" s="16" t="s">
        <v>194</v>
      </c>
      <c r="G972" s="16"/>
      <c r="H972" s="16" t="s">
        <v>351</v>
      </c>
      <c r="I972" s="16" t="s">
        <v>226</v>
      </c>
      <c r="J972" s="16" t="str">
        <f>IF(ISNUMBER(SEARCH("SCRW", H972)), _xlfn.XLOOKUP(C972,dd_item!$A$2:$A$147,dd_item!$B$2:$B$147,"",0),_xlfn.XLOOKUP(H972,dd_item!$A$2:$A$147,dd_item!$B$2:$B$147,"",0))</f>
        <v>Bead34</v>
      </c>
      <c r="K972" s="16" t="str">
        <f>_xlfn.XLOOKUP(A972,dd_design_raw!$C$2:$C$1002,dd_design_raw!$A$2:$A$1002,"",0)</f>
        <v>Patio Door - without Bottom Frame</v>
      </c>
      <c r="L972" s="16" t="str">
        <f>_xlfn.XLOOKUP(I972,dd_accsryclr!$A$2:$A$1000,dd_accsryclr!$A$2:$A$1000,"",0)</f>
        <v/>
      </c>
    </row>
    <row r="973" spans="1:12" hidden="1" x14ac:dyDescent="0.25">
      <c r="A973" s="16" t="s">
        <v>19</v>
      </c>
      <c r="B973" s="16" t="s">
        <v>605</v>
      </c>
      <c r="C973" s="16" t="s">
        <v>358</v>
      </c>
      <c r="D973" s="16" t="s">
        <v>359</v>
      </c>
      <c r="E973" s="16">
        <v>0.98465517241379308</v>
      </c>
      <c r="F973" s="16" t="s">
        <v>194</v>
      </c>
      <c r="G973" s="16"/>
      <c r="H973" s="16" t="s">
        <v>351</v>
      </c>
      <c r="I973" s="16" t="s">
        <v>220</v>
      </c>
      <c r="J973" s="16" t="str">
        <f>IF(ISNUMBER(SEARCH("SCRW", H973)), _xlfn.XLOOKUP(C973,dd_item!$A$2:$A$147,dd_item!$B$2:$B$147,"",0),_xlfn.XLOOKUP(H973,dd_item!$A$2:$A$147,dd_item!$B$2:$B$147,"",0))</f>
        <v>Bead34</v>
      </c>
      <c r="K973" s="16" t="str">
        <f>_xlfn.XLOOKUP(A973,dd_design_raw!$C$2:$C$1002,dd_design_raw!$A$2:$A$1002,"",0)</f>
        <v>Patio Door - without Bottom Frame</v>
      </c>
      <c r="L973" s="16" t="str">
        <f>_xlfn.XLOOKUP(I973,dd_accsryclr!$A$2:$A$1000,dd_accsryclr!$A$2:$A$1000,"",0)</f>
        <v>WHT</v>
      </c>
    </row>
    <row r="974" spans="1:12" hidden="1" x14ac:dyDescent="0.25">
      <c r="A974" s="16" t="s">
        <v>19</v>
      </c>
      <c r="B974" s="16" t="s">
        <v>605</v>
      </c>
      <c r="C974" s="16" t="s">
        <v>360</v>
      </c>
      <c r="D974" s="16" t="s">
        <v>361</v>
      </c>
      <c r="E974" s="16">
        <v>0.98465517241379308</v>
      </c>
      <c r="F974" s="16" t="s">
        <v>194</v>
      </c>
      <c r="G974" s="16"/>
      <c r="H974" s="16" t="s">
        <v>351</v>
      </c>
      <c r="I974" s="16" t="s">
        <v>223</v>
      </c>
      <c r="J974" s="16" t="str">
        <f>IF(ISNUMBER(SEARCH("SCRW", H974)), _xlfn.XLOOKUP(C974,dd_item!$A$2:$A$147,dd_item!$B$2:$B$147,"",0),_xlfn.XLOOKUP(H974,dd_item!$A$2:$A$147,dd_item!$B$2:$B$147,"",0))</f>
        <v>Bead34</v>
      </c>
      <c r="K974" s="16" t="str">
        <f>_xlfn.XLOOKUP(A974,dd_design_raw!$C$2:$C$1002,dd_design_raw!$A$2:$A$1002,"",0)</f>
        <v>Patio Door - without Bottom Frame</v>
      </c>
      <c r="L974" s="16" t="str">
        <f>_xlfn.XLOOKUP(I974,dd_accsryclr!$A$2:$A$1000,dd_accsryclr!$A$2:$A$1000,"",0)</f>
        <v>BLK</v>
      </c>
    </row>
    <row r="975" spans="1:12" hidden="1" x14ac:dyDescent="0.25">
      <c r="A975" s="16" t="s">
        <v>19</v>
      </c>
      <c r="B975" s="16" t="s">
        <v>605</v>
      </c>
      <c r="C975" s="16" t="s">
        <v>362</v>
      </c>
      <c r="D975" s="16" t="s">
        <v>363</v>
      </c>
      <c r="E975" s="16">
        <v>0.98465517241379308</v>
      </c>
      <c r="F975" s="16" t="s">
        <v>194</v>
      </c>
      <c r="G975" s="16"/>
      <c r="H975" s="16" t="s">
        <v>351</v>
      </c>
      <c r="I975" s="16" t="s">
        <v>230</v>
      </c>
      <c r="J975" s="16" t="str">
        <f>IF(ISNUMBER(SEARCH("SCRW", H975)), _xlfn.XLOOKUP(C975,dd_item!$A$2:$A$147,dd_item!$B$2:$B$147,"",0),_xlfn.XLOOKUP(H975,dd_item!$A$2:$A$147,dd_item!$B$2:$B$147,"",0))</f>
        <v>Bead34</v>
      </c>
      <c r="K975" s="16" t="str">
        <f>_xlfn.XLOOKUP(A975,dd_design_raw!$C$2:$C$1002,dd_design_raw!$A$2:$A$1002,"",0)</f>
        <v>Patio Door - without Bottom Frame</v>
      </c>
      <c r="L975" s="16" t="str">
        <f>_xlfn.XLOOKUP(I975,dd_accsryclr!$A$2:$A$1000,dd_accsryclr!$A$2:$A$1000,"",0)</f>
        <v>BRWN</v>
      </c>
    </row>
    <row r="976" spans="1:12" hidden="1" x14ac:dyDescent="0.25">
      <c r="A976" s="16" t="s">
        <v>19</v>
      </c>
      <c r="B976" s="16" t="s">
        <v>605</v>
      </c>
      <c r="C976" s="16" t="s">
        <v>390</v>
      </c>
      <c r="D976" s="16" t="s">
        <v>391</v>
      </c>
      <c r="E976" s="16">
        <v>11.422000000000001</v>
      </c>
      <c r="F976" s="16" t="s">
        <v>369</v>
      </c>
      <c r="G976" s="16"/>
      <c r="H976" s="16" t="s">
        <v>792</v>
      </c>
      <c r="I976" s="16"/>
      <c r="J976" s="16" t="str">
        <f>IF(ISNUMBER(SEARCH("SCRW", H976)), _xlfn.XLOOKUP(C976,dd_item!$A$2:$A$147,dd_item!$B$2:$B$147,"",0),_xlfn.XLOOKUP(H976,dd_item!$A$2:$A$147,dd_item!$B$2:$B$147,"",0))</f>
        <v>Atlas Screw (S) 10 x 2-1/2" (Flat)</v>
      </c>
      <c r="K976" s="16" t="str">
        <f>_xlfn.XLOOKUP(A976,dd_design_raw!$C$2:$C$1002,dd_design_raw!$A$2:$A$1002,"",0)</f>
        <v>Patio Door - without Bottom Frame</v>
      </c>
      <c r="L976" s="16" t="str">
        <f>_xlfn.XLOOKUP(I976,dd_accsryclr!$A$2:$A$1000,dd_accsryclr!$A$2:$A$1000,"",0)</f>
        <v/>
      </c>
    </row>
    <row r="977" spans="1:12" hidden="1" x14ac:dyDescent="0.25">
      <c r="A977" s="16" t="s">
        <v>19</v>
      </c>
      <c r="B977" s="16" t="s">
        <v>605</v>
      </c>
      <c r="C977" s="16" t="s">
        <v>392</v>
      </c>
      <c r="D977" s="16" t="s">
        <v>393</v>
      </c>
      <c r="E977" s="16">
        <v>2</v>
      </c>
      <c r="F977" s="16" t="s">
        <v>369</v>
      </c>
      <c r="G977" s="16"/>
      <c r="H977" s="16" t="s">
        <v>394</v>
      </c>
      <c r="I977" s="16" t="s">
        <v>223</v>
      </c>
      <c r="J977" s="16" t="str">
        <f>IF(ISNUMBER(SEARCH("SCRW", H977)), _xlfn.XLOOKUP(C977,dd_item!$A$2:$A$147,dd_item!$B$2:$B$147,"",0),_xlfn.XLOOKUP(H977,dd_item!$A$2:$A$147,dd_item!$B$2:$B$147,"",0))</f>
        <v>Drainage Cover</v>
      </c>
      <c r="K977" s="16" t="str">
        <f>_xlfn.XLOOKUP(A977,dd_design_raw!$C$2:$C$1002,dd_design_raw!$A$2:$A$1002,"",0)</f>
        <v>Patio Door - without Bottom Frame</v>
      </c>
      <c r="L977" s="16" t="str">
        <f>_xlfn.XLOOKUP(I977,dd_accsryclr!$A$2:$A$1000,dd_accsryclr!$A$2:$A$1000,"",0)</f>
        <v>BLK</v>
      </c>
    </row>
    <row r="978" spans="1:12" hidden="1" x14ac:dyDescent="0.25">
      <c r="A978" s="16" t="s">
        <v>19</v>
      </c>
      <c r="B978" s="16" t="s">
        <v>605</v>
      </c>
      <c r="C978" s="16" t="s">
        <v>395</v>
      </c>
      <c r="D978" s="16" t="s">
        <v>396</v>
      </c>
      <c r="E978" s="16">
        <v>2</v>
      </c>
      <c r="F978" s="16" t="s">
        <v>369</v>
      </c>
      <c r="G978" s="16"/>
      <c r="H978" s="16" t="s">
        <v>394</v>
      </c>
      <c r="I978" s="16" t="s">
        <v>220</v>
      </c>
      <c r="J978" s="16" t="str">
        <f>IF(ISNUMBER(SEARCH("SCRW", H978)), _xlfn.XLOOKUP(C978,dd_item!$A$2:$A$147,dd_item!$B$2:$B$147,"",0),_xlfn.XLOOKUP(H978,dd_item!$A$2:$A$147,dd_item!$B$2:$B$147,"",0))</f>
        <v>Drainage Cover</v>
      </c>
      <c r="K978" s="16" t="str">
        <f>_xlfn.XLOOKUP(A978,dd_design_raw!$C$2:$C$1002,dd_design_raw!$A$2:$A$1002,"",0)</f>
        <v>Patio Door - without Bottom Frame</v>
      </c>
      <c r="L978" s="16" t="str">
        <f>_xlfn.XLOOKUP(I978,dd_accsryclr!$A$2:$A$1000,dd_accsryclr!$A$2:$A$1000,"",0)</f>
        <v>WHT</v>
      </c>
    </row>
    <row r="979" spans="1:12" hidden="1" x14ac:dyDescent="0.25">
      <c r="A979" s="16" t="s">
        <v>19</v>
      </c>
      <c r="B979" s="16" t="s">
        <v>605</v>
      </c>
      <c r="C979" s="16" t="s">
        <v>397</v>
      </c>
      <c r="D979" s="16" t="s">
        <v>398</v>
      </c>
      <c r="E979" s="16">
        <v>0.22844</v>
      </c>
      <c r="F979" s="16" t="s">
        <v>369</v>
      </c>
      <c r="G979" s="16"/>
      <c r="H979" s="16" t="s">
        <v>399</v>
      </c>
      <c r="I979" s="16" t="s">
        <v>400</v>
      </c>
      <c r="J979" s="16" t="str">
        <f>IF(ISNUMBER(SEARCH("SCRW", H979)), _xlfn.XLOOKUP(C979,dd_item!$A$2:$A$147,dd_item!$B$2:$B$147,"",0),_xlfn.XLOOKUP(H979,dd_item!$A$2:$A$147,dd_item!$B$2:$B$147,"",0))</f>
        <v>Tox6</v>
      </c>
      <c r="K979" s="16" t="str">
        <f>_xlfn.XLOOKUP(A979,dd_design_raw!$C$2:$C$1002,dd_design_raw!$A$2:$A$1002,"",0)</f>
        <v>Patio Door - without Bottom Frame</v>
      </c>
      <c r="L979" s="16" t="str">
        <f>_xlfn.XLOOKUP(I979,dd_accsryclr!$A$2:$A$1000,dd_accsryclr!$A$2:$A$1000,"",0)</f>
        <v/>
      </c>
    </row>
    <row r="980" spans="1:12" hidden="1" x14ac:dyDescent="0.25">
      <c r="A980" s="16" t="s">
        <v>19</v>
      </c>
      <c r="B980" s="16" t="s">
        <v>605</v>
      </c>
      <c r="C980" s="16" t="s">
        <v>414</v>
      </c>
      <c r="D980" s="16" t="s">
        <v>415</v>
      </c>
      <c r="E980" s="16">
        <v>3.8073333333333332</v>
      </c>
      <c r="F980" s="16" t="s">
        <v>369</v>
      </c>
      <c r="G980" s="16"/>
      <c r="H980" s="16" t="s">
        <v>416</v>
      </c>
      <c r="I980" s="16" t="s">
        <v>223</v>
      </c>
      <c r="J980" s="16" t="str">
        <f>IF(ISNUMBER(SEARCH("SCRW", H980)), _xlfn.XLOOKUP(C980,dd_item!$A$2:$A$147,dd_item!$B$2:$B$147,"",0),_xlfn.XLOOKUP(H980,dd_item!$A$2:$A$147,dd_item!$B$2:$B$147,"",0))</f>
        <v>Sealant</v>
      </c>
      <c r="K980" s="16" t="str">
        <f>_xlfn.XLOOKUP(A980,dd_design_raw!$C$2:$C$1002,dd_design_raw!$A$2:$A$1002,"",0)</f>
        <v>Patio Door - without Bottom Frame</v>
      </c>
      <c r="L980" s="16" t="str">
        <f>_xlfn.XLOOKUP(I980,dd_accsryclr!$A$2:$A$1000,dd_accsryclr!$A$2:$A$1000,"",0)</f>
        <v>BLK</v>
      </c>
    </row>
    <row r="981" spans="1:12" hidden="1" x14ac:dyDescent="0.25">
      <c r="A981" s="16" t="s">
        <v>19</v>
      </c>
      <c r="B981" s="16" t="s">
        <v>605</v>
      </c>
      <c r="C981" s="16" t="s">
        <v>417</v>
      </c>
      <c r="D981" s="16" t="s">
        <v>418</v>
      </c>
      <c r="E981" s="16">
        <v>3.8073333333333332</v>
      </c>
      <c r="F981" s="16" t="s">
        <v>369</v>
      </c>
      <c r="G981" s="16"/>
      <c r="H981" s="16" t="s">
        <v>416</v>
      </c>
      <c r="I981" s="16" t="s">
        <v>230</v>
      </c>
      <c r="J981" s="16" t="str">
        <f>IF(ISNUMBER(SEARCH("SCRW", H981)), _xlfn.XLOOKUP(C981,dd_item!$A$2:$A$147,dd_item!$B$2:$B$147,"",0),_xlfn.XLOOKUP(H981,dd_item!$A$2:$A$147,dd_item!$B$2:$B$147,"",0))</f>
        <v>Sealant</v>
      </c>
      <c r="K981" s="16" t="str">
        <f>_xlfn.XLOOKUP(A981,dd_design_raw!$C$2:$C$1002,dd_design_raw!$A$2:$A$1002,"",0)</f>
        <v>Patio Door - without Bottom Frame</v>
      </c>
      <c r="L981" s="16" t="str">
        <f>_xlfn.XLOOKUP(I981,dd_accsryclr!$A$2:$A$1000,dd_accsryclr!$A$2:$A$1000,"",0)</f>
        <v>BRWN</v>
      </c>
    </row>
    <row r="982" spans="1:12" hidden="1" x14ac:dyDescent="0.25">
      <c r="A982" s="16" t="s">
        <v>19</v>
      </c>
      <c r="B982" s="16" t="s">
        <v>605</v>
      </c>
      <c r="C982" s="16" t="s">
        <v>419</v>
      </c>
      <c r="D982" s="16" t="s">
        <v>420</v>
      </c>
      <c r="E982" s="16">
        <v>3.8073333333333332</v>
      </c>
      <c r="F982" s="16" t="s">
        <v>369</v>
      </c>
      <c r="G982" s="16"/>
      <c r="H982" s="16" t="s">
        <v>416</v>
      </c>
      <c r="I982" s="16" t="s">
        <v>220</v>
      </c>
      <c r="J982" s="16" t="str">
        <f>IF(ISNUMBER(SEARCH("SCRW", H982)), _xlfn.XLOOKUP(C982,dd_item!$A$2:$A$147,dd_item!$B$2:$B$147,"",0),_xlfn.XLOOKUP(H982,dd_item!$A$2:$A$147,dd_item!$B$2:$B$147,"",0))</f>
        <v>Sealant</v>
      </c>
      <c r="K982" s="16" t="str">
        <f>_xlfn.XLOOKUP(A982,dd_design_raw!$C$2:$C$1002,dd_design_raw!$A$2:$A$1002,"",0)</f>
        <v>Patio Door - without Bottom Frame</v>
      </c>
      <c r="L982" s="16" t="str">
        <f>_xlfn.XLOOKUP(I982,dd_accsryclr!$A$2:$A$1000,dd_accsryclr!$A$2:$A$1000,"",0)</f>
        <v>WHT</v>
      </c>
    </row>
    <row r="983" spans="1:12" hidden="1" x14ac:dyDescent="0.25">
      <c r="A983" s="16" t="s">
        <v>19</v>
      </c>
      <c r="B983" s="16" t="s">
        <v>605</v>
      </c>
      <c r="C983" s="16" t="s">
        <v>421</v>
      </c>
      <c r="D983" s="16" t="s">
        <v>422</v>
      </c>
      <c r="E983" s="16"/>
      <c r="F983" s="16" t="s">
        <v>369</v>
      </c>
      <c r="G983" s="16"/>
      <c r="H983" s="16" t="s">
        <v>416</v>
      </c>
      <c r="I983" s="16" t="s">
        <v>423</v>
      </c>
      <c r="J983" s="16" t="str">
        <f>IF(ISNUMBER(SEARCH("SCRW", H983)), _xlfn.XLOOKUP(C983,dd_item!$A$2:$A$147,dd_item!$B$2:$B$147,"",0),_xlfn.XLOOKUP(H983,dd_item!$A$2:$A$147,dd_item!$B$2:$B$147,"",0))</f>
        <v>Sealant</v>
      </c>
      <c r="K983" s="16" t="str">
        <f>_xlfn.XLOOKUP(A983,dd_design_raw!$C$2:$C$1002,dd_design_raw!$A$2:$A$1002,"",0)</f>
        <v>Patio Door - without Bottom Frame</v>
      </c>
      <c r="L983" s="16" t="str">
        <f>_xlfn.XLOOKUP(I983,dd_accsryclr!$A$2:$A$1000,dd_accsryclr!$A$2:$A$1000,"",0)</f>
        <v/>
      </c>
    </row>
    <row r="984" spans="1:12" hidden="1" x14ac:dyDescent="0.25">
      <c r="A984" s="16" t="s">
        <v>74</v>
      </c>
      <c r="B984" s="16" t="s">
        <v>629</v>
      </c>
      <c r="C984" s="16" t="s">
        <v>484</v>
      </c>
      <c r="D984" s="16" t="s">
        <v>485</v>
      </c>
      <c r="E984" s="16">
        <v>0.98465517241379308</v>
      </c>
      <c r="F984" s="16" t="s">
        <v>194</v>
      </c>
      <c r="G984" s="16"/>
      <c r="H984" s="16" t="s">
        <v>486</v>
      </c>
      <c r="I984" s="16" t="s">
        <v>230</v>
      </c>
      <c r="J984" s="16" t="str">
        <f>IF(ISNUMBER(SEARCH("SCRW", H984)), _xlfn.XLOOKUP(C984,dd_item!$A$2:$A$147,dd_item!$B$2:$B$147,"",0),_xlfn.XLOOKUP(H984,dd_item!$A$2:$A$147,dd_item!$B$2:$B$147,"",0))</f>
        <v>Frame60</v>
      </c>
      <c r="K984" s="16" t="str">
        <f>_xlfn.XLOOKUP(A984,dd_design_raw!$C$2:$C$1002,dd_design_raw!$A$2:$A$1002,"",0)</f>
        <v>Patio Door - with Bottom Frame</v>
      </c>
      <c r="L984" s="16" t="str">
        <f>_xlfn.XLOOKUP(I984,dd_accsryclr!$A$2:$A$1000,dd_accsryclr!$A$2:$A$1000,"",0)</f>
        <v>BRWN</v>
      </c>
    </row>
    <row r="985" spans="1:12" hidden="1" x14ac:dyDescent="0.25">
      <c r="A985" s="16" t="s">
        <v>74</v>
      </c>
      <c r="B985" s="16" t="s">
        <v>629</v>
      </c>
      <c r="C985" s="16" t="s">
        <v>487</v>
      </c>
      <c r="D985" s="16" t="s">
        <v>488</v>
      </c>
      <c r="E985" s="16">
        <v>0.98465517241379308</v>
      </c>
      <c r="F985" s="16" t="s">
        <v>194</v>
      </c>
      <c r="G985" s="16"/>
      <c r="H985" s="16" t="s">
        <v>486</v>
      </c>
      <c r="I985" s="16" t="s">
        <v>223</v>
      </c>
      <c r="J985" s="16" t="str">
        <f>IF(ISNUMBER(SEARCH("SCRW", H985)), _xlfn.XLOOKUP(C985,dd_item!$A$2:$A$147,dd_item!$B$2:$B$147,"",0),_xlfn.XLOOKUP(H985,dd_item!$A$2:$A$147,dd_item!$B$2:$B$147,"",0))</f>
        <v>Frame60</v>
      </c>
      <c r="K985" s="16" t="str">
        <f>_xlfn.XLOOKUP(A985,dd_design_raw!$C$2:$C$1002,dd_design_raw!$A$2:$A$1002,"",0)</f>
        <v>Patio Door - with Bottom Frame</v>
      </c>
      <c r="L985" s="16" t="str">
        <f>_xlfn.XLOOKUP(I985,dd_accsryclr!$A$2:$A$1000,dd_accsryclr!$A$2:$A$1000,"",0)</f>
        <v>BLK</v>
      </c>
    </row>
    <row r="986" spans="1:12" hidden="1" x14ac:dyDescent="0.25">
      <c r="A986" s="16" t="s">
        <v>74</v>
      </c>
      <c r="B986" s="16" t="s">
        <v>629</v>
      </c>
      <c r="C986" s="16" t="s">
        <v>489</v>
      </c>
      <c r="D986" s="16" t="s">
        <v>490</v>
      </c>
      <c r="E986" s="16">
        <v>0.98465517241379308</v>
      </c>
      <c r="F986" s="16" t="s">
        <v>194</v>
      </c>
      <c r="G986" s="16"/>
      <c r="H986" s="16" t="s">
        <v>486</v>
      </c>
      <c r="I986" s="16" t="s">
        <v>211</v>
      </c>
      <c r="J986" s="16" t="str">
        <f>IF(ISNUMBER(SEARCH("SCRW", H986)), _xlfn.XLOOKUP(C986,dd_item!$A$2:$A$147,dd_item!$B$2:$B$147,"",0),_xlfn.XLOOKUP(H986,dd_item!$A$2:$A$147,dd_item!$B$2:$B$147,"",0))</f>
        <v>Frame60</v>
      </c>
      <c r="K986" s="16" t="str">
        <f>_xlfn.XLOOKUP(A986,dd_design_raw!$C$2:$C$1002,dd_design_raw!$A$2:$A$1002,"",0)</f>
        <v>Patio Door - with Bottom Frame</v>
      </c>
      <c r="L986" s="16" t="str">
        <f>_xlfn.XLOOKUP(I986,dd_accsryclr!$A$2:$A$1000,dd_accsryclr!$A$2:$A$1000,"",0)</f>
        <v/>
      </c>
    </row>
    <row r="987" spans="1:12" hidden="1" x14ac:dyDescent="0.25">
      <c r="A987" s="16" t="s">
        <v>74</v>
      </c>
      <c r="B987" s="16" t="s">
        <v>629</v>
      </c>
      <c r="C987" s="16" t="s">
        <v>491</v>
      </c>
      <c r="D987" s="16" t="s">
        <v>492</v>
      </c>
      <c r="E987" s="16">
        <v>0.98465517241379308</v>
      </c>
      <c r="F987" s="16" t="s">
        <v>194</v>
      </c>
      <c r="G987" s="16"/>
      <c r="H987" s="16" t="s">
        <v>486</v>
      </c>
      <c r="I987" s="16" t="s">
        <v>214</v>
      </c>
      <c r="J987" s="16" t="str">
        <f>IF(ISNUMBER(SEARCH("SCRW", H987)), _xlfn.XLOOKUP(C987,dd_item!$A$2:$A$147,dd_item!$B$2:$B$147,"",0),_xlfn.XLOOKUP(H987,dd_item!$A$2:$A$147,dd_item!$B$2:$B$147,"",0))</f>
        <v>Frame60</v>
      </c>
      <c r="K987" s="16" t="str">
        <f>_xlfn.XLOOKUP(A987,dd_design_raw!$C$2:$C$1002,dd_design_raw!$A$2:$A$1002,"",0)</f>
        <v>Patio Door - with Bottom Frame</v>
      </c>
      <c r="L987" s="16" t="str">
        <f>_xlfn.XLOOKUP(I987,dd_accsryclr!$A$2:$A$1000,dd_accsryclr!$A$2:$A$1000,"",0)</f>
        <v/>
      </c>
    </row>
    <row r="988" spans="1:12" hidden="1" x14ac:dyDescent="0.25">
      <c r="A988" s="16" t="s">
        <v>74</v>
      </c>
      <c r="B988" s="16" t="s">
        <v>629</v>
      </c>
      <c r="C988" s="16" t="s">
        <v>493</v>
      </c>
      <c r="D988" s="16" t="s">
        <v>494</v>
      </c>
      <c r="E988" s="16">
        <v>0.98465517241379308</v>
      </c>
      <c r="F988" s="16" t="s">
        <v>194</v>
      </c>
      <c r="G988" s="16"/>
      <c r="H988" s="16" t="s">
        <v>486</v>
      </c>
      <c r="I988" s="16" t="s">
        <v>217</v>
      </c>
      <c r="J988" s="16" t="str">
        <f>IF(ISNUMBER(SEARCH("SCRW", H988)), _xlfn.XLOOKUP(C988,dd_item!$A$2:$A$147,dd_item!$B$2:$B$147,"",0),_xlfn.XLOOKUP(H988,dd_item!$A$2:$A$147,dd_item!$B$2:$B$147,"",0))</f>
        <v>Frame60</v>
      </c>
      <c r="K988" s="16" t="str">
        <f>_xlfn.XLOOKUP(A988,dd_design_raw!$C$2:$C$1002,dd_design_raw!$A$2:$A$1002,"",0)</f>
        <v>Patio Door - with Bottom Frame</v>
      </c>
      <c r="L988" s="16" t="str">
        <f>_xlfn.XLOOKUP(I988,dd_accsryclr!$A$2:$A$1000,dd_accsryclr!$A$2:$A$1000,"",0)</f>
        <v/>
      </c>
    </row>
    <row r="989" spans="1:12" hidden="1" x14ac:dyDescent="0.25">
      <c r="A989" s="16" t="s">
        <v>74</v>
      </c>
      <c r="B989" s="16" t="s">
        <v>629</v>
      </c>
      <c r="C989" s="16" t="s">
        <v>495</v>
      </c>
      <c r="D989" s="16" t="s">
        <v>496</v>
      </c>
      <c r="E989" s="16">
        <v>0.98465517241379308</v>
      </c>
      <c r="F989" s="16" t="s">
        <v>194</v>
      </c>
      <c r="G989" s="16"/>
      <c r="H989" s="16" t="s">
        <v>486</v>
      </c>
      <c r="I989" s="16" t="s">
        <v>226</v>
      </c>
      <c r="J989" s="16" t="str">
        <f>IF(ISNUMBER(SEARCH("SCRW", H989)), _xlfn.XLOOKUP(C989,dd_item!$A$2:$A$147,dd_item!$B$2:$B$147,"",0),_xlfn.XLOOKUP(H989,dd_item!$A$2:$A$147,dd_item!$B$2:$B$147,"",0))</f>
        <v>Frame60</v>
      </c>
      <c r="K989" s="16" t="str">
        <f>_xlfn.XLOOKUP(A989,dd_design_raw!$C$2:$C$1002,dd_design_raw!$A$2:$A$1002,"",0)</f>
        <v>Patio Door - with Bottom Frame</v>
      </c>
      <c r="L989" s="16" t="str">
        <f>_xlfn.XLOOKUP(I989,dd_accsryclr!$A$2:$A$1000,dd_accsryclr!$A$2:$A$1000,"",0)</f>
        <v/>
      </c>
    </row>
    <row r="990" spans="1:12" hidden="1" x14ac:dyDescent="0.25">
      <c r="A990" s="16" t="s">
        <v>74</v>
      </c>
      <c r="B990" s="16" t="s">
        <v>629</v>
      </c>
      <c r="C990" s="16" t="s">
        <v>497</v>
      </c>
      <c r="D990" s="16" t="s">
        <v>498</v>
      </c>
      <c r="E990" s="16">
        <v>0.98465517241379308</v>
      </c>
      <c r="F990" s="16" t="s">
        <v>194</v>
      </c>
      <c r="G990" s="16"/>
      <c r="H990" s="16" t="s">
        <v>486</v>
      </c>
      <c r="I990" s="16" t="s">
        <v>220</v>
      </c>
      <c r="J990" s="16" t="str">
        <f>IF(ISNUMBER(SEARCH("SCRW", H990)), _xlfn.XLOOKUP(C990,dd_item!$A$2:$A$147,dd_item!$B$2:$B$147,"",0),_xlfn.XLOOKUP(H990,dd_item!$A$2:$A$147,dd_item!$B$2:$B$147,"",0))</f>
        <v>Frame60</v>
      </c>
      <c r="K990" s="16" t="str">
        <f>_xlfn.XLOOKUP(A990,dd_design_raw!$C$2:$C$1002,dd_design_raw!$A$2:$A$1002,"",0)</f>
        <v>Patio Door - with Bottom Frame</v>
      </c>
      <c r="L990" s="16" t="str">
        <f>_xlfn.XLOOKUP(I990,dd_accsryclr!$A$2:$A$1000,dd_accsryclr!$A$2:$A$1000,"",0)</f>
        <v>WHT</v>
      </c>
    </row>
    <row r="991" spans="1:12" hidden="1" x14ac:dyDescent="0.25">
      <c r="A991" s="16" t="s">
        <v>74</v>
      </c>
      <c r="B991" s="16" t="s">
        <v>629</v>
      </c>
      <c r="C991" s="16" t="s">
        <v>606</v>
      </c>
      <c r="D991" s="16" t="s">
        <v>607</v>
      </c>
      <c r="E991" s="16">
        <v>1.1131034482758622</v>
      </c>
      <c r="F991" s="16" t="s">
        <v>194</v>
      </c>
      <c r="G991" s="16"/>
      <c r="H991" s="16" t="s">
        <v>608</v>
      </c>
      <c r="I991" s="16" t="s">
        <v>223</v>
      </c>
      <c r="J991" s="16" t="str">
        <f>IF(ISNUMBER(SEARCH("SCRW", H991)), _xlfn.XLOOKUP(C991,dd_item!$A$2:$A$147,dd_item!$B$2:$B$147,"",0),_xlfn.XLOOKUP(H991,dd_item!$A$2:$A$147,dd_item!$B$2:$B$147,"",0))</f>
        <v>Sash104</v>
      </c>
      <c r="K991" s="16" t="str">
        <f>_xlfn.XLOOKUP(A991,dd_design_raw!$C$2:$C$1002,dd_design_raw!$A$2:$A$1002,"",0)</f>
        <v>Patio Door - with Bottom Frame</v>
      </c>
      <c r="L991" s="16" t="str">
        <f>_xlfn.XLOOKUP(I991,dd_accsryclr!$A$2:$A$1000,dd_accsryclr!$A$2:$A$1000,"",0)</f>
        <v>BLK</v>
      </c>
    </row>
    <row r="992" spans="1:12" hidden="1" x14ac:dyDescent="0.25">
      <c r="A992" s="16" t="s">
        <v>74</v>
      </c>
      <c r="B992" s="16" t="s">
        <v>629</v>
      </c>
      <c r="C992" s="16" t="s">
        <v>609</v>
      </c>
      <c r="D992" s="16" t="s">
        <v>610</v>
      </c>
      <c r="E992" s="16">
        <v>1.1131034482758622</v>
      </c>
      <c r="F992" s="16" t="s">
        <v>194</v>
      </c>
      <c r="G992" s="16"/>
      <c r="H992" s="16" t="s">
        <v>608</v>
      </c>
      <c r="I992" s="16" t="s">
        <v>230</v>
      </c>
      <c r="J992" s="16" t="str">
        <f>IF(ISNUMBER(SEARCH("SCRW", H992)), _xlfn.XLOOKUP(C992,dd_item!$A$2:$A$147,dd_item!$B$2:$B$147,"",0),_xlfn.XLOOKUP(H992,dd_item!$A$2:$A$147,dd_item!$B$2:$B$147,"",0))</f>
        <v>Sash104</v>
      </c>
      <c r="K992" s="16" t="str">
        <f>_xlfn.XLOOKUP(A992,dd_design_raw!$C$2:$C$1002,dd_design_raw!$A$2:$A$1002,"",0)</f>
        <v>Patio Door - with Bottom Frame</v>
      </c>
      <c r="L992" s="16" t="str">
        <f>_xlfn.XLOOKUP(I992,dd_accsryclr!$A$2:$A$1000,dd_accsryclr!$A$2:$A$1000,"",0)</f>
        <v>BRWN</v>
      </c>
    </row>
    <row r="993" spans="1:12" hidden="1" x14ac:dyDescent="0.25">
      <c r="A993" s="16" t="s">
        <v>74</v>
      </c>
      <c r="B993" s="16" t="s">
        <v>629</v>
      </c>
      <c r="C993" s="16" t="s">
        <v>611</v>
      </c>
      <c r="D993" s="16" t="s">
        <v>612</v>
      </c>
      <c r="E993" s="16">
        <v>1.1131034482758622</v>
      </c>
      <c r="F993" s="16" t="s">
        <v>194</v>
      </c>
      <c r="G993" s="16"/>
      <c r="H993" s="16" t="s">
        <v>608</v>
      </c>
      <c r="I993" s="16" t="s">
        <v>211</v>
      </c>
      <c r="J993" s="16" t="str">
        <f>IF(ISNUMBER(SEARCH("SCRW", H993)), _xlfn.XLOOKUP(C993,dd_item!$A$2:$A$147,dd_item!$B$2:$B$147,"",0),_xlfn.XLOOKUP(H993,dd_item!$A$2:$A$147,dd_item!$B$2:$B$147,"",0))</f>
        <v>Sash104</v>
      </c>
      <c r="K993" s="16" t="str">
        <f>_xlfn.XLOOKUP(A993,dd_design_raw!$C$2:$C$1002,dd_design_raw!$A$2:$A$1002,"",0)</f>
        <v>Patio Door - with Bottom Frame</v>
      </c>
      <c r="L993" s="16" t="str">
        <f>_xlfn.XLOOKUP(I993,dd_accsryclr!$A$2:$A$1000,dd_accsryclr!$A$2:$A$1000,"",0)</f>
        <v/>
      </c>
    </row>
    <row r="994" spans="1:12" hidden="1" x14ac:dyDescent="0.25">
      <c r="A994" s="16" t="s">
        <v>74</v>
      </c>
      <c r="B994" s="16" t="s">
        <v>629</v>
      </c>
      <c r="C994" s="16" t="s">
        <v>613</v>
      </c>
      <c r="D994" s="16" t="s">
        <v>614</v>
      </c>
      <c r="E994" s="16">
        <v>1.1131034482758622</v>
      </c>
      <c r="F994" s="16" t="s">
        <v>194</v>
      </c>
      <c r="G994" s="16"/>
      <c r="H994" s="16" t="s">
        <v>608</v>
      </c>
      <c r="I994" s="16" t="s">
        <v>214</v>
      </c>
      <c r="J994" s="16" t="str">
        <f>IF(ISNUMBER(SEARCH("SCRW", H994)), _xlfn.XLOOKUP(C994,dd_item!$A$2:$A$147,dd_item!$B$2:$B$147,"",0),_xlfn.XLOOKUP(H994,dd_item!$A$2:$A$147,dd_item!$B$2:$B$147,"",0))</f>
        <v>Sash104</v>
      </c>
      <c r="K994" s="16" t="str">
        <f>_xlfn.XLOOKUP(A994,dd_design_raw!$C$2:$C$1002,dd_design_raw!$A$2:$A$1002,"",0)</f>
        <v>Patio Door - with Bottom Frame</v>
      </c>
      <c r="L994" s="16" t="str">
        <f>_xlfn.XLOOKUP(I994,dd_accsryclr!$A$2:$A$1000,dd_accsryclr!$A$2:$A$1000,"",0)</f>
        <v/>
      </c>
    </row>
    <row r="995" spans="1:12" hidden="1" x14ac:dyDescent="0.25">
      <c r="A995" s="16" t="s">
        <v>74</v>
      </c>
      <c r="B995" s="16" t="s">
        <v>629</v>
      </c>
      <c r="C995" s="16" t="s">
        <v>615</v>
      </c>
      <c r="D995" s="16" t="s">
        <v>616</v>
      </c>
      <c r="E995" s="16">
        <v>1.1131034482758622</v>
      </c>
      <c r="F995" s="16" t="s">
        <v>194</v>
      </c>
      <c r="G995" s="16"/>
      <c r="H995" s="16" t="s">
        <v>608</v>
      </c>
      <c r="I995" s="16" t="s">
        <v>217</v>
      </c>
      <c r="J995" s="16" t="str">
        <f>IF(ISNUMBER(SEARCH("SCRW", H995)), _xlfn.XLOOKUP(C995,dd_item!$A$2:$A$147,dd_item!$B$2:$B$147,"",0),_xlfn.XLOOKUP(H995,dd_item!$A$2:$A$147,dd_item!$B$2:$B$147,"",0))</f>
        <v>Sash104</v>
      </c>
      <c r="K995" s="16" t="str">
        <f>_xlfn.XLOOKUP(A995,dd_design_raw!$C$2:$C$1002,dd_design_raw!$A$2:$A$1002,"",0)</f>
        <v>Patio Door - with Bottom Frame</v>
      </c>
      <c r="L995" s="16" t="str">
        <f>_xlfn.XLOOKUP(I995,dd_accsryclr!$A$2:$A$1000,dd_accsryclr!$A$2:$A$1000,"",0)</f>
        <v/>
      </c>
    </row>
    <row r="996" spans="1:12" hidden="1" x14ac:dyDescent="0.25">
      <c r="A996" s="16" t="s">
        <v>74</v>
      </c>
      <c r="B996" s="16" t="s">
        <v>629</v>
      </c>
      <c r="C996" s="16" t="s">
        <v>617</v>
      </c>
      <c r="D996" s="16" t="s">
        <v>618</v>
      </c>
      <c r="E996" s="16">
        <v>1.1131034482758622</v>
      </c>
      <c r="F996" s="16" t="s">
        <v>194</v>
      </c>
      <c r="G996" s="16"/>
      <c r="H996" s="16" t="s">
        <v>608</v>
      </c>
      <c r="I996" s="16" t="s">
        <v>226</v>
      </c>
      <c r="J996" s="16" t="str">
        <f>IF(ISNUMBER(SEARCH("SCRW", H996)), _xlfn.XLOOKUP(C996,dd_item!$A$2:$A$147,dd_item!$B$2:$B$147,"",0),_xlfn.XLOOKUP(H996,dd_item!$A$2:$A$147,dd_item!$B$2:$B$147,"",0))</f>
        <v>Sash104</v>
      </c>
      <c r="K996" s="16" t="str">
        <f>_xlfn.XLOOKUP(A996,dd_design_raw!$C$2:$C$1002,dd_design_raw!$A$2:$A$1002,"",0)</f>
        <v>Patio Door - with Bottom Frame</v>
      </c>
      <c r="L996" s="16" t="str">
        <f>_xlfn.XLOOKUP(I996,dd_accsryclr!$A$2:$A$1000,dd_accsryclr!$A$2:$A$1000,"",0)</f>
        <v/>
      </c>
    </row>
    <row r="997" spans="1:12" hidden="1" x14ac:dyDescent="0.25">
      <c r="A997" s="16" t="s">
        <v>74</v>
      </c>
      <c r="B997" s="16" t="s">
        <v>629</v>
      </c>
      <c r="C997" s="16" t="s">
        <v>619</v>
      </c>
      <c r="D997" s="16" t="s">
        <v>620</v>
      </c>
      <c r="E997" s="16">
        <v>1.1131034482758622</v>
      </c>
      <c r="F997" s="16" t="s">
        <v>194</v>
      </c>
      <c r="G997" s="16"/>
      <c r="H997" s="16" t="s">
        <v>608</v>
      </c>
      <c r="I997" s="16" t="s">
        <v>220</v>
      </c>
      <c r="J997" s="16" t="str">
        <f>IF(ISNUMBER(SEARCH("SCRW", H997)), _xlfn.XLOOKUP(C997,dd_item!$A$2:$A$147,dd_item!$B$2:$B$147,"",0),_xlfn.XLOOKUP(H997,dd_item!$A$2:$A$147,dd_item!$B$2:$B$147,"",0))</f>
        <v>Sash104</v>
      </c>
      <c r="K997" s="16" t="str">
        <f>_xlfn.XLOOKUP(A997,dd_design_raw!$C$2:$C$1002,dd_design_raw!$A$2:$A$1002,"",0)</f>
        <v>Patio Door - with Bottom Frame</v>
      </c>
      <c r="L997" s="16" t="str">
        <f>_xlfn.XLOOKUP(I997,dd_accsryclr!$A$2:$A$1000,dd_accsryclr!$A$2:$A$1000,"",0)</f>
        <v>WHT</v>
      </c>
    </row>
    <row r="998" spans="1:12" hidden="1" x14ac:dyDescent="0.25">
      <c r="A998" s="16" t="s">
        <v>74</v>
      </c>
      <c r="B998" s="16" t="s">
        <v>629</v>
      </c>
      <c r="C998" s="16" t="s">
        <v>621</v>
      </c>
      <c r="D998" s="16" t="s">
        <v>622</v>
      </c>
      <c r="E998" s="16">
        <v>1.1131034482758622</v>
      </c>
      <c r="F998" s="16" t="s">
        <v>194</v>
      </c>
      <c r="G998" s="16" t="s">
        <v>623</v>
      </c>
      <c r="H998" s="16" t="s">
        <v>624</v>
      </c>
      <c r="I998" s="16" t="s">
        <v>625</v>
      </c>
      <c r="J998" s="16" t="str">
        <f>IF(ISNUMBER(SEARCH("SCRW", H998)), _xlfn.XLOOKUP(C998,dd_item!$A$2:$A$147,dd_item!$B$2:$B$147,"",0),_xlfn.XLOOKUP(H998,dd_item!$A$2:$A$147,dd_item!$B$2:$B$147,"",0))</f>
        <v>Steel-Sash104</v>
      </c>
      <c r="K998" s="16" t="str">
        <f>_xlfn.XLOOKUP(A998,dd_design_raw!$C$2:$C$1002,dd_design_raw!$A$2:$A$1002,"",0)</f>
        <v>Patio Door - with Bottom Frame</v>
      </c>
      <c r="L998" s="16" t="str">
        <f>_xlfn.XLOOKUP(I998,dd_accsryclr!$A$2:$A$1000,dd_accsryclr!$A$2:$A$1000,"",0)</f>
        <v/>
      </c>
    </row>
    <row r="999" spans="1:12" hidden="1" x14ac:dyDescent="0.25">
      <c r="A999" s="16" t="s">
        <v>74</v>
      </c>
      <c r="B999" s="16" t="s">
        <v>629</v>
      </c>
      <c r="C999" s="16" t="s">
        <v>626</v>
      </c>
      <c r="D999" s="16" t="s">
        <v>627</v>
      </c>
      <c r="E999" s="16">
        <v>0.98465517241379308</v>
      </c>
      <c r="F999" s="16" t="s">
        <v>194</v>
      </c>
      <c r="G999" s="16" t="s">
        <v>623</v>
      </c>
      <c r="H999" s="16" t="s">
        <v>624</v>
      </c>
      <c r="I999" s="16" t="s">
        <v>628</v>
      </c>
      <c r="J999" s="16" t="str">
        <f>IF(ISNUMBER(SEARCH("SCRW", H999)), _xlfn.XLOOKUP(C999,dd_item!$A$2:$A$147,dd_item!$B$2:$B$147,"",0),_xlfn.XLOOKUP(H999,dd_item!$A$2:$A$147,dd_item!$B$2:$B$147,"",0))</f>
        <v>Steel-Sash104</v>
      </c>
      <c r="K999" s="16" t="str">
        <f>_xlfn.XLOOKUP(A999,dd_design_raw!$C$2:$C$1002,dd_design_raw!$A$2:$A$1002,"",0)</f>
        <v>Patio Door - with Bottom Frame</v>
      </c>
      <c r="L999" s="16" t="str">
        <f>_xlfn.XLOOKUP(I999,dd_accsryclr!$A$2:$A$1000,dd_accsryclr!$A$2:$A$1000,"",0)</f>
        <v/>
      </c>
    </row>
    <row r="1000" spans="1:12" hidden="1" x14ac:dyDescent="0.25">
      <c r="A1000" s="16" t="s">
        <v>74</v>
      </c>
      <c r="B1000" s="16" t="s">
        <v>629</v>
      </c>
      <c r="C1000" s="16" t="s">
        <v>518</v>
      </c>
      <c r="D1000" s="16" t="s">
        <v>519</v>
      </c>
      <c r="E1000" s="16">
        <v>0.98465517241379308</v>
      </c>
      <c r="F1000" s="16" t="s">
        <v>194</v>
      </c>
      <c r="G1000" s="16" t="s">
        <v>707</v>
      </c>
      <c r="H1000" s="16" t="s">
        <v>1099</v>
      </c>
      <c r="I1000" s="16" t="s">
        <v>520</v>
      </c>
      <c r="J1000" s="16" t="str">
        <f>IF(ISNUMBER(SEARCH("SCRW", H1000)), _xlfn.XLOOKUP(C1000,dd_item!$A$2:$A$147,dd_item!$B$2:$B$147,"",0),_xlfn.XLOOKUP(H1000,dd_item!$A$2:$A$147,dd_item!$B$2:$B$147,"",0))</f>
        <v>Steel-Frame60-H</v>
      </c>
      <c r="K1000" s="16" t="str">
        <f>_xlfn.XLOOKUP(A1000,dd_design_raw!$C$2:$C$1002,dd_design_raw!$A$2:$A$1002,"",0)</f>
        <v>Patio Door - with Bottom Frame</v>
      </c>
      <c r="L1000" s="16" t="str">
        <f>_xlfn.XLOOKUP(I1000,dd_accsryclr!$A$2:$A$1000,dd_accsryclr!$A$2:$A$1000,"",0)</f>
        <v/>
      </c>
    </row>
    <row r="1001" spans="1:12" hidden="1" x14ac:dyDescent="0.25">
      <c r="A1001" s="16" t="s">
        <v>74</v>
      </c>
      <c r="B1001" s="16" t="s">
        <v>629</v>
      </c>
      <c r="C1001" s="16" t="s">
        <v>349</v>
      </c>
      <c r="D1001" s="16" t="s">
        <v>350</v>
      </c>
      <c r="E1001" s="16">
        <v>0.98465517241379308</v>
      </c>
      <c r="F1001" s="16" t="s">
        <v>194</v>
      </c>
      <c r="G1001" s="16"/>
      <c r="H1001" s="16" t="s">
        <v>351</v>
      </c>
      <c r="I1001" s="16" t="s">
        <v>211</v>
      </c>
      <c r="J1001" s="16" t="str">
        <f>IF(ISNUMBER(SEARCH("SCRW", H1001)), _xlfn.XLOOKUP(C1001,dd_item!$A$2:$A$147,dd_item!$B$2:$B$147,"",0),_xlfn.XLOOKUP(H1001,dd_item!$A$2:$A$147,dd_item!$B$2:$B$147,"",0))</f>
        <v>Bead34</v>
      </c>
      <c r="K1001" s="16" t="str">
        <f>_xlfn.XLOOKUP(A1001,dd_design_raw!$C$2:$C$1002,dd_design_raw!$A$2:$A$1002,"",0)</f>
        <v>Patio Door - with Bottom Frame</v>
      </c>
      <c r="L1001" s="16" t="str">
        <f>_xlfn.XLOOKUP(I1001,dd_accsryclr!$A$2:$A$1000,dd_accsryclr!$A$2:$A$1000,"",0)</f>
        <v/>
      </c>
    </row>
    <row r="1002" spans="1:12" hidden="1" x14ac:dyDescent="0.25">
      <c r="A1002" s="16" t="s">
        <v>74</v>
      </c>
      <c r="B1002" s="16" t="s">
        <v>629</v>
      </c>
      <c r="C1002" s="16" t="s">
        <v>352</v>
      </c>
      <c r="D1002" s="16" t="s">
        <v>353</v>
      </c>
      <c r="E1002" s="16">
        <v>0.98465517241379308</v>
      </c>
      <c r="F1002" s="16" t="s">
        <v>194</v>
      </c>
      <c r="G1002" s="16"/>
      <c r="H1002" s="16" t="s">
        <v>351</v>
      </c>
      <c r="I1002" s="16" t="s">
        <v>214</v>
      </c>
      <c r="J1002" s="16" t="str">
        <f>IF(ISNUMBER(SEARCH("SCRW", H1002)), _xlfn.XLOOKUP(C1002,dd_item!$A$2:$A$147,dd_item!$B$2:$B$147,"",0),_xlfn.XLOOKUP(H1002,dd_item!$A$2:$A$147,dd_item!$B$2:$B$147,"",0))</f>
        <v>Bead34</v>
      </c>
      <c r="K1002" s="16" t="str">
        <f>_xlfn.XLOOKUP(A1002,dd_design_raw!$C$2:$C$1002,dd_design_raw!$A$2:$A$1002,"",0)</f>
        <v>Patio Door - with Bottom Frame</v>
      </c>
      <c r="L1002" s="16" t="str">
        <f>_xlfn.XLOOKUP(I1002,dd_accsryclr!$A$2:$A$1000,dd_accsryclr!$A$2:$A$1000,"",0)</f>
        <v/>
      </c>
    </row>
    <row r="1003" spans="1:12" hidden="1" x14ac:dyDescent="0.25">
      <c r="A1003" s="16" t="s">
        <v>74</v>
      </c>
      <c r="B1003" s="16" t="s">
        <v>629</v>
      </c>
      <c r="C1003" s="16" t="s">
        <v>354</v>
      </c>
      <c r="D1003" s="16" t="s">
        <v>355</v>
      </c>
      <c r="E1003" s="16">
        <v>0.98465517241379308</v>
      </c>
      <c r="F1003" s="16" t="s">
        <v>194</v>
      </c>
      <c r="G1003" s="16"/>
      <c r="H1003" s="16" t="s">
        <v>351</v>
      </c>
      <c r="I1003" s="16" t="s">
        <v>217</v>
      </c>
      <c r="J1003" s="16" t="str">
        <f>IF(ISNUMBER(SEARCH("SCRW", H1003)), _xlfn.XLOOKUP(C1003,dd_item!$A$2:$A$147,dd_item!$B$2:$B$147,"",0),_xlfn.XLOOKUP(H1003,dd_item!$A$2:$A$147,dd_item!$B$2:$B$147,"",0))</f>
        <v>Bead34</v>
      </c>
      <c r="K1003" s="16" t="str">
        <f>_xlfn.XLOOKUP(A1003,dd_design_raw!$C$2:$C$1002,dd_design_raw!$A$2:$A$1002,"",0)</f>
        <v>Patio Door - with Bottom Frame</v>
      </c>
      <c r="L1003" s="16" t="str">
        <f>_xlfn.XLOOKUP(I1003,dd_accsryclr!$A$2:$A$1000,dd_accsryclr!$A$2:$A$1000,"",0)</f>
        <v/>
      </c>
    </row>
    <row r="1004" spans="1:12" hidden="1" x14ac:dyDescent="0.25">
      <c r="A1004" s="16" t="s">
        <v>74</v>
      </c>
      <c r="B1004" s="16" t="s">
        <v>629</v>
      </c>
      <c r="C1004" s="16" t="s">
        <v>356</v>
      </c>
      <c r="D1004" s="16" t="s">
        <v>357</v>
      </c>
      <c r="E1004" s="16">
        <v>0.98465517241379308</v>
      </c>
      <c r="F1004" s="16" t="s">
        <v>194</v>
      </c>
      <c r="G1004" s="16"/>
      <c r="H1004" s="16" t="s">
        <v>351</v>
      </c>
      <c r="I1004" s="16" t="s">
        <v>226</v>
      </c>
      <c r="J1004" s="16" t="str">
        <f>IF(ISNUMBER(SEARCH("SCRW", H1004)), _xlfn.XLOOKUP(C1004,dd_item!$A$2:$A$147,dd_item!$B$2:$B$147,"",0),_xlfn.XLOOKUP(H1004,dd_item!$A$2:$A$147,dd_item!$B$2:$B$147,"",0))</f>
        <v>Bead34</v>
      </c>
      <c r="K1004" s="16" t="str">
        <f>_xlfn.XLOOKUP(A1004,dd_design_raw!$C$2:$C$1002,dd_design_raw!$A$2:$A$1002,"",0)</f>
        <v>Patio Door - with Bottom Frame</v>
      </c>
      <c r="L1004" s="16" t="str">
        <f>_xlfn.XLOOKUP(I1004,dd_accsryclr!$A$2:$A$1000,dd_accsryclr!$A$2:$A$1000,"",0)</f>
        <v/>
      </c>
    </row>
    <row r="1005" spans="1:12" hidden="1" x14ac:dyDescent="0.25">
      <c r="A1005" s="16" t="s">
        <v>74</v>
      </c>
      <c r="B1005" s="16" t="s">
        <v>629</v>
      </c>
      <c r="C1005" s="16" t="s">
        <v>358</v>
      </c>
      <c r="D1005" s="16" t="s">
        <v>359</v>
      </c>
      <c r="E1005" s="16">
        <v>0.98465517241379308</v>
      </c>
      <c r="F1005" s="16" t="s">
        <v>194</v>
      </c>
      <c r="G1005" s="16"/>
      <c r="H1005" s="16" t="s">
        <v>351</v>
      </c>
      <c r="I1005" s="16" t="s">
        <v>220</v>
      </c>
      <c r="J1005" s="16" t="str">
        <f>IF(ISNUMBER(SEARCH("SCRW", H1005)), _xlfn.XLOOKUP(C1005,dd_item!$A$2:$A$147,dd_item!$B$2:$B$147,"",0),_xlfn.XLOOKUP(H1005,dd_item!$A$2:$A$147,dd_item!$B$2:$B$147,"",0))</f>
        <v>Bead34</v>
      </c>
      <c r="K1005" s="16" t="str">
        <f>_xlfn.XLOOKUP(A1005,dd_design_raw!$C$2:$C$1002,dd_design_raw!$A$2:$A$1002,"",0)</f>
        <v>Patio Door - with Bottom Frame</v>
      </c>
      <c r="L1005" s="16" t="str">
        <f>_xlfn.XLOOKUP(I1005,dd_accsryclr!$A$2:$A$1000,dd_accsryclr!$A$2:$A$1000,"",0)</f>
        <v>WHT</v>
      </c>
    </row>
    <row r="1006" spans="1:12" hidden="1" x14ac:dyDescent="0.25">
      <c r="A1006" s="16" t="s">
        <v>74</v>
      </c>
      <c r="B1006" s="16" t="s">
        <v>629</v>
      </c>
      <c r="C1006" s="16" t="s">
        <v>360</v>
      </c>
      <c r="D1006" s="16" t="s">
        <v>361</v>
      </c>
      <c r="E1006" s="16">
        <v>0.98465517241379308</v>
      </c>
      <c r="F1006" s="16" t="s">
        <v>194</v>
      </c>
      <c r="G1006" s="16"/>
      <c r="H1006" s="16" t="s">
        <v>351</v>
      </c>
      <c r="I1006" s="16" t="s">
        <v>223</v>
      </c>
      <c r="J1006" s="16" t="str">
        <f>IF(ISNUMBER(SEARCH("SCRW", H1006)), _xlfn.XLOOKUP(C1006,dd_item!$A$2:$A$147,dd_item!$B$2:$B$147,"",0),_xlfn.XLOOKUP(H1006,dd_item!$A$2:$A$147,dd_item!$B$2:$B$147,"",0))</f>
        <v>Bead34</v>
      </c>
      <c r="K1006" s="16" t="str">
        <f>_xlfn.XLOOKUP(A1006,dd_design_raw!$C$2:$C$1002,dd_design_raw!$A$2:$A$1002,"",0)</f>
        <v>Patio Door - with Bottom Frame</v>
      </c>
      <c r="L1006" s="16" t="str">
        <f>_xlfn.XLOOKUP(I1006,dd_accsryclr!$A$2:$A$1000,dd_accsryclr!$A$2:$A$1000,"",0)</f>
        <v>BLK</v>
      </c>
    </row>
    <row r="1007" spans="1:12" hidden="1" x14ac:dyDescent="0.25">
      <c r="A1007" s="16" t="s">
        <v>74</v>
      </c>
      <c r="B1007" s="16" t="s">
        <v>629</v>
      </c>
      <c r="C1007" s="16" t="s">
        <v>362</v>
      </c>
      <c r="D1007" s="16" t="s">
        <v>363</v>
      </c>
      <c r="E1007" s="16">
        <v>0.98465517241379308</v>
      </c>
      <c r="F1007" s="16" t="s">
        <v>194</v>
      </c>
      <c r="G1007" s="16"/>
      <c r="H1007" s="16" t="s">
        <v>351</v>
      </c>
      <c r="I1007" s="16" t="s">
        <v>230</v>
      </c>
      <c r="J1007" s="16" t="str">
        <f>IF(ISNUMBER(SEARCH("SCRW", H1007)), _xlfn.XLOOKUP(C1007,dd_item!$A$2:$A$147,dd_item!$B$2:$B$147,"",0),_xlfn.XLOOKUP(H1007,dd_item!$A$2:$A$147,dd_item!$B$2:$B$147,"",0))</f>
        <v>Bead34</v>
      </c>
      <c r="K1007" s="16" t="str">
        <f>_xlfn.XLOOKUP(A1007,dd_design_raw!$C$2:$C$1002,dd_design_raw!$A$2:$A$1002,"",0)</f>
        <v>Patio Door - with Bottom Frame</v>
      </c>
      <c r="L1007" s="16" t="str">
        <f>_xlfn.XLOOKUP(I1007,dd_accsryclr!$A$2:$A$1000,dd_accsryclr!$A$2:$A$1000,"",0)</f>
        <v>BRWN</v>
      </c>
    </row>
    <row r="1008" spans="1:12" hidden="1" x14ac:dyDescent="0.25">
      <c r="A1008" s="16" t="s">
        <v>74</v>
      </c>
      <c r="B1008" s="16" t="s">
        <v>629</v>
      </c>
      <c r="C1008" s="16" t="s">
        <v>390</v>
      </c>
      <c r="D1008" s="16" t="s">
        <v>391</v>
      </c>
      <c r="E1008" s="16">
        <v>11.422000000000001</v>
      </c>
      <c r="F1008" s="16" t="s">
        <v>369</v>
      </c>
      <c r="G1008" s="16"/>
      <c r="H1008" s="16" t="s">
        <v>792</v>
      </c>
      <c r="I1008" s="16"/>
      <c r="J1008" s="16" t="str">
        <f>IF(ISNUMBER(SEARCH("SCRW", H1008)), _xlfn.XLOOKUP(C1008,dd_item!$A$2:$A$147,dd_item!$B$2:$B$147,"",0),_xlfn.XLOOKUP(H1008,dd_item!$A$2:$A$147,dd_item!$B$2:$B$147,"",0))</f>
        <v>Atlas Screw (S) 10 x 2-1/2" (Flat)</v>
      </c>
      <c r="K1008" s="16" t="str">
        <f>_xlfn.XLOOKUP(A1008,dd_design_raw!$C$2:$C$1002,dd_design_raw!$A$2:$A$1002,"",0)</f>
        <v>Patio Door - with Bottom Frame</v>
      </c>
      <c r="L1008" s="16">
        <f>_xlfn.XLOOKUP(I1008,dd_accsryclr!$A$2:$A$1000,dd_accsryclr!$A$2:$A$1000,"",0)</f>
        <v>0</v>
      </c>
    </row>
    <row r="1009" spans="1:12" hidden="1" x14ac:dyDescent="0.25">
      <c r="A1009" s="16" t="s">
        <v>74</v>
      </c>
      <c r="B1009" s="16" t="s">
        <v>629</v>
      </c>
      <c r="C1009" s="16" t="s">
        <v>392</v>
      </c>
      <c r="D1009" s="16" t="s">
        <v>393</v>
      </c>
      <c r="E1009" s="16">
        <v>2</v>
      </c>
      <c r="F1009" s="16" t="s">
        <v>369</v>
      </c>
      <c r="G1009" s="16"/>
      <c r="H1009" s="16" t="s">
        <v>394</v>
      </c>
      <c r="I1009" s="16" t="s">
        <v>223</v>
      </c>
      <c r="J1009" s="16" t="str">
        <f>IF(ISNUMBER(SEARCH("SCRW", H1009)), _xlfn.XLOOKUP(C1009,dd_item!$A$2:$A$147,dd_item!$B$2:$B$147,"",0),_xlfn.XLOOKUP(H1009,dd_item!$A$2:$A$147,dd_item!$B$2:$B$147,"",0))</f>
        <v>Drainage Cover</v>
      </c>
      <c r="K1009" s="16" t="str">
        <f>_xlfn.XLOOKUP(A1009,dd_design_raw!$C$2:$C$1002,dd_design_raw!$A$2:$A$1002,"",0)</f>
        <v>Patio Door - with Bottom Frame</v>
      </c>
      <c r="L1009" s="16" t="str">
        <f>_xlfn.XLOOKUP(I1009,dd_accsryclr!$A$2:$A$1000,dd_accsryclr!$A$2:$A$1000,"",0)</f>
        <v>BLK</v>
      </c>
    </row>
    <row r="1010" spans="1:12" hidden="1" x14ac:dyDescent="0.25">
      <c r="A1010" s="16" t="s">
        <v>74</v>
      </c>
      <c r="B1010" s="16" t="s">
        <v>629</v>
      </c>
      <c r="C1010" s="16" t="s">
        <v>395</v>
      </c>
      <c r="D1010" s="16" t="s">
        <v>396</v>
      </c>
      <c r="E1010" s="16">
        <v>2</v>
      </c>
      <c r="F1010" s="16" t="s">
        <v>369</v>
      </c>
      <c r="G1010" s="16"/>
      <c r="H1010" s="16" t="s">
        <v>394</v>
      </c>
      <c r="I1010" s="16" t="s">
        <v>220</v>
      </c>
      <c r="J1010" s="16" t="str">
        <f>IF(ISNUMBER(SEARCH("SCRW", H1010)), _xlfn.XLOOKUP(C1010,dd_item!$A$2:$A$147,dd_item!$B$2:$B$147,"",0),_xlfn.XLOOKUP(H1010,dd_item!$A$2:$A$147,dd_item!$B$2:$B$147,"",0))</f>
        <v>Drainage Cover</v>
      </c>
      <c r="K1010" s="16" t="str">
        <f>_xlfn.XLOOKUP(A1010,dd_design_raw!$C$2:$C$1002,dd_design_raw!$A$2:$A$1002,"",0)</f>
        <v>Patio Door - with Bottom Frame</v>
      </c>
      <c r="L1010" s="16" t="str">
        <f>_xlfn.XLOOKUP(I1010,dd_accsryclr!$A$2:$A$1000,dd_accsryclr!$A$2:$A$1000,"",0)</f>
        <v>WHT</v>
      </c>
    </row>
    <row r="1011" spans="1:12" hidden="1" x14ac:dyDescent="0.25">
      <c r="A1011" s="16" t="s">
        <v>74</v>
      </c>
      <c r="B1011" s="16" t="s">
        <v>629</v>
      </c>
      <c r="C1011" s="16" t="s">
        <v>397</v>
      </c>
      <c r="D1011" s="16" t="s">
        <v>398</v>
      </c>
      <c r="E1011" s="16">
        <v>0.22844</v>
      </c>
      <c r="F1011" s="16" t="s">
        <v>369</v>
      </c>
      <c r="G1011" s="16"/>
      <c r="H1011" s="16" t="s">
        <v>399</v>
      </c>
      <c r="I1011" s="16" t="s">
        <v>400</v>
      </c>
      <c r="J1011" s="16" t="str">
        <f>IF(ISNUMBER(SEARCH("SCRW", H1011)), _xlfn.XLOOKUP(C1011,dd_item!$A$2:$A$147,dd_item!$B$2:$B$147,"",0),_xlfn.XLOOKUP(H1011,dd_item!$A$2:$A$147,dd_item!$B$2:$B$147,"",0))</f>
        <v>Tox6</v>
      </c>
      <c r="K1011" s="16" t="str">
        <f>_xlfn.XLOOKUP(A1011,dd_design_raw!$C$2:$C$1002,dd_design_raw!$A$2:$A$1002,"",0)</f>
        <v>Patio Door - with Bottom Frame</v>
      </c>
      <c r="L1011" s="16" t="str">
        <f>_xlfn.XLOOKUP(I1011,dd_accsryclr!$A$2:$A$1000,dd_accsryclr!$A$2:$A$1000,"",0)</f>
        <v/>
      </c>
    </row>
    <row r="1012" spans="1:12" hidden="1" x14ac:dyDescent="0.25">
      <c r="A1012" s="16" t="s">
        <v>74</v>
      </c>
      <c r="B1012" s="16" t="s">
        <v>629</v>
      </c>
      <c r="C1012" s="16" t="s">
        <v>414</v>
      </c>
      <c r="D1012" s="16" t="s">
        <v>415</v>
      </c>
      <c r="E1012" s="16">
        <v>3.8073333333333332</v>
      </c>
      <c r="F1012" s="16" t="s">
        <v>369</v>
      </c>
      <c r="G1012" s="16"/>
      <c r="H1012" s="16" t="s">
        <v>416</v>
      </c>
      <c r="I1012" s="16" t="s">
        <v>223</v>
      </c>
      <c r="J1012" s="16" t="str">
        <f>IF(ISNUMBER(SEARCH("SCRW", H1012)), _xlfn.XLOOKUP(C1012,dd_item!$A$2:$A$147,dd_item!$B$2:$B$147,"",0),_xlfn.XLOOKUP(H1012,dd_item!$A$2:$A$147,dd_item!$B$2:$B$147,"",0))</f>
        <v>Sealant</v>
      </c>
      <c r="K1012" s="16" t="str">
        <f>_xlfn.XLOOKUP(A1012,dd_design_raw!$C$2:$C$1002,dd_design_raw!$A$2:$A$1002,"",0)</f>
        <v>Patio Door - with Bottom Frame</v>
      </c>
      <c r="L1012" s="16" t="str">
        <f>_xlfn.XLOOKUP(I1012,dd_accsryclr!$A$2:$A$1000,dd_accsryclr!$A$2:$A$1000,"",0)</f>
        <v>BLK</v>
      </c>
    </row>
    <row r="1013" spans="1:12" hidden="1" x14ac:dyDescent="0.25">
      <c r="A1013" s="16" t="s">
        <v>74</v>
      </c>
      <c r="B1013" s="16" t="s">
        <v>629</v>
      </c>
      <c r="C1013" s="16" t="s">
        <v>417</v>
      </c>
      <c r="D1013" s="16" t="s">
        <v>418</v>
      </c>
      <c r="E1013" s="16">
        <v>3.8073333333333332</v>
      </c>
      <c r="F1013" s="16" t="s">
        <v>369</v>
      </c>
      <c r="G1013" s="16"/>
      <c r="H1013" s="16" t="s">
        <v>416</v>
      </c>
      <c r="I1013" s="16" t="s">
        <v>230</v>
      </c>
      <c r="J1013" s="16" t="str">
        <f>IF(ISNUMBER(SEARCH("SCRW", H1013)), _xlfn.XLOOKUP(C1013,dd_item!$A$2:$A$147,dd_item!$B$2:$B$147,"",0),_xlfn.XLOOKUP(H1013,dd_item!$A$2:$A$147,dd_item!$B$2:$B$147,"",0))</f>
        <v>Sealant</v>
      </c>
      <c r="K1013" s="16" t="str">
        <f>_xlfn.XLOOKUP(A1013,dd_design_raw!$C$2:$C$1002,dd_design_raw!$A$2:$A$1002,"",0)</f>
        <v>Patio Door - with Bottom Frame</v>
      </c>
      <c r="L1013" s="16" t="str">
        <f>_xlfn.XLOOKUP(I1013,dd_accsryclr!$A$2:$A$1000,dd_accsryclr!$A$2:$A$1000,"",0)</f>
        <v>BRWN</v>
      </c>
    </row>
    <row r="1014" spans="1:12" hidden="1" x14ac:dyDescent="0.25">
      <c r="A1014" s="16" t="s">
        <v>74</v>
      </c>
      <c r="B1014" s="16" t="s">
        <v>629</v>
      </c>
      <c r="C1014" s="16" t="s">
        <v>419</v>
      </c>
      <c r="D1014" s="16" t="s">
        <v>420</v>
      </c>
      <c r="E1014" s="16">
        <v>3.8073333333333332</v>
      </c>
      <c r="F1014" s="16" t="s">
        <v>369</v>
      </c>
      <c r="G1014" s="16"/>
      <c r="H1014" s="16" t="s">
        <v>416</v>
      </c>
      <c r="I1014" s="16" t="s">
        <v>220</v>
      </c>
      <c r="J1014" s="16" t="str">
        <f>IF(ISNUMBER(SEARCH("SCRW", H1014)), _xlfn.XLOOKUP(C1014,dd_item!$A$2:$A$147,dd_item!$B$2:$B$147,"",0),_xlfn.XLOOKUP(H1014,dd_item!$A$2:$A$147,dd_item!$B$2:$B$147,"",0))</f>
        <v>Sealant</v>
      </c>
      <c r="K1014" s="16" t="str">
        <f>_xlfn.XLOOKUP(A1014,dd_design_raw!$C$2:$C$1002,dd_design_raw!$A$2:$A$1002,"",0)</f>
        <v>Patio Door - with Bottom Frame</v>
      </c>
      <c r="L1014" s="16" t="str">
        <f>_xlfn.XLOOKUP(I1014,dd_accsryclr!$A$2:$A$1000,dd_accsryclr!$A$2:$A$1000,"",0)</f>
        <v>WHT</v>
      </c>
    </row>
    <row r="1015" spans="1:12" hidden="1" x14ac:dyDescent="0.25">
      <c r="A1015" s="16" t="s">
        <v>74</v>
      </c>
      <c r="B1015" s="16" t="s">
        <v>629</v>
      </c>
      <c r="C1015" s="16" t="s">
        <v>421</v>
      </c>
      <c r="D1015" s="16" t="s">
        <v>422</v>
      </c>
      <c r="E1015" s="16"/>
      <c r="F1015" s="16" t="s">
        <v>369</v>
      </c>
      <c r="G1015" s="16"/>
      <c r="H1015" s="16" t="s">
        <v>416</v>
      </c>
      <c r="I1015" s="16" t="s">
        <v>423</v>
      </c>
      <c r="J1015" s="16" t="str">
        <f>IF(ISNUMBER(SEARCH("SCRW", H1015)), _xlfn.XLOOKUP(C1015,dd_item!$A$2:$A$147,dd_item!$B$2:$B$147,"",0),_xlfn.XLOOKUP(H1015,dd_item!$A$2:$A$147,dd_item!$B$2:$B$147,"",0))</f>
        <v>Sealant</v>
      </c>
      <c r="K1015" s="16" t="str">
        <f>_xlfn.XLOOKUP(A1015,dd_design_raw!$C$2:$C$1002,dd_design_raw!$A$2:$A$1002,"",0)</f>
        <v>Patio Door - with Bottom Frame</v>
      </c>
      <c r="L1015" s="16" t="str">
        <f>_xlfn.XLOOKUP(I1015,dd_accsryclr!$A$2:$A$1000,dd_accsryclr!$A$2:$A$1000,"",0)</f>
        <v/>
      </c>
    </row>
    <row r="1016" spans="1:12" hidden="1" x14ac:dyDescent="0.25">
      <c r="A1016" s="16" t="s">
        <v>13</v>
      </c>
      <c r="B1016" s="16" t="s">
        <v>630</v>
      </c>
      <c r="C1016" s="16" t="s">
        <v>484</v>
      </c>
      <c r="D1016" s="16" t="s">
        <v>485</v>
      </c>
      <c r="E1016" s="16">
        <v>1.0379310344827586</v>
      </c>
      <c r="F1016" s="16" t="s">
        <v>194</v>
      </c>
      <c r="G1016" s="16"/>
      <c r="H1016" s="16" t="s">
        <v>486</v>
      </c>
      <c r="I1016" s="16" t="s">
        <v>230</v>
      </c>
      <c r="J1016" s="16" t="str">
        <f>IF(ISNUMBER(SEARCH("SCRW", H1016)), _xlfn.XLOOKUP(C1016,dd_item!$A$2:$A$147,dd_item!$B$2:$B$147,"",0),_xlfn.XLOOKUP(H1016,dd_item!$A$2:$A$147,dd_item!$B$2:$B$147,"",0))</f>
        <v>Frame60</v>
      </c>
      <c r="K1016" s="16" t="str">
        <f>_xlfn.XLOOKUP(A1016,dd_design_raw!$C$2:$C$1002,dd_design_raw!$A$2:$A$1002,"",0)</f>
        <v>Triple Awning (Horizontal)</v>
      </c>
      <c r="L1016" s="16" t="str">
        <f>_xlfn.XLOOKUP(I1016,dd_accsryclr!$A$2:$A$1000,dd_accsryclr!$A$2:$A$1000,"",0)</f>
        <v>BRWN</v>
      </c>
    </row>
    <row r="1017" spans="1:12" hidden="1" x14ac:dyDescent="0.25">
      <c r="A1017" s="16" t="s">
        <v>13</v>
      </c>
      <c r="B1017" s="16" t="s">
        <v>630</v>
      </c>
      <c r="C1017" s="16" t="s">
        <v>487</v>
      </c>
      <c r="D1017" s="16" t="s">
        <v>488</v>
      </c>
      <c r="E1017" s="16">
        <v>1.0379310344827586</v>
      </c>
      <c r="F1017" s="16" t="s">
        <v>194</v>
      </c>
      <c r="G1017" s="16"/>
      <c r="H1017" s="16" t="s">
        <v>486</v>
      </c>
      <c r="I1017" s="16" t="s">
        <v>223</v>
      </c>
      <c r="J1017" s="16" t="str">
        <f>IF(ISNUMBER(SEARCH("SCRW", H1017)), _xlfn.XLOOKUP(C1017,dd_item!$A$2:$A$147,dd_item!$B$2:$B$147,"",0),_xlfn.XLOOKUP(H1017,dd_item!$A$2:$A$147,dd_item!$B$2:$B$147,"",0))</f>
        <v>Frame60</v>
      </c>
      <c r="K1017" s="16" t="str">
        <f>_xlfn.XLOOKUP(A1017,dd_design_raw!$C$2:$C$1002,dd_design_raw!$A$2:$A$1002,"",0)</f>
        <v>Triple Awning (Horizontal)</v>
      </c>
      <c r="L1017" s="16" t="str">
        <f>_xlfn.XLOOKUP(I1017,dd_accsryclr!$A$2:$A$1000,dd_accsryclr!$A$2:$A$1000,"",0)</f>
        <v>BLK</v>
      </c>
    </row>
    <row r="1018" spans="1:12" hidden="1" x14ac:dyDescent="0.25">
      <c r="A1018" s="16" t="s">
        <v>13</v>
      </c>
      <c r="B1018" s="16" t="s">
        <v>630</v>
      </c>
      <c r="C1018" s="16" t="s">
        <v>489</v>
      </c>
      <c r="D1018" s="16" t="s">
        <v>490</v>
      </c>
      <c r="E1018" s="16">
        <v>1.0379310344827586</v>
      </c>
      <c r="F1018" s="16" t="s">
        <v>194</v>
      </c>
      <c r="G1018" s="16"/>
      <c r="H1018" s="16" t="s">
        <v>486</v>
      </c>
      <c r="I1018" s="16" t="s">
        <v>211</v>
      </c>
      <c r="J1018" s="16" t="str">
        <f>IF(ISNUMBER(SEARCH("SCRW", H1018)), _xlfn.XLOOKUP(C1018,dd_item!$A$2:$A$147,dd_item!$B$2:$B$147,"",0),_xlfn.XLOOKUP(H1018,dd_item!$A$2:$A$147,dd_item!$B$2:$B$147,"",0))</f>
        <v>Frame60</v>
      </c>
      <c r="K1018" s="16" t="str">
        <f>_xlfn.XLOOKUP(A1018,dd_design_raw!$C$2:$C$1002,dd_design_raw!$A$2:$A$1002,"",0)</f>
        <v>Triple Awning (Horizontal)</v>
      </c>
      <c r="L1018" s="16" t="str">
        <f>_xlfn.XLOOKUP(I1018,dd_accsryclr!$A$2:$A$1000,dd_accsryclr!$A$2:$A$1000,"",0)</f>
        <v/>
      </c>
    </row>
    <row r="1019" spans="1:12" hidden="1" x14ac:dyDescent="0.25">
      <c r="A1019" s="16" t="s">
        <v>13</v>
      </c>
      <c r="B1019" s="16" t="s">
        <v>630</v>
      </c>
      <c r="C1019" s="16" t="s">
        <v>491</v>
      </c>
      <c r="D1019" s="16" t="s">
        <v>492</v>
      </c>
      <c r="E1019" s="16">
        <v>1.0379310344827586</v>
      </c>
      <c r="F1019" s="16" t="s">
        <v>194</v>
      </c>
      <c r="G1019" s="16"/>
      <c r="H1019" s="16" t="s">
        <v>486</v>
      </c>
      <c r="I1019" s="16" t="s">
        <v>214</v>
      </c>
      <c r="J1019" s="16" t="str">
        <f>IF(ISNUMBER(SEARCH("SCRW", H1019)), _xlfn.XLOOKUP(C1019,dd_item!$A$2:$A$147,dd_item!$B$2:$B$147,"",0),_xlfn.XLOOKUP(H1019,dd_item!$A$2:$A$147,dd_item!$B$2:$B$147,"",0))</f>
        <v>Frame60</v>
      </c>
      <c r="K1019" s="16" t="str">
        <f>_xlfn.XLOOKUP(A1019,dd_design_raw!$C$2:$C$1002,dd_design_raw!$A$2:$A$1002,"",0)</f>
        <v>Triple Awning (Horizontal)</v>
      </c>
      <c r="L1019" s="16" t="str">
        <f>_xlfn.XLOOKUP(I1019,dd_accsryclr!$A$2:$A$1000,dd_accsryclr!$A$2:$A$1000,"",0)</f>
        <v/>
      </c>
    </row>
    <row r="1020" spans="1:12" hidden="1" x14ac:dyDescent="0.25">
      <c r="A1020" s="16" t="s">
        <v>13</v>
      </c>
      <c r="B1020" s="16" t="s">
        <v>630</v>
      </c>
      <c r="C1020" s="16" t="s">
        <v>493</v>
      </c>
      <c r="D1020" s="16" t="s">
        <v>494</v>
      </c>
      <c r="E1020" s="16">
        <v>1.0379310344827586</v>
      </c>
      <c r="F1020" s="16" t="s">
        <v>194</v>
      </c>
      <c r="G1020" s="16"/>
      <c r="H1020" s="16" t="s">
        <v>486</v>
      </c>
      <c r="I1020" s="16" t="s">
        <v>217</v>
      </c>
      <c r="J1020" s="16" t="str">
        <f>IF(ISNUMBER(SEARCH("SCRW", H1020)), _xlfn.XLOOKUP(C1020,dd_item!$A$2:$A$147,dd_item!$B$2:$B$147,"",0),_xlfn.XLOOKUP(H1020,dd_item!$A$2:$A$147,dd_item!$B$2:$B$147,"",0))</f>
        <v>Frame60</v>
      </c>
      <c r="K1020" s="16" t="str">
        <f>_xlfn.XLOOKUP(A1020,dd_design_raw!$C$2:$C$1002,dd_design_raw!$A$2:$A$1002,"",0)</f>
        <v>Triple Awning (Horizontal)</v>
      </c>
      <c r="L1020" s="16" t="str">
        <f>_xlfn.XLOOKUP(I1020,dd_accsryclr!$A$2:$A$1000,dd_accsryclr!$A$2:$A$1000,"",0)</f>
        <v/>
      </c>
    </row>
    <row r="1021" spans="1:12" hidden="1" x14ac:dyDescent="0.25">
      <c r="A1021" s="16" t="s">
        <v>13</v>
      </c>
      <c r="B1021" s="16" t="s">
        <v>630</v>
      </c>
      <c r="C1021" s="16" t="s">
        <v>495</v>
      </c>
      <c r="D1021" s="16" t="s">
        <v>496</v>
      </c>
      <c r="E1021" s="16">
        <v>1.0379310344827586</v>
      </c>
      <c r="F1021" s="16" t="s">
        <v>194</v>
      </c>
      <c r="G1021" s="16"/>
      <c r="H1021" s="16" t="s">
        <v>486</v>
      </c>
      <c r="I1021" s="16" t="s">
        <v>226</v>
      </c>
      <c r="J1021" s="16" t="str">
        <f>IF(ISNUMBER(SEARCH("SCRW", H1021)), _xlfn.XLOOKUP(C1021,dd_item!$A$2:$A$147,dd_item!$B$2:$B$147,"",0),_xlfn.XLOOKUP(H1021,dd_item!$A$2:$A$147,dd_item!$B$2:$B$147,"",0))</f>
        <v>Frame60</v>
      </c>
      <c r="K1021" s="16" t="str">
        <f>_xlfn.XLOOKUP(A1021,dd_design_raw!$C$2:$C$1002,dd_design_raw!$A$2:$A$1002,"",0)</f>
        <v>Triple Awning (Horizontal)</v>
      </c>
      <c r="L1021" s="16" t="str">
        <f>_xlfn.XLOOKUP(I1021,dd_accsryclr!$A$2:$A$1000,dd_accsryclr!$A$2:$A$1000,"",0)</f>
        <v/>
      </c>
    </row>
    <row r="1022" spans="1:12" hidden="1" x14ac:dyDescent="0.25">
      <c r="A1022" s="16" t="s">
        <v>13</v>
      </c>
      <c r="B1022" s="16" t="s">
        <v>630</v>
      </c>
      <c r="C1022" s="16" t="s">
        <v>497</v>
      </c>
      <c r="D1022" s="16" t="s">
        <v>498</v>
      </c>
      <c r="E1022" s="16">
        <v>1.0379310344827586</v>
      </c>
      <c r="F1022" s="16" t="s">
        <v>194</v>
      </c>
      <c r="G1022" s="16"/>
      <c r="H1022" s="16" t="s">
        <v>486</v>
      </c>
      <c r="I1022" s="16" t="s">
        <v>220</v>
      </c>
      <c r="J1022" s="16" t="str">
        <f>IF(ISNUMBER(SEARCH("SCRW", H1022)), _xlfn.XLOOKUP(C1022,dd_item!$A$2:$A$147,dd_item!$B$2:$B$147,"",0),_xlfn.XLOOKUP(H1022,dd_item!$A$2:$A$147,dd_item!$B$2:$B$147,"",0))</f>
        <v>Frame60</v>
      </c>
      <c r="K1022" s="16" t="str">
        <f>_xlfn.XLOOKUP(A1022,dd_design_raw!$C$2:$C$1002,dd_design_raw!$A$2:$A$1002,"",0)</f>
        <v>Triple Awning (Horizontal)</v>
      </c>
      <c r="L1022" s="16" t="str">
        <f>_xlfn.XLOOKUP(I1022,dd_accsryclr!$A$2:$A$1000,dd_accsryclr!$A$2:$A$1000,"",0)</f>
        <v>WHT</v>
      </c>
    </row>
    <row r="1023" spans="1:12" hidden="1" x14ac:dyDescent="0.25">
      <c r="A1023" s="16" t="s">
        <v>13</v>
      </c>
      <c r="B1023" s="16" t="s">
        <v>630</v>
      </c>
      <c r="C1023" s="16" t="s">
        <v>499</v>
      </c>
      <c r="D1023" s="16" t="s">
        <v>500</v>
      </c>
      <c r="E1023" s="16">
        <v>1.7672413793103448</v>
      </c>
      <c r="F1023" s="16" t="s">
        <v>194</v>
      </c>
      <c r="G1023" s="16"/>
      <c r="H1023" s="16" t="s">
        <v>501</v>
      </c>
      <c r="I1023" s="16" t="s">
        <v>211</v>
      </c>
      <c r="J1023" s="16" t="str">
        <f>IF(ISNUMBER(SEARCH("SCRW", H1023)), _xlfn.XLOOKUP(C1023,dd_item!$A$2:$A$147,dd_item!$B$2:$B$147,"",0),_xlfn.XLOOKUP(H1023,dd_item!$A$2:$A$147,dd_item!$B$2:$B$147,"",0))</f>
        <v>Sash78</v>
      </c>
      <c r="K1023" s="16" t="str">
        <f>_xlfn.XLOOKUP(A1023,dd_design_raw!$C$2:$C$1002,dd_design_raw!$A$2:$A$1002,"",0)</f>
        <v>Triple Awning (Horizontal)</v>
      </c>
      <c r="L1023" s="16" t="str">
        <f>_xlfn.XLOOKUP(I1023,dd_accsryclr!$A$2:$A$1000,dd_accsryclr!$A$2:$A$1000,"",0)</f>
        <v/>
      </c>
    </row>
    <row r="1024" spans="1:12" hidden="1" x14ac:dyDescent="0.25">
      <c r="A1024" s="16" t="s">
        <v>13</v>
      </c>
      <c r="B1024" s="16" t="s">
        <v>630</v>
      </c>
      <c r="C1024" s="16" t="s">
        <v>502</v>
      </c>
      <c r="D1024" s="16" t="s">
        <v>503</v>
      </c>
      <c r="E1024" s="16">
        <v>1.7672413793103448</v>
      </c>
      <c r="F1024" s="16" t="s">
        <v>194</v>
      </c>
      <c r="G1024" s="16"/>
      <c r="H1024" s="16" t="s">
        <v>501</v>
      </c>
      <c r="I1024" s="16" t="s">
        <v>214</v>
      </c>
      <c r="J1024" s="16" t="str">
        <f>IF(ISNUMBER(SEARCH("SCRW", H1024)), _xlfn.XLOOKUP(C1024,dd_item!$A$2:$A$147,dd_item!$B$2:$B$147,"",0),_xlfn.XLOOKUP(H1024,dd_item!$A$2:$A$147,dd_item!$B$2:$B$147,"",0))</f>
        <v>Sash78</v>
      </c>
      <c r="K1024" s="16" t="str">
        <f>_xlfn.XLOOKUP(A1024,dd_design_raw!$C$2:$C$1002,dd_design_raw!$A$2:$A$1002,"",0)</f>
        <v>Triple Awning (Horizontal)</v>
      </c>
      <c r="L1024" s="16" t="str">
        <f>_xlfn.XLOOKUP(I1024,dd_accsryclr!$A$2:$A$1000,dd_accsryclr!$A$2:$A$1000,"",0)</f>
        <v/>
      </c>
    </row>
    <row r="1025" spans="1:12" hidden="1" x14ac:dyDescent="0.25">
      <c r="A1025" s="16" t="s">
        <v>13</v>
      </c>
      <c r="B1025" s="16" t="s">
        <v>630</v>
      </c>
      <c r="C1025" s="16" t="s">
        <v>504</v>
      </c>
      <c r="D1025" s="16" t="s">
        <v>505</v>
      </c>
      <c r="E1025" s="16">
        <v>1.7672413793103448</v>
      </c>
      <c r="F1025" s="16" t="s">
        <v>194</v>
      </c>
      <c r="G1025" s="16"/>
      <c r="H1025" s="16" t="s">
        <v>501</v>
      </c>
      <c r="I1025" s="16" t="s">
        <v>217</v>
      </c>
      <c r="J1025" s="16" t="str">
        <f>IF(ISNUMBER(SEARCH("SCRW", H1025)), _xlfn.XLOOKUP(C1025,dd_item!$A$2:$A$147,dd_item!$B$2:$B$147,"",0),_xlfn.XLOOKUP(H1025,dd_item!$A$2:$A$147,dd_item!$B$2:$B$147,"",0))</f>
        <v>Sash78</v>
      </c>
      <c r="K1025" s="16" t="str">
        <f>_xlfn.XLOOKUP(A1025,dd_design_raw!$C$2:$C$1002,dd_design_raw!$A$2:$A$1002,"",0)</f>
        <v>Triple Awning (Horizontal)</v>
      </c>
      <c r="L1025" s="16" t="str">
        <f>_xlfn.XLOOKUP(I1025,dd_accsryclr!$A$2:$A$1000,dd_accsryclr!$A$2:$A$1000,"",0)</f>
        <v/>
      </c>
    </row>
    <row r="1026" spans="1:12" hidden="1" x14ac:dyDescent="0.25">
      <c r="A1026" s="16" t="s">
        <v>13</v>
      </c>
      <c r="B1026" s="16" t="s">
        <v>630</v>
      </c>
      <c r="C1026" s="16" t="s">
        <v>506</v>
      </c>
      <c r="D1026" s="16" t="s">
        <v>507</v>
      </c>
      <c r="E1026" s="16">
        <v>1.7672413793103448</v>
      </c>
      <c r="F1026" s="16" t="s">
        <v>194</v>
      </c>
      <c r="G1026" s="16"/>
      <c r="H1026" s="16" t="s">
        <v>501</v>
      </c>
      <c r="I1026" s="16" t="s">
        <v>226</v>
      </c>
      <c r="J1026" s="16" t="str">
        <f>IF(ISNUMBER(SEARCH("SCRW", H1026)), _xlfn.XLOOKUP(C1026,dd_item!$A$2:$A$147,dd_item!$B$2:$B$147,"",0),_xlfn.XLOOKUP(H1026,dd_item!$A$2:$A$147,dd_item!$B$2:$B$147,"",0))</f>
        <v>Sash78</v>
      </c>
      <c r="K1026" s="16" t="str">
        <f>_xlfn.XLOOKUP(A1026,dd_design_raw!$C$2:$C$1002,dd_design_raw!$A$2:$A$1002,"",0)</f>
        <v>Triple Awning (Horizontal)</v>
      </c>
      <c r="L1026" s="16" t="str">
        <f>_xlfn.XLOOKUP(I1026,dd_accsryclr!$A$2:$A$1000,dd_accsryclr!$A$2:$A$1000,"",0)</f>
        <v/>
      </c>
    </row>
    <row r="1027" spans="1:12" hidden="1" x14ac:dyDescent="0.25">
      <c r="A1027" s="16" t="s">
        <v>13</v>
      </c>
      <c r="B1027" s="16" t="s">
        <v>630</v>
      </c>
      <c r="C1027" s="16" t="s">
        <v>508</v>
      </c>
      <c r="D1027" s="16" t="s">
        <v>509</v>
      </c>
      <c r="E1027" s="16">
        <v>1.7672413793103448</v>
      </c>
      <c r="F1027" s="16" t="s">
        <v>194</v>
      </c>
      <c r="G1027" s="16"/>
      <c r="H1027" s="16" t="s">
        <v>501</v>
      </c>
      <c r="I1027" s="16" t="s">
        <v>220</v>
      </c>
      <c r="J1027" s="16" t="str">
        <f>IF(ISNUMBER(SEARCH("SCRW", H1027)), _xlfn.XLOOKUP(C1027,dd_item!$A$2:$A$147,dd_item!$B$2:$B$147,"",0),_xlfn.XLOOKUP(H1027,dd_item!$A$2:$A$147,dd_item!$B$2:$B$147,"",0))</f>
        <v>Sash78</v>
      </c>
      <c r="K1027" s="16" t="str">
        <f>_xlfn.XLOOKUP(A1027,dd_design_raw!$C$2:$C$1002,dd_design_raw!$A$2:$A$1002,"",0)</f>
        <v>Triple Awning (Horizontal)</v>
      </c>
      <c r="L1027" s="16" t="str">
        <f>_xlfn.XLOOKUP(I1027,dd_accsryclr!$A$2:$A$1000,dd_accsryclr!$A$2:$A$1000,"",0)</f>
        <v>WHT</v>
      </c>
    </row>
    <row r="1028" spans="1:12" hidden="1" x14ac:dyDescent="0.25">
      <c r="A1028" s="16" t="s">
        <v>13</v>
      </c>
      <c r="B1028" s="16" t="s">
        <v>630</v>
      </c>
      <c r="C1028" s="16" t="s">
        <v>510</v>
      </c>
      <c r="D1028" s="16" t="s">
        <v>511</v>
      </c>
      <c r="E1028" s="16">
        <v>1.7672413793103448</v>
      </c>
      <c r="F1028" s="16" t="s">
        <v>194</v>
      </c>
      <c r="G1028" s="16"/>
      <c r="H1028" s="16" t="s">
        <v>501</v>
      </c>
      <c r="I1028" s="16" t="s">
        <v>223</v>
      </c>
      <c r="J1028" s="16" t="str">
        <f>IF(ISNUMBER(SEARCH("SCRW", H1028)), _xlfn.XLOOKUP(C1028,dd_item!$A$2:$A$147,dd_item!$B$2:$B$147,"",0),_xlfn.XLOOKUP(H1028,dd_item!$A$2:$A$147,dd_item!$B$2:$B$147,"",0))</f>
        <v>Sash78</v>
      </c>
      <c r="K1028" s="16" t="str">
        <f>_xlfn.XLOOKUP(A1028,dd_design_raw!$C$2:$C$1002,dd_design_raw!$A$2:$A$1002,"",0)</f>
        <v>Triple Awning (Horizontal)</v>
      </c>
      <c r="L1028" s="16" t="str">
        <f>_xlfn.XLOOKUP(I1028,dd_accsryclr!$A$2:$A$1000,dd_accsryclr!$A$2:$A$1000,"",0)</f>
        <v>BLK</v>
      </c>
    </row>
    <row r="1029" spans="1:12" hidden="1" x14ac:dyDescent="0.25">
      <c r="A1029" s="16" t="s">
        <v>13</v>
      </c>
      <c r="B1029" s="16" t="s">
        <v>630</v>
      </c>
      <c r="C1029" s="16" t="s">
        <v>512</v>
      </c>
      <c r="D1029" s="16" t="s">
        <v>513</v>
      </c>
      <c r="E1029" s="16">
        <v>1.7672413793103448</v>
      </c>
      <c r="F1029" s="16" t="s">
        <v>194</v>
      </c>
      <c r="G1029" s="16"/>
      <c r="H1029" s="16" t="s">
        <v>501</v>
      </c>
      <c r="I1029" s="16" t="s">
        <v>230</v>
      </c>
      <c r="J1029" s="16" t="str">
        <f>IF(ISNUMBER(SEARCH("SCRW", H1029)), _xlfn.XLOOKUP(C1029,dd_item!$A$2:$A$147,dd_item!$B$2:$B$147,"",0),_xlfn.XLOOKUP(H1029,dd_item!$A$2:$A$147,dd_item!$B$2:$B$147,"",0))</f>
        <v>Sash78</v>
      </c>
      <c r="K1029" s="16" t="str">
        <f>_xlfn.XLOOKUP(A1029,dd_design_raw!$C$2:$C$1002,dd_design_raw!$A$2:$A$1002,"",0)</f>
        <v>Triple Awning (Horizontal)</v>
      </c>
      <c r="L1029" s="16" t="str">
        <f>_xlfn.XLOOKUP(I1029,dd_accsryclr!$A$2:$A$1000,dd_accsryclr!$A$2:$A$1000,"",0)</f>
        <v>BRWN</v>
      </c>
    </row>
    <row r="1030" spans="1:12" hidden="1" x14ac:dyDescent="0.25">
      <c r="A1030" s="16" t="s">
        <v>13</v>
      </c>
      <c r="B1030" s="16" t="s">
        <v>630</v>
      </c>
      <c r="C1030" s="16" t="s">
        <v>556</v>
      </c>
      <c r="D1030" s="16" t="s">
        <v>557</v>
      </c>
      <c r="E1030" s="16">
        <v>0.42620689655172411</v>
      </c>
      <c r="F1030" s="16" t="s">
        <v>194</v>
      </c>
      <c r="G1030" s="16"/>
      <c r="H1030" s="16" t="s">
        <v>558</v>
      </c>
      <c r="I1030" s="16" t="s">
        <v>211</v>
      </c>
      <c r="J1030" s="16" t="str">
        <f>IF(ISNUMBER(SEARCH("SCRW", H1030)), _xlfn.XLOOKUP(C1030,dd_item!$A$2:$A$147,dd_item!$B$2:$B$147,"",0),_xlfn.XLOOKUP(H1030,dd_item!$A$2:$A$147,dd_item!$B$2:$B$147,"",0))</f>
        <v>Mullion72</v>
      </c>
      <c r="K1030" s="16" t="str">
        <f>_xlfn.XLOOKUP(A1030,dd_design_raw!$C$2:$C$1002,dd_design_raw!$A$2:$A$1002,"",0)</f>
        <v>Triple Awning (Horizontal)</v>
      </c>
      <c r="L1030" s="16" t="str">
        <f>_xlfn.XLOOKUP(I1030,dd_accsryclr!$A$2:$A$1000,dd_accsryclr!$A$2:$A$1000,"",0)</f>
        <v/>
      </c>
    </row>
    <row r="1031" spans="1:12" hidden="1" x14ac:dyDescent="0.25">
      <c r="A1031" s="16" t="s">
        <v>13</v>
      </c>
      <c r="B1031" s="16" t="s">
        <v>630</v>
      </c>
      <c r="C1031" s="16" t="s">
        <v>559</v>
      </c>
      <c r="D1031" s="16" t="s">
        <v>560</v>
      </c>
      <c r="E1031" s="16">
        <v>0.42620689655172411</v>
      </c>
      <c r="F1031" s="16" t="s">
        <v>194</v>
      </c>
      <c r="G1031" s="16"/>
      <c r="H1031" s="16" t="s">
        <v>558</v>
      </c>
      <c r="I1031" s="16" t="s">
        <v>214</v>
      </c>
      <c r="J1031" s="16" t="str">
        <f>IF(ISNUMBER(SEARCH("SCRW", H1031)), _xlfn.XLOOKUP(C1031,dd_item!$A$2:$A$147,dd_item!$B$2:$B$147,"",0),_xlfn.XLOOKUP(H1031,dd_item!$A$2:$A$147,dd_item!$B$2:$B$147,"",0))</f>
        <v>Mullion72</v>
      </c>
      <c r="K1031" s="16" t="str">
        <f>_xlfn.XLOOKUP(A1031,dd_design_raw!$C$2:$C$1002,dd_design_raw!$A$2:$A$1002,"",0)</f>
        <v>Triple Awning (Horizontal)</v>
      </c>
      <c r="L1031" s="16" t="str">
        <f>_xlfn.XLOOKUP(I1031,dd_accsryclr!$A$2:$A$1000,dd_accsryclr!$A$2:$A$1000,"",0)</f>
        <v/>
      </c>
    </row>
    <row r="1032" spans="1:12" hidden="1" x14ac:dyDescent="0.25">
      <c r="A1032" s="16" t="s">
        <v>13</v>
      </c>
      <c r="B1032" s="16" t="s">
        <v>630</v>
      </c>
      <c r="C1032" s="16" t="s">
        <v>561</v>
      </c>
      <c r="D1032" s="16" t="s">
        <v>562</v>
      </c>
      <c r="E1032" s="16">
        <v>0.42620689655172411</v>
      </c>
      <c r="F1032" s="16" t="s">
        <v>194</v>
      </c>
      <c r="G1032" s="16"/>
      <c r="H1032" s="16" t="s">
        <v>558</v>
      </c>
      <c r="I1032" s="16" t="s">
        <v>217</v>
      </c>
      <c r="J1032" s="16" t="str">
        <f>IF(ISNUMBER(SEARCH("SCRW", H1032)), _xlfn.XLOOKUP(C1032,dd_item!$A$2:$A$147,dd_item!$B$2:$B$147,"",0),_xlfn.XLOOKUP(H1032,dd_item!$A$2:$A$147,dd_item!$B$2:$B$147,"",0))</f>
        <v>Mullion72</v>
      </c>
      <c r="K1032" s="16" t="str">
        <f>_xlfn.XLOOKUP(A1032,dd_design_raw!$C$2:$C$1002,dd_design_raw!$A$2:$A$1002,"",0)</f>
        <v>Triple Awning (Horizontal)</v>
      </c>
      <c r="L1032" s="16" t="str">
        <f>_xlfn.XLOOKUP(I1032,dd_accsryclr!$A$2:$A$1000,dd_accsryclr!$A$2:$A$1000,"",0)</f>
        <v/>
      </c>
    </row>
    <row r="1033" spans="1:12" hidden="1" x14ac:dyDescent="0.25">
      <c r="A1033" s="16" t="s">
        <v>13</v>
      </c>
      <c r="B1033" s="16" t="s">
        <v>630</v>
      </c>
      <c r="C1033" s="16" t="s">
        <v>563</v>
      </c>
      <c r="D1033" s="16" t="s">
        <v>564</v>
      </c>
      <c r="E1033" s="16">
        <v>0.42620689655172411</v>
      </c>
      <c r="F1033" s="16" t="s">
        <v>194</v>
      </c>
      <c r="G1033" s="16"/>
      <c r="H1033" s="16" t="s">
        <v>558</v>
      </c>
      <c r="I1033" s="16" t="s">
        <v>226</v>
      </c>
      <c r="J1033" s="16" t="str">
        <f>IF(ISNUMBER(SEARCH("SCRW", H1033)), _xlfn.XLOOKUP(C1033,dd_item!$A$2:$A$147,dd_item!$B$2:$B$147,"",0),_xlfn.XLOOKUP(H1033,dd_item!$A$2:$A$147,dd_item!$B$2:$B$147,"",0))</f>
        <v>Mullion72</v>
      </c>
      <c r="K1033" s="16" t="str">
        <f>_xlfn.XLOOKUP(A1033,dd_design_raw!$C$2:$C$1002,dd_design_raw!$A$2:$A$1002,"",0)</f>
        <v>Triple Awning (Horizontal)</v>
      </c>
      <c r="L1033" s="16" t="str">
        <f>_xlfn.XLOOKUP(I1033,dd_accsryclr!$A$2:$A$1000,dd_accsryclr!$A$2:$A$1000,"",0)</f>
        <v/>
      </c>
    </row>
    <row r="1034" spans="1:12" hidden="1" x14ac:dyDescent="0.25">
      <c r="A1034" s="16" t="s">
        <v>13</v>
      </c>
      <c r="B1034" s="16" t="s">
        <v>630</v>
      </c>
      <c r="C1034" s="16" t="s">
        <v>565</v>
      </c>
      <c r="D1034" s="16" t="s">
        <v>566</v>
      </c>
      <c r="E1034" s="16">
        <v>0.42620689655172411</v>
      </c>
      <c r="F1034" s="16" t="s">
        <v>194</v>
      </c>
      <c r="G1034" s="16"/>
      <c r="H1034" s="16" t="s">
        <v>558</v>
      </c>
      <c r="I1034" s="16" t="s">
        <v>220</v>
      </c>
      <c r="J1034" s="16" t="str">
        <f>IF(ISNUMBER(SEARCH("SCRW", H1034)), _xlfn.XLOOKUP(C1034,dd_item!$A$2:$A$147,dd_item!$B$2:$B$147,"",0),_xlfn.XLOOKUP(H1034,dd_item!$A$2:$A$147,dd_item!$B$2:$B$147,"",0))</f>
        <v>Mullion72</v>
      </c>
      <c r="K1034" s="16" t="str">
        <f>_xlfn.XLOOKUP(A1034,dd_design_raw!$C$2:$C$1002,dd_design_raw!$A$2:$A$1002,"",0)</f>
        <v>Triple Awning (Horizontal)</v>
      </c>
      <c r="L1034" s="16" t="str">
        <f>_xlfn.XLOOKUP(I1034,dd_accsryclr!$A$2:$A$1000,dd_accsryclr!$A$2:$A$1000,"",0)</f>
        <v>WHT</v>
      </c>
    </row>
    <row r="1035" spans="1:12" hidden="1" x14ac:dyDescent="0.25">
      <c r="A1035" s="16" t="s">
        <v>13</v>
      </c>
      <c r="B1035" s="16" t="s">
        <v>630</v>
      </c>
      <c r="C1035" s="16" t="s">
        <v>567</v>
      </c>
      <c r="D1035" s="16" t="s">
        <v>568</v>
      </c>
      <c r="E1035" s="16">
        <v>0.42620689655172411</v>
      </c>
      <c r="F1035" s="16" t="s">
        <v>194</v>
      </c>
      <c r="G1035" s="16"/>
      <c r="H1035" s="16" t="s">
        <v>558</v>
      </c>
      <c r="I1035" s="16" t="s">
        <v>230</v>
      </c>
      <c r="J1035" s="16" t="str">
        <f>IF(ISNUMBER(SEARCH("SCRW", H1035)), _xlfn.XLOOKUP(C1035,dd_item!$A$2:$A$147,dd_item!$B$2:$B$147,"",0),_xlfn.XLOOKUP(H1035,dd_item!$A$2:$A$147,dd_item!$B$2:$B$147,"",0))</f>
        <v>Mullion72</v>
      </c>
      <c r="K1035" s="16" t="str">
        <f>_xlfn.XLOOKUP(A1035,dd_design_raw!$C$2:$C$1002,dd_design_raw!$A$2:$A$1002,"",0)</f>
        <v>Triple Awning (Horizontal)</v>
      </c>
      <c r="L1035" s="16" t="str">
        <f>_xlfn.XLOOKUP(I1035,dd_accsryclr!$A$2:$A$1000,dd_accsryclr!$A$2:$A$1000,"",0)</f>
        <v>BRWN</v>
      </c>
    </row>
    <row r="1036" spans="1:12" hidden="1" x14ac:dyDescent="0.25">
      <c r="A1036" s="16" t="s">
        <v>13</v>
      </c>
      <c r="B1036" s="16" t="s">
        <v>630</v>
      </c>
      <c r="C1036" s="16" t="s">
        <v>569</v>
      </c>
      <c r="D1036" s="16" t="s">
        <v>570</v>
      </c>
      <c r="E1036" s="16">
        <v>0.42620689655172411</v>
      </c>
      <c r="F1036" s="16" t="s">
        <v>194</v>
      </c>
      <c r="G1036" s="16"/>
      <c r="H1036" s="16" t="s">
        <v>558</v>
      </c>
      <c r="I1036" s="16" t="s">
        <v>223</v>
      </c>
      <c r="J1036" s="16" t="str">
        <f>IF(ISNUMBER(SEARCH("SCRW", H1036)), _xlfn.XLOOKUP(C1036,dd_item!$A$2:$A$147,dd_item!$B$2:$B$147,"",0),_xlfn.XLOOKUP(H1036,dd_item!$A$2:$A$147,dd_item!$B$2:$B$147,"",0))</f>
        <v>Mullion72</v>
      </c>
      <c r="K1036" s="16" t="str">
        <f>_xlfn.XLOOKUP(A1036,dd_design_raw!$C$2:$C$1002,dd_design_raw!$A$2:$A$1002,"",0)</f>
        <v>Triple Awning (Horizontal)</v>
      </c>
      <c r="L1036" s="16" t="str">
        <f>_xlfn.XLOOKUP(I1036,dd_accsryclr!$A$2:$A$1000,dd_accsryclr!$A$2:$A$1000,"",0)</f>
        <v>BLK</v>
      </c>
    </row>
    <row r="1037" spans="1:12" hidden="1" x14ac:dyDescent="0.25">
      <c r="A1037" s="16" t="s">
        <v>13</v>
      </c>
      <c r="B1037" s="16" t="s">
        <v>630</v>
      </c>
      <c r="C1037" s="16" t="s">
        <v>514</v>
      </c>
      <c r="D1037" s="16" t="s">
        <v>515</v>
      </c>
      <c r="E1037" s="16">
        <v>0.62241379310344824</v>
      </c>
      <c r="F1037" s="16" t="s">
        <v>194</v>
      </c>
      <c r="G1037" s="16" t="s">
        <v>58</v>
      </c>
      <c r="H1037" s="16" t="s">
        <v>516</v>
      </c>
      <c r="I1037" s="16" t="s">
        <v>517</v>
      </c>
      <c r="J1037" s="16" t="str">
        <f>IF(ISNUMBER(SEARCH("SCRW", H1037)), _xlfn.XLOOKUP(C1037,dd_item!$A$2:$A$147,dd_item!$B$2:$B$147,"",0),_xlfn.XLOOKUP(H1037,dd_item!$A$2:$A$147,dd_item!$B$2:$B$147,"",0))</f>
        <v>Steel-Frame60</v>
      </c>
      <c r="K1037" s="16" t="str">
        <f>_xlfn.XLOOKUP(A1037,dd_design_raw!$C$2:$C$1002,dd_design_raw!$A$2:$A$1002,"",0)</f>
        <v>Triple Awning (Horizontal)</v>
      </c>
      <c r="L1037" s="16" t="str">
        <f>_xlfn.XLOOKUP(I1037,dd_accsryclr!$A$2:$A$1000,dd_accsryclr!$A$2:$A$1000,"",0)</f>
        <v/>
      </c>
    </row>
    <row r="1038" spans="1:12" hidden="1" x14ac:dyDescent="0.25">
      <c r="A1038" s="16" t="s">
        <v>13</v>
      </c>
      <c r="B1038" s="16" t="s">
        <v>630</v>
      </c>
      <c r="C1038" s="16" t="s">
        <v>518</v>
      </c>
      <c r="D1038" s="16" t="s">
        <v>519</v>
      </c>
      <c r="E1038" s="16">
        <v>0.41551724137931034</v>
      </c>
      <c r="F1038" s="16" t="s">
        <v>194</v>
      </c>
      <c r="G1038" s="16" t="s">
        <v>58</v>
      </c>
      <c r="H1038" s="16" t="s">
        <v>1099</v>
      </c>
      <c r="I1038" s="16" t="s">
        <v>520</v>
      </c>
      <c r="J1038" s="16" t="str">
        <f>IF(ISNUMBER(SEARCH("SCRW", H1038)), _xlfn.XLOOKUP(C1038,dd_item!$A$2:$A$147,dd_item!$B$2:$B$147,"",0),_xlfn.XLOOKUP(H1038,dd_item!$A$2:$A$147,dd_item!$B$2:$B$147,"",0))</f>
        <v>Steel-Frame60-H</v>
      </c>
      <c r="K1038" s="16" t="str">
        <f>_xlfn.XLOOKUP(A1038,dd_design_raw!$C$2:$C$1002,dd_design_raw!$A$2:$A$1002,"",0)</f>
        <v>Triple Awning (Horizontal)</v>
      </c>
      <c r="L1038" s="16" t="str">
        <f>_xlfn.XLOOKUP(I1038,dd_accsryclr!$A$2:$A$1000,dd_accsryclr!$A$2:$A$1000,"",0)</f>
        <v/>
      </c>
    </row>
    <row r="1039" spans="1:12" hidden="1" x14ac:dyDescent="0.25">
      <c r="A1039" s="16" t="s">
        <v>13</v>
      </c>
      <c r="B1039" s="16" t="s">
        <v>630</v>
      </c>
      <c r="C1039" s="16" t="s">
        <v>521</v>
      </c>
      <c r="D1039" s="16" t="s">
        <v>522</v>
      </c>
      <c r="E1039" s="16">
        <v>0.5868965517241379</v>
      </c>
      <c r="F1039" s="16" t="s">
        <v>194</v>
      </c>
      <c r="G1039" s="16" t="s">
        <v>59</v>
      </c>
      <c r="H1039" s="16" t="s">
        <v>523</v>
      </c>
      <c r="I1039" s="16" t="s">
        <v>524</v>
      </c>
      <c r="J1039" s="16" t="str">
        <f>IF(ISNUMBER(SEARCH("SCRW", H1039)), _xlfn.XLOOKUP(C1039,dd_item!$A$2:$A$147,dd_item!$B$2:$B$147,"",0),_xlfn.XLOOKUP(H1039,dd_item!$A$2:$A$147,dd_item!$B$2:$B$147,"",0))</f>
        <v>Steel-Sash78</v>
      </c>
      <c r="K1039" s="16" t="str">
        <f>_xlfn.XLOOKUP(A1039,dd_design_raw!$C$2:$C$1002,dd_design_raw!$A$2:$A$1002,"",0)</f>
        <v>Triple Awning (Horizontal)</v>
      </c>
      <c r="L1039" s="16" t="str">
        <f>_xlfn.XLOOKUP(I1039,dd_accsryclr!$A$2:$A$1000,dd_accsryclr!$A$2:$A$1000,"",0)</f>
        <v/>
      </c>
    </row>
    <row r="1040" spans="1:12" hidden="1" x14ac:dyDescent="0.25">
      <c r="A1040" s="16" t="s">
        <v>13</v>
      </c>
      <c r="B1040" s="16" t="s">
        <v>630</v>
      </c>
      <c r="C1040" s="16" t="s">
        <v>525</v>
      </c>
      <c r="D1040" s="16" t="s">
        <v>526</v>
      </c>
      <c r="E1040" s="16">
        <v>1.180344827586207</v>
      </c>
      <c r="F1040" s="16" t="s">
        <v>194</v>
      </c>
      <c r="G1040" s="16" t="s">
        <v>59</v>
      </c>
      <c r="H1040" s="16" t="s">
        <v>523</v>
      </c>
      <c r="I1040" s="16" t="s">
        <v>527</v>
      </c>
      <c r="J1040" s="16" t="str">
        <f>IF(ISNUMBER(SEARCH("SCRW", H1040)), _xlfn.XLOOKUP(C1040,dd_item!$A$2:$A$147,dd_item!$B$2:$B$147,"",0),_xlfn.XLOOKUP(H1040,dd_item!$A$2:$A$147,dd_item!$B$2:$B$147,"",0))</f>
        <v>Steel-Sash78</v>
      </c>
      <c r="K1040" s="16" t="str">
        <f>_xlfn.XLOOKUP(A1040,dd_design_raw!$C$2:$C$1002,dd_design_raw!$A$2:$A$1002,"",0)</f>
        <v>Triple Awning (Horizontal)</v>
      </c>
      <c r="L1040" s="16" t="str">
        <f>_xlfn.XLOOKUP(I1040,dd_accsryclr!$A$2:$A$1000,dd_accsryclr!$A$2:$A$1000,"",0)</f>
        <v/>
      </c>
    </row>
    <row r="1041" spans="1:12" hidden="1" x14ac:dyDescent="0.25">
      <c r="A1041" s="16" t="s">
        <v>13</v>
      </c>
      <c r="B1041" s="16" t="s">
        <v>630</v>
      </c>
      <c r="C1041" s="16" t="s">
        <v>349</v>
      </c>
      <c r="D1041" s="16" t="s">
        <v>350</v>
      </c>
      <c r="E1041" s="16">
        <v>1.7672413793103448</v>
      </c>
      <c r="F1041" s="16" t="s">
        <v>194</v>
      </c>
      <c r="G1041" s="16"/>
      <c r="H1041" s="16" t="s">
        <v>351</v>
      </c>
      <c r="I1041" s="16" t="s">
        <v>211</v>
      </c>
      <c r="J1041" s="16" t="str">
        <f>IF(ISNUMBER(SEARCH("SCRW", H1041)), _xlfn.XLOOKUP(C1041,dd_item!$A$2:$A$147,dd_item!$B$2:$B$147,"",0),_xlfn.XLOOKUP(H1041,dd_item!$A$2:$A$147,dd_item!$B$2:$B$147,"",0))</f>
        <v>Bead34</v>
      </c>
      <c r="K1041" s="16" t="str">
        <f>_xlfn.XLOOKUP(A1041,dd_design_raw!$C$2:$C$1002,dd_design_raw!$A$2:$A$1002,"",0)</f>
        <v>Triple Awning (Horizontal)</v>
      </c>
      <c r="L1041" s="16" t="str">
        <f>_xlfn.XLOOKUP(I1041,dd_accsryclr!$A$2:$A$1000,dd_accsryclr!$A$2:$A$1000,"",0)</f>
        <v/>
      </c>
    </row>
    <row r="1042" spans="1:12" hidden="1" x14ac:dyDescent="0.25">
      <c r="A1042" s="16" t="s">
        <v>13</v>
      </c>
      <c r="B1042" s="16" t="s">
        <v>630</v>
      </c>
      <c r="C1042" s="16" t="s">
        <v>352</v>
      </c>
      <c r="D1042" s="16" t="s">
        <v>353</v>
      </c>
      <c r="E1042" s="16">
        <v>1.7672413793103448</v>
      </c>
      <c r="F1042" s="16" t="s">
        <v>194</v>
      </c>
      <c r="G1042" s="16"/>
      <c r="H1042" s="16" t="s">
        <v>351</v>
      </c>
      <c r="I1042" s="16" t="s">
        <v>214</v>
      </c>
      <c r="J1042" s="16" t="str">
        <f>IF(ISNUMBER(SEARCH("SCRW", H1042)), _xlfn.XLOOKUP(C1042,dd_item!$A$2:$A$147,dd_item!$B$2:$B$147,"",0),_xlfn.XLOOKUP(H1042,dd_item!$A$2:$A$147,dd_item!$B$2:$B$147,"",0))</f>
        <v>Bead34</v>
      </c>
      <c r="K1042" s="16" t="str">
        <f>_xlfn.XLOOKUP(A1042,dd_design_raw!$C$2:$C$1002,dd_design_raw!$A$2:$A$1002,"",0)</f>
        <v>Triple Awning (Horizontal)</v>
      </c>
      <c r="L1042" s="16" t="str">
        <f>_xlfn.XLOOKUP(I1042,dd_accsryclr!$A$2:$A$1000,dd_accsryclr!$A$2:$A$1000,"",0)</f>
        <v/>
      </c>
    </row>
    <row r="1043" spans="1:12" hidden="1" x14ac:dyDescent="0.25">
      <c r="A1043" s="16" t="s">
        <v>13</v>
      </c>
      <c r="B1043" s="16" t="s">
        <v>630</v>
      </c>
      <c r="C1043" s="16" t="s">
        <v>354</v>
      </c>
      <c r="D1043" s="16" t="s">
        <v>355</v>
      </c>
      <c r="E1043" s="16">
        <v>1.7672413793103448</v>
      </c>
      <c r="F1043" s="16" t="s">
        <v>194</v>
      </c>
      <c r="G1043" s="16"/>
      <c r="H1043" s="16" t="s">
        <v>351</v>
      </c>
      <c r="I1043" s="16" t="s">
        <v>217</v>
      </c>
      <c r="J1043" s="16" t="str">
        <f>IF(ISNUMBER(SEARCH("SCRW", H1043)), _xlfn.XLOOKUP(C1043,dd_item!$A$2:$A$147,dd_item!$B$2:$B$147,"",0),_xlfn.XLOOKUP(H1043,dd_item!$A$2:$A$147,dd_item!$B$2:$B$147,"",0))</f>
        <v>Bead34</v>
      </c>
      <c r="K1043" s="16" t="str">
        <f>_xlfn.XLOOKUP(A1043,dd_design_raw!$C$2:$C$1002,dd_design_raw!$A$2:$A$1002,"",0)</f>
        <v>Triple Awning (Horizontal)</v>
      </c>
      <c r="L1043" s="16" t="str">
        <f>_xlfn.XLOOKUP(I1043,dd_accsryclr!$A$2:$A$1000,dd_accsryclr!$A$2:$A$1000,"",0)</f>
        <v/>
      </c>
    </row>
    <row r="1044" spans="1:12" hidden="1" x14ac:dyDescent="0.25">
      <c r="A1044" s="16" t="s">
        <v>13</v>
      </c>
      <c r="B1044" s="16" t="s">
        <v>630</v>
      </c>
      <c r="C1044" s="16" t="s">
        <v>356</v>
      </c>
      <c r="D1044" s="16" t="s">
        <v>357</v>
      </c>
      <c r="E1044" s="16">
        <v>1.7672413793103448</v>
      </c>
      <c r="F1044" s="16" t="s">
        <v>194</v>
      </c>
      <c r="G1044" s="16"/>
      <c r="H1044" s="16" t="s">
        <v>351</v>
      </c>
      <c r="I1044" s="16" t="s">
        <v>226</v>
      </c>
      <c r="J1044" s="16" t="str">
        <f>IF(ISNUMBER(SEARCH("SCRW", H1044)), _xlfn.XLOOKUP(C1044,dd_item!$A$2:$A$147,dd_item!$B$2:$B$147,"",0),_xlfn.XLOOKUP(H1044,dd_item!$A$2:$A$147,dd_item!$B$2:$B$147,"",0))</f>
        <v>Bead34</v>
      </c>
      <c r="K1044" s="16" t="str">
        <f>_xlfn.XLOOKUP(A1044,dd_design_raw!$C$2:$C$1002,dd_design_raw!$A$2:$A$1002,"",0)</f>
        <v>Triple Awning (Horizontal)</v>
      </c>
      <c r="L1044" s="16" t="str">
        <f>_xlfn.XLOOKUP(I1044,dd_accsryclr!$A$2:$A$1000,dd_accsryclr!$A$2:$A$1000,"",0)</f>
        <v/>
      </c>
    </row>
    <row r="1045" spans="1:12" hidden="1" x14ac:dyDescent="0.25">
      <c r="A1045" s="16" t="s">
        <v>13</v>
      </c>
      <c r="B1045" s="16" t="s">
        <v>630</v>
      </c>
      <c r="C1045" s="16" t="s">
        <v>358</v>
      </c>
      <c r="D1045" s="16" t="s">
        <v>359</v>
      </c>
      <c r="E1045" s="16">
        <v>1.7672413793103448</v>
      </c>
      <c r="F1045" s="16" t="s">
        <v>194</v>
      </c>
      <c r="G1045" s="16"/>
      <c r="H1045" s="16" t="s">
        <v>351</v>
      </c>
      <c r="I1045" s="16" t="s">
        <v>220</v>
      </c>
      <c r="J1045" s="16" t="str">
        <f>IF(ISNUMBER(SEARCH("SCRW", H1045)), _xlfn.XLOOKUP(C1045,dd_item!$A$2:$A$147,dd_item!$B$2:$B$147,"",0),_xlfn.XLOOKUP(H1045,dd_item!$A$2:$A$147,dd_item!$B$2:$B$147,"",0))</f>
        <v>Bead34</v>
      </c>
      <c r="K1045" s="16" t="str">
        <f>_xlfn.XLOOKUP(A1045,dd_design_raw!$C$2:$C$1002,dd_design_raw!$A$2:$A$1002,"",0)</f>
        <v>Triple Awning (Horizontal)</v>
      </c>
      <c r="L1045" s="16" t="str">
        <f>_xlfn.XLOOKUP(I1045,dd_accsryclr!$A$2:$A$1000,dd_accsryclr!$A$2:$A$1000,"",0)</f>
        <v>WHT</v>
      </c>
    </row>
    <row r="1046" spans="1:12" hidden="1" x14ac:dyDescent="0.25">
      <c r="A1046" s="16" t="s">
        <v>13</v>
      </c>
      <c r="B1046" s="16" t="s">
        <v>630</v>
      </c>
      <c r="C1046" s="16" t="s">
        <v>360</v>
      </c>
      <c r="D1046" s="16" t="s">
        <v>361</v>
      </c>
      <c r="E1046" s="16">
        <v>1.7672413793103448</v>
      </c>
      <c r="F1046" s="16" t="s">
        <v>194</v>
      </c>
      <c r="G1046" s="16"/>
      <c r="H1046" s="16" t="s">
        <v>351</v>
      </c>
      <c r="I1046" s="16" t="s">
        <v>223</v>
      </c>
      <c r="J1046" s="16" t="str">
        <f>IF(ISNUMBER(SEARCH("SCRW", H1046)), _xlfn.XLOOKUP(C1046,dd_item!$A$2:$A$147,dd_item!$B$2:$B$147,"",0),_xlfn.XLOOKUP(H1046,dd_item!$A$2:$A$147,dd_item!$B$2:$B$147,"",0))</f>
        <v>Bead34</v>
      </c>
      <c r="K1046" s="16" t="str">
        <f>_xlfn.XLOOKUP(A1046,dd_design_raw!$C$2:$C$1002,dd_design_raw!$A$2:$A$1002,"",0)</f>
        <v>Triple Awning (Horizontal)</v>
      </c>
      <c r="L1046" s="16" t="str">
        <f>_xlfn.XLOOKUP(I1046,dd_accsryclr!$A$2:$A$1000,dd_accsryclr!$A$2:$A$1000,"",0)</f>
        <v>BLK</v>
      </c>
    </row>
    <row r="1047" spans="1:12" hidden="1" x14ac:dyDescent="0.25">
      <c r="A1047" s="16" t="s">
        <v>13</v>
      </c>
      <c r="B1047" s="16" t="s">
        <v>630</v>
      </c>
      <c r="C1047" s="16" t="s">
        <v>362</v>
      </c>
      <c r="D1047" s="16" t="s">
        <v>363</v>
      </c>
      <c r="E1047" s="16">
        <v>1.7672413793103448</v>
      </c>
      <c r="F1047" s="16" t="s">
        <v>194</v>
      </c>
      <c r="G1047" s="16"/>
      <c r="H1047" s="16" t="s">
        <v>351</v>
      </c>
      <c r="I1047" s="16" t="s">
        <v>230</v>
      </c>
      <c r="J1047" s="16" t="str">
        <f>IF(ISNUMBER(SEARCH("SCRW", H1047)), _xlfn.XLOOKUP(C1047,dd_item!$A$2:$A$147,dd_item!$B$2:$B$147,"",0),_xlfn.XLOOKUP(H1047,dd_item!$A$2:$A$147,dd_item!$B$2:$B$147,"",0))</f>
        <v>Bead34</v>
      </c>
      <c r="K1047" s="16" t="str">
        <f>_xlfn.XLOOKUP(A1047,dd_design_raw!$C$2:$C$1002,dd_design_raw!$A$2:$A$1002,"",0)</f>
        <v>Triple Awning (Horizontal)</v>
      </c>
      <c r="L1047" s="16" t="str">
        <f>_xlfn.XLOOKUP(I1047,dd_accsryclr!$A$2:$A$1000,dd_accsryclr!$A$2:$A$1000,"",0)</f>
        <v>BRWN</v>
      </c>
    </row>
    <row r="1048" spans="1:12" x14ac:dyDescent="0.25">
      <c r="A1048" s="16" t="s">
        <v>13</v>
      </c>
      <c r="B1048" s="16" t="s">
        <v>630</v>
      </c>
      <c r="C1048" s="16" t="s">
        <v>631</v>
      </c>
      <c r="D1048" s="16" t="s">
        <v>632</v>
      </c>
      <c r="E1048" s="16">
        <v>3</v>
      </c>
      <c r="F1048" s="16" t="s">
        <v>293</v>
      </c>
      <c r="G1048" s="16"/>
      <c r="H1048" s="16" t="s">
        <v>530</v>
      </c>
      <c r="I1048" s="16" t="s">
        <v>531</v>
      </c>
      <c r="J1048" s="16" t="str">
        <f>IF(ISNUMBER(SEARCH("SCRW", H1048)), _xlfn.XLOOKUP(C1048,dd_item!$A$2:$A$147,dd_item!$B$2:$B$147,"",0),_xlfn.XLOOKUP(H1048,dd_item!$A$2:$A$147,dd_item!$B$2:$B$147,"",0))</f>
        <v>Casement Espagnolette</v>
      </c>
      <c r="K1048" s="16" t="str">
        <f>_xlfn.XLOOKUP(A1048,dd_design_raw!$C$2:$C$1002,dd_design_raw!$A$2:$A$1002,"",0)</f>
        <v>Triple Awning (Horizontal)</v>
      </c>
      <c r="L1048" s="16" t="str">
        <f>_xlfn.XLOOKUP(I1048,dd_accsryclr!$A$2:$A$1000,dd_accsryclr!$A$2:$A$1000,"",0)</f>
        <v/>
      </c>
    </row>
    <row r="1049" spans="1:12" x14ac:dyDescent="0.25">
      <c r="A1049" s="16" t="s">
        <v>13</v>
      </c>
      <c r="B1049" s="16" t="s">
        <v>630</v>
      </c>
      <c r="C1049" s="16" t="s">
        <v>633</v>
      </c>
      <c r="D1049" s="16" t="s">
        <v>634</v>
      </c>
      <c r="E1049" s="16">
        <v>3</v>
      </c>
      <c r="F1049" s="16" t="s">
        <v>293</v>
      </c>
      <c r="G1049" s="16"/>
      <c r="H1049" s="16" t="s">
        <v>530</v>
      </c>
      <c r="I1049" s="16" t="s">
        <v>531</v>
      </c>
      <c r="J1049" s="16" t="str">
        <f>IF(ISNUMBER(SEARCH("SCRW", H1049)), _xlfn.XLOOKUP(C1049,dd_item!$A$2:$A$147,dd_item!$B$2:$B$147,"",0),_xlfn.XLOOKUP(H1049,dd_item!$A$2:$A$147,dd_item!$B$2:$B$147,"",0))</f>
        <v>Casement Espagnolette</v>
      </c>
      <c r="K1049" s="16" t="str">
        <f>_xlfn.XLOOKUP(A1049,dd_design_raw!$C$2:$C$1002,dd_design_raw!$A$2:$A$1002,"",0)</f>
        <v>Triple Awning (Horizontal)</v>
      </c>
      <c r="L1049" s="16" t="str">
        <f>_xlfn.XLOOKUP(I1049,dd_accsryclr!$A$2:$A$1000,dd_accsryclr!$A$2:$A$1000,"",0)</f>
        <v/>
      </c>
    </row>
    <row r="1050" spans="1:12" x14ac:dyDescent="0.25">
      <c r="A1050" s="16" t="s">
        <v>13</v>
      </c>
      <c r="B1050" s="16" t="s">
        <v>630</v>
      </c>
      <c r="C1050" s="16" t="s">
        <v>635</v>
      </c>
      <c r="D1050" s="16" t="s">
        <v>636</v>
      </c>
      <c r="E1050" s="16">
        <v>3</v>
      </c>
      <c r="F1050" s="16" t="s">
        <v>293</v>
      </c>
      <c r="G1050" s="16"/>
      <c r="H1050" s="16" t="s">
        <v>530</v>
      </c>
      <c r="I1050" s="16" t="s">
        <v>637</v>
      </c>
      <c r="J1050" s="16" t="str">
        <f>IF(ISNUMBER(SEARCH("SCRW", H1050)), _xlfn.XLOOKUP(C1050,dd_item!$A$2:$A$147,dd_item!$B$2:$B$147,"",0),_xlfn.XLOOKUP(H1050,dd_item!$A$2:$A$147,dd_item!$B$2:$B$147,"",0))</f>
        <v>Casement Espagnolette</v>
      </c>
      <c r="K1050" s="16" t="str">
        <f>_xlfn.XLOOKUP(A1050,dd_design_raw!$C$2:$C$1002,dd_design_raw!$A$2:$A$1002,"",0)</f>
        <v>Triple Awning (Horizontal)</v>
      </c>
      <c r="L1050" s="16" t="str">
        <f>_xlfn.XLOOKUP(I1050,dd_accsryclr!$A$2:$A$1000,dd_accsryclr!$A$2:$A$1000,"",0)</f>
        <v/>
      </c>
    </row>
    <row r="1051" spans="1:12" hidden="1" x14ac:dyDescent="0.25">
      <c r="A1051" s="16" t="s">
        <v>13</v>
      </c>
      <c r="B1051" s="16" t="s">
        <v>630</v>
      </c>
      <c r="C1051" s="16" t="s">
        <v>537</v>
      </c>
      <c r="D1051" s="16" t="s">
        <v>538</v>
      </c>
      <c r="E1051" s="16">
        <v>6</v>
      </c>
      <c r="F1051" s="16" t="s">
        <v>293</v>
      </c>
      <c r="G1051" s="16"/>
      <c r="H1051" s="16" t="s">
        <v>539</v>
      </c>
      <c r="I1051" s="16" t="s">
        <v>638</v>
      </c>
      <c r="J1051" s="16" t="str">
        <f>IF(ISNUMBER(SEARCH("SCRW", H1051)), _xlfn.XLOOKUP(C1051,dd_item!$A$2:$A$147,dd_item!$B$2:$B$147,"",0),_xlfn.XLOOKUP(H1051,dd_item!$A$2:$A$147,dd_item!$B$2:$B$147,"",0))</f>
        <v>Hinge 5-Bar</v>
      </c>
      <c r="K1051" s="16" t="str">
        <f>_xlfn.XLOOKUP(A1051,dd_design_raw!$C$2:$C$1002,dd_design_raw!$A$2:$A$1002,"",0)</f>
        <v>Triple Awning (Horizontal)</v>
      </c>
      <c r="L1051" s="16" t="str">
        <f>_xlfn.XLOOKUP(I1051,dd_accsryclr!$A$2:$A$1000,dd_accsryclr!$A$2:$A$1000,"",0)</f>
        <v/>
      </c>
    </row>
    <row r="1052" spans="1:12" hidden="1" x14ac:dyDescent="0.25">
      <c r="A1052" s="16" t="s">
        <v>13</v>
      </c>
      <c r="B1052" s="16" t="s">
        <v>630</v>
      </c>
      <c r="C1052" s="16" t="s">
        <v>390</v>
      </c>
      <c r="D1052" s="16" t="s">
        <v>391</v>
      </c>
      <c r="E1052" s="16">
        <v>12.04</v>
      </c>
      <c r="F1052" s="16" t="s">
        <v>369</v>
      </c>
      <c r="G1052" s="16"/>
      <c r="H1052" s="16" t="s">
        <v>792</v>
      </c>
      <c r="I1052" s="16" t="s">
        <v>577</v>
      </c>
      <c r="J1052" s="16" t="str">
        <f>IF(ISNUMBER(SEARCH("SCRW", H1052)), _xlfn.XLOOKUP(C1052,dd_item!$A$2:$A$147,dd_item!$B$2:$B$147,"",0),_xlfn.XLOOKUP(H1052,dd_item!$A$2:$A$147,dd_item!$B$2:$B$147,"",0))</f>
        <v>Atlas Screw (S) 10 x 2-1/2" (Flat)</v>
      </c>
      <c r="K1052" s="16" t="str">
        <f>_xlfn.XLOOKUP(A1052,dd_design_raw!$C$2:$C$1002,dd_design_raw!$A$2:$A$1002,"",0)</f>
        <v>Triple Awning (Horizontal)</v>
      </c>
      <c r="L1052" s="16" t="str">
        <f>_xlfn.XLOOKUP(I1052,dd_accsryclr!$A$2:$A$1000,dd_accsryclr!$A$2:$A$1000,"",0)</f>
        <v/>
      </c>
    </row>
    <row r="1053" spans="1:12" hidden="1" x14ac:dyDescent="0.25">
      <c r="A1053" s="16" t="s">
        <v>13</v>
      </c>
      <c r="B1053" s="16" t="s">
        <v>630</v>
      </c>
      <c r="C1053" s="16" t="s">
        <v>392</v>
      </c>
      <c r="D1053" s="16" t="s">
        <v>393</v>
      </c>
      <c r="E1053" s="16">
        <v>3</v>
      </c>
      <c r="F1053" s="16" t="s">
        <v>369</v>
      </c>
      <c r="G1053" s="16"/>
      <c r="H1053" s="16" t="s">
        <v>394</v>
      </c>
      <c r="I1053" s="16" t="s">
        <v>223</v>
      </c>
      <c r="J1053" s="16" t="str">
        <f>IF(ISNUMBER(SEARCH("SCRW", H1053)), _xlfn.XLOOKUP(C1053,dd_item!$A$2:$A$147,dd_item!$B$2:$B$147,"",0),_xlfn.XLOOKUP(H1053,dd_item!$A$2:$A$147,dd_item!$B$2:$B$147,"",0))</f>
        <v>Drainage Cover</v>
      </c>
      <c r="K1053" s="16" t="str">
        <f>_xlfn.XLOOKUP(A1053,dd_design_raw!$C$2:$C$1002,dd_design_raw!$A$2:$A$1002,"",0)</f>
        <v>Triple Awning (Horizontal)</v>
      </c>
      <c r="L1053" s="16" t="str">
        <f>_xlfn.XLOOKUP(I1053,dd_accsryclr!$A$2:$A$1000,dd_accsryclr!$A$2:$A$1000,"",0)</f>
        <v>BLK</v>
      </c>
    </row>
    <row r="1054" spans="1:12" hidden="1" x14ac:dyDescent="0.25">
      <c r="A1054" s="16" t="s">
        <v>13</v>
      </c>
      <c r="B1054" s="16" t="s">
        <v>630</v>
      </c>
      <c r="C1054" s="16" t="s">
        <v>395</v>
      </c>
      <c r="D1054" s="16" t="s">
        <v>396</v>
      </c>
      <c r="E1054" s="16">
        <v>3</v>
      </c>
      <c r="F1054" s="16" t="s">
        <v>369</v>
      </c>
      <c r="G1054" s="16"/>
      <c r="H1054" s="16" t="s">
        <v>394</v>
      </c>
      <c r="I1054" s="16" t="s">
        <v>220</v>
      </c>
      <c r="J1054" s="16" t="str">
        <f>IF(ISNUMBER(SEARCH("SCRW", H1054)), _xlfn.XLOOKUP(C1054,dd_item!$A$2:$A$147,dd_item!$B$2:$B$147,"",0),_xlfn.XLOOKUP(H1054,dd_item!$A$2:$A$147,dd_item!$B$2:$B$147,"",0))</f>
        <v>Drainage Cover</v>
      </c>
      <c r="K1054" s="16" t="str">
        <f>_xlfn.XLOOKUP(A1054,dd_design_raw!$C$2:$C$1002,dd_design_raw!$A$2:$A$1002,"",0)</f>
        <v>Triple Awning (Horizontal)</v>
      </c>
      <c r="L1054" s="16" t="str">
        <f>_xlfn.XLOOKUP(I1054,dd_accsryclr!$A$2:$A$1000,dd_accsryclr!$A$2:$A$1000,"",0)</f>
        <v>WHT</v>
      </c>
    </row>
    <row r="1055" spans="1:12" hidden="1" x14ac:dyDescent="0.25">
      <c r="A1055" s="16" t="s">
        <v>13</v>
      </c>
      <c r="B1055" s="16" t="s">
        <v>630</v>
      </c>
      <c r="C1055" s="16" t="s">
        <v>397</v>
      </c>
      <c r="D1055" s="16" t="s">
        <v>398</v>
      </c>
      <c r="E1055" s="16">
        <v>0.24079999999999999</v>
      </c>
      <c r="F1055" s="16" t="s">
        <v>369</v>
      </c>
      <c r="G1055" s="16"/>
      <c r="H1055" s="16" t="s">
        <v>399</v>
      </c>
      <c r="I1055" s="16" t="s">
        <v>400</v>
      </c>
      <c r="J1055" s="16" t="str">
        <f>IF(ISNUMBER(SEARCH("SCRW", H1055)), _xlfn.XLOOKUP(C1055,dd_item!$A$2:$A$147,dd_item!$B$2:$B$147,"",0),_xlfn.XLOOKUP(H1055,dd_item!$A$2:$A$147,dd_item!$B$2:$B$147,"",0))</f>
        <v>Tox6</v>
      </c>
      <c r="K1055" s="16" t="str">
        <f>_xlfn.XLOOKUP(A1055,dd_design_raw!$C$2:$C$1002,dd_design_raw!$A$2:$A$1002,"",0)</f>
        <v>Triple Awning (Horizontal)</v>
      </c>
      <c r="L1055" s="16" t="str">
        <f>_xlfn.XLOOKUP(I1055,dd_accsryclr!$A$2:$A$1000,dd_accsryclr!$A$2:$A$1000,"",0)</f>
        <v/>
      </c>
    </row>
    <row r="1056" spans="1:12" hidden="1" x14ac:dyDescent="0.25">
      <c r="A1056" s="16" t="s">
        <v>13</v>
      </c>
      <c r="B1056" s="16" t="s">
        <v>630</v>
      </c>
      <c r="C1056" s="16" t="s">
        <v>414</v>
      </c>
      <c r="D1056" s="16" t="s">
        <v>415</v>
      </c>
      <c r="E1056" s="16">
        <v>4.0133333333333336</v>
      </c>
      <c r="F1056" s="16" t="s">
        <v>369</v>
      </c>
      <c r="G1056" s="16"/>
      <c r="H1056" s="16" t="s">
        <v>416</v>
      </c>
      <c r="I1056" s="16" t="s">
        <v>223</v>
      </c>
      <c r="J1056" s="16" t="str">
        <f>IF(ISNUMBER(SEARCH("SCRW", H1056)), _xlfn.XLOOKUP(C1056,dd_item!$A$2:$A$147,dd_item!$B$2:$B$147,"",0),_xlfn.XLOOKUP(H1056,dd_item!$A$2:$A$147,dd_item!$B$2:$B$147,"",0))</f>
        <v>Sealant</v>
      </c>
      <c r="K1056" s="16" t="str">
        <f>_xlfn.XLOOKUP(A1056,dd_design_raw!$C$2:$C$1002,dd_design_raw!$A$2:$A$1002,"",0)</f>
        <v>Triple Awning (Horizontal)</v>
      </c>
      <c r="L1056" s="16" t="str">
        <f>_xlfn.XLOOKUP(I1056,dd_accsryclr!$A$2:$A$1000,dd_accsryclr!$A$2:$A$1000,"",0)</f>
        <v>BLK</v>
      </c>
    </row>
    <row r="1057" spans="1:12" hidden="1" x14ac:dyDescent="0.25">
      <c r="A1057" s="16" t="s">
        <v>13</v>
      </c>
      <c r="B1057" s="16" t="s">
        <v>630</v>
      </c>
      <c r="C1057" s="16" t="s">
        <v>417</v>
      </c>
      <c r="D1057" s="16" t="s">
        <v>418</v>
      </c>
      <c r="E1057" s="16">
        <v>4.0133333333333336</v>
      </c>
      <c r="F1057" s="16" t="s">
        <v>369</v>
      </c>
      <c r="G1057" s="16"/>
      <c r="H1057" s="16" t="s">
        <v>416</v>
      </c>
      <c r="I1057" s="16" t="s">
        <v>230</v>
      </c>
      <c r="J1057" s="16" t="str">
        <f>IF(ISNUMBER(SEARCH("SCRW", H1057)), _xlfn.XLOOKUP(C1057,dd_item!$A$2:$A$147,dd_item!$B$2:$B$147,"",0),_xlfn.XLOOKUP(H1057,dd_item!$A$2:$A$147,dd_item!$B$2:$B$147,"",0))</f>
        <v>Sealant</v>
      </c>
      <c r="K1057" s="16" t="str">
        <f>_xlfn.XLOOKUP(A1057,dd_design_raw!$C$2:$C$1002,dd_design_raw!$A$2:$A$1002,"",0)</f>
        <v>Triple Awning (Horizontal)</v>
      </c>
      <c r="L1057" s="16" t="str">
        <f>_xlfn.XLOOKUP(I1057,dd_accsryclr!$A$2:$A$1000,dd_accsryclr!$A$2:$A$1000,"",0)</f>
        <v>BRWN</v>
      </c>
    </row>
    <row r="1058" spans="1:12" hidden="1" x14ac:dyDescent="0.25">
      <c r="A1058" s="16" t="s">
        <v>13</v>
      </c>
      <c r="B1058" s="16" t="s">
        <v>630</v>
      </c>
      <c r="C1058" s="16" t="s">
        <v>419</v>
      </c>
      <c r="D1058" s="16" t="s">
        <v>420</v>
      </c>
      <c r="E1058" s="16">
        <v>4.0133333333333336</v>
      </c>
      <c r="F1058" s="16" t="s">
        <v>369</v>
      </c>
      <c r="G1058" s="16"/>
      <c r="H1058" s="16" t="s">
        <v>416</v>
      </c>
      <c r="I1058" s="16" t="s">
        <v>220</v>
      </c>
      <c r="J1058" s="16" t="str">
        <f>IF(ISNUMBER(SEARCH("SCRW", H1058)), _xlfn.XLOOKUP(C1058,dd_item!$A$2:$A$147,dd_item!$B$2:$B$147,"",0),_xlfn.XLOOKUP(H1058,dd_item!$A$2:$A$147,dd_item!$B$2:$B$147,"",0))</f>
        <v>Sealant</v>
      </c>
      <c r="K1058" s="16" t="str">
        <f>_xlfn.XLOOKUP(A1058,dd_design_raw!$C$2:$C$1002,dd_design_raw!$A$2:$A$1002,"",0)</f>
        <v>Triple Awning (Horizontal)</v>
      </c>
      <c r="L1058" s="16" t="str">
        <f>_xlfn.XLOOKUP(I1058,dd_accsryclr!$A$2:$A$1000,dd_accsryclr!$A$2:$A$1000,"",0)</f>
        <v>WHT</v>
      </c>
    </row>
    <row r="1059" spans="1:12" hidden="1" x14ac:dyDescent="0.25">
      <c r="A1059" s="16" t="s">
        <v>13</v>
      </c>
      <c r="B1059" s="16" t="s">
        <v>630</v>
      </c>
      <c r="C1059" s="16" t="s">
        <v>421</v>
      </c>
      <c r="D1059" s="16" t="s">
        <v>422</v>
      </c>
      <c r="E1059" s="16"/>
      <c r="F1059" s="16" t="s">
        <v>369</v>
      </c>
      <c r="G1059" s="16"/>
      <c r="H1059" s="16" t="s">
        <v>416</v>
      </c>
      <c r="I1059" s="16" t="s">
        <v>423</v>
      </c>
      <c r="J1059" s="16" t="str">
        <f>IF(ISNUMBER(SEARCH("SCRW", H1059)), _xlfn.XLOOKUP(C1059,dd_item!$A$2:$A$147,dd_item!$B$2:$B$147,"",0),_xlfn.XLOOKUP(H1059,dd_item!$A$2:$A$147,dd_item!$B$2:$B$147,"",0))</f>
        <v>Sealant</v>
      </c>
      <c r="K1059" s="16" t="str">
        <f>_xlfn.XLOOKUP(A1059,dd_design_raw!$C$2:$C$1002,dd_design_raw!$A$2:$A$1002,"",0)</f>
        <v>Triple Awning (Horizontal)</v>
      </c>
      <c r="L1059" s="16" t="str">
        <f>_xlfn.XLOOKUP(I1059,dd_accsryclr!$A$2:$A$1000,dd_accsryclr!$A$2:$A$1000,"",0)</f>
        <v/>
      </c>
    </row>
    <row r="1060" spans="1:12" hidden="1" x14ac:dyDescent="0.25">
      <c r="A1060" s="16" t="s">
        <v>13</v>
      </c>
      <c r="B1060" s="16" t="s">
        <v>630</v>
      </c>
      <c r="C1060" s="16" t="s">
        <v>540</v>
      </c>
      <c r="D1060" s="16" t="s">
        <v>541</v>
      </c>
      <c r="E1060" s="16">
        <v>3</v>
      </c>
      <c r="F1060" s="16" t="s">
        <v>369</v>
      </c>
      <c r="G1060" s="16"/>
      <c r="H1060" s="16" t="s">
        <v>542</v>
      </c>
      <c r="I1060" s="16" t="s">
        <v>223</v>
      </c>
      <c r="J1060" s="16" t="str">
        <f>IF(ISNUMBER(SEARCH("SCRW", H1060)), _xlfn.XLOOKUP(C1060,dd_item!$A$2:$A$147,dd_item!$B$2:$B$147,"",0),_xlfn.XLOOKUP(H1060,dd_item!$A$2:$A$147,dd_item!$B$2:$B$147,"",0))</f>
        <v>Casement Handle (Roto)</v>
      </c>
      <c r="K1060" s="16" t="str">
        <f>_xlfn.XLOOKUP(A1060,dd_design_raw!$C$2:$C$1002,dd_design_raw!$A$2:$A$1002,"",0)</f>
        <v>Triple Awning (Horizontal)</v>
      </c>
      <c r="L1060" s="16" t="str">
        <f>_xlfn.XLOOKUP(I1060,dd_accsryclr!$A$2:$A$1000,dd_accsryclr!$A$2:$A$1000,"",0)</f>
        <v>BLK</v>
      </c>
    </row>
    <row r="1061" spans="1:12" hidden="1" x14ac:dyDescent="0.25">
      <c r="A1061" s="16" t="s">
        <v>13</v>
      </c>
      <c r="B1061" s="16" t="s">
        <v>630</v>
      </c>
      <c r="C1061" s="16" t="s">
        <v>543</v>
      </c>
      <c r="D1061" s="16" t="s">
        <v>544</v>
      </c>
      <c r="E1061" s="16">
        <v>3</v>
      </c>
      <c r="F1061" s="16" t="s">
        <v>369</v>
      </c>
      <c r="G1061" s="16"/>
      <c r="H1061" s="16" t="s">
        <v>542</v>
      </c>
      <c r="I1061" s="16" t="s">
        <v>220</v>
      </c>
      <c r="J1061" s="16" t="str">
        <f>IF(ISNUMBER(SEARCH("SCRW", H1061)), _xlfn.XLOOKUP(C1061,dd_item!$A$2:$A$147,dd_item!$B$2:$B$147,"",0),_xlfn.XLOOKUP(H1061,dd_item!$A$2:$A$147,dd_item!$B$2:$B$147,"",0))</f>
        <v>Casement Handle (Roto)</v>
      </c>
      <c r="K1061" s="16" t="str">
        <f>_xlfn.XLOOKUP(A1061,dd_design_raw!$C$2:$C$1002,dd_design_raw!$A$2:$A$1002,"",0)</f>
        <v>Triple Awning (Horizontal)</v>
      </c>
      <c r="L1061" s="16" t="str">
        <f>_xlfn.XLOOKUP(I1061,dd_accsryclr!$A$2:$A$1000,dd_accsryclr!$A$2:$A$1000,"",0)</f>
        <v>WHT</v>
      </c>
    </row>
    <row r="1062" spans="1:12" hidden="1" x14ac:dyDescent="0.25">
      <c r="A1062" s="16" t="s">
        <v>13</v>
      </c>
      <c r="B1062" s="16" t="s">
        <v>630</v>
      </c>
      <c r="C1062" s="16" t="s">
        <v>545</v>
      </c>
      <c r="D1062" s="16" t="s">
        <v>546</v>
      </c>
      <c r="E1062" s="16">
        <v>3</v>
      </c>
      <c r="F1062" s="16" t="s">
        <v>369</v>
      </c>
      <c r="G1062" s="16"/>
      <c r="H1062" s="16" t="s">
        <v>9</v>
      </c>
      <c r="I1062" s="16" t="s">
        <v>223</v>
      </c>
      <c r="J1062" s="16" t="str">
        <f>IF(ISNUMBER(SEARCH("SCRW", H1062)), _xlfn.XLOOKUP(C1062,dd_item!$A$2:$A$147,dd_item!$B$2:$B$147,"",0),_xlfn.XLOOKUP(H1062,dd_item!$A$2:$A$147,dd_item!$B$2:$B$147,"",0))</f>
        <v>Casement Handle (Espag)</v>
      </c>
      <c r="K1062" s="16" t="str">
        <f>_xlfn.XLOOKUP(A1062,dd_design_raw!$C$2:$C$1002,dd_design_raw!$A$2:$A$1002,"",0)</f>
        <v>Triple Awning (Horizontal)</v>
      </c>
      <c r="L1062" s="16" t="str">
        <f>_xlfn.XLOOKUP(I1062,dd_accsryclr!$A$2:$A$1000,dd_accsryclr!$A$2:$A$1000,"",0)</f>
        <v>BLK</v>
      </c>
    </row>
    <row r="1063" spans="1:12" hidden="1" x14ac:dyDescent="0.25">
      <c r="A1063" s="16" t="s">
        <v>13</v>
      </c>
      <c r="B1063" s="16" t="s">
        <v>630</v>
      </c>
      <c r="C1063" s="16" t="s">
        <v>547</v>
      </c>
      <c r="D1063" s="16" t="s">
        <v>548</v>
      </c>
      <c r="E1063" s="16">
        <v>3</v>
      </c>
      <c r="F1063" s="16" t="s">
        <v>369</v>
      </c>
      <c r="G1063" s="16"/>
      <c r="H1063" s="16" t="s">
        <v>9</v>
      </c>
      <c r="I1063" s="16" t="s">
        <v>220</v>
      </c>
      <c r="J1063" s="16" t="str">
        <f>IF(ISNUMBER(SEARCH("SCRW", H1063)), _xlfn.XLOOKUP(C1063,dd_item!$A$2:$A$147,dd_item!$B$2:$B$147,"",0),_xlfn.XLOOKUP(H1063,dd_item!$A$2:$A$147,dd_item!$B$2:$B$147,"",0))</f>
        <v>Casement Handle (Espag)</v>
      </c>
      <c r="K1063" s="16" t="str">
        <f>_xlfn.XLOOKUP(A1063,dd_design_raw!$C$2:$C$1002,dd_design_raw!$A$2:$A$1002,"",0)</f>
        <v>Triple Awning (Horizontal)</v>
      </c>
      <c r="L1063" s="16" t="str">
        <f>_xlfn.XLOOKUP(I1063,dd_accsryclr!$A$2:$A$1000,dd_accsryclr!$A$2:$A$1000,"",0)</f>
        <v>WHT</v>
      </c>
    </row>
    <row r="1064" spans="1:12" hidden="1" x14ac:dyDescent="0.25">
      <c r="A1064" s="16" t="s">
        <v>13</v>
      </c>
      <c r="B1064" s="16" t="s">
        <v>630</v>
      </c>
      <c r="C1064" s="16" t="s">
        <v>549</v>
      </c>
      <c r="D1064" s="16" t="s">
        <v>550</v>
      </c>
      <c r="E1064" s="16">
        <v>6</v>
      </c>
      <c r="F1064" s="16" t="s">
        <v>369</v>
      </c>
      <c r="G1064" s="16"/>
      <c r="H1064" s="16" t="s">
        <v>551</v>
      </c>
      <c r="I1064" s="16" t="s">
        <v>574</v>
      </c>
      <c r="J1064" s="16" t="str">
        <f>IF(ISNUMBER(SEARCH("SCRW", H1064)), _xlfn.XLOOKUP(C1064,dd_item!$A$2:$A$147,dd_item!$B$2:$B$147,"",0),_xlfn.XLOOKUP(H1064,dd_item!$A$2:$A$147,dd_item!$B$2:$B$147,"",0))</f>
        <v>Casement Striker (Roto)</v>
      </c>
      <c r="K1064" s="16" t="str">
        <f>_xlfn.XLOOKUP(A1064,dd_design_raw!$C$2:$C$1002,dd_design_raw!$A$2:$A$1002,"",0)</f>
        <v>Triple Awning (Horizontal)</v>
      </c>
      <c r="L1064" s="16" t="str">
        <f>_xlfn.XLOOKUP(I1064,dd_accsryclr!$A$2:$A$1000,dd_accsryclr!$A$2:$A$1000,"",0)</f>
        <v/>
      </c>
    </row>
    <row r="1065" spans="1:12" hidden="1" x14ac:dyDescent="0.25">
      <c r="A1065" s="16" t="s">
        <v>13</v>
      </c>
      <c r="B1065" s="16" t="s">
        <v>630</v>
      </c>
      <c r="C1065" s="16" t="s">
        <v>412</v>
      </c>
      <c r="D1065" s="16" t="s">
        <v>413</v>
      </c>
      <c r="E1065" s="16">
        <v>6</v>
      </c>
      <c r="F1065" s="16" t="s">
        <v>369</v>
      </c>
      <c r="G1065" s="16"/>
      <c r="H1065" s="16" t="s">
        <v>793</v>
      </c>
      <c r="I1065" s="16" t="s">
        <v>575</v>
      </c>
      <c r="J1065" s="16" t="str">
        <f>IF(ISNUMBER(SEARCH("SCRW", H1065)), _xlfn.XLOOKUP(C1065,dd_item!$A$2:$A$147,dd_item!$B$2:$B$147,"",0),_xlfn.XLOOKUP(H1065,dd_item!$A$2:$A$147,dd_item!$B$2:$B$147,"",0))</f>
        <v>Atlas Screw (S) 8 x 1-1/4" (Flat)</v>
      </c>
      <c r="K1065" s="16" t="str">
        <f>_xlfn.XLOOKUP(A1065,dd_design_raw!$C$2:$C$1002,dd_design_raw!$A$2:$A$1002,"",0)</f>
        <v>Triple Awning (Horizontal)</v>
      </c>
      <c r="L1065" s="16" t="str">
        <f>_xlfn.XLOOKUP(I1065,dd_accsryclr!$A$2:$A$1000,dd_accsryclr!$A$2:$A$1000,"",0)</f>
        <v/>
      </c>
    </row>
    <row r="1066" spans="1:12" hidden="1" x14ac:dyDescent="0.25">
      <c r="A1066" s="16" t="s">
        <v>13</v>
      </c>
      <c r="B1066" s="16" t="s">
        <v>630</v>
      </c>
      <c r="C1066" s="16" t="s">
        <v>401</v>
      </c>
      <c r="D1066" s="16" t="s">
        <v>402</v>
      </c>
      <c r="E1066" s="16">
        <v>12.04</v>
      </c>
      <c r="F1066" s="16" t="s">
        <v>369</v>
      </c>
      <c r="G1066" s="16"/>
      <c r="H1066" s="16" t="s">
        <v>403</v>
      </c>
      <c r="I1066" s="16" t="s">
        <v>223</v>
      </c>
      <c r="J1066" s="16" t="str">
        <f>IF(ISNUMBER(SEARCH("SCRW", H1066)), _xlfn.XLOOKUP(C1066,dd_item!$A$2:$A$147,dd_item!$B$2:$B$147,"",0),_xlfn.XLOOKUP(H1066,dd_item!$A$2:$A$147,dd_item!$B$2:$B$147,"",0))</f>
        <v>Cover Cap</v>
      </c>
      <c r="K1066" s="16" t="str">
        <f>_xlfn.XLOOKUP(A1066,dd_design_raw!$C$2:$C$1002,dd_design_raw!$A$2:$A$1002,"",0)</f>
        <v>Triple Awning (Horizontal)</v>
      </c>
      <c r="L1066" s="16" t="str">
        <f>_xlfn.XLOOKUP(I1066,dd_accsryclr!$A$2:$A$1000,dd_accsryclr!$A$2:$A$1000,"",0)</f>
        <v>BLK</v>
      </c>
    </row>
    <row r="1067" spans="1:12" hidden="1" x14ac:dyDescent="0.25">
      <c r="A1067" s="16" t="s">
        <v>13</v>
      </c>
      <c r="B1067" s="16" t="s">
        <v>630</v>
      </c>
      <c r="C1067" s="16" t="s">
        <v>404</v>
      </c>
      <c r="D1067" s="16" t="s">
        <v>405</v>
      </c>
      <c r="E1067" s="16">
        <v>12.04</v>
      </c>
      <c r="F1067" s="16" t="s">
        <v>369</v>
      </c>
      <c r="G1067" s="16"/>
      <c r="H1067" s="16" t="s">
        <v>403</v>
      </c>
      <c r="I1067" s="16" t="s">
        <v>220</v>
      </c>
      <c r="J1067" s="16" t="str">
        <f>IF(ISNUMBER(SEARCH("SCRW", H1067)), _xlfn.XLOOKUP(C1067,dd_item!$A$2:$A$147,dd_item!$B$2:$B$147,"",0),_xlfn.XLOOKUP(H1067,dd_item!$A$2:$A$147,dd_item!$B$2:$B$147,"",0))</f>
        <v>Cover Cap</v>
      </c>
      <c r="K1067" s="16" t="str">
        <f>_xlfn.XLOOKUP(A1067,dd_design_raw!$C$2:$C$1002,dd_design_raw!$A$2:$A$1002,"",0)</f>
        <v>Triple Awning (Horizontal)</v>
      </c>
      <c r="L1067" s="16" t="str">
        <f>_xlfn.XLOOKUP(I1067,dd_accsryclr!$A$2:$A$1000,dd_accsryclr!$A$2:$A$1000,"",0)</f>
        <v>WHT</v>
      </c>
    </row>
    <row r="1068" spans="1:12" hidden="1" x14ac:dyDescent="0.25">
      <c r="A1068" s="16" t="s">
        <v>13</v>
      </c>
      <c r="B1068" s="16" t="s">
        <v>630</v>
      </c>
      <c r="C1068" s="16" t="s">
        <v>552</v>
      </c>
      <c r="D1068" s="16" t="s">
        <v>553</v>
      </c>
      <c r="E1068" s="16">
        <v>6</v>
      </c>
      <c r="F1068" s="16" t="s">
        <v>369</v>
      </c>
      <c r="G1068" s="16"/>
      <c r="H1068" s="16" t="s">
        <v>794</v>
      </c>
      <c r="I1068" s="16" t="s">
        <v>554</v>
      </c>
      <c r="J1068" s="16" t="str">
        <f>IF(ISNUMBER(SEARCH("SCRW", H1068)), _xlfn.XLOOKUP(C1068,dd_item!$A$2:$A$147,dd_item!$B$2:$B$147,"",0),_xlfn.XLOOKUP(H1068,dd_item!$A$2:$A$147,dd_item!$B$2:$B$147,"",0))</f>
        <v>Atlas Screw S.B JF 5 x 50</v>
      </c>
      <c r="K1068" s="16" t="str">
        <f>_xlfn.XLOOKUP(A1068,dd_design_raw!$C$2:$C$1002,dd_design_raw!$A$2:$A$1002,"",0)</f>
        <v>Triple Awning (Horizontal)</v>
      </c>
      <c r="L1068" s="16" t="str">
        <f>_xlfn.XLOOKUP(I1068,dd_accsryclr!$A$2:$A$1000,dd_accsryclr!$A$2:$A$1000,"",0)</f>
        <v/>
      </c>
    </row>
    <row r="1069" spans="1:12" hidden="1" x14ac:dyDescent="0.25">
      <c r="A1069" s="16" t="s">
        <v>15</v>
      </c>
      <c r="B1069" s="16" t="s">
        <v>639</v>
      </c>
      <c r="C1069" s="16" t="s">
        <v>484</v>
      </c>
      <c r="D1069" s="16" t="s">
        <v>485</v>
      </c>
      <c r="E1069" s="16">
        <v>1.0379310344827586</v>
      </c>
      <c r="F1069" s="16" t="s">
        <v>194</v>
      </c>
      <c r="G1069" s="16"/>
      <c r="H1069" s="16" t="s">
        <v>486</v>
      </c>
      <c r="I1069" s="16" t="s">
        <v>230</v>
      </c>
      <c r="J1069" s="16" t="str">
        <f>IF(ISNUMBER(SEARCH("SCRW", H1069)), _xlfn.XLOOKUP(C1069,dd_item!$A$2:$A$147,dd_item!$B$2:$B$147,"",0),_xlfn.XLOOKUP(H1069,dd_item!$A$2:$A$147,dd_item!$B$2:$B$147,"",0))</f>
        <v>Frame60</v>
      </c>
      <c r="K1069" s="16" t="str">
        <f>_xlfn.XLOOKUP(A1069,dd_design_raw!$C$2:$C$1002,dd_design_raw!$A$2:$A$1002,"",0)</f>
        <v>Triple Awning (Vertical)</v>
      </c>
      <c r="L1069" s="16" t="str">
        <f>_xlfn.XLOOKUP(I1069,dd_accsryclr!$A$2:$A$1000,dd_accsryclr!$A$2:$A$1000,"",0)</f>
        <v>BRWN</v>
      </c>
    </row>
    <row r="1070" spans="1:12" hidden="1" x14ac:dyDescent="0.25">
      <c r="A1070" s="16" t="s">
        <v>15</v>
      </c>
      <c r="B1070" s="16" t="s">
        <v>639</v>
      </c>
      <c r="C1070" s="16" t="s">
        <v>487</v>
      </c>
      <c r="D1070" s="16" t="s">
        <v>488</v>
      </c>
      <c r="E1070" s="16">
        <v>1.0379310344827586</v>
      </c>
      <c r="F1070" s="16" t="s">
        <v>194</v>
      </c>
      <c r="G1070" s="16"/>
      <c r="H1070" s="16" t="s">
        <v>486</v>
      </c>
      <c r="I1070" s="16" t="s">
        <v>223</v>
      </c>
      <c r="J1070" s="16" t="str">
        <f>IF(ISNUMBER(SEARCH("SCRW", H1070)), _xlfn.XLOOKUP(C1070,dd_item!$A$2:$A$147,dd_item!$B$2:$B$147,"",0),_xlfn.XLOOKUP(H1070,dd_item!$A$2:$A$147,dd_item!$B$2:$B$147,"",0))</f>
        <v>Frame60</v>
      </c>
      <c r="K1070" s="16" t="str">
        <f>_xlfn.XLOOKUP(A1070,dd_design_raw!$C$2:$C$1002,dd_design_raw!$A$2:$A$1002,"",0)</f>
        <v>Triple Awning (Vertical)</v>
      </c>
      <c r="L1070" s="16" t="str">
        <f>_xlfn.XLOOKUP(I1070,dd_accsryclr!$A$2:$A$1000,dd_accsryclr!$A$2:$A$1000,"",0)</f>
        <v>BLK</v>
      </c>
    </row>
    <row r="1071" spans="1:12" hidden="1" x14ac:dyDescent="0.25">
      <c r="A1071" s="16" t="s">
        <v>15</v>
      </c>
      <c r="B1071" s="16" t="s">
        <v>639</v>
      </c>
      <c r="C1071" s="16" t="s">
        <v>489</v>
      </c>
      <c r="D1071" s="16" t="s">
        <v>490</v>
      </c>
      <c r="E1071" s="16">
        <v>1.0379310344827586</v>
      </c>
      <c r="F1071" s="16" t="s">
        <v>194</v>
      </c>
      <c r="G1071" s="16"/>
      <c r="H1071" s="16" t="s">
        <v>486</v>
      </c>
      <c r="I1071" s="16" t="s">
        <v>211</v>
      </c>
      <c r="J1071" s="16" t="str">
        <f>IF(ISNUMBER(SEARCH("SCRW", H1071)), _xlfn.XLOOKUP(C1071,dd_item!$A$2:$A$147,dd_item!$B$2:$B$147,"",0),_xlfn.XLOOKUP(H1071,dd_item!$A$2:$A$147,dd_item!$B$2:$B$147,"",0))</f>
        <v>Frame60</v>
      </c>
      <c r="K1071" s="16" t="str">
        <f>_xlfn.XLOOKUP(A1071,dd_design_raw!$C$2:$C$1002,dd_design_raw!$A$2:$A$1002,"",0)</f>
        <v>Triple Awning (Vertical)</v>
      </c>
      <c r="L1071" s="16" t="str">
        <f>_xlfn.XLOOKUP(I1071,dd_accsryclr!$A$2:$A$1000,dd_accsryclr!$A$2:$A$1000,"",0)</f>
        <v/>
      </c>
    </row>
    <row r="1072" spans="1:12" hidden="1" x14ac:dyDescent="0.25">
      <c r="A1072" s="16" t="s">
        <v>15</v>
      </c>
      <c r="B1072" s="16" t="s">
        <v>639</v>
      </c>
      <c r="C1072" s="16" t="s">
        <v>491</v>
      </c>
      <c r="D1072" s="16" t="s">
        <v>492</v>
      </c>
      <c r="E1072" s="16">
        <v>1.0379310344827586</v>
      </c>
      <c r="F1072" s="16" t="s">
        <v>194</v>
      </c>
      <c r="G1072" s="16"/>
      <c r="H1072" s="16" t="s">
        <v>486</v>
      </c>
      <c r="I1072" s="16" t="s">
        <v>214</v>
      </c>
      <c r="J1072" s="16" t="str">
        <f>IF(ISNUMBER(SEARCH("SCRW", H1072)), _xlfn.XLOOKUP(C1072,dd_item!$A$2:$A$147,dd_item!$B$2:$B$147,"",0),_xlfn.XLOOKUP(H1072,dd_item!$A$2:$A$147,dd_item!$B$2:$B$147,"",0))</f>
        <v>Frame60</v>
      </c>
      <c r="K1072" s="16" t="str">
        <f>_xlfn.XLOOKUP(A1072,dd_design_raw!$C$2:$C$1002,dd_design_raw!$A$2:$A$1002,"",0)</f>
        <v>Triple Awning (Vertical)</v>
      </c>
      <c r="L1072" s="16" t="str">
        <f>_xlfn.XLOOKUP(I1072,dd_accsryclr!$A$2:$A$1000,dd_accsryclr!$A$2:$A$1000,"",0)</f>
        <v/>
      </c>
    </row>
    <row r="1073" spans="1:12" hidden="1" x14ac:dyDescent="0.25">
      <c r="A1073" s="16" t="s">
        <v>15</v>
      </c>
      <c r="B1073" s="16" t="s">
        <v>639</v>
      </c>
      <c r="C1073" s="16" t="s">
        <v>493</v>
      </c>
      <c r="D1073" s="16" t="s">
        <v>494</v>
      </c>
      <c r="E1073" s="16">
        <v>1.0379310344827586</v>
      </c>
      <c r="F1073" s="16" t="s">
        <v>194</v>
      </c>
      <c r="G1073" s="16"/>
      <c r="H1073" s="16" t="s">
        <v>486</v>
      </c>
      <c r="I1073" s="16" t="s">
        <v>217</v>
      </c>
      <c r="J1073" s="16" t="str">
        <f>IF(ISNUMBER(SEARCH("SCRW", H1073)), _xlfn.XLOOKUP(C1073,dd_item!$A$2:$A$147,dd_item!$B$2:$B$147,"",0),_xlfn.XLOOKUP(H1073,dd_item!$A$2:$A$147,dd_item!$B$2:$B$147,"",0))</f>
        <v>Frame60</v>
      </c>
      <c r="K1073" s="16" t="str">
        <f>_xlfn.XLOOKUP(A1073,dd_design_raw!$C$2:$C$1002,dd_design_raw!$A$2:$A$1002,"",0)</f>
        <v>Triple Awning (Vertical)</v>
      </c>
      <c r="L1073" s="16" t="str">
        <f>_xlfn.XLOOKUP(I1073,dd_accsryclr!$A$2:$A$1000,dd_accsryclr!$A$2:$A$1000,"",0)</f>
        <v/>
      </c>
    </row>
    <row r="1074" spans="1:12" hidden="1" x14ac:dyDescent="0.25">
      <c r="A1074" s="16" t="s">
        <v>15</v>
      </c>
      <c r="B1074" s="16" t="s">
        <v>639</v>
      </c>
      <c r="C1074" s="16" t="s">
        <v>495</v>
      </c>
      <c r="D1074" s="16" t="s">
        <v>496</v>
      </c>
      <c r="E1074" s="16">
        <v>1.0379310344827586</v>
      </c>
      <c r="F1074" s="16" t="s">
        <v>194</v>
      </c>
      <c r="G1074" s="16"/>
      <c r="H1074" s="16" t="s">
        <v>486</v>
      </c>
      <c r="I1074" s="16" t="s">
        <v>226</v>
      </c>
      <c r="J1074" s="16" t="str">
        <f>IF(ISNUMBER(SEARCH("SCRW", H1074)), _xlfn.XLOOKUP(C1074,dd_item!$A$2:$A$147,dd_item!$B$2:$B$147,"",0),_xlfn.XLOOKUP(H1074,dd_item!$A$2:$A$147,dd_item!$B$2:$B$147,"",0))</f>
        <v>Frame60</v>
      </c>
      <c r="K1074" s="16" t="str">
        <f>_xlfn.XLOOKUP(A1074,dd_design_raw!$C$2:$C$1002,dd_design_raw!$A$2:$A$1002,"",0)</f>
        <v>Triple Awning (Vertical)</v>
      </c>
      <c r="L1074" s="16" t="str">
        <f>_xlfn.XLOOKUP(I1074,dd_accsryclr!$A$2:$A$1000,dd_accsryclr!$A$2:$A$1000,"",0)</f>
        <v/>
      </c>
    </row>
    <row r="1075" spans="1:12" hidden="1" x14ac:dyDescent="0.25">
      <c r="A1075" s="16" t="s">
        <v>15</v>
      </c>
      <c r="B1075" s="16" t="s">
        <v>639</v>
      </c>
      <c r="C1075" s="16" t="s">
        <v>497</v>
      </c>
      <c r="D1075" s="16" t="s">
        <v>498</v>
      </c>
      <c r="E1075" s="16">
        <v>1.0379310344827586</v>
      </c>
      <c r="F1075" s="16" t="s">
        <v>194</v>
      </c>
      <c r="G1075" s="16"/>
      <c r="H1075" s="16" t="s">
        <v>486</v>
      </c>
      <c r="I1075" s="16" t="s">
        <v>220</v>
      </c>
      <c r="J1075" s="16" t="str">
        <f>IF(ISNUMBER(SEARCH("SCRW", H1075)), _xlfn.XLOOKUP(C1075,dd_item!$A$2:$A$147,dd_item!$B$2:$B$147,"",0),_xlfn.XLOOKUP(H1075,dd_item!$A$2:$A$147,dd_item!$B$2:$B$147,"",0))</f>
        <v>Frame60</v>
      </c>
      <c r="K1075" s="16" t="str">
        <f>_xlfn.XLOOKUP(A1075,dd_design_raw!$C$2:$C$1002,dd_design_raw!$A$2:$A$1002,"",0)</f>
        <v>Triple Awning (Vertical)</v>
      </c>
      <c r="L1075" s="16" t="str">
        <f>_xlfn.XLOOKUP(I1075,dd_accsryclr!$A$2:$A$1000,dd_accsryclr!$A$2:$A$1000,"",0)</f>
        <v>WHT</v>
      </c>
    </row>
    <row r="1076" spans="1:12" hidden="1" x14ac:dyDescent="0.25">
      <c r="A1076" s="16" t="s">
        <v>15</v>
      </c>
      <c r="B1076" s="16" t="s">
        <v>639</v>
      </c>
      <c r="C1076" s="16" t="s">
        <v>499</v>
      </c>
      <c r="D1076" s="16" t="s">
        <v>500</v>
      </c>
      <c r="E1076" s="16">
        <v>1.7672413793103448</v>
      </c>
      <c r="F1076" s="16" t="s">
        <v>194</v>
      </c>
      <c r="G1076" s="16"/>
      <c r="H1076" s="16" t="s">
        <v>501</v>
      </c>
      <c r="I1076" s="16" t="s">
        <v>211</v>
      </c>
      <c r="J1076" s="16" t="str">
        <f>IF(ISNUMBER(SEARCH("SCRW", H1076)), _xlfn.XLOOKUP(C1076,dd_item!$A$2:$A$147,dd_item!$B$2:$B$147,"",0),_xlfn.XLOOKUP(H1076,dd_item!$A$2:$A$147,dd_item!$B$2:$B$147,"",0))</f>
        <v>Sash78</v>
      </c>
      <c r="K1076" s="16" t="str">
        <f>_xlfn.XLOOKUP(A1076,dd_design_raw!$C$2:$C$1002,dd_design_raw!$A$2:$A$1002,"",0)</f>
        <v>Triple Awning (Vertical)</v>
      </c>
      <c r="L1076" s="16" t="str">
        <f>_xlfn.XLOOKUP(I1076,dd_accsryclr!$A$2:$A$1000,dd_accsryclr!$A$2:$A$1000,"",0)</f>
        <v/>
      </c>
    </row>
    <row r="1077" spans="1:12" hidden="1" x14ac:dyDescent="0.25">
      <c r="A1077" s="16" t="s">
        <v>15</v>
      </c>
      <c r="B1077" s="16" t="s">
        <v>639</v>
      </c>
      <c r="C1077" s="16" t="s">
        <v>502</v>
      </c>
      <c r="D1077" s="16" t="s">
        <v>503</v>
      </c>
      <c r="E1077" s="16">
        <v>1.7672413793103448</v>
      </c>
      <c r="F1077" s="16" t="s">
        <v>194</v>
      </c>
      <c r="G1077" s="16"/>
      <c r="H1077" s="16" t="s">
        <v>501</v>
      </c>
      <c r="I1077" s="16" t="s">
        <v>214</v>
      </c>
      <c r="J1077" s="16" t="str">
        <f>IF(ISNUMBER(SEARCH("SCRW", H1077)), _xlfn.XLOOKUP(C1077,dd_item!$A$2:$A$147,dd_item!$B$2:$B$147,"",0),_xlfn.XLOOKUP(H1077,dd_item!$A$2:$A$147,dd_item!$B$2:$B$147,"",0))</f>
        <v>Sash78</v>
      </c>
      <c r="K1077" s="16" t="str">
        <f>_xlfn.XLOOKUP(A1077,dd_design_raw!$C$2:$C$1002,dd_design_raw!$A$2:$A$1002,"",0)</f>
        <v>Triple Awning (Vertical)</v>
      </c>
      <c r="L1077" s="16" t="str">
        <f>_xlfn.XLOOKUP(I1077,dd_accsryclr!$A$2:$A$1000,dd_accsryclr!$A$2:$A$1000,"",0)</f>
        <v/>
      </c>
    </row>
    <row r="1078" spans="1:12" hidden="1" x14ac:dyDescent="0.25">
      <c r="A1078" s="16" t="s">
        <v>15</v>
      </c>
      <c r="B1078" s="16" t="s">
        <v>639</v>
      </c>
      <c r="C1078" s="16" t="s">
        <v>504</v>
      </c>
      <c r="D1078" s="16" t="s">
        <v>505</v>
      </c>
      <c r="E1078" s="16">
        <v>1.7672413793103448</v>
      </c>
      <c r="F1078" s="16" t="s">
        <v>194</v>
      </c>
      <c r="G1078" s="16"/>
      <c r="H1078" s="16" t="s">
        <v>501</v>
      </c>
      <c r="I1078" s="16" t="s">
        <v>217</v>
      </c>
      <c r="J1078" s="16" t="str">
        <f>IF(ISNUMBER(SEARCH("SCRW", H1078)), _xlfn.XLOOKUP(C1078,dd_item!$A$2:$A$147,dd_item!$B$2:$B$147,"",0),_xlfn.XLOOKUP(H1078,dd_item!$A$2:$A$147,dd_item!$B$2:$B$147,"",0))</f>
        <v>Sash78</v>
      </c>
      <c r="K1078" s="16" t="str">
        <f>_xlfn.XLOOKUP(A1078,dd_design_raw!$C$2:$C$1002,dd_design_raw!$A$2:$A$1002,"",0)</f>
        <v>Triple Awning (Vertical)</v>
      </c>
      <c r="L1078" s="16" t="str">
        <f>_xlfn.XLOOKUP(I1078,dd_accsryclr!$A$2:$A$1000,dd_accsryclr!$A$2:$A$1000,"",0)</f>
        <v/>
      </c>
    </row>
    <row r="1079" spans="1:12" hidden="1" x14ac:dyDescent="0.25">
      <c r="A1079" s="16" t="s">
        <v>15</v>
      </c>
      <c r="B1079" s="16" t="s">
        <v>639</v>
      </c>
      <c r="C1079" s="16" t="s">
        <v>506</v>
      </c>
      <c r="D1079" s="16" t="s">
        <v>507</v>
      </c>
      <c r="E1079" s="16">
        <v>1.7672413793103448</v>
      </c>
      <c r="F1079" s="16" t="s">
        <v>194</v>
      </c>
      <c r="G1079" s="16"/>
      <c r="H1079" s="16" t="s">
        <v>501</v>
      </c>
      <c r="I1079" s="16" t="s">
        <v>226</v>
      </c>
      <c r="J1079" s="16" t="str">
        <f>IF(ISNUMBER(SEARCH("SCRW", H1079)), _xlfn.XLOOKUP(C1079,dd_item!$A$2:$A$147,dd_item!$B$2:$B$147,"",0),_xlfn.XLOOKUP(H1079,dd_item!$A$2:$A$147,dd_item!$B$2:$B$147,"",0))</f>
        <v>Sash78</v>
      </c>
      <c r="K1079" s="16" t="str">
        <f>_xlfn.XLOOKUP(A1079,dd_design_raw!$C$2:$C$1002,dd_design_raw!$A$2:$A$1002,"",0)</f>
        <v>Triple Awning (Vertical)</v>
      </c>
      <c r="L1079" s="16" t="str">
        <f>_xlfn.XLOOKUP(I1079,dd_accsryclr!$A$2:$A$1000,dd_accsryclr!$A$2:$A$1000,"",0)</f>
        <v/>
      </c>
    </row>
    <row r="1080" spans="1:12" hidden="1" x14ac:dyDescent="0.25">
      <c r="A1080" s="16" t="s">
        <v>15</v>
      </c>
      <c r="B1080" s="16" t="s">
        <v>639</v>
      </c>
      <c r="C1080" s="16" t="s">
        <v>508</v>
      </c>
      <c r="D1080" s="16" t="s">
        <v>509</v>
      </c>
      <c r="E1080" s="16">
        <v>1.7672413793103448</v>
      </c>
      <c r="F1080" s="16" t="s">
        <v>194</v>
      </c>
      <c r="G1080" s="16"/>
      <c r="H1080" s="16" t="s">
        <v>501</v>
      </c>
      <c r="I1080" s="16" t="s">
        <v>220</v>
      </c>
      <c r="J1080" s="16" t="str">
        <f>IF(ISNUMBER(SEARCH("SCRW", H1080)), _xlfn.XLOOKUP(C1080,dd_item!$A$2:$A$147,dd_item!$B$2:$B$147,"",0),_xlfn.XLOOKUP(H1080,dd_item!$A$2:$A$147,dd_item!$B$2:$B$147,"",0))</f>
        <v>Sash78</v>
      </c>
      <c r="K1080" s="16" t="str">
        <f>_xlfn.XLOOKUP(A1080,dd_design_raw!$C$2:$C$1002,dd_design_raw!$A$2:$A$1002,"",0)</f>
        <v>Triple Awning (Vertical)</v>
      </c>
      <c r="L1080" s="16" t="str">
        <f>_xlfn.XLOOKUP(I1080,dd_accsryclr!$A$2:$A$1000,dd_accsryclr!$A$2:$A$1000,"",0)</f>
        <v>WHT</v>
      </c>
    </row>
    <row r="1081" spans="1:12" hidden="1" x14ac:dyDescent="0.25">
      <c r="A1081" s="16" t="s">
        <v>15</v>
      </c>
      <c r="B1081" s="16" t="s">
        <v>639</v>
      </c>
      <c r="C1081" s="16" t="s">
        <v>510</v>
      </c>
      <c r="D1081" s="16" t="s">
        <v>511</v>
      </c>
      <c r="E1081" s="16">
        <v>1.7672413793103448</v>
      </c>
      <c r="F1081" s="16" t="s">
        <v>194</v>
      </c>
      <c r="G1081" s="16"/>
      <c r="H1081" s="16" t="s">
        <v>501</v>
      </c>
      <c r="I1081" s="16" t="s">
        <v>223</v>
      </c>
      <c r="J1081" s="16" t="str">
        <f>IF(ISNUMBER(SEARCH("SCRW", H1081)), _xlfn.XLOOKUP(C1081,dd_item!$A$2:$A$147,dd_item!$B$2:$B$147,"",0),_xlfn.XLOOKUP(H1081,dd_item!$A$2:$A$147,dd_item!$B$2:$B$147,"",0))</f>
        <v>Sash78</v>
      </c>
      <c r="K1081" s="16" t="str">
        <f>_xlfn.XLOOKUP(A1081,dd_design_raw!$C$2:$C$1002,dd_design_raw!$A$2:$A$1002,"",0)</f>
        <v>Triple Awning (Vertical)</v>
      </c>
      <c r="L1081" s="16" t="str">
        <f>_xlfn.XLOOKUP(I1081,dd_accsryclr!$A$2:$A$1000,dd_accsryclr!$A$2:$A$1000,"",0)</f>
        <v>BLK</v>
      </c>
    </row>
    <row r="1082" spans="1:12" hidden="1" x14ac:dyDescent="0.25">
      <c r="A1082" s="16" t="s">
        <v>15</v>
      </c>
      <c r="B1082" s="16" t="s">
        <v>639</v>
      </c>
      <c r="C1082" s="16" t="s">
        <v>512</v>
      </c>
      <c r="D1082" s="16" t="s">
        <v>513</v>
      </c>
      <c r="E1082" s="16">
        <v>1.7672413793103448</v>
      </c>
      <c r="F1082" s="16" t="s">
        <v>194</v>
      </c>
      <c r="G1082" s="16"/>
      <c r="H1082" s="16" t="s">
        <v>501</v>
      </c>
      <c r="I1082" s="16" t="s">
        <v>230</v>
      </c>
      <c r="J1082" s="16" t="str">
        <f>IF(ISNUMBER(SEARCH("SCRW", H1082)), _xlfn.XLOOKUP(C1082,dd_item!$A$2:$A$147,dd_item!$B$2:$B$147,"",0),_xlfn.XLOOKUP(H1082,dd_item!$A$2:$A$147,dd_item!$B$2:$B$147,"",0))</f>
        <v>Sash78</v>
      </c>
      <c r="K1082" s="16" t="str">
        <f>_xlfn.XLOOKUP(A1082,dd_design_raw!$C$2:$C$1002,dd_design_raw!$A$2:$A$1002,"",0)</f>
        <v>Triple Awning (Vertical)</v>
      </c>
      <c r="L1082" s="16" t="str">
        <f>_xlfn.XLOOKUP(I1082,dd_accsryclr!$A$2:$A$1000,dd_accsryclr!$A$2:$A$1000,"",0)</f>
        <v>BRWN</v>
      </c>
    </row>
    <row r="1083" spans="1:12" hidden="1" x14ac:dyDescent="0.25">
      <c r="A1083" s="16" t="s">
        <v>15</v>
      </c>
      <c r="B1083" s="16" t="s">
        <v>639</v>
      </c>
      <c r="C1083" s="16" t="s">
        <v>556</v>
      </c>
      <c r="D1083" s="16" t="s">
        <v>557</v>
      </c>
      <c r="E1083" s="16">
        <v>0.42620689655172411</v>
      </c>
      <c r="F1083" s="16" t="s">
        <v>194</v>
      </c>
      <c r="G1083" s="16"/>
      <c r="H1083" s="16" t="s">
        <v>558</v>
      </c>
      <c r="I1083" s="16" t="s">
        <v>211</v>
      </c>
      <c r="J1083" s="16" t="str">
        <f>IF(ISNUMBER(SEARCH("SCRW", H1083)), _xlfn.XLOOKUP(C1083,dd_item!$A$2:$A$147,dd_item!$B$2:$B$147,"",0),_xlfn.XLOOKUP(H1083,dd_item!$A$2:$A$147,dd_item!$B$2:$B$147,"",0))</f>
        <v>Mullion72</v>
      </c>
      <c r="K1083" s="16" t="str">
        <f>_xlfn.XLOOKUP(A1083,dd_design_raw!$C$2:$C$1002,dd_design_raw!$A$2:$A$1002,"",0)</f>
        <v>Triple Awning (Vertical)</v>
      </c>
      <c r="L1083" s="16" t="str">
        <f>_xlfn.XLOOKUP(I1083,dd_accsryclr!$A$2:$A$1000,dd_accsryclr!$A$2:$A$1000,"",0)</f>
        <v/>
      </c>
    </row>
    <row r="1084" spans="1:12" hidden="1" x14ac:dyDescent="0.25">
      <c r="A1084" s="16" t="s">
        <v>15</v>
      </c>
      <c r="B1084" s="16" t="s">
        <v>639</v>
      </c>
      <c r="C1084" s="16" t="s">
        <v>559</v>
      </c>
      <c r="D1084" s="16" t="s">
        <v>560</v>
      </c>
      <c r="E1084" s="16">
        <v>0.42620689655172411</v>
      </c>
      <c r="F1084" s="16" t="s">
        <v>194</v>
      </c>
      <c r="G1084" s="16"/>
      <c r="H1084" s="16" t="s">
        <v>558</v>
      </c>
      <c r="I1084" s="16" t="s">
        <v>214</v>
      </c>
      <c r="J1084" s="16" t="str">
        <f>IF(ISNUMBER(SEARCH("SCRW", H1084)), _xlfn.XLOOKUP(C1084,dd_item!$A$2:$A$147,dd_item!$B$2:$B$147,"",0),_xlfn.XLOOKUP(H1084,dd_item!$A$2:$A$147,dd_item!$B$2:$B$147,"",0))</f>
        <v>Mullion72</v>
      </c>
      <c r="K1084" s="16" t="str">
        <f>_xlfn.XLOOKUP(A1084,dd_design_raw!$C$2:$C$1002,dd_design_raw!$A$2:$A$1002,"",0)</f>
        <v>Triple Awning (Vertical)</v>
      </c>
      <c r="L1084" s="16" t="str">
        <f>_xlfn.XLOOKUP(I1084,dd_accsryclr!$A$2:$A$1000,dd_accsryclr!$A$2:$A$1000,"",0)</f>
        <v/>
      </c>
    </row>
    <row r="1085" spans="1:12" hidden="1" x14ac:dyDescent="0.25">
      <c r="A1085" s="16" t="s">
        <v>15</v>
      </c>
      <c r="B1085" s="16" t="s">
        <v>639</v>
      </c>
      <c r="C1085" s="16" t="s">
        <v>561</v>
      </c>
      <c r="D1085" s="16" t="s">
        <v>562</v>
      </c>
      <c r="E1085" s="16">
        <v>0.42620689655172411</v>
      </c>
      <c r="F1085" s="16" t="s">
        <v>194</v>
      </c>
      <c r="G1085" s="16"/>
      <c r="H1085" s="16" t="s">
        <v>558</v>
      </c>
      <c r="I1085" s="16" t="s">
        <v>217</v>
      </c>
      <c r="J1085" s="16" t="str">
        <f>IF(ISNUMBER(SEARCH("SCRW", H1085)), _xlfn.XLOOKUP(C1085,dd_item!$A$2:$A$147,dd_item!$B$2:$B$147,"",0),_xlfn.XLOOKUP(H1085,dd_item!$A$2:$A$147,dd_item!$B$2:$B$147,"",0))</f>
        <v>Mullion72</v>
      </c>
      <c r="K1085" s="16" t="str">
        <f>_xlfn.XLOOKUP(A1085,dd_design_raw!$C$2:$C$1002,dd_design_raw!$A$2:$A$1002,"",0)</f>
        <v>Triple Awning (Vertical)</v>
      </c>
      <c r="L1085" s="16" t="str">
        <f>_xlfn.XLOOKUP(I1085,dd_accsryclr!$A$2:$A$1000,dd_accsryclr!$A$2:$A$1000,"",0)</f>
        <v/>
      </c>
    </row>
    <row r="1086" spans="1:12" hidden="1" x14ac:dyDescent="0.25">
      <c r="A1086" s="16" t="s">
        <v>15</v>
      </c>
      <c r="B1086" s="16" t="s">
        <v>639</v>
      </c>
      <c r="C1086" s="16" t="s">
        <v>563</v>
      </c>
      <c r="D1086" s="16" t="s">
        <v>564</v>
      </c>
      <c r="E1086" s="16">
        <v>0.42620689655172411</v>
      </c>
      <c r="F1086" s="16" t="s">
        <v>194</v>
      </c>
      <c r="G1086" s="16"/>
      <c r="H1086" s="16" t="s">
        <v>558</v>
      </c>
      <c r="I1086" s="16" t="s">
        <v>226</v>
      </c>
      <c r="J1086" s="16" t="str">
        <f>IF(ISNUMBER(SEARCH("SCRW", H1086)), _xlfn.XLOOKUP(C1086,dd_item!$A$2:$A$147,dd_item!$B$2:$B$147,"",0),_xlfn.XLOOKUP(H1086,dd_item!$A$2:$A$147,dd_item!$B$2:$B$147,"",0))</f>
        <v>Mullion72</v>
      </c>
      <c r="K1086" s="16" t="str">
        <f>_xlfn.XLOOKUP(A1086,dd_design_raw!$C$2:$C$1002,dd_design_raw!$A$2:$A$1002,"",0)</f>
        <v>Triple Awning (Vertical)</v>
      </c>
      <c r="L1086" s="16" t="str">
        <f>_xlfn.XLOOKUP(I1086,dd_accsryclr!$A$2:$A$1000,dd_accsryclr!$A$2:$A$1000,"",0)</f>
        <v/>
      </c>
    </row>
    <row r="1087" spans="1:12" hidden="1" x14ac:dyDescent="0.25">
      <c r="A1087" s="16" t="s">
        <v>15</v>
      </c>
      <c r="B1087" s="16" t="s">
        <v>639</v>
      </c>
      <c r="C1087" s="16" t="s">
        <v>565</v>
      </c>
      <c r="D1087" s="16" t="s">
        <v>566</v>
      </c>
      <c r="E1087" s="16">
        <v>0.42620689655172411</v>
      </c>
      <c r="F1087" s="16" t="s">
        <v>194</v>
      </c>
      <c r="G1087" s="16"/>
      <c r="H1087" s="16" t="s">
        <v>558</v>
      </c>
      <c r="I1087" s="16" t="s">
        <v>220</v>
      </c>
      <c r="J1087" s="16" t="str">
        <f>IF(ISNUMBER(SEARCH("SCRW", H1087)), _xlfn.XLOOKUP(C1087,dd_item!$A$2:$A$147,dd_item!$B$2:$B$147,"",0),_xlfn.XLOOKUP(H1087,dd_item!$A$2:$A$147,dd_item!$B$2:$B$147,"",0))</f>
        <v>Mullion72</v>
      </c>
      <c r="K1087" s="16" t="str">
        <f>_xlfn.XLOOKUP(A1087,dd_design_raw!$C$2:$C$1002,dd_design_raw!$A$2:$A$1002,"",0)</f>
        <v>Triple Awning (Vertical)</v>
      </c>
      <c r="L1087" s="16" t="str">
        <f>_xlfn.XLOOKUP(I1087,dd_accsryclr!$A$2:$A$1000,dd_accsryclr!$A$2:$A$1000,"",0)</f>
        <v>WHT</v>
      </c>
    </row>
    <row r="1088" spans="1:12" hidden="1" x14ac:dyDescent="0.25">
      <c r="A1088" s="16" t="s">
        <v>15</v>
      </c>
      <c r="B1088" s="16" t="s">
        <v>639</v>
      </c>
      <c r="C1088" s="16" t="s">
        <v>567</v>
      </c>
      <c r="D1088" s="16" t="s">
        <v>568</v>
      </c>
      <c r="E1088" s="16">
        <v>0.42620689655172411</v>
      </c>
      <c r="F1088" s="16" t="s">
        <v>194</v>
      </c>
      <c r="G1088" s="16"/>
      <c r="H1088" s="16" t="s">
        <v>558</v>
      </c>
      <c r="I1088" s="16" t="s">
        <v>230</v>
      </c>
      <c r="J1088" s="16" t="str">
        <f>IF(ISNUMBER(SEARCH("SCRW", H1088)), _xlfn.XLOOKUP(C1088,dd_item!$A$2:$A$147,dd_item!$B$2:$B$147,"",0),_xlfn.XLOOKUP(H1088,dd_item!$A$2:$A$147,dd_item!$B$2:$B$147,"",0))</f>
        <v>Mullion72</v>
      </c>
      <c r="K1088" s="16" t="str">
        <f>_xlfn.XLOOKUP(A1088,dd_design_raw!$C$2:$C$1002,dd_design_raw!$A$2:$A$1002,"",0)</f>
        <v>Triple Awning (Vertical)</v>
      </c>
      <c r="L1088" s="16" t="str">
        <f>_xlfn.XLOOKUP(I1088,dd_accsryclr!$A$2:$A$1000,dd_accsryclr!$A$2:$A$1000,"",0)</f>
        <v>BRWN</v>
      </c>
    </row>
    <row r="1089" spans="1:12" hidden="1" x14ac:dyDescent="0.25">
      <c r="A1089" s="16" t="s">
        <v>15</v>
      </c>
      <c r="B1089" s="16" t="s">
        <v>639</v>
      </c>
      <c r="C1089" s="16" t="s">
        <v>569</v>
      </c>
      <c r="D1089" s="16" t="s">
        <v>570</v>
      </c>
      <c r="E1089" s="16">
        <v>0.42620689655172411</v>
      </c>
      <c r="F1089" s="16" t="s">
        <v>194</v>
      </c>
      <c r="G1089" s="16"/>
      <c r="H1089" s="16" t="s">
        <v>558</v>
      </c>
      <c r="I1089" s="16" t="s">
        <v>223</v>
      </c>
      <c r="J1089" s="16" t="str">
        <f>IF(ISNUMBER(SEARCH("SCRW", H1089)), _xlfn.XLOOKUP(C1089,dd_item!$A$2:$A$147,dd_item!$B$2:$B$147,"",0),_xlfn.XLOOKUP(H1089,dd_item!$A$2:$A$147,dd_item!$B$2:$B$147,"",0))</f>
        <v>Mullion72</v>
      </c>
      <c r="K1089" s="16" t="str">
        <f>_xlfn.XLOOKUP(A1089,dd_design_raw!$C$2:$C$1002,dd_design_raw!$A$2:$A$1002,"",0)</f>
        <v>Triple Awning (Vertical)</v>
      </c>
      <c r="L1089" s="16" t="str">
        <f>_xlfn.XLOOKUP(I1089,dd_accsryclr!$A$2:$A$1000,dd_accsryclr!$A$2:$A$1000,"",0)</f>
        <v>BLK</v>
      </c>
    </row>
    <row r="1090" spans="1:12" hidden="1" x14ac:dyDescent="0.25">
      <c r="A1090" s="16" t="s">
        <v>15</v>
      </c>
      <c r="B1090" s="16" t="s">
        <v>639</v>
      </c>
      <c r="C1090" s="16" t="s">
        <v>514</v>
      </c>
      <c r="D1090" s="16" t="s">
        <v>515</v>
      </c>
      <c r="E1090" s="16">
        <v>0.62241379310344824</v>
      </c>
      <c r="F1090" s="16" t="s">
        <v>194</v>
      </c>
      <c r="G1090" s="16" t="s">
        <v>58</v>
      </c>
      <c r="H1090" s="16" t="s">
        <v>516</v>
      </c>
      <c r="I1090" s="16" t="s">
        <v>517</v>
      </c>
      <c r="J1090" s="16" t="str">
        <f>IF(ISNUMBER(SEARCH("SCRW", H1090)), _xlfn.XLOOKUP(C1090,dd_item!$A$2:$A$147,dd_item!$B$2:$B$147,"",0),_xlfn.XLOOKUP(H1090,dd_item!$A$2:$A$147,dd_item!$B$2:$B$147,"",0))</f>
        <v>Steel-Frame60</v>
      </c>
      <c r="K1090" s="16" t="str">
        <f>_xlfn.XLOOKUP(A1090,dd_design_raw!$C$2:$C$1002,dd_design_raw!$A$2:$A$1002,"",0)</f>
        <v>Triple Awning (Vertical)</v>
      </c>
      <c r="L1090" s="16" t="str">
        <f>_xlfn.XLOOKUP(I1090,dd_accsryclr!$A$2:$A$1000,dd_accsryclr!$A$2:$A$1000,"",0)</f>
        <v/>
      </c>
    </row>
    <row r="1091" spans="1:12" hidden="1" x14ac:dyDescent="0.25">
      <c r="A1091" s="16" t="s">
        <v>15</v>
      </c>
      <c r="B1091" s="16" t="s">
        <v>639</v>
      </c>
      <c r="C1091" s="16" t="s">
        <v>518</v>
      </c>
      <c r="D1091" s="16" t="s">
        <v>519</v>
      </c>
      <c r="E1091" s="16">
        <v>0.41551724137931034</v>
      </c>
      <c r="F1091" s="16" t="s">
        <v>194</v>
      </c>
      <c r="G1091" s="16" t="s">
        <v>58</v>
      </c>
      <c r="H1091" s="16" t="s">
        <v>1099</v>
      </c>
      <c r="I1091" s="16" t="s">
        <v>520</v>
      </c>
      <c r="J1091" s="16" t="str">
        <f>IF(ISNUMBER(SEARCH("SCRW", H1091)), _xlfn.XLOOKUP(C1091,dd_item!$A$2:$A$147,dd_item!$B$2:$B$147,"",0),_xlfn.XLOOKUP(H1091,dd_item!$A$2:$A$147,dd_item!$B$2:$B$147,"",0))</f>
        <v>Steel-Frame60-H</v>
      </c>
      <c r="K1091" s="16" t="str">
        <f>_xlfn.XLOOKUP(A1091,dd_design_raw!$C$2:$C$1002,dd_design_raw!$A$2:$A$1002,"",0)</f>
        <v>Triple Awning (Vertical)</v>
      </c>
      <c r="L1091" s="16" t="str">
        <f>_xlfn.XLOOKUP(I1091,dd_accsryclr!$A$2:$A$1000,dd_accsryclr!$A$2:$A$1000,"",0)</f>
        <v/>
      </c>
    </row>
    <row r="1092" spans="1:12" hidden="1" x14ac:dyDescent="0.25">
      <c r="A1092" s="16" t="s">
        <v>15</v>
      </c>
      <c r="B1092" s="16" t="s">
        <v>639</v>
      </c>
      <c r="C1092" s="16" t="s">
        <v>521</v>
      </c>
      <c r="D1092" s="16" t="s">
        <v>522</v>
      </c>
      <c r="E1092" s="16">
        <v>0.5868965517241379</v>
      </c>
      <c r="F1092" s="16" t="s">
        <v>194</v>
      </c>
      <c r="G1092" s="16" t="s">
        <v>59</v>
      </c>
      <c r="H1092" s="16" t="s">
        <v>523</v>
      </c>
      <c r="I1092" s="16" t="s">
        <v>524</v>
      </c>
      <c r="J1092" s="16" t="str">
        <f>IF(ISNUMBER(SEARCH("SCRW", H1092)), _xlfn.XLOOKUP(C1092,dd_item!$A$2:$A$147,dd_item!$B$2:$B$147,"",0),_xlfn.XLOOKUP(H1092,dd_item!$A$2:$A$147,dd_item!$B$2:$B$147,"",0))</f>
        <v>Steel-Sash78</v>
      </c>
      <c r="K1092" s="16" t="str">
        <f>_xlfn.XLOOKUP(A1092,dd_design_raw!$C$2:$C$1002,dd_design_raw!$A$2:$A$1002,"",0)</f>
        <v>Triple Awning (Vertical)</v>
      </c>
      <c r="L1092" s="16" t="str">
        <f>_xlfn.XLOOKUP(I1092,dd_accsryclr!$A$2:$A$1000,dd_accsryclr!$A$2:$A$1000,"",0)</f>
        <v/>
      </c>
    </row>
    <row r="1093" spans="1:12" hidden="1" x14ac:dyDescent="0.25">
      <c r="A1093" s="16" t="s">
        <v>15</v>
      </c>
      <c r="B1093" s="16" t="s">
        <v>639</v>
      </c>
      <c r="C1093" s="16" t="s">
        <v>525</v>
      </c>
      <c r="D1093" s="16" t="s">
        <v>526</v>
      </c>
      <c r="E1093" s="16">
        <v>1.180344827586207</v>
      </c>
      <c r="F1093" s="16" t="s">
        <v>194</v>
      </c>
      <c r="G1093" s="16" t="s">
        <v>59</v>
      </c>
      <c r="H1093" s="16" t="s">
        <v>523</v>
      </c>
      <c r="I1093" s="16" t="s">
        <v>527</v>
      </c>
      <c r="J1093" s="16" t="str">
        <f>IF(ISNUMBER(SEARCH("SCRW", H1093)), _xlfn.XLOOKUP(C1093,dd_item!$A$2:$A$147,dd_item!$B$2:$B$147,"",0),_xlfn.XLOOKUP(H1093,dd_item!$A$2:$A$147,dd_item!$B$2:$B$147,"",0))</f>
        <v>Steel-Sash78</v>
      </c>
      <c r="K1093" s="16" t="str">
        <f>_xlfn.XLOOKUP(A1093,dd_design_raw!$C$2:$C$1002,dd_design_raw!$A$2:$A$1002,"",0)</f>
        <v>Triple Awning (Vertical)</v>
      </c>
      <c r="L1093" s="16" t="str">
        <f>_xlfn.XLOOKUP(I1093,dd_accsryclr!$A$2:$A$1000,dd_accsryclr!$A$2:$A$1000,"",0)</f>
        <v/>
      </c>
    </row>
    <row r="1094" spans="1:12" hidden="1" x14ac:dyDescent="0.25">
      <c r="A1094" s="16" t="s">
        <v>15</v>
      </c>
      <c r="B1094" s="16" t="s">
        <v>639</v>
      </c>
      <c r="C1094" s="16" t="s">
        <v>349</v>
      </c>
      <c r="D1094" s="16" t="s">
        <v>350</v>
      </c>
      <c r="E1094" s="16">
        <v>1.7672413793103448</v>
      </c>
      <c r="F1094" s="16" t="s">
        <v>194</v>
      </c>
      <c r="G1094" s="16"/>
      <c r="H1094" s="16" t="s">
        <v>351</v>
      </c>
      <c r="I1094" s="16" t="s">
        <v>211</v>
      </c>
      <c r="J1094" s="16" t="str">
        <f>IF(ISNUMBER(SEARCH("SCRW", H1094)), _xlfn.XLOOKUP(C1094,dd_item!$A$2:$A$147,dd_item!$B$2:$B$147,"",0),_xlfn.XLOOKUP(H1094,dd_item!$A$2:$A$147,dd_item!$B$2:$B$147,"",0))</f>
        <v>Bead34</v>
      </c>
      <c r="K1094" s="16" t="str">
        <f>_xlfn.XLOOKUP(A1094,dd_design_raw!$C$2:$C$1002,dd_design_raw!$A$2:$A$1002,"",0)</f>
        <v>Triple Awning (Vertical)</v>
      </c>
      <c r="L1094" s="16" t="str">
        <f>_xlfn.XLOOKUP(I1094,dd_accsryclr!$A$2:$A$1000,dd_accsryclr!$A$2:$A$1000,"",0)</f>
        <v/>
      </c>
    </row>
    <row r="1095" spans="1:12" hidden="1" x14ac:dyDescent="0.25">
      <c r="A1095" s="16" t="s">
        <v>15</v>
      </c>
      <c r="B1095" s="16" t="s">
        <v>639</v>
      </c>
      <c r="C1095" s="16" t="s">
        <v>352</v>
      </c>
      <c r="D1095" s="16" t="s">
        <v>353</v>
      </c>
      <c r="E1095" s="16">
        <v>1.7672413793103448</v>
      </c>
      <c r="F1095" s="16" t="s">
        <v>194</v>
      </c>
      <c r="G1095" s="16"/>
      <c r="H1095" s="16" t="s">
        <v>351</v>
      </c>
      <c r="I1095" s="16" t="s">
        <v>214</v>
      </c>
      <c r="J1095" s="16" t="str">
        <f>IF(ISNUMBER(SEARCH("SCRW", H1095)), _xlfn.XLOOKUP(C1095,dd_item!$A$2:$A$147,dd_item!$B$2:$B$147,"",0),_xlfn.XLOOKUP(H1095,dd_item!$A$2:$A$147,dd_item!$B$2:$B$147,"",0))</f>
        <v>Bead34</v>
      </c>
      <c r="K1095" s="16" t="str">
        <f>_xlfn.XLOOKUP(A1095,dd_design_raw!$C$2:$C$1002,dd_design_raw!$A$2:$A$1002,"",0)</f>
        <v>Triple Awning (Vertical)</v>
      </c>
      <c r="L1095" s="16" t="str">
        <f>_xlfn.XLOOKUP(I1095,dd_accsryclr!$A$2:$A$1000,dd_accsryclr!$A$2:$A$1000,"",0)</f>
        <v/>
      </c>
    </row>
    <row r="1096" spans="1:12" hidden="1" x14ac:dyDescent="0.25">
      <c r="A1096" s="16" t="s">
        <v>15</v>
      </c>
      <c r="B1096" s="16" t="s">
        <v>639</v>
      </c>
      <c r="C1096" s="16" t="s">
        <v>354</v>
      </c>
      <c r="D1096" s="16" t="s">
        <v>355</v>
      </c>
      <c r="E1096" s="16">
        <v>1.7672413793103448</v>
      </c>
      <c r="F1096" s="16" t="s">
        <v>194</v>
      </c>
      <c r="G1096" s="16"/>
      <c r="H1096" s="16" t="s">
        <v>351</v>
      </c>
      <c r="I1096" s="16" t="s">
        <v>217</v>
      </c>
      <c r="J1096" s="16" t="str">
        <f>IF(ISNUMBER(SEARCH("SCRW", H1096)), _xlfn.XLOOKUP(C1096,dd_item!$A$2:$A$147,dd_item!$B$2:$B$147,"",0),_xlfn.XLOOKUP(H1096,dd_item!$A$2:$A$147,dd_item!$B$2:$B$147,"",0))</f>
        <v>Bead34</v>
      </c>
      <c r="K1096" s="16" t="str">
        <f>_xlfn.XLOOKUP(A1096,dd_design_raw!$C$2:$C$1002,dd_design_raw!$A$2:$A$1002,"",0)</f>
        <v>Triple Awning (Vertical)</v>
      </c>
      <c r="L1096" s="16" t="str">
        <f>_xlfn.XLOOKUP(I1096,dd_accsryclr!$A$2:$A$1000,dd_accsryclr!$A$2:$A$1000,"",0)</f>
        <v/>
      </c>
    </row>
    <row r="1097" spans="1:12" hidden="1" x14ac:dyDescent="0.25">
      <c r="A1097" s="16" t="s">
        <v>15</v>
      </c>
      <c r="B1097" s="16" t="s">
        <v>639</v>
      </c>
      <c r="C1097" s="16" t="s">
        <v>356</v>
      </c>
      <c r="D1097" s="16" t="s">
        <v>357</v>
      </c>
      <c r="E1097" s="16">
        <v>1.7672413793103448</v>
      </c>
      <c r="F1097" s="16" t="s">
        <v>194</v>
      </c>
      <c r="G1097" s="16"/>
      <c r="H1097" s="16" t="s">
        <v>351</v>
      </c>
      <c r="I1097" s="16" t="s">
        <v>226</v>
      </c>
      <c r="J1097" s="16" t="str">
        <f>IF(ISNUMBER(SEARCH("SCRW", H1097)), _xlfn.XLOOKUP(C1097,dd_item!$A$2:$A$147,dd_item!$B$2:$B$147,"",0),_xlfn.XLOOKUP(H1097,dd_item!$A$2:$A$147,dd_item!$B$2:$B$147,"",0))</f>
        <v>Bead34</v>
      </c>
      <c r="K1097" s="16" t="str">
        <f>_xlfn.XLOOKUP(A1097,dd_design_raw!$C$2:$C$1002,dd_design_raw!$A$2:$A$1002,"",0)</f>
        <v>Triple Awning (Vertical)</v>
      </c>
      <c r="L1097" s="16" t="str">
        <f>_xlfn.XLOOKUP(I1097,dd_accsryclr!$A$2:$A$1000,dd_accsryclr!$A$2:$A$1000,"",0)</f>
        <v/>
      </c>
    </row>
    <row r="1098" spans="1:12" hidden="1" x14ac:dyDescent="0.25">
      <c r="A1098" s="16" t="s">
        <v>15</v>
      </c>
      <c r="B1098" s="16" t="s">
        <v>639</v>
      </c>
      <c r="C1098" s="16" t="s">
        <v>358</v>
      </c>
      <c r="D1098" s="16" t="s">
        <v>359</v>
      </c>
      <c r="E1098" s="16">
        <v>1.7672413793103448</v>
      </c>
      <c r="F1098" s="16" t="s">
        <v>194</v>
      </c>
      <c r="G1098" s="16"/>
      <c r="H1098" s="16" t="s">
        <v>351</v>
      </c>
      <c r="I1098" s="16" t="s">
        <v>220</v>
      </c>
      <c r="J1098" s="16" t="str">
        <f>IF(ISNUMBER(SEARCH("SCRW", H1098)), _xlfn.XLOOKUP(C1098,dd_item!$A$2:$A$147,dd_item!$B$2:$B$147,"",0),_xlfn.XLOOKUP(H1098,dd_item!$A$2:$A$147,dd_item!$B$2:$B$147,"",0))</f>
        <v>Bead34</v>
      </c>
      <c r="K1098" s="16" t="str">
        <f>_xlfn.XLOOKUP(A1098,dd_design_raw!$C$2:$C$1002,dd_design_raw!$A$2:$A$1002,"",0)</f>
        <v>Triple Awning (Vertical)</v>
      </c>
      <c r="L1098" s="16" t="str">
        <f>_xlfn.XLOOKUP(I1098,dd_accsryclr!$A$2:$A$1000,dd_accsryclr!$A$2:$A$1000,"",0)</f>
        <v>WHT</v>
      </c>
    </row>
    <row r="1099" spans="1:12" hidden="1" x14ac:dyDescent="0.25">
      <c r="A1099" s="16" t="s">
        <v>15</v>
      </c>
      <c r="B1099" s="16" t="s">
        <v>639</v>
      </c>
      <c r="C1099" s="16" t="s">
        <v>360</v>
      </c>
      <c r="D1099" s="16" t="s">
        <v>361</v>
      </c>
      <c r="E1099" s="16">
        <v>1.7672413793103448</v>
      </c>
      <c r="F1099" s="16" t="s">
        <v>194</v>
      </c>
      <c r="G1099" s="16"/>
      <c r="H1099" s="16" t="s">
        <v>351</v>
      </c>
      <c r="I1099" s="16" t="s">
        <v>223</v>
      </c>
      <c r="J1099" s="16" t="str">
        <f>IF(ISNUMBER(SEARCH("SCRW", H1099)), _xlfn.XLOOKUP(C1099,dd_item!$A$2:$A$147,dd_item!$B$2:$B$147,"",0),_xlfn.XLOOKUP(H1099,dd_item!$A$2:$A$147,dd_item!$B$2:$B$147,"",0))</f>
        <v>Bead34</v>
      </c>
      <c r="K1099" s="16" t="str">
        <f>_xlfn.XLOOKUP(A1099,dd_design_raw!$C$2:$C$1002,dd_design_raw!$A$2:$A$1002,"",0)</f>
        <v>Triple Awning (Vertical)</v>
      </c>
      <c r="L1099" s="16" t="str">
        <f>_xlfn.XLOOKUP(I1099,dd_accsryclr!$A$2:$A$1000,dd_accsryclr!$A$2:$A$1000,"",0)</f>
        <v>BLK</v>
      </c>
    </row>
    <row r="1100" spans="1:12" hidden="1" x14ac:dyDescent="0.25">
      <c r="A1100" s="16" t="s">
        <v>15</v>
      </c>
      <c r="B1100" s="16" t="s">
        <v>639</v>
      </c>
      <c r="C1100" s="16" t="s">
        <v>362</v>
      </c>
      <c r="D1100" s="16" t="s">
        <v>363</v>
      </c>
      <c r="E1100" s="16">
        <v>1.7672413793103448</v>
      </c>
      <c r="F1100" s="16" t="s">
        <v>194</v>
      </c>
      <c r="G1100" s="16"/>
      <c r="H1100" s="16" t="s">
        <v>351</v>
      </c>
      <c r="I1100" s="16" t="s">
        <v>230</v>
      </c>
      <c r="J1100" s="16" t="str">
        <f>IF(ISNUMBER(SEARCH("SCRW", H1100)), _xlfn.XLOOKUP(C1100,dd_item!$A$2:$A$147,dd_item!$B$2:$B$147,"",0),_xlfn.XLOOKUP(H1100,dd_item!$A$2:$A$147,dd_item!$B$2:$B$147,"",0))</f>
        <v>Bead34</v>
      </c>
      <c r="K1100" s="16" t="str">
        <f>_xlfn.XLOOKUP(A1100,dd_design_raw!$C$2:$C$1002,dd_design_raw!$A$2:$A$1002,"",0)</f>
        <v>Triple Awning (Vertical)</v>
      </c>
      <c r="L1100" s="16" t="str">
        <f>_xlfn.XLOOKUP(I1100,dd_accsryclr!$A$2:$A$1000,dd_accsryclr!$A$2:$A$1000,"",0)</f>
        <v>BRWN</v>
      </c>
    </row>
    <row r="1101" spans="1:12" x14ac:dyDescent="0.25">
      <c r="A1101" s="16" t="s">
        <v>15</v>
      </c>
      <c r="B1101" s="16" t="s">
        <v>639</v>
      </c>
      <c r="C1101" s="16" t="s">
        <v>631</v>
      </c>
      <c r="D1101" s="16" t="s">
        <v>632</v>
      </c>
      <c r="E1101" s="16">
        <v>3</v>
      </c>
      <c r="F1101" s="16" t="s">
        <v>293</v>
      </c>
      <c r="G1101" s="16"/>
      <c r="H1101" s="16" t="s">
        <v>530</v>
      </c>
      <c r="I1101" s="16" t="s">
        <v>531</v>
      </c>
      <c r="J1101" s="16" t="str">
        <f>IF(ISNUMBER(SEARCH("SCRW", H1101)), _xlfn.XLOOKUP(C1101,dd_item!$A$2:$A$147,dd_item!$B$2:$B$147,"",0),_xlfn.XLOOKUP(H1101,dd_item!$A$2:$A$147,dd_item!$B$2:$B$147,"",0))</f>
        <v>Casement Espagnolette</v>
      </c>
      <c r="K1101" s="16" t="str">
        <f>_xlfn.XLOOKUP(A1101,dd_design_raw!$C$2:$C$1002,dd_design_raw!$A$2:$A$1002,"",0)</f>
        <v>Triple Awning (Vertical)</v>
      </c>
      <c r="L1101" s="16" t="str">
        <f>_xlfn.XLOOKUP(I1101,dd_accsryclr!$A$2:$A$1000,dd_accsryclr!$A$2:$A$1000,"",0)</f>
        <v/>
      </c>
    </row>
    <row r="1102" spans="1:12" x14ac:dyDescent="0.25">
      <c r="A1102" s="16" t="s">
        <v>15</v>
      </c>
      <c r="B1102" s="16" t="s">
        <v>639</v>
      </c>
      <c r="C1102" s="16" t="s">
        <v>633</v>
      </c>
      <c r="D1102" s="16" t="s">
        <v>634</v>
      </c>
      <c r="E1102" s="16">
        <v>3</v>
      </c>
      <c r="F1102" s="16" t="s">
        <v>293</v>
      </c>
      <c r="G1102" s="16"/>
      <c r="H1102" s="16" t="s">
        <v>530</v>
      </c>
      <c r="I1102" s="16" t="s">
        <v>531</v>
      </c>
      <c r="J1102" s="16" t="str">
        <f>IF(ISNUMBER(SEARCH("SCRW", H1102)), _xlfn.XLOOKUP(C1102,dd_item!$A$2:$A$147,dd_item!$B$2:$B$147,"",0),_xlfn.XLOOKUP(H1102,dd_item!$A$2:$A$147,dd_item!$B$2:$B$147,"",0))</f>
        <v>Casement Espagnolette</v>
      </c>
      <c r="K1102" s="16" t="str">
        <f>_xlfn.XLOOKUP(A1102,dd_design_raw!$C$2:$C$1002,dd_design_raw!$A$2:$A$1002,"",0)</f>
        <v>Triple Awning (Vertical)</v>
      </c>
      <c r="L1102" s="16" t="str">
        <f>_xlfn.XLOOKUP(I1102,dd_accsryclr!$A$2:$A$1000,dd_accsryclr!$A$2:$A$1000,"",0)</f>
        <v/>
      </c>
    </row>
    <row r="1103" spans="1:12" x14ac:dyDescent="0.25">
      <c r="A1103" s="16" t="s">
        <v>15</v>
      </c>
      <c r="B1103" s="16" t="s">
        <v>639</v>
      </c>
      <c r="C1103" s="16" t="s">
        <v>635</v>
      </c>
      <c r="D1103" s="16" t="s">
        <v>636</v>
      </c>
      <c r="E1103" s="16">
        <v>3</v>
      </c>
      <c r="F1103" s="16" t="s">
        <v>293</v>
      </c>
      <c r="G1103" s="16"/>
      <c r="H1103" s="16" t="s">
        <v>530</v>
      </c>
      <c r="I1103" s="16" t="s">
        <v>637</v>
      </c>
      <c r="J1103" s="16" t="str">
        <f>IF(ISNUMBER(SEARCH("SCRW", H1103)), _xlfn.XLOOKUP(C1103,dd_item!$A$2:$A$147,dd_item!$B$2:$B$147,"",0),_xlfn.XLOOKUP(H1103,dd_item!$A$2:$A$147,dd_item!$B$2:$B$147,"",0))</f>
        <v>Casement Espagnolette</v>
      </c>
      <c r="K1103" s="16" t="str">
        <f>_xlfn.XLOOKUP(A1103,dd_design_raw!$C$2:$C$1002,dd_design_raw!$A$2:$A$1002,"",0)</f>
        <v>Triple Awning (Vertical)</v>
      </c>
      <c r="L1103" s="16" t="str">
        <f>_xlfn.XLOOKUP(I1103,dd_accsryclr!$A$2:$A$1000,dd_accsryclr!$A$2:$A$1000,"",0)</f>
        <v/>
      </c>
    </row>
    <row r="1104" spans="1:12" hidden="1" x14ac:dyDescent="0.25">
      <c r="A1104" s="16" t="s">
        <v>15</v>
      </c>
      <c r="B1104" s="16" t="s">
        <v>639</v>
      </c>
      <c r="C1104" s="16" t="s">
        <v>537</v>
      </c>
      <c r="D1104" s="16" t="s">
        <v>538</v>
      </c>
      <c r="E1104" s="16">
        <v>6</v>
      </c>
      <c r="F1104" s="16" t="s">
        <v>293</v>
      </c>
      <c r="G1104" s="16"/>
      <c r="H1104" s="16" t="s">
        <v>539</v>
      </c>
      <c r="I1104" s="16" t="s">
        <v>638</v>
      </c>
      <c r="J1104" s="16" t="str">
        <f>IF(ISNUMBER(SEARCH("SCRW", H1104)), _xlfn.XLOOKUP(C1104,dd_item!$A$2:$A$147,dd_item!$B$2:$B$147,"",0),_xlfn.XLOOKUP(H1104,dd_item!$A$2:$A$147,dd_item!$B$2:$B$147,"",0))</f>
        <v>Hinge 5-Bar</v>
      </c>
      <c r="K1104" s="16" t="str">
        <f>_xlfn.XLOOKUP(A1104,dd_design_raw!$C$2:$C$1002,dd_design_raw!$A$2:$A$1002,"",0)</f>
        <v>Triple Awning (Vertical)</v>
      </c>
      <c r="L1104" s="16" t="str">
        <f>_xlfn.XLOOKUP(I1104,dd_accsryclr!$A$2:$A$1000,dd_accsryclr!$A$2:$A$1000,"",0)</f>
        <v/>
      </c>
    </row>
    <row r="1105" spans="1:12" hidden="1" x14ac:dyDescent="0.25">
      <c r="A1105" s="16" t="s">
        <v>15</v>
      </c>
      <c r="B1105" s="16" t="s">
        <v>639</v>
      </c>
      <c r="C1105" s="16" t="s">
        <v>390</v>
      </c>
      <c r="D1105" s="16" t="s">
        <v>391</v>
      </c>
      <c r="E1105" s="16">
        <v>12.04</v>
      </c>
      <c r="F1105" s="16" t="s">
        <v>369</v>
      </c>
      <c r="G1105" s="16"/>
      <c r="H1105" s="16" t="s">
        <v>792</v>
      </c>
      <c r="I1105" s="16" t="s">
        <v>577</v>
      </c>
      <c r="J1105" s="16" t="str">
        <f>IF(ISNUMBER(SEARCH("SCRW", H1105)), _xlfn.XLOOKUP(C1105,dd_item!$A$2:$A$147,dd_item!$B$2:$B$147,"",0),_xlfn.XLOOKUP(H1105,dd_item!$A$2:$A$147,dd_item!$B$2:$B$147,"",0))</f>
        <v>Atlas Screw (S) 10 x 2-1/2" (Flat)</v>
      </c>
      <c r="K1105" s="16" t="str">
        <f>_xlfn.XLOOKUP(A1105,dd_design_raw!$C$2:$C$1002,dd_design_raw!$A$2:$A$1002,"",0)</f>
        <v>Triple Awning (Vertical)</v>
      </c>
      <c r="L1105" s="16" t="str">
        <f>_xlfn.XLOOKUP(I1105,dd_accsryclr!$A$2:$A$1000,dd_accsryclr!$A$2:$A$1000,"",0)</f>
        <v/>
      </c>
    </row>
    <row r="1106" spans="1:12" hidden="1" x14ac:dyDescent="0.25">
      <c r="A1106" s="16" t="s">
        <v>15</v>
      </c>
      <c r="B1106" s="16" t="s">
        <v>639</v>
      </c>
      <c r="C1106" s="16" t="s">
        <v>392</v>
      </c>
      <c r="D1106" s="16" t="s">
        <v>393</v>
      </c>
      <c r="E1106" s="16">
        <v>3</v>
      </c>
      <c r="F1106" s="16" t="s">
        <v>369</v>
      </c>
      <c r="G1106" s="16"/>
      <c r="H1106" s="16" t="s">
        <v>394</v>
      </c>
      <c r="I1106" s="16" t="s">
        <v>223</v>
      </c>
      <c r="J1106" s="16" t="str">
        <f>IF(ISNUMBER(SEARCH("SCRW", H1106)), _xlfn.XLOOKUP(C1106,dd_item!$A$2:$A$147,dd_item!$B$2:$B$147,"",0),_xlfn.XLOOKUP(H1106,dd_item!$A$2:$A$147,dd_item!$B$2:$B$147,"",0))</f>
        <v>Drainage Cover</v>
      </c>
      <c r="K1106" s="16" t="str">
        <f>_xlfn.XLOOKUP(A1106,dd_design_raw!$C$2:$C$1002,dd_design_raw!$A$2:$A$1002,"",0)</f>
        <v>Triple Awning (Vertical)</v>
      </c>
      <c r="L1106" s="16" t="str">
        <f>_xlfn.XLOOKUP(I1106,dd_accsryclr!$A$2:$A$1000,dd_accsryclr!$A$2:$A$1000,"",0)</f>
        <v>BLK</v>
      </c>
    </row>
    <row r="1107" spans="1:12" hidden="1" x14ac:dyDescent="0.25">
      <c r="A1107" s="16" t="s">
        <v>15</v>
      </c>
      <c r="B1107" s="16" t="s">
        <v>639</v>
      </c>
      <c r="C1107" s="16" t="s">
        <v>395</v>
      </c>
      <c r="D1107" s="16" t="s">
        <v>396</v>
      </c>
      <c r="E1107" s="16">
        <v>3</v>
      </c>
      <c r="F1107" s="16" t="s">
        <v>369</v>
      </c>
      <c r="G1107" s="16"/>
      <c r="H1107" s="16" t="s">
        <v>394</v>
      </c>
      <c r="I1107" s="16" t="s">
        <v>220</v>
      </c>
      <c r="J1107" s="16" t="str">
        <f>IF(ISNUMBER(SEARCH("SCRW", H1107)), _xlfn.XLOOKUP(C1107,dd_item!$A$2:$A$147,dd_item!$B$2:$B$147,"",0),_xlfn.XLOOKUP(H1107,dd_item!$A$2:$A$147,dd_item!$B$2:$B$147,"",0))</f>
        <v>Drainage Cover</v>
      </c>
      <c r="K1107" s="16" t="str">
        <f>_xlfn.XLOOKUP(A1107,dd_design_raw!$C$2:$C$1002,dd_design_raw!$A$2:$A$1002,"",0)</f>
        <v>Triple Awning (Vertical)</v>
      </c>
      <c r="L1107" s="16" t="str">
        <f>_xlfn.XLOOKUP(I1107,dd_accsryclr!$A$2:$A$1000,dd_accsryclr!$A$2:$A$1000,"",0)</f>
        <v>WHT</v>
      </c>
    </row>
    <row r="1108" spans="1:12" hidden="1" x14ac:dyDescent="0.25">
      <c r="A1108" s="16" t="s">
        <v>15</v>
      </c>
      <c r="B1108" s="16" t="s">
        <v>639</v>
      </c>
      <c r="C1108" s="16" t="s">
        <v>397</v>
      </c>
      <c r="D1108" s="16" t="s">
        <v>398</v>
      </c>
      <c r="E1108" s="16">
        <v>0.24079999999999999</v>
      </c>
      <c r="F1108" s="16" t="s">
        <v>369</v>
      </c>
      <c r="G1108" s="16"/>
      <c r="H1108" s="16" t="s">
        <v>399</v>
      </c>
      <c r="I1108" s="16" t="s">
        <v>400</v>
      </c>
      <c r="J1108" s="16" t="str">
        <f>IF(ISNUMBER(SEARCH("SCRW", H1108)), _xlfn.XLOOKUP(C1108,dd_item!$A$2:$A$147,dd_item!$B$2:$B$147,"",0),_xlfn.XLOOKUP(H1108,dd_item!$A$2:$A$147,dd_item!$B$2:$B$147,"",0))</f>
        <v>Tox6</v>
      </c>
      <c r="K1108" s="16" t="str">
        <f>_xlfn.XLOOKUP(A1108,dd_design_raw!$C$2:$C$1002,dd_design_raw!$A$2:$A$1002,"",0)</f>
        <v>Triple Awning (Vertical)</v>
      </c>
      <c r="L1108" s="16" t="str">
        <f>_xlfn.XLOOKUP(I1108,dd_accsryclr!$A$2:$A$1000,dd_accsryclr!$A$2:$A$1000,"",0)</f>
        <v/>
      </c>
    </row>
    <row r="1109" spans="1:12" hidden="1" x14ac:dyDescent="0.25">
      <c r="A1109" s="16" t="s">
        <v>15</v>
      </c>
      <c r="B1109" s="16" t="s">
        <v>639</v>
      </c>
      <c r="C1109" s="16" t="s">
        <v>414</v>
      </c>
      <c r="D1109" s="16" t="s">
        <v>415</v>
      </c>
      <c r="E1109" s="16">
        <v>4.0133333333333336</v>
      </c>
      <c r="F1109" s="16" t="s">
        <v>369</v>
      </c>
      <c r="G1109" s="16"/>
      <c r="H1109" s="16" t="s">
        <v>416</v>
      </c>
      <c r="I1109" s="16" t="s">
        <v>223</v>
      </c>
      <c r="J1109" s="16" t="str">
        <f>IF(ISNUMBER(SEARCH("SCRW", H1109)), _xlfn.XLOOKUP(C1109,dd_item!$A$2:$A$147,dd_item!$B$2:$B$147,"",0),_xlfn.XLOOKUP(H1109,dd_item!$A$2:$A$147,dd_item!$B$2:$B$147,"",0))</f>
        <v>Sealant</v>
      </c>
      <c r="K1109" s="16" t="str">
        <f>_xlfn.XLOOKUP(A1109,dd_design_raw!$C$2:$C$1002,dd_design_raw!$A$2:$A$1002,"",0)</f>
        <v>Triple Awning (Vertical)</v>
      </c>
      <c r="L1109" s="16" t="str">
        <f>_xlfn.XLOOKUP(I1109,dd_accsryclr!$A$2:$A$1000,dd_accsryclr!$A$2:$A$1000,"",0)</f>
        <v>BLK</v>
      </c>
    </row>
    <row r="1110" spans="1:12" hidden="1" x14ac:dyDescent="0.25">
      <c r="A1110" s="16" t="s">
        <v>15</v>
      </c>
      <c r="B1110" s="16" t="s">
        <v>639</v>
      </c>
      <c r="C1110" s="16" t="s">
        <v>417</v>
      </c>
      <c r="D1110" s="16" t="s">
        <v>418</v>
      </c>
      <c r="E1110" s="16">
        <v>4.0133333333333336</v>
      </c>
      <c r="F1110" s="16" t="s">
        <v>369</v>
      </c>
      <c r="G1110" s="16"/>
      <c r="H1110" s="16" t="s">
        <v>416</v>
      </c>
      <c r="I1110" s="16" t="s">
        <v>230</v>
      </c>
      <c r="J1110" s="16" t="str">
        <f>IF(ISNUMBER(SEARCH("SCRW", H1110)), _xlfn.XLOOKUP(C1110,dd_item!$A$2:$A$147,dd_item!$B$2:$B$147,"",0),_xlfn.XLOOKUP(H1110,dd_item!$A$2:$A$147,dd_item!$B$2:$B$147,"",0))</f>
        <v>Sealant</v>
      </c>
      <c r="K1110" s="16" t="str">
        <f>_xlfn.XLOOKUP(A1110,dd_design_raw!$C$2:$C$1002,dd_design_raw!$A$2:$A$1002,"",0)</f>
        <v>Triple Awning (Vertical)</v>
      </c>
      <c r="L1110" s="16" t="str">
        <f>_xlfn.XLOOKUP(I1110,dd_accsryclr!$A$2:$A$1000,dd_accsryclr!$A$2:$A$1000,"",0)</f>
        <v>BRWN</v>
      </c>
    </row>
    <row r="1111" spans="1:12" hidden="1" x14ac:dyDescent="0.25">
      <c r="A1111" s="16" t="s">
        <v>15</v>
      </c>
      <c r="B1111" s="16" t="s">
        <v>639</v>
      </c>
      <c r="C1111" s="16" t="s">
        <v>419</v>
      </c>
      <c r="D1111" s="16" t="s">
        <v>420</v>
      </c>
      <c r="E1111" s="16">
        <v>4.0133333333333336</v>
      </c>
      <c r="F1111" s="16" t="s">
        <v>369</v>
      </c>
      <c r="G1111" s="16"/>
      <c r="H1111" s="16" t="s">
        <v>416</v>
      </c>
      <c r="I1111" s="16" t="s">
        <v>220</v>
      </c>
      <c r="J1111" s="16" t="str">
        <f>IF(ISNUMBER(SEARCH("SCRW", H1111)), _xlfn.XLOOKUP(C1111,dd_item!$A$2:$A$147,dd_item!$B$2:$B$147,"",0),_xlfn.XLOOKUP(H1111,dd_item!$A$2:$A$147,dd_item!$B$2:$B$147,"",0))</f>
        <v>Sealant</v>
      </c>
      <c r="K1111" s="16" t="str">
        <f>_xlfn.XLOOKUP(A1111,dd_design_raw!$C$2:$C$1002,dd_design_raw!$A$2:$A$1002,"",0)</f>
        <v>Triple Awning (Vertical)</v>
      </c>
      <c r="L1111" s="16" t="str">
        <f>_xlfn.XLOOKUP(I1111,dd_accsryclr!$A$2:$A$1000,dd_accsryclr!$A$2:$A$1000,"",0)</f>
        <v>WHT</v>
      </c>
    </row>
    <row r="1112" spans="1:12" hidden="1" x14ac:dyDescent="0.25">
      <c r="A1112" s="16" t="s">
        <v>15</v>
      </c>
      <c r="B1112" s="16" t="s">
        <v>639</v>
      </c>
      <c r="C1112" s="16" t="s">
        <v>421</v>
      </c>
      <c r="D1112" s="16" t="s">
        <v>422</v>
      </c>
      <c r="E1112" s="16"/>
      <c r="F1112" s="16" t="s">
        <v>369</v>
      </c>
      <c r="G1112" s="16"/>
      <c r="H1112" s="16" t="s">
        <v>416</v>
      </c>
      <c r="I1112" s="16" t="s">
        <v>423</v>
      </c>
      <c r="J1112" s="16" t="str">
        <f>IF(ISNUMBER(SEARCH("SCRW", H1112)), _xlfn.XLOOKUP(C1112,dd_item!$A$2:$A$147,dd_item!$B$2:$B$147,"",0),_xlfn.XLOOKUP(H1112,dd_item!$A$2:$A$147,dd_item!$B$2:$B$147,"",0))</f>
        <v>Sealant</v>
      </c>
      <c r="K1112" s="16" t="str">
        <f>_xlfn.XLOOKUP(A1112,dd_design_raw!$C$2:$C$1002,dd_design_raw!$A$2:$A$1002,"",0)</f>
        <v>Triple Awning (Vertical)</v>
      </c>
      <c r="L1112" s="16" t="str">
        <f>_xlfn.XLOOKUP(I1112,dd_accsryclr!$A$2:$A$1000,dd_accsryclr!$A$2:$A$1000,"",0)</f>
        <v/>
      </c>
    </row>
    <row r="1113" spans="1:12" hidden="1" x14ac:dyDescent="0.25">
      <c r="A1113" s="16" t="s">
        <v>15</v>
      </c>
      <c r="B1113" s="16" t="s">
        <v>639</v>
      </c>
      <c r="C1113" s="16" t="s">
        <v>540</v>
      </c>
      <c r="D1113" s="16" t="s">
        <v>541</v>
      </c>
      <c r="E1113" s="16">
        <v>3</v>
      </c>
      <c r="F1113" s="16" t="s">
        <v>369</v>
      </c>
      <c r="G1113" s="16"/>
      <c r="H1113" s="16" t="s">
        <v>542</v>
      </c>
      <c r="I1113" s="16" t="s">
        <v>223</v>
      </c>
      <c r="J1113" s="16" t="str">
        <f>IF(ISNUMBER(SEARCH("SCRW", H1113)), _xlfn.XLOOKUP(C1113,dd_item!$A$2:$A$147,dd_item!$B$2:$B$147,"",0),_xlfn.XLOOKUP(H1113,dd_item!$A$2:$A$147,dd_item!$B$2:$B$147,"",0))</f>
        <v>Casement Handle (Roto)</v>
      </c>
      <c r="K1113" s="16" t="str">
        <f>_xlfn.XLOOKUP(A1113,dd_design_raw!$C$2:$C$1002,dd_design_raw!$A$2:$A$1002,"",0)</f>
        <v>Triple Awning (Vertical)</v>
      </c>
      <c r="L1113" s="16" t="str">
        <f>_xlfn.XLOOKUP(I1113,dd_accsryclr!$A$2:$A$1000,dd_accsryclr!$A$2:$A$1000,"",0)</f>
        <v>BLK</v>
      </c>
    </row>
    <row r="1114" spans="1:12" hidden="1" x14ac:dyDescent="0.25">
      <c r="A1114" s="16" t="s">
        <v>15</v>
      </c>
      <c r="B1114" s="16" t="s">
        <v>639</v>
      </c>
      <c r="C1114" s="16" t="s">
        <v>543</v>
      </c>
      <c r="D1114" s="16" t="s">
        <v>544</v>
      </c>
      <c r="E1114" s="16">
        <v>3</v>
      </c>
      <c r="F1114" s="16" t="s">
        <v>369</v>
      </c>
      <c r="G1114" s="16"/>
      <c r="H1114" s="16" t="s">
        <v>542</v>
      </c>
      <c r="I1114" s="16" t="s">
        <v>220</v>
      </c>
      <c r="J1114" s="16" t="str">
        <f>IF(ISNUMBER(SEARCH("SCRW", H1114)), _xlfn.XLOOKUP(C1114,dd_item!$A$2:$A$147,dd_item!$B$2:$B$147,"",0),_xlfn.XLOOKUP(H1114,dd_item!$A$2:$A$147,dd_item!$B$2:$B$147,"",0))</f>
        <v>Casement Handle (Roto)</v>
      </c>
      <c r="K1114" s="16" t="str">
        <f>_xlfn.XLOOKUP(A1114,dd_design_raw!$C$2:$C$1002,dd_design_raw!$A$2:$A$1002,"",0)</f>
        <v>Triple Awning (Vertical)</v>
      </c>
      <c r="L1114" s="16" t="str">
        <f>_xlfn.XLOOKUP(I1114,dd_accsryclr!$A$2:$A$1000,dd_accsryclr!$A$2:$A$1000,"",0)</f>
        <v>WHT</v>
      </c>
    </row>
    <row r="1115" spans="1:12" hidden="1" x14ac:dyDescent="0.25">
      <c r="A1115" s="16" t="s">
        <v>15</v>
      </c>
      <c r="B1115" s="16" t="s">
        <v>639</v>
      </c>
      <c r="C1115" s="16" t="s">
        <v>545</v>
      </c>
      <c r="D1115" s="16" t="s">
        <v>546</v>
      </c>
      <c r="E1115" s="16">
        <v>3</v>
      </c>
      <c r="F1115" s="16" t="s">
        <v>369</v>
      </c>
      <c r="G1115" s="16"/>
      <c r="H1115" s="16" t="s">
        <v>9</v>
      </c>
      <c r="I1115" s="16" t="s">
        <v>223</v>
      </c>
      <c r="J1115" s="16" t="str">
        <f>IF(ISNUMBER(SEARCH("SCRW", H1115)), _xlfn.XLOOKUP(C1115,dd_item!$A$2:$A$147,dd_item!$B$2:$B$147,"",0),_xlfn.XLOOKUP(H1115,dd_item!$A$2:$A$147,dd_item!$B$2:$B$147,"",0))</f>
        <v>Casement Handle (Espag)</v>
      </c>
      <c r="K1115" s="16" t="str">
        <f>_xlfn.XLOOKUP(A1115,dd_design_raw!$C$2:$C$1002,dd_design_raw!$A$2:$A$1002,"",0)</f>
        <v>Triple Awning (Vertical)</v>
      </c>
      <c r="L1115" s="16" t="str">
        <f>_xlfn.XLOOKUP(I1115,dd_accsryclr!$A$2:$A$1000,dd_accsryclr!$A$2:$A$1000,"",0)</f>
        <v>BLK</v>
      </c>
    </row>
    <row r="1116" spans="1:12" hidden="1" x14ac:dyDescent="0.25">
      <c r="A1116" s="16" t="s">
        <v>15</v>
      </c>
      <c r="B1116" s="16" t="s">
        <v>639</v>
      </c>
      <c r="C1116" s="16" t="s">
        <v>547</v>
      </c>
      <c r="D1116" s="16" t="s">
        <v>548</v>
      </c>
      <c r="E1116" s="16">
        <v>3</v>
      </c>
      <c r="F1116" s="16" t="s">
        <v>369</v>
      </c>
      <c r="G1116" s="16"/>
      <c r="H1116" s="16" t="s">
        <v>9</v>
      </c>
      <c r="I1116" s="16" t="s">
        <v>220</v>
      </c>
      <c r="J1116" s="16" t="str">
        <f>IF(ISNUMBER(SEARCH("SCRW", H1116)), _xlfn.XLOOKUP(C1116,dd_item!$A$2:$A$147,dd_item!$B$2:$B$147,"",0),_xlfn.XLOOKUP(H1116,dd_item!$A$2:$A$147,dd_item!$B$2:$B$147,"",0))</f>
        <v>Casement Handle (Espag)</v>
      </c>
      <c r="K1116" s="16" t="str">
        <f>_xlfn.XLOOKUP(A1116,dd_design_raw!$C$2:$C$1002,dd_design_raw!$A$2:$A$1002,"",0)</f>
        <v>Triple Awning (Vertical)</v>
      </c>
      <c r="L1116" s="16" t="str">
        <f>_xlfn.XLOOKUP(I1116,dd_accsryclr!$A$2:$A$1000,dd_accsryclr!$A$2:$A$1000,"",0)</f>
        <v>WHT</v>
      </c>
    </row>
    <row r="1117" spans="1:12" hidden="1" x14ac:dyDescent="0.25">
      <c r="A1117" s="16" t="s">
        <v>15</v>
      </c>
      <c r="B1117" s="16" t="s">
        <v>639</v>
      </c>
      <c r="C1117" s="16" t="s">
        <v>549</v>
      </c>
      <c r="D1117" s="16" t="s">
        <v>550</v>
      </c>
      <c r="E1117" s="16">
        <v>6</v>
      </c>
      <c r="F1117" s="16" t="s">
        <v>369</v>
      </c>
      <c r="G1117" s="16"/>
      <c r="H1117" s="16" t="s">
        <v>551</v>
      </c>
      <c r="I1117" s="16" t="s">
        <v>574</v>
      </c>
      <c r="J1117" s="16" t="str">
        <f>IF(ISNUMBER(SEARCH("SCRW", H1117)), _xlfn.XLOOKUP(C1117,dd_item!$A$2:$A$147,dd_item!$B$2:$B$147,"",0),_xlfn.XLOOKUP(H1117,dd_item!$A$2:$A$147,dd_item!$B$2:$B$147,"",0))</f>
        <v>Casement Striker (Roto)</v>
      </c>
      <c r="K1117" s="16" t="str">
        <f>_xlfn.XLOOKUP(A1117,dd_design_raw!$C$2:$C$1002,dd_design_raw!$A$2:$A$1002,"",0)</f>
        <v>Triple Awning (Vertical)</v>
      </c>
      <c r="L1117" s="16" t="str">
        <f>_xlfn.XLOOKUP(I1117,dd_accsryclr!$A$2:$A$1000,dd_accsryclr!$A$2:$A$1000,"",0)</f>
        <v/>
      </c>
    </row>
    <row r="1118" spans="1:12" hidden="1" x14ac:dyDescent="0.25">
      <c r="A1118" s="16" t="s">
        <v>15</v>
      </c>
      <c r="B1118" s="16" t="s">
        <v>639</v>
      </c>
      <c r="C1118" s="16" t="s">
        <v>412</v>
      </c>
      <c r="D1118" s="16" t="s">
        <v>413</v>
      </c>
      <c r="E1118" s="16">
        <v>6</v>
      </c>
      <c r="F1118" s="16" t="s">
        <v>369</v>
      </c>
      <c r="G1118" s="16"/>
      <c r="H1118" s="16" t="s">
        <v>793</v>
      </c>
      <c r="I1118" s="16" t="s">
        <v>575</v>
      </c>
      <c r="J1118" s="16" t="str">
        <f>IF(ISNUMBER(SEARCH("SCRW", H1118)), _xlfn.XLOOKUP(C1118,dd_item!$A$2:$A$147,dd_item!$B$2:$B$147,"",0),_xlfn.XLOOKUP(H1118,dd_item!$A$2:$A$147,dd_item!$B$2:$B$147,"",0))</f>
        <v>Atlas Screw (S) 8 x 1-1/4" (Flat)</v>
      </c>
      <c r="K1118" s="16" t="str">
        <f>_xlfn.XLOOKUP(A1118,dd_design_raw!$C$2:$C$1002,dd_design_raw!$A$2:$A$1002,"",0)</f>
        <v>Triple Awning (Vertical)</v>
      </c>
      <c r="L1118" s="16" t="str">
        <f>_xlfn.XLOOKUP(I1118,dd_accsryclr!$A$2:$A$1000,dd_accsryclr!$A$2:$A$1000,"",0)</f>
        <v/>
      </c>
    </row>
    <row r="1119" spans="1:12" hidden="1" x14ac:dyDescent="0.25">
      <c r="A1119" s="16" t="s">
        <v>15</v>
      </c>
      <c r="B1119" s="16" t="s">
        <v>639</v>
      </c>
      <c r="C1119" s="16" t="s">
        <v>401</v>
      </c>
      <c r="D1119" s="16" t="s">
        <v>402</v>
      </c>
      <c r="E1119" s="16">
        <v>12.04</v>
      </c>
      <c r="F1119" s="16" t="s">
        <v>369</v>
      </c>
      <c r="G1119" s="16"/>
      <c r="H1119" s="16" t="s">
        <v>403</v>
      </c>
      <c r="I1119" s="16" t="s">
        <v>223</v>
      </c>
      <c r="J1119" s="16" t="str">
        <f>IF(ISNUMBER(SEARCH("SCRW", H1119)), _xlfn.XLOOKUP(C1119,dd_item!$A$2:$A$147,dd_item!$B$2:$B$147,"",0),_xlfn.XLOOKUP(H1119,dd_item!$A$2:$A$147,dd_item!$B$2:$B$147,"",0))</f>
        <v>Cover Cap</v>
      </c>
      <c r="K1119" s="16" t="str">
        <f>_xlfn.XLOOKUP(A1119,dd_design_raw!$C$2:$C$1002,dd_design_raw!$A$2:$A$1002,"",0)</f>
        <v>Triple Awning (Vertical)</v>
      </c>
      <c r="L1119" s="16" t="str">
        <f>_xlfn.XLOOKUP(I1119,dd_accsryclr!$A$2:$A$1000,dd_accsryclr!$A$2:$A$1000,"",0)</f>
        <v>BLK</v>
      </c>
    </row>
    <row r="1120" spans="1:12" hidden="1" x14ac:dyDescent="0.25">
      <c r="A1120" s="16" t="s">
        <v>15</v>
      </c>
      <c r="B1120" s="16" t="s">
        <v>639</v>
      </c>
      <c r="C1120" s="16" t="s">
        <v>404</v>
      </c>
      <c r="D1120" s="16" t="s">
        <v>405</v>
      </c>
      <c r="E1120" s="16">
        <v>12.04</v>
      </c>
      <c r="F1120" s="16" t="s">
        <v>369</v>
      </c>
      <c r="G1120" s="16"/>
      <c r="H1120" s="16" t="s">
        <v>403</v>
      </c>
      <c r="I1120" s="16" t="s">
        <v>220</v>
      </c>
      <c r="J1120" s="16" t="str">
        <f>IF(ISNUMBER(SEARCH("SCRW", H1120)), _xlfn.XLOOKUP(C1120,dd_item!$A$2:$A$147,dd_item!$B$2:$B$147,"",0),_xlfn.XLOOKUP(H1120,dd_item!$A$2:$A$147,dd_item!$B$2:$B$147,"",0))</f>
        <v>Cover Cap</v>
      </c>
      <c r="K1120" s="16" t="str">
        <f>_xlfn.XLOOKUP(A1120,dd_design_raw!$C$2:$C$1002,dd_design_raw!$A$2:$A$1002,"",0)</f>
        <v>Triple Awning (Vertical)</v>
      </c>
      <c r="L1120" s="16" t="str">
        <f>_xlfn.XLOOKUP(I1120,dd_accsryclr!$A$2:$A$1000,dd_accsryclr!$A$2:$A$1000,"",0)</f>
        <v>WHT</v>
      </c>
    </row>
    <row r="1121" spans="1:12" hidden="1" x14ac:dyDescent="0.25">
      <c r="A1121" s="16" t="s">
        <v>15</v>
      </c>
      <c r="B1121" s="16" t="s">
        <v>639</v>
      </c>
      <c r="C1121" s="16" t="s">
        <v>552</v>
      </c>
      <c r="D1121" s="16" t="s">
        <v>553</v>
      </c>
      <c r="E1121" s="16">
        <v>6</v>
      </c>
      <c r="F1121" s="16" t="s">
        <v>369</v>
      </c>
      <c r="G1121" s="16"/>
      <c r="H1121" s="16" t="s">
        <v>794</v>
      </c>
      <c r="I1121" s="16" t="s">
        <v>554</v>
      </c>
      <c r="J1121" s="16" t="str">
        <f>IF(ISNUMBER(SEARCH("SCRW", H1121)), _xlfn.XLOOKUP(C1121,dd_item!$A$2:$A$147,dd_item!$B$2:$B$147,"",0),_xlfn.XLOOKUP(H1121,dd_item!$A$2:$A$147,dd_item!$B$2:$B$147,"",0))</f>
        <v>Atlas Screw S.B JF 5 x 50</v>
      </c>
      <c r="K1121" s="16" t="str">
        <f>_xlfn.XLOOKUP(A1121,dd_design_raw!$C$2:$C$1002,dd_design_raw!$A$2:$A$1002,"",0)</f>
        <v>Triple Awning (Vertical)</v>
      </c>
      <c r="L1121" s="16" t="str">
        <f>_xlfn.XLOOKUP(I1121,dd_accsryclr!$A$2:$A$1000,dd_accsryclr!$A$2:$A$1000,"",0)</f>
        <v/>
      </c>
    </row>
    <row r="1122" spans="1:12" hidden="1" x14ac:dyDescent="0.25">
      <c r="A1122" s="16" t="s">
        <v>16</v>
      </c>
      <c r="B1122" s="16" t="s">
        <v>111</v>
      </c>
      <c r="C1122" s="16" t="s">
        <v>484</v>
      </c>
      <c r="D1122" s="16" t="s">
        <v>485</v>
      </c>
      <c r="E1122" s="16">
        <v>1.0379310344827586</v>
      </c>
      <c r="F1122" s="16" t="s">
        <v>194</v>
      </c>
      <c r="G1122" s="16"/>
      <c r="H1122" s="16" t="s">
        <v>486</v>
      </c>
      <c r="I1122" s="16" t="s">
        <v>230</v>
      </c>
      <c r="J1122" s="16" t="str">
        <f>IF(ISNUMBER(SEARCH("SCRW", H1122)), _xlfn.XLOOKUP(C1122,dd_item!$A$2:$A$147,dd_item!$B$2:$B$147,"",0),_xlfn.XLOOKUP(H1122,dd_item!$A$2:$A$147,dd_item!$B$2:$B$147,"",0))</f>
        <v>Frame60</v>
      </c>
      <c r="K1122" s="16" t="str">
        <f>_xlfn.XLOOKUP(A1122,dd_design_raw!$C$2:$C$1002,dd_design_raw!$A$2:$A$1002,"",0)</f>
        <v>Triple Casement</v>
      </c>
      <c r="L1122" s="16" t="str">
        <f>_xlfn.XLOOKUP(I1122,dd_accsryclr!$A$2:$A$1000,dd_accsryclr!$A$2:$A$1000,"",0)</f>
        <v>BRWN</v>
      </c>
    </row>
    <row r="1123" spans="1:12" hidden="1" x14ac:dyDescent="0.25">
      <c r="A1123" s="16" t="s">
        <v>16</v>
      </c>
      <c r="B1123" s="16" t="s">
        <v>111</v>
      </c>
      <c r="C1123" s="16" t="s">
        <v>487</v>
      </c>
      <c r="D1123" s="16" t="s">
        <v>488</v>
      </c>
      <c r="E1123" s="16">
        <v>1.0379310344827586</v>
      </c>
      <c r="F1123" s="16" t="s">
        <v>194</v>
      </c>
      <c r="G1123" s="16"/>
      <c r="H1123" s="16" t="s">
        <v>486</v>
      </c>
      <c r="I1123" s="16" t="s">
        <v>223</v>
      </c>
      <c r="J1123" s="16" t="str">
        <f>IF(ISNUMBER(SEARCH("SCRW", H1123)), _xlfn.XLOOKUP(C1123,dd_item!$A$2:$A$147,dd_item!$B$2:$B$147,"",0),_xlfn.XLOOKUP(H1123,dd_item!$A$2:$A$147,dd_item!$B$2:$B$147,"",0))</f>
        <v>Frame60</v>
      </c>
      <c r="K1123" s="16" t="str">
        <f>_xlfn.XLOOKUP(A1123,dd_design_raw!$C$2:$C$1002,dd_design_raw!$A$2:$A$1002,"",0)</f>
        <v>Triple Casement</v>
      </c>
      <c r="L1123" s="16" t="str">
        <f>_xlfn.XLOOKUP(I1123,dd_accsryclr!$A$2:$A$1000,dd_accsryclr!$A$2:$A$1000,"",0)</f>
        <v>BLK</v>
      </c>
    </row>
    <row r="1124" spans="1:12" hidden="1" x14ac:dyDescent="0.25">
      <c r="A1124" s="16" t="s">
        <v>16</v>
      </c>
      <c r="B1124" s="16" t="s">
        <v>111</v>
      </c>
      <c r="C1124" s="16" t="s">
        <v>489</v>
      </c>
      <c r="D1124" s="16" t="s">
        <v>490</v>
      </c>
      <c r="E1124" s="16">
        <v>1.0379310344827586</v>
      </c>
      <c r="F1124" s="16" t="s">
        <v>194</v>
      </c>
      <c r="G1124" s="16"/>
      <c r="H1124" s="16" t="s">
        <v>486</v>
      </c>
      <c r="I1124" s="16" t="s">
        <v>211</v>
      </c>
      <c r="J1124" s="16" t="str">
        <f>IF(ISNUMBER(SEARCH("SCRW", H1124)), _xlfn.XLOOKUP(C1124,dd_item!$A$2:$A$147,dd_item!$B$2:$B$147,"",0),_xlfn.XLOOKUP(H1124,dd_item!$A$2:$A$147,dd_item!$B$2:$B$147,"",0))</f>
        <v>Frame60</v>
      </c>
      <c r="K1124" s="16" t="str">
        <f>_xlfn.XLOOKUP(A1124,dd_design_raw!$C$2:$C$1002,dd_design_raw!$A$2:$A$1002,"",0)</f>
        <v>Triple Casement</v>
      </c>
      <c r="L1124" s="16" t="str">
        <f>_xlfn.XLOOKUP(I1124,dd_accsryclr!$A$2:$A$1000,dd_accsryclr!$A$2:$A$1000,"",0)</f>
        <v/>
      </c>
    </row>
    <row r="1125" spans="1:12" hidden="1" x14ac:dyDescent="0.25">
      <c r="A1125" s="16" t="s">
        <v>16</v>
      </c>
      <c r="B1125" s="16" t="s">
        <v>111</v>
      </c>
      <c r="C1125" s="16" t="s">
        <v>491</v>
      </c>
      <c r="D1125" s="16" t="s">
        <v>492</v>
      </c>
      <c r="E1125" s="16">
        <v>1.0379310344827586</v>
      </c>
      <c r="F1125" s="16" t="s">
        <v>194</v>
      </c>
      <c r="G1125" s="16"/>
      <c r="H1125" s="16" t="s">
        <v>486</v>
      </c>
      <c r="I1125" s="16" t="s">
        <v>214</v>
      </c>
      <c r="J1125" s="16" t="str">
        <f>IF(ISNUMBER(SEARCH("SCRW", H1125)), _xlfn.XLOOKUP(C1125,dd_item!$A$2:$A$147,dd_item!$B$2:$B$147,"",0),_xlfn.XLOOKUP(H1125,dd_item!$A$2:$A$147,dd_item!$B$2:$B$147,"",0))</f>
        <v>Frame60</v>
      </c>
      <c r="K1125" s="16" t="str">
        <f>_xlfn.XLOOKUP(A1125,dd_design_raw!$C$2:$C$1002,dd_design_raw!$A$2:$A$1002,"",0)</f>
        <v>Triple Casement</v>
      </c>
      <c r="L1125" s="16" t="str">
        <f>_xlfn.XLOOKUP(I1125,dd_accsryclr!$A$2:$A$1000,dd_accsryclr!$A$2:$A$1000,"",0)</f>
        <v/>
      </c>
    </row>
    <row r="1126" spans="1:12" hidden="1" x14ac:dyDescent="0.25">
      <c r="A1126" s="16" t="s">
        <v>16</v>
      </c>
      <c r="B1126" s="16" t="s">
        <v>111</v>
      </c>
      <c r="C1126" s="16" t="s">
        <v>493</v>
      </c>
      <c r="D1126" s="16" t="s">
        <v>494</v>
      </c>
      <c r="E1126" s="16">
        <v>1.0379310344827586</v>
      </c>
      <c r="F1126" s="16" t="s">
        <v>194</v>
      </c>
      <c r="G1126" s="16"/>
      <c r="H1126" s="16" t="s">
        <v>486</v>
      </c>
      <c r="I1126" s="16" t="s">
        <v>217</v>
      </c>
      <c r="J1126" s="16" t="str">
        <f>IF(ISNUMBER(SEARCH("SCRW", H1126)), _xlfn.XLOOKUP(C1126,dd_item!$A$2:$A$147,dd_item!$B$2:$B$147,"",0),_xlfn.XLOOKUP(H1126,dd_item!$A$2:$A$147,dd_item!$B$2:$B$147,"",0))</f>
        <v>Frame60</v>
      </c>
      <c r="K1126" s="16" t="str">
        <f>_xlfn.XLOOKUP(A1126,dd_design_raw!$C$2:$C$1002,dd_design_raw!$A$2:$A$1002,"",0)</f>
        <v>Triple Casement</v>
      </c>
      <c r="L1126" s="16" t="str">
        <f>_xlfn.XLOOKUP(I1126,dd_accsryclr!$A$2:$A$1000,dd_accsryclr!$A$2:$A$1000,"",0)</f>
        <v/>
      </c>
    </row>
    <row r="1127" spans="1:12" hidden="1" x14ac:dyDescent="0.25">
      <c r="A1127" s="16" t="s">
        <v>16</v>
      </c>
      <c r="B1127" s="16" t="s">
        <v>111</v>
      </c>
      <c r="C1127" s="16" t="s">
        <v>495</v>
      </c>
      <c r="D1127" s="16" t="s">
        <v>496</v>
      </c>
      <c r="E1127" s="16">
        <v>1.0379310344827586</v>
      </c>
      <c r="F1127" s="16" t="s">
        <v>194</v>
      </c>
      <c r="G1127" s="16"/>
      <c r="H1127" s="16" t="s">
        <v>486</v>
      </c>
      <c r="I1127" s="16" t="s">
        <v>226</v>
      </c>
      <c r="J1127" s="16" t="str">
        <f>IF(ISNUMBER(SEARCH("SCRW", H1127)), _xlfn.XLOOKUP(C1127,dd_item!$A$2:$A$147,dd_item!$B$2:$B$147,"",0),_xlfn.XLOOKUP(H1127,dd_item!$A$2:$A$147,dd_item!$B$2:$B$147,"",0))</f>
        <v>Frame60</v>
      </c>
      <c r="K1127" s="16" t="str">
        <f>_xlfn.XLOOKUP(A1127,dd_design_raw!$C$2:$C$1002,dd_design_raw!$A$2:$A$1002,"",0)</f>
        <v>Triple Casement</v>
      </c>
      <c r="L1127" s="16" t="str">
        <f>_xlfn.XLOOKUP(I1127,dd_accsryclr!$A$2:$A$1000,dd_accsryclr!$A$2:$A$1000,"",0)</f>
        <v/>
      </c>
    </row>
    <row r="1128" spans="1:12" hidden="1" x14ac:dyDescent="0.25">
      <c r="A1128" s="16" t="s">
        <v>16</v>
      </c>
      <c r="B1128" s="16" t="s">
        <v>111</v>
      </c>
      <c r="C1128" s="16" t="s">
        <v>497</v>
      </c>
      <c r="D1128" s="16" t="s">
        <v>498</v>
      </c>
      <c r="E1128" s="16">
        <v>1.0379310344827586</v>
      </c>
      <c r="F1128" s="16" t="s">
        <v>194</v>
      </c>
      <c r="G1128" s="16"/>
      <c r="H1128" s="16" t="s">
        <v>486</v>
      </c>
      <c r="I1128" s="16" t="s">
        <v>220</v>
      </c>
      <c r="J1128" s="16" t="str">
        <f>IF(ISNUMBER(SEARCH("SCRW", H1128)), _xlfn.XLOOKUP(C1128,dd_item!$A$2:$A$147,dd_item!$B$2:$B$147,"",0),_xlfn.XLOOKUP(H1128,dd_item!$A$2:$A$147,dd_item!$B$2:$B$147,"",0))</f>
        <v>Frame60</v>
      </c>
      <c r="K1128" s="16" t="str">
        <f>_xlfn.XLOOKUP(A1128,dd_design_raw!$C$2:$C$1002,dd_design_raw!$A$2:$A$1002,"",0)</f>
        <v>Triple Casement</v>
      </c>
      <c r="L1128" s="16" t="str">
        <f>_xlfn.XLOOKUP(I1128,dd_accsryclr!$A$2:$A$1000,dd_accsryclr!$A$2:$A$1000,"",0)</f>
        <v>WHT</v>
      </c>
    </row>
    <row r="1129" spans="1:12" hidden="1" x14ac:dyDescent="0.25">
      <c r="A1129" s="16" t="s">
        <v>16</v>
      </c>
      <c r="B1129" s="16" t="s">
        <v>111</v>
      </c>
      <c r="C1129" s="16" t="s">
        <v>499</v>
      </c>
      <c r="D1129" s="16" t="s">
        <v>500</v>
      </c>
      <c r="E1129" s="16">
        <v>1.7672413793103448</v>
      </c>
      <c r="F1129" s="16" t="s">
        <v>194</v>
      </c>
      <c r="G1129" s="16"/>
      <c r="H1129" s="16" t="s">
        <v>501</v>
      </c>
      <c r="I1129" s="16" t="s">
        <v>211</v>
      </c>
      <c r="J1129" s="16" t="str">
        <f>IF(ISNUMBER(SEARCH("SCRW", H1129)), _xlfn.XLOOKUP(C1129,dd_item!$A$2:$A$147,dd_item!$B$2:$B$147,"",0),_xlfn.XLOOKUP(H1129,dd_item!$A$2:$A$147,dd_item!$B$2:$B$147,"",0))</f>
        <v>Sash78</v>
      </c>
      <c r="K1129" s="16" t="str">
        <f>_xlfn.XLOOKUP(A1129,dd_design_raw!$C$2:$C$1002,dd_design_raw!$A$2:$A$1002,"",0)</f>
        <v>Triple Casement</v>
      </c>
      <c r="L1129" s="16" t="str">
        <f>_xlfn.XLOOKUP(I1129,dd_accsryclr!$A$2:$A$1000,dd_accsryclr!$A$2:$A$1000,"",0)</f>
        <v/>
      </c>
    </row>
    <row r="1130" spans="1:12" hidden="1" x14ac:dyDescent="0.25">
      <c r="A1130" s="16" t="s">
        <v>16</v>
      </c>
      <c r="B1130" s="16" t="s">
        <v>111</v>
      </c>
      <c r="C1130" s="16" t="s">
        <v>502</v>
      </c>
      <c r="D1130" s="16" t="s">
        <v>503</v>
      </c>
      <c r="E1130" s="16">
        <v>1.7672413793103448</v>
      </c>
      <c r="F1130" s="16" t="s">
        <v>194</v>
      </c>
      <c r="G1130" s="16"/>
      <c r="H1130" s="16" t="s">
        <v>501</v>
      </c>
      <c r="I1130" s="16" t="s">
        <v>214</v>
      </c>
      <c r="J1130" s="16" t="str">
        <f>IF(ISNUMBER(SEARCH("SCRW", H1130)), _xlfn.XLOOKUP(C1130,dd_item!$A$2:$A$147,dd_item!$B$2:$B$147,"",0),_xlfn.XLOOKUP(H1130,dd_item!$A$2:$A$147,dd_item!$B$2:$B$147,"",0))</f>
        <v>Sash78</v>
      </c>
      <c r="K1130" s="16" t="str">
        <f>_xlfn.XLOOKUP(A1130,dd_design_raw!$C$2:$C$1002,dd_design_raw!$A$2:$A$1002,"",0)</f>
        <v>Triple Casement</v>
      </c>
      <c r="L1130" s="16" t="str">
        <f>_xlfn.XLOOKUP(I1130,dd_accsryclr!$A$2:$A$1000,dd_accsryclr!$A$2:$A$1000,"",0)</f>
        <v/>
      </c>
    </row>
    <row r="1131" spans="1:12" hidden="1" x14ac:dyDescent="0.25">
      <c r="A1131" s="16" t="s">
        <v>16</v>
      </c>
      <c r="B1131" s="16" t="s">
        <v>111</v>
      </c>
      <c r="C1131" s="16" t="s">
        <v>504</v>
      </c>
      <c r="D1131" s="16" t="s">
        <v>505</v>
      </c>
      <c r="E1131" s="16">
        <v>1.7672413793103448</v>
      </c>
      <c r="F1131" s="16" t="s">
        <v>194</v>
      </c>
      <c r="G1131" s="16"/>
      <c r="H1131" s="16" t="s">
        <v>501</v>
      </c>
      <c r="I1131" s="16" t="s">
        <v>217</v>
      </c>
      <c r="J1131" s="16" t="str">
        <f>IF(ISNUMBER(SEARCH("SCRW", H1131)), _xlfn.XLOOKUP(C1131,dd_item!$A$2:$A$147,dd_item!$B$2:$B$147,"",0),_xlfn.XLOOKUP(H1131,dd_item!$A$2:$A$147,dd_item!$B$2:$B$147,"",0))</f>
        <v>Sash78</v>
      </c>
      <c r="K1131" s="16" t="str">
        <f>_xlfn.XLOOKUP(A1131,dd_design_raw!$C$2:$C$1002,dd_design_raw!$A$2:$A$1002,"",0)</f>
        <v>Triple Casement</v>
      </c>
      <c r="L1131" s="16" t="str">
        <f>_xlfn.XLOOKUP(I1131,dd_accsryclr!$A$2:$A$1000,dd_accsryclr!$A$2:$A$1000,"",0)</f>
        <v/>
      </c>
    </row>
    <row r="1132" spans="1:12" hidden="1" x14ac:dyDescent="0.25">
      <c r="A1132" s="16" t="s">
        <v>16</v>
      </c>
      <c r="B1132" s="16" t="s">
        <v>111</v>
      </c>
      <c r="C1132" s="16" t="s">
        <v>506</v>
      </c>
      <c r="D1132" s="16" t="s">
        <v>507</v>
      </c>
      <c r="E1132" s="16">
        <v>1.7672413793103448</v>
      </c>
      <c r="F1132" s="16" t="s">
        <v>194</v>
      </c>
      <c r="G1132" s="16"/>
      <c r="H1132" s="16" t="s">
        <v>501</v>
      </c>
      <c r="I1132" s="16" t="s">
        <v>226</v>
      </c>
      <c r="J1132" s="16" t="str">
        <f>IF(ISNUMBER(SEARCH("SCRW", H1132)), _xlfn.XLOOKUP(C1132,dd_item!$A$2:$A$147,dd_item!$B$2:$B$147,"",0),_xlfn.XLOOKUP(H1132,dd_item!$A$2:$A$147,dd_item!$B$2:$B$147,"",0))</f>
        <v>Sash78</v>
      </c>
      <c r="K1132" s="16" t="str">
        <f>_xlfn.XLOOKUP(A1132,dd_design_raw!$C$2:$C$1002,dd_design_raw!$A$2:$A$1002,"",0)</f>
        <v>Triple Casement</v>
      </c>
      <c r="L1132" s="16" t="str">
        <f>_xlfn.XLOOKUP(I1132,dd_accsryclr!$A$2:$A$1000,dd_accsryclr!$A$2:$A$1000,"",0)</f>
        <v/>
      </c>
    </row>
    <row r="1133" spans="1:12" hidden="1" x14ac:dyDescent="0.25">
      <c r="A1133" s="16" t="s">
        <v>16</v>
      </c>
      <c r="B1133" s="16" t="s">
        <v>111</v>
      </c>
      <c r="C1133" s="16" t="s">
        <v>508</v>
      </c>
      <c r="D1133" s="16" t="s">
        <v>509</v>
      </c>
      <c r="E1133" s="16">
        <v>1.7672413793103448</v>
      </c>
      <c r="F1133" s="16" t="s">
        <v>194</v>
      </c>
      <c r="G1133" s="16"/>
      <c r="H1133" s="16" t="s">
        <v>501</v>
      </c>
      <c r="I1133" s="16" t="s">
        <v>220</v>
      </c>
      <c r="J1133" s="16" t="str">
        <f>IF(ISNUMBER(SEARCH("SCRW", H1133)), _xlfn.XLOOKUP(C1133,dd_item!$A$2:$A$147,dd_item!$B$2:$B$147,"",0),_xlfn.XLOOKUP(H1133,dd_item!$A$2:$A$147,dd_item!$B$2:$B$147,"",0))</f>
        <v>Sash78</v>
      </c>
      <c r="K1133" s="16" t="str">
        <f>_xlfn.XLOOKUP(A1133,dd_design_raw!$C$2:$C$1002,dd_design_raw!$A$2:$A$1002,"",0)</f>
        <v>Triple Casement</v>
      </c>
      <c r="L1133" s="16" t="str">
        <f>_xlfn.XLOOKUP(I1133,dd_accsryclr!$A$2:$A$1000,dd_accsryclr!$A$2:$A$1000,"",0)</f>
        <v>WHT</v>
      </c>
    </row>
    <row r="1134" spans="1:12" hidden="1" x14ac:dyDescent="0.25">
      <c r="A1134" s="16" t="s">
        <v>16</v>
      </c>
      <c r="B1134" s="16" t="s">
        <v>111</v>
      </c>
      <c r="C1134" s="16" t="s">
        <v>510</v>
      </c>
      <c r="D1134" s="16" t="s">
        <v>511</v>
      </c>
      <c r="E1134" s="16">
        <v>1.7672413793103448</v>
      </c>
      <c r="F1134" s="16" t="s">
        <v>194</v>
      </c>
      <c r="G1134" s="16"/>
      <c r="H1134" s="16" t="s">
        <v>501</v>
      </c>
      <c r="I1134" s="16" t="s">
        <v>223</v>
      </c>
      <c r="J1134" s="16" t="str">
        <f>IF(ISNUMBER(SEARCH("SCRW", H1134)), _xlfn.XLOOKUP(C1134,dd_item!$A$2:$A$147,dd_item!$B$2:$B$147,"",0),_xlfn.XLOOKUP(H1134,dd_item!$A$2:$A$147,dd_item!$B$2:$B$147,"",0))</f>
        <v>Sash78</v>
      </c>
      <c r="K1134" s="16" t="str">
        <f>_xlfn.XLOOKUP(A1134,dd_design_raw!$C$2:$C$1002,dd_design_raw!$A$2:$A$1002,"",0)</f>
        <v>Triple Casement</v>
      </c>
      <c r="L1134" s="16" t="str">
        <f>_xlfn.XLOOKUP(I1134,dd_accsryclr!$A$2:$A$1000,dd_accsryclr!$A$2:$A$1000,"",0)</f>
        <v>BLK</v>
      </c>
    </row>
    <row r="1135" spans="1:12" hidden="1" x14ac:dyDescent="0.25">
      <c r="A1135" s="16" t="s">
        <v>16</v>
      </c>
      <c r="B1135" s="16" t="s">
        <v>111</v>
      </c>
      <c r="C1135" s="16" t="s">
        <v>512</v>
      </c>
      <c r="D1135" s="16" t="s">
        <v>513</v>
      </c>
      <c r="E1135" s="16">
        <v>1.7672413793103448</v>
      </c>
      <c r="F1135" s="16" t="s">
        <v>194</v>
      </c>
      <c r="G1135" s="16"/>
      <c r="H1135" s="16" t="s">
        <v>501</v>
      </c>
      <c r="I1135" s="16" t="s">
        <v>230</v>
      </c>
      <c r="J1135" s="16" t="str">
        <f>IF(ISNUMBER(SEARCH("SCRW", H1135)), _xlfn.XLOOKUP(C1135,dd_item!$A$2:$A$147,dd_item!$B$2:$B$147,"",0),_xlfn.XLOOKUP(H1135,dd_item!$A$2:$A$147,dd_item!$B$2:$B$147,"",0))</f>
        <v>Sash78</v>
      </c>
      <c r="K1135" s="16" t="str">
        <f>_xlfn.XLOOKUP(A1135,dd_design_raw!$C$2:$C$1002,dd_design_raw!$A$2:$A$1002,"",0)</f>
        <v>Triple Casement</v>
      </c>
      <c r="L1135" s="16" t="str">
        <f>_xlfn.XLOOKUP(I1135,dd_accsryclr!$A$2:$A$1000,dd_accsryclr!$A$2:$A$1000,"",0)</f>
        <v>BRWN</v>
      </c>
    </row>
    <row r="1136" spans="1:12" hidden="1" x14ac:dyDescent="0.25">
      <c r="A1136" s="16" t="s">
        <v>16</v>
      </c>
      <c r="B1136" s="16" t="s">
        <v>111</v>
      </c>
      <c r="C1136" s="16" t="s">
        <v>556</v>
      </c>
      <c r="D1136" s="16" t="s">
        <v>557</v>
      </c>
      <c r="E1136" s="16">
        <v>0.42620689655172411</v>
      </c>
      <c r="F1136" s="16" t="s">
        <v>194</v>
      </c>
      <c r="G1136" s="16"/>
      <c r="H1136" s="16" t="s">
        <v>558</v>
      </c>
      <c r="I1136" s="16" t="s">
        <v>211</v>
      </c>
      <c r="J1136" s="16" t="str">
        <f>IF(ISNUMBER(SEARCH("SCRW", H1136)), _xlfn.XLOOKUP(C1136,dd_item!$A$2:$A$147,dd_item!$B$2:$B$147,"",0),_xlfn.XLOOKUP(H1136,dd_item!$A$2:$A$147,dd_item!$B$2:$B$147,"",0))</f>
        <v>Mullion72</v>
      </c>
      <c r="K1136" s="16" t="str">
        <f>_xlfn.XLOOKUP(A1136,dd_design_raw!$C$2:$C$1002,dd_design_raw!$A$2:$A$1002,"",0)</f>
        <v>Triple Casement</v>
      </c>
      <c r="L1136" s="16" t="str">
        <f>_xlfn.XLOOKUP(I1136,dd_accsryclr!$A$2:$A$1000,dd_accsryclr!$A$2:$A$1000,"",0)</f>
        <v/>
      </c>
    </row>
    <row r="1137" spans="1:12" hidden="1" x14ac:dyDescent="0.25">
      <c r="A1137" s="16" t="s">
        <v>16</v>
      </c>
      <c r="B1137" s="16" t="s">
        <v>111</v>
      </c>
      <c r="C1137" s="16" t="s">
        <v>559</v>
      </c>
      <c r="D1137" s="16" t="s">
        <v>560</v>
      </c>
      <c r="E1137" s="16">
        <v>0.42620689655172411</v>
      </c>
      <c r="F1137" s="16" t="s">
        <v>194</v>
      </c>
      <c r="G1137" s="16"/>
      <c r="H1137" s="16" t="s">
        <v>558</v>
      </c>
      <c r="I1137" s="16" t="s">
        <v>214</v>
      </c>
      <c r="J1137" s="16" t="str">
        <f>IF(ISNUMBER(SEARCH("SCRW", H1137)), _xlfn.XLOOKUP(C1137,dd_item!$A$2:$A$147,dd_item!$B$2:$B$147,"",0),_xlfn.XLOOKUP(H1137,dd_item!$A$2:$A$147,dd_item!$B$2:$B$147,"",0))</f>
        <v>Mullion72</v>
      </c>
      <c r="K1137" s="16" t="str">
        <f>_xlfn.XLOOKUP(A1137,dd_design_raw!$C$2:$C$1002,dd_design_raw!$A$2:$A$1002,"",0)</f>
        <v>Triple Casement</v>
      </c>
      <c r="L1137" s="16" t="str">
        <f>_xlfn.XLOOKUP(I1137,dd_accsryclr!$A$2:$A$1000,dd_accsryclr!$A$2:$A$1000,"",0)</f>
        <v/>
      </c>
    </row>
    <row r="1138" spans="1:12" hidden="1" x14ac:dyDescent="0.25">
      <c r="A1138" s="16" t="s">
        <v>16</v>
      </c>
      <c r="B1138" s="16" t="s">
        <v>111</v>
      </c>
      <c r="C1138" s="16" t="s">
        <v>561</v>
      </c>
      <c r="D1138" s="16" t="s">
        <v>562</v>
      </c>
      <c r="E1138" s="16">
        <v>0.42620689655172411</v>
      </c>
      <c r="F1138" s="16" t="s">
        <v>194</v>
      </c>
      <c r="G1138" s="16"/>
      <c r="H1138" s="16" t="s">
        <v>558</v>
      </c>
      <c r="I1138" s="16" t="s">
        <v>217</v>
      </c>
      <c r="J1138" s="16" t="str">
        <f>IF(ISNUMBER(SEARCH("SCRW", H1138)), _xlfn.XLOOKUP(C1138,dd_item!$A$2:$A$147,dd_item!$B$2:$B$147,"",0),_xlfn.XLOOKUP(H1138,dd_item!$A$2:$A$147,dd_item!$B$2:$B$147,"",0))</f>
        <v>Mullion72</v>
      </c>
      <c r="K1138" s="16" t="str">
        <f>_xlfn.XLOOKUP(A1138,dd_design_raw!$C$2:$C$1002,dd_design_raw!$A$2:$A$1002,"",0)</f>
        <v>Triple Casement</v>
      </c>
      <c r="L1138" s="16" t="str">
        <f>_xlfn.XLOOKUP(I1138,dd_accsryclr!$A$2:$A$1000,dd_accsryclr!$A$2:$A$1000,"",0)</f>
        <v/>
      </c>
    </row>
    <row r="1139" spans="1:12" hidden="1" x14ac:dyDescent="0.25">
      <c r="A1139" s="16" t="s">
        <v>16</v>
      </c>
      <c r="B1139" s="16" t="s">
        <v>111</v>
      </c>
      <c r="C1139" s="16" t="s">
        <v>563</v>
      </c>
      <c r="D1139" s="16" t="s">
        <v>564</v>
      </c>
      <c r="E1139" s="16">
        <v>0.42620689655172411</v>
      </c>
      <c r="F1139" s="16" t="s">
        <v>194</v>
      </c>
      <c r="G1139" s="16"/>
      <c r="H1139" s="16" t="s">
        <v>558</v>
      </c>
      <c r="I1139" s="16" t="s">
        <v>226</v>
      </c>
      <c r="J1139" s="16" t="str">
        <f>IF(ISNUMBER(SEARCH("SCRW", H1139)), _xlfn.XLOOKUP(C1139,dd_item!$A$2:$A$147,dd_item!$B$2:$B$147,"",0),_xlfn.XLOOKUP(H1139,dd_item!$A$2:$A$147,dd_item!$B$2:$B$147,"",0))</f>
        <v>Mullion72</v>
      </c>
      <c r="K1139" s="16" t="str">
        <f>_xlfn.XLOOKUP(A1139,dd_design_raw!$C$2:$C$1002,dd_design_raw!$A$2:$A$1002,"",0)</f>
        <v>Triple Casement</v>
      </c>
      <c r="L1139" s="16" t="str">
        <f>_xlfn.XLOOKUP(I1139,dd_accsryclr!$A$2:$A$1000,dd_accsryclr!$A$2:$A$1000,"",0)</f>
        <v/>
      </c>
    </row>
    <row r="1140" spans="1:12" hidden="1" x14ac:dyDescent="0.25">
      <c r="A1140" s="16" t="s">
        <v>16</v>
      </c>
      <c r="B1140" s="16" t="s">
        <v>111</v>
      </c>
      <c r="C1140" s="16" t="s">
        <v>565</v>
      </c>
      <c r="D1140" s="16" t="s">
        <v>566</v>
      </c>
      <c r="E1140" s="16">
        <v>0.42620689655172411</v>
      </c>
      <c r="F1140" s="16" t="s">
        <v>194</v>
      </c>
      <c r="G1140" s="16"/>
      <c r="H1140" s="16" t="s">
        <v>558</v>
      </c>
      <c r="I1140" s="16" t="s">
        <v>220</v>
      </c>
      <c r="J1140" s="16" t="str">
        <f>IF(ISNUMBER(SEARCH("SCRW", H1140)), _xlfn.XLOOKUP(C1140,dd_item!$A$2:$A$147,dd_item!$B$2:$B$147,"",0),_xlfn.XLOOKUP(H1140,dd_item!$A$2:$A$147,dd_item!$B$2:$B$147,"",0))</f>
        <v>Mullion72</v>
      </c>
      <c r="K1140" s="16" t="str">
        <f>_xlfn.XLOOKUP(A1140,dd_design_raw!$C$2:$C$1002,dd_design_raw!$A$2:$A$1002,"",0)</f>
        <v>Triple Casement</v>
      </c>
      <c r="L1140" s="16" t="str">
        <f>_xlfn.XLOOKUP(I1140,dd_accsryclr!$A$2:$A$1000,dd_accsryclr!$A$2:$A$1000,"",0)</f>
        <v>WHT</v>
      </c>
    </row>
    <row r="1141" spans="1:12" hidden="1" x14ac:dyDescent="0.25">
      <c r="A1141" s="16" t="s">
        <v>16</v>
      </c>
      <c r="B1141" s="16" t="s">
        <v>111</v>
      </c>
      <c r="C1141" s="16" t="s">
        <v>567</v>
      </c>
      <c r="D1141" s="16" t="s">
        <v>568</v>
      </c>
      <c r="E1141" s="16">
        <v>0.42620689655172411</v>
      </c>
      <c r="F1141" s="16" t="s">
        <v>194</v>
      </c>
      <c r="G1141" s="16"/>
      <c r="H1141" s="16" t="s">
        <v>558</v>
      </c>
      <c r="I1141" s="16" t="s">
        <v>230</v>
      </c>
      <c r="J1141" s="16" t="str">
        <f>IF(ISNUMBER(SEARCH("SCRW", H1141)), _xlfn.XLOOKUP(C1141,dd_item!$A$2:$A$147,dd_item!$B$2:$B$147,"",0),_xlfn.XLOOKUP(H1141,dd_item!$A$2:$A$147,dd_item!$B$2:$B$147,"",0))</f>
        <v>Mullion72</v>
      </c>
      <c r="K1141" s="16" t="str">
        <f>_xlfn.XLOOKUP(A1141,dd_design_raw!$C$2:$C$1002,dd_design_raw!$A$2:$A$1002,"",0)</f>
        <v>Triple Casement</v>
      </c>
      <c r="L1141" s="16" t="str">
        <f>_xlfn.XLOOKUP(I1141,dd_accsryclr!$A$2:$A$1000,dd_accsryclr!$A$2:$A$1000,"",0)</f>
        <v>BRWN</v>
      </c>
    </row>
    <row r="1142" spans="1:12" hidden="1" x14ac:dyDescent="0.25">
      <c r="A1142" s="16" t="s">
        <v>16</v>
      </c>
      <c r="B1142" s="16" t="s">
        <v>111</v>
      </c>
      <c r="C1142" s="16" t="s">
        <v>569</v>
      </c>
      <c r="D1142" s="16" t="s">
        <v>570</v>
      </c>
      <c r="E1142" s="16">
        <v>0.42620689655172411</v>
      </c>
      <c r="F1142" s="16" t="s">
        <v>194</v>
      </c>
      <c r="G1142" s="16"/>
      <c r="H1142" s="16" t="s">
        <v>558</v>
      </c>
      <c r="I1142" s="16" t="s">
        <v>223</v>
      </c>
      <c r="J1142" s="16" t="str">
        <f>IF(ISNUMBER(SEARCH("SCRW", H1142)), _xlfn.XLOOKUP(C1142,dd_item!$A$2:$A$147,dd_item!$B$2:$B$147,"",0),_xlfn.XLOOKUP(H1142,dd_item!$A$2:$A$147,dd_item!$B$2:$B$147,"",0))</f>
        <v>Mullion72</v>
      </c>
      <c r="K1142" s="16" t="str">
        <f>_xlfn.XLOOKUP(A1142,dd_design_raw!$C$2:$C$1002,dd_design_raw!$A$2:$A$1002,"",0)</f>
        <v>Triple Casement</v>
      </c>
      <c r="L1142" s="16" t="str">
        <f>_xlfn.XLOOKUP(I1142,dd_accsryclr!$A$2:$A$1000,dd_accsryclr!$A$2:$A$1000,"",0)</f>
        <v>BLK</v>
      </c>
    </row>
    <row r="1143" spans="1:12" hidden="1" x14ac:dyDescent="0.25">
      <c r="A1143" s="16" t="s">
        <v>16</v>
      </c>
      <c r="B1143" s="16" t="s">
        <v>111</v>
      </c>
      <c r="C1143" s="16" t="s">
        <v>514</v>
      </c>
      <c r="D1143" s="16" t="s">
        <v>515</v>
      </c>
      <c r="E1143" s="16">
        <v>0.62241379310344824</v>
      </c>
      <c r="F1143" s="16" t="s">
        <v>194</v>
      </c>
      <c r="G1143" s="16" t="s">
        <v>58</v>
      </c>
      <c r="H1143" s="16" t="s">
        <v>516</v>
      </c>
      <c r="I1143" s="16" t="s">
        <v>517</v>
      </c>
      <c r="J1143" s="16" t="str">
        <f>IF(ISNUMBER(SEARCH("SCRW", H1143)), _xlfn.XLOOKUP(C1143,dd_item!$A$2:$A$147,dd_item!$B$2:$B$147,"",0),_xlfn.XLOOKUP(H1143,dd_item!$A$2:$A$147,dd_item!$B$2:$B$147,"",0))</f>
        <v>Steel-Frame60</v>
      </c>
      <c r="K1143" s="16" t="str">
        <f>_xlfn.XLOOKUP(A1143,dd_design_raw!$C$2:$C$1002,dd_design_raw!$A$2:$A$1002,"",0)</f>
        <v>Triple Casement</v>
      </c>
      <c r="L1143" s="16" t="str">
        <f>_xlfn.XLOOKUP(I1143,dd_accsryclr!$A$2:$A$1000,dd_accsryclr!$A$2:$A$1000,"",0)</f>
        <v/>
      </c>
    </row>
    <row r="1144" spans="1:12" hidden="1" x14ac:dyDescent="0.25">
      <c r="A1144" s="16" t="s">
        <v>16</v>
      </c>
      <c r="B1144" s="16" t="s">
        <v>111</v>
      </c>
      <c r="C1144" s="16" t="s">
        <v>518</v>
      </c>
      <c r="D1144" s="16" t="s">
        <v>519</v>
      </c>
      <c r="E1144" s="16">
        <v>0.41551724137931034</v>
      </c>
      <c r="F1144" s="16" t="s">
        <v>194</v>
      </c>
      <c r="G1144" s="16" t="s">
        <v>58</v>
      </c>
      <c r="H1144" s="16" t="s">
        <v>1099</v>
      </c>
      <c r="I1144" s="16" t="s">
        <v>520</v>
      </c>
      <c r="J1144" s="16" t="str">
        <f>IF(ISNUMBER(SEARCH("SCRW", H1144)), _xlfn.XLOOKUP(C1144,dd_item!$A$2:$A$147,dd_item!$B$2:$B$147,"",0),_xlfn.XLOOKUP(H1144,dd_item!$A$2:$A$147,dd_item!$B$2:$B$147,"",0))</f>
        <v>Steel-Frame60-H</v>
      </c>
      <c r="K1144" s="16" t="str">
        <f>_xlfn.XLOOKUP(A1144,dd_design_raw!$C$2:$C$1002,dd_design_raw!$A$2:$A$1002,"",0)</f>
        <v>Triple Casement</v>
      </c>
      <c r="L1144" s="16" t="str">
        <f>_xlfn.XLOOKUP(I1144,dd_accsryclr!$A$2:$A$1000,dd_accsryclr!$A$2:$A$1000,"",0)</f>
        <v/>
      </c>
    </row>
    <row r="1145" spans="1:12" hidden="1" x14ac:dyDescent="0.25">
      <c r="A1145" s="16" t="s">
        <v>16</v>
      </c>
      <c r="B1145" s="16" t="s">
        <v>111</v>
      </c>
      <c r="C1145" s="16" t="s">
        <v>521</v>
      </c>
      <c r="D1145" s="16" t="s">
        <v>522</v>
      </c>
      <c r="E1145" s="16">
        <v>0.59</v>
      </c>
      <c r="F1145" s="16" t="s">
        <v>194</v>
      </c>
      <c r="G1145" s="16" t="s">
        <v>59</v>
      </c>
      <c r="H1145" s="16" t="s">
        <v>523</v>
      </c>
      <c r="I1145" s="16" t="s">
        <v>524</v>
      </c>
      <c r="J1145" s="16" t="str">
        <f>IF(ISNUMBER(SEARCH("SCRW", H1145)), _xlfn.XLOOKUP(C1145,dd_item!$A$2:$A$147,dd_item!$B$2:$B$147,"",0),_xlfn.XLOOKUP(H1145,dd_item!$A$2:$A$147,dd_item!$B$2:$B$147,"",0))</f>
        <v>Steel-Sash78</v>
      </c>
      <c r="K1145" s="16" t="str">
        <f>_xlfn.XLOOKUP(A1145,dd_design_raw!$C$2:$C$1002,dd_design_raw!$A$2:$A$1002,"",0)</f>
        <v>Triple Casement</v>
      </c>
      <c r="L1145" s="16" t="str">
        <f>_xlfn.XLOOKUP(I1145,dd_accsryclr!$A$2:$A$1000,dd_accsryclr!$A$2:$A$1000,"",0)</f>
        <v/>
      </c>
    </row>
    <row r="1146" spans="1:12" hidden="1" x14ac:dyDescent="0.25">
      <c r="A1146" s="16" t="s">
        <v>16</v>
      </c>
      <c r="B1146" s="16" t="s">
        <v>111</v>
      </c>
      <c r="C1146" s="16" t="s">
        <v>525</v>
      </c>
      <c r="D1146" s="16" t="s">
        <v>526</v>
      </c>
      <c r="E1146" s="16">
        <v>1.1772413793103449</v>
      </c>
      <c r="F1146" s="16" t="s">
        <v>194</v>
      </c>
      <c r="G1146" s="16" t="s">
        <v>59</v>
      </c>
      <c r="H1146" s="16" t="s">
        <v>523</v>
      </c>
      <c r="I1146" s="16" t="s">
        <v>527</v>
      </c>
      <c r="J1146" s="16" t="str">
        <f>IF(ISNUMBER(SEARCH("SCRW", H1146)), _xlfn.XLOOKUP(C1146,dd_item!$A$2:$A$147,dd_item!$B$2:$B$147,"",0),_xlfn.XLOOKUP(H1146,dd_item!$A$2:$A$147,dd_item!$B$2:$B$147,"",0))</f>
        <v>Steel-Sash78</v>
      </c>
      <c r="K1146" s="16" t="str">
        <f>_xlfn.XLOOKUP(A1146,dd_design_raw!$C$2:$C$1002,dd_design_raw!$A$2:$A$1002,"",0)</f>
        <v>Triple Casement</v>
      </c>
      <c r="L1146" s="16" t="str">
        <f>_xlfn.XLOOKUP(I1146,dd_accsryclr!$A$2:$A$1000,dd_accsryclr!$A$2:$A$1000,"",0)</f>
        <v/>
      </c>
    </row>
    <row r="1147" spans="1:12" hidden="1" x14ac:dyDescent="0.25">
      <c r="A1147" s="16" t="s">
        <v>16</v>
      </c>
      <c r="B1147" s="16" t="s">
        <v>111</v>
      </c>
      <c r="C1147" s="16" t="s">
        <v>349</v>
      </c>
      <c r="D1147" s="16" t="s">
        <v>350</v>
      </c>
      <c r="E1147" s="16">
        <v>1.7672413793103448</v>
      </c>
      <c r="F1147" s="16" t="s">
        <v>194</v>
      </c>
      <c r="G1147" s="16"/>
      <c r="H1147" s="16" t="s">
        <v>351</v>
      </c>
      <c r="I1147" s="16" t="s">
        <v>211</v>
      </c>
      <c r="J1147" s="16" t="str">
        <f>IF(ISNUMBER(SEARCH("SCRW", H1147)), _xlfn.XLOOKUP(C1147,dd_item!$A$2:$A$147,dd_item!$B$2:$B$147,"",0),_xlfn.XLOOKUP(H1147,dd_item!$A$2:$A$147,dd_item!$B$2:$B$147,"",0))</f>
        <v>Bead34</v>
      </c>
      <c r="K1147" s="16" t="str">
        <f>_xlfn.XLOOKUP(A1147,dd_design_raw!$C$2:$C$1002,dd_design_raw!$A$2:$A$1002,"",0)</f>
        <v>Triple Casement</v>
      </c>
      <c r="L1147" s="16" t="str">
        <f>_xlfn.XLOOKUP(I1147,dd_accsryclr!$A$2:$A$1000,dd_accsryclr!$A$2:$A$1000,"",0)</f>
        <v/>
      </c>
    </row>
    <row r="1148" spans="1:12" hidden="1" x14ac:dyDescent="0.25">
      <c r="A1148" s="16" t="s">
        <v>16</v>
      </c>
      <c r="B1148" s="16" t="s">
        <v>111</v>
      </c>
      <c r="C1148" s="16" t="s">
        <v>352</v>
      </c>
      <c r="D1148" s="16" t="s">
        <v>353</v>
      </c>
      <c r="E1148" s="16">
        <v>1.7672413793103448</v>
      </c>
      <c r="F1148" s="16" t="s">
        <v>194</v>
      </c>
      <c r="G1148" s="16"/>
      <c r="H1148" s="16" t="s">
        <v>351</v>
      </c>
      <c r="I1148" s="16" t="s">
        <v>214</v>
      </c>
      <c r="J1148" s="16" t="str">
        <f>IF(ISNUMBER(SEARCH("SCRW", H1148)), _xlfn.XLOOKUP(C1148,dd_item!$A$2:$A$147,dd_item!$B$2:$B$147,"",0),_xlfn.XLOOKUP(H1148,dd_item!$A$2:$A$147,dd_item!$B$2:$B$147,"",0))</f>
        <v>Bead34</v>
      </c>
      <c r="K1148" s="16" t="str">
        <f>_xlfn.XLOOKUP(A1148,dd_design_raw!$C$2:$C$1002,dd_design_raw!$A$2:$A$1002,"",0)</f>
        <v>Triple Casement</v>
      </c>
      <c r="L1148" s="16" t="str">
        <f>_xlfn.XLOOKUP(I1148,dd_accsryclr!$A$2:$A$1000,dd_accsryclr!$A$2:$A$1000,"",0)</f>
        <v/>
      </c>
    </row>
    <row r="1149" spans="1:12" hidden="1" x14ac:dyDescent="0.25">
      <c r="A1149" s="16" t="s">
        <v>16</v>
      </c>
      <c r="B1149" s="16" t="s">
        <v>111</v>
      </c>
      <c r="C1149" s="16" t="s">
        <v>354</v>
      </c>
      <c r="D1149" s="16" t="s">
        <v>355</v>
      </c>
      <c r="E1149" s="16">
        <v>1.7672413793103448</v>
      </c>
      <c r="F1149" s="16" t="s">
        <v>194</v>
      </c>
      <c r="G1149" s="16"/>
      <c r="H1149" s="16" t="s">
        <v>351</v>
      </c>
      <c r="I1149" s="16" t="s">
        <v>217</v>
      </c>
      <c r="J1149" s="16" t="str">
        <f>IF(ISNUMBER(SEARCH("SCRW", H1149)), _xlfn.XLOOKUP(C1149,dd_item!$A$2:$A$147,dd_item!$B$2:$B$147,"",0),_xlfn.XLOOKUP(H1149,dd_item!$A$2:$A$147,dd_item!$B$2:$B$147,"",0))</f>
        <v>Bead34</v>
      </c>
      <c r="K1149" s="16" t="str">
        <f>_xlfn.XLOOKUP(A1149,dd_design_raw!$C$2:$C$1002,dd_design_raw!$A$2:$A$1002,"",0)</f>
        <v>Triple Casement</v>
      </c>
      <c r="L1149" s="16" t="str">
        <f>_xlfn.XLOOKUP(I1149,dd_accsryclr!$A$2:$A$1000,dd_accsryclr!$A$2:$A$1000,"",0)</f>
        <v/>
      </c>
    </row>
    <row r="1150" spans="1:12" hidden="1" x14ac:dyDescent="0.25">
      <c r="A1150" s="16" t="s">
        <v>16</v>
      </c>
      <c r="B1150" s="16" t="s">
        <v>111</v>
      </c>
      <c r="C1150" s="16" t="s">
        <v>356</v>
      </c>
      <c r="D1150" s="16" t="s">
        <v>357</v>
      </c>
      <c r="E1150" s="16">
        <v>1.7672413793103448</v>
      </c>
      <c r="F1150" s="16" t="s">
        <v>194</v>
      </c>
      <c r="G1150" s="16"/>
      <c r="H1150" s="16" t="s">
        <v>351</v>
      </c>
      <c r="I1150" s="16" t="s">
        <v>226</v>
      </c>
      <c r="J1150" s="16" t="str">
        <f>IF(ISNUMBER(SEARCH("SCRW", H1150)), _xlfn.XLOOKUP(C1150,dd_item!$A$2:$A$147,dd_item!$B$2:$B$147,"",0),_xlfn.XLOOKUP(H1150,dd_item!$A$2:$A$147,dd_item!$B$2:$B$147,"",0))</f>
        <v>Bead34</v>
      </c>
      <c r="K1150" s="16" t="str">
        <f>_xlfn.XLOOKUP(A1150,dd_design_raw!$C$2:$C$1002,dd_design_raw!$A$2:$A$1002,"",0)</f>
        <v>Triple Casement</v>
      </c>
      <c r="L1150" s="16" t="str">
        <f>_xlfn.XLOOKUP(I1150,dd_accsryclr!$A$2:$A$1000,dd_accsryclr!$A$2:$A$1000,"",0)</f>
        <v/>
      </c>
    </row>
    <row r="1151" spans="1:12" hidden="1" x14ac:dyDescent="0.25">
      <c r="A1151" s="16" t="s">
        <v>16</v>
      </c>
      <c r="B1151" s="16" t="s">
        <v>111</v>
      </c>
      <c r="C1151" s="16" t="s">
        <v>358</v>
      </c>
      <c r="D1151" s="16" t="s">
        <v>359</v>
      </c>
      <c r="E1151" s="16">
        <v>1.7672413793103448</v>
      </c>
      <c r="F1151" s="16" t="s">
        <v>194</v>
      </c>
      <c r="G1151" s="16"/>
      <c r="H1151" s="16" t="s">
        <v>351</v>
      </c>
      <c r="I1151" s="16" t="s">
        <v>220</v>
      </c>
      <c r="J1151" s="16" t="str">
        <f>IF(ISNUMBER(SEARCH("SCRW", H1151)), _xlfn.XLOOKUP(C1151,dd_item!$A$2:$A$147,dd_item!$B$2:$B$147,"",0),_xlfn.XLOOKUP(H1151,dd_item!$A$2:$A$147,dd_item!$B$2:$B$147,"",0))</f>
        <v>Bead34</v>
      </c>
      <c r="K1151" s="16" t="str">
        <f>_xlfn.XLOOKUP(A1151,dd_design_raw!$C$2:$C$1002,dd_design_raw!$A$2:$A$1002,"",0)</f>
        <v>Triple Casement</v>
      </c>
      <c r="L1151" s="16" t="str">
        <f>_xlfn.XLOOKUP(I1151,dd_accsryclr!$A$2:$A$1000,dd_accsryclr!$A$2:$A$1000,"",0)</f>
        <v>WHT</v>
      </c>
    </row>
    <row r="1152" spans="1:12" hidden="1" x14ac:dyDescent="0.25">
      <c r="A1152" s="16" t="s">
        <v>16</v>
      </c>
      <c r="B1152" s="16" t="s">
        <v>111</v>
      </c>
      <c r="C1152" s="16" t="s">
        <v>360</v>
      </c>
      <c r="D1152" s="16" t="s">
        <v>361</v>
      </c>
      <c r="E1152" s="16">
        <v>1.7672413793103448</v>
      </c>
      <c r="F1152" s="16" t="s">
        <v>194</v>
      </c>
      <c r="G1152" s="16"/>
      <c r="H1152" s="16" t="s">
        <v>351</v>
      </c>
      <c r="I1152" s="16" t="s">
        <v>223</v>
      </c>
      <c r="J1152" s="16" t="str">
        <f>IF(ISNUMBER(SEARCH("SCRW", H1152)), _xlfn.XLOOKUP(C1152,dd_item!$A$2:$A$147,dd_item!$B$2:$B$147,"",0),_xlfn.XLOOKUP(H1152,dd_item!$A$2:$A$147,dd_item!$B$2:$B$147,"",0))</f>
        <v>Bead34</v>
      </c>
      <c r="K1152" s="16" t="str">
        <f>_xlfn.XLOOKUP(A1152,dd_design_raw!$C$2:$C$1002,dd_design_raw!$A$2:$A$1002,"",0)</f>
        <v>Triple Casement</v>
      </c>
      <c r="L1152" s="16" t="str">
        <f>_xlfn.XLOOKUP(I1152,dd_accsryclr!$A$2:$A$1000,dd_accsryclr!$A$2:$A$1000,"",0)</f>
        <v>BLK</v>
      </c>
    </row>
    <row r="1153" spans="1:12" hidden="1" x14ac:dyDescent="0.25">
      <c r="A1153" s="16" t="s">
        <v>16</v>
      </c>
      <c r="B1153" s="16" t="s">
        <v>111</v>
      </c>
      <c r="C1153" s="16" t="s">
        <v>362</v>
      </c>
      <c r="D1153" s="16" t="s">
        <v>363</v>
      </c>
      <c r="E1153" s="16">
        <v>1.7672413793103448</v>
      </c>
      <c r="F1153" s="16" t="s">
        <v>194</v>
      </c>
      <c r="G1153" s="16"/>
      <c r="H1153" s="16" t="s">
        <v>351</v>
      </c>
      <c r="I1153" s="16" t="s">
        <v>230</v>
      </c>
      <c r="J1153" s="16" t="str">
        <f>IF(ISNUMBER(SEARCH("SCRW", H1153)), _xlfn.XLOOKUP(C1153,dd_item!$A$2:$A$147,dd_item!$B$2:$B$147,"",0),_xlfn.XLOOKUP(H1153,dd_item!$A$2:$A$147,dd_item!$B$2:$B$147,"",0))</f>
        <v>Bead34</v>
      </c>
      <c r="K1153" s="16" t="str">
        <f>_xlfn.XLOOKUP(A1153,dd_design_raw!$C$2:$C$1002,dd_design_raw!$A$2:$A$1002,"",0)</f>
        <v>Triple Casement</v>
      </c>
      <c r="L1153" s="16" t="str">
        <f>_xlfn.XLOOKUP(I1153,dd_accsryclr!$A$2:$A$1000,dd_accsryclr!$A$2:$A$1000,"",0)</f>
        <v>BRWN</v>
      </c>
    </row>
    <row r="1154" spans="1:12" x14ac:dyDescent="0.25">
      <c r="A1154" s="16" t="s">
        <v>16</v>
      </c>
      <c r="B1154" s="16" t="s">
        <v>111</v>
      </c>
      <c r="C1154" s="16" t="s">
        <v>595</v>
      </c>
      <c r="D1154" s="16" t="s">
        <v>596</v>
      </c>
      <c r="E1154" s="16">
        <v>3</v>
      </c>
      <c r="F1154" s="16" t="s">
        <v>293</v>
      </c>
      <c r="G1154" s="16"/>
      <c r="H1154" s="16" t="s">
        <v>530</v>
      </c>
      <c r="I1154" s="16" t="s">
        <v>531</v>
      </c>
      <c r="J1154" s="16" t="str">
        <f>IF(ISNUMBER(SEARCH("SCRW", H1154)), _xlfn.XLOOKUP(C1154,dd_item!$A$2:$A$147,dd_item!$B$2:$B$147,"",0),_xlfn.XLOOKUP(H1154,dd_item!$A$2:$A$147,dd_item!$B$2:$B$147,"",0))</f>
        <v>Casement Espagnolette</v>
      </c>
      <c r="K1154" s="16" t="str">
        <f>_xlfn.XLOOKUP(A1154,dd_design_raw!$C$2:$C$1002,dd_design_raw!$A$2:$A$1002,"",0)</f>
        <v>Triple Casement</v>
      </c>
      <c r="L1154" s="16" t="str">
        <f>_xlfn.XLOOKUP(I1154,dd_accsryclr!$A$2:$A$1000,dd_accsryclr!$A$2:$A$1000,"",0)</f>
        <v/>
      </c>
    </row>
    <row r="1155" spans="1:12" x14ac:dyDescent="0.25">
      <c r="A1155" s="16" t="s">
        <v>16</v>
      </c>
      <c r="B1155" s="16" t="s">
        <v>111</v>
      </c>
      <c r="C1155" s="16" t="s">
        <v>597</v>
      </c>
      <c r="D1155" s="16" t="s">
        <v>598</v>
      </c>
      <c r="E1155" s="16">
        <v>3</v>
      </c>
      <c r="F1155" s="16" t="s">
        <v>293</v>
      </c>
      <c r="G1155" s="16"/>
      <c r="H1155" s="16" t="s">
        <v>530</v>
      </c>
      <c r="I1155" s="16" t="s">
        <v>599</v>
      </c>
      <c r="J1155" s="16" t="str">
        <f>IF(ISNUMBER(SEARCH("SCRW", H1155)), _xlfn.XLOOKUP(C1155,dd_item!$A$2:$A$147,dd_item!$B$2:$B$147,"",0),_xlfn.XLOOKUP(H1155,dd_item!$A$2:$A$147,dd_item!$B$2:$B$147,"",0))</f>
        <v>Casement Espagnolette</v>
      </c>
      <c r="K1155" s="16" t="str">
        <f>_xlfn.XLOOKUP(A1155,dd_design_raw!$C$2:$C$1002,dd_design_raw!$A$2:$A$1002,"",0)</f>
        <v>Triple Casement</v>
      </c>
      <c r="L1155" s="16" t="str">
        <f>_xlfn.XLOOKUP(I1155,dd_accsryclr!$A$2:$A$1000,dd_accsryclr!$A$2:$A$1000,"",0)</f>
        <v/>
      </c>
    </row>
    <row r="1156" spans="1:12" x14ac:dyDescent="0.25">
      <c r="A1156" s="16" t="s">
        <v>16</v>
      </c>
      <c r="B1156" s="16" t="s">
        <v>111</v>
      </c>
      <c r="C1156" s="16" t="s">
        <v>600</v>
      </c>
      <c r="D1156" s="16" t="s">
        <v>601</v>
      </c>
      <c r="E1156" s="16">
        <v>3</v>
      </c>
      <c r="F1156" s="16" t="s">
        <v>293</v>
      </c>
      <c r="G1156" s="16"/>
      <c r="H1156" s="16" t="s">
        <v>530</v>
      </c>
      <c r="I1156" s="16" t="s">
        <v>531</v>
      </c>
      <c r="J1156" s="16" t="str">
        <f>IF(ISNUMBER(SEARCH("SCRW", H1156)), _xlfn.XLOOKUP(C1156,dd_item!$A$2:$A$147,dd_item!$B$2:$B$147,"",0),_xlfn.XLOOKUP(H1156,dd_item!$A$2:$A$147,dd_item!$B$2:$B$147,"",0))</f>
        <v>Casement Espagnolette</v>
      </c>
      <c r="K1156" s="16" t="str">
        <f>_xlfn.XLOOKUP(A1156,dd_design_raw!$C$2:$C$1002,dd_design_raw!$A$2:$A$1002,"",0)</f>
        <v>Triple Casement</v>
      </c>
      <c r="L1156" s="16" t="str">
        <f>_xlfn.XLOOKUP(I1156,dd_accsryclr!$A$2:$A$1000,dd_accsryclr!$A$2:$A$1000,"",0)</f>
        <v/>
      </c>
    </row>
    <row r="1157" spans="1:12" hidden="1" x14ac:dyDescent="0.25">
      <c r="A1157" s="16" t="s">
        <v>16</v>
      </c>
      <c r="B1157" s="16" t="s">
        <v>111</v>
      </c>
      <c r="C1157" s="16" t="s">
        <v>571</v>
      </c>
      <c r="D1157" s="16" t="s">
        <v>572</v>
      </c>
      <c r="E1157" s="16">
        <v>6</v>
      </c>
      <c r="F1157" s="16" t="s">
        <v>293</v>
      </c>
      <c r="G1157" s="16"/>
      <c r="H1157" s="16" t="s">
        <v>573</v>
      </c>
      <c r="I1157" s="16"/>
      <c r="J1157" s="16" t="str">
        <f>IF(ISNUMBER(SEARCH("SCRW", H1157)), _xlfn.XLOOKUP(C1157,dd_item!$A$2:$A$147,dd_item!$B$2:$B$147,"",0),_xlfn.XLOOKUP(H1157,dd_item!$A$2:$A$147,dd_item!$B$2:$B$147,"",0))</f>
        <v>Hinge 4-Bar</v>
      </c>
      <c r="K1157" s="16" t="str">
        <f>_xlfn.XLOOKUP(A1157,dd_design_raw!$C$2:$C$1002,dd_design_raw!$A$2:$A$1002,"",0)</f>
        <v>Triple Casement</v>
      </c>
      <c r="L1157" s="16" t="str">
        <f>_xlfn.XLOOKUP(I1157,dd_accsryclr!$A$2:$A$1000,dd_accsryclr!$A$2:$A$1000,"",0)</f>
        <v/>
      </c>
    </row>
    <row r="1158" spans="1:12" hidden="1" x14ac:dyDescent="0.25">
      <c r="A1158" s="16" t="s">
        <v>16</v>
      </c>
      <c r="B1158" s="16" t="s">
        <v>111</v>
      </c>
      <c r="C1158" s="16" t="s">
        <v>390</v>
      </c>
      <c r="D1158" s="16" t="s">
        <v>391</v>
      </c>
      <c r="E1158" s="16">
        <v>12.04</v>
      </c>
      <c r="F1158" s="16" t="s">
        <v>369</v>
      </c>
      <c r="G1158" s="16"/>
      <c r="H1158" s="16" t="s">
        <v>792</v>
      </c>
      <c r="I1158" s="16"/>
      <c r="J1158" s="16" t="str">
        <f>IF(ISNUMBER(SEARCH("SCRW", H1158)), _xlfn.XLOOKUP(C1158,dd_item!$A$2:$A$147,dd_item!$B$2:$B$147,"",0),_xlfn.XLOOKUP(H1158,dd_item!$A$2:$A$147,dd_item!$B$2:$B$147,"",0))</f>
        <v>Atlas Screw (S) 10 x 2-1/2" (Flat)</v>
      </c>
      <c r="K1158" s="16" t="str">
        <f>_xlfn.XLOOKUP(A1158,dd_design_raw!$C$2:$C$1002,dd_design_raw!$A$2:$A$1002,"",0)</f>
        <v>Triple Casement</v>
      </c>
      <c r="L1158" s="16" t="str">
        <f>_xlfn.XLOOKUP(I1158,dd_accsryclr!$A$2:$A$1000,dd_accsryclr!$A$2:$A$1000,"",0)</f>
        <v/>
      </c>
    </row>
    <row r="1159" spans="1:12" hidden="1" x14ac:dyDescent="0.25">
      <c r="A1159" s="16" t="s">
        <v>16</v>
      </c>
      <c r="B1159" s="16" t="s">
        <v>111</v>
      </c>
      <c r="C1159" s="16" t="s">
        <v>392</v>
      </c>
      <c r="D1159" s="16" t="s">
        <v>393</v>
      </c>
      <c r="E1159" s="16">
        <v>3</v>
      </c>
      <c r="F1159" s="16" t="s">
        <v>369</v>
      </c>
      <c r="G1159" s="16"/>
      <c r="H1159" s="16" t="s">
        <v>394</v>
      </c>
      <c r="I1159" s="16" t="s">
        <v>223</v>
      </c>
      <c r="J1159" s="16" t="str">
        <f>IF(ISNUMBER(SEARCH("SCRW", H1159)), _xlfn.XLOOKUP(C1159,dd_item!$A$2:$A$147,dd_item!$B$2:$B$147,"",0),_xlfn.XLOOKUP(H1159,dd_item!$A$2:$A$147,dd_item!$B$2:$B$147,"",0))</f>
        <v>Drainage Cover</v>
      </c>
      <c r="K1159" s="16" t="str">
        <f>_xlfn.XLOOKUP(A1159,dd_design_raw!$C$2:$C$1002,dd_design_raw!$A$2:$A$1002,"",0)</f>
        <v>Triple Casement</v>
      </c>
      <c r="L1159" s="16" t="str">
        <f>_xlfn.XLOOKUP(I1159,dd_accsryclr!$A$2:$A$1000,dd_accsryclr!$A$2:$A$1000,"",0)</f>
        <v>BLK</v>
      </c>
    </row>
    <row r="1160" spans="1:12" hidden="1" x14ac:dyDescent="0.25">
      <c r="A1160" s="16" t="s">
        <v>16</v>
      </c>
      <c r="B1160" s="16" t="s">
        <v>111</v>
      </c>
      <c r="C1160" s="16" t="s">
        <v>395</v>
      </c>
      <c r="D1160" s="16" t="s">
        <v>396</v>
      </c>
      <c r="E1160" s="16">
        <v>3</v>
      </c>
      <c r="F1160" s="16" t="s">
        <v>369</v>
      </c>
      <c r="G1160" s="16"/>
      <c r="H1160" s="16" t="s">
        <v>394</v>
      </c>
      <c r="I1160" s="16" t="s">
        <v>220</v>
      </c>
      <c r="J1160" s="16" t="str">
        <f>IF(ISNUMBER(SEARCH("SCRW", H1160)), _xlfn.XLOOKUP(C1160,dd_item!$A$2:$A$147,dd_item!$B$2:$B$147,"",0),_xlfn.XLOOKUP(H1160,dd_item!$A$2:$A$147,dd_item!$B$2:$B$147,"",0))</f>
        <v>Drainage Cover</v>
      </c>
      <c r="K1160" s="16" t="str">
        <f>_xlfn.XLOOKUP(A1160,dd_design_raw!$C$2:$C$1002,dd_design_raw!$A$2:$A$1002,"",0)</f>
        <v>Triple Casement</v>
      </c>
      <c r="L1160" s="16" t="str">
        <f>_xlfn.XLOOKUP(I1160,dd_accsryclr!$A$2:$A$1000,dd_accsryclr!$A$2:$A$1000,"",0)</f>
        <v>WHT</v>
      </c>
    </row>
    <row r="1161" spans="1:12" hidden="1" x14ac:dyDescent="0.25">
      <c r="A1161" s="16" t="s">
        <v>16</v>
      </c>
      <c r="B1161" s="16" t="s">
        <v>111</v>
      </c>
      <c r="C1161" s="16" t="s">
        <v>397</v>
      </c>
      <c r="D1161" s="16" t="s">
        <v>398</v>
      </c>
      <c r="E1161" s="16">
        <v>0.24079999999999999</v>
      </c>
      <c r="F1161" s="16" t="s">
        <v>369</v>
      </c>
      <c r="G1161" s="16"/>
      <c r="H1161" s="16" t="s">
        <v>399</v>
      </c>
      <c r="I1161" s="16" t="s">
        <v>400</v>
      </c>
      <c r="J1161" s="16" t="str">
        <f>IF(ISNUMBER(SEARCH("SCRW", H1161)), _xlfn.XLOOKUP(C1161,dd_item!$A$2:$A$147,dd_item!$B$2:$B$147,"",0),_xlfn.XLOOKUP(H1161,dd_item!$A$2:$A$147,dd_item!$B$2:$B$147,"",0))</f>
        <v>Tox6</v>
      </c>
      <c r="K1161" s="16" t="str">
        <f>_xlfn.XLOOKUP(A1161,dd_design_raw!$C$2:$C$1002,dd_design_raw!$A$2:$A$1002,"",0)</f>
        <v>Triple Casement</v>
      </c>
      <c r="L1161" s="16" t="str">
        <f>_xlfn.XLOOKUP(I1161,dd_accsryclr!$A$2:$A$1000,dd_accsryclr!$A$2:$A$1000,"",0)</f>
        <v/>
      </c>
    </row>
    <row r="1162" spans="1:12" hidden="1" x14ac:dyDescent="0.25">
      <c r="A1162" s="16" t="s">
        <v>16</v>
      </c>
      <c r="B1162" s="16" t="s">
        <v>111</v>
      </c>
      <c r="C1162" s="16" t="s">
        <v>414</v>
      </c>
      <c r="D1162" s="16" t="s">
        <v>415</v>
      </c>
      <c r="E1162" s="16">
        <v>4.0133333333333336</v>
      </c>
      <c r="F1162" s="16" t="s">
        <v>369</v>
      </c>
      <c r="G1162" s="16"/>
      <c r="H1162" s="16" t="s">
        <v>416</v>
      </c>
      <c r="I1162" s="16" t="s">
        <v>223</v>
      </c>
      <c r="J1162" s="16" t="str">
        <f>IF(ISNUMBER(SEARCH("SCRW", H1162)), _xlfn.XLOOKUP(C1162,dd_item!$A$2:$A$147,dd_item!$B$2:$B$147,"",0),_xlfn.XLOOKUP(H1162,dd_item!$A$2:$A$147,dd_item!$B$2:$B$147,"",0))</f>
        <v>Sealant</v>
      </c>
      <c r="K1162" s="16" t="str">
        <f>_xlfn.XLOOKUP(A1162,dd_design_raw!$C$2:$C$1002,dd_design_raw!$A$2:$A$1002,"",0)</f>
        <v>Triple Casement</v>
      </c>
      <c r="L1162" s="16" t="str">
        <f>_xlfn.XLOOKUP(I1162,dd_accsryclr!$A$2:$A$1000,dd_accsryclr!$A$2:$A$1000,"",0)</f>
        <v>BLK</v>
      </c>
    </row>
    <row r="1163" spans="1:12" hidden="1" x14ac:dyDescent="0.25">
      <c r="A1163" s="16" t="s">
        <v>16</v>
      </c>
      <c r="B1163" s="16" t="s">
        <v>111</v>
      </c>
      <c r="C1163" s="16" t="s">
        <v>417</v>
      </c>
      <c r="D1163" s="16" t="s">
        <v>418</v>
      </c>
      <c r="E1163" s="16">
        <v>4.0133333333333336</v>
      </c>
      <c r="F1163" s="16" t="s">
        <v>369</v>
      </c>
      <c r="G1163" s="16"/>
      <c r="H1163" s="16" t="s">
        <v>416</v>
      </c>
      <c r="I1163" s="16" t="s">
        <v>230</v>
      </c>
      <c r="J1163" s="16" t="str">
        <f>IF(ISNUMBER(SEARCH("SCRW", H1163)), _xlfn.XLOOKUP(C1163,dd_item!$A$2:$A$147,dd_item!$B$2:$B$147,"",0),_xlfn.XLOOKUP(H1163,dd_item!$A$2:$A$147,dd_item!$B$2:$B$147,"",0))</f>
        <v>Sealant</v>
      </c>
      <c r="K1163" s="16" t="str">
        <f>_xlfn.XLOOKUP(A1163,dd_design_raw!$C$2:$C$1002,dd_design_raw!$A$2:$A$1002,"",0)</f>
        <v>Triple Casement</v>
      </c>
      <c r="L1163" s="16" t="str">
        <f>_xlfn.XLOOKUP(I1163,dd_accsryclr!$A$2:$A$1000,dd_accsryclr!$A$2:$A$1000,"",0)</f>
        <v>BRWN</v>
      </c>
    </row>
    <row r="1164" spans="1:12" hidden="1" x14ac:dyDescent="0.25">
      <c r="A1164" s="16" t="s">
        <v>16</v>
      </c>
      <c r="B1164" s="16" t="s">
        <v>111</v>
      </c>
      <c r="C1164" s="16" t="s">
        <v>419</v>
      </c>
      <c r="D1164" s="16" t="s">
        <v>420</v>
      </c>
      <c r="E1164" s="16">
        <v>4.0133333333333336</v>
      </c>
      <c r="F1164" s="16" t="s">
        <v>369</v>
      </c>
      <c r="G1164" s="16"/>
      <c r="H1164" s="16" t="s">
        <v>416</v>
      </c>
      <c r="I1164" s="16" t="s">
        <v>220</v>
      </c>
      <c r="J1164" s="16" t="str">
        <f>IF(ISNUMBER(SEARCH("SCRW", H1164)), _xlfn.XLOOKUP(C1164,dd_item!$A$2:$A$147,dd_item!$B$2:$B$147,"",0),_xlfn.XLOOKUP(H1164,dd_item!$A$2:$A$147,dd_item!$B$2:$B$147,"",0))</f>
        <v>Sealant</v>
      </c>
      <c r="K1164" s="16" t="str">
        <f>_xlfn.XLOOKUP(A1164,dd_design_raw!$C$2:$C$1002,dd_design_raw!$A$2:$A$1002,"",0)</f>
        <v>Triple Casement</v>
      </c>
      <c r="L1164" s="16" t="str">
        <f>_xlfn.XLOOKUP(I1164,dd_accsryclr!$A$2:$A$1000,dd_accsryclr!$A$2:$A$1000,"",0)</f>
        <v>WHT</v>
      </c>
    </row>
    <row r="1165" spans="1:12" hidden="1" x14ac:dyDescent="0.25">
      <c r="A1165" s="16" t="s">
        <v>16</v>
      </c>
      <c r="B1165" s="16" t="s">
        <v>111</v>
      </c>
      <c r="C1165" s="16" t="s">
        <v>421</v>
      </c>
      <c r="D1165" s="16" t="s">
        <v>422</v>
      </c>
      <c r="E1165" s="16"/>
      <c r="F1165" s="16" t="s">
        <v>369</v>
      </c>
      <c r="G1165" s="16"/>
      <c r="H1165" s="16" t="s">
        <v>416</v>
      </c>
      <c r="I1165" s="16" t="s">
        <v>423</v>
      </c>
      <c r="J1165" s="16" t="str">
        <f>IF(ISNUMBER(SEARCH("SCRW", H1165)), _xlfn.XLOOKUP(C1165,dd_item!$A$2:$A$147,dd_item!$B$2:$B$147,"",0),_xlfn.XLOOKUP(H1165,dd_item!$A$2:$A$147,dd_item!$B$2:$B$147,"",0))</f>
        <v>Sealant</v>
      </c>
      <c r="K1165" s="16" t="str">
        <f>_xlfn.XLOOKUP(A1165,dd_design_raw!$C$2:$C$1002,dd_design_raw!$A$2:$A$1002,"",0)</f>
        <v>Triple Casement</v>
      </c>
      <c r="L1165" s="16" t="str">
        <f>_xlfn.XLOOKUP(I1165,dd_accsryclr!$A$2:$A$1000,dd_accsryclr!$A$2:$A$1000,"",0)</f>
        <v/>
      </c>
    </row>
    <row r="1166" spans="1:12" hidden="1" x14ac:dyDescent="0.25">
      <c r="A1166" s="16" t="s">
        <v>16</v>
      </c>
      <c r="B1166" s="16" t="s">
        <v>111</v>
      </c>
      <c r="C1166" s="16" t="s">
        <v>540</v>
      </c>
      <c r="D1166" s="16" t="s">
        <v>541</v>
      </c>
      <c r="E1166" s="16">
        <v>3</v>
      </c>
      <c r="F1166" s="16" t="s">
        <v>369</v>
      </c>
      <c r="G1166" s="16"/>
      <c r="H1166" s="16" t="s">
        <v>542</v>
      </c>
      <c r="I1166" s="16" t="s">
        <v>223</v>
      </c>
      <c r="J1166" s="16" t="str">
        <f>IF(ISNUMBER(SEARCH("SCRW", H1166)), _xlfn.XLOOKUP(C1166,dd_item!$A$2:$A$147,dd_item!$B$2:$B$147,"",0),_xlfn.XLOOKUP(H1166,dd_item!$A$2:$A$147,dd_item!$B$2:$B$147,"",0))</f>
        <v>Casement Handle (Roto)</v>
      </c>
      <c r="K1166" s="16" t="str">
        <f>_xlfn.XLOOKUP(A1166,dd_design_raw!$C$2:$C$1002,dd_design_raw!$A$2:$A$1002,"",0)</f>
        <v>Triple Casement</v>
      </c>
      <c r="L1166" s="16" t="str">
        <f>_xlfn.XLOOKUP(I1166,dd_accsryclr!$A$2:$A$1000,dd_accsryclr!$A$2:$A$1000,"",0)</f>
        <v>BLK</v>
      </c>
    </row>
    <row r="1167" spans="1:12" hidden="1" x14ac:dyDescent="0.25">
      <c r="A1167" s="16" t="s">
        <v>16</v>
      </c>
      <c r="B1167" s="16" t="s">
        <v>111</v>
      </c>
      <c r="C1167" s="16" t="s">
        <v>543</v>
      </c>
      <c r="D1167" s="16" t="s">
        <v>544</v>
      </c>
      <c r="E1167" s="16">
        <v>3</v>
      </c>
      <c r="F1167" s="16" t="s">
        <v>369</v>
      </c>
      <c r="G1167" s="16"/>
      <c r="H1167" s="16" t="s">
        <v>542</v>
      </c>
      <c r="I1167" s="16" t="s">
        <v>220</v>
      </c>
      <c r="J1167" s="16" t="str">
        <f>IF(ISNUMBER(SEARCH("SCRW", H1167)), _xlfn.XLOOKUP(C1167,dd_item!$A$2:$A$147,dd_item!$B$2:$B$147,"",0),_xlfn.XLOOKUP(H1167,dd_item!$A$2:$A$147,dd_item!$B$2:$B$147,"",0))</f>
        <v>Casement Handle (Roto)</v>
      </c>
      <c r="K1167" s="16" t="str">
        <f>_xlfn.XLOOKUP(A1167,dd_design_raw!$C$2:$C$1002,dd_design_raw!$A$2:$A$1002,"",0)</f>
        <v>Triple Casement</v>
      </c>
      <c r="L1167" s="16" t="str">
        <f>_xlfn.XLOOKUP(I1167,dd_accsryclr!$A$2:$A$1000,dd_accsryclr!$A$2:$A$1000,"",0)</f>
        <v>WHT</v>
      </c>
    </row>
    <row r="1168" spans="1:12" hidden="1" x14ac:dyDescent="0.25">
      <c r="A1168" s="16" t="s">
        <v>16</v>
      </c>
      <c r="B1168" s="16" t="s">
        <v>111</v>
      </c>
      <c r="C1168" s="16" t="s">
        <v>545</v>
      </c>
      <c r="D1168" s="16" t="s">
        <v>546</v>
      </c>
      <c r="E1168" s="16">
        <v>3</v>
      </c>
      <c r="F1168" s="16" t="s">
        <v>369</v>
      </c>
      <c r="G1168" s="16"/>
      <c r="H1168" s="16" t="s">
        <v>9</v>
      </c>
      <c r="I1168" s="16" t="s">
        <v>223</v>
      </c>
      <c r="J1168" s="16" t="str">
        <f>IF(ISNUMBER(SEARCH("SCRW", H1168)), _xlfn.XLOOKUP(C1168,dd_item!$A$2:$A$147,dd_item!$B$2:$B$147,"",0),_xlfn.XLOOKUP(H1168,dd_item!$A$2:$A$147,dd_item!$B$2:$B$147,"",0))</f>
        <v>Casement Handle (Espag)</v>
      </c>
      <c r="K1168" s="16" t="str">
        <f>_xlfn.XLOOKUP(A1168,dd_design_raw!$C$2:$C$1002,dd_design_raw!$A$2:$A$1002,"",0)</f>
        <v>Triple Casement</v>
      </c>
      <c r="L1168" s="16" t="str">
        <f>_xlfn.XLOOKUP(I1168,dd_accsryclr!$A$2:$A$1000,dd_accsryclr!$A$2:$A$1000,"",0)</f>
        <v>BLK</v>
      </c>
    </row>
    <row r="1169" spans="1:12" hidden="1" x14ac:dyDescent="0.25">
      <c r="A1169" s="16" t="s">
        <v>16</v>
      </c>
      <c r="B1169" s="16" t="s">
        <v>111</v>
      </c>
      <c r="C1169" s="16" t="s">
        <v>547</v>
      </c>
      <c r="D1169" s="16" t="s">
        <v>548</v>
      </c>
      <c r="E1169" s="16">
        <v>3</v>
      </c>
      <c r="F1169" s="16" t="s">
        <v>369</v>
      </c>
      <c r="G1169" s="16"/>
      <c r="H1169" s="16" t="s">
        <v>9</v>
      </c>
      <c r="I1169" s="16" t="s">
        <v>220</v>
      </c>
      <c r="J1169" s="16" t="str">
        <f>IF(ISNUMBER(SEARCH("SCRW", H1169)), _xlfn.XLOOKUP(C1169,dd_item!$A$2:$A$147,dd_item!$B$2:$B$147,"",0),_xlfn.XLOOKUP(H1169,dd_item!$A$2:$A$147,dd_item!$B$2:$B$147,"",0))</f>
        <v>Casement Handle (Espag)</v>
      </c>
      <c r="K1169" s="16" t="str">
        <f>_xlfn.XLOOKUP(A1169,dd_design_raw!$C$2:$C$1002,dd_design_raw!$A$2:$A$1002,"",0)</f>
        <v>Triple Casement</v>
      </c>
      <c r="L1169" s="16" t="str">
        <f>_xlfn.XLOOKUP(I1169,dd_accsryclr!$A$2:$A$1000,dd_accsryclr!$A$2:$A$1000,"",0)</f>
        <v>WHT</v>
      </c>
    </row>
    <row r="1170" spans="1:12" hidden="1" x14ac:dyDescent="0.25">
      <c r="A1170" s="16" t="s">
        <v>16</v>
      </c>
      <c r="B1170" s="16" t="s">
        <v>111</v>
      </c>
      <c r="C1170" s="16" t="s">
        <v>549</v>
      </c>
      <c r="D1170" s="16" t="s">
        <v>550</v>
      </c>
      <c r="E1170" s="16">
        <v>6</v>
      </c>
      <c r="F1170" s="16" t="s">
        <v>369</v>
      </c>
      <c r="G1170" s="16"/>
      <c r="H1170" s="16" t="s">
        <v>551</v>
      </c>
      <c r="I1170" s="16"/>
      <c r="J1170" s="16" t="str">
        <f>IF(ISNUMBER(SEARCH("SCRW", H1170)), _xlfn.XLOOKUP(C1170,dd_item!$A$2:$A$147,dd_item!$B$2:$B$147,"",0),_xlfn.XLOOKUP(H1170,dd_item!$A$2:$A$147,dd_item!$B$2:$B$147,"",0))</f>
        <v>Casement Striker (Roto)</v>
      </c>
      <c r="K1170" s="16" t="str">
        <f>_xlfn.XLOOKUP(A1170,dd_design_raw!$C$2:$C$1002,dd_design_raw!$A$2:$A$1002,"",0)</f>
        <v>Triple Casement</v>
      </c>
      <c r="L1170" s="16" t="str">
        <f>_xlfn.XLOOKUP(I1170,dd_accsryclr!$A$2:$A$1000,dd_accsryclr!$A$2:$A$1000,"",0)</f>
        <v/>
      </c>
    </row>
    <row r="1171" spans="1:12" hidden="1" x14ac:dyDescent="0.25">
      <c r="A1171" s="16" t="s">
        <v>16</v>
      </c>
      <c r="B1171" s="16" t="s">
        <v>111</v>
      </c>
      <c r="C1171" s="16" t="s">
        <v>412</v>
      </c>
      <c r="D1171" s="16" t="s">
        <v>413</v>
      </c>
      <c r="E1171" s="16">
        <v>6</v>
      </c>
      <c r="F1171" s="16" t="s">
        <v>369</v>
      </c>
      <c r="G1171" s="16"/>
      <c r="H1171" s="16" t="s">
        <v>793</v>
      </c>
      <c r="I1171" s="16"/>
      <c r="J1171" s="16" t="str">
        <f>IF(ISNUMBER(SEARCH("SCRW", H1171)), _xlfn.XLOOKUP(C1171,dd_item!$A$2:$A$147,dd_item!$B$2:$B$147,"",0),_xlfn.XLOOKUP(H1171,dd_item!$A$2:$A$147,dd_item!$B$2:$B$147,"",0))</f>
        <v>Atlas Screw (S) 8 x 1-1/4" (Flat)</v>
      </c>
      <c r="K1171" s="16" t="str">
        <f>_xlfn.XLOOKUP(A1171,dd_design_raw!$C$2:$C$1002,dd_design_raw!$A$2:$A$1002,"",0)</f>
        <v>Triple Casement</v>
      </c>
      <c r="L1171" s="16" t="str">
        <f>_xlfn.XLOOKUP(I1171,dd_accsryclr!$A$2:$A$1000,dd_accsryclr!$A$2:$A$1000,"",0)</f>
        <v/>
      </c>
    </row>
    <row r="1172" spans="1:12" hidden="1" x14ac:dyDescent="0.25">
      <c r="A1172" s="16" t="s">
        <v>16</v>
      </c>
      <c r="B1172" s="16" t="s">
        <v>111</v>
      </c>
      <c r="C1172" s="16" t="s">
        <v>401</v>
      </c>
      <c r="D1172" s="16" t="s">
        <v>402</v>
      </c>
      <c r="E1172" s="16">
        <v>12.04</v>
      </c>
      <c r="F1172" s="16" t="s">
        <v>369</v>
      </c>
      <c r="G1172" s="16"/>
      <c r="H1172" s="16" t="s">
        <v>403</v>
      </c>
      <c r="I1172" s="16" t="s">
        <v>223</v>
      </c>
      <c r="J1172" s="16" t="str">
        <f>IF(ISNUMBER(SEARCH("SCRW", H1172)), _xlfn.XLOOKUP(C1172,dd_item!$A$2:$A$147,dd_item!$B$2:$B$147,"",0),_xlfn.XLOOKUP(H1172,dd_item!$A$2:$A$147,dd_item!$B$2:$B$147,"",0))</f>
        <v>Cover Cap</v>
      </c>
      <c r="K1172" s="16" t="str">
        <f>_xlfn.XLOOKUP(A1172,dd_design_raw!$C$2:$C$1002,dd_design_raw!$A$2:$A$1002,"",0)</f>
        <v>Triple Casement</v>
      </c>
      <c r="L1172" s="16" t="str">
        <f>_xlfn.XLOOKUP(I1172,dd_accsryclr!$A$2:$A$1000,dd_accsryclr!$A$2:$A$1000,"",0)</f>
        <v>BLK</v>
      </c>
    </row>
    <row r="1173" spans="1:12" hidden="1" x14ac:dyDescent="0.25">
      <c r="A1173" s="16" t="s">
        <v>16</v>
      </c>
      <c r="B1173" s="16" t="s">
        <v>111</v>
      </c>
      <c r="C1173" s="16" t="s">
        <v>404</v>
      </c>
      <c r="D1173" s="16" t="s">
        <v>405</v>
      </c>
      <c r="E1173" s="16">
        <v>12.04</v>
      </c>
      <c r="F1173" s="16" t="s">
        <v>369</v>
      </c>
      <c r="G1173" s="16"/>
      <c r="H1173" s="16" t="s">
        <v>403</v>
      </c>
      <c r="I1173" s="16" t="s">
        <v>220</v>
      </c>
      <c r="J1173" s="16" t="str">
        <f>IF(ISNUMBER(SEARCH("SCRW", H1173)), _xlfn.XLOOKUP(C1173,dd_item!$A$2:$A$147,dd_item!$B$2:$B$147,"",0),_xlfn.XLOOKUP(H1173,dd_item!$A$2:$A$147,dd_item!$B$2:$B$147,"",0))</f>
        <v>Cover Cap</v>
      </c>
      <c r="K1173" s="16" t="str">
        <f>_xlfn.XLOOKUP(A1173,dd_design_raw!$C$2:$C$1002,dd_design_raw!$A$2:$A$1002,"",0)</f>
        <v>Triple Casement</v>
      </c>
      <c r="L1173" s="16" t="str">
        <f>_xlfn.XLOOKUP(I1173,dd_accsryclr!$A$2:$A$1000,dd_accsryclr!$A$2:$A$1000,"",0)</f>
        <v>WHT</v>
      </c>
    </row>
    <row r="1174" spans="1:12" hidden="1" x14ac:dyDescent="0.25">
      <c r="A1174" s="16" t="s">
        <v>16</v>
      </c>
      <c r="B1174" s="16" t="s">
        <v>111</v>
      </c>
      <c r="C1174" s="16" t="s">
        <v>552</v>
      </c>
      <c r="D1174" s="16" t="s">
        <v>553</v>
      </c>
      <c r="E1174" s="16">
        <v>6</v>
      </c>
      <c r="F1174" s="16" t="s">
        <v>369</v>
      </c>
      <c r="G1174" s="16"/>
      <c r="H1174" s="16" t="s">
        <v>794</v>
      </c>
      <c r="I1174" s="16" t="s">
        <v>554</v>
      </c>
      <c r="J1174" s="16" t="str">
        <f>IF(ISNUMBER(SEARCH("SCRW", H1174)), _xlfn.XLOOKUP(C1174,dd_item!$A$2:$A$147,dd_item!$B$2:$B$147,"",0),_xlfn.XLOOKUP(H1174,dd_item!$A$2:$A$147,dd_item!$B$2:$B$147,"",0))</f>
        <v>Atlas Screw S.B JF 5 x 50</v>
      </c>
      <c r="K1174" s="16" t="str">
        <f>_xlfn.XLOOKUP(A1174,dd_design_raw!$C$2:$C$1002,dd_design_raw!$A$2:$A$1002,"",0)</f>
        <v>Triple Casement</v>
      </c>
      <c r="L1174" s="16" t="str">
        <f>_xlfn.XLOOKUP(I1174,dd_accsryclr!$A$2:$A$1000,dd_accsryclr!$A$2:$A$1000,"",0)</f>
        <v/>
      </c>
    </row>
    <row r="1175" spans="1:12" hidden="1" x14ac:dyDescent="0.25">
      <c r="A1175" s="16" t="s">
        <v>16</v>
      </c>
      <c r="B1175" s="16" t="s">
        <v>111</v>
      </c>
      <c r="C1175" s="16" t="s">
        <v>811</v>
      </c>
      <c r="D1175" s="16" t="s">
        <v>812</v>
      </c>
      <c r="E1175" s="16"/>
      <c r="F1175" s="16" t="s">
        <v>194</v>
      </c>
      <c r="G1175" s="16" t="s">
        <v>558</v>
      </c>
      <c r="H1175" s="16" t="s">
        <v>813</v>
      </c>
      <c r="I1175" s="16"/>
      <c r="J1175" s="16" t="str">
        <f>IF(ISNUMBER(SEARCH("SCRW", H1175)), _xlfn.XLOOKUP(C1175,dd_item!$A$2:$A$147,dd_item!$B$2:$B$147,"",0),_xlfn.XLOOKUP(H1175,dd_item!$A$2:$A$147,dd_item!$B$2:$B$147,"",0))</f>
        <v>Steel-Mullion72</v>
      </c>
      <c r="K1175" s="16" t="str">
        <f>_xlfn.XLOOKUP(A1175,dd_design_raw!$C$2:$C$1002,dd_design_raw!$A$2:$A$1002,"",0)</f>
        <v>Triple Casement</v>
      </c>
      <c r="L1175" s="16" t="str">
        <f>_xlfn.XLOOKUP(I1175,dd_accsryclr!$A$2:$A$1000,dd_accsryclr!$A$2:$A$1000,"",0)</f>
        <v/>
      </c>
    </row>
    <row r="1176" spans="1:12" hidden="1" x14ac:dyDescent="0.25">
      <c r="A1176" s="16" t="s">
        <v>16</v>
      </c>
      <c r="B1176" s="16" t="s">
        <v>111</v>
      </c>
      <c r="C1176" s="16" t="s">
        <v>815</v>
      </c>
      <c r="D1176" s="16" t="s">
        <v>816</v>
      </c>
      <c r="E1176" s="16"/>
      <c r="F1176" s="16" t="s">
        <v>194</v>
      </c>
      <c r="G1176" s="16" t="s">
        <v>558</v>
      </c>
      <c r="H1176" s="16" t="s">
        <v>813</v>
      </c>
      <c r="I1176" s="16"/>
      <c r="J1176" s="16" t="str">
        <f>IF(ISNUMBER(SEARCH("SCRW", H1176)), _xlfn.XLOOKUP(C1176,dd_item!$A$2:$A$147,dd_item!$B$2:$B$147,"",0),_xlfn.XLOOKUP(H1176,dd_item!$A$2:$A$147,dd_item!$B$2:$B$147,"",0))</f>
        <v>Steel-Mullion72</v>
      </c>
      <c r="K1176" s="16" t="str">
        <f>_xlfn.XLOOKUP(A1176,dd_design_raw!$C$2:$C$1002,dd_design_raw!$A$2:$A$1002,"",0)</f>
        <v>Triple Casement</v>
      </c>
      <c r="L1176" s="16" t="str">
        <f>_xlfn.XLOOKUP(I1176,dd_accsryclr!$A$2:$A$1000,dd_accsryclr!$A$2:$A$1000,"",0)</f>
        <v/>
      </c>
    </row>
    <row r="1177" spans="1:12" hidden="1" x14ac:dyDescent="0.25">
      <c r="A1177" s="16" t="s">
        <v>20</v>
      </c>
      <c r="B1177" s="16" t="s">
        <v>640</v>
      </c>
      <c r="C1177" s="16" t="s">
        <v>467</v>
      </c>
      <c r="D1177" s="16" t="s">
        <v>468</v>
      </c>
      <c r="E1177" s="16">
        <v>1.1413793103448275</v>
      </c>
      <c r="F1177" s="16" t="s">
        <v>194</v>
      </c>
      <c r="G1177" s="16"/>
      <c r="H1177" s="16" t="s">
        <v>469</v>
      </c>
      <c r="I1177" s="16" t="s">
        <v>211</v>
      </c>
      <c r="J1177" s="16" t="str">
        <f>IF(ISNUMBER(SEARCH("SCRW", H1177)), _xlfn.XLOOKUP(C1177,dd_item!$A$2:$A$147,dd_item!$B$2:$B$147,"",0),_xlfn.XLOOKUP(H1177,dd_item!$A$2:$A$147,dd_item!$B$2:$B$147,"",0))</f>
        <v>Frame90</v>
      </c>
      <c r="K1177" s="16" t="str">
        <f>_xlfn.XLOOKUP(A1177,dd_design_raw!$C$2:$C$1002,dd_design_raw!$A$2:$A$1002,"",0)</f>
        <v>Fix Slide Window</v>
      </c>
      <c r="L1177" s="16" t="str">
        <f>_xlfn.XLOOKUP(I1177,dd_accsryclr!$A$2:$A$1000,dd_accsryclr!$A$2:$A$1000,"",0)</f>
        <v/>
      </c>
    </row>
    <row r="1178" spans="1:12" hidden="1" x14ac:dyDescent="0.25">
      <c r="A1178" s="16" t="s">
        <v>20</v>
      </c>
      <c r="B1178" s="16" t="s">
        <v>640</v>
      </c>
      <c r="C1178" s="16" t="s">
        <v>470</v>
      </c>
      <c r="D1178" s="16" t="s">
        <v>471</v>
      </c>
      <c r="E1178" s="16">
        <v>1.1413793103448275</v>
      </c>
      <c r="F1178" s="16" t="s">
        <v>194</v>
      </c>
      <c r="G1178" s="16"/>
      <c r="H1178" s="16" t="s">
        <v>469</v>
      </c>
      <c r="I1178" s="16" t="s">
        <v>214</v>
      </c>
      <c r="J1178" s="16" t="str">
        <f>IF(ISNUMBER(SEARCH("SCRW", H1178)), _xlfn.XLOOKUP(C1178,dd_item!$A$2:$A$147,dd_item!$B$2:$B$147,"",0),_xlfn.XLOOKUP(H1178,dd_item!$A$2:$A$147,dd_item!$B$2:$B$147,"",0))</f>
        <v>Frame90</v>
      </c>
      <c r="K1178" s="16" t="str">
        <f>_xlfn.XLOOKUP(A1178,dd_design_raw!$C$2:$C$1002,dd_design_raw!$A$2:$A$1002,"",0)</f>
        <v>Fix Slide Window</v>
      </c>
      <c r="L1178" s="16" t="str">
        <f>_xlfn.XLOOKUP(I1178,dd_accsryclr!$A$2:$A$1000,dd_accsryclr!$A$2:$A$1000,"",0)</f>
        <v/>
      </c>
    </row>
    <row r="1179" spans="1:12" hidden="1" x14ac:dyDescent="0.25">
      <c r="A1179" s="16" t="s">
        <v>20</v>
      </c>
      <c r="B1179" s="16" t="s">
        <v>640</v>
      </c>
      <c r="C1179" s="16" t="s">
        <v>472</v>
      </c>
      <c r="D1179" s="16" t="s">
        <v>473</v>
      </c>
      <c r="E1179" s="16">
        <v>1.1413793103448275</v>
      </c>
      <c r="F1179" s="16" t="s">
        <v>194</v>
      </c>
      <c r="G1179" s="16"/>
      <c r="H1179" s="16" t="s">
        <v>469</v>
      </c>
      <c r="I1179" s="16" t="s">
        <v>217</v>
      </c>
      <c r="J1179" s="16" t="str">
        <f>IF(ISNUMBER(SEARCH("SCRW", H1179)), _xlfn.XLOOKUP(C1179,dd_item!$A$2:$A$147,dd_item!$B$2:$B$147,"",0),_xlfn.XLOOKUP(H1179,dd_item!$A$2:$A$147,dd_item!$B$2:$B$147,"",0))</f>
        <v>Frame90</v>
      </c>
      <c r="K1179" s="16" t="str">
        <f>_xlfn.XLOOKUP(A1179,dd_design_raw!$C$2:$C$1002,dd_design_raw!$A$2:$A$1002,"",0)</f>
        <v>Fix Slide Window</v>
      </c>
      <c r="L1179" s="16" t="str">
        <f>_xlfn.XLOOKUP(I1179,dd_accsryclr!$A$2:$A$1000,dd_accsryclr!$A$2:$A$1000,"",0)</f>
        <v/>
      </c>
    </row>
    <row r="1180" spans="1:12" hidden="1" x14ac:dyDescent="0.25">
      <c r="A1180" s="16" t="s">
        <v>20</v>
      </c>
      <c r="B1180" s="16" t="s">
        <v>640</v>
      </c>
      <c r="C1180" s="16" t="s">
        <v>474</v>
      </c>
      <c r="D1180" s="16" t="s">
        <v>475</v>
      </c>
      <c r="E1180" s="16">
        <v>1.1413793103448275</v>
      </c>
      <c r="F1180" s="16" t="s">
        <v>194</v>
      </c>
      <c r="G1180" s="16"/>
      <c r="H1180" s="16" t="s">
        <v>469</v>
      </c>
      <c r="I1180" s="16" t="s">
        <v>226</v>
      </c>
      <c r="J1180" s="16" t="str">
        <f>IF(ISNUMBER(SEARCH("SCRW", H1180)), _xlfn.XLOOKUP(C1180,dd_item!$A$2:$A$147,dd_item!$B$2:$B$147,"",0),_xlfn.XLOOKUP(H1180,dd_item!$A$2:$A$147,dd_item!$B$2:$B$147,"",0))</f>
        <v>Frame90</v>
      </c>
      <c r="K1180" s="16" t="str">
        <f>_xlfn.XLOOKUP(A1180,dd_design_raw!$C$2:$C$1002,dd_design_raw!$A$2:$A$1002,"",0)</f>
        <v>Fix Slide Window</v>
      </c>
      <c r="L1180" s="16" t="str">
        <f>_xlfn.XLOOKUP(I1180,dd_accsryclr!$A$2:$A$1000,dd_accsryclr!$A$2:$A$1000,"",0)</f>
        <v/>
      </c>
    </row>
    <row r="1181" spans="1:12" hidden="1" x14ac:dyDescent="0.25">
      <c r="A1181" s="16" t="s">
        <v>20</v>
      </c>
      <c r="B1181" s="16" t="s">
        <v>640</v>
      </c>
      <c r="C1181" s="16" t="s">
        <v>476</v>
      </c>
      <c r="D1181" s="16" t="s">
        <v>477</v>
      </c>
      <c r="E1181" s="16">
        <v>1.1413793103448275</v>
      </c>
      <c r="F1181" s="16" t="s">
        <v>194</v>
      </c>
      <c r="G1181" s="16"/>
      <c r="H1181" s="16" t="s">
        <v>469</v>
      </c>
      <c r="I1181" s="16" t="s">
        <v>220</v>
      </c>
      <c r="J1181" s="16" t="str">
        <f>IF(ISNUMBER(SEARCH("SCRW", H1181)), _xlfn.XLOOKUP(C1181,dd_item!$A$2:$A$147,dd_item!$B$2:$B$147,"",0),_xlfn.XLOOKUP(H1181,dd_item!$A$2:$A$147,dd_item!$B$2:$B$147,"",0))</f>
        <v>Frame90</v>
      </c>
      <c r="K1181" s="16" t="str">
        <f>_xlfn.XLOOKUP(A1181,dd_design_raw!$C$2:$C$1002,dd_design_raw!$A$2:$A$1002,"",0)</f>
        <v>Fix Slide Window</v>
      </c>
      <c r="L1181" s="16" t="str">
        <f>_xlfn.XLOOKUP(I1181,dd_accsryclr!$A$2:$A$1000,dd_accsryclr!$A$2:$A$1000,"",0)</f>
        <v>WHT</v>
      </c>
    </row>
    <row r="1182" spans="1:12" hidden="1" x14ac:dyDescent="0.25">
      <c r="A1182" s="16" t="s">
        <v>20</v>
      </c>
      <c r="B1182" s="16" t="s">
        <v>640</v>
      </c>
      <c r="C1182" s="16" t="s">
        <v>478</v>
      </c>
      <c r="D1182" s="16" t="s">
        <v>479</v>
      </c>
      <c r="E1182" s="16">
        <v>1.1413793103448275</v>
      </c>
      <c r="F1182" s="16" t="s">
        <v>194</v>
      </c>
      <c r="G1182" s="16"/>
      <c r="H1182" s="16" t="s">
        <v>469</v>
      </c>
      <c r="I1182" s="16" t="s">
        <v>223</v>
      </c>
      <c r="J1182" s="16" t="str">
        <f>IF(ISNUMBER(SEARCH("SCRW", H1182)), _xlfn.XLOOKUP(C1182,dd_item!$A$2:$A$147,dd_item!$B$2:$B$147,"",0),_xlfn.XLOOKUP(H1182,dd_item!$A$2:$A$147,dd_item!$B$2:$B$147,"",0))</f>
        <v>Frame90</v>
      </c>
      <c r="K1182" s="16" t="str">
        <f>_xlfn.XLOOKUP(A1182,dd_design_raw!$C$2:$C$1002,dd_design_raw!$A$2:$A$1002,"",0)</f>
        <v>Fix Slide Window</v>
      </c>
      <c r="L1182" s="16" t="str">
        <f>_xlfn.XLOOKUP(I1182,dd_accsryclr!$A$2:$A$1000,dd_accsryclr!$A$2:$A$1000,"",0)</f>
        <v>BLK</v>
      </c>
    </row>
    <row r="1183" spans="1:12" hidden="1" x14ac:dyDescent="0.25">
      <c r="A1183" s="16" t="s">
        <v>20</v>
      </c>
      <c r="B1183" s="16" t="s">
        <v>640</v>
      </c>
      <c r="C1183" s="16" t="s">
        <v>480</v>
      </c>
      <c r="D1183" s="16" t="s">
        <v>481</v>
      </c>
      <c r="E1183" s="16">
        <v>1.1413793103448275</v>
      </c>
      <c r="F1183" s="16" t="s">
        <v>194</v>
      </c>
      <c r="G1183" s="16"/>
      <c r="H1183" s="16" t="s">
        <v>469</v>
      </c>
      <c r="I1183" s="16" t="s">
        <v>230</v>
      </c>
      <c r="J1183" s="16" t="str">
        <f>IF(ISNUMBER(SEARCH("SCRW", H1183)), _xlfn.XLOOKUP(C1183,dd_item!$A$2:$A$147,dd_item!$B$2:$B$147,"",0),_xlfn.XLOOKUP(H1183,dd_item!$A$2:$A$147,dd_item!$B$2:$B$147,"",0))</f>
        <v>Frame90</v>
      </c>
      <c r="K1183" s="16" t="str">
        <f>_xlfn.XLOOKUP(A1183,dd_design_raw!$C$2:$C$1002,dd_design_raw!$A$2:$A$1002,"",0)</f>
        <v>Fix Slide Window</v>
      </c>
      <c r="L1183" s="16" t="str">
        <f>_xlfn.XLOOKUP(I1183,dd_accsryclr!$A$2:$A$1000,dd_accsryclr!$A$2:$A$1000,"",0)</f>
        <v>BRWN</v>
      </c>
    </row>
    <row r="1184" spans="1:12" hidden="1" x14ac:dyDescent="0.25">
      <c r="A1184" s="16" t="s">
        <v>20</v>
      </c>
      <c r="B1184" s="16" t="s">
        <v>640</v>
      </c>
      <c r="C1184" s="16" t="s">
        <v>246</v>
      </c>
      <c r="D1184" s="16" t="s">
        <v>247</v>
      </c>
      <c r="E1184" s="16">
        <v>1.6024137931034483</v>
      </c>
      <c r="F1184" s="16" t="s">
        <v>194</v>
      </c>
      <c r="G1184" s="16"/>
      <c r="H1184" s="16" t="s">
        <v>248</v>
      </c>
      <c r="I1184" s="16" t="s">
        <v>223</v>
      </c>
      <c r="J1184" s="16" t="str">
        <f>IF(ISNUMBER(SEARCH("SCRW", H1184)), _xlfn.XLOOKUP(C1184,dd_item!$A$2:$A$147,dd_item!$B$2:$B$147,"",0),_xlfn.XLOOKUP(H1184,dd_item!$A$2:$A$147,dd_item!$B$2:$B$147,"",0))</f>
        <v>Sash66</v>
      </c>
      <c r="K1184" s="16" t="str">
        <f>_xlfn.XLOOKUP(A1184,dd_design_raw!$C$2:$C$1002,dd_design_raw!$A$2:$A$1002,"",0)</f>
        <v>Fix Slide Window</v>
      </c>
      <c r="L1184" s="16" t="str">
        <f>_xlfn.XLOOKUP(I1184,dd_accsryclr!$A$2:$A$1000,dd_accsryclr!$A$2:$A$1000,"",0)</f>
        <v>BLK</v>
      </c>
    </row>
    <row r="1185" spans="1:12" hidden="1" x14ac:dyDescent="0.25">
      <c r="A1185" s="16" t="s">
        <v>20</v>
      </c>
      <c r="B1185" s="16" t="s">
        <v>640</v>
      </c>
      <c r="C1185" s="16" t="s">
        <v>249</v>
      </c>
      <c r="D1185" s="16" t="s">
        <v>250</v>
      </c>
      <c r="E1185" s="16">
        <v>1.6024137931034483</v>
      </c>
      <c r="F1185" s="16" t="s">
        <v>194</v>
      </c>
      <c r="G1185" s="16"/>
      <c r="H1185" s="16" t="s">
        <v>248</v>
      </c>
      <c r="I1185" s="16" t="s">
        <v>211</v>
      </c>
      <c r="J1185" s="16" t="str">
        <f>IF(ISNUMBER(SEARCH("SCRW", H1185)), _xlfn.XLOOKUP(C1185,dd_item!$A$2:$A$147,dd_item!$B$2:$B$147,"",0),_xlfn.XLOOKUP(H1185,dd_item!$A$2:$A$147,dd_item!$B$2:$B$147,"",0))</f>
        <v>Sash66</v>
      </c>
      <c r="K1185" s="16" t="str">
        <f>_xlfn.XLOOKUP(A1185,dd_design_raw!$C$2:$C$1002,dd_design_raw!$A$2:$A$1002,"",0)</f>
        <v>Fix Slide Window</v>
      </c>
      <c r="L1185" s="16" t="str">
        <f>_xlfn.XLOOKUP(I1185,dd_accsryclr!$A$2:$A$1000,dd_accsryclr!$A$2:$A$1000,"",0)</f>
        <v/>
      </c>
    </row>
    <row r="1186" spans="1:12" hidden="1" x14ac:dyDescent="0.25">
      <c r="A1186" s="16" t="s">
        <v>20</v>
      </c>
      <c r="B1186" s="16" t="s">
        <v>640</v>
      </c>
      <c r="C1186" s="16" t="s">
        <v>251</v>
      </c>
      <c r="D1186" s="16" t="s">
        <v>252</v>
      </c>
      <c r="E1186" s="16">
        <v>1.6024137931034483</v>
      </c>
      <c r="F1186" s="16" t="s">
        <v>194</v>
      </c>
      <c r="G1186" s="16"/>
      <c r="H1186" s="16" t="s">
        <v>248</v>
      </c>
      <c r="I1186" s="16" t="s">
        <v>214</v>
      </c>
      <c r="J1186" s="16" t="str">
        <f>IF(ISNUMBER(SEARCH("SCRW", H1186)), _xlfn.XLOOKUP(C1186,dd_item!$A$2:$A$147,dd_item!$B$2:$B$147,"",0),_xlfn.XLOOKUP(H1186,dd_item!$A$2:$A$147,dd_item!$B$2:$B$147,"",0))</f>
        <v>Sash66</v>
      </c>
      <c r="K1186" s="16" t="str">
        <f>_xlfn.XLOOKUP(A1186,dd_design_raw!$C$2:$C$1002,dd_design_raw!$A$2:$A$1002,"",0)</f>
        <v>Fix Slide Window</v>
      </c>
      <c r="L1186" s="16" t="str">
        <f>_xlfn.XLOOKUP(I1186,dd_accsryclr!$A$2:$A$1000,dd_accsryclr!$A$2:$A$1000,"",0)</f>
        <v/>
      </c>
    </row>
    <row r="1187" spans="1:12" hidden="1" x14ac:dyDescent="0.25">
      <c r="A1187" s="16" t="s">
        <v>20</v>
      </c>
      <c r="B1187" s="16" t="s">
        <v>640</v>
      </c>
      <c r="C1187" s="16" t="s">
        <v>253</v>
      </c>
      <c r="D1187" s="16" t="s">
        <v>254</v>
      </c>
      <c r="E1187" s="16">
        <v>1.6024137931034483</v>
      </c>
      <c r="F1187" s="16" t="s">
        <v>194</v>
      </c>
      <c r="G1187" s="16"/>
      <c r="H1187" s="16" t="s">
        <v>248</v>
      </c>
      <c r="I1187" s="16" t="s">
        <v>217</v>
      </c>
      <c r="J1187" s="16" t="str">
        <f>IF(ISNUMBER(SEARCH("SCRW", H1187)), _xlfn.XLOOKUP(C1187,dd_item!$A$2:$A$147,dd_item!$B$2:$B$147,"",0),_xlfn.XLOOKUP(H1187,dd_item!$A$2:$A$147,dd_item!$B$2:$B$147,"",0))</f>
        <v>Sash66</v>
      </c>
      <c r="K1187" s="16" t="str">
        <f>_xlfn.XLOOKUP(A1187,dd_design_raw!$C$2:$C$1002,dd_design_raw!$A$2:$A$1002,"",0)</f>
        <v>Fix Slide Window</v>
      </c>
      <c r="L1187" s="16" t="str">
        <f>_xlfn.XLOOKUP(I1187,dd_accsryclr!$A$2:$A$1000,dd_accsryclr!$A$2:$A$1000,"",0)</f>
        <v/>
      </c>
    </row>
    <row r="1188" spans="1:12" hidden="1" x14ac:dyDescent="0.25">
      <c r="A1188" s="16" t="s">
        <v>20</v>
      </c>
      <c r="B1188" s="16" t="s">
        <v>640</v>
      </c>
      <c r="C1188" s="16" t="s">
        <v>255</v>
      </c>
      <c r="D1188" s="16" t="s">
        <v>256</v>
      </c>
      <c r="E1188" s="16">
        <v>1.6024137931034483</v>
      </c>
      <c r="F1188" s="16" t="s">
        <v>194</v>
      </c>
      <c r="G1188" s="16"/>
      <c r="H1188" s="16" t="s">
        <v>248</v>
      </c>
      <c r="I1188" s="16" t="s">
        <v>226</v>
      </c>
      <c r="J1188" s="16" t="str">
        <f>IF(ISNUMBER(SEARCH("SCRW", H1188)), _xlfn.XLOOKUP(C1188,dd_item!$A$2:$A$147,dd_item!$B$2:$B$147,"",0),_xlfn.XLOOKUP(H1188,dd_item!$A$2:$A$147,dd_item!$B$2:$B$147,"",0))</f>
        <v>Sash66</v>
      </c>
      <c r="K1188" s="16" t="str">
        <f>_xlfn.XLOOKUP(A1188,dd_design_raw!$C$2:$C$1002,dd_design_raw!$A$2:$A$1002,"",0)</f>
        <v>Fix Slide Window</v>
      </c>
      <c r="L1188" s="16" t="str">
        <f>_xlfn.XLOOKUP(I1188,dd_accsryclr!$A$2:$A$1000,dd_accsryclr!$A$2:$A$1000,"",0)</f>
        <v/>
      </c>
    </row>
    <row r="1189" spans="1:12" hidden="1" x14ac:dyDescent="0.25">
      <c r="A1189" s="16" t="s">
        <v>20</v>
      </c>
      <c r="B1189" s="16" t="s">
        <v>640</v>
      </c>
      <c r="C1189" s="16" t="s">
        <v>257</v>
      </c>
      <c r="D1189" s="16" t="s">
        <v>258</v>
      </c>
      <c r="E1189" s="16">
        <v>1.6024137931034483</v>
      </c>
      <c r="F1189" s="16" t="s">
        <v>194</v>
      </c>
      <c r="G1189" s="16"/>
      <c r="H1189" s="16" t="s">
        <v>248</v>
      </c>
      <c r="I1189" s="16" t="s">
        <v>220</v>
      </c>
      <c r="J1189" s="16" t="str">
        <f>IF(ISNUMBER(SEARCH("SCRW", H1189)), _xlfn.XLOOKUP(C1189,dd_item!$A$2:$A$147,dd_item!$B$2:$B$147,"",0),_xlfn.XLOOKUP(H1189,dd_item!$A$2:$A$147,dd_item!$B$2:$B$147,"",0))</f>
        <v>Sash66</v>
      </c>
      <c r="K1189" s="16" t="str">
        <f>_xlfn.XLOOKUP(A1189,dd_design_raw!$C$2:$C$1002,dd_design_raw!$A$2:$A$1002,"",0)</f>
        <v>Fix Slide Window</v>
      </c>
      <c r="L1189" s="16" t="str">
        <f>_xlfn.XLOOKUP(I1189,dd_accsryclr!$A$2:$A$1000,dd_accsryclr!$A$2:$A$1000,"",0)</f>
        <v>WHT</v>
      </c>
    </row>
    <row r="1190" spans="1:12" hidden="1" x14ac:dyDescent="0.25">
      <c r="A1190" s="16" t="s">
        <v>20</v>
      </c>
      <c r="B1190" s="16" t="s">
        <v>640</v>
      </c>
      <c r="C1190" s="16" t="s">
        <v>259</v>
      </c>
      <c r="D1190" s="16" t="s">
        <v>260</v>
      </c>
      <c r="E1190" s="16">
        <v>1.6024137931034483</v>
      </c>
      <c r="F1190" s="16" t="s">
        <v>194</v>
      </c>
      <c r="G1190" s="16"/>
      <c r="H1190" s="16" t="s">
        <v>248</v>
      </c>
      <c r="I1190" s="16" t="s">
        <v>230</v>
      </c>
      <c r="J1190" s="16" t="str">
        <f>IF(ISNUMBER(SEARCH("SCRW", H1190)), _xlfn.XLOOKUP(C1190,dd_item!$A$2:$A$147,dd_item!$B$2:$B$147,"",0),_xlfn.XLOOKUP(H1190,dd_item!$A$2:$A$147,dd_item!$B$2:$B$147,"",0))</f>
        <v>Sash66</v>
      </c>
      <c r="K1190" s="16" t="str">
        <f>_xlfn.XLOOKUP(A1190,dd_design_raw!$C$2:$C$1002,dd_design_raw!$A$2:$A$1002,"",0)</f>
        <v>Fix Slide Window</v>
      </c>
      <c r="L1190" s="16" t="str">
        <f>_xlfn.XLOOKUP(I1190,dd_accsryclr!$A$2:$A$1000,dd_accsryclr!$A$2:$A$1000,"",0)</f>
        <v>BRWN</v>
      </c>
    </row>
    <row r="1191" spans="1:12" hidden="1" x14ac:dyDescent="0.25">
      <c r="A1191" s="16" t="s">
        <v>20</v>
      </c>
      <c r="B1191" s="16" t="s">
        <v>640</v>
      </c>
      <c r="C1191" s="16" t="s">
        <v>641</v>
      </c>
      <c r="D1191" s="16" t="s">
        <v>642</v>
      </c>
      <c r="E1191" s="16">
        <v>0.30896551724137933</v>
      </c>
      <c r="F1191" s="16" t="s">
        <v>194</v>
      </c>
      <c r="G1191" s="16"/>
      <c r="H1191" s="16" t="s">
        <v>643</v>
      </c>
      <c r="I1191" s="16" t="s">
        <v>223</v>
      </c>
      <c r="J1191" s="16" t="str">
        <f>IF(ISNUMBER(SEARCH("SCRW", H1191)), _xlfn.XLOOKUP(C1191,dd_item!$A$2:$A$147,dd_item!$B$2:$B$147,"",0),_xlfn.XLOOKUP(H1191,dd_item!$A$2:$A$147,dd_item!$B$2:$B$147,"",0))</f>
        <v>Screen Frame</v>
      </c>
      <c r="K1191" s="16" t="str">
        <f>_xlfn.XLOOKUP(A1191,dd_design_raw!$C$2:$C$1002,dd_design_raw!$A$2:$A$1002,"",0)</f>
        <v>Fix Slide Window</v>
      </c>
      <c r="L1191" s="16" t="str">
        <f>_xlfn.XLOOKUP(I1191,dd_accsryclr!$A$2:$A$1000,dd_accsryclr!$A$2:$A$1000,"",0)</f>
        <v>BLK</v>
      </c>
    </row>
    <row r="1192" spans="1:12" hidden="1" x14ac:dyDescent="0.25">
      <c r="A1192" s="16" t="s">
        <v>20</v>
      </c>
      <c r="B1192" s="16" t="s">
        <v>640</v>
      </c>
      <c r="C1192" s="16" t="s">
        <v>644</v>
      </c>
      <c r="D1192" s="16" t="s">
        <v>645</v>
      </c>
      <c r="E1192" s="16">
        <v>0.30896551724137933</v>
      </c>
      <c r="F1192" s="16" t="s">
        <v>194</v>
      </c>
      <c r="G1192" s="16"/>
      <c r="H1192" s="16" t="s">
        <v>643</v>
      </c>
      <c r="I1192" s="16" t="s">
        <v>211</v>
      </c>
      <c r="J1192" s="16" t="str">
        <f>IF(ISNUMBER(SEARCH("SCRW", H1192)), _xlfn.XLOOKUP(C1192,dd_item!$A$2:$A$147,dd_item!$B$2:$B$147,"",0),_xlfn.XLOOKUP(H1192,dd_item!$A$2:$A$147,dd_item!$B$2:$B$147,"",0))</f>
        <v>Screen Frame</v>
      </c>
      <c r="K1192" s="16" t="str">
        <f>_xlfn.XLOOKUP(A1192,dd_design_raw!$C$2:$C$1002,dd_design_raw!$A$2:$A$1002,"",0)</f>
        <v>Fix Slide Window</v>
      </c>
      <c r="L1192" s="16" t="str">
        <f>_xlfn.XLOOKUP(I1192,dd_accsryclr!$A$2:$A$1000,dd_accsryclr!$A$2:$A$1000,"",0)</f>
        <v/>
      </c>
    </row>
    <row r="1193" spans="1:12" hidden="1" x14ac:dyDescent="0.25">
      <c r="A1193" s="16" t="s">
        <v>20</v>
      </c>
      <c r="B1193" s="16" t="s">
        <v>640</v>
      </c>
      <c r="C1193" s="16" t="s">
        <v>646</v>
      </c>
      <c r="D1193" s="16" t="s">
        <v>647</v>
      </c>
      <c r="E1193" s="16">
        <v>0.30896551724137933</v>
      </c>
      <c r="F1193" s="16" t="s">
        <v>194</v>
      </c>
      <c r="G1193" s="16"/>
      <c r="H1193" s="16" t="s">
        <v>643</v>
      </c>
      <c r="I1193" s="16" t="s">
        <v>214</v>
      </c>
      <c r="J1193" s="16" t="str">
        <f>IF(ISNUMBER(SEARCH("SCRW", H1193)), _xlfn.XLOOKUP(C1193,dd_item!$A$2:$A$147,dd_item!$B$2:$B$147,"",0),_xlfn.XLOOKUP(H1193,dd_item!$A$2:$A$147,dd_item!$B$2:$B$147,"",0))</f>
        <v>Screen Frame</v>
      </c>
      <c r="K1193" s="16" t="str">
        <f>_xlfn.XLOOKUP(A1193,dd_design_raw!$C$2:$C$1002,dd_design_raw!$A$2:$A$1002,"",0)</f>
        <v>Fix Slide Window</v>
      </c>
      <c r="L1193" s="16" t="str">
        <f>_xlfn.XLOOKUP(I1193,dd_accsryclr!$A$2:$A$1000,dd_accsryclr!$A$2:$A$1000,"",0)</f>
        <v/>
      </c>
    </row>
    <row r="1194" spans="1:12" hidden="1" x14ac:dyDescent="0.25">
      <c r="A1194" s="16" t="s">
        <v>20</v>
      </c>
      <c r="B1194" s="16" t="s">
        <v>640</v>
      </c>
      <c r="C1194" s="16" t="s">
        <v>648</v>
      </c>
      <c r="D1194" s="16" t="s">
        <v>649</v>
      </c>
      <c r="E1194" s="16">
        <v>0.30896551724137933</v>
      </c>
      <c r="F1194" s="16" t="s">
        <v>194</v>
      </c>
      <c r="G1194" s="16"/>
      <c r="H1194" s="16" t="s">
        <v>643</v>
      </c>
      <c r="I1194" s="16" t="s">
        <v>217</v>
      </c>
      <c r="J1194" s="16" t="str">
        <f>IF(ISNUMBER(SEARCH("SCRW", H1194)), _xlfn.XLOOKUP(C1194,dd_item!$A$2:$A$147,dd_item!$B$2:$B$147,"",0),_xlfn.XLOOKUP(H1194,dd_item!$A$2:$A$147,dd_item!$B$2:$B$147,"",0))</f>
        <v>Screen Frame</v>
      </c>
      <c r="K1194" s="16" t="str">
        <f>_xlfn.XLOOKUP(A1194,dd_design_raw!$C$2:$C$1002,dd_design_raw!$A$2:$A$1002,"",0)</f>
        <v>Fix Slide Window</v>
      </c>
      <c r="L1194" s="16" t="str">
        <f>_xlfn.XLOOKUP(I1194,dd_accsryclr!$A$2:$A$1000,dd_accsryclr!$A$2:$A$1000,"",0)</f>
        <v/>
      </c>
    </row>
    <row r="1195" spans="1:12" hidden="1" x14ac:dyDescent="0.25">
      <c r="A1195" s="16" t="s">
        <v>20</v>
      </c>
      <c r="B1195" s="16" t="s">
        <v>640</v>
      </c>
      <c r="C1195" s="16" t="s">
        <v>650</v>
      </c>
      <c r="D1195" s="16" t="s">
        <v>651</v>
      </c>
      <c r="E1195" s="16">
        <v>0.30896551724137933</v>
      </c>
      <c r="F1195" s="16" t="s">
        <v>194</v>
      </c>
      <c r="G1195" s="16"/>
      <c r="H1195" s="16" t="s">
        <v>643</v>
      </c>
      <c r="I1195" s="16" t="s">
        <v>226</v>
      </c>
      <c r="J1195" s="16" t="str">
        <f>IF(ISNUMBER(SEARCH("SCRW", H1195)), _xlfn.XLOOKUP(C1195,dd_item!$A$2:$A$147,dd_item!$B$2:$B$147,"",0),_xlfn.XLOOKUP(H1195,dd_item!$A$2:$A$147,dd_item!$B$2:$B$147,"",0))</f>
        <v>Screen Frame</v>
      </c>
      <c r="K1195" s="16" t="str">
        <f>_xlfn.XLOOKUP(A1195,dd_design_raw!$C$2:$C$1002,dd_design_raw!$A$2:$A$1002,"",0)</f>
        <v>Fix Slide Window</v>
      </c>
      <c r="L1195" s="16" t="str">
        <f>_xlfn.XLOOKUP(I1195,dd_accsryclr!$A$2:$A$1000,dd_accsryclr!$A$2:$A$1000,"",0)</f>
        <v/>
      </c>
    </row>
    <row r="1196" spans="1:12" hidden="1" x14ac:dyDescent="0.25">
      <c r="A1196" s="16" t="s">
        <v>20</v>
      </c>
      <c r="B1196" s="16" t="s">
        <v>640</v>
      </c>
      <c r="C1196" s="16" t="s">
        <v>652</v>
      </c>
      <c r="D1196" s="16" t="s">
        <v>653</v>
      </c>
      <c r="E1196" s="16">
        <v>0.30896551724137933</v>
      </c>
      <c r="F1196" s="16" t="s">
        <v>194</v>
      </c>
      <c r="G1196" s="16"/>
      <c r="H1196" s="16" t="s">
        <v>643</v>
      </c>
      <c r="I1196" s="16" t="s">
        <v>220</v>
      </c>
      <c r="J1196" s="16" t="str">
        <f>IF(ISNUMBER(SEARCH("SCRW", H1196)), _xlfn.XLOOKUP(C1196,dd_item!$A$2:$A$147,dd_item!$B$2:$B$147,"",0),_xlfn.XLOOKUP(H1196,dd_item!$A$2:$A$147,dd_item!$B$2:$B$147,"",0))</f>
        <v>Screen Frame</v>
      </c>
      <c r="K1196" s="16" t="str">
        <f>_xlfn.XLOOKUP(A1196,dd_design_raw!$C$2:$C$1002,dd_design_raw!$A$2:$A$1002,"",0)</f>
        <v>Fix Slide Window</v>
      </c>
      <c r="L1196" s="16" t="str">
        <f>_xlfn.XLOOKUP(I1196,dd_accsryclr!$A$2:$A$1000,dd_accsryclr!$A$2:$A$1000,"",0)</f>
        <v>WHT</v>
      </c>
    </row>
    <row r="1197" spans="1:12" hidden="1" x14ac:dyDescent="0.25">
      <c r="A1197" s="16" t="s">
        <v>20</v>
      </c>
      <c r="B1197" s="16" t="s">
        <v>640</v>
      </c>
      <c r="C1197" s="16" t="s">
        <v>654</v>
      </c>
      <c r="D1197" s="16" t="s">
        <v>655</v>
      </c>
      <c r="E1197" s="16">
        <v>0.30896551724137933</v>
      </c>
      <c r="F1197" s="16" t="s">
        <v>194</v>
      </c>
      <c r="G1197" s="16"/>
      <c r="H1197" s="16" t="s">
        <v>643</v>
      </c>
      <c r="I1197" s="16" t="s">
        <v>230</v>
      </c>
      <c r="J1197" s="16" t="str">
        <f>IF(ISNUMBER(SEARCH("SCRW", H1197)), _xlfn.XLOOKUP(C1197,dd_item!$A$2:$A$147,dd_item!$B$2:$B$147,"",0),_xlfn.XLOOKUP(H1197,dd_item!$A$2:$A$147,dd_item!$B$2:$B$147,"",0))</f>
        <v>Screen Frame</v>
      </c>
      <c r="K1197" s="16" t="str">
        <f>_xlfn.XLOOKUP(A1197,dd_design_raw!$C$2:$C$1002,dd_design_raw!$A$2:$A$1002,"",0)</f>
        <v>Fix Slide Window</v>
      </c>
      <c r="L1197" s="16" t="str">
        <f>_xlfn.XLOOKUP(I1197,dd_accsryclr!$A$2:$A$1000,dd_accsryclr!$A$2:$A$1000,"",0)</f>
        <v>BRWN</v>
      </c>
    </row>
    <row r="1198" spans="1:12" hidden="1" x14ac:dyDescent="0.25">
      <c r="A1198" s="16" t="s">
        <v>20</v>
      </c>
      <c r="B1198" s="16" t="s">
        <v>640</v>
      </c>
      <c r="C1198" s="16" t="s">
        <v>265</v>
      </c>
      <c r="D1198" s="16" t="s">
        <v>266</v>
      </c>
      <c r="E1198" s="16">
        <v>2.7437931034482759</v>
      </c>
      <c r="F1198" s="16" t="s">
        <v>194</v>
      </c>
      <c r="G1198" s="16" t="s">
        <v>60</v>
      </c>
      <c r="H1198" s="16" t="s">
        <v>267</v>
      </c>
      <c r="I1198" s="16" t="s">
        <v>268</v>
      </c>
      <c r="J1198" s="16" t="str">
        <f>IF(ISNUMBER(SEARCH("SCRW", H1198)), _xlfn.XLOOKUP(C1198,dd_item!$A$2:$A$147,dd_item!$B$2:$B$147,"",0),_xlfn.XLOOKUP(H1198,dd_item!$A$2:$A$147,dd_item!$B$2:$B$147,"",0))</f>
        <v>Steel-Sash66</v>
      </c>
      <c r="K1198" s="16" t="str">
        <f>_xlfn.XLOOKUP(A1198,dd_design_raw!$C$2:$C$1002,dd_design_raw!$A$2:$A$1002,"",0)</f>
        <v>Fix Slide Window</v>
      </c>
      <c r="L1198" s="16" t="str">
        <f>_xlfn.XLOOKUP(I1198,dd_accsryclr!$A$2:$A$1000,dd_accsryclr!$A$2:$A$1000,"",0)</f>
        <v/>
      </c>
    </row>
    <row r="1199" spans="1:12" hidden="1" x14ac:dyDescent="0.25">
      <c r="A1199" s="16" t="s">
        <v>20</v>
      </c>
      <c r="B1199" s="16" t="s">
        <v>640</v>
      </c>
      <c r="C1199" s="16" t="s">
        <v>656</v>
      </c>
      <c r="D1199" s="16" t="s">
        <v>657</v>
      </c>
      <c r="E1199" s="16">
        <v>0.30896551724137933</v>
      </c>
      <c r="F1199" s="16" t="s">
        <v>194</v>
      </c>
      <c r="G1199" s="16" t="s">
        <v>70</v>
      </c>
      <c r="H1199" s="16" t="s">
        <v>658</v>
      </c>
      <c r="I1199" s="16" t="s">
        <v>659</v>
      </c>
      <c r="J1199" s="16" t="str">
        <f>IF(ISNUMBER(SEARCH("SCRW", H1199)), _xlfn.XLOOKUP(C1199,dd_item!$A$2:$A$147,dd_item!$B$2:$B$147,"",0),_xlfn.XLOOKUP(H1199,dd_item!$A$2:$A$147,dd_item!$B$2:$B$147,"",0))</f>
        <v>Steel-Screen Frame</v>
      </c>
      <c r="K1199" s="16" t="str">
        <f>_xlfn.XLOOKUP(A1199,dd_design_raw!$C$2:$C$1002,dd_design_raw!$A$2:$A$1002,"",0)</f>
        <v>Fix Slide Window</v>
      </c>
      <c r="L1199" s="16" t="str">
        <f>_xlfn.XLOOKUP(I1199,dd_accsryclr!$A$2:$A$1000,dd_accsryclr!$A$2:$A$1000,"",0)</f>
        <v/>
      </c>
    </row>
    <row r="1200" spans="1:12" hidden="1" x14ac:dyDescent="0.25">
      <c r="A1200" s="16" t="s">
        <v>20</v>
      </c>
      <c r="B1200" s="16" t="s">
        <v>640</v>
      </c>
      <c r="C1200" s="16" t="s">
        <v>276</v>
      </c>
      <c r="D1200" s="16" t="s">
        <v>277</v>
      </c>
      <c r="E1200" s="16">
        <v>1.6024137931034483</v>
      </c>
      <c r="F1200" s="16" t="s">
        <v>194</v>
      </c>
      <c r="G1200" s="16"/>
      <c r="H1200" s="16" t="s">
        <v>278</v>
      </c>
      <c r="I1200" s="16" t="s">
        <v>223</v>
      </c>
      <c r="J1200" s="16" t="str">
        <f>IF(ISNUMBER(SEARCH("SCRW", H1200)), _xlfn.XLOOKUP(C1200,dd_item!$A$2:$A$147,dd_item!$B$2:$B$147,"",0),_xlfn.XLOOKUP(H1200,dd_item!$A$2:$A$147,dd_item!$B$2:$B$147,"",0))</f>
        <v>Bead25</v>
      </c>
      <c r="K1200" s="16" t="str">
        <f>_xlfn.XLOOKUP(A1200,dd_design_raw!$C$2:$C$1002,dd_design_raw!$A$2:$A$1002,"",0)</f>
        <v>Fix Slide Window</v>
      </c>
      <c r="L1200" s="16" t="str">
        <f>_xlfn.XLOOKUP(I1200,dd_accsryclr!$A$2:$A$1000,dd_accsryclr!$A$2:$A$1000,"",0)</f>
        <v>BLK</v>
      </c>
    </row>
    <row r="1201" spans="1:12" hidden="1" x14ac:dyDescent="0.25">
      <c r="A1201" s="16" t="s">
        <v>20</v>
      </c>
      <c r="B1201" s="16" t="s">
        <v>640</v>
      </c>
      <c r="C1201" s="16" t="s">
        <v>279</v>
      </c>
      <c r="D1201" s="16" t="s">
        <v>280</v>
      </c>
      <c r="E1201" s="16">
        <v>1.6024137931034483</v>
      </c>
      <c r="F1201" s="16" t="s">
        <v>194</v>
      </c>
      <c r="G1201" s="16"/>
      <c r="H1201" s="16" t="s">
        <v>278</v>
      </c>
      <c r="I1201" s="16" t="s">
        <v>211</v>
      </c>
      <c r="J1201" s="16" t="str">
        <f>IF(ISNUMBER(SEARCH("SCRW", H1201)), _xlfn.XLOOKUP(C1201,dd_item!$A$2:$A$147,dd_item!$B$2:$B$147,"",0),_xlfn.XLOOKUP(H1201,dd_item!$A$2:$A$147,dd_item!$B$2:$B$147,"",0))</f>
        <v>Bead25</v>
      </c>
      <c r="K1201" s="16" t="str">
        <f>_xlfn.XLOOKUP(A1201,dd_design_raw!$C$2:$C$1002,dd_design_raw!$A$2:$A$1002,"",0)</f>
        <v>Fix Slide Window</v>
      </c>
      <c r="L1201" s="16" t="str">
        <f>_xlfn.XLOOKUP(I1201,dd_accsryclr!$A$2:$A$1000,dd_accsryclr!$A$2:$A$1000,"",0)</f>
        <v/>
      </c>
    </row>
    <row r="1202" spans="1:12" hidden="1" x14ac:dyDescent="0.25">
      <c r="A1202" s="16" t="s">
        <v>20</v>
      </c>
      <c r="B1202" s="16" t="s">
        <v>640</v>
      </c>
      <c r="C1202" s="16" t="s">
        <v>281</v>
      </c>
      <c r="D1202" s="16" t="s">
        <v>282</v>
      </c>
      <c r="E1202" s="16">
        <v>1.6024137931034483</v>
      </c>
      <c r="F1202" s="16" t="s">
        <v>194</v>
      </c>
      <c r="G1202" s="16"/>
      <c r="H1202" s="16" t="s">
        <v>278</v>
      </c>
      <c r="I1202" s="16" t="s">
        <v>214</v>
      </c>
      <c r="J1202" s="16" t="str">
        <f>IF(ISNUMBER(SEARCH("SCRW", H1202)), _xlfn.XLOOKUP(C1202,dd_item!$A$2:$A$147,dd_item!$B$2:$B$147,"",0),_xlfn.XLOOKUP(H1202,dd_item!$A$2:$A$147,dd_item!$B$2:$B$147,"",0))</f>
        <v>Bead25</v>
      </c>
      <c r="K1202" s="16" t="str">
        <f>_xlfn.XLOOKUP(A1202,dd_design_raw!$C$2:$C$1002,dd_design_raw!$A$2:$A$1002,"",0)</f>
        <v>Fix Slide Window</v>
      </c>
      <c r="L1202" s="16" t="str">
        <f>_xlfn.XLOOKUP(I1202,dd_accsryclr!$A$2:$A$1000,dd_accsryclr!$A$2:$A$1000,"",0)</f>
        <v/>
      </c>
    </row>
    <row r="1203" spans="1:12" hidden="1" x14ac:dyDescent="0.25">
      <c r="A1203" s="16" t="s">
        <v>20</v>
      </c>
      <c r="B1203" s="16" t="s">
        <v>640</v>
      </c>
      <c r="C1203" s="16" t="s">
        <v>283</v>
      </c>
      <c r="D1203" s="16" t="s">
        <v>284</v>
      </c>
      <c r="E1203" s="16">
        <v>1.6024137931034483</v>
      </c>
      <c r="F1203" s="16" t="s">
        <v>194</v>
      </c>
      <c r="G1203" s="16"/>
      <c r="H1203" s="16" t="s">
        <v>278</v>
      </c>
      <c r="I1203" s="16" t="s">
        <v>217</v>
      </c>
      <c r="J1203" s="16" t="str">
        <f>IF(ISNUMBER(SEARCH("SCRW", H1203)), _xlfn.XLOOKUP(C1203,dd_item!$A$2:$A$147,dd_item!$B$2:$B$147,"",0),_xlfn.XLOOKUP(H1203,dd_item!$A$2:$A$147,dd_item!$B$2:$B$147,"",0))</f>
        <v>Bead25</v>
      </c>
      <c r="K1203" s="16" t="str">
        <f>_xlfn.XLOOKUP(A1203,dd_design_raw!$C$2:$C$1002,dd_design_raw!$A$2:$A$1002,"",0)</f>
        <v>Fix Slide Window</v>
      </c>
      <c r="L1203" s="16" t="str">
        <f>_xlfn.XLOOKUP(I1203,dd_accsryclr!$A$2:$A$1000,dd_accsryclr!$A$2:$A$1000,"",0)</f>
        <v/>
      </c>
    </row>
    <row r="1204" spans="1:12" hidden="1" x14ac:dyDescent="0.25">
      <c r="A1204" s="16" t="s">
        <v>20</v>
      </c>
      <c r="B1204" s="16" t="s">
        <v>640</v>
      </c>
      <c r="C1204" s="16" t="s">
        <v>285</v>
      </c>
      <c r="D1204" s="16" t="s">
        <v>286</v>
      </c>
      <c r="E1204" s="16">
        <v>1.6024137931034483</v>
      </c>
      <c r="F1204" s="16" t="s">
        <v>194</v>
      </c>
      <c r="G1204" s="16"/>
      <c r="H1204" s="16" t="s">
        <v>278</v>
      </c>
      <c r="I1204" s="16" t="s">
        <v>226</v>
      </c>
      <c r="J1204" s="16" t="str">
        <f>IF(ISNUMBER(SEARCH("SCRW", H1204)), _xlfn.XLOOKUP(C1204,dd_item!$A$2:$A$147,dd_item!$B$2:$B$147,"",0),_xlfn.XLOOKUP(H1204,dd_item!$A$2:$A$147,dd_item!$B$2:$B$147,"",0))</f>
        <v>Bead25</v>
      </c>
      <c r="K1204" s="16" t="str">
        <f>_xlfn.XLOOKUP(A1204,dd_design_raw!$C$2:$C$1002,dd_design_raw!$A$2:$A$1002,"",0)</f>
        <v>Fix Slide Window</v>
      </c>
      <c r="L1204" s="16" t="str">
        <f>_xlfn.XLOOKUP(I1204,dd_accsryclr!$A$2:$A$1000,dd_accsryclr!$A$2:$A$1000,"",0)</f>
        <v/>
      </c>
    </row>
    <row r="1205" spans="1:12" hidden="1" x14ac:dyDescent="0.25">
      <c r="A1205" s="16" t="s">
        <v>20</v>
      </c>
      <c r="B1205" s="16" t="s">
        <v>640</v>
      </c>
      <c r="C1205" s="16" t="s">
        <v>287</v>
      </c>
      <c r="D1205" s="16" t="s">
        <v>288</v>
      </c>
      <c r="E1205" s="16">
        <v>1.6024137931034483</v>
      </c>
      <c r="F1205" s="16" t="s">
        <v>194</v>
      </c>
      <c r="G1205" s="16"/>
      <c r="H1205" s="16" t="s">
        <v>278</v>
      </c>
      <c r="I1205" s="16" t="s">
        <v>220</v>
      </c>
      <c r="J1205" s="16" t="str">
        <f>IF(ISNUMBER(SEARCH("SCRW", H1205)), _xlfn.XLOOKUP(C1205,dd_item!$A$2:$A$147,dd_item!$B$2:$B$147,"",0),_xlfn.XLOOKUP(H1205,dd_item!$A$2:$A$147,dd_item!$B$2:$B$147,"",0))</f>
        <v>Bead25</v>
      </c>
      <c r="K1205" s="16" t="str">
        <f>_xlfn.XLOOKUP(A1205,dd_design_raw!$C$2:$C$1002,dd_design_raw!$A$2:$A$1002,"",0)</f>
        <v>Fix Slide Window</v>
      </c>
      <c r="L1205" s="16" t="str">
        <f>_xlfn.XLOOKUP(I1205,dd_accsryclr!$A$2:$A$1000,dd_accsryclr!$A$2:$A$1000,"",0)</f>
        <v>WHT</v>
      </c>
    </row>
    <row r="1206" spans="1:12" hidden="1" x14ac:dyDescent="0.25">
      <c r="A1206" s="16" t="s">
        <v>20</v>
      </c>
      <c r="B1206" s="16" t="s">
        <v>640</v>
      </c>
      <c r="C1206" s="16" t="s">
        <v>289</v>
      </c>
      <c r="D1206" s="16" t="s">
        <v>290</v>
      </c>
      <c r="E1206" s="16">
        <v>1.6024137931034483</v>
      </c>
      <c r="F1206" s="16" t="s">
        <v>194</v>
      </c>
      <c r="G1206" s="16"/>
      <c r="H1206" s="16" t="s">
        <v>278</v>
      </c>
      <c r="I1206" s="16" t="s">
        <v>230</v>
      </c>
      <c r="J1206" s="16" t="str">
        <f>IF(ISNUMBER(SEARCH("SCRW", H1206)), _xlfn.XLOOKUP(C1206,dd_item!$A$2:$A$147,dd_item!$B$2:$B$147,"",0),_xlfn.XLOOKUP(H1206,dd_item!$A$2:$A$147,dd_item!$B$2:$B$147,"",0))</f>
        <v>Bead25</v>
      </c>
      <c r="K1206" s="16" t="str">
        <f>_xlfn.XLOOKUP(A1206,dd_design_raw!$C$2:$C$1002,dd_design_raw!$A$2:$A$1002,"",0)</f>
        <v>Fix Slide Window</v>
      </c>
      <c r="L1206" s="16" t="str">
        <f>_xlfn.XLOOKUP(I1206,dd_accsryclr!$A$2:$A$1000,dd_accsryclr!$A$2:$A$1000,"",0)</f>
        <v>BRWN</v>
      </c>
    </row>
    <row r="1207" spans="1:12" x14ac:dyDescent="0.25">
      <c r="A1207" s="16" t="s">
        <v>20</v>
      </c>
      <c r="B1207" s="16" t="s">
        <v>640</v>
      </c>
      <c r="C1207" s="16" t="s">
        <v>660</v>
      </c>
      <c r="D1207" s="16" t="s">
        <v>661</v>
      </c>
      <c r="E1207" s="16">
        <v>1</v>
      </c>
      <c r="F1207" s="16" t="s">
        <v>293</v>
      </c>
      <c r="G1207" s="16"/>
      <c r="H1207" s="16" t="s">
        <v>451</v>
      </c>
      <c r="I1207" s="16" t="s">
        <v>531</v>
      </c>
      <c r="J1207" s="16" t="str">
        <f>IF(ISNUMBER(SEARCH("SCRW", H1207)), _xlfn.XLOOKUP(C1207,dd_item!$A$2:$A$147,dd_item!$B$2:$B$147,"",0),_xlfn.XLOOKUP(H1207,dd_item!$A$2:$A$147,dd_item!$B$2:$B$147,"",0))</f>
        <v>Sliding Espagnolette</v>
      </c>
      <c r="K1207" s="16" t="str">
        <f>_xlfn.XLOOKUP(A1207,dd_design_raw!$C$2:$C$1002,dd_design_raw!$A$2:$A$1002,"",0)</f>
        <v>Fix Slide Window</v>
      </c>
      <c r="L1207" s="16" t="str">
        <f>_xlfn.XLOOKUP(I1207,dd_accsryclr!$A$2:$A$1000,dd_accsryclr!$A$2:$A$1000,"",0)</f>
        <v/>
      </c>
    </row>
    <row r="1208" spans="1:12" x14ac:dyDescent="0.25">
      <c r="A1208" s="16" t="s">
        <v>20</v>
      </c>
      <c r="B1208" s="16" t="s">
        <v>640</v>
      </c>
      <c r="C1208" s="16" t="s">
        <v>662</v>
      </c>
      <c r="D1208" s="16" t="s">
        <v>663</v>
      </c>
      <c r="E1208" s="16">
        <v>1</v>
      </c>
      <c r="F1208" s="16" t="s">
        <v>293</v>
      </c>
      <c r="G1208" s="16"/>
      <c r="H1208" s="16" t="s">
        <v>451</v>
      </c>
      <c r="I1208" s="16" t="s">
        <v>664</v>
      </c>
      <c r="J1208" s="16" t="str">
        <f>IF(ISNUMBER(SEARCH("SCRW", H1208)), _xlfn.XLOOKUP(C1208,dd_item!$A$2:$A$147,dd_item!$B$2:$B$147,"",0),_xlfn.XLOOKUP(H1208,dd_item!$A$2:$A$147,dd_item!$B$2:$B$147,"",0))</f>
        <v>Sliding Espagnolette</v>
      </c>
      <c r="K1208" s="16" t="str">
        <f>_xlfn.XLOOKUP(A1208,dd_design_raw!$C$2:$C$1002,dd_design_raw!$A$2:$A$1002,"",0)</f>
        <v>Fix Slide Window</v>
      </c>
      <c r="L1208" s="16" t="str">
        <f>_xlfn.XLOOKUP(I1208,dd_accsryclr!$A$2:$A$1000,dd_accsryclr!$A$2:$A$1000,"",0)</f>
        <v/>
      </c>
    </row>
    <row r="1209" spans="1:12" x14ac:dyDescent="0.25">
      <c r="A1209" s="16" t="s">
        <v>20</v>
      </c>
      <c r="B1209" s="16" t="s">
        <v>640</v>
      </c>
      <c r="C1209" s="16" t="s">
        <v>665</v>
      </c>
      <c r="D1209" s="16" t="s">
        <v>666</v>
      </c>
      <c r="E1209" s="16">
        <v>1</v>
      </c>
      <c r="F1209" s="16" t="s">
        <v>293</v>
      </c>
      <c r="G1209" s="16"/>
      <c r="H1209" s="16" t="s">
        <v>451</v>
      </c>
      <c r="I1209" s="16" t="s">
        <v>536</v>
      </c>
      <c r="J1209" s="16" t="str">
        <f>IF(ISNUMBER(SEARCH("SCRW", H1209)), _xlfn.XLOOKUP(C1209,dd_item!$A$2:$A$147,dd_item!$B$2:$B$147,"",0),_xlfn.XLOOKUP(H1209,dd_item!$A$2:$A$147,dd_item!$B$2:$B$147,"",0))</f>
        <v>Sliding Espagnolette</v>
      </c>
      <c r="K1209" s="16" t="str">
        <f>_xlfn.XLOOKUP(A1209,dd_design_raw!$C$2:$C$1002,dd_design_raw!$A$2:$A$1002,"",0)</f>
        <v>Fix Slide Window</v>
      </c>
      <c r="L1209" s="16" t="str">
        <f>_xlfn.XLOOKUP(I1209,dd_accsryclr!$A$2:$A$1000,dd_accsryclr!$A$2:$A$1000,"",0)</f>
        <v/>
      </c>
    </row>
    <row r="1210" spans="1:12" hidden="1" x14ac:dyDescent="0.25">
      <c r="A1210" s="16" t="s">
        <v>20</v>
      </c>
      <c r="B1210" s="16" t="s">
        <v>640</v>
      </c>
      <c r="C1210" s="16" t="s">
        <v>303</v>
      </c>
      <c r="D1210" s="16" t="s">
        <v>304</v>
      </c>
      <c r="E1210" s="16">
        <v>4</v>
      </c>
      <c r="F1210" s="16" t="s">
        <v>293</v>
      </c>
      <c r="G1210" s="16"/>
      <c r="H1210" s="16" t="s">
        <v>305</v>
      </c>
      <c r="I1210" s="16"/>
      <c r="J1210" s="16" t="str">
        <f>IF(ISNUMBER(SEARCH("SCRW", H1210)), _xlfn.XLOOKUP(C1210,dd_item!$A$2:$A$147,dd_item!$B$2:$B$147,"",0),_xlfn.XLOOKUP(H1210,dd_item!$A$2:$A$147,dd_item!$B$2:$B$147,"",0))</f>
        <v>Rubber Stopper</v>
      </c>
      <c r="K1210" s="16" t="str">
        <f>_xlfn.XLOOKUP(A1210,dd_design_raw!$C$2:$C$1002,dd_design_raw!$A$2:$A$1002,"",0)</f>
        <v>Fix Slide Window</v>
      </c>
      <c r="L1210" s="16" t="str">
        <f>_xlfn.XLOOKUP(I1210,dd_accsryclr!$A$2:$A$1000,dd_accsryclr!$A$2:$A$1000,"",0)</f>
        <v/>
      </c>
    </row>
    <row r="1211" spans="1:12" hidden="1" x14ac:dyDescent="0.25">
      <c r="A1211" s="16" t="s">
        <v>20</v>
      </c>
      <c r="B1211" s="16" t="s">
        <v>640</v>
      </c>
      <c r="C1211" s="16" t="s">
        <v>306</v>
      </c>
      <c r="D1211" s="16" t="s">
        <v>307</v>
      </c>
      <c r="E1211" s="16">
        <v>2</v>
      </c>
      <c r="F1211" s="16" t="s">
        <v>293</v>
      </c>
      <c r="G1211" s="16"/>
      <c r="H1211" s="16" t="s">
        <v>308</v>
      </c>
      <c r="I1211" s="16" t="s">
        <v>230</v>
      </c>
      <c r="J1211" s="16" t="str">
        <f>IF(ISNUMBER(SEARCH("SCRW", H1211)), _xlfn.XLOOKUP(C1211,dd_item!$A$2:$A$147,dd_item!$B$2:$B$147,"",0),_xlfn.XLOOKUP(H1211,dd_item!$A$2:$A$147,dd_item!$B$2:$B$147,"",0))</f>
        <v>Track Bridge</v>
      </c>
      <c r="K1211" s="16" t="str">
        <f>_xlfn.XLOOKUP(A1211,dd_design_raw!$C$2:$C$1002,dd_design_raw!$A$2:$A$1002,"",0)</f>
        <v>Fix Slide Window</v>
      </c>
      <c r="L1211" s="16" t="str">
        <f>_xlfn.XLOOKUP(I1211,dd_accsryclr!$A$2:$A$1000,dd_accsryclr!$A$2:$A$1000,"",0)</f>
        <v>BRWN</v>
      </c>
    </row>
    <row r="1212" spans="1:12" hidden="1" x14ac:dyDescent="0.25">
      <c r="A1212" s="16" t="s">
        <v>20</v>
      </c>
      <c r="B1212" s="16" t="s">
        <v>640</v>
      </c>
      <c r="C1212" s="16" t="s">
        <v>309</v>
      </c>
      <c r="D1212" s="16" t="s">
        <v>310</v>
      </c>
      <c r="E1212" s="16">
        <v>2</v>
      </c>
      <c r="F1212" s="16" t="s">
        <v>293</v>
      </c>
      <c r="G1212" s="16"/>
      <c r="H1212" s="16" t="s">
        <v>308</v>
      </c>
      <c r="I1212" s="16" t="s">
        <v>220</v>
      </c>
      <c r="J1212" s="16" t="str">
        <f>IF(ISNUMBER(SEARCH("SCRW", H1212)), _xlfn.XLOOKUP(C1212,dd_item!$A$2:$A$147,dd_item!$B$2:$B$147,"",0),_xlfn.XLOOKUP(H1212,dd_item!$A$2:$A$147,dd_item!$B$2:$B$147,"",0))</f>
        <v>Track Bridge</v>
      </c>
      <c r="K1212" s="16" t="str">
        <f>_xlfn.XLOOKUP(A1212,dd_design_raw!$C$2:$C$1002,dd_design_raw!$A$2:$A$1002,"",0)</f>
        <v>Fix Slide Window</v>
      </c>
      <c r="L1212" s="16" t="str">
        <f>_xlfn.XLOOKUP(I1212,dd_accsryclr!$A$2:$A$1000,dd_accsryclr!$A$2:$A$1000,"",0)</f>
        <v>WHT</v>
      </c>
    </row>
    <row r="1213" spans="1:12" hidden="1" x14ac:dyDescent="0.25">
      <c r="A1213" s="16" t="s">
        <v>20</v>
      </c>
      <c r="B1213" s="16" t="s">
        <v>640</v>
      </c>
      <c r="C1213" s="16" t="s">
        <v>667</v>
      </c>
      <c r="D1213" s="16" t="s">
        <v>668</v>
      </c>
      <c r="E1213" s="16">
        <v>2</v>
      </c>
      <c r="F1213" s="16" t="s">
        <v>293</v>
      </c>
      <c r="G1213" s="16"/>
      <c r="H1213" s="16" t="s">
        <v>669</v>
      </c>
      <c r="I1213" s="16"/>
      <c r="J1213" s="16" t="str">
        <f>IF(ISNUMBER(SEARCH("SCRW", H1213)), _xlfn.XLOOKUP(C1213,dd_item!$A$2:$A$147,dd_item!$B$2:$B$147,"",0),_xlfn.XLOOKUP(H1213,dd_item!$A$2:$A$147,dd_item!$B$2:$B$147,"",0))</f>
        <v>Roller Single Bearing</v>
      </c>
      <c r="K1213" s="16" t="str">
        <f>_xlfn.XLOOKUP(A1213,dd_design_raw!$C$2:$C$1002,dd_design_raw!$A$2:$A$1002,"",0)</f>
        <v>Fix Slide Window</v>
      </c>
      <c r="L1213" s="16" t="str">
        <f>_xlfn.XLOOKUP(I1213,dd_accsryclr!$A$2:$A$1000,dd_accsryclr!$A$2:$A$1000,"",0)</f>
        <v/>
      </c>
    </row>
    <row r="1214" spans="1:12" hidden="1" x14ac:dyDescent="0.25">
      <c r="A1214" s="16" t="s">
        <v>20</v>
      </c>
      <c r="B1214" s="16" t="s">
        <v>640</v>
      </c>
      <c r="C1214" s="16" t="s">
        <v>670</v>
      </c>
      <c r="D1214" s="16" t="s">
        <v>671</v>
      </c>
      <c r="E1214" s="16">
        <v>2</v>
      </c>
      <c r="F1214" s="16" t="s">
        <v>293</v>
      </c>
      <c r="G1214" s="16"/>
      <c r="H1214" s="16" t="s">
        <v>672</v>
      </c>
      <c r="I1214" s="16"/>
      <c r="J1214" s="16" t="str">
        <f>IF(ISNUMBER(SEARCH("SCRW", H1214)), _xlfn.XLOOKUP(C1214,dd_item!$A$2:$A$147,dd_item!$B$2:$B$147,"",0),_xlfn.XLOOKUP(H1214,dd_item!$A$2:$A$147,dd_item!$B$2:$B$147,"",0))</f>
        <v>Roller for Screen</v>
      </c>
      <c r="K1214" s="16" t="str">
        <f>_xlfn.XLOOKUP(A1214,dd_design_raw!$C$2:$C$1002,dd_design_raw!$A$2:$A$1002,"",0)</f>
        <v>Fix Slide Window</v>
      </c>
      <c r="L1214" s="16" t="str">
        <f>_xlfn.XLOOKUP(I1214,dd_accsryclr!$A$2:$A$1000,dd_accsryclr!$A$2:$A$1000,"",0)</f>
        <v/>
      </c>
    </row>
    <row r="1215" spans="1:12" hidden="1" x14ac:dyDescent="0.25">
      <c r="A1215" s="16" t="s">
        <v>20</v>
      </c>
      <c r="B1215" s="16" t="s">
        <v>640</v>
      </c>
      <c r="C1215" s="16" t="s">
        <v>319</v>
      </c>
      <c r="D1215" s="16" t="s">
        <v>320</v>
      </c>
      <c r="E1215" s="16">
        <v>0.49655172413793103</v>
      </c>
      <c r="F1215" s="16" t="s">
        <v>194</v>
      </c>
      <c r="G1215" s="16"/>
      <c r="H1215" s="16" t="s">
        <v>321</v>
      </c>
      <c r="I1215" s="16" t="s">
        <v>211</v>
      </c>
      <c r="J1215" s="16" t="str">
        <f>IF(ISNUMBER(SEARCH("SCRW", H1215)), _xlfn.XLOOKUP(C1215,dd_item!$A$2:$A$147,dd_item!$B$2:$B$147,"",0),_xlfn.XLOOKUP(H1215,dd_item!$A$2:$A$147,dd_item!$B$2:$B$147,"",0))</f>
        <v>Interlocker45</v>
      </c>
      <c r="K1215" s="16" t="str">
        <f>_xlfn.XLOOKUP(A1215,dd_design_raw!$C$2:$C$1002,dd_design_raw!$A$2:$A$1002,"",0)</f>
        <v>Fix Slide Window</v>
      </c>
      <c r="L1215" s="16" t="str">
        <f>_xlfn.XLOOKUP(I1215,dd_accsryclr!$A$2:$A$1000,dd_accsryclr!$A$2:$A$1000,"",0)</f>
        <v/>
      </c>
    </row>
    <row r="1216" spans="1:12" hidden="1" x14ac:dyDescent="0.25">
      <c r="A1216" s="16" t="s">
        <v>20</v>
      </c>
      <c r="B1216" s="16" t="s">
        <v>640</v>
      </c>
      <c r="C1216" s="16" t="s">
        <v>322</v>
      </c>
      <c r="D1216" s="16" t="s">
        <v>323</v>
      </c>
      <c r="E1216" s="16">
        <v>0.49655172413793103</v>
      </c>
      <c r="F1216" s="16" t="s">
        <v>194</v>
      </c>
      <c r="G1216" s="16"/>
      <c r="H1216" s="16" t="s">
        <v>321</v>
      </c>
      <c r="I1216" s="16" t="s">
        <v>214</v>
      </c>
      <c r="J1216" s="16" t="str">
        <f>IF(ISNUMBER(SEARCH("SCRW", H1216)), _xlfn.XLOOKUP(C1216,dd_item!$A$2:$A$147,dd_item!$B$2:$B$147,"",0),_xlfn.XLOOKUP(H1216,dd_item!$A$2:$A$147,dd_item!$B$2:$B$147,"",0))</f>
        <v>Interlocker45</v>
      </c>
      <c r="K1216" s="16" t="str">
        <f>_xlfn.XLOOKUP(A1216,dd_design_raw!$C$2:$C$1002,dd_design_raw!$A$2:$A$1002,"",0)</f>
        <v>Fix Slide Window</v>
      </c>
      <c r="L1216" s="16" t="str">
        <f>_xlfn.XLOOKUP(I1216,dd_accsryclr!$A$2:$A$1000,dd_accsryclr!$A$2:$A$1000,"",0)</f>
        <v/>
      </c>
    </row>
    <row r="1217" spans="1:12" hidden="1" x14ac:dyDescent="0.25">
      <c r="A1217" s="16" t="s">
        <v>20</v>
      </c>
      <c r="B1217" s="16" t="s">
        <v>640</v>
      </c>
      <c r="C1217" s="16" t="s">
        <v>324</v>
      </c>
      <c r="D1217" s="16" t="s">
        <v>325</v>
      </c>
      <c r="E1217" s="16">
        <v>0.49655172413793103</v>
      </c>
      <c r="F1217" s="16" t="s">
        <v>194</v>
      </c>
      <c r="G1217" s="16"/>
      <c r="H1217" s="16" t="s">
        <v>321</v>
      </c>
      <c r="I1217" s="16" t="s">
        <v>217</v>
      </c>
      <c r="J1217" s="16" t="str">
        <f>IF(ISNUMBER(SEARCH("SCRW", H1217)), _xlfn.XLOOKUP(C1217,dd_item!$A$2:$A$147,dd_item!$B$2:$B$147,"",0),_xlfn.XLOOKUP(H1217,dd_item!$A$2:$A$147,dd_item!$B$2:$B$147,"",0))</f>
        <v>Interlocker45</v>
      </c>
      <c r="K1217" s="16" t="str">
        <f>_xlfn.XLOOKUP(A1217,dd_design_raw!$C$2:$C$1002,dd_design_raw!$A$2:$A$1002,"",0)</f>
        <v>Fix Slide Window</v>
      </c>
      <c r="L1217" s="16" t="str">
        <f>_xlfn.XLOOKUP(I1217,dd_accsryclr!$A$2:$A$1000,dd_accsryclr!$A$2:$A$1000,"",0)</f>
        <v/>
      </c>
    </row>
    <row r="1218" spans="1:12" hidden="1" x14ac:dyDescent="0.25">
      <c r="A1218" s="16" t="s">
        <v>20</v>
      </c>
      <c r="B1218" s="16" t="s">
        <v>640</v>
      </c>
      <c r="C1218" s="16" t="s">
        <v>326</v>
      </c>
      <c r="D1218" s="16" t="s">
        <v>327</v>
      </c>
      <c r="E1218" s="16">
        <v>0.49655172413793103</v>
      </c>
      <c r="F1218" s="16" t="s">
        <v>194</v>
      </c>
      <c r="G1218" s="16"/>
      <c r="H1218" s="16" t="s">
        <v>321</v>
      </c>
      <c r="I1218" s="16" t="s">
        <v>226</v>
      </c>
      <c r="J1218" s="16" t="str">
        <f>IF(ISNUMBER(SEARCH("SCRW", H1218)), _xlfn.XLOOKUP(C1218,dd_item!$A$2:$A$147,dd_item!$B$2:$B$147,"",0),_xlfn.XLOOKUP(H1218,dd_item!$A$2:$A$147,dd_item!$B$2:$B$147,"",0))</f>
        <v>Interlocker45</v>
      </c>
      <c r="K1218" s="16" t="str">
        <f>_xlfn.XLOOKUP(A1218,dd_design_raw!$C$2:$C$1002,dd_design_raw!$A$2:$A$1002,"",0)</f>
        <v>Fix Slide Window</v>
      </c>
      <c r="L1218" s="16" t="str">
        <f>_xlfn.XLOOKUP(I1218,dd_accsryclr!$A$2:$A$1000,dd_accsryclr!$A$2:$A$1000,"",0)</f>
        <v/>
      </c>
    </row>
    <row r="1219" spans="1:12" hidden="1" x14ac:dyDescent="0.25">
      <c r="A1219" s="16" t="s">
        <v>20</v>
      </c>
      <c r="B1219" s="16" t="s">
        <v>640</v>
      </c>
      <c r="C1219" s="16" t="s">
        <v>328</v>
      </c>
      <c r="D1219" s="16" t="s">
        <v>329</v>
      </c>
      <c r="E1219" s="16">
        <v>0.49655172413793103</v>
      </c>
      <c r="F1219" s="16" t="s">
        <v>194</v>
      </c>
      <c r="G1219" s="16"/>
      <c r="H1219" s="16" t="s">
        <v>321</v>
      </c>
      <c r="I1219" s="16" t="s">
        <v>220</v>
      </c>
      <c r="J1219" s="16" t="str">
        <f>IF(ISNUMBER(SEARCH("SCRW", H1219)), _xlfn.XLOOKUP(C1219,dd_item!$A$2:$A$147,dd_item!$B$2:$B$147,"",0),_xlfn.XLOOKUP(H1219,dd_item!$A$2:$A$147,dd_item!$B$2:$B$147,"",0))</f>
        <v>Interlocker45</v>
      </c>
      <c r="K1219" s="16" t="str">
        <f>_xlfn.XLOOKUP(A1219,dd_design_raw!$C$2:$C$1002,dd_design_raw!$A$2:$A$1002,"",0)</f>
        <v>Fix Slide Window</v>
      </c>
      <c r="L1219" s="16" t="str">
        <f>_xlfn.XLOOKUP(I1219,dd_accsryclr!$A$2:$A$1000,dd_accsryclr!$A$2:$A$1000,"",0)</f>
        <v>WHT</v>
      </c>
    </row>
    <row r="1220" spans="1:12" hidden="1" x14ac:dyDescent="0.25">
      <c r="A1220" s="16" t="s">
        <v>20</v>
      </c>
      <c r="B1220" s="16" t="s">
        <v>640</v>
      </c>
      <c r="C1220" s="16" t="s">
        <v>330</v>
      </c>
      <c r="D1220" s="16" t="s">
        <v>331</v>
      </c>
      <c r="E1220" s="16">
        <v>0.49655172413793103</v>
      </c>
      <c r="F1220" s="16" t="s">
        <v>194</v>
      </c>
      <c r="G1220" s="16"/>
      <c r="H1220" s="16" t="s">
        <v>321</v>
      </c>
      <c r="I1220" s="16" t="s">
        <v>223</v>
      </c>
      <c r="J1220" s="16" t="str">
        <f>IF(ISNUMBER(SEARCH("SCRW", H1220)), _xlfn.XLOOKUP(C1220,dd_item!$A$2:$A$147,dd_item!$B$2:$B$147,"",0),_xlfn.XLOOKUP(H1220,dd_item!$A$2:$A$147,dd_item!$B$2:$B$147,"",0))</f>
        <v>Interlocker45</v>
      </c>
      <c r="K1220" s="16" t="str">
        <f>_xlfn.XLOOKUP(A1220,dd_design_raw!$C$2:$C$1002,dd_design_raw!$A$2:$A$1002,"",0)</f>
        <v>Fix Slide Window</v>
      </c>
      <c r="L1220" s="16" t="str">
        <f>_xlfn.XLOOKUP(I1220,dd_accsryclr!$A$2:$A$1000,dd_accsryclr!$A$2:$A$1000,"",0)</f>
        <v>BLK</v>
      </c>
    </row>
    <row r="1221" spans="1:12" hidden="1" x14ac:dyDescent="0.25">
      <c r="A1221" s="16" t="s">
        <v>20</v>
      </c>
      <c r="B1221" s="16" t="s">
        <v>640</v>
      </c>
      <c r="C1221" s="16" t="s">
        <v>332</v>
      </c>
      <c r="D1221" s="16" t="s">
        <v>333</v>
      </c>
      <c r="E1221" s="16">
        <v>0.49655172413793103</v>
      </c>
      <c r="F1221" s="16" t="s">
        <v>194</v>
      </c>
      <c r="G1221" s="16"/>
      <c r="H1221" s="16" t="s">
        <v>321</v>
      </c>
      <c r="I1221" s="16" t="s">
        <v>230</v>
      </c>
      <c r="J1221" s="16" t="str">
        <f>IF(ISNUMBER(SEARCH("SCRW", H1221)), _xlfn.XLOOKUP(C1221,dd_item!$A$2:$A$147,dd_item!$B$2:$B$147,"",0),_xlfn.XLOOKUP(H1221,dd_item!$A$2:$A$147,dd_item!$B$2:$B$147,"",0))</f>
        <v>Interlocker45</v>
      </c>
      <c r="K1221" s="16" t="str">
        <f>_xlfn.XLOOKUP(A1221,dd_design_raw!$C$2:$C$1002,dd_design_raw!$A$2:$A$1002,"",0)</f>
        <v>Fix Slide Window</v>
      </c>
      <c r="L1221" s="16" t="str">
        <f>_xlfn.XLOOKUP(I1221,dd_accsryclr!$A$2:$A$1000,dd_accsryclr!$A$2:$A$1000,"",0)</f>
        <v>BRWN</v>
      </c>
    </row>
    <row r="1222" spans="1:12" hidden="1" x14ac:dyDescent="0.25">
      <c r="A1222" s="16" t="s">
        <v>20</v>
      </c>
      <c r="B1222" s="16" t="s">
        <v>640</v>
      </c>
      <c r="C1222" s="16" t="s">
        <v>364</v>
      </c>
      <c r="D1222" s="16" t="s">
        <v>365</v>
      </c>
      <c r="E1222" s="16">
        <v>0.62068965517241381</v>
      </c>
      <c r="F1222" s="16" t="s">
        <v>293</v>
      </c>
      <c r="G1222" s="16"/>
      <c r="H1222" s="16" t="s">
        <v>366</v>
      </c>
      <c r="I1222" s="16" t="s">
        <v>443</v>
      </c>
      <c r="J1222" s="16" t="str">
        <f>IF(ISNUMBER(SEARCH("SCRW", H1222)), _xlfn.XLOOKUP(C1222,dd_item!$A$2:$A$147,dd_item!$B$2:$B$147,"",0),_xlfn.XLOOKUP(H1222,dd_item!$A$2:$A$147,dd_item!$B$2:$B$147,"",0))</f>
        <v>Aluminum Track</v>
      </c>
      <c r="K1222" s="16" t="str">
        <f>_xlfn.XLOOKUP(A1222,dd_design_raw!$C$2:$C$1002,dd_design_raw!$A$2:$A$1002,"",0)</f>
        <v>Fix Slide Window</v>
      </c>
      <c r="L1222" s="16" t="str">
        <f>_xlfn.XLOOKUP(I1222,dd_accsryclr!$A$2:$A$1000,dd_accsryclr!$A$2:$A$1000,"",0)</f>
        <v/>
      </c>
    </row>
    <row r="1223" spans="1:12" hidden="1" x14ac:dyDescent="0.25">
      <c r="A1223" s="16" t="s">
        <v>20</v>
      </c>
      <c r="B1223" s="16" t="s">
        <v>640</v>
      </c>
      <c r="C1223" s="16" t="s">
        <v>673</v>
      </c>
      <c r="D1223" s="16" t="s">
        <v>674</v>
      </c>
      <c r="E1223" s="16">
        <v>1</v>
      </c>
      <c r="F1223" s="16" t="s">
        <v>369</v>
      </c>
      <c r="G1223" s="16"/>
      <c r="H1223" s="16" t="s">
        <v>675</v>
      </c>
      <c r="I1223" s="16" t="s">
        <v>223</v>
      </c>
      <c r="J1223" s="16" t="str">
        <f>IF(ISNUMBER(SEARCH("SCRW", H1223)), _xlfn.XLOOKUP(C1223,dd_item!$A$2:$A$147,dd_item!$B$2:$B$147,"",0),_xlfn.XLOOKUP(H1223,dd_item!$A$2:$A$147,dd_item!$B$2:$B$147,"",0))</f>
        <v>Sliding Espag Handle</v>
      </c>
      <c r="K1223" s="16" t="str">
        <f>_xlfn.XLOOKUP(A1223,dd_design_raw!$C$2:$C$1002,dd_design_raw!$A$2:$A$1002,"",0)</f>
        <v>Fix Slide Window</v>
      </c>
      <c r="L1223" s="16" t="str">
        <f>_xlfn.XLOOKUP(I1223,dd_accsryclr!$A$2:$A$1000,dd_accsryclr!$A$2:$A$1000,"",0)</f>
        <v>BLK</v>
      </c>
    </row>
    <row r="1224" spans="1:12" hidden="1" x14ac:dyDescent="0.25">
      <c r="A1224" s="16" t="s">
        <v>20</v>
      </c>
      <c r="B1224" s="16" t="s">
        <v>640</v>
      </c>
      <c r="C1224" s="16" t="s">
        <v>676</v>
      </c>
      <c r="D1224" s="16" t="s">
        <v>677</v>
      </c>
      <c r="E1224" s="16">
        <v>1</v>
      </c>
      <c r="F1224" s="16" t="s">
        <v>369</v>
      </c>
      <c r="G1224" s="16"/>
      <c r="H1224" s="16" t="s">
        <v>675</v>
      </c>
      <c r="I1224" s="16" t="s">
        <v>220</v>
      </c>
      <c r="J1224" s="16" t="str">
        <f>IF(ISNUMBER(SEARCH("SCRW", H1224)), _xlfn.XLOOKUP(C1224,dd_item!$A$2:$A$147,dd_item!$B$2:$B$147,"",0),_xlfn.XLOOKUP(H1224,dd_item!$A$2:$A$147,dd_item!$B$2:$B$147,"",0))</f>
        <v>Sliding Espag Handle</v>
      </c>
      <c r="K1224" s="16" t="str">
        <f>_xlfn.XLOOKUP(A1224,dd_design_raw!$C$2:$C$1002,dd_design_raw!$A$2:$A$1002,"",0)</f>
        <v>Fix Slide Window</v>
      </c>
      <c r="L1224" s="16" t="str">
        <f>_xlfn.XLOOKUP(I1224,dd_accsryclr!$A$2:$A$1000,dd_accsryclr!$A$2:$A$1000,"",0)</f>
        <v>WHT</v>
      </c>
    </row>
    <row r="1225" spans="1:12" hidden="1" x14ac:dyDescent="0.25">
      <c r="A1225" s="16" t="s">
        <v>20</v>
      </c>
      <c r="B1225" s="16" t="s">
        <v>640</v>
      </c>
      <c r="C1225" s="16" t="s">
        <v>678</v>
      </c>
      <c r="D1225" s="16" t="s">
        <v>679</v>
      </c>
      <c r="E1225" s="16">
        <v>1</v>
      </c>
      <c r="F1225" s="16" t="s">
        <v>369</v>
      </c>
      <c r="G1225" s="16"/>
      <c r="H1225" s="16" t="s">
        <v>680</v>
      </c>
      <c r="I1225" s="16" t="s">
        <v>223</v>
      </c>
      <c r="J1225" s="16" t="str">
        <f>IF(ISNUMBER(SEARCH("SCRW", H1225)), _xlfn.XLOOKUP(C1225,dd_item!$A$2:$A$147,dd_item!$B$2:$B$147,"",0),_xlfn.XLOOKUP(H1225,dd_item!$A$2:$A$147,dd_item!$B$2:$B$147,"",0))</f>
        <v>Double Side Handle Inside Low Height</v>
      </c>
      <c r="K1225" s="16" t="str">
        <f>_xlfn.XLOOKUP(A1225,dd_design_raw!$C$2:$C$1002,dd_design_raw!$A$2:$A$1002,"",0)</f>
        <v>Fix Slide Window</v>
      </c>
      <c r="L1225" s="16" t="str">
        <f>_xlfn.XLOOKUP(I1225,dd_accsryclr!$A$2:$A$1000,dd_accsryclr!$A$2:$A$1000,"",0)</f>
        <v>BLK</v>
      </c>
    </row>
    <row r="1226" spans="1:12" hidden="1" x14ac:dyDescent="0.25">
      <c r="A1226" s="16" t="s">
        <v>20</v>
      </c>
      <c r="B1226" s="16" t="s">
        <v>640</v>
      </c>
      <c r="C1226" s="16" t="s">
        <v>681</v>
      </c>
      <c r="D1226" s="16" t="s">
        <v>682</v>
      </c>
      <c r="E1226" s="16">
        <v>1</v>
      </c>
      <c r="F1226" s="16" t="s">
        <v>369</v>
      </c>
      <c r="G1226" s="16"/>
      <c r="H1226" s="16" t="s">
        <v>680</v>
      </c>
      <c r="I1226" s="16" t="s">
        <v>220</v>
      </c>
      <c r="J1226" s="16" t="str">
        <f>IF(ISNUMBER(SEARCH("SCRW", H1226)), _xlfn.XLOOKUP(C1226,dd_item!$A$2:$A$147,dd_item!$B$2:$B$147,"",0),_xlfn.XLOOKUP(H1226,dd_item!$A$2:$A$147,dd_item!$B$2:$B$147,"",0))</f>
        <v>Double Side Handle Inside Low Height</v>
      </c>
      <c r="K1226" s="16" t="str">
        <f>_xlfn.XLOOKUP(A1226,dd_design_raw!$C$2:$C$1002,dd_design_raw!$A$2:$A$1002,"",0)</f>
        <v>Fix Slide Window</v>
      </c>
      <c r="L1226" s="16" t="str">
        <f>_xlfn.XLOOKUP(I1226,dd_accsryclr!$A$2:$A$1000,dd_accsryclr!$A$2:$A$1000,"",0)</f>
        <v>WHT</v>
      </c>
    </row>
    <row r="1227" spans="1:12" hidden="1" x14ac:dyDescent="0.25">
      <c r="A1227" s="16" t="s">
        <v>20</v>
      </c>
      <c r="B1227" s="16" t="s">
        <v>640</v>
      </c>
      <c r="C1227" s="16" t="s">
        <v>387</v>
      </c>
      <c r="D1227" s="16" t="s">
        <v>388</v>
      </c>
      <c r="E1227" s="16">
        <v>3</v>
      </c>
      <c r="F1227" s="16" t="s">
        <v>369</v>
      </c>
      <c r="G1227" s="16"/>
      <c r="H1227" s="16" t="s">
        <v>389</v>
      </c>
      <c r="I1227" s="16" t="s">
        <v>574</v>
      </c>
      <c r="J1227" s="16" t="str">
        <f>IF(ISNUMBER(SEARCH("SCRW", H1227)), _xlfn.XLOOKUP(C1227,dd_item!$A$2:$A$147,dd_item!$B$2:$B$147,"",0),_xlfn.XLOOKUP(H1227,dd_item!$A$2:$A$147,dd_item!$B$2:$B$147,"",0))</f>
        <v>Sliding Striker (Roto)</v>
      </c>
      <c r="K1227" s="16" t="str">
        <f>_xlfn.XLOOKUP(A1227,dd_design_raw!$C$2:$C$1002,dd_design_raw!$A$2:$A$1002,"",0)</f>
        <v>Fix Slide Window</v>
      </c>
      <c r="L1227" s="16" t="str">
        <f>_xlfn.XLOOKUP(I1227,dd_accsryclr!$A$2:$A$1000,dd_accsryclr!$A$2:$A$1000,"",0)</f>
        <v/>
      </c>
    </row>
    <row r="1228" spans="1:12" hidden="1" x14ac:dyDescent="0.25">
      <c r="A1228" s="16" t="s">
        <v>20</v>
      </c>
      <c r="B1228" s="16" t="s">
        <v>640</v>
      </c>
      <c r="C1228" s="16" t="s">
        <v>390</v>
      </c>
      <c r="D1228" s="16" t="s">
        <v>391</v>
      </c>
      <c r="E1228" s="16">
        <v>19.240000000000002</v>
      </c>
      <c r="F1228" s="16" t="s">
        <v>369</v>
      </c>
      <c r="G1228" s="16"/>
      <c r="H1228" s="16" t="s">
        <v>792</v>
      </c>
      <c r="I1228" s="16"/>
      <c r="J1228" s="16" t="str">
        <f>IF(ISNUMBER(SEARCH("SCRW", H1228)), _xlfn.XLOOKUP(C1228,dd_item!$A$2:$A$147,dd_item!$B$2:$B$147,"",0),_xlfn.XLOOKUP(H1228,dd_item!$A$2:$A$147,dd_item!$B$2:$B$147,"",0))</f>
        <v>Atlas Screw (S) 10 x 2-1/2" (Flat)</v>
      </c>
      <c r="K1228" s="16" t="str">
        <f>_xlfn.XLOOKUP(A1228,dd_design_raw!$C$2:$C$1002,dd_design_raw!$A$2:$A$1002,"",0)</f>
        <v>Fix Slide Window</v>
      </c>
      <c r="L1228" s="16" t="str">
        <f>_xlfn.XLOOKUP(I1228,dd_accsryclr!$A$2:$A$1000,dd_accsryclr!$A$2:$A$1000,"",0)</f>
        <v/>
      </c>
    </row>
    <row r="1229" spans="1:12" hidden="1" x14ac:dyDescent="0.25">
      <c r="A1229" s="16" t="s">
        <v>20</v>
      </c>
      <c r="B1229" s="16" t="s">
        <v>640</v>
      </c>
      <c r="C1229" s="16" t="s">
        <v>392</v>
      </c>
      <c r="D1229" s="16" t="s">
        <v>393</v>
      </c>
      <c r="E1229" s="16">
        <v>3</v>
      </c>
      <c r="F1229" s="16" t="s">
        <v>369</v>
      </c>
      <c r="G1229" s="16"/>
      <c r="H1229" s="16" t="s">
        <v>394</v>
      </c>
      <c r="I1229" s="16" t="s">
        <v>223</v>
      </c>
      <c r="J1229" s="16" t="str">
        <f>IF(ISNUMBER(SEARCH("SCRW", H1229)), _xlfn.XLOOKUP(C1229,dd_item!$A$2:$A$147,dd_item!$B$2:$B$147,"",0),_xlfn.XLOOKUP(H1229,dd_item!$A$2:$A$147,dd_item!$B$2:$B$147,"",0))</f>
        <v>Drainage Cover</v>
      </c>
      <c r="K1229" s="16" t="str">
        <f>_xlfn.XLOOKUP(A1229,dd_design_raw!$C$2:$C$1002,dd_design_raw!$A$2:$A$1002,"",0)</f>
        <v>Fix Slide Window</v>
      </c>
      <c r="L1229" s="16" t="str">
        <f>_xlfn.XLOOKUP(I1229,dd_accsryclr!$A$2:$A$1000,dd_accsryclr!$A$2:$A$1000,"",0)</f>
        <v>BLK</v>
      </c>
    </row>
    <row r="1230" spans="1:12" hidden="1" x14ac:dyDescent="0.25">
      <c r="A1230" s="16" t="s">
        <v>20</v>
      </c>
      <c r="B1230" s="16" t="s">
        <v>640</v>
      </c>
      <c r="C1230" s="16" t="s">
        <v>395</v>
      </c>
      <c r="D1230" s="16" t="s">
        <v>396</v>
      </c>
      <c r="E1230" s="16">
        <v>3</v>
      </c>
      <c r="F1230" s="16" t="s">
        <v>369</v>
      </c>
      <c r="G1230" s="16"/>
      <c r="H1230" s="16" t="s">
        <v>394</v>
      </c>
      <c r="I1230" s="16" t="s">
        <v>220</v>
      </c>
      <c r="J1230" s="16" t="str">
        <f>IF(ISNUMBER(SEARCH("SCRW", H1230)), _xlfn.XLOOKUP(C1230,dd_item!$A$2:$A$147,dd_item!$B$2:$B$147,"",0),_xlfn.XLOOKUP(H1230,dd_item!$A$2:$A$147,dd_item!$B$2:$B$147,"",0))</f>
        <v>Drainage Cover</v>
      </c>
      <c r="K1230" s="16" t="str">
        <f>_xlfn.XLOOKUP(A1230,dd_design_raw!$C$2:$C$1002,dd_design_raw!$A$2:$A$1002,"",0)</f>
        <v>Fix Slide Window</v>
      </c>
      <c r="L1230" s="16" t="str">
        <f>_xlfn.XLOOKUP(I1230,dd_accsryclr!$A$2:$A$1000,dd_accsryclr!$A$2:$A$1000,"",0)</f>
        <v>WHT</v>
      </c>
    </row>
    <row r="1231" spans="1:12" hidden="1" x14ac:dyDescent="0.25">
      <c r="A1231" s="16" t="s">
        <v>20</v>
      </c>
      <c r="B1231" s="16" t="s">
        <v>640</v>
      </c>
      <c r="C1231" s="16" t="s">
        <v>397</v>
      </c>
      <c r="D1231" s="16" t="s">
        <v>398</v>
      </c>
      <c r="E1231" s="16">
        <v>0.38480000000000003</v>
      </c>
      <c r="F1231" s="16" t="s">
        <v>369</v>
      </c>
      <c r="G1231" s="16"/>
      <c r="H1231" s="16" t="s">
        <v>399</v>
      </c>
      <c r="I1231" s="16"/>
      <c r="J1231" s="16" t="str">
        <f>IF(ISNUMBER(SEARCH("SCRW", H1231)), _xlfn.XLOOKUP(C1231,dd_item!$A$2:$A$147,dd_item!$B$2:$B$147,"",0),_xlfn.XLOOKUP(H1231,dd_item!$A$2:$A$147,dd_item!$B$2:$B$147,"",0))</f>
        <v>Tox6</v>
      </c>
      <c r="K1231" s="16" t="str">
        <f>_xlfn.XLOOKUP(A1231,dd_design_raw!$C$2:$C$1002,dd_design_raw!$A$2:$A$1002,"",0)</f>
        <v>Fix Slide Window</v>
      </c>
      <c r="L1231" s="16" t="str">
        <f>_xlfn.XLOOKUP(I1231,dd_accsryclr!$A$2:$A$1000,dd_accsryclr!$A$2:$A$1000,"",0)</f>
        <v/>
      </c>
    </row>
    <row r="1232" spans="1:12" hidden="1" x14ac:dyDescent="0.25">
      <c r="A1232" s="16" t="s">
        <v>20</v>
      </c>
      <c r="B1232" s="16" t="s">
        <v>640</v>
      </c>
      <c r="C1232" s="16" t="s">
        <v>401</v>
      </c>
      <c r="D1232" s="16" t="s">
        <v>402</v>
      </c>
      <c r="E1232" s="16">
        <v>13.240000000000002</v>
      </c>
      <c r="F1232" s="16" t="s">
        <v>369</v>
      </c>
      <c r="G1232" s="16"/>
      <c r="H1232" s="16" t="s">
        <v>403</v>
      </c>
      <c r="I1232" s="16" t="s">
        <v>223</v>
      </c>
      <c r="J1232" s="16" t="str">
        <f>IF(ISNUMBER(SEARCH("SCRW", H1232)), _xlfn.XLOOKUP(C1232,dd_item!$A$2:$A$147,dd_item!$B$2:$B$147,"",0),_xlfn.XLOOKUP(H1232,dd_item!$A$2:$A$147,dd_item!$B$2:$B$147,"",0))</f>
        <v>Cover Cap</v>
      </c>
      <c r="K1232" s="16" t="str">
        <f>_xlfn.XLOOKUP(A1232,dd_design_raw!$C$2:$C$1002,dd_design_raw!$A$2:$A$1002,"",0)</f>
        <v>Fix Slide Window</v>
      </c>
      <c r="L1232" s="16" t="str">
        <f>_xlfn.XLOOKUP(I1232,dd_accsryclr!$A$2:$A$1000,dd_accsryclr!$A$2:$A$1000,"",0)</f>
        <v>BLK</v>
      </c>
    </row>
    <row r="1233" spans="1:12" hidden="1" x14ac:dyDescent="0.25">
      <c r="A1233" s="16" t="s">
        <v>20</v>
      </c>
      <c r="B1233" s="16" t="s">
        <v>640</v>
      </c>
      <c r="C1233" s="16" t="s">
        <v>404</v>
      </c>
      <c r="D1233" s="16" t="s">
        <v>405</v>
      </c>
      <c r="E1233" s="16">
        <v>13.240000000000002</v>
      </c>
      <c r="F1233" s="16" t="s">
        <v>369</v>
      </c>
      <c r="G1233" s="16"/>
      <c r="H1233" s="16" t="s">
        <v>403</v>
      </c>
      <c r="I1233" s="16" t="s">
        <v>220</v>
      </c>
      <c r="J1233" s="16" t="str">
        <f>IF(ISNUMBER(SEARCH("SCRW", H1233)), _xlfn.XLOOKUP(C1233,dd_item!$A$2:$A$147,dd_item!$B$2:$B$147,"",0),_xlfn.XLOOKUP(H1233,dd_item!$A$2:$A$147,dd_item!$B$2:$B$147,"",0))</f>
        <v>Cover Cap</v>
      </c>
      <c r="K1233" s="16" t="str">
        <f>_xlfn.XLOOKUP(A1233,dd_design_raw!$C$2:$C$1002,dd_design_raw!$A$2:$A$1002,"",0)</f>
        <v>Fix Slide Window</v>
      </c>
      <c r="L1233" s="16" t="str">
        <f>_xlfn.XLOOKUP(I1233,dd_accsryclr!$A$2:$A$1000,dd_accsryclr!$A$2:$A$1000,"",0)</f>
        <v>WHT</v>
      </c>
    </row>
    <row r="1234" spans="1:12" hidden="1" x14ac:dyDescent="0.25">
      <c r="A1234" s="16" t="s">
        <v>20</v>
      </c>
      <c r="B1234" s="16" t="s">
        <v>640</v>
      </c>
      <c r="C1234" s="16" t="s">
        <v>683</v>
      </c>
      <c r="D1234" s="16" t="s">
        <v>684</v>
      </c>
      <c r="E1234" s="16">
        <v>2</v>
      </c>
      <c r="F1234" s="16" t="s">
        <v>369</v>
      </c>
      <c r="G1234" s="16"/>
      <c r="H1234" s="16" t="s">
        <v>685</v>
      </c>
      <c r="I1234" s="16" t="s">
        <v>223</v>
      </c>
      <c r="J1234" s="16" t="str">
        <f>IF(ISNUMBER(SEARCH("SCRW", H1234)), _xlfn.XLOOKUP(C1234,dd_item!$A$2:$A$147,dd_item!$B$2:$B$147,"",0),_xlfn.XLOOKUP(H1234,dd_item!$A$2:$A$147,dd_item!$B$2:$B$147,"",0))</f>
        <v>PNS Handle</v>
      </c>
      <c r="K1234" s="16" t="str">
        <f>_xlfn.XLOOKUP(A1234,dd_design_raw!$C$2:$C$1002,dd_design_raw!$A$2:$A$1002,"",0)</f>
        <v>Fix Slide Window</v>
      </c>
      <c r="L1234" s="16" t="str">
        <f>_xlfn.XLOOKUP(I1234,dd_accsryclr!$A$2:$A$1000,dd_accsryclr!$A$2:$A$1000,"",0)</f>
        <v>BLK</v>
      </c>
    </row>
    <row r="1235" spans="1:12" hidden="1" x14ac:dyDescent="0.25">
      <c r="A1235" s="16" t="s">
        <v>20</v>
      </c>
      <c r="B1235" s="16" t="s">
        <v>640</v>
      </c>
      <c r="C1235" s="16" t="s">
        <v>686</v>
      </c>
      <c r="D1235" s="16" t="s">
        <v>687</v>
      </c>
      <c r="E1235" s="16">
        <v>2</v>
      </c>
      <c r="F1235" s="16" t="s">
        <v>369</v>
      </c>
      <c r="G1235" s="16"/>
      <c r="H1235" s="16" t="s">
        <v>685</v>
      </c>
      <c r="I1235" s="16" t="s">
        <v>220</v>
      </c>
      <c r="J1235" s="16" t="str">
        <f>IF(ISNUMBER(SEARCH("SCRW", H1235)), _xlfn.XLOOKUP(C1235,dd_item!$A$2:$A$147,dd_item!$B$2:$B$147,"",0),_xlfn.XLOOKUP(H1235,dd_item!$A$2:$A$147,dd_item!$B$2:$B$147,"",0))</f>
        <v>PNS Handle</v>
      </c>
      <c r="K1235" s="16" t="str">
        <f>_xlfn.XLOOKUP(A1235,dd_design_raw!$C$2:$C$1002,dd_design_raw!$A$2:$A$1002,"",0)</f>
        <v>Fix Slide Window</v>
      </c>
      <c r="L1235" s="16" t="str">
        <f>_xlfn.XLOOKUP(I1235,dd_accsryclr!$A$2:$A$1000,dd_accsryclr!$A$2:$A$1000,"",0)</f>
        <v>WHT</v>
      </c>
    </row>
    <row r="1236" spans="1:12" hidden="1" x14ac:dyDescent="0.25">
      <c r="A1236" s="16" t="s">
        <v>20</v>
      </c>
      <c r="B1236" s="16" t="s">
        <v>640</v>
      </c>
      <c r="C1236" s="16" t="s">
        <v>412</v>
      </c>
      <c r="D1236" s="16" t="s">
        <v>413</v>
      </c>
      <c r="E1236" s="16">
        <v>4</v>
      </c>
      <c r="F1236" s="16" t="s">
        <v>369</v>
      </c>
      <c r="G1236" s="16"/>
      <c r="H1236" s="16" t="s">
        <v>793</v>
      </c>
      <c r="I1236" s="16"/>
      <c r="J1236" s="16" t="str">
        <f>IF(ISNUMBER(SEARCH("SCRW", H1236)), _xlfn.XLOOKUP(C1236,dd_item!$A$2:$A$147,dd_item!$B$2:$B$147,"",0),_xlfn.XLOOKUP(H1236,dd_item!$A$2:$A$147,dd_item!$B$2:$B$147,"",0))</f>
        <v>Atlas Screw (S) 8 x 1-1/4" (Flat)</v>
      </c>
      <c r="K1236" s="16" t="str">
        <f>_xlfn.XLOOKUP(A1236,dd_design_raw!$C$2:$C$1002,dd_design_raw!$A$2:$A$1002,"",0)</f>
        <v>Fix Slide Window</v>
      </c>
      <c r="L1236" s="16" t="str">
        <f>_xlfn.XLOOKUP(I1236,dd_accsryclr!$A$2:$A$1000,dd_accsryclr!$A$2:$A$1000,"",0)</f>
        <v/>
      </c>
    </row>
    <row r="1237" spans="1:12" hidden="1" x14ac:dyDescent="0.25">
      <c r="A1237" s="16" t="s">
        <v>20</v>
      </c>
      <c r="B1237" s="16" t="s">
        <v>640</v>
      </c>
      <c r="C1237" s="16" t="s">
        <v>414</v>
      </c>
      <c r="D1237" s="16" t="s">
        <v>415</v>
      </c>
      <c r="E1237" s="16">
        <v>4.413333333333334</v>
      </c>
      <c r="F1237" s="16" t="s">
        <v>369</v>
      </c>
      <c r="G1237" s="16"/>
      <c r="H1237" s="16" t="s">
        <v>416</v>
      </c>
      <c r="I1237" s="16" t="s">
        <v>223</v>
      </c>
      <c r="J1237" s="16" t="str">
        <f>IF(ISNUMBER(SEARCH("SCRW", H1237)), _xlfn.XLOOKUP(C1237,dd_item!$A$2:$A$147,dd_item!$B$2:$B$147,"",0),_xlfn.XLOOKUP(H1237,dd_item!$A$2:$A$147,dd_item!$B$2:$B$147,"",0))</f>
        <v>Sealant</v>
      </c>
      <c r="K1237" s="16" t="str">
        <f>_xlfn.XLOOKUP(A1237,dd_design_raw!$C$2:$C$1002,dd_design_raw!$A$2:$A$1002,"",0)</f>
        <v>Fix Slide Window</v>
      </c>
      <c r="L1237" s="16" t="str">
        <f>_xlfn.XLOOKUP(I1237,dd_accsryclr!$A$2:$A$1000,dd_accsryclr!$A$2:$A$1000,"",0)</f>
        <v>BLK</v>
      </c>
    </row>
    <row r="1238" spans="1:12" hidden="1" x14ac:dyDescent="0.25">
      <c r="A1238" s="16" t="s">
        <v>20</v>
      </c>
      <c r="B1238" s="16" t="s">
        <v>640</v>
      </c>
      <c r="C1238" s="16" t="s">
        <v>417</v>
      </c>
      <c r="D1238" s="16" t="s">
        <v>418</v>
      </c>
      <c r="E1238" s="16">
        <v>4.413333333333334</v>
      </c>
      <c r="F1238" s="16" t="s">
        <v>369</v>
      </c>
      <c r="G1238" s="16"/>
      <c r="H1238" s="16" t="s">
        <v>416</v>
      </c>
      <c r="I1238" s="16" t="s">
        <v>230</v>
      </c>
      <c r="J1238" s="16" t="str">
        <f>IF(ISNUMBER(SEARCH("SCRW", H1238)), _xlfn.XLOOKUP(C1238,dd_item!$A$2:$A$147,dd_item!$B$2:$B$147,"",0),_xlfn.XLOOKUP(H1238,dd_item!$A$2:$A$147,dd_item!$B$2:$B$147,"",0))</f>
        <v>Sealant</v>
      </c>
      <c r="K1238" s="16" t="str">
        <f>_xlfn.XLOOKUP(A1238,dd_design_raw!$C$2:$C$1002,dd_design_raw!$A$2:$A$1002,"",0)</f>
        <v>Fix Slide Window</v>
      </c>
      <c r="L1238" s="16" t="str">
        <f>_xlfn.XLOOKUP(I1238,dd_accsryclr!$A$2:$A$1000,dd_accsryclr!$A$2:$A$1000,"",0)</f>
        <v>BRWN</v>
      </c>
    </row>
    <row r="1239" spans="1:12" hidden="1" x14ac:dyDescent="0.25">
      <c r="A1239" s="16" t="s">
        <v>20</v>
      </c>
      <c r="B1239" s="16" t="s">
        <v>640</v>
      </c>
      <c r="C1239" s="16" t="s">
        <v>419</v>
      </c>
      <c r="D1239" s="16" t="s">
        <v>420</v>
      </c>
      <c r="E1239" s="16">
        <v>4.413333333333334</v>
      </c>
      <c r="F1239" s="16" t="s">
        <v>369</v>
      </c>
      <c r="G1239" s="16"/>
      <c r="H1239" s="16" t="s">
        <v>416</v>
      </c>
      <c r="I1239" s="16" t="s">
        <v>220</v>
      </c>
      <c r="J1239" s="16" t="str">
        <f>IF(ISNUMBER(SEARCH("SCRW", H1239)), _xlfn.XLOOKUP(C1239,dd_item!$A$2:$A$147,dd_item!$B$2:$B$147,"",0),_xlfn.XLOOKUP(H1239,dd_item!$A$2:$A$147,dd_item!$B$2:$B$147,"",0))</f>
        <v>Sealant</v>
      </c>
      <c r="K1239" s="16" t="str">
        <f>_xlfn.XLOOKUP(A1239,dd_design_raw!$C$2:$C$1002,dd_design_raw!$A$2:$A$1002,"",0)</f>
        <v>Fix Slide Window</v>
      </c>
      <c r="L1239" s="16" t="str">
        <f>_xlfn.XLOOKUP(I1239,dd_accsryclr!$A$2:$A$1000,dd_accsryclr!$A$2:$A$1000,"",0)</f>
        <v>WHT</v>
      </c>
    </row>
    <row r="1240" spans="1:12" hidden="1" x14ac:dyDescent="0.25">
      <c r="A1240" s="16" t="s">
        <v>20</v>
      </c>
      <c r="B1240" s="16" t="s">
        <v>640</v>
      </c>
      <c r="C1240" s="16" t="s">
        <v>421</v>
      </c>
      <c r="D1240" s="16" t="s">
        <v>422</v>
      </c>
      <c r="E1240" s="16"/>
      <c r="F1240" s="16" t="s">
        <v>369</v>
      </c>
      <c r="G1240" s="16"/>
      <c r="H1240" s="16" t="s">
        <v>416</v>
      </c>
      <c r="I1240" s="16" t="s">
        <v>423</v>
      </c>
      <c r="J1240" s="16" t="str">
        <f>IF(ISNUMBER(SEARCH("SCRW", H1240)), _xlfn.XLOOKUP(C1240,dd_item!$A$2:$A$147,dd_item!$B$2:$B$147,"",0),_xlfn.XLOOKUP(H1240,dd_item!$A$2:$A$147,dd_item!$B$2:$B$147,"",0))</f>
        <v>Sealant</v>
      </c>
      <c r="K1240" s="16" t="str">
        <f>_xlfn.XLOOKUP(A1240,dd_design_raw!$C$2:$C$1002,dd_design_raw!$A$2:$A$1002,"",0)</f>
        <v>Fix Slide Window</v>
      </c>
      <c r="L1240" s="16" t="str">
        <f>_xlfn.XLOOKUP(I1240,dd_accsryclr!$A$2:$A$1000,dd_accsryclr!$A$2:$A$1000,"",0)</f>
        <v/>
      </c>
    </row>
    <row r="1241" spans="1:12" hidden="1" x14ac:dyDescent="0.25">
      <c r="A1241" s="16" t="s">
        <v>20</v>
      </c>
      <c r="B1241" s="16" t="s">
        <v>640</v>
      </c>
      <c r="C1241" s="16" t="s">
        <v>552</v>
      </c>
      <c r="D1241" s="16" t="s">
        <v>553</v>
      </c>
      <c r="E1241" s="16">
        <v>2</v>
      </c>
      <c r="F1241" s="16" t="s">
        <v>369</v>
      </c>
      <c r="G1241" s="16"/>
      <c r="H1241" s="16" t="s">
        <v>794</v>
      </c>
      <c r="I1241" s="16" t="s">
        <v>554</v>
      </c>
      <c r="J1241" s="16" t="str">
        <f>IF(ISNUMBER(SEARCH("SCRW", H1241)), _xlfn.XLOOKUP(C1241,dd_item!$A$2:$A$147,dd_item!$B$2:$B$147,"",0),_xlfn.XLOOKUP(H1241,dd_item!$A$2:$A$147,dd_item!$B$2:$B$147,"",0))</f>
        <v>Atlas Screw S.B JF 5 x 50</v>
      </c>
      <c r="K1241" s="16" t="str">
        <f>_xlfn.XLOOKUP(A1241,dd_design_raw!$C$2:$C$1002,dd_design_raw!$A$2:$A$1002,"",0)</f>
        <v>Fix Slide Window</v>
      </c>
      <c r="L1241" s="16" t="str">
        <f>_xlfn.XLOOKUP(I1241,dd_accsryclr!$A$2:$A$1000,dd_accsryclr!$A$2:$A$1000,"",0)</f>
        <v/>
      </c>
    </row>
    <row r="1242" spans="1:12" hidden="1" x14ac:dyDescent="0.25">
      <c r="A1242" s="16" t="s">
        <v>20</v>
      </c>
      <c r="B1242" s="16" t="s">
        <v>640</v>
      </c>
      <c r="C1242" s="16" t="s">
        <v>424</v>
      </c>
      <c r="D1242" s="16" t="s">
        <v>425</v>
      </c>
      <c r="E1242" s="16">
        <v>6</v>
      </c>
      <c r="F1242" s="16" t="s">
        <v>369</v>
      </c>
      <c r="G1242" s="16"/>
      <c r="H1242" s="16" t="s">
        <v>819</v>
      </c>
      <c r="I1242" s="16"/>
      <c r="J1242" s="16" t="str">
        <f>IF(ISNUMBER(SEARCH("SCRW", H1242)), _xlfn.XLOOKUP(C1242,dd_item!$A$2:$A$147,dd_item!$B$2:$B$147,"",0),_xlfn.XLOOKUP(H1242,dd_item!$A$2:$A$147,dd_item!$B$2:$B$147,"",0))</f>
        <v>Atlas Screw (S) 6 x 3/4" (FLAT)</v>
      </c>
      <c r="K1242" s="16" t="str">
        <f>_xlfn.XLOOKUP(A1242,dd_design_raw!$C$2:$C$1002,dd_design_raw!$A$2:$A$1002,"",0)</f>
        <v>Fix Slide Window</v>
      </c>
      <c r="L1242" s="16" t="str">
        <f>_xlfn.XLOOKUP(I1242,dd_accsryclr!$A$2:$A$1000,dd_accsryclr!$A$2:$A$1000,"",0)</f>
        <v/>
      </c>
    </row>
    <row r="1243" spans="1:12" hidden="1" x14ac:dyDescent="0.25">
      <c r="A1243" s="16" t="s">
        <v>20</v>
      </c>
      <c r="B1243" s="16" t="s">
        <v>640</v>
      </c>
      <c r="C1243" s="16" t="s">
        <v>265</v>
      </c>
      <c r="D1243" s="16" t="s">
        <v>266</v>
      </c>
      <c r="E1243" s="16"/>
      <c r="F1243" s="16" t="s">
        <v>194</v>
      </c>
      <c r="G1243" s="16" t="s">
        <v>469</v>
      </c>
      <c r="H1243" s="16" t="s">
        <v>820</v>
      </c>
      <c r="I1243" s="16"/>
      <c r="J1243" s="16" t="str">
        <f>IF(ISNUMBER(SEARCH("SCRW", H1243)), _xlfn.XLOOKUP(C1243,dd_item!$A$2:$A$147,dd_item!$B$2:$B$147,"",0),_xlfn.XLOOKUP(H1243,dd_item!$A$2:$A$147,dd_item!$B$2:$B$147,"",0))</f>
        <v>Steel-Frame90</v>
      </c>
      <c r="K1243" s="16" t="str">
        <f>_xlfn.XLOOKUP(A1243,dd_design_raw!$C$2:$C$1002,dd_design_raw!$A$2:$A$1002,"",0)</f>
        <v>Fix Slide Window</v>
      </c>
      <c r="L1243" s="16" t="str">
        <f>_xlfn.XLOOKUP(I1243,dd_accsryclr!$A$2:$A$1000,dd_accsryclr!$A$2:$A$1000,"",0)</f>
        <v/>
      </c>
    </row>
    <row r="1244" spans="1:12" hidden="1" x14ac:dyDescent="0.25">
      <c r="A1244" s="16" t="s">
        <v>23</v>
      </c>
      <c r="B1244" s="16" t="s">
        <v>688</v>
      </c>
      <c r="C1244" s="16" t="s">
        <v>467</v>
      </c>
      <c r="D1244" s="16" t="s">
        <v>468</v>
      </c>
      <c r="E1244" s="16">
        <v>1.6241379310344828</v>
      </c>
      <c r="F1244" s="16" t="s">
        <v>194</v>
      </c>
      <c r="G1244" s="16"/>
      <c r="H1244" s="16" t="s">
        <v>469</v>
      </c>
      <c r="I1244" s="16" t="s">
        <v>211</v>
      </c>
      <c r="J1244" s="16" t="str">
        <f>IF(ISNUMBER(SEARCH("SCRW", H1244)), _xlfn.XLOOKUP(C1244,dd_item!$A$2:$A$147,dd_item!$B$2:$B$147,"",0),_xlfn.XLOOKUP(H1244,dd_item!$A$2:$A$147,dd_item!$B$2:$B$147,"",0))</f>
        <v>Frame90</v>
      </c>
      <c r="K1244" s="16" t="str">
        <f>_xlfn.XLOOKUP(A1244,dd_design_raw!$C$2:$C$1002,dd_design_raw!$A$2:$A$1002,"",0)</f>
        <v>Fix Slide Door</v>
      </c>
      <c r="L1244" s="16" t="str">
        <f>_xlfn.XLOOKUP(I1244,dd_accsryclr!$A$2:$A$1000,dd_accsryclr!$A$2:$A$1000,"",0)</f>
        <v/>
      </c>
    </row>
    <row r="1245" spans="1:12" hidden="1" x14ac:dyDescent="0.25">
      <c r="A1245" s="16" t="s">
        <v>23</v>
      </c>
      <c r="B1245" s="16" t="s">
        <v>688</v>
      </c>
      <c r="C1245" s="16" t="s">
        <v>470</v>
      </c>
      <c r="D1245" s="16" t="s">
        <v>471</v>
      </c>
      <c r="E1245" s="16">
        <v>1.6241379310344828</v>
      </c>
      <c r="F1245" s="16" t="s">
        <v>194</v>
      </c>
      <c r="G1245" s="16"/>
      <c r="H1245" s="16" t="s">
        <v>469</v>
      </c>
      <c r="I1245" s="16" t="s">
        <v>214</v>
      </c>
      <c r="J1245" s="16" t="str">
        <f>IF(ISNUMBER(SEARCH("SCRW", H1245)), _xlfn.XLOOKUP(C1245,dd_item!$A$2:$A$147,dd_item!$B$2:$B$147,"",0),_xlfn.XLOOKUP(H1245,dd_item!$A$2:$A$147,dd_item!$B$2:$B$147,"",0))</f>
        <v>Frame90</v>
      </c>
      <c r="K1245" s="16" t="str">
        <f>_xlfn.XLOOKUP(A1245,dd_design_raw!$C$2:$C$1002,dd_design_raw!$A$2:$A$1002,"",0)</f>
        <v>Fix Slide Door</v>
      </c>
      <c r="L1245" s="16" t="str">
        <f>_xlfn.XLOOKUP(I1245,dd_accsryclr!$A$2:$A$1000,dd_accsryclr!$A$2:$A$1000,"",0)</f>
        <v/>
      </c>
    </row>
    <row r="1246" spans="1:12" hidden="1" x14ac:dyDescent="0.25">
      <c r="A1246" s="16" t="s">
        <v>23</v>
      </c>
      <c r="B1246" s="16" t="s">
        <v>688</v>
      </c>
      <c r="C1246" s="16" t="s">
        <v>472</v>
      </c>
      <c r="D1246" s="16" t="s">
        <v>473</v>
      </c>
      <c r="E1246" s="16">
        <v>1.6241379310344828</v>
      </c>
      <c r="F1246" s="16" t="s">
        <v>194</v>
      </c>
      <c r="G1246" s="16"/>
      <c r="H1246" s="16" t="s">
        <v>469</v>
      </c>
      <c r="I1246" s="16" t="s">
        <v>217</v>
      </c>
      <c r="J1246" s="16" t="str">
        <f>IF(ISNUMBER(SEARCH("SCRW", H1246)), _xlfn.XLOOKUP(C1246,dd_item!$A$2:$A$147,dd_item!$B$2:$B$147,"",0),_xlfn.XLOOKUP(H1246,dd_item!$A$2:$A$147,dd_item!$B$2:$B$147,"",0))</f>
        <v>Frame90</v>
      </c>
      <c r="K1246" s="16" t="str">
        <f>_xlfn.XLOOKUP(A1246,dd_design_raw!$C$2:$C$1002,dd_design_raw!$A$2:$A$1002,"",0)</f>
        <v>Fix Slide Door</v>
      </c>
      <c r="L1246" s="16" t="str">
        <f>_xlfn.XLOOKUP(I1246,dd_accsryclr!$A$2:$A$1000,dd_accsryclr!$A$2:$A$1000,"",0)</f>
        <v/>
      </c>
    </row>
    <row r="1247" spans="1:12" hidden="1" x14ac:dyDescent="0.25">
      <c r="A1247" s="16" t="s">
        <v>23</v>
      </c>
      <c r="B1247" s="16" t="s">
        <v>688</v>
      </c>
      <c r="C1247" s="16" t="s">
        <v>474</v>
      </c>
      <c r="D1247" s="16" t="s">
        <v>475</v>
      </c>
      <c r="E1247" s="16">
        <v>1.6241379310344828</v>
      </c>
      <c r="F1247" s="16" t="s">
        <v>194</v>
      </c>
      <c r="G1247" s="16"/>
      <c r="H1247" s="16" t="s">
        <v>469</v>
      </c>
      <c r="I1247" s="16" t="s">
        <v>226</v>
      </c>
      <c r="J1247" s="16" t="str">
        <f>IF(ISNUMBER(SEARCH("SCRW", H1247)), _xlfn.XLOOKUP(C1247,dd_item!$A$2:$A$147,dd_item!$B$2:$B$147,"",0),_xlfn.XLOOKUP(H1247,dd_item!$A$2:$A$147,dd_item!$B$2:$B$147,"",0))</f>
        <v>Frame90</v>
      </c>
      <c r="K1247" s="16" t="str">
        <f>_xlfn.XLOOKUP(A1247,dd_design_raw!$C$2:$C$1002,dd_design_raw!$A$2:$A$1002,"",0)</f>
        <v>Fix Slide Door</v>
      </c>
      <c r="L1247" s="16" t="str">
        <f>_xlfn.XLOOKUP(I1247,dd_accsryclr!$A$2:$A$1000,dd_accsryclr!$A$2:$A$1000,"",0)</f>
        <v/>
      </c>
    </row>
    <row r="1248" spans="1:12" hidden="1" x14ac:dyDescent="0.25">
      <c r="A1248" s="16" t="s">
        <v>23</v>
      </c>
      <c r="B1248" s="16" t="s">
        <v>688</v>
      </c>
      <c r="C1248" s="16" t="s">
        <v>476</v>
      </c>
      <c r="D1248" s="16" t="s">
        <v>477</v>
      </c>
      <c r="E1248" s="16">
        <v>1.6241379310344828</v>
      </c>
      <c r="F1248" s="16" t="s">
        <v>194</v>
      </c>
      <c r="G1248" s="16"/>
      <c r="H1248" s="16" t="s">
        <v>469</v>
      </c>
      <c r="I1248" s="16" t="s">
        <v>220</v>
      </c>
      <c r="J1248" s="16" t="str">
        <f>IF(ISNUMBER(SEARCH("SCRW", H1248)), _xlfn.XLOOKUP(C1248,dd_item!$A$2:$A$147,dd_item!$B$2:$B$147,"",0),_xlfn.XLOOKUP(H1248,dd_item!$A$2:$A$147,dd_item!$B$2:$B$147,"",0))</f>
        <v>Frame90</v>
      </c>
      <c r="K1248" s="16" t="str">
        <f>_xlfn.XLOOKUP(A1248,dd_design_raw!$C$2:$C$1002,dd_design_raw!$A$2:$A$1002,"",0)</f>
        <v>Fix Slide Door</v>
      </c>
      <c r="L1248" s="16" t="str">
        <f>_xlfn.XLOOKUP(I1248,dd_accsryclr!$A$2:$A$1000,dd_accsryclr!$A$2:$A$1000,"",0)</f>
        <v>WHT</v>
      </c>
    </row>
    <row r="1249" spans="1:12" hidden="1" x14ac:dyDescent="0.25">
      <c r="A1249" s="16" t="s">
        <v>23</v>
      </c>
      <c r="B1249" s="16" t="s">
        <v>688</v>
      </c>
      <c r="C1249" s="16" t="s">
        <v>478</v>
      </c>
      <c r="D1249" s="16" t="s">
        <v>479</v>
      </c>
      <c r="E1249" s="16">
        <v>1.6241379310344828</v>
      </c>
      <c r="F1249" s="16" t="s">
        <v>194</v>
      </c>
      <c r="G1249" s="16"/>
      <c r="H1249" s="16" t="s">
        <v>469</v>
      </c>
      <c r="I1249" s="16" t="s">
        <v>223</v>
      </c>
      <c r="J1249" s="16" t="str">
        <f>IF(ISNUMBER(SEARCH("SCRW", H1249)), _xlfn.XLOOKUP(C1249,dd_item!$A$2:$A$147,dd_item!$B$2:$B$147,"",0),_xlfn.XLOOKUP(H1249,dd_item!$A$2:$A$147,dd_item!$B$2:$B$147,"",0))</f>
        <v>Frame90</v>
      </c>
      <c r="K1249" s="16" t="str">
        <f>_xlfn.XLOOKUP(A1249,dd_design_raw!$C$2:$C$1002,dd_design_raw!$A$2:$A$1002,"",0)</f>
        <v>Fix Slide Door</v>
      </c>
      <c r="L1249" s="16" t="str">
        <f>_xlfn.XLOOKUP(I1249,dd_accsryclr!$A$2:$A$1000,dd_accsryclr!$A$2:$A$1000,"",0)</f>
        <v>BLK</v>
      </c>
    </row>
    <row r="1250" spans="1:12" hidden="1" x14ac:dyDescent="0.25">
      <c r="A1250" s="16" t="s">
        <v>23</v>
      </c>
      <c r="B1250" s="16" t="s">
        <v>688</v>
      </c>
      <c r="C1250" s="16" t="s">
        <v>480</v>
      </c>
      <c r="D1250" s="16" t="s">
        <v>481</v>
      </c>
      <c r="E1250" s="16">
        <v>1.6241379310344828</v>
      </c>
      <c r="F1250" s="16" t="s">
        <v>194</v>
      </c>
      <c r="G1250" s="16"/>
      <c r="H1250" s="16" t="s">
        <v>469</v>
      </c>
      <c r="I1250" s="16" t="s">
        <v>230</v>
      </c>
      <c r="J1250" s="16" t="str">
        <f>IF(ISNUMBER(SEARCH("SCRW", H1250)), _xlfn.XLOOKUP(C1250,dd_item!$A$2:$A$147,dd_item!$B$2:$B$147,"",0),_xlfn.XLOOKUP(H1250,dd_item!$A$2:$A$147,dd_item!$B$2:$B$147,"",0))</f>
        <v>Frame90</v>
      </c>
      <c r="K1250" s="16" t="str">
        <f>_xlfn.XLOOKUP(A1250,dd_design_raw!$C$2:$C$1002,dd_design_raw!$A$2:$A$1002,"",0)</f>
        <v>Fix Slide Door</v>
      </c>
      <c r="L1250" s="16" t="str">
        <f>_xlfn.XLOOKUP(I1250,dd_accsryclr!$A$2:$A$1000,dd_accsryclr!$A$2:$A$1000,"",0)</f>
        <v>BRWN</v>
      </c>
    </row>
    <row r="1251" spans="1:12" hidden="1" x14ac:dyDescent="0.25">
      <c r="A1251" s="16" t="s">
        <v>23</v>
      </c>
      <c r="B1251" s="16" t="s">
        <v>688</v>
      </c>
      <c r="C1251" s="16" t="s">
        <v>231</v>
      </c>
      <c r="D1251" s="16" t="s">
        <v>232</v>
      </c>
      <c r="E1251" s="16">
        <v>2.3351724137931034</v>
      </c>
      <c r="F1251" s="16" t="s">
        <v>194</v>
      </c>
      <c r="G1251" s="16"/>
      <c r="H1251" s="16" t="s">
        <v>233</v>
      </c>
      <c r="I1251" s="16" t="s">
        <v>223</v>
      </c>
      <c r="J1251" s="16" t="str">
        <f>IF(ISNUMBER(SEARCH("SCRW", H1251)), _xlfn.XLOOKUP(C1251,dd_item!$A$2:$A$147,dd_item!$B$2:$B$147,"",0),_xlfn.XLOOKUP(H1251,dd_item!$A$2:$A$147,dd_item!$B$2:$B$147,"",0))</f>
        <v>Sash92</v>
      </c>
      <c r="K1251" s="16" t="str">
        <f>_xlfn.XLOOKUP(A1251,dd_design_raw!$C$2:$C$1002,dd_design_raw!$A$2:$A$1002,"",0)</f>
        <v>Fix Slide Door</v>
      </c>
      <c r="L1251" s="16" t="str">
        <f>_xlfn.XLOOKUP(I1251,dd_accsryclr!$A$2:$A$1000,dd_accsryclr!$A$2:$A$1000,"",0)</f>
        <v>BLK</v>
      </c>
    </row>
    <row r="1252" spans="1:12" hidden="1" x14ac:dyDescent="0.25">
      <c r="A1252" s="16" t="s">
        <v>23</v>
      </c>
      <c r="B1252" s="16" t="s">
        <v>688</v>
      </c>
      <c r="C1252" s="16" t="s">
        <v>234</v>
      </c>
      <c r="D1252" s="16" t="s">
        <v>235</v>
      </c>
      <c r="E1252" s="16">
        <v>2.3351724137931034</v>
      </c>
      <c r="F1252" s="16" t="s">
        <v>194</v>
      </c>
      <c r="G1252" s="16"/>
      <c r="H1252" s="16" t="s">
        <v>233</v>
      </c>
      <c r="I1252" s="16" t="s">
        <v>211</v>
      </c>
      <c r="J1252" s="16" t="str">
        <f>IF(ISNUMBER(SEARCH("SCRW", H1252)), _xlfn.XLOOKUP(C1252,dd_item!$A$2:$A$147,dd_item!$B$2:$B$147,"",0),_xlfn.XLOOKUP(H1252,dd_item!$A$2:$A$147,dd_item!$B$2:$B$147,"",0))</f>
        <v>Sash92</v>
      </c>
      <c r="K1252" s="16" t="str">
        <f>_xlfn.XLOOKUP(A1252,dd_design_raw!$C$2:$C$1002,dd_design_raw!$A$2:$A$1002,"",0)</f>
        <v>Fix Slide Door</v>
      </c>
      <c r="L1252" s="16" t="str">
        <f>_xlfn.XLOOKUP(I1252,dd_accsryclr!$A$2:$A$1000,dd_accsryclr!$A$2:$A$1000,"",0)</f>
        <v/>
      </c>
    </row>
    <row r="1253" spans="1:12" hidden="1" x14ac:dyDescent="0.25">
      <c r="A1253" s="16" t="s">
        <v>23</v>
      </c>
      <c r="B1253" s="16" t="s">
        <v>688</v>
      </c>
      <c r="C1253" s="16" t="s">
        <v>236</v>
      </c>
      <c r="D1253" s="16" t="s">
        <v>237</v>
      </c>
      <c r="E1253" s="16">
        <v>2.3351724137931034</v>
      </c>
      <c r="F1253" s="16" t="s">
        <v>194</v>
      </c>
      <c r="G1253" s="16"/>
      <c r="H1253" s="16" t="s">
        <v>233</v>
      </c>
      <c r="I1253" s="16" t="s">
        <v>214</v>
      </c>
      <c r="J1253" s="16" t="str">
        <f>IF(ISNUMBER(SEARCH("SCRW", H1253)), _xlfn.XLOOKUP(C1253,dd_item!$A$2:$A$147,dd_item!$B$2:$B$147,"",0),_xlfn.XLOOKUP(H1253,dd_item!$A$2:$A$147,dd_item!$B$2:$B$147,"",0))</f>
        <v>Sash92</v>
      </c>
      <c r="K1253" s="16" t="str">
        <f>_xlfn.XLOOKUP(A1253,dd_design_raw!$C$2:$C$1002,dd_design_raw!$A$2:$A$1002,"",0)</f>
        <v>Fix Slide Door</v>
      </c>
      <c r="L1253" s="16" t="str">
        <f>_xlfn.XLOOKUP(I1253,dd_accsryclr!$A$2:$A$1000,dd_accsryclr!$A$2:$A$1000,"",0)</f>
        <v/>
      </c>
    </row>
    <row r="1254" spans="1:12" hidden="1" x14ac:dyDescent="0.25">
      <c r="A1254" s="16" t="s">
        <v>23</v>
      </c>
      <c r="B1254" s="16" t="s">
        <v>688</v>
      </c>
      <c r="C1254" s="16" t="s">
        <v>238</v>
      </c>
      <c r="D1254" s="16" t="s">
        <v>239</v>
      </c>
      <c r="E1254" s="16">
        <v>2.3351724137931034</v>
      </c>
      <c r="F1254" s="16" t="s">
        <v>194</v>
      </c>
      <c r="G1254" s="16"/>
      <c r="H1254" s="16" t="s">
        <v>233</v>
      </c>
      <c r="I1254" s="16" t="s">
        <v>217</v>
      </c>
      <c r="J1254" s="16" t="str">
        <f>IF(ISNUMBER(SEARCH("SCRW", H1254)), _xlfn.XLOOKUP(C1254,dd_item!$A$2:$A$147,dd_item!$B$2:$B$147,"",0),_xlfn.XLOOKUP(H1254,dd_item!$A$2:$A$147,dd_item!$B$2:$B$147,"",0))</f>
        <v>Sash92</v>
      </c>
      <c r="K1254" s="16" t="str">
        <f>_xlfn.XLOOKUP(A1254,dd_design_raw!$C$2:$C$1002,dd_design_raw!$A$2:$A$1002,"",0)</f>
        <v>Fix Slide Door</v>
      </c>
      <c r="L1254" s="16" t="str">
        <f>_xlfn.XLOOKUP(I1254,dd_accsryclr!$A$2:$A$1000,dd_accsryclr!$A$2:$A$1000,"",0)</f>
        <v/>
      </c>
    </row>
    <row r="1255" spans="1:12" hidden="1" x14ac:dyDescent="0.25">
      <c r="A1255" s="16" t="s">
        <v>23</v>
      </c>
      <c r="B1255" s="16" t="s">
        <v>688</v>
      </c>
      <c r="C1255" s="16" t="s">
        <v>240</v>
      </c>
      <c r="D1255" s="16" t="s">
        <v>241</v>
      </c>
      <c r="E1255" s="16">
        <v>2.3351724137931034</v>
      </c>
      <c r="F1255" s="16" t="s">
        <v>194</v>
      </c>
      <c r="G1255" s="16"/>
      <c r="H1255" s="16" t="s">
        <v>233</v>
      </c>
      <c r="I1255" s="16" t="s">
        <v>226</v>
      </c>
      <c r="J1255" s="16" t="str">
        <f>IF(ISNUMBER(SEARCH("SCRW", H1255)), _xlfn.XLOOKUP(C1255,dd_item!$A$2:$A$147,dd_item!$B$2:$B$147,"",0),_xlfn.XLOOKUP(H1255,dd_item!$A$2:$A$147,dd_item!$B$2:$B$147,"",0))</f>
        <v>Sash92</v>
      </c>
      <c r="K1255" s="16" t="str">
        <f>_xlfn.XLOOKUP(A1255,dd_design_raw!$C$2:$C$1002,dd_design_raw!$A$2:$A$1002,"",0)</f>
        <v>Fix Slide Door</v>
      </c>
      <c r="L1255" s="16" t="str">
        <f>_xlfn.XLOOKUP(I1255,dd_accsryclr!$A$2:$A$1000,dd_accsryclr!$A$2:$A$1000,"",0)</f>
        <v/>
      </c>
    </row>
    <row r="1256" spans="1:12" hidden="1" x14ac:dyDescent="0.25">
      <c r="A1256" s="16" t="s">
        <v>23</v>
      </c>
      <c r="B1256" s="16" t="s">
        <v>688</v>
      </c>
      <c r="C1256" s="16" t="s">
        <v>242</v>
      </c>
      <c r="D1256" s="16" t="s">
        <v>243</v>
      </c>
      <c r="E1256" s="16">
        <v>2.3351724137931034</v>
      </c>
      <c r="F1256" s="16" t="s">
        <v>194</v>
      </c>
      <c r="G1256" s="16"/>
      <c r="H1256" s="16" t="s">
        <v>233</v>
      </c>
      <c r="I1256" s="16" t="s">
        <v>220</v>
      </c>
      <c r="J1256" s="16" t="str">
        <f>IF(ISNUMBER(SEARCH("SCRW", H1256)), _xlfn.XLOOKUP(C1256,dd_item!$A$2:$A$147,dd_item!$B$2:$B$147,"",0),_xlfn.XLOOKUP(H1256,dd_item!$A$2:$A$147,dd_item!$B$2:$B$147,"",0))</f>
        <v>Sash92</v>
      </c>
      <c r="K1256" s="16" t="str">
        <f>_xlfn.XLOOKUP(A1256,dd_design_raw!$C$2:$C$1002,dd_design_raw!$A$2:$A$1002,"",0)</f>
        <v>Fix Slide Door</v>
      </c>
      <c r="L1256" s="16" t="str">
        <f>_xlfn.XLOOKUP(I1256,dd_accsryclr!$A$2:$A$1000,dd_accsryclr!$A$2:$A$1000,"",0)</f>
        <v>WHT</v>
      </c>
    </row>
    <row r="1257" spans="1:12" hidden="1" x14ac:dyDescent="0.25">
      <c r="A1257" s="16" t="s">
        <v>23</v>
      </c>
      <c r="B1257" s="16" t="s">
        <v>688</v>
      </c>
      <c r="C1257" s="16" t="s">
        <v>244</v>
      </c>
      <c r="D1257" s="16" t="s">
        <v>245</v>
      </c>
      <c r="E1257" s="16">
        <v>2.3351724137931034</v>
      </c>
      <c r="F1257" s="16" t="s">
        <v>194</v>
      </c>
      <c r="G1257" s="16"/>
      <c r="H1257" s="16" t="s">
        <v>233</v>
      </c>
      <c r="I1257" s="16" t="s">
        <v>230</v>
      </c>
      <c r="J1257" s="16" t="str">
        <f>IF(ISNUMBER(SEARCH("SCRW", H1257)), _xlfn.XLOOKUP(C1257,dd_item!$A$2:$A$147,dd_item!$B$2:$B$147,"",0),_xlfn.XLOOKUP(H1257,dd_item!$A$2:$A$147,dd_item!$B$2:$B$147,"",0))</f>
        <v>Sash92</v>
      </c>
      <c r="K1257" s="16" t="str">
        <f>_xlfn.XLOOKUP(A1257,dd_design_raw!$C$2:$C$1002,dd_design_raw!$A$2:$A$1002,"",0)</f>
        <v>Fix Slide Door</v>
      </c>
      <c r="L1257" s="16" t="str">
        <f>_xlfn.XLOOKUP(I1257,dd_accsryclr!$A$2:$A$1000,dd_accsryclr!$A$2:$A$1000,"",0)</f>
        <v>BRWN</v>
      </c>
    </row>
    <row r="1258" spans="1:12" hidden="1" x14ac:dyDescent="0.25">
      <c r="A1258" s="16" t="s">
        <v>23</v>
      </c>
      <c r="B1258" s="16" t="s">
        <v>688</v>
      </c>
      <c r="C1258" s="16" t="s">
        <v>265</v>
      </c>
      <c r="D1258" s="16" t="s">
        <v>266</v>
      </c>
      <c r="E1258" s="16">
        <v>1.6241379310344828</v>
      </c>
      <c r="F1258" s="16" t="s">
        <v>194</v>
      </c>
      <c r="G1258" s="16" t="s">
        <v>60</v>
      </c>
      <c r="H1258" s="16" t="s">
        <v>267</v>
      </c>
      <c r="I1258" s="16" t="s">
        <v>268</v>
      </c>
      <c r="J1258" s="16" t="str">
        <f>IF(ISNUMBER(SEARCH("SCRW", H1258)), _xlfn.XLOOKUP(C1258,dd_item!$A$2:$A$147,dd_item!$B$2:$B$147,"",0),_xlfn.XLOOKUP(H1258,dd_item!$A$2:$A$147,dd_item!$B$2:$B$147,"",0))</f>
        <v>Steel-Sash66</v>
      </c>
      <c r="K1258" s="16" t="str">
        <f>_xlfn.XLOOKUP(A1258,dd_design_raw!$C$2:$C$1002,dd_design_raw!$A$2:$A$1002,"",0)</f>
        <v>Fix Slide Door</v>
      </c>
      <c r="L1258" s="16" t="str">
        <f>_xlfn.XLOOKUP(I1258,dd_accsryclr!$A$2:$A$1000,dd_accsryclr!$A$2:$A$1000,"",0)</f>
        <v/>
      </c>
    </row>
    <row r="1259" spans="1:12" hidden="1" x14ac:dyDescent="0.25">
      <c r="A1259" s="16" t="s">
        <v>23</v>
      </c>
      <c r="B1259" s="16" t="s">
        <v>688</v>
      </c>
      <c r="C1259" s="16" t="s">
        <v>269</v>
      </c>
      <c r="D1259" s="16" t="s">
        <v>270</v>
      </c>
      <c r="E1259" s="16">
        <v>2.3351724137931034</v>
      </c>
      <c r="F1259" s="16" t="s">
        <v>194</v>
      </c>
      <c r="G1259" s="16" t="s">
        <v>61</v>
      </c>
      <c r="H1259" s="16" t="s">
        <v>271</v>
      </c>
      <c r="I1259" s="16" t="s">
        <v>272</v>
      </c>
      <c r="J1259" s="16" t="str">
        <f>IF(ISNUMBER(SEARCH("SCRW", H1259)), _xlfn.XLOOKUP(C1259,dd_item!$A$2:$A$147,dd_item!$B$2:$B$147,"",0),_xlfn.XLOOKUP(H1259,dd_item!$A$2:$A$147,dd_item!$B$2:$B$147,"",0))</f>
        <v>Steel-Sash92</v>
      </c>
      <c r="K1259" s="16" t="str">
        <f>_xlfn.XLOOKUP(A1259,dd_design_raw!$C$2:$C$1002,dd_design_raw!$A$2:$A$1002,"",0)</f>
        <v>Fix Slide Door</v>
      </c>
      <c r="L1259" s="16" t="str">
        <f>_xlfn.XLOOKUP(I1259,dd_accsryclr!$A$2:$A$1000,dd_accsryclr!$A$2:$A$1000,"",0)</f>
        <v/>
      </c>
    </row>
    <row r="1260" spans="1:12" hidden="1" x14ac:dyDescent="0.25">
      <c r="A1260" s="16" t="s">
        <v>23</v>
      </c>
      <c r="B1260" s="16" t="s">
        <v>688</v>
      </c>
      <c r="C1260" s="16" t="s">
        <v>273</v>
      </c>
      <c r="D1260" s="16" t="s">
        <v>274</v>
      </c>
      <c r="E1260" s="16">
        <v>2.3351724137931034</v>
      </c>
      <c r="F1260" s="16" t="s">
        <v>194</v>
      </c>
      <c r="G1260" s="16" t="s">
        <v>61</v>
      </c>
      <c r="H1260" s="16" t="s">
        <v>271</v>
      </c>
      <c r="I1260" s="16" t="s">
        <v>275</v>
      </c>
      <c r="J1260" s="16" t="str">
        <f>IF(ISNUMBER(SEARCH("SCRW", H1260)), _xlfn.XLOOKUP(C1260,dd_item!$A$2:$A$147,dd_item!$B$2:$B$147,"",0),_xlfn.XLOOKUP(H1260,dd_item!$A$2:$A$147,dd_item!$B$2:$B$147,"",0))</f>
        <v>Steel-Sash92</v>
      </c>
      <c r="K1260" s="16" t="str">
        <f>_xlfn.XLOOKUP(A1260,dd_design_raw!$C$2:$C$1002,dd_design_raw!$A$2:$A$1002,"",0)</f>
        <v>Fix Slide Door</v>
      </c>
      <c r="L1260" s="16" t="str">
        <f>_xlfn.XLOOKUP(I1260,dd_accsryclr!$A$2:$A$1000,dd_accsryclr!$A$2:$A$1000,"",0)</f>
        <v/>
      </c>
    </row>
    <row r="1261" spans="1:12" hidden="1" x14ac:dyDescent="0.25">
      <c r="A1261" s="16" t="s">
        <v>23</v>
      </c>
      <c r="B1261" s="16" t="s">
        <v>688</v>
      </c>
      <c r="C1261" s="16" t="s">
        <v>276</v>
      </c>
      <c r="D1261" s="16" t="s">
        <v>277</v>
      </c>
      <c r="E1261" s="16">
        <v>2.3351724137931034</v>
      </c>
      <c r="F1261" s="16" t="s">
        <v>194</v>
      </c>
      <c r="G1261" s="16"/>
      <c r="H1261" s="16" t="s">
        <v>278</v>
      </c>
      <c r="I1261" s="16" t="s">
        <v>223</v>
      </c>
      <c r="J1261" s="16" t="str">
        <f>IF(ISNUMBER(SEARCH("SCRW", H1261)), _xlfn.XLOOKUP(C1261,dd_item!$A$2:$A$147,dd_item!$B$2:$B$147,"",0),_xlfn.XLOOKUP(H1261,dd_item!$A$2:$A$147,dd_item!$B$2:$B$147,"",0))</f>
        <v>Bead25</v>
      </c>
      <c r="K1261" s="16" t="str">
        <f>_xlfn.XLOOKUP(A1261,dd_design_raw!$C$2:$C$1002,dd_design_raw!$A$2:$A$1002,"",0)</f>
        <v>Fix Slide Door</v>
      </c>
      <c r="L1261" s="16" t="str">
        <f>_xlfn.XLOOKUP(I1261,dd_accsryclr!$A$2:$A$1000,dd_accsryclr!$A$2:$A$1000,"",0)</f>
        <v>BLK</v>
      </c>
    </row>
    <row r="1262" spans="1:12" hidden="1" x14ac:dyDescent="0.25">
      <c r="A1262" s="16" t="s">
        <v>23</v>
      </c>
      <c r="B1262" s="16" t="s">
        <v>688</v>
      </c>
      <c r="C1262" s="16" t="s">
        <v>279</v>
      </c>
      <c r="D1262" s="16" t="s">
        <v>280</v>
      </c>
      <c r="E1262" s="16">
        <v>2.3351724137931034</v>
      </c>
      <c r="F1262" s="16" t="s">
        <v>194</v>
      </c>
      <c r="G1262" s="16"/>
      <c r="H1262" s="16" t="s">
        <v>278</v>
      </c>
      <c r="I1262" s="16" t="s">
        <v>211</v>
      </c>
      <c r="J1262" s="16" t="str">
        <f>IF(ISNUMBER(SEARCH("SCRW", H1262)), _xlfn.XLOOKUP(C1262,dd_item!$A$2:$A$147,dd_item!$B$2:$B$147,"",0),_xlfn.XLOOKUP(H1262,dd_item!$A$2:$A$147,dd_item!$B$2:$B$147,"",0))</f>
        <v>Bead25</v>
      </c>
      <c r="K1262" s="16" t="str">
        <f>_xlfn.XLOOKUP(A1262,dd_design_raw!$C$2:$C$1002,dd_design_raw!$A$2:$A$1002,"",0)</f>
        <v>Fix Slide Door</v>
      </c>
      <c r="L1262" s="16" t="str">
        <f>_xlfn.XLOOKUP(I1262,dd_accsryclr!$A$2:$A$1000,dd_accsryclr!$A$2:$A$1000,"",0)</f>
        <v/>
      </c>
    </row>
    <row r="1263" spans="1:12" hidden="1" x14ac:dyDescent="0.25">
      <c r="A1263" s="16" t="s">
        <v>23</v>
      </c>
      <c r="B1263" s="16" t="s">
        <v>688</v>
      </c>
      <c r="C1263" s="16" t="s">
        <v>281</v>
      </c>
      <c r="D1263" s="16" t="s">
        <v>282</v>
      </c>
      <c r="E1263" s="16">
        <v>2.3351724137931034</v>
      </c>
      <c r="F1263" s="16" t="s">
        <v>194</v>
      </c>
      <c r="G1263" s="16"/>
      <c r="H1263" s="16" t="s">
        <v>278</v>
      </c>
      <c r="I1263" s="16" t="s">
        <v>214</v>
      </c>
      <c r="J1263" s="16" t="str">
        <f>IF(ISNUMBER(SEARCH("SCRW", H1263)), _xlfn.XLOOKUP(C1263,dd_item!$A$2:$A$147,dd_item!$B$2:$B$147,"",0),_xlfn.XLOOKUP(H1263,dd_item!$A$2:$A$147,dd_item!$B$2:$B$147,"",0))</f>
        <v>Bead25</v>
      </c>
      <c r="K1263" s="16" t="str">
        <f>_xlfn.XLOOKUP(A1263,dd_design_raw!$C$2:$C$1002,dd_design_raw!$A$2:$A$1002,"",0)</f>
        <v>Fix Slide Door</v>
      </c>
      <c r="L1263" s="16" t="str">
        <f>_xlfn.XLOOKUP(I1263,dd_accsryclr!$A$2:$A$1000,dd_accsryclr!$A$2:$A$1000,"",0)</f>
        <v/>
      </c>
    </row>
    <row r="1264" spans="1:12" hidden="1" x14ac:dyDescent="0.25">
      <c r="A1264" s="16" t="s">
        <v>23</v>
      </c>
      <c r="B1264" s="16" t="s">
        <v>688</v>
      </c>
      <c r="C1264" s="16" t="s">
        <v>283</v>
      </c>
      <c r="D1264" s="16" t="s">
        <v>284</v>
      </c>
      <c r="E1264" s="16">
        <v>2.3351724137931034</v>
      </c>
      <c r="F1264" s="16" t="s">
        <v>194</v>
      </c>
      <c r="G1264" s="16"/>
      <c r="H1264" s="16" t="s">
        <v>278</v>
      </c>
      <c r="I1264" s="16" t="s">
        <v>217</v>
      </c>
      <c r="J1264" s="16" t="str">
        <f>IF(ISNUMBER(SEARCH("SCRW", H1264)), _xlfn.XLOOKUP(C1264,dd_item!$A$2:$A$147,dd_item!$B$2:$B$147,"",0),_xlfn.XLOOKUP(H1264,dd_item!$A$2:$A$147,dd_item!$B$2:$B$147,"",0))</f>
        <v>Bead25</v>
      </c>
      <c r="K1264" s="16" t="str">
        <f>_xlfn.XLOOKUP(A1264,dd_design_raw!$C$2:$C$1002,dd_design_raw!$A$2:$A$1002,"",0)</f>
        <v>Fix Slide Door</v>
      </c>
      <c r="L1264" s="16" t="str">
        <f>_xlfn.XLOOKUP(I1264,dd_accsryclr!$A$2:$A$1000,dd_accsryclr!$A$2:$A$1000,"",0)</f>
        <v/>
      </c>
    </row>
    <row r="1265" spans="1:12" hidden="1" x14ac:dyDescent="0.25">
      <c r="A1265" s="16" t="s">
        <v>23</v>
      </c>
      <c r="B1265" s="16" t="s">
        <v>688</v>
      </c>
      <c r="C1265" s="16" t="s">
        <v>285</v>
      </c>
      <c r="D1265" s="16" t="s">
        <v>286</v>
      </c>
      <c r="E1265" s="16">
        <v>2.3351724137931034</v>
      </c>
      <c r="F1265" s="16" t="s">
        <v>194</v>
      </c>
      <c r="G1265" s="16"/>
      <c r="H1265" s="16" t="s">
        <v>278</v>
      </c>
      <c r="I1265" s="16" t="s">
        <v>226</v>
      </c>
      <c r="J1265" s="16" t="str">
        <f>IF(ISNUMBER(SEARCH("SCRW", H1265)), _xlfn.XLOOKUP(C1265,dd_item!$A$2:$A$147,dd_item!$B$2:$B$147,"",0),_xlfn.XLOOKUP(H1265,dd_item!$A$2:$A$147,dd_item!$B$2:$B$147,"",0))</f>
        <v>Bead25</v>
      </c>
      <c r="K1265" s="16" t="str">
        <f>_xlfn.XLOOKUP(A1265,dd_design_raw!$C$2:$C$1002,dd_design_raw!$A$2:$A$1002,"",0)</f>
        <v>Fix Slide Door</v>
      </c>
      <c r="L1265" s="16" t="str">
        <f>_xlfn.XLOOKUP(I1265,dd_accsryclr!$A$2:$A$1000,dd_accsryclr!$A$2:$A$1000,"",0)</f>
        <v/>
      </c>
    </row>
    <row r="1266" spans="1:12" hidden="1" x14ac:dyDescent="0.25">
      <c r="A1266" s="16" t="s">
        <v>23</v>
      </c>
      <c r="B1266" s="16" t="s">
        <v>688</v>
      </c>
      <c r="C1266" s="16" t="s">
        <v>287</v>
      </c>
      <c r="D1266" s="16" t="s">
        <v>288</v>
      </c>
      <c r="E1266" s="16">
        <v>2.3351724137931034</v>
      </c>
      <c r="F1266" s="16" t="s">
        <v>194</v>
      </c>
      <c r="G1266" s="16"/>
      <c r="H1266" s="16" t="s">
        <v>278</v>
      </c>
      <c r="I1266" s="16" t="s">
        <v>220</v>
      </c>
      <c r="J1266" s="16" t="str">
        <f>IF(ISNUMBER(SEARCH("SCRW", H1266)), _xlfn.XLOOKUP(C1266,dd_item!$A$2:$A$147,dd_item!$B$2:$B$147,"",0),_xlfn.XLOOKUP(H1266,dd_item!$A$2:$A$147,dd_item!$B$2:$B$147,"",0))</f>
        <v>Bead25</v>
      </c>
      <c r="K1266" s="16" t="str">
        <f>_xlfn.XLOOKUP(A1266,dd_design_raw!$C$2:$C$1002,dd_design_raw!$A$2:$A$1002,"",0)</f>
        <v>Fix Slide Door</v>
      </c>
      <c r="L1266" s="16" t="str">
        <f>_xlfn.XLOOKUP(I1266,dd_accsryclr!$A$2:$A$1000,dd_accsryclr!$A$2:$A$1000,"",0)</f>
        <v>WHT</v>
      </c>
    </row>
    <row r="1267" spans="1:12" hidden="1" x14ac:dyDescent="0.25">
      <c r="A1267" s="16" t="s">
        <v>23</v>
      </c>
      <c r="B1267" s="16" t="s">
        <v>688</v>
      </c>
      <c r="C1267" s="16" t="s">
        <v>289</v>
      </c>
      <c r="D1267" s="16" t="s">
        <v>290</v>
      </c>
      <c r="E1267" s="16">
        <v>2.3351724137931034</v>
      </c>
      <c r="F1267" s="16" t="s">
        <v>194</v>
      </c>
      <c r="G1267" s="16"/>
      <c r="H1267" s="16" t="s">
        <v>278</v>
      </c>
      <c r="I1267" s="16" t="s">
        <v>230</v>
      </c>
      <c r="J1267" s="16" t="str">
        <f>IF(ISNUMBER(SEARCH("SCRW", H1267)), _xlfn.XLOOKUP(C1267,dd_item!$A$2:$A$147,dd_item!$B$2:$B$147,"",0),_xlfn.XLOOKUP(H1267,dd_item!$A$2:$A$147,dd_item!$B$2:$B$147,"",0))</f>
        <v>Bead25</v>
      </c>
      <c r="K1267" s="16" t="str">
        <f>_xlfn.XLOOKUP(A1267,dd_design_raw!$C$2:$C$1002,dd_design_raw!$A$2:$A$1002,"",0)</f>
        <v>Fix Slide Door</v>
      </c>
      <c r="L1267" s="16" t="str">
        <f>_xlfn.XLOOKUP(I1267,dd_accsryclr!$A$2:$A$1000,dd_accsryclr!$A$2:$A$1000,"",0)</f>
        <v>BRWN</v>
      </c>
    </row>
    <row r="1268" spans="1:12" hidden="1" x14ac:dyDescent="0.25">
      <c r="A1268" s="16" t="s">
        <v>23</v>
      </c>
      <c r="B1268" s="16" t="s">
        <v>688</v>
      </c>
      <c r="C1268" s="16" t="s">
        <v>296</v>
      </c>
      <c r="D1268" s="16" t="s">
        <v>297</v>
      </c>
      <c r="E1268" s="16">
        <v>1</v>
      </c>
      <c r="F1268" s="16" t="s">
        <v>293</v>
      </c>
      <c r="G1268" s="16"/>
      <c r="H1268" s="16" t="s">
        <v>294</v>
      </c>
      <c r="I1268" s="16" t="s">
        <v>298</v>
      </c>
      <c r="J1268" s="16" t="str">
        <f>IF(ISNUMBER(SEARCH("SCRW", H1268)), _xlfn.XLOOKUP(C1268,dd_item!$A$2:$A$147,dd_item!$B$2:$B$147,"",0),_xlfn.XLOOKUP(H1268,dd_item!$A$2:$A$147,dd_item!$B$2:$B$147,"",0))</f>
        <v>SD Kit Handle</v>
      </c>
      <c r="K1268" s="16" t="str">
        <f>_xlfn.XLOOKUP(A1268,dd_design_raw!$C$2:$C$1002,dd_design_raw!$A$2:$A$1002,"",0)</f>
        <v>Fix Slide Door</v>
      </c>
      <c r="L1268" s="16" t="str">
        <f>_xlfn.XLOOKUP(I1268,dd_accsryclr!$A$2:$A$1000,dd_accsryclr!$A$2:$A$1000,"",0)</f>
        <v/>
      </c>
    </row>
    <row r="1269" spans="1:12" hidden="1" x14ac:dyDescent="0.25">
      <c r="A1269" s="16" t="s">
        <v>23</v>
      </c>
      <c r="B1269" s="16" t="s">
        <v>688</v>
      </c>
      <c r="C1269" s="16" t="s">
        <v>299</v>
      </c>
      <c r="D1269" s="16" t="s">
        <v>300</v>
      </c>
      <c r="E1269" s="16">
        <v>1</v>
      </c>
      <c r="F1269" s="16" t="s">
        <v>293</v>
      </c>
      <c r="G1269" s="16"/>
      <c r="H1269" s="16" t="s">
        <v>294</v>
      </c>
      <c r="I1269" s="16" t="s">
        <v>223</v>
      </c>
      <c r="J1269" s="16" t="str">
        <f>IF(ISNUMBER(SEARCH("SCRW", H1269)), _xlfn.XLOOKUP(C1269,dd_item!$A$2:$A$147,dd_item!$B$2:$B$147,"",0),_xlfn.XLOOKUP(H1269,dd_item!$A$2:$A$147,dd_item!$B$2:$B$147,"",0))</f>
        <v>SD Kit Handle</v>
      </c>
      <c r="K1269" s="16" t="str">
        <f>_xlfn.XLOOKUP(A1269,dd_design_raw!$C$2:$C$1002,dd_design_raw!$A$2:$A$1002,"",0)</f>
        <v>Fix Slide Door</v>
      </c>
      <c r="L1269" s="16" t="str">
        <f>_xlfn.XLOOKUP(I1269,dd_accsryclr!$A$2:$A$1000,dd_accsryclr!$A$2:$A$1000,"",0)</f>
        <v>BLK</v>
      </c>
    </row>
    <row r="1270" spans="1:12" hidden="1" x14ac:dyDescent="0.25">
      <c r="A1270" s="16" t="s">
        <v>23</v>
      </c>
      <c r="B1270" s="16" t="s">
        <v>688</v>
      </c>
      <c r="C1270" s="16" t="s">
        <v>301</v>
      </c>
      <c r="D1270" s="16" t="s">
        <v>302</v>
      </c>
      <c r="E1270" s="16">
        <v>1</v>
      </c>
      <c r="F1270" s="16" t="s">
        <v>293</v>
      </c>
      <c r="G1270" s="16"/>
      <c r="H1270" s="16" t="s">
        <v>294</v>
      </c>
      <c r="I1270" s="16" t="s">
        <v>220</v>
      </c>
      <c r="J1270" s="16" t="str">
        <f>IF(ISNUMBER(SEARCH("SCRW", H1270)), _xlfn.XLOOKUP(C1270,dd_item!$A$2:$A$147,dd_item!$B$2:$B$147,"",0),_xlfn.XLOOKUP(H1270,dd_item!$A$2:$A$147,dd_item!$B$2:$B$147,"",0))</f>
        <v>SD Kit Handle</v>
      </c>
      <c r="K1270" s="16" t="str">
        <f>_xlfn.XLOOKUP(A1270,dd_design_raw!$C$2:$C$1002,dd_design_raw!$A$2:$A$1002,"",0)</f>
        <v>Fix Slide Door</v>
      </c>
      <c r="L1270" s="16" t="str">
        <f>_xlfn.XLOOKUP(I1270,dd_accsryclr!$A$2:$A$1000,dd_accsryclr!$A$2:$A$1000,"",0)</f>
        <v>WHT</v>
      </c>
    </row>
    <row r="1271" spans="1:12" hidden="1" x14ac:dyDescent="0.25">
      <c r="A1271" s="16" t="s">
        <v>23</v>
      </c>
      <c r="B1271" s="16" t="s">
        <v>688</v>
      </c>
      <c r="C1271" s="16" t="s">
        <v>303</v>
      </c>
      <c r="D1271" s="16" t="s">
        <v>304</v>
      </c>
      <c r="E1271" s="16">
        <v>4</v>
      </c>
      <c r="F1271" s="16" t="s">
        <v>293</v>
      </c>
      <c r="G1271" s="16"/>
      <c r="H1271" s="16" t="s">
        <v>305</v>
      </c>
      <c r="I1271" s="16"/>
      <c r="J1271" s="16" t="str">
        <f>IF(ISNUMBER(SEARCH("SCRW", H1271)), _xlfn.XLOOKUP(C1271,dd_item!$A$2:$A$147,dd_item!$B$2:$B$147,"",0),_xlfn.XLOOKUP(H1271,dd_item!$A$2:$A$147,dd_item!$B$2:$B$147,"",0))</f>
        <v>Rubber Stopper</v>
      </c>
      <c r="K1271" s="16" t="str">
        <f>_xlfn.XLOOKUP(A1271,dd_design_raw!$C$2:$C$1002,dd_design_raw!$A$2:$A$1002,"",0)</f>
        <v>Fix Slide Door</v>
      </c>
      <c r="L1271" s="16" t="str">
        <f>_xlfn.XLOOKUP(I1271,dd_accsryclr!$A$2:$A$1000,dd_accsryclr!$A$2:$A$1000,"",0)</f>
        <v/>
      </c>
    </row>
    <row r="1272" spans="1:12" hidden="1" x14ac:dyDescent="0.25">
      <c r="A1272" s="16" t="s">
        <v>23</v>
      </c>
      <c r="B1272" s="16" t="s">
        <v>688</v>
      </c>
      <c r="C1272" s="16" t="s">
        <v>306</v>
      </c>
      <c r="D1272" s="16" t="s">
        <v>307</v>
      </c>
      <c r="E1272" s="16">
        <v>2</v>
      </c>
      <c r="F1272" s="16" t="s">
        <v>293</v>
      </c>
      <c r="G1272" s="16"/>
      <c r="H1272" s="16" t="s">
        <v>308</v>
      </c>
      <c r="I1272" s="16" t="s">
        <v>230</v>
      </c>
      <c r="J1272" s="16" t="str">
        <f>IF(ISNUMBER(SEARCH("SCRW", H1272)), _xlfn.XLOOKUP(C1272,dd_item!$A$2:$A$147,dd_item!$B$2:$B$147,"",0),_xlfn.XLOOKUP(H1272,dd_item!$A$2:$A$147,dd_item!$B$2:$B$147,"",0))</f>
        <v>Track Bridge</v>
      </c>
      <c r="K1272" s="16" t="str">
        <f>_xlfn.XLOOKUP(A1272,dd_design_raw!$C$2:$C$1002,dd_design_raw!$A$2:$A$1002,"",0)</f>
        <v>Fix Slide Door</v>
      </c>
      <c r="L1272" s="16" t="str">
        <f>_xlfn.XLOOKUP(I1272,dd_accsryclr!$A$2:$A$1000,dd_accsryclr!$A$2:$A$1000,"",0)</f>
        <v>BRWN</v>
      </c>
    </row>
    <row r="1273" spans="1:12" hidden="1" x14ac:dyDescent="0.25">
      <c r="A1273" s="16" t="s">
        <v>23</v>
      </c>
      <c r="B1273" s="16" t="s">
        <v>688</v>
      </c>
      <c r="C1273" s="16" t="s">
        <v>309</v>
      </c>
      <c r="D1273" s="16" t="s">
        <v>310</v>
      </c>
      <c r="E1273" s="16">
        <v>2</v>
      </c>
      <c r="F1273" s="16" t="s">
        <v>293</v>
      </c>
      <c r="G1273" s="16"/>
      <c r="H1273" s="16" t="s">
        <v>308</v>
      </c>
      <c r="I1273" s="16" t="s">
        <v>220</v>
      </c>
      <c r="J1273" s="16" t="str">
        <f>IF(ISNUMBER(SEARCH("SCRW", H1273)), _xlfn.XLOOKUP(C1273,dd_item!$A$2:$A$147,dd_item!$B$2:$B$147,"",0),_xlfn.XLOOKUP(H1273,dd_item!$A$2:$A$147,dd_item!$B$2:$B$147,"",0))</f>
        <v>Track Bridge</v>
      </c>
      <c r="K1273" s="16" t="str">
        <f>_xlfn.XLOOKUP(A1273,dd_design_raw!$C$2:$C$1002,dd_design_raw!$A$2:$A$1002,"",0)</f>
        <v>Fix Slide Door</v>
      </c>
      <c r="L1273" s="16" t="str">
        <f>_xlfn.XLOOKUP(I1273,dd_accsryclr!$A$2:$A$1000,dd_accsryclr!$A$2:$A$1000,"",0)</f>
        <v>WHT</v>
      </c>
    </row>
    <row r="1274" spans="1:12" hidden="1" x14ac:dyDescent="0.25">
      <c r="A1274" s="16" t="s">
        <v>23</v>
      </c>
      <c r="B1274" s="16" t="s">
        <v>688</v>
      </c>
      <c r="C1274" s="16" t="s">
        <v>311</v>
      </c>
      <c r="D1274" s="16" t="s">
        <v>312</v>
      </c>
      <c r="E1274" s="16">
        <v>2</v>
      </c>
      <c r="F1274" s="16" t="s">
        <v>293</v>
      </c>
      <c r="G1274" s="16"/>
      <c r="H1274" s="16" t="s">
        <v>313</v>
      </c>
      <c r="I1274" s="16"/>
      <c r="J1274" s="16" t="str">
        <f>IF(ISNUMBER(SEARCH("SCRW", H1274)), _xlfn.XLOOKUP(C1274,dd_item!$A$2:$A$147,dd_item!$B$2:$B$147,"",0),_xlfn.XLOOKUP(H1274,dd_item!$A$2:$A$147,dd_item!$B$2:$B$147,"",0))</f>
        <v>Roller for Door</v>
      </c>
      <c r="K1274" s="16" t="str">
        <f>_xlfn.XLOOKUP(A1274,dd_design_raw!$C$2:$C$1002,dd_design_raw!$A$2:$A$1002,"",0)</f>
        <v>Fix Slide Door</v>
      </c>
      <c r="L1274" s="16" t="str">
        <f>_xlfn.XLOOKUP(I1274,dd_accsryclr!$A$2:$A$1000,dd_accsryclr!$A$2:$A$1000,"",0)</f>
        <v/>
      </c>
    </row>
    <row r="1275" spans="1:12" hidden="1" x14ac:dyDescent="0.25">
      <c r="A1275" s="16" t="s">
        <v>23</v>
      </c>
      <c r="B1275" s="16" t="s">
        <v>688</v>
      </c>
      <c r="C1275" s="16" t="s">
        <v>314</v>
      </c>
      <c r="D1275" s="16" t="s">
        <v>315</v>
      </c>
      <c r="E1275" s="16">
        <v>2</v>
      </c>
      <c r="F1275" s="16" t="s">
        <v>293</v>
      </c>
      <c r="G1275" s="16"/>
      <c r="H1275" s="16" t="s">
        <v>313</v>
      </c>
      <c r="I1275" s="16"/>
      <c r="J1275" s="16" t="str">
        <f>IF(ISNUMBER(SEARCH("SCRW", H1275)), _xlfn.XLOOKUP(C1275,dd_item!$A$2:$A$147,dd_item!$B$2:$B$147,"",0),_xlfn.XLOOKUP(H1275,dd_item!$A$2:$A$147,dd_item!$B$2:$B$147,"",0))</f>
        <v>Roller for Door</v>
      </c>
      <c r="K1275" s="16" t="str">
        <f>_xlfn.XLOOKUP(A1275,dd_design_raw!$C$2:$C$1002,dd_design_raw!$A$2:$A$1002,"",0)</f>
        <v>Fix Slide Door</v>
      </c>
      <c r="L1275" s="16" t="str">
        <f>_xlfn.XLOOKUP(I1275,dd_accsryclr!$A$2:$A$1000,dd_accsryclr!$A$2:$A$1000,"",0)</f>
        <v/>
      </c>
    </row>
    <row r="1276" spans="1:12" hidden="1" x14ac:dyDescent="0.25">
      <c r="A1276" s="16" t="s">
        <v>23</v>
      </c>
      <c r="B1276" s="16" t="s">
        <v>688</v>
      </c>
      <c r="C1276" s="16" t="s">
        <v>334</v>
      </c>
      <c r="D1276" s="16" t="s">
        <v>335</v>
      </c>
      <c r="E1276" s="16">
        <v>0.88</v>
      </c>
      <c r="F1276" s="16" t="s">
        <v>194</v>
      </c>
      <c r="G1276" s="16"/>
      <c r="H1276" s="16" t="s">
        <v>336</v>
      </c>
      <c r="I1276" s="16" t="s">
        <v>211</v>
      </c>
      <c r="J1276" s="16" t="str">
        <f>IF(ISNUMBER(SEARCH("SCRW", H1276)), _xlfn.XLOOKUP(C1276,dd_item!$A$2:$A$147,dd_item!$B$2:$B$147,"",0),_xlfn.XLOOKUP(H1276,dd_item!$A$2:$A$147,dd_item!$B$2:$B$147,"",0))</f>
        <v>Interlocker50</v>
      </c>
      <c r="K1276" s="16" t="str">
        <f>_xlfn.XLOOKUP(A1276,dd_design_raw!$C$2:$C$1002,dd_design_raw!$A$2:$A$1002,"",0)</f>
        <v>Fix Slide Door</v>
      </c>
      <c r="L1276" s="16" t="str">
        <f>_xlfn.XLOOKUP(I1276,dd_accsryclr!$A$2:$A$1000,dd_accsryclr!$A$2:$A$1000,"",0)</f>
        <v/>
      </c>
    </row>
    <row r="1277" spans="1:12" hidden="1" x14ac:dyDescent="0.25">
      <c r="A1277" s="16" t="s">
        <v>23</v>
      </c>
      <c r="B1277" s="16" t="s">
        <v>688</v>
      </c>
      <c r="C1277" s="16" t="s">
        <v>337</v>
      </c>
      <c r="D1277" s="16" t="s">
        <v>338</v>
      </c>
      <c r="E1277" s="16">
        <v>0.88</v>
      </c>
      <c r="F1277" s="16" t="s">
        <v>194</v>
      </c>
      <c r="G1277" s="16"/>
      <c r="H1277" s="16" t="s">
        <v>336</v>
      </c>
      <c r="I1277" s="16" t="s">
        <v>214</v>
      </c>
      <c r="J1277" s="16" t="str">
        <f>IF(ISNUMBER(SEARCH("SCRW", H1277)), _xlfn.XLOOKUP(C1277,dd_item!$A$2:$A$147,dd_item!$B$2:$B$147,"",0),_xlfn.XLOOKUP(H1277,dd_item!$A$2:$A$147,dd_item!$B$2:$B$147,"",0))</f>
        <v>Interlocker50</v>
      </c>
      <c r="K1277" s="16" t="str">
        <f>_xlfn.XLOOKUP(A1277,dd_design_raw!$C$2:$C$1002,dd_design_raw!$A$2:$A$1002,"",0)</f>
        <v>Fix Slide Door</v>
      </c>
      <c r="L1277" s="16" t="str">
        <f>_xlfn.XLOOKUP(I1277,dd_accsryclr!$A$2:$A$1000,dd_accsryclr!$A$2:$A$1000,"",0)</f>
        <v/>
      </c>
    </row>
    <row r="1278" spans="1:12" hidden="1" x14ac:dyDescent="0.25">
      <c r="A1278" s="16" t="s">
        <v>23</v>
      </c>
      <c r="B1278" s="16" t="s">
        <v>688</v>
      </c>
      <c r="C1278" s="16" t="s">
        <v>339</v>
      </c>
      <c r="D1278" s="16" t="s">
        <v>340</v>
      </c>
      <c r="E1278" s="16">
        <v>0.88</v>
      </c>
      <c r="F1278" s="16" t="s">
        <v>194</v>
      </c>
      <c r="G1278" s="16"/>
      <c r="H1278" s="16" t="s">
        <v>336</v>
      </c>
      <c r="I1278" s="16" t="s">
        <v>217</v>
      </c>
      <c r="J1278" s="16" t="str">
        <f>IF(ISNUMBER(SEARCH("SCRW", H1278)), _xlfn.XLOOKUP(C1278,dd_item!$A$2:$A$147,dd_item!$B$2:$B$147,"",0),_xlfn.XLOOKUP(H1278,dd_item!$A$2:$A$147,dd_item!$B$2:$B$147,"",0))</f>
        <v>Interlocker50</v>
      </c>
      <c r="K1278" s="16" t="str">
        <f>_xlfn.XLOOKUP(A1278,dd_design_raw!$C$2:$C$1002,dd_design_raw!$A$2:$A$1002,"",0)</f>
        <v>Fix Slide Door</v>
      </c>
      <c r="L1278" s="16" t="str">
        <f>_xlfn.XLOOKUP(I1278,dd_accsryclr!$A$2:$A$1000,dd_accsryclr!$A$2:$A$1000,"",0)</f>
        <v/>
      </c>
    </row>
    <row r="1279" spans="1:12" hidden="1" x14ac:dyDescent="0.25">
      <c r="A1279" s="16" t="s">
        <v>23</v>
      </c>
      <c r="B1279" s="16" t="s">
        <v>688</v>
      </c>
      <c r="C1279" s="16" t="s">
        <v>341</v>
      </c>
      <c r="D1279" s="16" t="s">
        <v>342</v>
      </c>
      <c r="E1279" s="16">
        <v>0.88</v>
      </c>
      <c r="F1279" s="16" t="s">
        <v>194</v>
      </c>
      <c r="G1279" s="16"/>
      <c r="H1279" s="16" t="s">
        <v>336</v>
      </c>
      <c r="I1279" s="16" t="s">
        <v>226</v>
      </c>
      <c r="J1279" s="16" t="str">
        <f>IF(ISNUMBER(SEARCH("SCRW", H1279)), _xlfn.XLOOKUP(C1279,dd_item!$A$2:$A$147,dd_item!$B$2:$B$147,"",0),_xlfn.XLOOKUP(H1279,dd_item!$A$2:$A$147,dd_item!$B$2:$B$147,"",0))</f>
        <v>Interlocker50</v>
      </c>
      <c r="K1279" s="16" t="str">
        <f>_xlfn.XLOOKUP(A1279,dd_design_raw!$C$2:$C$1002,dd_design_raw!$A$2:$A$1002,"",0)</f>
        <v>Fix Slide Door</v>
      </c>
      <c r="L1279" s="16" t="str">
        <f>_xlfn.XLOOKUP(I1279,dd_accsryclr!$A$2:$A$1000,dd_accsryclr!$A$2:$A$1000,"",0)</f>
        <v/>
      </c>
    </row>
    <row r="1280" spans="1:12" hidden="1" x14ac:dyDescent="0.25">
      <c r="A1280" s="16" t="s">
        <v>23</v>
      </c>
      <c r="B1280" s="16" t="s">
        <v>688</v>
      </c>
      <c r="C1280" s="16" t="s">
        <v>343</v>
      </c>
      <c r="D1280" s="16" t="s">
        <v>344</v>
      </c>
      <c r="E1280" s="16">
        <v>0.88</v>
      </c>
      <c r="F1280" s="16" t="s">
        <v>194</v>
      </c>
      <c r="G1280" s="16"/>
      <c r="H1280" s="16" t="s">
        <v>336</v>
      </c>
      <c r="I1280" s="16" t="s">
        <v>220</v>
      </c>
      <c r="J1280" s="16" t="str">
        <f>IF(ISNUMBER(SEARCH("SCRW", H1280)), _xlfn.XLOOKUP(C1280,dd_item!$A$2:$A$147,dd_item!$B$2:$B$147,"",0),_xlfn.XLOOKUP(H1280,dd_item!$A$2:$A$147,dd_item!$B$2:$B$147,"",0))</f>
        <v>Interlocker50</v>
      </c>
      <c r="K1280" s="16" t="str">
        <f>_xlfn.XLOOKUP(A1280,dd_design_raw!$C$2:$C$1002,dd_design_raw!$A$2:$A$1002,"",0)</f>
        <v>Fix Slide Door</v>
      </c>
      <c r="L1280" s="16" t="str">
        <f>_xlfn.XLOOKUP(I1280,dd_accsryclr!$A$2:$A$1000,dd_accsryclr!$A$2:$A$1000,"",0)</f>
        <v>WHT</v>
      </c>
    </row>
    <row r="1281" spans="1:12" hidden="1" x14ac:dyDescent="0.25">
      <c r="A1281" s="16" t="s">
        <v>23</v>
      </c>
      <c r="B1281" s="16" t="s">
        <v>688</v>
      </c>
      <c r="C1281" s="16" t="s">
        <v>345</v>
      </c>
      <c r="D1281" s="16" t="s">
        <v>346</v>
      </c>
      <c r="E1281" s="16">
        <v>0.88</v>
      </c>
      <c r="F1281" s="16" t="s">
        <v>194</v>
      </c>
      <c r="G1281" s="16"/>
      <c r="H1281" s="16" t="s">
        <v>336</v>
      </c>
      <c r="I1281" s="16" t="s">
        <v>223</v>
      </c>
      <c r="J1281" s="16" t="str">
        <f>IF(ISNUMBER(SEARCH("SCRW", H1281)), _xlfn.XLOOKUP(C1281,dd_item!$A$2:$A$147,dd_item!$B$2:$B$147,"",0),_xlfn.XLOOKUP(H1281,dd_item!$A$2:$A$147,dd_item!$B$2:$B$147,"",0))</f>
        <v>Interlocker50</v>
      </c>
      <c r="K1281" s="16" t="str">
        <f>_xlfn.XLOOKUP(A1281,dd_design_raw!$C$2:$C$1002,dd_design_raw!$A$2:$A$1002,"",0)</f>
        <v>Fix Slide Door</v>
      </c>
      <c r="L1281" s="16" t="str">
        <f>_xlfn.XLOOKUP(I1281,dd_accsryclr!$A$2:$A$1000,dd_accsryclr!$A$2:$A$1000,"",0)</f>
        <v>BLK</v>
      </c>
    </row>
    <row r="1282" spans="1:12" hidden="1" x14ac:dyDescent="0.25">
      <c r="A1282" s="16" t="s">
        <v>23</v>
      </c>
      <c r="B1282" s="16" t="s">
        <v>688</v>
      </c>
      <c r="C1282" s="16" t="s">
        <v>347</v>
      </c>
      <c r="D1282" s="16" t="s">
        <v>348</v>
      </c>
      <c r="E1282" s="16">
        <v>0.88</v>
      </c>
      <c r="F1282" s="16" t="s">
        <v>194</v>
      </c>
      <c r="G1282" s="16"/>
      <c r="H1282" s="16" t="s">
        <v>336</v>
      </c>
      <c r="I1282" s="16" t="s">
        <v>230</v>
      </c>
      <c r="J1282" s="16" t="str">
        <f>IF(ISNUMBER(SEARCH("SCRW", H1282)), _xlfn.XLOOKUP(C1282,dd_item!$A$2:$A$147,dd_item!$B$2:$B$147,"",0),_xlfn.XLOOKUP(H1282,dd_item!$A$2:$A$147,dd_item!$B$2:$B$147,"",0))</f>
        <v>Interlocker50</v>
      </c>
      <c r="K1282" s="16" t="str">
        <f>_xlfn.XLOOKUP(A1282,dd_design_raw!$C$2:$C$1002,dd_design_raw!$A$2:$A$1002,"",0)</f>
        <v>Fix Slide Door</v>
      </c>
      <c r="L1282" s="16" t="str">
        <f>_xlfn.XLOOKUP(I1282,dd_accsryclr!$A$2:$A$1000,dd_accsryclr!$A$2:$A$1000,"",0)</f>
        <v>BRWN</v>
      </c>
    </row>
    <row r="1283" spans="1:12" hidden="1" x14ac:dyDescent="0.25">
      <c r="A1283" s="16" t="s">
        <v>23</v>
      </c>
      <c r="B1283" s="16" t="s">
        <v>688</v>
      </c>
      <c r="C1283" s="16" t="s">
        <v>364</v>
      </c>
      <c r="D1283" s="16" t="s">
        <v>365</v>
      </c>
      <c r="E1283" s="16">
        <v>0.43103448275862066</v>
      </c>
      <c r="F1283" s="16" t="s">
        <v>293</v>
      </c>
      <c r="G1283" s="16"/>
      <c r="H1283" s="16" t="s">
        <v>366</v>
      </c>
      <c r="I1283" s="16" t="s">
        <v>443</v>
      </c>
      <c r="J1283" s="16" t="str">
        <f>IF(ISNUMBER(SEARCH("SCRW", H1283)), _xlfn.XLOOKUP(C1283,dd_item!$A$2:$A$147,dd_item!$B$2:$B$147,"",0),_xlfn.XLOOKUP(H1283,dd_item!$A$2:$A$147,dd_item!$B$2:$B$147,"",0))</f>
        <v>Aluminum Track</v>
      </c>
      <c r="K1283" s="16" t="str">
        <f>_xlfn.XLOOKUP(A1283,dd_design_raw!$C$2:$C$1002,dd_design_raw!$A$2:$A$1002,"",0)</f>
        <v>Fix Slide Door</v>
      </c>
      <c r="L1283" s="16" t="str">
        <f>_xlfn.XLOOKUP(I1283,dd_accsryclr!$A$2:$A$1000,dd_accsryclr!$A$2:$A$1000,"",0)</f>
        <v/>
      </c>
    </row>
    <row r="1284" spans="1:12" hidden="1" x14ac:dyDescent="0.25">
      <c r="A1284" s="16" t="s">
        <v>23</v>
      </c>
      <c r="B1284" s="16" t="s">
        <v>688</v>
      </c>
      <c r="C1284" s="16" t="s">
        <v>367</v>
      </c>
      <c r="D1284" s="16" t="s">
        <v>368</v>
      </c>
      <c r="E1284" s="16">
        <v>1</v>
      </c>
      <c r="F1284" s="16" t="s">
        <v>369</v>
      </c>
      <c r="G1284" s="16"/>
      <c r="H1284" s="16" t="s">
        <v>370</v>
      </c>
      <c r="I1284" s="16" t="s">
        <v>223</v>
      </c>
      <c r="J1284" s="16" t="str">
        <f>IF(ISNUMBER(SEARCH("SCRW", H1284)), _xlfn.XLOOKUP(C1284,dd_item!$A$2:$A$147,dd_item!$B$2:$B$147,"",0),_xlfn.XLOOKUP(H1284,dd_item!$A$2:$A$147,dd_item!$B$2:$B$147,"",0))</f>
        <v>SD Kit Handle</v>
      </c>
      <c r="K1284" s="16" t="str">
        <f>_xlfn.XLOOKUP(A1284,dd_design_raw!$C$2:$C$1002,dd_design_raw!$A$2:$A$1002,"",0)</f>
        <v>Fix Slide Door</v>
      </c>
      <c r="L1284" s="16" t="str">
        <f>_xlfn.XLOOKUP(I1284,dd_accsryclr!$A$2:$A$1000,dd_accsryclr!$A$2:$A$1000,"",0)</f>
        <v>BLK</v>
      </c>
    </row>
    <row r="1285" spans="1:12" hidden="1" x14ac:dyDescent="0.25">
      <c r="A1285" s="16" t="s">
        <v>23</v>
      </c>
      <c r="B1285" s="16" t="s">
        <v>688</v>
      </c>
      <c r="C1285" s="16" t="s">
        <v>371</v>
      </c>
      <c r="D1285" s="16" t="s">
        <v>372</v>
      </c>
      <c r="E1285" s="16">
        <v>1</v>
      </c>
      <c r="F1285" s="16" t="s">
        <v>369</v>
      </c>
      <c r="G1285" s="16"/>
      <c r="H1285" s="16" t="s">
        <v>370</v>
      </c>
      <c r="I1285" s="16" t="s">
        <v>220</v>
      </c>
      <c r="J1285" s="16" t="str">
        <f>IF(ISNUMBER(SEARCH("SCRW", H1285)), _xlfn.XLOOKUP(C1285,dd_item!$A$2:$A$147,dd_item!$B$2:$B$147,"",0),_xlfn.XLOOKUP(H1285,dd_item!$A$2:$A$147,dd_item!$B$2:$B$147,"",0))</f>
        <v>SD Kit Handle</v>
      </c>
      <c r="K1285" s="16" t="str">
        <f>_xlfn.XLOOKUP(A1285,dd_design_raw!$C$2:$C$1002,dd_design_raw!$A$2:$A$1002,"",0)</f>
        <v>Fix Slide Door</v>
      </c>
      <c r="L1285" s="16" t="str">
        <f>_xlfn.XLOOKUP(I1285,dd_accsryclr!$A$2:$A$1000,dd_accsryclr!$A$2:$A$1000,"",0)</f>
        <v>WHT</v>
      </c>
    </row>
    <row r="1286" spans="1:12" hidden="1" x14ac:dyDescent="0.25">
      <c r="A1286" s="16" t="s">
        <v>23</v>
      </c>
      <c r="B1286" s="16" t="s">
        <v>688</v>
      </c>
      <c r="C1286" s="16" t="s">
        <v>373</v>
      </c>
      <c r="D1286" s="16" t="s">
        <v>374</v>
      </c>
      <c r="E1286" s="16">
        <v>1</v>
      </c>
      <c r="F1286" s="16" t="s">
        <v>369</v>
      </c>
      <c r="G1286" s="16"/>
      <c r="H1286" s="16" t="s">
        <v>370</v>
      </c>
      <c r="I1286" s="16" t="s">
        <v>220</v>
      </c>
      <c r="J1286" s="16" t="str">
        <f>IF(ISNUMBER(SEARCH("SCRW", H1286)), _xlfn.XLOOKUP(C1286,dd_item!$A$2:$A$147,dd_item!$B$2:$B$147,"",0),_xlfn.XLOOKUP(H1286,dd_item!$A$2:$A$147,dd_item!$B$2:$B$147,"",0))</f>
        <v>SD Kit Handle</v>
      </c>
      <c r="K1286" s="16" t="str">
        <f>_xlfn.XLOOKUP(A1286,dd_design_raw!$C$2:$C$1002,dd_design_raw!$A$2:$A$1002,"",0)</f>
        <v>Fix Slide Door</v>
      </c>
      <c r="L1286" s="16" t="str">
        <f>_xlfn.XLOOKUP(I1286,dd_accsryclr!$A$2:$A$1000,dd_accsryclr!$A$2:$A$1000,"",0)</f>
        <v>WHT</v>
      </c>
    </row>
    <row r="1287" spans="1:12" hidden="1" x14ac:dyDescent="0.25">
      <c r="A1287" s="16" t="s">
        <v>23</v>
      </c>
      <c r="B1287" s="16" t="s">
        <v>688</v>
      </c>
      <c r="C1287" s="16" t="s">
        <v>375</v>
      </c>
      <c r="D1287" s="16" t="s">
        <v>376</v>
      </c>
      <c r="E1287" s="16">
        <v>1</v>
      </c>
      <c r="F1287" s="16" t="s">
        <v>369</v>
      </c>
      <c r="G1287" s="16"/>
      <c r="H1287" s="16" t="s">
        <v>370</v>
      </c>
      <c r="I1287" s="16" t="s">
        <v>223</v>
      </c>
      <c r="J1287" s="16" t="str">
        <f>IF(ISNUMBER(SEARCH("SCRW", H1287)), _xlfn.XLOOKUP(C1287,dd_item!$A$2:$A$147,dd_item!$B$2:$B$147,"",0),_xlfn.XLOOKUP(H1287,dd_item!$A$2:$A$147,dd_item!$B$2:$B$147,"",0))</f>
        <v>SD Kit Handle</v>
      </c>
      <c r="K1287" s="16" t="str">
        <f>_xlfn.XLOOKUP(A1287,dd_design_raw!$C$2:$C$1002,dd_design_raw!$A$2:$A$1002,"",0)</f>
        <v>Fix Slide Door</v>
      </c>
      <c r="L1287" s="16" t="str">
        <f>_xlfn.XLOOKUP(I1287,dd_accsryclr!$A$2:$A$1000,dd_accsryclr!$A$2:$A$1000,"",0)</f>
        <v>BLK</v>
      </c>
    </row>
    <row r="1288" spans="1:12" hidden="1" x14ac:dyDescent="0.25">
      <c r="A1288" s="16" t="s">
        <v>23</v>
      </c>
      <c r="B1288" s="16" t="s">
        <v>688</v>
      </c>
      <c r="C1288" s="16" t="s">
        <v>377</v>
      </c>
      <c r="D1288" s="16" t="s">
        <v>378</v>
      </c>
      <c r="E1288" s="16">
        <v>1</v>
      </c>
      <c r="F1288" s="16" t="s">
        <v>369</v>
      </c>
      <c r="G1288" s="16"/>
      <c r="H1288" s="16" t="s">
        <v>379</v>
      </c>
      <c r="I1288" s="16"/>
      <c r="J1288" s="16" t="str">
        <f>IF(ISNUMBER(SEARCH("SCRW", H1288)), _xlfn.XLOOKUP(C1288,dd_item!$A$2:$A$147,dd_item!$B$2:$B$147,"",0),_xlfn.XLOOKUP(H1288,dd_item!$A$2:$A$147,dd_item!$B$2:$B$147,"",0))</f>
        <v xml:space="preserve">SD Kit Cylinder Door Knob </v>
      </c>
      <c r="K1288" s="16" t="str">
        <f>_xlfn.XLOOKUP(A1288,dd_design_raw!$C$2:$C$1002,dd_design_raw!$A$2:$A$1002,"",0)</f>
        <v>Fix Slide Door</v>
      </c>
      <c r="L1288" s="16" t="str">
        <f>_xlfn.XLOOKUP(I1288,dd_accsryclr!$A$2:$A$1000,dd_accsryclr!$A$2:$A$1000,"",0)</f>
        <v/>
      </c>
    </row>
    <row r="1289" spans="1:12" hidden="1" x14ac:dyDescent="0.25">
      <c r="A1289" s="16" t="s">
        <v>23</v>
      </c>
      <c r="B1289" s="16" t="s">
        <v>688</v>
      </c>
      <c r="C1289" s="16" t="s">
        <v>380</v>
      </c>
      <c r="D1289" s="16" t="s">
        <v>381</v>
      </c>
      <c r="E1289" s="16">
        <v>1</v>
      </c>
      <c r="F1289" s="16" t="s">
        <v>369</v>
      </c>
      <c r="G1289" s="16"/>
      <c r="H1289" s="16" t="s">
        <v>379</v>
      </c>
      <c r="I1289" s="16"/>
      <c r="J1289" s="16" t="str">
        <f>IF(ISNUMBER(SEARCH("SCRW", H1289)), _xlfn.XLOOKUP(C1289,dd_item!$A$2:$A$147,dd_item!$B$2:$B$147,"",0),_xlfn.XLOOKUP(H1289,dd_item!$A$2:$A$147,dd_item!$B$2:$B$147,"",0))</f>
        <v xml:space="preserve">SD Kit Cylinder Door Knob </v>
      </c>
      <c r="K1289" s="16" t="str">
        <f>_xlfn.XLOOKUP(A1289,dd_design_raw!$C$2:$C$1002,dd_design_raw!$A$2:$A$1002,"",0)</f>
        <v>Fix Slide Door</v>
      </c>
      <c r="L1289" s="16" t="str">
        <f>_xlfn.XLOOKUP(I1289,dd_accsryclr!$A$2:$A$1000,dd_accsryclr!$A$2:$A$1000,"",0)</f>
        <v/>
      </c>
    </row>
    <row r="1290" spans="1:12" hidden="1" x14ac:dyDescent="0.25">
      <c r="A1290" s="16" t="s">
        <v>23</v>
      </c>
      <c r="B1290" s="16" t="s">
        <v>688</v>
      </c>
      <c r="C1290" s="16" t="s">
        <v>382</v>
      </c>
      <c r="D1290" s="16" t="s">
        <v>383</v>
      </c>
      <c r="E1290" s="16">
        <v>1</v>
      </c>
      <c r="F1290" s="16" t="s">
        <v>369</v>
      </c>
      <c r="G1290" s="16"/>
      <c r="H1290" s="16" t="s">
        <v>384</v>
      </c>
      <c r="I1290" s="16" t="s">
        <v>223</v>
      </c>
      <c r="J1290" s="16" t="str">
        <f>IF(ISNUMBER(SEARCH("SCRW", H1290)), _xlfn.XLOOKUP(C1290,dd_item!$A$2:$A$147,dd_item!$B$2:$B$147,"",0),_xlfn.XLOOKUP(H1290,dd_item!$A$2:$A$147,dd_item!$B$2:$B$147,"",0))</f>
        <v>Cylinder Cover Set</v>
      </c>
      <c r="K1290" s="16" t="str">
        <f>_xlfn.XLOOKUP(A1290,dd_design_raw!$C$2:$C$1002,dd_design_raw!$A$2:$A$1002,"",0)</f>
        <v>Fix Slide Door</v>
      </c>
      <c r="L1290" s="16" t="str">
        <f>_xlfn.XLOOKUP(I1290,dd_accsryclr!$A$2:$A$1000,dd_accsryclr!$A$2:$A$1000,"",0)</f>
        <v>BLK</v>
      </c>
    </row>
    <row r="1291" spans="1:12" hidden="1" x14ac:dyDescent="0.25">
      <c r="A1291" s="16" t="s">
        <v>23</v>
      </c>
      <c r="B1291" s="16" t="s">
        <v>688</v>
      </c>
      <c r="C1291" s="16" t="s">
        <v>385</v>
      </c>
      <c r="D1291" s="16" t="s">
        <v>386</v>
      </c>
      <c r="E1291" s="16">
        <v>1</v>
      </c>
      <c r="F1291" s="16" t="s">
        <v>369</v>
      </c>
      <c r="G1291" s="16"/>
      <c r="H1291" s="16" t="s">
        <v>384</v>
      </c>
      <c r="I1291" s="16" t="s">
        <v>220</v>
      </c>
      <c r="J1291" s="16" t="str">
        <f>IF(ISNUMBER(SEARCH("SCRW", H1291)), _xlfn.XLOOKUP(C1291,dd_item!$A$2:$A$147,dd_item!$B$2:$B$147,"",0),_xlfn.XLOOKUP(H1291,dd_item!$A$2:$A$147,dd_item!$B$2:$B$147,"",0))</f>
        <v>Cylinder Cover Set</v>
      </c>
      <c r="K1291" s="16" t="str">
        <f>_xlfn.XLOOKUP(A1291,dd_design_raw!$C$2:$C$1002,dd_design_raw!$A$2:$A$1002,"",0)</f>
        <v>Fix Slide Door</v>
      </c>
      <c r="L1291" s="16" t="str">
        <f>_xlfn.XLOOKUP(I1291,dd_accsryclr!$A$2:$A$1000,dd_accsryclr!$A$2:$A$1000,"",0)</f>
        <v>WHT</v>
      </c>
    </row>
    <row r="1292" spans="1:12" hidden="1" x14ac:dyDescent="0.25">
      <c r="A1292" s="16" t="s">
        <v>23</v>
      </c>
      <c r="B1292" s="16" t="s">
        <v>688</v>
      </c>
      <c r="C1292" s="16" t="s">
        <v>387</v>
      </c>
      <c r="D1292" s="16" t="s">
        <v>388</v>
      </c>
      <c r="E1292" s="16">
        <v>4</v>
      </c>
      <c r="F1292" s="16" t="s">
        <v>369</v>
      </c>
      <c r="G1292" s="16"/>
      <c r="H1292" s="16" t="s">
        <v>389</v>
      </c>
      <c r="I1292" s="16"/>
      <c r="J1292" s="16" t="str">
        <f>IF(ISNUMBER(SEARCH("SCRW", H1292)), _xlfn.XLOOKUP(C1292,dd_item!$A$2:$A$147,dd_item!$B$2:$B$147,"",0),_xlfn.XLOOKUP(H1292,dd_item!$A$2:$A$147,dd_item!$B$2:$B$147,"",0))</f>
        <v>Sliding Striker (Roto)</v>
      </c>
      <c r="K1292" s="16" t="str">
        <f>_xlfn.XLOOKUP(A1292,dd_design_raw!$C$2:$C$1002,dd_design_raw!$A$2:$A$1002,"",0)</f>
        <v>Fix Slide Door</v>
      </c>
      <c r="L1292" s="16" t="str">
        <f>_xlfn.XLOOKUP(I1292,dd_accsryclr!$A$2:$A$1000,dd_accsryclr!$A$2:$A$1000,"",0)</f>
        <v/>
      </c>
    </row>
    <row r="1293" spans="1:12" hidden="1" x14ac:dyDescent="0.25">
      <c r="A1293" s="16" t="s">
        <v>23</v>
      </c>
      <c r="B1293" s="16" t="s">
        <v>688</v>
      </c>
      <c r="C1293" s="16" t="s">
        <v>390</v>
      </c>
      <c r="D1293" s="16" t="s">
        <v>391</v>
      </c>
      <c r="E1293" s="16">
        <v>26.84</v>
      </c>
      <c r="F1293" s="16" t="s">
        <v>369</v>
      </c>
      <c r="G1293" s="16"/>
      <c r="H1293" s="16" t="s">
        <v>792</v>
      </c>
      <c r="I1293" s="16"/>
      <c r="J1293" s="16" t="str">
        <f>IF(ISNUMBER(SEARCH("SCRW", H1293)), _xlfn.XLOOKUP(C1293,dd_item!$A$2:$A$147,dd_item!$B$2:$B$147,"",0),_xlfn.XLOOKUP(H1293,dd_item!$A$2:$A$147,dd_item!$B$2:$B$147,"",0))</f>
        <v>Atlas Screw (S) 10 x 2-1/2" (Flat)</v>
      </c>
      <c r="K1293" s="16" t="str">
        <f>_xlfn.XLOOKUP(A1293,dd_design_raw!$C$2:$C$1002,dd_design_raw!$A$2:$A$1002,"",0)</f>
        <v>Fix Slide Door</v>
      </c>
      <c r="L1293" s="16" t="str">
        <f>_xlfn.XLOOKUP(I1293,dd_accsryclr!$A$2:$A$1000,dd_accsryclr!$A$2:$A$1000,"",0)</f>
        <v/>
      </c>
    </row>
    <row r="1294" spans="1:12" hidden="1" x14ac:dyDescent="0.25">
      <c r="A1294" s="16" t="s">
        <v>23</v>
      </c>
      <c r="B1294" s="16" t="s">
        <v>688</v>
      </c>
      <c r="C1294" s="16" t="s">
        <v>392</v>
      </c>
      <c r="D1294" s="16" t="s">
        <v>393</v>
      </c>
      <c r="E1294" s="16">
        <v>3</v>
      </c>
      <c r="F1294" s="16" t="s">
        <v>369</v>
      </c>
      <c r="G1294" s="16"/>
      <c r="H1294" s="16" t="s">
        <v>394</v>
      </c>
      <c r="I1294" s="16" t="s">
        <v>223</v>
      </c>
      <c r="J1294" s="16" t="str">
        <f>IF(ISNUMBER(SEARCH("SCRW", H1294)), _xlfn.XLOOKUP(C1294,dd_item!$A$2:$A$147,dd_item!$B$2:$B$147,"",0),_xlfn.XLOOKUP(H1294,dd_item!$A$2:$A$147,dd_item!$B$2:$B$147,"",0))</f>
        <v>Drainage Cover</v>
      </c>
      <c r="K1294" s="16" t="str">
        <f>_xlfn.XLOOKUP(A1294,dd_design_raw!$C$2:$C$1002,dd_design_raw!$A$2:$A$1002,"",0)</f>
        <v>Fix Slide Door</v>
      </c>
      <c r="L1294" s="16" t="str">
        <f>_xlfn.XLOOKUP(I1294,dd_accsryclr!$A$2:$A$1000,dd_accsryclr!$A$2:$A$1000,"",0)</f>
        <v>BLK</v>
      </c>
    </row>
    <row r="1295" spans="1:12" hidden="1" x14ac:dyDescent="0.25">
      <c r="A1295" s="16" t="s">
        <v>23</v>
      </c>
      <c r="B1295" s="16" t="s">
        <v>688</v>
      </c>
      <c r="C1295" s="16" t="s">
        <v>395</v>
      </c>
      <c r="D1295" s="16" t="s">
        <v>396</v>
      </c>
      <c r="E1295" s="16">
        <v>3</v>
      </c>
      <c r="F1295" s="16" t="s">
        <v>369</v>
      </c>
      <c r="G1295" s="16"/>
      <c r="H1295" s="16" t="s">
        <v>394</v>
      </c>
      <c r="I1295" s="16" t="s">
        <v>220</v>
      </c>
      <c r="J1295" s="16" t="str">
        <f>IF(ISNUMBER(SEARCH("SCRW", H1295)), _xlfn.XLOOKUP(C1295,dd_item!$A$2:$A$147,dd_item!$B$2:$B$147,"",0),_xlfn.XLOOKUP(H1295,dd_item!$A$2:$A$147,dd_item!$B$2:$B$147,"",0))</f>
        <v>Drainage Cover</v>
      </c>
      <c r="K1295" s="16" t="str">
        <f>_xlfn.XLOOKUP(A1295,dd_design_raw!$C$2:$C$1002,dd_design_raw!$A$2:$A$1002,"",0)</f>
        <v>Fix Slide Door</v>
      </c>
      <c r="L1295" s="16" t="str">
        <f>_xlfn.XLOOKUP(I1295,dd_accsryclr!$A$2:$A$1000,dd_accsryclr!$A$2:$A$1000,"",0)</f>
        <v>WHT</v>
      </c>
    </row>
    <row r="1296" spans="1:12" hidden="1" x14ac:dyDescent="0.25">
      <c r="A1296" s="16" t="s">
        <v>23</v>
      </c>
      <c r="B1296" s="16" t="s">
        <v>688</v>
      </c>
      <c r="C1296" s="16" t="s">
        <v>397</v>
      </c>
      <c r="D1296" s="16" t="s">
        <v>398</v>
      </c>
      <c r="E1296" s="16">
        <v>0.53679999999999994</v>
      </c>
      <c r="F1296" s="16" t="s">
        <v>369</v>
      </c>
      <c r="G1296" s="16"/>
      <c r="H1296" s="16" t="s">
        <v>399</v>
      </c>
      <c r="I1296" s="16" t="s">
        <v>400</v>
      </c>
      <c r="J1296" s="16" t="str">
        <f>IF(ISNUMBER(SEARCH("SCRW", H1296)), _xlfn.XLOOKUP(C1296,dd_item!$A$2:$A$147,dd_item!$B$2:$B$147,"",0),_xlfn.XLOOKUP(H1296,dd_item!$A$2:$A$147,dd_item!$B$2:$B$147,"",0))</f>
        <v>Tox6</v>
      </c>
      <c r="K1296" s="16" t="str">
        <f>_xlfn.XLOOKUP(A1296,dd_design_raw!$C$2:$C$1002,dd_design_raw!$A$2:$A$1002,"",0)</f>
        <v>Fix Slide Door</v>
      </c>
      <c r="L1296" s="16" t="str">
        <f>_xlfn.XLOOKUP(I1296,dd_accsryclr!$A$2:$A$1000,dd_accsryclr!$A$2:$A$1000,"",0)</f>
        <v/>
      </c>
    </row>
    <row r="1297" spans="1:12" hidden="1" x14ac:dyDescent="0.25">
      <c r="A1297" s="16" t="s">
        <v>23</v>
      </c>
      <c r="B1297" s="16" t="s">
        <v>688</v>
      </c>
      <c r="C1297" s="16" t="s">
        <v>401</v>
      </c>
      <c r="D1297" s="16" t="s">
        <v>402</v>
      </c>
      <c r="E1297" s="16">
        <v>18.84</v>
      </c>
      <c r="F1297" s="16" t="s">
        <v>369</v>
      </c>
      <c r="G1297" s="16"/>
      <c r="H1297" s="16" t="s">
        <v>403</v>
      </c>
      <c r="I1297" s="16" t="s">
        <v>223</v>
      </c>
      <c r="J1297" s="16" t="str">
        <f>IF(ISNUMBER(SEARCH("SCRW", H1297)), _xlfn.XLOOKUP(C1297,dd_item!$A$2:$A$147,dd_item!$B$2:$B$147,"",0),_xlfn.XLOOKUP(H1297,dd_item!$A$2:$A$147,dd_item!$B$2:$B$147,"",0))</f>
        <v>Cover Cap</v>
      </c>
      <c r="K1297" s="16" t="str">
        <f>_xlfn.XLOOKUP(A1297,dd_design_raw!$C$2:$C$1002,dd_design_raw!$A$2:$A$1002,"",0)</f>
        <v>Fix Slide Door</v>
      </c>
      <c r="L1297" s="16" t="str">
        <f>_xlfn.XLOOKUP(I1297,dd_accsryclr!$A$2:$A$1000,dd_accsryclr!$A$2:$A$1000,"",0)</f>
        <v>BLK</v>
      </c>
    </row>
    <row r="1298" spans="1:12" hidden="1" x14ac:dyDescent="0.25">
      <c r="A1298" s="16" t="s">
        <v>23</v>
      </c>
      <c r="B1298" s="16" t="s">
        <v>688</v>
      </c>
      <c r="C1298" s="16" t="s">
        <v>404</v>
      </c>
      <c r="D1298" s="16" t="s">
        <v>405</v>
      </c>
      <c r="E1298" s="16">
        <v>18.84</v>
      </c>
      <c r="F1298" s="16" t="s">
        <v>369</v>
      </c>
      <c r="G1298" s="16"/>
      <c r="H1298" s="16" t="s">
        <v>403</v>
      </c>
      <c r="I1298" s="16" t="s">
        <v>220</v>
      </c>
      <c r="J1298" s="16" t="str">
        <f>IF(ISNUMBER(SEARCH("SCRW", H1298)), _xlfn.XLOOKUP(C1298,dd_item!$A$2:$A$147,dd_item!$B$2:$B$147,"",0),_xlfn.XLOOKUP(H1298,dd_item!$A$2:$A$147,dd_item!$B$2:$B$147,"",0))</f>
        <v>Cover Cap</v>
      </c>
      <c r="K1298" s="16" t="str">
        <f>_xlfn.XLOOKUP(A1298,dd_design_raw!$C$2:$C$1002,dd_design_raw!$A$2:$A$1002,"",0)</f>
        <v>Fix Slide Door</v>
      </c>
      <c r="L1298" s="16" t="str">
        <f>_xlfn.XLOOKUP(I1298,dd_accsryclr!$A$2:$A$1000,dd_accsryclr!$A$2:$A$1000,"",0)</f>
        <v>WHT</v>
      </c>
    </row>
    <row r="1299" spans="1:12" hidden="1" x14ac:dyDescent="0.25">
      <c r="A1299" s="16" t="s">
        <v>23</v>
      </c>
      <c r="B1299" s="16" t="s">
        <v>688</v>
      </c>
      <c r="C1299" s="16" t="s">
        <v>406</v>
      </c>
      <c r="D1299" s="16" t="s">
        <v>407</v>
      </c>
      <c r="E1299" s="16">
        <v>2</v>
      </c>
      <c r="F1299" s="16" t="s">
        <v>369</v>
      </c>
      <c r="G1299" s="16"/>
      <c r="H1299" s="16" t="s">
        <v>408</v>
      </c>
      <c r="I1299" s="16" t="s">
        <v>223</v>
      </c>
      <c r="J1299" s="16" t="str">
        <f>IF(ISNUMBER(SEARCH("SCRW", H1299)), _xlfn.XLOOKUP(C1299,dd_item!$A$2:$A$147,dd_item!$B$2:$B$147,"",0),_xlfn.XLOOKUP(H1299,dd_item!$A$2:$A$147,dd_item!$B$2:$B$147,"",0))</f>
        <v>SD Kit Buffer Stopper</v>
      </c>
      <c r="K1299" s="16" t="str">
        <f>_xlfn.XLOOKUP(A1299,dd_design_raw!$C$2:$C$1002,dd_design_raw!$A$2:$A$1002,"",0)</f>
        <v>Fix Slide Door</v>
      </c>
      <c r="L1299" s="16" t="str">
        <f>_xlfn.XLOOKUP(I1299,dd_accsryclr!$A$2:$A$1000,dd_accsryclr!$A$2:$A$1000,"",0)</f>
        <v>BLK</v>
      </c>
    </row>
    <row r="1300" spans="1:12" hidden="1" x14ac:dyDescent="0.25">
      <c r="A1300" s="16" t="s">
        <v>23</v>
      </c>
      <c r="B1300" s="16" t="s">
        <v>688</v>
      </c>
      <c r="C1300" s="16" t="s">
        <v>410</v>
      </c>
      <c r="D1300" s="16" t="s">
        <v>411</v>
      </c>
      <c r="E1300" s="16">
        <v>2</v>
      </c>
      <c r="F1300" s="16" t="s">
        <v>369</v>
      </c>
      <c r="G1300" s="16"/>
      <c r="H1300" s="16" t="s">
        <v>408</v>
      </c>
      <c r="I1300" s="16" t="s">
        <v>220</v>
      </c>
      <c r="J1300" s="16" t="str">
        <f>IF(ISNUMBER(SEARCH("SCRW", H1300)), _xlfn.XLOOKUP(C1300,dd_item!$A$2:$A$147,dd_item!$B$2:$B$147,"",0),_xlfn.XLOOKUP(H1300,dd_item!$A$2:$A$147,dd_item!$B$2:$B$147,"",0))</f>
        <v>SD Kit Buffer Stopper</v>
      </c>
      <c r="K1300" s="16" t="str">
        <f>_xlfn.XLOOKUP(A1300,dd_design_raw!$C$2:$C$1002,dd_design_raw!$A$2:$A$1002,"",0)</f>
        <v>Fix Slide Door</v>
      </c>
      <c r="L1300" s="16" t="str">
        <f>_xlfn.XLOOKUP(I1300,dd_accsryclr!$A$2:$A$1000,dd_accsryclr!$A$2:$A$1000,"",0)</f>
        <v>WHT</v>
      </c>
    </row>
    <row r="1301" spans="1:12" hidden="1" x14ac:dyDescent="0.25">
      <c r="A1301" s="16" t="s">
        <v>23</v>
      </c>
      <c r="B1301" s="16" t="s">
        <v>688</v>
      </c>
      <c r="C1301" s="16" t="s">
        <v>412</v>
      </c>
      <c r="D1301" s="16" t="s">
        <v>413</v>
      </c>
      <c r="E1301" s="16">
        <v>2</v>
      </c>
      <c r="F1301" s="16" t="s">
        <v>369</v>
      </c>
      <c r="G1301" s="16"/>
      <c r="H1301" s="16" t="s">
        <v>793</v>
      </c>
      <c r="I1301" s="16" t="s">
        <v>575</v>
      </c>
      <c r="J1301" s="16" t="str">
        <f>IF(ISNUMBER(SEARCH("SCRW", H1301)), _xlfn.XLOOKUP(C1301,dd_item!$A$2:$A$147,dd_item!$B$2:$B$147,"",0),_xlfn.XLOOKUP(H1301,dd_item!$A$2:$A$147,dd_item!$B$2:$B$147,"",0))</f>
        <v>Atlas Screw (S) 8 x 1-1/4" (Flat)</v>
      </c>
      <c r="K1301" s="16" t="str">
        <f>_xlfn.XLOOKUP(A1301,dd_design_raw!$C$2:$C$1002,dd_design_raw!$A$2:$A$1002,"",0)</f>
        <v>Fix Slide Door</v>
      </c>
      <c r="L1301" s="16" t="str">
        <f>_xlfn.XLOOKUP(I1301,dd_accsryclr!$A$2:$A$1000,dd_accsryclr!$A$2:$A$1000,"",0)</f>
        <v/>
      </c>
    </row>
    <row r="1302" spans="1:12" hidden="1" x14ac:dyDescent="0.25">
      <c r="A1302" s="16" t="s">
        <v>23</v>
      </c>
      <c r="B1302" s="16" t="s">
        <v>688</v>
      </c>
      <c r="C1302" s="16" t="s">
        <v>414</v>
      </c>
      <c r="D1302" s="16" t="s">
        <v>415</v>
      </c>
      <c r="E1302" s="16">
        <v>6.28</v>
      </c>
      <c r="F1302" s="16" t="s">
        <v>369</v>
      </c>
      <c r="G1302" s="16"/>
      <c r="H1302" s="16" t="s">
        <v>416</v>
      </c>
      <c r="I1302" s="16" t="s">
        <v>223</v>
      </c>
      <c r="J1302" s="16" t="str">
        <f>IF(ISNUMBER(SEARCH("SCRW", H1302)), _xlfn.XLOOKUP(C1302,dd_item!$A$2:$A$147,dd_item!$B$2:$B$147,"",0),_xlfn.XLOOKUP(H1302,dd_item!$A$2:$A$147,dd_item!$B$2:$B$147,"",0))</f>
        <v>Sealant</v>
      </c>
      <c r="K1302" s="16" t="str">
        <f>_xlfn.XLOOKUP(A1302,dd_design_raw!$C$2:$C$1002,dd_design_raw!$A$2:$A$1002,"",0)</f>
        <v>Fix Slide Door</v>
      </c>
      <c r="L1302" s="16" t="str">
        <f>_xlfn.XLOOKUP(I1302,dd_accsryclr!$A$2:$A$1000,dd_accsryclr!$A$2:$A$1000,"",0)</f>
        <v>BLK</v>
      </c>
    </row>
    <row r="1303" spans="1:12" hidden="1" x14ac:dyDescent="0.25">
      <c r="A1303" s="16" t="s">
        <v>23</v>
      </c>
      <c r="B1303" s="16" t="s">
        <v>688</v>
      </c>
      <c r="C1303" s="16" t="s">
        <v>417</v>
      </c>
      <c r="D1303" s="16" t="s">
        <v>418</v>
      </c>
      <c r="E1303" s="16">
        <v>6.28</v>
      </c>
      <c r="F1303" s="16" t="s">
        <v>369</v>
      </c>
      <c r="G1303" s="16"/>
      <c r="H1303" s="16" t="s">
        <v>416</v>
      </c>
      <c r="I1303" s="16" t="s">
        <v>230</v>
      </c>
      <c r="J1303" s="16" t="str">
        <f>IF(ISNUMBER(SEARCH("SCRW", H1303)), _xlfn.XLOOKUP(C1303,dd_item!$A$2:$A$147,dd_item!$B$2:$B$147,"",0),_xlfn.XLOOKUP(H1303,dd_item!$A$2:$A$147,dd_item!$B$2:$B$147,"",0))</f>
        <v>Sealant</v>
      </c>
      <c r="K1303" s="16" t="str">
        <f>_xlfn.XLOOKUP(A1303,dd_design_raw!$C$2:$C$1002,dd_design_raw!$A$2:$A$1002,"",0)</f>
        <v>Fix Slide Door</v>
      </c>
      <c r="L1303" s="16" t="str">
        <f>_xlfn.XLOOKUP(I1303,dd_accsryclr!$A$2:$A$1000,dd_accsryclr!$A$2:$A$1000,"",0)</f>
        <v>BRWN</v>
      </c>
    </row>
    <row r="1304" spans="1:12" hidden="1" x14ac:dyDescent="0.25">
      <c r="A1304" s="16" t="s">
        <v>23</v>
      </c>
      <c r="B1304" s="16" t="s">
        <v>688</v>
      </c>
      <c r="C1304" s="16" t="s">
        <v>419</v>
      </c>
      <c r="D1304" s="16" t="s">
        <v>420</v>
      </c>
      <c r="E1304" s="16">
        <v>6.28</v>
      </c>
      <c r="F1304" s="16" t="s">
        <v>369</v>
      </c>
      <c r="G1304" s="16"/>
      <c r="H1304" s="16" t="s">
        <v>416</v>
      </c>
      <c r="I1304" s="16" t="s">
        <v>220</v>
      </c>
      <c r="J1304" s="16" t="str">
        <f>IF(ISNUMBER(SEARCH("SCRW", H1304)), _xlfn.XLOOKUP(C1304,dd_item!$A$2:$A$147,dd_item!$B$2:$B$147,"",0),_xlfn.XLOOKUP(H1304,dd_item!$A$2:$A$147,dd_item!$B$2:$B$147,"",0))</f>
        <v>Sealant</v>
      </c>
      <c r="K1304" s="16" t="str">
        <f>_xlfn.XLOOKUP(A1304,dd_design_raw!$C$2:$C$1002,dd_design_raw!$A$2:$A$1002,"",0)</f>
        <v>Fix Slide Door</v>
      </c>
      <c r="L1304" s="16" t="str">
        <f>_xlfn.XLOOKUP(I1304,dd_accsryclr!$A$2:$A$1000,dd_accsryclr!$A$2:$A$1000,"",0)</f>
        <v>WHT</v>
      </c>
    </row>
    <row r="1305" spans="1:12" hidden="1" x14ac:dyDescent="0.25">
      <c r="A1305" s="16" t="s">
        <v>23</v>
      </c>
      <c r="B1305" s="16" t="s">
        <v>688</v>
      </c>
      <c r="C1305" s="16" t="s">
        <v>421</v>
      </c>
      <c r="D1305" s="16" t="s">
        <v>422</v>
      </c>
      <c r="E1305" s="16"/>
      <c r="F1305" s="16" t="s">
        <v>369</v>
      </c>
      <c r="G1305" s="16"/>
      <c r="H1305" s="16" t="s">
        <v>416</v>
      </c>
      <c r="I1305" s="16" t="s">
        <v>423</v>
      </c>
      <c r="J1305" s="16" t="str">
        <f>IF(ISNUMBER(SEARCH("SCRW", H1305)), _xlfn.XLOOKUP(C1305,dd_item!$A$2:$A$147,dd_item!$B$2:$B$147,"",0),_xlfn.XLOOKUP(H1305,dd_item!$A$2:$A$147,dd_item!$B$2:$B$147,"",0))</f>
        <v>Sealant</v>
      </c>
      <c r="K1305" s="16" t="str">
        <f>_xlfn.XLOOKUP(A1305,dd_design_raw!$C$2:$C$1002,dd_design_raw!$A$2:$A$1002,"",0)</f>
        <v>Fix Slide Door</v>
      </c>
      <c r="L1305" s="16" t="str">
        <f>_xlfn.XLOOKUP(I1305,dd_accsryclr!$A$2:$A$1000,dd_accsryclr!$A$2:$A$1000,"",0)</f>
        <v/>
      </c>
    </row>
    <row r="1306" spans="1:12" hidden="1" x14ac:dyDescent="0.25">
      <c r="A1306" s="16" t="s">
        <v>23</v>
      </c>
      <c r="B1306" s="16" t="s">
        <v>688</v>
      </c>
      <c r="C1306" s="16" t="s">
        <v>424</v>
      </c>
      <c r="D1306" s="16" t="s">
        <v>425</v>
      </c>
      <c r="E1306" s="16">
        <v>6</v>
      </c>
      <c r="F1306" s="16" t="s">
        <v>369</v>
      </c>
      <c r="G1306" s="16"/>
      <c r="H1306" s="16" t="s">
        <v>794</v>
      </c>
      <c r="I1306" s="16"/>
      <c r="J1306" s="16" t="str">
        <f>IF(ISNUMBER(SEARCH("SCRW", H1306)), _xlfn.XLOOKUP(C1306,dd_item!$A$2:$A$147,dd_item!$B$2:$B$147,"",0),_xlfn.XLOOKUP(H1306,dd_item!$A$2:$A$147,dd_item!$B$2:$B$147,"",0))</f>
        <v>Atlas Screw (S) 6 x 3/4" (FLAT)</v>
      </c>
      <c r="K1306" s="16" t="str">
        <f>_xlfn.XLOOKUP(A1306,dd_design_raw!$C$2:$C$1002,dd_design_raw!$A$2:$A$1002,"",0)</f>
        <v>Fix Slide Door</v>
      </c>
      <c r="L1306" s="16" t="str">
        <f>_xlfn.XLOOKUP(I1306,dd_accsryclr!$A$2:$A$1000,dd_accsryclr!$A$2:$A$1000,"",0)</f>
        <v/>
      </c>
    </row>
    <row r="1307" spans="1:12" hidden="1" x14ac:dyDescent="0.25">
      <c r="A1307" s="16" t="s">
        <v>23</v>
      </c>
      <c r="B1307" s="16" t="s">
        <v>688</v>
      </c>
      <c r="C1307" s="16" t="s">
        <v>265</v>
      </c>
      <c r="D1307" s="16" t="s">
        <v>266</v>
      </c>
      <c r="E1307" s="16"/>
      <c r="F1307" s="16" t="s">
        <v>194</v>
      </c>
      <c r="G1307" s="16"/>
      <c r="H1307" s="16" t="s">
        <v>820</v>
      </c>
      <c r="I1307" s="16" t="s">
        <v>268</v>
      </c>
      <c r="J1307" s="16" t="str">
        <f>IF(ISNUMBER(SEARCH("SCRW", H1307)), _xlfn.XLOOKUP(C1307,dd_item!$A$2:$A$147,dd_item!$B$2:$B$147,"",0),_xlfn.XLOOKUP(H1307,dd_item!$A$2:$A$147,dd_item!$B$2:$B$147,"",0))</f>
        <v>Steel-Frame90</v>
      </c>
      <c r="K1307" s="16" t="str">
        <f>_xlfn.XLOOKUP(A1307,dd_design_raw!$C$2:$C$1002,dd_design_raw!$A$2:$A$1002,"",0)</f>
        <v>Fix Slide Door</v>
      </c>
      <c r="L1307" s="16" t="str">
        <f>_xlfn.XLOOKUP(I1307,dd_accsryclr!$A$2:$A$1000,dd_accsryclr!$A$2:$A$1000,"",0)</f>
        <v/>
      </c>
    </row>
    <row r="1308" spans="1:12" hidden="1" x14ac:dyDescent="0.25">
      <c r="A1308" s="16" t="s">
        <v>25</v>
      </c>
      <c r="B1308" s="16" t="s">
        <v>689</v>
      </c>
      <c r="C1308" s="16" t="s">
        <v>467</v>
      </c>
      <c r="D1308" s="16" t="s">
        <v>468</v>
      </c>
      <c r="E1308" s="16">
        <v>1.6241379310344828</v>
      </c>
      <c r="F1308" s="16" t="s">
        <v>194</v>
      </c>
      <c r="G1308" s="16"/>
      <c r="H1308" s="16" t="s">
        <v>469</v>
      </c>
      <c r="I1308" s="16" t="s">
        <v>211</v>
      </c>
      <c r="J1308" s="16" t="str">
        <f>IF(ISNUMBER(SEARCH("SCRW", H1308)), _xlfn.XLOOKUP(C1308,dd_item!$A$2:$A$147,dd_item!$B$2:$B$147,"",0),_xlfn.XLOOKUP(H1308,dd_item!$A$2:$A$147,dd_item!$B$2:$B$147,"",0))</f>
        <v>Frame90</v>
      </c>
      <c r="K1308" s="16" t="str">
        <f>_xlfn.XLOOKUP(A1308,dd_design_raw!$C$2:$C$1002,dd_design_raw!$A$2:$A$1002,"",0)</f>
        <v>Fix Slide Slide Fix Door</v>
      </c>
      <c r="L1308" s="16" t="str">
        <f>_xlfn.XLOOKUP(I1308,dd_accsryclr!$A$2:$A$1000,dd_accsryclr!$A$2:$A$1000,"",0)</f>
        <v/>
      </c>
    </row>
    <row r="1309" spans="1:12" hidden="1" x14ac:dyDescent="0.25">
      <c r="A1309" s="16" t="s">
        <v>25</v>
      </c>
      <c r="B1309" s="16" t="s">
        <v>689</v>
      </c>
      <c r="C1309" s="16" t="s">
        <v>470</v>
      </c>
      <c r="D1309" s="16" t="s">
        <v>471</v>
      </c>
      <c r="E1309" s="16">
        <v>1.6241379310344828</v>
      </c>
      <c r="F1309" s="16" t="s">
        <v>194</v>
      </c>
      <c r="G1309" s="16"/>
      <c r="H1309" s="16" t="s">
        <v>469</v>
      </c>
      <c r="I1309" s="16" t="s">
        <v>214</v>
      </c>
      <c r="J1309" s="16" t="str">
        <f>IF(ISNUMBER(SEARCH("SCRW", H1309)), _xlfn.XLOOKUP(C1309,dd_item!$A$2:$A$147,dd_item!$B$2:$B$147,"",0),_xlfn.XLOOKUP(H1309,dd_item!$A$2:$A$147,dd_item!$B$2:$B$147,"",0))</f>
        <v>Frame90</v>
      </c>
      <c r="K1309" s="16" t="str">
        <f>_xlfn.XLOOKUP(A1309,dd_design_raw!$C$2:$C$1002,dd_design_raw!$A$2:$A$1002,"",0)</f>
        <v>Fix Slide Slide Fix Door</v>
      </c>
      <c r="L1309" s="16" t="str">
        <f>_xlfn.XLOOKUP(I1309,dd_accsryclr!$A$2:$A$1000,dd_accsryclr!$A$2:$A$1000,"",0)</f>
        <v/>
      </c>
    </row>
    <row r="1310" spans="1:12" hidden="1" x14ac:dyDescent="0.25">
      <c r="A1310" s="16" t="s">
        <v>25</v>
      </c>
      <c r="B1310" s="16" t="s">
        <v>689</v>
      </c>
      <c r="C1310" s="16" t="s">
        <v>472</v>
      </c>
      <c r="D1310" s="16" t="s">
        <v>473</v>
      </c>
      <c r="E1310" s="16">
        <v>1.6241379310344828</v>
      </c>
      <c r="F1310" s="16" t="s">
        <v>194</v>
      </c>
      <c r="G1310" s="16"/>
      <c r="H1310" s="16" t="s">
        <v>469</v>
      </c>
      <c r="I1310" s="16" t="s">
        <v>217</v>
      </c>
      <c r="J1310" s="16" t="str">
        <f>IF(ISNUMBER(SEARCH("SCRW", H1310)), _xlfn.XLOOKUP(C1310,dd_item!$A$2:$A$147,dd_item!$B$2:$B$147,"",0),_xlfn.XLOOKUP(H1310,dd_item!$A$2:$A$147,dd_item!$B$2:$B$147,"",0))</f>
        <v>Frame90</v>
      </c>
      <c r="K1310" s="16" t="str">
        <f>_xlfn.XLOOKUP(A1310,dd_design_raw!$C$2:$C$1002,dd_design_raw!$A$2:$A$1002,"",0)</f>
        <v>Fix Slide Slide Fix Door</v>
      </c>
      <c r="L1310" s="16" t="str">
        <f>_xlfn.XLOOKUP(I1310,dd_accsryclr!$A$2:$A$1000,dd_accsryclr!$A$2:$A$1000,"",0)</f>
        <v/>
      </c>
    </row>
    <row r="1311" spans="1:12" hidden="1" x14ac:dyDescent="0.25">
      <c r="A1311" s="16" t="s">
        <v>25</v>
      </c>
      <c r="B1311" s="16" t="s">
        <v>689</v>
      </c>
      <c r="C1311" s="16" t="s">
        <v>474</v>
      </c>
      <c r="D1311" s="16" t="s">
        <v>475</v>
      </c>
      <c r="E1311" s="16">
        <v>1.6241379310344828</v>
      </c>
      <c r="F1311" s="16" t="s">
        <v>194</v>
      </c>
      <c r="G1311" s="16"/>
      <c r="H1311" s="16" t="s">
        <v>469</v>
      </c>
      <c r="I1311" s="16" t="s">
        <v>226</v>
      </c>
      <c r="J1311" s="16" t="str">
        <f>IF(ISNUMBER(SEARCH("SCRW", H1311)), _xlfn.XLOOKUP(C1311,dd_item!$A$2:$A$147,dd_item!$B$2:$B$147,"",0),_xlfn.XLOOKUP(H1311,dd_item!$A$2:$A$147,dd_item!$B$2:$B$147,"",0))</f>
        <v>Frame90</v>
      </c>
      <c r="K1311" s="16" t="str">
        <f>_xlfn.XLOOKUP(A1311,dd_design_raw!$C$2:$C$1002,dd_design_raw!$A$2:$A$1002,"",0)</f>
        <v>Fix Slide Slide Fix Door</v>
      </c>
      <c r="L1311" s="16" t="str">
        <f>_xlfn.XLOOKUP(I1311,dd_accsryclr!$A$2:$A$1000,dd_accsryclr!$A$2:$A$1000,"",0)</f>
        <v/>
      </c>
    </row>
    <row r="1312" spans="1:12" hidden="1" x14ac:dyDescent="0.25">
      <c r="A1312" s="16" t="s">
        <v>25</v>
      </c>
      <c r="B1312" s="16" t="s">
        <v>689</v>
      </c>
      <c r="C1312" s="16" t="s">
        <v>476</v>
      </c>
      <c r="D1312" s="16" t="s">
        <v>477</v>
      </c>
      <c r="E1312" s="16">
        <v>1.6241379310344828</v>
      </c>
      <c r="F1312" s="16" t="s">
        <v>194</v>
      </c>
      <c r="G1312" s="16"/>
      <c r="H1312" s="16" t="s">
        <v>469</v>
      </c>
      <c r="I1312" s="16" t="s">
        <v>220</v>
      </c>
      <c r="J1312" s="16" t="str">
        <f>IF(ISNUMBER(SEARCH("SCRW", H1312)), _xlfn.XLOOKUP(C1312,dd_item!$A$2:$A$147,dd_item!$B$2:$B$147,"",0),_xlfn.XLOOKUP(H1312,dd_item!$A$2:$A$147,dd_item!$B$2:$B$147,"",0))</f>
        <v>Frame90</v>
      </c>
      <c r="K1312" s="16" t="str">
        <f>_xlfn.XLOOKUP(A1312,dd_design_raw!$C$2:$C$1002,dd_design_raw!$A$2:$A$1002,"",0)</f>
        <v>Fix Slide Slide Fix Door</v>
      </c>
      <c r="L1312" s="16" t="str">
        <f>_xlfn.XLOOKUP(I1312,dd_accsryclr!$A$2:$A$1000,dd_accsryclr!$A$2:$A$1000,"",0)</f>
        <v>WHT</v>
      </c>
    </row>
    <row r="1313" spans="1:12" hidden="1" x14ac:dyDescent="0.25">
      <c r="A1313" s="16" t="s">
        <v>25</v>
      </c>
      <c r="B1313" s="16" t="s">
        <v>689</v>
      </c>
      <c r="C1313" s="16" t="s">
        <v>478</v>
      </c>
      <c r="D1313" s="16" t="s">
        <v>479</v>
      </c>
      <c r="E1313" s="16">
        <v>1.6241379310344828</v>
      </c>
      <c r="F1313" s="16" t="s">
        <v>194</v>
      </c>
      <c r="G1313" s="16"/>
      <c r="H1313" s="16" t="s">
        <v>469</v>
      </c>
      <c r="I1313" s="16" t="s">
        <v>223</v>
      </c>
      <c r="J1313" s="16" t="str">
        <f>IF(ISNUMBER(SEARCH("SCRW", H1313)), _xlfn.XLOOKUP(C1313,dd_item!$A$2:$A$147,dd_item!$B$2:$B$147,"",0),_xlfn.XLOOKUP(H1313,dd_item!$A$2:$A$147,dd_item!$B$2:$B$147,"",0))</f>
        <v>Frame90</v>
      </c>
      <c r="K1313" s="16" t="str">
        <f>_xlfn.XLOOKUP(A1313,dd_design_raw!$C$2:$C$1002,dd_design_raw!$A$2:$A$1002,"",0)</f>
        <v>Fix Slide Slide Fix Door</v>
      </c>
      <c r="L1313" s="16" t="str">
        <f>_xlfn.XLOOKUP(I1313,dd_accsryclr!$A$2:$A$1000,dd_accsryclr!$A$2:$A$1000,"",0)</f>
        <v>BLK</v>
      </c>
    </row>
    <row r="1314" spans="1:12" hidden="1" x14ac:dyDescent="0.25">
      <c r="A1314" s="16" t="s">
        <v>25</v>
      </c>
      <c r="B1314" s="16" t="s">
        <v>689</v>
      </c>
      <c r="C1314" s="16" t="s">
        <v>480</v>
      </c>
      <c r="D1314" s="16" t="s">
        <v>481</v>
      </c>
      <c r="E1314" s="16">
        <v>1.6241379310344828</v>
      </c>
      <c r="F1314" s="16" t="s">
        <v>194</v>
      </c>
      <c r="G1314" s="16"/>
      <c r="H1314" s="16" t="s">
        <v>469</v>
      </c>
      <c r="I1314" s="16" t="s">
        <v>230</v>
      </c>
      <c r="J1314" s="16" t="str">
        <f>IF(ISNUMBER(SEARCH("SCRW", H1314)), _xlfn.XLOOKUP(C1314,dd_item!$A$2:$A$147,dd_item!$B$2:$B$147,"",0),_xlfn.XLOOKUP(H1314,dd_item!$A$2:$A$147,dd_item!$B$2:$B$147,"",0))</f>
        <v>Frame90</v>
      </c>
      <c r="K1314" s="16" t="str">
        <f>_xlfn.XLOOKUP(A1314,dd_design_raw!$C$2:$C$1002,dd_design_raw!$A$2:$A$1002,"",0)</f>
        <v>Fix Slide Slide Fix Door</v>
      </c>
      <c r="L1314" s="16" t="str">
        <f>_xlfn.XLOOKUP(I1314,dd_accsryclr!$A$2:$A$1000,dd_accsryclr!$A$2:$A$1000,"",0)</f>
        <v>BRWN</v>
      </c>
    </row>
    <row r="1315" spans="1:12" hidden="1" x14ac:dyDescent="0.25">
      <c r="A1315" s="16" t="s">
        <v>25</v>
      </c>
      <c r="B1315" s="16" t="s">
        <v>689</v>
      </c>
      <c r="C1315" s="16" t="s">
        <v>231</v>
      </c>
      <c r="D1315" s="16" t="s">
        <v>232</v>
      </c>
      <c r="E1315" s="16">
        <v>3.837241379310345</v>
      </c>
      <c r="F1315" s="16" t="s">
        <v>194</v>
      </c>
      <c r="G1315" s="16"/>
      <c r="H1315" s="16" t="s">
        <v>233</v>
      </c>
      <c r="I1315" s="16" t="s">
        <v>223</v>
      </c>
      <c r="J1315" s="16" t="str">
        <f>IF(ISNUMBER(SEARCH("SCRW", H1315)), _xlfn.XLOOKUP(C1315,dd_item!$A$2:$A$147,dd_item!$B$2:$B$147,"",0),_xlfn.XLOOKUP(H1315,dd_item!$A$2:$A$147,dd_item!$B$2:$B$147,"",0))</f>
        <v>Sash92</v>
      </c>
      <c r="K1315" s="16" t="str">
        <f>_xlfn.XLOOKUP(A1315,dd_design_raw!$C$2:$C$1002,dd_design_raw!$A$2:$A$1002,"",0)</f>
        <v>Fix Slide Slide Fix Door</v>
      </c>
      <c r="L1315" s="16" t="str">
        <f>_xlfn.XLOOKUP(I1315,dd_accsryclr!$A$2:$A$1000,dd_accsryclr!$A$2:$A$1000,"",0)</f>
        <v>BLK</v>
      </c>
    </row>
    <row r="1316" spans="1:12" hidden="1" x14ac:dyDescent="0.25">
      <c r="A1316" s="16" t="s">
        <v>25</v>
      </c>
      <c r="B1316" s="16" t="s">
        <v>689</v>
      </c>
      <c r="C1316" s="16" t="s">
        <v>234</v>
      </c>
      <c r="D1316" s="16" t="s">
        <v>235</v>
      </c>
      <c r="E1316" s="16">
        <v>3.837241379310345</v>
      </c>
      <c r="F1316" s="16" t="s">
        <v>194</v>
      </c>
      <c r="G1316" s="16"/>
      <c r="H1316" s="16" t="s">
        <v>233</v>
      </c>
      <c r="I1316" s="16" t="s">
        <v>211</v>
      </c>
      <c r="J1316" s="16" t="str">
        <f>IF(ISNUMBER(SEARCH("SCRW", H1316)), _xlfn.XLOOKUP(C1316,dd_item!$A$2:$A$147,dd_item!$B$2:$B$147,"",0),_xlfn.XLOOKUP(H1316,dd_item!$A$2:$A$147,dd_item!$B$2:$B$147,"",0))</f>
        <v>Sash92</v>
      </c>
      <c r="K1316" s="16" t="str">
        <f>_xlfn.XLOOKUP(A1316,dd_design_raw!$C$2:$C$1002,dd_design_raw!$A$2:$A$1002,"",0)</f>
        <v>Fix Slide Slide Fix Door</v>
      </c>
      <c r="L1316" s="16" t="str">
        <f>_xlfn.XLOOKUP(I1316,dd_accsryclr!$A$2:$A$1000,dd_accsryclr!$A$2:$A$1000,"",0)</f>
        <v/>
      </c>
    </row>
    <row r="1317" spans="1:12" hidden="1" x14ac:dyDescent="0.25">
      <c r="A1317" s="16" t="s">
        <v>25</v>
      </c>
      <c r="B1317" s="16" t="s">
        <v>689</v>
      </c>
      <c r="C1317" s="16" t="s">
        <v>236</v>
      </c>
      <c r="D1317" s="16" t="s">
        <v>237</v>
      </c>
      <c r="E1317" s="16">
        <v>3.837241379310345</v>
      </c>
      <c r="F1317" s="16" t="s">
        <v>194</v>
      </c>
      <c r="G1317" s="16"/>
      <c r="H1317" s="16" t="s">
        <v>233</v>
      </c>
      <c r="I1317" s="16" t="s">
        <v>214</v>
      </c>
      <c r="J1317" s="16" t="str">
        <f>IF(ISNUMBER(SEARCH("SCRW", H1317)), _xlfn.XLOOKUP(C1317,dd_item!$A$2:$A$147,dd_item!$B$2:$B$147,"",0),_xlfn.XLOOKUP(H1317,dd_item!$A$2:$A$147,dd_item!$B$2:$B$147,"",0))</f>
        <v>Sash92</v>
      </c>
      <c r="K1317" s="16" t="str">
        <f>_xlfn.XLOOKUP(A1317,dd_design_raw!$C$2:$C$1002,dd_design_raw!$A$2:$A$1002,"",0)</f>
        <v>Fix Slide Slide Fix Door</v>
      </c>
      <c r="L1317" s="16" t="str">
        <f>_xlfn.XLOOKUP(I1317,dd_accsryclr!$A$2:$A$1000,dd_accsryclr!$A$2:$A$1000,"",0)</f>
        <v/>
      </c>
    </row>
    <row r="1318" spans="1:12" hidden="1" x14ac:dyDescent="0.25">
      <c r="A1318" s="16" t="s">
        <v>25</v>
      </c>
      <c r="B1318" s="16" t="s">
        <v>689</v>
      </c>
      <c r="C1318" s="16" t="s">
        <v>238</v>
      </c>
      <c r="D1318" s="16" t="s">
        <v>239</v>
      </c>
      <c r="E1318" s="16">
        <v>3.837241379310345</v>
      </c>
      <c r="F1318" s="16" t="s">
        <v>194</v>
      </c>
      <c r="G1318" s="16"/>
      <c r="H1318" s="16" t="s">
        <v>233</v>
      </c>
      <c r="I1318" s="16" t="s">
        <v>217</v>
      </c>
      <c r="J1318" s="16" t="str">
        <f>IF(ISNUMBER(SEARCH("SCRW", H1318)), _xlfn.XLOOKUP(C1318,dd_item!$A$2:$A$147,dd_item!$B$2:$B$147,"",0),_xlfn.XLOOKUP(H1318,dd_item!$A$2:$A$147,dd_item!$B$2:$B$147,"",0))</f>
        <v>Sash92</v>
      </c>
      <c r="K1318" s="16" t="str">
        <f>_xlfn.XLOOKUP(A1318,dd_design_raw!$C$2:$C$1002,dd_design_raw!$A$2:$A$1002,"",0)</f>
        <v>Fix Slide Slide Fix Door</v>
      </c>
      <c r="L1318" s="16" t="str">
        <f>_xlfn.XLOOKUP(I1318,dd_accsryclr!$A$2:$A$1000,dd_accsryclr!$A$2:$A$1000,"",0)</f>
        <v/>
      </c>
    </row>
    <row r="1319" spans="1:12" hidden="1" x14ac:dyDescent="0.25">
      <c r="A1319" s="16" t="s">
        <v>25</v>
      </c>
      <c r="B1319" s="16" t="s">
        <v>689</v>
      </c>
      <c r="C1319" s="16" t="s">
        <v>240</v>
      </c>
      <c r="D1319" s="16" t="s">
        <v>241</v>
      </c>
      <c r="E1319" s="16">
        <v>3.837241379310345</v>
      </c>
      <c r="F1319" s="16" t="s">
        <v>194</v>
      </c>
      <c r="G1319" s="16"/>
      <c r="H1319" s="16" t="s">
        <v>233</v>
      </c>
      <c r="I1319" s="16" t="s">
        <v>226</v>
      </c>
      <c r="J1319" s="16" t="str">
        <f>IF(ISNUMBER(SEARCH("SCRW", H1319)), _xlfn.XLOOKUP(C1319,dd_item!$A$2:$A$147,dd_item!$B$2:$B$147,"",0),_xlfn.XLOOKUP(H1319,dd_item!$A$2:$A$147,dd_item!$B$2:$B$147,"",0))</f>
        <v>Sash92</v>
      </c>
      <c r="K1319" s="16" t="str">
        <f>_xlfn.XLOOKUP(A1319,dd_design_raw!$C$2:$C$1002,dd_design_raw!$A$2:$A$1002,"",0)</f>
        <v>Fix Slide Slide Fix Door</v>
      </c>
      <c r="L1319" s="16" t="str">
        <f>_xlfn.XLOOKUP(I1319,dd_accsryclr!$A$2:$A$1000,dd_accsryclr!$A$2:$A$1000,"",0)</f>
        <v/>
      </c>
    </row>
    <row r="1320" spans="1:12" hidden="1" x14ac:dyDescent="0.25">
      <c r="A1320" s="16" t="s">
        <v>25</v>
      </c>
      <c r="B1320" s="16" t="s">
        <v>689</v>
      </c>
      <c r="C1320" s="16" t="s">
        <v>242</v>
      </c>
      <c r="D1320" s="16" t="s">
        <v>243</v>
      </c>
      <c r="E1320" s="16">
        <v>3.837241379310345</v>
      </c>
      <c r="F1320" s="16" t="s">
        <v>194</v>
      </c>
      <c r="G1320" s="16"/>
      <c r="H1320" s="16" t="s">
        <v>233</v>
      </c>
      <c r="I1320" s="16" t="s">
        <v>220</v>
      </c>
      <c r="J1320" s="16" t="str">
        <f>IF(ISNUMBER(SEARCH("SCRW", H1320)), _xlfn.XLOOKUP(C1320,dd_item!$A$2:$A$147,dd_item!$B$2:$B$147,"",0),_xlfn.XLOOKUP(H1320,dd_item!$A$2:$A$147,dd_item!$B$2:$B$147,"",0))</f>
        <v>Sash92</v>
      </c>
      <c r="K1320" s="16" t="str">
        <f>_xlfn.XLOOKUP(A1320,dd_design_raw!$C$2:$C$1002,dd_design_raw!$A$2:$A$1002,"",0)</f>
        <v>Fix Slide Slide Fix Door</v>
      </c>
      <c r="L1320" s="16" t="str">
        <f>_xlfn.XLOOKUP(I1320,dd_accsryclr!$A$2:$A$1000,dd_accsryclr!$A$2:$A$1000,"",0)</f>
        <v>WHT</v>
      </c>
    </row>
    <row r="1321" spans="1:12" hidden="1" x14ac:dyDescent="0.25">
      <c r="A1321" s="16" t="s">
        <v>25</v>
      </c>
      <c r="B1321" s="16" t="s">
        <v>689</v>
      </c>
      <c r="C1321" s="16" t="s">
        <v>244</v>
      </c>
      <c r="D1321" s="16" t="s">
        <v>245</v>
      </c>
      <c r="E1321" s="16">
        <v>3.837241379310345</v>
      </c>
      <c r="F1321" s="16" t="s">
        <v>194</v>
      </c>
      <c r="G1321" s="16"/>
      <c r="H1321" s="16" t="s">
        <v>233</v>
      </c>
      <c r="I1321" s="16" t="s">
        <v>230</v>
      </c>
      <c r="J1321" s="16" t="str">
        <f>IF(ISNUMBER(SEARCH("SCRW", H1321)), _xlfn.XLOOKUP(C1321,dd_item!$A$2:$A$147,dd_item!$B$2:$B$147,"",0),_xlfn.XLOOKUP(H1321,dd_item!$A$2:$A$147,dd_item!$B$2:$B$147,"",0))</f>
        <v>Sash92</v>
      </c>
      <c r="K1321" s="16" t="str">
        <f>_xlfn.XLOOKUP(A1321,dd_design_raw!$C$2:$C$1002,dd_design_raw!$A$2:$A$1002,"",0)</f>
        <v>Fix Slide Slide Fix Door</v>
      </c>
      <c r="L1321" s="16" t="str">
        <f>_xlfn.XLOOKUP(I1321,dd_accsryclr!$A$2:$A$1000,dd_accsryclr!$A$2:$A$1000,"",0)</f>
        <v>BRWN</v>
      </c>
    </row>
    <row r="1322" spans="1:12" hidden="1" x14ac:dyDescent="0.25">
      <c r="A1322" s="16" t="s">
        <v>25</v>
      </c>
      <c r="B1322" s="16" t="s">
        <v>689</v>
      </c>
      <c r="C1322" s="16" t="s">
        <v>265</v>
      </c>
      <c r="D1322" s="16" t="s">
        <v>266</v>
      </c>
      <c r="E1322" s="16">
        <v>1.6241379310344828</v>
      </c>
      <c r="F1322" s="16" t="s">
        <v>194</v>
      </c>
      <c r="G1322" s="16" t="s">
        <v>60</v>
      </c>
      <c r="H1322" s="16" t="s">
        <v>267</v>
      </c>
      <c r="I1322" s="16" t="s">
        <v>268</v>
      </c>
      <c r="J1322" s="16" t="str">
        <f>IF(ISNUMBER(SEARCH("SCRW", H1322)), _xlfn.XLOOKUP(C1322,dd_item!$A$2:$A$147,dd_item!$B$2:$B$147,"",0),_xlfn.XLOOKUP(H1322,dd_item!$A$2:$A$147,dd_item!$B$2:$B$147,"",0))</f>
        <v>Steel-Sash66</v>
      </c>
      <c r="K1322" s="16" t="str">
        <f>_xlfn.XLOOKUP(A1322,dd_design_raw!$C$2:$C$1002,dd_design_raw!$A$2:$A$1002,"",0)</f>
        <v>Fix Slide Slide Fix Door</v>
      </c>
      <c r="L1322" s="16" t="str">
        <f>_xlfn.XLOOKUP(I1322,dd_accsryclr!$A$2:$A$1000,dd_accsryclr!$A$2:$A$1000,"",0)</f>
        <v/>
      </c>
    </row>
    <row r="1323" spans="1:12" hidden="1" x14ac:dyDescent="0.25">
      <c r="A1323" s="16" t="s">
        <v>25</v>
      </c>
      <c r="B1323" s="16" t="s">
        <v>689</v>
      </c>
      <c r="C1323" s="16" t="s">
        <v>269</v>
      </c>
      <c r="D1323" s="16" t="s">
        <v>270</v>
      </c>
      <c r="E1323" s="16">
        <v>3.837241379310345</v>
      </c>
      <c r="F1323" s="16" t="s">
        <v>194</v>
      </c>
      <c r="G1323" s="16" t="s">
        <v>61</v>
      </c>
      <c r="H1323" s="16" t="s">
        <v>271</v>
      </c>
      <c r="I1323" s="16" t="s">
        <v>272</v>
      </c>
      <c r="J1323" s="16" t="str">
        <f>IF(ISNUMBER(SEARCH("SCRW", H1323)), _xlfn.XLOOKUP(C1323,dd_item!$A$2:$A$147,dd_item!$B$2:$B$147,"",0),_xlfn.XLOOKUP(H1323,dd_item!$A$2:$A$147,dd_item!$B$2:$B$147,"",0))</f>
        <v>Steel-Sash92</v>
      </c>
      <c r="K1323" s="16" t="str">
        <f>_xlfn.XLOOKUP(A1323,dd_design_raw!$C$2:$C$1002,dd_design_raw!$A$2:$A$1002,"",0)</f>
        <v>Fix Slide Slide Fix Door</v>
      </c>
      <c r="L1323" s="16" t="str">
        <f>_xlfn.XLOOKUP(I1323,dd_accsryclr!$A$2:$A$1000,dd_accsryclr!$A$2:$A$1000,"",0)</f>
        <v/>
      </c>
    </row>
    <row r="1324" spans="1:12" hidden="1" x14ac:dyDescent="0.25">
      <c r="A1324" s="16" t="s">
        <v>25</v>
      </c>
      <c r="B1324" s="16" t="s">
        <v>689</v>
      </c>
      <c r="C1324" s="16" t="s">
        <v>273</v>
      </c>
      <c r="D1324" s="16" t="s">
        <v>274</v>
      </c>
      <c r="E1324" s="16">
        <v>3.837241379310345</v>
      </c>
      <c r="F1324" s="16" t="s">
        <v>194</v>
      </c>
      <c r="G1324" s="16" t="s">
        <v>61</v>
      </c>
      <c r="H1324" s="16" t="s">
        <v>271</v>
      </c>
      <c r="I1324" s="16" t="s">
        <v>275</v>
      </c>
      <c r="J1324" s="16" t="str">
        <f>IF(ISNUMBER(SEARCH("SCRW", H1324)), _xlfn.XLOOKUP(C1324,dd_item!$A$2:$A$147,dd_item!$B$2:$B$147,"",0),_xlfn.XLOOKUP(H1324,dd_item!$A$2:$A$147,dd_item!$B$2:$B$147,"",0))</f>
        <v>Steel-Sash92</v>
      </c>
      <c r="K1324" s="16" t="str">
        <f>_xlfn.XLOOKUP(A1324,dd_design_raw!$C$2:$C$1002,dd_design_raw!$A$2:$A$1002,"",0)</f>
        <v>Fix Slide Slide Fix Door</v>
      </c>
      <c r="L1324" s="16" t="str">
        <f>_xlfn.XLOOKUP(I1324,dd_accsryclr!$A$2:$A$1000,dd_accsryclr!$A$2:$A$1000,"",0)</f>
        <v/>
      </c>
    </row>
    <row r="1325" spans="1:12" hidden="1" x14ac:dyDescent="0.25">
      <c r="A1325" s="16" t="s">
        <v>25</v>
      </c>
      <c r="B1325" s="16" t="s">
        <v>689</v>
      </c>
      <c r="C1325" s="16" t="s">
        <v>276</v>
      </c>
      <c r="D1325" s="16" t="s">
        <v>277</v>
      </c>
      <c r="E1325" s="16">
        <v>3.837241379310345</v>
      </c>
      <c r="F1325" s="16" t="s">
        <v>194</v>
      </c>
      <c r="G1325" s="16"/>
      <c r="H1325" s="16" t="s">
        <v>278</v>
      </c>
      <c r="I1325" s="16" t="s">
        <v>223</v>
      </c>
      <c r="J1325" s="16" t="str">
        <f>IF(ISNUMBER(SEARCH("SCRW", H1325)), _xlfn.XLOOKUP(C1325,dd_item!$A$2:$A$147,dd_item!$B$2:$B$147,"",0),_xlfn.XLOOKUP(H1325,dd_item!$A$2:$A$147,dd_item!$B$2:$B$147,"",0))</f>
        <v>Bead25</v>
      </c>
      <c r="K1325" s="16" t="str">
        <f>_xlfn.XLOOKUP(A1325,dd_design_raw!$C$2:$C$1002,dd_design_raw!$A$2:$A$1002,"",0)</f>
        <v>Fix Slide Slide Fix Door</v>
      </c>
      <c r="L1325" s="16" t="str">
        <f>_xlfn.XLOOKUP(I1325,dd_accsryclr!$A$2:$A$1000,dd_accsryclr!$A$2:$A$1000,"",0)</f>
        <v>BLK</v>
      </c>
    </row>
    <row r="1326" spans="1:12" hidden="1" x14ac:dyDescent="0.25">
      <c r="A1326" s="16" t="s">
        <v>25</v>
      </c>
      <c r="B1326" s="16" t="s">
        <v>689</v>
      </c>
      <c r="C1326" s="16" t="s">
        <v>279</v>
      </c>
      <c r="D1326" s="16" t="s">
        <v>280</v>
      </c>
      <c r="E1326" s="16">
        <v>3.837241379310345</v>
      </c>
      <c r="F1326" s="16" t="s">
        <v>194</v>
      </c>
      <c r="G1326" s="16"/>
      <c r="H1326" s="16" t="s">
        <v>278</v>
      </c>
      <c r="I1326" s="16" t="s">
        <v>211</v>
      </c>
      <c r="J1326" s="16" t="str">
        <f>IF(ISNUMBER(SEARCH("SCRW", H1326)), _xlfn.XLOOKUP(C1326,dd_item!$A$2:$A$147,dd_item!$B$2:$B$147,"",0),_xlfn.XLOOKUP(H1326,dd_item!$A$2:$A$147,dd_item!$B$2:$B$147,"",0))</f>
        <v>Bead25</v>
      </c>
      <c r="K1326" s="16" t="str">
        <f>_xlfn.XLOOKUP(A1326,dd_design_raw!$C$2:$C$1002,dd_design_raw!$A$2:$A$1002,"",0)</f>
        <v>Fix Slide Slide Fix Door</v>
      </c>
      <c r="L1326" s="16" t="str">
        <f>_xlfn.XLOOKUP(I1326,dd_accsryclr!$A$2:$A$1000,dd_accsryclr!$A$2:$A$1000,"",0)</f>
        <v/>
      </c>
    </row>
    <row r="1327" spans="1:12" hidden="1" x14ac:dyDescent="0.25">
      <c r="A1327" s="16" t="s">
        <v>25</v>
      </c>
      <c r="B1327" s="16" t="s">
        <v>689</v>
      </c>
      <c r="C1327" s="16" t="s">
        <v>281</v>
      </c>
      <c r="D1327" s="16" t="s">
        <v>282</v>
      </c>
      <c r="E1327" s="16">
        <v>3.837241379310345</v>
      </c>
      <c r="F1327" s="16" t="s">
        <v>194</v>
      </c>
      <c r="G1327" s="16"/>
      <c r="H1327" s="16" t="s">
        <v>278</v>
      </c>
      <c r="I1327" s="16" t="s">
        <v>214</v>
      </c>
      <c r="J1327" s="16" t="str">
        <f>IF(ISNUMBER(SEARCH("SCRW", H1327)), _xlfn.XLOOKUP(C1327,dd_item!$A$2:$A$147,dd_item!$B$2:$B$147,"",0),_xlfn.XLOOKUP(H1327,dd_item!$A$2:$A$147,dd_item!$B$2:$B$147,"",0))</f>
        <v>Bead25</v>
      </c>
      <c r="K1327" s="16" t="str">
        <f>_xlfn.XLOOKUP(A1327,dd_design_raw!$C$2:$C$1002,dd_design_raw!$A$2:$A$1002,"",0)</f>
        <v>Fix Slide Slide Fix Door</v>
      </c>
      <c r="L1327" s="16" t="str">
        <f>_xlfn.XLOOKUP(I1327,dd_accsryclr!$A$2:$A$1000,dd_accsryclr!$A$2:$A$1000,"",0)</f>
        <v/>
      </c>
    </row>
    <row r="1328" spans="1:12" hidden="1" x14ac:dyDescent="0.25">
      <c r="A1328" s="16" t="s">
        <v>25</v>
      </c>
      <c r="B1328" s="16" t="s">
        <v>689</v>
      </c>
      <c r="C1328" s="16" t="s">
        <v>283</v>
      </c>
      <c r="D1328" s="16" t="s">
        <v>284</v>
      </c>
      <c r="E1328" s="16">
        <v>3.837241379310345</v>
      </c>
      <c r="F1328" s="16" t="s">
        <v>194</v>
      </c>
      <c r="G1328" s="16"/>
      <c r="H1328" s="16" t="s">
        <v>278</v>
      </c>
      <c r="I1328" s="16" t="s">
        <v>217</v>
      </c>
      <c r="J1328" s="16" t="str">
        <f>IF(ISNUMBER(SEARCH("SCRW", H1328)), _xlfn.XLOOKUP(C1328,dd_item!$A$2:$A$147,dd_item!$B$2:$B$147,"",0),_xlfn.XLOOKUP(H1328,dd_item!$A$2:$A$147,dd_item!$B$2:$B$147,"",0))</f>
        <v>Bead25</v>
      </c>
      <c r="K1328" s="16" t="str">
        <f>_xlfn.XLOOKUP(A1328,dd_design_raw!$C$2:$C$1002,dd_design_raw!$A$2:$A$1002,"",0)</f>
        <v>Fix Slide Slide Fix Door</v>
      </c>
      <c r="L1328" s="16" t="str">
        <f>_xlfn.XLOOKUP(I1328,dd_accsryclr!$A$2:$A$1000,dd_accsryclr!$A$2:$A$1000,"",0)</f>
        <v/>
      </c>
    </row>
    <row r="1329" spans="1:12" hidden="1" x14ac:dyDescent="0.25">
      <c r="A1329" s="16" t="s">
        <v>25</v>
      </c>
      <c r="B1329" s="16" t="s">
        <v>689</v>
      </c>
      <c r="C1329" s="16" t="s">
        <v>285</v>
      </c>
      <c r="D1329" s="16" t="s">
        <v>286</v>
      </c>
      <c r="E1329" s="16">
        <v>3.837241379310345</v>
      </c>
      <c r="F1329" s="16" t="s">
        <v>194</v>
      </c>
      <c r="G1329" s="16"/>
      <c r="H1329" s="16" t="s">
        <v>278</v>
      </c>
      <c r="I1329" s="16" t="s">
        <v>226</v>
      </c>
      <c r="J1329" s="16" t="str">
        <f>IF(ISNUMBER(SEARCH("SCRW", H1329)), _xlfn.XLOOKUP(C1329,dd_item!$A$2:$A$147,dd_item!$B$2:$B$147,"",0),_xlfn.XLOOKUP(H1329,dd_item!$A$2:$A$147,dd_item!$B$2:$B$147,"",0))</f>
        <v>Bead25</v>
      </c>
      <c r="K1329" s="16" t="str">
        <f>_xlfn.XLOOKUP(A1329,dd_design_raw!$C$2:$C$1002,dd_design_raw!$A$2:$A$1002,"",0)</f>
        <v>Fix Slide Slide Fix Door</v>
      </c>
      <c r="L1329" s="16" t="str">
        <f>_xlfn.XLOOKUP(I1329,dd_accsryclr!$A$2:$A$1000,dd_accsryclr!$A$2:$A$1000,"",0)</f>
        <v/>
      </c>
    </row>
    <row r="1330" spans="1:12" hidden="1" x14ac:dyDescent="0.25">
      <c r="A1330" s="16" t="s">
        <v>25</v>
      </c>
      <c r="B1330" s="16" t="s">
        <v>689</v>
      </c>
      <c r="C1330" s="16" t="s">
        <v>287</v>
      </c>
      <c r="D1330" s="16" t="s">
        <v>288</v>
      </c>
      <c r="E1330" s="16">
        <v>3.837241379310345</v>
      </c>
      <c r="F1330" s="16" t="s">
        <v>194</v>
      </c>
      <c r="G1330" s="16"/>
      <c r="H1330" s="16" t="s">
        <v>278</v>
      </c>
      <c r="I1330" s="16" t="s">
        <v>220</v>
      </c>
      <c r="J1330" s="16" t="str">
        <f>IF(ISNUMBER(SEARCH("SCRW", H1330)), _xlfn.XLOOKUP(C1330,dd_item!$A$2:$A$147,dd_item!$B$2:$B$147,"",0),_xlfn.XLOOKUP(H1330,dd_item!$A$2:$A$147,dd_item!$B$2:$B$147,"",0))</f>
        <v>Bead25</v>
      </c>
      <c r="K1330" s="16" t="str">
        <f>_xlfn.XLOOKUP(A1330,dd_design_raw!$C$2:$C$1002,dd_design_raw!$A$2:$A$1002,"",0)</f>
        <v>Fix Slide Slide Fix Door</v>
      </c>
      <c r="L1330" s="16" t="str">
        <f>_xlfn.XLOOKUP(I1330,dd_accsryclr!$A$2:$A$1000,dd_accsryclr!$A$2:$A$1000,"",0)</f>
        <v>WHT</v>
      </c>
    </row>
    <row r="1331" spans="1:12" hidden="1" x14ac:dyDescent="0.25">
      <c r="A1331" s="16" t="s">
        <v>25</v>
      </c>
      <c r="B1331" s="16" t="s">
        <v>689</v>
      </c>
      <c r="C1331" s="16" t="s">
        <v>289</v>
      </c>
      <c r="D1331" s="16" t="s">
        <v>290</v>
      </c>
      <c r="E1331" s="16">
        <v>3.837241379310345</v>
      </c>
      <c r="F1331" s="16" t="s">
        <v>194</v>
      </c>
      <c r="G1331" s="16"/>
      <c r="H1331" s="16" t="s">
        <v>278</v>
      </c>
      <c r="I1331" s="16" t="s">
        <v>230</v>
      </c>
      <c r="J1331" s="16" t="str">
        <f>IF(ISNUMBER(SEARCH("SCRW", H1331)), _xlfn.XLOOKUP(C1331,dd_item!$A$2:$A$147,dd_item!$B$2:$B$147,"",0),_xlfn.XLOOKUP(H1331,dd_item!$A$2:$A$147,dd_item!$B$2:$B$147,"",0))</f>
        <v>Bead25</v>
      </c>
      <c r="K1331" s="16" t="str">
        <f>_xlfn.XLOOKUP(A1331,dd_design_raw!$C$2:$C$1002,dd_design_raw!$A$2:$A$1002,"",0)</f>
        <v>Fix Slide Slide Fix Door</v>
      </c>
      <c r="L1331" s="16" t="str">
        <f>_xlfn.XLOOKUP(I1331,dd_accsryclr!$A$2:$A$1000,dd_accsryclr!$A$2:$A$1000,"",0)</f>
        <v>BRWN</v>
      </c>
    </row>
    <row r="1332" spans="1:12" hidden="1" x14ac:dyDescent="0.25">
      <c r="A1332" s="16" t="s">
        <v>25</v>
      </c>
      <c r="B1332" s="16" t="s">
        <v>689</v>
      </c>
      <c r="C1332" s="16" t="s">
        <v>296</v>
      </c>
      <c r="D1332" s="16" t="s">
        <v>297</v>
      </c>
      <c r="E1332" s="16">
        <v>1</v>
      </c>
      <c r="F1332" s="16" t="s">
        <v>293</v>
      </c>
      <c r="G1332" s="16"/>
      <c r="H1332" s="16" t="s">
        <v>294</v>
      </c>
      <c r="I1332" s="16" t="s">
        <v>298</v>
      </c>
      <c r="J1332" s="16" t="str">
        <f>IF(ISNUMBER(SEARCH("SCRW", H1332)), _xlfn.XLOOKUP(C1332,dd_item!$A$2:$A$147,dd_item!$B$2:$B$147,"",0),_xlfn.XLOOKUP(H1332,dd_item!$A$2:$A$147,dd_item!$B$2:$B$147,"",0))</f>
        <v>SD Kit Handle</v>
      </c>
      <c r="K1332" s="16" t="str">
        <f>_xlfn.XLOOKUP(A1332,dd_design_raw!$C$2:$C$1002,dd_design_raw!$A$2:$A$1002,"",0)</f>
        <v>Fix Slide Slide Fix Door</v>
      </c>
      <c r="L1332" s="16" t="str">
        <f>_xlfn.XLOOKUP(I1332,dd_accsryclr!$A$2:$A$1000,dd_accsryclr!$A$2:$A$1000,"",0)</f>
        <v/>
      </c>
    </row>
    <row r="1333" spans="1:12" hidden="1" x14ac:dyDescent="0.25">
      <c r="A1333" s="16" t="s">
        <v>25</v>
      </c>
      <c r="B1333" s="16" t="s">
        <v>689</v>
      </c>
      <c r="C1333" s="16" t="s">
        <v>299</v>
      </c>
      <c r="D1333" s="16" t="s">
        <v>300</v>
      </c>
      <c r="E1333" s="16">
        <v>1</v>
      </c>
      <c r="F1333" s="16" t="s">
        <v>293</v>
      </c>
      <c r="G1333" s="16"/>
      <c r="H1333" s="16" t="s">
        <v>294</v>
      </c>
      <c r="I1333" s="16" t="s">
        <v>223</v>
      </c>
      <c r="J1333" s="16" t="str">
        <f>IF(ISNUMBER(SEARCH("SCRW", H1333)), _xlfn.XLOOKUP(C1333,dd_item!$A$2:$A$147,dd_item!$B$2:$B$147,"",0),_xlfn.XLOOKUP(H1333,dd_item!$A$2:$A$147,dd_item!$B$2:$B$147,"",0))</f>
        <v>SD Kit Handle</v>
      </c>
      <c r="K1333" s="16" t="str">
        <f>_xlfn.XLOOKUP(A1333,dd_design_raw!$C$2:$C$1002,dd_design_raw!$A$2:$A$1002,"",0)</f>
        <v>Fix Slide Slide Fix Door</v>
      </c>
      <c r="L1333" s="16" t="str">
        <f>_xlfn.XLOOKUP(I1333,dd_accsryclr!$A$2:$A$1000,dd_accsryclr!$A$2:$A$1000,"",0)</f>
        <v>BLK</v>
      </c>
    </row>
    <row r="1334" spans="1:12" hidden="1" x14ac:dyDescent="0.25">
      <c r="A1334" s="16" t="s">
        <v>25</v>
      </c>
      <c r="B1334" s="16" t="s">
        <v>689</v>
      </c>
      <c r="C1334" s="16" t="s">
        <v>301</v>
      </c>
      <c r="D1334" s="16" t="s">
        <v>302</v>
      </c>
      <c r="E1334" s="16">
        <v>1</v>
      </c>
      <c r="F1334" s="16" t="s">
        <v>293</v>
      </c>
      <c r="G1334" s="16"/>
      <c r="H1334" s="16" t="s">
        <v>294</v>
      </c>
      <c r="I1334" s="16" t="s">
        <v>220</v>
      </c>
      <c r="J1334" s="16" t="str">
        <f>IF(ISNUMBER(SEARCH("SCRW", H1334)), _xlfn.XLOOKUP(C1334,dd_item!$A$2:$A$147,dd_item!$B$2:$B$147,"",0),_xlfn.XLOOKUP(H1334,dd_item!$A$2:$A$147,dd_item!$B$2:$B$147,"",0))</f>
        <v>SD Kit Handle</v>
      </c>
      <c r="K1334" s="16" t="str">
        <f>_xlfn.XLOOKUP(A1334,dd_design_raw!$C$2:$C$1002,dd_design_raw!$A$2:$A$1002,"",0)</f>
        <v>Fix Slide Slide Fix Door</v>
      </c>
      <c r="L1334" s="16" t="str">
        <f>_xlfn.XLOOKUP(I1334,dd_accsryclr!$A$2:$A$1000,dd_accsryclr!$A$2:$A$1000,"",0)</f>
        <v>WHT</v>
      </c>
    </row>
    <row r="1335" spans="1:12" hidden="1" x14ac:dyDescent="0.25">
      <c r="A1335" s="16" t="s">
        <v>25</v>
      </c>
      <c r="B1335" s="16" t="s">
        <v>689</v>
      </c>
      <c r="C1335" s="16" t="s">
        <v>303</v>
      </c>
      <c r="D1335" s="16" t="s">
        <v>304</v>
      </c>
      <c r="E1335" s="16">
        <v>4</v>
      </c>
      <c r="F1335" s="16" t="s">
        <v>293</v>
      </c>
      <c r="G1335" s="16"/>
      <c r="H1335" s="16" t="s">
        <v>305</v>
      </c>
      <c r="I1335" s="16" t="s">
        <v>690</v>
      </c>
      <c r="J1335" s="16" t="str">
        <f>IF(ISNUMBER(SEARCH("SCRW", H1335)), _xlfn.XLOOKUP(C1335,dd_item!$A$2:$A$147,dd_item!$B$2:$B$147,"",0),_xlfn.XLOOKUP(H1335,dd_item!$A$2:$A$147,dd_item!$B$2:$B$147,"",0))</f>
        <v>Rubber Stopper</v>
      </c>
      <c r="K1335" s="16" t="str">
        <f>_xlfn.XLOOKUP(A1335,dd_design_raw!$C$2:$C$1002,dd_design_raw!$A$2:$A$1002,"",0)</f>
        <v>Fix Slide Slide Fix Door</v>
      </c>
      <c r="L1335" s="16" t="str">
        <f>_xlfn.XLOOKUP(I1335,dd_accsryclr!$A$2:$A$1000,dd_accsryclr!$A$2:$A$1000,"",0)</f>
        <v/>
      </c>
    </row>
    <row r="1336" spans="1:12" hidden="1" x14ac:dyDescent="0.25">
      <c r="A1336" s="16" t="s">
        <v>25</v>
      </c>
      <c r="B1336" s="16" t="s">
        <v>689</v>
      </c>
      <c r="C1336" s="16" t="s">
        <v>306</v>
      </c>
      <c r="D1336" s="16" t="s">
        <v>307</v>
      </c>
      <c r="E1336" s="16">
        <v>6</v>
      </c>
      <c r="F1336" s="16" t="s">
        <v>293</v>
      </c>
      <c r="G1336" s="16"/>
      <c r="H1336" s="16" t="s">
        <v>308</v>
      </c>
      <c r="I1336" s="16" t="s">
        <v>230</v>
      </c>
      <c r="J1336" s="16" t="str">
        <f>IF(ISNUMBER(SEARCH("SCRW", H1336)), _xlfn.XLOOKUP(C1336,dd_item!$A$2:$A$147,dd_item!$B$2:$B$147,"",0),_xlfn.XLOOKUP(H1336,dd_item!$A$2:$A$147,dd_item!$B$2:$B$147,"",0))</f>
        <v>Track Bridge</v>
      </c>
      <c r="K1336" s="16" t="str">
        <f>_xlfn.XLOOKUP(A1336,dd_design_raw!$C$2:$C$1002,dd_design_raw!$A$2:$A$1002,"",0)</f>
        <v>Fix Slide Slide Fix Door</v>
      </c>
      <c r="L1336" s="16" t="str">
        <f>_xlfn.XLOOKUP(I1336,dd_accsryclr!$A$2:$A$1000,dd_accsryclr!$A$2:$A$1000,"",0)</f>
        <v>BRWN</v>
      </c>
    </row>
    <row r="1337" spans="1:12" hidden="1" x14ac:dyDescent="0.25">
      <c r="A1337" s="16" t="s">
        <v>25</v>
      </c>
      <c r="B1337" s="16" t="s">
        <v>689</v>
      </c>
      <c r="C1337" s="16" t="s">
        <v>309</v>
      </c>
      <c r="D1337" s="16" t="s">
        <v>310</v>
      </c>
      <c r="E1337" s="16">
        <v>6</v>
      </c>
      <c r="F1337" s="16" t="s">
        <v>293</v>
      </c>
      <c r="G1337" s="16"/>
      <c r="H1337" s="16" t="s">
        <v>308</v>
      </c>
      <c r="I1337" s="16" t="s">
        <v>220</v>
      </c>
      <c r="J1337" s="16" t="str">
        <f>IF(ISNUMBER(SEARCH("SCRW", H1337)), _xlfn.XLOOKUP(C1337,dd_item!$A$2:$A$147,dd_item!$B$2:$B$147,"",0),_xlfn.XLOOKUP(H1337,dd_item!$A$2:$A$147,dd_item!$B$2:$B$147,"",0))</f>
        <v>Track Bridge</v>
      </c>
      <c r="K1337" s="16" t="str">
        <f>_xlfn.XLOOKUP(A1337,dd_design_raw!$C$2:$C$1002,dd_design_raw!$A$2:$A$1002,"",0)</f>
        <v>Fix Slide Slide Fix Door</v>
      </c>
      <c r="L1337" s="16" t="str">
        <f>_xlfn.XLOOKUP(I1337,dd_accsryclr!$A$2:$A$1000,dd_accsryclr!$A$2:$A$1000,"",0)</f>
        <v>WHT</v>
      </c>
    </row>
    <row r="1338" spans="1:12" hidden="1" x14ac:dyDescent="0.25">
      <c r="A1338" s="16" t="s">
        <v>25</v>
      </c>
      <c r="B1338" s="16" t="s">
        <v>689</v>
      </c>
      <c r="C1338" s="16" t="s">
        <v>311</v>
      </c>
      <c r="D1338" s="16" t="s">
        <v>312</v>
      </c>
      <c r="E1338" s="16">
        <v>4</v>
      </c>
      <c r="F1338" s="16" t="s">
        <v>293</v>
      </c>
      <c r="G1338" s="16"/>
      <c r="H1338" s="16" t="s">
        <v>313</v>
      </c>
      <c r="I1338" s="16" t="s">
        <v>482</v>
      </c>
      <c r="J1338" s="16" t="str">
        <f>IF(ISNUMBER(SEARCH("SCRW", H1338)), _xlfn.XLOOKUP(C1338,dd_item!$A$2:$A$147,dd_item!$B$2:$B$147,"",0),_xlfn.XLOOKUP(H1338,dd_item!$A$2:$A$147,dd_item!$B$2:$B$147,"",0))</f>
        <v>Roller for Door</v>
      </c>
      <c r="K1338" s="16" t="str">
        <f>_xlfn.XLOOKUP(A1338,dd_design_raw!$C$2:$C$1002,dd_design_raw!$A$2:$A$1002,"",0)</f>
        <v>Fix Slide Slide Fix Door</v>
      </c>
      <c r="L1338" s="16" t="str">
        <f>_xlfn.XLOOKUP(I1338,dd_accsryclr!$A$2:$A$1000,dd_accsryclr!$A$2:$A$1000,"",0)</f>
        <v/>
      </c>
    </row>
    <row r="1339" spans="1:12" hidden="1" x14ac:dyDescent="0.25">
      <c r="A1339" s="16" t="s">
        <v>25</v>
      </c>
      <c r="B1339" s="16" t="s">
        <v>689</v>
      </c>
      <c r="C1339" s="16" t="s">
        <v>314</v>
      </c>
      <c r="D1339" s="16" t="s">
        <v>315</v>
      </c>
      <c r="E1339" s="16">
        <v>4</v>
      </c>
      <c r="F1339" s="16" t="s">
        <v>293</v>
      </c>
      <c r="G1339" s="16"/>
      <c r="H1339" s="16" t="s">
        <v>313</v>
      </c>
      <c r="I1339" s="16" t="s">
        <v>482</v>
      </c>
      <c r="J1339" s="16" t="str">
        <f>IF(ISNUMBER(SEARCH("SCRW", H1339)), _xlfn.XLOOKUP(C1339,dd_item!$A$2:$A$147,dd_item!$B$2:$B$147,"",0),_xlfn.XLOOKUP(H1339,dd_item!$A$2:$A$147,dd_item!$B$2:$B$147,"",0))</f>
        <v>Roller for Door</v>
      </c>
      <c r="K1339" s="16" t="str">
        <f>_xlfn.XLOOKUP(A1339,dd_design_raw!$C$2:$C$1002,dd_design_raw!$A$2:$A$1002,"",0)</f>
        <v>Fix Slide Slide Fix Door</v>
      </c>
      <c r="L1339" s="16" t="str">
        <f>_xlfn.XLOOKUP(I1339,dd_accsryclr!$A$2:$A$1000,dd_accsryclr!$A$2:$A$1000,"",0)</f>
        <v/>
      </c>
    </row>
    <row r="1340" spans="1:12" hidden="1" x14ac:dyDescent="0.25">
      <c r="A1340" s="16" t="s">
        <v>25</v>
      </c>
      <c r="B1340" s="16" t="s">
        <v>689</v>
      </c>
      <c r="C1340" s="16" t="s">
        <v>334</v>
      </c>
      <c r="D1340" s="16" t="s">
        <v>335</v>
      </c>
      <c r="E1340" s="16">
        <v>1.76</v>
      </c>
      <c r="F1340" s="16" t="s">
        <v>194</v>
      </c>
      <c r="G1340" s="16"/>
      <c r="H1340" s="16" t="s">
        <v>336</v>
      </c>
      <c r="I1340" s="16" t="s">
        <v>211</v>
      </c>
      <c r="J1340" s="16" t="str">
        <f>IF(ISNUMBER(SEARCH("SCRW", H1340)), _xlfn.XLOOKUP(C1340,dd_item!$A$2:$A$147,dd_item!$B$2:$B$147,"",0),_xlfn.XLOOKUP(H1340,dd_item!$A$2:$A$147,dd_item!$B$2:$B$147,"",0))</f>
        <v>Interlocker50</v>
      </c>
      <c r="K1340" s="16" t="str">
        <f>_xlfn.XLOOKUP(A1340,dd_design_raw!$C$2:$C$1002,dd_design_raw!$A$2:$A$1002,"",0)</f>
        <v>Fix Slide Slide Fix Door</v>
      </c>
      <c r="L1340" s="16" t="str">
        <f>_xlfn.XLOOKUP(I1340,dd_accsryclr!$A$2:$A$1000,dd_accsryclr!$A$2:$A$1000,"",0)</f>
        <v/>
      </c>
    </row>
    <row r="1341" spans="1:12" hidden="1" x14ac:dyDescent="0.25">
      <c r="A1341" s="16" t="s">
        <v>25</v>
      </c>
      <c r="B1341" s="16" t="s">
        <v>689</v>
      </c>
      <c r="C1341" s="16" t="s">
        <v>337</v>
      </c>
      <c r="D1341" s="16" t="s">
        <v>338</v>
      </c>
      <c r="E1341" s="16">
        <v>1.76</v>
      </c>
      <c r="F1341" s="16" t="s">
        <v>194</v>
      </c>
      <c r="G1341" s="16"/>
      <c r="H1341" s="16" t="s">
        <v>336</v>
      </c>
      <c r="I1341" s="16" t="s">
        <v>214</v>
      </c>
      <c r="J1341" s="16" t="str">
        <f>IF(ISNUMBER(SEARCH("SCRW", H1341)), _xlfn.XLOOKUP(C1341,dd_item!$A$2:$A$147,dd_item!$B$2:$B$147,"",0),_xlfn.XLOOKUP(H1341,dd_item!$A$2:$A$147,dd_item!$B$2:$B$147,"",0))</f>
        <v>Interlocker50</v>
      </c>
      <c r="K1341" s="16" t="str">
        <f>_xlfn.XLOOKUP(A1341,dd_design_raw!$C$2:$C$1002,dd_design_raw!$A$2:$A$1002,"",0)</f>
        <v>Fix Slide Slide Fix Door</v>
      </c>
      <c r="L1341" s="16" t="str">
        <f>_xlfn.XLOOKUP(I1341,dd_accsryclr!$A$2:$A$1000,dd_accsryclr!$A$2:$A$1000,"",0)</f>
        <v/>
      </c>
    </row>
    <row r="1342" spans="1:12" hidden="1" x14ac:dyDescent="0.25">
      <c r="A1342" s="16" t="s">
        <v>25</v>
      </c>
      <c r="B1342" s="16" t="s">
        <v>689</v>
      </c>
      <c r="C1342" s="16" t="s">
        <v>339</v>
      </c>
      <c r="D1342" s="16" t="s">
        <v>340</v>
      </c>
      <c r="E1342" s="16">
        <v>1.76</v>
      </c>
      <c r="F1342" s="16" t="s">
        <v>194</v>
      </c>
      <c r="G1342" s="16"/>
      <c r="H1342" s="16" t="s">
        <v>336</v>
      </c>
      <c r="I1342" s="16" t="s">
        <v>217</v>
      </c>
      <c r="J1342" s="16" t="str">
        <f>IF(ISNUMBER(SEARCH("SCRW", H1342)), _xlfn.XLOOKUP(C1342,dd_item!$A$2:$A$147,dd_item!$B$2:$B$147,"",0),_xlfn.XLOOKUP(H1342,dd_item!$A$2:$A$147,dd_item!$B$2:$B$147,"",0))</f>
        <v>Interlocker50</v>
      </c>
      <c r="K1342" s="16" t="str">
        <f>_xlfn.XLOOKUP(A1342,dd_design_raw!$C$2:$C$1002,dd_design_raw!$A$2:$A$1002,"",0)</f>
        <v>Fix Slide Slide Fix Door</v>
      </c>
      <c r="L1342" s="16" t="str">
        <f>_xlfn.XLOOKUP(I1342,dd_accsryclr!$A$2:$A$1000,dd_accsryclr!$A$2:$A$1000,"",0)</f>
        <v/>
      </c>
    </row>
    <row r="1343" spans="1:12" hidden="1" x14ac:dyDescent="0.25">
      <c r="A1343" s="16" t="s">
        <v>25</v>
      </c>
      <c r="B1343" s="16" t="s">
        <v>689</v>
      </c>
      <c r="C1343" s="16" t="s">
        <v>341</v>
      </c>
      <c r="D1343" s="16" t="s">
        <v>342</v>
      </c>
      <c r="E1343" s="16">
        <v>1.76</v>
      </c>
      <c r="F1343" s="16" t="s">
        <v>194</v>
      </c>
      <c r="G1343" s="16"/>
      <c r="H1343" s="16" t="s">
        <v>336</v>
      </c>
      <c r="I1343" s="16" t="s">
        <v>226</v>
      </c>
      <c r="J1343" s="16" t="str">
        <f>IF(ISNUMBER(SEARCH("SCRW", H1343)), _xlfn.XLOOKUP(C1343,dd_item!$A$2:$A$147,dd_item!$B$2:$B$147,"",0),_xlfn.XLOOKUP(H1343,dd_item!$A$2:$A$147,dd_item!$B$2:$B$147,"",0))</f>
        <v>Interlocker50</v>
      </c>
      <c r="K1343" s="16" t="str">
        <f>_xlfn.XLOOKUP(A1343,dd_design_raw!$C$2:$C$1002,dd_design_raw!$A$2:$A$1002,"",0)</f>
        <v>Fix Slide Slide Fix Door</v>
      </c>
      <c r="L1343" s="16" t="str">
        <f>_xlfn.XLOOKUP(I1343,dd_accsryclr!$A$2:$A$1000,dd_accsryclr!$A$2:$A$1000,"",0)</f>
        <v/>
      </c>
    </row>
    <row r="1344" spans="1:12" hidden="1" x14ac:dyDescent="0.25">
      <c r="A1344" s="16" t="s">
        <v>25</v>
      </c>
      <c r="B1344" s="16" t="s">
        <v>689</v>
      </c>
      <c r="C1344" s="16" t="s">
        <v>343</v>
      </c>
      <c r="D1344" s="16" t="s">
        <v>344</v>
      </c>
      <c r="E1344" s="16">
        <v>1.76</v>
      </c>
      <c r="F1344" s="16" t="s">
        <v>194</v>
      </c>
      <c r="G1344" s="16"/>
      <c r="H1344" s="16" t="s">
        <v>336</v>
      </c>
      <c r="I1344" s="16" t="s">
        <v>220</v>
      </c>
      <c r="J1344" s="16" t="str">
        <f>IF(ISNUMBER(SEARCH("SCRW", H1344)), _xlfn.XLOOKUP(C1344,dd_item!$A$2:$A$147,dd_item!$B$2:$B$147,"",0),_xlfn.XLOOKUP(H1344,dd_item!$A$2:$A$147,dd_item!$B$2:$B$147,"",0))</f>
        <v>Interlocker50</v>
      </c>
      <c r="K1344" s="16" t="str">
        <f>_xlfn.XLOOKUP(A1344,dd_design_raw!$C$2:$C$1002,dd_design_raw!$A$2:$A$1002,"",0)</f>
        <v>Fix Slide Slide Fix Door</v>
      </c>
      <c r="L1344" s="16" t="str">
        <f>_xlfn.XLOOKUP(I1344,dd_accsryclr!$A$2:$A$1000,dd_accsryclr!$A$2:$A$1000,"",0)</f>
        <v>WHT</v>
      </c>
    </row>
    <row r="1345" spans="1:12" hidden="1" x14ac:dyDescent="0.25">
      <c r="A1345" s="16" t="s">
        <v>25</v>
      </c>
      <c r="B1345" s="16" t="s">
        <v>689</v>
      </c>
      <c r="C1345" s="16" t="s">
        <v>345</v>
      </c>
      <c r="D1345" s="16" t="s">
        <v>346</v>
      </c>
      <c r="E1345" s="16">
        <v>1.76</v>
      </c>
      <c r="F1345" s="16" t="s">
        <v>194</v>
      </c>
      <c r="G1345" s="16"/>
      <c r="H1345" s="16" t="s">
        <v>336</v>
      </c>
      <c r="I1345" s="16" t="s">
        <v>223</v>
      </c>
      <c r="J1345" s="16" t="str">
        <f>IF(ISNUMBER(SEARCH("SCRW", H1345)), _xlfn.XLOOKUP(C1345,dd_item!$A$2:$A$147,dd_item!$B$2:$B$147,"",0),_xlfn.XLOOKUP(H1345,dd_item!$A$2:$A$147,dd_item!$B$2:$B$147,"",0))</f>
        <v>Interlocker50</v>
      </c>
      <c r="K1345" s="16" t="str">
        <f>_xlfn.XLOOKUP(A1345,dd_design_raw!$C$2:$C$1002,dd_design_raw!$A$2:$A$1002,"",0)</f>
        <v>Fix Slide Slide Fix Door</v>
      </c>
      <c r="L1345" s="16" t="str">
        <f>_xlfn.XLOOKUP(I1345,dd_accsryclr!$A$2:$A$1000,dd_accsryclr!$A$2:$A$1000,"",0)</f>
        <v>BLK</v>
      </c>
    </row>
    <row r="1346" spans="1:12" hidden="1" x14ac:dyDescent="0.25">
      <c r="A1346" s="16" t="s">
        <v>25</v>
      </c>
      <c r="B1346" s="16" t="s">
        <v>689</v>
      </c>
      <c r="C1346" s="16" t="s">
        <v>347</v>
      </c>
      <c r="D1346" s="16" t="s">
        <v>348</v>
      </c>
      <c r="E1346" s="16">
        <v>1.76</v>
      </c>
      <c r="F1346" s="16" t="s">
        <v>194</v>
      </c>
      <c r="G1346" s="16"/>
      <c r="H1346" s="16" t="s">
        <v>336</v>
      </c>
      <c r="I1346" s="16" t="s">
        <v>230</v>
      </c>
      <c r="J1346" s="16" t="str">
        <f>IF(ISNUMBER(SEARCH("SCRW", H1346)), _xlfn.XLOOKUP(C1346,dd_item!$A$2:$A$147,dd_item!$B$2:$B$147,"",0),_xlfn.XLOOKUP(H1346,dd_item!$A$2:$A$147,dd_item!$B$2:$B$147,"",0))</f>
        <v>Interlocker50</v>
      </c>
      <c r="K1346" s="16" t="str">
        <f>_xlfn.XLOOKUP(A1346,dd_design_raw!$C$2:$C$1002,dd_design_raw!$A$2:$A$1002,"",0)</f>
        <v>Fix Slide Slide Fix Door</v>
      </c>
      <c r="L1346" s="16" t="str">
        <f>_xlfn.XLOOKUP(I1346,dd_accsryclr!$A$2:$A$1000,dd_accsryclr!$A$2:$A$1000,"",0)</f>
        <v>BRWN</v>
      </c>
    </row>
    <row r="1347" spans="1:12" hidden="1" x14ac:dyDescent="0.25">
      <c r="A1347" s="16" t="s">
        <v>25</v>
      </c>
      <c r="B1347" s="16" t="s">
        <v>689</v>
      </c>
      <c r="C1347" s="16" t="s">
        <v>364</v>
      </c>
      <c r="D1347" s="16" t="s">
        <v>365</v>
      </c>
      <c r="E1347" s="16">
        <v>0.86206896551724133</v>
      </c>
      <c r="F1347" s="16" t="s">
        <v>293</v>
      </c>
      <c r="G1347" s="16"/>
      <c r="H1347" s="16" t="s">
        <v>366</v>
      </c>
      <c r="I1347" s="16"/>
      <c r="J1347" s="16" t="str">
        <f>IF(ISNUMBER(SEARCH("SCRW", H1347)), _xlfn.XLOOKUP(C1347,dd_item!$A$2:$A$147,dd_item!$B$2:$B$147,"",0),_xlfn.XLOOKUP(H1347,dd_item!$A$2:$A$147,dd_item!$B$2:$B$147,"",0))</f>
        <v>Aluminum Track</v>
      </c>
      <c r="K1347" s="16" t="str">
        <f>_xlfn.XLOOKUP(A1347,dd_design_raw!$C$2:$C$1002,dd_design_raw!$A$2:$A$1002,"",0)</f>
        <v>Fix Slide Slide Fix Door</v>
      </c>
      <c r="L1347" s="16" t="str">
        <f>_xlfn.XLOOKUP(I1347,dd_accsryclr!$A$2:$A$1000,dd_accsryclr!$A$2:$A$1000,"",0)</f>
        <v/>
      </c>
    </row>
    <row r="1348" spans="1:12" hidden="1" x14ac:dyDescent="0.25">
      <c r="A1348" s="16" t="s">
        <v>25</v>
      </c>
      <c r="B1348" s="16" t="s">
        <v>689</v>
      </c>
      <c r="C1348" s="16" t="s">
        <v>367</v>
      </c>
      <c r="D1348" s="16" t="s">
        <v>368</v>
      </c>
      <c r="E1348" s="16">
        <v>1</v>
      </c>
      <c r="F1348" s="16" t="s">
        <v>369</v>
      </c>
      <c r="G1348" s="16"/>
      <c r="H1348" s="16" t="s">
        <v>370</v>
      </c>
      <c r="I1348" s="16" t="s">
        <v>223</v>
      </c>
      <c r="J1348" s="16" t="str">
        <f>IF(ISNUMBER(SEARCH("SCRW", H1348)), _xlfn.XLOOKUP(C1348,dd_item!$A$2:$A$147,dd_item!$B$2:$B$147,"",0),_xlfn.XLOOKUP(H1348,dd_item!$A$2:$A$147,dd_item!$B$2:$B$147,"",0))</f>
        <v>SD Kit Handle</v>
      </c>
      <c r="K1348" s="16" t="str">
        <f>_xlfn.XLOOKUP(A1348,dd_design_raw!$C$2:$C$1002,dd_design_raw!$A$2:$A$1002,"",0)</f>
        <v>Fix Slide Slide Fix Door</v>
      </c>
      <c r="L1348" s="16" t="str">
        <f>_xlfn.XLOOKUP(I1348,dd_accsryclr!$A$2:$A$1000,dd_accsryclr!$A$2:$A$1000,"",0)</f>
        <v>BLK</v>
      </c>
    </row>
    <row r="1349" spans="1:12" hidden="1" x14ac:dyDescent="0.25">
      <c r="A1349" s="16" t="s">
        <v>25</v>
      </c>
      <c r="B1349" s="16" t="s">
        <v>689</v>
      </c>
      <c r="C1349" s="16" t="s">
        <v>371</v>
      </c>
      <c r="D1349" s="16" t="s">
        <v>372</v>
      </c>
      <c r="E1349" s="16">
        <v>1</v>
      </c>
      <c r="F1349" s="16" t="s">
        <v>369</v>
      </c>
      <c r="G1349" s="16"/>
      <c r="H1349" s="16" t="s">
        <v>370</v>
      </c>
      <c r="I1349" s="16" t="s">
        <v>220</v>
      </c>
      <c r="J1349" s="16" t="str">
        <f>IF(ISNUMBER(SEARCH("SCRW", H1349)), _xlfn.XLOOKUP(C1349,dd_item!$A$2:$A$147,dd_item!$B$2:$B$147,"",0),_xlfn.XLOOKUP(H1349,dd_item!$A$2:$A$147,dd_item!$B$2:$B$147,"",0))</f>
        <v>SD Kit Handle</v>
      </c>
      <c r="K1349" s="16" t="str">
        <f>_xlfn.XLOOKUP(A1349,dd_design_raw!$C$2:$C$1002,dd_design_raw!$A$2:$A$1002,"",0)</f>
        <v>Fix Slide Slide Fix Door</v>
      </c>
      <c r="L1349" s="16" t="str">
        <f>_xlfn.XLOOKUP(I1349,dd_accsryclr!$A$2:$A$1000,dd_accsryclr!$A$2:$A$1000,"",0)</f>
        <v>WHT</v>
      </c>
    </row>
    <row r="1350" spans="1:12" hidden="1" x14ac:dyDescent="0.25">
      <c r="A1350" s="16" t="s">
        <v>25</v>
      </c>
      <c r="B1350" s="16" t="s">
        <v>689</v>
      </c>
      <c r="C1350" s="16" t="s">
        <v>444</v>
      </c>
      <c r="D1350" s="16" t="s">
        <v>445</v>
      </c>
      <c r="E1350" s="16">
        <v>1</v>
      </c>
      <c r="F1350" s="16" t="s">
        <v>369</v>
      </c>
      <c r="G1350" s="16"/>
      <c r="H1350" s="16" t="s">
        <v>370</v>
      </c>
      <c r="I1350" s="16" t="s">
        <v>223</v>
      </c>
      <c r="J1350" s="16" t="str">
        <f>IF(ISNUMBER(SEARCH("SCRW", H1350)), _xlfn.XLOOKUP(C1350,dd_item!$A$2:$A$147,dd_item!$B$2:$B$147,"",0),_xlfn.XLOOKUP(H1350,dd_item!$A$2:$A$147,dd_item!$B$2:$B$147,"",0))</f>
        <v>SD Kit Handle</v>
      </c>
      <c r="K1350" s="16" t="str">
        <f>_xlfn.XLOOKUP(A1350,dd_design_raw!$C$2:$C$1002,dd_design_raw!$A$2:$A$1002,"",0)</f>
        <v>Fix Slide Slide Fix Door</v>
      </c>
      <c r="L1350" s="16" t="str">
        <f>_xlfn.XLOOKUP(I1350,dd_accsryclr!$A$2:$A$1000,dd_accsryclr!$A$2:$A$1000,"",0)</f>
        <v>BLK</v>
      </c>
    </row>
    <row r="1351" spans="1:12" hidden="1" x14ac:dyDescent="0.25">
      <c r="A1351" s="16" t="s">
        <v>25</v>
      </c>
      <c r="B1351" s="16" t="s">
        <v>689</v>
      </c>
      <c r="C1351" s="16" t="s">
        <v>446</v>
      </c>
      <c r="D1351" s="16" t="s">
        <v>447</v>
      </c>
      <c r="E1351" s="16">
        <v>1</v>
      </c>
      <c r="F1351" s="16" t="s">
        <v>369</v>
      </c>
      <c r="G1351" s="16"/>
      <c r="H1351" s="16" t="s">
        <v>370</v>
      </c>
      <c r="I1351" s="16" t="s">
        <v>220</v>
      </c>
      <c r="J1351" s="16" t="str">
        <f>IF(ISNUMBER(SEARCH("SCRW", H1351)), _xlfn.XLOOKUP(C1351,dd_item!$A$2:$A$147,dd_item!$B$2:$B$147,"",0),_xlfn.XLOOKUP(H1351,dd_item!$A$2:$A$147,dd_item!$B$2:$B$147,"",0))</f>
        <v>SD Kit Handle</v>
      </c>
      <c r="K1351" s="16" t="str">
        <f>_xlfn.XLOOKUP(A1351,dd_design_raw!$C$2:$C$1002,dd_design_raw!$A$2:$A$1002,"",0)</f>
        <v>Fix Slide Slide Fix Door</v>
      </c>
      <c r="L1351" s="16" t="str">
        <f>_xlfn.XLOOKUP(I1351,dd_accsryclr!$A$2:$A$1000,dd_accsryclr!$A$2:$A$1000,"",0)</f>
        <v>WHT</v>
      </c>
    </row>
    <row r="1352" spans="1:12" hidden="1" x14ac:dyDescent="0.25">
      <c r="A1352" s="16" t="s">
        <v>25</v>
      </c>
      <c r="B1352" s="16" t="s">
        <v>689</v>
      </c>
      <c r="C1352" s="16" t="s">
        <v>373</v>
      </c>
      <c r="D1352" s="16" t="s">
        <v>374</v>
      </c>
      <c r="E1352" s="16">
        <v>2</v>
      </c>
      <c r="F1352" s="16" t="s">
        <v>369</v>
      </c>
      <c r="G1352" s="16"/>
      <c r="H1352" s="16" t="s">
        <v>370</v>
      </c>
      <c r="I1352" s="16" t="s">
        <v>220</v>
      </c>
      <c r="J1352" s="16" t="str">
        <f>IF(ISNUMBER(SEARCH("SCRW", H1352)), _xlfn.XLOOKUP(C1352,dd_item!$A$2:$A$147,dd_item!$B$2:$B$147,"",0),_xlfn.XLOOKUP(H1352,dd_item!$A$2:$A$147,dd_item!$B$2:$B$147,"",0))</f>
        <v>SD Kit Handle</v>
      </c>
      <c r="K1352" s="16" t="str">
        <f>_xlfn.XLOOKUP(A1352,dd_design_raw!$C$2:$C$1002,dd_design_raw!$A$2:$A$1002,"",0)</f>
        <v>Fix Slide Slide Fix Door</v>
      </c>
      <c r="L1352" s="16" t="str">
        <f>_xlfn.XLOOKUP(I1352,dd_accsryclr!$A$2:$A$1000,dd_accsryclr!$A$2:$A$1000,"",0)</f>
        <v>WHT</v>
      </c>
    </row>
    <row r="1353" spans="1:12" hidden="1" x14ac:dyDescent="0.25">
      <c r="A1353" s="16" t="s">
        <v>25</v>
      </c>
      <c r="B1353" s="16" t="s">
        <v>689</v>
      </c>
      <c r="C1353" s="16" t="s">
        <v>375</v>
      </c>
      <c r="D1353" s="16" t="s">
        <v>376</v>
      </c>
      <c r="E1353" s="16">
        <v>2</v>
      </c>
      <c r="F1353" s="16" t="s">
        <v>369</v>
      </c>
      <c r="G1353" s="16"/>
      <c r="H1353" s="16" t="s">
        <v>370</v>
      </c>
      <c r="I1353" s="16" t="s">
        <v>223</v>
      </c>
      <c r="J1353" s="16" t="str">
        <f>IF(ISNUMBER(SEARCH("SCRW", H1353)), _xlfn.XLOOKUP(C1353,dd_item!$A$2:$A$147,dd_item!$B$2:$B$147,"",0),_xlfn.XLOOKUP(H1353,dd_item!$A$2:$A$147,dd_item!$B$2:$B$147,"",0))</f>
        <v>SD Kit Handle</v>
      </c>
      <c r="K1353" s="16" t="str">
        <f>_xlfn.XLOOKUP(A1353,dd_design_raw!$C$2:$C$1002,dd_design_raw!$A$2:$A$1002,"",0)</f>
        <v>Fix Slide Slide Fix Door</v>
      </c>
      <c r="L1353" s="16" t="str">
        <f>_xlfn.XLOOKUP(I1353,dd_accsryclr!$A$2:$A$1000,dd_accsryclr!$A$2:$A$1000,"",0)</f>
        <v>BLK</v>
      </c>
    </row>
    <row r="1354" spans="1:12" hidden="1" x14ac:dyDescent="0.25">
      <c r="A1354" s="16" t="s">
        <v>25</v>
      </c>
      <c r="B1354" s="16" t="s">
        <v>689</v>
      </c>
      <c r="C1354" s="16" t="s">
        <v>377</v>
      </c>
      <c r="D1354" s="16" t="s">
        <v>378</v>
      </c>
      <c r="E1354" s="16">
        <v>1</v>
      </c>
      <c r="F1354" s="16" t="s">
        <v>369</v>
      </c>
      <c r="G1354" s="16"/>
      <c r="H1354" s="16" t="s">
        <v>379</v>
      </c>
      <c r="I1354" s="16"/>
      <c r="J1354" s="16" t="str">
        <f>IF(ISNUMBER(SEARCH("SCRW", H1354)), _xlfn.XLOOKUP(C1354,dd_item!$A$2:$A$147,dd_item!$B$2:$B$147,"",0),_xlfn.XLOOKUP(H1354,dd_item!$A$2:$A$147,dd_item!$B$2:$B$147,"",0))</f>
        <v xml:space="preserve">SD Kit Cylinder Door Knob </v>
      </c>
      <c r="K1354" s="16" t="str">
        <f>_xlfn.XLOOKUP(A1354,dd_design_raw!$C$2:$C$1002,dd_design_raw!$A$2:$A$1002,"",0)</f>
        <v>Fix Slide Slide Fix Door</v>
      </c>
      <c r="L1354" s="16" t="str">
        <f>_xlfn.XLOOKUP(I1354,dd_accsryclr!$A$2:$A$1000,dd_accsryclr!$A$2:$A$1000,"",0)</f>
        <v/>
      </c>
    </row>
    <row r="1355" spans="1:12" hidden="1" x14ac:dyDescent="0.25">
      <c r="A1355" s="16" t="s">
        <v>25</v>
      </c>
      <c r="B1355" s="16" t="s">
        <v>689</v>
      </c>
      <c r="C1355" s="16" t="s">
        <v>380</v>
      </c>
      <c r="D1355" s="16" t="s">
        <v>381</v>
      </c>
      <c r="E1355" s="16">
        <v>1</v>
      </c>
      <c r="F1355" s="16" t="s">
        <v>369</v>
      </c>
      <c r="G1355" s="16"/>
      <c r="H1355" s="16" t="s">
        <v>379</v>
      </c>
      <c r="I1355" s="16"/>
      <c r="J1355" s="16" t="str">
        <f>IF(ISNUMBER(SEARCH("SCRW", H1355)), _xlfn.XLOOKUP(C1355,dd_item!$A$2:$A$147,dd_item!$B$2:$B$147,"",0),_xlfn.XLOOKUP(H1355,dd_item!$A$2:$A$147,dd_item!$B$2:$B$147,"",0))</f>
        <v xml:space="preserve">SD Kit Cylinder Door Knob </v>
      </c>
      <c r="K1355" s="16" t="str">
        <f>_xlfn.XLOOKUP(A1355,dd_design_raw!$C$2:$C$1002,dd_design_raw!$A$2:$A$1002,"",0)</f>
        <v>Fix Slide Slide Fix Door</v>
      </c>
      <c r="L1355" s="16" t="str">
        <f>_xlfn.XLOOKUP(I1355,dd_accsryclr!$A$2:$A$1000,dd_accsryclr!$A$2:$A$1000,"",0)</f>
        <v/>
      </c>
    </row>
    <row r="1356" spans="1:12" hidden="1" x14ac:dyDescent="0.25">
      <c r="A1356" s="16" t="s">
        <v>25</v>
      </c>
      <c r="B1356" s="16" t="s">
        <v>689</v>
      </c>
      <c r="C1356" s="16" t="s">
        <v>382</v>
      </c>
      <c r="D1356" s="16" t="s">
        <v>383</v>
      </c>
      <c r="E1356" s="16">
        <v>1</v>
      </c>
      <c r="F1356" s="16" t="s">
        <v>369</v>
      </c>
      <c r="G1356" s="16"/>
      <c r="H1356" s="16" t="s">
        <v>384</v>
      </c>
      <c r="I1356" s="16" t="s">
        <v>223</v>
      </c>
      <c r="J1356" s="16" t="str">
        <f>IF(ISNUMBER(SEARCH("SCRW", H1356)), _xlfn.XLOOKUP(C1356,dd_item!$A$2:$A$147,dd_item!$B$2:$B$147,"",0),_xlfn.XLOOKUP(H1356,dd_item!$A$2:$A$147,dd_item!$B$2:$B$147,"",0))</f>
        <v>Cylinder Cover Set</v>
      </c>
      <c r="K1356" s="16" t="str">
        <f>_xlfn.XLOOKUP(A1356,dd_design_raw!$C$2:$C$1002,dd_design_raw!$A$2:$A$1002,"",0)</f>
        <v>Fix Slide Slide Fix Door</v>
      </c>
      <c r="L1356" s="16" t="str">
        <f>_xlfn.XLOOKUP(I1356,dd_accsryclr!$A$2:$A$1000,dd_accsryclr!$A$2:$A$1000,"",0)</f>
        <v>BLK</v>
      </c>
    </row>
    <row r="1357" spans="1:12" hidden="1" x14ac:dyDescent="0.25">
      <c r="A1357" s="16" t="s">
        <v>25</v>
      </c>
      <c r="B1357" s="16" t="s">
        <v>689</v>
      </c>
      <c r="C1357" s="16" t="s">
        <v>385</v>
      </c>
      <c r="D1357" s="16" t="s">
        <v>386</v>
      </c>
      <c r="E1357" s="16">
        <v>1</v>
      </c>
      <c r="F1357" s="16" t="s">
        <v>369</v>
      </c>
      <c r="G1357" s="16"/>
      <c r="H1357" s="16" t="s">
        <v>384</v>
      </c>
      <c r="I1357" s="16" t="s">
        <v>220</v>
      </c>
      <c r="J1357" s="16" t="str">
        <f>IF(ISNUMBER(SEARCH("SCRW", H1357)), _xlfn.XLOOKUP(C1357,dd_item!$A$2:$A$147,dd_item!$B$2:$B$147,"",0),_xlfn.XLOOKUP(H1357,dd_item!$A$2:$A$147,dd_item!$B$2:$B$147,"",0))</f>
        <v>Cylinder Cover Set</v>
      </c>
      <c r="K1357" s="16" t="str">
        <f>_xlfn.XLOOKUP(A1357,dd_design_raw!$C$2:$C$1002,dd_design_raw!$A$2:$A$1002,"",0)</f>
        <v>Fix Slide Slide Fix Door</v>
      </c>
      <c r="L1357" s="16" t="str">
        <f>_xlfn.XLOOKUP(I1357,dd_accsryclr!$A$2:$A$1000,dd_accsryclr!$A$2:$A$1000,"",0)</f>
        <v>WHT</v>
      </c>
    </row>
    <row r="1358" spans="1:12" hidden="1" x14ac:dyDescent="0.25">
      <c r="A1358" s="16" t="s">
        <v>25</v>
      </c>
      <c r="B1358" s="16" t="s">
        <v>689</v>
      </c>
      <c r="C1358" s="16" t="s">
        <v>387</v>
      </c>
      <c r="D1358" s="16" t="s">
        <v>388</v>
      </c>
      <c r="E1358" s="16">
        <v>4</v>
      </c>
      <c r="F1358" s="16" t="s">
        <v>369</v>
      </c>
      <c r="G1358" s="16"/>
      <c r="H1358" s="16" t="s">
        <v>389</v>
      </c>
      <c r="I1358" s="16"/>
      <c r="J1358" s="16" t="str">
        <f>IF(ISNUMBER(SEARCH("SCRW", H1358)), _xlfn.XLOOKUP(C1358,dd_item!$A$2:$A$147,dd_item!$B$2:$B$147,"",0),_xlfn.XLOOKUP(H1358,dd_item!$A$2:$A$147,dd_item!$B$2:$B$147,"",0))</f>
        <v>Sliding Striker (Roto)</v>
      </c>
      <c r="K1358" s="16" t="str">
        <f>_xlfn.XLOOKUP(A1358,dd_design_raw!$C$2:$C$1002,dd_design_raw!$A$2:$A$1002,"",0)</f>
        <v>Fix Slide Slide Fix Door</v>
      </c>
      <c r="L1358" s="16" t="str">
        <f>_xlfn.XLOOKUP(I1358,dd_accsryclr!$A$2:$A$1000,dd_accsryclr!$A$2:$A$1000,"",0)</f>
        <v/>
      </c>
    </row>
    <row r="1359" spans="1:12" hidden="1" x14ac:dyDescent="0.25">
      <c r="A1359" s="16" t="s">
        <v>25</v>
      </c>
      <c r="B1359" s="16" t="s">
        <v>689</v>
      </c>
      <c r="C1359" s="16" t="s">
        <v>390</v>
      </c>
      <c r="D1359" s="16" t="s">
        <v>391</v>
      </c>
      <c r="E1359" s="16">
        <v>26.84</v>
      </c>
      <c r="F1359" s="16" t="s">
        <v>369</v>
      </c>
      <c r="G1359" s="16"/>
      <c r="H1359" s="16" t="s">
        <v>792</v>
      </c>
      <c r="I1359" s="16"/>
      <c r="J1359" s="16" t="str">
        <f>IF(ISNUMBER(SEARCH("SCRW", H1359)), _xlfn.XLOOKUP(C1359,dd_item!$A$2:$A$147,dd_item!$B$2:$B$147,"",0),_xlfn.XLOOKUP(H1359,dd_item!$A$2:$A$147,dd_item!$B$2:$B$147,"",0))</f>
        <v>Atlas Screw (S) 10 x 2-1/2" (Flat)</v>
      </c>
      <c r="K1359" s="16" t="str">
        <f>_xlfn.XLOOKUP(A1359,dd_design_raw!$C$2:$C$1002,dd_design_raw!$A$2:$A$1002,"",0)</f>
        <v>Fix Slide Slide Fix Door</v>
      </c>
      <c r="L1359" s="16" t="str">
        <f>_xlfn.XLOOKUP(I1359,dd_accsryclr!$A$2:$A$1000,dd_accsryclr!$A$2:$A$1000,"",0)</f>
        <v/>
      </c>
    </row>
    <row r="1360" spans="1:12" hidden="1" x14ac:dyDescent="0.25">
      <c r="A1360" s="16" t="s">
        <v>25</v>
      </c>
      <c r="B1360" s="16" t="s">
        <v>689</v>
      </c>
      <c r="C1360" s="16" t="s">
        <v>392</v>
      </c>
      <c r="D1360" s="16" t="s">
        <v>393</v>
      </c>
      <c r="E1360" s="16">
        <v>3</v>
      </c>
      <c r="F1360" s="16" t="s">
        <v>369</v>
      </c>
      <c r="G1360" s="16"/>
      <c r="H1360" s="16" t="s">
        <v>394</v>
      </c>
      <c r="I1360" s="16" t="s">
        <v>223</v>
      </c>
      <c r="J1360" s="16" t="str">
        <f>IF(ISNUMBER(SEARCH("SCRW", H1360)), _xlfn.XLOOKUP(C1360,dd_item!$A$2:$A$147,dd_item!$B$2:$B$147,"",0),_xlfn.XLOOKUP(H1360,dd_item!$A$2:$A$147,dd_item!$B$2:$B$147,"",0))</f>
        <v>Drainage Cover</v>
      </c>
      <c r="K1360" s="16" t="str">
        <f>_xlfn.XLOOKUP(A1360,dd_design_raw!$C$2:$C$1002,dd_design_raw!$A$2:$A$1002,"",0)</f>
        <v>Fix Slide Slide Fix Door</v>
      </c>
      <c r="L1360" s="16" t="str">
        <f>_xlfn.XLOOKUP(I1360,dd_accsryclr!$A$2:$A$1000,dd_accsryclr!$A$2:$A$1000,"",0)</f>
        <v>BLK</v>
      </c>
    </row>
    <row r="1361" spans="1:12" hidden="1" x14ac:dyDescent="0.25">
      <c r="A1361" s="16" t="s">
        <v>25</v>
      </c>
      <c r="B1361" s="16" t="s">
        <v>689</v>
      </c>
      <c r="C1361" s="16" t="s">
        <v>395</v>
      </c>
      <c r="D1361" s="16" t="s">
        <v>396</v>
      </c>
      <c r="E1361" s="16">
        <v>3</v>
      </c>
      <c r="F1361" s="16" t="s">
        <v>369</v>
      </c>
      <c r="G1361" s="16"/>
      <c r="H1361" s="16" t="s">
        <v>394</v>
      </c>
      <c r="I1361" s="16" t="s">
        <v>220</v>
      </c>
      <c r="J1361" s="16" t="str">
        <f>IF(ISNUMBER(SEARCH("SCRW", H1361)), _xlfn.XLOOKUP(C1361,dd_item!$A$2:$A$147,dd_item!$B$2:$B$147,"",0),_xlfn.XLOOKUP(H1361,dd_item!$A$2:$A$147,dd_item!$B$2:$B$147,"",0))</f>
        <v>Drainage Cover</v>
      </c>
      <c r="K1361" s="16" t="str">
        <f>_xlfn.XLOOKUP(A1361,dd_design_raw!$C$2:$C$1002,dd_design_raw!$A$2:$A$1002,"",0)</f>
        <v>Fix Slide Slide Fix Door</v>
      </c>
      <c r="L1361" s="16" t="str">
        <f>_xlfn.XLOOKUP(I1361,dd_accsryclr!$A$2:$A$1000,dd_accsryclr!$A$2:$A$1000,"",0)</f>
        <v>WHT</v>
      </c>
    </row>
    <row r="1362" spans="1:12" hidden="1" x14ac:dyDescent="0.25">
      <c r="A1362" s="16" t="s">
        <v>25</v>
      </c>
      <c r="B1362" s="16" t="s">
        <v>689</v>
      </c>
      <c r="C1362" s="16" t="s">
        <v>397</v>
      </c>
      <c r="D1362" s="16" t="s">
        <v>398</v>
      </c>
      <c r="E1362" s="16">
        <v>0.53679999999999994</v>
      </c>
      <c r="F1362" s="16" t="s">
        <v>369</v>
      </c>
      <c r="G1362" s="16"/>
      <c r="H1362" s="16" t="s">
        <v>399</v>
      </c>
      <c r="I1362" s="16" t="s">
        <v>400</v>
      </c>
      <c r="J1362" s="16" t="str">
        <f>IF(ISNUMBER(SEARCH("SCRW", H1362)), _xlfn.XLOOKUP(C1362,dd_item!$A$2:$A$147,dd_item!$B$2:$B$147,"",0),_xlfn.XLOOKUP(H1362,dd_item!$A$2:$A$147,dd_item!$B$2:$B$147,"",0))</f>
        <v>Tox6</v>
      </c>
      <c r="K1362" s="16" t="str">
        <f>_xlfn.XLOOKUP(A1362,dd_design_raw!$C$2:$C$1002,dd_design_raw!$A$2:$A$1002,"",0)</f>
        <v>Fix Slide Slide Fix Door</v>
      </c>
      <c r="L1362" s="16" t="str">
        <f>_xlfn.XLOOKUP(I1362,dd_accsryclr!$A$2:$A$1000,dd_accsryclr!$A$2:$A$1000,"",0)</f>
        <v/>
      </c>
    </row>
    <row r="1363" spans="1:12" hidden="1" x14ac:dyDescent="0.25">
      <c r="A1363" s="16" t="s">
        <v>25</v>
      </c>
      <c r="B1363" s="16" t="s">
        <v>689</v>
      </c>
      <c r="C1363" s="16" t="s">
        <v>401</v>
      </c>
      <c r="D1363" s="16" t="s">
        <v>402</v>
      </c>
      <c r="E1363" s="16">
        <v>18.84</v>
      </c>
      <c r="F1363" s="16" t="s">
        <v>369</v>
      </c>
      <c r="G1363" s="16"/>
      <c r="H1363" s="16" t="s">
        <v>403</v>
      </c>
      <c r="I1363" s="16" t="s">
        <v>223</v>
      </c>
      <c r="J1363" s="16" t="str">
        <f>IF(ISNUMBER(SEARCH("SCRW", H1363)), _xlfn.XLOOKUP(C1363,dd_item!$A$2:$A$147,dd_item!$B$2:$B$147,"",0),_xlfn.XLOOKUP(H1363,dd_item!$A$2:$A$147,dd_item!$B$2:$B$147,"",0))</f>
        <v>Cover Cap</v>
      </c>
      <c r="K1363" s="16" t="str">
        <f>_xlfn.XLOOKUP(A1363,dd_design_raw!$C$2:$C$1002,dd_design_raw!$A$2:$A$1002,"",0)</f>
        <v>Fix Slide Slide Fix Door</v>
      </c>
      <c r="L1363" s="16" t="str">
        <f>_xlfn.XLOOKUP(I1363,dd_accsryclr!$A$2:$A$1000,dd_accsryclr!$A$2:$A$1000,"",0)</f>
        <v>BLK</v>
      </c>
    </row>
    <row r="1364" spans="1:12" hidden="1" x14ac:dyDescent="0.25">
      <c r="A1364" s="16" t="s">
        <v>25</v>
      </c>
      <c r="B1364" s="16" t="s">
        <v>689</v>
      </c>
      <c r="C1364" s="16" t="s">
        <v>404</v>
      </c>
      <c r="D1364" s="16" t="s">
        <v>405</v>
      </c>
      <c r="E1364" s="16">
        <v>18.84</v>
      </c>
      <c r="F1364" s="16" t="s">
        <v>369</v>
      </c>
      <c r="G1364" s="16"/>
      <c r="H1364" s="16" t="s">
        <v>403</v>
      </c>
      <c r="I1364" s="16" t="s">
        <v>220</v>
      </c>
      <c r="J1364" s="16" t="str">
        <f>IF(ISNUMBER(SEARCH("SCRW", H1364)), _xlfn.XLOOKUP(C1364,dd_item!$A$2:$A$147,dd_item!$B$2:$B$147,"",0),_xlfn.XLOOKUP(H1364,dd_item!$A$2:$A$147,dd_item!$B$2:$B$147,"",0))</f>
        <v>Cover Cap</v>
      </c>
      <c r="K1364" s="16" t="str">
        <f>_xlfn.XLOOKUP(A1364,dd_design_raw!$C$2:$C$1002,dd_design_raw!$A$2:$A$1002,"",0)</f>
        <v>Fix Slide Slide Fix Door</v>
      </c>
      <c r="L1364" s="16" t="str">
        <f>_xlfn.XLOOKUP(I1364,dd_accsryclr!$A$2:$A$1000,dd_accsryclr!$A$2:$A$1000,"",0)</f>
        <v>WHT</v>
      </c>
    </row>
    <row r="1365" spans="1:12" hidden="1" x14ac:dyDescent="0.25">
      <c r="A1365" s="16" t="s">
        <v>25</v>
      </c>
      <c r="B1365" s="16" t="s">
        <v>689</v>
      </c>
      <c r="C1365" s="16" t="s">
        <v>406</v>
      </c>
      <c r="D1365" s="16" t="s">
        <v>407</v>
      </c>
      <c r="E1365" s="16">
        <v>2</v>
      </c>
      <c r="F1365" s="16" t="s">
        <v>369</v>
      </c>
      <c r="G1365" s="16"/>
      <c r="H1365" s="16" t="s">
        <v>408</v>
      </c>
      <c r="I1365" s="16" t="s">
        <v>223</v>
      </c>
      <c r="J1365" s="16" t="str">
        <f>IF(ISNUMBER(SEARCH("SCRW", H1365)), _xlfn.XLOOKUP(C1365,dd_item!$A$2:$A$147,dd_item!$B$2:$B$147,"",0),_xlfn.XLOOKUP(H1365,dd_item!$A$2:$A$147,dd_item!$B$2:$B$147,"",0))</f>
        <v>SD Kit Buffer Stopper</v>
      </c>
      <c r="K1365" s="16" t="str">
        <f>_xlfn.XLOOKUP(A1365,dd_design_raw!$C$2:$C$1002,dd_design_raw!$A$2:$A$1002,"",0)</f>
        <v>Fix Slide Slide Fix Door</v>
      </c>
      <c r="L1365" s="16" t="str">
        <f>_xlfn.XLOOKUP(I1365,dd_accsryclr!$A$2:$A$1000,dd_accsryclr!$A$2:$A$1000,"",0)</f>
        <v>BLK</v>
      </c>
    </row>
    <row r="1366" spans="1:12" hidden="1" x14ac:dyDescent="0.25">
      <c r="A1366" s="16" t="s">
        <v>25</v>
      </c>
      <c r="B1366" s="16" t="s">
        <v>689</v>
      </c>
      <c r="C1366" s="16" t="s">
        <v>410</v>
      </c>
      <c r="D1366" s="16" t="s">
        <v>411</v>
      </c>
      <c r="E1366" s="16">
        <v>2</v>
      </c>
      <c r="F1366" s="16" t="s">
        <v>369</v>
      </c>
      <c r="G1366" s="16"/>
      <c r="H1366" s="16" t="s">
        <v>408</v>
      </c>
      <c r="I1366" s="16" t="s">
        <v>220</v>
      </c>
      <c r="J1366" s="16" t="str">
        <f>IF(ISNUMBER(SEARCH("SCRW", H1366)), _xlfn.XLOOKUP(C1366,dd_item!$A$2:$A$147,dd_item!$B$2:$B$147,"",0),_xlfn.XLOOKUP(H1366,dd_item!$A$2:$A$147,dd_item!$B$2:$B$147,"",0))</f>
        <v>SD Kit Buffer Stopper</v>
      </c>
      <c r="K1366" s="16" t="str">
        <f>_xlfn.XLOOKUP(A1366,dd_design_raw!$C$2:$C$1002,dd_design_raw!$A$2:$A$1002,"",0)</f>
        <v>Fix Slide Slide Fix Door</v>
      </c>
      <c r="L1366" s="16" t="str">
        <f>_xlfn.XLOOKUP(I1366,dd_accsryclr!$A$2:$A$1000,dd_accsryclr!$A$2:$A$1000,"",0)</f>
        <v>WHT</v>
      </c>
    </row>
    <row r="1367" spans="1:12" hidden="1" x14ac:dyDescent="0.25">
      <c r="A1367" s="16" t="s">
        <v>25</v>
      </c>
      <c r="B1367" s="16" t="s">
        <v>689</v>
      </c>
      <c r="C1367" s="16" t="s">
        <v>412</v>
      </c>
      <c r="D1367" s="16" t="s">
        <v>413</v>
      </c>
      <c r="E1367" s="16">
        <v>2</v>
      </c>
      <c r="F1367" s="16" t="s">
        <v>369</v>
      </c>
      <c r="G1367" s="16"/>
      <c r="H1367" s="16" t="s">
        <v>793</v>
      </c>
      <c r="I1367" s="16"/>
      <c r="J1367" s="16" t="str">
        <f>IF(ISNUMBER(SEARCH("SCRW", H1367)), _xlfn.XLOOKUP(C1367,dd_item!$A$2:$A$147,dd_item!$B$2:$B$147,"",0),_xlfn.XLOOKUP(H1367,dd_item!$A$2:$A$147,dd_item!$B$2:$B$147,"",0))</f>
        <v>Atlas Screw (S) 8 x 1-1/4" (Flat)</v>
      </c>
      <c r="K1367" s="16" t="str">
        <f>_xlfn.XLOOKUP(A1367,dd_design_raw!$C$2:$C$1002,dd_design_raw!$A$2:$A$1002,"",0)</f>
        <v>Fix Slide Slide Fix Door</v>
      </c>
      <c r="L1367" s="16" t="str">
        <f>_xlfn.XLOOKUP(I1367,dd_accsryclr!$A$2:$A$1000,dd_accsryclr!$A$2:$A$1000,"",0)</f>
        <v/>
      </c>
    </row>
    <row r="1368" spans="1:12" hidden="1" x14ac:dyDescent="0.25">
      <c r="A1368" s="16" t="s">
        <v>25</v>
      </c>
      <c r="B1368" s="16" t="s">
        <v>689</v>
      </c>
      <c r="C1368" s="16" t="s">
        <v>414</v>
      </c>
      <c r="D1368" s="16" t="s">
        <v>415</v>
      </c>
      <c r="E1368" s="16">
        <v>6.28</v>
      </c>
      <c r="F1368" s="16" t="s">
        <v>369</v>
      </c>
      <c r="G1368" s="16"/>
      <c r="H1368" s="16" t="s">
        <v>416</v>
      </c>
      <c r="I1368" s="16" t="s">
        <v>223</v>
      </c>
      <c r="J1368" s="16" t="str">
        <f>IF(ISNUMBER(SEARCH("SCRW", H1368)), _xlfn.XLOOKUP(C1368,dd_item!$A$2:$A$147,dd_item!$B$2:$B$147,"",0),_xlfn.XLOOKUP(H1368,dd_item!$A$2:$A$147,dd_item!$B$2:$B$147,"",0))</f>
        <v>Sealant</v>
      </c>
      <c r="K1368" s="16" t="str">
        <f>_xlfn.XLOOKUP(A1368,dd_design_raw!$C$2:$C$1002,dd_design_raw!$A$2:$A$1002,"",0)</f>
        <v>Fix Slide Slide Fix Door</v>
      </c>
      <c r="L1368" s="16" t="str">
        <f>_xlfn.XLOOKUP(I1368,dd_accsryclr!$A$2:$A$1000,dd_accsryclr!$A$2:$A$1000,"",0)</f>
        <v>BLK</v>
      </c>
    </row>
    <row r="1369" spans="1:12" hidden="1" x14ac:dyDescent="0.25">
      <c r="A1369" s="16" t="s">
        <v>25</v>
      </c>
      <c r="B1369" s="16" t="s">
        <v>689</v>
      </c>
      <c r="C1369" s="16" t="s">
        <v>417</v>
      </c>
      <c r="D1369" s="16" t="s">
        <v>418</v>
      </c>
      <c r="E1369" s="16">
        <v>6.28</v>
      </c>
      <c r="F1369" s="16" t="s">
        <v>369</v>
      </c>
      <c r="G1369" s="16"/>
      <c r="H1369" s="16" t="s">
        <v>416</v>
      </c>
      <c r="I1369" s="16" t="s">
        <v>230</v>
      </c>
      <c r="J1369" s="16" t="str">
        <f>IF(ISNUMBER(SEARCH("SCRW", H1369)), _xlfn.XLOOKUP(C1369,dd_item!$A$2:$A$147,dd_item!$B$2:$B$147,"",0),_xlfn.XLOOKUP(H1369,dd_item!$A$2:$A$147,dd_item!$B$2:$B$147,"",0))</f>
        <v>Sealant</v>
      </c>
      <c r="K1369" s="16" t="str">
        <f>_xlfn.XLOOKUP(A1369,dd_design_raw!$C$2:$C$1002,dd_design_raw!$A$2:$A$1002,"",0)</f>
        <v>Fix Slide Slide Fix Door</v>
      </c>
      <c r="L1369" s="16" t="str">
        <f>_xlfn.XLOOKUP(I1369,dd_accsryclr!$A$2:$A$1000,dd_accsryclr!$A$2:$A$1000,"",0)</f>
        <v>BRWN</v>
      </c>
    </row>
    <row r="1370" spans="1:12" hidden="1" x14ac:dyDescent="0.25">
      <c r="A1370" s="16" t="s">
        <v>25</v>
      </c>
      <c r="B1370" s="16" t="s">
        <v>689</v>
      </c>
      <c r="C1370" s="16" t="s">
        <v>419</v>
      </c>
      <c r="D1370" s="16" t="s">
        <v>420</v>
      </c>
      <c r="E1370" s="16">
        <v>6.28</v>
      </c>
      <c r="F1370" s="16" t="s">
        <v>369</v>
      </c>
      <c r="G1370" s="16"/>
      <c r="H1370" s="16" t="s">
        <v>416</v>
      </c>
      <c r="I1370" s="16" t="s">
        <v>220</v>
      </c>
      <c r="J1370" s="16" t="str">
        <f>IF(ISNUMBER(SEARCH("SCRW", H1370)), _xlfn.XLOOKUP(C1370,dd_item!$A$2:$A$147,dd_item!$B$2:$B$147,"",0),_xlfn.XLOOKUP(H1370,dd_item!$A$2:$A$147,dd_item!$B$2:$B$147,"",0))</f>
        <v>Sealant</v>
      </c>
      <c r="K1370" s="16" t="str">
        <f>_xlfn.XLOOKUP(A1370,dd_design_raw!$C$2:$C$1002,dd_design_raw!$A$2:$A$1002,"",0)</f>
        <v>Fix Slide Slide Fix Door</v>
      </c>
      <c r="L1370" s="16" t="str">
        <f>_xlfn.XLOOKUP(I1370,dd_accsryclr!$A$2:$A$1000,dd_accsryclr!$A$2:$A$1000,"",0)</f>
        <v>WHT</v>
      </c>
    </row>
    <row r="1371" spans="1:12" hidden="1" x14ac:dyDescent="0.25">
      <c r="A1371" s="16" t="s">
        <v>25</v>
      </c>
      <c r="B1371" s="16" t="s">
        <v>689</v>
      </c>
      <c r="C1371" s="16" t="s">
        <v>421</v>
      </c>
      <c r="D1371" s="16" t="s">
        <v>422</v>
      </c>
      <c r="E1371" s="16"/>
      <c r="F1371" s="16" t="s">
        <v>369</v>
      </c>
      <c r="G1371" s="16"/>
      <c r="H1371" s="16" t="s">
        <v>416</v>
      </c>
      <c r="I1371" s="16" t="s">
        <v>423</v>
      </c>
      <c r="J1371" s="16" t="str">
        <f>IF(ISNUMBER(SEARCH("SCRW", H1371)), _xlfn.XLOOKUP(C1371,dd_item!$A$2:$A$147,dd_item!$B$2:$B$147,"",0),_xlfn.XLOOKUP(H1371,dd_item!$A$2:$A$147,dd_item!$B$2:$B$147,"",0))</f>
        <v>Sealant</v>
      </c>
      <c r="K1371" s="16" t="str">
        <f>_xlfn.XLOOKUP(A1371,dd_design_raw!$C$2:$C$1002,dd_design_raw!$A$2:$A$1002,"",0)</f>
        <v>Fix Slide Slide Fix Door</v>
      </c>
      <c r="L1371" s="16" t="str">
        <f>_xlfn.XLOOKUP(I1371,dd_accsryclr!$A$2:$A$1000,dd_accsryclr!$A$2:$A$1000,"",0)</f>
        <v/>
      </c>
    </row>
    <row r="1372" spans="1:12" hidden="1" x14ac:dyDescent="0.25">
      <c r="A1372" s="16" t="s">
        <v>25</v>
      </c>
      <c r="B1372" s="16" t="s">
        <v>689</v>
      </c>
      <c r="C1372" s="16" t="s">
        <v>424</v>
      </c>
      <c r="D1372" s="16" t="s">
        <v>425</v>
      </c>
      <c r="E1372" s="16">
        <v>12</v>
      </c>
      <c r="F1372" s="16" t="s">
        <v>369</v>
      </c>
      <c r="G1372" s="16"/>
      <c r="H1372" s="16" t="s">
        <v>794</v>
      </c>
      <c r="I1372" s="16"/>
      <c r="J1372" s="16" t="str">
        <f>IF(ISNUMBER(SEARCH("SCRW", H1372)), _xlfn.XLOOKUP(C1372,dd_item!$A$2:$A$147,dd_item!$B$2:$B$147,"",0),_xlfn.XLOOKUP(H1372,dd_item!$A$2:$A$147,dd_item!$B$2:$B$147,"",0))</f>
        <v>Atlas Screw (S) 6 x 3/4" (FLAT)</v>
      </c>
      <c r="K1372" s="16" t="str">
        <f>_xlfn.XLOOKUP(A1372,dd_design_raw!$C$2:$C$1002,dd_design_raw!$A$2:$A$1002,"",0)</f>
        <v>Fix Slide Slide Fix Door</v>
      </c>
      <c r="L1372" s="16" t="str">
        <f>_xlfn.XLOOKUP(I1372,dd_accsryclr!$A$2:$A$1000,dd_accsryclr!$A$2:$A$1000,"",0)</f>
        <v/>
      </c>
    </row>
    <row r="1373" spans="1:12" hidden="1" x14ac:dyDescent="0.25">
      <c r="A1373" s="16" t="s">
        <v>25</v>
      </c>
      <c r="B1373" s="16" t="s">
        <v>689</v>
      </c>
      <c r="C1373" s="16" t="s">
        <v>265</v>
      </c>
      <c r="D1373" s="16" t="s">
        <v>266</v>
      </c>
      <c r="E1373" s="16"/>
      <c r="F1373" s="16" t="s">
        <v>194</v>
      </c>
      <c r="G1373" s="16" t="s">
        <v>469</v>
      </c>
      <c r="H1373" s="16" t="s">
        <v>820</v>
      </c>
      <c r="I1373" s="16"/>
      <c r="J1373" s="16" t="str">
        <f>IF(ISNUMBER(SEARCH("SCRW", H1373)), _xlfn.XLOOKUP(C1373,dd_item!$A$2:$A$147,dd_item!$B$2:$B$147,"",0),_xlfn.XLOOKUP(H1373,dd_item!$A$2:$A$147,dd_item!$B$2:$B$147,"",0))</f>
        <v>Steel-Frame90</v>
      </c>
      <c r="K1373" s="16" t="str">
        <f>_xlfn.XLOOKUP(A1373,dd_design_raw!$C$2:$C$1002,dd_design_raw!$A$2:$A$1002,"",0)</f>
        <v>Fix Slide Slide Fix Door</v>
      </c>
      <c r="L1373" s="16" t="str">
        <f>_xlfn.XLOOKUP(I1373,dd_accsryclr!$A$2:$A$1000,dd_accsryclr!$A$2:$A$1000,"",0)</f>
        <v/>
      </c>
    </row>
    <row r="1374" spans="1:12" hidden="1" x14ac:dyDescent="0.25">
      <c r="A1374" s="16" t="s">
        <v>25</v>
      </c>
      <c r="B1374" s="16" t="s">
        <v>689</v>
      </c>
      <c r="C1374" s="16" t="s">
        <v>431</v>
      </c>
      <c r="D1374" s="16" t="s">
        <v>432</v>
      </c>
      <c r="E1374" s="16"/>
      <c r="F1374" s="16" t="s">
        <v>194</v>
      </c>
      <c r="G1374" s="16"/>
      <c r="H1374" s="16" t="s">
        <v>430</v>
      </c>
      <c r="I1374" s="16" t="s">
        <v>211</v>
      </c>
      <c r="J1374" s="16" t="str">
        <f>IF(ISNUMBER(SEARCH("SCRW", H1374)), _xlfn.XLOOKUP(C1374,dd_item!$A$2:$A$147,dd_item!$B$2:$B$147,"",0),_xlfn.XLOOKUP(H1374,dd_item!$A$2:$A$147,dd_item!$B$2:$B$147,"",0))</f>
        <v>Inline Adapter 50</v>
      </c>
      <c r="K1374" s="16" t="str">
        <f>_xlfn.XLOOKUP(A1374,dd_design_raw!$C$2:$C$1002,dd_design_raw!$A$2:$A$1002,"",0)</f>
        <v>Fix Slide Slide Fix Door</v>
      </c>
      <c r="L1374" s="16" t="str">
        <f>_xlfn.XLOOKUP(I1374,dd_accsryclr!$A$2:$A$1000,dd_accsryclr!$A$2:$A$1000,"",0)</f>
        <v/>
      </c>
    </row>
    <row r="1375" spans="1:12" hidden="1" x14ac:dyDescent="0.25">
      <c r="A1375" s="16" t="s">
        <v>25</v>
      </c>
      <c r="B1375" s="16" t="s">
        <v>689</v>
      </c>
      <c r="C1375" s="16" t="s">
        <v>433</v>
      </c>
      <c r="D1375" s="16" t="s">
        <v>434</v>
      </c>
      <c r="E1375" s="16"/>
      <c r="F1375" s="16" t="s">
        <v>194</v>
      </c>
      <c r="G1375" s="16"/>
      <c r="H1375" s="16" t="s">
        <v>430</v>
      </c>
      <c r="I1375" s="16" t="s">
        <v>214</v>
      </c>
      <c r="J1375" s="16" t="str">
        <f>IF(ISNUMBER(SEARCH("SCRW", H1375)), _xlfn.XLOOKUP(C1375,dd_item!$A$2:$A$147,dd_item!$B$2:$B$147,"",0),_xlfn.XLOOKUP(H1375,dd_item!$A$2:$A$147,dd_item!$B$2:$B$147,"",0))</f>
        <v>Inline Adapter 50</v>
      </c>
      <c r="K1375" s="16" t="str">
        <f>_xlfn.XLOOKUP(A1375,dd_design_raw!$C$2:$C$1002,dd_design_raw!$A$2:$A$1002,"",0)</f>
        <v>Fix Slide Slide Fix Door</v>
      </c>
      <c r="L1375" s="16" t="str">
        <f>_xlfn.XLOOKUP(I1375,dd_accsryclr!$A$2:$A$1000,dd_accsryclr!$A$2:$A$1000,"",0)</f>
        <v/>
      </c>
    </row>
    <row r="1376" spans="1:12" hidden="1" x14ac:dyDescent="0.25">
      <c r="A1376" s="16" t="s">
        <v>25</v>
      </c>
      <c r="B1376" s="16" t="s">
        <v>689</v>
      </c>
      <c r="C1376" s="16" t="s">
        <v>435</v>
      </c>
      <c r="D1376" s="16" t="s">
        <v>436</v>
      </c>
      <c r="E1376" s="16"/>
      <c r="F1376" s="16" t="s">
        <v>194</v>
      </c>
      <c r="G1376" s="16"/>
      <c r="H1376" s="16" t="s">
        <v>430</v>
      </c>
      <c r="I1376" s="16" t="s">
        <v>217</v>
      </c>
      <c r="J1376" s="16" t="str">
        <f>IF(ISNUMBER(SEARCH("SCRW", H1376)), _xlfn.XLOOKUP(C1376,dd_item!$A$2:$A$147,dd_item!$B$2:$B$147,"",0),_xlfn.XLOOKUP(H1376,dd_item!$A$2:$A$147,dd_item!$B$2:$B$147,"",0))</f>
        <v>Inline Adapter 50</v>
      </c>
      <c r="K1376" s="16" t="str">
        <f>_xlfn.XLOOKUP(A1376,dd_design_raw!$C$2:$C$1002,dd_design_raw!$A$2:$A$1002,"",0)</f>
        <v>Fix Slide Slide Fix Door</v>
      </c>
      <c r="L1376" s="16" t="str">
        <f>_xlfn.XLOOKUP(I1376,dd_accsryclr!$A$2:$A$1000,dd_accsryclr!$A$2:$A$1000,"",0)</f>
        <v/>
      </c>
    </row>
    <row r="1377" spans="1:12" hidden="1" x14ac:dyDescent="0.25">
      <c r="A1377" s="16" t="s">
        <v>25</v>
      </c>
      <c r="B1377" s="16" t="s">
        <v>689</v>
      </c>
      <c r="C1377" s="16" t="s">
        <v>437</v>
      </c>
      <c r="D1377" s="16" t="s">
        <v>438</v>
      </c>
      <c r="E1377" s="16"/>
      <c r="F1377" s="16" t="s">
        <v>194</v>
      </c>
      <c r="G1377" s="16"/>
      <c r="H1377" s="16" t="s">
        <v>430</v>
      </c>
      <c r="I1377" s="16" t="s">
        <v>226</v>
      </c>
      <c r="J1377" s="16" t="str">
        <f>IF(ISNUMBER(SEARCH("SCRW", H1377)), _xlfn.XLOOKUP(C1377,dd_item!$A$2:$A$147,dd_item!$B$2:$B$147,"",0),_xlfn.XLOOKUP(H1377,dd_item!$A$2:$A$147,dd_item!$B$2:$B$147,"",0))</f>
        <v>Inline Adapter 50</v>
      </c>
      <c r="K1377" s="16" t="str">
        <f>_xlfn.XLOOKUP(A1377,dd_design_raw!$C$2:$C$1002,dd_design_raw!$A$2:$A$1002,"",0)</f>
        <v>Fix Slide Slide Fix Door</v>
      </c>
      <c r="L1377" s="16" t="str">
        <f>_xlfn.XLOOKUP(I1377,dd_accsryclr!$A$2:$A$1000,dd_accsryclr!$A$2:$A$1000,"",0)</f>
        <v/>
      </c>
    </row>
    <row r="1378" spans="1:12" hidden="1" x14ac:dyDescent="0.25">
      <c r="A1378" s="16" t="s">
        <v>25</v>
      </c>
      <c r="B1378" s="16" t="s">
        <v>689</v>
      </c>
      <c r="C1378" s="16" t="s">
        <v>439</v>
      </c>
      <c r="D1378" s="16" t="s">
        <v>440</v>
      </c>
      <c r="E1378" s="16"/>
      <c r="F1378" s="16" t="s">
        <v>194</v>
      </c>
      <c r="G1378" s="16"/>
      <c r="H1378" s="16" t="s">
        <v>430</v>
      </c>
      <c r="I1378" s="16" t="s">
        <v>220</v>
      </c>
      <c r="J1378" s="16" t="str">
        <f>IF(ISNUMBER(SEARCH("SCRW", H1378)), _xlfn.XLOOKUP(C1378,dd_item!$A$2:$A$147,dd_item!$B$2:$B$147,"",0),_xlfn.XLOOKUP(H1378,dd_item!$A$2:$A$147,dd_item!$B$2:$B$147,"",0))</f>
        <v>Inline Adapter 50</v>
      </c>
      <c r="K1378" s="16" t="str">
        <f>_xlfn.XLOOKUP(A1378,dd_design_raw!$C$2:$C$1002,dd_design_raw!$A$2:$A$1002,"",0)</f>
        <v>Fix Slide Slide Fix Door</v>
      </c>
      <c r="L1378" s="16" t="str">
        <f>_xlfn.XLOOKUP(I1378,dd_accsryclr!$A$2:$A$1000,dd_accsryclr!$A$2:$A$1000,"",0)</f>
        <v>WHT</v>
      </c>
    </row>
    <row r="1379" spans="1:12" hidden="1" x14ac:dyDescent="0.25">
      <c r="A1379" s="16" t="s">
        <v>25</v>
      </c>
      <c r="B1379" s="16" t="s">
        <v>689</v>
      </c>
      <c r="C1379" s="16" t="s">
        <v>345</v>
      </c>
      <c r="D1379" s="16" t="s">
        <v>346</v>
      </c>
      <c r="E1379" s="16"/>
      <c r="F1379" s="16" t="s">
        <v>194</v>
      </c>
      <c r="G1379" s="16"/>
      <c r="H1379" s="16" t="s">
        <v>430</v>
      </c>
      <c r="I1379" s="16" t="s">
        <v>223</v>
      </c>
      <c r="J1379" s="16" t="str">
        <f>IF(ISNUMBER(SEARCH("SCRW", H1379)), _xlfn.XLOOKUP(C1379,dd_item!$A$2:$A$147,dd_item!$B$2:$B$147,"",0),_xlfn.XLOOKUP(H1379,dd_item!$A$2:$A$147,dd_item!$B$2:$B$147,"",0))</f>
        <v>Inline Adapter 50</v>
      </c>
      <c r="K1379" s="16" t="str">
        <f>_xlfn.XLOOKUP(A1379,dd_design_raw!$C$2:$C$1002,dd_design_raw!$A$2:$A$1002,"",0)</f>
        <v>Fix Slide Slide Fix Door</v>
      </c>
      <c r="L1379" s="16" t="str">
        <f>_xlfn.XLOOKUP(I1379,dd_accsryclr!$A$2:$A$1000,dd_accsryclr!$A$2:$A$1000,"",0)</f>
        <v>BLK</v>
      </c>
    </row>
    <row r="1380" spans="1:12" hidden="1" x14ac:dyDescent="0.25">
      <c r="A1380" s="16" t="s">
        <v>25</v>
      </c>
      <c r="B1380" s="16" t="s">
        <v>689</v>
      </c>
      <c r="C1380" s="16" t="s">
        <v>347</v>
      </c>
      <c r="D1380" s="16" t="s">
        <v>348</v>
      </c>
      <c r="E1380" s="16"/>
      <c r="F1380" s="16" t="s">
        <v>194</v>
      </c>
      <c r="G1380" s="16"/>
      <c r="H1380" s="16" t="s">
        <v>430</v>
      </c>
      <c r="I1380" s="16" t="s">
        <v>230</v>
      </c>
      <c r="J1380" s="16" t="str">
        <f>IF(ISNUMBER(SEARCH("SCRW", H1380)), _xlfn.XLOOKUP(C1380,dd_item!$A$2:$A$147,dd_item!$B$2:$B$147,"",0),_xlfn.XLOOKUP(H1380,dd_item!$A$2:$A$147,dd_item!$B$2:$B$147,"",0))</f>
        <v>Inline Adapter 50</v>
      </c>
      <c r="K1380" s="16" t="str">
        <f>_xlfn.XLOOKUP(A1380,dd_design_raw!$C$2:$C$1002,dd_design_raw!$A$2:$A$1002,"",0)</f>
        <v>Fix Slide Slide Fix Door</v>
      </c>
      <c r="L1380" s="16" t="str">
        <f>_xlfn.XLOOKUP(I1380,dd_accsryclr!$A$2:$A$1000,dd_accsryclr!$A$2:$A$1000,"",0)</f>
        <v>BRWN</v>
      </c>
    </row>
    <row r="1381" spans="1:12" hidden="1" x14ac:dyDescent="0.25">
      <c r="A1381" s="16" t="s">
        <v>21</v>
      </c>
      <c r="B1381" s="16" t="s">
        <v>691</v>
      </c>
      <c r="C1381" s="16" t="s">
        <v>467</v>
      </c>
      <c r="D1381" s="16" t="s">
        <v>468</v>
      </c>
      <c r="E1381" s="16">
        <v>1.210344827586207</v>
      </c>
      <c r="F1381" s="16" t="s">
        <v>194</v>
      </c>
      <c r="G1381" s="16"/>
      <c r="H1381" s="16" t="s">
        <v>469</v>
      </c>
      <c r="I1381" s="16" t="s">
        <v>211</v>
      </c>
      <c r="J1381" s="16" t="str">
        <f>IF(ISNUMBER(SEARCH("SCRW", H1381)), _xlfn.XLOOKUP(C1381,dd_item!$A$2:$A$147,dd_item!$B$2:$B$147,"",0),_xlfn.XLOOKUP(H1381,dd_item!$A$2:$A$147,dd_item!$B$2:$B$147,"",0))</f>
        <v>Frame90</v>
      </c>
      <c r="K1381" s="16" t="str">
        <f>_xlfn.XLOOKUP(A1381,dd_design_raw!$C$2:$C$1002,dd_design_raw!$A$2:$A$1002,"",0)</f>
        <v>Slide Slide Window</v>
      </c>
      <c r="L1381" s="16" t="str">
        <f>_xlfn.XLOOKUP(I1381,dd_accsryclr!$A$2:$A$1000,dd_accsryclr!$A$2:$A$1000,"",0)</f>
        <v/>
      </c>
    </row>
    <row r="1382" spans="1:12" hidden="1" x14ac:dyDescent="0.25">
      <c r="A1382" s="16" t="s">
        <v>21</v>
      </c>
      <c r="B1382" s="16" t="s">
        <v>691</v>
      </c>
      <c r="C1382" s="16" t="s">
        <v>470</v>
      </c>
      <c r="D1382" s="16" t="s">
        <v>471</v>
      </c>
      <c r="E1382" s="16">
        <v>1.210344827586207</v>
      </c>
      <c r="F1382" s="16" t="s">
        <v>194</v>
      </c>
      <c r="G1382" s="16"/>
      <c r="H1382" s="16" t="s">
        <v>469</v>
      </c>
      <c r="I1382" s="16" t="s">
        <v>214</v>
      </c>
      <c r="J1382" s="16" t="str">
        <f>IF(ISNUMBER(SEARCH("SCRW", H1382)), _xlfn.XLOOKUP(C1382,dd_item!$A$2:$A$147,dd_item!$B$2:$B$147,"",0),_xlfn.XLOOKUP(H1382,dd_item!$A$2:$A$147,dd_item!$B$2:$B$147,"",0))</f>
        <v>Frame90</v>
      </c>
      <c r="K1382" s="16" t="str">
        <f>_xlfn.XLOOKUP(A1382,dd_design_raw!$C$2:$C$1002,dd_design_raw!$A$2:$A$1002,"",0)</f>
        <v>Slide Slide Window</v>
      </c>
      <c r="L1382" s="16" t="str">
        <f>_xlfn.XLOOKUP(I1382,dd_accsryclr!$A$2:$A$1000,dd_accsryclr!$A$2:$A$1000,"",0)</f>
        <v/>
      </c>
    </row>
    <row r="1383" spans="1:12" hidden="1" x14ac:dyDescent="0.25">
      <c r="A1383" s="16" t="s">
        <v>21</v>
      </c>
      <c r="B1383" s="16" t="s">
        <v>691</v>
      </c>
      <c r="C1383" s="16" t="s">
        <v>472</v>
      </c>
      <c r="D1383" s="16" t="s">
        <v>473</v>
      </c>
      <c r="E1383" s="16">
        <v>1.210344827586207</v>
      </c>
      <c r="F1383" s="16" t="s">
        <v>194</v>
      </c>
      <c r="G1383" s="16"/>
      <c r="H1383" s="16" t="s">
        <v>469</v>
      </c>
      <c r="I1383" s="16" t="s">
        <v>217</v>
      </c>
      <c r="J1383" s="16" t="str">
        <f>IF(ISNUMBER(SEARCH("SCRW", H1383)), _xlfn.XLOOKUP(C1383,dd_item!$A$2:$A$147,dd_item!$B$2:$B$147,"",0),_xlfn.XLOOKUP(H1383,dd_item!$A$2:$A$147,dd_item!$B$2:$B$147,"",0))</f>
        <v>Frame90</v>
      </c>
      <c r="K1383" s="16" t="str">
        <f>_xlfn.XLOOKUP(A1383,dd_design_raw!$C$2:$C$1002,dd_design_raw!$A$2:$A$1002,"",0)</f>
        <v>Slide Slide Window</v>
      </c>
      <c r="L1383" s="16" t="str">
        <f>_xlfn.XLOOKUP(I1383,dd_accsryclr!$A$2:$A$1000,dd_accsryclr!$A$2:$A$1000,"",0)</f>
        <v/>
      </c>
    </row>
    <row r="1384" spans="1:12" hidden="1" x14ac:dyDescent="0.25">
      <c r="A1384" s="16" t="s">
        <v>21</v>
      </c>
      <c r="B1384" s="16" t="s">
        <v>691</v>
      </c>
      <c r="C1384" s="16" t="s">
        <v>474</v>
      </c>
      <c r="D1384" s="16" t="s">
        <v>475</v>
      </c>
      <c r="E1384" s="16">
        <v>1.210344827586207</v>
      </c>
      <c r="F1384" s="16" t="s">
        <v>194</v>
      </c>
      <c r="G1384" s="16"/>
      <c r="H1384" s="16" t="s">
        <v>469</v>
      </c>
      <c r="I1384" s="16" t="s">
        <v>226</v>
      </c>
      <c r="J1384" s="16" t="str">
        <f>IF(ISNUMBER(SEARCH("SCRW", H1384)), _xlfn.XLOOKUP(C1384,dd_item!$A$2:$A$147,dd_item!$B$2:$B$147,"",0),_xlfn.XLOOKUP(H1384,dd_item!$A$2:$A$147,dd_item!$B$2:$B$147,"",0))</f>
        <v>Frame90</v>
      </c>
      <c r="K1384" s="16" t="str">
        <f>_xlfn.XLOOKUP(A1384,dd_design_raw!$C$2:$C$1002,dd_design_raw!$A$2:$A$1002,"",0)</f>
        <v>Slide Slide Window</v>
      </c>
      <c r="L1384" s="16" t="str">
        <f>_xlfn.XLOOKUP(I1384,dd_accsryclr!$A$2:$A$1000,dd_accsryclr!$A$2:$A$1000,"",0)</f>
        <v/>
      </c>
    </row>
    <row r="1385" spans="1:12" hidden="1" x14ac:dyDescent="0.25">
      <c r="A1385" s="16" t="s">
        <v>21</v>
      </c>
      <c r="B1385" s="16" t="s">
        <v>691</v>
      </c>
      <c r="C1385" s="16" t="s">
        <v>476</v>
      </c>
      <c r="D1385" s="16" t="s">
        <v>477</v>
      </c>
      <c r="E1385" s="16">
        <v>1.210344827586207</v>
      </c>
      <c r="F1385" s="16" t="s">
        <v>194</v>
      </c>
      <c r="G1385" s="16"/>
      <c r="H1385" s="16" t="s">
        <v>469</v>
      </c>
      <c r="I1385" s="16" t="s">
        <v>220</v>
      </c>
      <c r="J1385" s="16" t="str">
        <f>IF(ISNUMBER(SEARCH("SCRW", H1385)), _xlfn.XLOOKUP(C1385,dd_item!$A$2:$A$147,dd_item!$B$2:$B$147,"",0),_xlfn.XLOOKUP(H1385,dd_item!$A$2:$A$147,dd_item!$B$2:$B$147,"",0))</f>
        <v>Frame90</v>
      </c>
      <c r="K1385" s="16" t="str">
        <f>_xlfn.XLOOKUP(A1385,dd_design_raw!$C$2:$C$1002,dd_design_raw!$A$2:$A$1002,"",0)</f>
        <v>Slide Slide Window</v>
      </c>
      <c r="L1385" s="16" t="str">
        <f>_xlfn.XLOOKUP(I1385,dd_accsryclr!$A$2:$A$1000,dd_accsryclr!$A$2:$A$1000,"",0)</f>
        <v>WHT</v>
      </c>
    </row>
    <row r="1386" spans="1:12" hidden="1" x14ac:dyDescent="0.25">
      <c r="A1386" s="16" t="s">
        <v>21</v>
      </c>
      <c r="B1386" s="16" t="s">
        <v>691</v>
      </c>
      <c r="C1386" s="16" t="s">
        <v>478</v>
      </c>
      <c r="D1386" s="16" t="s">
        <v>479</v>
      </c>
      <c r="E1386" s="16">
        <v>1.210344827586207</v>
      </c>
      <c r="F1386" s="16" t="s">
        <v>194</v>
      </c>
      <c r="G1386" s="16"/>
      <c r="H1386" s="16" t="s">
        <v>469</v>
      </c>
      <c r="I1386" s="16" t="s">
        <v>223</v>
      </c>
      <c r="J1386" s="16" t="str">
        <f>IF(ISNUMBER(SEARCH("SCRW", H1386)), _xlfn.XLOOKUP(C1386,dd_item!$A$2:$A$147,dd_item!$B$2:$B$147,"",0),_xlfn.XLOOKUP(H1386,dd_item!$A$2:$A$147,dd_item!$B$2:$B$147,"",0))</f>
        <v>Frame90</v>
      </c>
      <c r="K1386" s="16" t="str">
        <f>_xlfn.XLOOKUP(A1386,dd_design_raw!$C$2:$C$1002,dd_design_raw!$A$2:$A$1002,"",0)</f>
        <v>Slide Slide Window</v>
      </c>
      <c r="L1386" s="16" t="str">
        <f>_xlfn.XLOOKUP(I1386,dd_accsryclr!$A$2:$A$1000,dd_accsryclr!$A$2:$A$1000,"",0)</f>
        <v>BLK</v>
      </c>
    </row>
    <row r="1387" spans="1:12" hidden="1" x14ac:dyDescent="0.25">
      <c r="A1387" s="16" t="s">
        <v>21</v>
      </c>
      <c r="B1387" s="16" t="s">
        <v>691</v>
      </c>
      <c r="C1387" s="16" t="s">
        <v>480</v>
      </c>
      <c r="D1387" s="16" t="s">
        <v>481</v>
      </c>
      <c r="E1387" s="16">
        <v>1.210344827586207</v>
      </c>
      <c r="F1387" s="16" t="s">
        <v>194</v>
      </c>
      <c r="G1387" s="16"/>
      <c r="H1387" s="16" t="s">
        <v>469</v>
      </c>
      <c r="I1387" s="16" t="s">
        <v>230</v>
      </c>
      <c r="J1387" s="16" t="str">
        <f>IF(ISNUMBER(SEARCH("SCRW", H1387)), _xlfn.XLOOKUP(C1387,dd_item!$A$2:$A$147,dd_item!$B$2:$B$147,"",0),_xlfn.XLOOKUP(H1387,dd_item!$A$2:$A$147,dd_item!$B$2:$B$147,"",0))</f>
        <v>Frame90</v>
      </c>
      <c r="K1387" s="16" t="str">
        <f>_xlfn.XLOOKUP(A1387,dd_design_raw!$C$2:$C$1002,dd_design_raw!$A$2:$A$1002,"",0)</f>
        <v>Slide Slide Window</v>
      </c>
      <c r="L1387" s="16" t="str">
        <f>_xlfn.XLOOKUP(I1387,dd_accsryclr!$A$2:$A$1000,dd_accsryclr!$A$2:$A$1000,"",0)</f>
        <v>BRWN</v>
      </c>
    </row>
    <row r="1388" spans="1:12" hidden="1" x14ac:dyDescent="0.25">
      <c r="A1388" s="16" t="s">
        <v>21</v>
      </c>
      <c r="B1388" s="16" t="s">
        <v>691</v>
      </c>
      <c r="C1388" s="16" t="s">
        <v>246</v>
      </c>
      <c r="D1388" s="16" t="s">
        <v>247</v>
      </c>
      <c r="E1388" s="16">
        <v>1.6627586206896552</v>
      </c>
      <c r="F1388" s="16" t="s">
        <v>194</v>
      </c>
      <c r="G1388" s="16"/>
      <c r="H1388" s="16" t="s">
        <v>248</v>
      </c>
      <c r="I1388" s="16" t="s">
        <v>223</v>
      </c>
      <c r="J1388" s="16" t="str">
        <f>IF(ISNUMBER(SEARCH("SCRW", H1388)), _xlfn.XLOOKUP(C1388,dd_item!$A$2:$A$147,dd_item!$B$2:$B$147,"",0),_xlfn.XLOOKUP(H1388,dd_item!$A$2:$A$147,dd_item!$B$2:$B$147,"",0))</f>
        <v>Sash66</v>
      </c>
      <c r="K1388" s="16" t="str">
        <f>_xlfn.XLOOKUP(A1388,dd_design_raw!$C$2:$C$1002,dd_design_raw!$A$2:$A$1002,"",0)</f>
        <v>Slide Slide Window</v>
      </c>
      <c r="L1388" s="16" t="str">
        <f>_xlfn.XLOOKUP(I1388,dd_accsryclr!$A$2:$A$1000,dd_accsryclr!$A$2:$A$1000,"",0)</f>
        <v>BLK</v>
      </c>
    </row>
    <row r="1389" spans="1:12" hidden="1" x14ac:dyDescent="0.25">
      <c r="A1389" s="16" t="s">
        <v>21</v>
      </c>
      <c r="B1389" s="16" t="s">
        <v>691</v>
      </c>
      <c r="C1389" s="16" t="s">
        <v>249</v>
      </c>
      <c r="D1389" s="16" t="s">
        <v>250</v>
      </c>
      <c r="E1389" s="16">
        <v>1.6627586206896552</v>
      </c>
      <c r="F1389" s="16" t="s">
        <v>194</v>
      </c>
      <c r="G1389" s="16"/>
      <c r="H1389" s="16" t="s">
        <v>248</v>
      </c>
      <c r="I1389" s="16" t="s">
        <v>211</v>
      </c>
      <c r="J1389" s="16" t="str">
        <f>IF(ISNUMBER(SEARCH("SCRW", H1389)), _xlfn.XLOOKUP(C1389,dd_item!$A$2:$A$147,dd_item!$B$2:$B$147,"",0),_xlfn.XLOOKUP(H1389,dd_item!$A$2:$A$147,dd_item!$B$2:$B$147,"",0))</f>
        <v>Sash66</v>
      </c>
      <c r="K1389" s="16" t="str">
        <f>_xlfn.XLOOKUP(A1389,dd_design_raw!$C$2:$C$1002,dd_design_raw!$A$2:$A$1002,"",0)</f>
        <v>Slide Slide Window</v>
      </c>
      <c r="L1389" s="16" t="str">
        <f>_xlfn.XLOOKUP(I1389,dd_accsryclr!$A$2:$A$1000,dd_accsryclr!$A$2:$A$1000,"",0)</f>
        <v/>
      </c>
    </row>
    <row r="1390" spans="1:12" hidden="1" x14ac:dyDescent="0.25">
      <c r="A1390" s="16" t="s">
        <v>21</v>
      </c>
      <c r="B1390" s="16" t="s">
        <v>691</v>
      </c>
      <c r="C1390" s="16" t="s">
        <v>251</v>
      </c>
      <c r="D1390" s="16" t="s">
        <v>252</v>
      </c>
      <c r="E1390" s="16">
        <v>1.6627586206896552</v>
      </c>
      <c r="F1390" s="16" t="s">
        <v>194</v>
      </c>
      <c r="G1390" s="16"/>
      <c r="H1390" s="16" t="s">
        <v>248</v>
      </c>
      <c r="I1390" s="16" t="s">
        <v>214</v>
      </c>
      <c r="J1390" s="16" t="str">
        <f>IF(ISNUMBER(SEARCH("SCRW", H1390)), _xlfn.XLOOKUP(C1390,dd_item!$A$2:$A$147,dd_item!$B$2:$B$147,"",0),_xlfn.XLOOKUP(H1390,dd_item!$A$2:$A$147,dd_item!$B$2:$B$147,"",0))</f>
        <v>Sash66</v>
      </c>
      <c r="K1390" s="16" t="str">
        <f>_xlfn.XLOOKUP(A1390,dd_design_raw!$C$2:$C$1002,dd_design_raw!$A$2:$A$1002,"",0)</f>
        <v>Slide Slide Window</v>
      </c>
      <c r="L1390" s="16" t="str">
        <f>_xlfn.XLOOKUP(I1390,dd_accsryclr!$A$2:$A$1000,dd_accsryclr!$A$2:$A$1000,"",0)</f>
        <v/>
      </c>
    </row>
    <row r="1391" spans="1:12" hidden="1" x14ac:dyDescent="0.25">
      <c r="A1391" s="16" t="s">
        <v>21</v>
      </c>
      <c r="B1391" s="16" t="s">
        <v>691</v>
      </c>
      <c r="C1391" s="16" t="s">
        <v>253</v>
      </c>
      <c r="D1391" s="16" t="s">
        <v>254</v>
      </c>
      <c r="E1391" s="16">
        <v>1.6627586206896552</v>
      </c>
      <c r="F1391" s="16" t="s">
        <v>194</v>
      </c>
      <c r="G1391" s="16"/>
      <c r="H1391" s="16" t="s">
        <v>248</v>
      </c>
      <c r="I1391" s="16" t="s">
        <v>217</v>
      </c>
      <c r="J1391" s="16" t="str">
        <f>IF(ISNUMBER(SEARCH("SCRW", H1391)), _xlfn.XLOOKUP(C1391,dd_item!$A$2:$A$147,dd_item!$B$2:$B$147,"",0),_xlfn.XLOOKUP(H1391,dd_item!$A$2:$A$147,dd_item!$B$2:$B$147,"",0))</f>
        <v>Sash66</v>
      </c>
      <c r="K1391" s="16" t="str">
        <f>_xlfn.XLOOKUP(A1391,dd_design_raw!$C$2:$C$1002,dd_design_raw!$A$2:$A$1002,"",0)</f>
        <v>Slide Slide Window</v>
      </c>
      <c r="L1391" s="16" t="str">
        <f>_xlfn.XLOOKUP(I1391,dd_accsryclr!$A$2:$A$1000,dd_accsryclr!$A$2:$A$1000,"",0)</f>
        <v/>
      </c>
    </row>
    <row r="1392" spans="1:12" hidden="1" x14ac:dyDescent="0.25">
      <c r="A1392" s="16" t="s">
        <v>21</v>
      </c>
      <c r="B1392" s="16" t="s">
        <v>691</v>
      </c>
      <c r="C1392" s="16" t="s">
        <v>255</v>
      </c>
      <c r="D1392" s="16" t="s">
        <v>256</v>
      </c>
      <c r="E1392" s="16">
        <v>1.6627586206896552</v>
      </c>
      <c r="F1392" s="16" t="s">
        <v>194</v>
      </c>
      <c r="G1392" s="16"/>
      <c r="H1392" s="16" t="s">
        <v>248</v>
      </c>
      <c r="I1392" s="16" t="s">
        <v>226</v>
      </c>
      <c r="J1392" s="16" t="str">
        <f>IF(ISNUMBER(SEARCH("SCRW", H1392)), _xlfn.XLOOKUP(C1392,dd_item!$A$2:$A$147,dd_item!$B$2:$B$147,"",0),_xlfn.XLOOKUP(H1392,dd_item!$A$2:$A$147,dd_item!$B$2:$B$147,"",0))</f>
        <v>Sash66</v>
      </c>
      <c r="K1392" s="16" t="str">
        <f>_xlfn.XLOOKUP(A1392,dd_design_raw!$C$2:$C$1002,dd_design_raw!$A$2:$A$1002,"",0)</f>
        <v>Slide Slide Window</v>
      </c>
      <c r="L1392" s="16" t="str">
        <f>_xlfn.XLOOKUP(I1392,dd_accsryclr!$A$2:$A$1000,dd_accsryclr!$A$2:$A$1000,"",0)</f>
        <v/>
      </c>
    </row>
    <row r="1393" spans="1:12" hidden="1" x14ac:dyDescent="0.25">
      <c r="A1393" s="16" t="s">
        <v>21</v>
      </c>
      <c r="B1393" s="16" t="s">
        <v>691</v>
      </c>
      <c r="C1393" s="16" t="s">
        <v>257</v>
      </c>
      <c r="D1393" s="16" t="s">
        <v>258</v>
      </c>
      <c r="E1393" s="16">
        <v>1.6627586206896552</v>
      </c>
      <c r="F1393" s="16" t="s">
        <v>194</v>
      </c>
      <c r="G1393" s="16"/>
      <c r="H1393" s="16" t="s">
        <v>248</v>
      </c>
      <c r="I1393" s="16" t="s">
        <v>220</v>
      </c>
      <c r="J1393" s="16" t="str">
        <f>IF(ISNUMBER(SEARCH("SCRW", H1393)), _xlfn.XLOOKUP(C1393,dd_item!$A$2:$A$147,dd_item!$B$2:$B$147,"",0),_xlfn.XLOOKUP(H1393,dd_item!$A$2:$A$147,dd_item!$B$2:$B$147,"",0))</f>
        <v>Sash66</v>
      </c>
      <c r="K1393" s="16" t="str">
        <f>_xlfn.XLOOKUP(A1393,dd_design_raw!$C$2:$C$1002,dd_design_raw!$A$2:$A$1002,"",0)</f>
        <v>Slide Slide Window</v>
      </c>
      <c r="L1393" s="16" t="str">
        <f>_xlfn.XLOOKUP(I1393,dd_accsryclr!$A$2:$A$1000,dd_accsryclr!$A$2:$A$1000,"",0)</f>
        <v>WHT</v>
      </c>
    </row>
    <row r="1394" spans="1:12" hidden="1" x14ac:dyDescent="0.25">
      <c r="A1394" s="16" t="s">
        <v>21</v>
      </c>
      <c r="B1394" s="16" t="s">
        <v>691</v>
      </c>
      <c r="C1394" s="16" t="s">
        <v>259</v>
      </c>
      <c r="D1394" s="16" t="s">
        <v>260</v>
      </c>
      <c r="E1394" s="16">
        <v>1.6627586206896552</v>
      </c>
      <c r="F1394" s="16" t="s">
        <v>194</v>
      </c>
      <c r="G1394" s="16"/>
      <c r="H1394" s="16" t="s">
        <v>248</v>
      </c>
      <c r="I1394" s="16" t="s">
        <v>230</v>
      </c>
      <c r="J1394" s="16" t="str">
        <f>IF(ISNUMBER(SEARCH("SCRW", H1394)), _xlfn.XLOOKUP(C1394,dd_item!$A$2:$A$147,dd_item!$B$2:$B$147,"",0),_xlfn.XLOOKUP(H1394,dd_item!$A$2:$A$147,dd_item!$B$2:$B$147,"",0))</f>
        <v>Sash66</v>
      </c>
      <c r="K1394" s="16" t="str">
        <f>_xlfn.XLOOKUP(A1394,dd_design_raw!$C$2:$C$1002,dd_design_raw!$A$2:$A$1002,"",0)</f>
        <v>Slide Slide Window</v>
      </c>
      <c r="L1394" s="16" t="str">
        <f>_xlfn.XLOOKUP(I1394,dd_accsryclr!$A$2:$A$1000,dd_accsryclr!$A$2:$A$1000,"",0)</f>
        <v>BRWN</v>
      </c>
    </row>
    <row r="1395" spans="1:12" hidden="1" x14ac:dyDescent="0.25">
      <c r="A1395" s="16" t="s">
        <v>21</v>
      </c>
      <c r="B1395" s="16" t="s">
        <v>691</v>
      </c>
      <c r="C1395" s="16" t="s">
        <v>641</v>
      </c>
      <c r="D1395" s="16" t="s">
        <v>642</v>
      </c>
      <c r="E1395" s="16">
        <v>0.83137931034482759</v>
      </c>
      <c r="F1395" s="16" t="s">
        <v>194</v>
      </c>
      <c r="G1395" s="16"/>
      <c r="H1395" s="16" t="s">
        <v>643</v>
      </c>
      <c r="I1395" s="16" t="s">
        <v>223</v>
      </c>
      <c r="J1395" s="16" t="str">
        <f>IF(ISNUMBER(SEARCH("SCRW", H1395)), _xlfn.XLOOKUP(C1395,dd_item!$A$2:$A$147,dd_item!$B$2:$B$147,"",0),_xlfn.XLOOKUP(H1395,dd_item!$A$2:$A$147,dd_item!$B$2:$B$147,"",0))</f>
        <v>Screen Frame</v>
      </c>
      <c r="K1395" s="16" t="str">
        <f>_xlfn.XLOOKUP(A1395,dd_design_raw!$C$2:$C$1002,dd_design_raw!$A$2:$A$1002,"",0)</f>
        <v>Slide Slide Window</v>
      </c>
      <c r="L1395" s="16" t="str">
        <f>_xlfn.XLOOKUP(I1395,dd_accsryclr!$A$2:$A$1000,dd_accsryclr!$A$2:$A$1000,"",0)</f>
        <v>BLK</v>
      </c>
    </row>
    <row r="1396" spans="1:12" hidden="1" x14ac:dyDescent="0.25">
      <c r="A1396" s="16" t="s">
        <v>21</v>
      </c>
      <c r="B1396" s="16" t="s">
        <v>691</v>
      </c>
      <c r="C1396" s="16" t="s">
        <v>644</v>
      </c>
      <c r="D1396" s="16" t="s">
        <v>645</v>
      </c>
      <c r="E1396" s="16">
        <v>0.83137931034482759</v>
      </c>
      <c r="F1396" s="16" t="s">
        <v>194</v>
      </c>
      <c r="G1396" s="16"/>
      <c r="H1396" s="16" t="s">
        <v>643</v>
      </c>
      <c r="I1396" s="16" t="s">
        <v>211</v>
      </c>
      <c r="J1396" s="16" t="str">
        <f>IF(ISNUMBER(SEARCH("SCRW", H1396)), _xlfn.XLOOKUP(C1396,dd_item!$A$2:$A$147,dd_item!$B$2:$B$147,"",0),_xlfn.XLOOKUP(H1396,dd_item!$A$2:$A$147,dd_item!$B$2:$B$147,"",0))</f>
        <v>Screen Frame</v>
      </c>
      <c r="K1396" s="16" t="str">
        <f>_xlfn.XLOOKUP(A1396,dd_design_raw!$C$2:$C$1002,dd_design_raw!$A$2:$A$1002,"",0)</f>
        <v>Slide Slide Window</v>
      </c>
      <c r="L1396" s="16" t="str">
        <f>_xlfn.XLOOKUP(I1396,dd_accsryclr!$A$2:$A$1000,dd_accsryclr!$A$2:$A$1000,"",0)</f>
        <v/>
      </c>
    </row>
    <row r="1397" spans="1:12" hidden="1" x14ac:dyDescent="0.25">
      <c r="A1397" s="16" t="s">
        <v>21</v>
      </c>
      <c r="B1397" s="16" t="s">
        <v>691</v>
      </c>
      <c r="C1397" s="16" t="s">
        <v>646</v>
      </c>
      <c r="D1397" s="16" t="s">
        <v>647</v>
      </c>
      <c r="E1397" s="16">
        <v>0.83137931034482759</v>
      </c>
      <c r="F1397" s="16" t="s">
        <v>194</v>
      </c>
      <c r="G1397" s="16"/>
      <c r="H1397" s="16" t="s">
        <v>643</v>
      </c>
      <c r="I1397" s="16" t="s">
        <v>214</v>
      </c>
      <c r="J1397" s="16" t="str">
        <f>IF(ISNUMBER(SEARCH("SCRW", H1397)), _xlfn.XLOOKUP(C1397,dd_item!$A$2:$A$147,dd_item!$B$2:$B$147,"",0),_xlfn.XLOOKUP(H1397,dd_item!$A$2:$A$147,dd_item!$B$2:$B$147,"",0))</f>
        <v>Screen Frame</v>
      </c>
      <c r="K1397" s="16" t="str">
        <f>_xlfn.XLOOKUP(A1397,dd_design_raw!$C$2:$C$1002,dd_design_raw!$A$2:$A$1002,"",0)</f>
        <v>Slide Slide Window</v>
      </c>
      <c r="L1397" s="16" t="str">
        <f>_xlfn.XLOOKUP(I1397,dd_accsryclr!$A$2:$A$1000,dd_accsryclr!$A$2:$A$1000,"",0)</f>
        <v/>
      </c>
    </row>
    <row r="1398" spans="1:12" hidden="1" x14ac:dyDescent="0.25">
      <c r="A1398" s="16" t="s">
        <v>21</v>
      </c>
      <c r="B1398" s="16" t="s">
        <v>691</v>
      </c>
      <c r="C1398" s="16" t="s">
        <v>648</v>
      </c>
      <c r="D1398" s="16" t="s">
        <v>649</v>
      </c>
      <c r="E1398" s="16">
        <v>0.83137931034482759</v>
      </c>
      <c r="F1398" s="16" t="s">
        <v>194</v>
      </c>
      <c r="G1398" s="16"/>
      <c r="H1398" s="16" t="s">
        <v>643</v>
      </c>
      <c r="I1398" s="16" t="s">
        <v>217</v>
      </c>
      <c r="J1398" s="16" t="str">
        <f>IF(ISNUMBER(SEARCH("SCRW", H1398)), _xlfn.XLOOKUP(C1398,dd_item!$A$2:$A$147,dd_item!$B$2:$B$147,"",0),_xlfn.XLOOKUP(H1398,dd_item!$A$2:$A$147,dd_item!$B$2:$B$147,"",0))</f>
        <v>Screen Frame</v>
      </c>
      <c r="K1398" s="16" t="str">
        <f>_xlfn.XLOOKUP(A1398,dd_design_raw!$C$2:$C$1002,dd_design_raw!$A$2:$A$1002,"",0)</f>
        <v>Slide Slide Window</v>
      </c>
      <c r="L1398" s="16" t="str">
        <f>_xlfn.XLOOKUP(I1398,dd_accsryclr!$A$2:$A$1000,dd_accsryclr!$A$2:$A$1000,"",0)</f>
        <v/>
      </c>
    </row>
    <row r="1399" spans="1:12" hidden="1" x14ac:dyDescent="0.25">
      <c r="A1399" s="16" t="s">
        <v>21</v>
      </c>
      <c r="B1399" s="16" t="s">
        <v>691</v>
      </c>
      <c r="C1399" s="16" t="s">
        <v>650</v>
      </c>
      <c r="D1399" s="16" t="s">
        <v>651</v>
      </c>
      <c r="E1399" s="16">
        <v>0.83137931034482759</v>
      </c>
      <c r="F1399" s="16" t="s">
        <v>194</v>
      </c>
      <c r="G1399" s="16"/>
      <c r="H1399" s="16" t="s">
        <v>643</v>
      </c>
      <c r="I1399" s="16" t="s">
        <v>226</v>
      </c>
      <c r="J1399" s="16" t="str">
        <f>IF(ISNUMBER(SEARCH("SCRW", H1399)), _xlfn.XLOOKUP(C1399,dd_item!$A$2:$A$147,dd_item!$B$2:$B$147,"",0),_xlfn.XLOOKUP(H1399,dd_item!$A$2:$A$147,dd_item!$B$2:$B$147,"",0))</f>
        <v>Screen Frame</v>
      </c>
      <c r="K1399" s="16" t="str">
        <f>_xlfn.XLOOKUP(A1399,dd_design_raw!$C$2:$C$1002,dd_design_raw!$A$2:$A$1002,"",0)</f>
        <v>Slide Slide Window</v>
      </c>
      <c r="L1399" s="16" t="str">
        <f>_xlfn.XLOOKUP(I1399,dd_accsryclr!$A$2:$A$1000,dd_accsryclr!$A$2:$A$1000,"",0)</f>
        <v/>
      </c>
    </row>
    <row r="1400" spans="1:12" hidden="1" x14ac:dyDescent="0.25">
      <c r="A1400" s="16" t="s">
        <v>21</v>
      </c>
      <c r="B1400" s="16" t="s">
        <v>691</v>
      </c>
      <c r="C1400" s="16" t="s">
        <v>652</v>
      </c>
      <c r="D1400" s="16" t="s">
        <v>653</v>
      </c>
      <c r="E1400" s="16">
        <v>0.83137931034482759</v>
      </c>
      <c r="F1400" s="16" t="s">
        <v>194</v>
      </c>
      <c r="G1400" s="16"/>
      <c r="H1400" s="16" t="s">
        <v>643</v>
      </c>
      <c r="I1400" s="16" t="s">
        <v>220</v>
      </c>
      <c r="J1400" s="16" t="str">
        <f>IF(ISNUMBER(SEARCH("SCRW", H1400)), _xlfn.XLOOKUP(C1400,dd_item!$A$2:$A$147,dd_item!$B$2:$B$147,"",0),_xlfn.XLOOKUP(H1400,dd_item!$A$2:$A$147,dd_item!$B$2:$B$147,"",0))</f>
        <v>Screen Frame</v>
      </c>
      <c r="K1400" s="16" t="str">
        <f>_xlfn.XLOOKUP(A1400,dd_design_raw!$C$2:$C$1002,dd_design_raw!$A$2:$A$1002,"",0)</f>
        <v>Slide Slide Window</v>
      </c>
      <c r="L1400" s="16" t="str">
        <f>_xlfn.XLOOKUP(I1400,dd_accsryclr!$A$2:$A$1000,dd_accsryclr!$A$2:$A$1000,"",0)</f>
        <v>WHT</v>
      </c>
    </row>
    <row r="1401" spans="1:12" hidden="1" x14ac:dyDescent="0.25">
      <c r="A1401" s="16" t="s">
        <v>21</v>
      </c>
      <c r="B1401" s="16" t="s">
        <v>691</v>
      </c>
      <c r="C1401" s="16" t="s">
        <v>654</v>
      </c>
      <c r="D1401" s="16" t="s">
        <v>655</v>
      </c>
      <c r="E1401" s="16">
        <v>0.83137931034482759</v>
      </c>
      <c r="F1401" s="16" t="s">
        <v>194</v>
      </c>
      <c r="G1401" s="16"/>
      <c r="H1401" s="16" t="s">
        <v>643</v>
      </c>
      <c r="I1401" s="16" t="s">
        <v>230</v>
      </c>
      <c r="J1401" s="16" t="str">
        <f>IF(ISNUMBER(SEARCH("SCRW", H1401)), _xlfn.XLOOKUP(C1401,dd_item!$A$2:$A$147,dd_item!$B$2:$B$147,"",0),_xlfn.XLOOKUP(H1401,dd_item!$A$2:$A$147,dd_item!$B$2:$B$147,"",0))</f>
        <v>Screen Frame</v>
      </c>
      <c r="K1401" s="16" t="str">
        <f>_xlfn.XLOOKUP(A1401,dd_design_raw!$C$2:$C$1002,dd_design_raw!$A$2:$A$1002,"",0)</f>
        <v>Slide Slide Window</v>
      </c>
      <c r="L1401" s="16" t="str">
        <f>_xlfn.XLOOKUP(I1401,dd_accsryclr!$A$2:$A$1000,dd_accsryclr!$A$2:$A$1000,"",0)</f>
        <v>BRWN</v>
      </c>
    </row>
    <row r="1402" spans="1:12" hidden="1" x14ac:dyDescent="0.25">
      <c r="A1402" s="16" t="s">
        <v>21</v>
      </c>
      <c r="B1402" s="16" t="s">
        <v>691</v>
      </c>
      <c r="C1402" s="16" t="s">
        <v>265</v>
      </c>
      <c r="D1402" s="16" t="s">
        <v>266</v>
      </c>
      <c r="E1402" s="16">
        <v>2.8731034482758622</v>
      </c>
      <c r="F1402" s="16" t="s">
        <v>194</v>
      </c>
      <c r="G1402" s="16" t="s">
        <v>60</v>
      </c>
      <c r="H1402" s="16" t="s">
        <v>267</v>
      </c>
      <c r="I1402" s="16" t="s">
        <v>268</v>
      </c>
      <c r="J1402" s="16" t="str">
        <f>IF(ISNUMBER(SEARCH("SCRW", H1402)), _xlfn.XLOOKUP(C1402,dd_item!$A$2:$A$147,dd_item!$B$2:$B$147,"",0),_xlfn.XLOOKUP(H1402,dd_item!$A$2:$A$147,dd_item!$B$2:$B$147,"",0))</f>
        <v>Steel-Sash66</v>
      </c>
      <c r="K1402" s="16" t="str">
        <f>_xlfn.XLOOKUP(A1402,dd_design_raw!$C$2:$C$1002,dd_design_raw!$A$2:$A$1002,"",0)</f>
        <v>Slide Slide Window</v>
      </c>
      <c r="L1402" s="16" t="str">
        <f>_xlfn.XLOOKUP(I1402,dd_accsryclr!$A$2:$A$1000,dd_accsryclr!$A$2:$A$1000,"",0)</f>
        <v/>
      </c>
    </row>
    <row r="1403" spans="1:12" hidden="1" x14ac:dyDescent="0.25">
      <c r="A1403" s="16" t="s">
        <v>21</v>
      </c>
      <c r="B1403" s="16" t="s">
        <v>691</v>
      </c>
      <c r="C1403" s="16" t="s">
        <v>656</v>
      </c>
      <c r="D1403" s="16" t="s">
        <v>657</v>
      </c>
      <c r="E1403" s="16">
        <v>0.83137931034482759</v>
      </c>
      <c r="F1403" s="16" t="s">
        <v>194</v>
      </c>
      <c r="G1403" s="16" t="s">
        <v>70</v>
      </c>
      <c r="H1403" s="16" t="s">
        <v>658</v>
      </c>
      <c r="I1403" s="16" t="s">
        <v>659</v>
      </c>
      <c r="J1403" s="16" t="str">
        <f>IF(ISNUMBER(SEARCH("SCRW", H1403)), _xlfn.XLOOKUP(C1403,dd_item!$A$2:$A$147,dd_item!$B$2:$B$147,"",0),_xlfn.XLOOKUP(H1403,dd_item!$A$2:$A$147,dd_item!$B$2:$B$147,"",0))</f>
        <v>Steel-Screen Frame</v>
      </c>
      <c r="K1403" s="16" t="str">
        <f>_xlfn.XLOOKUP(A1403,dd_design_raw!$C$2:$C$1002,dd_design_raw!$A$2:$A$1002,"",0)</f>
        <v>Slide Slide Window</v>
      </c>
      <c r="L1403" s="16" t="str">
        <f>_xlfn.XLOOKUP(I1403,dd_accsryclr!$A$2:$A$1000,dd_accsryclr!$A$2:$A$1000,"",0)</f>
        <v/>
      </c>
    </row>
    <row r="1404" spans="1:12" hidden="1" x14ac:dyDescent="0.25">
      <c r="A1404" s="16" t="s">
        <v>21</v>
      </c>
      <c r="B1404" s="16" t="s">
        <v>691</v>
      </c>
      <c r="C1404" s="16" t="s">
        <v>276</v>
      </c>
      <c r="D1404" s="16" t="s">
        <v>277</v>
      </c>
      <c r="E1404" s="16">
        <v>1.6627586206896552</v>
      </c>
      <c r="F1404" s="16" t="s">
        <v>194</v>
      </c>
      <c r="G1404" s="16"/>
      <c r="H1404" s="16" t="s">
        <v>278</v>
      </c>
      <c r="I1404" s="16" t="s">
        <v>223</v>
      </c>
      <c r="J1404" s="16" t="str">
        <f>IF(ISNUMBER(SEARCH("SCRW", H1404)), _xlfn.XLOOKUP(C1404,dd_item!$A$2:$A$147,dd_item!$B$2:$B$147,"",0),_xlfn.XLOOKUP(H1404,dd_item!$A$2:$A$147,dd_item!$B$2:$B$147,"",0))</f>
        <v>Bead25</v>
      </c>
      <c r="K1404" s="16" t="str">
        <f>_xlfn.XLOOKUP(A1404,dd_design_raw!$C$2:$C$1002,dd_design_raw!$A$2:$A$1002,"",0)</f>
        <v>Slide Slide Window</v>
      </c>
      <c r="L1404" s="16" t="str">
        <f>_xlfn.XLOOKUP(I1404,dd_accsryclr!$A$2:$A$1000,dd_accsryclr!$A$2:$A$1000,"",0)</f>
        <v>BLK</v>
      </c>
    </row>
    <row r="1405" spans="1:12" hidden="1" x14ac:dyDescent="0.25">
      <c r="A1405" s="16" t="s">
        <v>21</v>
      </c>
      <c r="B1405" s="16" t="s">
        <v>691</v>
      </c>
      <c r="C1405" s="16" t="s">
        <v>279</v>
      </c>
      <c r="D1405" s="16" t="s">
        <v>280</v>
      </c>
      <c r="E1405" s="16">
        <v>1.6627586206896552</v>
      </c>
      <c r="F1405" s="16" t="s">
        <v>194</v>
      </c>
      <c r="G1405" s="16"/>
      <c r="H1405" s="16" t="s">
        <v>278</v>
      </c>
      <c r="I1405" s="16" t="s">
        <v>211</v>
      </c>
      <c r="J1405" s="16" t="str">
        <f>IF(ISNUMBER(SEARCH("SCRW", H1405)), _xlfn.XLOOKUP(C1405,dd_item!$A$2:$A$147,dd_item!$B$2:$B$147,"",0),_xlfn.XLOOKUP(H1405,dd_item!$A$2:$A$147,dd_item!$B$2:$B$147,"",0))</f>
        <v>Bead25</v>
      </c>
      <c r="K1405" s="16" t="str">
        <f>_xlfn.XLOOKUP(A1405,dd_design_raw!$C$2:$C$1002,dd_design_raw!$A$2:$A$1002,"",0)</f>
        <v>Slide Slide Window</v>
      </c>
      <c r="L1405" s="16" t="str">
        <f>_xlfn.XLOOKUP(I1405,dd_accsryclr!$A$2:$A$1000,dd_accsryclr!$A$2:$A$1000,"",0)</f>
        <v/>
      </c>
    </row>
    <row r="1406" spans="1:12" hidden="1" x14ac:dyDescent="0.25">
      <c r="A1406" s="16" t="s">
        <v>21</v>
      </c>
      <c r="B1406" s="16" t="s">
        <v>691</v>
      </c>
      <c r="C1406" s="16" t="s">
        <v>281</v>
      </c>
      <c r="D1406" s="16" t="s">
        <v>282</v>
      </c>
      <c r="E1406" s="16">
        <v>1.6627586206896552</v>
      </c>
      <c r="F1406" s="16" t="s">
        <v>194</v>
      </c>
      <c r="G1406" s="16"/>
      <c r="H1406" s="16" t="s">
        <v>278</v>
      </c>
      <c r="I1406" s="16" t="s">
        <v>214</v>
      </c>
      <c r="J1406" s="16" t="str">
        <f>IF(ISNUMBER(SEARCH("SCRW", H1406)), _xlfn.XLOOKUP(C1406,dd_item!$A$2:$A$147,dd_item!$B$2:$B$147,"",0),_xlfn.XLOOKUP(H1406,dd_item!$A$2:$A$147,dd_item!$B$2:$B$147,"",0))</f>
        <v>Bead25</v>
      </c>
      <c r="K1406" s="16" t="str">
        <f>_xlfn.XLOOKUP(A1406,dd_design_raw!$C$2:$C$1002,dd_design_raw!$A$2:$A$1002,"",0)</f>
        <v>Slide Slide Window</v>
      </c>
      <c r="L1406" s="16" t="str">
        <f>_xlfn.XLOOKUP(I1406,dd_accsryclr!$A$2:$A$1000,dd_accsryclr!$A$2:$A$1000,"",0)</f>
        <v/>
      </c>
    </row>
    <row r="1407" spans="1:12" hidden="1" x14ac:dyDescent="0.25">
      <c r="A1407" s="16" t="s">
        <v>21</v>
      </c>
      <c r="B1407" s="16" t="s">
        <v>691</v>
      </c>
      <c r="C1407" s="16" t="s">
        <v>283</v>
      </c>
      <c r="D1407" s="16" t="s">
        <v>284</v>
      </c>
      <c r="E1407" s="16">
        <v>1.6627586206896552</v>
      </c>
      <c r="F1407" s="16" t="s">
        <v>194</v>
      </c>
      <c r="G1407" s="16"/>
      <c r="H1407" s="16" t="s">
        <v>278</v>
      </c>
      <c r="I1407" s="16" t="s">
        <v>217</v>
      </c>
      <c r="J1407" s="16" t="str">
        <f>IF(ISNUMBER(SEARCH("SCRW", H1407)), _xlfn.XLOOKUP(C1407,dd_item!$A$2:$A$147,dd_item!$B$2:$B$147,"",0),_xlfn.XLOOKUP(H1407,dd_item!$A$2:$A$147,dd_item!$B$2:$B$147,"",0))</f>
        <v>Bead25</v>
      </c>
      <c r="K1407" s="16" t="str">
        <f>_xlfn.XLOOKUP(A1407,dd_design_raw!$C$2:$C$1002,dd_design_raw!$A$2:$A$1002,"",0)</f>
        <v>Slide Slide Window</v>
      </c>
      <c r="L1407" s="16" t="str">
        <f>_xlfn.XLOOKUP(I1407,dd_accsryclr!$A$2:$A$1000,dd_accsryclr!$A$2:$A$1000,"",0)</f>
        <v/>
      </c>
    </row>
    <row r="1408" spans="1:12" hidden="1" x14ac:dyDescent="0.25">
      <c r="A1408" s="16" t="s">
        <v>21</v>
      </c>
      <c r="B1408" s="16" t="s">
        <v>691</v>
      </c>
      <c r="C1408" s="16" t="s">
        <v>285</v>
      </c>
      <c r="D1408" s="16" t="s">
        <v>286</v>
      </c>
      <c r="E1408" s="16">
        <v>1.6627586206896552</v>
      </c>
      <c r="F1408" s="16" t="s">
        <v>194</v>
      </c>
      <c r="G1408" s="16"/>
      <c r="H1408" s="16" t="s">
        <v>278</v>
      </c>
      <c r="I1408" s="16" t="s">
        <v>226</v>
      </c>
      <c r="J1408" s="16" t="str">
        <f>IF(ISNUMBER(SEARCH("SCRW", H1408)), _xlfn.XLOOKUP(C1408,dd_item!$A$2:$A$147,dd_item!$B$2:$B$147,"",0),_xlfn.XLOOKUP(H1408,dd_item!$A$2:$A$147,dd_item!$B$2:$B$147,"",0))</f>
        <v>Bead25</v>
      </c>
      <c r="K1408" s="16" t="str">
        <f>_xlfn.XLOOKUP(A1408,dd_design_raw!$C$2:$C$1002,dd_design_raw!$A$2:$A$1002,"",0)</f>
        <v>Slide Slide Window</v>
      </c>
      <c r="L1408" s="16" t="str">
        <f>_xlfn.XLOOKUP(I1408,dd_accsryclr!$A$2:$A$1000,dd_accsryclr!$A$2:$A$1000,"",0)</f>
        <v/>
      </c>
    </row>
    <row r="1409" spans="1:12" hidden="1" x14ac:dyDescent="0.25">
      <c r="A1409" s="16" t="s">
        <v>21</v>
      </c>
      <c r="B1409" s="16" t="s">
        <v>691</v>
      </c>
      <c r="C1409" s="16" t="s">
        <v>287</v>
      </c>
      <c r="D1409" s="16" t="s">
        <v>288</v>
      </c>
      <c r="E1409" s="16">
        <v>1.6627586206896552</v>
      </c>
      <c r="F1409" s="16" t="s">
        <v>194</v>
      </c>
      <c r="G1409" s="16"/>
      <c r="H1409" s="16" t="s">
        <v>278</v>
      </c>
      <c r="I1409" s="16" t="s">
        <v>220</v>
      </c>
      <c r="J1409" s="16" t="str">
        <f>IF(ISNUMBER(SEARCH("SCRW", H1409)), _xlfn.XLOOKUP(C1409,dd_item!$A$2:$A$147,dd_item!$B$2:$B$147,"",0),_xlfn.XLOOKUP(H1409,dd_item!$A$2:$A$147,dd_item!$B$2:$B$147,"",0))</f>
        <v>Bead25</v>
      </c>
      <c r="K1409" s="16" t="str">
        <f>_xlfn.XLOOKUP(A1409,dd_design_raw!$C$2:$C$1002,dd_design_raw!$A$2:$A$1002,"",0)</f>
        <v>Slide Slide Window</v>
      </c>
      <c r="L1409" s="16" t="str">
        <f>_xlfn.XLOOKUP(I1409,dd_accsryclr!$A$2:$A$1000,dd_accsryclr!$A$2:$A$1000,"",0)</f>
        <v>WHT</v>
      </c>
    </row>
    <row r="1410" spans="1:12" hidden="1" x14ac:dyDescent="0.25">
      <c r="A1410" s="16" t="s">
        <v>21</v>
      </c>
      <c r="B1410" s="16" t="s">
        <v>691</v>
      </c>
      <c r="C1410" s="16" t="s">
        <v>289</v>
      </c>
      <c r="D1410" s="16" t="s">
        <v>290</v>
      </c>
      <c r="E1410" s="16">
        <v>1.6627586206896552</v>
      </c>
      <c r="F1410" s="16" t="s">
        <v>194</v>
      </c>
      <c r="G1410" s="16"/>
      <c r="H1410" s="16" t="s">
        <v>278</v>
      </c>
      <c r="I1410" s="16" t="s">
        <v>230</v>
      </c>
      <c r="J1410" s="16" t="str">
        <f>IF(ISNUMBER(SEARCH("SCRW", H1410)), _xlfn.XLOOKUP(C1410,dd_item!$A$2:$A$147,dd_item!$B$2:$B$147,"",0),_xlfn.XLOOKUP(H1410,dd_item!$A$2:$A$147,dd_item!$B$2:$B$147,"",0))</f>
        <v>Bead25</v>
      </c>
      <c r="K1410" s="16" t="str">
        <f>_xlfn.XLOOKUP(A1410,dd_design_raw!$C$2:$C$1002,dd_design_raw!$A$2:$A$1002,"",0)</f>
        <v>Slide Slide Window</v>
      </c>
      <c r="L1410" s="16" t="str">
        <f>_xlfn.XLOOKUP(I1410,dd_accsryclr!$A$2:$A$1000,dd_accsryclr!$A$2:$A$1000,"",0)</f>
        <v>BRWN</v>
      </c>
    </row>
    <row r="1411" spans="1:12" x14ac:dyDescent="0.25">
      <c r="A1411" s="16" t="s">
        <v>21</v>
      </c>
      <c r="B1411" s="16" t="s">
        <v>691</v>
      </c>
      <c r="C1411" s="16" t="s">
        <v>660</v>
      </c>
      <c r="D1411" s="16" t="s">
        <v>661</v>
      </c>
      <c r="E1411" s="16">
        <v>1</v>
      </c>
      <c r="F1411" s="16" t="s">
        <v>293</v>
      </c>
      <c r="G1411" s="16"/>
      <c r="H1411" s="16" t="s">
        <v>451</v>
      </c>
      <c r="I1411" s="16" t="s">
        <v>531</v>
      </c>
      <c r="J1411" s="16" t="str">
        <f>IF(ISNUMBER(SEARCH("SCRW", H1411)), _xlfn.XLOOKUP(C1411,dd_item!$A$2:$A$147,dd_item!$B$2:$B$147,"",0),_xlfn.XLOOKUP(H1411,dd_item!$A$2:$A$147,dd_item!$B$2:$B$147,"",0))</f>
        <v>Sliding Espagnolette</v>
      </c>
      <c r="K1411" s="16" t="str">
        <f>_xlfn.XLOOKUP(A1411,dd_design_raw!$C$2:$C$1002,dd_design_raw!$A$2:$A$1002,"",0)</f>
        <v>Slide Slide Window</v>
      </c>
      <c r="L1411" s="16" t="str">
        <f>_xlfn.XLOOKUP(I1411,dd_accsryclr!$A$2:$A$1000,dd_accsryclr!$A$2:$A$1000,"",0)</f>
        <v/>
      </c>
    </row>
    <row r="1412" spans="1:12" x14ac:dyDescent="0.25">
      <c r="A1412" s="16" t="s">
        <v>21</v>
      </c>
      <c r="B1412" s="16" t="s">
        <v>691</v>
      </c>
      <c r="C1412" s="16" t="s">
        <v>662</v>
      </c>
      <c r="D1412" s="16" t="s">
        <v>663</v>
      </c>
      <c r="E1412" s="16">
        <v>1</v>
      </c>
      <c r="F1412" s="16" t="s">
        <v>293</v>
      </c>
      <c r="G1412" s="16"/>
      <c r="H1412" s="16" t="s">
        <v>451</v>
      </c>
      <c r="I1412" s="16" t="s">
        <v>664</v>
      </c>
      <c r="J1412" s="16" t="str">
        <f>IF(ISNUMBER(SEARCH("SCRW", H1412)), _xlfn.XLOOKUP(C1412,dd_item!$A$2:$A$147,dd_item!$B$2:$B$147,"",0),_xlfn.XLOOKUP(H1412,dd_item!$A$2:$A$147,dd_item!$B$2:$B$147,"",0))</f>
        <v>Sliding Espagnolette</v>
      </c>
      <c r="K1412" s="16" t="str">
        <f>_xlfn.XLOOKUP(A1412,dd_design_raw!$C$2:$C$1002,dd_design_raw!$A$2:$A$1002,"",0)</f>
        <v>Slide Slide Window</v>
      </c>
      <c r="L1412" s="16" t="str">
        <f>_xlfn.XLOOKUP(I1412,dd_accsryclr!$A$2:$A$1000,dd_accsryclr!$A$2:$A$1000,"",0)</f>
        <v/>
      </c>
    </row>
    <row r="1413" spans="1:12" x14ac:dyDescent="0.25">
      <c r="A1413" s="16" t="s">
        <v>21</v>
      </c>
      <c r="B1413" s="16" t="s">
        <v>691</v>
      </c>
      <c r="C1413" s="16" t="s">
        <v>665</v>
      </c>
      <c r="D1413" s="16" t="s">
        <v>666</v>
      </c>
      <c r="E1413" s="16">
        <v>1</v>
      </c>
      <c r="F1413" s="16" t="s">
        <v>293</v>
      </c>
      <c r="G1413" s="16"/>
      <c r="H1413" s="16" t="s">
        <v>451</v>
      </c>
      <c r="I1413" s="16" t="s">
        <v>536</v>
      </c>
      <c r="J1413" s="16" t="str">
        <f>IF(ISNUMBER(SEARCH("SCRW", H1413)), _xlfn.XLOOKUP(C1413,dd_item!$A$2:$A$147,dd_item!$B$2:$B$147,"",0),_xlfn.XLOOKUP(H1413,dd_item!$A$2:$A$147,dd_item!$B$2:$B$147,"",0))</f>
        <v>Sliding Espagnolette</v>
      </c>
      <c r="K1413" s="16" t="str">
        <f>_xlfn.XLOOKUP(A1413,dd_design_raw!$C$2:$C$1002,dd_design_raw!$A$2:$A$1002,"",0)</f>
        <v>Slide Slide Window</v>
      </c>
      <c r="L1413" s="16" t="str">
        <f>_xlfn.XLOOKUP(I1413,dd_accsryclr!$A$2:$A$1000,dd_accsryclr!$A$2:$A$1000,"",0)</f>
        <v/>
      </c>
    </row>
    <row r="1414" spans="1:12" hidden="1" x14ac:dyDescent="0.25">
      <c r="A1414" s="16" t="s">
        <v>21</v>
      </c>
      <c r="B1414" s="16" t="s">
        <v>691</v>
      </c>
      <c r="C1414" s="16" t="s">
        <v>303</v>
      </c>
      <c r="D1414" s="16" t="s">
        <v>304</v>
      </c>
      <c r="E1414" s="16">
        <v>4</v>
      </c>
      <c r="F1414" s="16" t="s">
        <v>293</v>
      </c>
      <c r="G1414" s="16"/>
      <c r="H1414" s="16" t="s">
        <v>305</v>
      </c>
      <c r="I1414" s="16"/>
      <c r="J1414" s="16" t="str">
        <f>IF(ISNUMBER(SEARCH("SCRW", H1414)), _xlfn.XLOOKUP(C1414,dd_item!$A$2:$A$147,dd_item!$B$2:$B$147,"",0),_xlfn.XLOOKUP(H1414,dd_item!$A$2:$A$147,dd_item!$B$2:$B$147,"",0))</f>
        <v>Rubber Stopper</v>
      </c>
      <c r="K1414" s="16" t="str">
        <f>_xlfn.XLOOKUP(A1414,dd_design_raw!$C$2:$C$1002,dd_design_raw!$A$2:$A$1002,"",0)</f>
        <v>Slide Slide Window</v>
      </c>
      <c r="L1414" s="16" t="str">
        <f>_xlfn.XLOOKUP(I1414,dd_accsryclr!$A$2:$A$1000,dd_accsryclr!$A$2:$A$1000,"",0)</f>
        <v/>
      </c>
    </row>
    <row r="1415" spans="1:12" hidden="1" x14ac:dyDescent="0.25">
      <c r="A1415" s="16" t="s">
        <v>21</v>
      </c>
      <c r="B1415" s="16" t="s">
        <v>691</v>
      </c>
      <c r="C1415" s="16" t="s">
        <v>306</v>
      </c>
      <c r="D1415" s="16" t="s">
        <v>307</v>
      </c>
      <c r="E1415" s="16">
        <v>2</v>
      </c>
      <c r="F1415" s="16" t="s">
        <v>293</v>
      </c>
      <c r="G1415" s="16"/>
      <c r="H1415" s="16" t="s">
        <v>308</v>
      </c>
      <c r="I1415" s="16" t="s">
        <v>230</v>
      </c>
      <c r="J1415" s="16" t="str">
        <f>IF(ISNUMBER(SEARCH("SCRW", H1415)), _xlfn.XLOOKUP(C1415,dd_item!$A$2:$A$147,dd_item!$B$2:$B$147,"",0),_xlfn.XLOOKUP(H1415,dd_item!$A$2:$A$147,dd_item!$B$2:$B$147,"",0))</f>
        <v>Track Bridge</v>
      </c>
      <c r="K1415" s="16" t="str">
        <f>_xlfn.XLOOKUP(A1415,dd_design_raw!$C$2:$C$1002,dd_design_raw!$A$2:$A$1002,"",0)</f>
        <v>Slide Slide Window</v>
      </c>
      <c r="L1415" s="16" t="str">
        <f>_xlfn.XLOOKUP(I1415,dd_accsryclr!$A$2:$A$1000,dd_accsryclr!$A$2:$A$1000,"",0)</f>
        <v>BRWN</v>
      </c>
    </row>
    <row r="1416" spans="1:12" hidden="1" x14ac:dyDescent="0.25">
      <c r="A1416" s="16" t="s">
        <v>21</v>
      </c>
      <c r="B1416" s="16" t="s">
        <v>691</v>
      </c>
      <c r="C1416" s="16" t="s">
        <v>309</v>
      </c>
      <c r="D1416" s="16" t="s">
        <v>310</v>
      </c>
      <c r="E1416" s="16">
        <v>2</v>
      </c>
      <c r="F1416" s="16" t="s">
        <v>293</v>
      </c>
      <c r="G1416" s="16"/>
      <c r="H1416" s="16" t="s">
        <v>308</v>
      </c>
      <c r="I1416" s="16" t="s">
        <v>220</v>
      </c>
      <c r="J1416" s="16" t="str">
        <f>IF(ISNUMBER(SEARCH("SCRW", H1416)), _xlfn.XLOOKUP(C1416,dd_item!$A$2:$A$147,dd_item!$B$2:$B$147,"",0),_xlfn.XLOOKUP(H1416,dd_item!$A$2:$A$147,dd_item!$B$2:$B$147,"",0))</f>
        <v>Track Bridge</v>
      </c>
      <c r="K1416" s="16" t="str">
        <f>_xlfn.XLOOKUP(A1416,dd_design_raw!$C$2:$C$1002,dd_design_raw!$A$2:$A$1002,"",0)</f>
        <v>Slide Slide Window</v>
      </c>
      <c r="L1416" s="16" t="str">
        <f>_xlfn.XLOOKUP(I1416,dd_accsryclr!$A$2:$A$1000,dd_accsryclr!$A$2:$A$1000,"",0)</f>
        <v>WHT</v>
      </c>
    </row>
    <row r="1417" spans="1:12" hidden="1" x14ac:dyDescent="0.25">
      <c r="A1417" s="16" t="s">
        <v>21</v>
      </c>
      <c r="B1417" s="16" t="s">
        <v>691</v>
      </c>
      <c r="C1417" s="16" t="s">
        <v>461</v>
      </c>
      <c r="D1417" s="16" t="s">
        <v>462</v>
      </c>
      <c r="E1417" s="16">
        <v>1</v>
      </c>
      <c r="F1417" s="16" t="s">
        <v>293</v>
      </c>
      <c r="G1417" s="16"/>
      <c r="H1417" s="16" t="s">
        <v>463</v>
      </c>
      <c r="I1417" s="16"/>
      <c r="J1417" s="16" t="str">
        <f>IF(ISNUMBER(SEARCH("SCRW", H1417)), _xlfn.XLOOKUP(C1417,dd_item!$A$2:$A$147,dd_item!$B$2:$B$147,"",0),_xlfn.XLOOKUP(H1417,dd_item!$A$2:$A$147,dd_item!$B$2:$B$147,"",0))</f>
        <v>Roto Pop-up Handle</v>
      </c>
      <c r="K1417" s="16" t="str">
        <f>_xlfn.XLOOKUP(A1417,dd_design_raw!$C$2:$C$1002,dd_design_raw!$A$2:$A$1002,"",0)</f>
        <v>Slide Slide Window</v>
      </c>
      <c r="L1417" s="16" t="str">
        <f>_xlfn.XLOOKUP(I1417,dd_accsryclr!$A$2:$A$1000,dd_accsryclr!$A$2:$A$1000,"",0)</f>
        <v/>
      </c>
    </row>
    <row r="1418" spans="1:12" hidden="1" x14ac:dyDescent="0.25">
      <c r="A1418" s="16" t="s">
        <v>21</v>
      </c>
      <c r="B1418" s="16" t="s">
        <v>691</v>
      </c>
      <c r="C1418" s="16" t="s">
        <v>464</v>
      </c>
      <c r="D1418" s="16" t="s">
        <v>465</v>
      </c>
      <c r="E1418" s="16">
        <v>1</v>
      </c>
      <c r="F1418" s="16" t="s">
        <v>293</v>
      </c>
      <c r="G1418" s="16"/>
      <c r="H1418" s="16" t="s">
        <v>463</v>
      </c>
      <c r="I1418" s="16"/>
      <c r="J1418" s="16" t="str">
        <f>IF(ISNUMBER(SEARCH("SCRW", H1418)), _xlfn.XLOOKUP(C1418,dd_item!$A$2:$A$147,dd_item!$B$2:$B$147,"",0),_xlfn.XLOOKUP(H1418,dd_item!$A$2:$A$147,dd_item!$B$2:$B$147,"",0))</f>
        <v>Roto Pop-up Handle</v>
      </c>
      <c r="K1418" s="16" t="str">
        <f>_xlfn.XLOOKUP(A1418,dd_design_raw!$C$2:$C$1002,dd_design_raw!$A$2:$A$1002,"",0)</f>
        <v>Slide Slide Window</v>
      </c>
      <c r="L1418" s="16" t="str">
        <f>_xlfn.XLOOKUP(I1418,dd_accsryclr!$A$2:$A$1000,dd_accsryclr!$A$2:$A$1000,"",0)</f>
        <v/>
      </c>
    </row>
    <row r="1419" spans="1:12" hidden="1" x14ac:dyDescent="0.25">
      <c r="A1419" s="16" t="s">
        <v>21</v>
      </c>
      <c r="B1419" s="16" t="s">
        <v>691</v>
      </c>
      <c r="C1419" s="16" t="s">
        <v>667</v>
      </c>
      <c r="D1419" s="16" t="s">
        <v>668</v>
      </c>
      <c r="E1419" s="16">
        <v>4</v>
      </c>
      <c r="F1419" s="16" t="s">
        <v>293</v>
      </c>
      <c r="G1419" s="16"/>
      <c r="H1419" s="16" t="s">
        <v>669</v>
      </c>
      <c r="I1419" s="16"/>
      <c r="J1419" s="16" t="str">
        <f>IF(ISNUMBER(SEARCH("SCRW", H1419)), _xlfn.XLOOKUP(C1419,dd_item!$A$2:$A$147,dd_item!$B$2:$B$147,"",0),_xlfn.XLOOKUP(H1419,dd_item!$A$2:$A$147,dd_item!$B$2:$B$147,"",0))</f>
        <v>Roller Single Bearing</v>
      </c>
      <c r="K1419" s="16" t="str">
        <f>_xlfn.XLOOKUP(A1419,dd_design_raw!$C$2:$C$1002,dd_design_raw!$A$2:$A$1002,"",0)</f>
        <v>Slide Slide Window</v>
      </c>
      <c r="L1419" s="16" t="str">
        <f>_xlfn.XLOOKUP(I1419,dd_accsryclr!$A$2:$A$1000,dd_accsryclr!$A$2:$A$1000,"",0)</f>
        <v/>
      </c>
    </row>
    <row r="1420" spans="1:12" hidden="1" x14ac:dyDescent="0.25">
      <c r="A1420" s="16" t="s">
        <v>21</v>
      </c>
      <c r="B1420" s="16" t="s">
        <v>691</v>
      </c>
      <c r="C1420" s="16" t="s">
        <v>670</v>
      </c>
      <c r="D1420" s="16" t="s">
        <v>671</v>
      </c>
      <c r="E1420" s="16">
        <v>4</v>
      </c>
      <c r="F1420" s="16" t="s">
        <v>293</v>
      </c>
      <c r="G1420" s="16"/>
      <c r="H1420" s="16" t="s">
        <v>672</v>
      </c>
      <c r="I1420" s="16"/>
      <c r="J1420" s="16" t="str">
        <f>IF(ISNUMBER(SEARCH("SCRW", H1420)), _xlfn.XLOOKUP(C1420,dd_item!$A$2:$A$147,dd_item!$B$2:$B$147,"",0),_xlfn.XLOOKUP(H1420,dd_item!$A$2:$A$147,dd_item!$B$2:$B$147,"",0))</f>
        <v>Roller for Screen</v>
      </c>
      <c r="K1420" s="16" t="str">
        <f>_xlfn.XLOOKUP(A1420,dd_design_raw!$C$2:$C$1002,dd_design_raw!$A$2:$A$1002,"",0)</f>
        <v>Slide Slide Window</v>
      </c>
      <c r="L1420" s="16" t="str">
        <f>_xlfn.XLOOKUP(I1420,dd_accsryclr!$A$2:$A$1000,dd_accsryclr!$A$2:$A$1000,"",0)</f>
        <v/>
      </c>
    </row>
    <row r="1421" spans="1:12" hidden="1" x14ac:dyDescent="0.25">
      <c r="A1421" s="16" t="s">
        <v>21</v>
      </c>
      <c r="B1421" s="16" t="s">
        <v>691</v>
      </c>
      <c r="C1421" s="16" t="s">
        <v>319</v>
      </c>
      <c r="D1421" s="16" t="s">
        <v>320</v>
      </c>
      <c r="E1421" s="16">
        <v>0.4879310344827586</v>
      </c>
      <c r="F1421" s="16" t="s">
        <v>194</v>
      </c>
      <c r="G1421" s="16"/>
      <c r="H1421" s="16" t="s">
        <v>321</v>
      </c>
      <c r="I1421" s="16" t="s">
        <v>211</v>
      </c>
      <c r="J1421" s="16" t="str">
        <f>IF(ISNUMBER(SEARCH("SCRW", H1421)), _xlfn.XLOOKUP(C1421,dd_item!$A$2:$A$147,dd_item!$B$2:$B$147,"",0),_xlfn.XLOOKUP(H1421,dd_item!$A$2:$A$147,dd_item!$B$2:$B$147,"",0))</f>
        <v>Interlocker45</v>
      </c>
      <c r="K1421" s="16" t="str">
        <f>_xlfn.XLOOKUP(A1421,dd_design_raw!$C$2:$C$1002,dd_design_raw!$A$2:$A$1002,"",0)</f>
        <v>Slide Slide Window</v>
      </c>
      <c r="L1421" s="16" t="str">
        <f>_xlfn.XLOOKUP(I1421,dd_accsryclr!$A$2:$A$1000,dd_accsryclr!$A$2:$A$1000,"",0)</f>
        <v/>
      </c>
    </row>
    <row r="1422" spans="1:12" hidden="1" x14ac:dyDescent="0.25">
      <c r="A1422" s="16" t="s">
        <v>21</v>
      </c>
      <c r="B1422" s="16" t="s">
        <v>691</v>
      </c>
      <c r="C1422" s="16" t="s">
        <v>322</v>
      </c>
      <c r="D1422" s="16" t="s">
        <v>323</v>
      </c>
      <c r="E1422" s="16">
        <v>0.4879310344827586</v>
      </c>
      <c r="F1422" s="16" t="s">
        <v>194</v>
      </c>
      <c r="G1422" s="16"/>
      <c r="H1422" s="16" t="s">
        <v>321</v>
      </c>
      <c r="I1422" s="16" t="s">
        <v>214</v>
      </c>
      <c r="J1422" s="16" t="str">
        <f>IF(ISNUMBER(SEARCH("SCRW", H1422)), _xlfn.XLOOKUP(C1422,dd_item!$A$2:$A$147,dd_item!$B$2:$B$147,"",0),_xlfn.XLOOKUP(H1422,dd_item!$A$2:$A$147,dd_item!$B$2:$B$147,"",0))</f>
        <v>Interlocker45</v>
      </c>
      <c r="K1422" s="16" t="str">
        <f>_xlfn.XLOOKUP(A1422,dd_design_raw!$C$2:$C$1002,dd_design_raw!$A$2:$A$1002,"",0)</f>
        <v>Slide Slide Window</v>
      </c>
      <c r="L1422" s="16" t="str">
        <f>_xlfn.XLOOKUP(I1422,dd_accsryclr!$A$2:$A$1000,dd_accsryclr!$A$2:$A$1000,"",0)</f>
        <v/>
      </c>
    </row>
    <row r="1423" spans="1:12" hidden="1" x14ac:dyDescent="0.25">
      <c r="A1423" s="16" t="s">
        <v>21</v>
      </c>
      <c r="B1423" s="16" t="s">
        <v>691</v>
      </c>
      <c r="C1423" s="16" t="s">
        <v>324</v>
      </c>
      <c r="D1423" s="16" t="s">
        <v>325</v>
      </c>
      <c r="E1423" s="16">
        <v>0.4879310344827586</v>
      </c>
      <c r="F1423" s="16" t="s">
        <v>194</v>
      </c>
      <c r="G1423" s="16"/>
      <c r="H1423" s="16" t="s">
        <v>321</v>
      </c>
      <c r="I1423" s="16" t="s">
        <v>217</v>
      </c>
      <c r="J1423" s="16" t="str">
        <f>IF(ISNUMBER(SEARCH("SCRW", H1423)), _xlfn.XLOOKUP(C1423,dd_item!$A$2:$A$147,dd_item!$B$2:$B$147,"",0),_xlfn.XLOOKUP(H1423,dd_item!$A$2:$A$147,dd_item!$B$2:$B$147,"",0))</f>
        <v>Interlocker45</v>
      </c>
      <c r="K1423" s="16" t="str">
        <f>_xlfn.XLOOKUP(A1423,dd_design_raw!$C$2:$C$1002,dd_design_raw!$A$2:$A$1002,"",0)</f>
        <v>Slide Slide Window</v>
      </c>
      <c r="L1423" s="16" t="str">
        <f>_xlfn.XLOOKUP(I1423,dd_accsryclr!$A$2:$A$1000,dd_accsryclr!$A$2:$A$1000,"",0)</f>
        <v/>
      </c>
    </row>
    <row r="1424" spans="1:12" hidden="1" x14ac:dyDescent="0.25">
      <c r="A1424" s="16" t="s">
        <v>21</v>
      </c>
      <c r="B1424" s="16" t="s">
        <v>691</v>
      </c>
      <c r="C1424" s="16" t="s">
        <v>326</v>
      </c>
      <c r="D1424" s="16" t="s">
        <v>327</v>
      </c>
      <c r="E1424" s="16">
        <v>0.4879310344827586</v>
      </c>
      <c r="F1424" s="16" t="s">
        <v>194</v>
      </c>
      <c r="G1424" s="16"/>
      <c r="H1424" s="16" t="s">
        <v>321</v>
      </c>
      <c r="I1424" s="16" t="s">
        <v>226</v>
      </c>
      <c r="J1424" s="16" t="str">
        <f>IF(ISNUMBER(SEARCH("SCRW", H1424)), _xlfn.XLOOKUP(C1424,dd_item!$A$2:$A$147,dd_item!$B$2:$B$147,"",0),_xlfn.XLOOKUP(H1424,dd_item!$A$2:$A$147,dd_item!$B$2:$B$147,"",0))</f>
        <v>Interlocker45</v>
      </c>
      <c r="K1424" s="16" t="str">
        <f>_xlfn.XLOOKUP(A1424,dd_design_raw!$C$2:$C$1002,dd_design_raw!$A$2:$A$1002,"",0)</f>
        <v>Slide Slide Window</v>
      </c>
      <c r="L1424" s="16" t="str">
        <f>_xlfn.XLOOKUP(I1424,dd_accsryclr!$A$2:$A$1000,dd_accsryclr!$A$2:$A$1000,"",0)</f>
        <v/>
      </c>
    </row>
    <row r="1425" spans="1:12" hidden="1" x14ac:dyDescent="0.25">
      <c r="A1425" s="16" t="s">
        <v>21</v>
      </c>
      <c r="B1425" s="16" t="s">
        <v>691</v>
      </c>
      <c r="C1425" s="16" t="s">
        <v>328</v>
      </c>
      <c r="D1425" s="16" t="s">
        <v>329</v>
      </c>
      <c r="E1425" s="16">
        <v>0.4879310344827586</v>
      </c>
      <c r="F1425" s="16" t="s">
        <v>194</v>
      </c>
      <c r="G1425" s="16"/>
      <c r="H1425" s="16" t="s">
        <v>321</v>
      </c>
      <c r="I1425" s="16" t="s">
        <v>220</v>
      </c>
      <c r="J1425" s="16" t="str">
        <f>IF(ISNUMBER(SEARCH("SCRW", H1425)), _xlfn.XLOOKUP(C1425,dd_item!$A$2:$A$147,dd_item!$B$2:$B$147,"",0),_xlfn.XLOOKUP(H1425,dd_item!$A$2:$A$147,dd_item!$B$2:$B$147,"",0))</f>
        <v>Interlocker45</v>
      </c>
      <c r="K1425" s="16" t="str">
        <f>_xlfn.XLOOKUP(A1425,dd_design_raw!$C$2:$C$1002,dd_design_raw!$A$2:$A$1002,"",0)</f>
        <v>Slide Slide Window</v>
      </c>
      <c r="L1425" s="16" t="str">
        <f>_xlfn.XLOOKUP(I1425,dd_accsryclr!$A$2:$A$1000,dd_accsryclr!$A$2:$A$1000,"",0)</f>
        <v>WHT</v>
      </c>
    </row>
    <row r="1426" spans="1:12" hidden="1" x14ac:dyDescent="0.25">
      <c r="A1426" s="16" t="s">
        <v>21</v>
      </c>
      <c r="B1426" s="16" t="s">
        <v>691</v>
      </c>
      <c r="C1426" s="16" t="s">
        <v>330</v>
      </c>
      <c r="D1426" s="16" t="s">
        <v>331</v>
      </c>
      <c r="E1426" s="16">
        <v>0.4879310344827586</v>
      </c>
      <c r="F1426" s="16" t="s">
        <v>194</v>
      </c>
      <c r="G1426" s="16"/>
      <c r="H1426" s="16" t="s">
        <v>321</v>
      </c>
      <c r="I1426" s="16" t="s">
        <v>223</v>
      </c>
      <c r="J1426" s="16" t="str">
        <f>IF(ISNUMBER(SEARCH("SCRW", H1426)), _xlfn.XLOOKUP(C1426,dd_item!$A$2:$A$147,dd_item!$B$2:$B$147,"",0),_xlfn.XLOOKUP(H1426,dd_item!$A$2:$A$147,dd_item!$B$2:$B$147,"",0))</f>
        <v>Interlocker45</v>
      </c>
      <c r="K1426" s="16" t="str">
        <f>_xlfn.XLOOKUP(A1426,dd_design_raw!$C$2:$C$1002,dd_design_raw!$A$2:$A$1002,"",0)</f>
        <v>Slide Slide Window</v>
      </c>
      <c r="L1426" s="16" t="str">
        <f>_xlfn.XLOOKUP(I1426,dd_accsryclr!$A$2:$A$1000,dd_accsryclr!$A$2:$A$1000,"",0)</f>
        <v>BLK</v>
      </c>
    </row>
    <row r="1427" spans="1:12" hidden="1" x14ac:dyDescent="0.25">
      <c r="A1427" s="16" t="s">
        <v>21</v>
      </c>
      <c r="B1427" s="16" t="s">
        <v>691</v>
      </c>
      <c r="C1427" s="16" t="s">
        <v>332</v>
      </c>
      <c r="D1427" s="16" t="s">
        <v>333</v>
      </c>
      <c r="E1427" s="16">
        <v>0.4879310344827586</v>
      </c>
      <c r="F1427" s="16" t="s">
        <v>194</v>
      </c>
      <c r="G1427" s="16"/>
      <c r="H1427" s="16" t="s">
        <v>321</v>
      </c>
      <c r="I1427" s="16" t="s">
        <v>230</v>
      </c>
      <c r="J1427" s="16" t="str">
        <f>IF(ISNUMBER(SEARCH("SCRW", H1427)), _xlfn.XLOOKUP(C1427,dd_item!$A$2:$A$147,dd_item!$B$2:$B$147,"",0),_xlfn.XLOOKUP(H1427,dd_item!$A$2:$A$147,dd_item!$B$2:$B$147,"",0))</f>
        <v>Interlocker45</v>
      </c>
      <c r="K1427" s="16" t="str">
        <f>_xlfn.XLOOKUP(A1427,dd_design_raw!$C$2:$C$1002,dd_design_raw!$A$2:$A$1002,"",0)</f>
        <v>Slide Slide Window</v>
      </c>
      <c r="L1427" s="16" t="str">
        <f>_xlfn.XLOOKUP(I1427,dd_accsryclr!$A$2:$A$1000,dd_accsryclr!$A$2:$A$1000,"",0)</f>
        <v>BRWN</v>
      </c>
    </row>
    <row r="1428" spans="1:12" hidden="1" x14ac:dyDescent="0.25">
      <c r="A1428" s="16" t="s">
        <v>21</v>
      </c>
      <c r="B1428" s="16" t="s">
        <v>691</v>
      </c>
      <c r="C1428" s="16" t="s">
        <v>364</v>
      </c>
      <c r="D1428" s="16" t="s">
        <v>365</v>
      </c>
      <c r="E1428" s="16">
        <v>0.34482758620689657</v>
      </c>
      <c r="F1428" s="16" t="s">
        <v>293</v>
      </c>
      <c r="G1428" s="16"/>
      <c r="H1428" s="16" t="s">
        <v>366</v>
      </c>
      <c r="I1428" s="16" t="s">
        <v>443</v>
      </c>
      <c r="J1428" s="16" t="str">
        <f>IF(ISNUMBER(SEARCH("SCRW", H1428)), _xlfn.XLOOKUP(C1428,dd_item!$A$2:$A$147,dd_item!$B$2:$B$147,"",0),_xlfn.XLOOKUP(H1428,dd_item!$A$2:$A$147,dd_item!$B$2:$B$147,"",0))</f>
        <v>Aluminum Track</v>
      </c>
      <c r="K1428" s="16" t="str">
        <f>_xlfn.XLOOKUP(A1428,dd_design_raw!$C$2:$C$1002,dd_design_raw!$A$2:$A$1002,"",0)</f>
        <v>Slide Slide Window</v>
      </c>
      <c r="L1428" s="16" t="str">
        <f>_xlfn.XLOOKUP(I1428,dd_accsryclr!$A$2:$A$1000,dd_accsryclr!$A$2:$A$1000,"",0)</f>
        <v/>
      </c>
    </row>
    <row r="1429" spans="1:12" hidden="1" x14ac:dyDescent="0.25">
      <c r="A1429" s="16" t="s">
        <v>21</v>
      </c>
      <c r="B1429" s="16" t="s">
        <v>691</v>
      </c>
      <c r="C1429" s="16" t="s">
        <v>673</v>
      </c>
      <c r="D1429" s="16" t="s">
        <v>674</v>
      </c>
      <c r="E1429" s="16">
        <v>1</v>
      </c>
      <c r="F1429" s="16" t="s">
        <v>369</v>
      </c>
      <c r="G1429" s="16"/>
      <c r="H1429" s="16" t="s">
        <v>675</v>
      </c>
      <c r="I1429" s="16" t="s">
        <v>223</v>
      </c>
      <c r="J1429" s="16" t="str">
        <f>IF(ISNUMBER(SEARCH("SCRW", H1429)), _xlfn.XLOOKUP(C1429,dd_item!$A$2:$A$147,dd_item!$B$2:$B$147,"",0),_xlfn.XLOOKUP(H1429,dd_item!$A$2:$A$147,dd_item!$B$2:$B$147,"",0))</f>
        <v>Sliding Espag Handle</v>
      </c>
      <c r="K1429" s="16" t="str">
        <f>_xlfn.XLOOKUP(A1429,dd_design_raw!$C$2:$C$1002,dd_design_raw!$A$2:$A$1002,"",0)</f>
        <v>Slide Slide Window</v>
      </c>
      <c r="L1429" s="16" t="str">
        <f>_xlfn.XLOOKUP(I1429,dd_accsryclr!$A$2:$A$1000,dd_accsryclr!$A$2:$A$1000,"",0)</f>
        <v>BLK</v>
      </c>
    </row>
    <row r="1430" spans="1:12" hidden="1" x14ac:dyDescent="0.25">
      <c r="A1430" s="16" t="s">
        <v>21</v>
      </c>
      <c r="B1430" s="16" t="s">
        <v>691</v>
      </c>
      <c r="C1430" s="16" t="s">
        <v>676</v>
      </c>
      <c r="D1430" s="16" t="s">
        <v>677</v>
      </c>
      <c r="E1430" s="16">
        <v>1</v>
      </c>
      <c r="F1430" s="16" t="s">
        <v>369</v>
      </c>
      <c r="G1430" s="16"/>
      <c r="H1430" s="16" t="s">
        <v>675</v>
      </c>
      <c r="I1430" s="16" t="s">
        <v>220</v>
      </c>
      <c r="J1430" s="16" t="str">
        <f>IF(ISNUMBER(SEARCH("SCRW", H1430)), _xlfn.XLOOKUP(C1430,dd_item!$A$2:$A$147,dd_item!$B$2:$B$147,"",0),_xlfn.XLOOKUP(H1430,dd_item!$A$2:$A$147,dd_item!$B$2:$B$147,"",0))</f>
        <v>Sliding Espag Handle</v>
      </c>
      <c r="K1430" s="16" t="str">
        <f>_xlfn.XLOOKUP(A1430,dd_design_raw!$C$2:$C$1002,dd_design_raw!$A$2:$A$1002,"",0)</f>
        <v>Slide Slide Window</v>
      </c>
      <c r="L1430" s="16" t="str">
        <f>_xlfn.XLOOKUP(I1430,dd_accsryclr!$A$2:$A$1000,dd_accsryclr!$A$2:$A$1000,"",0)</f>
        <v>WHT</v>
      </c>
    </row>
    <row r="1431" spans="1:12" hidden="1" x14ac:dyDescent="0.25">
      <c r="A1431" s="16" t="s">
        <v>21</v>
      </c>
      <c r="B1431" s="16" t="s">
        <v>691</v>
      </c>
      <c r="C1431" s="16" t="s">
        <v>678</v>
      </c>
      <c r="D1431" s="16" t="s">
        <v>679</v>
      </c>
      <c r="E1431" s="16">
        <v>1</v>
      </c>
      <c r="F1431" s="16" t="s">
        <v>369</v>
      </c>
      <c r="G1431" s="16"/>
      <c r="H1431" s="16" t="s">
        <v>680</v>
      </c>
      <c r="I1431" s="16" t="s">
        <v>223</v>
      </c>
      <c r="J1431" s="16" t="str">
        <f>IF(ISNUMBER(SEARCH("SCRW", H1431)), _xlfn.XLOOKUP(C1431,dd_item!$A$2:$A$147,dd_item!$B$2:$B$147,"",0),_xlfn.XLOOKUP(H1431,dd_item!$A$2:$A$147,dd_item!$B$2:$B$147,"",0))</f>
        <v>Double Side Handle Inside Low Height</v>
      </c>
      <c r="K1431" s="16" t="str">
        <f>_xlfn.XLOOKUP(A1431,dd_design_raw!$C$2:$C$1002,dd_design_raw!$A$2:$A$1002,"",0)</f>
        <v>Slide Slide Window</v>
      </c>
      <c r="L1431" s="16" t="str">
        <f>_xlfn.XLOOKUP(I1431,dd_accsryclr!$A$2:$A$1000,dd_accsryclr!$A$2:$A$1000,"",0)</f>
        <v>BLK</v>
      </c>
    </row>
    <row r="1432" spans="1:12" hidden="1" x14ac:dyDescent="0.25">
      <c r="A1432" s="16" t="s">
        <v>21</v>
      </c>
      <c r="B1432" s="16" t="s">
        <v>691</v>
      </c>
      <c r="C1432" s="16" t="s">
        <v>681</v>
      </c>
      <c r="D1432" s="16" t="s">
        <v>682</v>
      </c>
      <c r="E1432" s="16">
        <v>1</v>
      </c>
      <c r="F1432" s="16" t="s">
        <v>369</v>
      </c>
      <c r="G1432" s="16"/>
      <c r="H1432" s="16" t="s">
        <v>680</v>
      </c>
      <c r="I1432" s="16" t="s">
        <v>220</v>
      </c>
      <c r="J1432" s="16" t="str">
        <f>IF(ISNUMBER(SEARCH("SCRW", H1432)), _xlfn.XLOOKUP(C1432,dd_item!$A$2:$A$147,dd_item!$B$2:$B$147,"",0),_xlfn.XLOOKUP(H1432,dd_item!$A$2:$A$147,dd_item!$B$2:$B$147,"",0))</f>
        <v>Double Side Handle Inside Low Height</v>
      </c>
      <c r="K1432" s="16" t="str">
        <f>_xlfn.XLOOKUP(A1432,dd_design_raw!$C$2:$C$1002,dd_design_raw!$A$2:$A$1002,"",0)</f>
        <v>Slide Slide Window</v>
      </c>
      <c r="L1432" s="16" t="str">
        <f>_xlfn.XLOOKUP(I1432,dd_accsryclr!$A$2:$A$1000,dd_accsryclr!$A$2:$A$1000,"",0)</f>
        <v>WHT</v>
      </c>
    </row>
    <row r="1433" spans="1:12" hidden="1" x14ac:dyDescent="0.25">
      <c r="A1433" s="16" t="s">
        <v>21</v>
      </c>
      <c r="B1433" s="16" t="s">
        <v>691</v>
      </c>
      <c r="C1433" s="16" t="s">
        <v>387</v>
      </c>
      <c r="D1433" s="16" t="s">
        <v>388</v>
      </c>
      <c r="E1433" s="16">
        <v>6</v>
      </c>
      <c r="F1433" s="16" t="s">
        <v>369</v>
      </c>
      <c r="G1433" s="16"/>
      <c r="H1433" s="16" t="s">
        <v>389</v>
      </c>
      <c r="I1433" s="16" t="s">
        <v>574</v>
      </c>
      <c r="J1433" s="16" t="str">
        <f>IF(ISNUMBER(SEARCH("SCRW", H1433)), _xlfn.XLOOKUP(C1433,dd_item!$A$2:$A$147,dd_item!$B$2:$B$147,"",0),_xlfn.XLOOKUP(H1433,dd_item!$A$2:$A$147,dd_item!$B$2:$B$147,"",0))</f>
        <v>Sliding Striker (Roto)</v>
      </c>
      <c r="K1433" s="16" t="str">
        <f>_xlfn.XLOOKUP(A1433,dd_design_raw!$C$2:$C$1002,dd_design_raw!$A$2:$A$1002,"",0)</f>
        <v>Slide Slide Window</v>
      </c>
      <c r="L1433" s="16" t="str">
        <f>_xlfn.XLOOKUP(I1433,dd_accsryclr!$A$2:$A$1000,dd_accsryclr!$A$2:$A$1000,"",0)</f>
        <v/>
      </c>
    </row>
    <row r="1434" spans="1:12" hidden="1" x14ac:dyDescent="0.25">
      <c r="A1434" s="16" t="s">
        <v>21</v>
      </c>
      <c r="B1434" s="16" t="s">
        <v>691</v>
      </c>
      <c r="C1434" s="16" t="s">
        <v>390</v>
      </c>
      <c r="D1434" s="16" t="s">
        <v>391</v>
      </c>
      <c r="E1434" s="16">
        <v>26.040000000000003</v>
      </c>
      <c r="F1434" s="16" t="s">
        <v>369</v>
      </c>
      <c r="G1434" s="16"/>
      <c r="H1434" s="16" t="s">
        <v>792</v>
      </c>
      <c r="I1434" s="16"/>
      <c r="J1434" s="16" t="str">
        <f>IF(ISNUMBER(SEARCH("SCRW", H1434)), _xlfn.XLOOKUP(C1434,dd_item!$A$2:$A$147,dd_item!$B$2:$B$147,"",0),_xlfn.XLOOKUP(H1434,dd_item!$A$2:$A$147,dd_item!$B$2:$B$147,"",0))</f>
        <v>Atlas Screw (S) 10 x 2-1/2" (Flat)</v>
      </c>
      <c r="K1434" s="16" t="str">
        <f>_xlfn.XLOOKUP(A1434,dd_design_raw!$C$2:$C$1002,dd_design_raw!$A$2:$A$1002,"",0)</f>
        <v>Slide Slide Window</v>
      </c>
      <c r="L1434" s="16" t="str">
        <f>_xlfn.XLOOKUP(I1434,dd_accsryclr!$A$2:$A$1000,dd_accsryclr!$A$2:$A$1000,"",0)</f>
        <v/>
      </c>
    </row>
    <row r="1435" spans="1:12" hidden="1" x14ac:dyDescent="0.25">
      <c r="A1435" s="16" t="s">
        <v>21</v>
      </c>
      <c r="B1435" s="16" t="s">
        <v>691</v>
      </c>
      <c r="C1435" s="16" t="s">
        <v>392</v>
      </c>
      <c r="D1435" s="16" t="s">
        <v>393</v>
      </c>
      <c r="E1435" s="16">
        <v>3</v>
      </c>
      <c r="F1435" s="16" t="s">
        <v>369</v>
      </c>
      <c r="G1435" s="16"/>
      <c r="H1435" s="16" t="s">
        <v>394</v>
      </c>
      <c r="I1435" s="16" t="s">
        <v>223</v>
      </c>
      <c r="J1435" s="16" t="str">
        <f>IF(ISNUMBER(SEARCH("SCRW", H1435)), _xlfn.XLOOKUP(C1435,dd_item!$A$2:$A$147,dd_item!$B$2:$B$147,"",0),_xlfn.XLOOKUP(H1435,dd_item!$A$2:$A$147,dd_item!$B$2:$B$147,"",0))</f>
        <v>Drainage Cover</v>
      </c>
      <c r="K1435" s="16" t="str">
        <f>_xlfn.XLOOKUP(A1435,dd_design_raw!$C$2:$C$1002,dd_design_raw!$A$2:$A$1002,"",0)</f>
        <v>Slide Slide Window</v>
      </c>
      <c r="L1435" s="16" t="str">
        <f>_xlfn.XLOOKUP(I1435,dd_accsryclr!$A$2:$A$1000,dd_accsryclr!$A$2:$A$1000,"",0)</f>
        <v>BLK</v>
      </c>
    </row>
    <row r="1436" spans="1:12" hidden="1" x14ac:dyDescent="0.25">
      <c r="A1436" s="16" t="s">
        <v>21</v>
      </c>
      <c r="B1436" s="16" t="s">
        <v>691</v>
      </c>
      <c r="C1436" s="16" t="s">
        <v>395</v>
      </c>
      <c r="D1436" s="16" t="s">
        <v>396</v>
      </c>
      <c r="E1436" s="16">
        <v>3</v>
      </c>
      <c r="F1436" s="16" t="s">
        <v>369</v>
      </c>
      <c r="G1436" s="16"/>
      <c r="H1436" s="16" t="s">
        <v>394</v>
      </c>
      <c r="I1436" s="16" t="s">
        <v>220</v>
      </c>
      <c r="J1436" s="16" t="str">
        <f>IF(ISNUMBER(SEARCH("SCRW", H1436)), _xlfn.XLOOKUP(C1436,dd_item!$A$2:$A$147,dd_item!$B$2:$B$147,"",0),_xlfn.XLOOKUP(H1436,dd_item!$A$2:$A$147,dd_item!$B$2:$B$147,"",0))</f>
        <v>Drainage Cover</v>
      </c>
      <c r="K1436" s="16" t="str">
        <f>_xlfn.XLOOKUP(A1436,dd_design_raw!$C$2:$C$1002,dd_design_raw!$A$2:$A$1002,"",0)</f>
        <v>Slide Slide Window</v>
      </c>
      <c r="L1436" s="16" t="str">
        <f>_xlfn.XLOOKUP(I1436,dd_accsryclr!$A$2:$A$1000,dd_accsryclr!$A$2:$A$1000,"",0)</f>
        <v>WHT</v>
      </c>
    </row>
    <row r="1437" spans="1:12" hidden="1" x14ac:dyDescent="0.25">
      <c r="A1437" s="16" t="s">
        <v>21</v>
      </c>
      <c r="B1437" s="16" t="s">
        <v>691</v>
      </c>
      <c r="C1437" s="16" t="s">
        <v>397</v>
      </c>
      <c r="D1437" s="16" t="s">
        <v>398</v>
      </c>
      <c r="E1437" s="16">
        <v>0.52080000000000004</v>
      </c>
      <c r="F1437" s="16" t="s">
        <v>369</v>
      </c>
      <c r="G1437" s="16"/>
      <c r="H1437" s="16" t="s">
        <v>399</v>
      </c>
      <c r="I1437" s="16" t="s">
        <v>400</v>
      </c>
      <c r="J1437" s="16" t="str">
        <f>IF(ISNUMBER(SEARCH("SCRW", H1437)), _xlfn.XLOOKUP(C1437,dd_item!$A$2:$A$147,dd_item!$B$2:$B$147,"",0),_xlfn.XLOOKUP(H1437,dd_item!$A$2:$A$147,dd_item!$B$2:$B$147,"",0))</f>
        <v>Tox6</v>
      </c>
      <c r="K1437" s="16" t="str">
        <f>_xlfn.XLOOKUP(A1437,dd_design_raw!$C$2:$C$1002,dd_design_raw!$A$2:$A$1002,"",0)</f>
        <v>Slide Slide Window</v>
      </c>
      <c r="L1437" s="16" t="str">
        <f>_xlfn.XLOOKUP(I1437,dd_accsryclr!$A$2:$A$1000,dd_accsryclr!$A$2:$A$1000,"",0)</f>
        <v/>
      </c>
    </row>
    <row r="1438" spans="1:12" hidden="1" x14ac:dyDescent="0.25">
      <c r="A1438" s="16" t="s">
        <v>21</v>
      </c>
      <c r="B1438" s="16" t="s">
        <v>691</v>
      </c>
      <c r="C1438" s="16" t="s">
        <v>401</v>
      </c>
      <c r="D1438" s="16" t="s">
        <v>402</v>
      </c>
      <c r="E1438" s="16">
        <v>14.040000000000003</v>
      </c>
      <c r="F1438" s="16" t="s">
        <v>369</v>
      </c>
      <c r="G1438" s="16"/>
      <c r="H1438" s="16" t="s">
        <v>403</v>
      </c>
      <c r="I1438" s="16" t="s">
        <v>223</v>
      </c>
      <c r="J1438" s="16" t="str">
        <f>IF(ISNUMBER(SEARCH("SCRW", H1438)), _xlfn.XLOOKUP(C1438,dd_item!$A$2:$A$147,dd_item!$B$2:$B$147,"",0),_xlfn.XLOOKUP(H1438,dd_item!$A$2:$A$147,dd_item!$B$2:$B$147,"",0))</f>
        <v>Cover Cap</v>
      </c>
      <c r="K1438" s="16" t="str">
        <f>_xlfn.XLOOKUP(A1438,dd_design_raw!$C$2:$C$1002,dd_design_raw!$A$2:$A$1002,"",0)</f>
        <v>Slide Slide Window</v>
      </c>
      <c r="L1438" s="16" t="str">
        <f>_xlfn.XLOOKUP(I1438,dd_accsryclr!$A$2:$A$1000,dd_accsryclr!$A$2:$A$1000,"",0)</f>
        <v>BLK</v>
      </c>
    </row>
    <row r="1439" spans="1:12" hidden="1" x14ac:dyDescent="0.25">
      <c r="A1439" s="16" t="s">
        <v>21</v>
      </c>
      <c r="B1439" s="16" t="s">
        <v>691</v>
      </c>
      <c r="C1439" s="16" t="s">
        <v>404</v>
      </c>
      <c r="D1439" s="16" t="s">
        <v>405</v>
      </c>
      <c r="E1439" s="16">
        <v>14.040000000000003</v>
      </c>
      <c r="F1439" s="16" t="s">
        <v>369</v>
      </c>
      <c r="G1439" s="16"/>
      <c r="H1439" s="16" t="s">
        <v>403</v>
      </c>
      <c r="I1439" s="16" t="s">
        <v>220</v>
      </c>
      <c r="J1439" s="16" t="str">
        <f>IF(ISNUMBER(SEARCH("SCRW", H1439)), _xlfn.XLOOKUP(C1439,dd_item!$A$2:$A$147,dd_item!$B$2:$B$147,"",0),_xlfn.XLOOKUP(H1439,dd_item!$A$2:$A$147,dd_item!$B$2:$B$147,"",0))</f>
        <v>Cover Cap</v>
      </c>
      <c r="K1439" s="16" t="str">
        <f>_xlfn.XLOOKUP(A1439,dd_design_raw!$C$2:$C$1002,dd_design_raw!$A$2:$A$1002,"",0)</f>
        <v>Slide Slide Window</v>
      </c>
      <c r="L1439" s="16" t="str">
        <f>_xlfn.XLOOKUP(I1439,dd_accsryclr!$A$2:$A$1000,dd_accsryclr!$A$2:$A$1000,"",0)</f>
        <v>WHT</v>
      </c>
    </row>
    <row r="1440" spans="1:12" hidden="1" x14ac:dyDescent="0.25">
      <c r="A1440" s="16" t="s">
        <v>21</v>
      </c>
      <c r="B1440" s="16" t="s">
        <v>691</v>
      </c>
      <c r="C1440" s="16" t="s">
        <v>683</v>
      </c>
      <c r="D1440" s="16" t="s">
        <v>684</v>
      </c>
      <c r="E1440" s="16">
        <v>2</v>
      </c>
      <c r="F1440" s="16" t="s">
        <v>369</v>
      </c>
      <c r="G1440" s="16"/>
      <c r="H1440" s="16" t="s">
        <v>685</v>
      </c>
      <c r="I1440" s="16" t="s">
        <v>223</v>
      </c>
      <c r="J1440" s="16" t="str">
        <f>IF(ISNUMBER(SEARCH("SCRW", H1440)), _xlfn.XLOOKUP(C1440,dd_item!$A$2:$A$147,dd_item!$B$2:$B$147,"",0),_xlfn.XLOOKUP(H1440,dd_item!$A$2:$A$147,dd_item!$B$2:$B$147,"",0))</f>
        <v>PNS Handle</v>
      </c>
      <c r="K1440" s="16" t="str">
        <f>_xlfn.XLOOKUP(A1440,dd_design_raw!$C$2:$C$1002,dd_design_raw!$A$2:$A$1002,"",0)</f>
        <v>Slide Slide Window</v>
      </c>
      <c r="L1440" s="16" t="str">
        <f>_xlfn.XLOOKUP(I1440,dd_accsryclr!$A$2:$A$1000,dd_accsryclr!$A$2:$A$1000,"",0)</f>
        <v>BLK</v>
      </c>
    </row>
    <row r="1441" spans="1:12" hidden="1" x14ac:dyDescent="0.25">
      <c r="A1441" s="16" t="s">
        <v>21</v>
      </c>
      <c r="B1441" s="16" t="s">
        <v>691</v>
      </c>
      <c r="C1441" s="16" t="s">
        <v>686</v>
      </c>
      <c r="D1441" s="16" t="s">
        <v>687</v>
      </c>
      <c r="E1441" s="16">
        <v>2</v>
      </c>
      <c r="F1441" s="16" t="s">
        <v>369</v>
      </c>
      <c r="G1441" s="16"/>
      <c r="H1441" s="16" t="s">
        <v>685</v>
      </c>
      <c r="I1441" s="16" t="s">
        <v>220</v>
      </c>
      <c r="J1441" s="16" t="str">
        <f>IF(ISNUMBER(SEARCH("SCRW", H1441)), _xlfn.XLOOKUP(C1441,dd_item!$A$2:$A$147,dd_item!$B$2:$B$147,"",0),_xlfn.XLOOKUP(H1441,dd_item!$A$2:$A$147,dd_item!$B$2:$B$147,"",0))</f>
        <v>PNS Handle</v>
      </c>
      <c r="K1441" s="16" t="str">
        <f>_xlfn.XLOOKUP(A1441,dd_design_raw!$C$2:$C$1002,dd_design_raw!$A$2:$A$1002,"",0)</f>
        <v>Slide Slide Window</v>
      </c>
      <c r="L1441" s="16" t="str">
        <f>_xlfn.XLOOKUP(I1441,dd_accsryclr!$A$2:$A$1000,dd_accsryclr!$A$2:$A$1000,"",0)</f>
        <v>WHT</v>
      </c>
    </row>
    <row r="1442" spans="1:12" hidden="1" x14ac:dyDescent="0.25">
      <c r="A1442" s="16" t="s">
        <v>21</v>
      </c>
      <c r="B1442" s="16" t="s">
        <v>691</v>
      </c>
      <c r="C1442" s="16" t="s">
        <v>412</v>
      </c>
      <c r="D1442" s="16" t="s">
        <v>413</v>
      </c>
      <c r="E1442" s="16">
        <v>4</v>
      </c>
      <c r="F1442" s="16" t="s">
        <v>369</v>
      </c>
      <c r="G1442" s="16"/>
      <c r="H1442" s="16" t="s">
        <v>793</v>
      </c>
      <c r="I1442" s="16"/>
      <c r="J1442" s="16" t="str">
        <f>IF(ISNUMBER(SEARCH("SCRW", H1442)), _xlfn.XLOOKUP(C1442,dd_item!$A$2:$A$147,dd_item!$B$2:$B$147,"",0),_xlfn.XLOOKUP(H1442,dd_item!$A$2:$A$147,dd_item!$B$2:$B$147,"",0))</f>
        <v>Atlas Screw (S) 8 x 1-1/4" (Flat)</v>
      </c>
      <c r="K1442" s="16" t="str">
        <f>_xlfn.XLOOKUP(A1442,dd_design_raw!$C$2:$C$1002,dd_design_raw!$A$2:$A$1002,"",0)</f>
        <v>Slide Slide Window</v>
      </c>
      <c r="L1442" s="16" t="str">
        <f>_xlfn.XLOOKUP(I1442,dd_accsryclr!$A$2:$A$1000,dd_accsryclr!$A$2:$A$1000,"",0)</f>
        <v/>
      </c>
    </row>
    <row r="1443" spans="1:12" hidden="1" x14ac:dyDescent="0.25">
      <c r="A1443" s="16" t="s">
        <v>21</v>
      </c>
      <c r="B1443" s="16" t="s">
        <v>691</v>
      </c>
      <c r="C1443" s="16" t="s">
        <v>414</v>
      </c>
      <c r="D1443" s="16" t="s">
        <v>415</v>
      </c>
      <c r="E1443" s="16">
        <v>4.6800000000000006</v>
      </c>
      <c r="F1443" s="16" t="s">
        <v>369</v>
      </c>
      <c r="G1443" s="16"/>
      <c r="H1443" s="16" t="s">
        <v>416</v>
      </c>
      <c r="I1443" s="16" t="s">
        <v>223</v>
      </c>
      <c r="J1443" s="16" t="str">
        <f>IF(ISNUMBER(SEARCH("SCRW", H1443)), _xlfn.XLOOKUP(C1443,dd_item!$A$2:$A$147,dd_item!$B$2:$B$147,"",0),_xlfn.XLOOKUP(H1443,dd_item!$A$2:$A$147,dd_item!$B$2:$B$147,"",0))</f>
        <v>Sealant</v>
      </c>
      <c r="K1443" s="16" t="str">
        <f>_xlfn.XLOOKUP(A1443,dd_design_raw!$C$2:$C$1002,dd_design_raw!$A$2:$A$1002,"",0)</f>
        <v>Slide Slide Window</v>
      </c>
      <c r="L1443" s="16" t="str">
        <f>_xlfn.XLOOKUP(I1443,dd_accsryclr!$A$2:$A$1000,dd_accsryclr!$A$2:$A$1000,"",0)</f>
        <v>BLK</v>
      </c>
    </row>
    <row r="1444" spans="1:12" hidden="1" x14ac:dyDescent="0.25">
      <c r="A1444" s="16" t="s">
        <v>21</v>
      </c>
      <c r="B1444" s="16" t="s">
        <v>691</v>
      </c>
      <c r="C1444" s="16" t="s">
        <v>417</v>
      </c>
      <c r="D1444" s="16" t="s">
        <v>418</v>
      </c>
      <c r="E1444" s="16">
        <v>4.6800000000000006</v>
      </c>
      <c r="F1444" s="16" t="s">
        <v>369</v>
      </c>
      <c r="G1444" s="16"/>
      <c r="H1444" s="16" t="s">
        <v>416</v>
      </c>
      <c r="I1444" s="16" t="s">
        <v>230</v>
      </c>
      <c r="J1444" s="16" t="str">
        <f>IF(ISNUMBER(SEARCH("SCRW", H1444)), _xlfn.XLOOKUP(C1444,dd_item!$A$2:$A$147,dd_item!$B$2:$B$147,"",0),_xlfn.XLOOKUP(H1444,dd_item!$A$2:$A$147,dd_item!$B$2:$B$147,"",0))</f>
        <v>Sealant</v>
      </c>
      <c r="K1444" s="16" t="str">
        <f>_xlfn.XLOOKUP(A1444,dd_design_raw!$C$2:$C$1002,dd_design_raw!$A$2:$A$1002,"",0)</f>
        <v>Slide Slide Window</v>
      </c>
      <c r="L1444" s="16" t="str">
        <f>_xlfn.XLOOKUP(I1444,dd_accsryclr!$A$2:$A$1000,dd_accsryclr!$A$2:$A$1000,"",0)</f>
        <v>BRWN</v>
      </c>
    </row>
    <row r="1445" spans="1:12" hidden="1" x14ac:dyDescent="0.25">
      <c r="A1445" s="16" t="s">
        <v>21</v>
      </c>
      <c r="B1445" s="16" t="s">
        <v>691</v>
      </c>
      <c r="C1445" s="16" t="s">
        <v>419</v>
      </c>
      <c r="D1445" s="16" t="s">
        <v>420</v>
      </c>
      <c r="E1445" s="16">
        <v>4.6800000000000006</v>
      </c>
      <c r="F1445" s="16" t="s">
        <v>369</v>
      </c>
      <c r="G1445" s="16"/>
      <c r="H1445" s="16" t="s">
        <v>416</v>
      </c>
      <c r="I1445" s="16" t="s">
        <v>220</v>
      </c>
      <c r="J1445" s="16" t="str">
        <f>IF(ISNUMBER(SEARCH("SCRW", H1445)), _xlfn.XLOOKUP(C1445,dd_item!$A$2:$A$147,dd_item!$B$2:$B$147,"",0),_xlfn.XLOOKUP(H1445,dd_item!$A$2:$A$147,dd_item!$B$2:$B$147,"",0))</f>
        <v>Sealant</v>
      </c>
      <c r="K1445" s="16" t="str">
        <f>_xlfn.XLOOKUP(A1445,dd_design_raw!$C$2:$C$1002,dd_design_raw!$A$2:$A$1002,"",0)</f>
        <v>Slide Slide Window</v>
      </c>
      <c r="L1445" s="16" t="str">
        <f>_xlfn.XLOOKUP(I1445,dd_accsryclr!$A$2:$A$1000,dd_accsryclr!$A$2:$A$1000,"",0)</f>
        <v>WHT</v>
      </c>
    </row>
    <row r="1446" spans="1:12" hidden="1" x14ac:dyDescent="0.25">
      <c r="A1446" s="16" t="s">
        <v>21</v>
      </c>
      <c r="B1446" s="16" t="s">
        <v>691</v>
      </c>
      <c r="C1446" s="16" t="s">
        <v>421</v>
      </c>
      <c r="D1446" s="16" t="s">
        <v>422</v>
      </c>
      <c r="E1446" s="16"/>
      <c r="F1446" s="16" t="s">
        <v>369</v>
      </c>
      <c r="G1446" s="16"/>
      <c r="H1446" s="16" t="s">
        <v>416</v>
      </c>
      <c r="I1446" s="16" t="s">
        <v>423</v>
      </c>
      <c r="J1446" s="16" t="str">
        <f>IF(ISNUMBER(SEARCH("SCRW", H1446)), _xlfn.XLOOKUP(C1446,dd_item!$A$2:$A$147,dd_item!$B$2:$B$147,"",0),_xlfn.XLOOKUP(H1446,dd_item!$A$2:$A$147,dd_item!$B$2:$B$147,"",0))</f>
        <v>Sealant</v>
      </c>
      <c r="K1446" s="16" t="str">
        <f>_xlfn.XLOOKUP(A1446,dd_design_raw!$C$2:$C$1002,dd_design_raw!$A$2:$A$1002,"",0)</f>
        <v>Slide Slide Window</v>
      </c>
      <c r="L1446" s="16" t="str">
        <f>_xlfn.XLOOKUP(I1446,dd_accsryclr!$A$2:$A$1000,dd_accsryclr!$A$2:$A$1000,"",0)</f>
        <v/>
      </c>
    </row>
    <row r="1447" spans="1:12" hidden="1" x14ac:dyDescent="0.25">
      <c r="A1447" s="16" t="s">
        <v>21</v>
      </c>
      <c r="B1447" s="16" t="s">
        <v>691</v>
      </c>
      <c r="C1447" s="16" t="s">
        <v>552</v>
      </c>
      <c r="D1447" s="16" t="s">
        <v>553</v>
      </c>
      <c r="E1447" s="16">
        <v>4</v>
      </c>
      <c r="F1447" s="16" t="s">
        <v>369</v>
      </c>
      <c r="G1447" s="16"/>
      <c r="H1447" s="16" t="s">
        <v>794</v>
      </c>
      <c r="I1447" s="16" t="s">
        <v>554</v>
      </c>
      <c r="J1447" s="16" t="str">
        <f>IF(ISNUMBER(SEARCH("SCRW", H1447)), _xlfn.XLOOKUP(C1447,dd_item!$A$2:$A$147,dd_item!$B$2:$B$147,"",0),_xlfn.XLOOKUP(H1447,dd_item!$A$2:$A$147,dd_item!$B$2:$B$147,"",0))</f>
        <v>Atlas Screw S.B JF 5 x 50</v>
      </c>
      <c r="K1447" s="16" t="str">
        <f>_xlfn.XLOOKUP(A1447,dd_design_raw!$C$2:$C$1002,dd_design_raw!$A$2:$A$1002,"",0)</f>
        <v>Slide Slide Window</v>
      </c>
      <c r="L1447" s="16" t="str">
        <f>_xlfn.XLOOKUP(I1447,dd_accsryclr!$A$2:$A$1000,dd_accsryclr!$A$2:$A$1000,"",0)</f>
        <v/>
      </c>
    </row>
    <row r="1448" spans="1:12" hidden="1" x14ac:dyDescent="0.25">
      <c r="A1448" s="16" t="s">
        <v>21</v>
      </c>
      <c r="B1448" s="16" t="s">
        <v>691</v>
      </c>
      <c r="C1448" s="16" t="s">
        <v>424</v>
      </c>
      <c r="D1448" s="16" t="s">
        <v>425</v>
      </c>
      <c r="E1448" s="16">
        <v>6</v>
      </c>
      <c r="F1448" s="16" t="s">
        <v>369</v>
      </c>
      <c r="G1448" s="16"/>
      <c r="H1448" s="16" t="s">
        <v>819</v>
      </c>
      <c r="I1448" s="16"/>
      <c r="J1448" s="16" t="str">
        <f>IF(ISNUMBER(SEARCH("SCRW", H1448)), _xlfn.XLOOKUP(C1448,dd_item!$A$2:$A$147,dd_item!$B$2:$B$147,"",0),_xlfn.XLOOKUP(H1448,dd_item!$A$2:$A$147,dd_item!$B$2:$B$147,"",0))</f>
        <v>Atlas Screw (S) 6 x 3/4" (FLAT)</v>
      </c>
      <c r="K1448" s="16" t="str">
        <f>_xlfn.XLOOKUP(A1448,dd_design_raw!$C$2:$C$1002,dd_design_raw!$A$2:$A$1002,"",0)</f>
        <v>Slide Slide Window</v>
      </c>
      <c r="L1448" s="16" t="str">
        <f>_xlfn.XLOOKUP(I1448,dd_accsryclr!$A$2:$A$1000,dd_accsryclr!$A$2:$A$1000,"",0)</f>
        <v/>
      </c>
    </row>
    <row r="1449" spans="1:12" hidden="1" x14ac:dyDescent="0.25">
      <c r="A1449" s="16" t="s">
        <v>21</v>
      </c>
      <c r="B1449" s="16" t="s">
        <v>691</v>
      </c>
      <c r="C1449" s="16" t="s">
        <v>265</v>
      </c>
      <c r="D1449" s="16" t="s">
        <v>266</v>
      </c>
      <c r="E1449" s="16"/>
      <c r="F1449" s="16" t="s">
        <v>194</v>
      </c>
      <c r="G1449" s="16" t="s">
        <v>469</v>
      </c>
      <c r="H1449" s="16" t="s">
        <v>820</v>
      </c>
      <c r="I1449" s="16"/>
      <c r="J1449" s="16" t="str">
        <f>IF(ISNUMBER(SEARCH("SCRW", H1449)), _xlfn.XLOOKUP(C1449,dd_item!$A$2:$A$147,dd_item!$B$2:$B$147,"",0),_xlfn.XLOOKUP(H1449,dd_item!$A$2:$A$147,dd_item!$B$2:$B$147,"",0))</f>
        <v>Steel-Frame90</v>
      </c>
      <c r="K1449" s="16" t="str">
        <f>_xlfn.XLOOKUP(A1449,dd_design_raw!$C$2:$C$1002,dd_design_raw!$A$2:$A$1002,"",0)</f>
        <v>Slide Slide Window</v>
      </c>
      <c r="L1449" s="16" t="str">
        <f>_xlfn.XLOOKUP(I1449,dd_accsryclr!$A$2:$A$1000,dd_accsryclr!$A$2:$A$1000,"",0)</f>
        <v/>
      </c>
    </row>
    <row r="1450" spans="1:12" hidden="1" x14ac:dyDescent="0.25">
      <c r="A1450" s="16" t="s">
        <v>24</v>
      </c>
      <c r="B1450" s="16" t="s">
        <v>692</v>
      </c>
      <c r="C1450" s="16" t="s">
        <v>467</v>
      </c>
      <c r="D1450" s="16" t="s">
        <v>468</v>
      </c>
      <c r="E1450" s="16">
        <v>1.6241379310344828</v>
      </c>
      <c r="F1450" s="16" t="s">
        <v>194</v>
      </c>
      <c r="G1450" s="16"/>
      <c r="H1450" s="16" t="s">
        <v>469</v>
      </c>
      <c r="I1450" s="16" t="s">
        <v>211</v>
      </c>
      <c r="J1450" s="16" t="str">
        <f>IF(ISNUMBER(SEARCH("SCRW", H1450)), _xlfn.XLOOKUP(C1450,dd_item!$A$2:$A$147,dd_item!$B$2:$B$147,"",0),_xlfn.XLOOKUP(H1450,dd_item!$A$2:$A$147,dd_item!$B$2:$B$147,"",0))</f>
        <v>Frame90</v>
      </c>
      <c r="K1450" s="16" t="str">
        <f>_xlfn.XLOOKUP(A1450,dd_design_raw!$C$2:$C$1002,dd_design_raw!$A$2:$A$1002,"",0)</f>
        <v>Slide Slide Door</v>
      </c>
      <c r="L1450" s="16" t="str">
        <f>_xlfn.XLOOKUP(I1450,dd_accsryclr!$A$2:$A$1000,dd_accsryclr!$A$2:$A$1000,"",0)</f>
        <v/>
      </c>
    </row>
    <row r="1451" spans="1:12" hidden="1" x14ac:dyDescent="0.25">
      <c r="A1451" s="16" t="s">
        <v>24</v>
      </c>
      <c r="B1451" s="16" t="s">
        <v>692</v>
      </c>
      <c r="C1451" s="16" t="s">
        <v>470</v>
      </c>
      <c r="D1451" s="16" t="s">
        <v>471</v>
      </c>
      <c r="E1451" s="16">
        <v>1.6241379310344828</v>
      </c>
      <c r="F1451" s="16" t="s">
        <v>194</v>
      </c>
      <c r="G1451" s="16"/>
      <c r="H1451" s="16" t="s">
        <v>469</v>
      </c>
      <c r="I1451" s="16" t="s">
        <v>214</v>
      </c>
      <c r="J1451" s="16" t="str">
        <f>IF(ISNUMBER(SEARCH("SCRW", H1451)), _xlfn.XLOOKUP(C1451,dd_item!$A$2:$A$147,dd_item!$B$2:$B$147,"",0),_xlfn.XLOOKUP(H1451,dd_item!$A$2:$A$147,dd_item!$B$2:$B$147,"",0))</f>
        <v>Frame90</v>
      </c>
      <c r="K1451" s="16" t="str">
        <f>_xlfn.XLOOKUP(A1451,dd_design_raw!$C$2:$C$1002,dd_design_raw!$A$2:$A$1002,"",0)</f>
        <v>Slide Slide Door</v>
      </c>
      <c r="L1451" s="16" t="str">
        <f>_xlfn.XLOOKUP(I1451,dd_accsryclr!$A$2:$A$1000,dd_accsryclr!$A$2:$A$1000,"",0)</f>
        <v/>
      </c>
    </row>
    <row r="1452" spans="1:12" hidden="1" x14ac:dyDescent="0.25">
      <c r="A1452" s="16" t="s">
        <v>24</v>
      </c>
      <c r="B1452" s="16" t="s">
        <v>692</v>
      </c>
      <c r="C1452" s="16" t="s">
        <v>472</v>
      </c>
      <c r="D1452" s="16" t="s">
        <v>473</v>
      </c>
      <c r="E1452" s="16">
        <v>1.6241379310344828</v>
      </c>
      <c r="F1452" s="16" t="s">
        <v>194</v>
      </c>
      <c r="G1452" s="16"/>
      <c r="H1452" s="16" t="s">
        <v>469</v>
      </c>
      <c r="I1452" s="16" t="s">
        <v>217</v>
      </c>
      <c r="J1452" s="16" t="str">
        <f>IF(ISNUMBER(SEARCH("SCRW", H1452)), _xlfn.XLOOKUP(C1452,dd_item!$A$2:$A$147,dd_item!$B$2:$B$147,"",0),_xlfn.XLOOKUP(H1452,dd_item!$A$2:$A$147,dd_item!$B$2:$B$147,"",0))</f>
        <v>Frame90</v>
      </c>
      <c r="K1452" s="16" t="str">
        <f>_xlfn.XLOOKUP(A1452,dd_design_raw!$C$2:$C$1002,dd_design_raw!$A$2:$A$1002,"",0)</f>
        <v>Slide Slide Door</v>
      </c>
      <c r="L1452" s="16" t="str">
        <f>_xlfn.XLOOKUP(I1452,dd_accsryclr!$A$2:$A$1000,dd_accsryclr!$A$2:$A$1000,"",0)</f>
        <v/>
      </c>
    </row>
    <row r="1453" spans="1:12" hidden="1" x14ac:dyDescent="0.25">
      <c r="A1453" s="16" t="s">
        <v>24</v>
      </c>
      <c r="B1453" s="16" t="s">
        <v>692</v>
      </c>
      <c r="C1453" s="16" t="s">
        <v>474</v>
      </c>
      <c r="D1453" s="16" t="s">
        <v>475</v>
      </c>
      <c r="E1453" s="16">
        <v>1.6241379310344828</v>
      </c>
      <c r="F1453" s="16" t="s">
        <v>194</v>
      </c>
      <c r="G1453" s="16"/>
      <c r="H1453" s="16" t="s">
        <v>469</v>
      </c>
      <c r="I1453" s="16" t="s">
        <v>226</v>
      </c>
      <c r="J1453" s="16" t="str">
        <f>IF(ISNUMBER(SEARCH("SCRW", H1453)), _xlfn.XLOOKUP(C1453,dd_item!$A$2:$A$147,dd_item!$B$2:$B$147,"",0),_xlfn.XLOOKUP(H1453,dd_item!$A$2:$A$147,dd_item!$B$2:$B$147,"",0))</f>
        <v>Frame90</v>
      </c>
      <c r="K1453" s="16" t="str">
        <f>_xlfn.XLOOKUP(A1453,dd_design_raw!$C$2:$C$1002,dd_design_raw!$A$2:$A$1002,"",0)</f>
        <v>Slide Slide Door</v>
      </c>
      <c r="L1453" s="16" t="str">
        <f>_xlfn.XLOOKUP(I1453,dd_accsryclr!$A$2:$A$1000,dd_accsryclr!$A$2:$A$1000,"",0)</f>
        <v/>
      </c>
    </row>
    <row r="1454" spans="1:12" hidden="1" x14ac:dyDescent="0.25">
      <c r="A1454" s="16" t="s">
        <v>24</v>
      </c>
      <c r="B1454" s="16" t="s">
        <v>692</v>
      </c>
      <c r="C1454" s="16" t="s">
        <v>476</v>
      </c>
      <c r="D1454" s="16" t="s">
        <v>477</v>
      </c>
      <c r="E1454" s="16">
        <v>1.6241379310344828</v>
      </c>
      <c r="F1454" s="16" t="s">
        <v>194</v>
      </c>
      <c r="G1454" s="16"/>
      <c r="H1454" s="16" t="s">
        <v>469</v>
      </c>
      <c r="I1454" s="16" t="s">
        <v>220</v>
      </c>
      <c r="J1454" s="16" t="str">
        <f>IF(ISNUMBER(SEARCH("SCRW", H1454)), _xlfn.XLOOKUP(C1454,dd_item!$A$2:$A$147,dd_item!$B$2:$B$147,"",0),_xlfn.XLOOKUP(H1454,dd_item!$A$2:$A$147,dd_item!$B$2:$B$147,"",0))</f>
        <v>Frame90</v>
      </c>
      <c r="K1454" s="16" t="str">
        <f>_xlfn.XLOOKUP(A1454,dd_design_raw!$C$2:$C$1002,dd_design_raw!$A$2:$A$1002,"",0)</f>
        <v>Slide Slide Door</v>
      </c>
      <c r="L1454" s="16" t="str">
        <f>_xlfn.XLOOKUP(I1454,dd_accsryclr!$A$2:$A$1000,dd_accsryclr!$A$2:$A$1000,"",0)</f>
        <v>WHT</v>
      </c>
    </row>
    <row r="1455" spans="1:12" hidden="1" x14ac:dyDescent="0.25">
      <c r="A1455" s="16" t="s">
        <v>24</v>
      </c>
      <c r="B1455" s="16" t="s">
        <v>692</v>
      </c>
      <c r="C1455" s="16" t="s">
        <v>478</v>
      </c>
      <c r="D1455" s="16" t="s">
        <v>479</v>
      </c>
      <c r="E1455" s="16">
        <v>1.6241379310344828</v>
      </c>
      <c r="F1455" s="16" t="s">
        <v>194</v>
      </c>
      <c r="G1455" s="16"/>
      <c r="H1455" s="16" t="s">
        <v>469</v>
      </c>
      <c r="I1455" s="16" t="s">
        <v>223</v>
      </c>
      <c r="J1455" s="16" t="str">
        <f>IF(ISNUMBER(SEARCH("SCRW", H1455)), _xlfn.XLOOKUP(C1455,dd_item!$A$2:$A$147,dd_item!$B$2:$B$147,"",0),_xlfn.XLOOKUP(H1455,dd_item!$A$2:$A$147,dd_item!$B$2:$B$147,"",0))</f>
        <v>Frame90</v>
      </c>
      <c r="K1455" s="16" t="str">
        <f>_xlfn.XLOOKUP(A1455,dd_design_raw!$C$2:$C$1002,dd_design_raw!$A$2:$A$1002,"",0)</f>
        <v>Slide Slide Door</v>
      </c>
      <c r="L1455" s="16" t="str">
        <f>_xlfn.XLOOKUP(I1455,dd_accsryclr!$A$2:$A$1000,dd_accsryclr!$A$2:$A$1000,"",0)</f>
        <v>BLK</v>
      </c>
    </row>
    <row r="1456" spans="1:12" hidden="1" x14ac:dyDescent="0.25">
      <c r="A1456" s="16" t="s">
        <v>24</v>
      </c>
      <c r="B1456" s="16" t="s">
        <v>692</v>
      </c>
      <c r="C1456" s="16" t="s">
        <v>480</v>
      </c>
      <c r="D1456" s="16" t="s">
        <v>481</v>
      </c>
      <c r="E1456" s="16">
        <v>1.6241379310344828</v>
      </c>
      <c r="F1456" s="16" t="s">
        <v>194</v>
      </c>
      <c r="G1456" s="16"/>
      <c r="H1456" s="16" t="s">
        <v>469</v>
      </c>
      <c r="I1456" s="16" t="s">
        <v>230</v>
      </c>
      <c r="J1456" s="16" t="str">
        <f>IF(ISNUMBER(SEARCH("SCRW", H1456)), _xlfn.XLOOKUP(C1456,dd_item!$A$2:$A$147,dd_item!$B$2:$B$147,"",0),_xlfn.XLOOKUP(H1456,dd_item!$A$2:$A$147,dd_item!$B$2:$B$147,"",0))</f>
        <v>Frame90</v>
      </c>
      <c r="K1456" s="16" t="str">
        <f>_xlfn.XLOOKUP(A1456,dd_design_raw!$C$2:$C$1002,dd_design_raw!$A$2:$A$1002,"",0)</f>
        <v>Slide Slide Door</v>
      </c>
      <c r="L1456" s="16" t="str">
        <f>_xlfn.XLOOKUP(I1456,dd_accsryclr!$A$2:$A$1000,dd_accsryclr!$A$2:$A$1000,"",0)</f>
        <v>BRWN</v>
      </c>
    </row>
    <row r="1457" spans="1:12" hidden="1" x14ac:dyDescent="0.25">
      <c r="A1457" s="16" t="s">
        <v>24</v>
      </c>
      <c r="B1457" s="16" t="s">
        <v>692</v>
      </c>
      <c r="C1457" s="16" t="s">
        <v>231</v>
      </c>
      <c r="D1457" s="16" t="s">
        <v>232</v>
      </c>
      <c r="E1457" s="16">
        <v>2.326896551724138</v>
      </c>
      <c r="F1457" s="16" t="s">
        <v>194</v>
      </c>
      <c r="G1457" s="16"/>
      <c r="H1457" s="16" t="s">
        <v>233</v>
      </c>
      <c r="I1457" s="16" t="s">
        <v>223</v>
      </c>
      <c r="J1457" s="16" t="str">
        <f>IF(ISNUMBER(SEARCH("SCRW", H1457)), _xlfn.XLOOKUP(C1457,dd_item!$A$2:$A$147,dd_item!$B$2:$B$147,"",0),_xlfn.XLOOKUP(H1457,dd_item!$A$2:$A$147,dd_item!$B$2:$B$147,"",0))</f>
        <v>Sash92</v>
      </c>
      <c r="K1457" s="16" t="str">
        <f>_xlfn.XLOOKUP(A1457,dd_design_raw!$C$2:$C$1002,dd_design_raw!$A$2:$A$1002,"",0)</f>
        <v>Slide Slide Door</v>
      </c>
      <c r="L1457" s="16" t="str">
        <f>_xlfn.XLOOKUP(I1457,dd_accsryclr!$A$2:$A$1000,dd_accsryclr!$A$2:$A$1000,"",0)</f>
        <v>BLK</v>
      </c>
    </row>
    <row r="1458" spans="1:12" hidden="1" x14ac:dyDescent="0.25">
      <c r="A1458" s="16" t="s">
        <v>24</v>
      </c>
      <c r="B1458" s="16" t="s">
        <v>692</v>
      </c>
      <c r="C1458" s="16" t="s">
        <v>234</v>
      </c>
      <c r="D1458" s="16" t="s">
        <v>235</v>
      </c>
      <c r="E1458" s="16">
        <v>2.326896551724138</v>
      </c>
      <c r="F1458" s="16" t="s">
        <v>194</v>
      </c>
      <c r="G1458" s="16"/>
      <c r="H1458" s="16" t="s">
        <v>233</v>
      </c>
      <c r="I1458" s="16" t="s">
        <v>211</v>
      </c>
      <c r="J1458" s="16" t="str">
        <f>IF(ISNUMBER(SEARCH("SCRW", H1458)), _xlfn.XLOOKUP(C1458,dd_item!$A$2:$A$147,dd_item!$B$2:$B$147,"",0),_xlfn.XLOOKUP(H1458,dd_item!$A$2:$A$147,dd_item!$B$2:$B$147,"",0))</f>
        <v>Sash92</v>
      </c>
      <c r="K1458" s="16" t="str">
        <f>_xlfn.XLOOKUP(A1458,dd_design_raw!$C$2:$C$1002,dd_design_raw!$A$2:$A$1002,"",0)</f>
        <v>Slide Slide Door</v>
      </c>
      <c r="L1458" s="16" t="str">
        <f>_xlfn.XLOOKUP(I1458,dd_accsryclr!$A$2:$A$1000,dd_accsryclr!$A$2:$A$1000,"",0)</f>
        <v/>
      </c>
    </row>
    <row r="1459" spans="1:12" hidden="1" x14ac:dyDescent="0.25">
      <c r="A1459" s="16" t="s">
        <v>24</v>
      </c>
      <c r="B1459" s="16" t="s">
        <v>692</v>
      </c>
      <c r="C1459" s="16" t="s">
        <v>236</v>
      </c>
      <c r="D1459" s="16" t="s">
        <v>237</v>
      </c>
      <c r="E1459" s="16">
        <v>2.326896551724138</v>
      </c>
      <c r="F1459" s="16" t="s">
        <v>194</v>
      </c>
      <c r="G1459" s="16"/>
      <c r="H1459" s="16" t="s">
        <v>233</v>
      </c>
      <c r="I1459" s="16" t="s">
        <v>214</v>
      </c>
      <c r="J1459" s="16" t="str">
        <f>IF(ISNUMBER(SEARCH("SCRW", H1459)), _xlfn.XLOOKUP(C1459,dd_item!$A$2:$A$147,dd_item!$B$2:$B$147,"",0),_xlfn.XLOOKUP(H1459,dd_item!$A$2:$A$147,dd_item!$B$2:$B$147,"",0))</f>
        <v>Sash92</v>
      </c>
      <c r="K1459" s="16" t="str">
        <f>_xlfn.XLOOKUP(A1459,dd_design_raw!$C$2:$C$1002,dd_design_raw!$A$2:$A$1002,"",0)</f>
        <v>Slide Slide Door</v>
      </c>
      <c r="L1459" s="16" t="str">
        <f>_xlfn.XLOOKUP(I1459,dd_accsryclr!$A$2:$A$1000,dd_accsryclr!$A$2:$A$1000,"",0)</f>
        <v/>
      </c>
    </row>
    <row r="1460" spans="1:12" hidden="1" x14ac:dyDescent="0.25">
      <c r="A1460" s="16" t="s">
        <v>24</v>
      </c>
      <c r="B1460" s="16" t="s">
        <v>692</v>
      </c>
      <c r="C1460" s="16" t="s">
        <v>238</v>
      </c>
      <c r="D1460" s="16" t="s">
        <v>239</v>
      </c>
      <c r="E1460" s="16">
        <v>2.326896551724138</v>
      </c>
      <c r="F1460" s="16" t="s">
        <v>194</v>
      </c>
      <c r="G1460" s="16"/>
      <c r="H1460" s="16" t="s">
        <v>233</v>
      </c>
      <c r="I1460" s="16" t="s">
        <v>217</v>
      </c>
      <c r="J1460" s="16" t="str">
        <f>IF(ISNUMBER(SEARCH("SCRW", H1460)), _xlfn.XLOOKUP(C1460,dd_item!$A$2:$A$147,dd_item!$B$2:$B$147,"",0),_xlfn.XLOOKUP(H1460,dd_item!$A$2:$A$147,dd_item!$B$2:$B$147,"",0))</f>
        <v>Sash92</v>
      </c>
      <c r="K1460" s="16" t="str">
        <f>_xlfn.XLOOKUP(A1460,dd_design_raw!$C$2:$C$1002,dd_design_raw!$A$2:$A$1002,"",0)</f>
        <v>Slide Slide Door</v>
      </c>
      <c r="L1460" s="16" t="str">
        <f>_xlfn.XLOOKUP(I1460,dd_accsryclr!$A$2:$A$1000,dd_accsryclr!$A$2:$A$1000,"",0)</f>
        <v/>
      </c>
    </row>
    <row r="1461" spans="1:12" hidden="1" x14ac:dyDescent="0.25">
      <c r="A1461" s="16" t="s">
        <v>24</v>
      </c>
      <c r="B1461" s="16" t="s">
        <v>692</v>
      </c>
      <c r="C1461" s="16" t="s">
        <v>240</v>
      </c>
      <c r="D1461" s="16" t="s">
        <v>241</v>
      </c>
      <c r="E1461" s="16">
        <v>2.326896551724138</v>
      </c>
      <c r="F1461" s="16" t="s">
        <v>194</v>
      </c>
      <c r="G1461" s="16"/>
      <c r="H1461" s="16" t="s">
        <v>233</v>
      </c>
      <c r="I1461" s="16" t="s">
        <v>226</v>
      </c>
      <c r="J1461" s="16" t="str">
        <f>IF(ISNUMBER(SEARCH("SCRW", H1461)), _xlfn.XLOOKUP(C1461,dd_item!$A$2:$A$147,dd_item!$B$2:$B$147,"",0),_xlfn.XLOOKUP(H1461,dd_item!$A$2:$A$147,dd_item!$B$2:$B$147,"",0))</f>
        <v>Sash92</v>
      </c>
      <c r="K1461" s="16" t="str">
        <f>_xlfn.XLOOKUP(A1461,dd_design_raw!$C$2:$C$1002,dd_design_raw!$A$2:$A$1002,"",0)</f>
        <v>Slide Slide Door</v>
      </c>
      <c r="L1461" s="16" t="str">
        <f>_xlfn.XLOOKUP(I1461,dd_accsryclr!$A$2:$A$1000,dd_accsryclr!$A$2:$A$1000,"",0)</f>
        <v/>
      </c>
    </row>
    <row r="1462" spans="1:12" hidden="1" x14ac:dyDescent="0.25">
      <c r="A1462" s="16" t="s">
        <v>24</v>
      </c>
      <c r="B1462" s="16" t="s">
        <v>692</v>
      </c>
      <c r="C1462" s="16" t="s">
        <v>242</v>
      </c>
      <c r="D1462" s="16" t="s">
        <v>243</v>
      </c>
      <c r="E1462" s="16">
        <v>2.326896551724138</v>
      </c>
      <c r="F1462" s="16" t="s">
        <v>194</v>
      </c>
      <c r="G1462" s="16"/>
      <c r="H1462" s="16" t="s">
        <v>233</v>
      </c>
      <c r="I1462" s="16" t="s">
        <v>220</v>
      </c>
      <c r="J1462" s="16" t="str">
        <f>IF(ISNUMBER(SEARCH("SCRW", H1462)), _xlfn.XLOOKUP(C1462,dd_item!$A$2:$A$147,dd_item!$B$2:$B$147,"",0),_xlfn.XLOOKUP(H1462,dd_item!$A$2:$A$147,dd_item!$B$2:$B$147,"",0))</f>
        <v>Sash92</v>
      </c>
      <c r="K1462" s="16" t="str">
        <f>_xlfn.XLOOKUP(A1462,dd_design_raw!$C$2:$C$1002,dd_design_raw!$A$2:$A$1002,"",0)</f>
        <v>Slide Slide Door</v>
      </c>
      <c r="L1462" s="16" t="str">
        <f>_xlfn.XLOOKUP(I1462,dd_accsryclr!$A$2:$A$1000,dd_accsryclr!$A$2:$A$1000,"",0)</f>
        <v>WHT</v>
      </c>
    </row>
    <row r="1463" spans="1:12" hidden="1" x14ac:dyDescent="0.25">
      <c r="A1463" s="16" t="s">
        <v>24</v>
      </c>
      <c r="B1463" s="16" t="s">
        <v>692</v>
      </c>
      <c r="C1463" s="16" t="s">
        <v>244</v>
      </c>
      <c r="D1463" s="16" t="s">
        <v>245</v>
      </c>
      <c r="E1463" s="16">
        <v>2.326896551724138</v>
      </c>
      <c r="F1463" s="16" t="s">
        <v>194</v>
      </c>
      <c r="G1463" s="16"/>
      <c r="H1463" s="16" t="s">
        <v>233</v>
      </c>
      <c r="I1463" s="16" t="s">
        <v>230</v>
      </c>
      <c r="J1463" s="16" t="str">
        <f>IF(ISNUMBER(SEARCH("SCRW", H1463)), _xlfn.XLOOKUP(C1463,dd_item!$A$2:$A$147,dd_item!$B$2:$B$147,"",0),_xlfn.XLOOKUP(H1463,dd_item!$A$2:$A$147,dd_item!$B$2:$B$147,"",0))</f>
        <v>Sash92</v>
      </c>
      <c r="K1463" s="16" t="str">
        <f>_xlfn.XLOOKUP(A1463,dd_design_raw!$C$2:$C$1002,dd_design_raw!$A$2:$A$1002,"",0)</f>
        <v>Slide Slide Door</v>
      </c>
      <c r="L1463" s="16" t="str">
        <f>_xlfn.XLOOKUP(I1463,dd_accsryclr!$A$2:$A$1000,dd_accsryclr!$A$2:$A$1000,"",0)</f>
        <v>BRWN</v>
      </c>
    </row>
    <row r="1464" spans="1:12" hidden="1" x14ac:dyDescent="0.25">
      <c r="A1464" s="16" t="s">
        <v>24</v>
      </c>
      <c r="B1464" s="16" t="s">
        <v>692</v>
      </c>
      <c r="C1464" s="16" t="s">
        <v>265</v>
      </c>
      <c r="D1464" s="16" t="s">
        <v>266</v>
      </c>
      <c r="E1464" s="16">
        <v>1.6241379310344828</v>
      </c>
      <c r="F1464" s="16" t="s">
        <v>194</v>
      </c>
      <c r="G1464" s="16" t="s">
        <v>60</v>
      </c>
      <c r="H1464" s="16" t="s">
        <v>267</v>
      </c>
      <c r="I1464" s="16" t="s">
        <v>268</v>
      </c>
      <c r="J1464" s="16" t="str">
        <f>IF(ISNUMBER(SEARCH("SCRW", H1464)), _xlfn.XLOOKUP(C1464,dd_item!$A$2:$A$147,dd_item!$B$2:$B$147,"",0),_xlfn.XLOOKUP(H1464,dd_item!$A$2:$A$147,dd_item!$B$2:$B$147,"",0))</f>
        <v>Steel-Sash66</v>
      </c>
      <c r="K1464" s="16" t="str">
        <f>_xlfn.XLOOKUP(A1464,dd_design_raw!$C$2:$C$1002,dd_design_raw!$A$2:$A$1002,"",0)</f>
        <v>Slide Slide Door</v>
      </c>
      <c r="L1464" s="16" t="str">
        <f>_xlfn.XLOOKUP(I1464,dd_accsryclr!$A$2:$A$1000,dd_accsryclr!$A$2:$A$1000,"",0)</f>
        <v/>
      </c>
    </row>
    <row r="1465" spans="1:12" hidden="1" x14ac:dyDescent="0.25">
      <c r="A1465" s="16" t="s">
        <v>24</v>
      </c>
      <c r="B1465" s="16" t="s">
        <v>692</v>
      </c>
      <c r="C1465" s="16" t="s">
        <v>269</v>
      </c>
      <c r="D1465" s="16" t="s">
        <v>270</v>
      </c>
      <c r="E1465" s="16">
        <v>2.326896551724138</v>
      </c>
      <c r="F1465" s="16" t="s">
        <v>194</v>
      </c>
      <c r="G1465" s="16" t="s">
        <v>61</v>
      </c>
      <c r="H1465" s="16" t="s">
        <v>271</v>
      </c>
      <c r="I1465" s="16" t="s">
        <v>272</v>
      </c>
      <c r="J1465" s="16" t="str">
        <f>IF(ISNUMBER(SEARCH("SCRW", H1465)), _xlfn.XLOOKUP(C1465,dd_item!$A$2:$A$147,dd_item!$B$2:$B$147,"",0),_xlfn.XLOOKUP(H1465,dd_item!$A$2:$A$147,dd_item!$B$2:$B$147,"",0))</f>
        <v>Steel-Sash92</v>
      </c>
      <c r="K1465" s="16" t="str">
        <f>_xlfn.XLOOKUP(A1465,dd_design_raw!$C$2:$C$1002,dd_design_raw!$A$2:$A$1002,"",0)</f>
        <v>Slide Slide Door</v>
      </c>
      <c r="L1465" s="16" t="str">
        <f>_xlfn.XLOOKUP(I1465,dd_accsryclr!$A$2:$A$1000,dd_accsryclr!$A$2:$A$1000,"",0)</f>
        <v/>
      </c>
    </row>
    <row r="1466" spans="1:12" hidden="1" x14ac:dyDescent="0.25">
      <c r="A1466" s="16" t="s">
        <v>24</v>
      </c>
      <c r="B1466" s="16" t="s">
        <v>692</v>
      </c>
      <c r="C1466" s="16" t="s">
        <v>273</v>
      </c>
      <c r="D1466" s="16" t="s">
        <v>274</v>
      </c>
      <c r="E1466" s="16">
        <v>2.326896551724138</v>
      </c>
      <c r="F1466" s="16" t="s">
        <v>194</v>
      </c>
      <c r="G1466" s="16" t="s">
        <v>61</v>
      </c>
      <c r="H1466" s="16" t="s">
        <v>271</v>
      </c>
      <c r="I1466" s="16" t="s">
        <v>275</v>
      </c>
      <c r="J1466" s="16" t="str">
        <f>IF(ISNUMBER(SEARCH("SCRW", H1466)), _xlfn.XLOOKUP(C1466,dd_item!$A$2:$A$147,dd_item!$B$2:$B$147,"",0),_xlfn.XLOOKUP(H1466,dd_item!$A$2:$A$147,dd_item!$B$2:$B$147,"",0))</f>
        <v>Steel-Sash92</v>
      </c>
      <c r="K1466" s="16" t="str">
        <f>_xlfn.XLOOKUP(A1466,dd_design_raw!$C$2:$C$1002,dd_design_raw!$A$2:$A$1002,"",0)</f>
        <v>Slide Slide Door</v>
      </c>
      <c r="L1466" s="16" t="str">
        <f>_xlfn.XLOOKUP(I1466,dd_accsryclr!$A$2:$A$1000,dd_accsryclr!$A$2:$A$1000,"",0)</f>
        <v/>
      </c>
    </row>
    <row r="1467" spans="1:12" hidden="1" x14ac:dyDescent="0.25">
      <c r="A1467" s="16" t="s">
        <v>24</v>
      </c>
      <c r="B1467" s="16" t="s">
        <v>692</v>
      </c>
      <c r="C1467" s="16" t="s">
        <v>276</v>
      </c>
      <c r="D1467" s="16" t="s">
        <v>277</v>
      </c>
      <c r="E1467" s="16">
        <v>2.326896551724138</v>
      </c>
      <c r="F1467" s="16" t="s">
        <v>194</v>
      </c>
      <c r="G1467" s="16"/>
      <c r="H1467" s="16" t="s">
        <v>278</v>
      </c>
      <c r="I1467" s="16" t="s">
        <v>223</v>
      </c>
      <c r="J1467" s="16" t="str">
        <f>IF(ISNUMBER(SEARCH("SCRW", H1467)), _xlfn.XLOOKUP(C1467,dd_item!$A$2:$A$147,dd_item!$B$2:$B$147,"",0),_xlfn.XLOOKUP(H1467,dd_item!$A$2:$A$147,dd_item!$B$2:$B$147,"",0))</f>
        <v>Bead25</v>
      </c>
      <c r="K1467" s="16" t="str">
        <f>_xlfn.XLOOKUP(A1467,dd_design_raw!$C$2:$C$1002,dd_design_raw!$A$2:$A$1002,"",0)</f>
        <v>Slide Slide Door</v>
      </c>
      <c r="L1467" s="16" t="str">
        <f>_xlfn.XLOOKUP(I1467,dd_accsryclr!$A$2:$A$1000,dd_accsryclr!$A$2:$A$1000,"",0)</f>
        <v>BLK</v>
      </c>
    </row>
    <row r="1468" spans="1:12" hidden="1" x14ac:dyDescent="0.25">
      <c r="A1468" s="16" t="s">
        <v>24</v>
      </c>
      <c r="B1468" s="16" t="s">
        <v>692</v>
      </c>
      <c r="C1468" s="16" t="s">
        <v>279</v>
      </c>
      <c r="D1468" s="16" t="s">
        <v>280</v>
      </c>
      <c r="E1468" s="16">
        <v>2.326896551724138</v>
      </c>
      <c r="F1468" s="16" t="s">
        <v>194</v>
      </c>
      <c r="G1468" s="16"/>
      <c r="H1468" s="16" t="s">
        <v>278</v>
      </c>
      <c r="I1468" s="16" t="s">
        <v>211</v>
      </c>
      <c r="J1468" s="16" t="str">
        <f>IF(ISNUMBER(SEARCH("SCRW", H1468)), _xlfn.XLOOKUP(C1468,dd_item!$A$2:$A$147,dd_item!$B$2:$B$147,"",0),_xlfn.XLOOKUP(H1468,dd_item!$A$2:$A$147,dd_item!$B$2:$B$147,"",0))</f>
        <v>Bead25</v>
      </c>
      <c r="K1468" s="16" t="str">
        <f>_xlfn.XLOOKUP(A1468,dd_design_raw!$C$2:$C$1002,dd_design_raw!$A$2:$A$1002,"",0)</f>
        <v>Slide Slide Door</v>
      </c>
      <c r="L1468" s="16" t="str">
        <f>_xlfn.XLOOKUP(I1468,dd_accsryclr!$A$2:$A$1000,dd_accsryclr!$A$2:$A$1000,"",0)</f>
        <v/>
      </c>
    </row>
    <row r="1469" spans="1:12" hidden="1" x14ac:dyDescent="0.25">
      <c r="A1469" s="16" t="s">
        <v>24</v>
      </c>
      <c r="B1469" s="16" t="s">
        <v>692</v>
      </c>
      <c r="C1469" s="16" t="s">
        <v>281</v>
      </c>
      <c r="D1469" s="16" t="s">
        <v>282</v>
      </c>
      <c r="E1469" s="16">
        <v>2.326896551724138</v>
      </c>
      <c r="F1469" s="16" t="s">
        <v>194</v>
      </c>
      <c r="G1469" s="16"/>
      <c r="H1469" s="16" t="s">
        <v>278</v>
      </c>
      <c r="I1469" s="16" t="s">
        <v>214</v>
      </c>
      <c r="J1469" s="16" t="str">
        <f>IF(ISNUMBER(SEARCH("SCRW", H1469)), _xlfn.XLOOKUP(C1469,dd_item!$A$2:$A$147,dd_item!$B$2:$B$147,"",0),_xlfn.XLOOKUP(H1469,dd_item!$A$2:$A$147,dd_item!$B$2:$B$147,"",0))</f>
        <v>Bead25</v>
      </c>
      <c r="K1469" s="16" t="str">
        <f>_xlfn.XLOOKUP(A1469,dd_design_raw!$C$2:$C$1002,dd_design_raw!$A$2:$A$1002,"",0)</f>
        <v>Slide Slide Door</v>
      </c>
      <c r="L1469" s="16" t="str">
        <f>_xlfn.XLOOKUP(I1469,dd_accsryclr!$A$2:$A$1000,dd_accsryclr!$A$2:$A$1000,"",0)</f>
        <v/>
      </c>
    </row>
    <row r="1470" spans="1:12" hidden="1" x14ac:dyDescent="0.25">
      <c r="A1470" s="16" t="s">
        <v>24</v>
      </c>
      <c r="B1470" s="16" t="s">
        <v>692</v>
      </c>
      <c r="C1470" s="16" t="s">
        <v>283</v>
      </c>
      <c r="D1470" s="16" t="s">
        <v>284</v>
      </c>
      <c r="E1470" s="16">
        <v>2.326896551724138</v>
      </c>
      <c r="F1470" s="16" t="s">
        <v>194</v>
      </c>
      <c r="G1470" s="16"/>
      <c r="H1470" s="16" t="s">
        <v>278</v>
      </c>
      <c r="I1470" s="16" t="s">
        <v>217</v>
      </c>
      <c r="J1470" s="16" t="str">
        <f>IF(ISNUMBER(SEARCH("SCRW", H1470)), _xlfn.XLOOKUP(C1470,dd_item!$A$2:$A$147,dd_item!$B$2:$B$147,"",0),_xlfn.XLOOKUP(H1470,dd_item!$A$2:$A$147,dd_item!$B$2:$B$147,"",0))</f>
        <v>Bead25</v>
      </c>
      <c r="K1470" s="16" t="str">
        <f>_xlfn.XLOOKUP(A1470,dd_design_raw!$C$2:$C$1002,dd_design_raw!$A$2:$A$1002,"",0)</f>
        <v>Slide Slide Door</v>
      </c>
      <c r="L1470" s="16" t="str">
        <f>_xlfn.XLOOKUP(I1470,dd_accsryclr!$A$2:$A$1000,dd_accsryclr!$A$2:$A$1000,"",0)</f>
        <v/>
      </c>
    </row>
    <row r="1471" spans="1:12" hidden="1" x14ac:dyDescent="0.25">
      <c r="A1471" s="16" t="s">
        <v>24</v>
      </c>
      <c r="B1471" s="16" t="s">
        <v>692</v>
      </c>
      <c r="C1471" s="16" t="s">
        <v>285</v>
      </c>
      <c r="D1471" s="16" t="s">
        <v>286</v>
      </c>
      <c r="E1471" s="16">
        <v>2.326896551724138</v>
      </c>
      <c r="F1471" s="16" t="s">
        <v>194</v>
      </c>
      <c r="G1471" s="16"/>
      <c r="H1471" s="16" t="s">
        <v>278</v>
      </c>
      <c r="I1471" s="16" t="s">
        <v>226</v>
      </c>
      <c r="J1471" s="16" t="str">
        <f>IF(ISNUMBER(SEARCH("SCRW", H1471)), _xlfn.XLOOKUP(C1471,dd_item!$A$2:$A$147,dd_item!$B$2:$B$147,"",0),_xlfn.XLOOKUP(H1471,dd_item!$A$2:$A$147,dd_item!$B$2:$B$147,"",0))</f>
        <v>Bead25</v>
      </c>
      <c r="K1471" s="16" t="str">
        <f>_xlfn.XLOOKUP(A1471,dd_design_raw!$C$2:$C$1002,dd_design_raw!$A$2:$A$1002,"",0)</f>
        <v>Slide Slide Door</v>
      </c>
      <c r="L1471" s="16" t="str">
        <f>_xlfn.XLOOKUP(I1471,dd_accsryclr!$A$2:$A$1000,dd_accsryclr!$A$2:$A$1000,"",0)</f>
        <v/>
      </c>
    </row>
    <row r="1472" spans="1:12" hidden="1" x14ac:dyDescent="0.25">
      <c r="A1472" s="16" t="s">
        <v>24</v>
      </c>
      <c r="B1472" s="16" t="s">
        <v>692</v>
      </c>
      <c r="C1472" s="16" t="s">
        <v>287</v>
      </c>
      <c r="D1472" s="16" t="s">
        <v>288</v>
      </c>
      <c r="E1472" s="16">
        <v>2.326896551724138</v>
      </c>
      <c r="F1472" s="16" t="s">
        <v>194</v>
      </c>
      <c r="G1472" s="16"/>
      <c r="H1472" s="16" t="s">
        <v>278</v>
      </c>
      <c r="I1472" s="16" t="s">
        <v>220</v>
      </c>
      <c r="J1472" s="16" t="str">
        <f>IF(ISNUMBER(SEARCH("SCRW", H1472)), _xlfn.XLOOKUP(C1472,dd_item!$A$2:$A$147,dd_item!$B$2:$B$147,"",0),_xlfn.XLOOKUP(H1472,dd_item!$A$2:$A$147,dd_item!$B$2:$B$147,"",0))</f>
        <v>Bead25</v>
      </c>
      <c r="K1472" s="16" t="str">
        <f>_xlfn.XLOOKUP(A1472,dd_design_raw!$C$2:$C$1002,dd_design_raw!$A$2:$A$1002,"",0)</f>
        <v>Slide Slide Door</v>
      </c>
      <c r="L1472" s="16" t="str">
        <f>_xlfn.XLOOKUP(I1472,dd_accsryclr!$A$2:$A$1000,dd_accsryclr!$A$2:$A$1000,"",0)</f>
        <v>WHT</v>
      </c>
    </row>
    <row r="1473" spans="1:12" hidden="1" x14ac:dyDescent="0.25">
      <c r="A1473" s="16" t="s">
        <v>24</v>
      </c>
      <c r="B1473" s="16" t="s">
        <v>692</v>
      </c>
      <c r="C1473" s="16" t="s">
        <v>289</v>
      </c>
      <c r="D1473" s="16" t="s">
        <v>290</v>
      </c>
      <c r="E1473" s="16">
        <v>2.326896551724138</v>
      </c>
      <c r="F1473" s="16" t="s">
        <v>194</v>
      </c>
      <c r="G1473" s="16"/>
      <c r="H1473" s="16" t="s">
        <v>278</v>
      </c>
      <c r="I1473" s="16" t="s">
        <v>230</v>
      </c>
      <c r="J1473" s="16" t="str">
        <f>IF(ISNUMBER(SEARCH("SCRW", H1473)), _xlfn.XLOOKUP(C1473,dd_item!$A$2:$A$147,dd_item!$B$2:$B$147,"",0),_xlfn.XLOOKUP(H1473,dd_item!$A$2:$A$147,dd_item!$B$2:$B$147,"",0))</f>
        <v>Bead25</v>
      </c>
      <c r="K1473" s="16" t="str">
        <f>_xlfn.XLOOKUP(A1473,dd_design_raw!$C$2:$C$1002,dd_design_raw!$A$2:$A$1002,"",0)</f>
        <v>Slide Slide Door</v>
      </c>
      <c r="L1473" s="16" t="str">
        <f>_xlfn.XLOOKUP(I1473,dd_accsryclr!$A$2:$A$1000,dd_accsryclr!$A$2:$A$1000,"",0)</f>
        <v>BRWN</v>
      </c>
    </row>
    <row r="1474" spans="1:12" x14ac:dyDescent="0.25">
      <c r="A1474" s="16" t="s">
        <v>24</v>
      </c>
      <c r="B1474" s="16" t="s">
        <v>692</v>
      </c>
      <c r="C1474" s="16" t="s">
        <v>449</v>
      </c>
      <c r="D1474" s="16" t="s">
        <v>450</v>
      </c>
      <c r="E1474" s="16">
        <v>1</v>
      </c>
      <c r="F1474" s="16" t="s">
        <v>293</v>
      </c>
      <c r="G1474" s="16"/>
      <c r="H1474" s="16" t="s">
        <v>821</v>
      </c>
      <c r="I1474" s="16"/>
      <c r="J1474" s="16" t="str">
        <f>IF(ISNUMBER(SEARCH("SCRW", H1474)), _xlfn.XLOOKUP(C1474,dd_item!$A$2:$A$147,dd_item!$B$2:$B$147,"",0),_xlfn.XLOOKUP(H1474,dd_item!$A$2:$A$147,dd_item!$B$2:$B$147,"",0))</f>
        <v>Sliding Espagnolette</v>
      </c>
      <c r="K1474" s="16" t="str">
        <f>_xlfn.XLOOKUP(A1474,dd_design_raw!$C$2:$C$1002,dd_design_raw!$A$2:$A$1002,"",0)</f>
        <v>Slide Slide Door</v>
      </c>
      <c r="L1474" s="16" t="str">
        <f>_xlfn.XLOOKUP(I1474,dd_accsryclr!$A$2:$A$1000,dd_accsryclr!$A$2:$A$1000,"",0)</f>
        <v/>
      </c>
    </row>
    <row r="1475" spans="1:12" x14ac:dyDescent="0.25">
      <c r="A1475" s="16" t="s">
        <v>24</v>
      </c>
      <c r="B1475" s="16" t="s">
        <v>692</v>
      </c>
      <c r="C1475" s="16" t="s">
        <v>452</v>
      </c>
      <c r="D1475" s="16" t="s">
        <v>453</v>
      </c>
      <c r="E1475" s="16">
        <v>1</v>
      </c>
      <c r="F1475" s="16" t="s">
        <v>293</v>
      </c>
      <c r="G1475" s="16"/>
      <c r="H1475" s="16" t="s">
        <v>530</v>
      </c>
      <c r="I1475" s="16"/>
      <c r="J1475" s="16" t="str">
        <f>IF(ISNUMBER(SEARCH("SCRW", H1475)), _xlfn.XLOOKUP(C1475,dd_item!$A$2:$A$147,dd_item!$B$2:$B$147,"",0),_xlfn.XLOOKUP(H1475,dd_item!$A$2:$A$147,dd_item!$B$2:$B$147,"",0))</f>
        <v>Casement Espagnolette</v>
      </c>
      <c r="K1475" s="16" t="str">
        <f>_xlfn.XLOOKUP(A1475,dd_design_raw!$C$2:$C$1002,dd_design_raw!$A$2:$A$1002,"",0)</f>
        <v>Slide Slide Door</v>
      </c>
      <c r="L1475" s="16" t="str">
        <f>_xlfn.XLOOKUP(I1475,dd_accsryclr!$A$2:$A$1000,dd_accsryclr!$A$2:$A$1000,"",0)</f>
        <v/>
      </c>
    </row>
    <row r="1476" spans="1:12" hidden="1" x14ac:dyDescent="0.25">
      <c r="A1476" s="16" t="s">
        <v>24</v>
      </c>
      <c r="B1476" s="16" t="s">
        <v>692</v>
      </c>
      <c r="C1476" s="16" t="s">
        <v>296</v>
      </c>
      <c r="D1476" s="16" t="s">
        <v>297</v>
      </c>
      <c r="E1476" s="16">
        <v>1</v>
      </c>
      <c r="F1476" s="16" t="s">
        <v>293</v>
      </c>
      <c r="G1476" s="16"/>
      <c r="H1476" s="16" t="s">
        <v>294</v>
      </c>
      <c r="I1476" s="16" t="s">
        <v>298</v>
      </c>
      <c r="J1476" s="16" t="str">
        <f>IF(ISNUMBER(SEARCH("SCRW", H1476)), _xlfn.XLOOKUP(C1476,dd_item!$A$2:$A$147,dd_item!$B$2:$B$147,"",0),_xlfn.XLOOKUP(H1476,dd_item!$A$2:$A$147,dd_item!$B$2:$B$147,"",0))</f>
        <v>SD Kit Handle</v>
      </c>
      <c r="K1476" s="16" t="str">
        <f>_xlfn.XLOOKUP(A1476,dd_design_raw!$C$2:$C$1002,dd_design_raw!$A$2:$A$1002,"",0)</f>
        <v>Slide Slide Door</v>
      </c>
      <c r="L1476" s="16" t="str">
        <f>_xlfn.XLOOKUP(I1476,dd_accsryclr!$A$2:$A$1000,dd_accsryclr!$A$2:$A$1000,"",0)</f>
        <v/>
      </c>
    </row>
    <row r="1477" spans="1:12" hidden="1" x14ac:dyDescent="0.25">
      <c r="A1477" s="16" t="s">
        <v>24</v>
      </c>
      <c r="B1477" s="16" t="s">
        <v>692</v>
      </c>
      <c r="C1477" s="16" t="s">
        <v>299</v>
      </c>
      <c r="D1477" s="16" t="s">
        <v>300</v>
      </c>
      <c r="E1477" s="16">
        <v>1</v>
      </c>
      <c r="F1477" s="16" t="s">
        <v>293</v>
      </c>
      <c r="G1477" s="16"/>
      <c r="H1477" s="16" t="s">
        <v>294</v>
      </c>
      <c r="I1477" s="16" t="s">
        <v>223</v>
      </c>
      <c r="J1477" s="16" t="str">
        <f>IF(ISNUMBER(SEARCH("SCRW", H1477)), _xlfn.XLOOKUP(C1477,dd_item!$A$2:$A$147,dd_item!$B$2:$B$147,"",0),_xlfn.XLOOKUP(H1477,dd_item!$A$2:$A$147,dd_item!$B$2:$B$147,"",0))</f>
        <v>SD Kit Handle</v>
      </c>
      <c r="K1477" s="16" t="str">
        <f>_xlfn.XLOOKUP(A1477,dd_design_raw!$C$2:$C$1002,dd_design_raw!$A$2:$A$1002,"",0)</f>
        <v>Slide Slide Door</v>
      </c>
      <c r="L1477" s="16" t="str">
        <f>_xlfn.XLOOKUP(I1477,dd_accsryclr!$A$2:$A$1000,dd_accsryclr!$A$2:$A$1000,"",0)</f>
        <v>BLK</v>
      </c>
    </row>
    <row r="1478" spans="1:12" hidden="1" x14ac:dyDescent="0.25">
      <c r="A1478" s="16" t="s">
        <v>24</v>
      </c>
      <c r="B1478" s="16" t="s">
        <v>692</v>
      </c>
      <c r="C1478" s="16" t="s">
        <v>301</v>
      </c>
      <c r="D1478" s="16" t="s">
        <v>302</v>
      </c>
      <c r="E1478" s="16">
        <v>1</v>
      </c>
      <c r="F1478" s="16" t="s">
        <v>293</v>
      </c>
      <c r="G1478" s="16"/>
      <c r="H1478" s="16" t="s">
        <v>294</v>
      </c>
      <c r="I1478" s="16" t="s">
        <v>220</v>
      </c>
      <c r="J1478" s="16" t="str">
        <f>IF(ISNUMBER(SEARCH("SCRW", H1478)), _xlfn.XLOOKUP(C1478,dd_item!$A$2:$A$147,dd_item!$B$2:$B$147,"",0),_xlfn.XLOOKUP(H1478,dd_item!$A$2:$A$147,dd_item!$B$2:$B$147,"",0))</f>
        <v>SD Kit Handle</v>
      </c>
      <c r="K1478" s="16" t="str">
        <f>_xlfn.XLOOKUP(A1478,dd_design_raw!$C$2:$C$1002,dd_design_raw!$A$2:$A$1002,"",0)</f>
        <v>Slide Slide Door</v>
      </c>
      <c r="L1478" s="16" t="str">
        <f>_xlfn.XLOOKUP(I1478,dd_accsryclr!$A$2:$A$1000,dd_accsryclr!$A$2:$A$1000,"",0)</f>
        <v>WHT</v>
      </c>
    </row>
    <row r="1479" spans="1:12" hidden="1" x14ac:dyDescent="0.25">
      <c r="A1479" s="16" t="s">
        <v>24</v>
      </c>
      <c r="B1479" s="16" t="s">
        <v>692</v>
      </c>
      <c r="C1479" s="16" t="s">
        <v>303</v>
      </c>
      <c r="D1479" s="16" t="s">
        <v>304</v>
      </c>
      <c r="E1479" s="16">
        <v>4</v>
      </c>
      <c r="F1479" s="16" t="s">
        <v>293</v>
      </c>
      <c r="G1479" s="16"/>
      <c r="H1479" s="16" t="s">
        <v>305</v>
      </c>
      <c r="I1479" s="16" t="s">
        <v>690</v>
      </c>
      <c r="J1479" s="16" t="str">
        <f>IF(ISNUMBER(SEARCH("SCRW", H1479)), _xlfn.XLOOKUP(C1479,dd_item!$A$2:$A$147,dd_item!$B$2:$B$147,"",0),_xlfn.XLOOKUP(H1479,dd_item!$A$2:$A$147,dd_item!$B$2:$B$147,"",0))</f>
        <v>Rubber Stopper</v>
      </c>
      <c r="K1479" s="16" t="str">
        <f>_xlfn.XLOOKUP(A1479,dd_design_raw!$C$2:$C$1002,dd_design_raw!$A$2:$A$1002,"",0)</f>
        <v>Slide Slide Door</v>
      </c>
      <c r="L1479" s="16" t="str">
        <f>_xlfn.XLOOKUP(I1479,dd_accsryclr!$A$2:$A$1000,dd_accsryclr!$A$2:$A$1000,"",0)</f>
        <v/>
      </c>
    </row>
    <row r="1480" spans="1:12" hidden="1" x14ac:dyDescent="0.25">
      <c r="A1480" s="16" t="s">
        <v>24</v>
      </c>
      <c r="B1480" s="16" t="s">
        <v>692</v>
      </c>
      <c r="C1480" s="16" t="s">
        <v>306</v>
      </c>
      <c r="D1480" s="16" t="s">
        <v>307</v>
      </c>
      <c r="E1480" s="16">
        <v>2</v>
      </c>
      <c r="F1480" s="16" t="s">
        <v>293</v>
      </c>
      <c r="G1480" s="16"/>
      <c r="H1480" s="16" t="s">
        <v>308</v>
      </c>
      <c r="I1480" s="16" t="s">
        <v>230</v>
      </c>
      <c r="J1480" s="16" t="str">
        <f>IF(ISNUMBER(SEARCH("SCRW", H1480)), _xlfn.XLOOKUP(C1480,dd_item!$A$2:$A$147,dd_item!$B$2:$B$147,"",0),_xlfn.XLOOKUP(H1480,dd_item!$A$2:$A$147,dd_item!$B$2:$B$147,"",0))</f>
        <v>Track Bridge</v>
      </c>
      <c r="K1480" s="16" t="str">
        <f>_xlfn.XLOOKUP(A1480,dd_design_raw!$C$2:$C$1002,dd_design_raw!$A$2:$A$1002,"",0)</f>
        <v>Slide Slide Door</v>
      </c>
      <c r="L1480" s="16" t="str">
        <f>_xlfn.XLOOKUP(I1480,dd_accsryclr!$A$2:$A$1000,dd_accsryclr!$A$2:$A$1000,"",0)</f>
        <v>BRWN</v>
      </c>
    </row>
    <row r="1481" spans="1:12" hidden="1" x14ac:dyDescent="0.25">
      <c r="A1481" s="16" t="s">
        <v>24</v>
      </c>
      <c r="B1481" s="16" t="s">
        <v>692</v>
      </c>
      <c r="C1481" s="16" t="s">
        <v>309</v>
      </c>
      <c r="D1481" s="16" t="s">
        <v>310</v>
      </c>
      <c r="E1481" s="16">
        <v>2</v>
      </c>
      <c r="F1481" s="16" t="s">
        <v>293</v>
      </c>
      <c r="G1481" s="16"/>
      <c r="H1481" s="16" t="s">
        <v>308</v>
      </c>
      <c r="I1481" s="16" t="s">
        <v>220</v>
      </c>
      <c r="J1481" s="16" t="str">
        <f>IF(ISNUMBER(SEARCH("SCRW", H1481)), _xlfn.XLOOKUP(C1481,dd_item!$A$2:$A$147,dd_item!$B$2:$B$147,"",0),_xlfn.XLOOKUP(H1481,dd_item!$A$2:$A$147,dd_item!$B$2:$B$147,"",0))</f>
        <v>Track Bridge</v>
      </c>
      <c r="K1481" s="16" t="str">
        <f>_xlfn.XLOOKUP(A1481,dd_design_raw!$C$2:$C$1002,dd_design_raw!$A$2:$A$1002,"",0)</f>
        <v>Slide Slide Door</v>
      </c>
      <c r="L1481" s="16" t="str">
        <f>_xlfn.XLOOKUP(I1481,dd_accsryclr!$A$2:$A$1000,dd_accsryclr!$A$2:$A$1000,"",0)</f>
        <v>WHT</v>
      </c>
    </row>
    <row r="1482" spans="1:12" hidden="1" x14ac:dyDescent="0.25">
      <c r="A1482" s="16" t="s">
        <v>24</v>
      </c>
      <c r="B1482" s="16" t="s">
        <v>692</v>
      </c>
      <c r="C1482" s="16" t="s">
        <v>311</v>
      </c>
      <c r="D1482" s="16" t="s">
        <v>312</v>
      </c>
      <c r="E1482" s="16">
        <v>4</v>
      </c>
      <c r="F1482" s="16" t="s">
        <v>293</v>
      </c>
      <c r="G1482" s="16"/>
      <c r="H1482" s="16" t="s">
        <v>313</v>
      </c>
      <c r="I1482" s="16" t="s">
        <v>482</v>
      </c>
      <c r="J1482" s="16" t="str">
        <f>IF(ISNUMBER(SEARCH("SCRW", H1482)), _xlfn.XLOOKUP(C1482,dd_item!$A$2:$A$147,dd_item!$B$2:$B$147,"",0),_xlfn.XLOOKUP(H1482,dd_item!$A$2:$A$147,dd_item!$B$2:$B$147,"",0))</f>
        <v>Roller for Door</v>
      </c>
      <c r="K1482" s="16" t="str">
        <f>_xlfn.XLOOKUP(A1482,dd_design_raw!$C$2:$C$1002,dd_design_raw!$A$2:$A$1002,"",0)</f>
        <v>Slide Slide Door</v>
      </c>
      <c r="L1482" s="16" t="str">
        <f>_xlfn.XLOOKUP(I1482,dd_accsryclr!$A$2:$A$1000,dd_accsryclr!$A$2:$A$1000,"",0)</f>
        <v/>
      </c>
    </row>
    <row r="1483" spans="1:12" hidden="1" x14ac:dyDescent="0.25">
      <c r="A1483" s="16" t="s">
        <v>24</v>
      </c>
      <c r="B1483" s="16" t="s">
        <v>692</v>
      </c>
      <c r="C1483" s="16" t="s">
        <v>314</v>
      </c>
      <c r="D1483" s="16" t="s">
        <v>315</v>
      </c>
      <c r="E1483" s="16">
        <v>4</v>
      </c>
      <c r="F1483" s="16" t="s">
        <v>293</v>
      </c>
      <c r="G1483" s="16"/>
      <c r="H1483" s="16" t="s">
        <v>313</v>
      </c>
      <c r="I1483" s="16" t="s">
        <v>482</v>
      </c>
      <c r="J1483" s="16" t="str">
        <f>IF(ISNUMBER(SEARCH("SCRW", H1483)), _xlfn.XLOOKUP(C1483,dd_item!$A$2:$A$147,dd_item!$B$2:$B$147,"",0),_xlfn.XLOOKUP(H1483,dd_item!$A$2:$A$147,dd_item!$B$2:$B$147,"",0))</f>
        <v>Roller for Door</v>
      </c>
      <c r="K1483" s="16" t="str">
        <f>_xlfn.XLOOKUP(A1483,dd_design_raw!$C$2:$C$1002,dd_design_raw!$A$2:$A$1002,"",0)</f>
        <v>Slide Slide Door</v>
      </c>
      <c r="L1483" s="16" t="str">
        <f>_xlfn.XLOOKUP(I1483,dd_accsryclr!$A$2:$A$1000,dd_accsryclr!$A$2:$A$1000,"",0)</f>
        <v/>
      </c>
    </row>
    <row r="1484" spans="1:12" hidden="1" x14ac:dyDescent="0.25">
      <c r="A1484" s="16" t="s">
        <v>24</v>
      </c>
      <c r="B1484" s="16" t="s">
        <v>692</v>
      </c>
      <c r="C1484" s="16" t="s">
        <v>456</v>
      </c>
      <c r="D1484" s="16" t="s">
        <v>457</v>
      </c>
      <c r="E1484" s="16">
        <v>1</v>
      </c>
      <c r="F1484" s="16" t="s">
        <v>293</v>
      </c>
      <c r="G1484" s="16"/>
      <c r="H1484" s="16" t="s">
        <v>458</v>
      </c>
      <c r="I1484" s="16" t="s">
        <v>223</v>
      </c>
      <c r="J1484" s="16" t="str">
        <f>IF(ISNUMBER(SEARCH("SCRW", H1484)), _xlfn.XLOOKUP(C1484,dd_item!$A$2:$A$147,dd_item!$B$2:$B$147,"",0),_xlfn.XLOOKUP(H1484,dd_item!$A$2:$A$147,dd_item!$B$2:$B$147,"",0))</f>
        <v>SD Kit Outside Pull Handle (Roto)</v>
      </c>
      <c r="K1484" s="16" t="str">
        <f>_xlfn.XLOOKUP(A1484,dd_design_raw!$C$2:$C$1002,dd_design_raw!$A$2:$A$1002,"",0)</f>
        <v>Slide Slide Door</v>
      </c>
      <c r="L1484" s="16" t="str">
        <f>_xlfn.XLOOKUP(I1484,dd_accsryclr!$A$2:$A$1000,dd_accsryclr!$A$2:$A$1000,"",0)</f>
        <v>BLK</v>
      </c>
    </row>
    <row r="1485" spans="1:12" hidden="1" x14ac:dyDescent="0.25">
      <c r="A1485" s="16" t="s">
        <v>24</v>
      </c>
      <c r="B1485" s="16" t="s">
        <v>692</v>
      </c>
      <c r="C1485" s="16" t="s">
        <v>459</v>
      </c>
      <c r="D1485" s="16" t="s">
        <v>460</v>
      </c>
      <c r="E1485" s="16">
        <v>1</v>
      </c>
      <c r="F1485" s="16" t="s">
        <v>293</v>
      </c>
      <c r="G1485" s="16"/>
      <c r="H1485" s="16" t="s">
        <v>458</v>
      </c>
      <c r="I1485" s="16" t="s">
        <v>220</v>
      </c>
      <c r="J1485" s="16" t="str">
        <f>IF(ISNUMBER(SEARCH("SCRW", H1485)), _xlfn.XLOOKUP(C1485,dd_item!$A$2:$A$147,dd_item!$B$2:$B$147,"",0),_xlfn.XLOOKUP(H1485,dd_item!$A$2:$A$147,dd_item!$B$2:$B$147,"",0))</f>
        <v>SD Kit Outside Pull Handle (Roto)</v>
      </c>
      <c r="K1485" s="16" t="str">
        <f>_xlfn.XLOOKUP(A1485,dd_design_raw!$C$2:$C$1002,dd_design_raw!$A$2:$A$1002,"",0)</f>
        <v>Slide Slide Door</v>
      </c>
      <c r="L1485" s="16" t="str">
        <f>_xlfn.XLOOKUP(I1485,dd_accsryclr!$A$2:$A$1000,dd_accsryclr!$A$2:$A$1000,"",0)</f>
        <v>WHT</v>
      </c>
    </row>
    <row r="1486" spans="1:12" hidden="1" x14ac:dyDescent="0.25">
      <c r="A1486" s="16" t="s">
        <v>24</v>
      </c>
      <c r="B1486" s="16" t="s">
        <v>692</v>
      </c>
      <c r="C1486" s="16" t="s">
        <v>461</v>
      </c>
      <c r="D1486" s="16" t="s">
        <v>462</v>
      </c>
      <c r="E1486" s="16">
        <v>1</v>
      </c>
      <c r="F1486" s="16" t="s">
        <v>293</v>
      </c>
      <c r="G1486" s="16"/>
      <c r="H1486" s="16" t="s">
        <v>463</v>
      </c>
      <c r="I1486" s="16" t="s">
        <v>223</v>
      </c>
      <c r="J1486" s="16" t="str">
        <f>IF(ISNUMBER(SEARCH("SCRW", H1486)), _xlfn.XLOOKUP(C1486,dd_item!$A$2:$A$147,dd_item!$B$2:$B$147,"",0),_xlfn.XLOOKUP(H1486,dd_item!$A$2:$A$147,dd_item!$B$2:$B$147,"",0))</f>
        <v>Roto Pop-up Handle</v>
      </c>
      <c r="K1486" s="16" t="str">
        <f>_xlfn.XLOOKUP(A1486,dd_design_raw!$C$2:$C$1002,dd_design_raw!$A$2:$A$1002,"",0)</f>
        <v>Slide Slide Door</v>
      </c>
      <c r="L1486" s="16" t="str">
        <f>_xlfn.XLOOKUP(I1486,dd_accsryclr!$A$2:$A$1000,dd_accsryclr!$A$2:$A$1000,"",0)</f>
        <v>BLK</v>
      </c>
    </row>
    <row r="1487" spans="1:12" hidden="1" x14ac:dyDescent="0.25">
      <c r="A1487" s="16" t="s">
        <v>24</v>
      </c>
      <c r="B1487" s="16" t="s">
        <v>692</v>
      </c>
      <c r="C1487" s="16" t="s">
        <v>464</v>
      </c>
      <c r="D1487" s="16" t="s">
        <v>465</v>
      </c>
      <c r="E1487" s="16">
        <v>1</v>
      </c>
      <c r="F1487" s="16" t="s">
        <v>293</v>
      </c>
      <c r="G1487" s="16"/>
      <c r="H1487" s="16" t="s">
        <v>463</v>
      </c>
      <c r="I1487" s="16" t="s">
        <v>220</v>
      </c>
      <c r="J1487" s="16" t="str">
        <f>IF(ISNUMBER(SEARCH("SCRW", H1487)), _xlfn.XLOOKUP(C1487,dd_item!$A$2:$A$147,dd_item!$B$2:$B$147,"",0),_xlfn.XLOOKUP(H1487,dd_item!$A$2:$A$147,dd_item!$B$2:$B$147,"",0))</f>
        <v>Roto Pop-up Handle</v>
      </c>
      <c r="K1487" s="16" t="str">
        <f>_xlfn.XLOOKUP(A1487,dd_design_raw!$C$2:$C$1002,dd_design_raw!$A$2:$A$1002,"",0)</f>
        <v>Slide Slide Door</v>
      </c>
      <c r="L1487" s="16" t="str">
        <f>_xlfn.XLOOKUP(I1487,dd_accsryclr!$A$2:$A$1000,dd_accsryclr!$A$2:$A$1000,"",0)</f>
        <v>WHT</v>
      </c>
    </row>
    <row r="1488" spans="1:12" hidden="1" x14ac:dyDescent="0.25">
      <c r="A1488" s="16" t="s">
        <v>24</v>
      </c>
      <c r="B1488" s="16" t="s">
        <v>692</v>
      </c>
      <c r="C1488" s="16" t="s">
        <v>334</v>
      </c>
      <c r="D1488" s="16" t="s">
        <v>335</v>
      </c>
      <c r="E1488" s="16">
        <v>0.88</v>
      </c>
      <c r="F1488" s="16" t="s">
        <v>194</v>
      </c>
      <c r="G1488" s="16"/>
      <c r="H1488" s="16" t="s">
        <v>336</v>
      </c>
      <c r="I1488" s="16" t="s">
        <v>211</v>
      </c>
      <c r="J1488" s="16" t="str">
        <f>IF(ISNUMBER(SEARCH("SCRW", H1488)), _xlfn.XLOOKUP(C1488,dd_item!$A$2:$A$147,dd_item!$B$2:$B$147,"",0),_xlfn.XLOOKUP(H1488,dd_item!$A$2:$A$147,dd_item!$B$2:$B$147,"",0))</f>
        <v>Interlocker50</v>
      </c>
      <c r="K1488" s="16" t="str">
        <f>_xlfn.XLOOKUP(A1488,dd_design_raw!$C$2:$C$1002,dd_design_raw!$A$2:$A$1002,"",0)</f>
        <v>Slide Slide Door</v>
      </c>
      <c r="L1488" s="16" t="str">
        <f>_xlfn.XLOOKUP(I1488,dd_accsryclr!$A$2:$A$1000,dd_accsryclr!$A$2:$A$1000,"",0)</f>
        <v/>
      </c>
    </row>
    <row r="1489" spans="1:12" hidden="1" x14ac:dyDescent="0.25">
      <c r="A1489" s="16" t="s">
        <v>24</v>
      </c>
      <c r="B1489" s="16" t="s">
        <v>692</v>
      </c>
      <c r="C1489" s="16" t="s">
        <v>337</v>
      </c>
      <c r="D1489" s="16" t="s">
        <v>338</v>
      </c>
      <c r="E1489" s="16">
        <v>0.88</v>
      </c>
      <c r="F1489" s="16" t="s">
        <v>194</v>
      </c>
      <c r="G1489" s="16"/>
      <c r="H1489" s="16" t="s">
        <v>336</v>
      </c>
      <c r="I1489" s="16" t="s">
        <v>214</v>
      </c>
      <c r="J1489" s="16" t="str">
        <f>IF(ISNUMBER(SEARCH("SCRW", H1489)), _xlfn.XLOOKUP(C1489,dd_item!$A$2:$A$147,dd_item!$B$2:$B$147,"",0),_xlfn.XLOOKUP(H1489,dd_item!$A$2:$A$147,dd_item!$B$2:$B$147,"",0))</f>
        <v>Interlocker50</v>
      </c>
      <c r="K1489" s="16" t="str">
        <f>_xlfn.XLOOKUP(A1489,dd_design_raw!$C$2:$C$1002,dd_design_raw!$A$2:$A$1002,"",0)</f>
        <v>Slide Slide Door</v>
      </c>
      <c r="L1489" s="16" t="str">
        <f>_xlfn.XLOOKUP(I1489,dd_accsryclr!$A$2:$A$1000,dd_accsryclr!$A$2:$A$1000,"",0)</f>
        <v/>
      </c>
    </row>
    <row r="1490" spans="1:12" hidden="1" x14ac:dyDescent="0.25">
      <c r="A1490" s="16" t="s">
        <v>24</v>
      </c>
      <c r="B1490" s="16" t="s">
        <v>692</v>
      </c>
      <c r="C1490" s="16" t="s">
        <v>339</v>
      </c>
      <c r="D1490" s="16" t="s">
        <v>340</v>
      </c>
      <c r="E1490" s="16">
        <v>0.88</v>
      </c>
      <c r="F1490" s="16" t="s">
        <v>194</v>
      </c>
      <c r="G1490" s="16"/>
      <c r="H1490" s="16" t="s">
        <v>336</v>
      </c>
      <c r="I1490" s="16" t="s">
        <v>217</v>
      </c>
      <c r="J1490" s="16" t="str">
        <f>IF(ISNUMBER(SEARCH("SCRW", H1490)), _xlfn.XLOOKUP(C1490,dd_item!$A$2:$A$147,dd_item!$B$2:$B$147,"",0),_xlfn.XLOOKUP(H1490,dd_item!$A$2:$A$147,dd_item!$B$2:$B$147,"",0))</f>
        <v>Interlocker50</v>
      </c>
      <c r="K1490" s="16" t="str">
        <f>_xlfn.XLOOKUP(A1490,dd_design_raw!$C$2:$C$1002,dd_design_raw!$A$2:$A$1002,"",0)</f>
        <v>Slide Slide Door</v>
      </c>
      <c r="L1490" s="16" t="str">
        <f>_xlfn.XLOOKUP(I1490,dd_accsryclr!$A$2:$A$1000,dd_accsryclr!$A$2:$A$1000,"",0)</f>
        <v/>
      </c>
    </row>
    <row r="1491" spans="1:12" hidden="1" x14ac:dyDescent="0.25">
      <c r="A1491" s="16" t="s">
        <v>24</v>
      </c>
      <c r="B1491" s="16" t="s">
        <v>692</v>
      </c>
      <c r="C1491" s="16" t="s">
        <v>341</v>
      </c>
      <c r="D1491" s="16" t="s">
        <v>342</v>
      </c>
      <c r="E1491" s="16">
        <v>0.88</v>
      </c>
      <c r="F1491" s="16" t="s">
        <v>194</v>
      </c>
      <c r="G1491" s="16"/>
      <c r="H1491" s="16" t="s">
        <v>336</v>
      </c>
      <c r="I1491" s="16" t="s">
        <v>226</v>
      </c>
      <c r="J1491" s="16" t="str">
        <f>IF(ISNUMBER(SEARCH("SCRW", H1491)), _xlfn.XLOOKUP(C1491,dd_item!$A$2:$A$147,dd_item!$B$2:$B$147,"",0),_xlfn.XLOOKUP(H1491,dd_item!$A$2:$A$147,dd_item!$B$2:$B$147,"",0))</f>
        <v>Interlocker50</v>
      </c>
      <c r="K1491" s="16" t="str">
        <f>_xlfn.XLOOKUP(A1491,dd_design_raw!$C$2:$C$1002,dd_design_raw!$A$2:$A$1002,"",0)</f>
        <v>Slide Slide Door</v>
      </c>
      <c r="L1491" s="16" t="str">
        <f>_xlfn.XLOOKUP(I1491,dd_accsryclr!$A$2:$A$1000,dd_accsryclr!$A$2:$A$1000,"",0)</f>
        <v/>
      </c>
    </row>
    <row r="1492" spans="1:12" hidden="1" x14ac:dyDescent="0.25">
      <c r="A1492" s="16" t="s">
        <v>24</v>
      </c>
      <c r="B1492" s="16" t="s">
        <v>692</v>
      </c>
      <c r="C1492" s="16" t="s">
        <v>343</v>
      </c>
      <c r="D1492" s="16" t="s">
        <v>344</v>
      </c>
      <c r="E1492" s="16">
        <v>0.88</v>
      </c>
      <c r="F1492" s="16" t="s">
        <v>194</v>
      </c>
      <c r="G1492" s="16"/>
      <c r="H1492" s="16" t="s">
        <v>336</v>
      </c>
      <c r="I1492" s="16" t="s">
        <v>220</v>
      </c>
      <c r="J1492" s="16" t="str">
        <f>IF(ISNUMBER(SEARCH("SCRW", H1492)), _xlfn.XLOOKUP(C1492,dd_item!$A$2:$A$147,dd_item!$B$2:$B$147,"",0),_xlfn.XLOOKUP(H1492,dd_item!$A$2:$A$147,dd_item!$B$2:$B$147,"",0))</f>
        <v>Interlocker50</v>
      </c>
      <c r="K1492" s="16" t="str">
        <f>_xlfn.XLOOKUP(A1492,dd_design_raw!$C$2:$C$1002,dd_design_raw!$A$2:$A$1002,"",0)</f>
        <v>Slide Slide Door</v>
      </c>
      <c r="L1492" s="16" t="str">
        <f>_xlfn.XLOOKUP(I1492,dd_accsryclr!$A$2:$A$1000,dd_accsryclr!$A$2:$A$1000,"",0)</f>
        <v>WHT</v>
      </c>
    </row>
    <row r="1493" spans="1:12" hidden="1" x14ac:dyDescent="0.25">
      <c r="A1493" s="16" t="s">
        <v>24</v>
      </c>
      <c r="B1493" s="16" t="s">
        <v>692</v>
      </c>
      <c r="C1493" s="16" t="s">
        <v>345</v>
      </c>
      <c r="D1493" s="16" t="s">
        <v>346</v>
      </c>
      <c r="E1493" s="16">
        <v>0.88</v>
      </c>
      <c r="F1493" s="16" t="s">
        <v>194</v>
      </c>
      <c r="G1493" s="16"/>
      <c r="H1493" s="16" t="s">
        <v>336</v>
      </c>
      <c r="I1493" s="16" t="s">
        <v>223</v>
      </c>
      <c r="J1493" s="16" t="str">
        <f>IF(ISNUMBER(SEARCH("SCRW", H1493)), _xlfn.XLOOKUP(C1493,dd_item!$A$2:$A$147,dd_item!$B$2:$B$147,"",0),_xlfn.XLOOKUP(H1493,dd_item!$A$2:$A$147,dd_item!$B$2:$B$147,"",0))</f>
        <v>Interlocker50</v>
      </c>
      <c r="K1493" s="16" t="str">
        <f>_xlfn.XLOOKUP(A1493,dd_design_raw!$C$2:$C$1002,dd_design_raw!$A$2:$A$1002,"",0)</f>
        <v>Slide Slide Door</v>
      </c>
      <c r="L1493" s="16" t="str">
        <f>_xlfn.XLOOKUP(I1493,dd_accsryclr!$A$2:$A$1000,dd_accsryclr!$A$2:$A$1000,"",0)</f>
        <v>BLK</v>
      </c>
    </row>
    <row r="1494" spans="1:12" hidden="1" x14ac:dyDescent="0.25">
      <c r="A1494" s="16" t="s">
        <v>24</v>
      </c>
      <c r="B1494" s="16" t="s">
        <v>692</v>
      </c>
      <c r="C1494" s="16" t="s">
        <v>347</v>
      </c>
      <c r="D1494" s="16" t="s">
        <v>348</v>
      </c>
      <c r="E1494" s="16">
        <v>0.88</v>
      </c>
      <c r="F1494" s="16" t="s">
        <v>194</v>
      </c>
      <c r="G1494" s="16"/>
      <c r="H1494" s="16" t="s">
        <v>336</v>
      </c>
      <c r="I1494" s="16" t="s">
        <v>230</v>
      </c>
      <c r="J1494" s="16" t="str">
        <f>IF(ISNUMBER(SEARCH("SCRW", H1494)), _xlfn.XLOOKUP(C1494,dd_item!$A$2:$A$147,dd_item!$B$2:$B$147,"",0),_xlfn.XLOOKUP(H1494,dd_item!$A$2:$A$147,dd_item!$B$2:$B$147,"",0))</f>
        <v>Interlocker50</v>
      </c>
      <c r="K1494" s="16" t="str">
        <f>_xlfn.XLOOKUP(A1494,dd_design_raw!$C$2:$C$1002,dd_design_raw!$A$2:$A$1002,"",0)</f>
        <v>Slide Slide Door</v>
      </c>
      <c r="L1494" s="16" t="str">
        <f>_xlfn.XLOOKUP(I1494,dd_accsryclr!$A$2:$A$1000,dd_accsryclr!$A$2:$A$1000,"",0)</f>
        <v>BRWN</v>
      </c>
    </row>
    <row r="1495" spans="1:12" hidden="1" x14ac:dyDescent="0.25">
      <c r="A1495" s="16" t="s">
        <v>24</v>
      </c>
      <c r="B1495" s="16" t="s">
        <v>692</v>
      </c>
      <c r="C1495" s="16" t="s">
        <v>364</v>
      </c>
      <c r="D1495" s="16" t="s">
        <v>365</v>
      </c>
      <c r="E1495" s="16">
        <v>0.86206896551724133</v>
      </c>
      <c r="F1495" s="16" t="s">
        <v>293</v>
      </c>
      <c r="G1495" s="16"/>
      <c r="H1495" s="16" t="s">
        <v>366</v>
      </c>
      <c r="I1495" s="16" t="s">
        <v>443</v>
      </c>
      <c r="J1495" s="16" t="str">
        <f>IF(ISNUMBER(SEARCH("SCRW", H1495)), _xlfn.XLOOKUP(C1495,dd_item!$A$2:$A$147,dd_item!$B$2:$B$147,"",0),_xlfn.XLOOKUP(H1495,dd_item!$A$2:$A$147,dd_item!$B$2:$B$147,"",0))</f>
        <v>Aluminum Track</v>
      </c>
      <c r="K1495" s="16" t="str">
        <f>_xlfn.XLOOKUP(A1495,dd_design_raw!$C$2:$C$1002,dd_design_raw!$A$2:$A$1002,"",0)</f>
        <v>Slide Slide Door</v>
      </c>
      <c r="L1495" s="16" t="str">
        <f>_xlfn.XLOOKUP(I1495,dd_accsryclr!$A$2:$A$1000,dd_accsryclr!$A$2:$A$1000,"",0)</f>
        <v/>
      </c>
    </row>
    <row r="1496" spans="1:12" hidden="1" x14ac:dyDescent="0.25">
      <c r="A1496" s="16" t="s">
        <v>24</v>
      </c>
      <c r="B1496" s="16" t="s">
        <v>692</v>
      </c>
      <c r="C1496" s="16" t="s">
        <v>367</v>
      </c>
      <c r="D1496" s="16" t="s">
        <v>368</v>
      </c>
      <c r="E1496" s="16">
        <v>1</v>
      </c>
      <c r="F1496" s="16" t="s">
        <v>369</v>
      </c>
      <c r="G1496" s="16"/>
      <c r="H1496" s="16" t="s">
        <v>370</v>
      </c>
      <c r="I1496" s="16" t="s">
        <v>223</v>
      </c>
      <c r="J1496" s="16" t="str">
        <f>IF(ISNUMBER(SEARCH("SCRW", H1496)), _xlfn.XLOOKUP(C1496,dd_item!$A$2:$A$147,dd_item!$B$2:$B$147,"",0),_xlfn.XLOOKUP(H1496,dd_item!$A$2:$A$147,dd_item!$B$2:$B$147,"",0))</f>
        <v>SD Kit Handle</v>
      </c>
      <c r="K1496" s="16" t="str">
        <f>_xlfn.XLOOKUP(A1496,dd_design_raw!$C$2:$C$1002,dd_design_raw!$A$2:$A$1002,"",0)</f>
        <v>Slide Slide Door</v>
      </c>
      <c r="L1496" s="16" t="str">
        <f>_xlfn.XLOOKUP(I1496,dd_accsryclr!$A$2:$A$1000,dd_accsryclr!$A$2:$A$1000,"",0)</f>
        <v>BLK</v>
      </c>
    </row>
    <row r="1497" spans="1:12" hidden="1" x14ac:dyDescent="0.25">
      <c r="A1497" s="16" t="s">
        <v>24</v>
      </c>
      <c r="B1497" s="16" t="s">
        <v>692</v>
      </c>
      <c r="C1497" s="16" t="s">
        <v>371</v>
      </c>
      <c r="D1497" s="16" t="s">
        <v>372</v>
      </c>
      <c r="E1497" s="16">
        <v>1</v>
      </c>
      <c r="F1497" s="16" t="s">
        <v>369</v>
      </c>
      <c r="G1497" s="16"/>
      <c r="H1497" s="16" t="s">
        <v>370</v>
      </c>
      <c r="I1497" s="16" t="s">
        <v>220</v>
      </c>
      <c r="J1497" s="16" t="str">
        <f>IF(ISNUMBER(SEARCH("SCRW", H1497)), _xlfn.XLOOKUP(C1497,dd_item!$A$2:$A$147,dd_item!$B$2:$B$147,"",0),_xlfn.XLOOKUP(H1497,dd_item!$A$2:$A$147,dd_item!$B$2:$B$147,"",0))</f>
        <v>SD Kit Handle</v>
      </c>
      <c r="K1497" s="16" t="str">
        <f>_xlfn.XLOOKUP(A1497,dd_design_raw!$C$2:$C$1002,dd_design_raw!$A$2:$A$1002,"",0)</f>
        <v>Slide Slide Door</v>
      </c>
      <c r="L1497" s="16" t="str">
        <f>_xlfn.XLOOKUP(I1497,dd_accsryclr!$A$2:$A$1000,dd_accsryclr!$A$2:$A$1000,"",0)</f>
        <v>WHT</v>
      </c>
    </row>
    <row r="1498" spans="1:12" hidden="1" x14ac:dyDescent="0.25">
      <c r="A1498" s="16" t="s">
        <v>24</v>
      </c>
      <c r="B1498" s="16" t="s">
        <v>692</v>
      </c>
      <c r="C1498" s="16" t="s">
        <v>373</v>
      </c>
      <c r="D1498" s="16" t="s">
        <v>374</v>
      </c>
      <c r="E1498" s="16">
        <v>1</v>
      </c>
      <c r="F1498" s="16" t="s">
        <v>369</v>
      </c>
      <c r="G1498" s="16"/>
      <c r="H1498" s="16" t="s">
        <v>693</v>
      </c>
      <c r="I1498" s="16" t="s">
        <v>220</v>
      </c>
      <c r="J1498" s="16" t="str">
        <f>IF(ISNUMBER(SEARCH("SCRW", H1498)), _xlfn.XLOOKUP(C1498,dd_item!$A$2:$A$147,dd_item!$B$2:$B$147,"",0),_xlfn.XLOOKUP(H1498,dd_item!$A$2:$A$147,dd_item!$B$2:$B$147,"",0))</f>
        <v>SD Kit Handle</v>
      </c>
      <c r="K1498" s="16" t="str">
        <f>_xlfn.XLOOKUP(A1498,dd_design_raw!$C$2:$C$1002,dd_design_raw!$A$2:$A$1002,"",0)</f>
        <v>Slide Slide Door</v>
      </c>
      <c r="L1498" s="16" t="str">
        <f>_xlfn.XLOOKUP(I1498,dd_accsryclr!$A$2:$A$1000,dd_accsryclr!$A$2:$A$1000,"",0)</f>
        <v>WHT</v>
      </c>
    </row>
    <row r="1499" spans="1:12" hidden="1" x14ac:dyDescent="0.25">
      <c r="A1499" s="16" t="s">
        <v>24</v>
      </c>
      <c r="B1499" s="16" t="s">
        <v>692</v>
      </c>
      <c r="C1499" s="16" t="s">
        <v>375</v>
      </c>
      <c r="D1499" s="16" t="s">
        <v>376</v>
      </c>
      <c r="E1499" s="16">
        <v>1</v>
      </c>
      <c r="F1499" s="16" t="s">
        <v>369</v>
      </c>
      <c r="G1499" s="16"/>
      <c r="H1499" s="16" t="s">
        <v>693</v>
      </c>
      <c r="I1499" s="16" t="s">
        <v>223</v>
      </c>
      <c r="J1499" s="16" t="str">
        <f>IF(ISNUMBER(SEARCH("SCRW", H1499)), _xlfn.XLOOKUP(C1499,dd_item!$A$2:$A$147,dd_item!$B$2:$B$147,"",0),_xlfn.XLOOKUP(H1499,dd_item!$A$2:$A$147,dd_item!$B$2:$B$147,"",0))</f>
        <v>SD Kit Handle</v>
      </c>
      <c r="K1499" s="16" t="str">
        <f>_xlfn.XLOOKUP(A1499,dd_design_raw!$C$2:$C$1002,dd_design_raw!$A$2:$A$1002,"",0)</f>
        <v>Slide Slide Door</v>
      </c>
      <c r="L1499" s="16" t="str">
        <f>_xlfn.XLOOKUP(I1499,dd_accsryclr!$A$2:$A$1000,dd_accsryclr!$A$2:$A$1000,"",0)</f>
        <v>BLK</v>
      </c>
    </row>
    <row r="1500" spans="1:12" hidden="1" x14ac:dyDescent="0.25">
      <c r="A1500" s="16" t="s">
        <v>24</v>
      </c>
      <c r="B1500" s="16" t="s">
        <v>692</v>
      </c>
      <c r="C1500" s="16" t="s">
        <v>377</v>
      </c>
      <c r="D1500" s="16" t="s">
        <v>378</v>
      </c>
      <c r="E1500" s="16">
        <v>1</v>
      </c>
      <c r="F1500" s="16" t="s">
        <v>369</v>
      </c>
      <c r="G1500" s="16"/>
      <c r="H1500" s="16" t="s">
        <v>379</v>
      </c>
      <c r="I1500" s="16"/>
      <c r="J1500" s="16" t="str">
        <f>IF(ISNUMBER(SEARCH("SCRW", H1500)), _xlfn.XLOOKUP(C1500,dd_item!$A$2:$A$147,dd_item!$B$2:$B$147,"",0),_xlfn.XLOOKUP(H1500,dd_item!$A$2:$A$147,dd_item!$B$2:$B$147,"",0))</f>
        <v xml:space="preserve">SD Kit Cylinder Door Knob </v>
      </c>
      <c r="K1500" s="16" t="str">
        <f>_xlfn.XLOOKUP(A1500,dd_design_raw!$C$2:$C$1002,dd_design_raw!$A$2:$A$1002,"",0)</f>
        <v>Slide Slide Door</v>
      </c>
      <c r="L1500" s="16" t="str">
        <f>_xlfn.XLOOKUP(I1500,dd_accsryclr!$A$2:$A$1000,dd_accsryclr!$A$2:$A$1000,"",0)</f>
        <v/>
      </c>
    </row>
    <row r="1501" spans="1:12" hidden="1" x14ac:dyDescent="0.25">
      <c r="A1501" s="16" t="s">
        <v>24</v>
      </c>
      <c r="B1501" s="16" t="s">
        <v>692</v>
      </c>
      <c r="C1501" s="16" t="s">
        <v>380</v>
      </c>
      <c r="D1501" s="16" t="s">
        <v>381</v>
      </c>
      <c r="E1501" s="16">
        <v>1</v>
      </c>
      <c r="F1501" s="16" t="s">
        <v>369</v>
      </c>
      <c r="G1501" s="16"/>
      <c r="H1501" s="16" t="s">
        <v>379</v>
      </c>
      <c r="I1501" s="16"/>
      <c r="J1501" s="16" t="str">
        <f>IF(ISNUMBER(SEARCH("SCRW", H1501)), _xlfn.XLOOKUP(C1501,dd_item!$A$2:$A$147,dd_item!$B$2:$B$147,"",0),_xlfn.XLOOKUP(H1501,dd_item!$A$2:$A$147,dd_item!$B$2:$B$147,"",0))</f>
        <v xml:space="preserve">SD Kit Cylinder Door Knob </v>
      </c>
      <c r="K1501" s="16" t="str">
        <f>_xlfn.XLOOKUP(A1501,dd_design_raw!$C$2:$C$1002,dd_design_raw!$A$2:$A$1002,"",0)</f>
        <v>Slide Slide Door</v>
      </c>
      <c r="L1501" s="16">
        <f>_xlfn.XLOOKUP(I1501,dd_accsryclr!$A$2:$A$1000,dd_accsryclr!$A$2:$A$1000,"",0)</f>
        <v>0</v>
      </c>
    </row>
    <row r="1502" spans="1:12" hidden="1" x14ac:dyDescent="0.25">
      <c r="A1502" s="16" t="s">
        <v>24</v>
      </c>
      <c r="B1502" s="16" t="s">
        <v>692</v>
      </c>
      <c r="C1502" s="16" t="s">
        <v>382</v>
      </c>
      <c r="D1502" s="16" t="s">
        <v>383</v>
      </c>
      <c r="E1502" s="16">
        <v>1</v>
      </c>
      <c r="F1502" s="16" t="s">
        <v>369</v>
      </c>
      <c r="G1502" s="16"/>
      <c r="H1502" s="16" t="s">
        <v>384</v>
      </c>
      <c r="I1502" s="16" t="s">
        <v>223</v>
      </c>
      <c r="J1502" s="16" t="str">
        <f>IF(ISNUMBER(SEARCH("SCRW", H1502)), _xlfn.XLOOKUP(C1502,dd_item!$A$2:$A$147,dd_item!$B$2:$B$147,"",0),_xlfn.XLOOKUP(H1502,dd_item!$A$2:$A$147,dd_item!$B$2:$B$147,"",0))</f>
        <v>Cylinder Cover Set</v>
      </c>
      <c r="K1502" s="16" t="str">
        <f>_xlfn.XLOOKUP(A1502,dd_design_raw!$C$2:$C$1002,dd_design_raw!$A$2:$A$1002,"",0)</f>
        <v>Slide Slide Door</v>
      </c>
      <c r="L1502" s="16" t="str">
        <f>_xlfn.XLOOKUP(I1502,dd_accsryclr!$A$2:$A$1000,dd_accsryclr!$A$2:$A$1000,"",0)</f>
        <v>BLK</v>
      </c>
    </row>
    <row r="1503" spans="1:12" hidden="1" x14ac:dyDescent="0.25">
      <c r="A1503" s="16" t="s">
        <v>24</v>
      </c>
      <c r="B1503" s="16" t="s">
        <v>692</v>
      </c>
      <c r="C1503" s="16" t="s">
        <v>385</v>
      </c>
      <c r="D1503" s="16" t="s">
        <v>386</v>
      </c>
      <c r="E1503" s="16">
        <v>1</v>
      </c>
      <c r="F1503" s="16" t="s">
        <v>369</v>
      </c>
      <c r="G1503" s="16"/>
      <c r="H1503" s="16" t="s">
        <v>384</v>
      </c>
      <c r="I1503" s="16" t="s">
        <v>220</v>
      </c>
      <c r="J1503" s="16" t="str">
        <f>IF(ISNUMBER(SEARCH("SCRW", H1503)), _xlfn.XLOOKUP(C1503,dd_item!$A$2:$A$147,dd_item!$B$2:$B$147,"",0),_xlfn.XLOOKUP(H1503,dd_item!$A$2:$A$147,dd_item!$B$2:$B$147,"",0))</f>
        <v>Cylinder Cover Set</v>
      </c>
      <c r="K1503" s="16" t="str">
        <f>_xlfn.XLOOKUP(A1503,dd_design_raw!$C$2:$C$1002,dd_design_raw!$A$2:$A$1002,"",0)</f>
        <v>Slide Slide Door</v>
      </c>
      <c r="L1503" s="16" t="str">
        <f>_xlfn.XLOOKUP(I1503,dd_accsryclr!$A$2:$A$1000,dd_accsryclr!$A$2:$A$1000,"",0)</f>
        <v>WHT</v>
      </c>
    </row>
    <row r="1504" spans="1:12" hidden="1" x14ac:dyDescent="0.25">
      <c r="A1504" s="16" t="s">
        <v>24</v>
      </c>
      <c r="B1504" s="16" t="s">
        <v>692</v>
      </c>
      <c r="C1504" s="16" t="s">
        <v>387</v>
      </c>
      <c r="D1504" s="16" t="s">
        <v>388</v>
      </c>
      <c r="E1504" s="16">
        <v>8</v>
      </c>
      <c r="F1504" s="16" t="s">
        <v>369</v>
      </c>
      <c r="G1504" s="16"/>
      <c r="H1504" s="16" t="s">
        <v>389</v>
      </c>
      <c r="I1504" s="16"/>
      <c r="J1504" s="16" t="str">
        <f>IF(ISNUMBER(SEARCH("SCRW", H1504)), _xlfn.XLOOKUP(C1504,dd_item!$A$2:$A$147,dd_item!$B$2:$B$147,"",0),_xlfn.XLOOKUP(H1504,dd_item!$A$2:$A$147,dd_item!$B$2:$B$147,"",0))</f>
        <v>Sliding Striker (Roto)</v>
      </c>
      <c r="K1504" s="16" t="str">
        <f>_xlfn.XLOOKUP(A1504,dd_design_raw!$C$2:$C$1002,dd_design_raw!$A$2:$A$1002,"",0)</f>
        <v>Slide Slide Door</v>
      </c>
      <c r="L1504" s="16">
        <f>_xlfn.XLOOKUP(I1504,dd_accsryclr!$A$2:$A$1000,dd_accsryclr!$A$2:$A$1000,"",0)</f>
        <v>0</v>
      </c>
    </row>
    <row r="1505" spans="1:12" hidden="1" x14ac:dyDescent="0.25">
      <c r="A1505" s="16" t="s">
        <v>24</v>
      </c>
      <c r="B1505" s="16" t="s">
        <v>692</v>
      </c>
      <c r="C1505" s="16" t="s">
        <v>390</v>
      </c>
      <c r="D1505" s="16" t="s">
        <v>391</v>
      </c>
      <c r="E1505" s="16">
        <v>34.840000000000003</v>
      </c>
      <c r="F1505" s="16" t="s">
        <v>369</v>
      </c>
      <c r="G1505" s="16"/>
      <c r="H1505" s="16" t="s">
        <v>792</v>
      </c>
      <c r="I1505" s="16"/>
      <c r="J1505" s="16" t="str">
        <f>IF(ISNUMBER(SEARCH("SCRW", H1505)), _xlfn.XLOOKUP(C1505,dd_item!$A$2:$A$147,dd_item!$B$2:$B$147,"",0),_xlfn.XLOOKUP(H1505,dd_item!$A$2:$A$147,dd_item!$B$2:$B$147,"",0))</f>
        <v>Atlas Screw (S) 10 x 2-1/2" (Flat)</v>
      </c>
      <c r="K1505" s="16" t="str">
        <f>_xlfn.XLOOKUP(A1505,dd_design_raw!$C$2:$C$1002,dd_design_raw!$A$2:$A$1002,"",0)</f>
        <v>Slide Slide Door</v>
      </c>
      <c r="L1505" s="16">
        <f>_xlfn.XLOOKUP(I1505,dd_accsryclr!$A$2:$A$1000,dd_accsryclr!$A$2:$A$1000,"",0)</f>
        <v>0</v>
      </c>
    </row>
    <row r="1506" spans="1:12" hidden="1" x14ac:dyDescent="0.25">
      <c r="A1506" s="16" t="s">
        <v>24</v>
      </c>
      <c r="B1506" s="16" t="s">
        <v>692</v>
      </c>
      <c r="C1506" s="16" t="s">
        <v>392</v>
      </c>
      <c r="D1506" s="16" t="s">
        <v>393</v>
      </c>
      <c r="E1506" s="16">
        <v>3</v>
      </c>
      <c r="F1506" s="16" t="s">
        <v>369</v>
      </c>
      <c r="G1506" s="16"/>
      <c r="H1506" s="16" t="s">
        <v>394</v>
      </c>
      <c r="I1506" s="16" t="s">
        <v>223</v>
      </c>
      <c r="J1506" s="16" t="str">
        <f>IF(ISNUMBER(SEARCH("SCRW", H1506)), _xlfn.XLOOKUP(C1506,dd_item!$A$2:$A$147,dd_item!$B$2:$B$147,"",0),_xlfn.XLOOKUP(H1506,dd_item!$A$2:$A$147,dd_item!$B$2:$B$147,"",0))</f>
        <v>Drainage Cover</v>
      </c>
      <c r="K1506" s="16" t="str">
        <f>_xlfn.XLOOKUP(A1506,dd_design_raw!$C$2:$C$1002,dd_design_raw!$A$2:$A$1002,"",0)</f>
        <v>Slide Slide Door</v>
      </c>
      <c r="L1506" s="16" t="str">
        <f>_xlfn.XLOOKUP(I1506,dd_accsryclr!$A$2:$A$1000,dd_accsryclr!$A$2:$A$1000,"",0)</f>
        <v>BLK</v>
      </c>
    </row>
    <row r="1507" spans="1:12" hidden="1" x14ac:dyDescent="0.25">
      <c r="A1507" s="16" t="s">
        <v>24</v>
      </c>
      <c r="B1507" s="16" t="s">
        <v>692</v>
      </c>
      <c r="C1507" s="16" t="s">
        <v>395</v>
      </c>
      <c r="D1507" s="16" t="s">
        <v>396</v>
      </c>
      <c r="E1507" s="16">
        <v>3</v>
      </c>
      <c r="F1507" s="16" t="s">
        <v>369</v>
      </c>
      <c r="G1507" s="16"/>
      <c r="H1507" s="16" t="s">
        <v>394</v>
      </c>
      <c r="I1507" s="16" t="s">
        <v>220</v>
      </c>
      <c r="J1507" s="16" t="str">
        <f>IF(ISNUMBER(SEARCH("SCRW", H1507)), _xlfn.XLOOKUP(C1507,dd_item!$A$2:$A$147,dd_item!$B$2:$B$147,"",0),_xlfn.XLOOKUP(H1507,dd_item!$A$2:$A$147,dd_item!$B$2:$B$147,"",0))</f>
        <v>Drainage Cover</v>
      </c>
      <c r="K1507" s="16" t="str">
        <f>_xlfn.XLOOKUP(A1507,dd_design_raw!$C$2:$C$1002,dd_design_raw!$A$2:$A$1002,"",0)</f>
        <v>Slide Slide Door</v>
      </c>
      <c r="L1507" s="16" t="str">
        <f>_xlfn.XLOOKUP(I1507,dd_accsryclr!$A$2:$A$1000,dd_accsryclr!$A$2:$A$1000,"",0)</f>
        <v>WHT</v>
      </c>
    </row>
    <row r="1508" spans="1:12" hidden="1" x14ac:dyDescent="0.25">
      <c r="A1508" s="16" t="s">
        <v>24</v>
      </c>
      <c r="B1508" s="16" t="s">
        <v>692</v>
      </c>
      <c r="C1508" s="16" t="s">
        <v>397</v>
      </c>
      <c r="D1508" s="16" t="s">
        <v>398</v>
      </c>
      <c r="E1508" s="16">
        <v>0.69680000000000009</v>
      </c>
      <c r="F1508" s="16" t="s">
        <v>369</v>
      </c>
      <c r="G1508" s="16"/>
      <c r="H1508" s="16" t="s">
        <v>399</v>
      </c>
      <c r="I1508" s="16" t="s">
        <v>400</v>
      </c>
      <c r="J1508" s="16" t="str">
        <f>IF(ISNUMBER(SEARCH("SCRW", H1508)), _xlfn.XLOOKUP(C1508,dd_item!$A$2:$A$147,dd_item!$B$2:$B$147,"",0),_xlfn.XLOOKUP(H1508,dd_item!$A$2:$A$147,dd_item!$B$2:$B$147,"",0))</f>
        <v>Tox6</v>
      </c>
      <c r="K1508" s="16" t="str">
        <f>_xlfn.XLOOKUP(A1508,dd_design_raw!$C$2:$C$1002,dd_design_raw!$A$2:$A$1002,"",0)</f>
        <v>Slide Slide Door</v>
      </c>
      <c r="L1508" s="16" t="str">
        <f>_xlfn.XLOOKUP(I1508,dd_accsryclr!$A$2:$A$1000,dd_accsryclr!$A$2:$A$1000,"",0)</f>
        <v/>
      </c>
    </row>
    <row r="1509" spans="1:12" hidden="1" x14ac:dyDescent="0.25">
      <c r="A1509" s="16" t="s">
        <v>24</v>
      </c>
      <c r="B1509" s="16" t="s">
        <v>692</v>
      </c>
      <c r="C1509" s="16" t="s">
        <v>401</v>
      </c>
      <c r="D1509" s="16" t="s">
        <v>402</v>
      </c>
      <c r="E1509" s="16">
        <v>18.840000000000003</v>
      </c>
      <c r="F1509" s="16" t="s">
        <v>369</v>
      </c>
      <c r="G1509" s="16"/>
      <c r="H1509" s="16" t="s">
        <v>403</v>
      </c>
      <c r="I1509" s="16" t="s">
        <v>223</v>
      </c>
      <c r="J1509" s="16" t="str">
        <f>IF(ISNUMBER(SEARCH("SCRW", H1509)), _xlfn.XLOOKUP(C1509,dd_item!$A$2:$A$147,dd_item!$B$2:$B$147,"",0),_xlfn.XLOOKUP(H1509,dd_item!$A$2:$A$147,dd_item!$B$2:$B$147,"",0))</f>
        <v>Cover Cap</v>
      </c>
      <c r="K1509" s="16" t="str">
        <f>_xlfn.XLOOKUP(A1509,dd_design_raw!$C$2:$C$1002,dd_design_raw!$A$2:$A$1002,"",0)</f>
        <v>Slide Slide Door</v>
      </c>
      <c r="L1509" s="16" t="str">
        <f>_xlfn.XLOOKUP(I1509,dd_accsryclr!$A$2:$A$1000,dd_accsryclr!$A$2:$A$1000,"",0)</f>
        <v>BLK</v>
      </c>
    </row>
    <row r="1510" spans="1:12" hidden="1" x14ac:dyDescent="0.25">
      <c r="A1510" s="16" t="s">
        <v>24</v>
      </c>
      <c r="B1510" s="16" t="s">
        <v>692</v>
      </c>
      <c r="C1510" s="16" t="s">
        <v>404</v>
      </c>
      <c r="D1510" s="16" t="s">
        <v>405</v>
      </c>
      <c r="E1510" s="16">
        <v>18.840000000000003</v>
      </c>
      <c r="F1510" s="16" t="s">
        <v>369</v>
      </c>
      <c r="G1510" s="16"/>
      <c r="H1510" s="16" t="s">
        <v>403</v>
      </c>
      <c r="I1510" s="16" t="s">
        <v>220</v>
      </c>
      <c r="J1510" s="16" t="str">
        <f>IF(ISNUMBER(SEARCH("SCRW", H1510)), _xlfn.XLOOKUP(C1510,dd_item!$A$2:$A$147,dd_item!$B$2:$B$147,"",0),_xlfn.XLOOKUP(H1510,dd_item!$A$2:$A$147,dd_item!$B$2:$B$147,"",0))</f>
        <v>Cover Cap</v>
      </c>
      <c r="K1510" s="16" t="str">
        <f>_xlfn.XLOOKUP(A1510,dd_design_raw!$C$2:$C$1002,dd_design_raw!$A$2:$A$1002,"",0)</f>
        <v>Slide Slide Door</v>
      </c>
      <c r="L1510" s="16" t="str">
        <f>_xlfn.XLOOKUP(I1510,dd_accsryclr!$A$2:$A$1000,dd_accsryclr!$A$2:$A$1000,"",0)</f>
        <v>WHT</v>
      </c>
    </row>
    <row r="1511" spans="1:12" hidden="1" x14ac:dyDescent="0.25">
      <c r="A1511" s="16" t="s">
        <v>24</v>
      </c>
      <c r="B1511" s="16" t="s">
        <v>692</v>
      </c>
      <c r="C1511" s="16" t="s">
        <v>406</v>
      </c>
      <c r="D1511" s="16" t="s">
        <v>407</v>
      </c>
      <c r="E1511" s="16">
        <v>2</v>
      </c>
      <c r="F1511" s="16" t="s">
        <v>369</v>
      </c>
      <c r="G1511" s="16"/>
      <c r="H1511" s="16" t="s">
        <v>408</v>
      </c>
      <c r="I1511" s="16" t="s">
        <v>223</v>
      </c>
      <c r="J1511" s="16" t="str">
        <f>IF(ISNUMBER(SEARCH("SCRW", H1511)), _xlfn.XLOOKUP(C1511,dd_item!$A$2:$A$147,dd_item!$B$2:$B$147,"",0),_xlfn.XLOOKUP(H1511,dd_item!$A$2:$A$147,dd_item!$B$2:$B$147,"",0))</f>
        <v>SD Kit Buffer Stopper</v>
      </c>
      <c r="K1511" s="16" t="str">
        <f>_xlfn.XLOOKUP(A1511,dd_design_raw!$C$2:$C$1002,dd_design_raw!$A$2:$A$1002,"",0)</f>
        <v>Slide Slide Door</v>
      </c>
      <c r="L1511" s="16" t="str">
        <f>_xlfn.XLOOKUP(I1511,dd_accsryclr!$A$2:$A$1000,dd_accsryclr!$A$2:$A$1000,"",0)</f>
        <v>BLK</v>
      </c>
    </row>
    <row r="1512" spans="1:12" hidden="1" x14ac:dyDescent="0.25">
      <c r="A1512" s="16" t="s">
        <v>24</v>
      </c>
      <c r="B1512" s="16" t="s">
        <v>692</v>
      </c>
      <c r="C1512" s="16" t="s">
        <v>410</v>
      </c>
      <c r="D1512" s="16" t="s">
        <v>411</v>
      </c>
      <c r="E1512" s="16">
        <v>2</v>
      </c>
      <c r="F1512" s="16" t="s">
        <v>369</v>
      </c>
      <c r="G1512" s="16"/>
      <c r="H1512" s="16" t="s">
        <v>408</v>
      </c>
      <c r="I1512" s="16" t="s">
        <v>220</v>
      </c>
      <c r="J1512" s="16" t="str">
        <f>IF(ISNUMBER(SEARCH("SCRW", H1512)), _xlfn.XLOOKUP(C1512,dd_item!$A$2:$A$147,dd_item!$B$2:$B$147,"",0),_xlfn.XLOOKUP(H1512,dd_item!$A$2:$A$147,dd_item!$B$2:$B$147,"",0))</f>
        <v>SD Kit Buffer Stopper</v>
      </c>
      <c r="K1512" s="16" t="str">
        <f>_xlfn.XLOOKUP(A1512,dd_design_raw!$C$2:$C$1002,dd_design_raw!$A$2:$A$1002,"",0)</f>
        <v>Slide Slide Door</v>
      </c>
      <c r="L1512" s="16" t="str">
        <f>_xlfn.XLOOKUP(I1512,dd_accsryclr!$A$2:$A$1000,dd_accsryclr!$A$2:$A$1000,"",0)</f>
        <v>WHT</v>
      </c>
    </row>
    <row r="1513" spans="1:12" hidden="1" x14ac:dyDescent="0.25">
      <c r="A1513" s="16" t="s">
        <v>24</v>
      </c>
      <c r="B1513" s="16" t="s">
        <v>692</v>
      </c>
      <c r="C1513" s="16" t="s">
        <v>412</v>
      </c>
      <c r="D1513" s="16" t="s">
        <v>413</v>
      </c>
      <c r="E1513" s="16">
        <v>2</v>
      </c>
      <c r="F1513" s="16" t="s">
        <v>369</v>
      </c>
      <c r="G1513" s="16"/>
      <c r="H1513" s="16" t="s">
        <v>793</v>
      </c>
      <c r="I1513" s="16"/>
      <c r="J1513" s="16" t="str">
        <f>IF(ISNUMBER(SEARCH("SCRW", H1513)), _xlfn.XLOOKUP(C1513,dd_item!$A$2:$A$147,dd_item!$B$2:$B$147,"",0),_xlfn.XLOOKUP(H1513,dd_item!$A$2:$A$147,dd_item!$B$2:$B$147,"",0))</f>
        <v>Atlas Screw (S) 8 x 1-1/4" (Flat)</v>
      </c>
      <c r="K1513" s="16" t="str">
        <f>_xlfn.XLOOKUP(A1513,dd_design_raw!$C$2:$C$1002,dd_design_raw!$A$2:$A$1002,"",0)</f>
        <v>Slide Slide Door</v>
      </c>
      <c r="L1513" s="16">
        <f>_xlfn.XLOOKUP(I1513,dd_accsryclr!$A$2:$A$1000,dd_accsryclr!$A$2:$A$1000,"",0)</f>
        <v>0</v>
      </c>
    </row>
    <row r="1514" spans="1:12" hidden="1" x14ac:dyDescent="0.25">
      <c r="A1514" s="16" t="s">
        <v>24</v>
      </c>
      <c r="B1514" s="16" t="s">
        <v>692</v>
      </c>
      <c r="C1514" s="16" t="s">
        <v>414</v>
      </c>
      <c r="D1514" s="16" t="s">
        <v>415</v>
      </c>
      <c r="E1514" s="16">
        <v>6.2800000000000011</v>
      </c>
      <c r="F1514" s="16" t="s">
        <v>369</v>
      </c>
      <c r="G1514" s="16"/>
      <c r="H1514" s="16" t="s">
        <v>416</v>
      </c>
      <c r="I1514" s="16" t="s">
        <v>223</v>
      </c>
      <c r="J1514" s="16" t="str">
        <f>IF(ISNUMBER(SEARCH("SCRW", H1514)), _xlfn.XLOOKUP(C1514,dd_item!$A$2:$A$147,dd_item!$B$2:$B$147,"",0),_xlfn.XLOOKUP(H1514,dd_item!$A$2:$A$147,dd_item!$B$2:$B$147,"",0))</f>
        <v>Sealant</v>
      </c>
      <c r="K1514" s="16" t="str">
        <f>_xlfn.XLOOKUP(A1514,dd_design_raw!$C$2:$C$1002,dd_design_raw!$A$2:$A$1002,"",0)</f>
        <v>Slide Slide Door</v>
      </c>
      <c r="L1514" s="16" t="str">
        <f>_xlfn.XLOOKUP(I1514,dd_accsryclr!$A$2:$A$1000,dd_accsryclr!$A$2:$A$1000,"",0)</f>
        <v>BLK</v>
      </c>
    </row>
    <row r="1515" spans="1:12" hidden="1" x14ac:dyDescent="0.25">
      <c r="A1515" s="16" t="s">
        <v>24</v>
      </c>
      <c r="B1515" s="16" t="s">
        <v>692</v>
      </c>
      <c r="C1515" s="16" t="s">
        <v>417</v>
      </c>
      <c r="D1515" s="16" t="s">
        <v>418</v>
      </c>
      <c r="E1515" s="16">
        <v>6.2800000000000011</v>
      </c>
      <c r="F1515" s="16" t="s">
        <v>369</v>
      </c>
      <c r="G1515" s="16"/>
      <c r="H1515" s="16" t="s">
        <v>416</v>
      </c>
      <c r="I1515" s="16" t="s">
        <v>230</v>
      </c>
      <c r="J1515" s="16" t="str">
        <f>IF(ISNUMBER(SEARCH("SCRW", H1515)), _xlfn.XLOOKUP(C1515,dd_item!$A$2:$A$147,dd_item!$B$2:$B$147,"",0),_xlfn.XLOOKUP(H1515,dd_item!$A$2:$A$147,dd_item!$B$2:$B$147,"",0))</f>
        <v>Sealant</v>
      </c>
      <c r="K1515" s="16" t="str">
        <f>_xlfn.XLOOKUP(A1515,dd_design_raw!$C$2:$C$1002,dd_design_raw!$A$2:$A$1002,"",0)</f>
        <v>Slide Slide Door</v>
      </c>
      <c r="L1515" s="16" t="str">
        <f>_xlfn.XLOOKUP(I1515,dd_accsryclr!$A$2:$A$1000,dd_accsryclr!$A$2:$A$1000,"",0)</f>
        <v>BRWN</v>
      </c>
    </row>
    <row r="1516" spans="1:12" hidden="1" x14ac:dyDescent="0.25">
      <c r="A1516" s="16" t="s">
        <v>24</v>
      </c>
      <c r="B1516" s="16" t="s">
        <v>692</v>
      </c>
      <c r="C1516" s="16" t="s">
        <v>419</v>
      </c>
      <c r="D1516" s="16" t="s">
        <v>420</v>
      </c>
      <c r="E1516" s="16">
        <v>6.2800000000000011</v>
      </c>
      <c r="F1516" s="16" t="s">
        <v>369</v>
      </c>
      <c r="G1516" s="16"/>
      <c r="H1516" s="16" t="s">
        <v>416</v>
      </c>
      <c r="I1516" s="16" t="s">
        <v>220</v>
      </c>
      <c r="J1516" s="16" t="str">
        <f>IF(ISNUMBER(SEARCH("SCRW", H1516)), _xlfn.XLOOKUP(C1516,dd_item!$A$2:$A$147,dd_item!$B$2:$B$147,"",0),_xlfn.XLOOKUP(H1516,dd_item!$A$2:$A$147,dd_item!$B$2:$B$147,"",0))</f>
        <v>Sealant</v>
      </c>
      <c r="K1516" s="16" t="str">
        <f>_xlfn.XLOOKUP(A1516,dd_design_raw!$C$2:$C$1002,dd_design_raw!$A$2:$A$1002,"",0)</f>
        <v>Slide Slide Door</v>
      </c>
      <c r="L1516" s="16" t="str">
        <f>_xlfn.XLOOKUP(I1516,dd_accsryclr!$A$2:$A$1000,dd_accsryclr!$A$2:$A$1000,"",0)</f>
        <v>WHT</v>
      </c>
    </row>
    <row r="1517" spans="1:12" hidden="1" x14ac:dyDescent="0.25">
      <c r="A1517" s="16" t="s">
        <v>24</v>
      </c>
      <c r="B1517" s="16" t="s">
        <v>692</v>
      </c>
      <c r="C1517" s="16" t="s">
        <v>421</v>
      </c>
      <c r="D1517" s="16" t="s">
        <v>422</v>
      </c>
      <c r="E1517" s="16"/>
      <c r="F1517" s="16" t="s">
        <v>369</v>
      </c>
      <c r="G1517" s="16"/>
      <c r="H1517" s="16" t="s">
        <v>416</v>
      </c>
      <c r="I1517" s="16" t="s">
        <v>423</v>
      </c>
      <c r="J1517" s="16" t="str">
        <f>IF(ISNUMBER(SEARCH("SCRW", H1517)), _xlfn.XLOOKUP(C1517,dd_item!$A$2:$A$147,dd_item!$B$2:$B$147,"",0),_xlfn.XLOOKUP(H1517,dd_item!$A$2:$A$147,dd_item!$B$2:$B$147,"",0))</f>
        <v>Sealant</v>
      </c>
      <c r="K1517" s="16" t="str">
        <f>_xlfn.XLOOKUP(A1517,dd_design_raw!$C$2:$C$1002,dd_design_raw!$A$2:$A$1002,"",0)</f>
        <v>Slide Slide Door</v>
      </c>
      <c r="L1517" s="16" t="str">
        <f>_xlfn.XLOOKUP(I1517,dd_accsryclr!$A$2:$A$1000,dd_accsryclr!$A$2:$A$1000,"",0)</f>
        <v/>
      </c>
    </row>
    <row r="1518" spans="1:12" hidden="1" x14ac:dyDescent="0.25">
      <c r="A1518" s="16" t="s">
        <v>24</v>
      </c>
      <c r="B1518" s="16" t="s">
        <v>692</v>
      </c>
      <c r="C1518" s="16" t="s">
        <v>424</v>
      </c>
      <c r="D1518" s="16" t="s">
        <v>425</v>
      </c>
      <c r="E1518" s="16">
        <v>6</v>
      </c>
      <c r="F1518" s="16" t="s">
        <v>369</v>
      </c>
      <c r="G1518" s="16"/>
      <c r="H1518" s="16" t="s">
        <v>794</v>
      </c>
      <c r="I1518" s="16" t="s">
        <v>694</v>
      </c>
      <c r="J1518" s="16" t="str">
        <f>IF(ISNUMBER(SEARCH("SCRW", H1518)), _xlfn.XLOOKUP(C1518,dd_item!$A$2:$A$147,dd_item!$B$2:$B$147,"",0),_xlfn.XLOOKUP(H1518,dd_item!$A$2:$A$147,dd_item!$B$2:$B$147,"",0))</f>
        <v>Atlas Screw (S) 6 x 3/4" (FLAT)</v>
      </c>
      <c r="K1518" s="16" t="str">
        <f>_xlfn.XLOOKUP(A1518,dd_design_raw!$C$2:$C$1002,dd_design_raw!$A$2:$A$1002,"",0)</f>
        <v>Slide Slide Door</v>
      </c>
      <c r="L1518" s="16" t="str">
        <f>_xlfn.XLOOKUP(I1518,dd_accsryclr!$A$2:$A$1000,dd_accsryclr!$A$2:$A$1000,"",0)</f>
        <v/>
      </c>
    </row>
    <row r="1519" spans="1:12" hidden="1" x14ac:dyDescent="0.25">
      <c r="A1519" s="16" t="s">
        <v>24</v>
      </c>
      <c r="B1519" s="16" t="s">
        <v>692</v>
      </c>
      <c r="C1519" s="16" t="s">
        <v>265</v>
      </c>
      <c r="D1519" s="16" t="s">
        <v>266</v>
      </c>
      <c r="E1519" s="16"/>
      <c r="F1519" s="16" t="s">
        <v>194</v>
      </c>
      <c r="G1519" s="16" t="s">
        <v>469</v>
      </c>
      <c r="H1519" s="16" t="s">
        <v>820</v>
      </c>
      <c r="I1519" s="16"/>
      <c r="J1519" s="16" t="str">
        <f>IF(ISNUMBER(SEARCH("SCRW", H1519)), _xlfn.XLOOKUP(C1519,dd_item!$A$2:$A$147,dd_item!$B$2:$B$147,"",0),_xlfn.XLOOKUP(H1519,dd_item!$A$2:$A$147,dd_item!$B$2:$B$147,"",0))</f>
        <v>Steel-Frame90</v>
      </c>
      <c r="K1519" s="16" t="str">
        <f>_xlfn.XLOOKUP(A1519,dd_design_raw!$C$2:$C$1002,dd_design_raw!$A$2:$A$1002,"",0)</f>
        <v>Slide Slide Door</v>
      </c>
      <c r="L1519" s="16">
        <f>_xlfn.XLOOKUP(I1519,dd_accsryclr!$A$2:$A$1000,dd_accsryclr!$A$2:$A$1000,"",0)</f>
        <v>0</v>
      </c>
    </row>
    <row r="1520" spans="1:12" hidden="1" x14ac:dyDescent="0.25">
      <c r="A1520" s="16" t="s">
        <v>22</v>
      </c>
      <c r="B1520" s="16" t="s">
        <v>696</v>
      </c>
      <c r="C1520" s="16" t="s">
        <v>467</v>
      </c>
      <c r="D1520" s="16" t="s">
        <v>468</v>
      </c>
      <c r="E1520" s="16">
        <v>1.2793103448275862</v>
      </c>
      <c r="F1520" s="16" t="s">
        <v>194</v>
      </c>
      <c r="G1520" s="16"/>
      <c r="H1520" s="16" t="s">
        <v>469</v>
      </c>
      <c r="I1520" s="16" t="s">
        <v>211</v>
      </c>
      <c r="J1520" s="16" t="str">
        <f>IF(ISNUMBER(SEARCH("SCRW", H1520)), _xlfn.XLOOKUP(C1520,dd_item!$A$2:$A$147,dd_item!$B$2:$B$147,"",0),_xlfn.XLOOKUP(H1520,dd_item!$A$2:$A$147,dd_item!$B$2:$B$147,"",0))</f>
        <v>Frame90</v>
      </c>
      <c r="K1520" s="16" t="str">
        <f>_xlfn.XLOOKUP(A1520,dd_design_raw!$C$2:$C$1002,dd_design_raw!$A$2:$A$1002,"",0)</f>
        <v>Fix Slide Slide Fix Window</v>
      </c>
      <c r="L1520" s="16" t="str">
        <f>_xlfn.XLOOKUP(I1520,dd_accsryclr!$A$2:$A$1000,dd_accsryclr!$A$2:$A$1000,"",0)</f>
        <v/>
      </c>
    </row>
    <row r="1521" spans="1:12" hidden="1" x14ac:dyDescent="0.25">
      <c r="A1521" s="16" t="s">
        <v>22</v>
      </c>
      <c r="B1521" s="16" t="s">
        <v>696</v>
      </c>
      <c r="C1521" s="16" t="s">
        <v>470</v>
      </c>
      <c r="D1521" s="16" t="s">
        <v>471</v>
      </c>
      <c r="E1521" s="16">
        <v>1.2793103448275862</v>
      </c>
      <c r="F1521" s="16" t="s">
        <v>194</v>
      </c>
      <c r="G1521" s="16"/>
      <c r="H1521" s="16" t="s">
        <v>469</v>
      </c>
      <c r="I1521" s="16" t="s">
        <v>214</v>
      </c>
      <c r="J1521" s="16" t="str">
        <f>IF(ISNUMBER(SEARCH("SCRW", H1521)), _xlfn.XLOOKUP(C1521,dd_item!$A$2:$A$147,dd_item!$B$2:$B$147,"",0),_xlfn.XLOOKUP(H1521,dd_item!$A$2:$A$147,dd_item!$B$2:$B$147,"",0))</f>
        <v>Frame90</v>
      </c>
      <c r="K1521" s="16" t="str">
        <f>_xlfn.XLOOKUP(A1521,dd_design_raw!$C$2:$C$1002,dd_design_raw!$A$2:$A$1002,"",0)</f>
        <v>Fix Slide Slide Fix Window</v>
      </c>
      <c r="L1521" s="16" t="str">
        <f>_xlfn.XLOOKUP(I1521,dd_accsryclr!$A$2:$A$1000,dd_accsryclr!$A$2:$A$1000,"",0)</f>
        <v/>
      </c>
    </row>
    <row r="1522" spans="1:12" hidden="1" x14ac:dyDescent="0.25">
      <c r="A1522" s="16" t="s">
        <v>22</v>
      </c>
      <c r="B1522" s="16" t="s">
        <v>696</v>
      </c>
      <c r="C1522" s="16" t="s">
        <v>472</v>
      </c>
      <c r="D1522" s="16" t="s">
        <v>473</v>
      </c>
      <c r="E1522" s="16">
        <v>1.2793103448275862</v>
      </c>
      <c r="F1522" s="16" t="s">
        <v>194</v>
      </c>
      <c r="G1522" s="16"/>
      <c r="H1522" s="16" t="s">
        <v>469</v>
      </c>
      <c r="I1522" s="16" t="s">
        <v>217</v>
      </c>
      <c r="J1522" s="16" t="str">
        <f>IF(ISNUMBER(SEARCH("SCRW", H1522)), _xlfn.XLOOKUP(C1522,dd_item!$A$2:$A$147,dd_item!$B$2:$B$147,"",0),_xlfn.XLOOKUP(H1522,dd_item!$A$2:$A$147,dd_item!$B$2:$B$147,"",0))</f>
        <v>Frame90</v>
      </c>
      <c r="K1522" s="16" t="str">
        <f>_xlfn.XLOOKUP(A1522,dd_design_raw!$C$2:$C$1002,dd_design_raw!$A$2:$A$1002,"",0)</f>
        <v>Fix Slide Slide Fix Window</v>
      </c>
      <c r="L1522" s="16" t="str">
        <f>_xlfn.XLOOKUP(I1522,dd_accsryclr!$A$2:$A$1000,dd_accsryclr!$A$2:$A$1000,"",0)</f>
        <v/>
      </c>
    </row>
    <row r="1523" spans="1:12" hidden="1" x14ac:dyDescent="0.25">
      <c r="A1523" s="16" t="s">
        <v>22</v>
      </c>
      <c r="B1523" s="16" t="s">
        <v>696</v>
      </c>
      <c r="C1523" s="16" t="s">
        <v>474</v>
      </c>
      <c r="D1523" s="16" t="s">
        <v>475</v>
      </c>
      <c r="E1523" s="16">
        <v>1.2793103448275862</v>
      </c>
      <c r="F1523" s="16" t="s">
        <v>194</v>
      </c>
      <c r="G1523" s="16"/>
      <c r="H1523" s="16" t="s">
        <v>469</v>
      </c>
      <c r="I1523" s="16" t="s">
        <v>226</v>
      </c>
      <c r="J1523" s="16" t="str">
        <f>IF(ISNUMBER(SEARCH("SCRW", H1523)), _xlfn.XLOOKUP(C1523,dd_item!$A$2:$A$147,dd_item!$B$2:$B$147,"",0),_xlfn.XLOOKUP(H1523,dd_item!$A$2:$A$147,dd_item!$B$2:$B$147,"",0))</f>
        <v>Frame90</v>
      </c>
      <c r="K1523" s="16" t="str">
        <f>_xlfn.XLOOKUP(A1523,dd_design_raw!$C$2:$C$1002,dd_design_raw!$A$2:$A$1002,"",0)</f>
        <v>Fix Slide Slide Fix Window</v>
      </c>
      <c r="L1523" s="16" t="str">
        <f>_xlfn.XLOOKUP(I1523,dd_accsryclr!$A$2:$A$1000,dd_accsryclr!$A$2:$A$1000,"",0)</f>
        <v/>
      </c>
    </row>
    <row r="1524" spans="1:12" hidden="1" x14ac:dyDescent="0.25">
      <c r="A1524" s="16" t="s">
        <v>22</v>
      </c>
      <c r="B1524" s="16" t="s">
        <v>696</v>
      </c>
      <c r="C1524" s="16" t="s">
        <v>476</v>
      </c>
      <c r="D1524" s="16" t="s">
        <v>477</v>
      </c>
      <c r="E1524" s="16">
        <v>1.2793103448275862</v>
      </c>
      <c r="F1524" s="16" t="s">
        <v>194</v>
      </c>
      <c r="G1524" s="16"/>
      <c r="H1524" s="16" t="s">
        <v>469</v>
      </c>
      <c r="I1524" s="16" t="s">
        <v>220</v>
      </c>
      <c r="J1524" s="16" t="str">
        <f>IF(ISNUMBER(SEARCH("SCRW", H1524)), _xlfn.XLOOKUP(C1524,dd_item!$A$2:$A$147,dd_item!$B$2:$B$147,"",0),_xlfn.XLOOKUP(H1524,dd_item!$A$2:$A$147,dd_item!$B$2:$B$147,"",0))</f>
        <v>Frame90</v>
      </c>
      <c r="K1524" s="16" t="str">
        <f>_xlfn.XLOOKUP(A1524,dd_design_raw!$C$2:$C$1002,dd_design_raw!$A$2:$A$1002,"",0)</f>
        <v>Fix Slide Slide Fix Window</v>
      </c>
      <c r="L1524" s="16" t="str">
        <f>_xlfn.XLOOKUP(I1524,dd_accsryclr!$A$2:$A$1000,dd_accsryclr!$A$2:$A$1000,"",0)</f>
        <v>WHT</v>
      </c>
    </row>
    <row r="1525" spans="1:12" hidden="1" x14ac:dyDescent="0.25">
      <c r="A1525" s="16" t="s">
        <v>22</v>
      </c>
      <c r="B1525" s="16" t="s">
        <v>696</v>
      </c>
      <c r="C1525" s="16" t="s">
        <v>478</v>
      </c>
      <c r="D1525" s="16" t="s">
        <v>479</v>
      </c>
      <c r="E1525" s="16">
        <v>1.2793103448275862</v>
      </c>
      <c r="F1525" s="16" t="s">
        <v>194</v>
      </c>
      <c r="G1525" s="16"/>
      <c r="H1525" s="16" t="s">
        <v>469</v>
      </c>
      <c r="I1525" s="16" t="s">
        <v>223</v>
      </c>
      <c r="J1525" s="16" t="str">
        <f>IF(ISNUMBER(SEARCH("SCRW", H1525)), _xlfn.XLOOKUP(C1525,dd_item!$A$2:$A$147,dd_item!$B$2:$B$147,"",0),_xlfn.XLOOKUP(H1525,dd_item!$A$2:$A$147,dd_item!$B$2:$B$147,"",0))</f>
        <v>Frame90</v>
      </c>
      <c r="K1525" s="16" t="str">
        <f>_xlfn.XLOOKUP(A1525,dd_design_raw!$C$2:$C$1002,dd_design_raw!$A$2:$A$1002,"",0)</f>
        <v>Fix Slide Slide Fix Window</v>
      </c>
      <c r="L1525" s="16" t="str">
        <f>_xlfn.XLOOKUP(I1525,dd_accsryclr!$A$2:$A$1000,dd_accsryclr!$A$2:$A$1000,"",0)</f>
        <v>BLK</v>
      </c>
    </row>
    <row r="1526" spans="1:12" hidden="1" x14ac:dyDescent="0.25">
      <c r="A1526" s="16" t="s">
        <v>22</v>
      </c>
      <c r="B1526" s="16" t="s">
        <v>696</v>
      </c>
      <c r="C1526" s="16" t="s">
        <v>480</v>
      </c>
      <c r="D1526" s="16" t="s">
        <v>481</v>
      </c>
      <c r="E1526" s="16">
        <v>1.2793103448275862</v>
      </c>
      <c r="F1526" s="16" t="s">
        <v>194</v>
      </c>
      <c r="G1526" s="16"/>
      <c r="H1526" s="16" t="s">
        <v>469</v>
      </c>
      <c r="I1526" s="16" t="s">
        <v>230</v>
      </c>
      <c r="J1526" s="16" t="str">
        <f>IF(ISNUMBER(SEARCH("SCRW", H1526)), _xlfn.XLOOKUP(C1526,dd_item!$A$2:$A$147,dd_item!$B$2:$B$147,"",0),_xlfn.XLOOKUP(H1526,dd_item!$A$2:$A$147,dd_item!$B$2:$B$147,"",0))</f>
        <v>Frame90</v>
      </c>
      <c r="K1526" s="16" t="str">
        <f>_xlfn.XLOOKUP(A1526,dd_design_raw!$C$2:$C$1002,dd_design_raw!$A$2:$A$1002,"",0)</f>
        <v>Fix Slide Slide Fix Window</v>
      </c>
      <c r="L1526" s="16" t="str">
        <f>_xlfn.XLOOKUP(I1526,dd_accsryclr!$A$2:$A$1000,dd_accsryclr!$A$2:$A$1000,"",0)</f>
        <v>BRWN</v>
      </c>
    </row>
    <row r="1527" spans="1:12" hidden="1" x14ac:dyDescent="0.25">
      <c r="A1527" s="16" t="s">
        <v>22</v>
      </c>
      <c r="B1527" s="16" t="s">
        <v>696</v>
      </c>
      <c r="C1527" s="16" t="s">
        <v>246</v>
      </c>
      <c r="D1527" s="16" t="s">
        <v>247</v>
      </c>
      <c r="E1527" s="16">
        <v>2.7510344827586208</v>
      </c>
      <c r="F1527" s="16" t="s">
        <v>194</v>
      </c>
      <c r="G1527" s="16"/>
      <c r="H1527" s="16" t="s">
        <v>248</v>
      </c>
      <c r="I1527" s="16" t="s">
        <v>223</v>
      </c>
      <c r="J1527" s="16" t="str">
        <f>IF(ISNUMBER(SEARCH("SCRW", H1527)), _xlfn.XLOOKUP(C1527,dd_item!$A$2:$A$147,dd_item!$B$2:$B$147,"",0),_xlfn.XLOOKUP(H1527,dd_item!$A$2:$A$147,dd_item!$B$2:$B$147,"",0))</f>
        <v>Sash66</v>
      </c>
      <c r="K1527" s="16" t="str">
        <f>_xlfn.XLOOKUP(A1527,dd_design_raw!$C$2:$C$1002,dd_design_raw!$A$2:$A$1002,"",0)</f>
        <v>Fix Slide Slide Fix Window</v>
      </c>
      <c r="L1527" s="16" t="str">
        <f>_xlfn.XLOOKUP(I1527,dd_accsryclr!$A$2:$A$1000,dd_accsryclr!$A$2:$A$1000,"",0)</f>
        <v>BLK</v>
      </c>
    </row>
    <row r="1528" spans="1:12" hidden="1" x14ac:dyDescent="0.25">
      <c r="A1528" s="16" t="s">
        <v>22</v>
      </c>
      <c r="B1528" s="16" t="s">
        <v>696</v>
      </c>
      <c r="C1528" s="16" t="s">
        <v>249</v>
      </c>
      <c r="D1528" s="16" t="s">
        <v>250</v>
      </c>
      <c r="E1528" s="16">
        <v>2.7510344827586208</v>
      </c>
      <c r="F1528" s="16" t="s">
        <v>194</v>
      </c>
      <c r="G1528" s="16"/>
      <c r="H1528" s="16" t="s">
        <v>248</v>
      </c>
      <c r="I1528" s="16" t="s">
        <v>211</v>
      </c>
      <c r="J1528" s="16" t="str">
        <f>IF(ISNUMBER(SEARCH("SCRW", H1528)), _xlfn.XLOOKUP(C1528,dd_item!$A$2:$A$147,dd_item!$B$2:$B$147,"",0),_xlfn.XLOOKUP(H1528,dd_item!$A$2:$A$147,dd_item!$B$2:$B$147,"",0))</f>
        <v>Sash66</v>
      </c>
      <c r="K1528" s="16" t="str">
        <f>_xlfn.XLOOKUP(A1528,dd_design_raw!$C$2:$C$1002,dd_design_raw!$A$2:$A$1002,"",0)</f>
        <v>Fix Slide Slide Fix Window</v>
      </c>
      <c r="L1528" s="16" t="str">
        <f>_xlfn.XLOOKUP(I1528,dd_accsryclr!$A$2:$A$1000,dd_accsryclr!$A$2:$A$1000,"",0)</f>
        <v/>
      </c>
    </row>
    <row r="1529" spans="1:12" hidden="1" x14ac:dyDescent="0.25">
      <c r="A1529" s="16" t="s">
        <v>22</v>
      </c>
      <c r="B1529" s="16" t="s">
        <v>696</v>
      </c>
      <c r="C1529" s="16" t="s">
        <v>251</v>
      </c>
      <c r="D1529" s="16" t="s">
        <v>252</v>
      </c>
      <c r="E1529" s="16">
        <v>2.7510344827586208</v>
      </c>
      <c r="F1529" s="16" t="s">
        <v>194</v>
      </c>
      <c r="G1529" s="16"/>
      <c r="H1529" s="16" t="s">
        <v>248</v>
      </c>
      <c r="I1529" s="16" t="s">
        <v>214</v>
      </c>
      <c r="J1529" s="16" t="str">
        <f>IF(ISNUMBER(SEARCH("SCRW", H1529)), _xlfn.XLOOKUP(C1529,dd_item!$A$2:$A$147,dd_item!$B$2:$B$147,"",0),_xlfn.XLOOKUP(H1529,dd_item!$A$2:$A$147,dd_item!$B$2:$B$147,"",0))</f>
        <v>Sash66</v>
      </c>
      <c r="K1529" s="16" t="str">
        <f>_xlfn.XLOOKUP(A1529,dd_design_raw!$C$2:$C$1002,dd_design_raw!$A$2:$A$1002,"",0)</f>
        <v>Fix Slide Slide Fix Window</v>
      </c>
      <c r="L1529" s="16" t="str">
        <f>_xlfn.XLOOKUP(I1529,dd_accsryclr!$A$2:$A$1000,dd_accsryclr!$A$2:$A$1000,"",0)</f>
        <v/>
      </c>
    </row>
    <row r="1530" spans="1:12" hidden="1" x14ac:dyDescent="0.25">
      <c r="A1530" s="16" t="s">
        <v>22</v>
      </c>
      <c r="B1530" s="16" t="s">
        <v>696</v>
      </c>
      <c r="C1530" s="16" t="s">
        <v>253</v>
      </c>
      <c r="D1530" s="16" t="s">
        <v>254</v>
      </c>
      <c r="E1530" s="16">
        <v>2.7510344827586208</v>
      </c>
      <c r="F1530" s="16" t="s">
        <v>194</v>
      </c>
      <c r="G1530" s="16"/>
      <c r="H1530" s="16" t="s">
        <v>248</v>
      </c>
      <c r="I1530" s="16" t="s">
        <v>217</v>
      </c>
      <c r="J1530" s="16" t="str">
        <f>IF(ISNUMBER(SEARCH("SCRW", H1530)), _xlfn.XLOOKUP(C1530,dd_item!$A$2:$A$147,dd_item!$B$2:$B$147,"",0),_xlfn.XLOOKUP(H1530,dd_item!$A$2:$A$147,dd_item!$B$2:$B$147,"",0))</f>
        <v>Sash66</v>
      </c>
      <c r="K1530" s="16" t="str">
        <f>_xlfn.XLOOKUP(A1530,dd_design_raw!$C$2:$C$1002,dd_design_raw!$A$2:$A$1002,"",0)</f>
        <v>Fix Slide Slide Fix Window</v>
      </c>
      <c r="L1530" s="16" t="str">
        <f>_xlfn.XLOOKUP(I1530,dd_accsryclr!$A$2:$A$1000,dd_accsryclr!$A$2:$A$1000,"",0)</f>
        <v/>
      </c>
    </row>
    <row r="1531" spans="1:12" hidden="1" x14ac:dyDescent="0.25">
      <c r="A1531" s="16" t="s">
        <v>22</v>
      </c>
      <c r="B1531" s="16" t="s">
        <v>696</v>
      </c>
      <c r="C1531" s="16" t="s">
        <v>255</v>
      </c>
      <c r="D1531" s="16" t="s">
        <v>256</v>
      </c>
      <c r="E1531" s="16">
        <v>2.7510344827586208</v>
      </c>
      <c r="F1531" s="16" t="s">
        <v>194</v>
      </c>
      <c r="G1531" s="16"/>
      <c r="H1531" s="16" t="s">
        <v>248</v>
      </c>
      <c r="I1531" s="16" t="s">
        <v>226</v>
      </c>
      <c r="J1531" s="16" t="str">
        <f>IF(ISNUMBER(SEARCH("SCRW", H1531)), _xlfn.XLOOKUP(C1531,dd_item!$A$2:$A$147,dd_item!$B$2:$B$147,"",0),_xlfn.XLOOKUP(H1531,dd_item!$A$2:$A$147,dd_item!$B$2:$B$147,"",0))</f>
        <v>Sash66</v>
      </c>
      <c r="K1531" s="16" t="str">
        <f>_xlfn.XLOOKUP(A1531,dd_design_raw!$C$2:$C$1002,dd_design_raw!$A$2:$A$1002,"",0)</f>
        <v>Fix Slide Slide Fix Window</v>
      </c>
      <c r="L1531" s="16" t="str">
        <f>_xlfn.XLOOKUP(I1531,dd_accsryclr!$A$2:$A$1000,dd_accsryclr!$A$2:$A$1000,"",0)</f>
        <v/>
      </c>
    </row>
    <row r="1532" spans="1:12" hidden="1" x14ac:dyDescent="0.25">
      <c r="A1532" s="16" t="s">
        <v>22</v>
      </c>
      <c r="B1532" s="16" t="s">
        <v>696</v>
      </c>
      <c r="C1532" s="16" t="s">
        <v>257</v>
      </c>
      <c r="D1532" s="16" t="s">
        <v>258</v>
      </c>
      <c r="E1532" s="16">
        <v>2.7510344827586208</v>
      </c>
      <c r="F1532" s="16" t="s">
        <v>194</v>
      </c>
      <c r="G1532" s="16"/>
      <c r="H1532" s="16" t="s">
        <v>248</v>
      </c>
      <c r="I1532" s="16" t="s">
        <v>220</v>
      </c>
      <c r="J1532" s="16" t="str">
        <f>IF(ISNUMBER(SEARCH("SCRW", H1532)), _xlfn.XLOOKUP(C1532,dd_item!$A$2:$A$147,dd_item!$B$2:$B$147,"",0),_xlfn.XLOOKUP(H1532,dd_item!$A$2:$A$147,dd_item!$B$2:$B$147,"",0))</f>
        <v>Sash66</v>
      </c>
      <c r="K1532" s="16" t="str">
        <f>_xlfn.XLOOKUP(A1532,dd_design_raw!$C$2:$C$1002,dd_design_raw!$A$2:$A$1002,"",0)</f>
        <v>Fix Slide Slide Fix Window</v>
      </c>
      <c r="L1532" s="16" t="str">
        <f>_xlfn.XLOOKUP(I1532,dd_accsryclr!$A$2:$A$1000,dd_accsryclr!$A$2:$A$1000,"",0)</f>
        <v>WHT</v>
      </c>
    </row>
    <row r="1533" spans="1:12" hidden="1" x14ac:dyDescent="0.25">
      <c r="A1533" s="16" t="s">
        <v>22</v>
      </c>
      <c r="B1533" s="16" t="s">
        <v>696</v>
      </c>
      <c r="C1533" s="16" t="s">
        <v>259</v>
      </c>
      <c r="D1533" s="16" t="s">
        <v>260</v>
      </c>
      <c r="E1533" s="16">
        <v>2.7510344827586208</v>
      </c>
      <c r="F1533" s="16" t="s">
        <v>194</v>
      </c>
      <c r="G1533" s="16"/>
      <c r="H1533" s="16" t="s">
        <v>248</v>
      </c>
      <c r="I1533" s="16" t="s">
        <v>230</v>
      </c>
      <c r="J1533" s="16" t="str">
        <f>IF(ISNUMBER(SEARCH("SCRW", H1533)), _xlfn.XLOOKUP(C1533,dd_item!$A$2:$A$147,dd_item!$B$2:$B$147,"",0),_xlfn.XLOOKUP(H1533,dd_item!$A$2:$A$147,dd_item!$B$2:$B$147,"",0))</f>
        <v>Sash66</v>
      </c>
      <c r="K1533" s="16" t="str">
        <f>_xlfn.XLOOKUP(A1533,dd_design_raw!$C$2:$C$1002,dd_design_raw!$A$2:$A$1002,"",0)</f>
        <v>Fix Slide Slide Fix Window</v>
      </c>
      <c r="L1533" s="16" t="str">
        <f>_xlfn.XLOOKUP(I1533,dd_accsryclr!$A$2:$A$1000,dd_accsryclr!$A$2:$A$1000,"",0)</f>
        <v>BRWN</v>
      </c>
    </row>
    <row r="1534" spans="1:12" hidden="1" x14ac:dyDescent="0.25">
      <c r="A1534" s="16" t="s">
        <v>22</v>
      </c>
      <c r="B1534" s="16" t="s">
        <v>696</v>
      </c>
      <c r="C1534" s="16" t="s">
        <v>641</v>
      </c>
      <c r="D1534" s="16" t="s">
        <v>642</v>
      </c>
      <c r="E1534" s="16">
        <v>1.3668965517241378</v>
      </c>
      <c r="F1534" s="16" t="s">
        <v>194</v>
      </c>
      <c r="G1534" s="16"/>
      <c r="H1534" s="16" t="s">
        <v>643</v>
      </c>
      <c r="I1534" s="16" t="s">
        <v>223</v>
      </c>
      <c r="J1534" s="16" t="str">
        <f>IF(ISNUMBER(SEARCH("SCRW", H1534)), _xlfn.XLOOKUP(C1534,dd_item!$A$2:$A$147,dd_item!$B$2:$B$147,"",0),_xlfn.XLOOKUP(H1534,dd_item!$A$2:$A$147,dd_item!$B$2:$B$147,"",0))</f>
        <v>Screen Frame</v>
      </c>
      <c r="K1534" s="16" t="str">
        <f>_xlfn.XLOOKUP(A1534,dd_design_raw!$C$2:$C$1002,dd_design_raw!$A$2:$A$1002,"",0)</f>
        <v>Fix Slide Slide Fix Window</v>
      </c>
      <c r="L1534" s="16" t="str">
        <f>_xlfn.XLOOKUP(I1534,dd_accsryclr!$A$2:$A$1000,dd_accsryclr!$A$2:$A$1000,"",0)</f>
        <v>BLK</v>
      </c>
    </row>
    <row r="1535" spans="1:12" hidden="1" x14ac:dyDescent="0.25">
      <c r="A1535" s="16" t="s">
        <v>22</v>
      </c>
      <c r="B1535" s="16" t="s">
        <v>696</v>
      </c>
      <c r="C1535" s="16" t="s">
        <v>644</v>
      </c>
      <c r="D1535" s="16" t="s">
        <v>645</v>
      </c>
      <c r="E1535" s="16">
        <v>1.3668965517241378</v>
      </c>
      <c r="F1535" s="16" t="s">
        <v>194</v>
      </c>
      <c r="G1535" s="16"/>
      <c r="H1535" s="16" t="s">
        <v>643</v>
      </c>
      <c r="I1535" s="16" t="s">
        <v>211</v>
      </c>
      <c r="J1535" s="16" t="str">
        <f>IF(ISNUMBER(SEARCH("SCRW", H1535)), _xlfn.XLOOKUP(C1535,dd_item!$A$2:$A$147,dd_item!$B$2:$B$147,"",0),_xlfn.XLOOKUP(H1535,dd_item!$A$2:$A$147,dd_item!$B$2:$B$147,"",0))</f>
        <v>Screen Frame</v>
      </c>
      <c r="K1535" s="16" t="str">
        <f>_xlfn.XLOOKUP(A1535,dd_design_raw!$C$2:$C$1002,dd_design_raw!$A$2:$A$1002,"",0)</f>
        <v>Fix Slide Slide Fix Window</v>
      </c>
      <c r="L1535" s="16" t="str">
        <f>_xlfn.XLOOKUP(I1535,dd_accsryclr!$A$2:$A$1000,dd_accsryclr!$A$2:$A$1000,"",0)</f>
        <v/>
      </c>
    </row>
    <row r="1536" spans="1:12" hidden="1" x14ac:dyDescent="0.25">
      <c r="A1536" s="16" t="s">
        <v>22</v>
      </c>
      <c r="B1536" s="16" t="s">
        <v>696</v>
      </c>
      <c r="C1536" s="16" t="s">
        <v>646</v>
      </c>
      <c r="D1536" s="16" t="s">
        <v>647</v>
      </c>
      <c r="E1536" s="16">
        <v>1.3668965517241378</v>
      </c>
      <c r="F1536" s="16" t="s">
        <v>194</v>
      </c>
      <c r="G1536" s="16"/>
      <c r="H1536" s="16" t="s">
        <v>643</v>
      </c>
      <c r="I1536" s="16" t="s">
        <v>214</v>
      </c>
      <c r="J1536" s="16" t="str">
        <f>IF(ISNUMBER(SEARCH("SCRW", H1536)), _xlfn.XLOOKUP(C1536,dd_item!$A$2:$A$147,dd_item!$B$2:$B$147,"",0),_xlfn.XLOOKUP(H1536,dd_item!$A$2:$A$147,dd_item!$B$2:$B$147,"",0))</f>
        <v>Screen Frame</v>
      </c>
      <c r="K1536" s="16" t="str">
        <f>_xlfn.XLOOKUP(A1536,dd_design_raw!$C$2:$C$1002,dd_design_raw!$A$2:$A$1002,"",0)</f>
        <v>Fix Slide Slide Fix Window</v>
      </c>
      <c r="L1536" s="16" t="str">
        <f>_xlfn.XLOOKUP(I1536,dd_accsryclr!$A$2:$A$1000,dd_accsryclr!$A$2:$A$1000,"",0)</f>
        <v/>
      </c>
    </row>
    <row r="1537" spans="1:12" hidden="1" x14ac:dyDescent="0.25">
      <c r="A1537" s="16" t="s">
        <v>22</v>
      </c>
      <c r="B1537" s="16" t="s">
        <v>696</v>
      </c>
      <c r="C1537" s="16" t="s">
        <v>648</v>
      </c>
      <c r="D1537" s="16" t="s">
        <v>649</v>
      </c>
      <c r="E1537" s="16">
        <v>1.3668965517241378</v>
      </c>
      <c r="F1537" s="16" t="s">
        <v>194</v>
      </c>
      <c r="G1537" s="16"/>
      <c r="H1537" s="16" t="s">
        <v>643</v>
      </c>
      <c r="I1537" s="16" t="s">
        <v>217</v>
      </c>
      <c r="J1537" s="16" t="str">
        <f>IF(ISNUMBER(SEARCH("SCRW", H1537)), _xlfn.XLOOKUP(C1537,dd_item!$A$2:$A$147,dd_item!$B$2:$B$147,"",0),_xlfn.XLOOKUP(H1537,dd_item!$A$2:$A$147,dd_item!$B$2:$B$147,"",0))</f>
        <v>Screen Frame</v>
      </c>
      <c r="K1537" s="16" t="str">
        <f>_xlfn.XLOOKUP(A1537,dd_design_raw!$C$2:$C$1002,dd_design_raw!$A$2:$A$1002,"",0)</f>
        <v>Fix Slide Slide Fix Window</v>
      </c>
      <c r="L1537" s="16" t="str">
        <f>_xlfn.XLOOKUP(I1537,dd_accsryclr!$A$2:$A$1000,dd_accsryclr!$A$2:$A$1000,"",0)</f>
        <v/>
      </c>
    </row>
    <row r="1538" spans="1:12" hidden="1" x14ac:dyDescent="0.25">
      <c r="A1538" s="16" t="s">
        <v>22</v>
      </c>
      <c r="B1538" s="16" t="s">
        <v>696</v>
      </c>
      <c r="C1538" s="16" t="s">
        <v>650</v>
      </c>
      <c r="D1538" s="16" t="s">
        <v>651</v>
      </c>
      <c r="E1538" s="16">
        <v>1.3668965517241378</v>
      </c>
      <c r="F1538" s="16" t="s">
        <v>194</v>
      </c>
      <c r="G1538" s="16"/>
      <c r="H1538" s="16" t="s">
        <v>643</v>
      </c>
      <c r="I1538" s="16" t="s">
        <v>226</v>
      </c>
      <c r="J1538" s="16" t="str">
        <f>IF(ISNUMBER(SEARCH("SCRW", H1538)), _xlfn.XLOOKUP(C1538,dd_item!$A$2:$A$147,dd_item!$B$2:$B$147,"",0),_xlfn.XLOOKUP(H1538,dd_item!$A$2:$A$147,dd_item!$B$2:$B$147,"",0))</f>
        <v>Screen Frame</v>
      </c>
      <c r="K1538" s="16" t="str">
        <f>_xlfn.XLOOKUP(A1538,dd_design_raw!$C$2:$C$1002,dd_design_raw!$A$2:$A$1002,"",0)</f>
        <v>Fix Slide Slide Fix Window</v>
      </c>
      <c r="L1538" s="16" t="str">
        <f>_xlfn.XLOOKUP(I1538,dd_accsryclr!$A$2:$A$1000,dd_accsryclr!$A$2:$A$1000,"",0)</f>
        <v/>
      </c>
    </row>
    <row r="1539" spans="1:12" hidden="1" x14ac:dyDescent="0.25">
      <c r="A1539" s="16" t="s">
        <v>22</v>
      </c>
      <c r="B1539" s="16" t="s">
        <v>696</v>
      </c>
      <c r="C1539" s="16" t="s">
        <v>652</v>
      </c>
      <c r="D1539" s="16" t="s">
        <v>653</v>
      </c>
      <c r="E1539" s="16">
        <v>1.3668965517241378</v>
      </c>
      <c r="F1539" s="16" t="s">
        <v>194</v>
      </c>
      <c r="G1539" s="16"/>
      <c r="H1539" s="16" t="s">
        <v>643</v>
      </c>
      <c r="I1539" s="16" t="s">
        <v>220</v>
      </c>
      <c r="J1539" s="16" t="str">
        <f>IF(ISNUMBER(SEARCH("SCRW", H1539)), _xlfn.XLOOKUP(C1539,dd_item!$A$2:$A$147,dd_item!$B$2:$B$147,"",0),_xlfn.XLOOKUP(H1539,dd_item!$A$2:$A$147,dd_item!$B$2:$B$147,"",0))</f>
        <v>Screen Frame</v>
      </c>
      <c r="K1539" s="16" t="str">
        <f>_xlfn.XLOOKUP(A1539,dd_design_raw!$C$2:$C$1002,dd_design_raw!$A$2:$A$1002,"",0)</f>
        <v>Fix Slide Slide Fix Window</v>
      </c>
      <c r="L1539" s="16" t="str">
        <f>_xlfn.XLOOKUP(I1539,dd_accsryclr!$A$2:$A$1000,dd_accsryclr!$A$2:$A$1000,"",0)</f>
        <v>WHT</v>
      </c>
    </row>
    <row r="1540" spans="1:12" hidden="1" x14ac:dyDescent="0.25">
      <c r="A1540" s="16" t="s">
        <v>22</v>
      </c>
      <c r="B1540" s="16" t="s">
        <v>696</v>
      </c>
      <c r="C1540" s="16" t="s">
        <v>654</v>
      </c>
      <c r="D1540" s="16" t="s">
        <v>655</v>
      </c>
      <c r="E1540" s="16">
        <v>1.3668965517241378</v>
      </c>
      <c r="F1540" s="16" t="s">
        <v>194</v>
      </c>
      <c r="G1540" s="16"/>
      <c r="H1540" s="16" t="s">
        <v>643</v>
      </c>
      <c r="I1540" s="16" t="s">
        <v>230</v>
      </c>
      <c r="J1540" s="16" t="str">
        <f>IF(ISNUMBER(SEARCH("SCRW", H1540)), _xlfn.XLOOKUP(C1540,dd_item!$A$2:$A$147,dd_item!$B$2:$B$147,"",0),_xlfn.XLOOKUP(H1540,dd_item!$A$2:$A$147,dd_item!$B$2:$B$147,"",0))</f>
        <v>Screen Frame</v>
      </c>
      <c r="K1540" s="16" t="str">
        <f>_xlfn.XLOOKUP(A1540,dd_design_raw!$C$2:$C$1002,dd_design_raw!$A$2:$A$1002,"",0)</f>
        <v>Fix Slide Slide Fix Window</v>
      </c>
      <c r="L1540" s="16" t="str">
        <f>_xlfn.XLOOKUP(I1540,dd_accsryclr!$A$2:$A$1000,dd_accsryclr!$A$2:$A$1000,"",0)</f>
        <v>BRWN</v>
      </c>
    </row>
    <row r="1541" spans="1:12" hidden="1" x14ac:dyDescent="0.25">
      <c r="A1541" s="16" t="s">
        <v>22</v>
      </c>
      <c r="B1541" s="16" t="s">
        <v>696</v>
      </c>
      <c r="C1541" s="16" t="s">
        <v>265</v>
      </c>
      <c r="D1541" s="16" t="s">
        <v>266</v>
      </c>
      <c r="E1541" s="16">
        <v>4.030344827586207</v>
      </c>
      <c r="F1541" s="16" t="s">
        <v>194</v>
      </c>
      <c r="G1541" s="16"/>
      <c r="H1541" s="16" t="s">
        <v>267</v>
      </c>
      <c r="I1541" s="16" t="s">
        <v>268</v>
      </c>
      <c r="J1541" s="16" t="str">
        <f>IF(ISNUMBER(SEARCH("SCRW", H1541)), _xlfn.XLOOKUP(C1541,dd_item!$A$2:$A$147,dd_item!$B$2:$B$147,"",0),_xlfn.XLOOKUP(H1541,dd_item!$A$2:$A$147,dd_item!$B$2:$B$147,"",0))</f>
        <v>Steel-Sash66</v>
      </c>
      <c r="K1541" s="16" t="str">
        <f>_xlfn.XLOOKUP(A1541,dd_design_raw!$C$2:$C$1002,dd_design_raw!$A$2:$A$1002,"",0)</f>
        <v>Fix Slide Slide Fix Window</v>
      </c>
      <c r="L1541" s="16" t="str">
        <f>_xlfn.XLOOKUP(I1541,dd_accsryclr!$A$2:$A$1000,dd_accsryclr!$A$2:$A$1000,"",0)</f>
        <v/>
      </c>
    </row>
    <row r="1542" spans="1:12" hidden="1" x14ac:dyDescent="0.25">
      <c r="A1542" s="16" t="s">
        <v>22</v>
      </c>
      <c r="B1542" s="16" t="s">
        <v>696</v>
      </c>
      <c r="C1542" s="16" t="s">
        <v>656</v>
      </c>
      <c r="D1542" s="16" t="s">
        <v>657</v>
      </c>
      <c r="E1542" s="16">
        <v>1.3668965517241378</v>
      </c>
      <c r="F1542" s="16" t="s">
        <v>194</v>
      </c>
      <c r="G1542" s="16"/>
      <c r="H1542" s="16" t="s">
        <v>658</v>
      </c>
      <c r="I1542" s="16" t="s">
        <v>659</v>
      </c>
      <c r="J1542" s="16" t="str">
        <f>IF(ISNUMBER(SEARCH("SCRW", H1542)), _xlfn.XLOOKUP(C1542,dd_item!$A$2:$A$147,dd_item!$B$2:$B$147,"",0),_xlfn.XLOOKUP(H1542,dd_item!$A$2:$A$147,dd_item!$B$2:$B$147,"",0))</f>
        <v>Steel-Screen Frame</v>
      </c>
      <c r="K1542" s="16" t="str">
        <f>_xlfn.XLOOKUP(A1542,dd_design_raw!$C$2:$C$1002,dd_design_raw!$A$2:$A$1002,"",0)</f>
        <v>Fix Slide Slide Fix Window</v>
      </c>
      <c r="L1542" s="16" t="str">
        <f>_xlfn.XLOOKUP(I1542,dd_accsryclr!$A$2:$A$1000,dd_accsryclr!$A$2:$A$1000,"",0)</f>
        <v/>
      </c>
    </row>
    <row r="1543" spans="1:12" hidden="1" x14ac:dyDescent="0.25">
      <c r="A1543" s="16" t="s">
        <v>22</v>
      </c>
      <c r="B1543" s="16" t="s">
        <v>696</v>
      </c>
      <c r="C1543" s="16" t="s">
        <v>276</v>
      </c>
      <c r="D1543" s="16" t="s">
        <v>277</v>
      </c>
      <c r="E1543" s="16">
        <v>2.7510344827586208</v>
      </c>
      <c r="F1543" s="16" t="s">
        <v>194</v>
      </c>
      <c r="G1543" s="16"/>
      <c r="H1543" s="16" t="s">
        <v>278</v>
      </c>
      <c r="I1543" s="16" t="s">
        <v>223</v>
      </c>
      <c r="J1543" s="16" t="str">
        <f>IF(ISNUMBER(SEARCH("SCRW", H1543)), _xlfn.XLOOKUP(C1543,dd_item!$A$2:$A$147,dd_item!$B$2:$B$147,"",0),_xlfn.XLOOKUP(H1543,dd_item!$A$2:$A$147,dd_item!$B$2:$B$147,"",0))</f>
        <v>Bead25</v>
      </c>
      <c r="K1543" s="16" t="str">
        <f>_xlfn.XLOOKUP(A1543,dd_design_raw!$C$2:$C$1002,dd_design_raw!$A$2:$A$1002,"",0)</f>
        <v>Fix Slide Slide Fix Window</v>
      </c>
      <c r="L1543" s="16" t="str">
        <f>_xlfn.XLOOKUP(I1543,dd_accsryclr!$A$2:$A$1000,dd_accsryclr!$A$2:$A$1000,"",0)</f>
        <v>BLK</v>
      </c>
    </row>
    <row r="1544" spans="1:12" hidden="1" x14ac:dyDescent="0.25">
      <c r="A1544" s="16" t="s">
        <v>22</v>
      </c>
      <c r="B1544" s="16" t="s">
        <v>696</v>
      </c>
      <c r="C1544" s="16" t="s">
        <v>279</v>
      </c>
      <c r="D1544" s="16" t="s">
        <v>280</v>
      </c>
      <c r="E1544" s="16">
        <v>2.7510344827586208</v>
      </c>
      <c r="F1544" s="16" t="s">
        <v>194</v>
      </c>
      <c r="G1544" s="16"/>
      <c r="H1544" s="16" t="s">
        <v>278</v>
      </c>
      <c r="I1544" s="16" t="s">
        <v>211</v>
      </c>
      <c r="J1544" s="16" t="str">
        <f>IF(ISNUMBER(SEARCH("SCRW", H1544)), _xlfn.XLOOKUP(C1544,dd_item!$A$2:$A$147,dd_item!$B$2:$B$147,"",0),_xlfn.XLOOKUP(H1544,dd_item!$A$2:$A$147,dd_item!$B$2:$B$147,"",0))</f>
        <v>Bead25</v>
      </c>
      <c r="K1544" s="16" t="str">
        <f>_xlfn.XLOOKUP(A1544,dd_design_raw!$C$2:$C$1002,dd_design_raw!$A$2:$A$1002,"",0)</f>
        <v>Fix Slide Slide Fix Window</v>
      </c>
      <c r="L1544" s="16" t="str">
        <f>_xlfn.XLOOKUP(I1544,dd_accsryclr!$A$2:$A$1000,dd_accsryclr!$A$2:$A$1000,"",0)</f>
        <v/>
      </c>
    </row>
    <row r="1545" spans="1:12" hidden="1" x14ac:dyDescent="0.25">
      <c r="A1545" s="16" t="s">
        <v>22</v>
      </c>
      <c r="B1545" s="16" t="s">
        <v>696</v>
      </c>
      <c r="C1545" s="16" t="s">
        <v>281</v>
      </c>
      <c r="D1545" s="16" t="s">
        <v>282</v>
      </c>
      <c r="E1545" s="16">
        <v>2.7510344827586208</v>
      </c>
      <c r="F1545" s="16" t="s">
        <v>194</v>
      </c>
      <c r="G1545" s="16"/>
      <c r="H1545" s="16" t="s">
        <v>278</v>
      </c>
      <c r="I1545" s="16" t="s">
        <v>214</v>
      </c>
      <c r="J1545" s="16" t="str">
        <f>IF(ISNUMBER(SEARCH("SCRW", H1545)), _xlfn.XLOOKUP(C1545,dd_item!$A$2:$A$147,dd_item!$B$2:$B$147,"",0),_xlfn.XLOOKUP(H1545,dd_item!$A$2:$A$147,dd_item!$B$2:$B$147,"",0))</f>
        <v>Bead25</v>
      </c>
      <c r="K1545" s="16" t="str">
        <f>_xlfn.XLOOKUP(A1545,dd_design_raw!$C$2:$C$1002,dd_design_raw!$A$2:$A$1002,"",0)</f>
        <v>Fix Slide Slide Fix Window</v>
      </c>
      <c r="L1545" s="16" t="str">
        <f>_xlfn.XLOOKUP(I1545,dd_accsryclr!$A$2:$A$1000,dd_accsryclr!$A$2:$A$1000,"",0)</f>
        <v/>
      </c>
    </row>
    <row r="1546" spans="1:12" hidden="1" x14ac:dyDescent="0.25">
      <c r="A1546" s="16" t="s">
        <v>22</v>
      </c>
      <c r="B1546" s="16" t="s">
        <v>696</v>
      </c>
      <c r="C1546" s="16" t="s">
        <v>283</v>
      </c>
      <c r="D1546" s="16" t="s">
        <v>284</v>
      </c>
      <c r="E1546" s="16">
        <v>2.7510344827586208</v>
      </c>
      <c r="F1546" s="16" t="s">
        <v>194</v>
      </c>
      <c r="G1546" s="16"/>
      <c r="H1546" s="16" t="s">
        <v>278</v>
      </c>
      <c r="I1546" s="16" t="s">
        <v>217</v>
      </c>
      <c r="J1546" s="16" t="str">
        <f>IF(ISNUMBER(SEARCH("SCRW", H1546)), _xlfn.XLOOKUP(C1546,dd_item!$A$2:$A$147,dd_item!$B$2:$B$147,"",0),_xlfn.XLOOKUP(H1546,dd_item!$A$2:$A$147,dd_item!$B$2:$B$147,"",0))</f>
        <v>Bead25</v>
      </c>
      <c r="K1546" s="16" t="str">
        <f>_xlfn.XLOOKUP(A1546,dd_design_raw!$C$2:$C$1002,dd_design_raw!$A$2:$A$1002,"",0)</f>
        <v>Fix Slide Slide Fix Window</v>
      </c>
      <c r="L1546" s="16" t="str">
        <f>_xlfn.XLOOKUP(I1546,dd_accsryclr!$A$2:$A$1000,dd_accsryclr!$A$2:$A$1000,"",0)</f>
        <v/>
      </c>
    </row>
    <row r="1547" spans="1:12" hidden="1" x14ac:dyDescent="0.25">
      <c r="A1547" s="16" t="s">
        <v>22</v>
      </c>
      <c r="B1547" s="16" t="s">
        <v>696</v>
      </c>
      <c r="C1547" s="16" t="s">
        <v>285</v>
      </c>
      <c r="D1547" s="16" t="s">
        <v>286</v>
      </c>
      <c r="E1547" s="16">
        <v>2.7510344827586208</v>
      </c>
      <c r="F1547" s="16" t="s">
        <v>194</v>
      </c>
      <c r="G1547" s="16"/>
      <c r="H1547" s="16" t="s">
        <v>278</v>
      </c>
      <c r="I1547" s="16" t="s">
        <v>226</v>
      </c>
      <c r="J1547" s="16" t="str">
        <f>IF(ISNUMBER(SEARCH("SCRW", H1547)), _xlfn.XLOOKUP(C1547,dd_item!$A$2:$A$147,dd_item!$B$2:$B$147,"",0),_xlfn.XLOOKUP(H1547,dd_item!$A$2:$A$147,dd_item!$B$2:$B$147,"",0))</f>
        <v>Bead25</v>
      </c>
      <c r="K1547" s="16" t="str">
        <f>_xlfn.XLOOKUP(A1547,dd_design_raw!$C$2:$C$1002,dd_design_raw!$A$2:$A$1002,"",0)</f>
        <v>Fix Slide Slide Fix Window</v>
      </c>
      <c r="L1547" s="16" t="str">
        <f>_xlfn.XLOOKUP(I1547,dd_accsryclr!$A$2:$A$1000,dd_accsryclr!$A$2:$A$1000,"",0)</f>
        <v/>
      </c>
    </row>
    <row r="1548" spans="1:12" hidden="1" x14ac:dyDescent="0.25">
      <c r="A1548" s="16" t="s">
        <v>22</v>
      </c>
      <c r="B1548" s="16" t="s">
        <v>696</v>
      </c>
      <c r="C1548" s="16" t="s">
        <v>287</v>
      </c>
      <c r="D1548" s="16" t="s">
        <v>288</v>
      </c>
      <c r="E1548" s="16">
        <v>2.7510344827586208</v>
      </c>
      <c r="F1548" s="16" t="s">
        <v>194</v>
      </c>
      <c r="G1548" s="16"/>
      <c r="H1548" s="16" t="s">
        <v>278</v>
      </c>
      <c r="I1548" s="16" t="s">
        <v>220</v>
      </c>
      <c r="J1548" s="16" t="str">
        <f>IF(ISNUMBER(SEARCH("SCRW", H1548)), _xlfn.XLOOKUP(C1548,dd_item!$A$2:$A$147,dd_item!$B$2:$B$147,"",0),_xlfn.XLOOKUP(H1548,dd_item!$A$2:$A$147,dd_item!$B$2:$B$147,"",0))</f>
        <v>Bead25</v>
      </c>
      <c r="K1548" s="16" t="str">
        <f>_xlfn.XLOOKUP(A1548,dd_design_raw!$C$2:$C$1002,dd_design_raw!$A$2:$A$1002,"",0)</f>
        <v>Fix Slide Slide Fix Window</v>
      </c>
      <c r="L1548" s="16" t="str">
        <f>_xlfn.XLOOKUP(I1548,dd_accsryclr!$A$2:$A$1000,dd_accsryclr!$A$2:$A$1000,"",0)</f>
        <v>WHT</v>
      </c>
    </row>
    <row r="1549" spans="1:12" hidden="1" x14ac:dyDescent="0.25">
      <c r="A1549" s="16" t="s">
        <v>22</v>
      </c>
      <c r="B1549" s="16" t="s">
        <v>696</v>
      </c>
      <c r="C1549" s="16" t="s">
        <v>289</v>
      </c>
      <c r="D1549" s="16" t="s">
        <v>290</v>
      </c>
      <c r="E1549" s="16">
        <v>2.7510344827586208</v>
      </c>
      <c r="F1549" s="16" t="s">
        <v>194</v>
      </c>
      <c r="G1549" s="16"/>
      <c r="H1549" s="16" t="s">
        <v>278</v>
      </c>
      <c r="I1549" s="16" t="s">
        <v>230</v>
      </c>
      <c r="J1549" s="16" t="str">
        <f>IF(ISNUMBER(SEARCH("SCRW", H1549)), _xlfn.XLOOKUP(C1549,dd_item!$A$2:$A$147,dd_item!$B$2:$B$147,"",0),_xlfn.XLOOKUP(H1549,dd_item!$A$2:$A$147,dd_item!$B$2:$B$147,"",0))</f>
        <v>Bead25</v>
      </c>
      <c r="K1549" s="16" t="str">
        <f>_xlfn.XLOOKUP(A1549,dd_design_raw!$C$2:$C$1002,dd_design_raw!$A$2:$A$1002,"",0)</f>
        <v>Fix Slide Slide Fix Window</v>
      </c>
      <c r="L1549" s="16" t="str">
        <f>_xlfn.XLOOKUP(I1549,dd_accsryclr!$A$2:$A$1000,dd_accsryclr!$A$2:$A$1000,"",0)</f>
        <v>BRWN</v>
      </c>
    </row>
    <row r="1550" spans="1:12" x14ac:dyDescent="0.25">
      <c r="A1550" s="16" t="s">
        <v>22</v>
      </c>
      <c r="B1550" s="16" t="s">
        <v>696</v>
      </c>
      <c r="C1550" s="16" t="s">
        <v>660</v>
      </c>
      <c r="D1550" s="16" t="s">
        <v>661</v>
      </c>
      <c r="E1550" s="16">
        <v>1</v>
      </c>
      <c r="F1550" s="16" t="s">
        <v>293</v>
      </c>
      <c r="G1550" s="16"/>
      <c r="H1550" s="16" t="s">
        <v>451</v>
      </c>
      <c r="I1550" s="16" t="s">
        <v>531</v>
      </c>
      <c r="J1550" s="16" t="str">
        <f>IF(ISNUMBER(SEARCH("SCRW", H1550)), _xlfn.XLOOKUP(C1550,dd_item!$A$2:$A$147,dd_item!$B$2:$B$147,"",0),_xlfn.XLOOKUP(H1550,dd_item!$A$2:$A$147,dd_item!$B$2:$B$147,"",0))</f>
        <v>Sliding Espagnolette</v>
      </c>
      <c r="K1550" s="16" t="str">
        <f>_xlfn.XLOOKUP(A1550,dd_design_raw!$C$2:$C$1002,dd_design_raw!$A$2:$A$1002,"",0)</f>
        <v>Fix Slide Slide Fix Window</v>
      </c>
      <c r="L1550" s="16" t="str">
        <f>_xlfn.XLOOKUP(I1550,dd_accsryclr!$A$2:$A$1000,dd_accsryclr!$A$2:$A$1000,"",0)</f>
        <v/>
      </c>
    </row>
    <row r="1551" spans="1:12" x14ac:dyDescent="0.25">
      <c r="A1551" s="16" t="s">
        <v>22</v>
      </c>
      <c r="B1551" s="16" t="s">
        <v>696</v>
      </c>
      <c r="C1551" s="16" t="s">
        <v>662</v>
      </c>
      <c r="D1551" s="16" t="s">
        <v>663</v>
      </c>
      <c r="E1551" s="16">
        <v>1</v>
      </c>
      <c r="F1551" s="16" t="s">
        <v>293</v>
      </c>
      <c r="G1551" s="16"/>
      <c r="H1551" s="16" t="s">
        <v>451</v>
      </c>
      <c r="I1551" s="16" t="s">
        <v>664</v>
      </c>
      <c r="J1551" s="16" t="str">
        <f>IF(ISNUMBER(SEARCH("SCRW", H1551)), _xlfn.XLOOKUP(C1551,dd_item!$A$2:$A$147,dd_item!$B$2:$B$147,"",0),_xlfn.XLOOKUP(H1551,dd_item!$A$2:$A$147,dd_item!$B$2:$B$147,"",0))</f>
        <v>Sliding Espagnolette</v>
      </c>
      <c r="K1551" s="16" t="str">
        <f>_xlfn.XLOOKUP(A1551,dd_design_raw!$C$2:$C$1002,dd_design_raw!$A$2:$A$1002,"",0)</f>
        <v>Fix Slide Slide Fix Window</v>
      </c>
      <c r="L1551" s="16" t="str">
        <f>_xlfn.XLOOKUP(I1551,dd_accsryclr!$A$2:$A$1000,dd_accsryclr!$A$2:$A$1000,"",0)</f>
        <v/>
      </c>
    </row>
    <row r="1552" spans="1:12" x14ac:dyDescent="0.25">
      <c r="A1552" s="16" t="s">
        <v>22</v>
      </c>
      <c r="B1552" s="16" t="s">
        <v>696</v>
      </c>
      <c r="C1552" s="16" t="s">
        <v>665</v>
      </c>
      <c r="D1552" s="16" t="s">
        <v>666</v>
      </c>
      <c r="E1552" s="16">
        <v>1</v>
      </c>
      <c r="F1552" s="16" t="s">
        <v>293</v>
      </c>
      <c r="G1552" s="16"/>
      <c r="H1552" s="16" t="s">
        <v>451</v>
      </c>
      <c r="I1552" s="16" t="s">
        <v>536</v>
      </c>
      <c r="J1552" s="16" t="str">
        <f>IF(ISNUMBER(SEARCH("SCRW", H1552)), _xlfn.XLOOKUP(C1552,dd_item!$A$2:$A$147,dd_item!$B$2:$B$147,"",0),_xlfn.XLOOKUP(H1552,dd_item!$A$2:$A$147,dd_item!$B$2:$B$147,"",0))</f>
        <v>Sliding Espagnolette</v>
      </c>
      <c r="K1552" s="16" t="str">
        <f>_xlfn.XLOOKUP(A1552,dd_design_raw!$C$2:$C$1002,dd_design_raw!$A$2:$A$1002,"",0)</f>
        <v>Fix Slide Slide Fix Window</v>
      </c>
      <c r="L1552" s="16" t="str">
        <f>_xlfn.XLOOKUP(I1552,dd_accsryclr!$A$2:$A$1000,dd_accsryclr!$A$2:$A$1000,"",0)</f>
        <v/>
      </c>
    </row>
    <row r="1553" spans="1:12" hidden="1" x14ac:dyDescent="0.25">
      <c r="A1553" s="16" t="s">
        <v>22</v>
      </c>
      <c r="B1553" s="16" t="s">
        <v>696</v>
      </c>
      <c r="C1553" s="16" t="s">
        <v>303</v>
      </c>
      <c r="D1553" s="16" t="s">
        <v>304</v>
      </c>
      <c r="E1553" s="16">
        <v>4</v>
      </c>
      <c r="F1553" s="16" t="s">
        <v>293</v>
      </c>
      <c r="G1553" s="16"/>
      <c r="H1553" s="16" t="s">
        <v>305</v>
      </c>
      <c r="I1553" s="16"/>
      <c r="J1553" s="16" t="str">
        <f>IF(ISNUMBER(SEARCH("SCRW", H1553)), _xlfn.XLOOKUP(C1553,dd_item!$A$2:$A$147,dd_item!$B$2:$B$147,"",0),_xlfn.XLOOKUP(H1553,dd_item!$A$2:$A$147,dd_item!$B$2:$B$147,"",0))</f>
        <v>Rubber Stopper</v>
      </c>
      <c r="K1553" s="16" t="str">
        <f>_xlfn.XLOOKUP(A1553,dd_design_raw!$C$2:$C$1002,dd_design_raw!$A$2:$A$1002,"",0)</f>
        <v>Fix Slide Slide Fix Window</v>
      </c>
      <c r="L1553" s="16">
        <f>_xlfn.XLOOKUP(I1553,dd_accsryclr!$A$2:$A$1000,dd_accsryclr!$A$2:$A$1000,"",0)</f>
        <v>0</v>
      </c>
    </row>
    <row r="1554" spans="1:12" hidden="1" x14ac:dyDescent="0.25">
      <c r="A1554" s="16" t="s">
        <v>22</v>
      </c>
      <c r="B1554" s="16" t="s">
        <v>696</v>
      </c>
      <c r="C1554" s="16" t="s">
        <v>306</v>
      </c>
      <c r="D1554" s="16" t="s">
        <v>307</v>
      </c>
      <c r="E1554" s="16">
        <v>6</v>
      </c>
      <c r="F1554" s="16" t="s">
        <v>293</v>
      </c>
      <c r="G1554" s="16"/>
      <c r="H1554" s="16" t="s">
        <v>308</v>
      </c>
      <c r="I1554" s="16" t="s">
        <v>230</v>
      </c>
      <c r="J1554" s="16" t="str">
        <f>IF(ISNUMBER(SEARCH("SCRW", H1554)), _xlfn.XLOOKUP(C1554,dd_item!$A$2:$A$147,dd_item!$B$2:$B$147,"",0),_xlfn.XLOOKUP(H1554,dd_item!$A$2:$A$147,dd_item!$B$2:$B$147,"",0))</f>
        <v>Track Bridge</v>
      </c>
      <c r="K1554" s="16" t="str">
        <f>_xlfn.XLOOKUP(A1554,dd_design_raw!$C$2:$C$1002,dd_design_raw!$A$2:$A$1002,"",0)</f>
        <v>Fix Slide Slide Fix Window</v>
      </c>
      <c r="L1554" s="16" t="str">
        <f>_xlfn.XLOOKUP(I1554,dd_accsryclr!$A$2:$A$1000,dd_accsryclr!$A$2:$A$1000,"",0)</f>
        <v>BRWN</v>
      </c>
    </row>
    <row r="1555" spans="1:12" hidden="1" x14ac:dyDescent="0.25">
      <c r="A1555" s="16" t="s">
        <v>22</v>
      </c>
      <c r="B1555" s="16" t="s">
        <v>696</v>
      </c>
      <c r="C1555" s="16" t="s">
        <v>309</v>
      </c>
      <c r="D1555" s="16" t="s">
        <v>310</v>
      </c>
      <c r="E1555" s="16">
        <v>6</v>
      </c>
      <c r="F1555" s="16" t="s">
        <v>293</v>
      </c>
      <c r="G1555" s="16"/>
      <c r="H1555" s="16" t="s">
        <v>308</v>
      </c>
      <c r="I1555" s="16" t="s">
        <v>220</v>
      </c>
      <c r="J1555" s="16" t="str">
        <f>IF(ISNUMBER(SEARCH("SCRW", H1555)), _xlfn.XLOOKUP(C1555,dd_item!$A$2:$A$147,dd_item!$B$2:$B$147,"",0),_xlfn.XLOOKUP(H1555,dd_item!$A$2:$A$147,dd_item!$B$2:$B$147,"",0))</f>
        <v>Track Bridge</v>
      </c>
      <c r="K1555" s="16" t="str">
        <f>_xlfn.XLOOKUP(A1555,dd_design_raw!$C$2:$C$1002,dd_design_raw!$A$2:$A$1002,"",0)</f>
        <v>Fix Slide Slide Fix Window</v>
      </c>
      <c r="L1555" s="16" t="str">
        <f>_xlfn.XLOOKUP(I1555,dd_accsryclr!$A$2:$A$1000,dd_accsryclr!$A$2:$A$1000,"",0)</f>
        <v>WHT</v>
      </c>
    </row>
    <row r="1556" spans="1:12" hidden="1" x14ac:dyDescent="0.25">
      <c r="A1556" s="16" t="s">
        <v>22</v>
      </c>
      <c r="B1556" s="16" t="s">
        <v>696</v>
      </c>
      <c r="C1556" s="16" t="s">
        <v>667</v>
      </c>
      <c r="D1556" s="16" t="s">
        <v>668</v>
      </c>
      <c r="E1556" s="16">
        <v>4</v>
      </c>
      <c r="F1556" s="16" t="s">
        <v>293</v>
      </c>
      <c r="G1556" s="16"/>
      <c r="H1556" s="16" t="s">
        <v>669</v>
      </c>
      <c r="I1556" s="16"/>
      <c r="J1556" s="16" t="str">
        <f>IF(ISNUMBER(SEARCH("SCRW", H1556)), _xlfn.XLOOKUP(C1556,dd_item!$A$2:$A$147,dd_item!$B$2:$B$147,"",0),_xlfn.XLOOKUP(H1556,dd_item!$A$2:$A$147,dd_item!$B$2:$B$147,"",0))</f>
        <v>Roller Single Bearing</v>
      </c>
      <c r="K1556" s="16" t="str">
        <f>_xlfn.XLOOKUP(A1556,dd_design_raw!$C$2:$C$1002,dd_design_raw!$A$2:$A$1002,"",0)</f>
        <v>Fix Slide Slide Fix Window</v>
      </c>
      <c r="L1556" s="16">
        <f>_xlfn.XLOOKUP(I1556,dd_accsryclr!$A$2:$A$1000,dd_accsryclr!$A$2:$A$1000,"",0)</f>
        <v>0</v>
      </c>
    </row>
    <row r="1557" spans="1:12" hidden="1" x14ac:dyDescent="0.25">
      <c r="A1557" s="16" t="s">
        <v>22</v>
      </c>
      <c r="B1557" s="16" t="s">
        <v>696</v>
      </c>
      <c r="C1557" s="16" t="s">
        <v>670</v>
      </c>
      <c r="D1557" s="16" t="s">
        <v>671</v>
      </c>
      <c r="E1557" s="16">
        <v>4</v>
      </c>
      <c r="F1557" s="16" t="s">
        <v>293</v>
      </c>
      <c r="G1557" s="16"/>
      <c r="H1557" s="16" t="s">
        <v>672</v>
      </c>
      <c r="I1557" s="16"/>
      <c r="J1557" s="16" t="str">
        <f>IF(ISNUMBER(SEARCH("SCRW", H1557)), _xlfn.XLOOKUP(C1557,dd_item!$A$2:$A$147,dd_item!$B$2:$B$147,"",0),_xlfn.XLOOKUP(H1557,dd_item!$A$2:$A$147,dd_item!$B$2:$B$147,"",0))</f>
        <v>Roller for Screen</v>
      </c>
      <c r="K1557" s="16" t="str">
        <f>_xlfn.XLOOKUP(A1557,dd_design_raw!$C$2:$C$1002,dd_design_raw!$A$2:$A$1002,"",0)</f>
        <v>Fix Slide Slide Fix Window</v>
      </c>
      <c r="L1557" s="16">
        <f>_xlfn.XLOOKUP(I1557,dd_accsryclr!$A$2:$A$1000,dd_accsryclr!$A$2:$A$1000,"",0)</f>
        <v>0</v>
      </c>
    </row>
    <row r="1558" spans="1:12" hidden="1" x14ac:dyDescent="0.25">
      <c r="A1558" s="16" t="s">
        <v>22</v>
      </c>
      <c r="B1558" s="16" t="s">
        <v>696</v>
      </c>
      <c r="C1558" s="16" t="s">
        <v>319</v>
      </c>
      <c r="D1558" s="16" t="s">
        <v>320</v>
      </c>
      <c r="E1558" s="16">
        <v>1.0344827586206897</v>
      </c>
      <c r="F1558" s="16" t="s">
        <v>194</v>
      </c>
      <c r="G1558" s="16"/>
      <c r="H1558" s="16" t="s">
        <v>321</v>
      </c>
      <c r="I1558" s="16" t="s">
        <v>211</v>
      </c>
      <c r="J1558" s="16" t="str">
        <f>IF(ISNUMBER(SEARCH("SCRW", H1558)), _xlfn.XLOOKUP(C1558,dd_item!$A$2:$A$147,dd_item!$B$2:$B$147,"",0),_xlfn.XLOOKUP(H1558,dd_item!$A$2:$A$147,dd_item!$B$2:$B$147,"",0))</f>
        <v>Interlocker45</v>
      </c>
      <c r="K1558" s="16" t="str">
        <f>_xlfn.XLOOKUP(A1558,dd_design_raw!$C$2:$C$1002,dd_design_raw!$A$2:$A$1002,"",0)</f>
        <v>Fix Slide Slide Fix Window</v>
      </c>
      <c r="L1558" s="16" t="str">
        <f>_xlfn.XLOOKUP(I1558,dd_accsryclr!$A$2:$A$1000,dd_accsryclr!$A$2:$A$1000,"",0)</f>
        <v/>
      </c>
    </row>
    <row r="1559" spans="1:12" hidden="1" x14ac:dyDescent="0.25">
      <c r="A1559" s="16" t="s">
        <v>22</v>
      </c>
      <c r="B1559" s="16" t="s">
        <v>696</v>
      </c>
      <c r="C1559" s="16" t="s">
        <v>322</v>
      </c>
      <c r="D1559" s="16" t="s">
        <v>323</v>
      </c>
      <c r="E1559" s="16">
        <v>1.0344827586206897</v>
      </c>
      <c r="F1559" s="16" t="s">
        <v>194</v>
      </c>
      <c r="G1559" s="16"/>
      <c r="H1559" s="16" t="s">
        <v>321</v>
      </c>
      <c r="I1559" s="16" t="s">
        <v>214</v>
      </c>
      <c r="J1559" s="16" t="str">
        <f>IF(ISNUMBER(SEARCH("SCRW", H1559)), _xlfn.XLOOKUP(C1559,dd_item!$A$2:$A$147,dd_item!$B$2:$B$147,"",0),_xlfn.XLOOKUP(H1559,dd_item!$A$2:$A$147,dd_item!$B$2:$B$147,"",0))</f>
        <v>Interlocker45</v>
      </c>
      <c r="K1559" s="16" t="str">
        <f>_xlfn.XLOOKUP(A1559,dd_design_raw!$C$2:$C$1002,dd_design_raw!$A$2:$A$1002,"",0)</f>
        <v>Fix Slide Slide Fix Window</v>
      </c>
      <c r="L1559" s="16" t="str">
        <f>_xlfn.XLOOKUP(I1559,dd_accsryclr!$A$2:$A$1000,dd_accsryclr!$A$2:$A$1000,"",0)</f>
        <v/>
      </c>
    </row>
    <row r="1560" spans="1:12" hidden="1" x14ac:dyDescent="0.25">
      <c r="A1560" s="16" t="s">
        <v>22</v>
      </c>
      <c r="B1560" s="16" t="s">
        <v>696</v>
      </c>
      <c r="C1560" s="16" t="s">
        <v>324</v>
      </c>
      <c r="D1560" s="16" t="s">
        <v>325</v>
      </c>
      <c r="E1560" s="16">
        <v>1.0344827586206897</v>
      </c>
      <c r="F1560" s="16" t="s">
        <v>194</v>
      </c>
      <c r="G1560" s="16"/>
      <c r="H1560" s="16" t="s">
        <v>321</v>
      </c>
      <c r="I1560" s="16" t="s">
        <v>217</v>
      </c>
      <c r="J1560" s="16" t="str">
        <f>IF(ISNUMBER(SEARCH("SCRW", H1560)), _xlfn.XLOOKUP(C1560,dd_item!$A$2:$A$147,dd_item!$B$2:$B$147,"",0),_xlfn.XLOOKUP(H1560,dd_item!$A$2:$A$147,dd_item!$B$2:$B$147,"",0))</f>
        <v>Interlocker45</v>
      </c>
      <c r="K1560" s="16" t="str">
        <f>_xlfn.XLOOKUP(A1560,dd_design_raw!$C$2:$C$1002,dd_design_raw!$A$2:$A$1002,"",0)</f>
        <v>Fix Slide Slide Fix Window</v>
      </c>
      <c r="L1560" s="16" t="str">
        <f>_xlfn.XLOOKUP(I1560,dd_accsryclr!$A$2:$A$1000,dd_accsryclr!$A$2:$A$1000,"",0)</f>
        <v/>
      </c>
    </row>
    <row r="1561" spans="1:12" hidden="1" x14ac:dyDescent="0.25">
      <c r="A1561" s="16" t="s">
        <v>22</v>
      </c>
      <c r="B1561" s="16" t="s">
        <v>696</v>
      </c>
      <c r="C1561" s="16" t="s">
        <v>326</v>
      </c>
      <c r="D1561" s="16" t="s">
        <v>327</v>
      </c>
      <c r="E1561" s="16">
        <v>1.0344827586206897</v>
      </c>
      <c r="F1561" s="16" t="s">
        <v>194</v>
      </c>
      <c r="G1561" s="16"/>
      <c r="H1561" s="16" t="s">
        <v>321</v>
      </c>
      <c r="I1561" s="16" t="s">
        <v>226</v>
      </c>
      <c r="J1561" s="16" t="str">
        <f>IF(ISNUMBER(SEARCH("SCRW", H1561)), _xlfn.XLOOKUP(C1561,dd_item!$A$2:$A$147,dd_item!$B$2:$B$147,"",0),_xlfn.XLOOKUP(H1561,dd_item!$A$2:$A$147,dd_item!$B$2:$B$147,"",0))</f>
        <v>Interlocker45</v>
      </c>
      <c r="K1561" s="16" t="str">
        <f>_xlfn.XLOOKUP(A1561,dd_design_raw!$C$2:$C$1002,dd_design_raw!$A$2:$A$1002,"",0)</f>
        <v>Fix Slide Slide Fix Window</v>
      </c>
      <c r="L1561" s="16" t="str">
        <f>_xlfn.XLOOKUP(I1561,dd_accsryclr!$A$2:$A$1000,dd_accsryclr!$A$2:$A$1000,"",0)</f>
        <v/>
      </c>
    </row>
    <row r="1562" spans="1:12" hidden="1" x14ac:dyDescent="0.25">
      <c r="A1562" s="16" t="s">
        <v>22</v>
      </c>
      <c r="B1562" s="16" t="s">
        <v>696</v>
      </c>
      <c r="C1562" s="16" t="s">
        <v>328</v>
      </c>
      <c r="D1562" s="16" t="s">
        <v>329</v>
      </c>
      <c r="E1562" s="16">
        <v>1.0344827586206897</v>
      </c>
      <c r="F1562" s="16" t="s">
        <v>194</v>
      </c>
      <c r="G1562" s="16"/>
      <c r="H1562" s="16" t="s">
        <v>321</v>
      </c>
      <c r="I1562" s="16" t="s">
        <v>220</v>
      </c>
      <c r="J1562" s="16" t="str">
        <f>IF(ISNUMBER(SEARCH("SCRW", H1562)), _xlfn.XLOOKUP(C1562,dd_item!$A$2:$A$147,dd_item!$B$2:$B$147,"",0),_xlfn.XLOOKUP(H1562,dd_item!$A$2:$A$147,dd_item!$B$2:$B$147,"",0))</f>
        <v>Interlocker45</v>
      </c>
      <c r="K1562" s="16" t="str">
        <f>_xlfn.XLOOKUP(A1562,dd_design_raw!$C$2:$C$1002,dd_design_raw!$A$2:$A$1002,"",0)</f>
        <v>Fix Slide Slide Fix Window</v>
      </c>
      <c r="L1562" s="16" t="str">
        <f>_xlfn.XLOOKUP(I1562,dd_accsryclr!$A$2:$A$1000,dd_accsryclr!$A$2:$A$1000,"",0)</f>
        <v>WHT</v>
      </c>
    </row>
    <row r="1563" spans="1:12" hidden="1" x14ac:dyDescent="0.25">
      <c r="A1563" s="16" t="s">
        <v>22</v>
      </c>
      <c r="B1563" s="16" t="s">
        <v>696</v>
      </c>
      <c r="C1563" s="16" t="s">
        <v>330</v>
      </c>
      <c r="D1563" s="16" t="s">
        <v>331</v>
      </c>
      <c r="E1563" s="16">
        <v>1.0344827586206897</v>
      </c>
      <c r="F1563" s="16" t="s">
        <v>194</v>
      </c>
      <c r="G1563" s="16"/>
      <c r="H1563" s="16" t="s">
        <v>321</v>
      </c>
      <c r="I1563" s="16" t="s">
        <v>223</v>
      </c>
      <c r="J1563" s="16" t="str">
        <f>IF(ISNUMBER(SEARCH("SCRW", H1563)), _xlfn.XLOOKUP(C1563,dd_item!$A$2:$A$147,dd_item!$B$2:$B$147,"",0),_xlfn.XLOOKUP(H1563,dd_item!$A$2:$A$147,dd_item!$B$2:$B$147,"",0))</f>
        <v>Interlocker45</v>
      </c>
      <c r="K1563" s="16" t="str">
        <f>_xlfn.XLOOKUP(A1563,dd_design_raw!$C$2:$C$1002,dd_design_raw!$A$2:$A$1002,"",0)</f>
        <v>Fix Slide Slide Fix Window</v>
      </c>
      <c r="L1563" s="16" t="str">
        <f>_xlfn.XLOOKUP(I1563,dd_accsryclr!$A$2:$A$1000,dd_accsryclr!$A$2:$A$1000,"",0)</f>
        <v>BLK</v>
      </c>
    </row>
    <row r="1564" spans="1:12" hidden="1" x14ac:dyDescent="0.25">
      <c r="A1564" s="16" t="s">
        <v>22</v>
      </c>
      <c r="B1564" s="16" t="s">
        <v>696</v>
      </c>
      <c r="C1564" s="16" t="s">
        <v>332</v>
      </c>
      <c r="D1564" s="16" t="s">
        <v>333</v>
      </c>
      <c r="E1564" s="16">
        <v>1.0344827586206897</v>
      </c>
      <c r="F1564" s="16" t="s">
        <v>194</v>
      </c>
      <c r="G1564" s="16"/>
      <c r="H1564" s="16" t="s">
        <v>321</v>
      </c>
      <c r="I1564" s="16" t="s">
        <v>230</v>
      </c>
      <c r="J1564" s="16" t="str">
        <f>IF(ISNUMBER(SEARCH("SCRW", H1564)), _xlfn.XLOOKUP(C1564,dd_item!$A$2:$A$147,dd_item!$B$2:$B$147,"",0),_xlfn.XLOOKUP(H1564,dd_item!$A$2:$A$147,dd_item!$B$2:$B$147,"",0))</f>
        <v>Interlocker45</v>
      </c>
      <c r="K1564" s="16" t="str">
        <f>_xlfn.XLOOKUP(A1564,dd_design_raw!$C$2:$C$1002,dd_design_raw!$A$2:$A$1002,"",0)</f>
        <v>Fix Slide Slide Fix Window</v>
      </c>
      <c r="L1564" s="16" t="str">
        <f>_xlfn.XLOOKUP(I1564,dd_accsryclr!$A$2:$A$1000,dd_accsryclr!$A$2:$A$1000,"",0)</f>
        <v>BRWN</v>
      </c>
    </row>
    <row r="1565" spans="1:12" hidden="1" x14ac:dyDescent="0.25">
      <c r="A1565" s="16" t="s">
        <v>22</v>
      </c>
      <c r="B1565" s="16" t="s">
        <v>696</v>
      </c>
      <c r="C1565" s="16" t="s">
        <v>428</v>
      </c>
      <c r="D1565" s="16" t="s">
        <v>429</v>
      </c>
      <c r="E1565" s="16">
        <v>0.25862068965517243</v>
      </c>
      <c r="F1565" s="16" t="s">
        <v>194</v>
      </c>
      <c r="G1565" s="16"/>
      <c r="H1565" s="16" t="s">
        <v>430</v>
      </c>
      <c r="I1565" s="16" t="s">
        <v>223</v>
      </c>
      <c r="J1565" s="16" t="str">
        <f>IF(ISNUMBER(SEARCH("SCRW", H1565)), _xlfn.XLOOKUP(C1565,dd_item!$A$2:$A$147,dd_item!$B$2:$B$147,"",0),_xlfn.XLOOKUP(H1565,dd_item!$A$2:$A$147,dd_item!$B$2:$B$147,"",0))</f>
        <v>Inline Adapter 50</v>
      </c>
      <c r="K1565" s="16" t="str">
        <f>_xlfn.XLOOKUP(A1565,dd_design_raw!$C$2:$C$1002,dd_design_raw!$A$2:$A$1002,"",0)</f>
        <v>Fix Slide Slide Fix Window</v>
      </c>
      <c r="L1565" s="16" t="str">
        <f>_xlfn.XLOOKUP(I1565,dd_accsryclr!$A$2:$A$1000,dd_accsryclr!$A$2:$A$1000,"",0)</f>
        <v>BLK</v>
      </c>
    </row>
    <row r="1566" spans="1:12" hidden="1" x14ac:dyDescent="0.25">
      <c r="A1566" s="16" t="s">
        <v>22</v>
      </c>
      <c r="B1566" s="16" t="s">
        <v>696</v>
      </c>
      <c r="C1566" s="16" t="s">
        <v>431</v>
      </c>
      <c r="D1566" s="16" t="s">
        <v>432</v>
      </c>
      <c r="E1566" s="16">
        <v>0.25862068965517243</v>
      </c>
      <c r="F1566" s="16" t="s">
        <v>194</v>
      </c>
      <c r="G1566" s="16"/>
      <c r="H1566" s="16" t="s">
        <v>430</v>
      </c>
      <c r="I1566" s="16" t="s">
        <v>211</v>
      </c>
      <c r="J1566" s="16" t="str">
        <f>IF(ISNUMBER(SEARCH("SCRW", H1566)), _xlfn.XLOOKUP(C1566,dd_item!$A$2:$A$147,dd_item!$B$2:$B$147,"",0),_xlfn.XLOOKUP(H1566,dd_item!$A$2:$A$147,dd_item!$B$2:$B$147,"",0))</f>
        <v>Inline Adapter 50</v>
      </c>
      <c r="K1566" s="16" t="str">
        <f>_xlfn.XLOOKUP(A1566,dd_design_raw!$C$2:$C$1002,dd_design_raw!$A$2:$A$1002,"",0)</f>
        <v>Fix Slide Slide Fix Window</v>
      </c>
      <c r="L1566" s="16" t="str">
        <f>_xlfn.XLOOKUP(I1566,dd_accsryclr!$A$2:$A$1000,dd_accsryclr!$A$2:$A$1000,"",0)</f>
        <v/>
      </c>
    </row>
    <row r="1567" spans="1:12" hidden="1" x14ac:dyDescent="0.25">
      <c r="A1567" s="16" t="s">
        <v>22</v>
      </c>
      <c r="B1567" s="16" t="s">
        <v>696</v>
      </c>
      <c r="C1567" s="16" t="s">
        <v>433</v>
      </c>
      <c r="D1567" s="16" t="s">
        <v>434</v>
      </c>
      <c r="E1567" s="16">
        <v>0.25862068965517243</v>
      </c>
      <c r="F1567" s="16" t="s">
        <v>194</v>
      </c>
      <c r="G1567" s="16"/>
      <c r="H1567" s="16" t="s">
        <v>430</v>
      </c>
      <c r="I1567" s="16" t="s">
        <v>214</v>
      </c>
      <c r="J1567" s="16" t="str">
        <f>IF(ISNUMBER(SEARCH("SCRW", H1567)), _xlfn.XLOOKUP(C1567,dd_item!$A$2:$A$147,dd_item!$B$2:$B$147,"",0),_xlfn.XLOOKUP(H1567,dd_item!$A$2:$A$147,dd_item!$B$2:$B$147,"",0))</f>
        <v>Inline Adapter 50</v>
      </c>
      <c r="K1567" s="16" t="str">
        <f>_xlfn.XLOOKUP(A1567,dd_design_raw!$C$2:$C$1002,dd_design_raw!$A$2:$A$1002,"",0)</f>
        <v>Fix Slide Slide Fix Window</v>
      </c>
      <c r="L1567" s="16" t="str">
        <f>_xlfn.XLOOKUP(I1567,dd_accsryclr!$A$2:$A$1000,dd_accsryclr!$A$2:$A$1000,"",0)</f>
        <v/>
      </c>
    </row>
    <row r="1568" spans="1:12" hidden="1" x14ac:dyDescent="0.25">
      <c r="A1568" s="16" t="s">
        <v>22</v>
      </c>
      <c r="B1568" s="16" t="s">
        <v>696</v>
      </c>
      <c r="C1568" s="16" t="s">
        <v>435</v>
      </c>
      <c r="D1568" s="16" t="s">
        <v>436</v>
      </c>
      <c r="E1568" s="16">
        <v>0.25862068965517243</v>
      </c>
      <c r="F1568" s="16" t="s">
        <v>194</v>
      </c>
      <c r="G1568" s="16"/>
      <c r="H1568" s="16" t="s">
        <v>430</v>
      </c>
      <c r="I1568" s="16" t="s">
        <v>217</v>
      </c>
      <c r="J1568" s="16" t="str">
        <f>IF(ISNUMBER(SEARCH("SCRW", H1568)), _xlfn.XLOOKUP(C1568,dd_item!$A$2:$A$147,dd_item!$B$2:$B$147,"",0),_xlfn.XLOOKUP(H1568,dd_item!$A$2:$A$147,dd_item!$B$2:$B$147,"",0))</f>
        <v>Inline Adapter 50</v>
      </c>
      <c r="K1568" s="16" t="str">
        <f>_xlfn.XLOOKUP(A1568,dd_design_raw!$C$2:$C$1002,dd_design_raw!$A$2:$A$1002,"",0)</f>
        <v>Fix Slide Slide Fix Window</v>
      </c>
      <c r="L1568" s="16" t="str">
        <f>_xlfn.XLOOKUP(I1568,dd_accsryclr!$A$2:$A$1000,dd_accsryclr!$A$2:$A$1000,"",0)</f>
        <v/>
      </c>
    </row>
    <row r="1569" spans="1:12" hidden="1" x14ac:dyDescent="0.25">
      <c r="A1569" s="16" t="s">
        <v>22</v>
      </c>
      <c r="B1569" s="16" t="s">
        <v>696</v>
      </c>
      <c r="C1569" s="16" t="s">
        <v>437</v>
      </c>
      <c r="D1569" s="16" t="s">
        <v>438</v>
      </c>
      <c r="E1569" s="16">
        <v>0.25862068965517243</v>
      </c>
      <c r="F1569" s="16" t="s">
        <v>194</v>
      </c>
      <c r="G1569" s="16"/>
      <c r="H1569" s="16" t="s">
        <v>430</v>
      </c>
      <c r="I1569" s="16" t="s">
        <v>226</v>
      </c>
      <c r="J1569" s="16" t="str">
        <f>IF(ISNUMBER(SEARCH("SCRW", H1569)), _xlfn.XLOOKUP(C1569,dd_item!$A$2:$A$147,dd_item!$B$2:$B$147,"",0),_xlfn.XLOOKUP(H1569,dd_item!$A$2:$A$147,dd_item!$B$2:$B$147,"",0))</f>
        <v>Inline Adapter 50</v>
      </c>
      <c r="K1569" s="16" t="str">
        <f>_xlfn.XLOOKUP(A1569,dd_design_raw!$C$2:$C$1002,dd_design_raw!$A$2:$A$1002,"",0)</f>
        <v>Fix Slide Slide Fix Window</v>
      </c>
      <c r="L1569" s="16" t="str">
        <f>_xlfn.XLOOKUP(I1569,dd_accsryclr!$A$2:$A$1000,dd_accsryclr!$A$2:$A$1000,"",0)</f>
        <v/>
      </c>
    </row>
    <row r="1570" spans="1:12" hidden="1" x14ac:dyDescent="0.25">
      <c r="A1570" s="16" t="s">
        <v>22</v>
      </c>
      <c r="B1570" s="16" t="s">
        <v>696</v>
      </c>
      <c r="C1570" s="16" t="s">
        <v>439</v>
      </c>
      <c r="D1570" s="16" t="s">
        <v>440</v>
      </c>
      <c r="E1570" s="16">
        <v>0.25862068965517243</v>
      </c>
      <c r="F1570" s="16" t="s">
        <v>194</v>
      </c>
      <c r="G1570" s="16"/>
      <c r="H1570" s="16" t="s">
        <v>430</v>
      </c>
      <c r="I1570" s="16" t="s">
        <v>220</v>
      </c>
      <c r="J1570" s="16" t="str">
        <f>IF(ISNUMBER(SEARCH("SCRW", H1570)), _xlfn.XLOOKUP(C1570,dd_item!$A$2:$A$147,dd_item!$B$2:$B$147,"",0),_xlfn.XLOOKUP(H1570,dd_item!$A$2:$A$147,dd_item!$B$2:$B$147,"",0))</f>
        <v>Inline Adapter 50</v>
      </c>
      <c r="K1570" s="16" t="str">
        <f>_xlfn.XLOOKUP(A1570,dd_design_raw!$C$2:$C$1002,dd_design_raw!$A$2:$A$1002,"",0)</f>
        <v>Fix Slide Slide Fix Window</v>
      </c>
      <c r="L1570" s="16" t="str">
        <f>_xlfn.XLOOKUP(I1570,dd_accsryclr!$A$2:$A$1000,dd_accsryclr!$A$2:$A$1000,"",0)</f>
        <v>WHT</v>
      </c>
    </row>
    <row r="1571" spans="1:12" hidden="1" x14ac:dyDescent="0.25">
      <c r="A1571" s="16" t="s">
        <v>22</v>
      </c>
      <c r="B1571" s="16" t="s">
        <v>696</v>
      </c>
      <c r="C1571" s="16" t="s">
        <v>441</v>
      </c>
      <c r="D1571" s="16" t="s">
        <v>442</v>
      </c>
      <c r="E1571" s="16">
        <v>0.25862068965517243</v>
      </c>
      <c r="F1571" s="16" t="s">
        <v>194</v>
      </c>
      <c r="G1571" s="16"/>
      <c r="H1571" s="16" t="s">
        <v>430</v>
      </c>
      <c r="I1571" s="16" t="s">
        <v>230</v>
      </c>
      <c r="J1571" s="16" t="str">
        <f>IF(ISNUMBER(SEARCH("SCRW", H1571)), _xlfn.XLOOKUP(C1571,dd_item!$A$2:$A$147,dd_item!$B$2:$B$147,"",0),_xlfn.XLOOKUP(H1571,dd_item!$A$2:$A$147,dd_item!$B$2:$B$147,"",0))</f>
        <v>Inline Adapter 50</v>
      </c>
      <c r="K1571" s="16" t="str">
        <f>_xlfn.XLOOKUP(A1571,dd_design_raw!$C$2:$C$1002,dd_design_raw!$A$2:$A$1002,"",0)</f>
        <v>Fix Slide Slide Fix Window</v>
      </c>
      <c r="L1571" s="16" t="str">
        <f>_xlfn.XLOOKUP(I1571,dd_accsryclr!$A$2:$A$1000,dd_accsryclr!$A$2:$A$1000,"",0)</f>
        <v>BRWN</v>
      </c>
    </row>
    <row r="1572" spans="1:12" hidden="1" x14ac:dyDescent="0.25">
      <c r="A1572" s="16" t="s">
        <v>22</v>
      </c>
      <c r="B1572" s="16" t="s">
        <v>696</v>
      </c>
      <c r="C1572" s="16" t="s">
        <v>364</v>
      </c>
      <c r="D1572" s="16" t="s">
        <v>365</v>
      </c>
      <c r="E1572" s="16">
        <v>0.75862068965517238</v>
      </c>
      <c r="F1572" s="16" t="s">
        <v>293</v>
      </c>
      <c r="G1572" s="16"/>
      <c r="H1572" s="16" t="s">
        <v>366</v>
      </c>
      <c r="I1572" s="16" t="s">
        <v>443</v>
      </c>
      <c r="J1572" s="16" t="str">
        <f>IF(ISNUMBER(SEARCH("SCRW", H1572)), _xlfn.XLOOKUP(C1572,dd_item!$A$2:$A$147,dd_item!$B$2:$B$147,"",0),_xlfn.XLOOKUP(H1572,dd_item!$A$2:$A$147,dd_item!$B$2:$B$147,"",0))</f>
        <v>Aluminum Track</v>
      </c>
      <c r="K1572" s="16" t="str">
        <f>_xlfn.XLOOKUP(A1572,dd_design_raw!$C$2:$C$1002,dd_design_raw!$A$2:$A$1002,"",0)</f>
        <v>Fix Slide Slide Fix Window</v>
      </c>
      <c r="L1572" s="16" t="str">
        <f>_xlfn.XLOOKUP(I1572,dd_accsryclr!$A$2:$A$1000,dd_accsryclr!$A$2:$A$1000,"",0)</f>
        <v/>
      </c>
    </row>
    <row r="1573" spans="1:12" hidden="1" x14ac:dyDescent="0.25">
      <c r="A1573" s="16" t="s">
        <v>22</v>
      </c>
      <c r="B1573" s="16" t="s">
        <v>696</v>
      </c>
      <c r="C1573" s="16" t="s">
        <v>673</v>
      </c>
      <c r="D1573" s="16" t="s">
        <v>674</v>
      </c>
      <c r="E1573" s="16">
        <v>1</v>
      </c>
      <c r="F1573" s="16" t="s">
        <v>369</v>
      </c>
      <c r="G1573" s="16"/>
      <c r="H1573" s="16" t="s">
        <v>675</v>
      </c>
      <c r="I1573" s="16" t="s">
        <v>223</v>
      </c>
      <c r="J1573" s="16" t="str">
        <f>IF(ISNUMBER(SEARCH("SCRW", H1573)), _xlfn.XLOOKUP(C1573,dd_item!$A$2:$A$147,dd_item!$B$2:$B$147,"",0),_xlfn.XLOOKUP(H1573,dd_item!$A$2:$A$147,dd_item!$B$2:$B$147,"",0))</f>
        <v>Sliding Espag Handle</v>
      </c>
      <c r="K1573" s="16" t="str">
        <f>_xlfn.XLOOKUP(A1573,dd_design_raw!$C$2:$C$1002,dd_design_raw!$A$2:$A$1002,"",0)</f>
        <v>Fix Slide Slide Fix Window</v>
      </c>
      <c r="L1573" s="16" t="str">
        <f>_xlfn.XLOOKUP(I1573,dd_accsryclr!$A$2:$A$1000,dd_accsryclr!$A$2:$A$1000,"",0)</f>
        <v>BLK</v>
      </c>
    </row>
    <row r="1574" spans="1:12" hidden="1" x14ac:dyDescent="0.25">
      <c r="A1574" s="16" t="s">
        <v>22</v>
      </c>
      <c r="B1574" s="16" t="s">
        <v>696</v>
      </c>
      <c r="C1574" s="16" t="s">
        <v>676</v>
      </c>
      <c r="D1574" s="16" t="s">
        <v>677</v>
      </c>
      <c r="E1574" s="16">
        <v>1</v>
      </c>
      <c r="F1574" s="16" t="s">
        <v>369</v>
      </c>
      <c r="G1574" s="16"/>
      <c r="H1574" s="16" t="s">
        <v>675</v>
      </c>
      <c r="I1574" s="16" t="s">
        <v>220</v>
      </c>
      <c r="J1574" s="16" t="str">
        <f>IF(ISNUMBER(SEARCH("SCRW", H1574)), _xlfn.XLOOKUP(C1574,dd_item!$A$2:$A$147,dd_item!$B$2:$B$147,"",0),_xlfn.XLOOKUP(H1574,dd_item!$A$2:$A$147,dd_item!$B$2:$B$147,"",0))</f>
        <v>Sliding Espag Handle</v>
      </c>
      <c r="K1574" s="16" t="str">
        <f>_xlfn.XLOOKUP(A1574,dd_design_raw!$C$2:$C$1002,dd_design_raw!$A$2:$A$1002,"",0)</f>
        <v>Fix Slide Slide Fix Window</v>
      </c>
      <c r="L1574" s="16" t="str">
        <f>_xlfn.XLOOKUP(I1574,dd_accsryclr!$A$2:$A$1000,dd_accsryclr!$A$2:$A$1000,"",0)</f>
        <v>WHT</v>
      </c>
    </row>
    <row r="1575" spans="1:12" hidden="1" x14ac:dyDescent="0.25">
      <c r="A1575" s="16" t="s">
        <v>22</v>
      </c>
      <c r="B1575" s="16" t="s">
        <v>696</v>
      </c>
      <c r="C1575" s="16" t="s">
        <v>678</v>
      </c>
      <c r="D1575" s="16" t="s">
        <v>679</v>
      </c>
      <c r="E1575" s="16">
        <v>1</v>
      </c>
      <c r="F1575" s="16" t="s">
        <v>369</v>
      </c>
      <c r="G1575" s="16"/>
      <c r="H1575" s="16" t="s">
        <v>680</v>
      </c>
      <c r="I1575" s="16" t="s">
        <v>223</v>
      </c>
      <c r="J1575" s="16" t="str">
        <f>IF(ISNUMBER(SEARCH("SCRW", H1575)), _xlfn.XLOOKUP(C1575,dd_item!$A$2:$A$147,dd_item!$B$2:$B$147,"",0),_xlfn.XLOOKUP(H1575,dd_item!$A$2:$A$147,dd_item!$B$2:$B$147,"",0))</f>
        <v>Double Side Handle Inside Low Height</v>
      </c>
      <c r="K1575" s="16" t="str">
        <f>_xlfn.XLOOKUP(A1575,dd_design_raw!$C$2:$C$1002,dd_design_raw!$A$2:$A$1002,"",0)</f>
        <v>Fix Slide Slide Fix Window</v>
      </c>
      <c r="L1575" s="16" t="str">
        <f>_xlfn.XLOOKUP(I1575,dd_accsryclr!$A$2:$A$1000,dd_accsryclr!$A$2:$A$1000,"",0)</f>
        <v>BLK</v>
      </c>
    </row>
    <row r="1576" spans="1:12" hidden="1" x14ac:dyDescent="0.25">
      <c r="A1576" s="16" t="s">
        <v>22</v>
      </c>
      <c r="B1576" s="16" t="s">
        <v>696</v>
      </c>
      <c r="C1576" s="16" t="s">
        <v>681</v>
      </c>
      <c r="D1576" s="16" t="s">
        <v>682</v>
      </c>
      <c r="E1576" s="16">
        <v>1</v>
      </c>
      <c r="F1576" s="16" t="s">
        <v>369</v>
      </c>
      <c r="G1576" s="16"/>
      <c r="H1576" s="16" t="s">
        <v>680</v>
      </c>
      <c r="I1576" s="16" t="s">
        <v>220</v>
      </c>
      <c r="J1576" s="16" t="str">
        <f>IF(ISNUMBER(SEARCH("SCRW", H1576)), _xlfn.XLOOKUP(C1576,dd_item!$A$2:$A$147,dd_item!$B$2:$B$147,"",0),_xlfn.XLOOKUP(H1576,dd_item!$A$2:$A$147,dd_item!$B$2:$B$147,"",0))</f>
        <v>Double Side Handle Inside Low Height</v>
      </c>
      <c r="K1576" s="16" t="str">
        <f>_xlfn.XLOOKUP(A1576,dd_design_raw!$C$2:$C$1002,dd_design_raw!$A$2:$A$1002,"",0)</f>
        <v>Fix Slide Slide Fix Window</v>
      </c>
      <c r="L1576" s="16" t="str">
        <f>_xlfn.XLOOKUP(I1576,dd_accsryclr!$A$2:$A$1000,dd_accsryclr!$A$2:$A$1000,"",0)</f>
        <v>WHT</v>
      </c>
    </row>
    <row r="1577" spans="1:12" hidden="1" x14ac:dyDescent="0.25">
      <c r="A1577" s="16" t="s">
        <v>22</v>
      </c>
      <c r="B1577" s="16" t="s">
        <v>696</v>
      </c>
      <c r="C1577" s="16" t="s">
        <v>387</v>
      </c>
      <c r="D1577" s="16" t="s">
        <v>388</v>
      </c>
      <c r="E1577" s="16">
        <v>3</v>
      </c>
      <c r="F1577" s="16" t="s">
        <v>369</v>
      </c>
      <c r="G1577" s="16"/>
      <c r="H1577" s="16" t="s">
        <v>389</v>
      </c>
      <c r="I1577" s="16"/>
      <c r="J1577" s="16" t="str">
        <f>IF(ISNUMBER(SEARCH("SCRW", H1577)), _xlfn.XLOOKUP(C1577,dd_item!$A$2:$A$147,dd_item!$B$2:$B$147,"",0),_xlfn.XLOOKUP(H1577,dd_item!$A$2:$A$147,dd_item!$B$2:$B$147,"",0))</f>
        <v>Sliding Striker (Roto)</v>
      </c>
      <c r="K1577" s="16" t="str">
        <f>_xlfn.XLOOKUP(A1577,dd_design_raw!$C$2:$C$1002,dd_design_raw!$A$2:$A$1002,"",0)</f>
        <v>Fix Slide Slide Fix Window</v>
      </c>
      <c r="L1577" s="16">
        <f>_xlfn.XLOOKUP(I1577,dd_accsryclr!$A$2:$A$1000,dd_accsryclr!$A$2:$A$1000,"",0)</f>
        <v>0</v>
      </c>
    </row>
    <row r="1578" spans="1:12" hidden="1" x14ac:dyDescent="0.25">
      <c r="A1578" s="16" t="s">
        <v>22</v>
      </c>
      <c r="B1578" s="16" t="s">
        <v>696</v>
      </c>
      <c r="C1578" s="16" t="s">
        <v>390</v>
      </c>
      <c r="D1578" s="16" t="s">
        <v>391</v>
      </c>
      <c r="E1578" s="16">
        <v>20.84</v>
      </c>
      <c r="F1578" s="16" t="s">
        <v>369</v>
      </c>
      <c r="G1578" s="16"/>
      <c r="H1578" s="16" t="s">
        <v>792</v>
      </c>
      <c r="I1578" s="16"/>
      <c r="J1578" s="16" t="str">
        <f>IF(ISNUMBER(SEARCH("SCRW", H1578)), _xlfn.XLOOKUP(C1578,dd_item!$A$2:$A$147,dd_item!$B$2:$B$147,"",0),_xlfn.XLOOKUP(H1578,dd_item!$A$2:$A$147,dd_item!$B$2:$B$147,"",0))</f>
        <v>Atlas Screw (S) 10 x 2-1/2" (Flat)</v>
      </c>
      <c r="K1578" s="16" t="str">
        <f>_xlfn.XLOOKUP(A1578,dd_design_raw!$C$2:$C$1002,dd_design_raw!$A$2:$A$1002,"",0)</f>
        <v>Fix Slide Slide Fix Window</v>
      </c>
      <c r="L1578" s="16" t="str">
        <f>_xlfn.XLOOKUP(I1578,dd_accsryclr!$A$2:$A$1000,dd_accsryclr!$A$2:$A$1000,"",0)</f>
        <v/>
      </c>
    </row>
    <row r="1579" spans="1:12" hidden="1" x14ac:dyDescent="0.25">
      <c r="A1579" s="16" t="s">
        <v>22</v>
      </c>
      <c r="B1579" s="16" t="s">
        <v>696</v>
      </c>
      <c r="C1579" s="16" t="s">
        <v>392</v>
      </c>
      <c r="D1579" s="16" t="s">
        <v>393</v>
      </c>
      <c r="E1579" s="16">
        <v>3</v>
      </c>
      <c r="F1579" s="16" t="s">
        <v>369</v>
      </c>
      <c r="G1579" s="16"/>
      <c r="H1579" s="16" t="s">
        <v>394</v>
      </c>
      <c r="I1579" s="16" t="s">
        <v>223</v>
      </c>
      <c r="J1579" s="16" t="str">
        <f>IF(ISNUMBER(SEARCH("SCRW", H1579)), _xlfn.XLOOKUP(C1579,dd_item!$A$2:$A$147,dd_item!$B$2:$B$147,"",0),_xlfn.XLOOKUP(H1579,dd_item!$A$2:$A$147,dd_item!$B$2:$B$147,"",0))</f>
        <v>Drainage Cover</v>
      </c>
      <c r="K1579" s="16" t="str">
        <f>_xlfn.XLOOKUP(A1579,dd_design_raw!$C$2:$C$1002,dd_design_raw!$A$2:$A$1002,"",0)</f>
        <v>Fix Slide Slide Fix Window</v>
      </c>
      <c r="L1579" s="16" t="str">
        <f>_xlfn.XLOOKUP(I1579,dd_accsryclr!$A$2:$A$1000,dd_accsryclr!$A$2:$A$1000,"",0)</f>
        <v>BLK</v>
      </c>
    </row>
    <row r="1580" spans="1:12" hidden="1" x14ac:dyDescent="0.25">
      <c r="A1580" s="16" t="s">
        <v>22</v>
      </c>
      <c r="B1580" s="16" t="s">
        <v>696</v>
      </c>
      <c r="C1580" s="16" t="s">
        <v>395</v>
      </c>
      <c r="D1580" s="16" t="s">
        <v>396</v>
      </c>
      <c r="E1580" s="16">
        <v>3</v>
      </c>
      <c r="F1580" s="16" t="s">
        <v>369</v>
      </c>
      <c r="G1580" s="16"/>
      <c r="H1580" s="16" t="s">
        <v>394</v>
      </c>
      <c r="I1580" s="16" t="s">
        <v>220</v>
      </c>
      <c r="J1580" s="16" t="str">
        <f>IF(ISNUMBER(SEARCH("SCRW", H1580)), _xlfn.XLOOKUP(C1580,dd_item!$A$2:$A$147,dd_item!$B$2:$B$147,"",0),_xlfn.XLOOKUP(H1580,dd_item!$A$2:$A$147,dd_item!$B$2:$B$147,"",0))</f>
        <v>Drainage Cover</v>
      </c>
      <c r="K1580" s="16" t="str">
        <f>_xlfn.XLOOKUP(A1580,dd_design_raw!$C$2:$C$1002,dd_design_raw!$A$2:$A$1002,"",0)</f>
        <v>Fix Slide Slide Fix Window</v>
      </c>
      <c r="L1580" s="16" t="str">
        <f>_xlfn.XLOOKUP(I1580,dd_accsryclr!$A$2:$A$1000,dd_accsryclr!$A$2:$A$1000,"",0)</f>
        <v>WHT</v>
      </c>
    </row>
    <row r="1581" spans="1:12" hidden="1" x14ac:dyDescent="0.25">
      <c r="A1581" s="16" t="s">
        <v>22</v>
      </c>
      <c r="B1581" s="16" t="s">
        <v>696</v>
      </c>
      <c r="C1581" s="16" t="s">
        <v>397</v>
      </c>
      <c r="D1581" s="16" t="s">
        <v>398</v>
      </c>
      <c r="E1581" s="16">
        <v>0.4168</v>
      </c>
      <c r="F1581" s="16" t="s">
        <v>369</v>
      </c>
      <c r="G1581" s="16"/>
      <c r="H1581" s="16" t="s">
        <v>399</v>
      </c>
      <c r="I1581" s="16" t="s">
        <v>400</v>
      </c>
      <c r="J1581" s="16" t="str">
        <f>IF(ISNUMBER(SEARCH("SCRW", H1581)), _xlfn.XLOOKUP(C1581,dd_item!$A$2:$A$147,dd_item!$B$2:$B$147,"",0),_xlfn.XLOOKUP(H1581,dd_item!$A$2:$A$147,dd_item!$B$2:$B$147,"",0))</f>
        <v>Tox6</v>
      </c>
      <c r="K1581" s="16" t="str">
        <f>_xlfn.XLOOKUP(A1581,dd_design_raw!$C$2:$C$1002,dd_design_raw!$A$2:$A$1002,"",0)</f>
        <v>Fix Slide Slide Fix Window</v>
      </c>
      <c r="L1581" s="16" t="str">
        <f>_xlfn.XLOOKUP(I1581,dd_accsryclr!$A$2:$A$1000,dd_accsryclr!$A$2:$A$1000,"",0)</f>
        <v/>
      </c>
    </row>
    <row r="1582" spans="1:12" hidden="1" x14ac:dyDescent="0.25">
      <c r="A1582" s="16" t="s">
        <v>22</v>
      </c>
      <c r="B1582" s="16" t="s">
        <v>696</v>
      </c>
      <c r="C1582" s="16" t="s">
        <v>401</v>
      </c>
      <c r="D1582" s="16" t="s">
        <v>402</v>
      </c>
      <c r="E1582" s="16">
        <v>14.84</v>
      </c>
      <c r="F1582" s="16" t="s">
        <v>369</v>
      </c>
      <c r="G1582" s="16"/>
      <c r="H1582" s="16" t="s">
        <v>403</v>
      </c>
      <c r="I1582" s="16" t="s">
        <v>223</v>
      </c>
      <c r="J1582" s="16" t="str">
        <f>IF(ISNUMBER(SEARCH("SCRW", H1582)), _xlfn.XLOOKUP(C1582,dd_item!$A$2:$A$147,dd_item!$B$2:$B$147,"",0),_xlfn.XLOOKUP(H1582,dd_item!$A$2:$A$147,dd_item!$B$2:$B$147,"",0))</f>
        <v>Cover Cap</v>
      </c>
      <c r="K1582" s="16" t="str">
        <f>_xlfn.XLOOKUP(A1582,dd_design_raw!$C$2:$C$1002,dd_design_raw!$A$2:$A$1002,"",0)</f>
        <v>Fix Slide Slide Fix Window</v>
      </c>
      <c r="L1582" s="16" t="str">
        <f>_xlfn.XLOOKUP(I1582,dd_accsryclr!$A$2:$A$1000,dd_accsryclr!$A$2:$A$1000,"",0)</f>
        <v>BLK</v>
      </c>
    </row>
    <row r="1583" spans="1:12" hidden="1" x14ac:dyDescent="0.25">
      <c r="A1583" s="16" t="s">
        <v>22</v>
      </c>
      <c r="B1583" s="16" t="s">
        <v>696</v>
      </c>
      <c r="C1583" s="16" t="s">
        <v>404</v>
      </c>
      <c r="D1583" s="16" t="s">
        <v>405</v>
      </c>
      <c r="E1583" s="16">
        <v>14.84</v>
      </c>
      <c r="F1583" s="16" t="s">
        <v>369</v>
      </c>
      <c r="G1583" s="16"/>
      <c r="H1583" s="16" t="s">
        <v>403</v>
      </c>
      <c r="I1583" s="16" t="s">
        <v>220</v>
      </c>
      <c r="J1583" s="16" t="str">
        <f>IF(ISNUMBER(SEARCH("SCRW", H1583)), _xlfn.XLOOKUP(C1583,dd_item!$A$2:$A$147,dd_item!$B$2:$B$147,"",0),_xlfn.XLOOKUP(H1583,dd_item!$A$2:$A$147,dd_item!$B$2:$B$147,"",0))</f>
        <v>Cover Cap</v>
      </c>
      <c r="K1583" s="16" t="str">
        <f>_xlfn.XLOOKUP(A1583,dd_design_raw!$C$2:$C$1002,dd_design_raw!$A$2:$A$1002,"",0)</f>
        <v>Fix Slide Slide Fix Window</v>
      </c>
      <c r="L1583" s="16" t="str">
        <f>_xlfn.XLOOKUP(I1583,dd_accsryclr!$A$2:$A$1000,dd_accsryclr!$A$2:$A$1000,"",0)</f>
        <v>WHT</v>
      </c>
    </row>
    <row r="1584" spans="1:12" hidden="1" x14ac:dyDescent="0.25">
      <c r="A1584" s="16" t="s">
        <v>22</v>
      </c>
      <c r="B1584" s="16" t="s">
        <v>696</v>
      </c>
      <c r="C1584" s="16" t="s">
        <v>683</v>
      </c>
      <c r="D1584" s="16" t="s">
        <v>684</v>
      </c>
      <c r="E1584" s="16">
        <v>2</v>
      </c>
      <c r="F1584" s="16" t="s">
        <v>369</v>
      </c>
      <c r="G1584" s="16"/>
      <c r="H1584" s="16" t="s">
        <v>685</v>
      </c>
      <c r="I1584" s="16" t="s">
        <v>223</v>
      </c>
      <c r="J1584" s="16" t="str">
        <f>IF(ISNUMBER(SEARCH("SCRW", H1584)), _xlfn.XLOOKUP(C1584,dd_item!$A$2:$A$147,dd_item!$B$2:$B$147,"",0),_xlfn.XLOOKUP(H1584,dd_item!$A$2:$A$147,dd_item!$B$2:$B$147,"",0))</f>
        <v>PNS Handle</v>
      </c>
      <c r="K1584" s="16" t="str">
        <f>_xlfn.XLOOKUP(A1584,dd_design_raw!$C$2:$C$1002,dd_design_raw!$A$2:$A$1002,"",0)</f>
        <v>Fix Slide Slide Fix Window</v>
      </c>
      <c r="L1584" s="16" t="str">
        <f>_xlfn.XLOOKUP(I1584,dd_accsryclr!$A$2:$A$1000,dd_accsryclr!$A$2:$A$1000,"",0)</f>
        <v>BLK</v>
      </c>
    </row>
    <row r="1585" spans="1:14" hidden="1" x14ac:dyDescent="0.25">
      <c r="A1585" s="16" t="s">
        <v>22</v>
      </c>
      <c r="B1585" s="16" t="s">
        <v>696</v>
      </c>
      <c r="C1585" s="16" t="s">
        <v>686</v>
      </c>
      <c r="D1585" s="16" t="s">
        <v>687</v>
      </c>
      <c r="E1585" s="16">
        <v>2</v>
      </c>
      <c r="F1585" s="16" t="s">
        <v>369</v>
      </c>
      <c r="G1585" s="16"/>
      <c r="H1585" s="16" t="s">
        <v>685</v>
      </c>
      <c r="I1585" s="16" t="s">
        <v>220</v>
      </c>
      <c r="J1585" s="16" t="str">
        <f>IF(ISNUMBER(SEARCH("SCRW", H1585)), _xlfn.XLOOKUP(C1585,dd_item!$A$2:$A$147,dd_item!$B$2:$B$147,"",0),_xlfn.XLOOKUP(H1585,dd_item!$A$2:$A$147,dd_item!$B$2:$B$147,"",0))</f>
        <v>PNS Handle</v>
      </c>
      <c r="K1585" s="16" t="str">
        <f>_xlfn.XLOOKUP(A1585,dd_design_raw!$C$2:$C$1002,dd_design_raw!$A$2:$A$1002,"",0)</f>
        <v>Fix Slide Slide Fix Window</v>
      </c>
      <c r="L1585" s="16" t="str">
        <f>_xlfn.XLOOKUP(I1585,dd_accsryclr!$A$2:$A$1000,dd_accsryclr!$A$2:$A$1000,"",0)</f>
        <v>WHT</v>
      </c>
    </row>
    <row r="1586" spans="1:14" hidden="1" x14ac:dyDescent="0.25">
      <c r="A1586" s="16" t="s">
        <v>22</v>
      </c>
      <c r="B1586" s="16" t="s">
        <v>696</v>
      </c>
      <c r="C1586" s="16" t="s">
        <v>412</v>
      </c>
      <c r="D1586" s="16" t="s">
        <v>413</v>
      </c>
      <c r="E1586" s="16">
        <v>4</v>
      </c>
      <c r="F1586" s="16" t="s">
        <v>369</v>
      </c>
      <c r="G1586" s="16"/>
      <c r="H1586" s="16" t="s">
        <v>793</v>
      </c>
      <c r="I1586" s="16" t="s">
        <v>575</v>
      </c>
      <c r="J1586" s="16" t="str">
        <f>IF(ISNUMBER(SEARCH("SCRW", H1586)), _xlfn.XLOOKUP(C1586,dd_item!$A$2:$A$147,dd_item!$B$2:$B$147,"",0),_xlfn.XLOOKUP(H1586,dd_item!$A$2:$A$147,dd_item!$B$2:$B$147,"",0))</f>
        <v>Atlas Screw (S) 8 x 1-1/4" (Flat)</v>
      </c>
      <c r="K1586" s="16" t="str">
        <f>_xlfn.XLOOKUP(A1586,dd_design_raw!$C$2:$C$1002,dd_design_raw!$A$2:$A$1002,"",0)</f>
        <v>Fix Slide Slide Fix Window</v>
      </c>
      <c r="L1586" s="16" t="str">
        <f>_xlfn.XLOOKUP(I1586,dd_accsryclr!$A$2:$A$1000,dd_accsryclr!$A$2:$A$1000,"",0)</f>
        <v/>
      </c>
    </row>
    <row r="1587" spans="1:14" hidden="1" x14ac:dyDescent="0.25">
      <c r="A1587" s="16" t="s">
        <v>22</v>
      </c>
      <c r="B1587" s="16" t="s">
        <v>696</v>
      </c>
      <c r="C1587" s="16" t="s">
        <v>414</v>
      </c>
      <c r="D1587" s="16" t="s">
        <v>415</v>
      </c>
      <c r="E1587" s="16">
        <v>4.9466666666666663</v>
      </c>
      <c r="F1587" s="16" t="s">
        <v>369</v>
      </c>
      <c r="G1587" s="16"/>
      <c r="H1587" s="16" t="s">
        <v>416</v>
      </c>
      <c r="I1587" s="16" t="s">
        <v>223</v>
      </c>
      <c r="J1587" s="16" t="str">
        <f>IF(ISNUMBER(SEARCH("SCRW", H1587)), _xlfn.XLOOKUP(C1587,dd_item!$A$2:$A$147,dd_item!$B$2:$B$147,"",0),_xlfn.XLOOKUP(H1587,dd_item!$A$2:$A$147,dd_item!$B$2:$B$147,"",0))</f>
        <v>Sealant</v>
      </c>
      <c r="K1587" s="16" t="str">
        <f>_xlfn.XLOOKUP(A1587,dd_design_raw!$C$2:$C$1002,dd_design_raw!$A$2:$A$1002,"",0)</f>
        <v>Fix Slide Slide Fix Window</v>
      </c>
      <c r="L1587" s="16" t="str">
        <f>_xlfn.XLOOKUP(I1587,dd_accsryclr!$A$2:$A$1000,dd_accsryclr!$A$2:$A$1000,"",0)</f>
        <v>BLK</v>
      </c>
    </row>
    <row r="1588" spans="1:14" hidden="1" x14ac:dyDescent="0.25">
      <c r="A1588" s="16" t="s">
        <v>22</v>
      </c>
      <c r="B1588" s="16" t="s">
        <v>696</v>
      </c>
      <c r="C1588" s="16" t="s">
        <v>417</v>
      </c>
      <c r="D1588" s="16" t="s">
        <v>418</v>
      </c>
      <c r="E1588" s="16">
        <v>4.9466666666666663</v>
      </c>
      <c r="F1588" s="16" t="s">
        <v>369</v>
      </c>
      <c r="G1588" s="16"/>
      <c r="H1588" s="16" t="s">
        <v>416</v>
      </c>
      <c r="I1588" s="16" t="s">
        <v>230</v>
      </c>
      <c r="J1588" s="16" t="str">
        <f>IF(ISNUMBER(SEARCH("SCRW", H1588)), _xlfn.XLOOKUP(C1588,dd_item!$A$2:$A$147,dd_item!$B$2:$B$147,"",0),_xlfn.XLOOKUP(H1588,dd_item!$A$2:$A$147,dd_item!$B$2:$B$147,"",0))</f>
        <v>Sealant</v>
      </c>
      <c r="K1588" s="16" t="str">
        <f>_xlfn.XLOOKUP(A1588,dd_design_raw!$C$2:$C$1002,dd_design_raw!$A$2:$A$1002,"",0)</f>
        <v>Fix Slide Slide Fix Window</v>
      </c>
      <c r="L1588" s="16" t="str">
        <f>_xlfn.XLOOKUP(I1588,dd_accsryclr!$A$2:$A$1000,dd_accsryclr!$A$2:$A$1000,"",0)</f>
        <v>BRWN</v>
      </c>
    </row>
    <row r="1589" spans="1:14" hidden="1" x14ac:dyDescent="0.25">
      <c r="A1589" s="16" t="s">
        <v>22</v>
      </c>
      <c r="B1589" s="16" t="s">
        <v>696</v>
      </c>
      <c r="C1589" s="16" t="s">
        <v>419</v>
      </c>
      <c r="D1589" s="16" t="s">
        <v>420</v>
      </c>
      <c r="E1589" s="16">
        <v>4.9466666666666663</v>
      </c>
      <c r="F1589" s="16" t="s">
        <v>369</v>
      </c>
      <c r="G1589" s="16"/>
      <c r="H1589" s="16" t="s">
        <v>416</v>
      </c>
      <c r="I1589" s="16" t="s">
        <v>220</v>
      </c>
      <c r="J1589" s="16" t="str">
        <f>IF(ISNUMBER(SEARCH("SCRW", H1589)), _xlfn.XLOOKUP(C1589,dd_item!$A$2:$A$147,dd_item!$B$2:$B$147,"",0),_xlfn.XLOOKUP(H1589,dd_item!$A$2:$A$147,dd_item!$B$2:$B$147,"",0))</f>
        <v>Sealant</v>
      </c>
      <c r="K1589" s="16" t="str">
        <f>_xlfn.XLOOKUP(A1589,dd_design_raw!$C$2:$C$1002,dd_design_raw!$A$2:$A$1002,"",0)</f>
        <v>Fix Slide Slide Fix Window</v>
      </c>
      <c r="L1589" s="16" t="str">
        <f>_xlfn.XLOOKUP(I1589,dd_accsryclr!$A$2:$A$1000,dd_accsryclr!$A$2:$A$1000,"",0)</f>
        <v>WHT</v>
      </c>
    </row>
    <row r="1590" spans="1:14" hidden="1" x14ac:dyDescent="0.25">
      <c r="A1590" s="16" t="s">
        <v>22</v>
      </c>
      <c r="B1590" s="16" t="s">
        <v>696</v>
      </c>
      <c r="C1590" s="16" t="s">
        <v>421</v>
      </c>
      <c r="D1590" s="16" t="s">
        <v>422</v>
      </c>
      <c r="E1590" s="16"/>
      <c r="F1590" s="16" t="s">
        <v>369</v>
      </c>
      <c r="G1590" s="16"/>
      <c r="H1590" s="16" t="s">
        <v>416</v>
      </c>
      <c r="I1590" s="16" t="s">
        <v>423</v>
      </c>
      <c r="J1590" s="16" t="str">
        <f>IF(ISNUMBER(SEARCH("SCRW", H1590)), _xlfn.XLOOKUP(C1590,dd_item!$A$2:$A$147,dd_item!$B$2:$B$147,"",0),_xlfn.XLOOKUP(H1590,dd_item!$A$2:$A$147,dd_item!$B$2:$B$147,"",0))</f>
        <v>Sealant</v>
      </c>
      <c r="K1590" s="16" t="str">
        <f>_xlfn.XLOOKUP(A1590,dd_design_raw!$C$2:$C$1002,dd_design_raw!$A$2:$A$1002,"",0)</f>
        <v>Fix Slide Slide Fix Window</v>
      </c>
      <c r="L1590" s="16" t="str">
        <f>_xlfn.XLOOKUP(I1590,dd_accsryclr!$A$2:$A$1000,dd_accsryclr!$A$2:$A$1000,"",0)</f>
        <v/>
      </c>
    </row>
    <row r="1591" spans="1:14" hidden="1" x14ac:dyDescent="0.25">
      <c r="A1591" s="16" t="s">
        <v>22</v>
      </c>
      <c r="B1591" s="16" t="s">
        <v>696</v>
      </c>
      <c r="C1591" s="16" t="s">
        <v>552</v>
      </c>
      <c r="D1591" s="16" t="s">
        <v>553</v>
      </c>
      <c r="E1591" s="16">
        <v>4</v>
      </c>
      <c r="F1591" s="16" t="s">
        <v>369</v>
      </c>
      <c r="G1591" s="16"/>
      <c r="H1591" s="16" t="s">
        <v>794</v>
      </c>
      <c r="I1591" s="16" t="s">
        <v>554</v>
      </c>
      <c r="J1591" s="16" t="str">
        <f>IF(ISNUMBER(SEARCH("SCRW", H1591)), _xlfn.XLOOKUP(C1591,dd_item!$A$2:$A$147,dd_item!$B$2:$B$147,"",0),_xlfn.XLOOKUP(H1591,dd_item!$A$2:$A$147,dd_item!$B$2:$B$147,"",0))</f>
        <v>Atlas Screw S.B JF 5 x 50</v>
      </c>
      <c r="K1591" s="16" t="str">
        <f>_xlfn.XLOOKUP(A1591,dd_design_raw!$C$2:$C$1002,dd_design_raw!$A$2:$A$1002,"",0)</f>
        <v>Fix Slide Slide Fix Window</v>
      </c>
      <c r="L1591" s="16" t="str">
        <f>_xlfn.XLOOKUP(I1591,dd_accsryclr!$A$2:$A$1000,dd_accsryclr!$A$2:$A$1000,"",0)</f>
        <v/>
      </c>
    </row>
    <row r="1592" spans="1:14" hidden="1" x14ac:dyDescent="0.25">
      <c r="A1592" s="16" t="s">
        <v>22</v>
      </c>
      <c r="B1592" s="16" t="s">
        <v>696</v>
      </c>
      <c r="C1592" s="16" t="s">
        <v>424</v>
      </c>
      <c r="D1592" s="16" t="s">
        <v>425</v>
      </c>
      <c r="E1592" s="16">
        <v>12</v>
      </c>
      <c r="F1592" s="16" t="s">
        <v>369</v>
      </c>
      <c r="G1592" s="16"/>
      <c r="H1592" s="16" t="s">
        <v>819</v>
      </c>
      <c r="I1592" s="16"/>
      <c r="J1592" s="16" t="str">
        <f>IF(ISNUMBER(SEARCH("SCRW", H1592)), _xlfn.XLOOKUP(C1592,dd_item!$A$2:$A$147,dd_item!$B$2:$B$147,"",0),_xlfn.XLOOKUP(H1592,dd_item!$A$2:$A$147,dd_item!$B$2:$B$147,"",0))</f>
        <v>Atlas Screw (S) 6 x 3/4" (FLAT)</v>
      </c>
      <c r="K1592" s="16" t="str">
        <f>_xlfn.XLOOKUP(A1592,dd_design_raw!$C$2:$C$1002,dd_design_raw!$A$2:$A$1002,"",0)</f>
        <v>Fix Slide Slide Fix Window</v>
      </c>
      <c r="L1592" s="16">
        <f>_xlfn.XLOOKUP(I1592,dd_accsryclr!$A$2:$A$1000,dd_accsryclr!$A$2:$A$1000,"",0)</f>
        <v>0</v>
      </c>
    </row>
    <row r="1593" spans="1:14" hidden="1" x14ac:dyDescent="0.25">
      <c r="A1593" s="16" t="s">
        <v>22</v>
      </c>
      <c r="B1593" s="16" t="s">
        <v>696</v>
      </c>
      <c r="C1593" s="16" t="s">
        <v>265</v>
      </c>
      <c r="D1593" s="16" t="s">
        <v>266</v>
      </c>
      <c r="E1593" s="16"/>
      <c r="F1593" s="16" t="s">
        <v>194</v>
      </c>
      <c r="G1593" s="16"/>
      <c r="H1593" s="16" t="s">
        <v>820</v>
      </c>
      <c r="I1593" s="16"/>
      <c r="J1593" s="16" t="str">
        <f>IF(ISNUMBER(SEARCH("SCRW", H1593)), _xlfn.XLOOKUP(C1593,dd_item!$A$2:$A$147,dd_item!$B$2:$B$147,"",0),_xlfn.XLOOKUP(H1593,dd_item!$A$2:$A$147,dd_item!$B$2:$B$147,"",0))</f>
        <v>Steel-Frame90</v>
      </c>
      <c r="K1593" s="16" t="str">
        <f>_xlfn.XLOOKUP(A1593,dd_design_raw!$C$2:$C$1002,dd_design_raw!$A$2:$A$1002,"",0)</f>
        <v>Fix Slide Slide Fix Window</v>
      </c>
      <c r="L1593" s="16">
        <f>_xlfn.XLOOKUP(I1593,dd_accsryclr!$A$2:$A$1000,dd_accsryclr!$A$2:$A$1000,"",0)</f>
        <v>0</v>
      </c>
      <c r="M1593" t="s">
        <v>780</v>
      </c>
      <c r="N1593" t="s">
        <v>780</v>
      </c>
    </row>
    <row r="1594" spans="1:14" hidden="1" x14ac:dyDescent="0.25">
      <c r="A1594" s="16" t="s">
        <v>884</v>
      </c>
      <c r="B1594" s="16" t="s">
        <v>901</v>
      </c>
      <c r="C1594" s="16" t="s">
        <v>902</v>
      </c>
      <c r="D1594" s="16" t="s">
        <v>903</v>
      </c>
      <c r="E1594" s="16">
        <v>8.48E-2</v>
      </c>
      <c r="F1594" s="16" t="s">
        <v>194</v>
      </c>
      <c r="G1594" s="16"/>
      <c r="H1594" s="16" t="s">
        <v>968</v>
      </c>
      <c r="I1594" s="16"/>
      <c r="J1594" s="16" t="str">
        <f>IF(ISNUMBER(SEARCH("SCRW", H1594)), _xlfn.XLOOKUP(C1594,dd_item!$A$2:$A$147,dd_item!$B$2:$B$147,"",0),_xlfn.XLOOKUP(H1594,dd_item!$A$2:$A$147,dd_item!$B$2:$B$147,"",0))</f>
        <v>Cassette</v>
      </c>
      <c r="K1594" s="16" t="str">
        <f>_xlfn.XLOOKUP(A1594,dd_design_raw!$C$2:$C$1002,dd_design_raw!$A$2:$A$1002,"",0)</f>
        <v>Roll-up Screen</v>
      </c>
      <c r="L1594" s="16" t="s">
        <v>217</v>
      </c>
    </row>
    <row r="1595" spans="1:14" hidden="1" x14ac:dyDescent="0.25">
      <c r="A1595" s="16" t="s">
        <v>884</v>
      </c>
      <c r="B1595" s="16" t="s">
        <v>901</v>
      </c>
      <c r="C1595" s="16" t="s">
        <v>904</v>
      </c>
      <c r="D1595" s="16" t="s">
        <v>905</v>
      </c>
      <c r="E1595" s="16">
        <v>8.48E-2</v>
      </c>
      <c r="F1595" s="16" t="s">
        <v>194</v>
      </c>
      <c r="G1595" s="16"/>
      <c r="H1595" s="16" t="s">
        <v>968</v>
      </c>
      <c r="I1595" s="16"/>
      <c r="J1595" s="16" t="str">
        <f>IF(ISNUMBER(SEARCH("SCRW", H1595)), _xlfn.XLOOKUP(C1595,dd_item!$A$2:$A$147,dd_item!$B$2:$B$147,"",0),_xlfn.XLOOKUP(H1595,dd_item!$A$2:$A$147,dd_item!$B$2:$B$147,"",0))</f>
        <v>Cassette</v>
      </c>
      <c r="K1595" s="16" t="str">
        <f>_xlfn.XLOOKUP(A1595,dd_design_raw!$C$2:$C$1002,dd_design_raw!$A$2:$A$1002,"",0)</f>
        <v>Roll-up Screen</v>
      </c>
      <c r="L1595" s="16" t="s">
        <v>211</v>
      </c>
    </row>
    <row r="1596" spans="1:14" hidden="1" x14ac:dyDescent="0.25">
      <c r="A1596" s="16" t="s">
        <v>884</v>
      </c>
      <c r="B1596" s="16" t="s">
        <v>901</v>
      </c>
      <c r="C1596" s="16" t="s">
        <v>906</v>
      </c>
      <c r="D1596" s="16" t="s">
        <v>907</v>
      </c>
      <c r="E1596" s="16">
        <v>8.48E-2</v>
      </c>
      <c r="F1596" s="16" t="s">
        <v>194</v>
      </c>
      <c r="G1596" s="16"/>
      <c r="H1596" s="16" t="s">
        <v>968</v>
      </c>
      <c r="I1596" s="16"/>
      <c r="J1596" s="16" t="str">
        <f>IF(ISNUMBER(SEARCH("SCRW", H1596)), _xlfn.XLOOKUP(C1596,dd_item!$A$2:$A$147,dd_item!$B$2:$B$147,"",0),_xlfn.XLOOKUP(H1596,dd_item!$A$2:$A$147,dd_item!$B$2:$B$147,"",0))</f>
        <v>Cassette</v>
      </c>
      <c r="K1596" s="16" t="str">
        <f>_xlfn.XLOOKUP(A1596,dd_design_raw!$C$2:$C$1002,dd_design_raw!$A$2:$A$1002,"",0)</f>
        <v>Roll-up Screen</v>
      </c>
      <c r="L1596" s="16" t="s">
        <v>214</v>
      </c>
    </row>
    <row r="1597" spans="1:14" hidden="1" x14ac:dyDescent="0.25">
      <c r="A1597" s="16" t="s">
        <v>884</v>
      </c>
      <c r="B1597" s="16" t="s">
        <v>901</v>
      </c>
      <c r="C1597" s="16" t="s">
        <v>908</v>
      </c>
      <c r="D1597" s="16" t="s">
        <v>909</v>
      </c>
      <c r="E1597" s="16">
        <v>8.48E-2</v>
      </c>
      <c r="F1597" s="16" t="s">
        <v>194</v>
      </c>
      <c r="G1597" s="16"/>
      <c r="H1597" s="16" t="s">
        <v>968</v>
      </c>
      <c r="I1597" s="16"/>
      <c r="J1597" s="16" t="str">
        <f>IF(ISNUMBER(SEARCH("SCRW", H1597)), _xlfn.XLOOKUP(C1597,dd_item!$A$2:$A$147,dd_item!$B$2:$B$147,"",0),_xlfn.XLOOKUP(H1597,dd_item!$A$2:$A$147,dd_item!$B$2:$B$147,"",0))</f>
        <v>Cassette</v>
      </c>
      <c r="K1597" s="16" t="str">
        <f>_xlfn.XLOOKUP(A1597,dd_design_raw!$C$2:$C$1002,dd_design_raw!$A$2:$A$1002,"",0)</f>
        <v>Roll-up Screen</v>
      </c>
      <c r="L1597" s="16" t="s">
        <v>220</v>
      </c>
    </row>
    <row r="1598" spans="1:14" hidden="1" x14ac:dyDescent="0.25">
      <c r="A1598" s="16" t="s">
        <v>884</v>
      </c>
      <c r="B1598" s="16" t="s">
        <v>901</v>
      </c>
      <c r="C1598" s="16" t="s">
        <v>910</v>
      </c>
      <c r="D1598" s="16" t="s">
        <v>911</v>
      </c>
      <c r="E1598" s="16">
        <v>8.48E-2</v>
      </c>
      <c r="F1598" s="16" t="s">
        <v>194</v>
      </c>
      <c r="G1598" s="16"/>
      <c r="H1598" s="16" t="s">
        <v>969</v>
      </c>
      <c r="I1598" s="16"/>
      <c r="J1598" s="16" t="str">
        <f>IF(ISNUMBER(SEARCH("SCRW", H1598)), _xlfn.XLOOKUP(C1598,dd_item!$A$2:$A$147,dd_item!$B$2:$B$147,"",0),_xlfn.XLOOKUP(H1598,dd_item!$A$2:$A$147,dd_item!$B$2:$B$147,"",0))</f>
        <v>Sliding Bar</v>
      </c>
      <c r="K1598" s="16" t="str">
        <f>_xlfn.XLOOKUP(A1598,dd_design_raw!$C$2:$C$1002,dd_design_raw!$A$2:$A$1002,"",0)</f>
        <v>Roll-up Screen</v>
      </c>
      <c r="L1598" s="16" t="s">
        <v>217</v>
      </c>
    </row>
    <row r="1599" spans="1:14" hidden="1" x14ac:dyDescent="0.25">
      <c r="A1599" s="16" t="s">
        <v>884</v>
      </c>
      <c r="B1599" s="16" t="s">
        <v>901</v>
      </c>
      <c r="C1599" s="16" t="s">
        <v>912</v>
      </c>
      <c r="D1599" s="16" t="s">
        <v>913</v>
      </c>
      <c r="E1599" s="16">
        <v>8.48E-2</v>
      </c>
      <c r="F1599" s="16" t="s">
        <v>194</v>
      </c>
      <c r="G1599" s="16"/>
      <c r="H1599" s="16" t="s">
        <v>969</v>
      </c>
      <c r="I1599" s="16"/>
      <c r="J1599" s="16" t="str">
        <f>IF(ISNUMBER(SEARCH("SCRW", H1599)), _xlfn.XLOOKUP(C1599,dd_item!$A$2:$A$147,dd_item!$B$2:$B$147,"",0),_xlfn.XLOOKUP(H1599,dd_item!$A$2:$A$147,dd_item!$B$2:$B$147,"",0))</f>
        <v>Sliding Bar</v>
      </c>
      <c r="K1599" s="16" t="str">
        <f>_xlfn.XLOOKUP(A1599,dd_design_raw!$C$2:$C$1002,dd_design_raw!$A$2:$A$1002,"",0)</f>
        <v>Roll-up Screen</v>
      </c>
      <c r="L1599" s="16" t="s">
        <v>211</v>
      </c>
    </row>
    <row r="1600" spans="1:14" hidden="1" x14ac:dyDescent="0.25">
      <c r="A1600" s="16" t="s">
        <v>884</v>
      </c>
      <c r="B1600" s="16" t="s">
        <v>901</v>
      </c>
      <c r="C1600" s="16" t="s">
        <v>914</v>
      </c>
      <c r="D1600" s="16" t="s">
        <v>915</v>
      </c>
      <c r="E1600" s="16">
        <v>8.48E-2</v>
      </c>
      <c r="F1600" s="16" t="s">
        <v>194</v>
      </c>
      <c r="G1600" s="16"/>
      <c r="H1600" s="16" t="s">
        <v>969</v>
      </c>
      <c r="I1600" s="16"/>
      <c r="J1600" s="16" t="str">
        <f>IF(ISNUMBER(SEARCH("SCRW", H1600)), _xlfn.XLOOKUP(C1600,dd_item!$A$2:$A$147,dd_item!$B$2:$B$147,"",0),_xlfn.XLOOKUP(H1600,dd_item!$A$2:$A$147,dd_item!$B$2:$B$147,"",0))</f>
        <v>Sliding Bar</v>
      </c>
      <c r="K1600" s="16" t="str">
        <f>_xlfn.XLOOKUP(A1600,dd_design_raw!$C$2:$C$1002,dd_design_raw!$A$2:$A$1002,"",0)</f>
        <v>Roll-up Screen</v>
      </c>
      <c r="L1600" s="16" t="s">
        <v>214</v>
      </c>
    </row>
    <row r="1601" spans="1:12" hidden="1" x14ac:dyDescent="0.25">
      <c r="A1601" s="16" t="s">
        <v>884</v>
      </c>
      <c r="B1601" s="16" t="s">
        <v>901</v>
      </c>
      <c r="C1601" s="16" t="s">
        <v>916</v>
      </c>
      <c r="D1601" s="16" t="s">
        <v>917</v>
      </c>
      <c r="E1601" s="16">
        <v>8.48E-2</v>
      </c>
      <c r="F1601" s="16" t="s">
        <v>194</v>
      </c>
      <c r="G1601" s="16"/>
      <c r="H1601" s="16" t="s">
        <v>969</v>
      </c>
      <c r="I1601" s="16"/>
      <c r="J1601" s="16" t="str">
        <f>IF(ISNUMBER(SEARCH("SCRW", H1601)), _xlfn.XLOOKUP(C1601,dd_item!$A$2:$A$147,dd_item!$B$2:$B$147,"",0),_xlfn.XLOOKUP(H1601,dd_item!$A$2:$A$147,dd_item!$B$2:$B$147,"",0))</f>
        <v>Sliding Bar</v>
      </c>
      <c r="K1601" s="16" t="str">
        <f>_xlfn.XLOOKUP(A1601,dd_design_raw!$C$2:$C$1002,dd_design_raw!$A$2:$A$1002,"",0)</f>
        <v>Roll-up Screen</v>
      </c>
      <c r="L1601" s="16" t="s">
        <v>220</v>
      </c>
    </row>
    <row r="1602" spans="1:12" hidden="1" x14ac:dyDescent="0.25">
      <c r="A1602" s="16" t="s">
        <v>884</v>
      </c>
      <c r="B1602" s="16" t="s">
        <v>901</v>
      </c>
      <c r="C1602" s="16" t="s">
        <v>918</v>
      </c>
      <c r="D1602" s="16" t="s">
        <v>919</v>
      </c>
      <c r="E1602" s="16">
        <v>0.24079999999999999</v>
      </c>
      <c r="F1602" s="16" t="s">
        <v>194</v>
      </c>
      <c r="G1602" s="16"/>
      <c r="H1602" s="16" t="s">
        <v>970</v>
      </c>
      <c r="I1602" s="16"/>
      <c r="J1602" s="16" t="str">
        <f>IF(ISNUMBER(SEARCH("SCRW", H1602)), _xlfn.XLOOKUP(C1602,dd_item!$A$2:$A$147,dd_item!$B$2:$B$147,"",0),_xlfn.XLOOKUP(H1602,dd_item!$A$2:$A$147,dd_item!$B$2:$B$147,"",0))</f>
        <v>Side Guide</v>
      </c>
      <c r="K1602" s="16" t="str">
        <f>_xlfn.XLOOKUP(A1602,dd_design_raw!$C$2:$C$1002,dd_design_raw!$A$2:$A$1002,"",0)</f>
        <v>Roll-up Screen</v>
      </c>
      <c r="L1602" s="16" t="s">
        <v>217</v>
      </c>
    </row>
    <row r="1603" spans="1:12" hidden="1" x14ac:dyDescent="0.25">
      <c r="A1603" s="16" t="s">
        <v>884</v>
      </c>
      <c r="B1603" s="16" t="s">
        <v>901</v>
      </c>
      <c r="C1603" s="16" t="s">
        <v>920</v>
      </c>
      <c r="D1603" s="16" t="s">
        <v>921</v>
      </c>
      <c r="E1603" s="16">
        <v>0.24079999999999999</v>
      </c>
      <c r="F1603" s="16" t="s">
        <v>194</v>
      </c>
      <c r="G1603" s="16"/>
      <c r="H1603" s="16" t="s">
        <v>970</v>
      </c>
      <c r="I1603" s="16"/>
      <c r="J1603" s="16" t="str">
        <f>IF(ISNUMBER(SEARCH("SCRW", H1603)), _xlfn.XLOOKUP(C1603,dd_item!$A$2:$A$147,dd_item!$B$2:$B$147,"",0),_xlfn.XLOOKUP(H1603,dd_item!$A$2:$A$147,dd_item!$B$2:$B$147,"",0))</f>
        <v>Side Guide</v>
      </c>
      <c r="K1603" s="16" t="str">
        <f>_xlfn.XLOOKUP(A1603,dd_design_raw!$C$2:$C$1002,dd_design_raw!$A$2:$A$1002,"",0)</f>
        <v>Roll-up Screen</v>
      </c>
      <c r="L1603" s="16" t="s">
        <v>211</v>
      </c>
    </row>
    <row r="1604" spans="1:12" hidden="1" x14ac:dyDescent="0.25">
      <c r="A1604" s="16" t="s">
        <v>884</v>
      </c>
      <c r="B1604" s="16" t="s">
        <v>901</v>
      </c>
      <c r="C1604" s="16" t="s">
        <v>922</v>
      </c>
      <c r="D1604" s="16" t="s">
        <v>923</v>
      </c>
      <c r="E1604" s="16">
        <v>0.24079999999999999</v>
      </c>
      <c r="F1604" s="16" t="s">
        <v>194</v>
      </c>
      <c r="G1604" s="16"/>
      <c r="H1604" s="16" t="s">
        <v>970</v>
      </c>
      <c r="I1604" s="16"/>
      <c r="J1604" s="16" t="str">
        <f>IF(ISNUMBER(SEARCH("SCRW", H1604)), _xlfn.XLOOKUP(C1604,dd_item!$A$2:$A$147,dd_item!$B$2:$B$147,"",0),_xlfn.XLOOKUP(H1604,dd_item!$A$2:$A$147,dd_item!$B$2:$B$147,"",0))</f>
        <v>Side Guide</v>
      </c>
      <c r="K1604" s="16" t="str">
        <f>_xlfn.XLOOKUP(A1604,dd_design_raw!$C$2:$C$1002,dd_design_raw!$A$2:$A$1002,"",0)</f>
        <v>Roll-up Screen</v>
      </c>
      <c r="L1604" s="16" t="s">
        <v>214</v>
      </c>
    </row>
    <row r="1605" spans="1:12" hidden="1" x14ac:dyDescent="0.25">
      <c r="A1605" s="16" t="s">
        <v>884</v>
      </c>
      <c r="B1605" s="16" t="s">
        <v>901</v>
      </c>
      <c r="C1605" s="16" t="s">
        <v>924</v>
      </c>
      <c r="D1605" s="16" t="s">
        <v>925</v>
      </c>
      <c r="E1605" s="16">
        <v>0.24079999999999999</v>
      </c>
      <c r="F1605" s="16" t="s">
        <v>194</v>
      </c>
      <c r="G1605" s="16"/>
      <c r="H1605" s="16" t="s">
        <v>970</v>
      </c>
      <c r="I1605" s="16"/>
      <c r="J1605" s="16" t="str">
        <f>IF(ISNUMBER(SEARCH("SCRW", H1605)), _xlfn.XLOOKUP(C1605,dd_item!$A$2:$A$147,dd_item!$B$2:$B$147,"",0),_xlfn.XLOOKUP(H1605,dd_item!$A$2:$A$147,dd_item!$B$2:$B$147,"",0))</f>
        <v>Side Guide</v>
      </c>
      <c r="K1605" s="16" t="str">
        <f>_xlfn.XLOOKUP(A1605,dd_design_raw!$C$2:$C$1002,dd_design_raw!$A$2:$A$1002,"",0)</f>
        <v>Roll-up Screen</v>
      </c>
      <c r="L1605" s="16" t="s">
        <v>220</v>
      </c>
    </row>
    <row r="1606" spans="1:12" hidden="1" x14ac:dyDescent="0.25">
      <c r="A1606" s="16" t="s">
        <v>884</v>
      </c>
      <c r="B1606" s="16" t="s">
        <v>901</v>
      </c>
      <c r="C1606" s="16" t="s">
        <v>926</v>
      </c>
      <c r="D1606" s="16" t="s">
        <v>927</v>
      </c>
      <c r="E1606" s="16">
        <v>8.48E-2</v>
      </c>
      <c r="F1606" s="16" t="s">
        <v>194</v>
      </c>
      <c r="G1606" s="16"/>
      <c r="H1606" s="16" t="s">
        <v>971</v>
      </c>
      <c r="I1606" s="16"/>
      <c r="J1606" s="16" t="str">
        <f>IF(ISNUMBER(SEARCH("SCRW", H1606)), _xlfn.XLOOKUP(C1606,dd_item!$A$2:$A$147,dd_item!$B$2:$B$147,"",0),_xlfn.XLOOKUP(H1606,dd_item!$A$2:$A$147,dd_item!$B$2:$B$147,"",0))</f>
        <v>Aluminum Tube</v>
      </c>
      <c r="K1606" s="16" t="str">
        <f>_xlfn.XLOOKUP(A1606,dd_design_raw!$C$2:$C$1002,dd_design_raw!$A$2:$A$1002,"",0)</f>
        <v>Roll-up Screen</v>
      </c>
      <c r="L1606" s="16"/>
    </row>
    <row r="1607" spans="1:12" hidden="1" x14ac:dyDescent="0.25">
      <c r="A1607" s="16" t="s">
        <v>884</v>
      </c>
      <c r="B1607" s="16" t="s">
        <v>901</v>
      </c>
      <c r="C1607" s="16" t="s">
        <v>948</v>
      </c>
      <c r="D1607" s="16" t="s">
        <v>949</v>
      </c>
      <c r="E1607" s="16">
        <v>8.48E-2</v>
      </c>
      <c r="F1607" s="16" t="s">
        <v>194</v>
      </c>
      <c r="G1607" s="16"/>
      <c r="H1607" s="16" t="s">
        <v>972</v>
      </c>
      <c r="I1607" s="16"/>
      <c r="J1607" s="16" t="str">
        <f>IF(ISNUMBER(SEARCH("SCRW", H1607)), _xlfn.XLOOKUP(C1607,dd_item!$A$2:$A$147,dd_item!$B$2:$B$147,"",0),_xlfn.XLOOKUP(H1607,dd_item!$A$2:$A$147,dd_item!$B$2:$B$147,"",0))</f>
        <v>PVC Pipe</v>
      </c>
      <c r="K1607" s="16" t="str">
        <f>_xlfn.XLOOKUP(A1607,dd_design_raw!$C$2:$C$1002,dd_design_raw!$A$2:$A$1002,"",0)</f>
        <v>Roll-up Screen</v>
      </c>
      <c r="L1607" s="16"/>
    </row>
    <row r="1608" spans="1:12" hidden="1" x14ac:dyDescent="0.25">
      <c r="A1608" s="16" t="s">
        <v>884</v>
      </c>
      <c r="B1608" s="16" t="s">
        <v>901</v>
      </c>
      <c r="C1608" s="16" t="s">
        <v>928</v>
      </c>
      <c r="D1608" s="16" t="s">
        <v>929</v>
      </c>
      <c r="E1608" s="16">
        <v>1</v>
      </c>
      <c r="F1608" s="16" t="s">
        <v>293</v>
      </c>
      <c r="G1608" s="16"/>
      <c r="H1608" s="16" t="s">
        <v>973</v>
      </c>
      <c r="I1608" s="16"/>
      <c r="J1608" s="16" t="str">
        <f>IF(ISNUMBER(SEARCH("SCRW", H1608)), _xlfn.XLOOKUP(C1608,dd_item!$A$2:$A$147,dd_item!$B$2:$B$147,"",0),_xlfn.XLOOKUP(H1608,dd_item!$A$2:$A$147,dd_item!$B$2:$B$147,"",0))</f>
        <v>Acorn</v>
      </c>
      <c r="K1608" s="16" t="str">
        <f>_xlfn.XLOOKUP(A1608,dd_design_raw!$C$2:$C$1002,dd_design_raw!$A$2:$A$1002,"",0)</f>
        <v>Roll-up Screen</v>
      </c>
      <c r="L1608" s="16"/>
    </row>
    <row r="1609" spans="1:12" hidden="1" x14ac:dyDescent="0.25">
      <c r="A1609" s="16" t="s">
        <v>884</v>
      </c>
      <c r="B1609" s="16" t="s">
        <v>901</v>
      </c>
      <c r="C1609" s="16" t="s">
        <v>930</v>
      </c>
      <c r="D1609" s="16" t="s">
        <v>931</v>
      </c>
      <c r="E1609" s="16">
        <v>1</v>
      </c>
      <c r="F1609" s="16" t="s">
        <v>293</v>
      </c>
      <c r="G1609" s="16"/>
      <c r="H1609" s="16" t="s">
        <v>981</v>
      </c>
      <c r="I1609" s="16"/>
      <c r="J1609" s="16" t="str">
        <f>IF(ISNUMBER(SEARCH("SCRW", H1609)), _xlfn.XLOOKUP(C1609,dd_item!$A$2:$A$147,dd_item!$B$2:$B$147,"",0),_xlfn.XLOOKUP(H1609,dd_item!$A$2:$A$147,dd_item!$B$2:$B$147,"",0))</f>
        <v>Cassette Endcap</v>
      </c>
      <c r="K1609" s="16" t="str">
        <f>_xlfn.XLOOKUP(A1609,dd_design_raw!$C$2:$C$1002,dd_design_raw!$A$2:$A$1002,"",0)</f>
        <v>Roll-up Screen</v>
      </c>
      <c r="L1609" s="16"/>
    </row>
    <row r="1610" spans="1:12" hidden="1" x14ac:dyDescent="0.25">
      <c r="A1610" s="16" t="s">
        <v>884</v>
      </c>
      <c r="B1610" s="16" t="s">
        <v>901</v>
      </c>
      <c r="C1610" s="16" t="s">
        <v>932</v>
      </c>
      <c r="D1610" s="16" t="s">
        <v>933</v>
      </c>
      <c r="E1610" s="16">
        <v>1</v>
      </c>
      <c r="F1610" s="16" t="s">
        <v>293</v>
      </c>
      <c r="G1610" s="16"/>
      <c r="H1610" s="16" t="s">
        <v>981</v>
      </c>
      <c r="I1610" s="16"/>
      <c r="J1610" s="16" t="str">
        <f>IF(ISNUMBER(SEARCH("SCRW", H1610)), _xlfn.XLOOKUP(C1610,dd_item!$A$2:$A$147,dd_item!$B$2:$B$147,"",0),_xlfn.XLOOKUP(H1610,dd_item!$A$2:$A$147,dd_item!$B$2:$B$147,"",0))</f>
        <v>Cassette Endcap</v>
      </c>
      <c r="K1610" s="16" t="str">
        <f>_xlfn.XLOOKUP(A1610,dd_design_raw!$C$2:$C$1002,dd_design_raw!$A$2:$A$1002,"",0)</f>
        <v>Roll-up Screen</v>
      </c>
      <c r="L1610" s="16"/>
    </row>
    <row r="1611" spans="1:12" hidden="1" x14ac:dyDescent="0.25">
      <c r="A1611" s="16" t="s">
        <v>884</v>
      </c>
      <c r="B1611" s="16" t="s">
        <v>901</v>
      </c>
      <c r="C1611" s="16" t="s">
        <v>934</v>
      </c>
      <c r="D1611" s="16" t="s">
        <v>935</v>
      </c>
      <c r="E1611" s="16">
        <v>1</v>
      </c>
      <c r="F1611" s="16" t="s">
        <v>293</v>
      </c>
      <c r="G1611" s="16"/>
      <c r="H1611" s="16" t="s">
        <v>974</v>
      </c>
      <c r="I1611" s="16"/>
      <c r="J1611" s="16" t="str">
        <f>IF(ISNUMBER(SEARCH("SCRW", H1611)), _xlfn.XLOOKUP(C1611,dd_item!$A$2:$A$147,dd_item!$B$2:$B$147,"",0),_xlfn.XLOOKUP(H1611,dd_item!$A$2:$A$147,dd_item!$B$2:$B$147,"",0))</f>
        <v>Damper</v>
      </c>
      <c r="K1611" s="16" t="str">
        <f>_xlfn.XLOOKUP(A1611,dd_design_raw!$C$2:$C$1002,dd_design_raw!$A$2:$A$1002,"",0)</f>
        <v>Roll-up Screen</v>
      </c>
      <c r="L1611" s="16"/>
    </row>
    <row r="1612" spans="1:12" hidden="1" x14ac:dyDescent="0.25">
      <c r="A1612" s="16" t="s">
        <v>884</v>
      </c>
      <c r="B1612" s="16" t="s">
        <v>901</v>
      </c>
      <c r="C1612" s="16" t="s">
        <v>936</v>
      </c>
      <c r="D1612" s="16" t="s">
        <v>937</v>
      </c>
      <c r="E1612" s="16">
        <v>1</v>
      </c>
      <c r="F1612" s="16" t="s">
        <v>293</v>
      </c>
      <c r="G1612" s="16"/>
      <c r="H1612" s="16" t="s">
        <v>975</v>
      </c>
      <c r="I1612" s="16"/>
      <c r="J1612" s="16" t="str">
        <f>IF(ISNUMBER(SEARCH("SCRW", H1612)), _xlfn.XLOOKUP(C1612,dd_item!$A$2:$A$147,dd_item!$B$2:$B$147,"",0),_xlfn.XLOOKUP(H1612,dd_item!$A$2:$A$147,dd_item!$B$2:$B$147,"",0))</f>
        <v>Damper Spring</v>
      </c>
      <c r="K1612" s="16" t="str">
        <f>_xlfn.XLOOKUP(A1612,dd_design_raw!$C$2:$C$1002,dd_design_raw!$A$2:$A$1002,"",0)</f>
        <v>Roll-up Screen</v>
      </c>
      <c r="L1612" s="16"/>
    </row>
    <row r="1613" spans="1:12" hidden="1" x14ac:dyDescent="0.25">
      <c r="A1613" s="16" t="s">
        <v>884</v>
      </c>
      <c r="B1613" s="16" t="s">
        <v>901</v>
      </c>
      <c r="C1613" s="16" t="s">
        <v>938</v>
      </c>
      <c r="D1613" s="16" t="s">
        <v>939</v>
      </c>
      <c r="E1613" s="16">
        <v>2</v>
      </c>
      <c r="F1613" s="16" t="s">
        <v>293</v>
      </c>
      <c r="G1613" s="16"/>
      <c r="H1613" s="16" t="s">
        <v>976</v>
      </c>
      <c r="I1613" s="16"/>
      <c r="J1613" s="16" t="str">
        <f>IF(ISNUMBER(SEARCH("SCRW", H1613)), _xlfn.XLOOKUP(C1613,dd_item!$A$2:$A$147,dd_item!$B$2:$B$147,"",0),_xlfn.XLOOKUP(H1613,dd_item!$A$2:$A$147,dd_item!$B$2:$B$147,"",0))</f>
        <v>Endcap for Sliding Bar</v>
      </c>
      <c r="K1613" s="16" t="str">
        <f>_xlfn.XLOOKUP(A1613,dd_design_raw!$C$2:$C$1002,dd_design_raw!$A$2:$A$1002,"",0)</f>
        <v>Roll-up Screen</v>
      </c>
      <c r="L1613" s="16"/>
    </row>
    <row r="1614" spans="1:12" hidden="1" x14ac:dyDescent="0.25">
      <c r="A1614" s="16" t="s">
        <v>884</v>
      </c>
      <c r="B1614" s="16" t="s">
        <v>901</v>
      </c>
      <c r="C1614" s="16" t="s">
        <v>940</v>
      </c>
      <c r="D1614" s="16" t="s">
        <v>941</v>
      </c>
      <c r="E1614" s="16">
        <v>2</v>
      </c>
      <c r="F1614" s="16" t="s">
        <v>293</v>
      </c>
      <c r="G1614" s="16"/>
      <c r="H1614" s="16" t="s">
        <v>977</v>
      </c>
      <c r="I1614" s="16"/>
      <c r="J1614" s="16" t="str">
        <f>IF(ISNUMBER(SEARCH("SCRW", H1614)), _xlfn.XLOOKUP(C1614,dd_item!$A$2:$A$147,dd_item!$B$2:$B$147,"",0),_xlfn.XLOOKUP(H1614,dd_item!$A$2:$A$147,dd_item!$B$2:$B$147,"",0))</f>
        <v>Handle</v>
      </c>
      <c r="K1614" s="16" t="str">
        <f>_xlfn.XLOOKUP(A1614,dd_design_raw!$C$2:$C$1002,dd_design_raw!$A$2:$A$1002,"",0)</f>
        <v>Roll-up Screen</v>
      </c>
      <c r="L1614" s="16"/>
    </row>
    <row r="1615" spans="1:12" hidden="1" x14ac:dyDescent="0.25">
      <c r="A1615" s="16" t="s">
        <v>884</v>
      </c>
      <c r="B1615" s="16" t="s">
        <v>901</v>
      </c>
      <c r="C1615" s="16" t="s">
        <v>942</v>
      </c>
      <c r="D1615" s="16" t="s">
        <v>943</v>
      </c>
      <c r="E1615" s="16">
        <v>1</v>
      </c>
      <c r="F1615" s="16" t="s">
        <v>293</v>
      </c>
      <c r="G1615" s="16"/>
      <c r="H1615" s="16" t="s">
        <v>1088</v>
      </c>
      <c r="I1615" s="16"/>
      <c r="J1615" s="16" t="str">
        <f>IF(ISNUMBER(SEARCH("SCRW", H1615)), _xlfn.XLOOKUP(C1615,dd_item!$A$2:$A$147,dd_item!$B$2:$B$147,"",0),_xlfn.XLOOKUP(H1615,dd_item!$A$2:$A$147,dd_item!$B$2:$B$147,"",0))</f>
        <v>Inner Lock Left</v>
      </c>
      <c r="K1615" s="16" t="str">
        <f>_xlfn.XLOOKUP(A1615,dd_design_raw!$C$2:$C$1002,dd_design_raw!$A$2:$A$1002,"",0)</f>
        <v>Roll-up Screen</v>
      </c>
      <c r="L1615" s="16"/>
    </row>
    <row r="1616" spans="1:12" hidden="1" x14ac:dyDescent="0.25">
      <c r="A1616" s="16" t="s">
        <v>884</v>
      </c>
      <c r="B1616" s="16" t="s">
        <v>901</v>
      </c>
      <c r="C1616" s="16" t="s">
        <v>944</v>
      </c>
      <c r="D1616" s="16" t="s">
        <v>945</v>
      </c>
      <c r="E1616" s="16">
        <v>1</v>
      </c>
      <c r="F1616" s="16" t="s">
        <v>293</v>
      </c>
      <c r="G1616" s="16"/>
      <c r="H1616" s="16" t="s">
        <v>1089</v>
      </c>
      <c r="I1616" s="16"/>
      <c r="J1616" s="16" t="str">
        <f>IF(ISNUMBER(SEARCH("SCRW", H1616)), _xlfn.XLOOKUP(C1616,dd_item!$A$2:$A$147,dd_item!$B$2:$B$147,"",0),_xlfn.XLOOKUP(H1616,dd_item!$A$2:$A$147,dd_item!$B$2:$B$147,"",0))</f>
        <v>Inner Lock Right</v>
      </c>
      <c r="K1616" s="16" t="str">
        <f>_xlfn.XLOOKUP(A1616,dd_design_raw!$C$2:$C$1002,dd_design_raw!$A$2:$A$1002,"",0)</f>
        <v>Roll-up Screen</v>
      </c>
      <c r="L1616" s="16"/>
    </row>
    <row r="1617" spans="1:12" hidden="1" x14ac:dyDescent="0.25">
      <c r="A1617" s="16" t="s">
        <v>884</v>
      </c>
      <c r="B1617" s="16" t="s">
        <v>901</v>
      </c>
      <c r="C1617" s="16" t="s">
        <v>946</v>
      </c>
      <c r="D1617" s="16" t="s">
        <v>947</v>
      </c>
      <c r="E1617" s="16">
        <v>1</v>
      </c>
      <c r="F1617" s="16" t="s">
        <v>293</v>
      </c>
      <c r="G1617" s="16"/>
      <c r="H1617" s="16" t="s">
        <v>978</v>
      </c>
      <c r="I1617" s="16"/>
      <c r="J1617" s="16" t="str">
        <f>IF(ISNUMBER(SEARCH("SCRW", H1617)), _xlfn.XLOOKUP(C1617,dd_item!$A$2:$A$147,dd_item!$B$2:$B$147,"",0),_xlfn.XLOOKUP(H1617,dd_item!$A$2:$A$147,dd_item!$B$2:$B$147,"",0))</f>
        <v>Press-on Button</v>
      </c>
      <c r="K1617" s="16" t="str">
        <f>_xlfn.XLOOKUP(A1617,dd_design_raw!$C$2:$C$1002,dd_design_raw!$A$2:$A$1002,"",0)</f>
        <v>Roll-up Screen</v>
      </c>
      <c r="L1617" s="16"/>
    </row>
    <row r="1618" spans="1:12" hidden="1" x14ac:dyDescent="0.25">
      <c r="A1618" s="16" t="s">
        <v>884</v>
      </c>
      <c r="B1618" s="16" t="s">
        <v>901</v>
      </c>
      <c r="C1618" s="16" t="s">
        <v>950</v>
      </c>
      <c r="D1618" s="16" t="s">
        <v>951</v>
      </c>
      <c r="E1618" s="16">
        <v>1</v>
      </c>
      <c r="F1618" s="16" t="s">
        <v>293</v>
      </c>
      <c r="G1618" s="16"/>
      <c r="H1618" s="16" t="s">
        <v>1094</v>
      </c>
      <c r="I1618" s="16"/>
      <c r="J1618" s="16" t="str">
        <f>IF(ISNUMBER(SEARCH("SCRW", H1618)), _xlfn.XLOOKUP(C1618,dd_item!$A$2:$A$147,dd_item!$B$2:$B$147,"",0),_xlfn.XLOOKUP(H1618,dd_item!$A$2:$A$147,dd_item!$B$2:$B$147,"",0))</f>
        <v>Spring Endcap</v>
      </c>
      <c r="K1618" s="16" t="str">
        <f>_xlfn.XLOOKUP(A1618,dd_design_raw!$C$2:$C$1002,dd_design_raw!$A$2:$A$1002,"",0)</f>
        <v>Roll-up Screen</v>
      </c>
      <c r="L1618" s="16"/>
    </row>
    <row r="1619" spans="1:12" hidden="1" x14ac:dyDescent="0.25">
      <c r="A1619" s="16" t="s">
        <v>884</v>
      </c>
      <c r="B1619" s="16" t="s">
        <v>901</v>
      </c>
      <c r="C1619" s="16" t="s">
        <v>952</v>
      </c>
      <c r="D1619" s="16" t="s">
        <v>953</v>
      </c>
      <c r="E1619" s="16">
        <v>1</v>
      </c>
      <c r="F1619" s="16" t="s">
        <v>293</v>
      </c>
      <c r="G1619" s="16"/>
      <c r="H1619" s="16" t="s">
        <v>1095</v>
      </c>
      <c r="I1619" s="16"/>
      <c r="J1619" s="16" t="str">
        <f>IF(ISNUMBER(SEARCH("SCRW", H1619)), _xlfn.XLOOKUP(C1619,dd_item!$A$2:$A$147,dd_item!$B$2:$B$147,"",0),_xlfn.XLOOKUP(H1619,dd_item!$A$2:$A$147,dd_item!$B$2:$B$147,"",0))</f>
        <v>Spring-L27cm</v>
      </c>
      <c r="K1619" s="16" t="str">
        <f>_xlfn.XLOOKUP(A1619,dd_design_raw!$C$2:$C$1002,dd_design_raw!$A$2:$A$1002,"",0)</f>
        <v>Roll-up Screen</v>
      </c>
      <c r="L1619" s="16"/>
    </row>
    <row r="1620" spans="1:12" hidden="1" x14ac:dyDescent="0.25">
      <c r="A1620" s="16" t="s">
        <v>884</v>
      </c>
      <c r="B1620" s="16" t="s">
        <v>901</v>
      </c>
      <c r="C1620" s="16" t="s">
        <v>954</v>
      </c>
      <c r="D1620" s="16" t="s">
        <v>955</v>
      </c>
      <c r="E1620" s="16">
        <v>1</v>
      </c>
      <c r="F1620" s="16" t="s">
        <v>293</v>
      </c>
      <c r="G1620" s="16"/>
      <c r="H1620" s="16" t="s">
        <v>1096</v>
      </c>
      <c r="I1620" s="16"/>
      <c r="J1620" s="16" t="str">
        <f>IF(ISNUMBER(SEARCH("SCRW", H1620)), _xlfn.XLOOKUP(C1620,dd_item!$A$2:$A$147,dd_item!$B$2:$B$147,"",0),_xlfn.XLOOKUP(H1620,dd_item!$A$2:$A$147,dd_item!$B$2:$B$147,"",0))</f>
        <v>Spring-L42cm</v>
      </c>
      <c r="K1620" s="16" t="str">
        <f>_xlfn.XLOOKUP(A1620,dd_design_raw!$C$2:$C$1002,dd_design_raw!$A$2:$A$1002,"",0)</f>
        <v>Roll-up Screen</v>
      </c>
      <c r="L1620" s="16"/>
    </row>
    <row r="1621" spans="1:12" hidden="1" x14ac:dyDescent="0.25">
      <c r="A1621" s="16" t="s">
        <v>884</v>
      </c>
      <c r="B1621" s="16" t="s">
        <v>901</v>
      </c>
      <c r="C1621" s="16" t="s">
        <v>956</v>
      </c>
      <c r="D1621" s="16" t="s">
        <v>957</v>
      </c>
      <c r="E1621" s="16">
        <v>2</v>
      </c>
      <c r="F1621" s="16" t="s">
        <v>293</v>
      </c>
      <c r="G1621" s="16"/>
      <c r="H1621" s="16" t="s">
        <v>979</v>
      </c>
      <c r="I1621" s="16"/>
      <c r="J1621" s="16" t="str">
        <f>IF(ISNUMBER(SEARCH("SCRW", H1621)), _xlfn.XLOOKUP(C1621,dd_item!$A$2:$A$147,dd_item!$B$2:$B$147,"",0),_xlfn.XLOOKUP(H1621,dd_item!$A$2:$A$147,dd_item!$B$2:$B$147,"",0))</f>
        <v>Tube Bush</v>
      </c>
      <c r="K1621" s="16" t="str">
        <f>_xlfn.XLOOKUP(A1621,dd_design_raw!$C$2:$C$1002,dd_design_raw!$A$2:$A$1002,"",0)</f>
        <v>Roll-up Screen</v>
      </c>
      <c r="L1621" s="16"/>
    </row>
    <row r="1622" spans="1:12" hidden="1" x14ac:dyDescent="0.25">
      <c r="A1622" s="16" t="s">
        <v>884</v>
      </c>
      <c r="B1622" s="16" t="s">
        <v>901</v>
      </c>
      <c r="C1622" s="16" t="s">
        <v>958</v>
      </c>
      <c r="D1622" s="16" t="s">
        <v>959</v>
      </c>
      <c r="E1622" s="16">
        <v>0.42399999999999999</v>
      </c>
      <c r="F1622" s="16" t="s">
        <v>369</v>
      </c>
      <c r="G1622" s="16"/>
      <c r="H1622" s="16" t="s">
        <v>980</v>
      </c>
      <c r="I1622" s="16"/>
      <c r="J1622" s="16" t="str">
        <f>IF(ISNUMBER(SEARCH("SCRW", H1622)), _xlfn.XLOOKUP(C1622,dd_item!$A$2:$A$147,dd_item!$B$2:$B$147,"",0),_xlfn.XLOOKUP(H1622,dd_item!$A$2:$A$147,dd_item!$B$2:$B$147,"",0))</f>
        <v>Double Adhesive Tape</v>
      </c>
      <c r="K1622" s="16" t="str">
        <f>_xlfn.XLOOKUP(A1622,dd_design_raw!$C$2:$C$1002,dd_design_raw!$A$2:$A$1002,"",0)</f>
        <v>Roll-up Screen</v>
      </c>
      <c r="L1622" s="16"/>
    </row>
    <row r="1623" spans="1:12" hidden="1" x14ac:dyDescent="0.25">
      <c r="A1623" s="16" t="s">
        <v>884</v>
      </c>
      <c r="B1623" s="16" t="s">
        <v>901</v>
      </c>
      <c r="C1623" s="16" t="s">
        <v>414</v>
      </c>
      <c r="D1623" s="16" t="s">
        <v>415</v>
      </c>
      <c r="E1623" s="16">
        <v>0.42399999999999999</v>
      </c>
      <c r="F1623" s="16" t="s">
        <v>369</v>
      </c>
      <c r="G1623" s="16"/>
      <c r="H1623" s="16" t="s">
        <v>416</v>
      </c>
      <c r="I1623" s="16" t="s">
        <v>223</v>
      </c>
      <c r="J1623" s="16" t="str">
        <f>IF(ISNUMBER(SEARCH("SCRW", H1623)), _xlfn.XLOOKUP(C1623,dd_item!$A$2:$A$147,dd_item!$B$2:$B$147,"",0),_xlfn.XLOOKUP(H1623,dd_item!$A$2:$A$147,dd_item!$B$2:$B$147,"",0))</f>
        <v>Sealant</v>
      </c>
      <c r="K1623" s="16" t="str">
        <f>_xlfn.XLOOKUP(A1623,dd_design_raw!$C$2:$C$1002,dd_design_raw!$A$2:$A$1002,"",0)</f>
        <v>Roll-up Screen</v>
      </c>
      <c r="L1623" s="16" t="s">
        <v>223</v>
      </c>
    </row>
    <row r="1624" spans="1:12" hidden="1" x14ac:dyDescent="0.25">
      <c r="A1624" s="16" t="s">
        <v>884</v>
      </c>
      <c r="B1624" s="16" t="s">
        <v>901</v>
      </c>
      <c r="C1624" s="16" t="s">
        <v>417</v>
      </c>
      <c r="D1624" s="16" t="s">
        <v>418</v>
      </c>
      <c r="E1624" s="16">
        <v>0.42399999999999999</v>
      </c>
      <c r="F1624" s="16" t="s">
        <v>369</v>
      </c>
      <c r="G1624" s="16"/>
      <c r="H1624" s="16" t="s">
        <v>416</v>
      </c>
      <c r="I1624" s="16" t="s">
        <v>220</v>
      </c>
      <c r="J1624" s="16" t="str">
        <f>IF(ISNUMBER(SEARCH("SCRW", H1624)), _xlfn.XLOOKUP(C1624,dd_item!$A$2:$A$147,dd_item!$B$2:$B$147,"",0),_xlfn.XLOOKUP(H1624,dd_item!$A$2:$A$147,dd_item!$B$2:$B$147,"",0))</f>
        <v>Sealant</v>
      </c>
      <c r="K1624" s="16" t="str">
        <f>_xlfn.XLOOKUP(A1624,dd_design_raw!$C$2:$C$1002,dd_design_raw!$A$2:$A$1002,"",0)</f>
        <v>Roll-up Screen</v>
      </c>
      <c r="L1624" s="16" t="s">
        <v>230</v>
      </c>
    </row>
    <row r="1625" spans="1:12" hidden="1" x14ac:dyDescent="0.25">
      <c r="A1625" s="16" t="s">
        <v>884</v>
      </c>
      <c r="B1625" s="16" t="s">
        <v>901</v>
      </c>
      <c r="C1625" s="16" t="s">
        <v>419</v>
      </c>
      <c r="D1625" s="16" t="s">
        <v>420</v>
      </c>
      <c r="E1625" s="16">
        <v>0.42399999999999999</v>
      </c>
      <c r="F1625" s="16" t="s">
        <v>369</v>
      </c>
      <c r="G1625" s="16"/>
      <c r="H1625" s="16" t="s">
        <v>416</v>
      </c>
      <c r="I1625" s="16" t="s">
        <v>220</v>
      </c>
      <c r="J1625" s="16" t="str">
        <f>IF(ISNUMBER(SEARCH("SCRW", H1625)), _xlfn.XLOOKUP(C1625,dd_item!$A$2:$A$147,dd_item!$B$2:$B$147,"",0),_xlfn.XLOOKUP(H1625,dd_item!$A$2:$A$147,dd_item!$B$2:$B$147,"",0))</f>
        <v>Sealant</v>
      </c>
      <c r="K1625" s="16" t="str">
        <f>_xlfn.XLOOKUP(A1625,dd_design_raw!$C$2:$C$1002,dd_design_raw!$A$2:$A$1002,"",0)</f>
        <v>Roll-up Screen</v>
      </c>
      <c r="L1625" s="16" t="s">
        <v>220</v>
      </c>
    </row>
    <row r="1626" spans="1:12" hidden="1" x14ac:dyDescent="0.25">
      <c r="A1626" s="16" t="s">
        <v>885</v>
      </c>
      <c r="B1626" s="16" t="s">
        <v>983</v>
      </c>
      <c r="C1626" s="16" t="s">
        <v>984</v>
      </c>
      <c r="D1626" s="16" t="s">
        <v>985</v>
      </c>
      <c r="E1626" s="16">
        <v>0.61880000000000002</v>
      </c>
      <c r="F1626" s="16" t="s">
        <v>194</v>
      </c>
      <c r="G1626" s="16"/>
      <c r="H1626" s="16" t="s">
        <v>1050</v>
      </c>
      <c r="I1626" s="16" t="s">
        <v>220</v>
      </c>
      <c r="J1626" s="16" t="str">
        <f>IF(ISNUMBER(SEARCH("SCRW", H1626)), _xlfn.XLOOKUP(C1626,dd_item!$A$2:$A$147,dd_item!$B$2:$B$147,"",0),_xlfn.XLOOKUP(H1626,dd_item!$A$2:$A$147,dd_item!$B$2:$B$147,"",0))</f>
        <v>Top Rail</v>
      </c>
      <c r="K1626" s="16" t="str">
        <f>_xlfn.XLOOKUP(A1626,dd_design_raw!$C$2:$C$1002,dd_design_raw!$A$2:$A$1002,"",0)</f>
        <v>Accordion Screen</v>
      </c>
      <c r="L1626" s="16" t="s">
        <v>220</v>
      </c>
    </row>
    <row r="1627" spans="1:12" hidden="1" x14ac:dyDescent="0.25">
      <c r="A1627" s="16" t="s">
        <v>885</v>
      </c>
      <c r="B1627" s="16" t="s">
        <v>983</v>
      </c>
      <c r="C1627" s="16" t="s">
        <v>986</v>
      </c>
      <c r="D1627" s="16" t="s">
        <v>987</v>
      </c>
      <c r="E1627" s="16">
        <v>0.61880000000000002</v>
      </c>
      <c r="F1627" s="16" t="s">
        <v>194</v>
      </c>
      <c r="G1627" s="16"/>
      <c r="H1627" s="16" t="s">
        <v>1050</v>
      </c>
      <c r="I1627" s="16" t="s">
        <v>211</v>
      </c>
      <c r="J1627" s="16" t="str">
        <f>IF(ISNUMBER(SEARCH("SCRW", H1627)), _xlfn.XLOOKUP(C1627,dd_item!$A$2:$A$147,dd_item!$B$2:$B$147,"",0),_xlfn.XLOOKUP(H1627,dd_item!$A$2:$A$147,dd_item!$B$2:$B$147,"",0))</f>
        <v>Top Rail</v>
      </c>
      <c r="K1627" s="16" t="str">
        <f>_xlfn.XLOOKUP(A1627,dd_design_raw!$C$2:$C$1002,dd_design_raw!$A$2:$A$1002,"",0)</f>
        <v>Accordion Screen</v>
      </c>
      <c r="L1627" s="16" t="s">
        <v>211</v>
      </c>
    </row>
    <row r="1628" spans="1:12" hidden="1" x14ac:dyDescent="0.25">
      <c r="A1628" s="16" t="s">
        <v>885</v>
      </c>
      <c r="B1628" s="16" t="s">
        <v>983</v>
      </c>
      <c r="C1628" s="16" t="s">
        <v>988</v>
      </c>
      <c r="D1628" s="16" t="s">
        <v>989</v>
      </c>
      <c r="E1628" s="16">
        <v>0.61880000000000002</v>
      </c>
      <c r="F1628" s="16" t="s">
        <v>194</v>
      </c>
      <c r="G1628" s="16"/>
      <c r="H1628" s="16" t="s">
        <v>1050</v>
      </c>
      <c r="I1628" s="16" t="s">
        <v>1051</v>
      </c>
      <c r="J1628" s="16" t="str">
        <f>IF(ISNUMBER(SEARCH("SCRW", H1628)), _xlfn.XLOOKUP(C1628,dd_item!$A$2:$A$147,dd_item!$B$2:$B$147,"",0),_xlfn.XLOOKUP(H1628,dd_item!$A$2:$A$147,dd_item!$B$2:$B$147,"",0))</f>
        <v>Top Rail</v>
      </c>
      <c r="K1628" s="16" t="str">
        <f>_xlfn.XLOOKUP(A1628,dd_design_raw!$C$2:$C$1002,dd_design_raw!$A$2:$A$1002,"",0)</f>
        <v>Accordion Screen</v>
      </c>
      <c r="L1628" s="16" t="s">
        <v>1051</v>
      </c>
    </row>
    <row r="1629" spans="1:12" hidden="1" x14ac:dyDescent="0.25">
      <c r="A1629" s="16" t="s">
        <v>885</v>
      </c>
      <c r="B1629" s="16" t="s">
        <v>983</v>
      </c>
      <c r="C1629" s="16" t="s">
        <v>990</v>
      </c>
      <c r="D1629" s="16" t="s">
        <v>991</v>
      </c>
      <c r="E1629" s="16">
        <v>0.61880000000000002</v>
      </c>
      <c r="F1629" s="16" t="s">
        <v>194</v>
      </c>
      <c r="G1629" s="16"/>
      <c r="H1629" s="16" t="s">
        <v>1050</v>
      </c>
      <c r="I1629" s="16" t="s">
        <v>217</v>
      </c>
      <c r="J1629" s="16" t="str">
        <f>IF(ISNUMBER(SEARCH("SCRW", H1629)), _xlfn.XLOOKUP(C1629,dd_item!$A$2:$A$147,dd_item!$B$2:$B$147,"",0),_xlfn.XLOOKUP(H1629,dd_item!$A$2:$A$147,dd_item!$B$2:$B$147,"",0))</f>
        <v>Top Rail</v>
      </c>
      <c r="K1629" s="16" t="str">
        <f>_xlfn.XLOOKUP(A1629,dd_design_raw!$C$2:$C$1002,dd_design_raw!$A$2:$A$1002,"",0)</f>
        <v>Accordion Screen</v>
      </c>
      <c r="L1629" s="16" t="s">
        <v>217</v>
      </c>
    </row>
    <row r="1630" spans="1:12" hidden="1" x14ac:dyDescent="0.25">
      <c r="A1630" s="16" t="s">
        <v>885</v>
      </c>
      <c r="B1630" s="16" t="s">
        <v>983</v>
      </c>
      <c r="C1630" s="16" t="s">
        <v>992</v>
      </c>
      <c r="D1630" s="16" t="s">
        <v>993</v>
      </c>
      <c r="E1630" s="16">
        <v>1.395</v>
      </c>
      <c r="F1630" s="16" t="s">
        <v>194</v>
      </c>
      <c r="G1630" s="16"/>
      <c r="H1630" s="16" t="s">
        <v>1052</v>
      </c>
      <c r="I1630" s="16" t="s">
        <v>211</v>
      </c>
      <c r="J1630" s="16" t="str">
        <f>IF(ISNUMBER(SEARCH("SCRW", H1630)), _xlfn.XLOOKUP(C1630,dd_item!$A$2:$A$147,dd_item!$B$2:$B$147,"",0),_xlfn.XLOOKUP(H1630,dd_item!$A$2:$A$147,dd_item!$B$2:$B$147,"",0))</f>
        <v>Fix Rail</v>
      </c>
      <c r="K1630" s="16" t="str">
        <f>_xlfn.XLOOKUP(A1630,dd_design_raw!$C$2:$C$1002,dd_design_raw!$A$2:$A$1002,"",0)</f>
        <v>Accordion Screen</v>
      </c>
      <c r="L1630" s="16" t="s">
        <v>211</v>
      </c>
    </row>
    <row r="1631" spans="1:12" hidden="1" x14ac:dyDescent="0.25">
      <c r="A1631" s="16" t="s">
        <v>885</v>
      </c>
      <c r="B1631" s="16" t="s">
        <v>983</v>
      </c>
      <c r="C1631" s="16" t="s">
        <v>994</v>
      </c>
      <c r="D1631" s="16" t="s">
        <v>995</v>
      </c>
      <c r="E1631" s="16">
        <v>1.395</v>
      </c>
      <c r="F1631" s="16" t="s">
        <v>194</v>
      </c>
      <c r="G1631" s="16"/>
      <c r="H1631" s="16" t="s">
        <v>1052</v>
      </c>
      <c r="I1631" s="16" t="s">
        <v>1051</v>
      </c>
      <c r="J1631" s="16" t="str">
        <f>IF(ISNUMBER(SEARCH("SCRW", H1631)), _xlfn.XLOOKUP(C1631,dd_item!$A$2:$A$147,dd_item!$B$2:$B$147,"",0),_xlfn.XLOOKUP(H1631,dd_item!$A$2:$A$147,dd_item!$B$2:$B$147,"",0))</f>
        <v>Fix Rail</v>
      </c>
      <c r="K1631" s="16" t="str">
        <f>_xlfn.XLOOKUP(A1631,dd_design_raw!$C$2:$C$1002,dd_design_raw!$A$2:$A$1002,"",0)</f>
        <v>Accordion Screen</v>
      </c>
      <c r="L1631" s="16" t="s">
        <v>1051</v>
      </c>
    </row>
    <row r="1632" spans="1:12" hidden="1" x14ac:dyDescent="0.25">
      <c r="A1632" s="16" t="s">
        <v>885</v>
      </c>
      <c r="B1632" s="16" t="s">
        <v>983</v>
      </c>
      <c r="C1632" s="16" t="s">
        <v>996</v>
      </c>
      <c r="D1632" s="16" t="s">
        <v>997</v>
      </c>
      <c r="E1632" s="16">
        <v>1.395</v>
      </c>
      <c r="F1632" s="16" t="s">
        <v>194</v>
      </c>
      <c r="G1632" s="16"/>
      <c r="H1632" s="16" t="s">
        <v>1052</v>
      </c>
      <c r="I1632" s="16" t="s">
        <v>217</v>
      </c>
      <c r="J1632" s="16" t="str">
        <f>IF(ISNUMBER(SEARCH("SCRW", H1632)), _xlfn.XLOOKUP(C1632,dd_item!$A$2:$A$147,dd_item!$B$2:$B$147,"",0),_xlfn.XLOOKUP(H1632,dd_item!$A$2:$A$147,dd_item!$B$2:$B$147,"",0))</f>
        <v>Fix Rail</v>
      </c>
      <c r="K1632" s="16" t="str">
        <f>_xlfn.XLOOKUP(A1632,dd_design_raw!$C$2:$C$1002,dd_design_raw!$A$2:$A$1002,"",0)</f>
        <v>Accordion Screen</v>
      </c>
      <c r="L1632" s="16" t="s">
        <v>217</v>
      </c>
    </row>
    <row r="1633" spans="1:12" hidden="1" x14ac:dyDescent="0.25">
      <c r="A1633" s="16" t="s">
        <v>885</v>
      </c>
      <c r="B1633" s="16" t="s">
        <v>983</v>
      </c>
      <c r="C1633" s="16" t="s">
        <v>998</v>
      </c>
      <c r="D1633" s="16" t="s">
        <v>999</v>
      </c>
      <c r="E1633" s="16">
        <v>1.395</v>
      </c>
      <c r="F1633" s="16" t="s">
        <v>194</v>
      </c>
      <c r="G1633" s="16"/>
      <c r="H1633" s="16" t="s">
        <v>1052</v>
      </c>
      <c r="I1633" s="16" t="s">
        <v>220</v>
      </c>
      <c r="J1633" s="16" t="str">
        <f>IF(ISNUMBER(SEARCH("SCRW", H1633)), _xlfn.XLOOKUP(C1633,dd_item!$A$2:$A$147,dd_item!$B$2:$B$147,"",0),_xlfn.XLOOKUP(H1633,dd_item!$A$2:$A$147,dd_item!$B$2:$B$147,"",0))</f>
        <v>Fix Rail</v>
      </c>
      <c r="K1633" s="16" t="str">
        <f>_xlfn.XLOOKUP(A1633,dd_design_raw!$C$2:$C$1002,dd_design_raw!$A$2:$A$1002,"",0)</f>
        <v>Accordion Screen</v>
      </c>
      <c r="L1633" s="16" t="s">
        <v>220</v>
      </c>
    </row>
    <row r="1634" spans="1:12" hidden="1" x14ac:dyDescent="0.25">
      <c r="A1634" s="16" t="s">
        <v>885</v>
      </c>
      <c r="B1634" s="16" t="s">
        <v>983</v>
      </c>
      <c r="C1634" s="16" t="s">
        <v>1000</v>
      </c>
      <c r="D1634" s="16" t="s">
        <v>1001</v>
      </c>
      <c r="E1634" s="16">
        <v>1.377</v>
      </c>
      <c r="F1634" s="16" t="s">
        <v>194</v>
      </c>
      <c r="G1634" s="16"/>
      <c r="H1634" s="16" t="s">
        <v>1053</v>
      </c>
      <c r="I1634" s="16" t="s">
        <v>211</v>
      </c>
      <c r="J1634" s="16" t="str">
        <f>IF(ISNUMBER(SEARCH("SCRW", H1634)), _xlfn.XLOOKUP(C1634,dd_item!$A$2:$A$147,dd_item!$B$2:$B$147,"",0),_xlfn.XLOOKUP(H1634,dd_item!$A$2:$A$147,dd_item!$B$2:$B$147,"",0))</f>
        <v>Pull Bar</v>
      </c>
      <c r="K1634" s="16" t="str">
        <f>_xlfn.XLOOKUP(A1634,dd_design_raw!$C$2:$C$1002,dd_design_raw!$A$2:$A$1002,"",0)</f>
        <v>Accordion Screen</v>
      </c>
      <c r="L1634" s="16" t="s">
        <v>211</v>
      </c>
    </row>
    <row r="1635" spans="1:12" hidden="1" x14ac:dyDescent="0.25">
      <c r="A1635" s="16" t="s">
        <v>885</v>
      </c>
      <c r="B1635" s="16" t="s">
        <v>983</v>
      </c>
      <c r="C1635" s="16" t="s">
        <v>1002</v>
      </c>
      <c r="D1635" s="16" t="s">
        <v>1003</v>
      </c>
      <c r="E1635" s="16">
        <v>1.377</v>
      </c>
      <c r="F1635" s="16" t="s">
        <v>194</v>
      </c>
      <c r="G1635" s="16"/>
      <c r="H1635" s="16" t="s">
        <v>1053</v>
      </c>
      <c r="I1635" s="16" t="s">
        <v>1051</v>
      </c>
      <c r="J1635" s="16" t="str">
        <f>IF(ISNUMBER(SEARCH("SCRW", H1635)), _xlfn.XLOOKUP(C1635,dd_item!$A$2:$A$147,dd_item!$B$2:$B$147,"",0),_xlfn.XLOOKUP(H1635,dd_item!$A$2:$A$147,dd_item!$B$2:$B$147,"",0))</f>
        <v>Pull Bar</v>
      </c>
      <c r="K1635" s="16" t="str">
        <f>_xlfn.XLOOKUP(A1635,dd_design_raw!$C$2:$C$1002,dd_design_raw!$A$2:$A$1002,"",0)</f>
        <v>Accordion Screen</v>
      </c>
      <c r="L1635" s="16" t="s">
        <v>1051</v>
      </c>
    </row>
    <row r="1636" spans="1:12" hidden="1" x14ac:dyDescent="0.25">
      <c r="A1636" s="16" t="s">
        <v>885</v>
      </c>
      <c r="B1636" s="16" t="s">
        <v>983</v>
      </c>
      <c r="C1636" s="16" t="s">
        <v>1004</v>
      </c>
      <c r="D1636" s="16" t="s">
        <v>1005</v>
      </c>
      <c r="E1636" s="16">
        <v>1.377</v>
      </c>
      <c r="F1636" s="16" t="s">
        <v>194</v>
      </c>
      <c r="G1636" s="16"/>
      <c r="H1636" s="16" t="s">
        <v>1053</v>
      </c>
      <c r="I1636" s="16" t="s">
        <v>217</v>
      </c>
      <c r="J1636" s="16" t="str">
        <f>IF(ISNUMBER(SEARCH("SCRW", H1636)), _xlfn.XLOOKUP(C1636,dd_item!$A$2:$A$147,dd_item!$B$2:$B$147,"",0),_xlfn.XLOOKUP(H1636,dd_item!$A$2:$A$147,dd_item!$B$2:$B$147,"",0))</f>
        <v>Pull Bar</v>
      </c>
      <c r="K1636" s="16" t="str">
        <f>_xlfn.XLOOKUP(A1636,dd_design_raw!$C$2:$C$1002,dd_design_raw!$A$2:$A$1002,"",0)</f>
        <v>Accordion Screen</v>
      </c>
      <c r="L1636" s="16" t="s">
        <v>217</v>
      </c>
    </row>
    <row r="1637" spans="1:12" hidden="1" x14ac:dyDescent="0.25">
      <c r="A1637" s="16" t="s">
        <v>885</v>
      </c>
      <c r="B1637" s="16" t="s">
        <v>983</v>
      </c>
      <c r="C1637" s="16" t="s">
        <v>1006</v>
      </c>
      <c r="D1637" s="16" t="s">
        <v>1007</v>
      </c>
      <c r="E1637" s="16">
        <v>1.377</v>
      </c>
      <c r="F1637" s="16" t="s">
        <v>194</v>
      </c>
      <c r="G1637" s="16"/>
      <c r="H1637" s="16" t="s">
        <v>1053</v>
      </c>
      <c r="I1637" s="16" t="s">
        <v>220</v>
      </c>
      <c r="J1637" s="16" t="str">
        <f>IF(ISNUMBER(SEARCH("SCRW", H1637)), _xlfn.XLOOKUP(C1637,dd_item!$A$2:$A$147,dd_item!$B$2:$B$147,"",0),_xlfn.XLOOKUP(H1637,dd_item!$A$2:$A$147,dd_item!$B$2:$B$147,"",0))</f>
        <v>Pull Bar</v>
      </c>
      <c r="K1637" s="16" t="str">
        <f>_xlfn.XLOOKUP(A1637,dd_design_raw!$C$2:$C$1002,dd_design_raw!$A$2:$A$1002,"",0)</f>
        <v>Accordion Screen</v>
      </c>
      <c r="L1637" s="16" t="s">
        <v>220</v>
      </c>
    </row>
    <row r="1638" spans="1:12" hidden="1" x14ac:dyDescent="0.25">
      <c r="A1638" s="16" t="s">
        <v>885</v>
      </c>
      <c r="B1638" s="16" t="s">
        <v>983</v>
      </c>
      <c r="C1638" s="16" t="s">
        <v>1008</v>
      </c>
      <c r="D1638" s="16" t="s">
        <v>1009</v>
      </c>
      <c r="E1638" s="16">
        <v>0.96040000000000003</v>
      </c>
      <c r="F1638" s="16" t="s">
        <v>194</v>
      </c>
      <c r="G1638" s="16"/>
      <c r="H1638" s="16" t="s">
        <v>1054</v>
      </c>
      <c r="I1638" s="16" t="s">
        <v>211</v>
      </c>
      <c r="J1638" s="16" t="str">
        <f>IF(ISNUMBER(SEARCH("SCRW", H1638)), _xlfn.XLOOKUP(C1638,dd_item!$A$2:$A$147,dd_item!$B$2:$B$147,"",0),_xlfn.XLOOKUP(H1638,dd_item!$A$2:$A$147,dd_item!$B$2:$B$147,"",0))</f>
        <v>Vertical Rail</v>
      </c>
      <c r="K1638" s="16" t="str">
        <f>_xlfn.XLOOKUP(A1638,dd_design_raw!$C$2:$C$1002,dd_design_raw!$A$2:$A$1002,"",0)</f>
        <v>Accordion Screen</v>
      </c>
      <c r="L1638" s="16" t="s">
        <v>211</v>
      </c>
    </row>
    <row r="1639" spans="1:12" hidden="1" x14ac:dyDescent="0.25">
      <c r="A1639" s="16" t="s">
        <v>885</v>
      </c>
      <c r="B1639" s="16" t="s">
        <v>983</v>
      </c>
      <c r="C1639" s="16" t="s">
        <v>1010</v>
      </c>
      <c r="D1639" s="16" t="s">
        <v>1011</v>
      </c>
      <c r="E1639" s="16">
        <v>0.96040000000000003</v>
      </c>
      <c r="F1639" s="16" t="s">
        <v>194</v>
      </c>
      <c r="G1639" s="16"/>
      <c r="H1639" s="16" t="s">
        <v>1054</v>
      </c>
      <c r="I1639" s="16" t="s">
        <v>1051</v>
      </c>
      <c r="J1639" s="16" t="str">
        <f>IF(ISNUMBER(SEARCH("SCRW", H1639)), _xlfn.XLOOKUP(C1639,dd_item!$A$2:$A$147,dd_item!$B$2:$B$147,"",0),_xlfn.XLOOKUP(H1639,dd_item!$A$2:$A$147,dd_item!$B$2:$B$147,"",0))</f>
        <v>Vertical Rail</v>
      </c>
      <c r="K1639" s="16" t="str">
        <f>_xlfn.XLOOKUP(A1639,dd_design_raw!$C$2:$C$1002,dd_design_raw!$A$2:$A$1002,"",0)</f>
        <v>Accordion Screen</v>
      </c>
      <c r="L1639" s="16" t="s">
        <v>1051</v>
      </c>
    </row>
    <row r="1640" spans="1:12" hidden="1" x14ac:dyDescent="0.25">
      <c r="A1640" s="16" t="s">
        <v>885</v>
      </c>
      <c r="B1640" s="16" t="s">
        <v>983</v>
      </c>
      <c r="C1640" s="16" t="s">
        <v>1012</v>
      </c>
      <c r="D1640" s="16" t="s">
        <v>1013</v>
      </c>
      <c r="E1640" s="16">
        <v>0.96040000000000003</v>
      </c>
      <c r="F1640" s="16" t="s">
        <v>194</v>
      </c>
      <c r="G1640" s="16"/>
      <c r="H1640" s="16" t="s">
        <v>1054</v>
      </c>
      <c r="I1640" s="16" t="s">
        <v>217</v>
      </c>
      <c r="J1640" s="16" t="str">
        <f>IF(ISNUMBER(SEARCH("SCRW", H1640)), _xlfn.XLOOKUP(C1640,dd_item!$A$2:$A$147,dd_item!$B$2:$B$147,"",0),_xlfn.XLOOKUP(H1640,dd_item!$A$2:$A$147,dd_item!$B$2:$B$147,"",0))</f>
        <v>Vertical Rail</v>
      </c>
      <c r="K1640" s="16" t="str">
        <f>_xlfn.XLOOKUP(A1640,dd_design_raw!$C$2:$C$1002,dd_design_raw!$A$2:$A$1002,"",0)</f>
        <v>Accordion Screen</v>
      </c>
      <c r="L1640" s="16" t="s">
        <v>217</v>
      </c>
    </row>
    <row r="1641" spans="1:12" hidden="1" x14ac:dyDescent="0.25">
      <c r="A1641" s="16" t="s">
        <v>885</v>
      </c>
      <c r="B1641" s="16" t="s">
        <v>983</v>
      </c>
      <c r="C1641" s="16" t="s">
        <v>1014</v>
      </c>
      <c r="D1641" s="16" t="s">
        <v>1015</v>
      </c>
      <c r="E1641" s="16">
        <v>0.96040000000000003</v>
      </c>
      <c r="F1641" s="16" t="s">
        <v>194</v>
      </c>
      <c r="G1641" s="16"/>
      <c r="H1641" s="16" t="s">
        <v>1054</v>
      </c>
      <c r="I1641" s="16" t="s">
        <v>220</v>
      </c>
      <c r="J1641" s="16" t="str">
        <f>IF(ISNUMBER(SEARCH("SCRW", H1641)), _xlfn.XLOOKUP(C1641,dd_item!$A$2:$A$147,dd_item!$B$2:$B$147,"",0),_xlfn.XLOOKUP(H1641,dd_item!$A$2:$A$147,dd_item!$B$2:$B$147,"",0))</f>
        <v>Vertical Rail</v>
      </c>
      <c r="K1641" s="16" t="str">
        <f>_xlfn.XLOOKUP(A1641,dd_design_raw!$C$2:$C$1002,dd_design_raw!$A$2:$A$1002,"",0)</f>
        <v>Accordion Screen</v>
      </c>
      <c r="L1641" s="16" t="s">
        <v>220</v>
      </c>
    </row>
    <row r="1642" spans="1:12" hidden="1" x14ac:dyDescent="0.25">
      <c r="A1642" s="16" t="s">
        <v>885</v>
      </c>
      <c r="B1642" s="16" t="s">
        <v>983</v>
      </c>
      <c r="C1642" s="16" t="s">
        <v>1016</v>
      </c>
      <c r="D1642" s="16" t="s">
        <v>1017</v>
      </c>
      <c r="E1642" s="16">
        <v>1.377</v>
      </c>
      <c r="F1642" s="16" t="s">
        <v>194</v>
      </c>
      <c r="G1642" s="16"/>
      <c r="H1642" s="16" t="s">
        <v>1055</v>
      </c>
      <c r="I1642" s="16"/>
      <c r="J1642" s="16" t="str">
        <f>IF(ISNUMBER(SEARCH("SCRW", H1642)), _xlfn.XLOOKUP(C1642,dd_item!$A$2:$A$147,dd_item!$B$2:$B$147,"",0),_xlfn.XLOOKUP(H1642,dd_item!$A$2:$A$147,dd_item!$B$2:$B$147,"",0))</f>
        <v xml:space="preserve">PVC Cover </v>
      </c>
      <c r="K1642" s="16" t="str">
        <f>_xlfn.XLOOKUP(A1642,dd_design_raw!$C$2:$C$1002,dd_design_raw!$A$2:$A$1002,"",0)</f>
        <v>Accordion Screen</v>
      </c>
      <c r="L1642" s="16"/>
    </row>
    <row r="1643" spans="1:12" hidden="1" x14ac:dyDescent="0.25">
      <c r="A1643" s="16" t="s">
        <v>885</v>
      </c>
      <c r="B1643" s="16" t="s">
        <v>983</v>
      </c>
      <c r="C1643" s="16" t="s">
        <v>1018</v>
      </c>
      <c r="D1643" s="16" t="s">
        <v>1019</v>
      </c>
      <c r="E1643" s="16">
        <v>0.96040000000000003</v>
      </c>
      <c r="F1643" s="16" t="s">
        <v>194</v>
      </c>
      <c r="G1643" s="16"/>
      <c r="H1643" s="16" t="s">
        <v>1056</v>
      </c>
      <c r="I1643" s="16"/>
      <c r="J1643" s="16" t="str">
        <f>IF(ISNUMBER(SEARCH("SCRW", H1643)), _xlfn.XLOOKUP(C1643,dd_item!$A$2:$A$147,dd_item!$B$2:$B$147,"",0),_xlfn.XLOOKUP(H1643,dd_item!$A$2:$A$147,dd_item!$B$2:$B$147,"",0))</f>
        <v>PVC Magnet Holder</v>
      </c>
      <c r="K1643" s="16" t="str">
        <f>_xlfn.XLOOKUP(A1643,dd_design_raw!$C$2:$C$1002,dd_design_raw!$A$2:$A$1002,"",0)</f>
        <v>Accordion Screen</v>
      </c>
      <c r="L1643" s="16"/>
    </row>
    <row r="1644" spans="1:12" hidden="1" x14ac:dyDescent="0.25">
      <c r="A1644" s="16" t="s">
        <v>885</v>
      </c>
      <c r="B1644" s="16" t="s">
        <v>983</v>
      </c>
      <c r="C1644" s="16" t="s">
        <v>1020</v>
      </c>
      <c r="D1644" s="16" t="s">
        <v>1021</v>
      </c>
      <c r="E1644" s="16">
        <v>1.2516</v>
      </c>
      <c r="F1644" s="16" t="s">
        <v>194</v>
      </c>
      <c r="G1644" s="16"/>
      <c r="H1644" s="16" t="s">
        <v>1057</v>
      </c>
      <c r="I1644" s="16"/>
      <c r="J1644" s="16" t="str">
        <f>IF(ISNUMBER(SEARCH("SCRW", H1644)), _xlfn.XLOOKUP(C1644,dd_item!$A$2:$A$147,dd_item!$B$2:$B$147,"",0),_xlfn.XLOOKUP(H1644,dd_item!$A$2:$A$147,dd_item!$B$2:$B$147,"",0))</f>
        <v>PVC Sliding Strip</v>
      </c>
      <c r="K1644" s="16" t="str">
        <f>_xlfn.XLOOKUP(A1644,dd_design_raw!$C$2:$C$1002,dd_design_raw!$A$2:$A$1002,"",0)</f>
        <v>Accordion Screen</v>
      </c>
      <c r="L1644" s="16"/>
    </row>
    <row r="1645" spans="1:12" hidden="1" x14ac:dyDescent="0.25">
      <c r="A1645" s="16" t="s">
        <v>885</v>
      </c>
      <c r="B1645" s="16" t="s">
        <v>983</v>
      </c>
      <c r="C1645" s="16" t="s">
        <v>1022</v>
      </c>
      <c r="D1645" s="16" t="s">
        <v>1023</v>
      </c>
      <c r="E1645" s="16">
        <v>6</v>
      </c>
      <c r="F1645" s="16" t="s">
        <v>194</v>
      </c>
      <c r="G1645" s="16"/>
      <c r="H1645" s="16" t="s">
        <v>1058</v>
      </c>
      <c r="I1645" s="16"/>
      <c r="J1645" s="16" t="str">
        <f>IF(ISNUMBER(SEARCH("SCRW", H1645)), _xlfn.XLOOKUP(C1645,dd_item!$A$2:$A$147,dd_item!$B$2:$B$147,"",0),_xlfn.XLOOKUP(H1645,dd_item!$A$2:$A$147,dd_item!$B$2:$B$147,"",0))</f>
        <v>18PVC Slat</v>
      </c>
      <c r="K1645" s="16" t="str">
        <f>_xlfn.XLOOKUP(A1645,dd_design_raw!$C$2:$C$1002,dd_design_raw!$A$2:$A$1002,"",0)</f>
        <v>Accordion Screen</v>
      </c>
      <c r="L1645" s="16"/>
    </row>
    <row r="1646" spans="1:12" hidden="1" x14ac:dyDescent="0.25">
      <c r="A1646" s="16" t="s">
        <v>885</v>
      </c>
      <c r="B1646" s="16" t="s">
        <v>983</v>
      </c>
      <c r="C1646" s="16" t="s">
        <v>1024</v>
      </c>
      <c r="D1646" s="16" t="s">
        <v>1025</v>
      </c>
      <c r="E1646" s="16">
        <v>46.185000000000002</v>
      </c>
      <c r="F1646" s="16" t="s">
        <v>293</v>
      </c>
      <c r="G1646" s="16"/>
      <c r="H1646" s="16" t="s">
        <v>1059</v>
      </c>
      <c r="I1646" s="16"/>
      <c r="J1646" s="16" t="str">
        <f>IF(ISNUMBER(SEARCH("SCRW", H1646)), _xlfn.XLOOKUP(C1646,dd_item!$A$2:$A$147,dd_item!$B$2:$B$147,"",0),_xlfn.XLOOKUP(H1646,dd_item!$A$2:$A$147,dd_item!$B$2:$B$147,"",0))</f>
        <v>Main Chain</v>
      </c>
      <c r="K1646" s="16" t="str">
        <f>_xlfn.XLOOKUP(A1646,dd_design_raw!$C$2:$C$1002,dd_design_raw!$A$2:$A$1002,"",0)</f>
        <v>Accordion Screen</v>
      </c>
      <c r="L1646" s="16"/>
    </row>
    <row r="1647" spans="1:12" hidden="1" x14ac:dyDescent="0.25">
      <c r="A1647" s="16" t="s">
        <v>885</v>
      </c>
      <c r="B1647" s="16" t="s">
        <v>983</v>
      </c>
      <c r="C1647" s="16" t="s">
        <v>1026</v>
      </c>
      <c r="D1647" s="16" t="s">
        <v>1027</v>
      </c>
      <c r="E1647" s="16">
        <v>6</v>
      </c>
      <c r="F1647" s="16" t="s">
        <v>293</v>
      </c>
      <c r="G1647" s="16"/>
      <c r="H1647" s="16" t="s">
        <v>1060</v>
      </c>
      <c r="I1647" s="16"/>
      <c r="J1647" s="16" t="str">
        <f>IF(ISNUMBER(SEARCH("SCRW", H1647)), _xlfn.XLOOKUP(C1647,dd_item!$A$2:$A$147,dd_item!$B$2:$B$147,"",0),_xlfn.XLOOKUP(H1647,dd_item!$A$2:$A$147,dd_item!$B$2:$B$147,"",0))</f>
        <v>Fix Chain</v>
      </c>
      <c r="K1647" s="16" t="str">
        <f>_xlfn.XLOOKUP(A1647,dd_design_raw!$C$2:$C$1002,dd_design_raw!$A$2:$A$1002,"",0)</f>
        <v>Accordion Screen</v>
      </c>
      <c r="L1647" s="16"/>
    </row>
    <row r="1648" spans="1:12" hidden="1" x14ac:dyDescent="0.25">
      <c r="A1648" s="16" t="s">
        <v>885</v>
      </c>
      <c r="B1648" s="16" t="s">
        <v>983</v>
      </c>
      <c r="C1648" s="16" t="s">
        <v>1028</v>
      </c>
      <c r="D1648" s="16" t="s">
        <v>1029</v>
      </c>
      <c r="E1648" s="16">
        <v>3</v>
      </c>
      <c r="F1648" s="16" t="s">
        <v>293</v>
      </c>
      <c r="G1648" s="16"/>
      <c r="H1648" s="16" t="s">
        <v>1061</v>
      </c>
      <c r="I1648" s="16"/>
      <c r="J1648" s="16" t="str">
        <f>IF(ISNUMBER(SEARCH("SCRW", H1648)), _xlfn.XLOOKUP(C1648,dd_item!$A$2:$A$147,dd_item!$B$2:$B$147,"",0),_xlfn.XLOOKUP(H1648,dd_item!$A$2:$A$147,dd_item!$B$2:$B$147,"",0))</f>
        <v>Balance Chain A</v>
      </c>
      <c r="K1648" s="16" t="str">
        <f>_xlfn.XLOOKUP(A1648,dd_design_raw!$C$2:$C$1002,dd_design_raw!$A$2:$A$1002,"",0)</f>
        <v>Accordion Screen</v>
      </c>
      <c r="L1648" s="16"/>
    </row>
    <row r="1649" spans="1:12" hidden="1" x14ac:dyDescent="0.25">
      <c r="A1649" s="16" t="s">
        <v>885</v>
      </c>
      <c r="B1649" s="16" t="s">
        <v>983</v>
      </c>
      <c r="C1649" s="16" t="s">
        <v>1030</v>
      </c>
      <c r="D1649" s="16" t="s">
        <v>1031</v>
      </c>
      <c r="E1649" s="16">
        <v>3</v>
      </c>
      <c r="F1649" s="16" t="s">
        <v>293</v>
      </c>
      <c r="G1649" s="16"/>
      <c r="H1649" s="16" t="s">
        <v>1062</v>
      </c>
      <c r="I1649" s="16"/>
      <c r="J1649" s="16" t="str">
        <f>IF(ISNUMBER(SEARCH("SCRW", H1649)), _xlfn.XLOOKUP(C1649,dd_item!$A$2:$A$147,dd_item!$B$2:$B$147,"",0),_xlfn.XLOOKUP(H1649,dd_item!$A$2:$A$147,dd_item!$B$2:$B$147,"",0))</f>
        <v>Balance Chain B</v>
      </c>
      <c r="K1649" s="16" t="str">
        <f>_xlfn.XLOOKUP(A1649,dd_design_raw!$C$2:$C$1002,dd_design_raw!$A$2:$A$1002,"",0)</f>
        <v>Accordion Screen</v>
      </c>
      <c r="L1649" s="16"/>
    </row>
    <row r="1650" spans="1:12" hidden="1" x14ac:dyDescent="0.25">
      <c r="A1650" s="16" t="s">
        <v>885</v>
      </c>
      <c r="B1650" s="16" t="s">
        <v>983</v>
      </c>
      <c r="C1650" s="16" t="s">
        <v>1032</v>
      </c>
      <c r="D1650" s="16" t="s">
        <v>1033</v>
      </c>
      <c r="E1650" s="16">
        <v>6</v>
      </c>
      <c r="F1650" s="16" t="s">
        <v>293</v>
      </c>
      <c r="G1650" s="16"/>
      <c r="H1650" s="16" t="s">
        <v>1063</v>
      </c>
      <c r="I1650" s="16"/>
      <c r="J1650" s="16" t="str">
        <f>IF(ISNUMBER(SEARCH("SCRW", H1650)), _xlfn.XLOOKUP(C1650,dd_item!$A$2:$A$147,dd_item!$B$2:$B$147,"",0),_xlfn.XLOOKUP(H1650,dd_item!$A$2:$A$147,dd_item!$B$2:$B$147,"",0))</f>
        <v>Fix Rail Endcap</v>
      </c>
      <c r="K1650" s="16" t="str">
        <f>_xlfn.XLOOKUP(A1650,dd_design_raw!$C$2:$C$1002,dd_design_raw!$A$2:$A$1002,"",0)</f>
        <v>Accordion Screen</v>
      </c>
      <c r="L1650" s="16"/>
    </row>
    <row r="1651" spans="1:12" hidden="1" x14ac:dyDescent="0.25">
      <c r="A1651" s="16" t="s">
        <v>885</v>
      </c>
      <c r="B1651" s="16" t="s">
        <v>983</v>
      </c>
      <c r="C1651" s="16" t="s">
        <v>1034</v>
      </c>
      <c r="D1651" s="16" t="s">
        <v>1035</v>
      </c>
      <c r="E1651" s="16">
        <v>3</v>
      </c>
      <c r="F1651" s="16" t="s">
        <v>293</v>
      </c>
      <c r="G1651" s="16"/>
      <c r="H1651" s="16" t="s">
        <v>1064</v>
      </c>
      <c r="I1651" s="16"/>
      <c r="J1651" s="16" t="str">
        <f>IF(ISNUMBER(SEARCH("SCRW", H1651)), _xlfn.XLOOKUP(C1651,dd_item!$A$2:$A$147,dd_item!$B$2:$B$147,"",0),_xlfn.XLOOKUP(H1651,dd_item!$A$2:$A$147,dd_item!$B$2:$B$147,"",0))</f>
        <v>Top String Transmitter</v>
      </c>
      <c r="K1651" s="16" t="str">
        <f>_xlfn.XLOOKUP(A1651,dd_design_raw!$C$2:$C$1002,dd_design_raw!$A$2:$A$1002,"",0)</f>
        <v>Accordion Screen</v>
      </c>
      <c r="L1651" s="16"/>
    </row>
    <row r="1652" spans="1:12" hidden="1" x14ac:dyDescent="0.25">
      <c r="A1652" s="16" t="s">
        <v>885</v>
      </c>
      <c r="B1652" s="16" t="s">
        <v>983</v>
      </c>
      <c r="C1652" s="16" t="s">
        <v>1036</v>
      </c>
      <c r="D1652" s="16" t="s">
        <v>1037</v>
      </c>
      <c r="E1652" s="16">
        <v>3</v>
      </c>
      <c r="F1652" s="16" t="s">
        <v>293</v>
      </c>
      <c r="G1652" s="16"/>
      <c r="H1652" s="16" t="s">
        <v>1065</v>
      </c>
      <c r="I1652" s="16"/>
      <c r="J1652" s="16" t="str">
        <f>IF(ISNUMBER(SEARCH("SCRW", H1652)), _xlfn.XLOOKUP(C1652,dd_item!$A$2:$A$147,dd_item!$B$2:$B$147,"",0),_xlfn.XLOOKUP(H1652,dd_item!$A$2:$A$147,dd_item!$B$2:$B$147,"",0))</f>
        <v>Bottom String Transmitter</v>
      </c>
      <c r="K1652" s="16" t="str">
        <f>_xlfn.XLOOKUP(A1652,dd_design_raw!$C$2:$C$1002,dd_design_raw!$A$2:$A$1002,"",0)</f>
        <v>Accordion Screen</v>
      </c>
      <c r="L1652" s="16"/>
    </row>
    <row r="1653" spans="1:12" hidden="1" x14ac:dyDescent="0.25">
      <c r="A1653" s="16" t="s">
        <v>885</v>
      </c>
      <c r="B1653" s="16" t="s">
        <v>983</v>
      </c>
      <c r="C1653" s="16" t="s">
        <v>1038</v>
      </c>
      <c r="D1653" s="16" t="s">
        <v>1039</v>
      </c>
      <c r="E1653" s="16">
        <v>2</v>
      </c>
      <c r="F1653" s="16" t="s">
        <v>293</v>
      </c>
      <c r="G1653" s="16"/>
      <c r="H1653" s="16" t="s">
        <v>1066</v>
      </c>
      <c r="I1653" s="16"/>
      <c r="J1653" s="16" t="str">
        <f>IF(ISNUMBER(SEARCH("SCRW", H1653)), _xlfn.XLOOKUP(C1653,dd_item!$A$2:$A$147,dd_item!$B$2:$B$147,"",0),_xlfn.XLOOKUP(H1653,dd_item!$A$2:$A$147,dd_item!$B$2:$B$147,"",0))</f>
        <v>A2 Corner</v>
      </c>
      <c r="K1653" s="16" t="str">
        <f>_xlfn.XLOOKUP(A1653,dd_design_raw!$C$2:$C$1002,dd_design_raw!$A$2:$A$1002,"",0)</f>
        <v>Accordion Screen</v>
      </c>
      <c r="L1653" s="16"/>
    </row>
    <row r="1654" spans="1:12" hidden="1" x14ac:dyDescent="0.25">
      <c r="A1654" s="16" t="s">
        <v>885</v>
      </c>
      <c r="B1654" s="16" t="s">
        <v>983</v>
      </c>
      <c r="C1654" s="16" t="s">
        <v>1040</v>
      </c>
      <c r="D1654" s="16" t="s">
        <v>1041</v>
      </c>
      <c r="E1654" s="16">
        <v>2</v>
      </c>
      <c r="F1654" s="16" t="s">
        <v>293</v>
      </c>
      <c r="G1654" s="16"/>
      <c r="H1654" s="16" t="s">
        <v>1067</v>
      </c>
      <c r="I1654" s="16"/>
      <c r="J1654" s="16" t="str">
        <f>IF(ISNUMBER(SEARCH("SCRW", H1654)), _xlfn.XLOOKUP(C1654,dd_item!$A$2:$A$147,dd_item!$B$2:$B$147,"",0),_xlfn.XLOOKUP(H1654,dd_item!$A$2:$A$147,dd_item!$B$2:$B$147,"",0))</f>
        <v>A2 Cover</v>
      </c>
      <c r="K1654" s="16" t="str">
        <f>_xlfn.XLOOKUP(A1654,dd_design_raw!$C$2:$C$1002,dd_design_raw!$A$2:$A$1002,"",0)</f>
        <v>Accordion Screen</v>
      </c>
      <c r="L1654" s="16"/>
    </row>
    <row r="1655" spans="1:12" hidden="1" x14ac:dyDescent="0.25">
      <c r="A1655" s="16" t="s">
        <v>885</v>
      </c>
      <c r="B1655" s="16" t="s">
        <v>983</v>
      </c>
      <c r="C1655" s="16" t="s">
        <v>1042</v>
      </c>
      <c r="D1655" s="16" t="s">
        <v>1043</v>
      </c>
      <c r="E1655" s="16">
        <v>10</v>
      </c>
      <c r="F1655" s="16" t="s">
        <v>293</v>
      </c>
      <c r="G1655" s="16"/>
      <c r="H1655" s="16" t="s">
        <v>1068</v>
      </c>
      <c r="I1655" s="16"/>
      <c r="J1655" s="16" t="str">
        <f>IF(ISNUMBER(SEARCH("SCRW", H1655)), _xlfn.XLOOKUP(C1655,dd_item!$A$2:$A$147,dd_item!$B$2:$B$147,"",0),_xlfn.XLOOKUP(H1655,dd_item!$A$2:$A$147,dd_item!$B$2:$B$147,"",0))</f>
        <v>Door Joint</v>
      </c>
      <c r="K1655" s="16" t="str">
        <f>_xlfn.XLOOKUP(A1655,dd_design_raw!$C$2:$C$1002,dd_design_raw!$A$2:$A$1002,"",0)</f>
        <v>Accordion Screen</v>
      </c>
      <c r="L1655" s="16"/>
    </row>
    <row r="1656" spans="1:12" hidden="1" x14ac:dyDescent="0.25">
      <c r="A1656" s="16" t="s">
        <v>885</v>
      </c>
      <c r="B1656" s="16" t="s">
        <v>983</v>
      </c>
      <c r="C1656" s="16" t="s">
        <v>1044</v>
      </c>
      <c r="D1656" s="16" t="s">
        <v>1045</v>
      </c>
      <c r="E1656" s="16">
        <v>30</v>
      </c>
      <c r="F1656" s="16" t="s">
        <v>293</v>
      </c>
      <c r="G1656" s="16"/>
      <c r="H1656" s="16" t="s">
        <v>1069</v>
      </c>
      <c r="I1656" s="16"/>
      <c r="J1656" s="16" t="str">
        <f>IF(ISNUMBER(SEARCH("SCRW", H1656)), _xlfn.XLOOKUP(C1656,dd_item!$A$2:$A$147,dd_item!$B$2:$B$147,"",0),_xlfn.XLOOKUP(H1656,dd_item!$A$2:$A$147,dd_item!$B$2:$B$147,"",0))</f>
        <v>Double Cord Adjustor</v>
      </c>
      <c r="K1656" s="16" t="str">
        <f>_xlfn.XLOOKUP(A1656,dd_design_raw!$C$2:$C$1002,dd_design_raw!$A$2:$A$1002,"",0)</f>
        <v>Accordion Screen</v>
      </c>
      <c r="L1656" s="16"/>
    </row>
    <row r="1657" spans="1:12" hidden="1" x14ac:dyDescent="0.25">
      <c r="A1657" s="16" t="s">
        <v>885</v>
      </c>
      <c r="B1657" s="16" t="s">
        <v>983</v>
      </c>
      <c r="C1657" s="16" t="s">
        <v>1046</v>
      </c>
      <c r="D1657" s="16" t="s">
        <v>1047</v>
      </c>
      <c r="E1657" s="16">
        <v>5</v>
      </c>
      <c r="F1657" s="16" t="s">
        <v>293</v>
      </c>
      <c r="G1657" s="16"/>
      <c r="H1657" s="16" t="s">
        <v>1070</v>
      </c>
      <c r="I1657" s="16"/>
      <c r="J1657" s="16" t="str">
        <f>IF(ISNUMBER(SEARCH("SCRW", H1657)), _xlfn.XLOOKUP(C1657,dd_item!$A$2:$A$147,dd_item!$B$2:$B$147,"",0),_xlfn.XLOOKUP(H1657,dd_item!$A$2:$A$147,dd_item!$B$2:$B$147,"",0))</f>
        <v>Mount Bracket</v>
      </c>
      <c r="K1657" s="16" t="str">
        <f>_xlfn.XLOOKUP(A1657,dd_design_raw!$C$2:$C$1002,dd_design_raw!$A$2:$A$1002,"",0)</f>
        <v>Accordion Screen</v>
      </c>
      <c r="L1657" s="16"/>
    </row>
    <row r="1658" spans="1:12" hidden="1" x14ac:dyDescent="0.25">
      <c r="A1658" s="16" t="s">
        <v>885</v>
      </c>
      <c r="B1658" s="16" t="s">
        <v>983</v>
      </c>
      <c r="C1658" s="16" t="s">
        <v>1048</v>
      </c>
      <c r="D1658" s="16" t="s">
        <v>1049</v>
      </c>
      <c r="E1658" s="16">
        <v>60</v>
      </c>
      <c r="F1658" s="16" t="s">
        <v>293</v>
      </c>
      <c r="G1658" s="16"/>
      <c r="H1658" s="16" t="s">
        <v>1071</v>
      </c>
      <c r="I1658" s="16"/>
      <c r="J1658" s="16" t="str">
        <f>IF(ISNUMBER(SEARCH("SCRW", H1658)), _xlfn.XLOOKUP(C1658,dd_item!$A$2:$A$147,dd_item!$B$2:$B$147,"",0),_xlfn.XLOOKUP(H1658,dd_item!$A$2:$A$147,dd_item!$B$2:$B$147,"",0))</f>
        <v>B Plug</v>
      </c>
      <c r="K1658" s="16" t="str">
        <f>_xlfn.XLOOKUP(A1658,dd_design_raw!$C$2:$C$1002,dd_design_raw!$A$2:$A$1002,"",0)</f>
        <v>Accordion Screen</v>
      </c>
      <c r="L1658" s="16"/>
    </row>
    <row r="1659" spans="1:12" hidden="1" x14ac:dyDescent="0.25">
      <c r="A1659" s="16" t="s">
        <v>885</v>
      </c>
      <c r="B1659" s="16" t="s">
        <v>983</v>
      </c>
      <c r="C1659" s="16" t="s">
        <v>958</v>
      </c>
      <c r="D1659" s="16" t="s">
        <v>959</v>
      </c>
      <c r="E1659" s="16">
        <v>2</v>
      </c>
      <c r="F1659" s="16" t="s">
        <v>369</v>
      </c>
      <c r="G1659" s="16"/>
      <c r="H1659" s="16" t="s">
        <v>980</v>
      </c>
      <c r="I1659" s="16"/>
      <c r="J1659" s="16" t="str">
        <f>IF(ISNUMBER(SEARCH("SCRW", H1659)), _xlfn.XLOOKUP(C1659,dd_item!$A$2:$A$147,dd_item!$B$2:$B$147,"",0),_xlfn.XLOOKUP(H1659,dd_item!$A$2:$A$147,dd_item!$B$2:$B$147,"",0))</f>
        <v>Double Adhesive Tape</v>
      </c>
      <c r="K1659" s="16" t="str">
        <f>_xlfn.XLOOKUP(A1659,dd_design_raw!$C$2:$C$1002,dd_design_raw!$A$2:$A$1002,"",0)</f>
        <v>Accordion Screen</v>
      </c>
      <c r="L1659" s="16"/>
    </row>
    <row r="1660" spans="1:12" hidden="1" x14ac:dyDescent="0.25">
      <c r="A1660" s="16" t="s">
        <v>885</v>
      </c>
      <c r="B1660" s="16" t="s">
        <v>983</v>
      </c>
      <c r="C1660" s="16" t="s">
        <v>414</v>
      </c>
      <c r="D1660" s="16" t="s">
        <v>415</v>
      </c>
      <c r="E1660" s="16">
        <v>2</v>
      </c>
      <c r="F1660" s="16" t="s">
        <v>369</v>
      </c>
      <c r="G1660" s="16"/>
      <c r="H1660" s="16" t="s">
        <v>416</v>
      </c>
      <c r="I1660" s="16" t="s">
        <v>223</v>
      </c>
      <c r="J1660" s="16" t="str">
        <f>IF(ISNUMBER(SEARCH("SCRW", H1660)), _xlfn.XLOOKUP(C1660,dd_item!$A$2:$A$147,dd_item!$B$2:$B$147,"",0),_xlfn.XLOOKUP(H1660,dd_item!$A$2:$A$147,dd_item!$B$2:$B$147,"",0))</f>
        <v>Sealant</v>
      </c>
      <c r="K1660" s="16" t="str">
        <f>_xlfn.XLOOKUP(A1660,dd_design_raw!$C$2:$C$1002,dd_design_raw!$A$2:$A$1002,"",0)</f>
        <v>Accordion Screen</v>
      </c>
      <c r="L1660" s="16" t="s">
        <v>223</v>
      </c>
    </row>
    <row r="1661" spans="1:12" hidden="1" x14ac:dyDescent="0.25">
      <c r="A1661" s="16" t="s">
        <v>885</v>
      </c>
      <c r="B1661" s="16" t="s">
        <v>983</v>
      </c>
      <c r="C1661" s="16" t="s">
        <v>417</v>
      </c>
      <c r="D1661" s="16" t="s">
        <v>418</v>
      </c>
      <c r="E1661" s="16">
        <v>2</v>
      </c>
      <c r="F1661" s="16" t="s">
        <v>369</v>
      </c>
      <c r="G1661" s="16"/>
      <c r="H1661" s="16" t="s">
        <v>416</v>
      </c>
      <c r="I1661" s="16" t="s">
        <v>230</v>
      </c>
      <c r="J1661" s="16" t="str">
        <f>IF(ISNUMBER(SEARCH("SCRW", H1661)), _xlfn.XLOOKUP(C1661,dd_item!$A$2:$A$147,dd_item!$B$2:$B$147,"",0),_xlfn.XLOOKUP(H1661,dd_item!$A$2:$A$147,dd_item!$B$2:$B$147,"",0))</f>
        <v>Sealant</v>
      </c>
      <c r="K1661" s="16" t="str">
        <f>_xlfn.XLOOKUP(A1661,dd_design_raw!$C$2:$C$1002,dd_design_raw!$A$2:$A$1002,"",0)</f>
        <v>Accordion Screen</v>
      </c>
      <c r="L1661" s="16" t="s">
        <v>230</v>
      </c>
    </row>
    <row r="1662" spans="1:12" hidden="1" x14ac:dyDescent="0.25">
      <c r="A1662" s="16" t="s">
        <v>885</v>
      </c>
      <c r="B1662" s="16" t="s">
        <v>983</v>
      </c>
      <c r="C1662" s="16" t="s">
        <v>419</v>
      </c>
      <c r="D1662" s="16" t="s">
        <v>420</v>
      </c>
      <c r="E1662" s="16">
        <v>2</v>
      </c>
      <c r="F1662" s="16" t="s">
        <v>369</v>
      </c>
      <c r="G1662" s="16"/>
      <c r="H1662" s="16" t="s">
        <v>416</v>
      </c>
      <c r="I1662" s="16" t="s">
        <v>220</v>
      </c>
      <c r="J1662" s="16" t="str">
        <f>IF(ISNUMBER(SEARCH("SCRW", H1662)), _xlfn.XLOOKUP(C1662,dd_item!$A$2:$A$147,dd_item!$B$2:$B$147,"",0),_xlfn.XLOOKUP(H1662,dd_item!$A$2:$A$147,dd_item!$B$2:$B$147,"",0))</f>
        <v>Sealant</v>
      </c>
      <c r="K1662" s="16" t="str">
        <f>_xlfn.XLOOKUP(A1662,dd_design_raw!$C$2:$C$1002,dd_design_raw!$A$2:$A$1002,"",0)</f>
        <v>Accordion Screen</v>
      </c>
      <c r="L1662" s="16" t="s">
        <v>220</v>
      </c>
    </row>
  </sheetData>
  <autoFilter ref="A1:N1662" xr:uid="{A04D1D3D-0ABD-43C7-9DEE-9F9E4E7690E7}">
    <filterColumn colId="9">
      <filters>
        <filter val="Casement Espagnolette"/>
        <filter val="Sliding Espagnolette"/>
      </filters>
    </filterColumn>
  </autoFilter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07AD5-6141-4BAF-80CC-C562AACC1974}">
  <sheetPr codeName="Sheet14">
    <tabColor rgb="FFFFC000"/>
  </sheetPr>
  <dimension ref="A1:F99"/>
  <sheetViews>
    <sheetView topLeftCell="A67" workbookViewId="0">
      <selection activeCell="K2" sqref="K2:K3"/>
    </sheetView>
  </sheetViews>
  <sheetFormatPr defaultRowHeight="15" x14ac:dyDescent="0.25"/>
  <cols>
    <col min="1" max="1" width="14.85546875" customWidth="1"/>
    <col min="2" max="2" width="15.85546875" bestFit="1" customWidth="1"/>
    <col min="3" max="3" width="31.5703125" bestFit="1" customWidth="1"/>
  </cols>
  <sheetData>
    <row r="1" spans="1:6" x14ac:dyDescent="0.25">
      <c r="A1" s="49" t="s">
        <v>769</v>
      </c>
      <c r="B1" s="49" t="s">
        <v>768</v>
      </c>
      <c r="C1" s="49" t="s">
        <v>770</v>
      </c>
      <c r="E1" s="2" t="s">
        <v>5</v>
      </c>
      <c r="F1" s="2" t="s">
        <v>697</v>
      </c>
    </row>
    <row r="2" spans="1:6" x14ac:dyDescent="0.25">
      <c r="A2" s="16" t="s">
        <v>223</v>
      </c>
      <c r="B2" s="16" t="s">
        <v>29</v>
      </c>
      <c r="C2" s="16" t="s">
        <v>761</v>
      </c>
      <c r="E2" s="3" t="s">
        <v>28</v>
      </c>
      <c r="F2" s="3" t="s">
        <v>220</v>
      </c>
    </row>
    <row r="3" spans="1:6" x14ac:dyDescent="0.25">
      <c r="A3" s="16" t="s">
        <v>223</v>
      </c>
      <c r="B3" s="16" t="s">
        <v>30</v>
      </c>
      <c r="C3" s="16" t="s">
        <v>761</v>
      </c>
      <c r="E3" s="3" t="s">
        <v>29</v>
      </c>
      <c r="F3" s="3" t="s">
        <v>230</v>
      </c>
    </row>
    <row r="4" spans="1:6" x14ac:dyDescent="0.25">
      <c r="A4" s="16" t="s">
        <v>223</v>
      </c>
      <c r="B4" s="16" t="s">
        <v>31</v>
      </c>
      <c r="C4" s="16" t="s">
        <v>761</v>
      </c>
      <c r="E4" s="3" t="s">
        <v>30</v>
      </c>
      <c r="F4" s="3" t="s">
        <v>226</v>
      </c>
    </row>
    <row r="5" spans="1:6" x14ac:dyDescent="0.25">
      <c r="A5" s="16" t="s">
        <v>223</v>
      </c>
      <c r="B5" s="16" t="s">
        <v>32</v>
      </c>
      <c r="C5" s="16" t="s">
        <v>761</v>
      </c>
      <c r="E5" s="3" t="s">
        <v>31</v>
      </c>
      <c r="F5" s="3" t="s">
        <v>217</v>
      </c>
    </row>
    <row r="6" spans="1:6" x14ac:dyDescent="0.25">
      <c r="A6" s="16" t="s">
        <v>223</v>
      </c>
      <c r="B6" s="16" t="s">
        <v>33</v>
      </c>
      <c r="C6" s="16" t="s">
        <v>761</v>
      </c>
      <c r="E6" s="3" t="s">
        <v>32</v>
      </c>
      <c r="F6" s="3" t="s">
        <v>211</v>
      </c>
    </row>
    <row r="7" spans="1:6" x14ac:dyDescent="0.25">
      <c r="A7" s="16" t="s">
        <v>223</v>
      </c>
      <c r="B7" s="16" t="s">
        <v>34</v>
      </c>
      <c r="C7" s="16" t="s">
        <v>761</v>
      </c>
      <c r="E7" s="3" t="s">
        <v>33</v>
      </c>
      <c r="F7" s="3" t="s">
        <v>214</v>
      </c>
    </row>
    <row r="8" spans="1:6" x14ac:dyDescent="0.25">
      <c r="A8" s="16" t="s">
        <v>220</v>
      </c>
      <c r="B8" s="16" t="s">
        <v>28</v>
      </c>
      <c r="C8" s="16" t="s">
        <v>761</v>
      </c>
      <c r="E8" s="3" t="s">
        <v>34</v>
      </c>
      <c r="F8" s="3" t="s">
        <v>223</v>
      </c>
    </row>
    <row r="9" spans="1:6" x14ac:dyDescent="0.25">
      <c r="A9" s="16" t="s">
        <v>230</v>
      </c>
      <c r="B9" s="16" t="s">
        <v>29</v>
      </c>
      <c r="C9" s="16" t="s">
        <v>763</v>
      </c>
    </row>
    <row r="10" spans="1:6" x14ac:dyDescent="0.25">
      <c r="A10" s="16" t="s">
        <v>230</v>
      </c>
      <c r="B10" s="16" t="s">
        <v>30</v>
      </c>
      <c r="C10" s="16" t="s">
        <v>763</v>
      </c>
    </row>
    <row r="11" spans="1:6" x14ac:dyDescent="0.25">
      <c r="A11" s="16" t="s">
        <v>230</v>
      </c>
      <c r="B11" s="16" t="s">
        <v>31</v>
      </c>
      <c r="C11" s="16" t="s">
        <v>763</v>
      </c>
    </row>
    <row r="12" spans="1:6" x14ac:dyDescent="0.25">
      <c r="A12" s="16" t="s">
        <v>230</v>
      </c>
      <c r="B12" s="16" t="s">
        <v>32</v>
      </c>
      <c r="C12" s="16" t="s">
        <v>763</v>
      </c>
    </row>
    <row r="13" spans="1:6" x14ac:dyDescent="0.25">
      <c r="A13" s="16" t="s">
        <v>230</v>
      </c>
      <c r="B13" s="16" t="s">
        <v>33</v>
      </c>
      <c r="C13" s="16" t="s">
        <v>763</v>
      </c>
    </row>
    <row r="14" spans="1:6" x14ac:dyDescent="0.25">
      <c r="A14" s="16" t="s">
        <v>230</v>
      </c>
      <c r="B14" s="16" t="s">
        <v>34</v>
      </c>
      <c r="C14" s="16" t="s">
        <v>763</v>
      </c>
    </row>
    <row r="15" spans="1:6" x14ac:dyDescent="0.25">
      <c r="A15" s="16" t="s">
        <v>220</v>
      </c>
      <c r="B15" s="16" t="s">
        <v>28</v>
      </c>
      <c r="C15" s="16" t="s">
        <v>763</v>
      </c>
    </row>
    <row r="16" spans="1:6" x14ac:dyDescent="0.25">
      <c r="A16" s="16" t="s">
        <v>223</v>
      </c>
      <c r="B16" s="16" t="s">
        <v>29</v>
      </c>
      <c r="C16" s="16" t="s">
        <v>738</v>
      </c>
    </row>
    <row r="17" spans="1:3" x14ac:dyDescent="0.25">
      <c r="A17" s="16" t="s">
        <v>223</v>
      </c>
      <c r="B17" s="16" t="s">
        <v>30</v>
      </c>
      <c r="C17" s="16" t="s">
        <v>738</v>
      </c>
    </row>
    <row r="18" spans="1:3" x14ac:dyDescent="0.25">
      <c r="A18" s="16" t="s">
        <v>223</v>
      </c>
      <c r="B18" s="16" t="s">
        <v>31</v>
      </c>
      <c r="C18" s="16" t="s">
        <v>738</v>
      </c>
    </row>
    <row r="19" spans="1:3" x14ac:dyDescent="0.25">
      <c r="A19" s="16" t="s">
        <v>223</v>
      </c>
      <c r="B19" s="16" t="s">
        <v>32</v>
      </c>
      <c r="C19" s="16" t="s">
        <v>738</v>
      </c>
    </row>
    <row r="20" spans="1:3" x14ac:dyDescent="0.25">
      <c r="A20" s="16" t="s">
        <v>223</v>
      </c>
      <c r="B20" s="16" t="s">
        <v>33</v>
      </c>
      <c r="C20" s="16" t="s">
        <v>738</v>
      </c>
    </row>
    <row r="21" spans="1:3" x14ac:dyDescent="0.25">
      <c r="A21" s="16" t="s">
        <v>223</v>
      </c>
      <c r="B21" s="16" t="s">
        <v>34</v>
      </c>
      <c r="C21" s="16" t="s">
        <v>738</v>
      </c>
    </row>
    <row r="22" spans="1:3" x14ac:dyDescent="0.25">
      <c r="A22" s="16" t="s">
        <v>220</v>
      </c>
      <c r="B22" s="16" t="s">
        <v>28</v>
      </c>
      <c r="C22" s="16" t="s">
        <v>738</v>
      </c>
    </row>
    <row r="23" spans="1:3" x14ac:dyDescent="0.25">
      <c r="A23" s="16" t="s">
        <v>223</v>
      </c>
      <c r="B23" s="16" t="s">
        <v>29</v>
      </c>
      <c r="C23" s="16" t="s">
        <v>739</v>
      </c>
    </row>
    <row r="24" spans="1:3" x14ac:dyDescent="0.25">
      <c r="A24" s="16" t="s">
        <v>223</v>
      </c>
      <c r="B24" s="16" t="s">
        <v>30</v>
      </c>
      <c r="C24" s="16" t="s">
        <v>739</v>
      </c>
    </row>
    <row r="25" spans="1:3" x14ac:dyDescent="0.25">
      <c r="A25" s="16" t="s">
        <v>223</v>
      </c>
      <c r="B25" s="16" t="s">
        <v>31</v>
      </c>
      <c r="C25" s="16" t="s">
        <v>739</v>
      </c>
    </row>
    <row r="26" spans="1:3" x14ac:dyDescent="0.25">
      <c r="A26" s="16" t="s">
        <v>223</v>
      </c>
      <c r="B26" s="16" t="s">
        <v>32</v>
      </c>
      <c r="C26" s="16" t="s">
        <v>739</v>
      </c>
    </row>
    <row r="27" spans="1:3" x14ac:dyDescent="0.25">
      <c r="A27" s="16" t="s">
        <v>223</v>
      </c>
      <c r="B27" s="16" t="s">
        <v>33</v>
      </c>
      <c r="C27" s="16" t="s">
        <v>739</v>
      </c>
    </row>
    <row r="28" spans="1:3" x14ac:dyDescent="0.25">
      <c r="A28" s="16" t="s">
        <v>223</v>
      </c>
      <c r="B28" s="16" t="s">
        <v>34</v>
      </c>
      <c r="C28" s="16" t="s">
        <v>739</v>
      </c>
    </row>
    <row r="29" spans="1:3" x14ac:dyDescent="0.25">
      <c r="A29" s="16" t="s">
        <v>220</v>
      </c>
      <c r="B29" s="16" t="s">
        <v>28</v>
      </c>
      <c r="C29" s="16" t="s">
        <v>739</v>
      </c>
    </row>
    <row r="30" spans="1:3" x14ac:dyDescent="0.25">
      <c r="A30" s="16" t="s">
        <v>223</v>
      </c>
      <c r="B30" s="16" t="s">
        <v>29</v>
      </c>
      <c r="C30" s="16" t="s">
        <v>737</v>
      </c>
    </row>
    <row r="31" spans="1:3" x14ac:dyDescent="0.25">
      <c r="A31" s="16" t="s">
        <v>223</v>
      </c>
      <c r="B31" s="16" t="s">
        <v>30</v>
      </c>
      <c r="C31" s="16" t="s">
        <v>737</v>
      </c>
    </row>
    <row r="32" spans="1:3" x14ac:dyDescent="0.25">
      <c r="A32" s="16" t="s">
        <v>223</v>
      </c>
      <c r="B32" s="16" t="s">
        <v>31</v>
      </c>
      <c r="C32" s="16" t="s">
        <v>737</v>
      </c>
    </row>
    <row r="33" spans="1:3" x14ac:dyDescent="0.25">
      <c r="A33" s="16" t="s">
        <v>223</v>
      </c>
      <c r="B33" s="16" t="s">
        <v>32</v>
      </c>
      <c r="C33" s="16" t="s">
        <v>737</v>
      </c>
    </row>
    <row r="34" spans="1:3" x14ac:dyDescent="0.25">
      <c r="A34" s="16" t="s">
        <v>223</v>
      </c>
      <c r="B34" s="16" t="s">
        <v>33</v>
      </c>
      <c r="C34" s="16" t="s">
        <v>737</v>
      </c>
    </row>
    <row r="35" spans="1:3" x14ac:dyDescent="0.25">
      <c r="A35" s="16" t="s">
        <v>223</v>
      </c>
      <c r="B35" s="16" t="s">
        <v>34</v>
      </c>
      <c r="C35" s="16" t="s">
        <v>737</v>
      </c>
    </row>
    <row r="36" spans="1:3" x14ac:dyDescent="0.25">
      <c r="A36" s="16" t="s">
        <v>220</v>
      </c>
      <c r="B36" s="16" t="s">
        <v>28</v>
      </c>
      <c r="C36" s="16" t="s">
        <v>737</v>
      </c>
    </row>
    <row r="37" spans="1:3" x14ac:dyDescent="0.25">
      <c r="A37" s="16" t="s">
        <v>223</v>
      </c>
      <c r="B37" s="16" t="s">
        <v>33</v>
      </c>
      <c r="C37" s="16" t="s">
        <v>765</v>
      </c>
    </row>
    <row r="38" spans="1:3" x14ac:dyDescent="0.25">
      <c r="A38" s="16" t="s">
        <v>223</v>
      </c>
      <c r="B38" s="16" t="s">
        <v>34</v>
      </c>
      <c r="C38" s="16" t="s">
        <v>765</v>
      </c>
    </row>
    <row r="39" spans="1:3" x14ac:dyDescent="0.25">
      <c r="A39" s="16" t="s">
        <v>230</v>
      </c>
      <c r="B39" s="16" t="s">
        <v>29</v>
      </c>
      <c r="C39" s="16" t="s">
        <v>765</v>
      </c>
    </row>
    <row r="40" spans="1:3" x14ac:dyDescent="0.25">
      <c r="A40" s="16" t="s">
        <v>230</v>
      </c>
      <c r="B40" s="16" t="s">
        <v>30</v>
      </c>
      <c r="C40" s="16" t="s">
        <v>765</v>
      </c>
    </row>
    <row r="41" spans="1:3" x14ac:dyDescent="0.25">
      <c r="A41" s="16" t="s">
        <v>230</v>
      </c>
      <c r="B41" s="16" t="s">
        <v>31</v>
      </c>
      <c r="C41" s="16" t="s">
        <v>765</v>
      </c>
    </row>
    <row r="42" spans="1:3" x14ac:dyDescent="0.25">
      <c r="A42" s="16" t="s">
        <v>230</v>
      </c>
      <c r="B42" s="16" t="s">
        <v>32</v>
      </c>
      <c r="C42" s="16" t="s">
        <v>765</v>
      </c>
    </row>
    <row r="43" spans="1:3" x14ac:dyDescent="0.25">
      <c r="A43" s="16" t="s">
        <v>220</v>
      </c>
      <c r="B43" s="16" t="s">
        <v>28</v>
      </c>
      <c r="C43" s="16" t="s">
        <v>765</v>
      </c>
    </row>
    <row r="44" spans="1:3" x14ac:dyDescent="0.25">
      <c r="A44" s="16" t="s">
        <v>223</v>
      </c>
      <c r="B44" s="16" t="s">
        <v>29</v>
      </c>
      <c r="C44" s="16" t="s">
        <v>759</v>
      </c>
    </row>
    <row r="45" spans="1:3" x14ac:dyDescent="0.25">
      <c r="A45" s="16" t="s">
        <v>223</v>
      </c>
      <c r="B45" s="16" t="s">
        <v>30</v>
      </c>
      <c r="C45" s="16" t="s">
        <v>759</v>
      </c>
    </row>
    <row r="46" spans="1:3" x14ac:dyDescent="0.25">
      <c r="A46" s="16" t="s">
        <v>223</v>
      </c>
      <c r="B46" s="16" t="s">
        <v>31</v>
      </c>
      <c r="C46" s="16" t="s">
        <v>759</v>
      </c>
    </row>
    <row r="47" spans="1:3" x14ac:dyDescent="0.25">
      <c r="A47" s="16" t="s">
        <v>223</v>
      </c>
      <c r="B47" s="16" t="s">
        <v>32</v>
      </c>
      <c r="C47" s="16" t="s">
        <v>759</v>
      </c>
    </row>
    <row r="48" spans="1:3" x14ac:dyDescent="0.25">
      <c r="A48" s="16" t="s">
        <v>223</v>
      </c>
      <c r="B48" s="16" t="s">
        <v>33</v>
      </c>
      <c r="C48" s="16" t="s">
        <v>759</v>
      </c>
    </row>
    <row r="49" spans="1:3" x14ac:dyDescent="0.25">
      <c r="A49" s="16" t="s">
        <v>223</v>
      </c>
      <c r="B49" s="16" t="s">
        <v>34</v>
      </c>
      <c r="C49" s="16" t="s">
        <v>759</v>
      </c>
    </row>
    <row r="50" spans="1:3" x14ac:dyDescent="0.25">
      <c r="A50" s="16" t="s">
        <v>220</v>
      </c>
      <c r="B50" s="16" t="s">
        <v>28</v>
      </c>
      <c r="C50" s="16" t="s">
        <v>759</v>
      </c>
    </row>
    <row r="51" spans="1:3" x14ac:dyDescent="0.25">
      <c r="A51" s="16" t="s">
        <v>223</v>
      </c>
      <c r="B51" s="16" t="s">
        <v>29</v>
      </c>
      <c r="C51" s="16" t="s">
        <v>762</v>
      </c>
    </row>
    <row r="52" spans="1:3" x14ac:dyDescent="0.25">
      <c r="A52" s="16" t="s">
        <v>223</v>
      </c>
      <c r="B52" s="16" t="s">
        <v>30</v>
      </c>
      <c r="C52" s="16" t="s">
        <v>762</v>
      </c>
    </row>
    <row r="53" spans="1:3" x14ac:dyDescent="0.25">
      <c r="A53" s="16" t="s">
        <v>223</v>
      </c>
      <c r="B53" s="16" t="s">
        <v>31</v>
      </c>
      <c r="C53" s="16" t="s">
        <v>762</v>
      </c>
    </row>
    <row r="54" spans="1:3" x14ac:dyDescent="0.25">
      <c r="A54" s="16" t="s">
        <v>223</v>
      </c>
      <c r="B54" s="16" t="s">
        <v>32</v>
      </c>
      <c r="C54" s="16" t="s">
        <v>762</v>
      </c>
    </row>
    <row r="55" spans="1:3" x14ac:dyDescent="0.25">
      <c r="A55" s="16" t="s">
        <v>223</v>
      </c>
      <c r="B55" s="16" t="s">
        <v>33</v>
      </c>
      <c r="C55" s="16" t="s">
        <v>762</v>
      </c>
    </row>
    <row r="56" spans="1:3" x14ac:dyDescent="0.25">
      <c r="A56" s="16" t="s">
        <v>223</v>
      </c>
      <c r="B56" s="16" t="s">
        <v>34</v>
      </c>
      <c r="C56" s="16" t="s">
        <v>762</v>
      </c>
    </row>
    <row r="57" spans="1:3" x14ac:dyDescent="0.25">
      <c r="A57" s="16" t="s">
        <v>220</v>
      </c>
      <c r="B57" s="16" t="s">
        <v>28</v>
      </c>
      <c r="C57" s="16" t="s">
        <v>762</v>
      </c>
    </row>
    <row r="58" spans="1:3" x14ac:dyDescent="0.25">
      <c r="A58" s="16" t="s">
        <v>223</v>
      </c>
      <c r="B58" s="16" t="s">
        <v>29</v>
      </c>
      <c r="C58" s="16" t="s">
        <v>745</v>
      </c>
    </row>
    <row r="59" spans="1:3" x14ac:dyDescent="0.25">
      <c r="A59" s="16" t="s">
        <v>223</v>
      </c>
      <c r="B59" s="16" t="s">
        <v>30</v>
      </c>
      <c r="C59" s="16" t="s">
        <v>745</v>
      </c>
    </row>
    <row r="60" spans="1:3" x14ac:dyDescent="0.25">
      <c r="A60" s="16" t="s">
        <v>223</v>
      </c>
      <c r="B60" s="16" t="s">
        <v>31</v>
      </c>
      <c r="C60" s="16" t="s">
        <v>745</v>
      </c>
    </row>
    <row r="61" spans="1:3" x14ac:dyDescent="0.25">
      <c r="A61" s="16" t="s">
        <v>223</v>
      </c>
      <c r="B61" s="16" t="s">
        <v>32</v>
      </c>
      <c r="C61" s="16" t="s">
        <v>745</v>
      </c>
    </row>
    <row r="62" spans="1:3" x14ac:dyDescent="0.25">
      <c r="A62" s="16" t="s">
        <v>223</v>
      </c>
      <c r="B62" s="16" t="s">
        <v>33</v>
      </c>
      <c r="C62" s="16" t="s">
        <v>745</v>
      </c>
    </row>
    <row r="63" spans="1:3" x14ac:dyDescent="0.25">
      <c r="A63" s="16" t="s">
        <v>223</v>
      </c>
      <c r="B63" s="16" t="s">
        <v>34</v>
      </c>
      <c r="C63" s="16" t="s">
        <v>745</v>
      </c>
    </row>
    <row r="64" spans="1:3" x14ac:dyDescent="0.25">
      <c r="A64" s="16" t="s">
        <v>220</v>
      </c>
      <c r="B64" s="16" t="s">
        <v>28</v>
      </c>
      <c r="C64" s="16" t="s">
        <v>745</v>
      </c>
    </row>
    <row r="65" spans="1:3" x14ac:dyDescent="0.25">
      <c r="A65" s="16" t="s">
        <v>223</v>
      </c>
      <c r="B65" s="16" t="s">
        <v>29</v>
      </c>
      <c r="C65" s="16" t="s">
        <v>755</v>
      </c>
    </row>
    <row r="66" spans="1:3" x14ac:dyDescent="0.25">
      <c r="A66" s="16" t="s">
        <v>223</v>
      </c>
      <c r="B66" s="16" t="s">
        <v>30</v>
      </c>
      <c r="C66" s="16" t="s">
        <v>755</v>
      </c>
    </row>
    <row r="67" spans="1:3" x14ac:dyDescent="0.25">
      <c r="A67" s="16" t="s">
        <v>223</v>
      </c>
      <c r="B67" s="16" t="s">
        <v>31</v>
      </c>
      <c r="C67" s="16" t="s">
        <v>755</v>
      </c>
    </row>
    <row r="68" spans="1:3" x14ac:dyDescent="0.25">
      <c r="A68" s="16" t="s">
        <v>223</v>
      </c>
      <c r="B68" s="16" t="s">
        <v>32</v>
      </c>
      <c r="C68" s="16" t="s">
        <v>755</v>
      </c>
    </row>
    <row r="69" spans="1:3" x14ac:dyDescent="0.25">
      <c r="A69" s="16" t="s">
        <v>223</v>
      </c>
      <c r="B69" s="16" t="s">
        <v>33</v>
      </c>
      <c r="C69" s="16" t="s">
        <v>755</v>
      </c>
    </row>
    <row r="70" spans="1:3" x14ac:dyDescent="0.25">
      <c r="A70" s="16" t="s">
        <v>223</v>
      </c>
      <c r="B70" s="16" t="s">
        <v>34</v>
      </c>
      <c r="C70" s="16" t="s">
        <v>755</v>
      </c>
    </row>
    <row r="71" spans="1:3" x14ac:dyDescent="0.25">
      <c r="A71" s="16" t="s">
        <v>220</v>
      </c>
      <c r="B71" s="16" t="s">
        <v>28</v>
      </c>
      <c r="C71" s="16" t="s">
        <v>755</v>
      </c>
    </row>
    <row r="72" spans="1:3" x14ac:dyDescent="0.25">
      <c r="A72" s="16" t="s">
        <v>223</v>
      </c>
      <c r="B72" s="16" t="s">
        <v>29</v>
      </c>
      <c r="C72" s="16" t="s">
        <v>756</v>
      </c>
    </row>
    <row r="73" spans="1:3" x14ac:dyDescent="0.25">
      <c r="A73" s="16" t="s">
        <v>223</v>
      </c>
      <c r="B73" s="16" t="s">
        <v>30</v>
      </c>
      <c r="C73" s="16" t="s">
        <v>756</v>
      </c>
    </row>
    <row r="74" spans="1:3" x14ac:dyDescent="0.25">
      <c r="A74" s="16" t="s">
        <v>223</v>
      </c>
      <c r="B74" s="16" t="s">
        <v>31</v>
      </c>
      <c r="C74" s="16" t="s">
        <v>756</v>
      </c>
    </row>
    <row r="75" spans="1:3" x14ac:dyDescent="0.25">
      <c r="A75" s="16" t="s">
        <v>223</v>
      </c>
      <c r="B75" s="16" t="s">
        <v>32</v>
      </c>
      <c r="C75" s="16" t="s">
        <v>756</v>
      </c>
    </row>
    <row r="76" spans="1:3" x14ac:dyDescent="0.25">
      <c r="A76" s="16" t="s">
        <v>223</v>
      </c>
      <c r="B76" s="16" t="s">
        <v>33</v>
      </c>
      <c r="C76" s="16" t="s">
        <v>756</v>
      </c>
    </row>
    <row r="77" spans="1:3" x14ac:dyDescent="0.25">
      <c r="A77" s="16" t="s">
        <v>223</v>
      </c>
      <c r="B77" s="16" t="s">
        <v>34</v>
      </c>
      <c r="C77" s="16" t="s">
        <v>756</v>
      </c>
    </row>
    <row r="78" spans="1:3" x14ac:dyDescent="0.25">
      <c r="A78" s="16" t="s">
        <v>220</v>
      </c>
      <c r="B78" s="16" t="s">
        <v>28</v>
      </c>
      <c r="C78" s="16" t="s">
        <v>756</v>
      </c>
    </row>
    <row r="79" spans="1:3" x14ac:dyDescent="0.25">
      <c r="A79" s="16" t="s">
        <v>223</v>
      </c>
      <c r="B79" s="16" t="s">
        <v>29</v>
      </c>
      <c r="C79" s="16" t="s">
        <v>766</v>
      </c>
    </row>
    <row r="80" spans="1:3" x14ac:dyDescent="0.25">
      <c r="A80" s="16" t="s">
        <v>223</v>
      </c>
      <c r="B80" s="16" t="s">
        <v>30</v>
      </c>
      <c r="C80" s="16" t="s">
        <v>766</v>
      </c>
    </row>
    <row r="81" spans="1:3" x14ac:dyDescent="0.25">
      <c r="A81" s="16" t="s">
        <v>223</v>
      </c>
      <c r="B81" s="16" t="s">
        <v>31</v>
      </c>
      <c r="C81" s="16" t="s">
        <v>766</v>
      </c>
    </row>
    <row r="82" spans="1:3" x14ac:dyDescent="0.25">
      <c r="A82" s="16" t="s">
        <v>223</v>
      </c>
      <c r="B82" s="16" t="s">
        <v>32</v>
      </c>
      <c r="C82" s="16" t="s">
        <v>766</v>
      </c>
    </row>
    <row r="83" spans="1:3" x14ac:dyDescent="0.25">
      <c r="A83" s="16" t="s">
        <v>223</v>
      </c>
      <c r="B83" s="16" t="s">
        <v>33</v>
      </c>
      <c r="C83" s="16" t="s">
        <v>766</v>
      </c>
    </row>
    <row r="84" spans="1:3" x14ac:dyDescent="0.25">
      <c r="A84" s="16" t="s">
        <v>223</v>
      </c>
      <c r="B84" s="16" t="s">
        <v>34</v>
      </c>
      <c r="C84" s="16" t="s">
        <v>766</v>
      </c>
    </row>
    <row r="85" spans="1:3" x14ac:dyDescent="0.25">
      <c r="A85" s="16" t="s">
        <v>220</v>
      </c>
      <c r="B85" s="16" t="s">
        <v>28</v>
      </c>
      <c r="C85" s="16" t="s">
        <v>766</v>
      </c>
    </row>
    <row r="86" spans="1:3" x14ac:dyDescent="0.25">
      <c r="A86" s="16" t="s">
        <v>223</v>
      </c>
      <c r="B86" s="16" t="s">
        <v>29</v>
      </c>
      <c r="C86" s="16" t="s">
        <v>742</v>
      </c>
    </row>
    <row r="87" spans="1:3" x14ac:dyDescent="0.25">
      <c r="A87" s="16" t="s">
        <v>223</v>
      </c>
      <c r="B87" s="16" t="s">
        <v>30</v>
      </c>
      <c r="C87" s="16" t="s">
        <v>742</v>
      </c>
    </row>
    <row r="88" spans="1:3" x14ac:dyDescent="0.25">
      <c r="A88" s="16" t="s">
        <v>223</v>
      </c>
      <c r="B88" s="16" t="s">
        <v>31</v>
      </c>
      <c r="C88" s="16" t="s">
        <v>742</v>
      </c>
    </row>
    <row r="89" spans="1:3" x14ac:dyDescent="0.25">
      <c r="A89" s="16" t="s">
        <v>223</v>
      </c>
      <c r="B89" s="16" t="s">
        <v>32</v>
      </c>
      <c r="C89" s="16" t="s">
        <v>742</v>
      </c>
    </row>
    <row r="90" spans="1:3" x14ac:dyDescent="0.25">
      <c r="A90" s="16" t="s">
        <v>223</v>
      </c>
      <c r="B90" s="16" t="s">
        <v>33</v>
      </c>
      <c r="C90" s="16" t="s">
        <v>742</v>
      </c>
    </row>
    <row r="91" spans="1:3" x14ac:dyDescent="0.25">
      <c r="A91" s="16" t="s">
        <v>223</v>
      </c>
      <c r="B91" s="16" t="s">
        <v>34</v>
      </c>
      <c r="C91" s="16" t="s">
        <v>742</v>
      </c>
    </row>
    <row r="92" spans="1:3" x14ac:dyDescent="0.25">
      <c r="A92" s="16" t="s">
        <v>220</v>
      </c>
      <c r="B92" s="16" t="s">
        <v>28</v>
      </c>
      <c r="C92" s="16" t="s">
        <v>742</v>
      </c>
    </row>
    <row r="93" spans="1:3" x14ac:dyDescent="0.25">
      <c r="A93" s="16" t="s">
        <v>223</v>
      </c>
      <c r="B93" s="16" t="s">
        <v>29</v>
      </c>
      <c r="C93" s="16" t="s">
        <v>744</v>
      </c>
    </row>
    <row r="94" spans="1:3" x14ac:dyDescent="0.25">
      <c r="A94" s="16" t="s">
        <v>223</v>
      </c>
      <c r="B94" s="16" t="s">
        <v>30</v>
      </c>
      <c r="C94" s="16" t="s">
        <v>744</v>
      </c>
    </row>
    <row r="95" spans="1:3" x14ac:dyDescent="0.25">
      <c r="A95" s="16" t="s">
        <v>223</v>
      </c>
      <c r="B95" s="16" t="s">
        <v>31</v>
      </c>
      <c r="C95" s="16" t="s">
        <v>744</v>
      </c>
    </row>
    <row r="96" spans="1:3" x14ac:dyDescent="0.25">
      <c r="A96" s="16" t="s">
        <v>223</v>
      </c>
      <c r="B96" s="16" t="s">
        <v>32</v>
      </c>
      <c r="C96" s="16" t="s">
        <v>744</v>
      </c>
    </row>
    <row r="97" spans="1:3" x14ac:dyDescent="0.25">
      <c r="A97" s="16" t="s">
        <v>223</v>
      </c>
      <c r="B97" s="16" t="s">
        <v>33</v>
      </c>
      <c r="C97" s="16" t="s">
        <v>744</v>
      </c>
    </row>
    <row r="98" spans="1:3" x14ac:dyDescent="0.25">
      <c r="A98" s="16" t="s">
        <v>223</v>
      </c>
      <c r="B98" s="16" t="s">
        <v>34</v>
      </c>
      <c r="C98" s="16" t="s">
        <v>744</v>
      </c>
    </row>
    <row r="99" spans="1:3" x14ac:dyDescent="0.25">
      <c r="A99" s="16" t="s">
        <v>220</v>
      </c>
      <c r="B99" s="16" t="s">
        <v>28</v>
      </c>
      <c r="C99" s="16" t="s">
        <v>744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56901-5D70-457E-A672-2C70226994D9}">
  <sheetPr codeName="Sheet15">
    <tabColor rgb="FFFFC000"/>
  </sheetPr>
  <dimension ref="A1:G105"/>
  <sheetViews>
    <sheetView topLeftCell="A34" workbookViewId="0">
      <selection activeCell="E15" sqref="E15"/>
    </sheetView>
  </sheetViews>
  <sheetFormatPr defaultRowHeight="15" x14ac:dyDescent="0.25"/>
  <cols>
    <col min="1" max="1" width="35.28515625" bestFit="1" customWidth="1"/>
    <col min="2" max="2" width="37.28515625" bestFit="1" customWidth="1"/>
    <col min="7" max="7" width="38" bestFit="1" customWidth="1"/>
    <col min="9" max="9" width="16" bestFit="1" customWidth="1"/>
  </cols>
  <sheetData>
    <row r="1" spans="1:3" x14ac:dyDescent="0.25">
      <c r="A1" s="49" t="s">
        <v>736</v>
      </c>
      <c r="B1" s="49" t="s">
        <v>735</v>
      </c>
      <c r="C1" s="49" t="s">
        <v>781</v>
      </c>
    </row>
    <row r="2" spans="1:3" x14ac:dyDescent="0.25">
      <c r="A2" s="16" t="s">
        <v>366</v>
      </c>
      <c r="B2" s="16" t="s">
        <v>777</v>
      </c>
      <c r="C2" s="16" t="s">
        <v>782</v>
      </c>
    </row>
    <row r="3" spans="1:3" x14ac:dyDescent="0.25">
      <c r="A3" s="16" t="s">
        <v>351</v>
      </c>
      <c r="B3" s="16" t="s">
        <v>705</v>
      </c>
      <c r="C3" s="16" t="s">
        <v>783</v>
      </c>
    </row>
    <row r="4" spans="1:3" x14ac:dyDescent="0.25">
      <c r="A4" s="16" t="s">
        <v>278</v>
      </c>
      <c r="B4" s="16" t="s">
        <v>704</v>
      </c>
      <c r="C4" s="16" t="s">
        <v>783</v>
      </c>
    </row>
    <row r="5" spans="1:3" x14ac:dyDescent="0.25">
      <c r="A5" s="16" t="s">
        <v>9</v>
      </c>
      <c r="B5" s="16" t="s">
        <v>756</v>
      </c>
      <c r="C5" s="16" t="s">
        <v>784</v>
      </c>
    </row>
    <row r="6" spans="1:3" x14ac:dyDescent="0.25">
      <c r="A6" s="16" t="s">
        <v>530</v>
      </c>
      <c r="B6" s="16" t="s">
        <v>758</v>
      </c>
      <c r="C6" s="16" t="s">
        <v>784</v>
      </c>
    </row>
    <row r="7" spans="1:3" x14ac:dyDescent="0.25">
      <c r="A7" s="16" t="s">
        <v>542</v>
      </c>
      <c r="B7" s="16" t="s">
        <v>755</v>
      </c>
      <c r="C7" s="16" t="s">
        <v>784</v>
      </c>
    </row>
    <row r="8" spans="1:3" x14ac:dyDescent="0.25">
      <c r="A8" s="16" t="s">
        <v>551</v>
      </c>
      <c r="B8" s="16" t="s">
        <v>757</v>
      </c>
      <c r="C8" s="16" t="s">
        <v>784</v>
      </c>
    </row>
    <row r="9" spans="1:3" x14ac:dyDescent="0.25">
      <c r="A9" s="16" t="s">
        <v>403</v>
      </c>
      <c r="B9" s="16" t="s">
        <v>737</v>
      </c>
      <c r="C9" s="16" t="s">
        <v>784</v>
      </c>
    </row>
    <row r="10" spans="1:3" x14ac:dyDescent="0.25">
      <c r="A10" s="16" t="s">
        <v>384</v>
      </c>
      <c r="B10" s="16" t="s">
        <v>738</v>
      </c>
      <c r="C10" s="16" t="s">
        <v>784</v>
      </c>
    </row>
    <row r="11" spans="1:3" x14ac:dyDescent="0.25">
      <c r="A11" s="16" t="s">
        <v>394</v>
      </c>
      <c r="B11" s="16" t="s">
        <v>739</v>
      </c>
      <c r="C11" s="16" t="s">
        <v>784</v>
      </c>
    </row>
    <row r="12" spans="1:3" x14ac:dyDescent="0.25">
      <c r="A12" s="16" t="s">
        <v>469</v>
      </c>
      <c r="B12" s="16" t="s">
        <v>706</v>
      </c>
      <c r="C12" s="16" t="s">
        <v>783</v>
      </c>
    </row>
    <row r="13" spans="1:3" x14ac:dyDescent="0.25">
      <c r="A13" s="16" t="s">
        <v>486</v>
      </c>
      <c r="B13" s="16" t="s">
        <v>707</v>
      </c>
      <c r="C13" s="16" t="s">
        <v>783</v>
      </c>
    </row>
    <row r="14" spans="1:3" x14ac:dyDescent="0.25">
      <c r="A14" s="16" t="s">
        <v>229</v>
      </c>
      <c r="B14" s="16" t="s">
        <v>699</v>
      </c>
      <c r="C14" s="16" t="s">
        <v>783</v>
      </c>
    </row>
    <row r="15" spans="1:3" x14ac:dyDescent="0.25">
      <c r="A15" s="16" t="s">
        <v>210</v>
      </c>
      <c r="B15" s="16" t="s">
        <v>698</v>
      </c>
      <c r="C15" s="16" t="s">
        <v>783</v>
      </c>
    </row>
    <row r="16" spans="1:3" x14ac:dyDescent="0.25">
      <c r="A16" s="16" t="s">
        <v>573</v>
      </c>
      <c r="B16" s="16" t="s">
        <v>740</v>
      </c>
      <c r="C16" s="16" t="s">
        <v>784</v>
      </c>
    </row>
    <row r="17" spans="1:3" x14ac:dyDescent="0.25">
      <c r="A17" s="16" t="s">
        <v>539</v>
      </c>
      <c r="B17" s="16" t="s">
        <v>741</v>
      </c>
      <c r="C17" s="16" t="s">
        <v>784</v>
      </c>
    </row>
    <row r="18" spans="1:3" x14ac:dyDescent="0.25">
      <c r="A18" s="16" t="s">
        <v>430</v>
      </c>
      <c r="B18" s="16" t="s">
        <v>716</v>
      </c>
      <c r="C18" s="16" t="s">
        <v>783</v>
      </c>
    </row>
    <row r="19" spans="1:3" x14ac:dyDescent="0.25">
      <c r="A19" s="16" t="s">
        <v>321</v>
      </c>
      <c r="B19" s="16" t="s">
        <v>714</v>
      </c>
      <c r="C19" s="16" t="s">
        <v>783</v>
      </c>
    </row>
    <row r="20" spans="1:3" x14ac:dyDescent="0.25">
      <c r="A20" s="16" t="s">
        <v>336</v>
      </c>
      <c r="B20" s="16" t="s">
        <v>715</v>
      </c>
      <c r="C20" s="16" t="s">
        <v>783</v>
      </c>
    </row>
    <row r="21" spans="1:3" x14ac:dyDescent="0.25">
      <c r="A21" s="16" t="s">
        <v>680</v>
      </c>
      <c r="B21" s="16" t="s">
        <v>785</v>
      </c>
      <c r="C21" s="16" t="s">
        <v>784</v>
      </c>
    </row>
    <row r="22" spans="1:3" x14ac:dyDescent="0.25">
      <c r="A22" s="16" t="s">
        <v>399</v>
      </c>
      <c r="B22" s="16" t="s">
        <v>743</v>
      </c>
      <c r="C22" s="16" t="s">
        <v>786</v>
      </c>
    </row>
    <row r="23" spans="1:3" x14ac:dyDescent="0.25">
      <c r="A23" s="16" t="s">
        <v>558</v>
      </c>
      <c r="B23" s="16" t="s">
        <v>711</v>
      </c>
      <c r="C23" s="16" t="s">
        <v>783</v>
      </c>
    </row>
    <row r="24" spans="1:3" x14ac:dyDescent="0.25">
      <c r="A24" s="16" t="s">
        <v>685</v>
      </c>
      <c r="B24" s="16" t="s">
        <v>744</v>
      </c>
      <c r="C24" s="16" t="s">
        <v>784</v>
      </c>
    </row>
    <row r="25" spans="1:3" x14ac:dyDescent="0.25">
      <c r="A25" s="16" t="s">
        <v>463</v>
      </c>
      <c r="B25" s="16" t="s">
        <v>745</v>
      </c>
      <c r="C25" s="16" t="s">
        <v>784</v>
      </c>
    </row>
    <row r="26" spans="1:3" x14ac:dyDescent="0.25">
      <c r="A26" s="16" t="s">
        <v>305</v>
      </c>
      <c r="B26" s="16" t="s">
        <v>746</v>
      </c>
      <c r="C26" s="16" t="s">
        <v>784</v>
      </c>
    </row>
    <row r="27" spans="1:3" x14ac:dyDescent="0.25">
      <c r="A27" s="16" t="s">
        <v>313</v>
      </c>
      <c r="B27" s="16" t="s">
        <v>747</v>
      </c>
      <c r="C27" s="16" t="s">
        <v>784</v>
      </c>
    </row>
    <row r="28" spans="1:3" x14ac:dyDescent="0.25">
      <c r="A28" s="16" t="s">
        <v>672</v>
      </c>
      <c r="B28" s="16" t="s">
        <v>748</v>
      </c>
      <c r="C28" s="16" t="s">
        <v>784</v>
      </c>
    </row>
    <row r="29" spans="1:3" x14ac:dyDescent="0.25">
      <c r="A29" s="16" t="s">
        <v>318</v>
      </c>
      <c r="B29" s="16" t="s">
        <v>749</v>
      </c>
      <c r="C29" s="16" t="s">
        <v>784</v>
      </c>
    </row>
    <row r="30" spans="1:3" x14ac:dyDescent="0.25">
      <c r="A30" s="16" t="s">
        <v>669</v>
      </c>
      <c r="B30" s="16" t="s">
        <v>750</v>
      </c>
      <c r="C30" s="16" t="s">
        <v>784</v>
      </c>
    </row>
    <row r="31" spans="1:3" x14ac:dyDescent="0.25">
      <c r="A31" s="16" t="s">
        <v>501</v>
      </c>
      <c r="B31" s="16" t="s">
        <v>708</v>
      </c>
      <c r="C31" s="16" t="s">
        <v>783</v>
      </c>
    </row>
    <row r="32" spans="1:3" x14ac:dyDescent="0.25">
      <c r="A32" s="16" t="s">
        <v>608</v>
      </c>
      <c r="B32" s="16" t="s">
        <v>712</v>
      </c>
      <c r="C32" s="16" t="s">
        <v>783</v>
      </c>
    </row>
    <row r="33" spans="1:3" x14ac:dyDescent="0.25">
      <c r="A33" s="16" t="s">
        <v>248</v>
      </c>
      <c r="B33" s="16" t="s">
        <v>701</v>
      </c>
      <c r="C33" s="16" t="s">
        <v>783</v>
      </c>
    </row>
    <row r="34" spans="1:3" x14ac:dyDescent="0.25">
      <c r="A34" s="16" t="s">
        <v>233</v>
      </c>
      <c r="B34" s="16" t="s">
        <v>700</v>
      </c>
      <c r="C34" s="16" t="s">
        <v>783</v>
      </c>
    </row>
    <row r="35" spans="1:3" x14ac:dyDescent="0.25">
      <c r="A35" s="16" t="s">
        <v>643</v>
      </c>
      <c r="B35" s="16" t="s">
        <v>70</v>
      </c>
      <c r="C35" s="16" t="s">
        <v>783</v>
      </c>
    </row>
    <row r="36" spans="1:3" x14ac:dyDescent="0.25">
      <c r="A36" s="16" t="s">
        <v>390</v>
      </c>
      <c r="B36" s="16" t="s">
        <v>751</v>
      </c>
      <c r="C36" s="16" t="s">
        <v>784</v>
      </c>
    </row>
    <row r="37" spans="1:3" x14ac:dyDescent="0.25">
      <c r="A37" s="16" t="s">
        <v>412</v>
      </c>
      <c r="B37" s="16" t="s">
        <v>752</v>
      </c>
      <c r="C37" s="16" t="s">
        <v>784</v>
      </c>
    </row>
    <row r="38" spans="1:3" x14ac:dyDescent="0.25">
      <c r="A38" s="16" t="s">
        <v>552</v>
      </c>
      <c r="B38" s="16" t="s">
        <v>753</v>
      </c>
      <c r="C38" s="16" t="s">
        <v>784</v>
      </c>
    </row>
    <row r="39" spans="1:3" x14ac:dyDescent="0.25">
      <c r="A39" s="16" t="s">
        <v>424</v>
      </c>
      <c r="B39" s="16" t="s">
        <v>754</v>
      </c>
      <c r="C39" s="16" t="s">
        <v>784</v>
      </c>
    </row>
    <row r="40" spans="1:3" x14ac:dyDescent="0.25">
      <c r="A40" s="16" t="s">
        <v>408</v>
      </c>
      <c r="B40" s="16" t="s">
        <v>787</v>
      </c>
      <c r="C40" s="16" t="s">
        <v>784</v>
      </c>
    </row>
    <row r="41" spans="1:3" x14ac:dyDescent="0.25">
      <c r="A41" s="16" t="s">
        <v>379</v>
      </c>
      <c r="B41" s="16" t="s">
        <v>760</v>
      </c>
      <c r="C41" s="16" t="s">
        <v>784</v>
      </c>
    </row>
    <row r="42" spans="1:3" x14ac:dyDescent="0.25">
      <c r="A42" s="16" t="s">
        <v>693</v>
      </c>
      <c r="B42" s="16" t="s">
        <v>761</v>
      </c>
      <c r="C42" s="16" t="s">
        <v>784</v>
      </c>
    </row>
    <row r="43" spans="1:3" x14ac:dyDescent="0.25">
      <c r="A43" s="16" t="s">
        <v>294</v>
      </c>
      <c r="B43" s="16" t="s">
        <v>761</v>
      </c>
      <c r="C43" s="16" t="s">
        <v>784</v>
      </c>
    </row>
    <row r="44" spans="1:3" x14ac:dyDescent="0.25">
      <c r="A44" s="16" t="s">
        <v>458</v>
      </c>
      <c r="B44" s="16" t="s">
        <v>762</v>
      </c>
      <c r="C44" s="16" t="s">
        <v>784</v>
      </c>
    </row>
    <row r="45" spans="1:3" x14ac:dyDescent="0.25">
      <c r="A45" s="16" t="s">
        <v>370</v>
      </c>
      <c r="B45" s="16" t="s">
        <v>761</v>
      </c>
      <c r="C45" s="16" t="s">
        <v>784</v>
      </c>
    </row>
    <row r="46" spans="1:3" x14ac:dyDescent="0.25">
      <c r="A46" s="16" t="s">
        <v>451</v>
      </c>
      <c r="B46" s="16" t="s">
        <v>774</v>
      </c>
      <c r="C46" s="16" t="s">
        <v>784</v>
      </c>
    </row>
    <row r="47" spans="1:3" x14ac:dyDescent="0.25">
      <c r="A47" s="16" t="s">
        <v>821</v>
      </c>
      <c r="B47" s="16" t="s">
        <v>774</v>
      </c>
      <c r="C47" s="16" t="s">
        <v>784</v>
      </c>
    </row>
    <row r="48" spans="1:3" x14ac:dyDescent="0.25">
      <c r="A48" s="16" t="s">
        <v>389</v>
      </c>
      <c r="B48" s="16" t="s">
        <v>767</v>
      </c>
      <c r="C48" s="16" t="s">
        <v>784</v>
      </c>
    </row>
    <row r="49" spans="1:3" x14ac:dyDescent="0.25">
      <c r="A49" s="16" t="s">
        <v>675</v>
      </c>
      <c r="B49" s="16" t="s">
        <v>766</v>
      </c>
      <c r="C49" s="16" t="s">
        <v>784</v>
      </c>
    </row>
    <row r="50" spans="1:3" x14ac:dyDescent="0.25">
      <c r="A50" s="16" t="s">
        <v>416</v>
      </c>
      <c r="B50" s="16" t="s">
        <v>765</v>
      </c>
      <c r="C50" s="16" t="s">
        <v>784</v>
      </c>
    </row>
    <row r="51" spans="1:3" x14ac:dyDescent="0.25">
      <c r="A51" s="16" t="s">
        <v>263</v>
      </c>
      <c r="B51" s="16" t="s">
        <v>734</v>
      </c>
      <c r="C51" s="16" t="s">
        <v>783</v>
      </c>
    </row>
    <row r="52" spans="1:3" x14ac:dyDescent="0.25">
      <c r="A52" s="16" t="s">
        <v>516</v>
      </c>
      <c r="B52" s="16" t="s">
        <v>709</v>
      </c>
      <c r="C52" s="16" t="s">
        <v>783</v>
      </c>
    </row>
    <row r="53" spans="1:3" x14ac:dyDescent="0.25">
      <c r="A53" s="16" t="s">
        <v>1099</v>
      </c>
      <c r="B53" s="16" t="s">
        <v>1100</v>
      </c>
      <c r="C53" s="16" t="s">
        <v>783</v>
      </c>
    </row>
    <row r="54" spans="1:3" x14ac:dyDescent="0.25">
      <c r="A54" s="16" t="s">
        <v>624</v>
      </c>
      <c r="B54" s="16" t="s">
        <v>713</v>
      </c>
      <c r="C54" s="16" t="s">
        <v>783</v>
      </c>
    </row>
    <row r="55" spans="1:3" x14ac:dyDescent="0.25">
      <c r="A55" s="16" t="s">
        <v>267</v>
      </c>
      <c r="B55" s="16" t="s">
        <v>702</v>
      </c>
      <c r="C55" s="16" t="s">
        <v>783</v>
      </c>
    </row>
    <row r="56" spans="1:3" x14ac:dyDescent="0.25">
      <c r="A56" s="16" t="s">
        <v>523</v>
      </c>
      <c r="B56" s="16" t="s">
        <v>710</v>
      </c>
      <c r="C56" s="16" t="s">
        <v>783</v>
      </c>
    </row>
    <row r="57" spans="1:3" x14ac:dyDescent="0.25">
      <c r="A57" s="16" t="s">
        <v>271</v>
      </c>
      <c r="B57" s="16" t="s">
        <v>703</v>
      </c>
      <c r="C57" s="16" t="s">
        <v>783</v>
      </c>
    </row>
    <row r="58" spans="1:3" x14ac:dyDescent="0.25">
      <c r="A58" s="16" t="s">
        <v>658</v>
      </c>
      <c r="B58" s="16" t="s">
        <v>764</v>
      </c>
      <c r="C58" s="16" t="s">
        <v>783</v>
      </c>
    </row>
    <row r="59" spans="1:3" x14ac:dyDescent="0.25">
      <c r="A59" s="16" t="s">
        <v>308</v>
      </c>
      <c r="B59" s="16" t="s">
        <v>763</v>
      </c>
      <c r="C59" s="16" t="s">
        <v>784</v>
      </c>
    </row>
    <row r="60" spans="1:3" x14ac:dyDescent="0.25">
      <c r="A60" s="16" t="s">
        <v>797</v>
      </c>
      <c r="B60" s="16" t="s">
        <v>789</v>
      </c>
      <c r="C60" s="16" t="s">
        <v>783</v>
      </c>
    </row>
    <row r="61" spans="1:3" x14ac:dyDescent="0.25">
      <c r="A61" s="16" t="s">
        <v>813</v>
      </c>
      <c r="B61" s="16" t="s">
        <v>790</v>
      </c>
      <c r="C61" s="16" t="s">
        <v>783</v>
      </c>
    </row>
    <row r="62" spans="1:3" x14ac:dyDescent="0.25">
      <c r="A62" s="16" t="s">
        <v>818</v>
      </c>
      <c r="B62" s="16" t="s">
        <v>823</v>
      </c>
      <c r="C62" s="16" t="s">
        <v>783</v>
      </c>
    </row>
    <row r="63" spans="1:3" x14ac:dyDescent="0.25">
      <c r="A63" s="16" t="s">
        <v>820</v>
      </c>
      <c r="B63" s="16" t="s">
        <v>824</v>
      </c>
      <c r="C63" s="16" t="s">
        <v>783</v>
      </c>
    </row>
    <row r="64" spans="1:3" x14ac:dyDescent="0.25">
      <c r="A64" s="16" t="s">
        <v>810</v>
      </c>
      <c r="B64" s="16" t="s">
        <v>791</v>
      </c>
      <c r="C64" s="16" t="s">
        <v>783</v>
      </c>
    </row>
    <row r="65" spans="1:3" x14ac:dyDescent="0.25">
      <c r="A65" t="s">
        <v>1050</v>
      </c>
      <c r="B65" t="s">
        <v>893</v>
      </c>
      <c r="C65" s="88" t="s">
        <v>783</v>
      </c>
    </row>
    <row r="66" spans="1:3" x14ac:dyDescent="0.25">
      <c r="A66" t="s">
        <v>1052</v>
      </c>
      <c r="B66" t="s">
        <v>894</v>
      </c>
      <c r="C66" s="88" t="s">
        <v>783</v>
      </c>
    </row>
    <row r="67" spans="1:3" x14ac:dyDescent="0.25">
      <c r="A67" t="s">
        <v>1053</v>
      </c>
      <c r="B67" t="s">
        <v>895</v>
      </c>
      <c r="C67" s="88" t="s">
        <v>783</v>
      </c>
    </row>
    <row r="68" spans="1:3" x14ac:dyDescent="0.25">
      <c r="A68" t="s">
        <v>1054</v>
      </c>
      <c r="B68" t="s">
        <v>896</v>
      </c>
      <c r="C68" s="88" t="s">
        <v>783</v>
      </c>
    </row>
    <row r="69" spans="1:3" x14ac:dyDescent="0.25">
      <c r="A69" t="s">
        <v>1055</v>
      </c>
      <c r="B69" t="s">
        <v>1072</v>
      </c>
      <c r="C69" s="88" t="s">
        <v>783</v>
      </c>
    </row>
    <row r="70" spans="1:3" x14ac:dyDescent="0.25">
      <c r="A70" t="s">
        <v>1056</v>
      </c>
      <c r="B70" t="s">
        <v>898</v>
      </c>
      <c r="C70" s="88" t="s">
        <v>783</v>
      </c>
    </row>
    <row r="71" spans="1:3" x14ac:dyDescent="0.25">
      <c r="A71" t="s">
        <v>1057</v>
      </c>
      <c r="B71" t="s">
        <v>899</v>
      </c>
      <c r="C71" s="88" t="s">
        <v>783</v>
      </c>
    </row>
    <row r="72" spans="1:3" x14ac:dyDescent="0.25">
      <c r="A72" t="s">
        <v>1058</v>
      </c>
      <c r="B72" t="s">
        <v>1073</v>
      </c>
      <c r="C72" s="88" t="s">
        <v>783</v>
      </c>
    </row>
    <row r="73" spans="1:3" x14ac:dyDescent="0.25">
      <c r="A73" t="s">
        <v>1059</v>
      </c>
      <c r="B73" t="s">
        <v>1074</v>
      </c>
      <c r="C73" s="16" t="s">
        <v>784</v>
      </c>
    </row>
    <row r="74" spans="1:3" x14ac:dyDescent="0.25">
      <c r="A74" t="s">
        <v>1060</v>
      </c>
      <c r="B74" t="s">
        <v>1075</v>
      </c>
      <c r="C74" s="16" t="s">
        <v>784</v>
      </c>
    </row>
    <row r="75" spans="1:3" x14ac:dyDescent="0.25">
      <c r="A75" t="s">
        <v>1061</v>
      </c>
      <c r="B75" t="s">
        <v>1076</v>
      </c>
      <c r="C75" s="16" t="s">
        <v>784</v>
      </c>
    </row>
    <row r="76" spans="1:3" x14ac:dyDescent="0.25">
      <c r="A76" t="s">
        <v>1062</v>
      </c>
      <c r="B76" t="s">
        <v>1077</v>
      </c>
      <c r="C76" s="16" t="s">
        <v>784</v>
      </c>
    </row>
    <row r="77" spans="1:3" x14ac:dyDescent="0.25">
      <c r="A77" t="s">
        <v>1063</v>
      </c>
      <c r="B77" t="s">
        <v>1078</v>
      </c>
      <c r="C77" s="16" t="s">
        <v>784</v>
      </c>
    </row>
    <row r="78" spans="1:3" x14ac:dyDescent="0.25">
      <c r="A78" t="s">
        <v>1064</v>
      </c>
      <c r="B78" t="s">
        <v>1079</v>
      </c>
      <c r="C78" s="16" t="s">
        <v>784</v>
      </c>
    </row>
    <row r="79" spans="1:3" x14ac:dyDescent="0.25">
      <c r="A79" t="s">
        <v>1065</v>
      </c>
      <c r="B79" t="s">
        <v>1080</v>
      </c>
      <c r="C79" s="16" t="s">
        <v>784</v>
      </c>
    </row>
    <row r="80" spans="1:3" x14ac:dyDescent="0.25">
      <c r="A80" t="s">
        <v>1066</v>
      </c>
      <c r="B80" t="s">
        <v>1081</v>
      </c>
      <c r="C80" s="16" t="s">
        <v>784</v>
      </c>
    </row>
    <row r="81" spans="1:3" x14ac:dyDescent="0.25">
      <c r="A81" t="s">
        <v>1067</v>
      </c>
      <c r="B81" t="s">
        <v>1082</v>
      </c>
      <c r="C81" s="16" t="s">
        <v>784</v>
      </c>
    </row>
    <row r="82" spans="1:3" x14ac:dyDescent="0.25">
      <c r="A82" t="s">
        <v>1068</v>
      </c>
      <c r="B82" t="s">
        <v>1083</v>
      </c>
      <c r="C82" s="16" t="s">
        <v>784</v>
      </c>
    </row>
    <row r="83" spans="1:3" x14ac:dyDescent="0.25">
      <c r="A83" t="s">
        <v>1069</v>
      </c>
      <c r="B83" t="s">
        <v>1084</v>
      </c>
      <c r="C83" s="16" t="s">
        <v>784</v>
      </c>
    </row>
    <row r="84" spans="1:3" x14ac:dyDescent="0.25">
      <c r="A84" t="s">
        <v>1070</v>
      </c>
      <c r="B84" t="s">
        <v>1085</v>
      </c>
      <c r="C84" s="16" t="s">
        <v>784</v>
      </c>
    </row>
    <row r="85" spans="1:3" x14ac:dyDescent="0.25">
      <c r="A85" t="s">
        <v>1071</v>
      </c>
      <c r="B85" t="s">
        <v>1086</v>
      </c>
      <c r="C85" s="16" t="s">
        <v>784</v>
      </c>
    </row>
    <row r="86" spans="1:3" x14ac:dyDescent="0.25">
      <c r="A86" t="s">
        <v>980</v>
      </c>
      <c r="B86" t="s">
        <v>982</v>
      </c>
      <c r="C86" s="16" t="s">
        <v>784</v>
      </c>
    </row>
    <row r="87" spans="1:3" x14ac:dyDescent="0.25">
      <c r="A87" t="s">
        <v>968</v>
      </c>
      <c r="B87" t="s">
        <v>887</v>
      </c>
      <c r="C87" s="88" t="s">
        <v>783</v>
      </c>
    </row>
    <row r="88" spans="1:3" x14ac:dyDescent="0.25">
      <c r="A88" t="s">
        <v>969</v>
      </c>
      <c r="B88" t="s">
        <v>888</v>
      </c>
      <c r="C88" s="88" t="s">
        <v>783</v>
      </c>
    </row>
    <row r="89" spans="1:3" x14ac:dyDescent="0.25">
      <c r="A89" t="s">
        <v>970</v>
      </c>
      <c r="B89" t="s">
        <v>889</v>
      </c>
      <c r="C89" s="88" t="s">
        <v>783</v>
      </c>
    </row>
    <row r="90" spans="1:3" x14ac:dyDescent="0.25">
      <c r="A90" t="s">
        <v>971</v>
      </c>
      <c r="B90" t="s">
        <v>890</v>
      </c>
      <c r="C90" s="88" t="s">
        <v>783</v>
      </c>
    </row>
    <row r="91" spans="1:3" x14ac:dyDescent="0.25">
      <c r="A91" t="s">
        <v>972</v>
      </c>
      <c r="B91" t="s">
        <v>891</v>
      </c>
      <c r="C91" s="88" t="s">
        <v>783</v>
      </c>
    </row>
    <row r="92" spans="1:3" x14ac:dyDescent="0.25">
      <c r="A92" t="s">
        <v>973</v>
      </c>
      <c r="B92" t="s">
        <v>960</v>
      </c>
      <c r="C92" s="88" t="s">
        <v>784</v>
      </c>
    </row>
    <row r="93" spans="1:3" x14ac:dyDescent="0.25">
      <c r="A93" t="s">
        <v>981</v>
      </c>
      <c r="B93" t="s">
        <v>961</v>
      </c>
      <c r="C93" s="88" t="s">
        <v>784</v>
      </c>
    </row>
    <row r="94" spans="1:3" x14ac:dyDescent="0.25">
      <c r="A94" t="s">
        <v>974</v>
      </c>
      <c r="B94" t="s">
        <v>962</v>
      </c>
      <c r="C94" s="88" t="s">
        <v>784</v>
      </c>
    </row>
    <row r="95" spans="1:3" x14ac:dyDescent="0.25">
      <c r="A95" t="s">
        <v>975</v>
      </c>
      <c r="B95" t="s">
        <v>967</v>
      </c>
      <c r="C95" s="88" t="s">
        <v>784</v>
      </c>
    </row>
    <row r="96" spans="1:3" x14ac:dyDescent="0.25">
      <c r="A96" t="s">
        <v>976</v>
      </c>
      <c r="B96" t="s">
        <v>964</v>
      </c>
      <c r="C96" s="88" t="s">
        <v>784</v>
      </c>
    </row>
    <row r="97" spans="1:7" x14ac:dyDescent="0.25">
      <c r="A97" t="s">
        <v>977</v>
      </c>
      <c r="B97" t="s">
        <v>963</v>
      </c>
      <c r="C97" s="88" t="s">
        <v>784</v>
      </c>
    </row>
    <row r="98" spans="1:7" x14ac:dyDescent="0.25">
      <c r="A98" t="s">
        <v>978</v>
      </c>
      <c r="B98" t="s">
        <v>1087</v>
      </c>
      <c r="C98" s="88" t="s">
        <v>784</v>
      </c>
    </row>
    <row r="99" spans="1:7" x14ac:dyDescent="0.25">
      <c r="A99" t="s">
        <v>1094</v>
      </c>
      <c r="B99" t="s">
        <v>965</v>
      </c>
      <c r="C99" s="88" t="s">
        <v>784</v>
      </c>
    </row>
    <row r="100" spans="1:7" x14ac:dyDescent="0.25">
      <c r="A100" t="s">
        <v>1095</v>
      </c>
      <c r="B100" t="s">
        <v>1097</v>
      </c>
      <c r="C100" s="88" t="s">
        <v>784</v>
      </c>
    </row>
    <row r="101" spans="1:7" x14ac:dyDescent="0.25">
      <c r="A101" t="s">
        <v>1096</v>
      </c>
      <c r="B101" t="s">
        <v>1098</v>
      </c>
      <c r="C101" s="88" t="s">
        <v>784</v>
      </c>
    </row>
    <row r="102" spans="1:7" x14ac:dyDescent="0.25">
      <c r="A102" t="s">
        <v>979</v>
      </c>
      <c r="B102" t="s">
        <v>966</v>
      </c>
      <c r="C102" s="88" t="s">
        <v>784</v>
      </c>
      <c r="G102" t="s">
        <v>1095</v>
      </c>
    </row>
    <row r="103" spans="1:7" x14ac:dyDescent="0.25">
      <c r="A103" t="s">
        <v>1088</v>
      </c>
      <c r="B103" t="s">
        <v>1090</v>
      </c>
      <c r="C103" s="88" t="s">
        <v>784</v>
      </c>
      <c r="G103" t="s">
        <v>1096</v>
      </c>
    </row>
    <row r="104" spans="1:7" x14ac:dyDescent="0.25">
      <c r="A104" t="s">
        <v>1089</v>
      </c>
      <c r="B104" t="s">
        <v>1091</v>
      </c>
      <c r="C104" s="88" t="s">
        <v>784</v>
      </c>
    </row>
    <row r="105" spans="1:7" x14ac:dyDescent="0.25">
      <c r="A105" s="16" t="s">
        <v>584</v>
      </c>
      <c r="B105" s="16" t="s">
        <v>822</v>
      </c>
      <c r="C105" s="16" t="s">
        <v>783</v>
      </c>
    </row>
  </sheetData>
  <sortState xmlns:xlrd2="http://schemas.microsoft.com/office/spreadsheetml/2017/richdata2" ref="A2:B105">
    <sortCondition ref="B2:B105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B048-EB4C-4B89-BA19-4E725E69128B}">
  <sheetPr codeName="Sheet18">
    <tabColor rgb="FFFFC000"/>
  </sheetPr>
  <dimension ref="A1:H51"/>
  <sheetViews>
    <sheetView workbookViewId="0">
      <pane ySplit="1" topLeftCell="A2" activePane="bottomLeft" state="frozen"/>
      <selection activeCell="E15" sqref="E15"/>
      <selection pane="bottomLeft" activeCell="B2" sqref="B2"/>
    </sheetView>
  </sheetViews>
  <sheetFormatPr defaultRowHeight="15" x14ac:dyDescent="0.25"/>
  <cols>
    <col min="2" max="2" width="15.42578125" bestFit="1" customWidth="1"/>
    <col min="3" max="3" width="15.85546875" bestFit="1" customWidth="1"/>
    <col min="4" max="4" width="6.5703125" bestFit="1" customWidth="1"/>
    <col min="5" max="5" width="9.85546875" bestFit="1" customWidth="1"/>
    <col min="6" max="6" width="14.5703125" bestFit="1" customWidth="1"/>
    <col min="7" max="7" width="7.5703125" bestFit="1" customWidth="1"/>
  </cols>
  <sheetData>
    <row r="1" spans="1:7" x14ac:dyDescent="0.25">
      <c r="A1" t="s">
        <v>3</v>
      </c>
      <c r="B1" t="s">
        <v>777</v>
      </c>
      <c r="C1" t="s">
        <v>778</v>
      </c>
      <c r="D1" t="s">
        <v>779</v>
      </c>
      <c r="E1" t="s">
        <v>737</v>
      </c>
      <c r="F1" t="s">
        <v>739</v>
      </c>
      <c r="G1" t="s">
        <v>765</v>
      </c>
    </row>
    <row r="2" spans="1:7" x14ac:dyDescent="0.25">
      <c r="A2">
        <v>1</v>
      </c>
      <c r="B2" t="str">
        <f>_xlfn.XLOOKUP(A2,calc_s60!$C$15:$C$10000,calc_s60!$BF$15:$BF$10000,_xlfn.XLOOKUP(A2,'calc_s90&amp;138'!$C$15:$C$10000,'calc_s90&amp;138'!$CJ$15:$CJ$10000,"",0),0)</f>
        <v/>
      </c>
      <c r="C2" t="str">
        <f>_xlfn.XLOOKUP(A2,calc_s60!$C$15:$C$10000,calc_s60!$BG$15:$BG$10000,_xlfn.XLOOKUP(A2,'calc_s90&amp;138'!$C$15:$C$10000,'calc_s90&amp;138'!$CL$15:$CL$10000,"",0),0)</f>
        <v/>
      </c>
      <c r="D2" t="str">
        <f>_xlfn.XLOOKUP(A2,calc_s60!$C$15:$C$10000,calc_s60!$BH$15:$BH$10000,_xlfn.XLOOKUP(A2,'calc_s90&amp;138'!$C$15:$C$10000,'calc_s90&amp;138'!$CM$15:$CM$10000,"",0),0)</f>
        <v/>
      </c>
      <c r="E2" t="str">
        <f>_xlfn.XLOOKUP(A2,calc_s60!$C$15:$C$10000,calc_s60!$BI$15:$BI$10000,_xlfn.XLOOKUP(A2,'calc_s90&amp;138'!$C$15:$C$10000,'calc_s90&amp;138'!$CN$15:$CN$10000,"",0),0)</f>
        <v/>
      </c>
      <c r="F2" t="str">
        <f>_xlfn.XLOOKUP(A2,calc_s60!$C$15:$C$10000,calc_s60!$BJ$15:$BJ$10000,_xlfn.XLOOKUP(A2,'calc_s90&amp;138'!$C$15:$C$10000,'calc_s90&amp;138'!$CO$15:$CO$10000,"",0),0)</f>
        <v/>
      </c>
      <c r="G2" t="str">
        <f>_xlfn.XLOOKUP(A2,calc_s60!$C$15:$C$10000,calc_s60!$BK$15:$BK$10000,_xlfn.XLOOKUP(A2,'calc_s90&amp;138'!$C$15:$C$10000,'calc_s90&amp;138'!$CP$15:$CP$10000,"",0),0)</f>
        <v/>
      </c>
    </row>
    <row r="3" spans="1:7" x14ac:dyDescent="0.25">
      <c r="A3">
        <v>2</v>
      </c>
      <c r="B3" t="str">
        <f>_xlfn.XLOOKUP(A3,calc_s60!$C$15:$C$10000,calc_s60!$BF$15:$BF$10000,_xlfn.XLOOKUP(A3,'calc_s90&amp;138'!$C$15:$C$10000,'calc_s90&amp;138'!$CJ$15:$CJ$10000,"",0),0)</f>
        <v/>
      </c>
      <c r="C3" t="str">
        <f>_xlfn.XLOOKUP(A3,calc_s60!$C$15:$C$10000,calc_s60!$BG$15:$BG$10000,_xlfn.XLOOKUP(A3,'calc_s90&amp;138'!$C$15:$C$10000,'calc_s90&amp;138'!$CL$15:$CL$10000,"",0),0)</f>
        <v/>
      </c>
      <c r="D3" t="str">
        <f>_xlfn.XLOOKUP(A3,calc_s60!$C$15:$C$10000,calc_s60!$BH$15:$BH$10000,_xlfn.XLOOKUP(A3,'calc_s90&amp;138'!$C$15:$C$10000,'calc_s90&amp;138'!$CM$15:$CM$10000,"",0),0)</f>
        <v/>
      </c>
      <c r="E3" t="str">
        <f>_xlfn.XLOOKUP(A3,calc_s60!$C$15:$C$10000,calc_s60!$BI$15:$BI$10000,_xlfn.XLOOKUP(A3,'calc_s90&amp;138'!$C$15:$C$10000,'calc_s90&amp;138'!$CN$15:$CN$10000,"",0),0)</f>
        <v/>
      </c>
      <c r="F3" t="str">
        <f>_xlfn.XLOOKUP(A3,calc_s60!$C$15:$C$10000,calc_s60!$BJ$15:$BJ$10000,_xlfn.XLOOKUP(A3,'calc_s90&amp;138'!$C$15:$C$10000,'calc_s90&amp;138'!$CO$15:$CO$10000,"",0),0)</f>
        <v/>
      </c>
      <c r="G3" t="str">
        <f>_xlfn.XLOOKUP(A3,calc_s60!$C$15:$C$10000,calc_s60!$BK$15:$BK$10000,_xlfn.XLOOKUP(A3,'calc_s90&amp;138'!$C$15:$C$10000,'calc_s90&amp;138'!$CP$15:$CP$10000,"",0),0)</f>
        <v/>
      </c>
    </row>
    <row r="4" spans="1:7" x14ac:dyDescent="0.25">
      <c r="A4">
        <v>3</v>
      </c>
      <c r="B4" t="str">
        <f>_xlfn.XLOOKUP(A4,calc_s60!$C$15:$C$10000,calc_s60!$BF$15:$BF$10000,_xlfn.XLOOKUP(A4,'calc_s90&amp;138'!$C$15:$C$10000,'calc_s90&amp;138'!$CJ$15:$CJ$10000,"",0),0)</f>
        <v/>
      </c>
      <c r="C4" t="str">
        <f>_xlfn.XLOOKUP(A4,calc_s60!$C$15:$C$10000,calc_s60!$BG$15:$BG$10000,_xlfn.XLOOKUP(A4,'calc_s90&amp;138'!$C$15:$C$10000,'calc_s90&amp;138'!$CL$15:$CL$10000,"",0),0)</f>
        <v/>
      </c>
      <c r="D4" t="str">
        <f>_xlfn.XLOOKUP(A4,calc_s60!$C$15:$C$10000,calc_s60!$BH$15:$BH$10000,_xlfn.XLOOKUP(A4,'calc_s90&amp;138'!$C$15:$C$10000,'calc_s90&amp;138'!$CM$15:$CM$10000,"",0),0)</f>
        <v/>
      </c>
      <c r="E4" t="str">
        <f>_xlfn.XLOOKUP(A4,calc_s60!$C$15:$C$10000,calc_s60!$BI$15:$BI$10000,_xlfn.XLOOKUP(A4,'calc_s90&amp;138'!$C$15:$C$10000,'calc_s90&amp;138'!$CN$15:$CN$10000,"",0),0)</f>
        <v/>
      </c>
      <c r="F4" t="str">
        <f>_xlfn.XLOOKUP(A4,calc_s60!$C$15:$C$10000,calc_s60!$BJ$15:$BJ$10000,_xlfn.XLOOKUP(A4,'calc_s90&amp;138'!$C$15:$C$10000,'calc_s90&amp;138'!$CO$15:$CO$10000,"",0),0)</f>
        <v/>
      </c>
      <c r="G4" t="str">
        <f>_xlfn.XLOOKUP(A4,calc_s60!$C$15:$C$10000,calc_s60!$BK$15:$BK$10000,_xlfn.XLOOKUP(A4,'calc_s90&amp;138'!$C$15:$C$10000,'calc_s90&amp;138'!$CP$15:$CP$10000,"",0),0)</f>
        <v/>
      </c>
    </row>
    <row r="5" spans="1:7" x14ac:dyDescent="0.25">
      <c r="A5">
        <v>4</v>
      </c>
      <c r="B5" t="str">
        <f>_xlfn.XLOOKUP(A5,calc_s60!$C$15:$C$10000,calc_s60!$BF$15:$BF$10000,_xlfn.XLOOKUP(A5,'calc_s90&amp;138'!$C$15:$C$10000,'calc_s90&amp;138'!$CJ$15:$CJ$10000,"",0),0)</f>
        <v/>
      </c>
      <c r="C5" t="str">
        <f>_xlfn.XLOOKUP(A5,calc_s60!$C$15:$C$10000,calc_s60!$BG$15:$BG$10000,_xlfn.XLOOKUP(A5,'calc_s90&amp;138'!$C$15:$C$10000,'calc_s90&amp;138'!$CL$15:$CL$10000,"",0),0)</f>
        <v/>
      </c>
      <c r="D5" t="str">
        <f>_xlfn.XLOOKUP(A5,calc_s60!$C$15:$C$10000,calc_s60!$BH$15:$BH$10000,_xlfn.XLOOKUP(A5,'calc_s90&amp;138'!$C$15:$C$10000,'calc_s90&amp;138'!$CM$15:$CM$10000,"",0),0)</f>
        <v/>
      </c>
      <c r="E5" t="str">
        <f>_xlfn.XLOOKUP(A5,calc_s60!$C$15:$C$10000,calc_s60!$BI$15:$BI$10000,_xlfn.XLOOKUP(A5,'calc_s90&amp;138'!$C$15:$C$10000,'calc_s90&amp;138'!$CN$15:$CN$10000,"",0),0)</f>
        <v/>
      </c>
      <c r="F5" t="str">
        <f>_xlfn.XLOOKUP(A5,calc_s60!$C$15:$C$10000,calc_s60!$BJ$15:$BJ$10000,_xlfn.XLOOKUP(A5,'calc_s90&amp;138'!$C$15:$C$10000,'calc_s90&amp;138'!$CO$15:$CO$10000,"",0),0)</f>
        <v/>
      </c>
      <c r="G5" t="str">
        <f>_xlfn.XLOOKUP(A5,calc_s60!$C$15:$C$10000,calc_s60!$BK$15:$BK$10000,_xlfn.XLOOKUP(A5,'calc_s90&amp;138'!$C$15:$C$10000,'calc_s90&amp;138'!$CP$15:$CP$10000,"",0),0)</f>
        <v/>
      </c>
    </row>
    <row r="6" spans="1:7" x14ac:dyDescent="0.25">
      <c r="A6">
        <v>5</v>
      </c>
      <c r="B6" t="str">
        <f>_xlfn.XLOOKUP(A6,calc_s60!$C$15:$C$10000,calc_s60!$BF$15:$BF$10000,_xlfn.XLOOKUP(A6,'calc_s90&amp;138'!$C$15:$C$10000,'calc_s90&amp;138'!$CJ$15:$CJ$10000,"",0),0)</f>
        <v/>
      </c>
      <c r="C6" t="str">
        <f>_xlfn.XLOOKUP(A6,calc_s60!$C$15:$C$10000,calc_s60!$BG$15:$BG$10000,_xlfn.XLOOKUP(A6,'calc_s90&amp;138'!$C$15:$C$10000,'calc_s90&amp;138'!$CL$15:$CL$10000,"",0),0)</f>
        <v/>
      </c>
      <c r="D6" t="str">
        <f>_xlfn.XLOOKUP(A6,calc_s60!$C$15:$C$10000,calc_s60!$BH$15:$BH$10000,_xlfn.XLOOKUP(A6,'calc_s90&amp;138'!$C$15:$C$10000,'calc_s90&amp;138'!$CM$15:$CM$10000,"",0),0)</f>
        <v/>
      </c>
      <c r="E6" t="str">
        <f>_xlfn.XLOOKUP(A6,calc_s60!$C$15:$C$10000,calc_s60!$BI$15:$BI$10000,_xlfn.XLOOKUP(A6,'calc_s90&amp;138'!$C$15:$C$10000,'calc_s90&amp;138'!$CN$15:$CN$10000,"",0),0)</f>
        <v/>
      </c>
      <c r="F6" t="str">
        <f>_xlfn.XLOOKUP(A6,calc_s60!$C$15:$C$10000,calc_s60!$BJ$15:$BJ$10000,_xlfn.XLOOKUP(A6,'calc_s90&amp;138'!$C$15:$C$10000,'calc_s90&amp;138'!$CO$15:$CO$10000,"",0),0)</f>
        <v/>
      </c>
      <c r="G6" t="str">
        <f>_xlfn.XLOOKUP(A6,calc_s60!$C$15:$C$10000,calc_s60!$BK$15:$BK$10000,_xlfn.XLOOKUP(A6,'calc_s90&amp;138'!$C$15:$C$10000,'calc_s90&amp;138'!$CP$15:$CP$10000,"",0),0)</f>
        <v/>
      </c>
    </row>
    <row r="7" spans="1:7" x14ac:dyDescent="0.25">
      <c r="A7">
        <v>6</v>
      </c>
      <c r="B7" t="str">
        <f>_xlfn.XLOOKUP(A7,calc_s60!$C$15:$C$10000,calc_s60!$BF$15:$BF$10000,_xlfn.XLOOKUP(A7,'calc_s90&amp;138'!$C$15:$C$10000,'calc_s90&amp;138'!$CJ$15:$CJ$10000,"",0),0)</f>
        <v/>
      </c>
      <c r="C7" t="str">
        <f>_xlfn.XLOOKUP(A7,calc_s60!$C$15:$C$10000,calc_s60!$BG$15:$BG$10000,_xlfn.XLOOKUP(A7,'calc_s90&amp;138'!$C$15:$C$10000,'calc_s90&amp;138'!$CL$15:$CL$10000,"",0),0)</f>
        <v/>
      </c>
      <c r="D7" t="str">
        <f>_xlfn.XLOOKUP(A7,calc_s60!$C$15:$C$10000,calc_s60!$BH$15:$BH$10000,_xlfn.XLOOKUP(A7,'calc_s90&amp;138'!$C$15:$C$10000,'calc_s90&amp;138'!$CM$15:$CM$10000,"",0),0)</f>
        <v/>
      </c>
      <c r="E7" t="str">
        <f>_xlfn.XLOOKUP(A7,calc_s60!$C$15:$C$10000,calc_s60!$BI$15:$BI$10000,_xlfn.XLOOKUP(A7,'calc_s90&amp;138'!$C$15:$C$10000,'calc_s90&amp;138'!$CN$15:$CN$10000,"",0),0)</f>
        <v/>
      </c>
      <c r="F7" t="str">
        <f>_xlfn.XLOOKUP(A7,calc_s60!$C$15:$C$10000,calc_s60!$BJ$15:$BJ$10000,_xlfn.XLOOKUP(A7,'calc_s90&amp;138'!$C$15:$C$10000,'calc_s90&amp;138'!$CO$15:$CO$10000,"",0),0)</f>
        <v/>
      </c>
      <c r="G7" t="str">
        <f>_xlfn.XLOOKUP(A7,calc_s60!$C$15:$C$10000,calc_s60!$BK$15:$BK$10000,_xlfn.XLOOKUP(A7,'calc_s90&amp;138'!$C$15:$C$10000,'calc_s90&amp;138'!$CP$15:$CP$10000,"",0),0)</f>
        <v/>
      </c>
    </row>
    <row r="8" spans="1:7" x14ac:dyDescent="0.25">
      <c r="A8">
        <v>7</v>
      </c>
      <c r="B8" t="str">
        <f>_xlfn.XLOOKUP(A8,calc_s60!$C$15:$C$10000,calc_s60!$BF$15:$BF$10000,_xlfn.XLOOKUP(A8,'calc_s90&amp;138'!$C$15:$C$10000,'calc_s90&amp;138'!$CJ$15:$CJ$10000,"",0),0)</f>
        <v/>
      </c>
      <c r="C8" t="str">
        <f>_xlfn.XLOOKUP(A8,calc_s60!$C$15:$C$10000,calc_s60!$BG$15:$BG$10000,_xlfn.XLOOKUP(A8,'calc_s90&amp;138'!$C$15:$C$10000,'calc_s90&amp;138'!$CL$15:$CL$10000,"",0),0)</f>
        <v/>
      </c>
      <c r="D8" t="str">
        <f>_xlfn.XLOOKUP(A8,calc_s60!$C$15:$C$10000,calc_s60!$BH$15:$BH$10000,_xlfn.XLOOKUP(A8,'calc_s90&amp;138'!$C$15:$C$10000,'calc_s90&amp;138'!$CM$15:$CM$10000,"",0),0)</f>
        <v/>
      </c>
      <c r="E8" t="str">
        <f>_xlfn.XLOOKUP(A8,calc_s60!$C$15:$C$10000,calc_s60!$BI$15:$BI$10000,_xlfn.XLOOKUP(A8,'calc_s90&amp;138'!$C$15:$C$10000,'calc_s90&amp;138'!$CN$15:$CN$10000,"",0),0)</f>
        <v/>
      </c>
      <c r="F8" t="str">
        <f>_xlfn.XLOOKUP(A8,calc_s60!$C$15:$C$10000,calc_s60!$BJ$15:$BJ$10000,_xlfn.XLOOKUP(A8,'calc_s90&amp;138'!$C$15:$C$10000,'calc_s90&amp;138'!$CO$15:$CO$10000,"",0),0)</f>
        <v/>
      </c>
      <c r="G8" t="str">
        <f>_xlfn.XLOOKUP(A8,calc_s60!$C$15:$C$10000,calc_s60!$BK$15:$BK$10000,_xlfn.XLOOKUP(A8,'calc_s90&amp;138'!$C$15:$C$10000,'calc_s90&amp;138'!$CP$15:$CP$10000,"",0),0)</f>
        <v/>
      </c>
    </row>
    <row r="9" spans="1:7" x14ac:dyDescent="0.25">
      <c r="A9">
        <v>8</v>
      </c>
      <c r="B9" t="str">
        <f>_xlfn.XLOOKUP(A9,calc_s60!$C$15:$C$10000,calc_s60!$BF$15:$BF$10000,_xlfn.XLOOKUP(A9,'calc_s90&amp;138'!$C$15:$C$10000,'calc_s90&amp;138'!$CJ$15:$CJ$10000,"",0),0)</f>
        <v/>
      </c>
      <c r="C9" t="str">
        <f>_xlfn.XLOOKUP(A9,calc_s60!$C$15:$C$10000,calc_s60!$BG$15:$BG$10000,_xlfn.XLOOKUP(A9,'calc_s90&amp;138'!$C$15:$C$10000,'calc_s90&amp;138'!$CL$15:$CL$10000,"",0),0)</f>
        <v/>
      </c>
      <c r="D9" t="str">
        <f>_xlfn.XLOOKUP(A9,calc_s60!$C$15:$C$10000,calc_s60!$BH$15:$BH$10000,_xlfn.XLOOKUP(A9,'calc_s90&amp;138'!$C$15:$C$10000,'calc_s90&amp;138'!$CM$15:$CM$10000,"",0),0)</f>
        <v/>
      </c>
      <c r="E9" t="str">
        <f>_xlfn.XLOOKUP(A9,calc_s60!$C$15:$C$10000,calc_s60!$BI$15:$BI$10000,_xlfn.XLOOKUP(A9,'calc_s90&amp;138'!$C$15:$C$10000,'calc_s90&amp;138'!$CN$15:$CN$10000,"",0),0)</f>
        <v/>
      </c>
      <c r="F9" t="str">
        <f>_xlfn.XLOOKUP(A9,calc_s60!$C$15:$C$10000,calc_s60!$BJ$15:$BJ$10000,_xlfn.XLOOKUP(A9,'calc_s90&amp;138'!$C$15:$C$10000,'calc_s90&amp;138'!$CO$15:$CO$10000,"",0),0)</f>
        <v/>
      </c>
      <c r="G9" t="str">
        <f>_xlfn.XLOOKUP(A9,calc_s60!$C$15:$C$10000,calc_s60!$BK$15:$BK$10000,_xlfn.XLOOKUP(A9,'calc_s90&amp;138'!$C$15:$C$10000,'calc_s90&amp;138'!$CP$15:$CP$10000,"",0),0)</f>
        <v/>
      </c>
    </row>
    <row r="10" spans="1:7" x14ac:dyDescent="0.25">
      <c r="A10">
        <v>9</v>
      </c>
      <c r="B10" t="str">
        <f>_xlfn.XLOOKUP(A10,calc_s60!$C$15:$C$10000,calc_s60!$BF$15:$BF$10000,_xlfn.XLOOKUP(A10,'calc_s90&amp;138'!$C$15:$C$10000,'calc_s90&amp;138'!$CJ$15:$CJ$10000,"",0),0)</f>
        <v/>
      </c>
      <c r="C10" t="str">
        <f>_xlfn.XLOOKUP(A10,calc_s60!$C$15:$C$10000,calc_s60!$BG$15:$BG$10000,_xlfn.XLOOKUP(A10,'calc_s90&amp;138'!$C$15:$C$10000,'calc_s90&amp;138'!$CL$15:$CL$10000,"",0),0)</f>
        <v/>
      </c>
      <c r="D10" t="str">
        <f>_xlfn.XLOOKUP(A10,calc_s60!$C$15:$C$10000,calc_s60!$BH$15:$BH$10000,_xlfn.XLOOKUP(A10,'calc_s90&amp;138'!$C$15:$C$10000,'calc_s90&amp;138'!$CM$15:$CM$10000,"",0),0)</f>
        <v/>
      </c>
      <c r="E10" t="str">
        <f>_xlfn.XLOOKUP(A10,calc_s60!$C$15:$C$10000,calc_s60!$BI$15:$BI$10000,_xlfn.XLOOKUP(A10,'calc_s90&amp;138'!$C$15:$C$10000,'calc_s90&amp;138'!$CN$15:$CN$10000,"",0),0)</f>
        <v/>
      </c>
      <c r="F10" t="str">
        <f>_xlfn.XLOOKUP(A10,calc_s60!$C$15:$C$10000,calc_s60!$BJ$15:$BJ$10000,_xlfn.XLOOKUP(A10,'calc_s90&amp;138'!$C$15:$C$10000,'calc_s90&amp;138'!$CO$15:$CO$10000,"",0),0)</f>
        <v/>
      </c>
      <c r="G10" t="str">
        <f>_xlfn.XLOOKUP(A10,calc_s60!$C$15:$C$10000,calc_s60!$BK$15:$BK$10000,_xlfn.XLOOKUP(A10,'calc_s90&amp;138'!$C$15:$C$10000,'calc_s90&amp;138'!$CP$15:$CP$10000,"",0),0)</f>
        <v/>
      </c>
    </row>
    <row r="11" spans="1:7" x14ac:dyDescent="0.25">
      <c r="A11">
        <v>10</v>
      </c>
      <c r="B11" t="str">
        <f>_xlfn.XLOOKUP(A11,calc_s60!$C$15:$C$10000,calc_s60!$BF$15:$BF$10000,_xlfn.XLOOKUP(A11,'calc_s90&amp;138'!$C$15:$C$10000,'calc_s90&amp;138'!$CJ$15:$CJ$10000,"",0),0)</f>
        <v/>
      </c>
      <c r="C11" t="str">
        <f>_xlfn.XLOOKUP(A11,calc_s60!$C$15:$C$10000,calc_s60!$BG$15:$BG$10000,_xlfn.XLOOKUP(A11,'calc_s90&amp;138'!$C$15:$C$10000,'calc_s90&amp;138'!$CL$15:$CL$10000,"",0),0)</f>
        <v/>
      </c>
      <c r="D11" t="str">
        <f>_xlfn.XLOOKUP(A11,calc_s60!$C$15:$C$10000,calc_s60!$BH$15:$BH$10000,_xlfn.XLOOKUP(A11,'calc_s90&amp;138'!$C$15:$C$10000,'calc_s90&amp;138'!$CM$15:$CM$10000,"",0),0)</f>
        <v/>
      </c>
      <c r="E11" t="str">
        <f>_xlfn.XLOOKUP(A11,calc_s60!$C$15:$C$10000,calc_s60!$BI$15:$BI$10000,_xlfn.XLOOKUP(A11,'calc_s90&amp;138'!$C$15:$C$10000,'calc_s90&amp;138'!$CN$15:$CN$10000,"",0),0)</f>
        <v/>
      </c>
      <c r="F11" t="str">
        <f>_xlfn.XLOOKUP(A11,calc_s60!$C$15:$C$10000,calc_s60!$BJ$15:$BJ$10000,_xlfn.XLOOKUP(A11,'calc_s90&amp;138'!$C$15:$C$10000,'calc_s90&amp;138'!$CO$15:$CO$10000,"",0),0)</f>
        <v/>
      </c>
      <c r="G11" t="str">
        <f>_xlfn.XLOOKUP(A11,calc_s60!$C$15:$C$10000,calc_s60!$BK$15:$BK$10000,_xlfn.XLOOKUP(A11,'calc_s90&amp;138'!$C$15:$C$10000,'calc_s90&amp;138'!$CP$15:$CP$10000,"",0),0)</f>
        <v/>
      </c>
    </row>
    <row r="12" spans="1:7" x14ac:dyDescent="0.25">
      <c r="A12">
        <v>11</v>
      </c>
      <c r="B12" t="str">
        <f>_xlfn.XLOOKUP(A12,calc_s60!$C$15:$C$10000,calc_s60!$BF$15:$BF$10000,_xlfn.XLOOKUP(A12,'calc_s90&amp;138'!$C$15:$C$10000,'calc_s90&amp;138'!$CJ$15:$CJ$10000,"",0),0)</f>
        <v/>
      </c>
      <c r="C12" t="str">
        <f>_xlfn.XLOOKUP(A12,calc_s60!$C$15:$C$10000,calc_s60!$BG$15:$BG$10000,_xlfn.XLOOKUP(A12,'calc_s90&amp;138'!$C$15:$C$10000,'calc_s90&amp;138'!$CL$15:$CL$10000,"",0),0)</f>
        <v/>
      </c>
      <c r="D12" t="str">
        <f>_xlfn.XLOOKUP(A12,calc_s60!$C$15:$C$10000,calc_s60!$BH$15:$BH$10000,_xlfn.XLOOKUP(A12,'calc_s90&amp;138'!$C$15:$C$10000,'calc_s90&amp;138'!$CM$15:$CM$10000,"",0),0)</f>
        <v/>
      </c>
      <c r="E12" t="str">
        <f>_xlfn.XLOOKUP(A12,calc_s60!$C$15:$C$10000,calc_s60!$BI$15:$BI$10000,_xlfn.XLOOKUP(A12,'calc_s90&amp;138'!$C$15:$C$10000,'calc_s90&amp;138'!$CN$15:$CN$10000,"",0),0)</f>
        <v/>
      </c>
      <c r="F12" t="str">
        <f>_xlfn.XLOOKUP(A12,calc_s60!$C$15:$C$10000,calc_s60!$BJ$15:$BJ$10000,_xlfn.XLOOKUP(A12,'calc_s90&amp;138'!$C$15:$C$10000,'calc_s90&amp;138'!$CO$15:$CO$10000,"",0),0)</f>
        <v/>
      </c>
      <c r="G12" t="str">
        <f>_xlfn.XLOOKUP(A12,calc_s60!$C$15:$C$10000,calc_s60!$BK$15:$BK$10000,_xlfn.XLOOKUP(A12,'calc_s90&amp;138'!$C$15:$C$10000,'calc_s90&amp;138'!$CP$15:$CP$10000,"",0),0)</f>
        <v/>
      </c>
    </row>
    <row r="13" spans="1:7" x14ac:dyDescent="0.25">
      <c r="A13">
        <v>12</v>
      </c>
      <c r="B13" t="str">
        <f>_xlfn.XLOOKUP(A13,calc_s60!$C$15:$C$10000,calc_s60!$BF$15:$BF$10000,_xlfn.XLOOKUP(A13,'calc_s90&amp;138'!$C$15:$C$10000,'calc_s90&amp;138'!$CJ$15:$CJ$10000,"",0),0)</f>
        <v/>
      </c>
      <c r="C13" t="str">
        <f>_xlfn.XLOOKUP(A13,calc_s60!$C$15:$C$10000,calc_s60!$BG$15:$BG$10000,_xlfn.XLOOKUP(A13,'calc_s90&amp;138'!$C$15:$C$10000,'calc_s90&amp;138'!$CL$15:$CL$10000,"",0),0)</f>
        <v/>
      </c>
      <c r="D13" t="str">
        <f>_xlfn.XLOOKUP(A13,calc_s60!$C$15:$C$10000,calc_s60!$BH$15:$BH$10000,_xlfn.XLOOKUP(A13,'calc_s90&amp;138'!$C$15:$C$10000,'calc_s90&amp;138'!$CM$15:$CM$10000,"",0),0)</f>
        <v/>
      </c>
      <c r="E13" t="str">
        <f>_xlfn.XLOOKUP(A13,calc_s60!$C$15:$C$10000,calc_s60!$BI$15:$BI$10000,_xlfn.XLOOKUP(A13,'calc_s90&amp;138'!$C$15:$C$10000,'calc_s90&amp;138'!$CN$15:$CN$10000,"",0),0)</f>
        <v/>
      </c>
      <c r="F13" t="str">
        <f>_xlfn.XLOOKUP(A13,calc_s60!$C$15:$C$10000,calc_s60!$BJ$15:$BJ$10000,_xlfn.XLOOKUP(A13,'calc_s90&amp;138'!$C$15:$C$10000,'calc_s90&amp;138'!$CO$15:$CO$10000,"",0),0)</f>
        <v/>
      </c>
      <c r="G13" t="str">
        <f>_xlfn.XLOOKUP(A13,calc_s60!$C$15:$C$10000,calc_s60!$BK$15:$BK$10000,_xlfn.XLOOKUP(A13,'calc_s90&amp;138'!$C$15:$C$10000,'calc_s90&amp;138'!$CP$15:$CP$10000,"",0),0)</f>
        <v/>
      </c>
    </row>
    <row r="14" spans="1:7" x14ac:dyDescent="0.25">
      <c r="A14">
        <v>13</v>
      </c>
      <c r="B14" t="str">
        <f>_xlfn.XLOOKUP(A14,calc_s60!$C$15:$C$10000,calc_s60!$BF$15:$BF$10000,_xlfn.XLOOKUP(A14,'calc_s90&amp;138'!$C$15:$C$10000,'calc_s90&amp;138'!$CJ$15:$CJ$10000,"",0),0)</f>
        <v/>
      </c>
      <c r="C14" t="str">
        <f>_xlfn.XLOOKUP(A14,calc_s60!$C$15:$C$10000,calc_s60!$BG$15:$BG$10000,_xlfn.XLOOKUP(A14,'calc_s90&amp;138'!$C$15:$C$10000,'calc_s90&amp;138'!$CL$15:$CL$10000,"",0),0)</f>
        <v/>
      </c>
      <c r="D14" t="str">
        <f>_xlfn.XLOOKUP(A14,calc_s60!$C$15:$C$10000,calc_s60!$BH$15:$BH$10000,_xlfn.XLOOKUP(A14,'calc_s90&amp;138'!$C$15:$C$10000,'calc_s90&amp;138'!$CM$15:$CM$10000,"",0),0)</f>
        <v/>
      </c>
      <c r="E14" t="str">
        <f>_xlfn.XLOOKUP(A14,calc_s60!$C$15:$C$10000,calc_s60!$BI$15:$BI$10000,_xlfn.XLOOKUP(A14,'calc_s90&amp;138'!$C$15:$C$10000,'calc_s90&amp;138'!$CN$15:$CN$10000,"",0),0)</f>
        <v/>
      </c>
      <c r="F14" t="str">
        <f>_xlfn.XLOOKUP(A14,calc_s60!$C$15:$C$10000,calc_s60!$BJ$15:$BJ$10000,_xlfn.XLOOKUP(A14,'calc_s90&amp;138'!$C$15:$C$10000,'calc_s90&amp;138'!$CO$15:$CO$10000,"",0),0)</f>
        <v/>
      </c>
      <c r="G14" t="str">
        <f>_xlfn.XLOOKUP(A14,calc_s60!$C$15:$C$10000,calc_s60!$BK$15:$BK$10000,_xlfn.XLOOKUP(A14,'calc_s90&amp;138'!$C$15:$C$10000,'calc_s90&amp;138'!$CP$15:$CP$10000,"",0),0)</f>
        <v/>
      </c>
    </row>
    <row r="15" spans="1:7" x14ac:dyDescent="0.25">
      <c r="A15">
        <v>14</v>
      </c>
      <c r="B15" t="str">
        <f>_xlfn.XLOOKUP(A15,calc_s60!$C$15:$C$10000,calc_s60!$BF$15:$BF$10000,_xlfn.XLOOKUP(A15,'calc_s90&amp;138'!$C$15:$C$10000,'calc_s90&amp;138'!$CJ$15:$CJ$10000,"",0),0)</f>
        <v/>
      </c>
      <c r="C15" t="str">
        <f>_xlfn.XLOOKUP(A15,calc_s60!$C$15:$C$10000,calc_s60!$BG$15:$BG$10000,_xlfn.XLOOKUP(A15,'calc_s90&amp;138'!$C$15:$C$10000,'calc_s90&amp;138'!$CL$15:$CL$10000,"",0),0)</f>
        <v/>
      </c>
      <c r="D15" t="str">
        <f>_xlfn.XLOOKUP(A15,calc_s60!$C$15:$C$10000,calc_s60!$BH$15:$BH$10000,_xlfn.XLOOKUP(A15,'calc_s90&amp;138'!$C$15:$C$10000,'calc_s90&amp;138'!$CM$15:$CM$10000,"",0),0)</f>
        <v/>
      </c>
      <c r="E15" t="str">
        <f>_xlfn.XLOOKUP(A15,calc_s60!$C$15:$C$10000,calc_s60!$BI$15:$BI$10000,_xlfn.XLOOKUP(A15,'calc_s90&amp;138'!$C$15:$C$10000,'calc_s90&amp;138'!$CN$15:$CN$10000,"",0),0)</f>
        <v/>
      </c>
      <c r="F15" t="str">
        <f>_xlfn.XLOOKUP(A15,calc_s60!$C$15:$C$10000,calc_s60!$BJ$15:$BJ$10000,_xlfn.XLOOKUP(A15,'calc_s90&amp;138'!$C$15:$C$10000,'calc_s90&amp;138'!$CO$15:$CO$10000,"",0),0)</f>
        <v/>
      </c>
      <c r="G15" t="str">
        <f>_xlfn.XLOOKUP(A15,calc_s60!$C$15:$C$10000,calc_s60!$BK$15:$BK$10000,_xlfn.XLOOKUP(A15,'calc_s90&amp;138'!$C$15:$C$10000,'calc_s90&amp;138'!$CP$15:$CP$10000,"",0),0)</f>
        <v/>
      </c>
    </row>
    <row r="16" spans="1:7" x14ac:dyDescent="0.25">
      <c r="A16">
        <v>15</v>
      </c>
      <c r="B16" t="str">
        <f>_xlfn.XLOOKUP(A16,calc_s60!$C$15:$C$10000,calc_s60!$BF$15:$BF$10000,_xlfn.XLOOKUP(A16,'calc_s90&amp;138'!$C$15:$C$10000,'calc_s90&amp;138'!$CJ$15:$CJ$10000,"",0),0)</f>
        <v/>
      </c>
      <c r="C16" t="str">
        <f>_xlfn.XLOOKUP(A16,calc_s60!$C$15:$C$10000,calc_s60!$BG$15:$BG$10000,_xlfn.XLOOKUP(A16,'calc_s90&amp;138'!$C$15:$C$10000,'calc_s90&amp;138'!$CL$15:$CL$10000,"",0),0)</f>
        <v/>
      </c>
      <c r="D16" t="str">
        <f>_xlfn.XLOOKUP(A16,calc_s60!$C$15:$C$10000,calc_s60!$BH$15:$BH$10000,_xlfn.XLOOKUP(A16,'calc_s90&amp;138'!$C$15:$C$10000,'calc_s90&amp;138'!$CM$15:$CM$10000,"",0),0)</f>
        <v/>
      </c>
      <c r="E16" t="str">
        <f>_xlfn.XLOOKUP(A16,calc_s60!$C$15:$C$10000,calc_s60!$BI$15:$BI$10000,_xlfn.XLOOKUP(A16,'calc_s90&amp;138'!$C$15:$C$10000,'calc_s90&amp;138'!$CN$15:$CN$10000,"",0),0)</f>
        <v/>
      </c>
      <c r="F16" t="str">
        <f>_xlfn.XLOOKUP(A16,calc_s60!$C$15:$C$10000,calc_s60!$BJ$15:$BJ$10000,_xlfn.XLOOKUP(A16,'calc_s90&amp;138'!$C$15:$C$10000,'calc_s90&amp;138'!$CO$15:$CO$10000,"",0),0)</f>
        <v/>
      </c>
      <c r="G16" t="str">
        <f>_xlfn.XLOOKUP(A16,calc_s60!$C$15:$C$10000,calc_s60!$BK$15:$BK$10000,_xlfn.XLOOKUP(A16,'calc_s90&amp;138'!$C$15:$C$10000,'calc_s90&amp;138'!$CP$15:$CP$10000,"",0),0)</f>
        <v/>
      </c>
    </row>
    <row r="17" spans="1:7" x14ac:dyDescent="0.25">
      <c r="A17">
        <v>16</v>
      </c>
      <c r="B17" t="str">
        <f>_xlfn.XLOOKUP(A17,calc_s60!$C$15:$C$10000,calc_s60!$BF$15:$BF$10000,_xlfn.XLOOKUP(A17,'calc_s90&amp;138'!$C$15:$C$10000,'calc_s90&amp;138'!$CJ$15:$CJ$10000,"",0),0)</f>
        <v/>
      </c>
      <c r="C17" t="str">
        <f>_xlfn.XLOOKUP(A17,calc_s60!$C$15:$C$10000,calc_s60!$BG$15:$BG$10000,_xlfn.XLOOKUP(A17,'calc_s90&amp;138'!$C$15:$C$10000,'calc_s90&amp;138'!$CL$15:$CL$10000,"",0),0)</f>
        <v/>
      </c>
      <c r="D17" t="str">
        <f>_xlfn.XLOOKUP(A17,calc_s60!$C$15:$C$10000,calc_s60!$BH$15:$BH$10000,_xlfn.XLOOKUP(A17,'calc_s90&amp;138'!$C$15:$C$10000,'calc_s90&amp;138'!$CM$15:$CM$10000,"",0),0)</f>
        <v/>
      </c>
      <c r="E17" t="str">
        <f>_xlfn.XLOOKUP(A17,calc_s60!$C$15:$C$10000,calc_s60!$BI$15:$BI$10000,_xlfn.XLOOKUP(A17,'calc_s90&amp;138'!$C$15:$C$10000,'calc_s90&amp;138'!$CN$15:$CN$10000,"",0),0)</f>
        <v/>
      </c>
      <c r="F17" t="str">
        <f>_xlfn.XLOOKUP(A17,calc_s60!$C$15:$C$10000,calc_s60!$BJ$15:$BJ$10000,_xlfn.XLOOKUP(A17,'calc_s90&amp;138'!$C$15:$C$10000,'calc_s90&amp;138'!$CO$15:$CO$10000,"",0),0)</f>
        <v/>
      </c>
      <c r="G17" t="str">
        <f>_xlfn.XLOOKUP(A17,calc_s60!$C$15:$C$10000,calc_s60!$BK$15:$BK$10000,_xlfn.XLOOKUP(A17,'calc_s90&amp;138'!$C$15:$C$10000,'calc_s90&amp;138'!$CP$15:$CP$10000,"",0),0)</f>
        <v/>
      </c>
    </row>
    <row r="18" spans="1:7" x14ac:dyDescent="0.25">
      <c r="A18">
        <v>17</v>
      </c>
      <c r="B18" t="str">
        <f>_xlfn.XLOOKUP(A18,calc_s60!$C$15:$C$10000,calc_s60!$BF$15:$BF$10000,_xlfn.XLOOKUP(A18,'calc_s90&amp;138'!$C$15:$C$10000,'calc_s90&amp;138'!$CJ$15:$CJ$10000,"",0),0)</f>
        <v/>
      </c>
      <c r="C18" t="str">
        <f>_xlfn.XLOOKUP(A18,calc_s60!$C$15:$C$10000,calc_s60!$BG$15:$BG$10000,_xlfn.XLOOKUP(A18,'calc_s90&amp;138'!$C$15:$C$10000,'calc_s90&amp;138'!$CL$15:$CL$10000,"",0),0)</f>
        <v/>
      </c>
      <c r="D18" t="str">
        <f>_xlfn.XLOOKUP(A18,calc_s60!$C$15:$C$10000,calc_s60!$BH$15:$BH$10000,_xlfn.XLOOKUP(A18,'calc_s90&amp;138'!$C$15:$C$10000,'calc_s90&amp;138'!$CM$15:$CM$10000,"",0),0)</f>
        <v/>
      </c>
      <c r="E18" t="str">
        <f>_xlfn.XLOOKUP(A18,calc_s60!$C$15:$C$10000,calc_s60!$BI$15:$BI$10000,_xlfn.XLOOKUP(A18,'calc_s90&amp;138'!$C$15:$C$10000,'calc_s90&amp;138'!$CN$15:$CN$10000,"",0),0)</f>
        <v/>
      </c>
      <c r="F18" t="str">
        <f>_xlfn.XLOOKUP(A18,calc_s60!$C$15:$C$10000,calc_s60!$BJ$15:$BJ$10000,_xlfn.XLOOKUP(A18,'calc_s90&amp;138'!$C$15:$C$10000,'calc_s90&amp;138'!$CO$15:$CO$10000,"",0),0)</f>
        <v/>
      </c>
      <c r="G18" t="str">
        <f>_xlfn.XLOOKUP(A18,calc_s60!$C$15:$C$10000,calc_s60!$BK$15:$BK$10000,_xlfn.XLOOKUP(A18,'calc_s90&amp;138'!$C$15:$C$10000,'calc_s90&amp;138'!$CP$15:$CP$10000,"",0),0)</f>
        <v/>
      </c>
    </row>
    <row r="19" spans="1:7" x14ac:dyDescent="0.25">
      <c r="A19">
        <v>18</v>
      </c>
      <c r="B19" t="str">
        <f>_xlfn.XLOOKUP(A19,calc_s60!$C$15:$C$10000,calc_s60!$BF$15:$BF$10000,_xlfn.XLOOKUP(A19,'calc_s90&amp;138'!$C$15:$C$10000,'calc_s90&amp;138'!$CJ$15:$CJ$10000,"",0),0)</f>
        <v/>
      </c>
      <c r="C19" t="str">
        <f>_xlfn.XLOOKUP(A19,calc_s60!$C$15:$C$10000,calc_s60!$BG$15:$BG$10000,_xlfn.XLOOKUP(A19,'calc_s90&amp;138'!$C$15:$C$10000,'calc_s90&amp;138'!$CL$15:$CL$10000,"",0),0)</f>
        <v/>
      </c>
      <c r="D19" t="str">
        <f>_xlfn.XLOOKUP(A19,calc_s60!$C$15:$C$10000,calc_s60!$BH$15:$BH$10000,_xlfn.XLOOKUP(A19,'calc_s90&amp;138'!$C$15:$C$10000,'calc_s90&amp;138'!$CM$15:$CM$10000,"",0),0)</f>
        <v/>
      </c>
      <c r="E19" t="str">
        <f>_xlfn.XLOOKUP(A19,calc_s60!$C$15:$C$10000,calc_s60!$BI$15:$BI$10000,_xlfn.XLOOKUP(A19,'calc_s90&amp;138'!$C$15:$C$10000,'calc_s90&amp;138'!$CN$15:$CN$10000,"",0),0)</f>
        <v/>
      </c>
      <c r="F19" t="str">
        <f>_xlfn.XLOOKUP(A19,calc_s60!$C$15:$C$10000,calc_s60!$BJ$15:$BJ$10000,_xlfn.XLOOKUP(A19,'calc_s90&amp;138'!$C$15:$C$10000,'calc_s90&amp;138'!$CO$15:$CO$10000,"",0),0)</f>
        <v/>
      </c>
      <c r="G19" t="str">
        <f>_xlfn.XLOOKUP(A19,calc_s60!$C$15:$C$10000,calc_s60!$BK$15:$BK$10000,_xlfn.XLOOKUP(A19,'calc_s90&amp;138'!$C$15:$C$10000,'calc_s90&amp;138'!$CP$15:$CP$10000,"",0),0)</f>
        <v/>
      </c>
    </row>
    <row r="20" spans="1:7" x14ac:dyDescent="0.25">
      <c r="A20">
        <v>19</v>
      </c>
      <c r="B20" t="str">
        <f>_xlfn.XLOOKUP(A20,calc_s60!$C$15:$C$10000,calc_s60!$BF$15:$BF$10000,_xlfn.XLOOKUP(A20,'calc_s90&amp;138'!$C$15:$C$10000,'calc_s90&amp;138'!$CJ$15:$CJ$10000,"",0),0)</f>
        <v/>
      </c>
      <c r="C20" t="str">
        <f>_xlfn.XLOOKUP(A20,calc_s60!$C$15:$C$10000,calc_s60!$BG$15:$BG$10000,_xlfn.XLOOKUP(A20,'calc_s90&amp;138'!$C$15:$C$10000,'calc_s90&amp;138'!$CL$15:$CL$10000,"",0),0)</f>
        <v/>
      </c>
      <c r="D20" t="str">
        <f>_xlfn.XLOOKUP(A20,calc_s60!$C$15:$C$10000,calc_s60!$BH$15:$BH$10000,_xlfn.XLOOKUP(A20,'calc_s90&amp;138'!$C$15:$C$10000,'calc_s90&amp;138'!$CM$15:$CM$10000,"",0),0)</f>
        <v/>
      </c>
      <c r="E20" t="str">
        <f>_xlfn.XLOOKUP(A20,calc_s60!$C$15:$C$10000,calc_s60!$BI$15:$BI$10000,_xlfn.XLOOKUP(A20,'calc_s90&amp;138'!$C$15:$C$10000,'calc_s90&amp;138'!$CN$15:$CN$10000,"",0),0)</f>
        <v/>
      </c>
      <c r="F20" t="str">
        <f>_xlfn.XLOOKUP(A20,calc_s60!$C$15:$C$10000,calc_s60!$BJ$15:$BJ$10000,_xlfn.XLOOKUP(A20,'calc_s90&amp;138'!$C$15:$C$10000,'calc_s90&amp;138'!$CO$15:$CO$10000,"",0),0)</f>
        <v/>
      </c>
      <c r="G20" t="str">
        <f>_xlfn.XLOOKUP(A20,calc_s60!$C$15:$C$10000,calc_s60!$BK$15:$BK$10000,_xlfn.XLOOKUP(A20,'calc_s90&amp;138'!$C$15:$C$10000,'calc_s90&amp;138'!$CP$15:$CP$10000,"",0),0)</f>
        <v/>
      </c>
    </row>
    <row r="21" spans="1:7" x14ac:dyDescent="0.25">
      <c r="A21">
        <v>20</v>
      </c>
      <c r="B21" t="str">
        <f>_xlfn.XLOOKUP(A21,calc_s60!$C$15:$C$10000,calc_s60!$BF$15:$BF$10000,_xlfn.XLOOKUP(A21,'calc_s90&amp;138'!$C$15:$C$10000,'calc_s90&amp;138'!$CJ$15:$CJ$10000,"",0),0)</f>
        <v/>
      </c>
      <c r="C21" t="str">
        <f>_xlfn.XLOOKUP(A21,calc_s60!$C$15:$C$10000,calc_s60!$BG$15:$BG$10000,_xlfn.XLOOKUP(A21,'calc_s90&amp;138'!$C$15:$C$10000,'calc_s90&amp;138'!$CL$15:$CL$10000,"",0),0)</f>
        <v/>
      </c>
      <c r="D21" t="str">
        <f>_xlfn.XLOOKUP(A21,calc_s60!$C$15:$C$10000,calc_s60!$BH$15:$BH$10000,_xlfn.XLOOKUP(A21,'calc_s90&amp;138'!$C$15:$C$10000,'calc_s90&amp;138'!$CM$15:$CM$10000,"",0),0)</f>
        <v/>
      </c>
      <c r="E21" t="str">
        <f>_xlfn.XLOOKUP(A21,calc_s60!$C$15:$C$10000,calc_s60!$BI$15:$BI$10000,_xlfn.XLOOKUP(A21,'calc_s90&amp;138'!$C$15:$C$10000,'calc_s90&amp;138'!$CN$15:$CN$10000,"",0),0)</f>
        <v/>
      </c>
      <c r="F21" t="str">
        <f>_xlfn.XLOOKUP(A21,calc_s60!$C$15:$C$10000,calc_s60!$BJ$15:$BJ$10000,_xlfn.XLOOKUP(A21,'calc_s90&amp;138'!$C$15:$C$10000,'calc_s90&amp;138'!$CO$15:$CO$10000,"",0),0)</f>
        <v/>
      </c>
      <c r="G21" t="str">
        <f>_xlfn.XLOOKUP(A21,calc_s60!$C$15:$C$10000,calc_s60!$BK$15:$BK$10000,_xlfn.XLOOKUP(A21,'calc_s90&amp;138'!$C$15:$C$10000,'calc_s90&amp;138'!$CP$15:$CP$10000,"",0),0)</f>
        <v/>
      </c>
    </row>
    <row r="22" spans="1:7" x14ac:dyDescent="0.25">
      <c r="A22">
        <v>21</v>
      </c>
      <c r="B22" t="str">
        <f>_xlfn.XLOOKUP(A22,calc_s60!$C$15:$C$10000,calc_s60!$BF$15:$BF$10000,_xlfn.XLOOKUP(A22,'calc_s90&amp;138'!$C$15:$C$10000,'calc_s90&amp;138'!$CJ$15:$CJ$10000,"",0),0)</f>
        <v/>
      </c>
      <c r="C22" t="str">
        <f>_xlfn.XLOOKUP(A22,calc_s60!$C$15:$C$10000,calc_s60!$BG$15:$BG$10000,_xlfn.XLOOKUP(A22,'calc_s90&amp;138'!$C$15:$C$10000,'calc_s90&amp;138'!$CL$15:$CL$10000,"",0),0)</f>
        <v/>
      </c>
      <c r="D22" t="str">
        <f>_xlfn.XLOOKUP(A22,calc_s60!$C$15:$C$10000,calc_s60!$BH$15:$BH$10000,_xlfn.XLOOKUP(A22,'calc_s90&amp;138'!$C$15:$C$10000,'calc_s90&amp;138'!$CM$15:$CM$10000,"",0),0)</f>
        <v/>
      </c>
      <c r="E22" t="str">
        <f>_xlfn.XLOOKUP(A22,calc_s60!$C$15:$C$10000,calc_s60!$BI$15:$BI$10000,_xlfn.XLOOKUP(A22,'calc_s90&amp;138'!$C$15:$C$10000,'calc_s90&amp;138'!$CN$15:$CN$10000,"",0),0)</f>
        <v/>
      </c>
      <c r="F22" t="str">
        <f>_xlfn.XLOOKUP(A22,calc_s60!$C$15:$C$10000,calc_s60!$BJ$15:$BJ$10000,_xlfn.XLOOKUP(A22,'calc_s90&amp;138'!$C$15:$C$10000,'calc_s90&amp;138'!$CO$15:$CO$10000,"",0),0)</f>
        <v/>
      </c>
      <c r="G22" t="str">
        <f>_xlfn.XLOOKUP(A22,calc_s60!$C$15:$C$10000,calc_s60!$BK$15:$BK$10000,_xlfn.XLOOKUP(A22,'calc_s90&amp;138'!$C$15:$C$10000,'calc_s90&amp;138'!$CP$15:$CP$10000,"",0),0)</f>
        <v/>
      </c>
    </row>
    <row r="23" spans="1:7" x14ac:dyDescent="0.25">
      <c r="A23">
        <v>22</v>
      </c>
      <c r="B23" t="str">
        <f>_xlfn.XLOOKUP(A23,calc_s60!$C$15:$C$10000,calc_s60!$BF$15:$BF$10000,_xlfn.XLOOKUP(A23,'calc_s90&amp;138'!$C$15:$C$10000,'calc_s90&amp;138'!$CJ$15:$CJ$10000,"",0),0)</f>
        <v/>
      </c>
      <c r="C23" t="str">
        <f>_xlfn.XLOOKUP(A23,calc_s60!$C$15:$C$10000,calc_s60!$BG$15:$BG$10000,_xlfn.XLOOKUP(A23,'calc_s90&amp;138'!$C$15:$C$10000,'calc_s90&amp;138'!$CL$15:$CL$10000,"",0),0)</f>
        <v/>
      </c>
      <c r="D23" t="str">
        <f>_xlfn.XLOOKUP(A23,calc_s60!$C$15:$C$10000,calc_s60!$BH$15:$BH$10000,_xlfn.XLOOKUP(A23,'calc_s90&amp;138'!$C$15:$C$10000,'calc_s90&amp;138'!$CM$15:$CM$10000,"",0),0)</f>
        <v/>
      </c>
      <c r="E23" t="str">
        <f>_xlfn.XLOOKUP(A23,calc_s60!$C$15:$C$10000,calc_s60!$BI$15:$BI$10000,_xlfn.XLOOKUP(A23,'calc_s90&amp;138'!$C$15:$C$10000,'calc_s90&amp;138'!$CN$15:$CN$10000,"",0),0)</f>
        <v/>
      </c>
      <c r="F23" t="str">
        <f>_xlfn.XLOOKUP(A23,calc_s60!$C$15:$C$10000,calc_s60!$BJ$15:$BJ$10000,_xlfn.XLOOKUP(A23,'calc_s90&amp;138'!$C$15:$C$10000,'calc_s90&amp;138'!$CO$15:$CO$10000,"",0),0)</f>
        <v/>
      </c>
      <c r="G23" t="str">
        <f>_xlfn.XLOOKUP(A23,calc_s60!$C$15:$C$10000,calc_s60!$BK$15:$BK$10000,_xlfn.XLOOKUP(A23,'calc_s90&amp;138'!$C$15:$C$10000,'calc_s90&amp;138'!$CP$15:$CP$10000,"",0),0)</f>
        <v/>
      </c>
    </row>
    <row r="24" spans="1:7" x14ac:dyDescent="0.25">
      <c r="A24">
        <v>23</v>
      </c>
      <c r="B24" t="str">
        <f>_xlfn.XLOOKUP(A24,calc_s60!$C$15:$C$10000,calc_s60!$BF$15:$BF$10000,_xlfn.XLOOKUP(A24,'calc_s90&amp;138'!$C$15:$C$10000,'calc_s90&amp;138'!$CJ$15:$CJ$10000,"",0),0)</f>
        <v/>
      </c>
      <c r="C24" t="str">
        <f>_xlfn.XLOOKUP(A24,calc_s60!$C$15:$C$10000,calc_s60!$BG$15:$BG$10000,_xlfn.XLOOKUP(A24,'calc_s90&amp;138'!$C$15:$C$10000,'calc_s90&amp;138'!$CL$15:$CL$10000,"",0),0)</f>
        <v/>
      </c>
      <c r="D24" t="str">
        <f>_xlfn.XLOOKUP(A24,calc_s60!$C$15:$C$10000,calc_s60!$BH$15:$BH$10000,_xlfn.XLOOKUP(A24,'calc_s90&amp;138'!$C$15:$C$10000,'calc_s90&amp;138'!$CM$15:$CM$10000,"",0),0)</f>
        <v/>
      </c>
      <c r="E24" t="str">
        <f>_xlfn.XLOOKUP(A24,calc_s60!$C$15:$C$10000,calc_s60!$BI$15:$BI$10000,_xlfn.XLOOKUP(A24,'calc_s90&amp;138'!$C$15:$C$10000,'calc_s90&amp;138'!$CN$15:$CN$10000,"",0),0)</f>
        <v/>
      </c>
      <c r="F24" t="str">
        <f>_xlfn.XLOOKUP(A24,calc_s60!$C$15:$C$10000,calc_s60!$BJ$15:$BJ$10000,_xlfn.XLOOKUP(A24,'calc_s90&amp;138'!$C$15:$C$10000,'calc_s90&amp;138'!$CO$15:$CO$10000,"",0),0)</f>
        <v/>
      </c>
      <c r="G24" t="str">
        <f>_xlfn.XLOOKUP(A24,calc_s60!$C$15:$C$10000,calc_s60!$BK$15:$BK$10000,_xlfn.XLOOKUP(A24,'calc_s90&amp;138'!$C$15:$C$10000,'calc_s90&amp;138'!$CP$15:$CP$10000,"",0),0)</f>
        <v/>
      </c>
    </row>
    <row r="25" spans="1:7" x14ac:dyDescent="0.25">
      <c r="A25">
        <v>24</v>
      </c>
      <c r="B25" t="str">
        <f>_xlfn.XLOOKUP(A25,calc_s60!$C$15:$C$10000,calc_s60!$BF$15:$BF$10000,_xlfn.XLOOKUP(A25,'calc_s90&amp;138'!$C$15:$C$10000,'calc_s90&amp;138'!$CJ$15:$CJ$10000,"",0),0)</f>
        <v/>
      </c>
      <c r="C25" t="str">
        <f>_xlfn.XLOOKUP(A25,calc_s60!$C$15:$C$10000,calc_s60!$BG$15:$BG$10000,_xlfn.XLOOKUP(A25,'calc_s90&amp;138'!$C$15:$C$10000,'calc_s90&amp;138'!$CL$15:$CL$10000,"",0),0)</f>
        <v/>
      </c>
      <c r="D25" t="str">
        <f>_xlfn.XLOOKUP(A25,calc_s60!$C$15:$C$10000,calc_s60!$BH$15:$BH$10000,_xlfn.XLOOKUP(A25,'calc_s90&amp;138'!$C$15:$C$10000,'calc_s90&amp;138'!$CM$15:$CM$10000,"",0),0)</f>
        <v/>
      </c>
      <c r="E25" t="str">
        <f>_xlfn.XLOOKUP(A25,calc_s60!$C$15:$C$10000,calc_s60!$BI$15:$BI$10000,_xlfn.XLOOKUP(A25,'calc_s90&amp;138'!$C$15:$C$10000,'calc_s90&amp;138'!$CN$15:$CN$10000,"",0),0)</f>
        <v/>
      </c>
      <c r="F25" t="str">
        <f>_xlfn.XLOOKUP(A25,calc_s60!$C$15:$C$10000,calc_s60!$BJ$15:$BJ$10000,_xlfn.XLOOKUP(A25,'calc_s90&amp;138'!$C$15:$C$10000,'calc_s90&amp;138'!$CO$15:$CO$10000,"",0),0)</f>
        <v/>
      </c>
      <c r="G25" t="str">
        <f>_xlfn.XLOOKUP(A25,calc_s60!$C$15:$C$10000,calc_s60!$BK$15:$BK$10000,_xlfn.XLOOKUP(A25,'calc_s90&amp;138'!$C$15:$C$10000,'calc_s90&amp;138'!$CP$15:$CP$10000,"",0),0)</f>
        <v/>
      </c>
    </row>
    <row r="26" spans="1:7" x14ac:dyDescent="0.25">
      <c r="A26">
        <v>25</v>
      </c>
      <c r="B26" t="str">
        <f>_xlfn.XLOOKUP(A26,calc_s60!$C$15:$C$10000,calc_s60!$BF$15:$BF$10000,_xlfn.XLOOKUP(A26,'calc_s90&amp;138'!$C$15:$C$10000,'calc_s90&amp;138'!$CJ$15:$CJ$10000,"",0),0)</f>
        <v/>
      </c>
      <c r="C26" t="str">
        <f>_xlfn.XLOOKUP(A26,calc_s60!$C$15:$C$10000,calc_s60!$BG$15:$BG$10000,_xlfn.XLOOKUP(A26,'calc_s90&amp;138'!$C$15:$C$10000,'calc_s90&amp;138'!$CL$15:$CL$10000,"",0),0)</f>
        <v/>
      </c>
      <c r="D26" t="str">
        <f>_xlfn.XLOOKUP(A26,calc_s60!$C$15:$C$10000,calc_s60!$BH$15:$BH$10000,_xlfn.XLOOKUP(A26,'calc_s90&amp;138'!$C$15:$C$10000,'calc_s90&amp;138'!$CM$15:$CM$10000,"",0),0)</f>
        <v/>
      </c>
      <c r="E26" t="str">
        <f>_xlfn.XLOOKUP(A26,calc_s60!$C$15:$C$10000,calc_s60!$BI$15:$BI$10000,_xlfn.XLOOKUP(A26,'calc_s90&amp;138'!$C$15:$C$10000,'calc_s90&amp;138'!$CN$15:$CN$10000,"",0),0)</f>
        <v/>
      </c>
      <c r="F26" t="str">
        <f>_xlfn.XLOOKUP(A26,calc_s60!$C$15:$C$10000,calc_s60!$BJ$15:$BJ$10000,_xlfn.XLOOKUP(A26,'calc_s90&amp;138'!$C$15:$C$10000,'calc_s90&amp;138'!$CO$15:$CO$10000,"",0),0)</f>
        <v/>
      </c>
      <c r="G26" t="str">
        <f>_xlfn.XLOOKUP(A26,calc_s60!$C$15:$C$10000,calc_s60!$BK$15:$BK$10000,_xlfn.XLOOKUP(A26,'calc_s90&amp;138'!$C$15:$C$10000,'calc_s90&amp;138'!$CP$15:$CP$10000,"",0),0)</f>
        <v/>
      </c>
    </row>
    <row r="27" spans="1:7" x14ac:dyDescent="0.25">
      <c r="A27">
        <v>26</v>
      </c>
      <c r="B27" t="str">
        <f>_xlfn.XLOOKUP(A27,calc_s60!$C$15:$C$10000,calc_s60!$BF$15:$BF$10000,_xlfn.XLOOKUP(A27,'calc_s90&amp;138'!$C$15:$C$10000,'calc_s90&amp;138'!$CJ$15:$CJ$10000,"",0),0)</f>
        <v/>
      </c>
      <c r="C27" t="str">
        <f>_xlfn.XLOOKUP(A27,calc_s60!$C$15:$C$10000,calc_s60!$BG$15:$BG$10000,_xlfn.XLOOKUP(A27,'calc_s90&amp;138'!$C$15:$C$10000,'calc_s90&amp;138'!$CL$15:$CL$10000,"",0),0)</f>
        <v/>
      </c>
      <c r="D27" t="str">
        <f>_xlfn.XLOOKUP(A27,calc_s60!$C$15:$C$10000,calc_s60!$BH$15:$BH$10000,_xlfn.XLOOKUP(A27,'calc_s90&amp;138'!$C$15:$C$10000,'calc_s90&amp;138'!$CM$15:$CM$10000,"",0),0)</f>
        <v/>
      </c>
      <c r="E27" t="str">
        <f>_xlfn.XLOOKUP(A27,calc_s60!$C$15:$C$10000,calc_s60!$BI$15:$BI$10000,_xlfn.XLOOKUP(A27,'calc_s90&amp;138'!$C$15:$C$10000,'calc_s90&amp;138'!$CN$15:$CN$10000,"",0),0)</f>
        <v/>
      </c>
      <c r="F27" t="str">
        <f>_xlfn.XLOOKUP(A27,calc_s60!$C$15:$C$10000,calc_s60!$BJ$15:$BJ$10000,_xlfn.XLOOKUP(A27,'calc_s90&amp;138'!$C$15:$C$10000,'calc_s90&amp;138'!$CO$15:$CO$10000,"",0),0)</f>
        <v/>
      </c>
      <c r="G27" t="str">
        <f>_xlfn.XLOOKUP(A27,calc_s60!$C$15:$C$10000,calc_s60!$BK$15:$BK$10000,_xlfn.XLOOKUP(A27,'calc_s90&amp;138'!$C$15:$C$10000,'calc_s90&amp;138'!$CP$15:$CP$10000,"",0),0)</f>
        <v/>
      </c>
    </row>
    <row r="28" spans="1:7" x14ac:dyDescent="0.25">
      <c r="A28">
        <v>27</v>
      </c>
      <c r="B28" t="str">
        <f>_xlfn.XLOOKUP(A28,calc_s60!$C$15:$C$10000,calc_s60!$BF$15:$BF$10000,_xlfn.XLOOKUP(A28,'calc_s90&amp;138'!$C$15:$C$10000,'calc_s90&amp;138'!$CJ$15:$CJ$10000,"",0),0)</f>
        <v/>
      </c>
      <c r="C28" t="str">
        <f>_xlfn.XLOOKUP(A28,calc_s60!$C$15:$C$10000,calc_s60!$BG$15:$BG$10000,_xlfn.XLOOKUP(A28,'calc_s90&amp;138'!$C$15:$C$10000,'calc_s90&amp;138'!$CL$15:$CL$10000,"",0),0)</f>
        <v/>
      </c>
      <c r="D28" t="str">
        <f>_xlfn.XLOOKUP(A28,calc_s60!$C$15:$C$10000,calc_s60!$BH$15:$BH$10000,_xlfn.XLOOKUP(A28,'calc_s90&amp;138'!$C$15:$C$10000,'calc_s90&amp;138'!$CM$15:$CM$10000,"",0),0)</f>
        <v/>
      </c>
      <c r="E28" t="str">
        <f>_xlfn.XLOOKUP(A28,calc_s60!$C$15:$C$10000,calc_s60!$BI$15:$BI$10000,_xlfn.XLOOKUP(A28,'calc_s90&amp;138'!$C$15:$C$10000,'calc_s90&amp;138'!$CN$15:$CN$10000,"",0),0)</f>
        <v/>
      </c>
      <c r="F28" t="str">
        <f>_xlfn.XLOOKUP(A28,calc_s60!$C$15:$C$10000,calc_s60!$BJ$15:$BJ$10000,_xlfn.XLOOKUP(A28,'calc_s90&amp;138'!$C$15:$C$10000,'calc_s90&amp;138'!$CO$15:$CO$10000,"",0),0)</f>
        <v/>
      </c>
      <c r="G28" t="str">
        <f>_xlfn.XLOOKUP(A28,calc_s60!$C$15:$C$10000,calc_s60!$BK$15:$BK$10000,_xlfn.XLOOKUP(A28,'calc_s90&amp;138'!$C$15:$C$10000,'calc_s90&amp;138'!$CP$15:$CP$10000,"",0),0)</f>
        <v/>
      </c>
    </row>
    <row r="29" spans="1:7" x14ac:dyDescent="0.25">
      <c r="A29">
        <v>28</v>
      </c>
      <c r="B29" t="str">
        <f>_xlfn.XLOOKUP(A29,calc_s60!$C$15:$C$10000,calc_s60!$BF$15:$BF$10000,_xlfn.XLOOKUP(A29,'calc_s90&amp;138'!$C$15:$C$10000,'calc_s90&amp;138'!$CJ$15:$CJ$10000,"",0),0)</f>
        <v/>
      </c>
      <c r="C29" t="str">
        <f>_xlfn.XLOOKUP(A29,calc_s60!$C$15:$C$10000,calc_s60!$BG$15:$BG$10000,_xlfn.XLOOKUP(A29,'calc_s90&amp;138'!$C$15:$C$10000,'calc_s90&amp;138'!$CL$15:$CL$10000,"",0),0)</f>
        <v/>
      </c>
      <c r="D29" t="str">
        <f>_xlfn.XLOOKUP(A29,calc_s60!$C$15:$C$10000,calc_s60!$BH$15:$BH$10000,_xlfn.XLOOKUP(A29,'calc_s90&amp;138'!$C$15:$C$10000,'calc_s90&amp;138'!$CM$15:$CM$10000,"",0),0)</f>
        <v/>
      </c>
      <c r="E29" t="str">
        <f>_xlfn.XLOOKUP(A29,calc_s60!$C$15:$C$10000,calc_s60!$BI$15:$BI$10000,_xlfn.XLOOKUP(A29,'calc_s90&amp;138'!$C$15:$C$10000,'calc_s90&amp;138'!$CN$15:$CN$10000,"",0),0)</f>
        <v/>
      </c>
      <c r="F29" t="str">
        <f>_xlfn.XLOOKUP(A29,calc_s60!$C$15:$C$10000,calc_s60!$BJ$15:$BJ$10000,_xlfn.XLOOKUP(A29,'calc_s90&amp;138'!$C$15:$C$10000,'calc_s90&amp;138'!$CO$15:$CO$10000,"",0),0)</f>
        <v/>
      </c>
      <c r="G29" t="str">
        <f>_xlfn.XLOOKUP(A29,calc_s60!$C$15:$C$10000,calc_s60!$BK$15:$BK$10000,_xlfn.XLOOKUP(A29,'calc_s90&amp;138'!$C$15:$C$10000,'calc_s90&amp;138'!$CP$15:$CP$10000,"",0),0)</f>
        <v/>
      </c>
    </row>
    <row r="30" spans="1:7" x14ac:dyDescent="0.25">
      <c r="A30">
        <v>29</v>
      </c>
      <c r="B30" t="str">
        <f>_xlfn.XLOOKUP(A30,calc_s60!$C$15:$C$10000,calc_s60!$BF$15:$BF$10000,_xlfn.XLOOKUP(A30,'calc_s90&amp;138'!$C$15:$C$10000,'calc_s90&amp;138'!$CJ$15:$CJ$10000,"",0),0)</f>
        <v/>
      </c>
      <c r="C30" t="str">
        <f>_xlfn.XLOOKUP(A30,calc_s60!$C$15:$C$10000,calc_s60!$BG$15:$BG$10000,_xlfn.XLOOKUP(A30,'calc_s90&amp;138'!$C$15:$C$10000,'calc_s90&amp;138'!$CL$15:$CL$10000,"",0),0)</f>
        <v/>
      </c>
      <c r="D30" t="str">
        <f>_xlfn.XLOOKUP(A30,calc_s60!$C$15:$C$10000,calc_s60!$BH$15:$BH$10000,_xlfn.XLOOKUP(A30,'calc_s90&amp;138'!$C$15:$C$10000,'calc_s90&amp;138'!$CM$15:$CM$10000,"",0),0)</f>
        <v/>
      </c>
      <c r="E30" t="str">
        <f>_xlfn.XLOOKUP(A30,calc_s60!$C$15:$C$10000,calc_s60!$BI$15:$BI$10000,_xlfn.XLOOKUP(A30,'calc_s90&amp;138'!$C$15:$C$10000,'calc_s90&amp;138'!$CN$15:$CN$10000,"",0),0)</f>
        <v/>
      </c>
      <c r="F30" t="str">
        <f>_xlfn.XLOOKUP(A30,calc_s60!$C$15:$C$10000,calc_s60!$BJ$15:$BJ$10000,_xlfn.XLOOKUP(A30,'calc_s90&amp;138'!$C$15:$C$10000,'calc_s90&amp;138'!$CO$15:$CO$10000,"",0),0)</f>
        <v/>
      </c>
      <c r="G30" t="str">
        <f>_xlfn.XLOOKUP(A30,calc_s60!$C$15:$C$10000,calc_s60!$BK$15:$BK$10000,_xlfn.XLOOKUP(A30,'calc_s90&amp;138'!$C$15:$C$10000,'calc_s90&amp;138'!$CP$15:$CP$10000,"",0),0)</f>
        <v/>
      </c>
    </row>
    <row r="31" spans="1:7" x14ac:dyDescent="0.25">
      <c r="A31">
        <v>30</v>
      </c>
      <c r="B31" t="str">
        <f>_xlfn.XLOOKUP(A31,calc_s60!$C$15:$C$10000,calc_s60!$BF$15:$BF$10000,_xlfn.XLOOKUP(A31,'calc_s90&amp;138'!$C$15:$C$10000,'calc_s90&amp;138'!$CJ$15:$CJ$10000,"",0),0)</f>
        <v/>
      </c>
      <c r="C31" t="str">
        <f>_xlfn.XLOOKUP(A31,calc_s60!$C$15:$C$10000,calc_s60!$BG$15:$BG$10000,_xlfn.XLOOKUP(A31,'calc_s90&amp;138'!$C$15:$C$10000,'calc_s90&amp;138'!$CL$15:$CL$10000,"",0),0)</f>
        <v/>
      </c>
      <c r="D31" t="str">
        <f>_xlfn.XLOOKUP(A31,calc_s60!$C$15:$C$10000,calc_s60!$BH$15:$BH$10000,_xlfn.XLOOKUP(A31,'calc_s90&amp;138'!$C$15:$C$10000,'calc_s90&amp;138'!$CM$15:$CM$10000,"",0),0)</f>
        <v/>
      </c>
      <c r="E31" t="str">
        <f>_xlfn.XLOOKUP(A31,calc_s60!$C$15:$C$10000,calc_s60!$BI$15:$BI$10000,_xlfn.XLOOKUP(A31,'calc_s90&amp;138'!$C$15:$C$10000,'calc_s90&amp;138'!$CN$15:$CN$10000,"",0),0)</f>
        <v/>
      </c>
      <c r="F31" t="str">
        <f>_xlfn.XLOOKUP(A31,calc_s60!$C$15:$C$10000,calc_s60!$BJ$15:$BJ$10000,_xlfn.XLOOKUP(A31,'calc_s90&amp;138'!$C$15:$C$10000,'calc_s90&amp;138'!$CO$15:$CO$10000,"",0),0)</f>
        <v/>
      </c>
      <c r="G31" t="str">
        <f>_xlfn.XLOOKUP(A31,calc_s60!$C$15:$C$10000,calc_s60!$BK$15:$BK$10000,_xlfn.XLOOKUP(A31,'calc_s90&amp;138'!$C$15:$C$10000,'calc_s90&amp;138'!$CP$15:$CP$10000,"",0),0)</f>
        <v/>
      </c>
    </row>
    <row r="32" spans="1:7" x14ac:dyDescent="0.25">
      <c r="A32">
        <v>31</v>
      </c>
      <c r="B32" t="str">
        <f>_xlfn.XLOOKUP(A32,calc_s60!$C$15:$C$10000,calc_s60!$BF$15:$BF$10000,_xlfn.XLOOKUP(A32,'calc_s90&amp;138'!$C$15:$C$10000,'calc_s90&amp;138'!$CJ$15:$CJ$10000,"",0),0)</f>
        <v/>
      </c>
      <c r="C32" t="str">
        <f>_xlfn.XLOOKUP(A32,calc_s60!$C$15:$C$10000,calc_s60!$BG$15:$BG$10000,_xlfn.XLOOKUP(A32,'calc_s90&amp;138'!$C$15:$C$10000,'calc_s90&amp;138'!$CL$15:$CL$10000,"",0),0)</f>
        <v/>
      </c>
      <c r="D32" t="str">
        <f>_xlfn.XLOOKUP(A32,calc_s60!$C$15:$C$10000,calc_s60!$BH$15:$BH$10000,_xlfn.XLOOKUP(A32,'calc_s90&amp;138'!$C$15:$C$10000,'calc_s90&amp;138'!$CM$15:$CM$10000,"",0),0)</f>
        <v/>
      </c>
      <c r="E32" t="str">
        <f>_xlfn.XLOOKUP(A32,calc_s60!$C$15:$C$10000,calc_s60!$BI$15:$BI$10000,_xlfn.XLOOKUP(A32,'calc_s90&amp;138'!$C$15:$C$10000,'calc_s90&amp;138'!$CN$15:$CN$10000,"",0),0)</f>
        <v/>
      </c>
      <c r="F32" t="str">
        <f>_xlfn.XLOOKUP(A32,calc_s60!$C$15:$C$10000,calc_s60!$BJ$15:$BJ$10000,_xlfn.XLOOKUP(A32,'calc_s90&amp;138'!$C$15:$C$10000,'calc_s90&amp;138'!$CO$15:$CO$10000,"",0),0)</f>
        <v/>
      </c>
      <c r="G32" t="str">
        <f>_xlfn.XLOOKUP(A32,calc_s60!$C$15:$C$10000,calc_s60!$BK$15:$BK$10000,_xlfn.XLOOKUP(A32,'calc_s90&amp;138'!$C$15:$C$10000,'calc_s90&amp;138'!$CP$15:$CP$10000,"",0),0)</f>
        <v/>
      </c>
    </row>
    <row r="33" spans="1:7" x14ac:dyDescent="0.25">
      <c r="A33">
        <v>32</v>
      </c>
      <c r="B33" t="str">
        <f>_xlfn.XLOOKUP(A33,calc_s60!$C$15:$C$10000,calc_s60!$BF$15:$BF$10000,_xlfn.XLOOKUP(A33,'calc_s90&amp;138'!$C$15:$C$10000,'calc_s90&amp;138'!$CJ$15:$CJ$10000,"",0),0)</f>
        <v/>
      </c>
      <c r="C33" t="str">
        <f>_xlfn.XLOOKUP(A33,calc_s60!$C$15:$C$10000,calc_s60!$BG$15:$BG$10000,_xlfn.XLOOKUP(A33,'calc_s90&amp;138'!$C$15:$C$10000,'calc_s90&amp;138'!$CL$15:$CL$10000,"",0),0)</f>
        <v/>
      </c>
      <c r="D33" t="str">
        <f>_xlfn.XLOOKUP(A33,calc_s60!$C$15:$C$10000,calc_s60!$BH$15:$BH$10000,_xlfn.XLOOKUP(A33,'calc_s90&amp;138'!$C$15:$C$10000,'calc_s90&amp;138'!$CM$15:$CM$10000,"",0),0)</f>
        <v/>
      </c>
      <c r="E33" t="str">
        <f>_xlfn.XLOOKUP(A33,calc_s60!$C$15:$C$10000,calc_s60!$BI$15:$BI$10000,_xlfn.XLOOKUP(A33,'calc_s90&amp;138'!$C$15:$C$10000,'calc_s90&amp;138'!$CN$15:$CN$10000,"",0),0)</f>
        <v/>
      </c>
      <c r="F33" t="str">
        <f>_xlfn.XLOOKUP(A33,calc_s60!$C$15:$C$10000,calc_s60!$BJ$15:$BJ$10000,_xlfn.XLOOKUP(A33,'calc_s90&amp;138'!$C$15:$C$10000,'calc_s90&amp;138'!$CO$15:$CO$10000,"",0),0)</f>
        <v/>
      </c>
      <c r="G33" t="str">
        <f>_xlfn.XLOOKUP(A33,calc_s60!$C$15:$C$10000,calc_s60!$BK$15:$BK$10000,_xlfn.XLOOKUP(A33,'calc_s90&amp;138'!$C$15:$C$10000,'calc_s90&amp;138'!$CP$15:$CP$10000,"",0),0)</f>
        <v/>
      </c>
    </row>
    <row r="34" spans="1:7" x14ac:dyDescent="0.25">
      <c r="A34">
        <v>33</v>
      </c>
      <c r="B34" t="str">
        <f>_xlfn.XLOOKUP(A34,calc_s60!$C$15:$C$10000,calc_s60!$BF$15:$BF$10000,_xlfn.XLOOKUP(A34,'calc_s90&amp;138'!$C$15:$C$10000,'calc_s90&amp;138'!$CJ$15:$CJ$10000,"",0),0)</f>
        <v/>
      </c>
      <c r="C34" t="str">
        <f>_xlfn.XLOOKUP(A34,calc_s60!$C$15:$C$10000,calc_s60!$BG$15:$BG$10000,_xlfn.XLOOKUP(A34,'calc_s90&amp;138'!$C$15:$C$10000,'calc_s90&amp;138'!$CL$15:$CL$10000,"",0),0)</f>
        <v/>
      </c>
      <c r="D34" t="str">
        <f>_xlfn.XLOOKUP(A34,calc_s60!$C$15:$C$10000,calc_s60!$BH$15:$BH$10000,_xlfn.XLOOKUP(A34,'calc_s90&amp;138'!$C$15:$C$10000,'calc_s90&amp;138'!$CM$15:$CM$10000,"",0),0)</f>
        <v/>
      </c>
      <c r="E34" t="str">
        <f>_xlfn.XLOOKUP(A34,calc_s60!$C$15:$C$10000,calc_s60!$BI$15:$BI$10000,_xlfn.XLOOKUP(A34,'calc_s90&amp;138'!$C$15:$C$10000,'calc_s90&amp;138'!$CN$15:$CN$10000,"",0),0)</f>
        <v/>
      </c>
      <c r="F34" t="str">
        <f>_xlfn.XLOOKUP(A34,calc_s60!$C$15:$C$10000,calc_s60!$BJ$15:$BJ$10000,_xlfn.XLOOKUP(A34,'calc_s90&amp;138'!$C$15:$C$10000,'calc_s90&amp;138'!$CO$15:$CO$10000,"",0),0)</f>
        <v/>
      </c>
      <c r="G34" t="str">
        <f>_xlfn.XLOOKUP(A34,calc_s60!$C$15:$C$10000,calc_s60!$BK$15:$BK$10000,_xlfn.XLOOKUP(A34,'calc_s90&amp;138'!$C$15:$C$10000,'calc_s90&amp;138'!$CP$15:$CP$10000,"",0),0)</f>
        <v/>
      </c>
    </row>
    <row r="35" spans="1:7" x14ac:dyDescent="0.25">
      <c r="A35">
        <v>34</v>
      </c>
      <c r="B35" t="str">
        <f>_xlfn.XLOOKUP(A35,calc_s60!$C$15:$C$10000,calc_s60!$BF$15:$BF$10000,_xlfn.XLOOKUP(A35,'calc_s90&amp;138'!$C$15:$C$10000,'calc_s90&amp;138'!$CJ$15:$CJ$10000,"",0),0)</f>
        <v/>
      </c>
      <c r="C35" t="str">
        <f>_xlfn.XLOOKUP(A35,calc_s60!$C$15:$C$10000,calc_s60!$BG$15:$BG$10000,_xlfn.XLOOKUP(A35,'calc_s90&amp;138'!$C$15:$C$10000,'calc_s90&amp;138'!$CL$15:$CL$10000,"",0),0)</f>
        <v/>
      </c>
      <c r="D35" t="str">
        <f>_xlfn.XLOOKUP(A35,calc_s60!$C$15:$C$10000,calc_s60!$BH$15:$BH$10000,_xlfn.XLOOKUP(A35,'calc_s90&amp;138'!$C$15:$C$10000,'calc_s90&amp;138'!$CM$15:$CM$10000,"",0),0)</f>
        <v/>
      </c>
      <c r="E35" t="str">
        <f>_xlfn.XLOOKUP(A35,calc_s60!$C$15:$C$10000,calc_s60!$BI$15:$BI$10000,_xlfn.XLOOKUP(A35,'calc_s90&amp;138'!$C$15:$C$10000,'calc_s90&amp;138'!$CN$15:$CN$10000,"",0),0)</f>
        <v/>
      </c>
      <c r="F35" t="str">
        <f>_xlfn.XLOOKUP(A35,calc_s60!$C$15:$C$10000,calc_s60!$BJ$15:$BJ$10000,_xlfn.XLOOKUP(A35,'calc_s90&amp;138'!$C$15:$C$10000,'calc_s90&amp;138'!$CO$15:$CO$10000,"",0),0)</f>
        <v/>
      </c>
      <c r="G35" t="str">
        <f>_xlfn.XLOOKUP(A35,calc_s60!$C$15:$C$10000,calc_s60!$BK$15:$BK$10000,_xlfn.XLOOKUP(A35,'calc_s90&amp;138'!$C$15:$C$10000,'calc_s90&amp;138'!$CP$15:$CP$10000,"",0),0)</f>
        <v/>
      </c>
    </row>
    <row r="36" spans="1:7" x14ac:dyDescent="0.25">
      <c r="A36">
        <v>35</v>
      </c>
      <c r="B36" t="str">
        <f>_xlfn.XLOOKUP(A36,calc_s60!$C$15:$C$10000,calc_s60!$BF$15:$BF$10000,_xlfn.XLOOKUP(A36,'calc_s90&amp;138'!$C$15:$C$10000,'calc_s90&amp;138'!$CJ$15:$CJ$10000,"",0),0)</f>
        <v/>
      </c>
      <c r="C36" t="str">
        <f>_xlfn.XLOOKUP(A36,calc_s60!$C$15:$C$10000,calc_s60!$BG$15:$BG$10000,_xlfn.XLOOKUP(A36,'calc_s90&amp;138'!$C$15:$C$10000,'calc_s90&amp;138'!$CL$15:$CL$10000,"",0),0)</f>
        <v/>
      </c>
      <c r="D36" t="str">
        <f>_xlfn.XLOOKUP(A36,calc_s60!$C$15:$C$10000,calc_s60!$BH$15:$BH$10000,_xlfn.XLOOKUP(A36,'calc_s90&amp;138'!$C$15:$C$10000,'calc_s90&amp;138'!$CM$15:$CM$10000,"",0),0)</f>
        <v/>
      </c>
      <c r="E36" t="str">
        <f>_xlfn.XLOOKUP(A36,calc_s60!$C$15:$C$10000,calc_s60!$BI$15:$BI$10000,_xlfn.XLOOKUP(A36,'calc_s90&amp;138'!$C$15:$C$10000,'calc_s90&amp;138'!$CN$15:$CN$10000,"",0),0)</f>
        <v/>
      </c>
      <c r="F36" t="str">
        <f>_xlfn.XLOOKUP(A36,calc_s60!$C$15:$C$10000,calc_s60!$BJ$15:$BJ$10000,_xlfn.XLOOKUP(A36,'calc_s90&amp;138'!$C$15:$C$10000,'calc_s90&amp;138'!$CO$15:$CO$10000,"",0),0)</f>
        <v/>
      </c>
      <c r="G36" t="str">
        <f>_xlfn.XLOOKUP(A36,calc_s60!$C$15:$C$10000,calc_s60!$BK$15:$BK$10000,_xlfn.XLOOKUP(A36,'calc_s90&amp;138'!$C$15:$C$10000,'calc_s90&amp;138'!$CP$15:$CP$10000,"",0),0)</f>
        <v/>
      </c>
    </row>
    <row r="37" spans="1:7" x14ac:dyDescent="0.25">
      <c r="A37">
        <v>36</v>
      </c>
      <c r="B37" t="str">
        <f>_xlfn.XLOOKUP(A37,calc_s60!$C$15:$C$10000,calc_s60!$BF$15:$BF$10000,_xlfn.XLOOKUP(A37,'calc_s90&amp;138'!$C$15:$C$10000,'calc_s90&amp;138'!$CJ$15:$CJ$10000,"",0),0)</f>
        <v/>
      </c>
      <c r="C37" t="str">
        <f>_xlfn.XLOOKUP(A37,calc_s60!$C$15:$C$10000,calc_s60!$BG$15:$BG$10000,_xlfn.XLOOKUP(A37,'calc_s90&amp;138'!$C$15:$C$10000,'calc_s90&amp;138'!$CL$15:$CL$10000,"",0),0)</f>
        <v/>
      </c>
      <c r="D37" t="str">
        <f>_xlfn.XLOOKUP(A37,calc_s60!$C$15:$C$10000,calc_s60!$BH$15:$BH$10000,_xlfn.XLOOKUP(A37,'calc_s90&amp;138'!$C$15:$C$10000,'calc_s90&amp;138'!$CM$15:$CM$10000,"",0),0)</f>
        <v/>
      </c>
      <c r="E37" t="str">
        <f>_xlfn.XLOOKUP(A37,calc_s60!$C$15:$C$10000,calc_s60!$BI$15:$BI$10000,_xlfn.XLOOKUP(A37,'calc_s90&amp;138'!$C$15:$C$10000,'calc_s90&amp;138'!$CN$15:$CN$10000,"",0),0)</f>
        <v/>
      </c>
      <c r="F37" t="str">
        <f>_xlfn.XLOOKUP(A37,calc_s60!$C$15:$C$10000,calc_s60!$BJ$15:$BJ$10000,_xlfn.XLOOKUP(A37,'calc_s90&amp;138'!$C$15:$C$10000,'calc_s90&amp;138'!$CO$15:$CO$10000,"",0),0)</f>
        <v/>
      </c>
      <c r="G37" t="str">
        <f>_xlfn.XLOOKUP(A37,calc_s60!$C$15:$C$10000,calc_s60!$BK$15:$BK$10000,_xlfn.XLOOKUP(A37,'calc_s90&amp;138'!$C$15:$C$10000,'calc_s90&amp;138'!$CP$15:$CP$10000,"",0),0)</f>
        <v/>
      </c>
    </row>
    <row r="38" spans="1:7" x14ac:dyDescent="0.25">
      <c r="A38">
        <v>37</v>
      </c>
      <c r="B38" t="str">
        <f>_xlfn.XLOOKUP(A38,calc_s60!$C$15:$C$10000,calc_s60!$BF$15:$BF$10000,_xlfn.XLOOKUP(A38,'calc_s90&amp;138'!$C$15:$C$10000,'calc_s90&amp;138'!$CJ$15:$CJ$10000,"",0),0)</f>
        <v/>
      </c>
      <c r="C38" t="str">
        <f>_xlfn.XLOOKUP(A38,calc_s60!$C$15:$C$10000,calc_s60!$BG$15:$BG$10000,_xlfn.XLOOKUP(A38,'calc_s90&amp;138'!$C$15:$C$10000,'calc_s90&amp;138'!$CL$15:$CL$10000,"",0),0)</f>
        <v/>
      </c>
      <c r="D38" t="str">
        <f>_xlfn.XLOOKUP(A38,calc_s60!$C$15:$C$10000,calc_s60!$BH$15:$BH$10000,_xlfn.XLOOKUP(A38,'calc_s90&amp;138'!$C$15:$C$10000,'calc_s90&amp;138'!$CM$15:$CM$10000,"",0),0)</f>
        <v/>
      </c>
      <c r="E38" t="str">
        <f>_xlfn.XLOOKUP(A38,calc_s60!$C$15:$C$10000,calc_s60!$BI$15:$BI$10000,_xlfn.XLOOKUP(A38,'calc_s90&amp;138'!$C$15:$C$10000,'calc_s90&amp;138'!$CN$15:$CN$10000,"",0),0)</f>
        <v/>
      </c>
      <c r="F38" t="str">
        <f>_xlfn.XLOOKUP(A38,calc_s60!$C$15:$C$10000,calc_s60!$BJ$15:$BJ$10000,_xlfn.XLOOKUP(A38,'calc_s90&amp;138'!$C$15:$C$10000,'calc_s90&amp;138'!$CO$15:$CO$10000,"",0),0)</f>
        <v/>
      </c>
      <c r="G38" t="str">
        <f>_xlfn.XLOOKUP(A38,calc_s60!$C$15:$C$10000,calc_s60!$BK$15:$BK$10000,_xlfn.XLOOKUP(A38,'calc_s90&amp;138'!$C$15:$C$10000,'calc_s90&amp;138'!$CP$15:$CP$10000,"",0),0)</f>
        <v/>
      </c>
    </row>
    <row r="39" spans="1:7" x14ac:dyDescent="0.25">
      <c r="A39">
        <v>38</v>
      </c>
      <c r="B39" t="str">
        <f>_xlfn.XLOOKUP(A39,calc_s60!$C$15:$C$10000,calc_s60!$BF$15:$BF$10000,_xlfn.XLOOKUP(A39,'calc_s90&amp;138'!$C$15:$C$10000,'calc_s90&amp;138'!$CJ$15:$CJ$10000,"",0),0)</f>
        <v/>
      </c>
      <c r="C39" t="str">
        <f>_xlfn.XLOOKUP(A39,calc_s60!$C$15:$C$10000,calc_s60!$BG$15:$BG$10000,_xlfn.XLOOKUP(A39,'calc_s90&amp;138'!$C$15:$C$10000,'calc_s90&amp;138'!$CL$15:$CL$10000,"",0),0)</f>
        <v/>
      </c>
      <c r="D39" t="str">
        <f>_xlfn.XLOOKUP(A39,calc_s60!$C$15:$C$10000,calc_s60!$BH$15:$BH$10000,_xlfn.XLOOKUP(A39,'calc_s90&amp;138'!$C$15:$C$10000,'calc_s90&amp;138'!$CM$15:$CM$10000,"",0),0)</f>
        <v/>
      </c>
      <c r="E39" t="str">
        <f>_xlfn.XLOOKUP(A39,calc_s60!$C$15:$C$10000,calc_s60!$BI$15:$BI$10000,_xlfn.XLOOKUP(A39,'calc_s90&amp;138'!$C$15:$C$10000,'calc_s90&amp;138'!$CN$15:$CN$10000,"",0),0)</f>
        <v/>
      </c>
      <c r="F39" t="str">
        <f>_xlfn.XLOOKUP(A39,calc_s60!$C$15:$C$10000,calc_s60!$BJ$15:$BJ$10000,_xlfn.XLOOKUP(A39,'calc_s90&amp;138'!$C$15:$C$10000,'calc_s90&amp;138'!$CO$15:$CO$10000,"",0),0)</f>
        <v/>
      </c>
      <c r="G39" t="str">
        <f>_xlfn.XLOOKUP(A39,calc_s60!$C$15:$C$10000,calc_s60!$BK$15:$BK$10000,_xlfn.XLOOKUP(A39,'calc_s90&amp;138'!$C$15:$C$10000,'calc_s90&amp;138'!$CP$15:$CP$10000,"",0),0)</f>
        <v/>
      </c>
    </row>
    <row r="40" spans="1:7" x14ac:dyDescent="0.25">
      <c r="A40">
        <v>39</v>
      </c>
      <c r="B40" t="str">
        <f>_xlfn.XLOOKUP(A40,calc_s60!$C$15:$C$10000,calc_s60!$BF$15:$BF$10000,_xlfn.XLOOKUP(A40,'calc_s90&amp;138'!$C$15:$C$10000,'calc_s90&amp;138'!$CJ$15:$CJ$10000,"",0),0)</f>
        <v/>
      </c>
      <c r="C40" t="str">
        <f>_xlfn.XLOOKUP(A40,calc_s60!$C$15:$C$10000,calc_s60!$BG$15:$BG$10000,_xlfn.XLOOKUP(A40,'calc_s90&amp;138'!$C$15:$C$10000,'calc_s90&amp;138'!$CL$15:$CL$10000,"",0),0)</f>
        <v/>
      </c>
      <c r="D40" t="str">
        <f>_xlfn.XLOOKUP(A40,calc_s60!$C$15:$C$10000,calc_s60!$BH$15:$BH$10000,_xlfn.XLOOKUP(A40,'calc_s90&amp;138'!$C$15:$C$10000,'calc_s90&amp;138'!$CM$15:$CM$10000,"",0),0)</f>
        <v/>
      </c>
      <c r="E40" t="str">
        <f>_xlfn.XLOOKUP(A40,calc_s60!$C$15:$C$10000,calc_s60!$BI$15:$BI$10000,_xlfn.XLOOKUP(A40,'calc_s90&amp;138'!$C$15:$C$10000,'calc_s90&amp;138'!$CN$15:$CN$10000,"",0),0)</f>
        <v/>
      </c>
      <c r="F40" t="str">
        <f>_xlfn.XLOOKUP(A40,calc_s60!$C$15:$C$10000,calc_s60!$BJ$15:$BJ$10000,_xlfn.XLOOKUP(A40,'calc_s90&amp;138'!$C$15:$C$10000,'calc_s90&amp;138'!$CO$15:$CO$10000,"",0),0)</f>
        <v/>
      </c>
      <c r="G40" t="str">
        <f>_xlfn.XLOOKUP(A40,calc_s60!$C$15:$C$10000,calc_s60!$BK$15:$BK$10000,_xlfn.XLOOKUP(A40,'calc_s90&amp;138'!$C$15:$C$10000,'calc_s90&amp;138'!$CP$15:$CP$10000,"",0),0)</f>
        <v/>
      </c>
    </row>
    <row r="41" spans="1:7" x14ac:dyDescent="0.25">
      <c r="A41">
        <v>40</v>
      </c>
      <c r="B41" t="str">
        <f>_xlfn.XLOOKUP(A41,calc_s60!$C$15:$C$10000,calc_s60!$BF$15:$BF$10000,_xlfn.XLOOKUP(A41,'calc_s90&amp;138'!$C$15:$C$10000,'calc_s90&amp;138'!$CJ$15:$CJ$10000,"",0),0)</f>
        <v/>
      </c>
      <c r="C41" t="str">
        <f>_xlfn.XLOOKUP(A41,calc_s60!$C$15:$C$10000,calc_s60!$BG$15:$BG$10000,_xlfn.XLOOKUP(A41,'calc_s90&amp;138'!$C$15:$C$10000,'calc_s90&amp;138'!$CL$15:$CL$10000,"",0),0)</f>
        <v/>
      </c>
      <c r="D41" t="str">
        <f>_xlfn.XLOOKUP(A41,calc_s60!$C$15:$C$10000,calc_s60!$BH$15:$BH$10000,_xlfn.XLOOKUP(A41,'calc_s90&amp;138'!$C$15:$C$10000,'calc_s90&amp;138'!$CM$15:$CM$10000,"",0),0)</f>
        <v/>
      </c>
      <c r="E41" t="str">
        <f>_xlfn.XLOOKUP(A41,calc_s60!$C$15:$C$10000,calc_s60!$BI$15:$BI$10000,_xlfn.XLOOKUP(A41,'calc_s90&amp;138'!$C$15:$C$10000,'calc_s90&amp;138'!$CN$15:$CN$10000,"",0),0)</f>
        <v/>
      </c>
      <c r="F41" t="str">
        <f>_xlfn.XLOOKUP(A41,calc_s60!$C$15:$C$10000,calc_s60!$BJ$15:$BJ$10000,_xlfn.XLOOKUP(A41,'calc_s90&amp;138'!$C$15:$C$10000,'calc_s90&amp;138'!$CO$15:$CO$10000,"",0),0)</f>
        <v/>
      </c>
      <c r="G41" t="str">
        <f>_xlfn.XLOOKUP(A41,calc_s60!$C$15:$C$10000,calc_s60!$BK$15:$BK$10000,_xlfn.XLOOKUP(A41,'calc_s90&amp;138'!$C$15:$C$10000,'calc_s90&amp;138'!$CP$15:$CP$10000,"",0),0)</f>
        <v/>
      </c>
    </row>
    <row r="42" spans="1:7" x14ac:dyDescent="0.25">
      <c r="A42">
        <v>41</v>
      </c>
      <c r="B42" t="str">
        <f>_xlfn.XLOOKUP(A42,calc_s60!$C$15:$C$10000,calc_s60!$BF$15:$BF$10000,_xlfn.XLOOKUP(A42,'calc_s90&amp;138'!$C$15:$C$10000,'calc_s90&amp;138'!$CJ$15:$CJ$10000,"",0),0)</f>
        <v/>
      </c>
      <c r="C42" t="str">
        <f>_xlfn.XLOOKUP(A42,calc_s60!$C$15:$C$10000,calc_s60!$BG$15:$BG$10000,_xlfn.XLOOKUP(A42,'calc_s90&amp;138'!$C$15:$C$10000,'calc_s90&amp;138'!$CL$15:$CL$10000,"",0),0)</f>
        <v/>
      </c>
      <c r="D42" t="str">
        <f>_xlfn.XLOOKUP(A42,calc_s60!$C$15:$C$10000,calc_s60!$BH$15:$BH$10000,_xlfn.XLOOKUP(A42,'calc_s90&amp;138'!$C$15:$C$10000,'calc_s90&amp;138'!$CM$15:$CM$10000,"",0),0)</f>
        <v/>
      </c>
      <c r="E42" t="str">
        <f>_xlfn.XLOOKUP(A42,calc_s60!$C$15:$C$10000,calc_s60!$BI$15:$BI$10000,_xlfn.XLOOKUP(A42,'calc_s90&amp;138'!$C$15:$C$10000,'calc_s90&amp;138'!$CN$15:$CN$10000,"",0),0)</f>
        <v/>
      </c>
      <c r="F42" t="str">
        <f>_xlfn.XLOOKUP(A42,calc_s60!$C$15:$C$10000,calc_s60!$BJ$15:$BJ$10000,_xlfn.XLOOKUP(A42,'calc_s90&amp;138'!$C$15:$C$10000,'calc_s90&amp;138'!$CO$15:$CO$10000,"",0),0)</f>
        <v/>
      </c>
      <c r="G42" t="str">
        <f>_xlfn.XLOOKUP(A42,calc_s60!$C$15:$C$10000,calc_s60!$BK$15:$BK$10000,_xlfn.XLOOKUP(A42,'calc_s90&amp;138'!$C$15:$C$10000,'calc_s90&amp;138'!$CP$15:$CP$10000,"",0),0)</f>
        <v/>
      </c>
    </row>
    <row r="43" spans="1:7" x14ac:dyDescent="0.25">
      <c r="A43">
        <v>42</v>
      </c>
      <c r="B43" t="str">
        <f>_xlfn.XLOOKUP(A43,calc_s60!$C$15:$C$10000,calc_s60!$BF$15:$BF$10000,_xlfn.XLOOKUP(A43,'calc_s90&amp;138'!$C$15:$C$10000,'calc_s90&amp;138'!$CJ$15:$CJ$10000,"",0),0)</f>
        <v/>
      </c>
      <c r="C43" t="str">
        <f>_xlfn.XLOOKUP(A43,calc_s60!$C$15:$C$10000,calc_s60!$BG$15:$BG$10000,_xlfn.XLOOKUP(A43,'calc_s90&amp;138'!$C$15:$C$10000,'calc_s90&amp;138'!$CL$15:$CL$10000,"",0),0)</f>
        <v/>
      </c>
      <c r="D43" t="str">
        <f>_xlfn.XLOOKUP(A43,calc_s60!$C$15:$C$10000,calc_s60!$BH$15:$BH$10000,_xlfn.XLOOKUP(A43,'calc_s90&amp;138'!$C$15:$C$10000,'calc_s90&amp;138'!$CM$15:$CM$10000,"",0),0)</f>
        <v/>
      </c>
      <c r="E43" t="str">
        <f>_xlfn.XLOOKUP(A43,calc_s60!$C$15:$C$10000,calc_s60!$BI$15:$BI$10000,_xlfn.XLOOKUP(A43,'calc_s90&amp;138'!$C$15:$C$10000,'calc_s90&amp;138'!$CN$15:$CN$10000,"",0),0)</f>
        <v/>
      </c>
      <c r="F43" t="str">
        <f>_xlfn.XLOOKUP(A43,calc_s60!$C$15:$C$10000,calc_s60!$BJ$15:$BJ$10000,_xlfn.XLOOKUP(A43,'calc_s90&amp;138'!$C$15:$C$10000,'calc_s90&amp;138'!$CO$15:$CO$10000,"",0),0)</f>
        <v/>
      </c>
      <c r="G43" t="str">
        <f>_xlfn.XLOOKUP(A43,calc_s60!$C$15:$C$10000,calc_s60!$BK$15:$BK$10000,_xlfn.XLOOKUP(A43,'calc_s90&amp;138'!$C$15:$C$10000,'calc_s90&amp;138'!$CP$15:$CP$10000,"",0),0)</f>
        <v/>
      </c>
    </row>
    <row r="44" spans="1:7" x14ac:dyDescent="0.25">
      <c r="A44">
        <v>43</v>
      </c>
      <c r="B44" t="str">
        <f>_xlfn.XLOOKUP(A44,calc_s60!$C$15:$C$10000,calc_s60!$BF$15:$BF$10000,_xlfn.XLOOKUP(A44,'calc_s90&amp;138'!$C$15:$C$10000,'calc_s90&amp;138'!$CJ$15:$CJ$10000,"",0),0)</f>
        <v/>
      </c>
      <c r="C44" t="str">
        <f>_xlfn.XLOOKUP(A44,calc_s60!$C$15:$C$10000,calc_s60!$BG$15:$BG$10000,_xlfn.XLOOKUP(A44,'calc_s90&amp;138'!$C$15:$C$10000,'calc_s90&amp;138'!$CL$15:$CL$10000,"",0),0)</f>
        <v/>
      </c>
      <c r="D44" t="str">
        <f>_xlfn.XLOOKUP(A44,calc_s60!$C$15:$C$10000,calc_s60!$BH$15:$BH$10000,_xlfn.XLOOKUP(A44,'calc_s90&amp;138'!$C$15:$C$10000,'calc_s90&amp;138'!$CM$15:$CM$10000,"",0),0)</f>
        <v/>
      </c>
      <c r="E44" t="str">
        <f>_xlfn.XLOOKUP(A44,calc_s60!$C$15:$C$10000,calc_s60!$BI$15:$BI$10000,_xlfn.XLOOKUP(A44,'calc_s90&amp;138'!$C$15:$C$10000,'calc_s90&amp;138'!$CN$15:$CN$10000,"",0),0)</f>
        <v/>
      </c>
      <c r="F44" t="str">
        <f>_xlfn.XLOOKUP(A44,calc_s60!$C$15:$C$10000,calc_s60!$BJ$15:$BJ$10000,_xlfn.XLOOKUP(A44,'calc_s90&amp;138'!$C$15:$C$10000,'calc_s90&amp;138'!$CO$15:$CO$10000,"",0),0)</f>
        <v/>
      </c>
      <c r="G44" t="str">
        <f>_xlfn.XLOOKUP(A44,calc_s60!$C$15:$C$10000,calc_s60!$BK$15:$BK$10000,_xlfn.XLOOKUP(A44,'calc_s90&amp;138'!$C$15:$C$10000,'calc_s90&amp;138'!$CP$15:$CP$10000,"",0),0)</f>
        <v/>
      </c>
    </row>
    <row r="45" spans="1:7" x14ac:dyDescent="0.25">
      <c r="A45">
        <v>44</v>
      </c>
      <c r="B45" t="str">
        <f>_xlfn.XLOOKUP(A45,calc_s60!$C$15:$C$10000,calc_s60!$BF$15:$BF$10000,_xlfn.XLOOKUP(A45,'calc_s90&amp;138'!$C$15:$C$10000,'calc_s90&amp;138'!$CJ$15:$CJ$10000,"",0),0)</f>
        <v/>
      </c>
      <c r="C45" t="str">
        <f>_xlfn.XLOOKUP(A45,calc_s60!$C$15:$C$10000,calc_s60!$BG$15:$BG$10000,_xlfn.XLOOKUP(A45,'calc_s90&amp;138'!$C$15:$C$10000,'calc_s90&amp;138'!$CL$15:$CL$10000,"",0),0)</f>
        <v/>
      </c>
      <c r="D45" t="str">
        <f>_xlfn.XLOOKUP(A45,calc_s60!$C$15:$C$10000,calc_s60!$BH$15:$BH$10000,_xlfn.XLOOKUP(A45,'calc_s90&amp;138'!$C$15:$C$10000,'calc_s90&amp;138'!$CM$15:$CM$10000,"",0),0)</f>
        <v/>
      </c>
      <c r="E45" t="str">
        <f>_xlfn.XLOOKUP(A45,calc_s60!$C$15:$C$10000,calc_s60!$BI$15:$BI$10000,_xlfn.XLOOKUP(A45,'calc_s90&amp;138'!$C$15:$C$10000,'calc_s90&amp;138'!$CN$15:$CN$10000,"",0),0)</f>
        <v/>
      </c>
      <c r="F45" t="str">
        <f>_xlfn.XLOOKUP(A45,calc_s60!$C$15:$C$10000,calc_s60!$BJ$15:$BJ$10000,_xlfn.XLOOKUP(A45,'calc_s90&amp;138'!$C$15:$C$10000,'calc_s90&amp;138'!$CO$15:$CO$10000,"",0),0)</f>
        <v/>
      </c>
      <c r="G45" t="str">
        <f>_xlfn.XLOOKUP(A45,calc_s60!$C$15:$C$10000,calc_s60!$BK$15:$BK$10000,_xlfn.XLOOKUP(A45,'calc_s90&amp;138'!$C$15:$C$10000,'calc_s90&amp;138'!$CP$15:$CP$10000,"",0),0)</f>
        <v/>
      </c>
    </row>
    <row r="46" spans="1:7" x14ac:dyDescent="0.25">
      <c r="A46">
        <v>45</v>
      </c>
      <c r="B46" t="str">
        <f>_xlfn.XLOOKUP(A46,calc_s60!$C$15:$C$10000,calc_s60!$BF$15:$BF$10000,_xlfn.XLOOKUP(A46,'calc_s90&amp;138'!$C$15:$C$10000,'calc_s90&amp;138'!$CJ$15:$CJ$10000,"",0),0)</f>
        <v/>
      </c>
      <c r="C46" t="str">
        <f>_xlfn.XLOOKUP(A46,calc_s60!$C$15:$C$10000,calc_s60!$BG$15:$BG$10000,_xlfn.XLOOKUP(A46,'calc_s90&amp;138'!$C$15:$C$10000,'calc_s90&amp;138'!$CL$15:$CL$10000,"",0),0)</f>
        <v/>
      </c>
      <c r="D46" t="str">
        <f>_xlfn.XLOOKUP(A46,calc_s60!$C$15:$C$10000,calc_s60!$BH$15:$BH$10000,_xlfn.XLOOKUP(A46,'calc_s90&amp;138'!$C$15:$C$10000,'calc_s90&amp;138'!$CM$15:$CM$10000,"",0),0)</f>
        <v/>
      </c>
      <c r="E46" t="str">
        <f>_xlfn.XLOOKUP(A46,calc_s60!$C$15:$C$10000,calc_s60!$BI$15:$BI$10000,_xlfn.XLOOKUP(A46,'calc_s90&amp;138'!$C$15:$C$10000,'calc_s90&amp;138'!$CN$15:$CN$10000,"",0),0)</f>
        <v/>
      </c>
      <c r="F46" t="str">
        <f>_xlfn.XLOOKUP(A46,calc_s60!$C$15:$C$10000,calc_s60!$BJ$15:$BJ$10000,_xlfn.XLOOKUP(A46,'calc_s90&amp;138'!$C$15:$C$10000,'calc_s90&amp;138'!$CO$15:$CO$10000,"",0),0)</f>
        <v/>
      </c>
      <c r="G46" t="str">
        <f>_xlfn.XLOOKUP(A46,calc_s60!$C$15:$C$10000,calc_s60!$BK$15:$BK$10000,_xlfn.XLOOKUP(A46,'calc_s90&amp;138'!$C$15:$C$10000,'calc_s90&amp;138'!$CP$15:$CP$10000,"",0),0)</f>
        <v/>
      </c>
    </row>
    <row r="47" spans="1:7" x14ac:dyDescent="0.25">
      <c r="A47">
        <v>46</v>
      </c>
      <c r="B47" t="str">
        <f>_xlfn.XLOOKUP(A47,calc_s60!$C$15:$C$10000,calc_s60!$BF$15:$BF$10000,_xlfn.XLOOKUP(A47,'calc_s90&amp;138'!$C$15:$C$10000,'calc_s90&amp;138'!$CJ$15:$CJ$10000,"",0),0)</f>
        <v/>
      </c>
      <c r="C47" t="str">
        <f>_xlfn.XLOOKUP(A47,calc_s60!$C$15:$C$10000,calc_s60!$BG$15:$BG$10000,_xlfn.XLOOKUP(A47,'calc_s90&amp;138'!$C$15:$C$10000,'calc_s90&amp;138'!$CL$15:$CL$10000,"",0),0)</f>
        <v/>
      </c>
      <c r="D47" t="str">
        <f>_xlfn.XLOOKUP(A47,calc_s60!$C$15:$C$10000,calc_s60!$BH$15:$BH$10000,_xlfn.XLOOKUP(A47,'calc_s90&amp;138'!$C$15:$C$10000,'calc_s90&amp;138'!$CM$15:$CM$10000,"",0),0)</f>
        <v/>
      </c>
      <c r="E47" t="str">
        <f>_xlfn.XLOOKUP(A47,calc_s60!$C$15:$C$10000,calc_s60!$BI$15:$BI$10000,_xlfn.XLOOKUP(A47,'calc_s90&amp;138'!$C$15:$C$10000,'calc_s90&amp;138'!$CN$15:$CN$10000,"",0),0)</f>
        <v/>
      </c>
      <c r="F47" t="str">
        <f>_xlfn.XLOOKUP(A47,calc_s60!$C$15:$C$10000,calc_s60!$BJ$15:$BJ$10000,_xlfn.XLOOKUP(A47,'calc_s90&amp;138'!$C$15:$C$10000,'calc_s90&amp;138'!$CO$15:$CO$10000,"",0),0)</f>
        <v/>
      </c>
      <c r="G47" t="str">
        <f>_xlfn.XLOOKUP(A47,calc_s60!$C$15:$C$10000,calc_s60!$BK$15:$BK$10000,_xlfn.XLOOKUP(A47,'calc_s90&amp;138'!$C$15:$C$10000,'calc_s90&amp;138'!$CP$15:$CP$10000,"",0),0)</f>
        <v/>
      </c>
    </row>
    <row r="48" spans="1:7" x14ac:dyDescent="0.25">
      <c r="A48">
        <v>47</v>
      </c>
      <c r="B48" t="str">
        <f>_xlfn.XLOOKUP(A48,calc_s60!$C$15:$C$10000,calc_s60!$BF$15:$BF$10000,_xlfn.XLOOKUP(A48,'calc_s90&amp;138'!$C$15:$C$10000,'calc_s90&amp;138'!$CJ$15:$CJ$10000,"",0),0)</f>
        <v/>
      </c>
      <c r="C48" t="str">
        <f>_xlfn.XLOOKUP(A48,calc_s60!$C$15:$C$10000,calc_s60!$BG$15:$BG$10000,_xlfn.XLOOKUP(A48,'calc_s90&amp;138'!$C$15:$C$10000,'calc_s90&amp;138'!$CL$15:$CL$10000,"",0),0)</f>
        <v/>
      </c>
      <c r="D48" t="str">
        <f>_xlfn.XLOOKUP(A48,calc_s60!$C$15:$C$10000,calc_s60!$BH$15:$BH$10000,_xlfn.XLOOKUP(A48,'calc_s90&amp;138'!$C$15:$C$10000,'calc_s90&amp;138'!$CM$15:$CM$10000,"",0),0)</f>
        <v/>
      </c>
      <c r="E48" t="str">
        <f>_xlfn.XLOOKUP(A48,calc_s60!$C$15:$C$10000,calc_s60!$BI$15:$BI$10000,_xlfn.XLOOKUP(A48,'calc_s90&amp;138'!$C$15:$C$10000,'calc_s90&amp;138'!$CN$15:$CN$10000,"",0),0)</f>
        <v/>
      </c>
      <c r="F48" t="str">
        <f>_xlfn.XLOOKUP(A48,calc_s60!$C$15:$C$10000,calc_s60!$BJ$15:$BJ$10000,_xlfn.XLOOKUP(A48,'calc_s90&amp;138'!$C$15:$C$10000,'calc_s90&amp;138'!$CO$15:$CO$10000,"",0),0)</f>
        <v/>
      </c>
      <c r="G48" t="str">
        <f>_xlfn.XLOOKUP(A48,calc_s60!$C$15:$C$10000,calc_s60!$BK$15:$BK$10000,_xlfn.XLOOKUP(A48,'calc_s90&amp;138'!$C$15:$C$10000,'calc_s90&amp;138'!$CP$15:$CP$10000,"",0),0)</f>
        <v/>
      </c>
    </row>
    <row r="49" spans="1:8" x14ac:dyDescent="0.25">
      <c r="A49">
        <v>48</v>
      </c>
      <c r="B49" t="str">
        <f>_xlfn.XLOOKUP(A49,calc_s60!$C$15:$C$10000,calc_s60!$BF$15:$BF$10000,_xlfn.XLOOKUP(A49,'calc_s90&amp;138'!$C$15:$C$10000,'calc_s90&amp;138'!$CJ$15:$CJ$10000,"",0),0)</f>
        <v/>
      </c>
      <c r="C49" t="str">
        <f>_xlfn.XLOOKUP(A49,calc_s60!$C$15:$C$10000,calc_s60!$BG$15:$BG$10000,_xlfn.XLOOKUP(A49,'calc_s90&amp;138'!$C$15:$C$10000,'calc_s90&amp;138'!$CL$15:$CL$10000,"",0),0)</f>
        <v/>
      </c>
      <c r="D49" t="str">
        <f>_xlfn.XLOOKUP(A49,calc_s60!$C$15:$C$10000,calc_s60!$BH$15:$BH$10000,_xlfn.XLOOKUP(A49,'calc_s90&amp;138'!$C$15:$C$10000,'calc_s90&amp;138'!$CM$15:$CM$10000,"",0),0)</f>
        <v/>
      </c>
      <c r="E49" t="str">
        <f>_xlfn.XLOOKUP(A49,calc_s60!$C$15:$C$10000,calc_s60!$BI$15:$BI$10000,_xlfn.XLOOKUP(A49,'calc_s90&amp;138'!$C$15:$C$10000,'calc_s90&amp;138'!$CN$15:$CN$10000,"",0),0)</f>
        <v/>
      </c>
      <c r="F49" t="str">
        <f>_xlfn.XLOOKUP(A49,calc_s60!$C$15:$C$10000,calc_s60!$BJ$15:$BJ$10000,_xlfn.XLOOKUP(A49,'calc_s90&amp;138'!$C$15:$C$10000,'calc_s90&amp;138'!$CO$15:$CO$10000,"",0),0)</f>
        <v/>
      </c>
      <c r="G49" t="str">
        <f>_xlfn.XLOOKUP(A49,calc_s60!$C$15:$C$10000,calc_s60!$BK$15:$BK$10000,_xlfn.XLOOKUP(A49,'calc_s90&amp;138'!$C$15:$C$10000,'calc_s90&amp;138'!$CP$15:$CP$10000,"",0),0)</f>
        <v/>
      </c>
    </row>
    <row r="50" spans="1:8" x14ac:dyDescent="0.25">
      <c r="A50">
        <v>49</v>
      </c>
      <c r="B50" t="str">
        <f>_xlfn.XLOOKUP(A50,calc_s60!$C$15:$C$10000,calc_s60!$BF$15:$BF$10000,_xlfn.XLOOKUP(A50,'calc_s90&amp;138'!$C$15:$C$10000,'calc_s90&amp;138'!$CJ$15:$CJ$10000,"",0),0)</f>
        <v/>
      </c>
      <c r="C50" t="str">
        <f>_xlfn.XLOOKUP(A50,calc_s60!$C$15:$C$10000,calc_s60!$BG$15:$BG$10000,_xlfn.XLOOKUP(A50,'calc_s90&amp;138'!$C$15:$C$10000,'calc_s90&amp;138'!$CL$15:$CL$10000,"",0),0)</f>
        <v/>
      </c>
      <c r="D50" t="str">
        <f>_xlfn.XLOOKUP(A50,calc_s60!$C$15:$C$10000,calc_s60!$BH$15:$BH$10000,_xlfn.XLOOKUP(A50,'calc_s90&amp;138'!$C$15:$C$10000,'calc_s90&amp;138'!$CM$15:$CM$10000,"",0),0)</f>
        <v/>
      </c>
      <c r="E50" t="str">
        <f>_xlfn.XLOOKUP(A50,calc_s60!$C$15:$C$10000,calc_s60!$BI$15:$BI$10000,_xlfn.XLOOKUP(A50,'calc_s90&amp;138'!$C$15:$C$10000,'calc_s90&amp;138'!$CN$15:$CN$10000,"",0),0)</f>
        <v/>
      </c>
      <c r="F50" t="str">
        <f>_xlfn.XLOOKUP(A50,calc_s60!$C$15:$C$10000,calc_s60!$BJ$15:$BJ$10000,_xlfn.XLOOKUP(A50,'calc_s90&amp;138'!$C$15:$C$10000,'calc_s90&amp;138'!$CO$15:$CO$10000,"",0),0)</f>
        <v/>
      </c>
      <c r="G50" t="str">
        <f>_xlfn.XLOOKUP(A50,calc_s60!$C$15:$C$10000,calc_s60!$BK$15:$BK$10000,_xlfn.XLOOKUP(A50,'calc_s90&amp;138'!$C$15:$C$10000,'calc_s90&amp;138'!$CP$15:$CP$10000,"",0),0)</f>
        <v/>
      </c>
    </row>
    <row r="51" spans="1:8" x14ac:dyDescent="0.25">
      <c r="A51">
        <v>50</v>
      </c>
      <c r="B51" t="str">
        <f>_xlfn.XLOOKUP(A51,calc_s60!$C$15:$C$10000,calc_s60!$BF$15:$BF$10000,_xlfn.XLOOKUP(A51,'calc_s90&amp;138'!$C$15:$C$10000,'calc_s90&amp;138'!$CJ$15:$CJ$10000,"",0),0)</f>
        <v/>
      </c>
      <c r="C51" t="str">
        <f>_xlfn.XLOOKUP(A51,calc_s60!$C$15:$C$10000,calc_s60!$BG$15:$BG$10000,_xlfn.XLOOKUP(A51,'calc_s90&amp;138'!$C$15:$C$10000,'calc_s90&amp;138'!$CL$15:$CL$10000,"",0),0)</f>
        <v/>
      </c>
      <c r="D51" t="str">
        <f>_xlfn.XLOOKUP(A51,calc_s60!$C$15:$C$10000,calc_s60!$BH$15:$BH$10000,_xlfn.XLOOKUP(A51,'calc_s90&amp;138'!$C$15:$C$10000,'calc_s90&amp;138'!$CM$15:$CM$10000,"",0),0)</f>
        <v/>
      </c>
      <c r="E51" t="str">
        <f>_xlfn.XLOOKUP(A51,calc_s60!$C$15:$C$10000,calc_s60!$BI$15:$BI$10000,_xlfn.XLOOKUP(A51,'calc_s90&amp;138'!$C$15:$C$10000,'calc_s90&amp;138'!$CN$15:$CN$10000,"",0),0)</f>
        <v/>
      </c>
      <c r="F51" t="str">
        <f>_xlfn.XLOOKUP(A51,calc_s60!$C$15:$C$10000,calc_s60!$BJ$15:$BJ$10000,_xlfn.XLOOKUP(A51,'calc_s90&amp;138'!$C$15:$C$10000,'calc_s90&amp;138'!$CO$15:$CO$10000,"",0),0)</f>
        <v/>
      </c>
      <c r="G51" t="str">
        <f>_xlfn.XLOOKUP(A51,calc_s60!$C$15:$C$10000,calc_s60!$BK$15:$BK$10000,_xlfn.XLOOKUP(A51,'calc_s90&amp;138'!$C$15:$C$10000,'calc_s90&amp;138'!$CP$15:$CP$10000,"",0),0)</f>
        <v/>
      </c>
      <c r="H51" t="s">
        <v>780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B0ECA-0CCD-46D0-AFEF-0E7425BBA921}">
  <sheetPr codeName="Sheet21">
    <tabColor rgb="FFFBC408"/>
  </sheetPr>
  <dimension ref="A1:C29"/>
  <sheetViews>
    <sheetView workbookViewId="0">
      <selection activeCell="A18" sqref="A18:XFD18"/>
    </sheetView>
  </sheetViews>
  <sheetFormatPr defaultRowHeight="15" x14ac:dyDescent="0.25"/>
  <cols>
    <col min="1" max="1" width="33.85546875" bestFit="1" customWidth="1"/>
    <col min="2" max="2" width="21.28515625" customWidth="1"/>
    <col min="3" max="3" width="14.42578125" customWidth="1"/>
  </cols>
  <sheetData>
    <row r="1" spans="1:3" x14ac:dyDescent="0.25">
      <c r="A1" s="2" t="s">
        <v>4</v>
      </c>
      <c r="B1" s="2" t="s">
        <v>35</v>
      </c>
      <c r="C1" s="2" t="s">
        <v>36</v>
      </c>
    </row>
    <row r="2" spans="1:3" ht="57.95" customHeight="1" x14ac:dyDescent="0.3">
      <c r="A2" s="50" t="s">
        <v>883</v>
      </c>
      <c r="B2" s="51"/>
      <c r="C2" s="50" t="s">
        <v>884</v>
      </c>
    </row>
    <row r="3" spans="1:3" ht="57.95" customHeight="1" x14ac:dyDescent="0.3">
      <c r="A3" s="50" t="s">
        <v>886</v>
      </c>
      <c r="B3" s="51"/>
      <c r="C3" s="50" t="s">
        <v>885</v>
      </c>
    </row>
    <row r="4" spans="1:3" ht="57.95" customHeight="1" x14ac:dyDescent="0.3">
      <c r="A4" s="50" t="s">
        <v>37</v>
      </c>
      <c r="B4" s="51"/>
      <c r="C4" s="50" t="s">
        <v>6</v>
      </c>
    </row>
    <row r="5" spans="1:3" ht="57.95" customHeight="1" x14ac:dyDescent="0.25">
      <c r="A5" s="50" t="s">
        <v>38</v>
      </c>
      <c r="C5" s="50" t="s">
        <v>7</v>
      </c>
    </row>
    <row r="6" spans="1:3" ht="57.95" customHeight="1" x14ac:dyDescent="0.25">
      <c r="A6" s="50" t="s">
        <v>39</v>
      </c>
      <c r="C6" s="50" t="s">
        <v>8</v>
      </c>
    </row>
    <row r="7" spans="1:3" ht="57.95" customHeight="1" x14ac:dyDescent="0.25">
      <c r="A7" s="50" t="s">
        <v>40</v>
      </c>
      <c r="C7" s="50" t="s">
        <v>9</v>
      </c>
    </row>
    <row r="8" spans="1:3" ht="57.95" customHeight="1" x14ac:dyDescent="0.25">
      <c r="A8" s="50" t="s">
        <v>41</v>
      </c>
      <c r="C8" s="50" t="s">
        <v>10</v>
      </c>
    </row>
    <row r="9" spans="1:3" ht="57.95" customHeight="1" x14ac:dyDescent="0.25">
      <c r="A9" s="52" t="s">
        <v>42</v>
      </c>
      <c r="C9" s="50" t="s">
        <v>11</v>
      </c>
    </row>
    <row r="10" spans="1:3" ht="57.95" customHeight="1" x14ac:dyDescent="0.25">
      <c r="A10" s="52" t="s">
        <v>43</v>
      </c>
      <c r="C10" s="50" t="s">
        <v>12</v>
      </c>
    </row>
    <row r="11" spans="1:3" ht="57.95" customHeight="1" x14ac:dyDescent="0.25">
      <c r="A11" s="52" t="s">
        <v>44</v>
      </c>
      <c r="C11" s="50" t="s">
        <v>13</v>
      </c>
    </row>
    <row r="12" spans="1:3" ht="57.95" customHeight="1" x14ac:dyDescent="0.25">
      <c r="A12" s="52" t="s">
        <v>45</v>
      </c>
      <c r="B12" s="53" t="s">
        <v>14</v>
      </c>
      <c r="C12" s="50" t="s">
        <v>15</v>
      </c>
    </row>
    <row r="13" spans="1:3" ht="57.95" customHeight="1" x14ac:dyDescent="0.25">
      <c r="A13" s="50" t="s">
        <v>46</v>
      </c>
      <c r="C13" s="50" t="s">
        <v>16</v>
      </c>
    </row>
    <row r="14" spans="1:3" ht="57.95" customHeight="1" x14ac:dyDescent="0.25">
      <c r="A14" s="50" t="s">
        <v>47</v>
      </c>
      <c r="C14" s="50" t="s">
        <v>17</v>
      </c>
    </row>
    <row r="15" spans="1:3" ht="57.95" customHeight="1" x14ac:dyDescent="0.25">
      <c r="A15" s="50" t="s">
        <v>48</v>
      </c>
      <c r="C15" s="50" t="s">
        <v>18</v>
      </c>
    </row>
    <row r="16" spans="1:3" ht="57.95" customHeight="1" x14ac:dyDescent="0.25">
      <c r="A16" s="50" t="s">
        <v>133</v>
      </c>
      <c r="C16" s="50" t="s">
        <v>19</v>
      </c>
    </row>
    <row r="17" spans="1:3" ht="57.95" customHeight="1" x14ac:dyDescent="0.25">
      <c r="A17" s="50" t="s">
        <v>73</v>
      </c>
      <c r="C17" s="50" t="s">
        <v>74</v>
      </c>
    </row>
    <row r="18" spans="1:3" ht="57.95" customHeight="1" x14ac:dyDescent="0.25">
      <c r="A18" s="50" t="s">
        <v>49</v>
      </c>
      <c r="C18" s="50" t="s">
        <v>20</v>
      </c>
    </row>
    <row r="19" spans="1:3" ht="57.95" customHeight="1" x14ac:dyDescent="0.25">
      <c r="A19" s="50" t="s">
        <v>50</v>
      </c>
      <c r="C19" s="50" t="s">
        <v>21</v>
      </c>
    </row>
    <row r="20" spans="1:3" ht="57.95" customHeight="1" x14ac:dyDescent="0.25">
      <c r="A20" s="50" t="s">
        <v>51</v>
      </c>
      <c r="C20" s="50" t="s">
        <v>22</v>
      </c>
    </row>
    <row r="21" spans="1:3" ht="57.95" customHeight="1" x14ac:dyDescent="0.25">
      <c r="A21" s="50" t="s">
        <v>52</v>
      </c>
      <c r="C21" s="50" t="s">
        <v>23</v>
      </c>
    </row>
    <row r="22" spans="1:3" ht="57.95" customHeight="1" x14ac:dyDescent="0.25">
      <c r="A22" s="50" t="s">
        <v>75</v>
      </c>
      <c r="C22" s="50" t="s">
        <v>76</v>
      </c>
    </row>
    <row r="23" spans="1:3" ht="57.95" customHeight="1" x14ac:dyDescent="0.25">
      <c r="A23" s="50" t="s">
        <v>53</v>
      </c>
      <c r="C23" s="50" t="s">
        <v>24</v>
      </c>
    </row>
    <row r="24" spans="1:3" ht="57.95" customHeight="1" x14ac:dyDescent="0.25">
      <c r="A24" s="50" t="s">
        <v>77</v>
      </c>
      <c r="C24" s="50" t="s">
        <v>78</v>
      </c>
    </row>
    <row r="25" spans="1:3" ht="57.95" customHeight="1" x14ac:dyDescent="0.25">
      <c r="A25" s="50" t="s">
        <v>54</v>
      </c>
      <c r="C25" s="50" t="s">
        <v>25</v>
      </c>
    </row>
    <row r="26" spans="1:3" ht="57.95" customHeight="1" x14ac:dyDescent="0.25">
      <c r="A26" s="50" t="s">
        <v>79</v>
      </c>
      <c r="C26" s="50" t="s">
        <v>80</v>
      </c>
    </row>
    <row r="27" spans="1:3" ht="57.95" customHeight="1" x14ac:dyDescent="0.25">
      <c r="A27" s="50" t="s">
        <v>55</v>
      </c>
      <c r="C27" s="50" t="s">
        <v>26</v>
      </c>
    </row>
    <row r="28" spans="1:3" ht="57.95" customHeight="1" x14ac:dyDescent="0.25">
      <c r="A28" s="52" t="s">
        <v>56</v>
      </c>
      <c r="C28" s="50" t="s">
        <v>198</v>
      </c>
    </row>
    <row r="29" spans="1:3" ht="57.95" customHeight="1" x14ac:dyDescent="0.25">
      <c r="A29" s="52" t="s">
        <v>57</v>
      </c>
      <c r="C29" s="50" t="s">
        <v>27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D09CD-F04D-4844-9D1D-7B3EB2C408A6}">
  <sheetPr codeName="Sheet29">
    <tabColor rgb="FFFBC408"/>
  </sheetPr>
  <dimension ref="A1:B8"/>
  <sheetViews>
    <sheetView workbookViewId="0">
      <selection activeCell="K2" sqref="K2:K3"/>
    </sheetView>
  </sheetViews>
  <sheetFormatPr defaultRowHeight="15" x14ac:dyDescent="0.25"/>
  <cols>
    <col min="1" max="1" width="24.7109375" customWidth="1"/>
  </cols>
  <sheetData>
    <row r="1" spans="1:2" x14ac:dyDescent="0.25">
      <c r="A1" s="2" t="s">
        <v>5</v>
      </c>
      <c r="B1" s="2" t="s">
        <v>697</v>
      </c>
    </row>
    <row r="2" spans="1:2" x14ac:dyDescent="0.25">
      <c r="A2" s="3" t="s">
        <v>28</v>
      </c>
      <c r="B2" s="3" t="s">
        <v>220</v>
      </c>
    </row>
    <row r="3" spans="1:2" x14ac:dyDescent="0.25">
      <c r="A3" s="3" t="s">
        <v>29</v>
      </c>
      <c r="B3" s="3" t="s">
        <v>230</v>
      </c>
    </row>
    <row r="4" spans="1:2" x14ac:dyDescent="0.25">
      <c r="A4" s="3" t="s">
        <v>30</v>
      </c>
      <c r="B4" s="3" t="s">
        <v>226</v>
      </c>
    </row>
    <row r="5" spans="1:2" x14ac:dyDescent="0.25">
      <c r="A5" s="3" t="s">
        <v>31</v>
      </c>
      <c r="B5" s="3" t="s">
        <v>217</v>
      </c>
    </row>
    <row r="6" spans="1:2" x14ac:dyDescent="0.25">
      <c r="A6" s="3" t="s">
        <v>32</v>
      </c>
      <c r="B6" s="3" t="s">
        <v>211</v>
      </c>
    </row>
    <row r="7" spans="1:2" x14ac:dyDescent="0.25">
      <c r="A7" s="3" t="s">
        <v>33</v>
      </c>
      <c r="B7" s="3" t="s">
        <v>214</v>
      </c>
    </row>
    <row r="8" spans="1:2" x14ac:dyDescent="0.25">
      <c r="A8" s="3" t="s">
        <v>34</v>
      </c>
      <c r="B8" s="3" t="s">
        <v>223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E097B-AE0C-44EF-A4DF-CCE9617D2069}">
  <sheetPr codeName="Sheet22">
    <tabColor rgb="FFFBC408"/>
  </sheetPr>
  <dimension ref="A1:D31"/>
  <sheetViews>
    <sheetView workbookViewId="0">
      <selection activeCell="E15" sqref="E15"/>
    </sheetView>
  </sheetViews>
  <sheetFormatPr defaultRowHeight="15" x14ac:dyDescent="0.25"/>
  <cols>
    <col min="1" max="1" width="13.85546875" customWidth="1"/>
    <col min="2" max="2" width="47.140625" bestFit="1" customWidth="1"/>
    <col min="3" max="4" width="51.7109375" bestFit="1" customWidth="1"/>
  </cols>
  <sheetData>
    <row r="1" spans="1:4" x14ac:dyDescent="0.25">
      <c r="A1" s="2" t="s">
        <v>825</v>
      </c>
      <c r="B1" s="2" t="s">
        <v>827</v>
      </c>
      <c r="C1" s="2" t="s">
        <v>828</v>
      </c>
      <c r="D1" s="2" t="s">
        <v>71</v>
      </c>
    </row>
    <row r="2" spans="1:4" x14ac:dyDescent="0.25">
      <c r="A2" s="3" t="s">
        <v>829</v>
      </c>
      <c r="B2" s="3" t="s">
        <v>832</v>
      </c>
      <c r="C2" s="3" t="s">
        <v>854</v>
      </c>
      <c r="D2" s="3" t="s">
        <v>832</v>
      </c>
    </row>
    <row r="3" spans="1:4" x14ac:dyDescent="0.25">
      <c r="A3" s="3" t="s">
        <v>830</v>
      </c>
      <c r="B3" s="3" t="s">
        <v>833</v>
      </c>
      <c r="C3" s="3" t="s">
        <v>855</v>
      </c>
      <c r="D3" s="3" t="s">
        <v>834</v>
      </c>
    </row>
    <row r="4" spans="1:4" x14ac:dyDescent="0.25">
      <c r="A4" s="3" t="s">
        <v>831</v>
      </c>
      <c r="B4" s="3" t="s">
        <v>834</v>
      </c>
      <c r="C4" s="3" t="s">
        <v>856</v>
      </c>
      <c r="D4" s="3" t="s">
        <v>836</v>
      </c>
    </row>
    <row r="5" spans="1:4" x14ac:dyDescent="0.25">
      <c r="B5" s="3" t="s">
        <v>835</v>
      </c>
      <c r="C5" s="3" t="s">
        <v>857</v>
      </c>
      <c r="D5" s="3" t="s">
        <v>838</v>
      </c>
    </row>
    <row r="6" spans="1:4" x14ac:dyDescent="0.25">
      <c r="B6" s="3" t="s">
        <v>836</v>
      </c>
      <c r="C6" s="3" t="s">
        <v>858</v>
      </c>
      <c r="D6" s="3" t="s">
        <v>840</v>
      </c>
    </row>
    <row r="7" spans="1:4" x14ac:dyDescent="0.25">
      <c r="B7" s="3" t="s">
        <v>837</v>
      </c>
      <c r="C7" s="3" t="s">
        <v>859</v>
      </c>
      <c r="D7" s="3" t="s">
        <v>842</v>
      </c>
    </row>
    <row r="8" spans="1:4" x14ac:dyDescent="0.25">
      <c r="B8" s="3" t="s">
        <v>838</v>
      </c>
      <c r="C8" s="3" t="s">
        <v>860</v>
      </c>
      <c r="D8" s="3" t="s">
        <v>844</v>
      </c>
    </row>
    <row r="9" spans="1:4" x14ac:dyDescent="0.25">
      <c r="B9" s="3" t="s">
        <v>839</v>
      </c>
      <c r="C9" s="3" t="s">
        <v>861</v>
      </c>
      <c r="D9" s="3" t="s">
        <v>845</v>
      </c>
    </row>
    <row r="10" spans="1:4" x14ac:dyDescent="0.25">
      <c r="B10" s="3" t="s">
        <v>840</v>
      </c>
      <c r="C10" s="3" t="s">
        <v>862</v>
      </c>
      <c r="D10" s="3" t="s">
        <v>846</v>
      </c>
    </row>
    <row r="11" spans="1:4" x14ac:dyDescent="0.25">
      <c r="B11" s="3" t="s">
        <v>841</v>
      </c>
      <c r="C11" s="3" t="s">
        <v>863</v>
      </c>
      <c r="D11" s="3" t="s">
        <v>847</v>
      </c>
    </row>
    <row r="12" spans="1:4" x14ac:dyDescent="0.25">
      <c r="B12" s="3" t="s">
        <v>842</v>
      </c>
      <c r="C12" s="3" t="s">
        <v>864</v>
      </c>
      <c r="D12" s="3" t="s">
        <v>848</v>
      </c>
    </row>
    <row r="13" spans="1:4" x14ac:dyDescent="0.25">
      <c r="B13" s="3" t="s">
        <v>843</v>
      </c>
      <c r="C13" s="3" t="s">
        <v>865</v>
      </c>
      <c r="D13" s="3" t="s">
        <v>849</v>
      </c>
    </row>
    <row r="14" spans="1:4" x14ac:dyDescent="0.25">
      <c r="B14" s="3" t="s">
        <v>844</v>
      </c>
      <c r="C14" s="3" t="s">
        <v>866</v>
      </c>
      <c r="D14" s="3" t="s">
        <v>850</v>
      </c>
    </row>
    <row r="15" spans="1:4" x14ac:dyDescent="0.25">
      <c r="B15" s="3" t="s">
        <v>845</v>
      </c>
      <c r="C15" s="3" t="s">
        <v>867</v>
      </c>
      <c r="D15" s="3" t="s">
        <v>851</v>
      </c>
    </row>
    <row r="16" spans="1:4" x14ac:dyDescent="0.25">
      <c r="B16" s="3" t="s">
        <v>846</v>
      </c>
      <c r="C16" s="3" t="s">
        <v>868</v>
      </c>
      <c r="D16" s="3" t="s">
        <v>852</v>
      </c>
    </row>
    <row r="17" spans="2:4" x14ac:dyDescent="0.25">
      <c r="B17" s="3" t="s">
        <v>847</v>
      </c>
      <c r="C17" s="3" t="s">
        <v>869</v>
      </c>
      <c r="D17" s="3" t="s">
        <v>854</v>
      </c>
    </row>
    <row r="18" spans="2:4" x14ac:dyDescent="0.25">
      <c r="B18" s="3" t="s">
        <v>848</v>
      </c>
      <c r="C18" s="3" t="s">
        <v>870</v>
      </c>
      <c r="D18" s="3" t="s">
        <v>856</v>
      </c>
    </row>
    <row r="19" spans="2:4" x14ac:dyDescent="0.25">
      <c r="B19" s="3" t="s">
        <v>849</v>
      </c>
      <c r="C19" s="3" t="s">
        <v>871</v>
      </c>
      <c r="D19" s="3" t="s">
        <v>858</v>
      </c>
    </row>
    <row r="20" spans="2:4" x14ac:dyDescent="0.25">
      <c r="B20" s="3" t="s">
        <v>850</v>
      </c>
      <c r="C20" s="3" t="s">
        <v>872</v>
      </c>
      <c r="D20" s="3" t="s">
        <v>860</v>
      </c>
    </row>
    <row r="21" spans="2:4" x14ac:dyDescent="0.25">
      <c r="B21" s="3" t="s">
        <v>851</v>
      </c>
      <c r="C21" s="3" t="s">
        <v>873</v>
      </c>
      <c r="D21" s="3" t="s">
        <v>862</v>
      </c>
    </row>
    <row r="22" spans="2:4" x14ac:dyDescent="0.25">
      <c r="B22" s="3" t="s">
        <v>852</v>
      </c>
      <c r="C22" s="3" t="s">
        <v>874</v>
      </c>
      <c r="D22" s="3" t="s">
        <v>864</v>
      </c>
    </row>
    <row r="23" spans="2:4" x14ac:dyDescent="0.25">
      <c r="B23" s="3" t="s">
        <v>853</v>
      </c>
      <c r="C23" s="3" t="s">
        <v>875</v>
      </c>
      <c r="D23" s="3" t="s">
        <v>866</v>
      </c>
    </row>
    <row r="24" spans="2:4" x14ac:dyDescent="0.25">
      <c r="D24" s="3" t="s">
        <v>867</v>
      </c>
    </row>
    <row r="25" spans="2:4" x14ac:dyDescent="0.25">
      <c r="D25" s="3" t="s">
        <v>868</v>
      </c>
    </row>
    <row r="26" spans="2:4" x14ac:dyDescent="0.25">
      <c r="D26" s="3" t="s">
        <v>869</v>
      </c>
    </row>
    <row r="27" spans="2:4" x14ac:dyDescent="0.25">
      <c r="D27" s="3" t="s">
        <v>870</v>
      </c>
    </row>
    <row r="28" spans="2:4" x14ac:dyDescent="0.25">
      <c r="D28" s="3" t="s">
        <v>871</v>
      </c>
    </row>
    <row r="29" spans="2:4" x14ac:dyDescent="0.25">
      <c r="D29" s="3" t="s">
        <v>872</v>
      </c>
    </row>
    <row r="30" spans="2:4" x14ac:dyDescent="0.25">
      <c r="D30" s="3" t="s">
        <v>873</v>
      </c>
    </row>
    <row r="31" spans="2:4" x14ac:dyDescent="0.25">
      <c r="D31" s="3" t="s">
        <v>874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C04690-78BA-4E86-83BF-3FDC0BFF97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7</vt:i4>
      </vt:variant>
    </vt:vector>
  </HeadingPairs>
  <TitlesOfParts>
    <vt:vector size="34" baseType="lpstr">
      <vt:lpstr>Design Guide</vt:lpstr>
      <vt:lpstr>Project Details</vt:lpstr>
      <vt:lpstr>Main Cutting List</vt:lpstr>
      <vt:lpstr>Profile Cutting List</vt:lpstr>
      <vt:lpstr>Steel Cutting List</vt:lpstr>
      <vt:lpstr>Glass Order List</vt:lpstr>
      <vt:lpstr>Accessories</vt:lpstr>
      <vt:lpstr>cl_source</vt:lpstr>
      <vt:lpstr>cl_prof_source</vt:lpstr>
      <vt:lpstr>cl_steel_source</vt:lpstr>
      <vt:lpstr>gol_source</vt:lpstr>
      <vt:lpstr>accsry_source</vt:lpstr>
      <vt:lpstr>cl_unmerged</vt:lpstr>
      <vt:lpstr>gl_unmerged</vt:lpstr>
      <vt:lpstr>accsry_unmerged</vt:lpstr>
      <vt:lpstr>calc_s60</vt:lpstr>
      <vt:lpstr>calc_rusacc</vt:lpstr>
      <vt:lpstr>calc_s90&amp;138</vt:lpstr>
      <vt:lpstr>lookups90</vt:lpstr>
      <vt:lpstr>lookups_s60</vt:lpstr>
      <vt:lpstr>SKUs</vt:lpstr>
      <vt:lpstr>dd_accsryclr</vt:lpstr>
      <vt:lpstr>dd_item</vt:lpstr>
      <vt:lpstr>dd_accsrycalc</vt:lpstr>
      <vt:lpstr>dd_design_raw</vt:lpstr>
      <vt:lpstr>dd_color</vt:lpstr>
      <vt:lpstr>dd_glasstype</vt:lpstr>
      <vt:lpstr>Annealed</vt:lpstr>
      <vt:lpstr>calc_rusacc!design</vt:lpstr>
      <vt:lpstr>calc_s60!design</vt:lpstr>
      <vt:lpstr>'calc_s90&amp;138'!design</vt:lpstr>
      <vt:lpstr>'Project Details'!design</vt:lpstr>
      <vt:lpstr>IGU</vt:lpstr>
      <vt:lpstr>Tempered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Andrew Bulaqueña</dc:creator>
  <cp:lastModifiedBy>William Andrew Bulaqueña</cp:lastModifiedBy>
  <dcterms:created xsi:type="dcterms:W3CDTF">2023-10-06T09:24:14Z</dcterms:created>
  <dcterms:modified xsi:type="dcterms:W3CDTF">2023-12-23T07:16:44Z</dcterms:modified>
</cp:coreProperties>
</file>